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gera\Desktop\Active Cases\01_FAs\ERA20FA020_Colonia_NJ\07a_Official FAA Ads-B Data\01_Docket Ready\"/>
    </mc:Choice>
  </mc:AlternateContent>
  <xr:revisionPtr revIDLastSave="0" documentId="13_ncr:1_{D0713D91-C1D5-4370-A8AC-3B4AF550E75F}" xr6:coauthVersionLast="45" xr6:coauthVersionMax="45" xr10:uidLastSave="{00000000-0000-0000-0000-000000000000}"/>
  <bookViews>
    <workbookView xWindow="-120" yWindow="-120" windowWidth="29040" windowHeight="15840" xr2:uid="{1C66A37B-7C53-41B5-851A-736A1AC4341F}"/>
  </bookViews>
  <sheets>
    <sheet name="RAW FAA EXPORT_ADS-B" sheetId="3" r:id="rId1"/>
    <sheet name="Chart of ADS-B Data_GPS-A APR" sheetId="4" r:id="rId2"/>
    <sheet name="Calculated Groundspeed" sheetId="1" r:id="rId3"/>
    <sheet name="EWR Radar Data" sheetId="5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8" i="4" l="1"/>
  <c r="A7" i="4"/>
  <c r="A6" i="4"/>
  <c r="A5" i="4"/>
  <c r="A4" i="4"/>
  <c r="A3" i="4"/>
  <c r="A2" i="4"/>
  <c r="A276" i="4"/>
  <c r="A275" i="4"/>
  <c r="A274" i="4"/>
  <c r="A273" i="4"/>
  <c r="A272" i="4"/>
  <c r="A271" i="4"/>
  <c r="A270" i="4"/>
  <c r="A269" i="4"/>
  <c r="A268" i="4"/>
  <c r="A267" i="4"/>
  <c r="A266" i="4"/>
  <c r="A265" i="4"/>
  <c r="A264" i="4"/>
  <c r="A263" i="4"/>
  <c r="A262" i="4"/>
  <c r="A261" i="4"/>
  <c r="A260" i="4"/>
  <c r="A259" i="4"/>
  <c r="A258" i="4"/>
  <c r="A257" i="4"/>
  <c r="A256" i="4"/>
  <c r="A255" i="4"/>
  <c r="A254" i="4"/>
  <c r="A253" i="4"/>
  <c r="A252" i="4"/>
  <c r="A251" i="4"/>
  <c r="A250" i="4"/>
  <c r="A249" i="4"/>
  <c r="A248" i="4"/>
  <c r="A247" i="4"/>
  <c r="A246" i="4"/>
  <c r="A245" i="4"/>
  <c r="A244" i="4"/>
  <c r="A243" i="4"/>
  <c r="A242" i="4"/>
  <c r="A241" i="4"/>
  <c r="A240" i="4"/>
  <c r="A239" i="4"/>
  <c r="A238" i="4"/>
  <c r="A237" i="4"/>
  <c r="A236" i="4"/>
  <c r="A235" i="4"/>
  <c r="A234" i="4"/>
  <c r="A233" i="4"/>
  <c r="A232" i="4"/>
  <c r="A231" i="4"/>
  <c r="A230" i="4"/>
  <c r="A229" i="4"/>
  <c r="A228" i="4"/>
  <c r="A227" i="4"/>
  <c r="A226" i="4"/>
  <c r="A225" i="4"/>
  <c r="A224" i="4"/>
  <c r="A223" i="4"/>
  <c r="A222" i="4"/>
  <c r="A221" i="4"/>
  <c r="A220" i="4"/>
  <c r="A219" i="4"/>
  <c r="A218" i="4"/>
  <c r="A217" i="4"/>
  <c r="A216" i="4"/>
  <c r="A215" i="4"/>
  <c r="A214" i="4"/>
  <c r="A213" i="4"/>
  <c r="A212" i="4"/>
  <c r="A211" i="4"/>
  <c r="A210" i="4"/>
  <c r="A209" i="4"/>
  <c r="A208" i="4"/>
  <c r="A207" i="4"/>
  <c r="A206" i="4"/>
  <c r="A205" i="4"/>
  <c r="A204" i="4"/>
  <c r="A203" i="4"/>
  <c r="A202" i="4"/>
  <c r="A201" i="4"/>
  <c r="A200" i="4"/>
  <c r="A199" i="4"/>
  <c r="A198" i="4"/>
  <c r="A197" i="4"/>
  <c r="A196" i="4"/>
  <c r="A195" i="4"/>
  <c r="A194" i="4"/>
  <c r="A193" i="4"/>
  <c r="A192" i="4"/>
  <c r="A191" i="4"/>
  <c r="A190" i="4"/>
  <c r="A189" i="4"/>
  <c r="A188" i="4"/>
  <c r="A187" i="4"/>
  <c r="A186" i="4"/>
  <c r="A185" i="4"/>
  <c r="A184" i="4"/>
  <c r="A183" i="4"/>
  <c r="A182" i="4"/>
  <c r="A181" i="4"/>
  <c r="A180" i="4"/>
  <c r="A179" i="4"/>
  <c r="A178" i="4"/>
  <c r="A177" i="4"/>
  <c r="A176" i="4"/>
  <c r="A175" i="4"/>
  <c r="A174" i="4"/>
  <c r="A173" i="4"/>
  <c r="A172" i="4"/>
  <c r="A171" i="4"/>
  <c r="A170" i="4"/>
  <c r="A169" i="4"/>
  <c r="A168" i="4"/>
  <c r="A167" i="4"/>
  <c r="A166" i="4"/>
  <c r="A165" i="4"/>
  <c r="A164" i="4"/>
  <c r="A163" i="4"/>
  <c r="A162" i="4"/>
  <c r="A161" i="4"/>
  <c r="A160" i="4"/>
  <c r="A159" i="4"/>
  <c r="A158" i="4"/>
  <c r="A157" i="4"/>
  <c r="A156" i="4"/>
  <c r="A155" i="4"/>
  <c r="A154" i="4"/>
  <c r="A153" i="4"/>
  <c r="A152" i="4"/>
  <c r="A151" i="4"/>
  <c r="A150" i="4"/>
  <c r="A149" i="4"/>
  <c r="A148" i="4"/>
  <c r="A147" i="4"/>
  <c r="A146" i="4"/>
  <c r="A145" i="4"/>
  <c r="A144" i="4"/>
  <c r="A143" i="4"/>
  <c r="A142" i="4"/>
  <c r="A141" i="4"/>
  <c r="A140" i="4"/>
  <c r="A139" i="4"/>
  <c r="A138" i="4"/>
  <c r="A137" i="4"/>
  <c r="A136" i="4"/>
  <c r="A135" i="4"/>
  <c r="A134" i="4"/>
  <c r="A133" i="4"/>
  <c r="A132" i="4"/>
  <c r="A131" i="4"/>
  <c r="A130" i="4"/>
  <c r="A129" i="4"/>
  <c r="A128" i="4"/>
  <c r="A127" i="4"/>
  <c r="A126" i="4"/>
  <c r="A125" i="4"/>
  <c r="A124" i="4"/>
  <c r="A123" i="4"/>
  <c r="A122" i="4"/>
  <c r="A121" i="4"/>
  <c r="A120" i="4"/>
  <c r="A119" i="4"/>
  <c r="A118" i="4"/>
  <c r="A117" i="4"/>
  <c r="A116" i="4"/>
  <c r="A115" i="4"/>
  <c r="A114" i="4"/>
  <c r="A113" i="4"/>
  <c r="A112" i="4"/>
  <c r="A111" i="4"/>
  <c r="A110" i="4"/>
  <c r="A109" i="4"/>
  <c r="A108" i="4"/>
  <c r="A107" i="4"/>
  <c r="A106" i="4"/>
  <c r="A105" i="4"/>
  <c r="A104" i="4"/>
  <c r="A103" i="4"/>
  <c r="A102" i="4"/>
  <c r="A101" i="4"/>
  <c r="A100" i="4"/>
  <c r="A99" i="4"/>
  <c r="A98" i="4"/>
  <c r="A97" i="4"/>
  <c r="A96" i="4"/>
  <c r="A95" i="4"/>
  <c r="A94" i="4"/>
  <c r="A93" i="4"/>
  <c r="A92" i="4"/>
  <c r="A91" i="4"/>
  <c r="A90" i="4"/>
  <c r="A89" i="4"/>
  <c r="A88" i="4"/>
  <c r="A87" i="4"/>
  <c r="A86" i="4"/>
  <c r="A85" i="4"/>
  <c r="A84" i="4"/>
  <c r="A83" i="4"/>
  <c r="A82" i="4"/>
  <c r="A81" i="4"/>
  <c r="A80" i="4"/>
  <c r="A79" i="4"/>
  <c r="A78" i="4"/>
  <c r="A77" i="4"/>
  <c r="A76" i="4"/>
  <c r="A75" i="4"/>
  <c r="A74" i="4"/>
  <c r="A73" i="4"/>
  <c r="A72" i="4"/>
  <c r="A71" i="4"/>
  <c r="A70" i="4"/>
  <c r="A69" i="4"/>
  <c r="A68" i="4"/>
  <c r="A67" i="4"/>
  <c r="A66" i="4"/>
  <c r="A65" i="4"/>
  <c r="A64" i="4"/>
  <c r="A63" i="4"/>
  <c r="A62" i="4"/>
  <c r="A61" i="4"/>
  <c r="A60" i="4"/>
  <c r="A59" i="4"/>
  <c r="A58" i="4"/>
  <c r="A57" i="4"/>
  <c r="A56" i="4"/>
  <c r="A55" i="4"/>
  <c r="A54" i="4"/>
  <c r="A53" i="4"/>
  <c r="A52" i="4"/>
  <c r="A51" i="4"/>
  <c r="A50" i="4"/>
  <c r="A49" i="4"/>
  <c r="A48" i="4"/>
  <c r="A47" i="4"/>
  <c r="A46" i="4"/>
  <c r="A45" i="4"/>
  <c r="A44" i="4"/>
  <c r="A43" i="4"/>
  <c r="A42" i="4"/>
  <c r="A41" i="4"/>
  <c r="A40" i="4"/>
  <c r="A39" i="4"/>
  <c r="A38" i="4"/>
  <c r="A37" i="4"/>
  <c r="A36" i="4"/>
  <c r="A35" i="4"/>
  <c r="A34" i="4"/>
  <c r="A33" i="4"/>
  <c r="A32" i="4"/>
  <c r="A31" i="4"/>
  <c r="A30" i="4"/>
  <c r="A29" i="4"/>
  <c r="A28" i="4"/>
  <c r="A27" i="4"/>
  <c r="A26" i="4"/>
  <c r="A25" i="4"/>
  <c r="A24" i="4"/>
  <c r="A23" i="4"/>
  <c r="A22" i="4"/>
  <c r="A21" i="4"/>
  <c r="A20" i="4"/>
  <c r="A19" i="4"/>
  <c r="A18" i="4"/>
  <c r="A17" i="4"/>
  <c r="A16" i="4"/>
  <c r="A15" i="4"/>
  <c r="A14" i="4"/>
  <c r="A13" i="4"/>
  <c r="A12" i="4"/>
  <c r="A11" i="4"/>
  <c r="A10" i="4"/>
  <c r="A9" i="4"/>
  <c r="BY4052" i="3"/>
  <c r="BX4052" i="3"/>
  <c r="BB4052" i="3"/>
  <c r="U4052" i="3"/>
  <c r="T4052" i="3"/>
  <c r="S4052" i="3"/>
  <c r="C4052" i="3"/>
  <c r="A4052" i="3"/>
  <c r="BY4051" i="3"/>
  <c r="BX4051" i="3"/>
  <c r="BB4051" i="3"/>
  <c r="U4051" i="3"/>
  <c r="T4051" i="3"/>
  <c r="S4051" i="3"/>
  <c r="C4051" i="3"/>
  <c r="A4051" i="3"/>
  <c r="BY4050" i="3"/>
  <c r="BX4050" i="3"/>
  <c r="BB4050" i="3"/>
  <c r="U4050" i="3"/>
  <c r="T4050" i="3"/>
  <c r="S4050" i="3"/>
  <c r="C4050" i="3"/>
  <c r="A4050" i="3"/>
  <c r="BY4049" i="3"/>
  <c r="BX4049" i="3"/>
  <c r="BB4049" i="3"/>
  <c r="U4049" i="3"/>
  <c r="T4049" i="3"/>
  <c r="S4049" i="3"/>
  <c r="C4049" i="3"/>
  <c r="A4049" i="3"/>
  <c r="BY4048" i="3"/>
  <c r="BX4048" i="3"/>
  <c r="BB4048" i="3"/>
  <c r="U4048" i="3"/>
  <c r="T4048" i="3"/>
  <c r="S4048" i="3"/>
  <c r="C4048" i="3"/>
  <c r="A4048" i="3"/>
  <c r="BY4047" i="3"/>
  <c r="BX4047" i="3"/>
  <c r="BB4047" i="3"/>
  <c r="U4047" i="3"/>
  <c r="T4047" i="3"/>
  <c r="S4047" i="3"/>
  <c r="C4047" i="3"/>
  <c r="A4047" i="3"/>
  <c r="BY4046" i="3"/>
  <c r="BX4046" i="3"/>
  <c r="BB4046" i="3"/>
  <c r="U4046" i="3"/>
  <c r="T4046" i="3"/>
  <c r="S4046" i="3"/>
  <c r="C4046" i="3"/>
  <c r="A4046" i="3"/>
  <c r="BY4045" i="3"/>
  <c r="BX4045" i="3"/>
  <c r="BB4045" i="3"/>
  <c r="U4045" i="3"/>
  <c r="T4045" i="3"/>
  <c r="S4045" i="3"/>
  <c r="C4045" i="3"/>
  <c r="A4045" i="3"/>
  <c r="BY4044" i="3"/>
  <c r="BX4044" i="3"/>
  <c r="BB4044" i="3"/>
  <c r="U4044" i="3"/>
  <c r="T4044" i="3"/>
  <c r="S4044" i="3"/>
  <c r="C4044" i="3"/>
  <c r="A4044" i="3"/>
  <c r="BY4043" i="3"/>
  <c r="BX4043" i="3"/>
  <c r="BB4043" i="3"/>
  <c r="U4043" i="3"/>
  <c r="T4043" i="3"/>
  <c r="S4043" i="3"/>
  <c r="C4043" i="3"/>
  <c r="A4043" i="3"/>
  <c r="BY4042" i="3"/>
  <c r="BX4042" i="3"/>
  <c r="BB4042" i="3"/>
  <c r="U4042" i="3"/>
  <c r="T4042" i="3"/>
  <c r="S4042" i="3"/>
  <c r="C4042" i="3"/>
  <c r="A4042" i="3"/>
  <c r="BY4041" i="3"/>
  <c r="BX4041" i="3"/>
  <c r="BB4041" i="3"/>
  <c r="U4041" i="3"/>
  <c r="T4041" i="3"/>
  <c r="S4041" i="3"/>
  <c r="C4041" i="3"/>
  <c r="A4041" i="3"/>
  <c r="BY4040" i="3"/>
  <c r="BX4040" i="3"/>
  <c r="BB4040" i="3"/>
  <c r="U4040" i="3"/>
  <c r="T4040" i="3"/>
  <c r="S4040" i="3"/>
  <c r="C4040" i="3"/>
  <c r="A4040" i="3"/>
  <c r="BY4039" i="3"/>
  <c r="BX4039" i="3"/>
  <c r="BB4039" i="3"/>
  <c r="U4039" i="3"/>
  <c r="T4039" i="3"/>
  <c r="S4039" i="3"/>
  <c r="C4039" i="3"/>
  <c r="A4039" i="3"/>
  <c r="BY4038" i="3"/>
  <c r="BX4038" i="3"/>
  <c r="BB4038" i="3"/>
  <c r="U4038" i="3"/>
  <c r="T4038" i="3"/>
  <c r="S4038" i="3"/>
  <c r="C4038" i="3"/>
  <c r="A4038" i="3"/>
  <c r="BY4037" i="3"/>
  <c r="BX4037" i="3"/>
  <c r="BB4037" i="3"/>
  <c r="U4037" i="3"/>
  <c r="T4037" i="3"/>
  <c r="S4037" i="3"/>
  <c r="C4037" i="3"/>
  <c r="A4037" i="3"/>
  <c r="BY4036" i="3"/>
  <c r="BX4036" i="3"/>
  <c r="BB4036" i="3"/>
  <c r="U4036" i="3"/>
  <c r="T4036" i="3"/>
  <c r="S4036" i="3"/>
  <c r="C4036" i="3"/>
  <c r="A4036" i="3"/>
  <c r="BY4035" i="3"/>
  <c r="BX4035" i="3"/>
  <c r="BB4035" i="3"/>
  <c r="U4035" i="3"/>
  <c r="T4035" i="3"/>
  <c r="S4035" i="3"/>
  <c r="C4035" i="3"/>
  <c r="A4035" i="3"/>
  <c r="BY4034" i="3"/>
  <c r="BX4034" i="3"/>
  <c r="BB4034" i="3"/>
  <c r="U4034" i="3"/>
  <c r="T4034" i="3"/>
  <c r="S4034" i="3"/>
  <c r="C4034" i="3"/>
  <c r="A4034" i="3"/>
  <c r="BY4033" i="3"/>
  <c r="BX4033" i="3"/>
  <c r="BB4033" i="3"/>
  <c r="U4033" i="3"/>
  <c r="T4033" i="3"/>
  <c r="S4033" i="3"/>
  <c r="C4033" i="3"/>
  <c r="A4033" i="3"/>
  <c r="BY4032" i="3"/>
  <c r="BX4032" i="3"/>
  <c r="BB4032" i="3"/>
  <c r="U4032" i="3"/>
  <c r="T4032" i="3"/>
  <c r="S4032" i="3"/>
  <c r="C4032" i="3"/>
  <c r="A4032" i="3"/>
  <c r="BY4031" i="3"/>
  <c r="BX4031" i="3"/>
  <c r="BB4031" i="3"/>
  <c r="U4031" i="3"/>
  <c r="T4031" i="3"/>
  <c r="S4031" i="3"/>
  <c r="C4031" i="3"/>
  <c r="A4031" i="3"/>
  <c r="BY4030" i="3"/>
  <c r="BX4030" i="3"/>
  <c r="BB4030" i="3"/>
  <c r="U4030" i="3"/>
  <c r="T4030" i="3"/>
  <c r="S4030" i="3"/>
  <c r="C4030" i="3"/>
  <c r="A4030" i="3"/>
  <c r="BY4029" i="3"/>
  <c r="BX4029" i="3"/>
  <c r="BB4029" i="3"/>
  <c r="U4029" i="3"/>
  <c r="T4029" i="3"/>
  <c r="S4029" i="3"/>
  <c r="C4029" i="3"/>
  <c r="A4029" i="3"/>
  <c r="BY4028" i="3"/>
  <c r="BX4028" i="3"/>
  <c r="BB4028" i="3"/>
  <c r="U4028" i="3"/>
  <c r="T4028" i="3"/>
  <c r="S4028" i="3"/>
  <c r="C4028" i="3"/>
  <c r="A4028" i="3"/>
  <c r="BY4027" i="3"/>
  <c r="BX4027" i="3"/>
  <c r="BB4027" i="3"/>
  <c r="U4027" i="3"/>
  <c r="T4027" i="3"/>
  <c r="S4027" i="3"/>
  <c r="C4027" i="3"/>
  <c r="A4027" i="3"/>
  <c r="BY4026" i="3"/>
  <c r="BX4026" i="3"/>
  <c r="BB4026" i="3"/>
  <c r="U4026" i="3"/>
  <c r="T4026" i="3"/>
  <c r="S4026" i="3"/>
  <c r="C4026" i="3"/>
  <c r="A4026" i="3"/>
  <c r="BY4025" i="3"/>
  <c r="BX4025" i="3"/>
  <c r="BB4025" i="3"/>
  <c r="U4025" i="3"/>
  <c r="T4025" i="3"/>
  <c r="S4025" i="3"/>
  <c r="C4025" i="3"/>
  <c r="A4025" i="3"/>
  <c r="BY4024" i="3"/>
  <c r="BX4024" i="3"/>
  <c r="BB4024" i="3"/>
  <c r="U4024" i="3"/>
  <c r="T4024" i="3"/>
  <c r="S4024" i="3"/>
  <c r="C4024" i="3"/>
  <c r="A4024" i="3"/>
  <c r="BY4023" i="3"/>
  <c r="BX4023" i="3"/>
  <c r="BB4023" i="3"/>
  <c r="U4023" i="3"/>
  <c r="T4023" i="3"/>
  <c r="S4023" i="3"/>
  <c r="C4023" i="3"/>
  <c r="A4023" i="3"/>
  <c r="BY4022" i="3"/>
  <c r="BX4022" i="3"/>
  <c r="BB4022" i="3"/>
  <c r="U4022" i="3"/>
  <c r="T4022" i="3"/>
  <c r="S4022" i="3"/>
  <c r="C4022" i="3"/>
  <c r="A4022" i="3"/>
  <c r="BY4021" i="3"/>
  <c r="BX4021" i="3"/>
  <c r="BB4021" i="3"/>
  <c r="U4021" i="3"/>
  <c r="T4021" i="3"/>
  <c r="S4021" i="3"/>
  <c r="C4021" i="3"/>
  <c r="A4021" i="3"/>
  <c r="BY4020" i="3"/>
  <c r="BX4020" i="3"/>
  <c r="BB4020" i="3"/>
  <c r="U4020" i="3"/>
  <c r="T4020" i="3"/>
  <c r="S4020" i="3"/>
  <c r="C4020" i="3"/>
  <c r="A4020" i="3"/>
  <c r="BY4019" i="3"/>
  <c r="BX4019" i="3"/>
  <c r="BB4019" i="3"/>
  <c r="U4019" i="3"/>
  <c r="T4019" i="3"/>
  <c r="S4019" i="3"/>
  <c r="C4019" i="3"/>
  <c r="A4019" i="3"/>
  <c r="BY4018" i="3"/>
  <c r="BX4018" i="3"/>
  <c r="BB4018" i="3"/>
  <c r="U4018" i="3"/>
  <c r="T4018" i="3"/>
  <c r="S4018" i="3"/>
  <c r="C4018" i="3"/>
  <c r="A4018" i="3"/>
  <c r="BY4017" i="3"/>
  <c r="BX4017" i="3"/>
  <c r="BB4017" i="3"/>
  <c r="U4017" i="3"/>
  <c r="T4017" i="3"/>
  <c r="S4017" i="3"/>
  <c r="C4017" i="3"/>
  <c r="A4017" i="3"/>
  <c r="BY4016" i="3"/>
  <c r="BX4016" i="3"/>
  <c r="BB4016" i="3"/>
  <c r="U4016" i="3"/>
  <c r="T4016" i="3"/>
  <c r="S4016" i="3"/>
  <c r="C4016" i="3"/>
  <c r="A4016" i="3"/>
  <c r="BY4015" i="3"/>
  <c r="BX4015" i="3"/>
  <c r="BB4015" i="3"/>
  <c r="U4015" i="3"/>
  <c r="T4015" i="3"/>
  <c r="S4015" i="3"/>
  <c r="C4015" i="3"/>
  <c r="A4015" i="3"/>
  <c r="BY4014" i="3"/>
  <c r="BX4014" i="3"/>
  <c r="BB4014" i="3"/>
  <c r="U4014" i="3"/>
  <c r="T4014" i="3"/>
  <c r="S4014" i="3"/>
  <c r="C4014" i="3"/>
  <c r="A4014" i="3"/>
  <c r="BY4013" i="3"/>
  <c r="BX4013" i="3"/>
  <c r="BB4013" i="3"/>
  <c r="U4013" i="3"/>
  <c r="T4013" i="3"/>
  <c r="S4013" i="3"/>
  <c r="C4013" i="3"/>
  <c r="A4013" i="3"/>
  <c r="BY4012" i="3"/>
  <c r="BX4012" i="3"/>
  <c r="BB4012" i="3"/>
  <c r="U4012" i="3"/>
  <c r="T4012" i="3"/>
  <c r="S4012" i="3"/>
  <c r="C4012" i="3"/>
  <c r="A4012" i="3"/>
  <c r="BY4011" i="3"/>
  <c r="BX4011" i="3"/>
  <c r="BB4011" i="3"/>
  <c r="U4011" i="3"/>
  <c r="T4011" i="3"/>
  <c r="S4011" i="3"/>
  <c r="C4011" i="3"/>
  <c r="A4011" i="3"/>
  <c r="BY4010" i="3"/>
  <c r="BX4010" i="3"/>
  <c r="BB4010" i="3"/>
  <c r="U4010" i="3"/>
  <c r="T4010" i="3"/>
  <c r="S4010" i="3"/>
  <c r="C4010" i="3"/>
  <c r="A4010" i="3"/>
  <c r="BY4009" i="3"/>
  <c r="BX4009" i="3"/>
  <c r="BB4009" i="3"/>
  <c r="U4009" i="3"/>
  <c r="T4009" i="3"/>
  <c r="S4009" i="3"/>
  <c r="C4009" i="3"/>
  <c r="A4009" i="3"/>
  <c r="BY4008" i="3"/>
  <c r="BX4008" i="3"/>
  <c r="BB4008" i="3"/>
  <c r="U4008" i="3"/>
  <c r="T4008" i="3"/>
  <c r="S4008" i="3"/>
  <c r="C4008" i="3"/>
  <c r="A4008" i="3"/>
  <c r="BY4007" i="3"/>
  <c r="BX4007" i="3"/>
  <c r="BB4007" i="3"/>
  <c r="U4007" i="3"/>
  <c r="T4007" i="3"/>
  <c r="S4007" i="3"/>
  <c r="C4007" i="3"/>
  <c r="A4007" i="3"/>
  <c r="BY4006" i="3"/>
  <c r="BX4006" i="3"/>
  <c r="BB4006" i="3"/>
  <c r="U4006" i="3"/>
  <c r="T4006" i="3"/>
  <c r="S4006" i="3"/>
  <c r="C4006" i="3"/>
  <c r="A4006" i="3"/>
  <c r="BY4005" i="3"/>
  <c r="BX4005" i="3"/>
  <c r="BB4005" i="3"/>
  <c r="U4005" i="3"/>
  <c r="T4005" i="3"/>
  <c r="S4005" i="3"/>
  <c r="C4005" i="3"/>
  <c r="A4005" i="3"/>
  <c r="BY4004" i="3"/>
  <c r="BX4004" i="3"/>
  <c r="BB4004" i="3"/>
  <c r="U4004" i="3"/>
  <c r="T4004" i="3"/>
  <c r="S4004" i="3"/>
  <c r="C4004" i="3"/>
  <c r="A4004" i="3"/>
  <c r="BY4003" i="3"/>
  <c r="BX4003" i="3"/>
  <c r="BB4003" i="3"/>
  <c r="U4003" i="3"/>
  <c r="T4003" i="3"/>
  <c r="S4003" i="3"/>
  <c r="C4003" i="3"/>
  <c r="A4003" i="3"/>
  <c r="BY4002" i="3"/>
  <c r="BX4002" i="3"/>
  <c r="BB4002" i="3"/>
  <c r="U4002" i="3"/>
  <c r="T4002" i="3"/>
  <c r="S4002" i="3"/>
  <c r="C4002" i="3"/>
  <c r="A4002" i="3"/>
  <c r="BY4001" i="3"/>
  <c r="BX4001" i="3"/>
  <c r="BB4001" i="3"/>
  <c r="U4001" i="3"/>
  <c r="T4001" i="3"/>
  <c r="S4001" i="3"/>
  <c r="C4001" i="3"/>
  <c r="A4001" i="3"/>
  <c r="BY4000" i="3"/>
  <c r="BX4000" i="3"/>
  <c r="BB4000" i="3"/>
  <c r="U4000" i="3"/>
  <c r="T4000" i="3"/>
  <c r="S4000" i="3"/>
  <c r="C4000" i="3"/>
  <c r="A4000" i="3"/>
  <c r="BY3999" i="3"/>
  <c r="BX3999" i="3"/>
  <c r="BB3999" i="3"/>
  <c r="U3999" i="3"/>
  <c r="T3999" i="3"/>
  <c r="S3999" i="3"/>
  <c r="C3999" i="3"/>
  <c r="A3999" i="3"/>
  <c r="BY3998" i="3"/>
  <c r="BX3998" i="3"/>
  <c r="BB3998" i="3"/>
  <c r="U3998" i="3"/>
  <c r="T3998" i="3"/>
  <c r="S3998" i="3"/>
  <c r="C3998" i="3"/>
  <c r="A3998" i="3"/>
  <c r="BY3997" i="3"/>
  <c r="BX3997" i="3"/>
  <c r="BB3997" i="3"/>
  <c r="U3997" i="3"/>
  <c r="T3997" i="3"/>
  <c r="S3997" i="3"/>
  <c r="C3997" i="3"/>
  <c r="A3997" i="3"/>
  <c r="BY3996" i="3"/>
  <c r="BX3996" i="3"/>
  <c r="BB3996" i="3"/>
  <c r="U3996" i="3"/>
  <c r="T3996" i="3"/>
  <c r="S3996" i="3"/>
  <c r="C3996" i="3"/>
  <c r="A3996" i="3"/>
  <c r="BY3995" i="3"/>
  <c r="BX3995" i="3"/>
  <c r="BB3995" i="3"/>
  <c r="U3995" i="3"/>
  <c r="T3995" i="3"/>
  <c r="S3995" i="3"/>
  <c r="C3995" i="3"/>
  <c r="A3995" i="3"/>
  <c r="BY3994" i="3"/>
  <c r="BX3994" i="3"/>
  <c r="BB3994" i="3"/>
  <c r="U3994" i="3"/>
  <c r="T3994" i="3"/>
  <c r="S3994" i="3"/>
  <c r="C3994" i="3"/>
  <c r="A3994" i="3"/>
  <c r="BY3993" i="3"/>
  <c r="BX3993" i="3"/>
  <c r="BB3993" i="3"/>
  <c r="U3993" i="3"/>
  <c r="T3993" i="3"/>
  <c r="S3993" i="3"/>
  <c r="C3993" i="3"/>
  <c r="A3993" i="3"/>
  <c r="BY3992" i="3"/>
  <c r="BX3992" i="3"/>
  <c r="BB3992" i="3"/>
  <c r="U3992" i="3"/>
  <c r="T3992" i="3"/>
  <c r="S3992" i="3"/>
  <c r="C3992" i="3"/>
  <c r="A3992" i="3"/>
  <c r="BY3991" i="3"/>
  <c r="BX3991" i="3"/>
  <c r="BB3991" i="3"/>
  <c r="U3991" i="3"/>
  <c r="T3991" i="3"/>
  <c r="S3991" i="3"/>
  <c r="C3991" i="3"/>
  <c r="A3991" i="3"/>
  <c r="BY3990" i="3"/>
  <c r="BX3990" i="3"/>
  <c r="BB3990" i="3"/>
  <c r="U3990" i="3"/>
  <c r="T3990" i="3"/>
  <c r="S3990" i="3"/>
  <c r="C3990" i="3"/>
  <c r="A3990" i="3"/>
  <c r="BY3989" i="3"/>
  <c r="BX3989" i="3"/>
  <c r="BB3989" i="3"/>
  <c r="U3989" i="3"/>
  <c r="T3989" i="3"/>
  <c r="S3989" i="3"/>
  <c r="C3989" i="3"/>
  <c r="A3989" i="3"/>
  <c r="BY3988" i="3"/>
  <c r="BX3988" i="3"/>
  <c r="BB3988" i="3"/>
  <c r="U3988" i="3"/>
  <c r="T3988" i="3"/>
  <c r="S3988" i="3"/>
  <c r="C3988" i="3"/>
  <c r="A3988" i="3"/>
  <c r="BY3987" i="3"/>
  <c r="BX3987" i="3"/>
  <c r="BB3987" i="3"/>
  <c r="U3987" i="3"/>
  <c r="T3987" i="3"/>
  <c r="S3987" i="3"/>
  <c r="C3987" i="3"/>
  <c r="A3987" i="3"/>
  <c r="BY3986" i="3"/>
  <c r="BX3986" i="3"/>
  <c r="BB3986" i="3"/>
  <c r="U3986" i="3"/>
  <c r="T3986" i="3"/>
  <c r="S3986" i="3"/>
  <c r="C3986" i="3"/>
  <c r="A3986" i="3"/>
  <c r="BY3985" i="3"/>
  <c r="BX3985" i="3"/>
  <c r="BB3985" i="3"/>
  <c r="U3985" i="3"/>
  <c r="T3985" i="3"/>
  <c r="S3985" i="3"/>
  <c r="C3985" i="3"/>
  <c r="A3985" i="3"/>
  <c r="BY3984" i="3"/>
  <c r="BX3984" i="3"/>
  <c r="BB3984" i="3"/>
  <c r="U3984" i="3"/>
  <c r="T3984" i="3"/>
  <c r="S3984" i="3"/>
  <c r="C3984" i="3"/>
  <c r="A3984" i="3"/>
  <c r="BY3983" i="3"/>
  <c r="BX3983" i="3"/>
  <c r="BB3983" i="3"/>
  <c r="U3983" i="3"/>
  <c r="T3983" i="3"/>
  <c r="S3983" i="3"/>
  <c r="C3983" i="3"/>
  <c r="A3983" i="3"/>
  <c r="BY3982" i="3"/>
  <c r="BX3982" i="3"/>
  <c r="BB3982" i="3"/>
  <c r="U3982" i="3"/>
  <c r="T3982" i="3"/>
  <c r="S3982" i="3"/>
  <c r="C3982" i="3"/>
  <c r="A3982" i="3"/>
  <c r="BY3981" i="3"/>
  <c r="BX3981" i="3"/>
  <c r="BB3981" i="3"/>
  <c r="U3981" i="3"/>
  <c r="T3981" i="3"/>
  <c r="S3981" i="3"/>
  <c r="C3981" i="3"/>
  <c r="A3981" i="3"/>
  <c r="BY3980" i="3"/>
  <c r="BX3980" i="3"/>
  <c r="BB3980" i="3"/>
  <c r="U3980" i="3"/>
  <c r="T3980" i="3"/>
  <c r="S3980" i="3"/>
  <c r="C3980" i="3"/>
  <c r="A3980" i="3"/>
  <c r="BY3979" i="3"/>
  <c r="BX3979" i="3"/>
  <c r="BB3979" i="3"/>
  <c r="U3979" i="3"/>
  <c r="T3979" i="3"/>
  <c r="S3979" i="3"/>
  <c r="C3979" i="3"/>
  <c r="A3979" i="3"/>
  <c r="BY3978" i="3"/>
  <c r="BX3978" i="3"/>
  <c r="BB3978" i="3"/>
  <c r="U3978" i="3"/>
  <c r="T3978" i="3"/>
  <c r="S3978" i="3"/>
  <c r="C3978" i="3"/>
  <c r="A3978" i="3"/>
  <c r="BY3977" i="3"/>
  <c r="BX3977" i="3"/>
  <c r="BB3977" i="3"/>
  <c r="U3977" i="3"/>
  <c r="T3977" i="3"/>
  <c r="S3977" i="3"/>
  <c r="C3977" i="3"/>
  <c r="A3977" i="3"/>
  <c r="BY3976" i="3"/>
  <c r="BX3976" i="3"/>
  <c r="BB3976" i="3"/>
  <c r="U3976" i="3"/>
  <c r="T3976" i="3"/>
  <c r="S3976" i="3"/>
  <c r="C3976" i="3"/>
  <c r="A3976" i="3"/>
  <c r="BY3975" i="3"/>
  <c r="BX3975" i="3"/>
  <c r="BB3975" i="3"/>
  <c r="U3975" i="3"/>
  <c r="T3975" i="3"/>
  <c r="S3975" i="3"/>
  <c r="C3975" i="3"/>
  <c r="A3975" i="3"/>
  <c r="BY3974" i="3"/>
  <c r="BX3974" i="3"/>
  <c r="BB3974" i="3"/>
  <c r="U3974" i="3"/>
  <c r="T3974" i="3"/>
  <c r="S3974" i="3"/>
  <c r="C3974" i="3"/>
  <c r="A3974" i="3"/>
  <c r="BY3973" i="3"/>
  <c r="BX3973" i="3"/>
  <c r="BB3973" i="3"/>
  <c r="U3973" i="3"/>
  <c r="T3973" i="3"/>
  <c r="S3973" i="3"/>
  <c r="C3973" i="3"/>
  <c r="A3973" i="3"/>
  <c r="BY3972" i="3"/>
  <c r="BX3972" i="3"/>
  <c r="BB3972" i="3"/>
  <c r="U3972" i="3"/>
  <c r="T3972" i="3"/>
  <c r="S3972" i="3"/>
  <c r="C3972" i="3"/>
  <c r="A3972" i="3"/>
  <c r="BY3971" i="3"/>
  <c r="BX3971" i="3"/>
  <c r="BB3971" i="3"/>
  <c r="U3971" i="3"/>
  <c r="T3971" i="3"/>
  <c r="S3971" i="3"/>
  <c r="C3971" i="3"/>
  <c r="A3971" i="3"/>
  <c r="BY3970" i="3"/>
  <c r="BX3970" i="3"/>
  <c r="BB3970" i="3"/>
  <c r="U3970" i="3"/>
  <c r="T3970" i="3"/>
  <c r="S3970" i="3"/>
  <c r="C3970" i="3"/>
  <c r="A3970" i="3"/>
  <c r="BY3969" i="3"/>
  <c r="BX3969" i="3"/>
  <c r="BB3969" i="3"/>
  <c r="U3969" i="3"/>
  <c r="T3969" i="3"/>
  <c r="S3969" i="3"/>
  <c r="C3969" i="3"/>
  <c r="A3969" i="3"/>
  <c r="BY3968" i="3"/>
  <c r="BX3968" i="3"/>
  <c r="BB3968" i="3"/>
  <c r="U3968" i="3"/>
  <c r="T3968" i="3"/>
  <c r="S3968" i="3"/>
  <c r="C3968" i="3"/>
  <c r="A3968" i="3"/>
  <c r="BY3967" i="3"/>
  <c r="BX3967" i="3"/>
  <c r="BB3967" i="3"/>
  <c r="U3967" i="3"/>
  <c r="T3967" i="3"/>
  <c r="S3967" i="3"/>
  <c r="C3967" i="3"/>
  <c r="A3967" i="3"/>
  <c r="BY3966" i="3"/>
  <c r="BX3966" i="3"/>
  <c r="BB3966" i="3"/>
  <c r="U3966" i="3"/>
  <c r="T3966" i="3"/>
  <c r="S3966" i="3"/>
  <c r="C3966" i="3"/>
  <c r="A3966" i="3"/>
  <c r="BY3965" i="3"/>
  <c r="BX3965" i="3"/>
  <c r="BB3965" i="3"/>
  <c r="U3965" i="3"/>
  <c r="T3965" i="3"/>
  <c r="S3965" i="3"/>
  <c r="C3965" i="3"/>
  <c r="A3965" i="3"/>
  <c r="BY3964" i="3"/>
  <c r="BX3964" i="3"/>
  <c r="BB3964" i="3"/>
  <c r="U3964" i="3"/>
  <c r="T3964" i="3"/>
  <c r="S3964" i="3"/>
  <c r="C3964" i="3"/>
  <c r="A3964" i="3"/>
  <c r="BY3963" i="3"/>
  <c r="BX3963" i="3"/>
  <c r="BB3963" i="3"/>
  <c r="U3963" i="3"/>
  <c r="T3963" i="3"/>
  <c r="S3963" i="3"/>
  <c r="C3963" i="3"/>
  <c r="A3963" i="3"/>
  <c r="BY3962" i="3"/>
  <c r="BX3962" i="3"/>
  <c r="BB3962" i="3"/>
  <c r="U3962" i="3"/>
  <c r="T3962" i="3"/>
  <c r="S3962" i="3"/>
  <c r="C3962" i="3"/>
  <c r="A3962" i="3"/>
  <c r="BY3961" i="3"/>
  <c r="BX3961" i="3"/>
  <c r="BB3961" i="3"/>
  <c r="U3961" i="3"/>
  <c r="T3961" i="3"/>
  <c r="S3961" i="3"/>
  <c r="C3961" i="3"/>
  <c r="A3961" i="3"/>
  <c r="BY3960" i="3"/>
  <c r="BX3960" i="3"/>
  <c r="BB3960" i="3"/>
  <c r="U3960" i="3"/>
  <c r="T3960" i="3"/>
  <c r="S3960" i="3"/>
  <c r="C3960" i="3"/>
  <c r="A3960" i="3"/>
  <c r="BY3959" i="3"/>
  <c r="BX3959" i="3"/>
  <c r="BB3959" i="3"/>
  <c r="U3959" i="3"/>
  <c r="T3959" i="3"/>
  <c r="S3959" i="3"/>
  <c r="C3959" i="3"/>
  <c r="A3959" i="3"/>
  <c r="BY3958" i="3"/>
  <c r="BX3958" i="3"/>
  <c r="BB3958" i="3"/>
  <c r="U3958" i="3"/>
  <c r="T3958" i="3"/>
  <c r="S3958" i="3"/>
  <c r="C3958" i="3"/>
  <c r="A3958" i="3"/>
  <c r="BY3957" i="3"/>
  <c r="BX3957" i="3"/>
  <c r="BB3957" i="3"/>
  <c r="U3957" i="3"/>
  <c r="T3957" i="3"/>
  <c r="S3957" i="3"/>
  <c r="C3957" i="3"/>
  <c r="A3957" i="3"/>
  <c r="BY3956" i="3"/>
  <c r="BX3956" i="3"/>
  <c r="BB3956" i="3"/>
  <c r="U3956" i="3"/>
  <c r="T3956" i="3"/>
  <c r="S3956" i="3"/>
  <c r="C3956" i="3"/>
  <c r="A3956" i="3"/>
  <c r="BY3955" i="3"/>
  <c r="BX3955" i="3"/>
  <c r="BB3955" i="3"/>
  <c r="U3955" i="3"/>
  <c r="T3955" i="3"/>
  <c r="S3955" i="3"/>
  <c r="C3955" i="3"/>
  <c r="A3955" i="3"/>
  <c r="BY3954" i="3"/>
  <c r="BX3954" i="3"/>
  <c r="BB3954" i="3"/>
  <c r="U3954" i="3"/>
  <c r="T3954" i="3"/>
  <c r="S3954" i="3"/>
  <c r="C3954" i="3"/>
  <c r="A3954" i="3"/>
  <c r="BY3953" i="3"/>
  <c r="BX3953" i="3"/>
  <c r="BB3953" i="3"/>
  <c r="U3953" i="3"/>
  <c r="T3953" i="3"/>
  <c r="S3953" i="3"/>
  <c r="C3953" i="3"/>
  <c r="A3953" i="3"/>
  <c r="BY3952" i="3"/>
  <c r="BX3952" i="3"/>
  <c r="BB3952" i="3"/>
  <c r="U3952" i="3"/>
  <c r="T3952" i="3"/>
  <c r="S3952" i="3"/>
  <c r="C3952" i="3"/>
  <c r="A3952" i="3"/>
  <c r="BY3951" i="3"/>
  <c r="BX3951" i="3"/>
  <c r="BB3951" i="3"/>
  <c r="U3951" i="3"/>
  <c r="T3951" i="3"/>
  <c r="S3951" i="3"/>
  <c r="C3951" i="3"/>
  <c r="A3951" i="3"/>
  <c r="BY3950" i="3"/>
  <c r="BX3950" i="3"/>
  <c r="BB3950" i="3"/>
  <c r="U3950" i="3"/>
  <c r="T3950" i="3"/>
  <c r="S3950" i="3"/>
  <c r="C3950" i="3"/>
  <c r="A3950" i="3"/>
  <c r="BY3949" i="3"/>
  <c r="BX3949" i="3"/>
  <c r="BB3949" i="3"/>
  <c r="U3949" i="3"/>
  <c r="T3949" i="3"/>
  <c r="S3949" i="3"/>
  <c r="C3949" i="3"/>
  <c r="A3949" i="3"/>
  <c r="BY3948" i="3"/>
  <c r="BX3948" i="3"/>
  <c r="BB3948" i="3"/>
  <c r="U3948" i="3"/>
  <c r="T3948" i="3"/>
  <c r="S3948" i="3"/>
  <c r="C3948" i="3"/>
  <c r="A3948" i="3"/>
  <c r="BY3947" i="3"/>
  <c r="BX3947" i="3"/>
  <c r="BB3947" i="3"/>
  <c r="U3947" i="3"/>
  <c r="T3947" i="3"/>
  <c r="S3947" i="3"/>
  <c r="C3947" i="3"/>
  <c r="A3947" i="3"/>
  <c r="BY3946" i="3"/>
  <c r="BX3946" i="3"/>
  <c r="BB3946" i="3"/>
  <c r="U3946" i="3"/>
  <c r="T3946" i="3"/>
  <c r="S3946" i="3"/>
  <c r="C3946" i="3"/>
  <c r="A3946" i="3"/>
  <c r="BY3945" i="3"/>
  <c r="BX3945" i="3"/>
  <c r="BB3945" i="3"/>
  <c r="U3945" i="3"/>
  <c r="T3945" i="3"/>
  <c r="S3945" i="3"/>
  <c r="C3945" i="3"/>
  <c r="A3945" i="3"/>
  <c r="BY3944" i="3"/>
  <c r="BX3944" i="3"/>
  <c r="BB3944" i="3"/>
  <c r="U3944" i="3"/>
  <c r="T3944" i="3"/>
  <c r="S3944" i="3"/>
  <c r="C3944" i="3"/>
  <c r="A3944" i="3"/>
  <c r="BY3943" i="3"/>
  <c r="BX3943" i="3"/>
  <c r="BB3943" i="3"/>
  <c r="U3943" i="3"/>
  <c r="T3943" i="3"/>
  <c r="S3943" i="3"/>
  <c r="C3943" i="3"/>
  <c r="A3943" i="3"/>
  <c r="BY3942" i="3"/>
  <c r="BX3942" i="3"/>
  <c r="BB3942" i="3"/>
  <c r="U3942" i="3"/>
  <c r="T3942" i="3"/>
  <c r="S3942" i="3"/>
  <c r="C3942" i="3"/>
  <c r="A3942" i="3"/>
  <c r="BY3941" i="3"/>
  <c r="BX3941" i="3"/>
  <c r="BB3941" i="3"/>
  <c r="U3941" i="3"/>
  <c r="T3941" i="3"/>
  <c r="S3941" i="3"/>
  <c r="C3941" i="3"/>
  <c r="A3941" i="3"/>
  <c r="BY3940" i="3"/>
  <c r="BX3940" i="3"/>
  <c r="BB3940" i="3"/>
  <c r="U3940" i="3"/>
  <c r="T3940" i="3"/>
  <c r="S3940" i="3"/>
  <c r="C3940" i="3"/>
  <c r="A3940" i="3"/>
  <c r="BY3939" i="3"/>
  <c r="BX3939" i="3"/>
  <c r="BB3939" i="3"/>
  <c r="U3939" i="3"/>
  <c r="T3939" i="3"/>
  <c r="S3939" i="3"/>
  <c r="C3939" i="3"/>
  <c r="A3939" i="3"/>
  <c r="BY3938" i="3"/>
  <c r="BX3938" i="3"/>
  <c r="BB3938" i="3"/>
  <c r="U3938" i="3"/>
  <c r="T3938" i="3"/>
  <c r="S3938" i="3"/>
  <c r="C3938" i="3"/>
  <c r="A3938" i="3"/>
  <c r="BY3937" i="3"/>
  <c r="BX3937" i="3"/>
  <c r="BB3937" i="3"/>
  <c r="U3937" i="3"/>
  <c r="T3937" i="3"/>
  <c r="S3937" i="3"/>
  <c r="C3937" i="3"/>
  <c r="A3937" i="3"/>
  <c r="BY3936" i="3"/>
  <c r="BX3936" i="3"/>
  <c r="BB3936" i="3"/>
  <c r="U3936" i="3"/>
  <c r="T3936" i="3"/>
  <c r="S3936" i="3"/>
  <c r="C3936" i="3"/>
  <c r="A3936" i="3"/>
  <c r="BY3935" i="3"/>
  <c r="BX3935" i="3"/>
  <c r="BB3935" i="3"/>
  <c r="U3935" i="3"/>
  <c r="T3935" i="3"/>
  <c r="S3935" i="3"/>
  <c r="C3935" i="3"/>
  <c r="A3935" i="3"/>
  <c r="BY3934" i="3"/>
  <c r="BX3934" i="3"/>
  <c r="BB3934" i="3"/>
  <c r="U3934" i="3"/>
  <c r="T3934" i="3"/>
  <c r="S3934" i="3"/>
  <c r="C3934" i="3"/>
  <c r="A3934" i="3"/>
  <c r="BY3933" i="3"/>
  <c r="BX3933" i="3"/>
  <c r="BB3933" i="3"/>
  <c r="U3933" i="3"/>
  <c r="T3933" i="3"/>
  <c r="S3933" i="3"/>
  <c r="C3933" i="3"/>
  <c r="A3933" i="3"/>
  <c r="BY3932" i="3"/>
  <c r="BX3932" i="3"/>
  <c r="BB3932" i="3"/>
  <c r="U3932" i="3"/>
  <c r="T3932" i="3"/>
  <c r="S3932" i="3"/>
  <c r="C3932" i="3"/>
  <c r="A3932" i="3"/>
  <c r="BY3931" i="3"/>
  <c r="BX3931" i="3"/>
  <c r="BB3931" i="3"/>
  <c r="U3931" i="3"/>
  <c r="T3931" i="3"/>
  <c r="S3931" i="3"/>
  <c r="C3931" i="3"/>
  <c r="A3931" i="3"/>
  <c r="BY3930" i="3"/>
  <c r="BX3930" i="3"/>
  <c r="BB3930" i="3"/>
  <c r="U3930" i="3"/>
  <c r="T3930" i="3"/>
  <c r="S3930" i="3"/>
  <c r="C3930" i="3"/>
  <c r="A3930" i="3"/>
  <c r="BY3929" i="3"/>
  <c r="BX3929" i="3"/>
  <c r="BB3929" i="3"/>
  <c r="U3929" i="3"/>
  <c r="T3929" i="3"/>
  <c r="S3929" i="3"/>
  <c r="C3929" i="3"/>
  <c r="A3929" i="3"/>
  <c r="BY3928" i="3"/>
  <c r="BX3928" i="3"/>
  <c r="BB3928" i="3"/>
  <c r="U3928" i="3"/>
  <c r="T3928" i="3"/>
  <c r="S3928" i="3"/>
  <c r="C3928" i="3"/>
  <c r="A3928" i="3"/>
  <c r="BY3927" i="3"/>
  <c r="BX3927" i="3"/>
  <c r="BB3927" i="3"/>
  <c r="U3927" i="3"/>
  <c r="T3927" i="3"/>
  <c r="S3927" i="3"/>
  <c r="C3927" i="3"/>
  <c r="A3927" i="3"/>
  <c r="BY3926" i="3"/>
  <c r="BX3926" i="3"/>
  <c r="BB3926" i="3"/>
  <c r="U3926" i="3"/>
  <c r="T3926" i="3"/>
  <c r="S3926" i="3"/>
  <c r="C3926" i="3"/>
  <c r="A3926" i="3"/>
  <c r="BY3925" i="3"/>
  <c r="BX3925" i="3"/>
  <c r="BB3925" i="3"/>
  <c r="U3925" i="3"/>
  <c r="T3925" i="3"/>
  <c r="S3925" i="3"/>
  <c r="C3925" i="3"/>
  <c r="A3925" i="3"/>
  <c r="BY3924" i="3"/>
  <c r="BX3924" i="3"/>
  <c r="BB3924" i="3"/>
  <c r="U3924" i="3"/>
  <c r="T3924" i="3"/>
  <c r="S3924" i="3"/>
  <c r="C3924" i="3"/>
  <c r="A3924" i="3"/>
  <c r="BY3923" i="3"/>
  <c r="BX3923" i="3"/>
  <c r="BB3923" i="3"/>
  <c r="U3923" i="3"/>
  <c r="T3923" i="3"/>
  <c r="S3923" i="3"/>
  <c r="C3923" i="3"/>
  <c r="A3923" i="3"/>
  <c r="BY3922" i="3"/>
  <c r="BX3922" i="3"/>
  <c r="BB3922" i="3"/>
  <c r="U3922" i="3"/>
  <c r="T3922" i="3"/>
  <c r="S3922" i="3"/>
  <c r="C3922" i="3"/>
  <c r="A3922" i="3"/>
  <c r="BY3921" i="3"/>
  <c r="BX3921" i="3"/>
  <c r="BB3921" i="3"/>
  <c r="U3921" i="3"/>
  <c r="T3921" i="3"/>
  <c r="S3921" i="3"/>
  <c r="C3921" i="3"/>
  <c r="A3921" i="3"/>
  <c r="BY3920" i="3"/>
  <c r="BX3920" i="3"/>
  <c r="BB3920" i="3"/>
  <c r="U3920" i="3"/>
  <c r="T3920" i="3"/>
  <c r="S3920" i="3"/>
  <c r="C3920" i="3"/>
  <c r="A3920" i="3"/>
  <c r="BY3919" i="3"/>
  <c r="BX3919" i="3"/>
  <c r="BB3919" i="3"/>
  <c r="U3919" i="3"/>
  <c r="T3919" i="3"/>
  <c r="S3919" i="3"/>
  <c r="C3919" i="3"/>
  <c r="A3919" i="3"/>
  <c r="BY3918" i="3"/>
  <c r="BX3918" i="3"/>
  <c r="BB3918" i="3"/>
  <c r="U3918" i="3"/>
  <c r="T3918" i="3"/>
  <c r="S3918" i="3"/>
  <c r="C3918" i="3"/>
  <c r="A3918" i="3"/>
  <c r="BY3917" i="3"/>
  <c r="BX3917" i="3"/>
  <c r="BB3917" i="3"/>
  <c r="U3917" i="3"/>
  <c r="T3917" i="3"/>
  <c r="S3917" i="3"/>
  <c r="C3917" i="3"/>
  <c r="A3917" i="3"/>
  <c r="BY3916" i="3"/>
  <c r="BX3916" i="3"/>
  <c r="BB3916" i="3"/>
  <c r="U3916" i="3"/>
  <c r="T3916" i="3"/>
  <c r="S3916" i="3"/>
  <c r="C3916" i="3"/>
  <c r="A3916" i="3"/>
  <c r="BY3915" i="3"/>
  <c r="BX3915" i="3"/>
  <c r="BB3915" i="3"/>
  <c r="U3915" i="3"/>
  <c r="T3915" i="3"/>
  <c r="S3915" i="3"/>
  <c r="C3915" i="3"/>
  <c r="A3915" i="3"/>
  <c r="BY3914" i="3"/>
  <c r="BX3914" i="3"/>
  <c r="BB3914" i="3"/>
  <c r="U3914" i="3"/>
  <c r="T3914" i="3"/>
  <c r="S3914" i="3"/>
  <c r="C3914" i="3"/>
  <c r="A3914" i="3"/>
  <c r="BY3913" i="3"/>
  <c r="BX3913" i="3"/>
  <c r="BB3913" i="3"/>
  <c r="U3913" i="3"/>
  <c r="T3913" i="3"/>
  <c r="S3913" i="3"/>
  <c r="C3913" i="3"/>
  <c r="A3913" i="3"/>
  <c r="BY3912" i="3"/>
  <c r="BX3912" i="3"/>
  <c r="BB3912" i="3"/>
  <c r="U3912" i="3"/>
  <c r="T3912" i="3"/>
  <c r="S3912" i="3"/>
  <c r="C3912" i="3"/>
  <c r="A3912" i="3"/>
  <c r="BY3911" i="3"/>
  <c r="BX3911" i="3"/>
  <c r="BB3911" i="3"/>
  <c r="U3911" i="3"/>
  <c r="T3911" i="3"/>
  <c r="S3911" i="3"/>
  <c r="C3911" i="3"/>
  <c r="A3911" i="3"/>
  <c r="BY3910" i="3"/>
  <c r="BX3910" i="3"/>
  <c r="BB3910" i="3"/>
  <c r="U3910" i="3"/>
  <c r="T3910" i="3"/>
  <c r="S3910" i="3"/>
  <c r="C3910" i="3"/>
  <c r="A3910" i="3"/>
  <c r="BY3909" i="3"/>
  <c r="BX3909" i="3"/>
  <c r="BB3909" i="3"/>
  <c r="U3909" i="3"/>
  <c r="T3909" i="3"/>
  <c r="S3909" i="3"/>
  <c r="C3909" i="3"/>
  <c r="A3909" i="3"/>
  <c r="BY3908" i="3"/>
  <c r="BX3908" i="3"/>
  <c r="BB3908" i="3"/>
  <c r="U3908" i="3"/>
  <c r="T3908" i="3"/>
  <c r="S3908" i="3"/>
  <c r="C3908" i="3"/>
  <c r="A3908" i="3"/>
  <c r="BY3907" i="3"/>
  <c r="BX3907" i="3"/>
  <c r="BB3907" i="3"/>
  <c r="U3907" i="3"/>
  <c r="T3907" i="3"/>
  <c r="S3907" i="3"/>
  <c r="C3907" i="3"/>
  <c r="A3907" i="3"/>
  <c r="BY3906" i="3"/>
  <c r="BX3906" i="3"/>
  <c r="BB3906" i="3"/>
  <c r="U3906" i="3"/>
  <c r="T3906" i="3"/>
  <c r="S3906" i="3"/>
  <c r="C3906" i="3"/>
  <c r="A3906" i="3"/>
  <c r="BY3905" i="3"/>
  <c r="BX3905" i="3"/>
  <c r="BB3905" i="3"/>
  <c r="U3905" i="3"/>
  <c r="T3905" i="3"/>
  <c r="S3905" i="3"/>
  <c r="C3905" i="3"/>
  <c r="A3905" i="3"/>
  <c r="BY3904" i="3"/>
  <c r="BX3904" i="3"/>
  <c r="BB3904" i="3"/>
  <c r="U3904" i="3"/>
  <c r="T3904" i="3"/>
  <c r="S3904" i="3"/>
  <c r="C3904" i="3"/>
  <c r="A3904" i="3"/>
  <c r="BY3903" i="3"/>
  <c r="BX3903" i="3"/>
  <c r="BB3903" i="3"/>
  <c r="U3903" i="3"/>
  <c r="T3903" i="3"/>
  <c r="S3903" i="3"/>
  <c r="C3903" i="3"/>
  <c r="A3903" i="3"/>
  <c r="BY3902" i="3"/>
  <c r="BX3902" i="3"/>
  <c r="BB3902" i="3"/>
  <c r="U3902" i="3"/>
  <c r="T3902" i="3"/>
  <c r="S3902" i="3"/>
  <c r="C3902" i="3"/>
  <c r="A3902" i="3"/>
  <c r="BY3901" i="3"/>
  <c r="BX3901" i="3"/>
  <c r="BB3901" i="3"/>
  <c r="U3901" i="3"/>
  <c r="T3901" i="3"/>
  <c r="S3901" i="3"/>
  <c r="C3901" i="3"/>
  <c r="A3901" i="3"/>
  <c r="BY3900" i="3"/>
  <c r="BX3900" i="3"/>
  <c r="BB3900" i="3"/>
  <c r="U3900" i="3"/>
  <c r="T3900" i="3"/>
  <c r="S3900" i="3"/>
  <c r="C3900" i="3"/>
  <c r="A3900" i="3"/>
  <c r="BY3899" i="3"/>
  <c r="BX3899" i="3"/>
  <c r="BB3899" i="3"/>
  <c r="U3899" i="3"/>
  <c r="T3899" i="3"/>
  <c r="S3899" i="3"/>
  <c r="C3899" i="3"/>
  <c r="A3899" i="3"/>
  <c r="BY3898" i="3"/>
  <c r="BX3898" i="3"/>
  <c r="BB3898" i="3"/>
  <c r="U3898" i="3"/>
  <c r="T3898" i="3"/>
  <c r="S3898" i="3"/>
  <c r="C3898" i="3"/>
  <c r="A3898" i="3"/>
  <c r="BY3897" i="3"/>
  <c r="BX3897" i="3"/>
  <c r="BB3897" i="3"/>
  <c r="U3897" i="3"/>
  <c r="T3897" i="3"/>
  <c r="S3897" i="3"/>
  <c r="C3897" i="3"/>
  <c r="A3897" i="3"/>
  <c r="BY3896" i="3"/>
  <c r="BX3896" i="3"/>
  <c r="BB3896" i="3"/>
  <c r="U3896" i="3"/>
  <c r="T3896" i="3"/>
  <c r="S3896" i="3"/>
  <c r="C3896" i="3"/>
  <c r="A3896" i="3"/>
  <c r="BY3895" i="3"/>
  <c r="BX3895" i="3"/>
  <c r="BB3895" i="3"/>
  <c r="U3895" i="3"/>
  <c r="T3895" i="3"/>
  <c r="S3895" i="3"/>
  <c r="C3895" i="3"/>
  <c r="A3895" i="3"/>
  <c r="BY3894" i="3"/>
  <c r="BX3894" i="3"/>
  <c r="BB3894" i="3"/>
  <c r="U3894" i="3"/>
  <c r="T3894" i="3"/>
  <c r="S3894" i="3"/>
  <c r="C3894" i="3"/>
  <c r="A3894" i="3"/>
  <c r="BY3893" i="3"/>
  <c r="BX3893" i="3"/>
  <c r="BB3893" i="3"/>
  <c r="U3893" i="3"/>
  <c r="T3893" i="3"/>
  <c r="S3893" i="3"/>
  <c r="C3893" i="3"/>
  <c r="A3893" i="3"/>
  <c r="BY3892" i="3"/>
  <c r="BX3892" i="3"/>
  <c r="BB3892" i="3"/>
  <c r="U3892" i="3"/>
  <c r="T3892" i="3"/>
  <c r="S3892" i="3"/>
  <c r="C3892" i="3"/>
  <c r="A3892" i="3"/>
  <c r="BY3891" i="3"/>
  <c r="BX3891" i="3"/>
  <c r="BB3891" i="3"/>
  <c r="U3891" i="3"/>
  <c r="T3891" i="3"/>
  <c r="S3891" i="3"/>
  <c r="C3891" i="3"/>
  <c r="A3891" i="3"/>
  <c r="BY3890" i="3"/>
  <c r="BX3890" i="3"/>
  <c r="BB3890" i="3"/>
  <c r="U3890" i="3"/>
  <c r="T3890" i="3"/>
  <c r="S3890" i="3"/>
  <c r="C3890" i="3"/>
  <c r="A3890" i="3"/>
  <c r="BY3889" i="3"/>
  <c r="BX3889" i="3"/>
  <c r="BB3889" i="3"/>
  <c r="U3889" i="3"/>
  <c r="T3889" i="3"/>
  <c r="S3889" i="3"/>
  <c r="C3889" i="3"/>
  <c r="A3889" i="3"/>
  <c r="BY3888" i="3"/>
  <c r="BX3888" i="3"/>
  <c r="BB3888" i="3"/>
  <c r="U3888" i="3"/>
  <c r="T3888" i="3"/>
  <c r="S3888" i="3"/>
  <c r="C3888" i="3"/>
  <c r="A3888" i="3"/>
  <c r="BY3887" i="3"/>
  <c r="BX3887" i="3"/>
  <c r="BB3887" i="3"/>
  <c r="U3887" i="3"/>
  <c r="T3887" i="3"/>
  <c r="S3887" i="3"/>
  <c r="C3887" i="3"/>
  <c r="A3887" i="3"/>
  <c r="BY3886" i="3"/>
  <c r="BX3886" i="3"/>
  <c r="BB3886" i="3"/>
  <c r="U3886" i="3"/>
  <c r="T3886" i="3"/>
  <c r="S3886" i="3"/>
  <c r="C3886" i="3"/>
  <c r="A3886" i="3"/>
  <c r="BY3885" i="3"/>
  <c r="BX3885" i="3"/>
  <c r="BB3885" i="3"/>
  <c r="U3885" i="3"/>
  <c r="T3885" i="3"/>
  <c r="S3885" i="3"/>
  <c r="C3885" i="3"/>
  <c r="A3885" i="3"/>
  <c r="BY3884" i="3"/>
  <c r="BX3884" i="3"/>
  <c r="BB3884" i="3"/>
  <c r="U3884" i="3"/>
  <c r="T3884" i="3"/>
  <c r="S3884" i="3"/>
  <c r="C3884" i="3"/>
  <c r="A3884" i="3"/>
  <c r="BY3883" i="3"/>
  <c r="BX3883" i="3"/>
  <c r="BB3883" i="3"/>
  <c r="U3883" i="3"/>
  <c r="T3883" i="3"/>
  <c r="S3883" i="3"/>
  <c r="C3883" i="3"/>
  <c r="A3883" i="3"/>
  <c r="BY3882" i="3"/>
  <c r="BX3882" i="3"/>
  <c r="BB3882" i="3"/>
  <c r="U3882" i="3"/>
  <c r="T3882" i="3"/>
  <c r="S3882" i="3"/>
  <c r="C3882" i="3"/>
  <c r="A3882" i="3"/>
  <c r="BY3881" i="3"/>
  <c r="BX3881" i="3"/>
  <c r="BB3881" i="3"/>
  <c r="U3881" i="3"/>
  <c r="T3881" i="3"/>
  <c r="S3881" i="3"/>
  <c r="C3881" i="3"/>
  <c r="A3881" i="3"/>
  <c r="BY3880" i="3"/>
  <c r="BX3880" i="3"/>
  <c r="BB3880" i="3"/>
  <c r="U3880" i="3"/>
  <c r="T3880" i="3"/>
  <c r="S3880" i="3"/>
  <c r="C3880" i="3"/>
  <c r="A3880" i="3"/>
  <c r="BY3879" i="3"/>
  <c r="BX3879" i="3"/>
  <c r="BB3879" i="3"/>
  <c r="U3879" i="3"/>
  <c r="T3879" i="3"/>
  <c r="S3879" i="3"/>
  <c r="C3879" i="3"/>
  <c r="A3879" i="3"/>
  <c r="BY3878" i="3"/>
  <c r="BX3878" i="3"/>
  <c r="BB3878" i="3"/>
  <c r="U3878" i="3"/>
  <c r="T3878" i="3"/>
  <c r="S3878" i="3"/>
  <c r="C3878" i="3"/>
  <c r="A3878" i="3"/>
  <c r="BY3877" i="3"/>
  <c r="BX3877" i="3"/>
  <c r="BB3877" i="3"/>
  <c r="U3877" i="3"/>
  <c r="T3877" i="3"/>
  <c r="S3877" i="3"/>
  <c r="C3877" i="3"/>
  <c r="A3877" i="3"/>
  <c r="BY3876" i="3"/>
  <c r="BX3876" i="3"/>
  <c r="BB3876" i="3"/>
  <c r="U3876" i="3"/>
  <c r="T3876" i="3"/>
  <c r="S3876" i="3"/>
  <c r="C3876" i="3"/>
  <c r="A3876" i="3"/>
  <c r="BY3875" i="3"/>
  <c r="BX3875" i="3"/>
  <c r="BB3875" i="3"/>
  <c r="U3875" i="3"/>
  <c r="T3875" i="3"/>
  <c r="S3875" i="3"/>
  <c r="C3875" i="3"/>
  <c r="A3875" i="3"/>
  <c r="BY3874" i="3"/>
  <c r="BX3874" i="3"/>
  <c r="BB3874" i="3"/>
  <c r="U3874" i="3"/>
  <c r="T3874" i="3"/>
  <c r="S3874" i="3"/>
  <c r="C3874" i="3"/>
  <c r="A3874" i="3"/>
  <c r="BY3873" i="3"/>
  <c r="BX3873" i="3"/>
  <c r="BB3873" i="3"/>
  <c r="U3873" i="3"/>
  <c r="T3873" i="3"/>
  <c r="S3873" i="3"/>
  <c r="C3873" i="3"/>
  <c r="A3873" i="3"/>
  <c r="BY3872" i="3"/>
  <c r="BX3872" i="3"/>
  <c r="BB3872" i="3"/>
  <c r="U3872" i="3"/>
  <c r="T3872" i="3"/>
  <c r="S3872" i="3"/>
  <c r="C3872" i="3"/>
  <c r="A3872" i="3"/>
  <c r="BY3871" i="3"/>
  <c r="BX3871" i="3"/>
  <c r="BB3871" i="3"/>
  <c r="U3871" i="3"/>
  <c r="T3871" i="3"/>
  <c r="S3871" i="3"/>
  <c r="C3871" i="3"/>
  <c r="A3871" i="3"/>
  <c r="BY3870" i="3"/>
  <c r="BX3870" i="3"/>
  <c r="BB3870" i="3"/>
  <c r="U3870" i="3"/>
  <c r="T3870" i="3"/>
  <c r="S3870" i="3"/>
  <c r="C3870" i="3"/>
  <c r="A3870" i="3"/>
  <c r="BY3869" i="3"/>
  <c r="BX3869" i="3"/>
  <c r="BB3869" i="3"/>
  <c r="U3869" i="3"/>
  <c r="T3869" i="3"/>
  <c r="S3869" i="3"/>
  <c r="C3869" i="3"/>
  <c r="A3869" i="3"/>
  <c r="BY3868" i="3"/>
  <c r="BX3868" i="3"/>
  <c r="BB3868" i="3"/>
  <c r="U3868" i="3"/>
  <c r="T3868" i="3"/>
  <c r="S3868" i="3"/>
  <c r="C3868" i="3"/>
  <c r="A3868" i="3"/>
  <c r="BY3867" i="3"/>
  <c r="BX3867" i="3"/>
  <c r="BB3867" i="3"/>
  <c r="U3867" i="3"/>
  <c r="T3867" i="3"/>
  <c r="S3867" i="3"/>
  <c r="C3867" i="3"/>
  <c r="A3867" i="3"/>
  <c r="BY3866" i="3"/>
  <c r="BX3866" i="3"/>
  <c r="BB3866" i="3"/>
  <c r="U3866" i="3"/>
  <c r="T3866" i="3"/>
  <c r="S3866" i="3"/>
  <c r="C3866" i="3"/>
  <c r="A3866" i="3"/>
  <c r="BY3865" i="3"/>
  <c r="BX3865" i="3"/>
  <c r="BB3865" i="3"/>
  <c r="U3865" i="3"/>
  <c r="T3865" i="3"/>
  <c r="S3865" i="3"/>
  <c r="C3865" i="3"/>
  <c r="A3865" i="3"/>
  <c r="BY3864" i="3"/>
  <c r="BX3864" i="3"/>
  <c r="BB3864" i="3"/>
  <c r="U3864" i="3"/>
  <c r="T3864" i="3"/>
  <c r="S3864" i="3"/>
  <c r="C3864" i="3"/>
  <c r="A3864" i="3"/>
  <c r="BY3863" i="3"/>
  <c r="BX3863" i="3"/>
  <c r="BB3863" i="3"/>
  <c r="U3863" i="3"/>
  <c r="T3863" i="3"/>
  <c r="S3863" i="3"/>
  <c r="C3863" i="3"/>
  <c r="A3863" i="3"/>
  <c r="BY3862" i="3"/>
  <c r="BX3862" i="3"/>
  <c r="BB3862" i="3"/>
  <c r="U3862" i="3"/>
  <c r="T3862" i="3"/>
  <c r="S3862" i="3"/>
  <c r="C3862" i="3"/>
  <c r="A3862" i="3"/>
  <c r="BY3861" i="3"/>
  <c r="BX3861" i="3"/>
  <c r="BB3861" i="3"/>
  <c r="U3861" i="3"/>
  <c r="T3861" i="3"/>
  <c r="S3861" i="3"/>
  <c r="C3861" i="3"/>
  <c r="A3861" i="3"/>
  <c r="BY3860" i="3"/>
  <c r="BX3860" i="3"/>
  <c r="BB3860" i="3"/>
  <c r="U3860" i="3"/>
  <c r="T3860" i="3"/>
  <c r="S3860" i="3"/>
  <c r="C3860" i="3"/>
  <c r="A3860" i="3"/>
  <c r="BY3859" i="3"/>
  <c r="BX3859" i="3"/>
  <c r="BB3859" i="3"/>
  <c r="U3859" i="3"/>
  <c r="T3859" i="3"/>
  <c r="S3859" i="3"/>
  <c r="C3859" i="3"/>
  <c r="A3859" i="3"/>
  <c r="BY3858" i="3"/>
  <c r="BX3858" i="3"/>
  <c r="BB3858" i="3"/>
  <c r="U3858" i="3"/>
  <c r="T3858" i="3"/>
  <c r="S3858" i="3"/>
  <c r="C3858" i="3"/>
  <c r="A3858" i="3"/>
  <c r="BY3857" i="3"/>
  <c r="BX3857" i="3"/>
  <c r="BB3857" i="3"/>
  <c r="U3857" i="3"/>
  <c r="T3857" i="3"/>
  <c r="S3857" i="3"/>
  <c r="C3857" i="3"/>
  <c r="A3857" i="3"/>
  <c r="BY3856" i="3"/>
  <c r="BX3856" i="3"/>
  <c r="BB3856" i="3"/>
  <c r="U3856" i="3"/>
  <c r="T3856" i="3"/>
  <c r="S3856" i="3"/>
  <c r="C3856" i="3"/>
  <c r="A3856" i="3"/>
  <c r="BY3855" i="3"/>
  <c r="BX3855" i="3"/>
  <c r="BB3855" i="3"/>
  <c r="U3855" i="3"/>
  <c r="T3855" i="3"/>
  <c r="S3855" i="3"/>
  <c r="C3855" i="3"/>
  <c r="A3855" i="3"/>
  <c r="BY3854" i="3"/>
  <c r="BX3854" i="3"/>
  <c r="BB3854" i="3"/>
  <c r="U3854" i="3"/>
  <c r="T3854" i="3"/>
  <c r="S3854" i="3"/>
  <c r="C3854" i="3"/>
  <c r="A3854" i="3"/>
  <c r="BY3853" i="3"/>
  <c r="BX3853" i="3"/>
  <c r="BB3853" i="3"/>
  <c r="U3853" i="3"/>
  <c r="T3853" i="3"/>
  <c r="S3853" i="3"/>
  <c r="C3853" i="3"/>
  <c r="A3853" i="3"/>
  <c r="BY3852" i="3"/>
  <c r="BX3852" i="3"/>
  <c r="BB3852" i="3"/>
  <c r="U3852" i="3"/>
  <c r="T3852" i="3"/>
  <c r="S3852" i="3"/>
  <c r="C3852" i="3"/>
  <c r="A3852" i="3"/>
  <c r="BY3851" i="3"/>
  <c r="BX3851" i="3"/>
  <c r="BB3851" i="3"/>
  <c r="U3851" i="3"/>
  <c r="T3851" i="3"/>
  <c r="S3851" i="3"/>
  <c r="C3851" i="3"/>
  <c r="A3851" i="3"/>
  <c r="BY3850" i="3"/>
  <c r="BX3850" i="3"/>
  <c r="BB3850" i="3"/>
  <c r="U3850" i="3"/>
  <c r="T3850" i="3"/>
  <c r="S3850" i="3"/>
  <c r="C3850" i="3"/>
  <c r="A3850" i="3"/>
  <c r="BY3849" i="3"/>
  <c r="BX3849" i="3"/>
  <c r="BB3849" i="3"/>
  <c r="U3849" i="3"/>
  <c r="T3849" i="3"/>
  <c r="S3849" i="3"/>
  <c r="C3849" i="3"/>
  <c r="A3849" i="3"/>
  <c r="BY3848" i="3"/>
  <c r="BX3848" i="3"/>
  <c r="BB3848" i="3"/>
  <c r="U3848" i="3"/>
  <c r="T3848" i="3"/>
  <c r="S3848" i="3"/>
  <c r="C3848" i="3"/>
  <c r="A3848" i="3"/>
  <c r="BY3847" i="3"/>
  <c r="BX3847" i="3"/>
  <c r="BB3847" i="3"/>
  <c r="U3847" i="3"/>
  <c r="T3847" i="3"/>
  <c r="S3847" i="3"/>
  <c r="C3847" i="3"/>
  <c r="A3847" i="3"/>
  <c r="BY3846" i="3"/>
  <c r="BX3846" i="3"/>
  <c r="BB3846" i="3"/>
  <c r="U3846" i="3"/>
  <c r="T3846" i="3"/>
  <c r="S3846" i="3"/>
  <c r="C3846" i="3"/>
  <c r="A3846" i="3"/>
  <c r="BY3845" i="3"/>
  <c r="BX3845" i="3"/>
  <c r="BB3845" i="3"/>
  <c r="U3845" i="3"/>
  <c r="T3845" i="3"/>
  <c r="S3845" i="3"/>
  <c r="C3845" i="3"/>
  <c r="A3845" i="3"/>
  <c r="BY3844" i="3"/>
  <c r="BX3844" i="3"/>
  <c r="BB3844" i="3"/>
  <c r="U3844" i="3"/>
  <c r="T3844" i="3"/>
  <c r="S3844" i="3"/>
  <c r="C3844" i="3"/>
  <c r="A3844" i="3"/>
  <c r="BY3843" i="3"/>
  <c r="BX3843" i="3"/>
  <c r="BB3843" i="3"/>
  <c r="U3843" i="3"/>
  <c r="T3843" i="3"/>
  <c r="S3843" i="3"/>
  <c r="C3843" i="3"/>
  <c r="A3843" i="3"/>
  <c r="BY3842" i="3"/>
  <c r="BX3842" i="3"/>
  <c r="BB3842" i="3"/>
  <c r="U3842" i="3"/>
  <c r="T3842" i="3"/>
  <c r="S3842" i="3"/>
  <c r="C3842" i="3"/>
  <c r="A3842" i="3"/>
  <c r="BY3841" i="3"/>
  <c r="BX3841" i="3"/>
  <c r="BB3841" i="3"/>
  <c r="U3841" i="3"/>
  <c r="T3841" i="3"/>
  <c r="S3841" i="3"/>
  <c r="C3841" i="3"/>
  <c r="A3841" i="3"/>
  <c r="BY3840" i="3"/>
  <c r="BX3840" i="3"/>
  <c r="BB3840" i="3"/>
  <c r="U3840" i="3"/>
  <c r="T3840" i="3"/>
  <c r="S3840" i="3"/>
  <c r="C3840" i="3"/>
  <c r="A3840" i="3"/>
  <c r="BY3839" i="3"/>
  <c r="BX3839" i="3"/>
  <c r="BB3839" i="3"/>
  <c r="U3839" i="3"/>
  <c r="T3839" i="3"/>
  <c r="S3839" i="3"/>
  <c r="C3839" i="3"/>
  <c r="A3839" i="3"/>
  <c r="BY3838" i="3"/>
  <c r="BX3838" i="3"/>
  <c r="BB3838" i="3"/>
  <c r="U3838" i="3"/>
  <c r="T3838" i="3"/>
  <c r="S3838" i="3"/>
  <c r="C3838" i="3"/>
  <c r="A3838" i="3"/>
  <c r="BY3837" i="3"/>
  <c r="BX3837" i="3"/>
  <c r="BB3837" i="3"/>
  <c r="U3837" i="3"/>
  <c r="T3837" i="3"/>
  <c r="S3837" i="3"/>
  <c r="C3837" i="3"/>
  <c r="A3837" i="3"/>
  <c r="BY3836" i="3"/>
  <c r="BX3836" i="3"/>
  <c r="BB3836" i="3"/>
  <c r="U3836" i="3"/>
  <c r="T3836" i="3"/>
  <c r="S3836" i="3"/>
  <c r="C3836" i="3"/>
  <c r="A3836" i="3"/>
  <c r="BY3835" i="3"/>
  <c r="BX3835" i="3"/>
  <c r="BB3835" i="3"/>
  <c r="U3835" i="3"/>
  <c r="T3835" i="3"/>
  <c r="S3835" i="3"/>
  <c r="C3835" i="3"/>
  <c r="A3835" i="3"/>
  <c r="BY3834" i="3"/>
  <c r="BX3834" i="3"/>
  <c r="BB3834" i="3"/>
  <c r="U3834" i="3"/>
  <c r="T3834" i="3"/>
  <c r="S3834" i="3"/>
  <c r="C3834" i="3"/>
  <c r="A3834" i="3"/>
  <c r="BY3833" i="3"/>
  <c r="BX3833" i="3"/>
  <c r="BB3833" i="3"/>
  <c r="U3833" i="3"/>
  <c r="T3833" i="3"/>
  <c r="S3833" i="3"/>
  <c r="C3833" i="3"/>
  <c r="A3833" i="3"/>
  <c r="BY3832" i="3"/>
  <c r="BX3832" i="3"/>
  <c r="BB3832" i="3"/>
  <c r="U3832" i="3"/>
  <c r="T3832" i="3"/>
  <c r="S3832" i="3"/>
  <c r="C3832" i="3"/>
  <c r="A3832" i="3"/>
  <c r="BY3831" i="3"/>
  <c r="BX3831" i="3"/>
  <c r="BB3831" i="3"/>
  <c r="U3831" i="3"/>
  <c r="T3831" i="3"/>
  <c r="S3831" i="3"/>
  <c r="C3831" i="3"/>
  <c r="A3831" i="3"/>
  <c r="BY3830" i="3"/>
  <c r="BX3830" i="3"/>
  <c r="BB3830" i="3"/>
  <c r="U3830" i="3"/>
  <c r="T3830" i="3"/>
  <c r="S3830" i="3"/>
  <c r="C3830" i="3"/>
  <c r="A3830" i="3"/>
  <c r="BY3829" i="3"/>
  <c r="BX3829" i="3"/>
  <c r="BB3829" i="3"/>
  <c r="U3829" i="3"/>
  <c r="T3829" i="3"/>
  <c r="S3829" i="3"/>
  <c r="C3829" i="3"/>
  <c r="A3829" i="3"/>
  <c r="BY3828" i="3"/>
  <c r="BX3828" i="3"/>
  <c r="BB3828" i="3"/>
  <c r="U3828" i="3"/>
  <c r="T3828" i="3"/>
  <c r="S3828" i="3"/>
  <c r="C3828" i="3"/>
  <c r="A3828" i="3"/>
  <c r="BY3827" i="3"/>
  <c r="BX3827" i="3"/>
  <c r="BB3827" i="3"/>
  <c r="U3827" i="3"/>
  <c r="T3827" i="3"/>
  <c r="S3827" i="3"/>
  <c r="C3827" i="3"/>
  <c r="A3827" i="3"/>
  <c r="BY3826" i="3"/>
  <c r="BX3826" i="3"/>
  <c r="BB3826" i="3"/>
  <c r="U3826" i="3"/>
  <c r="T3826" i="3"/>
  <c r="S3826" i="3"/>
  <c r="C3826" i="3"/>
  <c r="A3826" i="3"/>
  <c r="BY3825" i="3"/>
  <c r="BX3825" i="3"/>
  <c r="BB3825" i="3"/>
  <c r="U3825" i="3"/>
  <c r="T3825" i="3"/>
  <c r="S3825" i="3"/>
  <c r="C3825" i="3"/>
  <c r="A3825" i="3"/>
  <c r="BY3824" i="3"/>
  <c r="BX3824" i="3"/>
  <c r="BB3824" i="3"/>
  <c r="U3824" i="3"/>
  <c r="T3824" i="3"/>
  <c r="S3824" i="3"/>
  <c r="C3824" i="3"/>
  <c r="A3824" i="3"/>
  <c r="BY3823" i="3"/>
  <c r="BX3823" i="3"/>
  <c r="BB3823" i="3"/>
  <c r="U3823" i="3"/>
  <c r="T3823" i="3"/>
  <c r="S3823" i="3"/>
  <c r="C3823" i="3"/>
  <c r="A3823" i="3"/>
  <c r="BY3822" i="3"/>
  <c r="BX3822" i="3"/>
  <c r="BB3822" i="3"/>
  <c r="U3822" i="3"/>
  <c r="T3822" i="3"/>
  <c r="S3822" i="3"/>
  <c r="C3822" i="3"/>
  <c r="A3822" i="3"/>
  <c r="BY3821" i="3"/>
  <c r="BX3821" i="3"/>
  <c r="BB3821" i="3"/>
  <c r="U3821" i="3"/>
  <c r="T3821" i="3"/>
  <c r="S3821" i="3"/>
  <c r="C3821" i="3"/>
  <c r="A3821" i="3"/>
  <c r="BY3820" i="3"/>
  <c r="BX3820" i="3"/>
  <c r="BB3820" i="3"/>
  <c r="U3820" i="3"/>
  <c r="T3820" i="3"/>
  <c r="S3820" i="3"/>
  <c r="C3820" i="3"/>
  <c r="A3820" i="3"/>
  <c r="BY3819" i="3"/>
  <c r="BX3819" i="3"/>
  <c r="BB3819" i="3"/>
  <c r="U3819" i="3"/>
  <c r="T3819" i="3"/>
  <c r="S3819" i="3"/>
  <c r="C3819" i="3"/>
  <c r="A3819" i="3"/>
  <c r="BY3818" i="3"/>
  <c r="BX3818" i="3"/>
  <c r="BB3818" i="3"/>
  <c r="U3818" i="3"/>
  <c r="T3818" i="3"/>
  <c r="S3818" i="3"/>
  <c r="C3818" i="3"/>
  <c r="A3818" i="3"/>
  <c r="BY3817" i="3"/>
  <c r="BX3817" i="3"/>
  <c r="BB3817" i="3"/>
  <c r="U3817" i="3"/>
  <c r="T3817" i="3"/>
  <c r="S3817" i="3"/>
  <c r="C3817" i="3"/>
  <c r="A3817" i="3"/>
  <c r="BY3816" i="3"/>
  <c r="BX3816" i="3"/>
  <c r="BB3816" i="3"/>
  <c r="U3816" i="3"/>
  <c r="T3816" i="3"/>
  <c r="S3816" i="3"/>
  <c r="C3816" i="3"/>
  <c r="A3816" i="3"/>
  <c r="BY3815" i="3"/>
  <c r="BX3815" i="3"/>
  <c r="BB3815" i="3"/>
  <c r="U3815" i="3"/>
  <c r="T3815" i="3"/>
  <c r="S3815" i="3"/>
  <c r="C3815" i="3"/>
  <c r="A3815" i="3"/>
  <c r="BY3814" i="3"/>
  <c r="BX3814" i="3"/>
  <c r="BB3814" i="3"/>
  <c r="U3814" i="3"/>
  <c r="T3814" i="3"/>
  <c r="S3814" i="3"/>
  <c r="C3814" i="3"/>
  <c r="A3814" i="3"/>
  <c r="BY3813" i="3"/>
  <c r="BX3813" i="3"/>
  <c r="BB3813" i="3"/>
  <c r="U3813" i="3"/>
  <c r="T3813" i="3"/>
  <c r="S3813" i="3"/>
  <c r="C3813" i="3"/>
  <c r="A3813" i="3"/>
  <c r="BY3812" i="3"/>
  <c r="BX3812" i="3"/>
  <c r="BB3812" i="3"/>
  <c r="U3812" i="3"/>
  <c r="T3812" i="3"/>
  <c r="S3812" i="3"/>
  <c r="C3812" i="3"/>
  <c r="A3812" i="3"/>
  <c r="BY3811" i="3"/>
  <c r="BX3811" i="3"/>
  <c r="BB3811" i="3"/>
  <c r="U3811" i="3"/>
  <c r="T3811" i="3"/>
  <c r="S3811" i="3"/>
  <c r="C3811" i="3"/>
  <c r="A3811" i="3"/>
  <c r="BY3810" i="3"/>
  <c r="BX3810" i="3"/>
  <c r="BB3810" i="3"/>
  <c r="U3810" i="3"/>
  <c r="T3810" i="3"/>
  <c r="S3810" i="3"/>
  <c r="C3810" i="3"/>
  <c r="A3810" i="3"/>
  <c r="BY3809" i="3"/>
  <c r="BX3809" i="3"/>
  <c r="BB3809" i="3"/>
  <c r="U3809" i="3"/>
  <c r="T3809" i="3"/>
  <c r="S3809" i="3"/>
  <c r="C3809" i="3"/>
  <c r="A3809" i="3"/>
  <c r="BY3808" i="3"/>
  <c r="BX3808" i="3"/>
  <c r="BB3808" i="3"/>
  <c r="U3808" i="3"/>
  <c r="T3808" i="3"/>
  <c r="S3808" i="3"/>
  <c r="C3808" i="3"/>
  <c r="A3808" i="3"/>
  <c r="BY3807" i="3"/>
  <c r="BX3807" i="3"/>
  <c r="BB3807" i="3"/>
  <c r="U3807" i="3"/>
  <c r="T3807" i="3"/>
  <c r="S3807" i="3"/>
  <c r="C3807" i="3"/>
  <c r="A3807" i="3"/>
  <c r="BY3806" i="3"/>
  <c r="BX3806" i="3"/>
  <c r="BB3806" i="3"/>
  <c r="U3806" i="3"/>
  <c r="T3806" i="3"/>
  <c r="S3806" i="3"/>
  <c r="C3806" i="3"/>
  <c r="A3806" i="3"/>
  <c r="BY3805" i="3"/>
  <c r="BX3805" i="3"/>
  <c r="BB3805" i="3"/>
  <c r="U3805" i="3"/>
  <c r="T3805" i="3"/>
  <c r="S3805" i="3"/>
  <c r="C3805" i="3"/>
  <c r="A3805" i="3"/>
  <c r="BY3804" i="3"/>
  <c r="BX3804" i="3"/>
  <c r="BB3804" i="3"/>
  <c r="U3804" i="3"/>
  <c r="T3804" i="3"/>
  <c r="S3804" i="3"/>
  <c r="C3804" i="3"/>
  <c r="A3804" i="3"/>
  <c r="BY3803" i="3"/>
  <c r="BX3803" i="3"/>
  <c r="BB3803" i="3"/>
  <c r="U3803" i="3"/>
  <c r="T3803" i="3"/>
  <c r="S3803" i="3"/>
  <c r="C3803" i="3"/>
  <c r="A3803" i="3"/>
  <c r="BY3802" i="3"/>
  <c r="BX3802" i="3"/>
  <c r="BB3802" i="3"/>
  <c r="U3802" i="3"/>
  <c r="T3802" i="3"/>
  <c r="S3802" i="3"/>
  <c r="C3802" i="3"/>
  <c r="A3802" i="3"/>
  <c r="BY3801" i="3"/>
  <c r="BX3801" i="3"/>
  <c r="BB3801" i="3"/>
  <c r="U3801" i="3"/>
  <c r="T3801" i="3"/>
  <c r="S3801" i="3"/>
  <c r="C3801" i="3"/>
  <c r="A3801" i="3"/>
  <c r="BY3800" i="3"/>
  <c r="BX3800" i="3"/>
  <c r="BB3800" i="3"/>
  <c r="U3800" i="3"/>
  <c r="T3800" i="3"/>
  <c r="S3800" i="3"/>
  <c r="C3800" i="3"/>
  <c r="A3800" i="3"/>
  <c r="BY3799" i="3"/>
  <c r="BX3799" i="3"/>
  <c r="BB3799" i="3"/>
  <c r="U3799" i="3"/>
  <c r="T3799" i="3"/>
  <c r="S3799" i="3"/>
  <c r="C3799" i="3"/>
  <c r="A3799" i="3"/>
  <c r="BY3798" i="3"/>
  <c r="BX3798" i="3"/>
  <c r="BB3798" i="3"/>
  <c r="U3798" i="3"/>
  <c r="T3798" i="3"/>
  <c r="S3798" i="3"/>
  <c r="C3798" i="3"/>
  <c r="A3798" i="3"/>
  <c r="BY3797" i="3"/>
  <c r="BX3797" i="3"/>
  <c r="BB3797" i="3"/>
  <c r="U3797" i="3"/>
  <c r="T3797" i="3"/>
  <c r="S3797" i="3"/>
  <c r="C3797" i="3"/>
  <c r="A3797" i="3"/>
  <c r="BY3796" i="3"/>
  <c r="BX3796" i="3"/>
  <c r="BB3796" i="3"/>
  <c r="U3796" i="3"/>
  <c r="T3796" i="3"/>
  <c r="S3796" i="3"/>
  <c r="C3796" i="3"/>
  <c r="A3796" i="3"/>
  <c r="BY3795" i="3"/>
  <c r="BX3795" i="3"/>
  <c r="BB3795" i="3"/>
  <c r="U3795" i="3"/>
  <c r="T3795" i="3"/>
  <c r="S3795" i="3"/>
  <c r="C3795" i="3"/>
  <c r="A3795" i="3"/>
  <c r="BY3794" i="3"/>
  <c r="BX3794" i="3"/>
  <c r="BB3794" i="3"/>
  <c r="U3794" i="3"/>
  <c r="T3794" i="3"/>
  <c r="S3794" i="3"/>
  <c r="C3794" i="3"/>
  <c r="A3794" i="3"/>
  <c r="BY3793" i="3"/>
  <c r="BX3793" i="3"/>
  <c r="BB3793" i="3"/>
  <c r="U3793" i="3"/>
  <c r="T3793" i="3"/>
  <c r="S3793" i="3"/>
  <c r="C3793" i="3"/>
  <c r="A3793" i="3"/>
  <c r="BY3792" i="3"/>
  <c r="BX3792" i="3"/>
  <c r="BB3792" i="3"/>
  <c r="U3792" i="3"/>
  <c r="T3792" i="3"/>
  <c r="S3792" i="3"/>
  <c r="C3792" i="3"/>
  <c r="A3792" i="3"/>
  <c r="BY3791" i="3"/>
  <c r="BX3791" i="3"/>
  <c r="BB3791" i="3"/>
  <c r="U3791" i="3"/>
  <c r="T3791" i="3"/>
  <c r="S3791" i="3"/>
  <c r="C3791" i="3"/>
  <c r="A3791" i="3"/>
  <c r="BY3790" i="3"/>
  <c r="BX3790" i="3"/>
  <c r="BB3790" i="3"/>
  <c r="U3790" i="3"/>
  <c r="T3790" i="3"/>
  <c r="S3790" i="3"/>
  <c r="C3790" i="3"/>
  <c r="A3790" i="3"/>
  <c r="BY3789" i="3"/>
  <c r="BX3789" i="3"/>
  <c r="BB3789" i="3"/>
  <c r="U3789" i="3"/>
  <c r="T3789" i="3"/>
  <c r="S3789" i="3"/>
  <c r="C3789" i="3"/>
  <c r="A3789" i="3"/>
  <c r="BY3788" i="3"/>
  <c r="BX3788" i="3"/>
  <c r="BB3788" i="3"/>
  <c r="U3788" i="3"/>
  <c r="T3788" i="3"/>
  <c r="S3788" i="3"/>
  <c r="C3788" i="3"/>
  <c r="A3788" i="3"/>
  <c r="BY3787" i="3"/>
  <c r="BX3787" i="3"/>
  <c r="BB3787" i="3"/>
  <c r="U3787" i="3"/>
  <c r="T3787" i="3"/>
  <c r="S3787" i="3"/>
  <c r="C3787" i="3"/>
  <c r="A3787" i="3"/>
  <c r="BY3786" i="3"/>
  <c r="BX3786" i="3"/>
  <c r="BB3786" i="3"/>
  <c r="U3786" i="3"/>
  <c r="T3786" i="3"/>
  <c r="S3786" i="3"/>
  <c r="C3786" i="3"/>
  <c r="A3786" i="3"/>
  <c r="BY3785" i="3"/>
  <c r="BX3785" i="3"/>
  <c r="BB3785" i="3"/>
  <c r="U3785" i="3"/>
  <c r="T3785" i="3"/>
  <c r="S3785" i="3"/>
  <c r="C3785" i="3"/>
  <c r="A3785" i="3"/>
  <c r="BY3784" i="3"/>
  <c r="BX3784" i="3"/>
  <c r="BB3784" i="3"/>
  <c r="U3784" i="3"/>
  <c r="T3784" i="3"/>
  <c r="S3784" i="3"/>
  <c r="C3784" i="3"/>
  <c r="A3784" i="3"/>
  <c r="BY3783" i="3"/>
  <c r="BX3783" i="3"/>
  <c r="BB3783" i="3"/>
  <c r="U3783" i="3"/>
  <c r="T3783" i="3"/>
  <c r="S3783" i="3"/>
  <c r="C3783" i="3"/>
  <c r="A3783" i="3"/>
  <c r="BY3782" i="3"/>
  <c r="BX3782" i="3"/>
  <c r="BB3782" i="3"/>
  <c r="U3782" i="3"/>
  <c r="T3782" i="3"/>
  <c r="S3782" i="3"/>
  <c r="C3782" i="3"/>
  <c r="A3782" i="3"/>
  <c r="BY3781" i="3"/>
  <c r="BX3781" i="3"/>
  <c r="BB3781" i="3"/>
  <c r="U3781" i="3"/>
  <c r="T3781" i="3"/>
  <c r="S3781" i="3"/>
  <c r="C3781" i="3"/>
  <c r="A3781" i="3"/>
  <c r="BY3780" i="3"/>
  <c r="BX3780" i="3"/>
  <c r="BB3780" i="3"/>
  <c r="U3780" i="3"/>
  <c r="T3780" i="3"/>
  <c r="S3780" i="3"/>
  <c r="C3780" i="3"/>
  <c r="A3780" i="3"/>
  <c r="BY3779" i="3"/>
  <c r="BX3779" i="3"/>
  <c r="BB3779" i="3"/>
  <c r="U3779" i="3"/>
  <c r="T3779" i="3"/>
  <c r="S3779" i="3"/>
  <c r="C3779" i="3"/>
  <c r="A3779" i="3"/>
  <c r="BY3778" i="3"/>
  <c r="BX3778" i="3"/>
  <c r="BB3778" i="3"/>
  <c r="U3778" i="3"/>
  <c r="T3778" i="3"/>
  <c r="S3778" i="3"/>
  <c r="C3778" i="3"/>
  <c r="A3778" i="3"/>
  <c r="BY3777" i="3"/>
  <c r="BX3777" i="3"/>
  <c r="BB3777" i="3"/>
  <c r="U3777" i="3"/>
  <c r="T3777" i="3"/>
  <c r="S3777" i="3"/>
  <c r="C3777" i="3"/>
  <c r="A3777" i="3"/>
  <c r="BY3776" i="3"/>
  <c r="BX3776" i="3"/>
  <c r="BB3776" i="3"/>
  <c r="U3776" i="3"/>
  <c r="T3776" i="3"/>
  <c r="S3776" i="3"/>
  <c r="C3776" i="3"/>
  <c r="A3776" i="3"/>
  <c r="BY3775" i="3"/>
  <c r="BX3775" i="3"/>
  <c r="BB3775" i="3"/>
  <c r="U3775" i="3"/>
  <c r="T3775" i="3"/>
  <c r="S3775" i="3"/>
  <c r="C3775" i="3"/>
  <c r="A3775" i="3"/>
  <c r="BY3774" i="3"/>
  <c r="BX3774" i="3"/>
  <c r="BB3774" i="3"/>
  <c r="U3774" i="3"/>
  <c r="T3774" i="3"/>
  <c r="S3774" i="3"/>
  <c r="C3774" i="3"/>
  <c r="A3774" i="3"/>
  <c r="BY3773" i="3"/>
  <c r="BX3773" i="3"/>
  <c r="BB3773" i="3"/>
  <c r="U3773" i="3"/>
  <c r="T3773" i="3"/>
  <c r="S3773" i="3"/>
  <c r="C3773" i="3"/>
  <c r="A3773" i="3"/>
  <c r="BY3772" i="3"/>
  <c r="BX3772" i="3"/>
  <c r="BB3772" i="3"/>
  <c r="U3772" i="3"/>
  <c r="T3772" i="3"/>
  <c r="S3772" i="3"/>
  <c r="C3772" i="3"/>
  <c r="A3772" i="3"/>
  <c r="BY3771" i="3"/>
  <c r="BX3771" i="3"/>
  <c r="BB3771" i="3"/>
  <c r="U3771" i="3"/>
  <c r="T3771" i="3"/>
  <c r="S3771" i="3"/>
  <c r="C3771" i="3"/>
  <c r="A3771" i="3"/>
  <c r="BY3770" i="3"/>
  <c r="BX3770" i="3"/>
  <c r="BB3770" i="3"/>
  <c r="U3770" i="3"/>
  <c r="T3770" i="3"/>
  <c r="S3770" i="3"/>
  <c r="C3770" i="3"/>
  <c r="A3770" i="3"/>
  <c r="BY3769" i="3"/>
  <c r="BX3769" i="3"/>
  <c r="BB3769" i="3"/>
  <c r="U3769" i="3"/>
  <c r="T3769" i="3"/>
  <c r="S3769" i="3"/>
  <c r="C3769" i="3"/>
  <c r="A3769" i="3"/>
  <c r="BY3768" i="3"/>
  <c r="BX3768" i="3"/>
  <c r="BB3768" i="3"/>
  <c r="U3768" i="3"/>
  <c r="T3768" i="3"/>
  <c r="S3768" i="3"/>
  <c r="C3768" i="3"/>
  <c r="A3768" i="3"/>
  <c r="BY3767" i="3"/>
  <c r="BX3767" i="3"/>
  <c r="BB3767" i="3"/>
  <c r="U3767" i="3"/>
  <c r="T3767" i="3"/>
  <c r="S3767" i="3"/>
  <c r="C3767" i="3"/>
  <c r="A3767" i="3"/>
  <c r="BY3766" i="3"/>
  <c r="BX3766" i="3"/>
  <c r="BB3766" i="3"/>
  <c r="U3766" i="3"/>
  <c r="T3766" i="3"/>
  <c r="S3766" i="3"/>
  <c r="C3766" i="3"/>
  <c r="A3766" i="3"/>
  <c r="BY3765" i="3"/>
  <c r="BX3765" i="3"/>
  <c r="BB3765" i="3"/>
  <c r="U3765" i="3"/>
  <c r="T3765" i="3"/>
  <c r="S3765" i="3"/>
  <c r="C3765" i="3"/>
  <c r="A3765" i="3"/>
  <c r="BY3764" i="3"/>
  <c r="BX3764" i="3"/>
  <c r="BB3764" i="3"/>
  <c r="U3764" i="3"/>
  <c r="T3764" i="3"/>
  <c r="S3764" i="3"/>
  <c r="C3764" i="3"/>
  <c r="A3764" i="3"/>
  <c r="BY3763" i="3"/>
  <c r="BX3763" i="3"/>
  <c r="BB3763" i="3"/>
  <c r="U3763" i="3"/>
  <c r="T3763" i="3"/>
  <c r="S3763" i="3"/>
  <c r="C3763" i="3"/>
  <c r="A3763" i="3"/>
  <c r="BY3762" i="3"/>
  <c r="BX3762" i="3"/>
  <c r="BB3762" i="3"/>
  <c r="U3762" i="3"/>
  <c r="T3762" i="3"/>
  <c r="S3762" i="3"/>
  <c r="C3762" i="3"/>
  <c r="A3762" i="3"/>
  <c r="BY3761" i="3"/>
  <c r="BX3761" i="3"/>
  <c r="BB3761" i="3"/>
  <c r="U3761" i="3"/>
  <c r="T3761" i="3"/>
  <c r="S3761" i="3"/>
  <c r="C3761" i="3"/>
  <c r="A3761" i="3"/>
  <c r="BY3760" i="3"/>
  <c r="BX3760" i="3"/>
  <c r="BB3760" i="3"/>
  <c r="U3760" i="3"/>
  <c r="T3760" i="3"/>
  <c r="S3760" i="3"/>
  <c r="C3760" i="3"/>
  <c r="A3760" i="3"/>
  <c r="BY3759" i="3"/>
  <c r="BX3759" i="3"/>
  <c r="BB3759" i="3"/>
  <c r="U3759" i="3"/>
  <c r="T3759" i="3"/>
  <c r="S3759" i="3"/>
  <c r="C3759" i="3"/>
  <c r="A3759" i="3"/>
  <c r="BY3758" i="3"/>
  <c r="BX3758" i="3"/>
  <c r="BB3758" i="3"/>
  <c r="U3758" i="3"/>
  <c r="T3758" i="3"/>
  <c r="S3758" i="3"/>
  <c r="C3758" i="3"/>
  <c r="A3758" i="3"/>
  <c r="BY3757" i="3"/>
  <c r="BX3757" i="3"/>
  <c r="BB3757" i="3"/>
  <c r="U3757" i="3"/>
  <c r="T3757" i="3"/>
  <c r="S3757" i="3"/>
  <c r="C3757" i="3"/>
  <c r="A3757" i="3"/>
  <c r="BY3756" i="3"/>
  <c r="BX3756" i="3"/>
  <c r="BB3756" i="3"/>
  <c r="U3756" i="3"/>
  <c r="T3756" i="3"/>
  <c r="S3756" i="3"/>
  <c r="C3756" i="3"/>
  <c r="A3756" i="3"/>
  <c r="BY3755" i="3"/>
  <c r="BX3755" i="3"/>
  <c r="BB3755" i="3"/>
  <c r="U3755" i="3"/>
  <c r="T3755" i="3"/>
  <c r="S3755" i="3"/>
  <c r="C3755" i="3"/>
  <c r="A3755" i="3"/>
  <c r="BY3754" i="3"/>
  <c r="BX3754" i="3"/>
  <c r="BB3754" i="3"/>
  <c r="U3754" i="3"/>
  <c r="T3754" i="3"/>
  <c r="S3754" i="3"/>
  <c r="C3754" i="3"/>
  <c r="A3754" i="3"/>
  <c r="BY3753" i="3"/>
  <c r="BX3753" i="3"/>
  <c r="BB3753" i="3"/>
  <c r="U3753" i="3"/>
  <c r="T3753" i="3"/>
  <c r="S3753" i="3"/>
  <c r="C3753" i="3"/>
  <c r="A3753" i="3"/>
  <c r="BY3752" i="3"/>
  <c r="BX3752" i="3"/>
  <c r="BB3752" i="3"/>
  <c r="U3752" i="3"/>
  <c r="T3752" i="3"/>
  <c r="S3752" i="3"/>
  <c r="C3752" i="3"/>
  <c r="A3752" i="3"/>
  <c r="BY3751" i="3"/>
  <c r="BX3751" i="3"/>
  <c r="BB3751" i="3"/>
  <c r="U3751" i="3"/>
  <c r="T3751" i="3"/>
  <c r="S3751" i="3"/>
  <c r="C3751" i="3"/>
  <c r="A3751" i="3"/>
  <c r="BY3750" i="3"/>
  <c r="BX3750" i="3"/>
  <c r="BB3750" i="3"/>
  <c r="U3750" i="3"/>
  <c r="T3750" i="3"/>
  <c r="S3750" i="3"/>
  <c r="C3750" i="3"/>
  <c r="A3750" i="3"/>
  <c r="BY3749" i="3"/>
  <c r="BX3749" i="3"/>
  <c r="BB3749" i="3"/>
  <c r="U3749" i="3"/>
  <c r="T3749" i="3"/>
  <c r="S3749" i="3"/>
  <c r="C3749" i="3"/>
  <c r="A3749" i="3"/>
  <c r="BY3748" i="3"/>
  <c r="BX3748" i="3"/>
  <c r="BB3748" i="3"/>
  <c r="U3748" i="3"/>
  <c r="T3748" i="3"/>
  <c r="S3748" i="3"/>
  <c r="C3748" i="3"/>
  <c r="A3748" i="3"/>
  <c r="BY3747" i="3"/>
  <c r="BX3747" i="3"/>
  <c r="BB3747" i="3"/>
  <c r="U3747" i="3"/>
  <c r="T3747" i="3"/>
  <c r="S3747" i="3"/>
  <c r="C3747" i="3"/>
  <c r="A3747" i="3"/>
  <c r="BY3746" i="3"/>
  <c r="BX3746" i="3"/>
  <c r="BB3746" i="3"/>
  <c r="U3746" i="3"/>
  <c r="T3746" i="3"/>
  <c r="S3746" i="3"/>
  <c r="C3746" i="3"/>
  <c r="A3746" i="3"/>
  <c r="BY3745" i="3"/>
  <c r="BX3745" i="3"/>
  <c r="BB3745" i="3"/>
  <c r="U3745" i="3"/>
  <c r="T3745" i="3"/>
  <c r="S3745" i="3"/>
  <c r="C3745" i="3"/>
  <c r="A3745" i="3"/>
  <c r="BY3744" i="3"/>
  <c r="BX3744" i="3"/>
  <c r="BB3744" i="3"/>
  <c r="U3744" i="3"/>
  <c r="T3744" i="3"/>
  <c r="S3744" i="3"/>
  <c r="C3744" i="3"/>
  <c r="A3744" i="3"/>
  <c r="BY3743" i="3"/>
  <c r="BX3743" i="3"/>
  <c r="BB3743" i="3"/>
  <c r="U3743" i="3"/>
  <c r="T3743" i="3"/>
  <c r="S3743" i="3"/>
  <c r="C3743" i="3"/>
  <c r="A3743" i="3"/>
  <c r="BY3742" i="3"/>
  <c r="BX3742" i="3"/>
  <c r="BB3742" i="3"/>
  <c r="U3742" i="3"/>
  <c r="T3742" i="3"/>
  <c r="S3742" i="3"/>
  <c r="C3742" i="3"/>
  <c r="A3742" i="3"/>
  <c r="BY3741" i="3"/>
  <c r="BX3741" i="3"/>
  <c r="BB3741" i="3"/>
  <c r="U3741" i="3"/>
  <c r="T3741" i="3"/>
  <c r="S3741" i="3"/>
  <c r="C3741" i="3"/>
  <c r="A3741" i="3"/>
  <c r="BY3740" i="3"/>
  <c r="BX3740" i="3"/>
  <c r="BB3740" i="3"/>
  <c r="U3740" i="3"/>
  <c r="T3740" i="3"/>
  <c r="S3740" i="3"/>
  <c r="C3740" i="3"/>
  <c r="A3740" i="3"/>
  <c r="BY3739" i="3"/>
  <c r="BX3739" i="3"/>
  <c r="BB3739" i="3"/>
  <c r="U3739" i="3"/>
  <c r="T3739" i="3"/>
  <c r="S3739" i="3"/>
  <c r="C3739" i="3"/>
  <c r="A3739" i="3"/>
  <c r="BY3738" i="3"/>
  <c r="BX3738" i="3"/>
  <c r="BB3738" i="3"/>
  <c r="U3738" i="3"/>
  <c r="T3738" i="3"/>
  <c r="S3738" i="3"/>
  <c r="C3738" i="3"/>
  <c r="A3738" i="3"/>
  <c r="BY3737" i="3"/>
  <c r="BX3737" i="3"/>
  <c r="BB3737" i="3"/>
  <c r="U3737" i="3"/>
  <c r="T3737" i="3"/>
  <c r="S3737" i="3"/>
  <c r="C3737" i="3"/>
  <c r="A3737" i="3"/>
  <c r="BY3736" i="3"/>
  <c r="BX3736" i="3"/>
  <c r="BB3736" i="3"/>
  <c r="U3736" i="3"/>
  <c r="T3736" i="3"/>
  <c r="S3736" i="3"/>
  <c r="C3736" i="3"/>
  <c r="A3736" i="3"/>
  <c r="BY3735" i="3"/>
  <c r="BX3735" i="3"/>
  <c r="BB3735" i="3"/>
  <c r="U3735" i="3"/>
  <c r="T3735" i="3"/>
  <c r="S3735" i="3"/>
  <c r="C3735" i="3"/>
  <c r="A3735" i="3"/>
  <c r="BY3734" i="3"/>
  <c r="BX3734" i="3"/>
  <c r="BB3734" i="3"/>
  <c r="U3734" i="3"/>
  <c r="T3734" i="3"/>
  <c r="S3734" i="3"/>
  <c r="C3734" i="3"/>
  <c r="A3734" i="3"/>
  <c r="BY3733" i="3"/>
  <c r="BX3733" i="3"/>
  <c r="BB3733" i="3"/>
  <c r="U3733" i="3"/>
  <c r="T3733" i="3"/>
  <c r="S3733" i="3"/>
  <c r="C3733" i="3"/>
  <c r="A3733" i="3"/>
  <c r="BY3732" i="3"/>
  <c r="BX3732" i="3"/>
  <c r="BB3732" i="3"/>
  <c r="U3732" i="3"/>
  <c r="T3732" i="3"/>
  <c r="S3732" i="3"/>
  <c r="C3732" i="3"/>
  <c r="A3732" i="3"/>
  <c r="BY3731" i="3"/>
  <c r="BX3731" i="3"/>
  <c r="BB3731" i="3"/>
  <c r="U3731" i="3"/>
  <c r="T3731" i="3"/>
  <c r="S3731" i="3"/>
  <c r="C3731" i="3"/>
  <c r="A3731" i="3"/>
  <c r="BY3730" i="3"/>
  <c r="BX3730" i="3"/>
  <c r="BB3730" i="3"/>
  <c r="U3730" i="3"/>
  <c r="T3730" i="3"/>
  <c r="S3730" i="3"/>
  <c r="C3730" i="3"/>
  <c r="A3730" i="3"/>
  <c r="BY3729" i="3"/>
  <c r="BX3729" i="3"/>
  <c r="BB3729" i="3"/>
  <c r="U3729" i="3"/>
  <c r="T3729" i="3"/>
  <c r="S3729" i="3"/>
  <c r="C3729" i="3"/>
  <c r="A3729" i="3"/>
  <c r="BY3728" i="3"/>
  <c r="BX3728" i="3"/>
  <c r="BB3728" i="3"/>
  <c r="U3728" i="3"/>
  <c r="T3728" i="3"/>
  <c r="S3728" i="3"/>
  <c r="C3728" i="3"/>
  <c r="A3728" i="3"/>
  <c r="BY3727" i="3"/>
  <c r="BX3727" i="3"/>
  <c r="BB3727" i="3"/>
  <c r="U3727" i="3"/>
  <c r="T3727" i="3"/>
  <c r="S3727" i="3"/>
  <c r="C3727" i="3"/>
  <c r="A3727" i="3"/>
  <c r="BY3726" i="3"/>
  <c r="BX3726" i="3"/>
  <c r="BB3726" i="3"/>
  <c r="U3726" i="3"/>
  <c r="T3726" i="3"/>
  <c r="S3726" i="3"/>
  <c r="C3726" i="3"/>
  <c r="A3726" i="3"/>
  <c r="BY3725" i="3"/>
  <c r="BX3725" i="3"/>
  <c r="BB3725" i="3"/>
  <c r="U3725" i="3"/>
  <c r="T3725" i="3"/>
  <c r="S3725" i="3"/>
  <c r="C3725" i="3"/>
  <c r="A3725" i="3"/>
  <c r="BY3724" i="3"/>
  <c r="BX3724" i="3"/>
  <c r="BB3724" i="3"/>
  <c r="U3724" i="3"/>
  <c r="T3724" i="3"/>
  <c r="S3724" i="3"/>
  <c r="C3724" i="3"/>
  <c r="A3724" i="3"/>
  <c r="BY3723" i="3"/>
  <c r="BX3723" i="3"/>
  <c r="BB3723" i="3"/>
  <c r="U3723" i="3"/>
  <c r="T3723" i="3"/>
  <c r="S3723" i="3"/>
  <c r="C3723" i="3"/>
  <c r="A3723" i="3"/>
  <c r="BY3722" i="3"/>
  <c r="BX3722" i="3"/>
  <c r="BB3722" i="3"/>
  <c r="U3722" i="3"/>
  <c r="T3722" i="3"/>
  <c r="S3722" i="3"/>
  <c r="C3722" i="3"/>
  <c r="A3722" i="3"/>
  <c r="BY3721" i="3"/>
  <c r="BX3721" i="3"/>
  <c r="BB3721" i="3"/>
  <c r="U3721" i="3"/>
  <c r="T3721" i="3"/>
  <c r="S3721" i="3"/>
  <c r="C3721" i="3"/>
  <c r="A3721" i="3"/>
  <c r="BY3720" i="3"/>
  <c r="BX3720" i="3"/>
  <c r="BB3720" i="3"/>
  <c r="U3720" i="3"/>
  <c r="T3720" i="3"/>
  <c r="S3720" i="3"/>
  <c r="C3720" i="3"/>
  <c r="A3720" i="3"/>
  <c r="BY3719" i="3"/>
  <c r="BX3719" i="3"/>
  <c r="BB3719" i="3"/>
  <c r="U3719" i="3"/>
  <c r="T3719" i="3"/>
  <c r="S3719" i="3"/>
  <c r="C3719" i="3"/>
  <c r="A3719" i="3"/>
  <c r="BY3718" i="3"/>
  <c r="BX3718" i="3"/>
  <c r="BB3718" i="3"/>
  <c r="U3718" i="3"/>
  <c r="T3718" i="3"/>
  <c r="S3718" i="3"/>
  <c r="C3718" i="3"/>
  <c r="A3718" i="3"/>
  <c r="BY3717" i="3"/>
  <c r="BX3717" i="3"/>
  <c r="BB3717" i="3"/>
  <c r="U3717" i="3"/>
  <c r="T3717" i="3"/>
  <c r="S3717" i="3"/>
  <c r="C3717" i="3"/>
  <c r="A3717" i="3"/>
  <c r="BY3716" i="3"/>
  <c r="BX3716" i="3"/>
  <c r="BB3716" i="3"/>
  <c r="U3716" i="3"/>
  <c r="T3716" i="3"/>
  <c r="S3716" i="3"/>
  <c r="C3716" i="3"/>
  <c r="A3716" i="3"/>
  <c r="BY3715" i="3"/>
  <c r="BX3715" i="3"/>
  <c r="BB3715" i="3"/>
  <c r="U3715" i="3"/>
  <c r="T3715" i="3"/>
  <c r="S3715" i="3"/>
  <c r="C3715" i="3"/>
  <c r="A3715" i="3"/>
  <c r="BY3714" i="3"/>
  <c r="BX3714" i="3"/>
  <c r="BB3714" i="3"/>
  <c r="U3714" i="3"/>
  <c r="T3714" i="3"/>
  <c r="S3714" i="3"/>
  <c r="C3714" i="3"/>
  <c r="A3714" i="3"/>
  <c r="BY3713" i="3"/>
  <c r="BX3713" i="3"/>
  <c r="BB3713" i="3"/>
  <c r="U3713" i="3"/>
  <c r="T3713" i="3"/>
  <c r="S3713" i="3"/>
  <c r="C3713" i="3"/>
  <c r="A3713" i="3"/>
  <c r="BY3712" i="3"/>
  <c r="BX3712" i="3"/>
  <c r="BB3712" i="3"/>
  <c r="U3712" i="3"/>
  <c r="T3712" i="3"/>
  <c r="S3712" i="3"/>
  <c r="C3712" i="3"/>
  <c r="A3712" i="3"/>
  <c r="BY3711" i="3"/>
  <c r="BX3711" i="3"/>
  <c r="BB3711" i="3"/>
  <c r="U3711" i="3"/>
  <c r="T3711" i="3"/>
  <c r="S3711" i="3"/>
  <c r="C3711" i="3"/>
  <c r="A3711" i="3"/>
  <c r="BY3710" i="3"/>
  <c r="BX3710" i="3"/>
  <c r="BB3710" i="3"/>
  <c r="U3710" i="3"/>
  <c r="T3710" i="3"/>
  <c r="S3710" i="3"/>
  <c r="C3710" i="3"/>
  <c r="A3710" i="3"/>
  <c r="BY3709" i="3"/>
  <c r="BX3709" i="3"/>
  <c r="BB3709" i="3"/>
  <c r="U3709" i="3"/>
  <c r="T3709" i="3"/>
  <c r="S3709" i="3"/>
  <c r="C3709" i="3"/>
  <c r="A3709" i="3"/>
  <c r="BY3708" i="3"/>
  <c r="BX3708" i="3"/>
  <c r="BB3708" i="3"/>
  <c r="U3708" i="3"/>
  <c r="T3708" i="3"/>
  <c r="S3708" i="3"/>
  <c r="C3708" i="3"/>
  <c r="A3708" i="3"/>
  <c r="BY3707" i="3"/>
  <c r="BX3707" i="3"/>
  <c r="BB3707" i="3"/>
  <c r="U3707" i="3"/>
  <c r="T3707" i="3"/>
  <c r="S3707" i="3"/>
  <c r="C3707" i="3"/>
  <c r="A3707" i="3"/>
  <c r="BY3706" i="3"/>
  <c r="BX3706" i="3"/>
  <c r="BB3706" i="3"/>
  <c r="U3706" i="3"/>
  <c r="T3706" i="3"/>
  <c r="S3706" i="3"/>
  <c r="C3706" i="3"/>
  <c r="A3706" i="3"/>
  <c r="BY3705" i="3"/>
  <c r="BX3705" i="3"/>
  <c r="BB3705" i="3"/>
  <c r="U3705" i="3"/>
  <c r="T3705" i="3"/>
  <c r="S3705" i="3"/>
  <c r="C3705" i="3"/>
  <c r="A3705" i="3"/>
  <c r="BY3704" i="3"/>
  <c r="BX3704" i="3"/>
  <c r="BB3704" i="3"/>
  <c r="U3704" i="3"/>
  <c r="T3704" i="3"/>
  <c r="S3704" i="3"/>
  <c r="C3704" i="3"/>
  <c r="A3704" i="3"/>
  <c r="BY3703" i="3"/>
  <c r="BX3703" i="3"/>
  <c r="BB3703" i="3"/>
  <c r="U3703" i="3"/>
  <c r="T3703" i="3"/>
  <c r="S3703" i="3"/>
  <c r="C3703" i="3"/>
  <c r="A3703" i="3"/>
  <c r="BY3702" i="3"/>
  <c r="BX3702" i="3"/>
  <c r="BB3702" i="3"/>
  <c r="U3702" i="3"/>
  <c r="T3702" i="3"/>
  <c r="S3702" i="3"/>
  <c r="C3702" i="3"/>
  <c r="A3702" i="3"/>
  <c r="BY3701" i="3"/>
  <c r="BX3701" i="3"/>
  <c r="BB3701" i="3"/>
  <c r="U3701" i="3"/>
  <c r="T3701" i="3"/>
  <c r="S3701" i="3"/>
  <c r="C3701" i="3"/>
  <c r="A3701" i="3"/>
  <c r="BY3700" i="3"/>
  <c r="BX3700" i="3"/>
  <c r="BB3700" i="3"/>
  <c r="U3700" i="3"/>
  <c r="T3700" i="3"/>
  <c r="S3700" i="3"/>
  <c r="C3700" i="3"/>
  <c r="A3700" i="3"/>
  <c r="BY3699" i="3"/>
  <c r="BX3699" i="3"/>
  <c r="BB3699" i="3"/>
  <c r="U3699" i="3"/>
  <c r="T3699" i="3"/>
  <c r="S3699" i="3"/>
  <c r="C3699" i="3"/>
  <c r="A3699" i="3"/>
  <c r="BY3698" i="3"/>
  <c r="BX3698" i="3"/>
  <c r="BB3698" i="3"/>
  <c r="U3698" i="3"/>
  <c r="T3698" i="3"/>
  <c r="S3698" i="3"/>
  <c r="C3698" i="3"/>
  <c r="A3698" i="3"/>
  <c r="BY3697" i="3"/>
  <c r="BX3697" i="3"/>
  <c r="BB3697" i="3"/>
  <c r="U3697" i="3"/>
  <c r="T3697" i="3"/>
  <c r="S3697" i="3"/>
  <c r="C3697" i="3"/>
  <c r="A3697" i="3"/>
  <c r="BY3696" i="3"/>
  <c r="BX3696" i="3"/>
  <c r="BB3696" i="3"/>
  <c r="U3696" i="3"/>
  <c r="T3696" i="3"/>
  <c r="S3696" i="3"/>
  <c r="C3696" i="3"/>
  <c r="A3696" i="3"/>
  <c r="BY3695" i="3"/>
  <c r="BX3695" i="3"/>
  <c r="BB3695" i="3"/>
  <c r="U3695" i="3"/>
  <c r="T3695" i="3"/>
  <c r="S3695" i="3"/>
  <c r="C3695" i="3"/>
  <c r="A3695" i="3"/>
  <c r="BY3694" i="3"/>
  <c r="BX3694" i="3"/>
  <c r="BB3694" i="3"/>
  <c r="U3694" i="3"/>
  <c r="T3694" i="3"/>
  <c r="S3694" i="3"/>
  <c r="C3694" i="3"/>
  <c r="A3694" i="3"/>
  <c r="BY3693" i="3"/>
  <c r="BX3693" i="3"/>
  <c r="BB3693" i="3"/>
  <c r="U3693" i="3"/>
  <c r="T3693" i="3"/>
  <c r="S3693" i="3"/>
  <c r="C3693" i="3"/>
  <c r="A3693" i="3"/>
  <c r="BY3692" i="3"/>
  <c r="BX3692" i="3"/>
  <c r="BB3692" i="3"/>
  <c r="U3692" i="3"/>
  <c r="T3692" i="3"/>
  <c r="S3692" i="3"/>
  <c r="C3692" i="3"/>
  <c r="A3692" i="3"/>
  <c r="BY3691" i="3"/>
  <c r="BX3691" i="3"/>
  <c r="BB3691" i="3"/>
  <c r="U3691" i="3"/>
  <c r="T3691" i="3"/>
  <c r="S3691" i="3"/>
  <c r="C3691" i="3"/>
  <c r="A3691" i="3"/>
  <c r="BY3690" i="3"/>
  <c r="BX3690" i="3"/>
  <c r="BB3690" i="3"/>
  <c r="U3690" i="3"/>
  <c r="T3690" i="3"/>
  <c r="S3690" i="3"/>
  <c r="C3690" i="3"/>
  <c r="A3690" i="3"/>
  <c r="BY3689" i="3"/>
  <c r="BX3689" i="3"/>
  <c r="BB3689" i="3"/>
  <c r="U3689" i="3"/>
  <c r="T3689" i="3"/>
  <c r="S3689" i="3"/>
  <c r="C3689" i="3"/>
  <c r="A3689" i="3"/>
  <c r="BY3688" i="3"/>
  <c r="BX3688" i="3"/>
  <c r="BB3688" i="3"/>
  <c r="U3688" i="3"/>
  <c r="T3688" i="3"/>
  <c r="S3688" i="3"/>
  <c r="C3688" i="3"/>
  <c r="A3688" i="3"/>
  <c r="BY3687" i="3"/>
  <c r="BX3687" i="3"/>
  <c r="BB3687" i="3"/>
  <c r="U3687" i="3"/>
  <c r="T3687" i="3"/>
  <c r="S3687" i="3"/>
  <c r="C3687" i="3"/>
  <c r="A3687" i="3"/>
  <c r="BY3686" i="3"/>
  <c r="BX3686" i="3"/>
  <c r="BB3686" i="3"/>
  <c r="U3686" i="3"/>
  <c r="T3686" i="3"/>
  <c r="S3686" i="3"/>
  <c r="C3686" i="3"/>
  <c r="A3686" i="3"/>
  <c r="BY3685" i="3"/>
  <c r="BX3685" i="3"/>
  <c r="BB3685" i="3"/>
  <c r="U3685" i="3"/>
  <c r="T3685" i="3"/>
  <c r="S3685" i="3"/>
  <c r="C3685" i="3"/>
  <c r="A3685" i="3"/>
  <c r="BY3684" i="3"/>
  <c r="BX3684" i="3"/>
  <c r="BB3684" i="3"/>
  <c r="U3684" i="3"/>
  <c r="T3684" i="3"/>
  <c r="S3684" i="3"/>
  <c r="C3684" i="3"/>
  <c r="A3684" i="3"/>
  <c r="BY3683" i="3"/>
  <c r="BX3683" i="3"/>
  <c r="BB3683" i="3"/>
  <c r="U3683" i="3"/>
  <c r="T3683" i="3"/>
  <c r="S3683" i="3"/>
  <c r="C3683" i="3"/>
  <c r="A3683" i="3"/>
  <c r="BY3682" i="3"/>
  <c r="BX3682" i="3"/>
  <c r="BB3682" i="3"/>
  <c r="U3682" i="3"/>
  <c r="T3682" i="3"/>
  <c r="S3682" i="3"/>
  <c r="C3682" i="3"/>
  <c r="A3682" i="3"/>
  <c r="BY3681" i="3"/>
  <c r="BX3681" i="3"/>
  <c r="BB3681" i="3"/>
  <c r="U3681" i="3"/>
  <c r="T3681" i="3"/>
  <c r="S3681" i="3"/>
  <c r="C3681" i="3"/>
  <c r="A3681" i="3"/>
  <c r="BY3680" i="3"/>
  <c r="BX3680" i="3"/>
  <c r="BB3680" i="3"/>
  <c r="U3680" i="3"/>
  <c r="T3680" i="3"/>
  <c r="S3680" i="3"/>
  <c r="C3680" i="3"/>
  <c r="A3680" i="3"/>
  <c r="BY3679" i="3"/>
  <c r="BX3679" i="3"/>
  <c r="BB3679" i="3"/>
  <c r="U3679" i="3"/>
  <c r="T3679" i="3"/>
  <c r="S3679" i="3"/>
  <c r="C3679" i="3"/>
  <c r="A3679" i="3"/>
  <c r="BY3678" i="3"/>
  <c r="BX3678" i="3"/>
  <c r="BB3678" i="3"/>
  <c r="U3678" i="3"/>
  <c r="T3678" i="3"/>
  <c r="S3678" i="3"/>
  <c r="C3678" i="3"/>
  <c r="A3678" i="3"/>
  <c r="BY3677" i="3"/>
  <c r="BX3677" i="3"/>
  <c r="BB3677" i="3"/>
  <c r="U3677" i="3"/>
  <c r="T3677" i="3"/>
  <c r="S3677" i="3"/>
  <c r="C3677" i="3"/>
  <c r="A3677" i="3"/>
  <c r="BY3676" i="3"/>
  <c r="BX3676" i="3"/>
  <c r="BB3676" i="3"/>
  <c r="U3676" i="3"/>
  <c r="T3676" i="3"/>
  <c r="S3676" i="3"/>
  <c r="C3676" i="3"/>
  <c r="A3676" i="3"/>
  <c r="BY3675" i="3"/>
  <c r="BX3675" i="3"/>
  <c r="BB3675" i="3"/>
  <c r="U3675" i="3"/>
  <c r="T3675" i="3"/>
  <c r="S3675" i="3"/>
  <c r="C3675" i="3"/>
  <c r="A3675" i="3"/>
  <c r="BY3674" i="3"/>
  <c r="BX3674" i="3"/>
  <c r="BB3674" i="3"/>
  <c r="U3674" i="3"/>
  <c r="T3674" i="3"/>
  <c r="S3674" i="3"/>
  <c r="C3674" i="3"/>
  <c r="A3674" i="3"/>
  <c r="BY3673" i="3"/>
  <c r="BX3673" i="3"/>
  <c r="BB3673" i="3"/>
  <c r="U3673" i="3"/>
  <c r="T3673" i="3"/>
  <c r="S3673" i="3"/>
  <c r="C3673" i="3"/>
  <c r="A3673" i="3"/>
  <c r="BY3672" i="3"/>
  <c r="BX3672" i="3"/>
  <c r="BB3672" i="3"/>
  <c r="U3672" i="3"/>
  <c r="T3672" i="3"/>
  <c r="S3672" i="3"/>
  <c r="C3672" i="3"/>
  <c r="A3672" i="3"/>
  <c r="BY3671" i="3"/>
  <c r="BX3671" i="3"/>
  <c r="BB3671" i="3"/>
  <c r="U3671" i="3"/>
  <c r="T3671" i="3"/>
  <c r="S3671" i="3"/>
  <c r="C3671" i="3"/>
  <c r="A3671" i="3"/>
  <c r="BY3670" i="3"/>
  <c r="BX3670" i="3"/>
  <c r="BB3670" i="3"/>
  <c r="U3670" i="3"/>
  <c r="T3670" i="3"/>
  <c r="S3670" i="3"/>
  <c r="C3670" i="3"/>
  <c r="A3670" i="3"/>
  <c r="BY3669" i="3"/>
  <c r="BX3669" i="3"/>
  <c r="BB3669" i="3"/>
  <c r="U3669" i="3"/>
  <c r="T3669" i="3"/>
  <c r="S3669" i="3"/>
  <c r="C3669" i="3"/>
  <c r="A3669" i="3"/>
  <c r="BY3668" i="3"/>
  <c r="BX3668" i="3"/>
  <c r="BB3668" i="3"/>
  <c r="U3668" i="3"/>
  <c r="T3668" i="3"/>
  <c r="S3668" i="3"/>
  <c r="C3668" i="3"/>
  <c r="A3668" i="3"/>
  <c r="BY3667" i="3"/>
  <c r="BX3667" i="3"/>
  <c r="BB3667" i="3"/>
  <c r="U3667" i="3"/>
  <c r="T3667" i="3"/>
  <c r="S3667" i="3"/>
  <c r="C3667" i="3"/>
  <c r="A3667" i="3"/>
  <c r="BY3666" i="3"/>
  <c r="BX3666" i="3"/>
  <c r="BB3666" i="3"/>
  <c r="U3666" i="3"/>
  <c r="T3666" i="3"/>
  <c r="S3666" i="3"/>
  <c r="C3666" i="3"/>
  <c r="A3666" i="3"/>
  <c r="BY3665" i="3"/>
  <c r="BX3665" i="3"/>
  <c r="BB3665" i="3"/>
  <c r="U3665" i="3"/>
  <c r="T3665" i="3"/>
  <c r="S3665" i="3"/>
  <c r="C3665" i="3"/>
  <c r="A3665" i="3"/>
  <c r="BY3664" i="3"/>
  <c r="BX3664" i="3"/>
  <c r="BB3664" i="3"/>
  <c r="U3664" i="3"/>
  <c r="T3664" i="3"/>
  <c r="S3664" i="3"/>
  <c r="C3664" i="3"/>
  <c r="A3664" i="3"/>
  <c r="BY3663" i="3"/>
  <c r="BX3663" i="3"/>
  <c r="BB3663" i="3"/>
  <c r="U3663" i="3"/>
  <c r="T3663" i="3"/>
  <c r="S3663" i="3"/>
  <c r="C3663" i="3"/>
  <c r="A3663" i="3"/>
  <c r="BY3662" i="3"/>
  <c r="BX3662" i="3"/>
  <c r="BB3662" i="3"/>
  <c r="U3662" i="3"/>
  <c r="T3662" i="3"/>
  <c r="S3662" i="3"/>
  <c r="C3662" i="3"/>
  <c r="A3662" i="3"/>
  <c r="BY3661" i="3"/>
  <c r="BX3661" i="3"/>
  <c r="BB3661" i="3"/>
  <c r="U3661" i="3"/>
  <c r="T3661" i="3"/>
  <c r="S3661" i="3"/>
  <c r="C3661" i="3"/>
  <c r="A3661" i="3"/>
  <c r="BY3660" i="3"/>
  <c r="BX3660" i="3"/>
  <c r="BB3660" i="3"/>
  <c r="U3660" i="3"/>
  <c r="T3660" i="3"/>
  <c r="S3660" i="3"/>
  <c r="C3660" i="3"/>
  <c r="A3660" i="3"/>
  <c r="BY3659" i="3"/>
  <c r="BX3659" i="3"/>
  <c r="BB3659" i="3"/>
  <c r="U3659" i="3"/>
  <c r="T3659" i="3"/>
  <c r="S3659" i="3"/>
  <c r="C3659" i="3"/>
  <c r="A3659" i="3"/>
  <c r="BY3658" i="3"/>
  <c r="BX3658" i="3"/>
  <c r="BB3658" i="3"/>
  <c r="U3658" i="3"/>
  <c r="T3658" i="3"/>
  <c r="S3658" i="3"/>
  <c r="C3658" i="3"/>
  <c r="A3658" i="3"/>
  <c r="BY3657" i="3"/>
  <c r="BX3657" i="3"/>
  <c r="BB3657" i="3"/>
  <c r="U3657" i="3"/>
  <c r="T3657" i="3"/>
  <c r="S3657" i="3"/>
  <c r="C3657" i="3"/>
  <c r="A3657" i="3"/>
  <c r="BY3656" i="3"/>
  <c r="BX3656" i="3"/>
  <c r="BB3656" i="3"/>
  <c r="U3656" i="3"/>
  <c r="T3656" i="3"/>
  <c r="S3656" i="3"/>
  <c r="C3656" i="3"/>
  <c r="A3656" i="3"/>
  <c r="BY3655" i="3"/>
  <c r="BX3655" i="3"/>
  <c r="BB3655" i="3"/>
  <c r="U3655" i="3"/>
  <c r="T3655" i="3"/>
  <c r="S3655" i="3"/>
  <c r="C3655" i="3"/>
  <c r="A3655" i="3"/>
  <c r="BY3654" i="3"/>
  <c r="BX3654" i="3"/>
  <c r="BB3654" i="3"/>
  <c r="U3654" i="3"/>
  <c r="T3654" i="3"/>
  <c r="S3654" i="3"/>
  <c r="C3654" i="3"/>
  <c r="A3654" i="3"/>
  <c r="BY3653" i="3"/>
  <c r="BX3653" i="3"/>
  <c r="BB3653" i="3"/>
  <c r="U3653" i="3"/>
  <c r="T3653" i="3"/>
  <c r="S3653" i="3"/>
  <c r="C3653" i="3"/>
  <c r="A3653" i="3"/>
  <c r="BY3652" i="3"/>
  <c r="BX3652" i="3"/>
  <c r="BB3652" i="3"/>
  <c r="U3652" i="3"/>
  <c r="T3652" i="3"/>
  <c r="S3652" i="3"/>
  <c r="C3652" i="3"/>
  <c r="A3652" i="3"/>
  <c r="BY3651" i="3"/>
  <c r="BX3651" i="3"/>
  <c r="BB3651" i="3"/>
  <c r="U3651" i="3"/>
  <c r="T3651" i="3"/>
  <c r="S3651" i="3"/>
  <c r="C3651" i="3"/>
  <c r="A3651" i="3"/>
  <c r="BY3650" i="3"/>
  <c r="BX3650" i="3"/>
  <c r="BB3650" i="3"/>
  <c r="U3650" i="3"/>
  <c r="T3650" i="3"/>
  <c r="S3650" i="3"/>
  <c r="C3650" i="3"/>
  <c r="A3650" i="3"/>
  <c r="BY3649" i="3"/>
  <c r="BX3649" i="3"/>
  <c r="BB3649" i="3"/>
  <c r="U3649" i="3"/>
  <c r="T3649" i="3"/>
  <c r="S3649" i="3"/>
  <c r="C3649" i="3"/>
  <c r="A3649" i="3"/>
  <c r="BY3648" i="3"/>
  <c r="BX3648" i="3"/>
  <c r="BB3648" i="3"/>
  <c r="U3648" i="3"/>
  <c r="T3648" i="3"/>
  <c r="S3648" i="3"/>
  <c r="C3648" i="3"/>
  <c r="A3648" i="3"/>
  <c r="BY3647" i="3"/>
  <c r="BX3647" i="3"/>
  <c r="BB3647" i="3"/>
  <c r="U3647" i="3"/>
  <c r="T3647" i="3"/>
  <c r="S3647" i="3"/>
  <c r="C3647" i="3"/>
  <c r="A3647" i="3"/>
  <c r="BY3646" i="3"/>
  <c r="BX3646" i="3"/>
  <c r="BB3646" i="3"/>
  <c r="U3646" i="3"/>
  <c r="T3646" i="3"/>
  <c r="S3646" i="3"/>
  <c r="C3646" i="3"/>
  <c r="A3646" i="3"/>
  <c r="BY3645" i="3"/>
  <c r="BX3645" i="3"/>
  <c r="BB3645" i="3"/>
  <c r="U3645" i="3"/>
  <c r="T3645" i="3"/>
  <c r="S3645" i="3"/>
  <c r="C3645" i="3"/>
  <c r="A3645" i="3"/>
  <c r="BY3644" i="3"/>
  <c r="BX3644" i="3"/>
  <c r="BB3644" i="3"/>
  <c r="U3644" i="3"/>
  <c r="T3644" i="3"/>
  <c r="S3644" i="3"/>
  <c r="C3644" i="3"/>
  <c r="A3644" i="3"/>
  <c r="BY3643" i="3"/>
  <c r="BX3643" i="3"/>
  <c r="BB3643" i="3"/>
  <c r="U3643" i="3"/>
  <c r="T3643" i="3"/>
  <c r="S3643" i="3"/>
  <c r="C3643" i="3"/>
  <c r="A3643" i="3"/>
  <c r="BY3642" i="3"/>
  <c r="BX3642" i="3"/>
  <c r="BB3642" i="3"/>
  <c r="U3642" i="3"/>
  <c r="T3642" i="3"/>
  <c r="S3642" i="3"/>
  <c r="C3642" i="3"/>
  <c r="A3642" i="3"/>
  <c r="BY3641" i="3"/>
  <c r="BX3641" i="3"/>
  <c r="BB3641" i="3"/>
  <c r="U3641" i="3"/>
  <c r="T3641" i="3"/>
  <c r="S3641" i="3"/>
  <c r="C3641" i="3"/>
  <c r="A3641" i="3"/>
  <c r="BY3640" i="3"/>
  <c r="BX3640" i="3"/>
  <c r="BB3640" i="3"/>
  <c r="U3640" i="3"/>
  <c r="T3640" i="3"/>
  <c r="S3640" i="3"/>
  <c r="C3640" i="3"/>
  <c r="A3640" i="3"/>
  <c r="BY3639" i="3"/>
  <c r="BX3639" i="3"/>
  <c r="BB3639" i="3"/>
  <c r="U3639" i="3"/>
  <c r="T3639" i="3"/>
  <c r="S3639" i="3"/>
  <c r="C3639" i="3"/>
  <c r="A3639" i="3"/>
  <c r="BY3638" i="3"/>
  <c r="BX3638" i="3"/>
  <c r="BB3638" i="3"/>
  <c r="U3638" i="3"/>
  <c r="T3638" i="3"/>
  <c r="S3638" i="3"/>
  <c r="C3638" i="3"/>
  <c r="A3638" i="3"/>
  <c r="BY3637" i="3"/>
  <c r="BX3637" i="3"/>
  <c r="BB3637" i="3"/>
  <c r="U3637" i="3"/>
  <c r="T3637" i="3"/>
  <c r="S3637" i="3"/>
  <c r="C3637" i="3"/>
  <c r="A3637" i="3"/>
  <c r="BY3636" i="3"/>
  <c r="BX3636" i="3"/>
  <c r="BB3636" i="3"/>
  <c r="U3636" i="3"/>
  <c r="T3636" i="3"/>
  <c r="S3636" i="3"/>
  <c r="C3636" i="3"/>
  <c r="A3636" i="3"/>
  <c r="BY3635" i="3"/>
  <c r="BX3635" i="3"/>
  <c r="BB3635" i="3"/>
  <c r="U3635" i="3"/>
  <c r="T3635" i="3"/>
  <c r="S3635" i="3"/>
  <c r="C3635" i="3"/>
  <c r="A3635" i="3"/>
  <c r="BY3634" i="3"/>
  <c r="BX3634" i="3"/>
  <c r="BB3634" i="3"/>
  <c r="U3634" i="3"/>
  <c r="T3634" i="3"/>
  <c r="S3634" i="3"/>
  <c r="C3634" i="3"/>
  <c r="A3634" i="3"/>
  <c r="BY3633" i="3"/>
  <c r="BX3633" i="3"/>
  <c r="BB3633" i="3"/>
  <c r="U3633" i="3"/>
  <c r="T3633" i="3"/>
  <c r="S3633" i="3"/>
  <c r="C3633" i="3"/>
  <c r="A3633" i="3"/>
  <c r="BY3632" i="3"/>
  <c r="BX3632" i="3"/>
  <c r="BB3632" i="3"/>
  <c r="U3632" i="3"/>
  <c r="T3632" i="3"/>
  <c r="S3632" i="3"/>
  <c r="C3632" i="3"/>
  <c r="A3632" i="3"/>
  <c r="BY3631" i="3"/>
  <c r="BX3631" i="3"/>
  <c r="BB3631" i="3"/>
  <c r="U3631" i="3"/>
  <c r="T3631" i="3"/>
  <c r="S3631" i="3"/>
  <c r="C3631" i="3"/>
  <c r="A3631" i="3"/>
  <c r="BY3630" i="3"/>
  <c r="BX3630" i="3"/>
  <c r="BB3630" i="3"/>
  <c r="U3630" i="3"/>
  <c r="T3630" i="3"/>
  <c r="S3630" i="3"/>
  <c r="C3630" i="3"/>
  <c r="A3630" i="3"/>
  <c r="BY3629" i="3"/>
  <c r="BX3629" i="3"/>
  <c r="BB3629" i="3"/>
  <c r="U3629" i="3"/>
  <c r="T3629" i="3"/>
  <c r="S3629" i="3"/>
  <c r="C3629" i="3"/>
  <c r="A3629" i="3"/>
  <c r="BY3628" i="3"/>
  <c r="BX3628" i="3"/>
  <c r="BB3628" i="3"/>
  <c r="U3628" i="3"/>
  <c r="T3628" i="3"/>
  <c r="S3628" i="3"/>
  <c r="C3628" i="3"/>
  <c r="A3628" i="3"/>
  <c r="BY3627" i="3"/>
  <c r="BX3627" i="3"/>
  <c r="BB3627" i="3"/>
  <c r="U3627" i="3"/>
  <c r="T3627" i="3"/>
  <c r="S3627" i="3"/>
  <c r="C3627" i="3"/>
  <c r="A3627" i="3"/>
  <c r="BY3626" i="3"/>
  <c r="BX3626" i="3"/>
  <c r="BB3626" i="3"/>
  <c r="U3626" i="3"/>
  <c r="T3626" i="3"/>
  <c r="S3626" i="3"/>
  <c r="C3626" i="3"/>
  <c r="A3626" i="3"/>
  <c r="BY3625" i="3"/>
  <c r="BX3625" i="3"/>
  <c r="BB3625" i="3"/>
  <c r="U3625" i="3"/>
  <c r="T3625" i="3"/>
  <c r="S3625" i="3"/>
  <c r="C3625" i="3"/>
  <c r="A3625" i="3"/>
  <c r="BY3624" i="3"/>
  <c r="BX3624" i="3"/>
  <c r="BB3624" i="3"/>
  <c r="U3624" i="3"/>
  <c r="T3624" i="3"/>
  <c r="S3624" i="3"/>
  <c r="C3624" i="3"/>
  <c r="A3624" i="3"/>
  <c r="BY3623" i="3"/>
  <c r="BX3623" i="3"/>
  <c r="BB3623" i="3"/>
  <c r="U3623" i="3"/>
  <c r="T3623" i="3"/>
  <c r="S3623" i="3"/>
  <c r="C3623" i="3"/>
  <c r="A3623" i="3"/>
  <c r="BY3622" i="3"/>
  <c r="BX3622" i="3"/>
  <c r="BB3622" i="3"/>
  <c r="U3622" i="3"/>
  <c r="T3622" i="3"/>
  <c r="S3622" i="3"/>
  <c r="C3622" i="3"/>
  <c r="A3622" i="3"/>
  <c r="BY3621" i="3"/>
  <c r="BX3621" i="3"/>
  <c r="BB3621" i="3"/>
  <c r="U3621" i="3"/>
  <c r="T3621" i="3"/>
  <c r="S3621" i="3"/>
  <c r="C3621" i="3"/>
  <c r="A3621" i="3"/>
  <c r="BY3620" i="3"/>
  <c r="BX3620" i="3"/>
  <c r="BB3620" i="3"/>
  <c r="U3620" i="3"/>
  <c r="T3620" i="3"/>
  <c r="S3620" i="3"/>
  <c r="C3620" i="3"/>
  <c r="A3620" i="3"/>
  <c r="BY3619" i="3"/>
  <c r="BX3619" i="3"/>
  <c r="BB3619" i="3"/>
  <c r="U3619" i="3"/>
  <c r="T3619" i="3"/>
  <c r="S3619" i="3"/>
  <c r="C3619" i="3"/>
  <c r="A3619" i="3"/>
  <c r="BY3618" i="3"/>
  <c r="BX3618" i="3"/>
  <c r="BB3618" i="3"/>
  <c r="U3618" i="3"/>
  <c r="T3618" i="3"/>
  <c r="S3618" i="3"/>
  <c r="C3618" i="3"/>
  <c r="A3618" i="3"/>
  <c r="BY3617" i="3"/>
  <c r="BX3617" i="3"/>
  <c r="BB3617" i="3"/>
  <c r="U3617" i="3"/>
  <c r="T3617" i="3"/>
  <c r="S3617" i="3"/>
  <c r="C3617" i="3"/>
  <c r="A3617" i="3"/>
  <c r="BY3616" i="3"/>
  <c r="BX3616" i="3"/>
  <c r="BB3616" i="3"/>
  <c r="U3616" i="3"/>
  <c r="T3616" i="3"/>
  <c r="S3616" i="3"/>
  <c r="C3616" i="3"/>
  <c r="A3616" i="3"/>
  <c r="BY3615" i="3"/>
  <c r="BX3615" i="3"/>
  <c r="BB3615" i="3"/>
  <c r="U3615" i="3"/>
  <c r="T3615" i="3"/>
  <c r="S3615" i="3"/>
  <c r="C3615" i="3"/>
  <c r="A3615" i="3"/>
  <c r="BY3614" i="3"/>
  <c r="BX3614" i="3"/>
  <c r="BB3614" i="3"/>
  <c r="U3614" i="3"/>
  <c r="T3614" i="3"/>
  <c r="S3614" i="3"/>
  <c r="C3614" i="3"/>
  <c r="A3614" i="3"/>
  <c r="BY3613" i="3"/>
  <c r="BX3613" i="3"/>
  <c r="BB3613" i="3"/>
  <c r="U3613" i="3"/>
  <c r="T3613" i="3"/>
  <c r="S3613" i="3"/>
  <c r="C3613" i="3"/>
  <c r="A3613" i="3"/>
  <c r="BY3612" i="3"/>
  <c r="BX3612" i="3"/>
  <c r="BB3612" i="3"/>
  <c r="U3612" i="3"/>
  <c r="T3612" i="3"/>
  <c r="S3612" i="3"/>
  <c r="C3612" i="3"/>
  <c r="A3612" i="3"/>
  <c r="BY3611" i="3"/>
  <c r="BX3611" i="3"/>
  <c r="BB3611" i="3"/>
  <c r="U3611" i="3"/>
  <c r="T3611" i="3"/>
  <c r="S3611" i="3"/>
  <c r="C3611" i="3"/>
  <c r="A3611" i="3"/>
  <c r="BY3610" i="3"/>
  <c r="BX3610" i="3"/>
  <c r="BB3610" i="3"/>
  <c r="U3610" i="3"/>
  <c r="T3610" i="3"/>
  <c r="S3610" i="3"/>
  <c r="C3610" i="3"/>
  <c r="A3610" i="3"/>
  <c r="BY3609" i="3"/>
  <c r="BX3609" i="3"/>
  <c r="BB3609" i="3"/>
  <c r="U3609" i="3"/>
  <c r="T3609" i="3"/>
  <c r="S3609" i="3"/>
  <c r="C3609" i="3"/>
  <c r="A3609" i="3"/>
  <c r="BY3608" i="3"/>
  <c r="BX3608" i="3"/>
  <c r="BB3608" i="3"/>
  <c r="U3608" i="3"/>
  <c r="T3608" i="3"/>
  <c r="S3608" i="3"/>
  <c r="C3608" i="3"/>
  <c r="A3608" i="3"/>
  <c r="BY3607" i="3"/>
  <c r="BX3607" i="3"/>
  <c r="BB3607" i="3"/>
  <c r="U3607" i="3"/>
  <c r="T3607" i="3"/>
  <c r="S3607" i="3"/>
  <c r="C3607" i="3"/>
  <c r="A3607" i="3"/>
  <c r="BY3606" i="3"/>
  <c r="BX3606" i="3"/>
  <c r="BB3606" i="3"/>
  <c r="U3606" i="3"/>
  <c r="T3606" i="3"/>
  <c r="S3606" i="3"/>
  <c r="C3606" i="3"/>
  <c r="A3606" i="3"/>
  <c r="BY3605" i="3"/>
  <c r="BX3605" i="3"/>
  <c r="BB3605" i="3"/>
  <c r="U3605" i="3"/>
  <c r="T3605" i="3"/>
  <c r="S3605" i="3"/>
  <c r="C3605" i="3"/>
  <c r="A3605" i="3"/>
  <c r="BY3604" i="3"/>
  <c r="BX3604" i="3"/>
  <c r="BB3604" i="3"/>
  <c r="U3604" i="3"/>
  <c r="T3604" i="3"/>
  <c r="S3604" i="3"/>
  <c r="C3604" i="3"/>
  <c r="A3604" i="3"/>
  <c r="BY3603" i="3"/>
  <c r="BX3603" i="3"/>
  <c r="BB3603" i="3"/>
  <c r="U3603" i="3"/>
  <c r="T3603" i="3"/>
  <c r="S3603" i="3"/>
  <c r="C3603" i="3"/>
  <c r="A3603" i="3"/>
  <c r="BY3602" i="3"/>
  <c r="BX3602" i="3"/>
  <c r="BB3602" i="3"/>
  <c r="U3602" i="3"/>
  <c r="T3602" i="3"/>
  <c r="S3602" i="3"/>
  <c r="C3602" i="3"/>
  <c r="A3602" i="3"/>
  <c r="BY3601" i="3"/>
  <c r="BX3601" i="3"/>
  <c r="BB3601" i="3"/>
  <c r="U3601" i="3"/>
  <c r="T3601" i="3"/>
  <c r="S3601" i="3"/>
  <c r="C3601" i="3"/>
  <c r="A3601" i="3"/>
  <c r="BY3600" i="3"/>
  <c r="BX3600" i="3"/>
  <c r="BB3600" i="3"/>
  <c r="U3600" i="3"/>
  <c r="T3600" i="3"/>
  <c r="S3600" i="3"/>
  <c r="C3600" i="3"/>
  <c r="A3600" i="3"/>
  <c r="BY3599" i="3"/>
  <c r="BX3599" i="3"/>
  <c r="BB3599" i="3"/>
  <c r="U3599" i="3"/>
  <c r="T3599" i="3"/>
  <c r="S3599" i="3"/>
  <c r="C3599" i="3"/>
  <c r="A3599" i="3"/>
  <c r="BY3598" i="3"/>
  <c r="BX3598" i="3"/>
  <c r="BB3598" i="3"/>
  <c r="U3598" i="3"/>
  <c r="T3598" i="3"/>
  <c r="S3598" i="3"/>
  <c r="C3598" i="3"/>
  <c r="A3598" i="3"/>
  <c r="BY3597" i="3"/>
  <c r="BX3597" i="3"/>
  <c r="BB3597" i="3"/>
  <c r="U3597" i="3"/>
  <c r="T3597" i="3"/>
  <c r="S3597" i="3"/>
  <c r="C3597" i="3"/>
  <c r="A3597" i="3"/>
  <c r="BY3596" i="3"/>
  <c r="BX3596" i="3"/>
  <c r="BB3596" i="3"/>
  <c r="U3596" i="3"/>
  <c r="T3596" i="3"/>
  <c r="S3596" i="3"/>
  <c r="C3596" i="3"/>
  <c r="A3596" i="3"/>
  <c r="BY3595" i="3"/>
  <c r="BX3595" i="3"/>
  <c r="BB3595" i="3"/>
  <c r="U3595" i="3"/>
  <c r="T3595" i="3"/>
  <c r="S3595" i="3"/>
  <c r="C3595" i="3"/>
  <c r="A3595" i="3"/>
  <c r="BY3594" i="3"/>
  <c r="BX3594" i="3"/>
  <c r="BB3594" i="3"/>
  <c r="U3594" i="3"/>
  <c r="T3594" i="3"/>
  <c r="S3594" i="3"/>
  <c r="C3594" i="3"/>
  <c r="A3594" i="3"/>
  <c r="BY3593" i="3"/>
  <c r="BX3593" i="3"/>
  <c r="BB3593" i="3"/>
  <c r="U3593" i="3"/>
  <c r="T3593" i="3"/>
  <c r="S3593" i="3"/>
  <c r="C3593" i="3"/>
  <c r="A3593" i="3"/>
  <c r="BY3592" i="3"/>
  <c r="BX3592" i="3"/>
  <c r="BB3592" i="3"/>
  <c r="U3592" i="3"/>
  <c r="T3592" i="3"/>
  <c r="S3592" i="3"/>
  <c r="C3592" i="3"/>
  <c r="A3592" i="3"/>
  <c r="BY3591" i="3"/>
  <c r="BX3591" i="3"/>
  <c r="BB3591" i="3"/>
  <c r="U3591" i="3"/>
  <c r="T3591" i="3"/>
  <c r="S3591" i="3"/>
  <c r="C3591" i="3"/>
  <c r="A3591" i="3"/>
  <c r="BY3590" i="3"/>
  <c r="BX3590" i="3"/>
  <c r="BB3590" i="3"/>
  <c r="U3590" i="3"/>
  <c r="T3590" i="3"/>
  <c r="S3590" i="3"/>
  <c r="C3590" i="3"/>
  <c r="A3590" i="3"/>
  <c r="BY3589" i="3"/>
  <c r="BX3589" i="3"/>
  <c r="BB3589" i="3"/>
  <c r="U3589" i="3"/>
  <c r="T3589" i="3"/>
  <c r="S3589" i="3"/>
  <c r="C3589" i="3"/>
  <c r="A3589" i="3"/>
  <c r="BY3588" i="3"/>
  <c r="BX3588" i="3"/>
  <c r="BB3588" i="3"/>
  <c r="U3588" i="3"/>
  <c r="T3588" i="3"/>
  <c r="S3588" i="3"/>
  <c r="C3588" i="3"/>
  <c r="A3588" i="3"/>
  <c r="BY3587" i="3"/>
  <c r="BX3587" i="3"/>
  <c r="BB3587" i="3"/>
  <c r="U3587" i="3"/>
  <c r="T3587" i="3"/>
  <c r="S3587" i="3"/>
  <c r="C3587" i="3"/>
  <c r="A3587" i="3"/>
  <c r="BY3586" i="3"/>
  <c r="BX3586" i="3"/>
  <c r="BB3586" i="3"/>
  <c r="U3586" i="3"/>
  <c r="T3586" i="3"/>
  <c r="S3586" i="3"/>
  <c r="C3586" i="3"/>
  <c r="A3586" i="3"/>
  <c r="BY3585" i="3"/>
  <c r="BX3585" i="3"/>
  <c r="BB3585" i="3"/>
  <c r="U3585" i="3"/>
  <c r="T3585" i="3"/>
  <c r="S3585" i="3"/>
  <c r="C3585" i="3"/>
  <c r="A3585" i="3"/>
  <c r="BY3584" i="3"/>
  <c r="BX3584" i="3"/>
  <c r="BB3584" i="3"/>
  <c r="U3584" i="3"/>
  <c r="T3584" i="3"/>
  <c r="S3584" i="3"/>
  <c r="C3584" i="3"/>
  <c r="A3584" i="3"/>
  <c r="BY3583" i="3"/>
  <c r="BX3583" i="3"/>
  <c r="BB3583" i="3"/>
  <c r="U3583" i="3"/>
  <c r="T3583" i="3"/>
  <c r="S3583" i="3"/>
  <c r="C3583" i="3"/>
  <c r="A3583" i="3"/>
  <c r="BY3582" i="3"/>
  <c r="BX3582" i="3"/>
  <c r="BB3582" i="3"/>
  <c r="U3582" i="3"/>
  <c r="T3582" i="3"/>
  <c r="S3582" i="3"/>
  <c r="C3582" i="3"/>
  <c r="A3582" i="3"/>
  <c r="BY3581" i="3"/>
  <c r="BX3581" i="3"/>
  <c r="BB3581" i="3"/>
  <c r="U3581" i="3"/>
  <c r="T3581" i="3"/>
  <c r="S3581" i="3"/>
  <c r="C3581" i="3"/>
  <c r="A3581" i="3"/>
  <c r="BY3580" i="3"/>
  <c r="BX3580" i="3"/>
  <c r="BB3580" i="3"/>
  <c r="U3580" i="3"/>
  <c r="T3580" i="3"/>
  <c r="S3580" i="3"/>
  <c r="C3580" i="3"/>
  <c r="A3580" i="3"/>
  <c r="BY3579" i="3"/>
  <c r="BX3579" i="3"/>
  <c r="BB3579" i="3"/>
  <c r="U3579" i="3"/>
  <c r="T3579" i="3"/>
  <c r="S3579" i="3"/>
  <c r="C3579" i="3"/>
  <c r="A3579" i="3"/>
  <c r="BY3578" i="3"/>
  <c r="BX3578" i="3"/>
  <c r="BB3578" i="3"/>
  <c r="U3578" i="3"/>
  <c r="T3578" i="3"/>
  <c r="S3578" i="3"/>
  <c r="C3578" i="3"/>
  <c r="A3578" i="3"/>
  <c r="BY3577" i="3"/>
  <c r="BX3577" i="3"/>
  <c r="BB3577" i="3"/>
  <c r="U3577" i="3"/>
  <c r="T3577" i="3"/>
  <c r="S3577" i="3"/>
  <c r="C3577" i="3"/>
  <c r="A3577" i="3"/>
  <c r="BY3576" i="3"/>
  <c r="BX3576" i="3"/>
  <c r="BB3576" i="3"/>
  <c r="U3576" i="3"/>
  <c r="T3576" i="3"/>
  <c r="S3576" i="3"/>
  <c r="C3576" i="3"/>
  <c r="A3576" i="3"/>
  <c r="BY3575" i="3"/>
  <c r="BX3575" i="3"/>
  <c r="BB3575" i="3"/>
  <c r="U3575" i="3"/>
  <c r="T3575" i="3"/>
  <c r="S3575" i="3"/>
  <c r="C3575" i="3"/>
  <c r="A3575" i="3"/>
  <c r="BY3574" i="3"/>
  <c r="BX3574" i="3"/>
  <c r="BB3574" i="3"/>
  <c r="U3574" i="3"/>
  <c r="T3574" i="3"/>
  <c r="S3574" i="3"/>
  <c r="C3574" i="3"/>
  <c r="A3574" i="3"/>
  <c r="BY3573" i="3"/>
  <c r="BX3573" i="3"/>
  <c r="BB3573" i="3"/>
  <c r="U3573" i="3"/>
  <c r="T3573" i="3"/>
  <c r="S3573" i="3"/>
  <c r="C3573" i="3"/>
  <c r="A3573" i="3"/>
  <c r="BY3572" i="3"/>
  <c r="BX3572" i="3"/>
  <c r="BB3572" i="3"/>
  <c r="U3572" i="3"/>
  <c r="T3572" i="3"/>
  <c r="S3572" i="3"/>
  <c r="C3572" i="3"/>
  <c r="A3572" i="3"/>
  <c r="BY3571" i="3"/>
  <c r="BX3571" i="3"/>
  <c r="BB3571" i="3"/>
  <c r="U3571" i="3"/>
  <c r="T3571" i="3"/>
  <c r="S3571" i="3"/>
  <c r="C3571" i="3"/>
  <c r="A3571" i="3"/>
  <c r="BY3570" i="3"/>
  <c r="BX3570" i="3"/>
  <c r="BB3570" i="3"/>
  <c r="U3570" i="3"/>
  <c r="T3570" i="3"/>
  <c r="S3570" i="3"/>
  <c r="C3570" i="3"/>
  <c r="A3570" i="3"/>
  <c r="BY3569" i="3"/>
  <c r="BX3569" i="3"/>
  <c r="BB3569" i="3"/>
  <c r="U3569" i="3"/>
  <c r="T3569" i="3"/>
  <c r="S3569" i="3"/>
  <c r="C3569" i="3"/>
  <c r="A3569" i="3"/>
  <c r="BY3568" i="3"/>
  <c r="BX3568" i="3"/>
  <c r="BB3568" i="3"/>
  <c r="U3568" i="3"/>
  <c r="T3568" i="3"/>
  <c r="S3568" i="3"/>
  <c r="C3568" i="3"/>
  <c r="A3568" i="3"/>
  <c r="BY3567" i="3"/>
  <c r="BX3567" i="3"/>
  <c r="BB3567" i="3"/>
  <c r="U3567" i="3"/>
  <c r="T3567" i="3"/>
  <c r="S3567" i="3"/>
  <c r="C3567" i="3"/>
  <c r="A3567" i="3"/>
  <c r="BY3566" i="3"/>
  <c r="BX3566" i="3"/>
  <c r="BB3566" i="3"/>
  <c r="U3566" i="3"/>
  <c r="T3566" i="3"/>
  <c r="S3566" i="3"/>
  <c r="C3566" i="3"/>
  <c r="A3566" i="3"/>
  <c r="BY3565" i="3"/>
  <c r="BX3565" i="3"/>
  <c r="BB3565" i="3"/>
  <c r="U3565" i="3"/>
  <c r="T3565" i="3"/>
  <c r="S3565" i="3"/>
  <c r="C3565" i="3"/>
  <c r="A3565" i="3"/>
  <c r="BY3564" i="3"/>
  <c r="BX3564" i="3"/>
  <c r="BB3564" i="3"/>
  <c r="U3564" i="3"/>
  <c r="T3564" i="3"/>
  <c r="S3564" i="3"/>
  <c r="C3564" i="3"/>
  <c r="A3564" i="3"/>
  <c r="BY3563" i="3"/>
  <c r="BX3563" i="3"/>
  <c r="BB3563" i="3"/>
  <c r="U3563" i="3"/>
  <c r="T3563" i="3"/>
  <c r="S3563" i="3"/>
  <c r="C3563" i="3"/>
  <c r="A3563" i="3"/>
  <c r="BY3562" i="3"/>
  <c r="BX3562" i="3"/>
  <c r="BB3562" i="3"/>
  <c r="U3562" i="3"/>
  <c r="T3562" i="3"/>
  <c r="S3562" i="3"/>
  <c r="C3562" i="3"/>
  <c r="A3562" i="3"/>
  <c r="BY3561" i="3"/>
  <c r="BX3561" i="3"/>
  <c r="BB3561" i="3"/>
  <c r="U3561" i="3"/>
  <c r="T3561" i="3"/>
  <c r="S3561" i="3"/>
  <c r="C3561" i="3"/>
  <c r="A3561" i="3"/>
  <c r="BY3560" i="3"/>
  <c r="BX3560" i="3"/>
  <c r="BB3560" i="3"/>
  <c r="U3560" i="3"/>
  <c r="T3560" i="3"/>
  <c r="S3560" i="3"/>
  <c r="C3560" i="3"/>
  <c r="A3560" i="3"/>
  <c r="BY3559" i="3"/>
  <c r="BX3559" i="3"/>
  <c r="BB3559" i="3"/>
  <c r="U3559" i="3"/>
  <c r="T3559" i="3"/>
  <c r="S3559" i="3"/>
  <c r="C3559" i="3"/>
  <c r="A3559" i="3"/>
  <c r="BY3558" i="3"/>
  <c r="BX3558" i="3"/>
  <c r="BB3558" i="3"/>
  <c r="U3558" i="3"/>
  <c r="T3558" i="3"/>
  <c r="S3558" i="3"/>
  <c r="C3558" i="3"/>
  <c r="A3558" i="3"/>
  <c r="BY3557" i="3"/>
  <c r="BX3557" i="3"/>
  <c r="BB3557" i="3"/>
  <c r="U3557" i="3"/>
  <c r="T3557" i="3"/>
  <c r="S3557" i="3"/>
  <c r="C3557" i="3"/>
  <c r="A3557" i="3"/>
  <c r="BY3556" i="3"/>
  <c r="BX3556" i="3"/>
  <c r="BB3556" i="3"/>
  <c r="U3556" i="3"/>
  <c r="T3556" i="3"/>
  <c r="S3556" i="3"/>
  <c r="C3556" i="3"/>
  <c r="A3556" i="3"/>
  <c r="BY3555" i="3"/>
  <c r="BX3555" i="3"/>
  <c r="BB3555" i="3"/>
  <c r="U3555" i="3"/>
  <c r="T3555" i="3"/>
  <c r="S3555" i="3"/>
  <c r="C3555" i="3"/>
  <c r="A3555" i="3"/>
  <c r="BY3554" i="3"/>
  <c r="BX3554" i="3"/>
  <c r="BB3554" i="3"/>
  <c r="U3554" i="3"/>
  <c r="T3554" i="3"/>
  <c r="S3554" i="3"/>
  <c r="C3554" i="3"/>
  <c r="A3554" i="3"/>
  <c r="BY3553" i="3"/>
  <c r="BX3553" i="3"/>
  <c r="BB3553" i="3"/>
  <c r="U3553" i="3"/>
  <c r="T3553" i="3"/>
  <c r="S3553" i="3"/>
  <c r="C3553" i="3"/>
  <c r="A3553" i="3"/>
  <c r="BY3552" i="3"/>
  <c r="BX3552" i="3"/>
  <c r="BB3552" i="3"/>
  <c r="U3552" i="3"/>
  <c r="T3552" i="3"/>
  <c r="S3552" i="3"/>
  <c r="C3552" i="3"/>
  <c r="A3552" i="3"/>
  <c r="BY3551" i="3"/>
  <c r="BX3551" i="3"/>
  <c r="BB3551" i="3"/>
  <c r="U3551" i="3"/>
  <c r="T3551" i="3"/>
  <c r="S3551" i="3"/>
  <c r="C3551" i="3"/>
  <c r="A3551" i="3"/>
  <c r="BY3550" i="3"/>
  <c r="BX3550" i="3"/>
  <c r="BB3550" i="3"/>
  <c r="U3550" i="3"/>
  <c r="T3550" i="3"/>
  <c r="S3550" i="3"/>
  <c r="C3550" i="3"/>
  <c r="A3550" i="3"/>
  <c r="BY3549" i="3"/>
  <c r="BX3549" i="3"/>
  <c r="BB3549" i="3"/>
  <c r="U3549" i="3"/>
  <c r="T3549" i="3"/>
  <c r="S3549" i="3"/>
  <c r="C3549" i="3"/>
  <c r="A3549" i="3"/>
  <c r="BY3548" i="3"/>
  <c r="BX3548" i="3"/>
  <c r="BB3548" i="3"/>
  <c r="U3548" i="3"/>
  <c r="T3548" i="3"/>
  <c r="S3548" i="3"/>
  <c r="C3548" i="3"/>
  <c r="A3548" i="3"/>
  <c r="BY3547" i="3"/>
  <c r="BX3547" i="3"/>
  <c r="BB3547" i="3"/>
  <c r="U3547" i="3"/>
  <c r="T3547" i="3"/>
  <c r="S3547" i="3"/>
  <c r="C3547" i="3"/>
  <c r="A3547" i="3"/>
  <c r="BY3546" i="3"/>
  <c r="BX3546" i="3"/>
  <c r="BB3546" i="3"/>
  <c r="U3546" i="3"/>
  <c r="T3546" i="3"/>
  <c r="S3546" i="3"/>
  <c r="C3546" i="3"/>
  <c r="A3546" i="3"/>
  <c r="BY3545" i="3"/>
  <c r="BX3545" i="3"/>
  <c r="BB3545" i="3"/>
  <c r="U3545" i="3"/>
  <c r="T3545" i="3"/>
  <c r="S3545" i="3"/>
  <c r="C3545" i="3"/>
  <c r="A3545" i="3"/>
  <c r="BY3544" i="3"/>
  <c r="BX3544" i="3"/>
  <c r="BB3544" i="3"/>
  <c r="U3544" i="3"/>
  <c r="T3544" i="3"/>
  <c r="S3544" i="3"/>
  <c r="C3544" i="3"/>
  <c r="A3544" i="3"/>
  <c r="BY3543" i="3"/>
  <c r="BX3543" i="3"/>
  <c r="BB3543" i="3"/>
  <c r="U3543" i="3"/>
  <c r="T3543" i="3"/>
  <c r="S3543" i="3"/>
  <c r="C3543" i="3"/>
  <c r="A3543" i="3"/>
  <c r="BY3542" i="3"/>
  <c r="BX3542" i="3"/>
  <c r="BB3542" i="3"/>
  <c r="U3542" i="3"/>
  <c r="T3542" i="3"/>
  <c r="S3542" i="3"/>
  <c r="C3542" i="3"/>
  <c r="A3542" i="3"/>
  <c r="BY3541" i="3"/>
  <c r="BX3541" i="3"/>
  <c r="BB3541" i="3"/>
  <c r="U3541" i="3"/>
  <c r="T3541" i="3"/>
  <c r="S3541" i="3"/>
  <c r="C3541" i="3"/>
  <c r="A3541" i="3"/>
  <c r="BY3540" i="3"/>
  <c r="BX3540" i="3"/>
  <c r="BB3540" i="3"/>
  <c r="U3540" i="3"/>
  <c r="T3540" i="3"/>
  <c r="S3540" i="3"/>
  <c r="C3540" i="3"/>
  <c r="A3540" i="3"/>
  <c r="BY3539" i="3"/>
  <c r="BX3539" i="3"/>
  <c r="BB3539" i="3"/>
  <c r="U3539" i="3"/>
  <c r="T3539" i="3"/>
  <c r="S3539" i="3"/>
  <c r="C3539" i="3"/>
  <c r="A3539" i="3"/>
  <c r="BY3538" i="3"/>
  <c r="BX3538" i="3"/>
  <c r="BB3538" i="3"/>
  <c r="U3538" i="3"/>
  <c r="T3538" i="3"/>
  <c r="S3538" i="3"/>
  <c r="C3538" i="3"/>
  <c r="A3538" i="3"/>
  <c r="BY3537" i="3"/>
  <c r="BX3537" i="3"/>
  <c r="BB3537" i="3"/>
  <c r="U3537" i="3"/>
  <c r="T3537" i="3"/>
  <c r="S3537" i="3"/>
  <c r="C3537" i="3"/>
  <c r="A3537" i="3"/>
  <c r="BY3536" i="3"/>
  <c r="BX3536" i="3"/>
  <c r="BB3536" i="3"/>
  <c r="U3536" i="3"/>
  <c r="T3536" i="3"/>
  <c r="S3536" i="3"/>
  <c r="C3536" i="3"/>
  <c r="A3536" i="3"/>
  <c r="BY3535" i="3"/>
  <c r="BX3535" i="3"/>
  <c r="BB3535" i="3"/>
  <c r="U3535" i="3"/>
  <c r="T3535" i="3"/>
  <c r="S3535" i="3"/>
  <c r="C3535" i="3"/>
  <c r="A3535" i="3"/>
  <c r="BY3534" i="3"/>
  <c r="BX3534" i="3"/>
  <c r="BB3534" i="3"/>
  <c r="U3534" i="3"/>
  <c r="T3534" i="3"/>
  <c r="S3534" i="3"/>
  <c r="C3534" i="3"/>
  <c r="A3534" i="3"/>
  <c r="BY3533" i="3"/>
  <c r="BX3533" i="3"/>
  <c r="BB3533" i="3"/>
  <c r="U3533" i="3"/>
  <c r="T3533" i="3"/>
  <c r="S3533" i="3"/>
  <c r="C3533" i="3"/>
  <c r="A3533" i="3"/>
  <c r="BY3532" i="3"/>
  <c r="BX3532" i="3"/>
  <c r="BB3532" i="3"/>
  <c r="U3532" i="3"/>
  <c r="T3532" i="3"/>
  <c r="S3532" i="3"/>
  <c r="C3532" i="3"/>
  <c r="A3532" i="3"/>
  <c r="BY3531" i="3"/>
  <c r="BX3531" i="3"/>
  <c r="BB3531" i="3"/>
  <c r="U3531" i="3"/>
  <c r="T3531" i="3"/>
  <c r="S3531" i="3"/>
  <c r="C3531" i="3"/>
  <c r="A3531" i="3"/>
  <c r="BY3530" i="3"/>
  <c r="BX3530" i="3"/>
  <c r="BB3530" i="3"/>
  <c r="U3530" i="3"/>
  <c r="T3530" i="3"/>
  <c r="S3530" i="3"/>
  <c r="C3530" i="3"/>
  <c r="A3530" i="3"/>
  <c r="BY3529" i="3"/>
  <c r="BX3529" i="3"/>
  <c r="BB3529" i="3"/>
  <c r="U3529" i="3"/>
  <c r="T3529" i="3"/>
  <c r="S3529" i="3"/>
  <c r="C3529" i="3"/>
  <c r="A3529" i="3"/>
  <c r="BY3528" i="3"/>
  <c r="BX3528" i="3"/>
  <c r="BB3528" i="3"/>
  <c r="U3528" i="3"/>
  <c r="T3528" i="3"/>
  <c r="S3528" i="3"/>
  <c r="C3528" i="3"/>
  <c r="A3528" i="3"/>
  <c r="BY3527" i="3"/>
  <c r="BX3527" i="3"/>
  <c r="BB3527" i="3"/>
  <c r="U3527" i="3"/>
  <c r="T3527" i="3"/>
  <c r="S3527" i="3"/>
  <c r="C3527" i="3"/>
  <c r="A3527" i="3"/>
  <c r="BY3526" i="3"/>
  <c r="BX3526" i="3"/>
  <c r="BB3526" i="3"/>
  <c r="U3526" i="3"/>
  <c r="T3526" i="3"/>
  <c r="S3526" i="3"/>
  <c r="C3526" i="3"/>
  <c r="A3526" i="3"/>
  <c r="BY3525" i="3"/>
  <c r="BX3525" i="3"/>
  <c r="BB3525" i="3"/>
  <c r="U3525" i="3"/>
  <c r="T3525" i="3"/>
  <c r="S3525" i="3"/>
  <c r="C3525" i="3"/>
  <c r="A3525" i="3"/>
  <c r="BY3524" i="3"/>
  <c r="BX3524" i="3"/>
  <c r="BB3524" i="3"/>
  <c r="U3524" i="3"/>
  <c r="T3524" i="3"/>
  <c r="S3524" i="3"/>
  <c r="C3524" i="3"/>
  <c r="A3524" i="3"/>
  <c r="BY3523" i="3"/>
  <c r="BX3523" i="3"/>
  <c r="BB3523" i="3"/>
  <c r="U3523" i="3"/>
  <c r="T3523" i="3"/>
  <c r="S3523" i="3"/>
  <c r="C3523" i="3"/>
  <c r="A3523" i="3"/>
  <c r="BY3522" i="3"/>
  <c r="BX3522" i="3"/>
  <c r="BB3522" i="3"/>
  <c r="U3522" i="3"/>
  <c r="T3522" i="3"/>
  <c r="S3522" i="3"/>
  <c r="C3522" i="3"/>
  <c r="A3522" i="3"/>
  <c r="BY3521" i="3"/>
  <c r="BX3521" i="3"/>
  <c r="BB3521" i="3"/>
  <c r="U3521" i="3"/>
  <c r="T3521" i="3"/>
  <c r="S3521" i="3"/>
  <c r="C3521" i="3"/>
  <c r="A3521" i="3"/>
  <c r="BY3520" i="3"/>
  <c r="BX3520" i="3"/>
  <c r="BB3520" i="3"/>
  <c r="U3520" i="3"/>
  <c r="T3520" i="3"/>
  <c r="S3520" i="3"/>
  <c r="C3520" i="3"/>
  <c r="A3520" i="3"/>
  <c r="BY3519" i="3"/>
  <c r="BX3519" i="3"/>
  <c r="BB3519" i="3"/>
  <c r="U3519" i="3"/>
  <c r="T3519" i="3"/>
  <c r="S3519" i="3"/>
  <c r="C3519" i="3"/>
  <c r="A3519" i="3"/>
  <c r="BY3518" i="3"/>
  <c r="BX3518" i="3"/>
  <c r="BB3518" i="3"/>
  <c r="U3518" i="3"/>
  <c r="T3518" i="3"/>
  <c r="S3518" i="3"/>
  <c r="C3518" i="3"/>
  <c r="A3518" i="3"/>
  <c r="BY3517" i="3"/>
  <c r="BX3517" i="3"/>
  <c r="BB3517" i="3"/>
  <c r="U3517" i="3"/>
  <c r="T3517" i="3"/>
  <c r="S3517" i="3"/>
  <c r="C3517" i="3"/>
  <c r="A3517" i="3"/>
  <c r="BY3516" i="3"/>
  <c r="BX3516" i="3"/>
  <c r="BB3516" i="3"/>
  <c r="U3516" i="3"/>
  <c r="T3516" i="3"/>
  <c r="S3516" i="3"/>
  <c r="C3516" i="3"/>
  <c r="A3516" i="3"/>
  <c r="BY3515" i="3"/>
  <c r="BX3515" i="3"/>
  <c r="BB3515" i="3"/>
  <c r="U3515" i="3"/>
  <c r="T3515" i="3"/>
  <c r="S3515" i="3"/>
  <c r="C3515" i="3"/>
  <c r="A3515" i="3"/>
  <c r="BY3514" i="3"/>
  <c r="BX3514" i="3"/>
  <c r="BB3514" i="3"/>
  <c r="U3514" i="3"/>
  <c r="T3514" i="3"/>
  <c r="S3514" i="3"/>
  <c r="C3514" i="3"/>
  <c r="A3514" i="3"/>
  <c r="BY3513" i="3"/>
  <c r="BX3513" i="3"/>
  <c r="BB3513" i="3"/>
  <c r="U3513" i="3"/>
  <c r="T3513" i="3"/>
  <c r="S3513" i="3"/>
  <c r="C3513" i="3"/>
  <c r="A3513" i="3"/>
  <c r="BY3512" i="3"/>
  <c r="BX3512" i="3"/>
  <c r="BB3512" i="3"/>
  <c r="U3512" i="3"/>
  <c r="T3512" i="3"/>
  <c r="S3512" i="3"/>
  <c r="C3512" i="3"/>
  <c r="A3512" i="3"/>
  <c r="BY3511" i="3"/>
  <c r="BX3511" i="3"/>
  <c r="BB3511" i="3"/>
  <c r="U3511" i="3"/>
  <c r="T3511" i="3"/>
  <c r="S3511" i="3"/>
  <c r="C3511" i="3"/>
  <c r="A3511" i="3"/>
  <c r="BY3510" i="3"/>
  <c r="BX3510" i="3"/>
  <c r="BB3510" i="3"/>
  <c r="U3510" i="3"/>
  <c r="T3510" i="3"/>
  <c r="S3510" i="3"/>
  <c r="C3510" i="3"/>
  <c r="A3510" i="3"/>
  <c r="BY3509" i="3"/>
  <c r="BX3509" i="3"/>
  <c r="BB3509" i="3"/>
  <c r="U3509" i="3"/>
  <c r="T3509" i="3"/>
  <c r="S3509" i="3"/>
  <c r="C3509" i="3"/>
  <c r="A3509" i="3"/>
  <c r="BY3508" i="3"/>
  <c r="BX3508" i="3"/>
  <c r="BB3508" i="3"/>
  <c r="U3508" i="3"/>
  <c r="T3508" i="3"/>
  <c r="S3508" i="3"/>
  <c r="C3508" i="3"/>
  <c r="A3508" i="3"/>
  <c r="BY3507" i="3"/>
  <c r="BX3507" i="3"/>
  <c r="BB3507" i="3"/>
  <c r="U3507" i="3"/>
  <c r="T3507" i="3"/>
  <c r="S3507" i="3"/>
  <c r="C3507" i="3"/>
  <c r="A3507" i="3"/>
  <c r="BY3506" i="3"/>
  <c r="BX3506" i="3"/>
  <c r="BB3506" i="3"/>
  <c r="U3506" i="3"/>
  <c r="T3506" i="3"/>
  <c r="S3506" i="3"/>
  <c r="C3506" i="3"/>
  <c r="A3506" i="3"/>
  <c r="BY3505" i="3"/>
  <c r="BX3505" i="3"/>
  <c r="BB3505" i="3"/>
  <c r="U3505" i="3"/>
  <c r="T3505" i="3"/>
  <c r="S3505" i="3"/>
  <c r="C3505" i="3"/>
  <c r="A3505" i="3"/>
  <c r="BY3504" i="3"/>
  <c r="BX3504" i="3"/>
  <c r="BB3504" i="3"/>
  <c r="U3504" i="3"/>
  <c r="T3504" i="3"/>
  <c r="S3504" i="3"/>
  <c r="C3504" i="3"/>
  <c r="A3504" i="3"/>
  <c r="BY3503" i="3"/>
  <c r="BX3503" i="3"/>
  <c r="BB3503" i="3"/>
  <c r="U3503" i="3"/>
  <c r="T3503" i="3"/>
  <c r="S3503" i="3"/>
  <c r="C3503" i="3"/>
  <c r="A3503" i="3"/>
  <c r="BY3502" i="3"/>
  <c r="BX3502" i="3"/>
  <c r="BB3502" i="3"/>
  <c r="U3502" i="3"/>
  <c r="T3502" i="3"/>
  <c r="S3502" i="3"/>
  <c r="C3502" i="3"/>
  <c r="A3502" i="3"/>
  <c r="BY3501" i="3"/>
  <c r="BX3501" i="3"/>
  <c r="BB3501" i="3"/>
  <c r="U3501" i="3"/>
  <c r="T3501" i="3"/>
  <c r="S3501" i="3"/>
  <c r="C3501" i="3"/>
  <c r="A3501" i="3"/>
  <c r="BY3500" i="3"/>
  <c r="BX3500" i="3"/>
  <c r="BB3500" i="3"/>
  <c r="U3500" i="3"/>
  <c r="T3500" i="3"/>
  <c r="S3500" i="3"/>
  <c r="C3500" i="3"/>
  <c r="A3500" i="3"/>
  <c r="BY3499" i="3"/>
  <c r="BX3499" i="3"/>
  <c r="BB3499" i="3"/>
  <c r="U3499" i="3"/>
  <c r="T3499" i="3"/>
  <c r="S3499" i="3"/>
  <c r="C3499" i="3"/>
  <c r="A3499" i="3"/>
  <c r="BY3498" i="3"/>
  <c r="BX3498" i="3"/>
  <c r="BB3498" i="3"/>
  <c r="U3498" i="3"/>
  <c r="T3498" i="3"/>
  <c r="S3498" i="3"/>
  <c r="C3498" i="3"/>
  <c r="A3498" i="3"/>
  <c r="BY3497" i="3"/>
  <c r="BX3497" i="3"/>
  <c r="BB3497" i="3"/>
  <c r="U3497" i="3"/>
  <c r="T3497" i="3"/>
  <c r="S3497" i="3"/>
  <c r="C3497" i="3"/>
  <c r="A3497" i="3"/>
  <c r="BY3496" i="3"/>
  <c r="BX3496" i="3"/>
  <c r="BB3496" i="3"/>
  <c r="U3496" i="3"/>
  <c r="T3496" i="3"/>
  <c r="S3496" i="3"/>
  <c r="C3496" i="3"/>
  <c r="A3496" i="3"/>
  <c r="BY3495" i="3"/>
  <c r="BX3495" i="3"/>
  <c r="BB3495" i="3"/>
  <c r="U3495" i="3"/>
  <c r="T3495" i="3"/>
  <c r="S3495" i="3"/>
  <c r="C3495" i="3"/>
  <c r="A3495" i="3"/>
  <c r="BY3494" i="3"/>
  <c r="BX3494" i="3"/>
  <c r="BB3494" i="3"/>
  <c r="U3494" i="3"/>
  <c r="T3494" i="3"/>
  <c r="S3494" i="3"/>
  <c r="C3494" i="3"/>
  <c r="A3494" i="3"/>
  <c r="BY3493" i="3"/>
  <c r="BX3493" i="3"/>
  <c r="BB3493" i="3"/>
  <c r="U3493" i="3"/>
  <c r="T3493" i="3"/>
  <c r="S3493" i="3"/>
  <c r="C3493" i="3"/>
  <c r="A3493" i="3"/>
  <c r="BY3492" i="3"/>
  <c r="BX3492" i="3"/>
  <c r="BB3492" i="3"/>
  <c r="U3492" i="3"/>
  <c r="T3492" i="3"/>
  <c r="S3492" i="3"/>
  <c r="C3492" i="3"/>
  <c r="A3492" i="3"/>
  <c r="BY3491" i="3"/>
  <c r="BX3491" i="3"/>
  <c r="BB3491" i="3"/>
  <c r="U3491" i="3"/>
  <c r="T3491" i="3"/>
  <c r="S3491" i="3"/>
  <c r="C3491" i="3"/>
  <c r="A3491" i="3"/>
  <c r="BY3490" i="3"/>
  <c r="BX3490" i="3"/>
  <c r="BB3490" i="3"/>
  <c r="U3490" i="3"/>
  <c r="T3490" i="3"/>
  <c r="S3490" i="3"/>
  <c r="C3490" i="3"/>
  <c r="A3490" i="3"/>
  <c r="BY3489" i="3"/>
  <c r="BX3489" i="3"/>
  <c r="BB3489" i="3"/>
  <c r="U3489" i="3"/>
  <c r="T3489" i="3"/>
  <c r="S3489" i="3"/>
  <c r="C3489" i="3"/>
  <c r="A3489" i="3"/>
  <c r="BY3488" i="3"/>
  <c r="BX3488" i="3"/>
  <c r="BB3488" i="3"/>
  <c r="U3488" i="3"/>
  <c r="T3488" i="3"/>
  <c r="S3488" i="3"/>
  <c r="C3488" i="3"/>
  <c r="A3488" i="3"/>
  <c r="BY3487" i="3"/>
  <c r="BX3487" i="3"/>
  <c r="BB3487" i="3"/>
  <c r="U3487" i="3"/>
  <c r="T3487" i="3"/>
  <c r="S3487" i="3"/>
  <c r="C3487" i="3"/>
  <c r="A3487" i="3"/>
  <c r="BY3486" i="3"/>
  <c r="BX3486" i="3"/>
  <c r="BB3486" i="3"/>
  <c r="U3486" i="3"/>
  <c r="T3486" i="3"/>
  <c r="S3486" i="3"/>
  <c r="C3486" i="3"/>
  <c r="A3486" i="3"/>
  <c r="BY3485" i="3"/>
  <c r="BX3485" i="3"/>
  <c r="BB3485" i="3"/>
  <c r="U3485" i="3"/>
  <c r="T3485" i="3"/>
  <c r="S3485" i="3"/>
  <c r="C3485" i="3"/>
  <c r="A3485" i="3"/>
  <c r="BY3484" i="3"/>
  <c r="BX3484" i="3"/>
  <c r="BB3484" i="3"/>
  <c r="U3484" i="3"/>
  <c r="T3484" i="3"/>
  <c r="S3484" i="3"/>
  <c r="C3484" i="3"/>
  <c r="A3484" i="3"/>
  <c r="BY3483" i="3"/>
  <c r="BX3483" i="3"/>
  <c r="BB3483" i="3"/>
  <c r="U3483" i="3"/>
  <c r="T3483" i="3"/>
  <c r="S3483" i="3"/>
  <c r="C3483" i="3"/>
  <c r="A3483" i="3"/>
  <c r="BY3482" i="3"/>
  <c r="BX3482" i="3"/>
  <c r="BB3482" i="3"/>
  <c r="U3482" i="3"/>
  <c r="T3482" i="3"/>
  <c r="S3482" i="3"/>
  <c r="C3482" i="3"/>
  <c r="A3482" i="3"/>
  <c r="BY3481" i="3"/>
  <c r="BX3481" i="3"/>
  <c r="BB3481" i="3"/>
  <c r="U3481" i="3"/>
  <c r="T3481" i="3"/>
  <c r="S3481" i="3"/>
  <c r="C3481" i="3"/>
  <c r="A3481" i="3"/>
  <c r="BY3480" i="3"/>
  <c r="BX3480" i="3"/>
  <c r="BB3480" i="3"/>
  <c r="U3480" i="3"/>
  <c r="T3480" i="3"/>
  <c r="S3480" i="3"/>
  <c r="C3480" i="3"/>
  <c r="A3480" i="3"/>
  <c r="BY3479" i="3"/>
  <c r="BX3479" i="3"/>
  <c r="BB3479" i="3"/>
  <c r="U3479" i="3"/>
  <c r="T3479" i="3"/>
  <c r="S3479" i="3"/>
  <c r="C3479" i="3"/>
  <c r="A3479" i="3"/>
  <c r="BY3478" i="3"/>
  <c r="BX3478" i="3"/>
  <c r="BB3478" i="3"/>
  <c r="U3478" i="3"/>
  <c r="T3478" i="3"/>
  <c r="S3478" i="3"/>
  <c r="C3478" i="3"/>
  <c r="A3478" i="3"/>
  <c r="BY3477" i="3"/>
  <c r="BX3477" i="3"/>
  <c r="BB3477" i="3"/>
  <c r="U3477" i="3"/>
  <c r="T3477" i="3"/>
  <c r="S3477" i="3"/>
  <c r="C3477" i="3"/>
  <c r="A3477" i="3"/>
  <c r="BY3476" i="3"/>
  <c r="BX3476" i="3"/>
  <c r="BB3476" i="3"/>
  <c r="U3476" i="3"/>
  <c r="T3476" i="3"/>
  <c r="S3476" i="3"/>
  <c r="C3476" i="3"/>
  <c r="A3476" i="3"/>
  <c r="BY3475" i="3"/>
  <c r="BX3475" i="3"/>
  <c r="BB3475" i="3"/>
  <c r="U3475" i="3"/>
  <c r="T3475" i="3"/>
  <c r="S3475" i="3"/>
  <c r="C3475" i="3"/>
  <c r="A3475" i="3"/>
  <c r="BY3474" i="3"/>
  <c r="BX3474" i="3"/>
  <c r="BB3474" i="3"/>
  <c r="U3474" i="3"/>
  <c r="T3474" i="3"/>
  <c r="S3474" i="3"/>
  <c r="C3474" i="3"/>
  <c r="A3474" i="3"/>
  <c r="BY3473" i="3"/>
  <c r="BX3473" i="3"/>
  <c r="BB3473" i="3"/>
  <c r="U3473" i="3"/>
  <c r="T3473" i="3"/>
  <c r="S3473" i="3"/>
  <c r="C3473" i="3"/>
  <c r="A3473" i="3"/>
  <c r="BY3472" i="3"/>
  <c r="BX3472" i="3"/>
  <c r="BB3472" i="3"/>
  <c r="U3472" i="3"/>
  <c r="T3472" i="3"/>
  <c r="S3472" i="3"/>
  <c r="C3472" i="3"/>
  <c r="A3472" i="3"/>
  <c r="BY3471" i="3"/>
  <c r="BX3471" i="3"/>
  <c r="BB3471" i="3"/>
  <c r="U3471" i="3"/>
  <c r="T3471" i="3"/>
  <c r="S3471" i="3"/>
  <c r="C3471" i="3"/>
  <c r="A3471" i="3"/>
  <c r="BY3470" i="3"/>
  <c r="BX3470" i="3"/>
  <c r="BB3470" i="3"/>
  <c r="U3470" i="3"/>
  <c r="T3470" i="3"/>
  <c r="S3470" i="3"/>
  <c r="C3470" i="3"/>
  <c r="A3470" i="3"/>
  <c r="BY3469" i="3"/>
  <c r="BX3469" i="3"/>
  <c r="BB3469" i="3"/>
  <c r="U3469" i="3"/>
  <c r="T3469" i="3"/>
  <c r="S3469" i="3"/>
  <c r="C3469" i="3"/>
  <c r="A3469" i="3"/>
  <c r="BY3468" i="3"/>
  <c r="BX3468" i="3"/>
  <c r="BB3468" i="3"/>
  <c r="U3468" i="3"/>
  <c r="T3468" i="3"/>
  <c r="S3468" i="3"/>
  <c r="C3468" i="3"/>
  <c r="A3468" i="3"/>
  <c r="BY3467" i="3"/>
  <c r="BX3467" i="3"/>
  <c r="BB3467" i="3"/>
  <c r="U3467" i="3"/>
  <c r="T3467" i="3"/>
  <c r="S3467" i="3"/>
  <c r="C3467" i="3"/>
  <c r="A3467" i="3"/>
  <c r="BY3466" i="3"/>
  <c r="BX3466" i="3"/>
  <c r="BB3466" i="3"/>
  <c r="U3466" i="3"/>
  <c r="T3466" i="3"/>
  <c r="S3466" i="3"/>
  <c r="C3466" i="3"/>
  <c r="A3466" i="3"/>
  <c r="BY3465" i="3"/>
  <c r="BX3465" i="3"/>
  <c r="BB3465" i="3"/>
  <c r="U3465" i="3"/>
  <c r="T3465" i="3"/>
  <c r="S3465" i="3"/>
  <c r="C3465" i="3"/>
  <c r="A3465" i="3"/>
  <c r="BY3464" i="3"/>
  <c r="BX3464" i="3"/>
  <c r="BB3464" i="3"/>
  <c r="U3464" i="3"/>
  <c r="T3464" i="3"/>
  <c r="S3464" i="3"/>
  <c r="C3464" i="3"/>
  <c r="A3464" i="3"/>
  <c r="BY3463" i="3"/>
  <c r="BX3463" i="3"/>
  <c r="BB3463" i="3"/>
  <c r="U3463" i="3"/>
  <c r="T3463" i="3"/>
  <c r="S3463" i="3"/>
  <c r="C3463" i="3"/>
  <c r="A3463" i="3"/>
  <c r="BY3462" i="3"/>
  <c r="BX3462" i="3"/>
  <c r="BB3462" i="3"/>
  <c r="U3462" i="3"/>
  <c r="T3462" i="3"/>
  <c r="S3462" i="3"/>
  <c r="C3462" i="3"/>
  <c r="A3462" i="3"/>
  <c r="BY3461" i="3"/>
  <c r="BX3461" i="3"/>
  <c r="BB3461" i="3"/>
  <c r="U3461" i="3"/>
  <c r="T3461" i="3"/>
  <c r="S3461" i="3"/>
  <c r="C3461" i="3"/>
  <c r="A3461" i="3"/>
  <c r="BY3460" i="3"/>
  <c r="BX3460" i="3"/>
  <c r="BB3460" i="3"/>
  <c r="U3460" i="3"/>
  <c r="T3460" i="3"/>
  <c r="S3460" i="3"/>
  <c r="C3460" i="3"/>
  <c r="A3460" i="3"/>
  <c r="BY3459" i="3"/>
  <c r="BX3459" i="3"/>
  <c r="BB3459" i="3"/>
  <c r="U3459" i="3"/>
  <c r="T3459" i="3"/>
  <c r="S3459" i="3"/>
  <c r="C3459" i="3"/>
  <c r="A3459" i="3"/>
  <c r="BY3458" i="3"/>
  <c r="BX3458" i="3"/>
  <c r="BB3458" i="3"/>
  <c r="U3458" i="3"/>
  <c r="T3458" i="3"/>
  <c r="S3458" i="3"/>
  <c r="C3458" i="3"/>
  <c r="A3458" i="3"/>
  <c r="BY3457" i="3"/>
  <c r="BX3457" i="3"/>
  <c r="BB3457" i="3"/>
  <c r="U3457" i="3"/>
  <c r="T3457" i="3"/>
  <c r="S3457" i="3"/>
  <c r="C3457" i="3"/>
  <c r="A3457" i="3"/>
  <c r="BY3456" i="3"/>
  <c r="BX3456" i="3"/>
  <c r="BB3456" i="3"/>
  <c r="U3456" i="3"/>
  <c r="T3456" i="3"/>
  <c r="S3456" i="3"/>
  <c r="C3456" i="3"/>
  <c r="A3456" i="3"/>
  <c r="BY3455" i="3"/>
  <c r="BX3455" i="3"/>
  <c r="BB3455" i="3"/>
  <c r="U3455" i="3"/>
  <c r="T3455" i="3"/>
  <c r="S3455" i="3"/>
  <c r="C3455" i="3"/>
  <c r="A3455" i="3"/>
  <c r="BY3454" i="3"/>
  <c r="BX3454" i="3"/>
  <c r="BB3454" i="3"/>
  <c r="U3454" i="3"/>
  <c r="T3454" i="3"/>
  <c r="S3454" i="3"/>
  <c r="C3454" i="3"/>
  <c r="A3454" i="3"/>
  <c r="BY3453" i="3"/>
  <c r="BX3453" i="3"/>
  <c r="BB3453" i="3"/>
  <c r="U3453" i="3"/>
  <c r="T3453" i="3"/>
  <c r="S3453" i="3"/>
  <c r="C3453" i="3"/>
  <c r="A3453" i="3"/>
  <c r="BY3452" i="3"/>
  <c r="BX3452" i="3"/>
  <c r="BB3452" i="3"/>
  <c r="U3452" i="3"/>
  <c r="T3452" i="3"/>
  <c r="S3452" i="3"/>
  <c r="C3452" i="3"/>
  <c r="A3452" i="3"/>
  <c r="BY3451" i="3"/>
  <c r="BX3451" i="3"/>
  <c r="BB3451" i="3"/>
  <c r="U3451" i="3"/>
  <c r="T3451" i="3"/>
  <c r="S3451" i="3"/>
  <c r="C3451" i="3"/>
  <c r="A3451" i="3"/>
  <c r="BY3450" i="3"/>
  <c r="BX3450" i="3"/>
  <c r="BB3450" i="3"/>
  <c r="U3450" i="3"/>
  <c r="T3450" i="3"/>
  <c r="S3450" i="3"/>
  <c r="C3450" i="3"/>
  <c r="A3450" i="3"/>
  <c r="BY3449" i="3"/>
  <c r="BX3449" i="3"/>
  <c r="BB3449" i="3"/>
  <c r="U3449" i="3"/>
  <c r="T3449" i="3"/>
  <c r="S3449" i="3"/>
  <c r="C3449" i="3"/>
  <c r="A3449" i="3"/>
  <c r="BY3448" i="3"/>
  <c r="BX3448" i="3"/>
  <c r="BB3448" i="3"/>
  <c r="U3448" i="3"/>
  <c r="T3448" i="3"/>
  <c r="S3448" i="3"/>
  <c r="C3448" i="3"/>
  <c r="A3448" i="3"/>
  <c r="BY3447" i="3"/>
  <c r="BX3447" i="3"/>
  <c r="BB3447" i="3"/>
  <c r="U3447" i="3"/>
  <c r="T3447" i="3"/>
  <c r="S3447" i="3"/>
  <c r="C3447" i="3"/>
  <c r="A3447" i="3"/>
  <c r="BY3446" i="3"/>
  <c r="BX3446" i="3"/>
  <c r="BB3446" i="3"/>
  <c r="U3446" i="3"/>
  <c r="T3446" i="3"/>
  <c r="S3446" i="3"/>
  <c r="C3446" i="3"/>
  <c r="A3446" i="3"/>
  <c r="BY3445" i="3"/>
  <c r="BX3445" i="3"/>
  <c r="BB3445" i="3"/>
  <c r="U3445" i="3"/>
  <c r="T3445" i="3"/>
  <c r="S3445" i="3"/>
  <c r="C3445" i="3"/>
  <c r="A3445" i="3"/>
  <c r="BY3444" i="3"/>
  <c r="BX3444" i="3"/>
  <c r="BB3444" i="3"/>
  <c r="U3444" i="3"/>
  <c r="T3444" i="3"/>
  <c r="S3444" i="3"/>
  <c r="C3444" i="3"/>
  <c r="A3444" i="3"/>
  <c r="BY3443" i="3"/>
  <c r="BX3443" i="3"/>
  <c r="BB3443" i="3"/>
  <c r="U3443" i="3"/>
  <c r="T3443" i="3"/>
  <c r="S3443" i="3"/>
  <c r="C3443" i="3"/>
  <c r="A3443" i="3"/>
  <c r="BY3442" i="3"/>
  <c r="BX3442" i="3"/>
  <c r="BB3442" i="3"/>
  <c r="U3442" i="3"/>
  <c r="T3442" i="3"/>
  <c r="S3442" i="3"/>
  <c r="C3442" i="3"/>
  <c r="A3442" i="3"/>
  <c r="BY3441" i="3"/>
  <c r="BX3441" i="3"/>
  <c r="BB3441" i="3"/>
  <c r="U3441" i="3"/>
  <c r="T3441" i="3"/>
  <c r="S3441" i="3"/>
  <c r="C3441" i="3"/>
  <c r="A3441" i="3"/>
  <c r="BY3440" i="3"/>
  <c r="BX3440" i="3"/>
  <c r="BB3440" i="3"/>
  <c r="U3440" i="3"/>
  <c r="T3440" i="3"/>
  <c r="S3440" i="3"/>
  <c r="C3440" i="3"/>
  <c r="A3440" i="3"/>
  <c r="BY3439" i="3"/>
  <c r="BX3439" i="3"/>
  <c r="BB3439" i="3"/>
  <c r="U3439" i="3"/>
  <c r="T3439" i="3"/>
  <c r="S3439" i="3"/>
  <c r="C3439" i="3"/>
  <c r="A3439" i="3"/>
  <c r="BY3438" i="3"/>
  <c r="BX3438" i="3"/>
  <c r="BB3438" i="3"/>
  <c r="U3438" i="3"/>
  <c r="T3438" i="3"/>
  <c r="S3438" i="3"/>
  <c r="C3438" i="3"/>
  <c r="A3438" i="3"/>
  <c r="BY3437" i="3"/>
  <c r="BX3437" i="3"/>
  <c r="BB3437" i="3"/>
  <c r="U3437" i="3"/>
  <c r="T3437" i="3"/>
  <c r="S3437" i="3"/>
  <c r="C3437" i="3"/>
  <c r="A3437" i="3"/>
  <c r="BY3436" i="3"/>
  <c r="BX3436" i="3"/>
  <c r="BB3436" i="3"/>
  <c r="U3436" i="3"/>
  <c r="T3436" i="3"/>
  <c r="S3436" i="3"/>
  <c r="C3436" i="3"/>
  <c r="A3436" i="3"/>
  <c r="BY3435" i="3"/>
  <c r="BX3435" i="3"/>
  <c r="BB3435" i="3"/>
  <c r="U3435" i="3"/>
  <c r="T3435" i="3"/>
  <c r="S3435" i="3"/>
  <c r="C3435" i="3"/>
  <c r="A3435" i="3"/>
  <c r="BY3434" i="3"/>
  <c r="BX3434" i="3"/>
  <c r="BB3434" i="3"/>
  <c r="U3434" i="3"/>
  <c r="T3434" i="3"/>
  <c r="S3434" i="3"/>
  <c r="C3434" i="3"/>
  <c r="A3434" i="3"/>
  <c r="BY3433" i="3"/>
  <c r="BX3433" i="3"/>
  <c r="BB3433" i="3"/>
  <c r="U3433" i="3"/>
  <c r="T3433" i="3"/>
  <c r="S3433" i="3"/>
  <c r="C3433" i="3"/>
  <c r="A3433" i="3"/>
  <c r="BY3432" i="3"/>
  <c r="BX3432" i="3"/>
  <c r="BB3432" i="3"/>
  <c r="U3432" i="3"/>
  <c r="T3432" i="3"/>
  <c r="S3432" i="3"/>
  <c r="C3432" i="3"/>
  <c r="A3432" i="3"/>
  <c r="BY3431" i="3"/>
  <c r="BX3431" i="3"/>
  <c r="BB3431" i="3"/>
  <c r="U3431" i="3"/>
  <c r="T3431" i="3"/>
  <c r="S3431" i="3"/>
  <c r="C3431" i="3"/>
  <c r="A3431" i="3"/>
  <c r="BY3430" i="3"/>
  <c r="BX3430" i="3"/>
  <c r="BB3430" i="3"/>
  <c r="U3430" i="3"/>
  <c r="T3430" i="3"/>
  <c r="S3430" i="3"/>
  <c r="C3430" i="3"/>
  <c r="A3430" i="3"/>
  <c r="BY3429" i="3"/>
  <c r="BX3429" i="3"/>
  <c r="BB3429" i="3"/>
  <c r="U3429" i="3"/>
  <c r="T3429" i="3"/>
  <c r="S3429" i="3"/>
  <c r="C3429" i="3"/>
  <c r="A3429" i="3"/>
  <c r="BY3428" i="3"/>
  <c r="BX3428" i="3"/>
  <c r="BB3428" i="3"/>
  <c r="U3428" i="3"/>
  <c r="T3428" i="3"/>
  <c r="S3428" i="3"/>
  <c r="C3428" i="3"/>
  <c r="A3428" i="3"/>
  <c r="BY3427" i="3"/>
  <c r="BX3427" i="3"/>
  <c r="BB3427" i="3"/>
  <c r="U3427" i="3"/>
  <c r="T3427" i="3"/>
  <c r="S3427" i="3"/>
  <c r="C3427" i="3"/>
  <c r="A3427" i="3"/>
  <c r="BY3426" i="3"/>
  <c r="BX3426" i="3"/>
  <c r="BB3426" i="3"/>
  <c r="U3426" i="3"/>
  <c r="T3426" i="3"/>
  <c r="S3426" i="3"/>
  <c r="C3426" i="3"/>
  <c r="A3426" i="3"/>
  <c r="BY3425" i="3"/>
  <c r="BX3425" i="3"/>
  <c r="BB3425" i="3"/>
  <c r="U3425" i="3"/>
  <c r="T3425" i="3"/>
  <c r="S3425" i="3"/>
  <c r="C3425" i="3"/>
  <c r="A3425" i="3"/>
  <c r="BY3424" i="3"/>
  <c r="BX3424" i="3"/>
  <c r="BB3424" i="3"/>
  <c r="U3424" i="3"/>
  <c r="T3424" i="3"/>
  <c r="S3424" i="3"/>
  <c r="C3424" i="3"/>
  <c r="A3424" i="3"/>
  <c r="BY3423" i="3"/>
  <c r="BX3423" i="3"/>
  <c r="BB3423" i="3"/>
  <c r="U3423" i="3"/>
  <c r="T3423" i="3"/>
  <c r="S3423" i="3"/>
  <c r="C3423" i="3"/>
  <c r="A3423" i="3"/>
  <c r="BY3422" i="3"/>
  <c r="BX3422" i="3"/>
  <c r="BB3422" i="3"/>
  <c r="U3422" i="3"/>
  <c r="T3422" i="3"/>
  <c r="S3422" i="3"/>
  <c r="C3422" i="3"/>
  <c r="A3422" i="3"/>
  <c r="BY3421" i="3"/>
  <c r="BX3421" i="3"/>
  <c r="BB3421" i="3"/>
  <c r="U3421" i="3"/>
  <c r="T3421" i="3"/>
  <c r="S3421" i="3"/>
  <c r="C3421" i="3"/>
  <c r="A3421" i="3"/>
  <c r="BY3420" i="3"/>
  <c r="BX3420" i="3"/>
  <c r="BB3420" i="3"/>
  <c r="U3420" i="3"/>
  <c r="T3420" i="3"/>
  <c r="S3420" i="3"/>
  <c r="C3420" i="3"/>
  <c r="A3420" i="3"/>
  <c r="BY3419" i="3"/>
  <c r="BX3419" i="3"/>
  <c r="BB3419" i="3"/>
  <c r="U3419" i="3"/>
  <c r="T3419" i="3"/>
  <c r="S3419" i="3"/>
  <c r="C3419" i="3"/>
  <c r="A3419" i="3"/>
  <c r="BY3418" i="3"/>
  <c r="BX3418" i="3"/>
  <c r="BB3418" i="3"/>
  <c r="U3418" i="3"/>
  <c r="T3418" i="3"/>
  <c r="S3418" i="3"/>
  <c r="C3418" i="3"/>
  <c r="A3418" i="3"/>
  <c r="BY3417" i="3"/>
  <c r="BX3417" i="3"/>
  <c r="BB3417" i="3"/>
  <c r="U3417" i="3"/>
  <c r="T3417" i="3"/>
  <c r="S3417" i="3"/>
  <c r="C3417" i="3"/>
  <c r="A3417" i="3"/>
  <c r="BY3416" i="3"/>
  <c r="BX3416" i="3"/>
  <c r="BB3416" i="3"/>
  <c r="U3416" i="3"/>
  <c r="T3416" i="3"/>
  <c r="S3416" i="3"/>
  <c r="C3416" i="3"/>
  <c r="A3416" i="3"/>
  <c r="BY3415" i="3"/>
  <c r="BX3415" i="3"/>
  <c r="BB3415" i="3"/>
  <c r="U3415" i="3"/>
  <c r="T3415" i="3"/>
  <c r="S3415" i="3"/>
  <c r="C3415" i="3"/>
  <c r="A3415" i="3"/>
  <c r="BY3414" i="3"/>
  <c r="BX3414" i="3"/>
  <c r="BB3414" i="3"/>
  <c r="U3414" i="3"/>
  <c r="T3414" i="3"/>
  <c r="S3414" i="3"/>
  <c r="C3414" i="3"/>
  <c r="A3414" i="3"/>
  <c r="BY3413" i="3"/>
  <c r="BX3413" i="3"/>
  <c r="BB3413" i="3"/>
  <c r="U3413" i="3"/>
  <c r="T3413" i="3"/>
  <c r="S3413" i="3"/>
  <c r="C3413" i="3"/>
  <c r="A3413" i="3"/>
  <c r="BY3412" i="3"/>
  <c r="BX3412" i="3"/>
  <c r="BB3412" i="3"/>
  <c r="U3412" i="3"/>
  <c r="T3412" i="3"/>
  <c r="S3412" i="3"/>
  <c r="C3412" i="3"/>
  <c r="A3412" i="3"/>
  <c r="BY3411" i="3"/>
  <c r="BX3411" i="3"/>
  <c r="BB3411" i="3"/>
  <c r="U3411" i="3"/>
  <c r="T3411" i="3"/>
  <c r="S3411" i="3"/>
  <c r="C3411" i="3"/>
  <c r="A3411" i="3"/>
  <c r="BY3410" i="3"/>
  <c r="BX3410" i="3"/>
  <c r="BB3410" i="3"/>
  <c r="U3410" i="3"/>
  <c r="T3410" i="3"/>
  <c r="S3410" i="3"/>
  <c r="C3410" i="3"/>
  <c r="A3410" i="3"/>
  <c r="BY3409" i="3"/>
  <c r="BX3409" i="3"/>
  <c r="BB3409" i="3"/>
  <c r="U3409" i="3"/>
  <c r="T3409" i="3"/>
  <c r="S3409" i="3"/>
  <c r="C3409" i="3"/>
  <c r="A3409" i="3"/>
  <c r="BY3408" i="3"/>
  <c r="BX3408" i="3"/>
  <c r="BB3408" i="3"/>
  <c r="U3408" i="3"/>
  <c r="T3408" i="3"/>
  <c r="S3408" i="3"/>
  <c r="C3408" i="3"/>
  <c r="A3408" i="3"/>
  <c r="BY3407" i="3"/>
  <c r="BX3407" i="3"/>
  <c r="BB3407" i="3"/>
  <c r="U3407" i="3"/>
  <c r="T3407" i="3"/>
  <c r="S3407" i="3"/>
  <c r="C3407" i="3"/>
  <c r="A3407" i="3"/>
  <c r="BY3406" i="3"/>
  <c r="BX3406" i="3"/>
  <c r="BB3406" i="3"/>
  <c r="U3406" i="3"/>
  <c r="T3406" i="3"/>
  <c r="S3406" i="3"/>
  <c r="C3406" i="3"/>
  <c r="A3406" i="3"/>
  <c r="BY3405" i="3"/>
  <c r="BX3405" i="3"/>
  <c r="BB3405" i="3"/>
  <c r="U3405" i="3"/>
  <c r="T3405" i="3"/>
  <c r="S3405" i="3"/>
  <c r="C3405" i="3"/>
  <c r="A3405" i="3"/>
  <c r="BY3404" i="3"/>
  <c r="BX3404" i="3"/>
  <c r="BB3404" i="3"/>
  <c r="U3404" i="3"/>
  <c r="T3404" i="3"/>
  <c r="S3404" i="3"/>
  <c r="C3404" i="3"/>
  <c r="A3404" i="3"/>
  <c r="BY3403" i="3"/>
  <c r="BX3403" i="3"/>
  <c r="BB3403" i="3"/>
  <c r="U3403" i="3"/>
  <c r="T3403" i="3"/>
  <c r="S3403" i="3"/>
  <c r="C3403" i="3"/>
  <c r="A3403" i="3"/>
  <c r="BY3402" i="3"/>
  <c r="BX3402" i="3"/>
  <c r="BB3402" i="3"/>
  <c r="U3402" i="3"/>
  <c r="T3402" i="3"/>
  <c r="S3402" i="3"/>
  <c r="C3402" i="3"/>
  <c r="A3402" i="3"/>
  <c r="BY3401" i="3"/>
  <c r="BX3401" i="3"/>
  <c r="BB3401" i="3"/>
  <c r="U3401" i="3"/>
  <c r="T3401" i="3"/>
  <c r="S3401" i="3"/>
  <c r="C3401" i="3"/>
  <c r="A3401" i="3"/>
  <c r="BY3400" i="3"/>
  <c r="BX3400" i="3"/>
  <c r="BB3400" i="3"/>
  <c r="U3400" i="3"/>
  <c r="T3400" i="3"/>
  <c r="S3400" i="3"/>
  <c r="C3400" i="3"/>
  <c r="A3400" i="3"/>
  <c r="BY3399" i="3"/>
  <c r="BX3399" i="3"/>
  <c r="BB3399" i="3"/>
  <c r="U3399" i="3"/>
  <c r="T3399" i="3"/>
  <c r="S3399" i="3"/>
  <c r="C3399" i="3"/>
  <c r="A3399" i="3"/>
  <c r="BY3398" i="3"/>
  <c r="BX3398" i="3"/>
  <c r="BB3398" i="3"/>
  <c r="U3398" i="3"/>
  <c r="T3398" i="3"/>
  <c r="S3398" i="3"/>
  <c r="C3398" i="3"/>
  <c r="A3398" i="3"/>
  <c r="BY3397" i="3"/>
  <c r="BX3397" i="3"/>
  <c r="BB3397" i="3"/>
  <c r="U3397" i="3"/>
  <c r="T3397" i="3"/>
  <c r="S3397" i="3"/>
  <c r="C3397" i="3"/>
  <c r="A3397" i="3"/>
  <c r="BY3396" i="3"/>
  <c r="BX3396" i="3"/>
  <c r="BB3396" i="3"/>
  <c r="U3396" i="3"/>
  <c r="T3396" i="3"/>
  <c r="S3396" i="3"/>
  <c r="C3396" i="3"/>
  <c r="A3396" i="3"/>
  <c r="BY3395" i="3"/>
  <c r="BX3395" i="3"/>
  <c r="BB3395" i="3"/>
  <c r="U3395" i="3"/>
  <c r="T3395" i="3"/>
  <c r="S3395" i="3"/>
  <c r="C3395" i="3"/>
  <c r="A3395" i="3"/>
  <c r="BY3394" i="3"/>
  <c r="BX3394" i="3"/>
  <c r="BB3394" i="3"/>
  <c r="U3394" i="3"/>
  <c r="T3394" i="3"/>
  <c r="S3394" i="3"/>
  <c r="C3394" i="3"/>
  <c r="A3394" i="3"/>
  <c r="BY3393" i="3"/>
  <c r="BX3393" i="3"/>
  <c r="BB3393" i="3"/>
  <c r="U3393" i="3"/>
  <c r="T3393" i="3"/>
  <c r="S3393" i="3"/>
  <c r="C3393" i="3"/>
  <c r="A3393" i="3"/>
  <c r="BY3392" i="3"/>
  <c r="BX3392" i="3"/>
  <c r="BB3392" i="3"/>
  <c r="U3392" i="3"/>
  <c r="T3392" i="3"/>
  <c r="S3392" i="3"/>
  <c r="C3392" i="3"/>
  <c r="A3392" i="3"/>
  <c r="BY3391" i="3"/>
  <c r="BX3391" i="3"/>
  <c r="BB3391" i="3"/>
  <c r="U3391" i="3"/>
  <c r="T3391" i="3"/>
  <c r="S3391" i="3"/>
  <c r="C3391" i="3"/>
  <c r="A3391" i="3"/>
  <c r="BY3390" i="3"/>
  <c r="BX3390" i="3"/>
  <c r="BB3390" i="3"/>
  <c r="U3390" i="3"/>
  <c r="T3390" i="3"/>
  <c r="S3390" i="3"/>
  <c r="C3390" i="3"/>
  <c r="A3390" i="3"/>
  <c r="BY3389" i="3"/>
  <c r="BX3389" i="3"/>
  <c r="BB3389" i="3"/>
  <c r="U3389" i="3"/>
  <c r="T3389" i="3"/>
  <c r="S3389" i="3"/>
  <c r="C3389" i="3"/>
  <c r="A3389" i="3"/>
  <c r="BY3388" i="3"/>
  <c r="BX3388" i="3"/>
  <c r="BB3388" i="3"/>
  <c r="U3388" i="3"/>
  <c r="T3388" i="3"/>
  <c r="S3388" i="3"/>
  <c r="C3388" i="3"/>
  <c r="A3388" i="3"/>
  <c r="BY3387" i="3"/>
  <c r="BX3387" i="3"/>
  <c r="BB3387" i="3"/>
  <c r="U3387" i="3"/>
  <c r="T3387" i="3"/>
  <c r="S3387" i="3"/>
  <c r="C3387" i="3"/>
  <c r="A3387" i="3"/>
  <c r="BY3386" i="3"/>
  <c r="BX3386" i="3"/>
  <c r="BB3386" i="3"/>
  <c r="U3386" i="3"/>
  <c r="T3386" i="3"/>
  <c r="S3386" i="3"/>
  <c r="C3386" i="3"/>
  <c r="A3386" i="3"/>
  <c r="BY3385" i="3"/>
  <c r="BX3385" i="3"/>
  <c r="BB3385" i="3"/>
  <c r="U3385" i="3"/>
  <c r="T3385" i="3"/>
  <c r="S3385" i="3"/>
  <c r="C3385" i="3"/>
  <c r="A3385" i="3"/>
  <c r="BY3384" i="3"/>
  <c r="BX3384" i="3"/>
  <c r="BB3384" i="3"/>
  <c r="U3384" i="3"/>
  <c r="T3384" i="3"/>
  <c r="S3384" i="3"/>
  <c r="C3384" i="3"/>
  <c r="A3384" i="3"/>
  <c r="BY3383" i="3"/>
  <c r="BX3383" i="3"/>
  <c r="BB3383" i="3"/>
  <c r="U3383" i="3"/>
  <c r="T3383" i="3"/>
  <c r="S3383" i="3"/>
  <c r="C3383" i="3"/>
  <c r="A3383" i="3"/>
  <c r="BY3382" i="3"/>
  <c r="BX3382" i="3"/>
  <c r="BB3382" i="3"/>
  <c r="U3382" i="3"/>
  <c r="T3382" i="3"/>
  <c r="S3382" i="3"/>
  <c r="C3382" i="3"/>
  <c r="A3382" i="3"/>
  <c r="BY3381" i="3"/>
  <c r="BX3381" i="3"/>
  <c r="BB3381" i="3"/>
  <c r="U3381" i="3"/>
  <c r="T3381" i="3"/>
  <c r="S3381" i="3"/>
  <c r="C3381" i="3"/>
  <c r="A3381" i="3"/>
  <c r="BY3380" i="3"/>
  <c r="BX3380" i="3"/>
  <c r="BB3380" i="3"/>
  <c r="U3380" i="3"/>
  <c r="T3380" i="3"/>
  <c r="S3380" i="3"/>
  <c r="C3380" i="3"/>
  <c r="A3380" i="3"/>
  <c r="BY3379" i="3"/>
  <c r="BX3379" i="3"/>
  <c r="BB3379" i="3"/>
  <c r="U3379" i="3"/>
  <c r="T3379" i="3"/>
  <c r="S3379" i="3"/>
  <c r="C3379" i="3"/>
  <c r="A3379" i="3"/>
  <c r="BY3378" i="3"/>
  <c r="BX3378" i="3"/>
  <c r="BB3378" i="3"/>
  <c r="U3378" i="3"/>
  <c r="T3378" i="3"/>
  <c r="S3378" i="3"/>
  <c r="C3378" i="3"/>
  <c r="A3378" i="3"/>
  <c r="BY3377" i="3"/>
  <c r="BX3377" i="3"/>
  <c r="BB3377" i="3"/>
  <c r="U3377" i="3"/>
  <c r="T3377" i="3"/>
  <c r="S3377" i="3"/>
  <c r="C3377" i="3"/>
  <c r="A3377" i="3"/>
  <c r="BY3376" i="3"/>
  <c r="BX3376" i="3"/>
  <c r="BB3376" i="3"/>
  <c r="U3376" i="3"/>
  <c r="T3376" i="3"/>
  <c r="S3376" i="3"/>
  <c r="C3376" i="3"/>
  <c r="A3376" i="3"/>
  <c r="BY3375" i="3"/>
  <c r="BX3375" i="3"/>
  <c r="BB3375" i="3"/>
  <c r="U3375" i="3"/>
  <c r="T3375" i="3"/>
  <c r="S3375" i="3"/>
  <c r="C3375" i="3"/>
  <c r="A3375" i="3"/>
  <c r="BY3374" i="3"/>
  <c r="BX3374" i="3"/>
  <c r="BB3374" i="3"/>
  <c r="U3374" i="3"/>
  <c r="T3374" i="3"/>
  <c r="S3374" i="3"/>
  <c r="C3374" i="3"/>
  <c r="A3374" i="3"/>
  <c r="BY3373" i="3"/>
  <c r="BX3373" i="3"/>
  <c r="BB3373" i="3"/>
  <c r="U3373" i="3"/>
  <c r="T3373" i="3"/>
  <c r="S3373" i="3"/>
  <c r="C3373" i="3"/>
  <c r="A3373" i="3"/>
  <c r="BY3372" i="3"/>
  <c r="BX3372" i="3"/>
  <c r="BB3372" i="3"/>
  <c r="U3372" i="3"/>
  <c r="T3372" i="3"/>
  <c r="S3372" i="3"/>
  <c r="C3372" i="3"/>
  <c r="A3372" i="3"/>
  <c r="BY3371" i="3"/>
  <c r="BX3371" i="3"/>
  <c r="BB3371" i="3"/>
  <c r="U3371" i="3"/>
  <c r="T3371" i="3"/>
  <c r="S3371" i="3"/>
  <c r="C3371" i="3"/>
  <c r="A3371" i="3"/>
  <c r="BY3370" i="3"/>
  <c r="BX3370" i="3"/>
  <c r="BB3370" i="3"/>
  <c r="U3370" i="3"/>
  <c r="T3370" i="3"/>
  <c r="S3370" i="3"/>
  <c r="C3370" i="3"/>
  <c r="A3370" i="3"/>
  <c r="BY3369" i="3"/>
  <c r="BX3369" i="3"/>
  <c r="BB3369" i="3"/>
  <c r="U3369" i="3"/>
  <c r="T3369" i="3"/>
  <c r="S3369" i="3"/>
  <c r="C3369" i="3"/>
  <c r="A3369" i="3"/>
  <c r="BY3368" i="3"/>
  <c r="BX3368" i="3"/>
  <c r="BB3368" i="3"/>
  <c r="U3368" i="3"/>
  <c r="T3368" i="3"/>
  <c r="S3368" i="3"/>
  <c r="C3368" i="3"/>
  <c r="A3368" i="3"/>
  <c r="BY3367" i="3"/>
  <c r="BX3367" i="3"/>
  <c r="BB3367" i="3"/>
  <c r="U3367" i="3"/>
  <c r="T3367" i="3"/>
  <c r="S3367" i="3"/>
  <c r="C3367" i="3"/>
  <c r="A3367" i="3"/>
  <c r="BY3366" i="3"/>
  <c r="BX3366" i="3"/>
  <c r="BB3366" i="3"/>
  <c r="U3366" i="3"/>
  <c r="T3366" i="3"/>
  <c r="S3366" i="3"/>
  <c r="C3366" i="3"/>
  <c r="A3366" i="3"/>
  <c r="BY3365" i="3"/>
  <c r="BX3365" i="3"/>
  <c r="BB3365" i="3"/>
  <c r="U3365" i="3"/>
  <c r="T3365" i="3"/>
  <c r="S3365" i="3"/>
  <c r="C3365" i="3"/>
  <c r="A3365" i="3"/>
  <c r="BY3364" i="3"/>
  <c r="BX3364" i="3"/>
  <c r="BB3364" i="3"/>
  <c r="U3364" i="3"/>
  <c r="T3364" i="3"/>
  <c r="S3364" i="3"/>
  <c r="C3364" i="3"/>
  <c r="A3364" i="3"/>
  <c r="BY3363" i="3"/>
  <c r="BX3363" i="3"/>
  <c r="BB3363" i="3"/>
  <c r="U3363" i="3"/>
  <c r="T3363" i="3"/>
  <c r="S3363" i="3"/>
  <c r="C3363" i="3"/>
  <c r="A3363" i="3"/>
  <c r="BY3362" i="3"/>
  <c r="BX3362" i="3"/>
  <c r="BB3362" i="3"/>
  <c r="U3362" i="3"/>
  <c r="T3362" i="3"/>
  <c r="S3362" i="3"/>
  <c r="C3362" i="3"/>
  <c r="A3362" i="3"/>
  <c r="BY3361" i="3"/>
  <c r="BX3361" i="3"/>
  <c r="BB3361" i="3"/>
  <c r="U3361" i="3"/>
  <c r="T3361" i="3"/>
  <c r="S3361" i="3"/>
  <c r="C3361" i="3"/>
  <c r="A3361" i="3"/>
  <c r="BY3360" i="3"/>
  <c r="BX3360" i="3"/>
  <c r="BB3360" i="3"/>
  <c r="U3360" i="3"/>
  <c r="T3360" i="3"/>
  <c r="S3360" i="3"/>
  <c r="C3360" i="3"/>
  <c r="A3360" i="3"/>
  <c r="BY3359" i="3"/>
  <c r="BX3359" i="3"/>
  <c r="BB3359" i="3"/>
  <c r="U3359" i="3"/>
  <c r="T3359" i="3"/>
  <c r="S3359" i="3"/>
  <c r="C3359" i="3"/>
  <c r="A3359" i="3"/>
  <c r="BY3358" i="3"/>
  <c r="BX3358" i="3"/>
  <c r="BB3358" i="3"/>
  <c r="U3358" i="3"/>
  <c r="T3358" i="3"/>
  <c r="S3358" i="3"/>
  <c r="C3358" i="3"/>
  <c r="A3358" i="3"/>
  <c r="BY3357" i="3"/>
  <c r="BX3357" i="3"/>
  <c r="BB3357" i="3"/>
  <c r="U3357" i="3"/>
  <c r="T3357" i="3"/>
  <c r="S3357" i="3"/>
  <c r="C3357" i="3"/>
  <c r="A3357" i="3"/>
  <c r="BY3356" i="3"/>
  <c r="BX3356" i="3"/>
  <c r="BB3356" i="3"/>
  <c r="U3356" i="3"/>
  <c r="T3356" i="3"/>
  <c r="S3356" i="3"/>
  <c r="C3356" i="3"/>
  <c r="A3356" i="3"/>
  <c r="BY3355" i="3"/>
  <c r="BX3355" i="3"/>
  <c r="BB3355" i="3"/>
  <c r="U3355" i="3"/>
  <c r="T3355" i="3"/>
  <c r="S3355" i="3"/>
  <c r="C3355" i="3"/>
  <c r="A3355" i="3"/>
  <c r="BY3354" i="3"/>
  <c r="BX3354" i="3"/>
  <c r="BB3354" i="3"/>
  <c r="U3354" i="3"/>
  <c r="T3354" i="3"/>
  <c r="S3354" i="3"/>
  <c r="C3354" i="3"/>
  <c r="A3354" i="3"/>
  <c r="BY3353" i="3"/>
  <c r="BX3353" i="3"/>
  <c r="BB3353" i="3"/>
  <c r="U3353" i="3"/>
  <c r="T3353" i="3"/>
  <c r="S3353" i="3"/>
  <c r="C3353" i="3"/>
  <c r="A3353" i="3"/>
  <c r="BY3352" i="3"/>
  <c r="BX3352" i="3"/>
  <c r="BB3352" i="3"/>
  <c r="U3352" i="3"/>
  <c r="T3352" i="3"/>
  <c r="S3352" i="3"/>
  <c r="C3352" i="3"/>
  <c r="A3352" i="3"/>
  <c r="BY3351" i="3"/>
  <c r="BX3351" i="3"/>
  <c r="BB3351" i="3"/>
  <c r="U3351" i="3"/>
  <c r="T3351" i="3"/>
  <c r="S3351" i="3"/>
  <c r="C3351" i="3"/>
  <c r="A3351" i="3"/>
  <c r="BY3350" i="3"/>
  <c r="BX3350" i="3"/>
  <c r="BB3350" i="3"/>
  <c r="U3350" i="3"/>
  <c r="T3350" i="3"/>
  <c r="S3350" i="3"/>
  <c r="C3350" i="3"/>
  <c r="A3350" i="3"/>
  <c r="BY3349" i="3"/>
  <c r="BX3349" i="3"/>
  <c r="BB3349" i="3"/>
  <c r="U3349" i="3"/>
  <c r="T3349" i="3"/>
  <c r="S3349" i="3"/>
  <c r="C3349" i="3"/>
  <c r="A3349" i="3"/>
  <c r="BY3348" i="3"/>
  <c r="BX3348" i="3"/>
  <c r="BB3348" i="3"/>
  <c r="U3348" i="3"/>
  <c r="T3348" i="3"/>
  <c r="S3348" i="3"/>
  <c r="C3348" i="3"/>
  <c r="A3348" i="3"/>
  <c r="BY3347" i="3"/>
  <c r="BX3347" i="3"/>
  <c r="BB3347" i="3"/>
  <c r="U3347" i="3"/>
  <c r="T3347" i="3"/>
  <c r="S3347" i="3"/>
  <c r="C3347" i="3"/>
  <c r="A3347" i="3"/>
  <c r="BY3346" i="3"/>
  <c r="BX3346" i="3"/>
  <c r="BB3346" i="3"/>
  <c r="U3346" i="3"/>
  <c r="T3346" i="3"/>
  <c r="S3346" i="3"/>
  <c r="C3346" i="3"/>
  <c r="A3346" i="3"/>
  <c r="BY3345" i="3"/>
  <c r="BX3345" i="3"/>
  <c r="BB3345" i="3"/>
  <c r="U3345" i="3"/>
  <c r="T3345" i="3"/>
  <c r="S3345" i="3"/>
  <c r="C3345" i="3"/>
  <c r="A3345" i="3"/>
  <c r="BY3344" i="3"/>
  <c r="BX3344" i="3"/>
  <c r="BB3344" i="3"/>
  <c r="U3344" i="3"/>
  <c r="T3344" i="3"/>
  <c r="S3344" i="3"/>
  <c r="C3344" i="3"/>
  <c r="A3344" i="3"/>
  <c r="BY3343" i="3"/>
  <c r="BX3343" i="3"/>
  <c r="BB3343" i="3"/>
  <c r="U3343" i="3"/>
  <c r="T3343" i="3"/>
  <c r="S3343" i="3"/>
  <c r="C3343" i="3"/>
  <c r="A3343" i="3"/>
  <c r="BY3342" i="3"/>
  <c r="BX3342" i="3"/>
  <c r="BB3342" i="3"/>
  <c r="U3342" i="3"/>
  <c r="T3342" i="3"/>
  <c r="S3342" i="3"/>
  <c r="C3342" i="3"/>
  <c r="A3342" i="3"/>
  <c r="BY3341" i="3"/>
  <c r="BX3341" i="3"/>
  <c r="BB3341" i="3"/>
  <c r="U3341" i="3"/>
  <c r="T3341" i="3"/>
  <c r="S3341" i="3"/>
  <c r="C3341" i="3"/>
  <c r="A3341" i="3"/>
  <c r="BY3340" i="3"/>
  <c r="BX3340" i="3"/>
  <c r="BB3340" i="3"/>
  <c r="U3340" i="3"/>
  <c r="T3340" i="3"/>
  <c r="S3340" i="3"/>
  <c r="C3340" i="3"/>
  <c r="A3340" i="3"/>
  <c r="BY3339" i="3"/>
  <c r="BX3339" i="3"/>
  <c r="BB3339" i="3"/>
  <c r="U3339" i="3"/>
  <c r="T3339" i="3"/>
  <c r="S3339" i="3"/>
  <c r="C3339" i="3"/>
  <c r="A3339" i="3"/>
  <c r="BY3338" i="3"/>
  <c r="BX3338" i="3"/>
  <c r="BB3338" i="3"/>
  <c r="U3338" i="3"/>
  <c r="T3338" i="3"/>
  <c r="S3338" i="3"/>
  <c r="C3338" i="3"/>
  <c r="A3338" i="3"/>
  <c r="BY3337" i="3"/>
  <c r="BX3337" i="3"/>
  <c r="BB3337" i="3"/>
  <c r="U3337" i="3"/>
  <c r="T3337" i="3"/>
  <c r="S3337" i="3"/>
  <c r="C3337" i="3"/>
  <c r="A3337" i="3"/>
  <c r="BY3336" i="3"/>
  <c r="BX3336" i="3"/>
  <c r="BB3336" i="3"/>
  <c r="U3336" i="3"/>
  <c r="T3336" i="3"/>
  <c r="S3336" i="3"/>
  <c r="C3336" i="3"/>
  <c r="A3336" i="3"/>
  <c r="BY3335" i="3"/>
  <c r="BX3335" i="3"/>
  <c r="BB3335" i="3"/>
  <c r="U3335" i="3"/>
  <c r="T3335" i="3"/>
  <c r="S3335" i="3"/>
  <c r="C3335" i="3"/>
  <c r="A3335" i="3"/>
  <c r="BY3334" i="3"/>
  <c r="BX3334" i="3"/>
  <c r="BB3334" i="3"/>
  <c r="U3334" i="3"/>
  <c r="T3334" i="3"/>
  <c r="S3334" i="3"/>
  <c r="C3334" i="3"/>
  <c r="A3334" i="3"/>
  <c r="BY3333" i="3"/>
  <c r="BX3333" i="3"/>
  <c r="BB3333" i="3"/>
  <c r="U3333" i="3"/>
  <c r="T3333" i="3"/>
  <c r="S3333" i="3"/>
  <c r="C3333" i="3"/>
  <c r="A3333" i="3"/>
  <c r="BY3332" i="3"/>
  <c r="BX3332" i="3"/>
  <c r="BB3332" i="3"/>
  <c r="U3332" i="3"/>
  <c r="T3332" i="3"/>
  <c r="S3332" i="3"/>
  <c r="C3332" i="3"/>
  <c r="A3332" i="3"/>
  <c r="BY3331" i="3"/>
  <c r="BX3331" i="3"/>
  <c r="BB3331" i="3"/>
  <c r="U3331" i="3"/>
  <c r="T3331" i="3"/>
  <c r="S3331" i="3"/>
  <c r="C3331" i="3"/>
  <c r="A3331" i="3"/>
  <c r="BY3330" i="3"/>
  <c r="BX3330" i="3"/>
  <c r="BB3330" i="3"/>
  <c r="U3330" i="3"/>
  <c r="T3330" i="3"/>
  <c r="S3330" i="3"/>
  <c r="C3330" i="3"/>
  <c r="A3330" i="3"/>
  <c r="BY3329" i="3"/>
  <c r="BX3329" i="3"/>
  <c r="BB3329" i="3"/>
  <c r="U3329" i="3"/>
  <c r="T3329" i="3"/>
  <c r="S3329" i="3"/>
  <c r="C3329" i="3"/>
  <c r="A3329" i="3"/>
  <c r="BY3328" i="3"/>
  <c r="BX3328" i="3"/>
  <c r="BB3328" i="3"/>
  <c r="U3328" i="3"/>
  <c r="T3328" i="3"/>
  <c r="S3328" i="3"/>
  <c r="C3328" i="3"/>
  <c r="A3328" i="3"/>
  <c r="BY3327" i="3"/>
  <c r="BX3327" i="3"/>
  <c r="BB3327" i="3"/>
  <c r="U3327" i="3"/>
  <c r="T3327" i="3"/>
  <c r="S3327" i="3"/>
  <c r="C3327" i="3"/>
  <c r="A3327" i="3"/>
  <c r="BY3326" i="3"/>
  <c r="BX3326" i="3"/>
  <c r="BB3326" i="3"/>
  <c r="U3326" i="3"/>
  <c r="T3326" i="3"/>
  <c r="S3326" i="3"/>
  <c r="C3326" i="3"/>
  <c r="A3326" i="3"/>
  <c r="BY3325" i="3"/>
  <c r="BX3325" i="3"/>
  <c r="BB3325" i="3"/>
  <c r="U3325" i="3"/>
  <c r="T3325" i="3"/>
  <c r="S3325" i="3"/>
  <c r="C3325" i="3"/>
  <c r="A3325" i="3"/>
  <c r="BY3324" i="3"/>
  <c r="BX3324" i="3"/>
  <c r="BB3324" i="3"/>
  <c r="U3324" i="3"/>
  <c r="T3324" i="3"/>
  <c r="S3324" i="3"/>
  <c r="C3324" i="3"/>
  <c r="A3324" i="3"/>
  <c r="BY3323" i="3"/>
  <c r="BX3323" i="3"/>
  <c r="BB3323" i="3"/>
  <c r="U3323" i="3"/>
  <c r="T3323" i="3"/>
  <c r="S3323" i="3"/>
  <c r="C3323" i="3"/>
  <c r="A3323" i="3"/>
  <c r="BY3322" i="3"/>
  <c r="BX3322" i="3"/>
  <c r="BB3322" i="3"/>
  <c r="U3322" i="3"/>
  <c r="T3322" i="3"/>
  <c r="S3322" i="3"/>
  <c r="C3322" i="3"/>
  <c r="A3322" i="3"/>
  <c r="BY3321" i="3"/>
  <c r="BX3321" i="3"/>
  <c r="BB3321" i="3"/>
  <c r="U3321" i="3"/>
  <c r="T3321" i="3"/>
  <c r="S3321" i="3"/>
  <c r="C3321" i="3"/>
  <c r="A3321" i="3"/>
  <c r="BY3320" i="3"/>
  <c r="BX3320" i="3"/>
  <c r="BB3320" i="3"/>
  <c r="U3320" i="3"/>
  <c r="T3320" i="3"/>
  <c r="S3320" i="3"/>
  <c r="C3320" i="3"/>
  <c r="A3320" i="3"/>
  <c r="BY3319" i="3"/>
  <c r="BX3319" i="3"/>
  <c r="BB3319" i="3"/>
  <c r="U3319" i="3"/>
  <c r="T3319" i="3"/>
  <c r="S3319" i="3"/>
  <c r="C3319" i="3"/>
  <c r="A3319" i="3"/>
  <c r="BY3318" i="3"/>
  <c r="BX3318" i="3"/>
  <c r="BB3318" i="3"/>
  <c r="U3318" i="3"/>
  <c r="T3318" i="3"/>
  <c r="S3318" i="3"/>
  <c r="C3318" i="3"/>
  <c r="A3318" i="3"/>
  <c r="BY3317" i="3"/>
  <c r="BX3317" i="3"/>
  <c r="BB3317" i="3"/>
  <c r="U3317" i="3"/>
  <c r="T3317" i="3"/>
  <c r="S3317" i="3"/>
  <c r="C3317" i="3"/>
  <c r="A3317" i="3"/>
  <c r="BY3316" i="3"/>
  <c r="BX3316" i="3"/>
  <c r="BB3316" i="3"/>
  <c r="U3316" i="3"/>
  <c r="T3316" i="3"/>
  <c r="S3316" i="3"/>
  <c r="C3316" i="3"/>
  <c r="A3316" i="3"/>
  <c r="BY3315" i="3"/>
  <c r="BX3315" i="3"/>
  <c r="BB3315" i="3"/>
  <c r="U3315" i="3"/>
  <c r="T3315" i="3"/>
  <c r="S3315" i="3"/>
  <c r="C3315" i="3"/>
  <c r="A3315" i="3"/>
  <c r="BY3314" i="3"/>
  <c r="BX3314" i="3"/>
  <c r="BB3314" i="3"/>
  <c r="U3314" i="3"/>
  <c r="T3314" i="3"/>
  <c r="S3314" i="3"/>
  <c r="C3314" i="3"/>
  <c r="A3314" i="3"/>
  <c r="BY3313" i="3"/>
  <c r="BX3313" i="3"/>
  <c r="BB3313" i="3"/>
  <c r="U3313" i="3"/>
  <c r="T3313" i="3"/>
  <c r="S3313" i="3"/>
  <c r="C3313" i="3"/>
  <c r="A3313" i="3"/>
  <c r="BY3312" i="3"/>
  <c r="BX3312" i="3"/>
  <c r="BB3312" i="3"/>
  <c r="U3312" i="3"/>
  <c r="T3312" i="3"/>
  <c r="S3312" i="3"/>
  <c r="C3312" i="3"/>
  <c r="A3312" i="3"/>
  <c r="BY3311" i="3"/>
  <c r="BX3311" i="3"/>
  <c r="BB3311" i="3"/>
  <c r="U3311" i="3"/>
  <c r="T3311" i="3"/>
  <c r="S3311" i="3"/>
  <c r="C3311" i="3"/>
  <c r="A3311" i="3"/>
  <c r="BY3310" i="3"/>
  <c r="BX3310" i="3"/>
  <c r="BB3310" i="3"/>
  <c r="U3310" i="3"/>
  <c r="T3310" i="3"/>
  <c r="S3310" i="3"/>
  <c r="C3310" i="3"/>
  <c r="A3310" i="3"/>
  <c r="BY3309" i="3"/>
  <c r="BX3309" i="3"/>
  <c r="BB3309" i="3"/>
  <c r="U3309" i="3"/>
  <c r="T3309" i="3"/>
  <c r="S3309" i="3"/>
  <c r="C3309" i="3"/>
  <c r="A3309" i="3"/>
  <c r="BY3308" i="3"/>
  <c r="BX3308" i="3"/>
  <c r="BB3308" i="3"/>
  <c r="U3308" i="3"/>
  <c r="T3308" i="3"/>
  <c r="S3308" i="3"/>
  <c r="C3308" i="3"/>
  <c r="A3308" i="3"/>
  <c r="BY3307" i="3"/>
  <c r="BX3307" i="3"/>
  <c r="BB3307" i="3"/>
  <c r="U3307" i="3"/>
  <c r="T3307" i="3"/>
  <c r="S3307" i="3"/>
  <c r="C3307" i="3"/>
  <c r="A3307" i="3"/>
  <c r="BY3306" i="3"/>
  <c r="BX3306" i="3"/>
  <c r="BB3306" i="3"/>
  <c r="U3306" i="3"/>
  <c r="T3306" i="3"/>
  <c r="S3306" i="3"/>
  <c r="C3306" i="3"/>
  <c r="A3306" i="3"/>
  <c r="BY3305" i="3"/>
  <c r="BX3305" i="3"/>
  <c r="BB3305" i="3"/>
  <c r="U3305" i="3"/>
  <c r="T3305" i="3"/>
  <c r="S3305" i="3"/>
  <c r="C3305" i="3"/>
  <c r="A3305" i="3"/>
  <c r="BY3304" i="3"/>
  <c r="BX3304" i="3"/>
  <c r="BB3304" i="3"/>
  <c r="U3304" i="3"/>
  <c r="T3304" i="3"/>
  <c r="S3304" i="3"/>
  <c r="C3304" i="3"/>
  <c r="A3304" i="3"/>
  <c r="BY3303" i="3"/>
  <c r="BX3303" i="3"/>
  <c r="BB3303" i="3"/>
  <c r="U3303" i="3"/>
  <c r="T3303" i="3"/>
  <c r="S3303" i="3"/>
  <c r="C3303" i="3"/>
  <c r="A3303" i="3"/>
  <c r="BY3302" i="3"/>
  <c r="BX3302" i="3"/>
  <c r="BB3302" i="3"/>
  <c r="U3302" i="3"/>
  <c r="T3302" i="3"/>
  <c r="S3302" i="3"/>
  <c r="C3302" i="3"/>
  <c r="A3302" i="3"/>
  <c r="BY3301" i="3"/>
  <c r="BX3301" i="3"/>
  <c r="BB3301" i="3"/>
  <c r="U3301" i="3"/>
  <c r="T3301" i="3"/>
  <c r="S3301" i="3"/>
  <c r="C3301" i="3"/>
  <c r="A3301" i="3"/>
  <c r="BY3300" i="3"/>
  <c r="BX3300" i="3"/>
  <c r="BB3300" i="3"/>
  <c r="U3300" i="3"/>
  <c r="T3300" i="3"/>
  <c r="S3300" i="3"/>
  <c r="C3300" i="3"/>
  <c r="A3300" i="3"/>
  <c r="BY3299" i="3"/>
  <c r="BX3299" i="3"/>
  <c r="BB3299" i="3"/>
  <c r="U3299" i="3"/>
  <c r="T3299" i="3"/>
  <c r="S3299" i="3"/>
  <c r="C3299" i="3"/>
  <c r="A3299" i="3"/>
  <c r="BY3298" i="3"/>
  <c r="BX3298" i="3"/>
  <c r="BB3298" i="3"/>
  <c r="U3298" i="3"/>
  <c r="T3298" i="3"/>
  <c r="S3298" i="3"/>
  <c r="C3298" i="3"/>
  <c r="A3298" i="3"/>
  <c r="BY3297" i="3"/>
  <c r="BX3297" i="3"/>
  <c r="BB3297" i="3"/>
  <c r="U3297" i="3"/>
  <c r="T3297" i="3"/>
  <c r="S3297" i="3"/>
  <c r="C3297" i="3"/>
  <c r="A3297" i="3"/>
  <c r="BY3296" i="3"/>
  <c r="BX3296" i="3"/>
  <c r="BB3296" i="3"/>
  <c r="U3296" i="3"/>
  <c r="T3296" i="3"/>
  <c r="S3296" i="3"/>
  <c r="C3296" i="3"/>
  <c r="A3296" i="3"/>
  <c r="BY3295" i="3"/>
  <c r="BX3295" i="3"/>
  <c r="BB3295" i="3"/>
  <c r="U3295" i="3"/>
  <c r="T3295" i="3"/>
  <c r="S3295" i="3"/>
  <c r="C3295" i="3"/>
  <c r="A3295" i="3"/>
  <c r="BY3294" i="3"/>
  <c r="BX3294" i="3"/>
  <c r="BB3294" i="3"/>
  <c r="U3294" i="3"/>
  <c r="T3294" i="3"/>
  <c r="S3294" i="3"/>
  <c r="C3294" i="3"/>
  <c r="A3294" i="3"/>
  <c r="BY3293" i="3"/>
  <c r="BX3293" i="3"/>
  <c r="BB3293" i="3"/>
  <c r="U3293" i="3"/>
  <c r="T3293" i="3"/>
  <c r="S3293" i="3"/>
  <c r="C3293" i="3"/>
  <c r="A3293" i="3"/>
  <c r="BY3292" i="3"/>
  <c r="BX3292" i="3"/>
  <c r="BB3292" i="3"/>
  <c r="U3292" i="3"/>
  <c r="T3292" i="3"/>
  <c r="S3292" i="3"/>
  <c r="C3292" i="3"/>
  <c r="A3292" i="3"/>
  <c r="BY3291" i="3"/>
  <c r="BX3291" i="3"/>
  <c r="BB3291" i="3"/>
  <c r="U3291" i="3"/>
  <c r="T3291" i="3"/>
  <c r="S3291" i="3"/>
  <c r="C3291" i="3"/>
  <c r="A3291" i="3"/>
  <c r="BY3290" i="3"/>
  <c r="BX3290" i="3"/>
  <c r="BB3290" i="3"/>
  <c r="U3290" i="3"/>
  <c r="T3290" i="3"/>
  <c r="S3290" i="3"/>
  <c r="C3290" i="3"/>
  <c r="A3290" i="3"/>
  <c r="BY3289" i="3"/>
  <c r="BX3289" i="3"/>
  <c r="BB3289" i="3"/>
  <c r="U3289" i="3"/>
  <c r="T3289" i="3"/>
  <c r="S3289" i="3"/>
  <c r="C3289" i="3"/>
  <c r="A3289" i="3"/>
  <c r="BY3288" i="3"/>
  <c r="BX3288" i="3"/>
  <c r="BB3288" i="3"/>
  <c r="U3288" i="3"/>
  <c r="T3288" i="3"/>
  <c r="S3288" i="3"/>
  <c r="C3288" i="3"/>
  <c r="A3288" i="3"/>
  <c r="BY3287" i="3"/>
  <c r="BX3287" i="3"/>
  <c r="BB3287" i="3"/>
  <c r="U3287" i="3"/>
  <c r="T3287" i="3"/>
  <c r="S3287" i="3"/>
  <c r="C3287" i="3"/>
  <c r="A3287" i="3"/>
  <c r="BY3286" i="3"/>
  <c r="BX3286" i="3"/>
  <c r="BB3286" i="3"/>
  <c r="U3286" i="3"/>
  <c r="T3286" i="3"/>
  <c r="S3286" i="3"/>
  <c r="C3286" i="3"/>
  <c r="A3286" i="3"/>
  <c r="BY3285" i="3"/>
  <c r="BX3285" i="3"/>
  <c r="BB3285" i="3"/>
  <c r="U3285" i="3"/>
  <c r="T3285" i="3"/>
  <c r="S3285" i="3"/>
  <c r="C3285" i="3"/>
  <c r="A3285" i="3"/>
  <c r="BY3284" i="3"/>
  <c r="BX3284" i="3"/>
  <c r="BB3284" i="3"/>
  <c r="U3284" i="3"/>
  <c r="T3284" i="3"/>
  <c r="S3284" i="3"/>
  <c r="C3284" i="3"/>
  <c r="A3284" i="3"/>
  <c r="BY3283" i="3"/>
  <c r="BX3283" i="3"/>
  <c r="BB3283" i="3"/>
  <c r="U3283" i="3"/>
  <c r="T3283" i="3"/>
  <c r="S3283" i="3"/>
  <c r="C3283" i="3"/>
  <c r="A3283" i="3"/>
  <c r="BY3282" i="3"/>
  <c r="BX3282" i="3"/>
  <c r="BB3282" i="3"/>
  <c r="U3282" i="3"/>
  <c r="T3282" i="3"/>
  <c r="S3282" i="3"/>
  <c r="C3282" i="3"/>
  <c r="A3282" i="3"/>
  <c r="BY3281" i="3"/>
  <c r="BX3281" i="3"/>
  <c r="BB3281" i="3"/>
  <c r="U3281" i="3"/>
  <c r="T3281" i="3"/>
  <c r="S3281" i="3"/>
  <c r="C3281" i="3"/>
  <c r="A3281" i="3"/>
  <c r="BY3280" i="3"/>
  <c r="BX3280" i="3"/>
  <c r="BB3280" i="3"/>
  <c r="U3280" i="3"/>
  <c r="T3280" i="3"/>
  <c r="S3280" i="3"/>
  <c r="C3280" i="3"/>
  <c r="A3280" i="3"/>
  <c r="BY3279" i="3"/>
  <c r="BX3279" i="3"/>
  <c r="BB3279" i="3"/>
  <c r="U3279" i="3"/>
  <c r="T3279" i="3"/>
  <c r="S3279" i="3"/>
  <c r="C3279" i="3"/>
  <c r="A3279" i="3"/>
  <c r="BY3278" i="3"/>
  <c r="BX3278" i="3"/>
  <c r="BB3278" i="3"/>
  <c r="U3278" i="3"/>
  <c r="T3278" i="3"/>
  <c r="S3278" i="3"/>
  <c r="C3278" i="3"/>
  <c r="A3278" i="3"/>
  <c r="BY3277" i="3"/>
  <c r="BX3277" i="3"/>
  <c r="BB3277" i="3"/>
  <c r="U3277" i="3"/>
  <c r="T3277" i="3"/>
  <c r="S3277" i="3"/>
  <c r="C3277" i="3"/>
  <c r="A3277" i="3"/>
  <c r="BY3276" i="3"/>
  <c r="BX3276" i="3"/>
  <c r="BB3276" i="3"/>
  <c r="U3276" i="3"/>
  <c r="T3276" i="3"/>
  <c r="S3276" i="3"/>
  <c r="C3276" i="3"/>
  <c r="A3276" i="3"/>
  <c r="BY3275" i="3"/>
  <c r="BX3275" i="3"/>
  <c r="BB3275" i="3"/>
  <c r="U3275" i="3"/>
  <c r="T3275" i="3"/>
  <c r="S3275" i="3"/>
  <c r="C3275" i="3"/>
  <c r="A3275" i="3"/>
  <c r="BY3274" i="3"/>
  <c r="BX3274" i="3"/>
  <c r="BB3274" i="3"/>
  <c r="U3274" i="3"/>
  <c r="T3274" i="3"/>
  <c r="S3274" i="3"/>
  <c r="C3274" i="3"/>
  <c r="A3274" i="3"/>
  <c r="BY3273" i="3"/>
  <c r="BX3273" i="3"/>
  <c r="BB3273" i="3"/>
  <c r="U3273" i="3"/>
  <c r="T3273" i="3"/>
  <c r="S3273" i="3"/>
  <c r="C3273" i="3"/>
  <c r="A3273" i="3"/>
  <c r="BY3272" i="3"/>
  <c r="BX3272" i="3"/>
  <c r="BB3272" i="3"/>
  <c r="U3272" i="3"/>
  <c r="T3272" i="3"/>
  <c r="S3272" i="3"/>
  <c r="C3272" i="3"/>
  <c r="A3272" i="3"/>
  <c r="BY3271" i="3"/>
  <c r="BX3271" i="3"/>
  <c r="BB3271" i="3"/>
  <c r="U3271" i="3"/>
  <c r="T3271" i="3"/>
  <c r="S3271" i="3"/>
  <c r="C3271" i="3"/>
  <c r="A3271" i="3"/>
  <c r="BY3270" i="3"/>
  <c r="BX3270" i="3"/>
  <c r="BB3270" i="3"/>
  <c r="U3270" i="3"/>
  <c r="T3270" i="3"/>
  <c r="S3270" i="3"/>
  <c r="C3270" i="3"/>
  <c r="A3270" i="3"/>
  <c r="BY3269" i="3"/>
  <c r="BX3269" i="3"/>
  <c r="BB3269" i="3"/>
  <c r="U3269" i="3"/>
  <c r="T3269" i="3"/>
  <c r="S3269" i="3"/>
  <c r="C3269" i="3"/>
  <c r="A3269" i="3"/>
  <c r="BY3268" i="3"/>
  <c r="BX3268" i="3"/>
  <c r="BB3268" i="3"/>
  <c r="U3268" i="3"/>
  <c r="T3268" i="3"/>
  <c r="S3268" i="3"/>
  <c r="C3268" i="3"/>
  <c r="A3268" i="3"/>
  <c r="BY3267" i="3"/>
  <c r="BX3267" i="3"/>
  <c r="BB3267" i="3"/>
  <c r="U3267" i="3"/>
  <c r="T3267" i="3"/>
  <c r="S3267" i="3"/>
  <c r="C3267" i="3"/>
  <c r="A3267" i="3"/>
  <c r="BY3266" i="3"/>
  <c r="BX3266" i="3"/>
  <c r="BB3266" i="3"/>
  <c r="U3266" i="3"/>
  <c r="T3266" i="3"/>
  <c r="S3266" i="3"/>
  <c r="C3266" i="3"/>
  <c r="A3266" i="3"/>
  <c r="BY3265" i="3"/>
  <c r="BX3265" i="3"/>
  <c r="BB3265" i="3"/>
  <c r="U3265" i="3"/>
  <c r="T3265" i="3"/>
  <c r="S3265" i="3"/>
  <c r="C3265" i="3"/>
  <c r="A3265" i="3"/>
  <c r="BY3264" i="3"/>
  <c r="BX3264" i="3"/>
  <c r="BB3264" i="3"/>
  <c r="U3264" i="3"/>
  <c r="T3264" i="3"/>
  <c r="S3264" i="3"/>
  <c r="C3264" i="3"/>
  <c r="A3264" i="3"/>
  <c r="BY3263" i="3"/>
  <c r="BX3263" i="3"/>
  <c r="BB3263" i="3"/>
  <c r="U3263" i="3"/>
  <c r="T3263" i="3"/>
  <c r="S3263" i="3"/>
  <c r="C3263" i="3"/>
  <c r="A3263" i="3"/>
  <c r="BY3262" i="3"/>
  <c r="BX3262" i="3"/>
  <c r="BB3262" i="3"/>
  <c r="U3262" i="3"/>
  <c r="T3262" i="3"/>
  <c r="S3262" i="3"/>
  <c r="C3262" i="3"/>
  <c r="A3262" i="3"/>
  <c r="BY3261" i="3"/>
  <c r="BX3261" i="3"/>
  <c r="BB3261" i="3"/>
  <c r="U3261" i="3"/>
  <c r="T3261" i="3"/>
  <c r="S3261" i="3"/>
  <c r="C3261" i="3"/>
  <c r="A3261" i="3"/>
  <c r="BY3260" i="3"/>
  <c r="BX3260" i="3"/>
  <c r="BB3260" i="3"/>
  <c r="U3260" i="3"/>
  <c r="T3260" i="3"/>
  <c r="S3260" i="3"/>
  <c r="C3260" i="3"/>
  <c r="A3260" i="3"/>
  <c r="BY3259" i="3"/>
  <c r="BX3259" i="3"/>
  <c r="BB3259" i="3"/>
  <c r="U3259" i="3"/>
  <c r="T3259" i="3"/>
  <c r="S3259" i="3"/>
  <c r="C3259" i="3"/>
  <c r="A3259" i="3"/>
  <c r="BY3258" i="3"/>
  <c r="BX3258" i="3"/>
  <c r="BB3258" i="3"/>
  <c r="U3258" i="3"/>
  <c r="T3258" i="3"/>
  <c r="S3258" i="3"/>
  <c r="C3258" i="3"/>
  <c r="A3258" i="3"/>
  <c r="BY3257" i="3"/>
  <c r="BX3257" i="3"/>
  <c r="BB3257" i="3"/>
  <c r="U3257" i="3"/>
  <c r="T3257" i="3"/>
  <c r="S3257" i="3"/>
  <c r="C3257" i="3"/>
  <c r="A3257" i="3"/>
  <c r="BY3256" i="3"/>
  <c r="BX3256" i="3"/>
  <c r="BB3256" i="3"/>
  <c r="U3256" i="3"/>
  <c r="T3256" i="3"/>
  <c r="S3256" i="3"/>
  <c r="C3256" i="3"/>
  <c r="A3256" i="3"/>
  <c r="BY3255" i="3"/>
  <c r="BX3255" i="3"/>
  <c r="BB3255" i="3"/>
  <c r="U3255" i="3"/>
  <c r="T3255" i="3"/>
  <c r="S3255" i="3"/>
  <c r="C3255" i="3"/>
  <c r="A3255" i="3"/>
  <c r="BY3254" i="3"/>
  <c r="BX3254" i="3"/>
  <c r="BB3254" i="3"/>
  <c r="U3254" i="3"/>
  <c r="T3254" i="3"/>
  <c r="S3254" i="3"/>
  <c r="C3254" i="3"/>
  <c r="A3254" i="3"/>
  <c r="BY3253" i="3"/>
  <c r="BX3253" i="3"/>
  <c r="BB3253" i="3"/>
  <c r="U3253" i="3"/>
  <c r="T3253" i="3"/>
  <c r="S3253" i="3"/>
  <c r="C3253" i="3"/>
  <c r="A3253" i="3"/>
  <c r="BY3252" i="3"/>
  <c r="BX3252" i="3"/>
  <c r="BB3252" i="3"/>
  <c r="U3252" i="3"/>
  <c r="T3252" i="3"/>
  <c r="S3252" i="3"/>
  <c r="C3252" i="3"/>
  <c r="A3252" i="3"/>
  <c r="BY3251" i="3"/>
  <c r="BX3251" i="3"/>
  <c r="BB3251" i="3"/>
  <c r="U3251" i="3"/>
  <c r="T3251" i="3"/>
  <c r="S3251" i="3"/>
  <c r="C3251" i="3"/>
  <c r="A3251" i="3"/>
  <c r="BY3250" i="3"/>
  <c r="BX3250" i="3"/>
  <c r="BB3250" i="3"/>
  <c r="U3250" i="3"/>
  <c r="T3250" i="3"/>
  <c r="S3250" i="3"/>
  <c r="C3250" i="3"/>
  <c r="A3250" i="3"/>
  <c r="BY3249" i="3"/>
  <c r="BX3249" i="3"/>
  <c r="BB3249" i="3"/>
  <c r="U3249" i="3"/>
  <c r="T3249" i="3"/>
  <c r="S3249" i="3"/>
  <c r="C3249" i="3"/>
  <c r="A3249" i="3"/>
  <c r="BY3248" i="3"/>
  <c r="BX3248" i="3"/>
  <c r="BB3248" i="3"/>
  <c r="U3248" i="3"/>
  <c r="T3248" i="3"/>
  <c r="S3248" i="3"/>
  <c r="C3248" i="3"/>
  <c r="A3248" i="3"/>
  <c r="BY3247" i="3"/>
  <c r="BX3247" i="3"/>
  <c r="BB3247" i="3"/>
  <c r="U3247" i="3"/>
  <c r="T3247" i="3"/>
  <c r="S3247" i="3"/>
  <c r="C3247" i="3"/>
  <c r="A3247" i="3"/>
  <c r="BY3246" i="3"/>
  <c r="BX3246" i="3"/>
  <c r="BB3246" i="3"/>
  <c r="U3246" i="3"/>
  <c r="T3246" i="3"/>
  <c r="S3246" i="3"/>
  <c r="C3246" i="3"/>
  <c r="A3246" i="3"/>
  <c r="BY3245" i="3"/>
  <c r="BX3245" i="3"/>
  <c r="BB3245" i="3"/>
  <c r="U3245" i="3"/>
  <c r="T3245" i="3"/>
  <c r="S3245" i="3"/>
  <c r="C3245" i="3"/>
  <c r="A3245" i="3"/>
  <c r="BY3244" i="3"/>
  <c r="BX3244" i="3"/>
  <c r="BB3244" i="3"/>
  <c r="U3244" i="3"/>
  <c r="T3244" i="3"/>
  <c r="S3244" i="3"/>
  <c r="C3244" i="3"/>
  <c r="A3244" i="3"/>
  <c r="BY3243" i="3"/>
  <c r="BX3243" i="3"/>
  <c r="BB3243" i="3"/>
  <c r="U3243" i="3"/>
  <c r="T3243" i="3"/>
  <c r="S3243" i="3"/>
  <c r="C3243" i="3"/>
  <c r="A3243" i="3"/>
  <c r="BY3242" i="3"/>
  <c r="BX3242" i="3"/>
  <c r="BB3242" i="3"/>
  <c r="U3242" i="3"/>
  <c r="T3242" i="3"/>
  <c r="S3242" i="3"/>
  <c r="C3242" i="3"/>
  <c r="A3242" i="3"/>
  <c r="BY3241" i="3"/>
  <c r="BX3241" i="3"/>
  <c r="BB3241" i="3"/>
  <c r="U3241" i="3"/>
  <c r="T3241" i="3"/>
  <c r="S3241" i="3"/>
  <c r="C3241" i="3"/>
  <c r="A3241" i="3"/>
  <c r="BY3240" i="3"/>
  <c r="BX3240" i="3"/>
  <c r="BB3240" i="3"/>
  <c r="U3240" i="3"/>
  <c r="T3240" i="3"/>
  <c r="S3240" i="3"/>
  <c r="C3240" i="3"/>
  <c r="A3240" i="3"/>
  <c r="BY3239" i="3"/>
  <c r="BX3239" i="3"/>
  <c r="BB3239" i="3"/>
  <c r="U3239" i="3"/>
  <c r="T3239" i="3"/>
  <c r="S3239" i="3"/>
  <c r="C3239" i="3"/>
  <c r="A3239" i="3"/>
  <c r="BY3238" i="3"/>
  <c r="BX3238" i="3"/>
  <c r="BB3238" i="3"/>
  <c r="U3238" i="3"/>
  <c r="T3238" i="3"/>
  <c r="S3238" i="3"/>
  <c r="C3238" i="3"/>
  <c r="A3238" i="3"/>
  <c r="BY3237" i="3"/>
  <c r="BX3237" i="3"/>
  <c r="BB3237" i="3"/>
  <c r="U3237" i="3"/>
  <c r="T3237" i="3"/>
  <c r="S3237" i="3"/>
  <c r="C3237" i="3"/>
  <c r="A3237" i="3"/>
  <c r="BY3236" i="3"/>
  <c r="BX3236" i="3"/>
  <c r="BB3236" i="3"/>
  <c r="U3236" i="3"/>
  <c r="T3236" i="3"/>
  <c r="S3236" i="3"/>
  <c r="C3236" i="3"/>
  <c r="A3236" i="3"/>
  <c r="BY3235" i="3"/>
  <c r="BX3235" i="3"/>
  <c r="BB3235" i="3"/>
  <c r="U3235" i="3"/>
  <c r="T3235" i="3"/>
  <c r="S3235" i="3"/>
  <c r="C3235" i="3"/>
  <c r="A3235" i="3"/>
  <c r="BY3234" i="3"/>
  <c r="BX3234" i="3"/>
  <c r="BB3234" i="3"/>
  <c r="U3234" i="3"/>
  <c r="T3234" i="3"/>
  <c r="S3234" i="3"/>
  <c r="C3234" i="3"/>
  <c r="A3234" i="3"/>
  <c r="BY3233" i="3"/>
  <c r="BX3233" i="3"/>
  <c r="BB3233" i="3"/>
  <c r="U3233" i="3"/>
  <c r="T3233" i="3"/>
  <c r="S3233" i="3"/>
  <c r="C3233" i="3"/>
  <c r="A3233" i="3"/>
  <c r="BY3232" i="3"/>
  <c r="BX3232" i="3"/>
  <c r="BB3232" i="3"/>
  <c r="U3232" i="3"/>
  <c r="T3232" i="3"/>
  <c r="S3232" i="3"/>
  <c r="C3232" i="3"/>
  <c r="A3232" i="3"/>
  <c r="BY3231" i="3"/>
  <c r="BX3231" i="3"/>
  <c r="BB3231" i="3"/>
  <c r="U3231" i="3"/>
  <c r="T3231" i="3"/>
  <c r="S3231" i="3"/>
  <c r="C3231" i="3"/>
  <c r="A3231" i="3"/>
  <c r="BY3230" i="3"/>
  <c r="BX3230" i="3"/>
  <c r="BB3230" i="3"/>
  <c r="U3230" i="3"/>
  <c r="T3230" i="3"/>
  <c r="S3230" i="3"/>
  <c r="C3230" i="3"/>
  <c r="A3230" i="3"/>
  <c r="BY3229" i="3"/>
  <c r="BX3229" i="3"/>
  <c r="BB3229" i="3"/>
  <c r="U3229" i="3"/>
  <c r="T3229" i="3"/>
  <c r="S3229" i="3"/>
  <c r="C3229" i="3"/>
  <c r="A3229" i="3"/>
  <c r="BY3228" i="3"/>
  <c r="BX3228" i="3"/>
  <c r="BB3228" i="3"/>
  <c r="U3228" i="3"/>
  <c r="T3228" i="3"/>
  <c r="S3228" i="3"/>
  <c r="C3228" i="3"/>
  <c r="A3228" i="3"/>
  <c r="BY3227" i="3"/>
  <c r="BX3227" i="3"/>
  <c r="BB3227" i="3"/>
  <c r="U3227" i="3"/>
  <c r="T3227" i="3"/>
  <c r="S3227" i="3"/>
  <c r="C3227" i="3"/>
  <c r="A3227" i="3"/>
  <c r="BY3226" i="3"/>
  <c r="BX3226" i="3"/>
  <c r="BB3226" i="3"/>
  <c r="U3226" i="3"/>
  <c r="T3226" i="3"/>
  <c r="S3226" i="3"/>
  <c r="C3226" i="3"/>
  <c r="A3226" i="3"/>
  <c r="BY3225" i="3"/>
  <c r="BX3225" i="3"/>
  <c r="BB3225" i="3"/>
  <c r="U3225" i="3"/>
  <c r="T3225" i="3"/>
  <c r="S3225" i="3"/>
  <c r="C3225" i="3"/>
  <c r="A3225" i="3"/>
  <c r="BY3224" i="3"/>
  <c r="BX3224" i="3"/>
  <c r="BB3224" i="3"/>
  <c r="U3224" i="3"/>
  <c r="T3224" i="3"/>
  <c r="S3224" i="3"/>
  <c r="C3224" i="3"/>
  <c r="A3224" i="3"/>
  <c r="BY3223" i="3"/>
  <c r="BX3223" i="3"/>
  <c r="BB3223" i="3"/>
  <c r="U3223" i="3"/>
  <c r="T3223" i="3"/>
  <c r="S3223" i="3"/>
  <c r="C3223" i="3"/>
  <c r="A3223" i="3"/>
  <c r="BY3222" i="3"/>
  <c r="BX3222" i="3"/>
  <c r="BB3222" i="3"/>
  <c r="U3222" i="3"/>
  <c r="T3222" i="3"/>
  <c r="S3222" i="3"/>
  <c r="C3222" i="3"/>
  <c r="A3222" i="3"/>
  <c r="BY3221" i="3"/>
  <c r="BX3221" i="3"/>
  <c r="BB3221" i="3"/>
  <c r="U3221" i="3"/>
  <c r="T3221" i="3"/>
  <c r="S3221" i="3"/>
  <c r="C3221" i="3"/>
  <c r="A3221" i="3"/>
  <c r="BY3220" i="3"/>
  <c r="BX3220" i="3"/>
  <c r="BB3220" i="3"/>
  <c r="U3220" i="3"/>
  <c r="T3220" i="3"/>
  <c r="S3220" i="3"/>
  <c r="C3220" i="3"/>
  <c r="A3220" i="3"/>
  <c r="BY3219" i="3"/>
  <c r="BX3219" i="3"/>
  <c r="BB3219" i="3"/>
  <c r="U3219" i="3"/>
  <c r="T3219" i="3"/>
  <c r="S3219" i="3"/>
  <c r="C3219" i="3"/>
  <c r="A3219" i="3"/>
  <c r="BY3218" i="3"/>
  <c r="BX3218" i="3"/>
  <c r="BB3218" i="3"/>
  <c r="U3218" i="3"/>
  <c r="T3218" i="3"/>
  <c r="S3218" i="3"/>
  <c r="C3218" i="3"/>
  <c r="A3218" i="3"/>
  <c r="BY3217" i="3"/>
  <c r="BX3217" i="3"/>
  <c r="BB3217" i="3"/>
  <c r="U3217" i="3"/>
  <c r="T3217" i="3"/>
  <c r="S3217" i="3"/>
  <c r="C3217" i="3"/>
  <c r="A3217" i="3"/>
  <c r="BY3216" i="3"/>
  <c r="BX3216" i="3"/>
  <c r="BB3216" i="3"/>
  <c r="U3216" i="3"/>
  <c r="T3216" i="3"/>
  <c r="S3216" i="3"/>
  <c r="C3216" i="3"/>
  <c r="A3216" i="3"/>
  <c r="BY3215" i="3"/>
  <c r="BX3215" i="3"/>
  <c r="BB3215" i="3"/>
  <c r="U3215" i="3"/>
  <c r="T3215" i="3"/>
  <c r="S3215" i="3"/>
  <c r="C3215" i="3"/>
  <c r="A3215" i="3"/>
  <c r="BY3214" i="3"/>
  <c r="BX3214" i="3"/>
  <c r="BB3214" i="3"/>
  <c r="U3214" i="3"/>
  <c r="T3214" i="3"/>
  <c r="S3214" i="3"/>
  <c r="C3214" i="3"/>
  <c r="A3214" i="3"/>
  <c r="BY3213" i="3"/>
  <c r="BX3213" i="3"/>
  <c r="BB3213" i="3"/>
  <c r="U3213" i="3"/>
  <c r="T3213" i="3"/>
  <c r="S3213" i="3"/>
  <c r="C3213" i="3"/>
  <c r="A3213" i="3"/>
  <c r="BY3212" i="3"/>
  <c r="BX3212" i="3"/>
  <c r="BB3212" i="3"/>
  <c r="U3212" i="3"/>
  <c r="T3212" i="3"/>
  <c r="S3212" i="3"/>
  <c r="C3212" i="3"/>
  <c r="A3212" i="3"/>
  <c r="BY3211" i="3"/>
  <c r="BX3211" i="3"/>
  <c r="BB3211" i="3"/>
  <c r="U3211" i="3"/>
  <c r="T3211" i="3"/>
  <c r="S3211" i="3"/>
  <c r="C3211" i="3"/>
  <c r="A3211" i="3"/>
  <c r="BY3210" i="3"/>
  <c r="BX3210" i="3"/>
  <c r="BB3210" i="3"/>
  <c r="U3210" i="3"/>
  <c r="T3210" i="3"/>
  <c r="S3210" i="3"/>
  <c r="C3210" i="3"/>
  <c r="A3210" i="3"/>
  <c r="BY3209" i="3"/>
  <c r="BX3209" i="3"/>
  <c r="BB3209" i="3"/>
  <c r="U3209" i="3"/>
  <c r="T3209" i="3"/>
  <c r="S3209" i="3"/>
  <c r="C3209" i="3"/>
  <c r="A3209" i="3"/>
  <c r="BY3208" i="3"/>
  <c r="BX3208" i="3"/>
  <c r="BB3208" i="3"/>
  <c r="U3208" i="3"/>
  <c r="T3208" i="3"/>
  <c r="S3208" i="3"/>
  <c r="C3208" i="3"/>
  <c r="A3208" i="3"/>
  <c r="BY3207" i="3"/>
  <c r="BX3207" i="3"/>
  <c r="BB3207" i="3"/>
  <c r="U3207" i="3"/>
  <c r="T3207" i="3"/>
  <c r="S3207" i="3"/>
  <c r="C3207" i="3"/>
  <c r="A3207" i="3"/>
  <c r="BY3206" i="3"/>
  <c r="BX3206" i="3"/>
  <c r="BB3206" i="3"/>
  <c r="U3206" i="3"/>
  <c r="T3206" i="3"/>
  <c r="S3206" i="3"/>
  <c r="C3206" i="3"/>
  <c r="A3206" i="3"/>
  <c r="BY3205" i="3"/>
  <c r="BX3205" i="3"/>
  <c r="BB3205" i="3"/>
  <c r="U3205" i="3"/>
  <c r="T3205" i="3"/>
  <c r="S3205" i="3"/>
  <c r="C3205" i="3"/>
  <c r="A3205" i="3"/>
  <c r="BY3204" i="3"/>
  <c r="BX3204" i="3"/>
  <c r="BB3204" i="3"/>
  <c r="U3204" i="3"/>
  <c r="T3204" i="3"/>
  <c r="S3204" i="3"/>
  <c r="C3204" i="3"/>
  <c r="A3204" i="3"/>
  <c r="BY3203" i="3"/>
  <c r="BX3203" i="3"/>
  <c r="BB3203" i="3"/>
  <c r="U3203" i="3"/>
  <c r="T3203" i="3"/>
  <c r="S3203" i="3"/>
  <c r="C3203" i="3"/>
  <c r="A3203" i="3"/>
  <c r="BY3202" i="3"/>
  <c r="BX3202" i="3"/>
  <c r="BB3202" i="3"/>
  <c r="U3202" i="3"/>
  <c r="T3202" i="3"/>
  <c r="S3202" i="3"/>
  <c r="C3202" i="3"/>
  <c r="A3202" i="3"/>
  <c r="BY3201" i="3"/>
  <c r="BX3201" i="3"/>
  <c r="BB3201" i="3"/>
  <c r="U3201" i="3"/>
  <c r="T3201" i="3"/>
  <c r="S3201" i="3"/>
  <c r="C3201" i="3"/>
  <c r="A3201" i="3"/>
  <c r="BY3200" i="3"/>
  <c r="BX3200" i="3"/>
  <c r="BB3200" i="3"/>
  <c r="U3200" i="3"/>
  <c r="T3200" i="3"/>
  <c r="S3200" i="3"/>
  <c r="C3200" i="3"/>
  <c r="A3200" i="3"/>
  <c r="BY3199" i="3"/>
  <c r="BX3199" i="3"/>
  <c r="BB3199" i="3"/>
  <c r="U3199" i="3"/>
  <c r="T3199" i="3"/>
  <c r="S3199" i="3"/>
  <c r="C3199" i="3"/>
  <c r="A3199" i="3"/>
  <c r="BY3198" i="3"/>
  <c r="BX3198" i="3"/>
  <c r="BB3198" i="3"/>
  <c r="U3198" i="3"/>
  <c r="T3198" i="3"/>
  <c r="S3198" i="3"/>
  <c r="C3198" i="3"/>
  <c r="A3198" i="3"/>
  <c r="BY3197" i="3"/>
  <c r="BX3197" i="3"/>
  <c r="BB3197" i="3"/>
  <c r="U3197" i="3"/>
  <c r="T3197" i="3"/>
  <c r="S3197" i="3"/>
  <c r="C3197" i="3"/>
  <c r="A3197" i="3"/>
  <c r="BY3196" i="3"/>
  <c r="BX3196" i="3"/>
  <c r="BB3196" i="3"/>
  <c r="U3196" i="3"/>
  <c r="T3196" i="3"/>
  <c r="S3196" i="3"/>
  <c r="C3196" i="3"/>
  <c r="A3196" i="3"/>
  <c r="BY3195" i="3"/>
  <c r="BX3195" i="3"/>
  <c r="BB3195" i="3"/>
  <c r="U3195" i="3"/>
  <c r="T3195" i="3"/>
  <c r="S3195" i="3"/>
  <c r="C3195" i="3"/>
  <c r="A3195" i="3"/>
  <c r="BY3194" i="3"/>
  <c r="BX3194" i="3"/>
  <c r="BB3194" i="3"/>
  <c r="U3194" i="3"/>
  <c r="T3194" i="3"/>
  <c r="S3194" i="3"/>
  <c r="C3194" i="3"/>
  <c r="A3194" i="3"/>
  <c r="BY3193" i="3"/>
  <c r="BX3193" i="3"/>
  <c r="BB3193" i="3"/>
  <c r="U3193" i="3"/>
  <c r="T3193" i="3"/>
  <c r="S3193" i="3"/>
  <c r="C3193" i="3"/>
  <c r="A3193" i="3"/>
  <c r="BY3192" i="3"/>
  <c r="BX3192" i="3"/>
  <c r="BB3192" i="3"/>
  <c r="U3192" i="3"/>
  <c r="T3192" i="3"/>
  <c r="S3192" i="3"/>
  <c r="C3192" i="3"/>
  <c r="A3192" i="3"/>
  <c r="BY3191" i="3"/>
  <c r="BX3191" i="3"/>
  <c r="BB3191" i="3"/>
  <c r="U3191" i="3"/>
  <c r="T3191" i="3"/>
  <c r="S3191" i="3"/>
  <c r="C3191" i="3"/>
  <c r="A3191" i="3"/>
  <c r="BY3190" i="3"/>
  <c r="BX3190" i="3"/>
  <c r="BB3190" i="3"/>
  <c r="U3190" i="3"/>
  <c r="T3190" i="3"/>
  <c r="S3190" i="3"/>
  <c r="C3190" i="3"/>
  <c r="A3190" i="3"/>
  <c r="BY3189" i="3"/>
  <c r="BX3189" i="3"/>
  <c r="BB3189" i="3"/>
  <c r="U3189" i="3"/>
  <c r="T3189" i="3"/>
  <c r="S3189" i="3"/>
  <c r="C3189" i="3"/>
  <c r="A3189" i="3"/>
  <c r="BY3188" i="3"/>
  <c r="BX3188" i="3"/>
  <c r="BB3188" i="3"/>
  <c r="U3188" i="3"/>
  <c r="T3188" i="3"/>
  <c r="S3188" i="3"/>
  <c r="C3188" i="3"/>
  <c r="A3188" i="3"/>
  <c r="BY3187" i="3"/>
  <c r="BX3187" i="3"/>
  <c r="BB3187" i="3"/>
  <c r="U3187" i="3"/>
  <c r="T3187" i="3"/>
  <c r="S3187" i="3"/>
  <c r="C3187" i="3"/>
  <c r="A3187" i="3"/>
  <c r="BY3186" i="3"/>
  <c r="BX3186" i="3"/>
  <c r="BB3186" i="3"/>
  <c r="U3186" i="3"/>
  <c r="T3186" i="3"/>
  <c r="S3186" i="3"/>
  <c r="C3186" i="3"/>
  <c r="A3186" i="3"/>
  <c r="BY3185" i="3"/>
  <c r="BX3185" i="3"/>
  <c r="BB3185" i="3"/>
  <c r="U3185" i="3"/>
  <c r="T3185" i="3"/>
  <c r="S3185" i="3"/>
  <c r="C3185" i="3"/>
  <c r="A3185" i="3"/>
  <c r="BY3184" i="3"/>
  <c r="BX3184" i="3"/>
  <c r="BB3184" i="3"/>
  <c r="U3184" i="3"/>
  <c r="T3184" i="3"/>
  <c r="S3184" i="3"/>
  <c r="C3184" i="3"/>
  <c r="A3184" i="3"/>
  <c r="BY3183" i="3"/>
  <c r="BX3183" i="3"/>
  <c r="BB3183" i="3"/>
  <c r="U3183" i="3"/>
  <c r="T3183" i="3"/>
  <c r="S3183" i="3"/>
  <c r="C3183" i="3"/>
  <c r="A3183" i="3"/>
  <c r="BY3182" i="3"/>
  <c r="BX3182" i="3"/>
  <c r="BB3182" i="3"/>
  <c r="U3182" i="3"/>
  <c r="T3182" i="3"/>
  <c r="S3182" i="3"/>
  <c r="C3182" i="3"/>
  <c r="A3182" i="3"/>
  <c r="BY3181" i="3"/>
  <c r="BX3181" i="3"/>
  <c r="BB3181" i="3"/>
  <c r="U3181" i="3"/>
  <c r="T3181" i="3"/>
  <c r="S3181" i="3"/>
  <c r="C3181" i="3"/>
  <c r="A3181" i="3"/>
  <c r="BY3180" i="3"/>
  <c r="BX3180" i="3"/>
  <c r="BB3180" i="3"/>
  <c r="U3180" i="3"/>
  <c r="T3180" i="3"/>
  <c r="S3180" i="3"/>
  <c r="C3180" i="3"/>
  <c r="A3180" i="3"/>
  <c r="BY3179" i="3"/>
  <c r="BX3179" i="3"/>
  <c r="BB3179" i="3"/>
  <c r="U3179" i="3"/>
  <c r="T3179" i="3"/>
  <c r="S3179" i="3"/>
  <c r="C3179" i="3"/>
  <c r="A3179" i="3"/>
  <c r="BY3178" i="3"/>
  <c r="BX3178" i="3"/>
  <c r="BB3178" i="3"/>
  <c r="U3178" i="3"/>
  <c r="T3178" i="3"/>
  <c r="S3178" i="3"/>
  <c r="C3178" i="3"/>
  <c r="A3178" i="3"/>
  <c r="BY3177" i="3"/>
  <c r="BX3177" i="3"/>
  <c r="BB3177" i="3"/>
  <c r="U3177" i="3"/>
  <c r="T3177" i="3"/>
  <c r="S3177" i="3"/>
  <c r="C3177" i="3"/>
  <c r="A3177" i="3"/>
  <c r="BY3176" i="3"/>
  <c r="BX3176" i="3"/>
  <c r="BB3176" i="3"/>
  <c r="U3176" i="3"/>
  <c r="T3176" i="3"/>
  <c r="S3176" i="3"/>
  <c r="C3176" i="3"/>
  <c r="A3176" i="3"/>
  <c r="BY3175" i="3"/>
  <c r="BX3175" i="3"/>
  <c r="BB3175" i="3"/>
  <c r="U3175" i="3"/>
  <c r="T3175" i="3"/>
  <c r="S3175" i="3"/>
  <c r="C3175" i="3"/>
  <c r="A3175" i="3"/>
  <c r="BY3174" i="3"/>
  <c r="BX3174" i="3"/>
  <c r="BB3174" i="3"/>
  <c r="U3174" i="3"/>
  <c r="T3174" i="3"/>
  <c r="S3174" i="3"/>
  <c r="C3174" i="3"/>
  <c r="A3174" i="3"/>
  <c r="BY3173" i="3"/>
  <c r="BX3173" i="3"/>
  <c r="BB3173" i="3"/>
  <c r="U3173" i="3"/>
  <c r="T3173" i="3"/>
  <c r="S3173" i="3"/>
  <c r="C3173" i="3"/>
  <c r="A3173" i="3"/>
  <c r="BY3172" i="3"/>
  <c r="BX3172" i="3"/>
  <c r="BB3172" i="3"/>
  <c r="U3172" i="3"/>
  <c r="T3172" i="3"/>
  <c r="S3172" i="3"/>
  <c r="C3172" i="3"/>
  <c r="A3172" i="3"/>
  <c r="BY3171" i="3"/>
  <c r="BX3171" i="3"/>
  <c r="BB3171" i="3"/>
  <c r="U3171" i="3"/>
  <c r="T3171" i="3"/>
  <c r="S3171" i="3"/>
  <c r="C3171" i="3"/>
  <c r="A3171" i="3"/>
  <c r="BY3170" i="3"/>
  <c r="BX3170" i="3"/>
  <c r="BB3170" i="3"/>
  <c r="U3170" i="3"/>
  <c r="T3170" i="3"/>
  <c r="S3170" i="3"/>
  <c r="C3170" i="3"/>
  <c r="A3170" i="3"/>
  <c r="BY3169" i="3"/>
  <c r="BX3169" i="3"/>
  <c r="BB3169" i="3"/>
  <c r="U3169" i="3"/>
  <c r="T3169" i="3"/>
  <c r="S3169" i="3"/>
  <c r="C3169" i="3"/>
  <c r="A3169" i="3"/>
  <c r="BY3168" i="3"/>
  <c r="BX3168" i="3"/>
  <c r="BB3168" i="3"/>
  <c r="U3168" i="3"/>
  <c r="T3168" i="3"/>
  <c r="S3168" i="3"/>
  <c r="C3168" i="3"/>
  <c r="A3168" i="3"/>
  <c r="BY3167" i="3"/>
  <c r="BX3167" i="3"/>
  <c r="BB3167" i="3"/>
  <c r="U3167" i="3"/>
  <c r="T3167" i="3"/>
  <c r="S3167" i="3"/>
  <c r="C3167" i="3"/>
  <c r="A3167" i="3"/>
  <c r="BY3166" i="3"/>
  <c r="BX3166" i="3"/>
  <c r="BB3166" i="3"/>
  <c r="U3166" i="3"/>
  <c r="T3166" i="3"/>
  <c r="S3166" i="3"/>
  <c r="C3166" i="3"/>
  <c r="A3166" i="3"/>
  <c r="BY3165" i="3"/>
  <c r="BX3165" i="3"/>
  <c r="BB3165" i="3"/>
  <c r="U3165" i="3"/>
  <c r="T3165" i="3"/>
  <c r="S3165" i="3"/>
  <c r="C3165" i="3"/>
  <c r="A3165" i="3"/>
  <c r="BY3164" i="3"/>
  <c r="BX3164" i="3"/>
  <c r="BB3164" i="3"/>
  <c r="U3164" i="3"/>
  <c r="T3164" i="3"/>
  <c r="S3164" i="3"/>
  <c r="C3164" i="3"/>
  <c r="A3164" i="3"/>
  <c r="BY3163" i="3"/>
  <c r="BX3163" i="3"/>
  <c r="BB3163" i="3"/>
  <c r="U3163" i="3"/>
  <c r="T3163" i="3"/>
  <c r="S3163" i="3"/>
  <c r="C3163" i="3"/>
  <c r="A3163" i="3"/>
  <c r="BY3162" i="3"/>
  <c r="BX3162" i="3"/>
  <c r="BB3162" i="3"/>
  <c r="U3162" i="3"/>
  <c r="T3162" i="3"/>
  <c r="S3162" i="3"/>
  <c r="C3162" i="3"/>
  <c r="A3162" i="3"/>
  <c r="BY3161" i="3"/>
  <c r="BX3161" i="3"/>
  <c r="BB3161" i="3"/>
  <c r="U3161" i="3"/>
  <c r="T3161" i="3"/>
  <c r="S3161" i="3"/>
  <c r="C3161" i="3"/>
  <c r="A3161" i="3"/>
  <c r="BY3160" i="3"/>
  <c r="BX3160" i="3"/>
  <c r="BB3160" i="3"/>
  <c r="U3160" i="3"/>
  <c r="T3160" i="3"/>
  <c r="S3160" i="3"/>
  <c r="C3160" i="3"/>
  <c r="A3160" i="3"/>
  <c r="BY3159" i="3"/>
  <c r="BX3159" i="3"/>
  <c r="BB3159" i="3"/>
  <c r="U3159" i="3"/>
  <c r="T3159" i="3"/>
  <c r="S3159" i="3"/>
  <c r="C3159" i="3"/>
  <c r="A3159" i="3"/>
  <c r="BY3158" i="3"/>
  <c r="BX3158" i="3"/>
  <c r="BB3158" i="3"/>
  <c r="U3158" i="3"/>
  <c r="T3158" i="3"/>
  <c r="S3158" i="3"/>
  <c r="C3158" i="3"/>
  <c r="A3158" i="3"/>
  <c r="BY3157" i="3"/>
  <c r="BX3157" i="3"/>
  <c r="BB3157" i="3"/>
  <c r="U3157" i="3"/>
  <c r="T3157" i="3"/>
  <c r="S3157" i="3"/>
  <c r="C3157" i="3"/>
  <c r="A3157" i="3"/>
  <c r="BY3156" i="3"/>
  <c r="BX3156" i="3"/>
  <c r="BB3156" i="3"/>
  <c r="U3156" i="3"/>
  <c r="T3156" i="3"/>
  <c r="S3156" i="3"/>
  <c r="C3156" i="3"/>
  <c r="A3156" i="3"/>
  <c r="BY3155" i="3"/>
  <c r="BX3155" i="3"/>
  <c r="BB3155" i="3"/>
  <c r="U3155" i="3"/>
  <c r="T3155" i="3"/>
  <c r="S3155" i="3"/>
  <c r="C3155" i="3"/>
  <c r="A3155" i="3"/>
  <c r="BY3154" i="3"/>
  <c r="BX3154" i="3"/>
  <c r="BB3154" i="3"/>
  <c r="U3154" i="3"/>
  <c r="T3154" i="3"/>
  <c r="S3154" i="3"/>
  <c r="C3154" i="3"/>
  <c r="A3154" i="3"/>
  <c r="BY3153" i="3"/>
  <c r="BX3153" i="3"/>
  <c r="BB3153" i="3"/>
  <c r="U3153" i="3"/>
  <c r="T3153" i="3"/>
  <c r="S3153" i="3"/>
  <c r="C3153" i="3"/>
  <c r="A3153" i="3"/>
  <c r="BY3152" i="3"/>
  <c r="BX3152" i="3"/>
  <c r="BB3152" i="3"/>
  <c r="U3152" i="3"/>
  <c r="T3152" i="3"/>
  <c r="S3152" i="3"/>
  <c r="C3152" i="3"/>
  <c r="A3152" i="3"/>
  <c r="BY3151" i="3"/>
  <c r="BX3151" i="3"/>
  <c r="BB3151" i="3"/>
  <c r="U3151" i="3"/>
  <c r="T3151" i="3"/>
  <c r="S3151" i="3"/>
  <c r="C3151" i="3"/>
  <c r="A3151" i="3"/>
  <c r="BY3150" i="3"/>
  <c r="BX3150" i="3"/>
  <c r="BB3150" i="3"/>
  <c r="U3150" i="3"/>
  <c r="T3150" i="3"/>
  <c r="S3150" i="3"/>
  <c r="C3150" i="3"/>
  <c r="A3150" i="3"/>
  <c r="BY3149" i="3"/>
  <c r="BX3149" i="3"/>
  <c r="BB3149" i="3"/>
  <c r="U3149" i="3"/>
  <c r="T3149" i="3"/>
  <c r="S3149" i="3"/>
  <c r="C3149" i="3"/>
  <c r="A3149" i="3"/>
  <c r="BY3148" i="3"/>
  <c r="BX3148" i="3"/>
  <c r="BB3148" i="3"/>
  <c r="U3148" i="3"/>
  <c r="T3148" i="3"/>
  <c r="S3148" i="3"/>
  <c r="C3148" i="3"/>
  <c r="A3148" i="3"/>
  <c r="BY3147" i="3"/>
  <c r="BX3147" i="3"/>
  <c r="BB3147" i="3"/>
  <c r="U3147" i="3"/>
  <c r="T3147" i="3"/>
  <c r="S3147" i="3"/>
  <c r="C3147" i="3"/>
  <c r="A3147" i="3"/>
  <c r="BY3146" i="3"/>
  <c r="BX3146" i="3"/>
  <c r="BB3146" i="3"/>
  <c r="U3146" i="3"/>
  <c r="T3146" i="3"/>
  <c r="S3146" i="3"/>
  <c r="C3146" i="3"/>
  <c r="A3146" i="3"/>
  <c r="BY3145" i="3"/>
  <c r="BX3145" i="3"/>
  <c r="BB3145" i="3"/>
  <c r="U3145" i="3"/>
  <c r="T3145" i="3"/>
  <c r="S3145" i="3"/>
  <c r="C3145" i="3"/>
  <c r="A3145" i="3"/>
  <c r="BY3144" i="3"/>
  <c r="BX3144" i="3"/>
  <c r="BB3144" i="3"/>
  <c r="U3144" i="3"/>
  <c r="T3144" i="3"/>
  <c r="S3144" i="3"/>
  <c r="C3144" i="3"/>
  <c r="A3144" i="3"/>
  <c r="BY3143" i="3"/>
  <c r="BX3143" i="3"/>
  <c r="BB3143" i="3"/>
  <c r="U3143" i="3"/>
  <c r="T3143" i="3"/>
  <c r="S3143" i="3"/>
  <c r="C3143" i="3"/>
  <c r="A3143" i="3"/>
  <c r="BY3142" i="3"/>
  <c r="BX3142" i="3"/>
  <c r="BB3142" i="3"/>
  <c r="U3142" i="3"/>
  <c r="T3142" i="3"/>
  <c r="S3142" i="3"/>
  <c r="C3142" i="3"/>
  <c r="A3142" i="3"/>
  <c r="BY3141" i="3"/>
  <c r="BX3141" i="3"/>
  <c r="BB3141" i="3"/>
  <c r="U3141" i="3"/>
  <c r="T3141" i="3"/>
  <c r="S3141" i="3"/>
  <c r="C3141" i="3"/>
  <c r="A3141" i="3"/>
  <c r="BY3140" i="3"/>
  <c r="BX3140" i="3"/>
  <c r="BB3140" i="3"/>
  <c r="U3140" i="3"/>
  <c r="T3140" i="3"/>
  <c r="S3140" i="3"/>
  <c r="C3140" i="3"/>
  <c r="A3140" i="3"/>
  <c r="BY3139" i="3"/>
  <c r="BX3139" i="3"/>
  <c r="BB3139" i="3"/>
  <c r="U3139" i="3"/>
  <c r="T3139" i="3"/>
  <c r="S3139" i="3"/>
  <c r="C3139" i="3"/>
  <c r="A3139" i="3"/>
  <c r="BY3138" i="3"/>
  <c r="BX3138" i="3"/>
  <c r="BB3138" i="3"/>
  <c r="U3138" i="3"/>
  <c r="T3138" i="3"/>
  <c r="S3138" i="3"/>
  <c r="C3138" i="3"/>
  <c r="A3138" i="3"/>
  <c r="BY3137" i="3"/>
  <c r="BX3137" i="3"/>
  <c r="BB3137" i="3"/>
  <c r="U3137" i="3"/>
  <c r="T3137" i="3"/>
  <c r="S3137" i="3"/>
  <c r="C3137" i="3"/>
  <c r="A3137" i="3"/>
  <c r="BY3136" i="3"/>
  <c r="BX3136" i="3"/>
  <c r="BB3136" i="3"/>
  <c r="U3136" i="3"/>
  <c r="T3136" i="3"/>
  <c r="S3136" i="3"/>
  <c r="C3136" i="3"/>
  <c r="A3136" i="3"/>
  <c r="BY3135" i="3"/>
  <c r="BX3135" i="3"/>
  <c r="BB3135" i="3"/>
  <c r="U3135" i="3"/>
  <c r="T3135" i="3"/>
  <c r="S3135" i="3"/>
  <c r="C3135" i="3"/>
  <c r="A3135" i="3"/>
  <c r="BY3134" i="3"/>
  <c r="BX3134" i="3"/>
  <c r="BB3134" i="3"/>
  <c r="U3134" i="3"/>
  <c r="T3134" i="3"/>
  <c r="S3134" i="3"/>
  <c r="C3134" i="3"/>
  <c r="A3134" i="3"/>
  <c r="BY3133" i="3"/>
  <c r="BX3133" i="3"/>
  <c r="BB3133" i="3"/>
  <c r="U3133" i="3"/>
  <c r="T3133" i="3"/>
  <c r="S3133" i="3"/>
  <c r="C3133" i="3"/>
  <c r="A3133" i="3"/>
  <c r="BY3132" i="3"/>
  <c r="BX3132" i="3"/>
  <c r="BB3132" i="3"/>
  <c r="U3132" i="3"/>
  <c r="T3132" i="3"/>
  <c r="S3132" i="3"/>
  <c r="C3132" i="3"/>
  <c r="A3132" i="3"/>
  <c r="BY3131" i="3"/>
  <c r="BX3131" i="3"/>
  <c r="BB3131" i="3"/>
  <c r="U3131" i="3"/>
  <c r="T3131" i="3"/>
  <c r="S3131" i="3"/>
  <c r="C3131" i="3"/>
  <c r="A3131" i="3"/>
  <c r="BY3130" i="3"/>
  <c r="BX3130" i="3"/>
  <c r="BB3130" i="3"/>
  <c r="U3130" i="3"/>
  <c r="T3130" i="3"/>
  <c r="S3130" i="3"/>
  <c r="C3130" i="3"/>
  <c r="A3130" i="3"/>
  <c r="BY3129" i="3"/>
  <c r="BX3129" i="3"/>
  <c r="BB3129" i="3"/>
  <c r="U3129" i="3"/>
  <c r="T3129" i="3"/>
  <c r="S3129" i="3"/>
  <c r="C3129" i="3"/>
  <c r="A3129" i="3"/>
  <c r="BY3128" i="3"/>
  <c r="BX3128" i="3"/>
  <c r="BB3128" i="3"/>
  <c r="U3128" i="3"/>
  <c r="T3128" i="3"/>
  <c r="S3128" i="3"/>
  <c r="C3128" i="3"/>
  <c r="A3128" i="3"/>
  <c r="BY3127" i="3"/>
  <c r="BX3127" i="3"/>
  <c r="BB3127" i="3"/>
  <c r="U3127" i="3"/>
  <c r="T3127" i="3"/>
  <c r="S3127" i="3"/>
  <c r="C3127" i="3"/>
  <c r="A3127" i="3"/>
  <c r="BY3126" i="3"/>
  <c r="BX3126" i="3"/>
  <c r="BB3126" i="3"/>
  <c r="U3126" i="3"/>
  <c r="T3126" i="3"/>
  <c r="S3126" i="3"/>
  <c r="C3126" i="3"/>
  <c r="A3126" i="3"/>
  <c r="BY3125" i="3"/>
  <c r="BX3125" i="3"/>
  <c r="BB3125" i="3"/>
  <c r="U3125" i="3"/>
  <c r="T3125" i="3"/>
  <c r="S3125" i="3"/>
  <c r="C3125" i="3"/>
  <c r="A3125" i="3"/>
  <c r="BY3124" i="3"/>
  <c r="BX3124" i="3"/>
  <c r="BB3124" i="3"/>
  <c r="U3124" i="3"/>
  <c r="T3124" i="3"/>
  <c r="S3124" i="3"/>
  <c r="C3124" i="3"/>
  <c r="A3124" i="3"/>
  <c r="BY3123" i="3"/>
  <c r="BX3123" i="3"/>
  <c r="BB3123" i="3"/>
  <c r="U3123" i="3"/>
  <c r="T3123" i="3"/>
  <c r="S3123" i="3"/>
  <c r="C3123" i="3"/>
  <c r="A3123" i="3"/>
  <c r="BY3122" i="3"/>
  <c r="BX3122" i="3"/>
  <c r="BB3122" i="3"/>
  <c r="U3122" i="3"/>
  <c r="T3122" i="3"/>
  <c r="S3122" i="3"/>
  <c r="C3122" i="3"/>
  <c r="A3122" i="3"/>
  <c r="BY3121" i="3"/>
  <c r="BX3121" i="3"/>
  <c r="BB3121" i="3"/>
  <c r="U3121" i="3"/>
  <c r="T3121" i="3"/>
  <c r="S3121" i="3"/>
  <c r="C3121" i="3"/>
  <c r="A3121" i="3"/>
  <c r="BY3120" i="3"/>
  <c r="BX3120" i="3"/>
  <c r="BB3120" i="3"/>
  <c r="U3120" i="3"/>
  <c r="T3120" i="3"/>
  <c r="S3120" i="3"/>
  <c r="C3120" i="3"/>
  <c r="A3120" i="3"/>
  <c r="BY3119" i="3"/>
  <c r="BX3119" i="3"/>
  <c r="BB3119" i="3"/>
  <c r="U3119" i="3"/>
  <c r="T3119" i="3"/>
  <c r="S3119" i="3"/>
  <c r="C3119" i="3"/>
  <c r="A3119" i="3"/>
  <c r="BY3118" i="3"/>
  <c r="BX3118" i="3"/>
  <c r="BB3118" i="3"/>
  <c r="U3118" i="3"/>
  <c r="T3118" i="3"/>
  <c r="S3118" i="3"/>
  <c r="C3118" i="3"/>
  <c r="A3118" i="3"/>
  <c r="BY3117" i="3"/>
  <c r="BX3117" i="3"/>
  <c r="BB3117" i="3"/>
  <c r="U3117" i="3"/>
  <c r="T3117" i="3"/>
  <c r="S3117" i="3"/>
  <c r="C3117" i="3"/>
  <c r="A3117" i="3"/>
  <c r="BY3116" i="3"/>
  <c r="BX3116" i="3"/>
  <c r="BB3116" i="3"/>
  <c r="U3116" i="3"/>
  <c r="T3116" i="3"/>
  <c r="S3116" i="3"/>
  <c r="C3116" i="3"/>
  <c r="A3116" i="3"/>
  <c r="BY3115" i="3"/>
  <c r="BX3115" i="3"/>
  <c r="BB3115" i="3"/>
  <c r="U3115" i="3"/>
  <c r="T3115" i="3"/>
  <c r="S3115" i="3"/>
  <c r="C3115" i="3"/>
  <c r="A3115" i="3"/>
  <c r="BY3114" i="3"/>
  <c r="BX3114" i="3"/>
  <c r="BB3114" i="3"/>
  <c r="U3114" i="3"/>
  <c r="T3114" i="3"/>
  <c r="S3114" i="3"/>
  <c r="C3114" i="3"/>
  <c r="A3114" i="3"/>
  <c r="BY3113" i="3"/>
  <c r="BX3113" i="3"/>
  <c r="BB3113" i="3"/>
  <c r="U3113" i="3"/>
  <c r="T3113" i="3"/>
  <c r="S3113" i="3"/>
  <c r="C3113" i="3"/>
  <c r="A3113" i="3"/>
  <c r="BY3112" i="3"/>
  <c r="BX3112" i="3"/>
  <c r="BB3112" i="3"/>
  <c r="U3112" i="3"/>
  <c r="T3112" i="3"/>
  <c r="S3112" i="3"/>
  <c r="C3112" i="3"/>
  <c r="A3112" i="3"/>
  <c r="BY3111" i="3"/>
  <c r="BX3111" i="3"/>
  <c r="BB3111" i="3"/>
  <c r="U3111" i="3"/>
  <c r="T3111" i="3"/>
  <c r="S3111" i="3"/>
  <c r="C3111" i="3"/>
  <c r="A3111" i="3"/>
  <c r="BY3110" i="3"/>
  <c r="BX3110" i="3"/>
  <c r="BB3110" i="3"/>
  <c r="U3110" i="3"/>
  <c r="T3110" i="3"/>
  <c r="S3110" i="3"/>
  <c r="C3110" i="3"/>
  <c r="A3110" i="3"/>
  <c r="BY3109" i="3"/>
  <c r="BX3109" i="3"/>
  <c r="BB3109" i="3"/>
  <c r="U3109" i="3"/>
  <c r="T3109" i="3"/>
  <c r="S3109" i="3"/>
  <c r="C3109" i="3"/>
  <c r="A3109" i="3"/>
  <c r="BY3108" i="3"/>
  <c r="BX3108" i="3"/>
  <c r="BB3108" i="3"/>
  <c r="U3108" i="3"/>
  <c r="T3108" i="3"/>
  <c r="S3108" i="3"/>
  <c r="C3108" i="3"/>
  <c r="A3108" i="3"/>
  <c r="BY3107" i="3"/>
  <c r="BX3107" i="3"/>
  <c r="BB3107" i="3"/>
  <c r="U3107" i="3"/>
  <c r="T3107" i="3"/>
  <c r="S3107" i="3"/>
  <c r="C3107" i="3"/>
  <c r="A3107" i="3"/>
  <c r="BY3106" i="3"/>
  <c r="BX3106" i="3"/>
  <c r="BB3106" i="3"/>
  <c r="U3106" i="3"/>
  <c r="T3106" i="3"/>
  <c r="S3106" i="3"/>
  <c r="C3106" i="3"/>
  <c r="A3106" i="3"/>
  <c r="BY3105" i="3"/>
  <c r="BX3105" i="3"/>
  <c r="BB3105" i="3"/>
  <c r="U3105" i="3"/>
  <c r="T3105" i="3"/>
  <c r="S3105" i="3"/>
  <c r="C3105" i="3"/>
  <c r="A3105" i="3"/>
  <c r="BY3104" i="3"/>
  <c r="BX3104" i="3"/>
  <c r="BB3104" i="3"/>
  <c r="U3104" i="3"/>
  <c r="T3104" i="3"/>
  <c r="S3104" i="3"/>
  <c r="C3104" i="3"/>
  <c r="A3104" i="3"/>
  <c r="BY3103" i="3"/>
  <c r="BX3103" i="3"/>
  <c r="BB3103" i="3"/>
  <c r="U3103" i="3"/>
  <c r="T3103" i="3"/>
  <c r="S3103" i="3"/>
  <c r="C3103" i="3"/>
  <c r="A3103" i="3"/>
  <c r="BY3102" i="3"/>
  <c r="BX3102" i="3"/>
  <c r="BB3102" i="3"/>
  <c r="U3102" i="3"/>
  <c r="T3102" i="3"/>
  <c r="S3102" i="3"/>
  <c r="C3102" i="3"/>
  <c r="A3102" i="3"/>
  <c r="BY3101" i="3"/>
  <c r="BX3101" i="3"/>
  <c r="BB3101" i="3"/>
  <c r="U3101" i="3"/>
  <c r="T3101" i="3"/>
  <c r="S3101" i="3"/>
  <c r="C3101" i="3"/>
  <c r="A3101" i="3"/>
  <c r="BY3100" i="3"/>
  <c r="BX3100" i="3"/>
  <c r="BB3100" i="3"/>
  <c r="U3100" i="3"/>
  <c r="T3100" i="3"/>
  <c r="S3100" i="3"/>
  <c r="C3100" i="3"/>
  <c r="A3100" i="3"/>
  <c r="BY3099" i="3"/>
  <c r="BX3099" i="3"/>
  <c r="BB3099" i="3"/>
  <c r="U3099" i="3"/>
  <c r="T3099" i="3"/>
  <c r="S3099" i="3"/>
  <c r="C3099" i="3"/>
  <c r="A3099" i="3"/>
  <c r="BY3098" i="3"/>
  <c r="BX3098" i="3"/>
  <c r="BB3098" i="3"/>
  <c r="U3098" i="3"/>
  <c r="T3098" i="3"/>
  <c r="S3098" i="3"/>
  <c r="C3098" i="3"/>
  <c r="A3098" i="3"/>
  <c r="BY3097" i="3"/>
  <c r="BX3097" i="3"/>
  <c r="BB3097" i="3"/>
  <c r="U3097" i="3"/>
  <c r="T3097" i="3"/>
  <c r="S3097" i="3"/>
  <c r="C3097" i="3"/>
  <c r="A3097" i="3"/>
  <c r="BY3096" i="3"/>
  <c r="BX3096" i="3"/>
  <c r="BB3096" i="3"/>
  <c r="U3096" i="3"/>
  <c r="T3096" i="3"/>
  <c r="S3096" i="3"/>
  <c r="C3096" i="3"/>
  <c r="A3096" i="3"/>
  <c r="BY3095" i="3"/>
  <c r="BX3095" i="3"/>
  <c r="BB3095" i="3"/>
  <c r="U3095" i="3"/>
  <c r="T3095" i="3"/>
  <c r="S3095" i="3"/>
  <c r="C3095" i="3"/>
  <c r="A3095" i="3"/>
  <c r="BY3094" i="3"/>
  <c r="BX3094" i="3"/>
  <c r="BB3094" i="3"/>
  <c r="U3094" i="3"/>
  <c r="T3094" i="3"/>
  <c r="S3094" i="3"/>
  <c r="C3094" i="3"/>
  <c r="A3094" i="3"/>
  <c r="BY3093" i="3"/>
  <c r="BX3093" i="3"/>
  <c r="BB3093" i="3"/>
  <c r="U3093" i="3"/>
  <c r="T3093" i="3"/>
  <c r="S3093" i="3"/>
  <c r="C3093" i="3"/>
  <c r="A3093" i="3"/>
  <c r="BY3092" i="3"/>
  <c r="BX3092" i="3"/>
  <c r="BB3092" i="3"/>
  <c r="U3092" i="3"/>
  <c r="T3092" i="3"/>
  <c r="S3092" i="3"/>
  <c r="C3092" i="3"/>
  <c r="A3092" i="3"/>
  <c r="BY3091" i="3"/>
  <c r="BX3091" i="3"/>
  <c r="BB3091" i="3"/>
  <c r="U3091" i="3"/>
  <c r="T3091" i="3"/>
  <c r="S3091" i="3"/>
  <c r="C3091" i="3"/>
  <c r="A3091" i="3"/>
  <c r="BY3090" i="3"/>
  <c r="BX3090" i="3"/>
  <c r="BB3090" i="3"/>
  <c r="U3090" i="3"/>
  <c r="T3090" i="3"/>
  <c r="S3090" i="3"/>
  <c r="C3090" i="3"/>
  <c r="A3090" i="3"/>
  <c r="BY3089" i="3"/>
  <c r="BX3089" i="3"/>
  <c r="BB3089" i="3"/>
  <c r="U3089" i="3"/>
  <c r="T3089" i="3"/>
  <c r="S3089" i="3"/>
  <c r="C3089" i="3"/>
  <c r="A3089" i="3"/>
  <c r="BY3088" i="3"/>
  <c r="BX3088" i="3"/>
  <c r="BB3088" i="3"/>
  <c r="U3088" i="3"/>
  <c r="T3088" i="3"/>
  <c r="S3088" i="3"/>
  <c r="C3088" i="3"/>
  <c r="A3088" i="3"/>
  <c r="BY3087" i="3"/>
  <c r="BX3087" i="3"/>
  <c r="BB3087" i="3"/>
  <c r="U3087" i="3"/>
  <c r="T3087" i="3"/>
  <c r="S3087" i="3"/>
  <c r="C3087" i="3"/>
  <c r="A3087" i="3"/>
  <c r="BY3086" i="3"/>
  <c r="BX3086" i="3"/>
  <c r="BB3086" i="3"/>
  <c r="U3086" i="3"/>
  <c r="T3086" i="3"/>
  <c r="S3086" i="3"/>
  <c r="C3086" i="3"/>
  <c r="A3086" i="3"/>
  <c r="BY3085" i="3"/>
  <c r="BX3085" i="3"/>
  <c r="BB3085" i="3"/>
  <c r="U3085" i="3"/>
  <c r="T3085" i="3"/>
  <c r="S3085" i="3"/>
  <c r="C3085" i="3"/>
  <c r="A3085" i="3"/>
  <c r="BY3084" i="3"/>
  <c r="BX3084" i="3"/>
  <c r="BB3084" i="3"/>
  <c r="U3084" i="3"/>
  <c r="T3084" i="3"/>
  <c r="S3084" i="3"/>
  <c r="C3084" i="3"/>
  <c r="A3084" i="3"/>
  <c r="BY3083" i="3"/>
  <c r="BX3083" i="3"/>
  <c r="BB3083" i="3"/>
  <c r="U3083" i="3"/>
  <c r="T3083" i="3"/>
  <c r="S3083" i="3"/>
  <c r="C3083" i="3"/>
  <c r="A3083" i="3"/>
  <c r="BY3082" i="3"/>
  <c r="BX3082" i="3"/>
  <c r="BB3082" i="3"/>
  <c r="U3082" i="3"/>
  <c r="T3082" i="3"/>
  <c r="S3082" i="3"/>
  <c r="C3082" i="3"/>
  <c r="A3082" i="3"/>
  <c r="BY3081" i="3"/>
  <c r="BX3081" i="3"/>
  <c r="BB3081" i="3"/>
  <c r="U3081" i="3"/>
  <c r="T3081" i="3"/>
  <c r="S3081" i="3"/>
  <c r="C3081" i="3"/>
  <c r="A3081" i="3"/>
  <c r="BY3080" i="3"/>
  <c r="BX3080" i="3"/>
  <c r="BB3080" i="3"/>
  <c r="U3080" i="3"/>
  <c r="T3080" i="3"/>
  <c r="S3080" i="3"/>
  <c r="C3080" i="3"/>
  <c r="A3080" i="3"/>
  <c r="BY3079" i="3"/>
  <c r="BX3079" i="3"/>
  <c r="BB3079" i="3"/>
  <c r="U3079" i="3"/>
  <c r="T3079" i="3"/>
  <c r="S3079" i="3"/>
  <c r="C3079" i="3"/>
  <c r="A3079" i="3"/>
  <c r="BY3078" i="3"/>
  <c r="BX3078" i="3"/>
  <c r="BB3078" i="3"/>
  <c r="U3078" i="3"/>
  <c r="T3078" i="3"/>
  <c r="S3078" i="3"/>
  <c r="C3078" i="3"/>
  <c r="A3078" i="3"/>
  <c r="BY3077" i="3"/>
  <c r="BX3077" i="3"/>
  <c r="BB3077" i="3"/>
  <c r="U3077" i="3"/>
  <c r="T3077" i="3"/>
  <c r="S3077" i="3"/>
  <c r="C3077" i="3"/>
  <c r="A3077" i="3"/>
  <c r="BY3076" i="3"/>
  <c r="BX3076" i="3"/>
  <c r="BB3076" i="3"/>
  <c r="U3076" i="3"/>
  <c r="T3076" i="3"/>
  <c r="S3076" i="3"/>
  <c r="C3076" i="3"/>
  <c r="A3076" i="3"/>
  <c r="BY3075" i="3"/>
  <c r="BX3075" i="3"/>
  <c r="BB3075" i="3"/>
  <c r="U3075" i="3"/>
  <c r="T3075" i="3"/>
  <c r="S3075" i="3"/>
  <c r="C3075" i="3"/>
  <c r="A3075" i="3"/>
  <c r="BY3074" i="3"/>
  <c r="BX3074" i="3"/>
  <c r="BB3074" i="3"/>
  <c r="U3074" i="3"/>
  <c r="T3074" i="3"/>
  <c r="S3074" i="3"/>
  <c r="C3074" i="3"/>
  <c r="A3074" i="3"/>
  <c r="BY3073" i="3"/>
  <c r="BX3073" i="3"/>
  <c r="BB3073" i="3"/>
  <c r="U3073" i="3"/>
  <c r="T3073" i="3"/>
  <c r="S3073" i="3"/>
  <c r="C3073" i="3"/>
  <c r="A3073" i="3"/>
  <c r="BY3072" i="3"/>
  <c r="BX3072" i="3"/>
  <c r="BB3072" i="3"/>
  <c r="U3072" i="3"/>
  <c r="T3072" i="3"/>
  <c r="S3072" i="3"/>
  <c r="C3072" i="3"/>
  <c r="A3072" i="3"/>
  <c r="BY3071" i="3"/>
  <c r="BX3071" i="3"/>
  <c r="BB3071" i="3"/>
  <c r="U3071" i="3"/>
  <c r="T3071" i="3"/>
  <c r="S3071" i="3"/>
  <c r="C3071" i="3"/>
  <c r="A3071" i="3"/>
  <c r="BY3070" i="3"/>
  <c r="BX3070" i="3"/>
  <c r="BB3070" i="3"/>
  <c r="U3070" i="3"/>
  <c r="T3070" i="3"/>
  <c r="S3070" i="3"/>
  <c r="C3070" i="3"/>
  <c r="A3070" i="3"/>
  <c r="BY3069" i="3"/>
  <c r="BX3069" i="3"/>
  <c r="BB3069" i="3"/>
  <c r="U3069" i="3"/>
  <c r="T3069" i="3"/>
  <c r="S3069" i="3"/>
  <c r="C3069" i="3"/>
  <c r="A3069" i="3"/>
  <c r="BY3068" i="3"/>
  <c r="BX3068" i="3"/>
  <c r="BB3068" i="3"/>
  <c r="U3068" i="3"/>
  <c r="T3068" i="3"/>
  <c r="S3068" i="3"/>
  <c r="C3068" i="3"/>
  <c r="A3068" i="3"/>
  <c r="BY3067" i="3"/>
  <c r="BX3067" i="3"/>
  <c r="BB3067" i="3"/>
  <c r="U3067" i="3"/>
  <c r="T3067" i="3"/>
  <c r="S3067" i="3"/>
  <c r="C3067" i="3"/>
  <c r="A3067" i="3"/>
  <c r="BY3066" i="3"/>
  <c r="BX3066" i="3"/>
  <c r="BB3066" i="3"/>
  <c r="U3066" i="3"/>
  <c r="T3066" i="3"/>
  <c r="S3066" i="3"/>
  <c r="C3066" i="3"/>
  <c r="A3066" i="3"/>
  <c r="BY3065" i="3"/>
  <c r="BX3065" i="3"/>
  <c r="BB3065" i="3"/>
  <c r="U3065" i="3"/>
  <c r="T3065" i="3"/>
  <c r="S3065" i="3"/>
  <c r="C3065" i="3"/>
  <c r="A3065" i="3"/>
  <c r="BY3064" i="3"/>
  <c r="BX3064" i="3"/>
  <c r="BB3064" i="3"/>
  <c r="U3064" i="3"/>
  <c r="T3064" i="3"/>
  <c r="S3064" i="3"/>
  <c r="C3064" i="3"/>
  <c r="A3064" i="3"/>
  <c r="BY3063" i="3"/>
  <c r="BX3063" i="3"/>
  <c r="BB3063" i="3"/>
  <c r="U3063" i="3"/>
  <c r="T3063" i="3"/>
  <c r="S3063" i="3"/>
  <c r="C3063" i="3"/>
  <c r="A3063" i="3"/>
  <c r="BY3062" i="3"/>
  <c r="BX3062" i="3"/>
  <c r="BB3062" i="3"/>
  <c r="U3062" i="3"/>
  <c r="T3062" i="3"/>
  <c r="S3062" i="3"/>
  <c r="C3062" i="3"/>
  <c r="A3062" i="3"/>
  <c r="BY3061" i="3"/>
  <c r="BX3061" i="3"/>
  <c r="BB3061" i="3"/>
  <c r="U3061" i="3"/>
  <c r="T3061" i="3"/>
  <c r="S3061" i="3"/>
  <c r="C3061" i="3"/>
  <c r="A3061" i="3"/>
  <c r="BY3060" i="3"/>
  <c r="BX3060" i="3"/>
  <c r="BB3060" i="3"/>
  <c r="U3060" i="3"/>
  <c r="T3060" i="3"/>
  <c r="S3060" i="3"/>
  <c r="C3060" i="3"/>
  <c r="A3060" i="3"/>
  <c r="BY3059" i="3"/>
  <c r="BX3059" i="3"/>
  <c r="BB3059" i="3"/>
  <c r="U3059" i="3"/>
  <c r="T3059" i="3"/>
  <c r="S3059" i="3"/>
  <c r="C3059" i="3"/>
  <c r="A3059" i="3"/>
  <c r="BY3058" i="3"/>
  <c r="BX3058" i="3"/>
  <c r="BB3058" i="3"/>
  <c r="U3058" i="3"/>
  <c r="T3058" i="3"/>
  <c r="S3058" i="3"/>
  <c r="C3058" i="3"/>
  <c r="A3058" i="3"/>
  <c r="BY3057" i="3"/>
  <c r="BX3057" i="3"/>
  <c r="BB3057" i="3"/>
  <c r="U3057" i="3"/>
  <c r="T3057" i="3"/>
  <c r="S3057" i="3"/>
  <c r="C3057" i="3"/>
  <c r="A3057" i="3"/>
  <c r="BY3056" i="3"/>
  <c r="BX3056" i="3"/>
  <c r="BB3056" i="3"/>
  <c r="U3056" i="3"/>
  <c r="T3056" i="3"/>
  <c r="S3056" i="3"/>
  <c r="C3056" i="3"/>
  <c r="A3056" i="3"/>
  <c r="BY3055" i="3"/>
  <c r="BX3055" i="3"/>
  <c r="BB3055" i="3"/>
  <c r="U3055" i="3"/>
  <c r="T3055" i="3"/>
  <c r="S3055" i="3"/>
  <c r="C3055" i="3"/>
  <c r="A3055" i="3"/>
  <c r="BY3054" i="3"/>
  <c r="BX3054" i="3"/>
  <c r="BB3054" i="3"/>
  <c r="U3054" i="3"/>
  <c r="T3054" i="3"/>
  <c r="S3054" i="3"/>
  <c r="C3054" i="3"/>
  <c r="A3054" i="3"/>
  <c r="BY3053" i="3"/>
  <c r="BX3053" i="3"/>
  <c r="BB3053" i="3"/>
  <c r="U3053" i="3"/>
  <c r="T3053" i="3"/>
  <c r="S3053" i="3"/>
  <c r="C3053" i="3"/>
  <c r="A3053" i="3"/>
  <c r="BY3052" i="3"/>
  <c r="BX3052" i="3"/>
  <c r="BB3052" i="3"/>
  <c r="U3052" i="3"/>
  <c r="T3052" i="3"/>
  <c r="S3052" i="3"/>
  <c r="C3052" i="3"/>
  <c r="A3052" i="3"/>
  <c r="BY3051" i="3"/>
  <c r="BX3051" i="3"/>
  <c r="BB3051" i="3"/>
  <c r="U3051" i="3"/>
  <c r="T3051" i="3"/>
  <c r="S3051" i="3"/>
  <c r="C3051" i="3"/>
  <c r="A3051" i="3"/>
  <c r="BY3050" i="3"/>
  <c r="BX3050" i="3"/>
  <c r="BB3050" i="3"/>
  <c r="U3050" i="3"/>
  <c r="T3050" i="3"/>
  <c r="S3050" i="3"/>
  <c r="C3050" i="3"/>
  <c r="A3050" i="3"/>
  <c r="BY3049" i="3"/>
  <c r="BX3049" i="3"/>
  <c r="BB3049" i="3"/>
  <c r="U3049" i="3"/>
  <c r="T3049" i="3"/>
  <c r="S3049" i="3"/>
  <c r="C3049" i="3"/>
  <c r="A3049" i="3"/>
  <c r="BY3048" i="3"/>
  <c r="BX3048" i="3"/>
  <c r="BB3048" i="3"/>
  <c r="U3048" i="3"/>
  <c r="T3048" i="3"/>
  <c r="S3048" i="3"/>
  <c r="C3048" i="3"/>
  <c r="A3048" i="3"/>
  <c r="BY3047" i="3"/>
  <c r="BX3047" i="3"/>
  <c r="BB3047" i="3"/>
  <c r="U3047" i="3"/>
  <c r="T3047" i="3"/>
  <c r="S3047" i="3"/>
  <c r="C3047" i="3"/>
  <c r="A3047" i="3"/>
  <c r="BY3046" i="3"/>
  <c r="BX3046" i="3"/>
  <c r="BB3046" i="3"/>
  <c r="U3046" i="3"/>
  <c r="T3046" i="3"/>
  <c r="S3046" i="3"/>
  <c r="C3046" i="3"/>
  <c r="A3046" i="3"/>
  <c r="BY3045" i="3"/>
  <c r="BX3045" i="3"/>
  <c r="BB3045" i="3"/>
  <c r="U3045" i="3"/>
  <c r="T3045" i="3"/>
  <c r="S3045" i="3"/>
  <c r="C3045" i="3"/>
  <c r="A3045" i="3"/>
  <c r="BY3044" i="3"/>
  <c r="BX3044" i="3"/>
  <c r="BB3044" i="3"/>
  <c r="U3044" i="3"/>
  <c r="T3044" i="3"/>
  <c r="S3044" i="3"/>
  <c r="C3044" i="3"/>
  <c r="A3044" i="3"/>
  <c r="BY3043" i="3"/>
  <c r="BX3043" i="3"/>
  <c r="BB3043" i="3"/>
  <c r="U3043" i="3"/>
  <c r="T3043" i="3"/>
  <c r="S3043" i="3"/>
  <c r="C3043" i="3"/>
  <c r="A3043" i="3"/>
  <c r="BY3042" i="3"/>
  <c r="BX3042" i="3"/>
  <c r="BB3042" i="3"/>
  <c r="U3042" i="3"/>
  <c r="T3042" i="3"/>
  <c r="S3042" i="3"/>
  <c r="C3042" i="3"/>
  <c r="A3042" i="3"/>
  <c r="BY3041" i="3"/>
  <c r="BX3041" i="3"/>
  <c r="BB3041" i="3"/>
  <c r="U3041" i="3"/>
  <c r="T3041" i="3"/>
  <c r="S3041" i="3"/>
  <c r="C3041" i="3"/>
  <c r="A3041" i="3"/>
  <c r="BY3040" i="3"/>
  <c r="BX3040" i="3"/>
  <c r="BB3040" i="3"/>
  <c r="U3040" i="3"/>
  <c r="T3040" i="3"/>
  <c r="S3040" i="3"/>
  <c r="C3040" i="3"/>
  <c r="A3040" i="3"/>
  <c r="BY3039" i="3"/>
  <c r="BX3039" i="3"/>
  <c r="BB3039" i="3"/>
  <c r="U3039" i="3"/>
  <c r="T3039" i="3"/>
  <c r="S3039" i="3"/>
  <c r="C3039" i="3"/>
  <c r="A3039" i="3"/>
  <c r="BY3038" i="3"/>
  <c r="BX3038" i="3"/>
  <c r="BB3038" i="3"/>
  <c r="U3038" i="3"/>
  <c r="T3038" i="3"/>
  <c r="S3038" i="3"/>
  <c r="C3038" i="3"/>
  <c r="A3038" i="3"/>
  <c r="BY3037" i="3"/>
  <c r="BX3037" i="3"/>
  <c r="BB3037" i="3"/>
  <c r="U3037" i="3"/>
  <c r="T3037" i="3"/>
  <c r="S3037" i="3"/>
  <c r="C3037" i="3"/>
  <c r="A3037" i="3"/>
  <c r="BY3036" i="3"/>
  <c r="BX3036" i="3"/>
  <c r="BB3036" i="3"/>
  <c r="U3036" i="3"/>
  <c r="T3036" i="3"/>
  <c r="S3036" i="3"/>
  <c r="C3036" i="3"/>
  <c r="A3036" i="3"/>
  <c r="BY3035" i="3"/>
  <c r="BX3035" i="3"/>
  <c r="BB3035" i="3"/>
  <c r="U3035" i="3"/>
  <c r="T3035" i="3"/>
  <c r="S3035" i="3"/>
  <c r="C3035" i="3"/>
  <c r="A3035" i="3"/>
  <c r="BY3034" i="3"/>
  <c r="BX3034" i="3"/>
  <c r="BB3034" i="3"/>
  <c r="U3034" i="3"/>
  <c r="T3034" i="3"/>
  <c r="S3034" i="3"/>
  <c r="C3034" i="3"/>
  <c r="A3034" i="3"/>
  <c r="BY3033" i="3"/>
  <c r="BX3033" i="3"/>
  <c r="BB3033" i="3"/>
  <c r="U3033" i="3"/>
  <c r="T3033" i="3"/>
  <c r="S3033" i="3"/>
  <c r="C3033" i="3"/>
  <c r="A3033" i="3"/>
  <c r="BY3032" i="3"/>
  <c r="BX3032" i="3"/>
  <c r="BB3032" i="3"/>
  <c r="U3032" i="3"/>
  <c r="T3032" i="3"/>
  <c r="S3032" i="3"/>
  <c r="C3032" i="3"/>
  <c r="A3032" i="3"/>
  <c r="BY3031" i="3"/>
  <c r="BX3031" i="3"/>
  <c r="BB3031" i="3"/>
  <c r="U3031" i="3"/>
  <c r="T3031" i="3"/>
  <c r="S3031" i="3"/>
  <c r="C3031" i="3"/>
  <c r="A3031" i="3"/>
  <c r="BY3030" i="3"/>
  <c r="BX3030" i="3"/>
  <c r="BB3030" i="3"/>
  <c r="U3030" i="3"/>
  <c r="T3030" i="3"/>
  <c r="S3030" i="3"/>
  <c r="C3030" i="3"/>
  <c r="A3030" i="3"/>
  <c r="BY3029" i="3"/>
  <c r="BX3029" i="3"/>
  <c r="BB3029" i="3"/>
  <c r="U3029" i="3"/>
  <c r="T3029" i="3"/>
  <c r="S3029" i="3"/>
  <c r="C3029" i="3"/>
  <c r="A3029" i="3"/>
  <c r="BY3028" i="3"/>
  <c r="BX3028" i="3"/>
  <c r="BB3028" i="3"/>
  <c r="U3028" i="3"/>
  <c r="T3028" i="3"/>
  <c r="S3028" i="3"/>
  <c r="C3028" i="3"/>
  <c r="A3028" i="3"/>
  <c r="BY3027" i="3"/>
  <c r="BX3027" i="3"/>
  <c r="BB3027" i="3"/>
  <c r="U3027" i="3"/>
  <c r="T3027" i="3"/>
  <c r="S3027" i="3"/>
  <c r="C3027" i="3"/>
  <c r="A3027" i="3"/>
  <c r="BY3026" i="3"/>
  <c r="BX3026" i="3"/>
  <c r="BB3026" i="3"/>
  <c r="U3026" i="3"/>
  <c r="T3026" i="3"/>
  <c r="S3026" i="3"/>
  <c r="C3026" i="3"/>
  <c r="A3026" i="3"/>
  <c r="BY3025" i="3"/>
  <c r="BX3025" i="3"/>
  <c r="BB3025" i="3"/>
  <c r="U3025" i="3"/>
  <c r="T3025" i="3"/>
  <c r="S3025" i="3"/>
  <c r="C3025" i="3"/>
  <c r="A3025" i="3"/>
  <c r="BY3024" i="3"/>
  <c r="BX3024" i="3"/>
  <c r="BB3024" i="3"/>
  <c r="U3024" i="3"/>
  <c r="T3024" i="3"/>
  <c r="S3024" i="3"/>
  <c r="C3024" i="3"/>
  <c r="A3024" i="3"/>
  <c r="BY3023" i="3"/>
  <c r="BX3023" i="3"/>
  <c r="BB3023" i="3"/>
  <c r="U3023" i="3"/>
  <c r="T3023" i="3"/>
  <c r="S3023" i="3"/>
  <c r="C3023" i="3"/>
  <c r="A3023" i="3"/>
  <c r="BY3022" i="3"/>
  <c r="BX3022" i="3"/>
  <c r="BB3022" i="3"/>
  <c r="U3022" i="3"/>
  <c r="T3022" i="3"/>
  <c r="S3022" i="3"/>
  <c r="C3022" i="3"/>
  <c r="A3022" i="3"/>
  <c r="BY3021" i="3"/>
  <c r="BX3021" i="3"/>
  <c r="BB3021" i="3"/>
  <c r="U3021" i="3"/>
  <c r="T3021" i="3"/>
  <c r="S3021" i="3"/>
  <c r="C3021" i="3"/>
  <c r="A3021" i="3"/>
  <c r="BY3020" i="3"/>
  <c r="BX3020" i="3"/>
  <c r="BB3020" i="3"/>
  <c r="U3020" i="3"/>
  <c r="T3020" i="3"/>
  <c r="S3020" i="3"/>
  <c r="C3020" i="3"/>
  <c r="A3020" i="3"/>
  <c r="BY3019" i="3"/>
  <c r="BX3019" i="3"/>
  <c r="BB3019" i="3"/>
  <c r="U3019" i="3"/>
  <c r="T3019" i="3"/>
  <c r="S3019" i="3"/>
  <c r="C3019" i="3"/>
  <c r="A3019" i="3"/>
  <c r="BY3018" i="3"/>
  <c r="BX3018" i="3"/>
  <c r="BB3018" i="3"/>
  <c r="U3018" i="3"/>
  <c r="T3018" i="3"/>
  <c r="S3018" i="3"/>
  <c r="C3018" i="3"/>
  <c r="A3018" i="3"/>
  <c r="BY3017" i="3"/>
  <c r="BX3017" i="3"/>
  <c r="BB3017" i="3"/>
  <c r="U3017" i="3"/>
  <c r="T3017" i="3"/>
  <c r="S3017" i="3"/>
  <c r="C3017" i="3"/>
  <c r="A3017" i="3"/>
  <c r="BY3016" i="3"/>
  <c r="BX3016" i="3"/>
  <c r="BB3016" i="3"/>
  <c r="U3016" i="3"/>
  <c r="T3016" i="3"/>
  <c r="S3016" i="3"/>
  <c r="C3016" i="3"/>
  <c r="A3016" i="3"/>
  <c r="BY3015" i="3"/>
  <c r="BX3015" i="3"/>
  <c r="BB3015" i="3"/>
  <c r="U3015" i="3"/>
  <c r="T3015" i="3"/>
  <c r="S3015" i="3"/>
  <c r="C3015" i="3"/>
  <c r="A3015" i="3"/>
  <c r="BY3014" i="3"/>
  <c r="BX3014" i="3"/>
  <c r="BB3014" i="3"/>
  <c r="U3014" i="3"/>
  <c r="T3014" i="3"/>
  <c r="S3014" i="3"/>
  <c r="C3014" i="3"/>
  <c r="A3014" i="3"/>
  <c r="BY3013" i="3"/>
  <c r="BX3013" i="3"/>
  <c r="BB3013" i="3"/>
  <c r="U3013" i="3"/>
  <c r="T3013" i="3"/>
  <c r="S3013" i="3"/>
  <c r="C3013" i="3"/>
  <c r="A3013" i="3"/>
  <c r="BY3012" i="3"/>
  <c r="BX3012" i="3"/>
  <c r="BB3012" i="3"/>
  <c r="U3012" i="3"/>
  <c r="T3012" i="3"/>
  <c r="S3012" i="3"/>
  <c r="C3012" i="3"/>
  <c r="A3012" i="3"/>
  <c r="BY3011" i="3"/>
  <c r="BX3011" i="3"/>
  <c r="BB3011" i="3"/>
  <c r="U3011" i="3"/>
  <c r="T3011" i="3"/>
  <c r="S3011" i="3"/>
  <c r="C3011" i="3"/>
  <c r="A3011" i="3"/>
  <c r="BY3010" i="3"/>
  <c r="BX3010" i="3"/>
  <c r="BB3010" i="3"/>
  <c r="U3010" i="3"/>
  <c r="T3010" i="3"/>
  <c r="S3010" i="3"/>
  <c r="C3010" i="3"/>
  <c r="A3010" i="3"/>
  <c r="BY3009" i="3"/>
  <c r="BX3009" i="3"/>
  <c r="BB3009" i="3"/>
  <c r="U3009" i="3"/>
  <c r="T3009" i="3"/>
  <c r="S3009" i="3"/>
  <c r="C3009" i="3"/>
  <c r="A3009" i="3"/>
  <c r="BY3008" i="3"/>
  <c r="BX3008" i="3"/>
  <c r="BB3008" i="3"/>
  <c r="U3008" i="3"/>
  <c r="T3008" i="3"/>
  <c r="S3008" i="3"/>
  <c r="C3008" i="3"/>
  <c r="A3008" i="3"/>
  <c r="BY3007" i="3"/>
  <c r="BX3007" i="3"/>
  <c r="BB3007" i="3"/>
  <c r="U3007" i="3"/>
  <c r="T3007" i="3"/>
  <c r="S3007" i="3"/>
  <c r="C3007" i="3"/>
  <c r="A3007" i="3"/>
  <c r="BY3006" i="3"/>
  <c r="BX3006" i="3"/>
  <c r="BB3006" i="3"/>
  <c r="U3006" i="3"/>
  <c r="T3006" i="3"/>
  <c r="S3006" i="3"/>
  <c r="C3006" i="3"/>
  <c r="A3006" i="3"/>
  <c r="BY3005" i="3"/>
  <c r="BX3005" i="3"/>
  <c r="BB3005" i="3"/>
  <c r="U3005" i="3"/>
  <c r="T3005" i="3"/>
  <c r="S3005" i="3"/>
  <c r="C3005" i="3"/>
  <c r="A3005" i="3"/>
  <c r="BY3004" i="3"/>
  <c r="BX3004" i="3"/>
  <c r="BB3004" i="3"/>
  <c r="U3004" i="3"/>
  <c r="T3004" i="3"/>
  <c r="S3004" i="3"/>
  <c r="C3004" i="3"/>
  <c r="A3004" i="3"/>
  <c r="BY3003" i="3"/>
  <c r="BX3003" i="3"/>
  <c r="BB3003" i="3"/>
  <c r="U3003" i="3"/>
  <c r="T3003" i="3"/>
  <c r="S3003" i="3"/>
  <c r="C3003" i="3"/>
  <c r="A3003" i="3"/>
  <c r="BY3002" i="3"/>
  <c r="BX3002" i="3"/>
  <c r="BB3002" i="3"/>
  <c r="U3002" i="3"/>
  <c r="T3002" i="3"/>
  <c r="S3002" i="3"/>
  <c r="C3002" i="3"/>
  <c r="A3002" i="3"/>
  <c r="BY3001" i="3"/>
  <c r="BX3001" i="3"/>
  <c r="BB3001" i="3"/>
  <c r="U3001" i="3"/>
  <c r="T3001" i="3"/>
  <c r="S3001" i="3"/>
  <c r="C3001" i="3"/>
  <c r="A3001" i="3"/>
  <c r="BY3000" i="3"/>
  <c r="BX3000" i="3"/>
  <c r="BB3000" i="3"/>
  <c r="U3000" i="3"/>
  <c r="T3000" i="3"/>
  <c r="S3000" i="3"/>
  <c r="C3000" i="3"/>
  <c r="A3000" i="3"/>
  <c r="BY2999" i="3"/>
  <c r="BX2999" i="3"/>
  <c r="BB2999" i="3"/>
  <c r="U2999" i="3"/>
  <c r="T2999" i="3"/>
  <c r="S2999" i="3"/>
  <c r="C2999" i="3"/>
  <c r="A2999" i="3"/>
  <c r="BY2998" i="3"/>
  <c r="BX2998" i="3"/>
  <c r="BB2998" i="3"/>
  <c r="U2998" i="3"/>
  <c r="T2998" i="3"/>
  <c r="S2998" i="3"/>
  <c r="C2998" i="3"/>
  <c r="A2998" i="3"/>
  <c r="BY2997" i="3"/>
  <c r="BX2997" i="3"/>
  <c r="BB2997" i="3"/>
  <c r="U2997" i="3"/>
  <c r="T2997" i="3"/>
  <c r="S2997" i="3"/>
  <c r="C2997" i="3"/>
  <c r="A2997" i="3"/>
  <c r="BY2996" i="3"/>
  <c r="BX2996" i="3"/>
  <c r="BB2996" i="3"/>
  <c r="U2996" i="3"/>
  <c r="T2996" i="3"/>
  <c r="S2996" i="3"/>
  <c r="C2996" i="3"/>
  <c r="A2996" i="3"/>
  <c r="BY2995" i="3"/>
  <c r="BX2995" i="3"/>
  <c r="BB2995" i="3"/>
  <c r="U2995" i="3"/>
  <c r="T2995" i="3"/>
  <c r="S2995" i="3"/>
  <c r="C2995" i="3"/>
  <c r="A2995" i="3"/>
  <c r="BY2994" i="3"/>
  <c r="BX2994" i="3"/>
  <c r="BB2994" i="3"/>
  <c r="U2994" i="3"/>
  <c r="T2994" i="3"/>
  <c r="S2994" i="3"/>
  <c r="C2994" i="3"/>
  <c r="A2994" i="3"/>
  <c r="BY2993" i="3"/>
  <c r="BX2993" i="3"/>
  <c r="BB2993" i="3"/>
  <c r="U2993" i="3"/>
  <c r="T2993" i="3"/>
  <c r="S2993" i="3"/>
  <c r="C2993" i="3"/>
  <c r="A2993" i="3"/>
  <c r="BY2992" i="3"/>
  <c r="BX2992" i="3"/>
  <c r="BB2992" i="3"/>
  <c r="U2992" i="3"/>
  <c r="T2992" i="3"/>
  <c r="S2992" i="3"/>
  <c r="C2992" i="3"/>
  <c r="A2992" i="3"/>
  <c r="BY2991" i="3"/>
  <c r="BX2991" i="3"/>
  <c r="BB2991" i="3"/>
  <c r="U2991" i="3"/>
  <c r="T2991" i="3"/>
  <c r="S2991" i="3"/>
  <c r="C2991" i="3"/>
  <c r="A2991" i="3"/>
  <c r="BY2990" i="3"/>
  <c r="BX2990" i="3"/>
  <c r="BB2990" i="3"/>
  <c r="U2990" i="3"/>
  <c r="T2990" i="3"/>
  <c r="S2990" i="3"/>
  <c r="C2990" i="3"/>
  <c r="A2990" i="3"/>
  <c r="BY2989" i="3"/>
  <c r="BX2989" i="3"/>
  <c r="BB2989" i="3"/>
  <c r="U2989" i="3"/>
  <c r="T2989" i="3"/>
  <c r="S2989" i="3"/>
  <c r="C2989" i="3"/>
  <c r="A2989" i="3"/>
  <c r="BY2988" i="3"/>
  <c r="BX2988" i="3"/>
  <c r="BB2988" i="3"/>
  <c r="U2988" i="3"/>
  <c r="T2988" i="3"/>
  <c r="S2988" i="3"/>
  <c r="C2988" i="3"/>
  <c r="A2988" i="3"/>
  <c r="BY2987" i="3"/>
  <c r="BX2987" i="3"/>
  <c r="BB2987" i="3"/>
  <c r="U2987" i="3"/>
  <c r="T2987" i="3"/>
  <c r="S2987" i="3"/>
  <c r="C2987" i="3"/>
  <c r="A2987" i="3"/>
  <c r="BY2986" i="3"/>
  <c r="BX2986" i="3"/>
  <c r="BB2986" i="3"/>
  <c r="U2986" i="3"/>
  <c r="T2986" i="3"/>
  <c r="S2986" i="3"/>
  <c r="C2986" i="3"/>
  <c r="A2986" i="3"/>
  <c r="BY2985" i="3"/>
  <c r="BX2985" i="3"/>
  <c r="BB2985" i="3"/>
  <c r="U2985" i="3"/>
  <c r="T2985" i="3"/>
  <c r="S2985" i="3"/>
  <c r="C2985" i="3"/>
  <c r="A2985" i="3"/>
  <c r="BY2984" i="3"/>
  <c r="BX2984" i="3"/>
  <c r="BB2984" i="3"/>
  <c r="U2984" i="3"/>
  <c r="T2984" i="3"/>
  <c r="S2984" i="3"/>
  <c r="C2984" i="3"/>
  <c r="A2984" i="3"/>
  <c r="BY2983" i="3"/>
  <c r="BX2983" i="3"/>
  <c r="BB2983" i="3"/>
  <c r="U2983" i="3"/>
  <c r="T2983" i="3"/>
  <c r="S2983" i="3"/>
  <c r="C2983" i="3"/>
  <c r="A2983" i="3"/>
  <c r="BY2982" i="3"/>
  <c r="BX2982" i="3"/>
  <c r="BB2982" i="3"/>
  <c r="U2982" i="3"/>
  <c r="T2982" i="3"/>
  <c r="S2982" i="3"/>
  <c r="C2982" i="3"/>
  <c r="A2982" i="3"/>
  <c r="BY2981" i="3"/>
  <c r="BX2981" i="3"/>
  <c r="BB2981" i="3"/>
  <c r="U2981" i="3"/>
  <c r="T2981" i="3"/>
  <c r="S2981" i="3"/>
  <c r="C2981" i="3"/>
  <c r="A2981" i="3"/>
  <c r="BY2980" i="3"/>
  <c r="BX2980" i="3"/>
  <c r="BB2980" i="3"/>
  <c r="U2980" i="3"/>
  <c r="T2980" i="3"/>
  <c r="S2980" i="3"/>
  <c r="C2980" i="3"/>
  <c r="A2980" i="3"/>
  <c r="BY2979" i="3"/>
  <c r="BX2979" i="3"/>
  <c r="BB2979" i="3"/>
  <c r="U2979" i="3"/>
  <c r="T2979" i="3"/>
  <c r="S2979" i="3"/>
  <c r="C2979" i="3"/>
  <c r="A2979" i="3"/>
  <c r="BY2978" i="3"/>
  <c r="BX2978" i="3"/>
  <c r="BB2978" i="3"/>
  <c r="U2978" i="3"/>
  <c r="T2978" i="3"/>
  <c r="S2978" i="3"/>
  <c r="C2978" i="3"/>
  <c r="A2978" i="3"/>
  <c r="BY2977" i="3"/>
  <c r="BX2977" i="3"/>
  <c r="BB2977" i="3"/>
  <c r="U2977" i="3"/>
  <c r="T2977" i="3"/>
  <c r="S2977" i="3"/>
  <c r="C2977" i="3"/>
  <c r="A2977" i="3"/>
  <c r="BY2976" i="3"/>
  <c r="BX2976" i="3"/>
  <c r="BB2976" i="3"/>
  <c r="U2976" i="3"/>
  <c r="T2976" i="3"/>
  <c r="S2976" i="3"/>
  <c r="C2976" i="3"/>
  <c r="A2976" i="3"/>
  <c r="BY2975" i="3"/>
  <c r="BX2975" i="3"/>
  <c r="BB2975" i="3"/>
  <c r="U2975" i="3"/>
  <c r="T2975" i="3"/>
  <c r="S2975" i="3"/>
  <c r="C2975" i="3"/>
  <c r="A2975" i="3"/>
  <c r="BY2974" i="3"/>
  <c r="BX2974" i="3"/>
  <c r="BB2974" i="3"/>
  <c r="U2974" i="3"/>
  <c r="T2974" i="3"/>
  <c r="S2974" i="3"/>
  <c r="C2974" i="3"/>
  <c r="A2974" i="3"/>
  <c r="BY2973" i="3"/>
  <c r="BX2973" i="3"/>
  <c r="BB2973" i="3"/>
  <c r="U2973" i="3"/>
  <c r="T2973" i="3"/>
  <c r="S2973" i="3"/>
  <c r="C2973" i="3"/>
  <c r="A2973" i="3"/>
  <c r="BY2972" i="3"/>
  <c r="BX2972" i="3"/>
  <c r="BB2972" i="3"/>
  <c r="U2972" i="3"/>
  <c r="T2972" i="3"/>
  <c r="S2972" i="3"/>
  <c r="C2972" i="3"/>
  <c r="A2972" i="3"/>
  <c r="BY2971" i="3"/>
  <c r="BX2971" i="3"/>
  <c r="BB2971" i="3"/>
  <c r="U2971" i="3"/>
  <c r="T2971" i="3"/>
  <c r="S2971" i="3"/>
  <c r="C2971" i="3"/>
  <c r="A2971" i="3"/>
  <c r="BY2970" i="3"/>
  <c r="BX2970" i="3"/>
  <c r="BB2970" i="3"/>
  <c r="U2970" i="3"/>
  <c r="T2970" i="3"/>
  <c r="S2970" i="3"/>
  <c r="C2970" i="3"/>
  <c r="A2970" i="3"/>
  <c r="BY2969" i="3"/>
  <c r="BX2969" i="3"/>
  <c r="BB2969" i="3"/>
  <c r="U2969" i="3"/>
  <c r="T2969" i="3"/>
  <c r="S2969" i="3"/>
  <c r="C2969" i="3"/>
  <c r="A2969" i="3"/>
  <c r="BY2968" i="3"/>
  <c r="BX2968" i="3"/>
  <c r="BB2968" i="3"/>
  <c r="U2968" i="3"/>
  <c r="T2968" i="3"/>
  <c r="S2968" i="3"/>
  <c r="C2968" i="3"/>
  <c r="A2968" i="3"/>
  <c r="BY2967" i="3"/>
  <c r="BX2967" i="3"/>
  <c r="BB2967" i="3"/>
  <c r="U2967" i="3"/>
  <c r="T2967" i="3"/>
  <c r="S2967" i="3"/>
  <c r="C2967" i="3"/>
  <c r="A2967" i="3"/>
  <c r="BY2966" i="3"/>
  <c r="BX2966" i="3"/>
  <c r="BB2966" i="3"/>
  <c r="U2966" i="3"/>
  <c r="T2966" i="3"/>
  <c r="S2966" i="3"/>
  <c r="C2966" i="3"/>
  <c r="A2966" i="3"/>
  <c r="BY2965" i="3"/>
  <c r="BX2965" i="3"/>
  <c r="BB2965" i="3"/>
  <c r="U2965" i="3"/>
  <c r="T2965" i="3"/>
  <c r="S2965" i="3"/>
  <c r="C2965" i="3"/>
  <c r="A2965" i="3"/>
  <c r="BY2964" i="3"/>
  <c r="BX2964" i="3"/>
  <c r="BB2964" i="3"/>
  <c r="U2964" i="3"/>
  <c r="T2964" i="3"/>
  <c r="S2964" i="3"/>
  <c r="C2964" i="3"/>
  <c r="A2964" i="3"/>
  <c r="BY2963" i="3"/>
  <c r="BX2963" i="3"/>
  <c r="BB2963" i="3"/>
  <c r="U2963" i="3"/>
  <c r="T2963" i="3"/>
  <c r="S2963" i="3"/>
  <c r="C2963" i="3"/>
  <c r="A2963" i="3"/>
  <c r="BY2962" i="3"/>
  <c r="BX2962" i="3"/>
  <c r="BB2962" i="3"/>
  <c r="U2962" i="3"/>
  <c r="T2962" i="3"/>
  <c r="S2962" i="3"/>
  <c r="C2962" i="3"/>
  <c r="A2962" i="3"/>
  <c r="BY2961" i="3"/>
  <c r="BX2961" i="3"/>
  <c r="BB2961" i="3"/>
  <c r="U2961" i="3"/>
  <c r="T2961" i="3"/>
  <c r="S2961" i="3"/>
  <c r="C2961" i="3"/>
  <c r="A2961" i="3"/>
  <c r="BY2960" i="3"/>
  <c r="BX2960" i="3"/>
  <c r="BB2960" i="3"/>
  <c r="U2960" i="3"/>
  <c r="T2960" i="3"/>
  <c r="S2960" i="3"/>
  <c r="C2960" i="3"/>
  <c r="A2960" i="3"/>
  <c r="BY2959" i="3"/>
  <c r="BX2959" i="3"/>
  <c r="BB2959" i="3"/>
  <c r="U2959" i="3"/>
  <c r="T2959" i="3"/>
  <c r="S2959" i="3"/>
  <c r="C2959" i="3"/>
  <c r="A2959" i="3"/>
  <c r="BY2958" i="3"/>
  <c r="BX2958" i="3"/>
  <c r="BB2958" i="3"/>
  <c r="U2958" i="3"/>
  <c r="T2958" i="3"/>
  <c r="S2958" i="3"/>
  <c r="C2958" i="3"/>
  <c r="A2958" i="3"/>
  <c r="BY2957" i="3"/>
  <c r="BX2957" i="3"/>
  <c r="BB2957" i="3"/>
  <c r="U2957" i="3"/>
  <c r="T2957" i="3"/>
  <c r="S2957" i="3"/>
  <c r="C2957" i="3"/>
  <c r="A2957" i="3"/>
  <c r="BY2956" i="3"/>
  <c r="BX2956" i="3"/>
  <c r="BB2956" i="3"/>
  <c r="U2956" i="3"/>
  <c r="T2956" i="3"/>
  <c r="S2956" i="3"/>
  <c r="C2956" i="3"/>
  <c r="A2956" i="3"/>
  <c r="BY2955" i="3"/>
  <c r="BX2955" i="3"/>
  <c r="BB2955" i="3"/>
  <c r="U2955" i="3"/>
  <c r="T2955" i="3"/>
  <c r="S2955" i="3"/>
  <c r="C2955" i="3"/>
  <c r="A2955" i="3"/>
  <c r="BY2954" i="3"/>
  <c r="BX2954" i="3"/>
  <c r="BB2954" i="3"/>
  <c r="U2954" i="3"/>
  <c r="T2954" i="3"/>
  <c r="S2954" i="3"/>
  <c r="C2954" i="3"/>
  <c r="A2954" i="3"/>
  <c r="BY2953" i="3"/>
  <c r="BX2953" i="3"/>
  <c r="BB2953" i="3"/>
  <c r="U2953" i="3"/>
  <c r="T2953" i="3"/>
  <c r="S2953" i="3"/>
  <c r="C2953" i="3"/>
  <c r="A2953" i="3"/>
  <c r="BY2952" i="3"/>
  <c r="BX2952" i="3"/>
  <c r="BB2952" i="3"/>
  <c r="U2952" i="3"/>
  <c r="T2952" i="3"/>
  <c r="S2952" i="3"/>
  <c r="C2952" i="3"/>
  <c r="A2952" i="3"/>
  <c r="BY2951" i="3"/>
  <c r="BX2951" i="3"/>
  <c r="BB2951" i="3"/>
  <c r="U2951" i="3"/>
  <c r="T2951" i="3"/>
  <c r="S2951" i="3"/>
  <c r="C2951" i="3"/>
  <c r="A2951" i="3"/>
  <c r="BY2950" i="3"/>
  <c r="BX2950" i="3"/>
  <c r="BB2950" i="3"/>
  <c r="U2950" i="3"/>
  <c r="T2950" i="3"/>
  <c r="S2950" i="3"/>
  <c r="C2950" i="3"/>
  <c r="A2950" i="3"/>
  <c r="BY2949" i="3"/>
  <c r="BX2949" i="3"/>
  <c r="BB2949" i="3"/>
  <c r="U2949" i="3"/>
  <c r="T2949" i="3"/>
  <c r="S2949" i="3"/>
  <c r="C2949" i="3"/>
  <c r="A2949" i="3"/>
  <c r="BY2948" i="3"/>
  <c r="BX2948" i="3"/>
  <c r="BB2948" i="3"/>
  <c r="U2948" i="3"/>
  <c r="T2948" i="3"/>
  <c r="S2948" i="3"/>
  <c r="C2948" i="3"/>
  <c r="A2948" i="3"/>
  <c r="BY2947" i="3"/>
  <c r="BX2947" i="3"/>
  <c r="BB2947" i="3"/>
  <c r="U2947" i="3"/>
  <c r="T2947" i="3"/>
  <c r="S2947" i="3"/>
  <c r="C2947" i="3"/>
  <c r="A2947" i="3"/>
  <c r="BY2946" i="3"/>
  <c r="BX2946" i="3"/>
  <c r="BB2946" i="3"/>
  <c r="U2946" i="3"/>
  <c r="T2946" i="3"/>
  <c r="S2946" i="3"/>
  <c r="C2946" i="3"/>
  <c r="A2946" i="3"/>
  <c r="BY2945" i="3"/>
  <c r="BX2945" i="3"/>
  <c r="BB2945" i="3"/>
  <c r="U2945" i="3"/>
  <c r="T2945" i="3"/>
  <c r="S2945" i="3"/>
  <c r="C2945" i="3"/>
  <c r="A2945" i="3"/>
  <c r="BY2944" i="3"/>
  <c r="BX2944" i="3"/>
  <c r="BB2944" i="3"/>
  <c r="U2944" i="3"/>
  <c r="T2944" i="3"/>
  <c r="S2944" i="3"/>
  <c r="C2944" i="3"/>
  <c r="A2944" i="3"/>
  <c r="BY2943" i="3"/>
  <c r="BX2943" i="3"/>
  <c r="BB2943" i="3"/>
  <c r="U2943" i="3"/>
  <c r="T2943" i="3"/>
  <c r="S2943" i="3"/>
  <c r="C2943" i="3"/>
  <c r="A2943" i="3"/>
  <c r="BY2942" i="3"/>
  <c r="BX2942" i="3"/>
  <c r="BB2942" i="3"/>
  <c r="U2942" i="3"/>
  <c r="T2942" i="3"/>
  <c r="S2942" i="3"/>
  <c r="C2942" i="3"/>
  <c r="A2942" i="3"/>
  <c r="BY2941" i="3"/>
  <c r="BX2941" i="3"/>
  <c r="BB2941" i="3"/>
  <c r="U2941" i="3"/>
  <c r="T2941" i="3"/>
  <c r="S2941" i="3"/>
  <c r="C2941" i="3"/>
  <c r="A2941" i="3"/>
  <c r="BY2940" i="3"/>
  <c r="BX2940" i="3"/>
  <c r="BB2940" i="3"/>
  <c r="U2940" i="3"/>
  <c r="T2940" i="3"/>
  <c r="S2940" i="3"/>
  <c r="C2940" i="3"/>
  <c r="A2940" i="3"/>
  <c r="BY2939" i="3"/>
  <c r="BX2939" i="3"/>
  <c r="BB2939" i="3"/>
  <c r="U2939" i="3"/>
  <c r="T2939" i="3"/>
  <c r="S2939" i="3"/>
  <c r="C2939" i="3"/>
  <c r="A2939" i="3"/>
  <c r="BY2938" i="3"/>
  <c r="BX2938" i="3"/>
  <c r="BB2938" i="3"/>
  <c r="U2938" i="3"/>
  <c r="T2938" i="3"/>
  <c r="S2938" i="3"/>
  <c r="C2938" i="3"/>
  <c r="A2938" i="3"/>
  <c r="BY2937" i="3"/>
  <c r="BX2937" i="3"/>
  <c r="BB2937" i="3"/>
  <c r="U2937" i="3"/>
  <c r="T2937" i="3"/>
  <c r="S2937" i="3"/>
  <c r="C2937" i="3"/>
  <c r="A2937" i="3"/>
  <c r="BY2936" i="3"/>
  <c r="BX2936" i="3"/>
  <c r="BB2936" i="3"/>
  <c r="U2936" i="3"/>
  <c r="T2936" i="3"/>
  <c r="S2936" i="3"/>
  <c r="C2936" i="3"/>
  <c r="A2936" i="3"/>
  <c r="BY2935" i="3"/>
  <c r="BX2935" i="3"/>
  <c r="BB2935" i="3"/>
  <c r="U2935" i="3"/>
  <c r="T2935" i="3"/>
  <c r="S2935" i="3"/>
  <c r="C2935" i="3"/>
  <c r="A2935" i="3"/>
  <c r="BY2934" i="3"/>
  <c r="BX2934" i="3"/>
  <c r="BB2934" i="3"/>
  <c r="U2934" i="3"/>
  <c r="T2934" i="3"/>
  <c r="S2934" i="3"/>
  <c r="C2934" i="3"/>
  <c r="A2934" i="3"/>
  <c r="BY2933" i="3"/>
  <c r="BX2933" i="3"/>
  <c r="BB2933" i="3"/>
  <c r="U2933" i="3"/>
  <c r="T2933" i="3"/>
  <c r="S2933" i="3"/>
  <c r="C2933" i="3"/>
  <c r="A2933" i="3"/>
  <c r="BY2932" i="3"/>
  <c r="BX2932" i="3"/>
  <c r="BB2932" i="3"/>
  <c r="U2932" i="3"/>
  <c r="T2932" i="3"/>
  <c r="S2932" i="3"/>
  <c r="C2932" i="3"/>
  <c r="A2932" i="3"/>
  <c r="BY2931" i="3"/>
  <c r="BX2931" i="3"/>
  <c r="BB2931" i="3"/>
  <c r="U2931" i="3"/>
  <c r="T2931" i="3"/>
  <c r="S2931" i="3"/>
  <c r="C2931" i="3"/>
  <c r="A2931" i="3"/>
  <c r="BY2930" i="3"/>
  <c r="BX2930" i="3"/>
  <c r="BB2930" i="3"/>
  <c r="U2930" i="3"/>
  <c r="T2930" i="3"/>
  <c r="S2930" i="3"/>
  <c r="C2930" i="3"/>
  <c r="A2930" i="3"/>
  <c r="BY2929" i="3"/>
  <c r="BX2929" i="3"/>
  <c r="BB2929" i="3"/>
  <c r="U2929" i="3"/>
  <c r="T2929" i="3"/>
  <c r="S2929" i="3"/>
  <c r="C2929" i="3"/>
  <c r="A2929" i="3"/>
  <c r="BY2928" i="3"/>
  <c r="BX2928" i="3"/>
  <c r="BB2928" i="3"/>
  <c r="U2928" i="3"/>
  <c r="T2928" i="3"/>
  <c r="S2928" i="3"/>
  <c r="C2928" i="3"/>
  <c r="A2928" i="3"/>
  <c r="BY2927" i="3"/>
  <c r="BX2927" i="3"/>
  <c r="BB2927" i="3"/>
  <c r="U2927" i="3"/>
  <c r="T2927" i="3"/>
  <c r="S2927" i="3"/>
  <c r="C2927" i="3"/>
  <c r="A2927" i="3"/>
  <c r="BY2926" i="3"/>
  <c r="BX2926" i="3"/>
  <c r="BB2926" i="3"/>
  <c r="U2926" i="3"/>
  <c r="T2926" i="3"/>
  <c r="S2926" i="3"/>
  <c r="C2926" i="3"/>
  <c r="A2926" i="3"/>
  <c r="BY2925" i="3"/>
  <c r="BX2925" i="3"/>
  <c r="BB2925" i="3"/>
  <c r="U2925" i="3"/>
  <c r="T2925" i="3"/>
  <c r="S2925" i="3"/>
  <c r="C2925" i="3"/>
  <c r="A2925" i="3"/>
  <c r="BY2924" i="3"/>
  <c r="BX2924" i="3"/>
  <c r="BB2924" i="3"/>
  <c r="U2924" i="3"/>
  <c r="T2924" i="3"/>
  <c r="S2924" i="3"/>
  <c r="C2924" i="3"/>
  <c r="A2924" i="3"/>
  <c r="BY2923" i="3"/>
  <c r="BX2923" i="3"/>
  <c r="BB2923" i="3"/>
  <c r="U2923" i="3"/>
  <c r="T2923" i="3"/>
  <c r="S2923" i="3"/>
  <c r="C2923" i="3"/>
  <c r="A2923" i="3"/>
  <c r="BY2922" i="3"/>
  <c r="BX2922" i="3"/>
  <c r="BB2922" i="3"/>
  <c r="U2922" i="3"/>
  <c r="T2922" i="3"/>
  <c r="S2922" i="3"/>
  <c r="C2922" i="3"/>
  <c r="A2922" i="3"/>
  <c r="BY2921" i="3"/>
  <c r="BX2921" i="3"/>
  <c r="BB2921" i="3"/>
  <c r="U2921" i="3"/>
  <c r="T2921" i="3"/>
  <c r="S2921" i="3"/>
  <c r="C2921" i="3"/>
  <c r="A2921" i="3"/>
  <c r="BY2920" i="3"/>
  <c r="BX2920" i="3"/>
  <c r="BB2920" i="3"/>
  <c r="U2920" i="3"/>
  <c r="T2920" i="3"/>
  <c r="S2920" i="3"/>
  <c r="C2920" i="3"/>
  <c r="A2920" i="3"/>
  <c r="BY2919" i="3"/>
  <c r="BX2919" i="3"/>
  <c r="BB2919" i="3"/>
  <c r="U2919" i="3"/>
  <c r="T2919" i="3"/>
  <c r="S2919" i="3"/>
  <c r="C2919" i="3"/>
  <c r="A2919" i="3"/>
  <c r="BY2918" i="3"/>
  <c r="BX2918" i="3"/>
  <c r="BB2918" i="3"/>
  <c r="U2918" i="3"/>
  <c r="T2918" i="3"/>
  <c r="S2918" i="3"/>
  <c r="C2918" i="3"/>
  <c r="A2918" i="3"/>
  <c r="BY2917" i="3"/>
  <c r="BX2917" i="3"/>
  <c r="BB2917" i="3"/>
  <c r="U2917" i="3"/>
  <c r="T2917" i="3"/>
  <c r="S2917" i="3"/>
  <c r="C2917" i="3"/>
  <c r="A2917" i="3"/>
  <c r="BY2916" i="3"/>
  <c r="BX2916" i="3"/>
  <c r="BB2916" i="3"/>
  <c r="U2916" i="3"/>
  <c r="T2916" i="3"/>
  <c r="S2916" i="3"/>
  <c r="C2916" i="3"/>
  <c r="A2916" i="3"/>
  <c r="BY2915" i="3"/>
  <c r="BX2915" i="3"/>
  <c r="BB2915" i="3"/>
  <c r="U2915" i="3"/>
  <c r="T2915" i="3"/>
  <c r="S2915" i="3"/>
  <c r="C2915" i="3"/>
  <c r="A2915" i="3"/>
  <c r="BY2914" i="3"/>
  <c r="BX2914" i="3"/>
  <c r="BB2914" i="3"/>
  <c r="U2914" i="3"/>
  <c r="T2914" i="3"/>
  <c r="S2914" i="3"/>
  <c r="C2914" i="3"/>
  <c r="A2914" i="3"/>
  <c r="BY2913" i="3"/>
  <c r="BX2913" i="3"/>
  <c r="BB2913" i="3"/>
  <c r="U2913" i="3"/>
  <c r="T2913" i="3"/>
  <c r="S2913" i="3"/>
  <c r="C2913" i="3"/>
  <c r="A2913" i="3"/>
  <c r="BY2912" i="3"/>
  <c r="BX2912" i="3"/>
  <c r="BB2912" i="3"/>
  <c r="U2912" i="3"/>
  <c r="T2912" i="3"/>
  <c r="S2912" i="3"/>
  <c r="C2912" i="3"/>
  <c r="A2912" i="3"/>
  <c r="BY2911" i="3"/>
  <c r="BX2911" i="3"/>
  <c r="BB2911" i="3"/>
  <c r="U2911" i="3"/>
  <c r="T2911" i="3"/>
  <c r="S2911" i="3"/>
  <c r="C2911" i="3"/>
  <c r="A2911" i="3"/>
  <c r="BY2910" i="3"/>
  <c r="BX2910" i="3"/>
  <c r="BB2910" i="3"/>
  <c r="U2910" i="3"/>
  <c r="T2910" i="3"/>
  <c r="S2910" i="3"/>
  <c r="C2910" i="3"/>
  <c r="A2910" i="3"/>
  <c r="BY2909" i="3"/>
  <c r="BX2909" i="3"/>
  <c r="BB2909" i="3"/>
  <c r="U2909" i="3"/>
  <c r="T2909" i="3"/>
  <c r="S2909" i="3"/>
  <c r="C2909" i="3"/>
  <c r="A2909" i="3"/>
  <c r="BY2908" i="3"/>
  <c r="BX2908" i="3"/>
  <c r="BB2908" i="3"/>
  <c r="U2908" i="3"/>
  <c r="T2908" i="3"/>
  <c r="S2908" i="3"/>
  <c r="C2908" i="3"/>
  <c r="A2908" i="3"/>
  <c r="BY2907" i="3"/>
  <c r="BX2907" i="3"/>
  <c r="BB2907" i="3"/>
  <c r="U2907" i="3"/>
  <c r="T2907" i="3"/>
  <c r="S2907" i="3"/>
  <c r="C2907" i="3"/>
  <c r="A2907" i="3"/>
  <c r="BY2906" i="3"/>
  <c r="BX2906" i="3"/>
  <c r="BB2906" i="3"/>
  <c r="U2906" i="3"/>
  <c r="T2906" i="3"/>
  <c r="S2906" i="3"/>
  <c r="C2906" i="3"/>
  <c r="A2906" i="3"/>
  <c r="BY2905" i="3"/>
  <c r="BX2905" i="3"/>
  <c r="BB2905" i="3"/>
  <c r="U2905" i="3"/>
  <c r="T2905" i="3"/>
  <c r="S2905" i="3"/>
  <c r="C2905" i="3"/>
  <c r="A2905" i="3"/>
  <c r="BY2904" i="3"/>
  <c r="BX2904" i="3"/>
  <c r="BB2904" i="3"/>
  <c r="U2904" i="3"/>
  <c r="T2904" i="3"/>
  <c r="S2904" i="3"/>
  <c r="C2904" i="3"/>
  <c r="A2904" i="3"/>
  <c r="BY2903" i="3"/>
  <c r="BX2903" i="3"/>
  <c r="BB2903" i="3"/>
  <c r="U2903" i="3"/>
  <c r="T2903" i="3"/>
  <c r="S2903" i="3"/>
  <c r="C2903" i="3"/>
  <c r="A2903" i="3"/>
  <c r="BY2902" i="3"/>
  <c r="BX2902" i="3"/>
  <c r="BB2902" i="3"/>
  <c r="U2902" i="3"/>
  <c r="T2902" i="3"/>
  <c r="S2902" i="3"/>
  <c r="C2902" i="3"/>
  <c r="A2902" i="3"/>
  <c r="BY2901" i="3"/>
  <c r="BX2901" i="3"/>
  <c r="BB2901" i="3"/>
  <c r="U2901" i="3"/>
  <c r="T2901" i="3"/>
  <c r="S2901" i="3"/>
  <c r="C2901" i="3"/>
  <c r="A2901" i="3"/>
  <c r="BY2900" i="3"/>
  <c r="BX2900" i="3"/>
  <c r="BB2900" i="3"/>
  <c r="U2900" i="3"/>
  <c r="T2900" i="3"/>
  <c r="S2900" i="3"/>
  <c r="C2900" i="3"/>
  <c r="A2900" i="3"/>
  <c r="BY2899" i="3"/>
  <c r="BX2899" i="3"/>
  <c r="BB2899" i="3"/>
  <c r="U2899" i="3"/>
  <c r="T2899" i="3"/>
  <c r="S2899" i="3"/>
  <c r="C2899" i="3"/>
  <c r="A2899" i="3"/>
  <c r="BY2898" i="3"/>
  <c r="BX2898" i="3"/>
  <c r="BB2898" i="3"/>
  <c r="U2898" i="3"/>
  <c r="T2898" i="3"/>
  <c r="S2898" i="3"/>
  <c r="C2898" i="3"/>
  <c r="A2898" i="3"/>
  <c r="BY2897" i="3"/>
  <c r="BX2897" i="3"/>
  <c r="BB2897" i="3"/>
  <c r="U2897" i="3"/>
  <c r="T2897" i="3"/>
  <c r="S2897" i="3"/>
  <c r="C2897" i="3"/>
  <c r="A2897" i="3"/>
  <c r="BY2896" i="3"/>
  <c r="BX2896" i="3"/>
  <c r="BB2896" i="3"/>
  <c r="U2896" i="3"/>
  <c r="T2896" i="3"/>
  <c r="S2896" i="3"/>
  <c r="C2896" i="3"/>
  <c r="A2896" i="3"/>
  <c r="BY2895" i="3"/>
  <c r="BX2895" i="3"/>
  <c r="BB2895" i="3"/>
  <c r="U2895" i="3"/>
  <c r="T2895" i="3"/>
  <c r="S2895" i="3"/>
  <c r="C2895" i="3"/>
  <c r="A2895" i="3"/>
  <c r="BY2894" i="3"/>
  <c r="BX2894" i="3"/>
  <c r="BB2894" i="3"/>
  <c r="U2894" i="3"/>
  <c r="T2894" i="3"/>
  <c r="S2894" i="3"/>
  <c r="C2894" i="3"/>
  <c r="A2894" i="3"/>
  <c r="BY2893" i="3"/>
  <c r="BX2893" i="3"/>
  <c r="BB2893" i="3"/>
  <c r="U2893" i="3"/>
  <c r="T2893" i="3"/>
  <c r="S2893" i="3"/>
  <c r="C2893" i="3"/>
  <c r="A2893" i="3"/>
  <c r="BY2892" i="3"/>
  <c r="BX2892" i="3"/>
  <c r="BB2892" i="3"/>
  <c r="U2892" i="3"/>
  <c r="T2892" i="3"/>
  <c r="S2892" i="3"/>
  <c r="C2892" i="3"/>
  <c r="A2892" i="3"/>
  <c r="BY2891" i="3"/>
  <c r="BX2891" i="3"/>
  <c r="BB2891" i="3"/>
  <c r="U2891" i="3"/>
  <c r="T2891" i="3"/>
  <c r="S2891" i="3"/>
  <c r="C2891" i="3"/>
  <c r="A2891" i="3"/>
  <c r="BY2890" i="3"/>
  <c r="BX2890" i="3"/>
  <c r="BB2890" i="3"/>
  <c r="U2890" i="3"/>
  <c r="T2890" i="3"/>
  <c r="S2890" i="3"/>
  <c r="C2890" i="3"/>
  <c r="A2890" i="3"/>
  <c r="BY2889" i="3"/>
  <c r="BX2889" i="3"/>
  <c r="BB2889" i="3"/>
  <c r="U2889" i="3"/>
  <c r="T2889" i="3"/>
  <c r="S2889" i="3"/>
  <c r="C2889" i="3"/>
  <c r="A2889" i="3"/>
  <c r="BY2888" i="3"/>
  <c r="BX2888" i="3"/>
  <c r="BB2888" i="3"/>
  <c r="U2888" i="3"/>
  <c r="T2888" i="3"/>
  <c r="S2888" i="3"/>
  <c r="C2888" i="3"/>
  <c r="A2888" i="3"/>
  <c r="BY2887" i="3"/>
  <c r="BX2887" i="3"/>
  <c r="BB2887" i="3"/>
  <c r="U2887" i="3"/>
  <c r="T2887" i="3"/>
  <c r="S2887" i="3"/>
  <c r="C2887" i="3"/>
  <c r="A2887" i="3"/>
  <c r="BY2886" i="3"/>
  <c r="BX2886" i="3"/>
  <c r="BB2886" i="3"/>
  <c r="U2886" i="3"/>
  <c r="T2886" i="3"/>
  <c r="S2886" i="3"/>
  <c r="C2886" i="3"/>
  <c r="A2886" i="3"/>
  <c r="BY2885" i="3"/>
  <c r="BX2885" i="3"/>
  <c r="BB2885" i="3"/>
  <c r="U2885" i="3"/>
  <c r="T2885" i="3"/>
  <c r="S2885" i="3"/>
  <c r="C2885" i="3"/>
  <c r="A2885" i="3"/>
  <c r="BY2884" i="3"/>
  <c r="BX2884" i="3"/>
  <c r="BB2884" i="3"/>
  <c r="U2884" i="3"/>
  <c r="T2884" i="3"/>
  <c r="S2884" i="3"/>
  <c r="C2884" i="3"/>
  <c r="A2884" i="3"/>
  <c r="BY2883" i="3"/>
  <c r="BX2883" i="3"/>
  <c r="BB2883" i="3"/>
  <c r="U2883" i="3"/>
  <c r="T2883" i="3"/>
  <c r="S2883" i="3"/>
  <c r="C2883" i="3"/>
  <c r="A2883" i="3"/>
  <c r="BY2882" i="3"/>
  <c r="BX2882" i="3"/>
  <c r="BB2882" i="3"/>
  <c r="U2882" i="3"/>
  <c r="T2882" i="3"/>
  <c r="S2882" i="3"/>
  <c r="C2882" i="3"/>
  <c r="A2882" i="3"/>
  <c r="BY2881" i="3"/>
  <c r="BX2881" i="3"/>
  <c r="BB2881" i="3"/>
  <c r="U2881" i="3"/>
  <c r="T2881" i="3"/>
  <c r="S2881" i="3"/>
  <c r="C2881" i="3"/>
  <c r="A2881" i="3"/>
  <c r="BY2880" i="3"/>
  <c r="BX2880" i="3"/>
  <c r="BB2880" i="3"/>
  <c r="U2880" i="3"/>
  <c r="T2880" i="3"/>
  <c r="S2880" i="3"/>
  <c r="C2880" i="3"/>
  <c r="A2880" i="3"/>
  <c r="BY2879" i="3"/>
  <c r="BX2879" i="3"/>
  <c r="BB2879" i="3"/>
  <c r="U2879" i="3"/>
  <c r="T2879" i="3"/>
  <c r="S2879" i="3"/>
  <c r="C2879" i="3"/>
  <c r="A2879" i="3"/>
  <c r="BY2878" i="3"/>
  <c r="BX2878" i="3"/>
  <c r="BB2878" i="3"/>
  <c r="U2878" i="3"/>
  <c r="T2878" i="3"/>
  <c r="S2878" i="3"/>
  <c r="C2878" i="3"/>
  <c r="A2878" i="3"/>
  <c r="BY2877" i="3"/>
  <c r="BX2877" i="3"/>
  <c r="BB2877" i="3"/>
  <c r="U2877" i="3"/>
  <c r="T2877" i="3"/>
  <c r="S2877" i="3"/>
  <c r="C2877" i="3"/>
  <c r="A2877" i="3"/>
  <c r="BY2876" i="3"/>
  <c r="BX2876" i="3"/>
  <c r="BB2876" i="3"/>
  <c r="U2876" i="3"/>
  <c r="T2876" i="3"/>
  <c r="S2876" i="3"/>
  <c r="C2876" i="3"/>
  <c r="A2876" i="3"/>
  <c r="BY2875" i="3"/>
  <c r="BX2875" i="3"/>
  <c r="BB2875" i="3"/>
  <c r="U2875" i="3"/>
  <c r="T2875" i="3"/>
  <c r="S2875" i="3"/>
  <c r="C2875" i="3"/>
  <c r="A2875" i="3"/>
  <c r="BY2874" i="3"/>
  <c r="BX2874" i="3"/>
  <c r="BB2874" i="3"/>
  <c r="U2874" i="3"/>
  <c r="T2874" i="3"/>
  <c r="S2874" i="3"/>
  <c r="C2874" i="3"/>
  <c r="A2874" i="3"/>
  <c r="BY2873" i="3"/>
  <c r="BX2873" i="3"/>
  <c r="BB2873" i="3"/>
  <c r="U2873" i="3"/>
  <c r="T2873" i="3"/>
  <c r="S2873" i="3"/>
  <c r="C2873" i="3"/>
  <c r="A2873" i="3"/>
  <c r="BY2872" i="3"/>
  <c r="BX2872" i="3"/>
  <c r="BB2872" i="3"/>
  <c r="U2872" i="3"/>
  <c r="T2872" i="3"/>
  <c r="S2872" i="3"/>
  <c r="C2872" i="3"/>
  <c r="A2872" i="3"/>
  <c r="BY2871" i="3"/>
  <c r="BX2871" i="3"/>
  <c r="BB2871" i="3"/>
  <c r="U2871" i="3"/>
  <c r="T2871" i="3"/>
  <c r="S2871" i="3"/>
  <c r="C2871" i="3"/>
  <c r="A2871" i="3"/>
  <c r="BY2870" i="3"/>
  <c r="BX2870" i="3"/>
  <c r="BB2870" i="3"/>
  <c r="U2870" i="3"/>
  <c r="T2870" i="3"/>
  <c r="S2870" i="3"/>
  <c r="C2870" i="3"/>
  <c r="A2870" i="3"/>
  <c r="BY2869" i="3"/>
  <c r="BX2869" i="3"/>
  <c r="BB2869" i="3"/>
  <c r="U2869" i="3"/>
  <c r="T2869" i="3"/>
  <c r="S2869" i="3"/>
  <c r="C2869" i="3"/>
  <c r="A2869" i="3"/>
  <c r="BY2868" i="3"/>
  <c r="BX2868" i="3"/>
  <c r="BB2868" i="3"/>
  <c r="U2868" i="3"/>
  <c r="T2868" i="3"/>
  <c r="S2868" i="3"/>
  <c r="C2868" i="3"/>
  <c r="A2868" i="3"/>
  <c r="BY2867" i="3"/>
  <c r="BX2867" i="3"/>
  <c r="BB2867" i="3"/>
  <c r="U2867" i="3"/>
  <c r="T2867" i="3"/>
  <c r="S2867" i="3"/>
  <c r="C2867" i="3"/>
  <c r="A2867" i="3"/>
  <c r="BY2866" i="3"/>
  <c r="BX2866" i="3"/>
  <c r="BB2866" i="3"/>
  <c r="U2866" i="3"/>
  <c r="T2866" i="3"/>
  <c r="S2866" i="3"/>
  <c r="C2866" i="3"/>
  <c r="A2866" i="3"/>
  <c r="BY2865" i="3"/>
  <c r="BX2865" i="3"/>
  <c r="BB2865" i="3"/>
  <c r="U2865" i="3"/>
  <c r="T2865" i="3"/>
  <c r="S2865" i="3"/>
  <c r="C2865" i="3"/>
  <c r="A2865" i="3"/>
  <c r="BY2864" i="3"/>
  <c r="BX2864" i="3"/>
  <c r="BB2864" i="3"/>
  <c r="U2864" i="3"/>
  <c r="T2864" i="3"/>
  <c r="S2864" i="3"/>
  <c r="C2864" i="3"/>
  <c r="A2864" i="3"/>
  <c r="BY2863" i="3"/>
  <c r="BX2863" i="3"/>
  <c r="BB2863" i="3"/>
  <c r="U2863" i="3"/>
  <c r="T2863" i="3"/>
  <c r="S2863" i="3"/>
  <c r="C2863" i="3"/>
  <c r="A2863" i="3"/>
  <c r="BY2862" i="3"/>
  <c r="BX2862" i="3"/>
  <c r="BB2862" i="3"/>
  <c r="U2862" i="3"/>
  <c r="T2862" i="3"/>
  <c r="S2862" i="3"/>
  <c r="C2862" i="3"/>
  <c r="A2862" i="3"/>
  <c r="BY2861" i="3"/>
  <c r="BX2861" i="3"/>
  <c r="BB2861" i="3"/>
  <c r="U2861" i="3"/>
  <c r="T2861" i="3"/>
  <c r="S2861" i="3"/>
  <c r="C2861" i="3"/>
  <c r="A2861" i="3"/>
  <c r="BY2860" i="3"/>
  <c r="BX2860" i="3"/>
  <c r="BB2860" i="3"/>
  <c r="U2860" i="3"/>
  <c r="T2860" i="3"/>
  <c r="S2860" i="3"/>
  <c r="C2860" i="3"/>
  <c r="A2860" i="3"/>
  <c r="BY2859" i="3"/>
  <c r="BX2859" i="3"/>
  <c r="BB2859" i="3"/>
  <c r="U2859" i="3"/>
  <c r="T2859" i="3"/>
  <c r="S2859" i="3"/>
  <c r="C2859" i="3"/>
  <c r="A2859" i="3"/>
  <c r="BY2858" i="3"/>
  <c r="BX2858" i="3"/>
  <c r="BB2858" i="3"/>
  <c r="U2858" i="3"/>
  <c r="T2858" i="3"/>
  <c r="S2858" i="3"/>
  <c r="C2858" i="3"/>
  <c r="A2858" i="3"/>
  <c r="BY2857" i="3"/>
  <c r="BX2857" i="3"/>
  <c r="BB2857" i="3"/>
  <c r="U2857" i="3"/>
  <c r="T2857" i="3"/>
  <c r="S2857" i="3"/>
  <c r="C2857" i="3"/>
  <c r="A2857" i="3"/>
  <c r="BY2856" i="3"/>
  <c r="BX2856" i="3"/>
  <c r="BB2856" i="3"/>
  <c r="U2856" i="3"/>
  <c r="T2856" i="3"/>
  <c r="S2856" i="3"/>
  <c r="C2856" i="3"/>
  <c r="A2856" i="3"/>
  <c r="BY2855" i="3"/>
  <c r="BX2855" i="3"/>
  <c r="BB2855" i="3"/>
  <c r="U2855" i="3"/>
  <c r="T2855" i="3"/>
  <c r="S2855" i="3"/>
  <c r="C2855" i="3"/>
  <c r="A2855" i="3"/>
  <c r="BY2854" i="3"/>
  <c r="BX2854" i="3"/>
  <c r="BB2854" i="3"/>
  <c r="U2854" i="3"/>
  <c r="T2854" i="3"/>
  <c r="S2854" i="3"/>
  <c r="C2854" i="3"/>
  <c r="A2854" i="3"/>
  <c r="BY2853" i="3"/>
  <c r="BX2853" i="3"/>
  <c r="BB2853" i="3"/>
  <c r="U2853" i="3"/>
  <c r="T2853" i="3"/>
  <c r="S2853" i="3"/>
  <c r="C2853" i="3"/>
  <c r="A2853" i="3"/>
  <c r="BY2852" i="3"/>
  <c r="BX2852" i="3"/>
  <c r="BB2852" i="3"/>
  <c r="U2852" i="3"/>
  <c r="T2852" i="3"/>
  <c r="S2852" i="3"/>
  <c r="C2852" i="3"/>
  <c r="A2852" i="3"/>
  <c r="BY2851" i="3"/>
  <c r="BX2851" i="3"/>
  <c r="BB2851" i="3"/>
  <c r="U2851" i="3"/>
  <c r="T2851" i="3"/>
  <c r="S2851" i="3"/>
  <c r="C2851" i="3"/>
  <c r="A2851" i="3"/>
  <c r="BY2850" i="3"/>
  <c r="BX2850" i="3"/>
  <c r="BB2850" i="3"/>
  <c r="U2850" i="3"/>
  <c r="T2850" i="3"/>
  <c r="S2850" i="3"/>
  <c r="C2850" i="3"/>
  <c r="A2850" i="3"/>
  <c r="BY2849" i="3"/>
  <c r="BX2849" i="3"/>
  <c r="BB2849" i="3"/>
  <c r="U2849" i="3"/>
  <c r="T2849" i="3"/>
  <c r="S2849" i="3"/>
  <c r="C2849" i="3"/>
  <c r="A2849" i="3"/>
  <c r="BY2848" i="3"/>
  <c r="BX2848" i="3"/>
  <c r="BB2848" i="3"/>
  <c r="U2848" i="3"/>
  <c r="T2848" i="3"/>
  <c r="S2848" i="3"/>
  <c r="C2848" i="3"/>
  <c r="A2848" i="3"/>
  <c r="BY2847" i="3"/>
  <c r="BX2847" i="3"/>
  <c r="BB2847" i="3"/>
  <c r="U2847" i="3"/>
  <c r="T2847" i="3"/>
  <c r="S2847" i="3"/>
  <c r="C2847" i="3"/>
  <c r="A2847" i="3"/>
  <c r="BY2846" i="3"/>
  <c r="BX2846" i="3"/>
  <c r="BB2846" i="3"/>
  <c r="U2846" i="3"/>
  <c r="T2846" i="3"/>
  <c r="S2846" i="3"/>
  <c r="C2846" i="3"/>
  <c r="A2846" i="3"/>
  <c r="BY2845" i="3"/>
  <c r="BX2845" i="3"/>
  <c r="BB2845" i="3"/>
  <c r="U2845" i="3"/>
  <c r="T2845" i="3"/>
  <c r="S2845" i="3"/>
  <c r="C2845" i="3"/>
  <c r="A2845" i="3"/>
  <c r="BY2844" i="3"/>
  <c r="BX2844" i="3"/>
  <c r="BB2844" i="3"/>
  <c r="U2844" i="3"/>
  <c r="T2844" i="3"/>
  <c r="S2844" i="3"/>
  <c r="C2844" i="3"/>
  <c r="A2844" i="3"/>
  <c r="BY2843" i="3"/>
  <c r="BX2843" i="3"/>
  <c r="BB2843" i="3"/>
  <c r="U2843" i="3"/>
  <c r="T2843" i="3"/>
  <c r="S2843" i="3"/>
  <c r="C2843" i="3"/>
  <c r="A2843" i="3"/>
  <c r="BY2842" i="3"/>
  <c r="BX2842" i="3"/>
  <c r="BB2842" i="3"/>
  <c r="U2842" i="3"/>
  <c r="T2842" i="3"/>
  <c r="S2842" i="3"/>
  <c r="C2842" i="3"/>
  <c r="A2842" i="3"/>
  <c r="BY2841" i="3"/>
  <c r="BX2841" i="3"/>
  <c r="BB2841" i="3"/>
  <c r="U2841" i="3"/>
  <c r="T2841" i="3"/>
  <c r="S2841" i="3"/>
  <c r="C2841" i="3"/>
  <c r="A2841" i="3"/>
  <c r="BY2840" i="3"/>
  <c r="BX2840" i="3"/>
  <c r="BB2840" i="3"/>
  <c r="U2840" i="3"/>
  <c r="T2840" i="3"/>
  <c r="S2840" i="3"/>
  <c r="C2840" i="3"/>
  <c r="A2840" i="3"/>
  <c r="BY2839" i="3"/>
  <c r="BX2839" i="3"/>
  <c r="BB2839" i="3"/>
  <c r="U2839" i="3"/>
  <c r="T2839" i="3"/>
  <c r="S2839" i="3"/>
  <c r="C2839" i="3"/>
  <c r="A2839" i="3"/>
  <c r="BY2838" i="3"/>
  <c r="BX2838" i="3"/>
  <c r="BB2838" i="3"/>
  <c r="U2838" i="3"/>
  <c r="T2838" i="3"/>
  <c r="S2838" i="3"/>
  <c r="C2838" i="3"/>
  <c r="A2838" i="3"/>
  <c r="BY2837" i="3"/>
  <c r="BX2837" i="3"/>
  <c r="BB2837" i="3"/>
  <c r="U2837" i="3"/>
  <c r="T2837" i="3"/>
  <c r="S2837" i="3"/>
  <c r="C2837" i="3"/>
  <c r="A2837" i="3"/>
  <c r="BY2836" i="3"/>
  <c r="BX2836" i="3"/>
  <c r="BB2836" i="3"/>
  <c r="U2836" i="3"/>
  <c r="T2836" i="3"/>
  <c r="S2836" i="3"/>
  <c r="C2836" i="3"/>
  <c r="A2836" i="3"/>
  <c r="BY2835" i="3"/>
  <c r="BX2835" i="3"/>
  <c r="BB2835" i="3"/>
  <c r="U2835" i="3"/>
  <c r="T2835" i="3"/>
  <c r="S2835" i="3"/>
  <c r="C2835" i="3"/>
  <c r="A2835" i="3"/>
  <c r="BY2834" i="3"/>
  <c r="BX2834" i="3"/>
  <c r="BB2834" i="3"/>
  <c r="U2834" i="3"/>
  <c r="T2834" i="3"/>
  <c r="S2834" i="3"/>
  <c r="C2834" i="3"/>
  <c r="A2834" i="3"/>
  <c r="BY2833" i="3"/>
  <c r="BX2833" i="3"/>
  <c r="BB2833" i="3"/>
  <c r="U2833" i="3"/>
  <c r="T2833" i="3"/>
  <c r="S2833" i="3"/>
  <c r="C2833" i="3"/>
  <c r="A2833" i="3"/>
  <c r="BY2832" i="3"/>
  <c r="BX2832" i="3"/>
  <c r="BB2832" i="3"/>
  <c r="U2832" i="3"/>
  <c r="T2832" i="3"/>
  <c r="S2832" i="3"/>
  <c r="C2832" i="3"/>
  <c r="A2832" i="3"/>
  <c r="BY2831" i="3"/>
  <c r="BX2831" i="3"/>
  <c r="BB2831" i="3"/>
  <c r="U2831" i="3"/>
  <c r="T2831" i="3"/>
  <c r="S2831" i="3"/>
  <c r="C2831" i="3"/>
  <c r="A2831" i="3"/>
  <c r="BY2830" i="3"/>
  <c r="BX2830" i="3"/>
  <c r="BB2830" i="3"/>
  <c r="U2830" i="3"/>
  <c r="T2830" i="3"/>
  <c r="S2830" i="3"/>
  <c r="C2830" i="3"/>
  <c r="A2830" i="3"/>
  <c r="BY2829" i="3"/>
  <c r="BX2829" i="3"/>
  <c r="BB2829" i="3"/>
  <c r="U2829" i="3"/>
  <c r="T2829" i="3"/>
  <c r="S2829" i="3"/>
  <c r="C2829" i="3"/>
  <c r="A2829" i="3"/>
  <c r="BY2828" i="3"/>
  <c r="BX2828" i="3"/>
  <c r="BB2828" i="3"/>
  <c r="U2828" i="3"/>
  <c r="T2828" i="3"/>
  <c r="S2828" i="3"/>
  <c r="C2828" i="3"/>
  <c r="A2828" i="3"/>
  <c r="BY2827" i="3"/>
  <c r="BX2827" i="3"/>
  <c r="BB2827" i="3"/>
  <c r="U2827" i="3"/>
  <c r="T2827" i="3"/>
  <c r="S2827" i="3"/>
  <c r="C2827" i="3"/>
  <c r="A2827" i="3"/>
  <c r="BY2826" i="3"/>
  <c r="BX2826" i="3"/>
  <c r="BB2826" i="3"/>
  <c r="U2826" i="3"/>
  <c r="T2826" i="3"/>
  <c r="S2826" i="3"/>
  <c r="C2826" i="3"/>
  <c r="A2826" i="3"/>
  <c r="BY2825" i="3"/>
  <c r="BX2825" i="3"/>
  <c r="BB2825" i="3"/>
  <c r="U2825" i="3"/>
  <c r="T2825" i="3"/>
  <c r="S2825" i="3"/>
  <c r="C2825" i="3"/>
  <c r="A2825" i="3"/>
  <c r="BY2824" i="3"/>
  <c r="BX2824" i="3"/>
  <c r="BB2824" i="3"/>
  <c r="U2824" i="3"/>
  <c r="T2824" i="3"/>
  <c r="S2824" i="3"/>
  <c r="C2824" i="3"/>
  <c r="A2824" i="3"/>
  <c r="BY2823" i="3"/>
  <c r="BX2823" i="3"/>
  <c r="BB2823" i="3"/>
  <c r="U2823" i="3"/>
  <c r="T2823" i="3"/>
  <c r="S2823" i="3"/>
  <c r="C2823" i="3"/>
  <c r="A2823" i="3"/>
  <c r="BY2822" i="3"/>
  <c r="BX2822" i="3"/>
  <c r="BB2822" i="3"/>
  <c r="U2822" i="3"/>
  <c r="T2822" i="3"/>
  <c r="S2822" i="3"/>
  <c r="C2822" i="3"/>
  <c r="A2822" i="3"/>
  <c r="BY2821" i="3"/>
  <c r="BX2821" i="3"/>
  <c r="BB2821" i="3"/>
  <c r="U2821" i="3"/>
  <c r="T2821" i="3"/>
  <c r="S2821" i="3"/>
  <c r="C2821" i="3"/>
  <c r="A2821" i="3"/>
  <c r="BY2820" i="3"/>
  <c r="BX2820" i="3"/>
  <c r="BB2820" i="3"/>
  <c r="U2820" i="3"/>
  <c r="T2820" i="3"/>
  <c r="S2820" i="3"/>
  <c r="C2820" i="3"/>
  <c r="A2820" i="3"/>
  <c r="BY2819" i="3"/>
  <c r="BX2819" i="3"/>
  <c r="BB2819" i="3"/>
  <c r="U2819" i="3"/>
  <c r="T2819" i="3"/>
  <c r="S2819" i="3"/>
  <c r="C2819" i="3"/>
  <c r="A2819" i="3"/>
  <c r="BY2818" i="3"/>
  <c r="BX2818" i="3"/>
  <c r="BB2818" i="3"/>
  <c r="U2818" i="3"/>
  <c r="T2818" i="3"/>
  <c r="S2818" i="3"/>
  <c r="C2818" i="3"/>
  <c r="A2818" i="3"/>
  <c r="BY2817" i="3"/>
  <c r="BX2817" i="3"/>
  <c r="BB2817" i="3"/>
  <c r="U2817" i="3"/>
  <c r="T2817" i="3"/>
  <c r="S2817" i="3"/>
  <c r="C2817" i="3"/>
  <c r="A2817" i="3"/>
  <c r="BY2816" i="3"/>
  <c r="BX2816" i="3"/>
  <c r="BB2816" i="3"/>
  <c r="U2816" i="3"/>
  <c r="T2816" i="3"/>
  <c r="S2816" i="3"/>
  <c r="C2816" i="3"/>
  <c r="A2816" i="3"/>
  <c r="BY2815" i="3"/>
  <c r="BX2815" i="3"/>
  <c r="BB2815" i="3"/>
  <c r="U2815" i="3"/>
  <c r="T2815" i="3"/>
  <c r="S2815" i="3"/>
  <c r="C2815" i="3"/>
  <c r="A2815" i="3"/>
  <c r="BY2814" i="3"/>
  <c r="BX2814" i="3"/>
  <c r="BB2814" i="3"/>
  <c r="U2814" i="3"/>
  <c r="T2814" i="3"/>
  <c r="S2814" i="3"/>
  <c r="C2814" i="3"/>
  <c r="A2814" i="3"/>
  <c r="BY2813" i="3"/>
  <c r="BX2813" i="3"/>
  <c r="BB2813" i="3"/>
  <c r="U2813" i="3"/>
  <c r="T2813" i="3"/>
  <c r="S2813" i="3"/>
  <c r="C2813" i="3"/>
  <c r="A2813" i="3"/>
  <c r="BY2812" i="3"/>
  <c r="BX2812" i="3"/>
  <c r="BB2812" i="3"/>
  <c r="U2812" i="3"/>
  <c r="T2812" i="3"/>
  <c r="S2812" i="3"/>
  <c r="C2812" i="3"/>
  <c r="A2812" i="3"/>
  <c r="BY2811" i="3"/>
  <c r="BX2811" i="3"/>
  <c r="BB2811" i="3"/>
  <c r="U2811" i="3"/>
  <c r="T2811" i="3"/>
  <c r="S2811" i="3"/>
  <c r="C2811" i="3"/>
  <c r="A2811" i="3"/>
  <c r="BY2810" i="3"/>
  <c r="BX2810" i="3"/>
  <c r="BB2810" i="3"/>
  <c r="U2810" i="3"/>
  <c r="T2810" i="3"/>
  <c r="S2810" i="3"/>
  <c r="C2810" i="3"/>
  <c r="A2810" i="3"/>
  <c r="BY2809" i="3"/>
  <c r="BX2809" i="3"/>
  <c r="BB2809" i="3"/>
  <c r="U2809" i="3"/>
  <c r="T2809" i="3"/>
  <c r="S2809" i="3"/>
  <c r="C2809" i="3"/>
  <c r="A2809" i="3"/>
  <c r="BY2808" i="3"/>
  <c r="BX2808" i="3"/>
  <c r="BB2808" i="3"/>
  <c r="U2808" i="3"/>
  <c r="T2808" i="3"/>
  <c r="S2808" i="3"/>
  <c r="C2808" i="3"/>
  <c r="A2808" i="3"/>
  <c r="BY2807" i="3"/>
  <c r="BX2807" i="3"/>
  <c r="BB2807" i="3"/>
  <c r="U2807" i="3"/>
  <c r="T2807" i="3"/>
  <c r="S2807" i="3"/>
  <c r="C2807" i="3"/>
  <c r="A2807" i="3"/>
  <c r="BY2806" i="3"/>
  <c r="BX2806" i="3"/>
  <c r="BB2806" i="3"/>
  <c r="U2806" i="3"/>
  <c r="T2806" i="3"/>
  <c r="S2806" i="3"/>
  <c r="C2806" i="3"/>
  <c r="A2806" i="3"/>
  <c r="BY2805" i="3"/>
  <c r="BX2805" i="3"/>
  <c r="BB2805" i="3"/>
  <c r="U2805" i="3"/>
  <c r="T2805" i="3"/>
  <c r="S2805" i="3"/>
  <c r="C2805" i="3"/>
  <c r="A2805" i="3"/>
  <c r="BY2804" i="3"/>
  <c r="BX2804" i="3"/>
  <c r="BB2804" i="3"/>
  <c r="U2804" i="3"/>
  <c r="T2804" i="3"/>
  <c r="S2804" i="3"/>
  <c r="C2804" i="3"/>
  <c r="A2804" i="3"/>
  <c r="BY2803" i="3"/>
  <c r="BX2803" i="3"/>
  <c r="BB2803" i="3"/>
  <c r="U2803" i="3"/>
  <c r="T2803" i="3"/>
  <c r="S2803" i="3"/>
  <c r="C2803" i="3"/>
  <c r="A2803" i="3"/>
  <c r="BY2802" i="3"/>
  <c r="BX2802" i="3"/>
  <c r="BB2802" i="3"/>
  <c r="U2802" i="3"/>
  <c r="T2802" i="3"/>
  <c r="S2802" i="3"/>
  <c r="C2802" i="3"/>
  <c r="A2802" i="3"/>
  <c r="BY2801" i="3"/>
  <c r="BX2801" i="3"/>
  <c r="BB2801" i="3"/>
  <c r="U2801" i="3"/>
  <c r="T2801" i="3"/>
  <c r="S2801" i="3"/>
  <c r="C2801" i="3"/>
  <c r="A2801" i="3"/>
  <c r="BY2800" i="3"/>
  <c r="BX2800" i="3"/>
  <c r="BB2800" i="3"/>
  <c r="U2800" i="3"/>
  <c r="T2800" i="3"/>
  <c r="S2800" i="3"/>
  <c r="C2800" i="3"/>
  <c r="A2800" i="3"/>
  <c r="BY2799" i="3"/>
  <c r="BX2799" i="3"/>
  <c r="BB2799" i="3"/>
  <c r="U2799" i="3"/>
  <c r="T2799" i="3"/>
  <c r="S2799" i="3"/>
  <c r="C2799" i="3"/>
  <c r="A2799" i="3"/>
  <c r="BY2798" i="3"/>
  <c r="BX2798" i="3"/>
  <c r="BB2798" i="3"/>
  <c r="U2798" i="3"/>
  <c r="T2798" i="3"/>
  <c r="S2798" i="3"/>
  <c r="C2798" i="3"/>
  <c r="A2798" i="3"/>
  <c r="BY2797" i="3"/>
  <c r="BX2797" i="3"/>
  <c r="BB2797" i="3"/>
  <c r="U2797" i="3"/>
  <c r="T2797" i="3"/>
  <c r="S2797" i="3"/>
  <c r="C2797" i="3"/>
  <c r="A2797" i="3"/>
  <c r="BY2796" i="3"/>
  <c r="BX2796" i="3"/>
  <c r="BB2796" i="3"/>
  <c r="U2796" i="3"/>
  <c r="T2796" i="3"/>
  <c r="S2796" i="3"/>
  <c r="C2796" i="3"/>
  <c r="A2796" i="3"/>
  <c r="BY2795" i="3"/>
  <c r="BX2795" i="3"/>
  <c r="BB2795" i="3"/>
  <c r="U2795" i="3"/>
  <c r="T2795" i="3"/>
  <c r="S2795" i="3"/>
  <c r="C2795" i="3"/>
  <c r="A2795" i="3"/>
  <c r="BY2794" i="3"/>
  <c r="BX2794" i="3"/>
  <c r="BB2794" i="3"/>
  <c r="U2794" i="3"/>
  <c r="T2794" i="3"/>
  <c r="S2794" i="3"/>
  <c r="C2794" i="3"/>
  <c r="A2794" i="3"/>
  <c r="BY2793" i="3"/>
  <c r="BX2793" i="3"/>
  <c r="BB2793" i="3"/>
  <c r="U2793" i="3"/>
  <c r="T2793" i="3"/>
  <c r="S2793" i="3"/>
  <c r="C2793" i="3"/>
  <c r="A2793" i="3"/>
  <c r="BY2792" i="3"/>
  <c r="BX2792" i="3"/>
  <c r="BB2792" i="3"/>
  <c r="U2792" i="3"/>
  <c r="T2792" i="3"/>
  <c r="S2792" i="3"/>
  <c r="C2792" i="3"/>
  <c r="A2792" i="3"/>
  <c r="BY2791" i="3"/>
  <c r="BX2791" i="3"/>
  <c r="BB2791" i="3"/>
  <c r="U2791" i="3"/>
  <c r="T2791" i="3"/>
  <c r="S2791" i="3"/>
  <c r="C2791" i="3"/>
  <c r="A2791" i="3"/>
  <c r="BY2790" i="3"/>
  <c r="BX2790" i="3"/>
  <c r="BB2790" i="3"/>
  <c r="U2790" i="3"/>
  <c r="T2790" i="3"/>
  <c r="S2790" i="3"/>
  <c r="C2790" i="3"/>
  <c r="A2790" i="3"/>
  <c r="BY2789" i="3"/>
  <c r="BX2789" i="3"/>
  <c r="BB2789" i="3"/>
  <c r="U2789" i="3"/>
  <c r="T2789" i="3"/>
  <c r="S2789" i="3"/>
  <c r="C2789" i="3"/>
  <c r="A2789" i="3"/>
  <c r="BY2788" i="3"/>
  <c r="BX2788" i="3"/>
  <c r="BB2788" i="3"/>
  <c r="U2788" i="3"/>
  <c r="T2788" i="3"/>
  <c r="S2788" i="3"/>
  <c r="C2788" i="3"/>
  <c r="A2788" i="3"/>
  <c r="BY2787" i="3"/>
  <c r="BX2787" i="3"/>
  <c r="BB2787" i="3"/>
  <c r="U2787" i="3"/>
  <c r="T2787" i="3"/>
  <c r="S2787" i="3"/>
  <c r="C2787" i="3"/>
  <c r="A2787" i="3"/>
  <c r="BY2786" i="3"/>
  <c r="BX2786" i="3"/>
  <c r="BB2786" i="3"/>
  <c r="U2786" i="3"/>
  <c r="T2786" i="3"/>
  <c r="S2786" i="3"/>
  <c r="C2786" i="3"/>
  <c r="A2786" i="3"/>
  <c r="BY2785" i="3"/>
  <c r="BX2785" i="3"/>
  <c r="BB2785" i="3"/>
  <c r="U2785" i="3"/>
  <c r="T2785" i="3"/>
  <c r="S2785" i="3"/>
  <c r="C2785" i="3"/>
  <c r="A2785" i="3"/>
  <c r="BY2784" i="3"/>
  <c r="BX2784" i="3"/>
  <c r="BB2784" i="3"/>
  <c r="U2784" i="3"/>
  <c r="T2784" i="3"/>
  <c r="S2784" i="3"/>
  <c r="C2784" i="3"/>
  <c r="A2784" i="3"/>
  <c r="BY2783" i="3"/>
  <c r="BX2783" i="3"/>
  <c r="BB2783" i="3"/>
  <c r="U2783" i="3"/>
  <c r="T2783" i="3"/>
  <c r="S2783" i="3"/>
  <c r="C2783" i="3"/>
  <c r="A2783" i="3"/>
  <c r="BY2782" i="3"/>
  <c r="BX2782" i="3"/>
  <c r="BB2782" i="3"/>
  <c r="U2782" i="3"/>
  <c r="T2782" i="3"/>
  <c r="S2782" i="3"/>
  <c r="C2782" i="3"/>
  <c r="A2782" i="3"/>
  <c r="BY2781" i="3"/>
  <c r="BX2781" i="3"/>
  <c r="BB2781" i="3"/>
  <c r="U2781" i="3"/>
  <c r="T2781" i="3"/>
  <c r="S2781" i="3"/>
  <c r="C2781" i="3"/>
  <c r="A2781" i="3"/>
  <c r="BY2780" i="3"/>
  <c r="BX2780" i="3"/>
  <c r="BB2780" i="3"/>
  <c r="U2780" i="3"/>
  <c r="T2780" i="3"/>
  <c r="S2780" i="3"/>
  <c r="C2780" i="3"/>
  <c r="A2780" i="3"/>
  <c r="BY2779" i="3"/>
  <c r="BX2779" i="3"/>
  <c r="BB2779" i="3"/>
  <c r="U2779" i="3"/>
  <c r="T2779" i="3"/>
  <c r="S2779" i="3"/>
  <c r="C2779" i="3"/>
  <c r="A2779" i="3"/>
  <c r="BY2778" i="3"/>
  <c r="BX2778" i="3"/>
  <c r="BB2778" i="3"/>
  <c r="U2778" i="3"/>
  <c r="T2778" i="3"/>
  <c r="S2778" i="3"/>
  <c r="C2778" i="3"/>
  <c r="A2778" i="3"/>
  <c r="BY2777" i="3"/>
  <c r="BX2777" i="3"/>
  <c r="BB2777" i="3"/>
  <c r="U2777" i="3"/>
  <c r="T2777" i="3"/>
  <c r="S2777" i="3"/>
  <c r="C2777" i="3"/>
  <c r="A2777" i="3"/>
  <c r="BY2776" i="3"/>
  <c r="BX2776" i="3"/>
  <c r="BB2776" i="3"/>
  <c r="U2776" i="3"/>
  <c r="T2776" i="3"/>
  <c r="S2776" i="3"/>
  <c r="C2776" i="3"/>
  <c r="A2776" i="3"/>
  <c r="BY2775" i="3"/>
  <c r="BX2775" i="3"/>
  <c r="BB2775" i="3"/>
  <c r="U2775" i="3"/>
  <c r="T2775" i="3"/>
  <c r="S2775" i="3"/>
  <c r="C2775" i="3"/>
  <c r="A2775" i="3"/>
  <c r="BY2774" i="3"/>
  <c r="BX2774" i="3"/>
  <c r="BB2774" i="3"/>
  <c r="U2774" i="3"/>
  <c r="T2774" i="3"/>
  <c r="S2774" i="3"/>
  <c r="C2774" i="3"/>
  <c r="A2774" i="3"/>
  <c r="BY2773" i="3"/>
  <c r="BX2773" i="3"/>
  <c r="BB2773" i="3"/>
  <c r="U2773" i="3"/>
  <c r="T2773" i="3"/>
  <c r="S2773" i="3"/>
  <c r="C2773" i="3"/>
  <c r="A2773" i="3"/>
  <c r="BY2772" i="3"/>
  <c r="BX2772" i="3"/>
  <c r="BB2772" i="3"/>
  <c r="U2772" i="3"/>
  <c r="T2772" i="3"/>
  <c r="S2772" i="3"/>
  <c r="C2772" i="3"/>
  <c r="A2772" i="3"/>
  <c r="BY2771" i="3"/>
  <c r="BX2771" i="3"/>
  <c r="BB2771" i="3"/>
  <c r="U2771" i="3"/>
  <c r="T2771" i="3"/>
  <c r="S2771" i="3"/>
  <c r="C2771" i="3"/>
  <c r="A2771" i="3"/>
  <c r="BY2770" i="3"/>
  <c r="BX2770" i="3"/>
  <c r="BB2770" i="3"/>
  <c r="U2770" i="3"/>
  <c r="T2770" i="3"/>
  <c r="S2770" i="3"/>
  <c r="C2770" i="3"/>
  <c r="A2770" i="3"/>
  <c r="BY2769" i="3"/>
  <c r="BX2769" i="3"/>
  <c r="BB2769" i="3"/>
  <c r="U2769" i="3"/>
  <c r="T2769" i="3"/>
  <c r="S2769" i="3"/>
  <c r="C2769" i="3"/>
  <c r="A2769" i="3"/>
  <c r="BY2768" i="3"/>
  <c r="BX2768" i="3"/>
  <c r="BB2768" i="3"/>
  <c r="U2768" i="3"/>
  <c r="T2768" i="3"/>
  <c r="S2768" i="3"/>
  <c r="C2768" i="3"/>
  <c r="A2768" i="3"/>
  <c r="BY2767" i="3"/>
  <c r="BX2767" i="3"/>
  <c r="BB2767" i="3"/>
  <c r="U2767" i="3"/>
  <c r="T2767" i="3"/>
  <c r="S2767" i="3"/>
  <c r="C2767" i="3"/>
  <c r="A2767" i="3"/>
  <c r="BY2766" i="3"/>
  <c r="BX2766" i="3"/>
  <c r="BB2766" i="3"/>
  <c r="U2766" i="3"/>
  <c r="T2766" i="3"/>
  <c r="S2766" i="3"/>
  <c r="C2766" i="3"/>
  <c r="A2766" i="3"/>
  <c r="BY2765" i="3"/>
  <c r="BX2765" i="3"/>
  <c r="BB2765" i="3"/>
  <c r="U2765" i="3"/>
  <c r="T2765" i="3"/>
  <c r="S2765" i="3"/>
  <c r="C2765" i="3"/>
  <c r="A2765" i="3"/>
  <c r="BY2764" i="3"/>
  <c r="BX2764" i="3"/>
  <c r="BB2764" i="3"/>
  <c r="U2764" i="3"/>
  <c r="T2764" i="3"/>
  <c r="S2764" i="3"/>
  <c r="C2764" i="3"/>
  <c r="A2764" i="3"/>
  <c r="BY2763" i="3"/>
  <c r="BX2763" i="3"/>
  <c r="BB2763" i="3"/>
  <c r="U2763" i="3"/>
  <c r="T2763" i="3"/>
  <c r="S2763" i="3"/>
  <c r="C2763" i="3"/>
  <c r="A2763" i="3"/>
  <c r="BY2762" i="3"/>
  <c r="BX2762" i="3"/>
  <c r="BB2762" i="3"/>
  <c r="U2762" i="3"/>
  <c r="T2762" i="3"/>
  <c r="S2762" i="3"/>
  <c r="C2762" i="3"/>
  <c r="A2762" i="3"/>
  <c r="BY2761" i="3"/>
  <c r="BX2761" i="3"/>
  <c r="BB2761" i="3"/>
  <c r="U2761" i="3"/>
  <c r="T2761" i="3"/>
  <c r="S2761" i="3"/>
  <c r="C2761" i="3"/>
  <c r="A2761" i="3"/>
  <c r="BY2760" i="3"/>
  <c r="BX2760" i="3"/>
  <c r="BB2760" i="3"/>
  <c r="U2760" i="3"/>
  <c r="T2760" i="3"/>
  <c r="S2760" i="3"/>
  <c r="C2760" i="3"/>
  <c r="A2760" i="3"/>
  <c r="BY2759" i="3"/>
  <c r="BX2759" i="3"/>
  <c r="BB2759" i="3"/>
  <c r="U2759" i="3"/>
  <c r="T2759" i="3"/>
  <c r="S2759" i="3"/>
  <c r="C2759" i="3"/>
  <c r="A2759" i="3"/>
  <c r="BY2758" i="3"/>
  <c r="BX2758" i="3"/>
  <c r="BB2758" i="3"/>
  <c r="U2758" i="3"/>
  <c r="T2758" i="3"/>
  <c r="S2758" i="3"/>
  <c r="C2758" i="3"/>
  <c r="A2758" i="3"/>
  <c r="BY2757" i="3"/>
  <c r="BX2757" i="3"/>
  <c r="BB2757" i="3"/>
  <c r="U2757" i="3"/>
  <c r="T2757" i="3"/>
  <c r="S2757" i="3"/>
  <c r="C2757" i="3"/>
  <c r="A2757" i="3"/>
  <c r="BY2756" i="3"/>
  <c r="BX2756" i="3"/>
  <c r="BB2756" i="3"/>
  <c r="U2756" i="3"/>
  <c r="T2756" i="3"/>
  <c r="S2756" i="3"/>
  <c r="C2756" i="3"/>
  <c r="A2756" i="3"/>
  <c r="BY2755" i="3"/>
  <c r="BX2755" i="3"/>
  <c r="BB2755" i="3"/>
  <c r="U2755" i="3"/>
  <c r="T2755" i="3"/>
  <c r="S2755" i="3"/>
  <c r="C2755" i="3"/>
  <c r="A2755" i="3"/>
  <c r="BY2754" i="3"/>
  <c r="BX2754" i="3"/>
  <c r="BB2754" i="3"/>
  <c r="U2754" i="3"/>
  <c r="T2754" i="3"/>
  <c r="S2754" i="3"/>
  <c r="C2754" i="3"/>
  <c r="A2754" i="3"/>
  <c r="BY2753" i="3"/>
  <c r="BX2753" i="3"/>
  <c r="BB2753" i="3"/>
  <c r="U2753" i="3"/>
  <c r="T2753" i="3"/>
  <c r="S2753" i="3"/>
  <c r="C2753" i="3"/>
  <c r="A2753" i="3"/>
  <c r="BY2752" i="3"/>
  <c r="BX2752" i="3"/>
  <c r="BB2752" i="3"/>
  <c r="U2752" i="3"/>
  <c r="T2752" i="3"/>
  <c r="S2752" i="3"/>
  <c r="C2752" i="3"/>
  <c r="A2752" i="3"/>
  <c r="BY2751" i="3"/>
  <c r="BX2751" i="3"/>
  <c r="BB2751" i="3"/>
  <c r="U2751" i="3"/>
  <c r="T2751" i="3"/>
  <c r="S2751" i="3"/>
  <c r="C2751" i="3"/>
  <c r="A2751" i="3"/>
  <c r="BY2750" i="3"/>
  <c r="BX2750" i="3"/>
  <c r="BB2750" i="3"/>
  <c r="U2750" i="3"/>
  <c r="T2750" i="3"/>
  <c r="S2750" i="3"/>
  <c r="C2750" i="3"/>
  <c r="A2750" i="3"/>
  <c r="BY2749" i="3"/>
  <c r="BX2749" i="3"/>
  <c r="BB2749" i="3"/>
  <c r="U2749" i="3"/>
  <c r="T2749" i="3"/>
  <c r="S2749" i="3"/>
  <c r="C2749" i="3"/>
  <c r="A2749" i="3"/>
  <c r="BY2748" i="3"/>
  <c r="BX2748" i="3"/>
  <c r="BB2748" i="3"/>
  <c r="U2748" i="3"/>
  <c r="T2748" i="3"/>
  <c r="S2748" i="3"/>
  <c r="C2748" i="3"/>
  <c r="A2748" i="3"/>
  <c r="BY2747" i="3"/>
  <c r="BX2747" i="3"/>
  <c r="BB2747" i="3"/>
  <c r="U2747" i="3"/>
  <c r="T2747" i="3"/>
  <c r="S2747" i="3"/>
  <c r="C2747" i="3"/>
  <c r="A2747" i="3"/>
  <c r="BY2746" i="3"/>
  <c r="BX2746" i="3"/>
  <c r="BB2746" i="3"/>
  <c r="U2746" i="3"/>
  <c r="T2746" i="3"/>
  <c r="S2746" i="3"/>
  <c r="C2746" i="3"/>
  <c r="A2746" i="3"/>
  <c r="BY2745" i="3"/>
  <c r="BX2745" i="3"/>
  <c r="BB2745" i="3"/>
  <c r="U2745" i="3"/>
  <c r="T2745" i="3"/>
  <c r="S2745" i="3"/>
  <c r="C2745" i="3"/>
  <c r="A2745" i="3"/>
  <c r="BY2744" i="3"/>
  <c r="BX2744" i="3"/>
  <c r="BB2744" i="3"/>
  <c r="U2744" i="3"/>
  <c r="T2744" i="3"/>
  <c r="S2744" i="3"/>
  <c r="C2744" i="3"/>
  <c r="A2744" i="3"/>
  <c r="BY2743" i="3"/>
  <c r="BX2743" i="3"/>
  <c r="BB2743" i="3"/>
  <c r="U2743" i="3"/>
  <c r="T2743" i="3"/>
  <c r="S2743" i="3"/>
  <c r="C2743" i="3"/>
  <c r="A2743" i="3"/>
  <c r="BY2742" i="3"/>
  <c r="BX2742" i="3"/>
  <c r="BB2742" i="3"/>
  <c r="U2742" i="3"/>
  <c r="T2742" i="3"/>
  <c r="S2742" i="3"/>
  <c r="C2742" i="3"/>
  <c r="A2742" i="3"/>
  <c r="BY2741" i="3"/>
  <c r="BX2741" i="3"/>
  <c r="BB2741" i="3"/>
  <c r="U2741" i="3"/>
  <c r="T2741" i="3"/>
  <c r="S2741" i="3"/>
  <c r="C2741" i="3"/>
  <c r="A2741" i="3"/>
  <c r="BY2740" i="3"/>
  <c r="BX2740" i="3"/>
  <c r="BB2740" i="3"/>
  <c r="U2740" i="3"/>
  <c r="T2740" i="3"/>
  <c r="S2740" i="3"/>
  <c r="C2740" i="3"/>
  <c r="A2740" i="3"/>
  <c r="BY2739" i="3"/>
  <c r="BX2739" i="3"/>
  <c r="BB2739" i="3"/>
  <c r="U2739" i="3"/>
  <c r="T2739" i="3"/>
  <c r="S2739" i="3"/>
  <c r="C2739" i="3"/>
  <c r="A2739" i="3"/>
  <c r="BY2738" i="3"/>
  <c r="BX2738" i="3"/>
  <c r="BB2738" i="3"/>
  <c r="U2738" i="3"/>
  <c r="T2738" i="3"/>
  <c r="S2738" i="3"/>
  <c r="C2738" i="3"/>
  <c r="A2738" i="3"/>
  <c r="BY2737" i="3"/>
  <c r="BX2737" i="3"/>
  <c r="BB2737" i="3"/>
  <c r="U2737" i="3"/>
  <c r="T2737" i="3"/>
  <c r="S2737" i="3"/>
  <c r="C2737" i="3"/>
  <c r="A2737" i="3"/>
  <c r="BY2736" i="3"/>
  <c r="BX2736" i="3"/>
  <c r="BB2736" i="3"/>
  <c r="U2736" i="3"/>
  <c r="T2736" i="3"/>
  <c r="S2736" i="3"/>
  <c r="C2736" i="3"/>
  <c r="A2736" i="3"/>
  <c r="BY2735" i="3"/>
  <c r="BX2735" i="3"/>
  <c r="BB2735" i="3"/>
  <c r="U2735" i="3"/>
  <c r="T2735" i="3"/>
  <c r="S2735" i="3"/>
  <c r="C2735" i="3"/>
  <c r="A2735" i="3"/>
  <c r="BY2734" i="3"/>
  <c r="BX2734" i="3"/>
  <c r="BB2734" i="3"/>
  <c r="U2734" i="3"/>
  <c r="T2734" i="3"/>
  <c r="S2734" i="3"/>
  <c r="C2734" i="3"/>
  <c r="A2734" i="3"/>
  <c r="BY2733" i="3"/>
  <c r="BX2733" i="3"/>
  <c r="BB2733" i="3"/>
  <c r="U2733" i="3"/>
  <c r="T2733" i="3"/>
  <c r="S2733" i="3"/>
  <c r="C2733" i="3"/>
  <c r="A2733" i="3"/>
  <c r="BY2732" i="3"/>
  <c r="BX2732" i="3"/>
  <c r="BB2732" i="3"/>
  <c r="U2732" i="3"/>
  <c r="T2732" i="3"/>
  <c r="S2732" i="3"/>
  <c r="C2732" i="3"/>
  <c r="A2732" i="3"/>
  <c r="BY2731" i="3"/>
  <c r="BX2731" i="3"/>
  <c r="BB2731" i="3"/>
  <c r="U2731" i="3"/>
  <c r="T2731" i="3"/>
  <c r="S2731" i="3"/>
  <c r="C2731" i="3"/>
  <c r="A2731" i="3"/>
  <c r="BY2730" i="3"/>
  <c r="BX2730" i="3"/>
  <c r="BB2730" i="3"/>
  <c r="U2730" i="3"/>
  <c r="T2730" i="3"/>
  <c r="S2730" i="3"/>
  <c r="C2730" i="3"/>
  <c r="A2730" i="3"/>
  <c r="BY2729" i="3"/>
  <c r="BX2729" i="3"/>
  <c r="BB2729" i="3"/>
  <c r="U2729" i="3"/>
  <c r="T2729" i="3"/>
  <c r="S2729" i="3"/>
  <c r="C2729" i="3"/>
  <c r="A2729" i="3"/>
  <c r="BY2728" i="3"/>
  <c r="BX2728" i="3"/>
  <c r="BB2728" i="3"/>
  <c r="U2728" i="3"/>
  <c r="T2728" i="3"/>
  <c r="S2728" i="3"/>
  <c r="C2728" i="3"/>
  <c r="A2728" i="3"/>
  <c r="BY2727" i="3"/>
  <c r="BX2727" i="3"/>
  <c r="BB2727" i="3"/>
  <c r="U2727" i="3"/>
  <c r="T2727" i="3"/>
  <c r="S2727" i="3"/>
  <c r="C2727" i="3"/>
  <c r="A2727" i="3"/>
  <c r="BY2726" i="3"/>
  <c r="BX2726" i="3"/>
  <c r="BB2726" i="3"/>
  <c r="U2726" i="3"/>
  <c r="T2726" i="3"/>
  <c r="S2726" i="3"/>
  <c r="C2726" i="3"/>
  <c r="A2726" i="3"/>
  <c r="BY2725" i="3"/>
  <c r="BX2725" i="3"/>
  <c r="BB2725" i="3"/>
  <c r="U2725" i="3"/>
  <c r="T2725" i="3"/>
  <c r="S2725" i="3"/>
  <c r="C2725" i="3"/>
  <c r="A2725" i="3"/>
  <c r="BY2724" i="3"/>
  <c r="BX2724" i="3"/>
  <c r="BB2724" i="3"/>
  <c r="U2724" i="3"/>
  <c r="T2724" i="3"/>
  <c r="S2724" i="3"/>
  <c r="C2724" i="3"/>
  <c r="A2724" i="3"/>
  <c r="BY2723" i="3"/>
  <c r="BX2723" i="3"/>
  <c r="BB2723" i="3"/>
  <c r="U2723" i="3"/>
  <c r="T2723" i="3"/>
  <c r="S2723" i="3"/>
  <c r="C2723" i="3"/>
  <c r="A2723" i="3"/>
  <c r="BY2722" i="3"/>
  <c r="BX2722" i="3"/>
  <c r="BB2722" i="3"/>
  <c r="U2722" i="3"/>
  <c r="T2722" i="3"/>
  <c r="S2722" i="3"/>
  <c r="C2722" i="3"/>
  <c r="A2722" i="3"/>
  <c r="BY2721" i="3"/>
  <c r="BX2721" i="3"/>
  <c r="BB2721" i="3"/>
  <c r="U2721" i="3"/>
  <c r="T2721" i="3"/>
  <c r="S2721" i="3"/>
  <c r="C2721" i="3"/>
  <c r="A2721" i="3"/>
  <c r="BY2720" i="3"/>
  <c r="BX2720" i="3"/>
  <c r="BB2720" i="3"/>
  <c r="U2720" i="3"/>
  <c r="T2720" i="3"/>
  <c r="S2720" i="3"/>
  <c r="C2720" i="3"/>
  <c r="A2720" i="3"/>
  <c r="BY2719" i="3"/>
  <c r="BX2719" i="3"/>
  <c r="BB2719" i="3"/>
  <c r="U2719" i="3"/>
  <c r="T2719" i="3"/>
  <c r="S2719" i="3"/>
  <c r="C2719" i="3"/>
  <c r="A2719" i="3"/>
  <c r="BY2718" i="3"/>
  <c r="BX2718" i="3"/>
  <c r="BB2718" i="3"/>
  <c r="U2718" i="3"/>
  <c r="T2718" i="3"/>
  <c r="S2718" i="3"/>
  <c r="C2718" i="3"/>
  <c r="A2718" i="3"/>
  <c r="BY2717" i="3"/>
  <c r="BX2717" i="3"/>
  <c r="BB2717" i="3"/>
  <c r="U2717" i="3"/>
  <c r="T2717" i="3"/>
  <c r="S2717" i="3"/>
  <c r="C2717" i="3"/>
  <c r="A2717" i="3"/>
  <c r="BY2716" i="3"/>
  <c r="BX2716" i="3"/>
  <c r="BB2716" i="3"/>
  <c r="U2716" i="3"/>
  <c r="T2716" i="3"/>
  <c r="S2716" i="3"/>
  <c r="C2716" i="3"/>
  <c r="A2716" i="3"/>
  <c r="BY2715" i="3"/>
  <c r="BX2715" i="3"/>
  <c r="BB2715" i="3"/>
  <c r="U2715" i="3"/>
  <c r="T2715" i="3"/>
  <c r="S2715" i="3"/>
  <c r="C2715" i="3"/>
  <c r="A2715" i="3"/>
  <c r="BY2714" i="3"/>
  <c r="BX2714" i="3"/>
  <c r="BB2714" i="3"/>
  <c r="U2714" i="3"/>
  <c r="T2714" i="3"/>
  <c r="S2714" i="3"/>
  <c r="C2714" i="3"/>
  <c r="A2714" i="3"/>
  <c r="BY2713" i="3"/>
  <c r="BX2713" i="3"/>
  <c r="BB2713" i="3"/>
  <c r="U2713" i="3"/>
  <c r="T2713" i="3"/>
  <c r="S2713" i="3"/>
  <c r="C2713" i="3"/>
  <c r="A2713" i="3"/>
  <c r="BY2712" i="3"/>
  <c r="BX2712" i="3"/>
  <c r="BB2712" i="3"/>
  <c r="U2712" i="3"/>
  <c r="T2712" i="3"/>
  <c r="S2712" i="3"/>
  <c r="C2712" i="3"/>
  <c r="A2712" i="3"/>
  <c r="BY2711" i="3"/>
  <c r="BX2711" i="3"/>
  <c r="BB2711" i="3"/>
  <c r="U2711" i="3"/>
  <c r="T2711" i="3"/>
  <c r="S2711" i="3"/>
  <c r="C2711" i="3"/>
  <c r="A2711" i="3"/>
  <c r="BY2710" i="3"/>
  <c r="BX2710" i="3"/>
  <c r="BB2710" i="3"/>
  <c r="U2710" i="3"/>
  <c r="T2710" i="3"/>
  <c r="S2710" i="3"/>
  <c r="C2710" i="3"/>
  <c r="A2710" i="3"/>
  <c r="BY2709" i="3"/>
  <c r="BX2709" i="3"/>
  <c r="BB2709" i="3"/>
  <c r="U2709" i="3"/>
  <c r="T2709" i="3"/>
  <c r="S2709" i="3"/>
  <c r="C2709" i="3"/>
  <c r="A2709" i="3"/>
  <c r="BY2708" i="3"/>
  <c r="BX2708" i="3"/>
  <c r="BB2708" i="3"/>
  <c r="U2708" i="3"/>
  <c r="T2708" i="3"/>
  <c r="S2708" i="3"/>
  <c r="C2708" i="3"/>
  <c r="A2708" i="3"/>
  <c r="BY2707" i="3"/>
  <c r="BX2707" i="3"/>
  <c r="BB2707" i="3"/>
  <c r="U2707" i="3"/>
  <c r="T2707" i="3"/>
  <c r="S2707" i="3"/>
  <c r="C2707" i="3"/>
  <c r="A2707" i="3"/>
  <c r="BY2706" i="3"/>
  <c r="BX2706" i="3"/>
  <c r="BB2706" i="3"/>
  <c r="U2706" i="3"/>
  <c r="T2706" i="3"/>
  <c r="S2706" i="3"/>
  <c r="C2706" i="3"/>
  <c r="A2706" i="3"/>
  <c r="BY2705" i="3"/>
  <c r="BX2705" i="3"/>
  <c r="BB2705" i="3"/>
  <c r="U2705" i="3"/>
  <c r="T2705" i="3"/>
  <c r="S2705" i="3"/>
  <c r="C2705" i="3"/>
  <c r="A2705" i="3"/>
  <c r="BY2704" i="3"/>
  <c r="BX2704" i="3"/>
  <c r="BB2704" i="3"/>
  <c r="U2704" i="3"/>
  <c r="T2704" i="3"/>
  <c r="S2704" i="3"/>
  <c r="C2704" i="3"/>
  <c r="A2704" i="3"/>
  <c r="BY2703" i="3"/>
  <c r="BX2703" i="3"/>
  <c r="BB2703" i="3"/>
  <c r="U2703" i="3"/>
  <c r="T2703" i="3"/>
  <c r="S2703" i="3"/>
  <c r="C2703" i="3"/>
  <c r="A2703" i="3"/>
  <c r="BY2702" i="3"/>
  <c r="BX2702" i="3"/>
  <c r="BB2702" i="3"/>
  <c r="U2702" i="3"/>
  <c r="T2702" i="3"/>
  <c r="S2702" i="3"/>
  <c r="C2702" i="3"/>
  <c r="A2702" i="3"/>
  <c r="BY2701" i="3"/>
  <c r="BX2701" i="3"/>
  <c r="BB2701" i="3"/>
  <c r="U2701" i="3"/>
  <c r="T2701" i="3"/>
  <c r="S2701" i="3"/>
  <c r="C2701" i="3"/>
  <c r="A2701" i="3"/>
  <c r="BY2700" i="3"/>
  <c r="BX2700" i="3"/>
  <c r="BB2700" i="3"/>
  <c r="U2700" i="3"/>
  <c r="T2700" i="3"/>
  <c r="S2700" i="3"/>
  <c r="C2700" i="3"/>
  <c r="A2700" i="3"/>
  <c r="BY2699" i="3"/>
  <c r="BX2699" i="3"/>
  <c r="BB2699" i="3"/>
  <c r="U2699" i="3"/>
  <c r="T2699" i="3"/>
  <c r="S2699" i="3"/>
  <c r="C2699" i="3"/>
  <c r="A2699" i="3"/>
  <c r="BY2698" i="3"/>
  <c r="BX2698" i="3"/>
  <c r="BB2698" i="3"/>
  <c r="U2698" i="3"/>
  <c r="T2698" i="3"/>
  <c r="S2698" i="3"/>
  <c r="C2698" i="3"/>
  <c r="A2698" i="3"/>
  <c r="BY2697" i="3"/>
  <c r="BX2697" i="3"/>
  <c r="BB2697" i="3"/>
  <c r="U2697" i="3"/>
  <c r="T2697" i="3"/>
  <c r="S2697" i="3"/>
  <c r="C2697" i="3"/>
  <c r="A2697" i="3"/>
  <c r="BY2696" i="3"/>
  <c r="BX2696" i="3"/>
  <c r="BB2696" i="3"/>
  <c r="U2696" i="3"/>
  <c r="T2696" i="3"/>
  <c r="S2696" i="3"/>
  <c r="C2696" i="3"/>
  <c r="A2696" i="3"/>
  <c r="BY2695" i="3"/>
  <c r="BX2695" i="3"/>
  <c r="BB2695" i="3"/>
  <c r="U2695" i="3"/>
  <c r="T2695" i="3"/>
  <c r="S2695" i="3"/>
  <c r="C2695" i="3"/>
  <c r="A2695" i="3"/>
  <c r="BY2694" i="3"/>
  <c r="BX2694" i="3"/>
  <c r="BB2694" i="3"/>
  <c r="U2694" i="3"/>
  <c r="T2694" i="3"/>
  <c r="S2694" i="3"/>
  <c r="C2694" i="3"/>
  <c r="A2694" i="3"/>
  <c r="BY2693" i="3"/>
  <c r="BX2693" i="3"/>
  <c r="BB2693" i="3"/>
  <c r="U2693" i="3"/>
  <c r="T2693" i="3"/>
  <c r="S2693" i="3"/>
  <c r="C2693" i="3"/>
  <c r="A2693" i="3"/>
  <c r="BY2692" i="3"/>
  <c r="BX2692" i="3"/>
  <c r="BB2692" i="3"/>
  <c r="U2692" i="3"/>
  <c r="T2692" i="3"/>
  <c r="S2692" i="3"/>
  <c r="C2692" i="3"/>
  <c r="A2692" i="3"/>
  <c r="BY2691" i="3"/>
  <c r="BX2691" i="3"/>
  <c r="BB2691" i="3"/>
  <c r="U2691" i="3"/>
  <c r="T2691" i="3"/>
  <c r="S2691" i="3"/>
  <c r="C2691" i="3"/>
  <c r="A2691" i="3"/>
  <c r="BY2690" i="3"/>
  <c r="BX2690" i="3"/>
  <c r="BB2690" i="3"/>
  <c r="U2690" i="3"/>
  <c r="T2690" i="3"/>
  <c r="S2690" i="3"/>
  <c r="C2690" i="3"/>
  <c r="A2690" i="3"/>
  <c r="BY2689" i="3"/>
  <c r="BX2689" i="3"/>
  <c r="BB2689" i="3"/>
  <c r="U2689" i="3"/>
  <c r="T2689" i="3"/>
  <c r="S2689" i="3"/>
  <c r="C2689" i="3"/>
  <c r="A2689" i="3"/>
  <c r="BY2688" i="3"/>
  <c r="BX2688" i="3"/>
  <c r="BB2688" i="3"/>
  <c r="U2688" i="3"/>
  <c r="T2688" i="3"/>
  <c r="S2688" i="3"/>
  <c r="C2688" i="3"/>
  <c r="A2688" i="3"/>
  <c r="BY2687" i="3"/>
  <c r="BX2687" i="3"/>
  <c r="BB2687" i="3"/>
  <c r="U2687" i="3"/>
  <c r="T2687" i="3"/>
  <c r="S2687" i="3"/>
  <c r="C2687" i="3"/>
  <c r="A2687" i="3"/>
  <c r="BY2686" i="3"/>
  <c r="BX2686" i="3"/>
  <c r="BB2686" i="3"/>
  <c r="U2686" i="3"/>
  <c r="T2686" i="3"/>
  <c r="S2686" i="3"/>
  <c r="C2686" i="3"/>
  <c r="A2686" i="3"/>
  <c r="BY2685" i="3"/>
  <c r="BX2685" i="3"/>
  <c r="BB2685" i="3"/>
  <c r="U2685" i="3"/>
  <c r="T2685" i="3"/>
  <c r="S2685" i="3"/>
  <c r="C2685" i="3"/>
  <c r="A2685" i="3"/>
  <c r="BY2684" i="3"/>
  <c r="BX2684" i="3"/>
  <c r="BB2684" i="3"/>
  <c r="U2684" i="3"/>
  <c r="T2684" i="3"/>
  <c r="S2684" i="3"/>
  <c r="C2684" i="3"/>
  <c r="A2684" i="3"/>
  <c r="BY2683" i="3"/>
  <c r="BX2683" i="3"/>
  <c r="BB2683" i="3"/>
  <c r="U2683" i="3"/>
  <c r="T2683" i="3"/>
  <c r="S2683" i="3"/>
  <c r="C2683" i="3"/>
  <c r="A2683" i="3"/>
  <c r="BY2682" i="3"/>
  <c r="BX2682" i="3"/>
  <c r="BB2682" i="3"/>
  <c r="U2682" i="3"/>
  <c r="T2682" i="3"/>
  <c r="S2682" i="3"/>
  <c r="C2682" i="3"/>
  <c r="A2682" i="3"/>
  <c r="BY2681" i="3"/>
  <c r="BX2681" i="3"/>
  <c r="BB2681" i="3"/>
  <c r="U2681" i="3"/>
  <c r="T2681" i="3"/>
  <c r="S2681" i="3"/>
  <c r="C2681" i="3"/>
  <c r="A2681" i="3"/>
  <c r="BY2680" i="3"/>
  <c r="BX2680" i="3"/>
  <c r="BB2680" i="3"/>
  <c r="U2680" i="3"/>
  <c r="T2680" i="3"/>
  <c r="S2680" i="3"/>
  <c r="C2680" i="3"/>
  <c r="A2680" i="3"/>
  <c r="BY2679" i="3"/>
  <c r="BX2679" i="3"/>
  <c r="BB2679" i="3"/>
  <c r="U2679" i="3"/>
  <c r="T2679" i="3"/>
  <c r="S2679" i="3"/>
  <c r="C2679" i="3"/>
  <c r="A2679" i="3"/>
  <c r="BY2678" i="3"/>
  <c r="BX2678" i="3"/>
  <c r="BB2678" i="3"/>
  <c r="U2678" i="3"/>
  <c r="T2678" i="3"/>
  <c r="S2678" i="3"/>
  <c r="C2678" i="3"/>
  <c r="A2678" i="3"/>
  <c r="BY2677" i="3"/>
  <c r="BX2677" i="3"/>
  <c r="BB2677" i="3"/>
  <c r="U2677" i="3"/>
  <c r="T2677" i="3"/>
  <c r="S2677" i="3"/>
  <c r="C2677" i="3"/>
  <c r="A2677" i="3"/>
  <c r="BY2676" i="3"/>
  <c r="BX2676" i="3"/>
  <c r="BB2676" i="3"/>
  <c r="U2676" i="3"/>
  <c r="T2676" i="3"/>
  <c r="S2676" i="3"/>
  <c r="C2676" i="3"/>
  <c r="A2676" i="3"/>
  <c r="BY2675" i="3"/>
  <c r="BX2675" i="3"/>
  <c r="BB2675" i="3"/>
  <c r="U2675" i="3"/>
  <c r="T2675" i="3"/>
  <c r="S2675" i="3"/>
  <c r="C2675" i="3"/>
  <c r="A2675" i="3"/>
  <c r="BY2674" i="3"/>
  <c r="BX2674" i="3"/>
  <c r="BB2674" i="3"/>
  <c r="U2674" i="3"/>
  <c r="T2674" i="3"/>
  <c r="S2674" i="3"/>
  <c r="C2674" i="3"/>
  <c r="A2674" i="3"/>
  <c r="BY2673" i="3"/>
  <c r="BX2673" i="3"/>
  <c r="BB2673" i="3"/>
  <c r="U2673" i="3"/>
  <c r="T2673" i="3"/>
  <c r="S2673" i="3"/>
  <c r="C2673" i="3"/>
  <c r="A2673" i="3"/>
  <c r="BY2672" i="3"/>
  <c r="BX2672" i="3"/>
  <c r="BB2672" i="3"/>
  <c r="U2672" i="3"/>
  <c r="T2672" i="3"/>
  <c r="S2672" i="3"/>
  <c r="C2672" i="3"/>
  <c r="A2672" i="3"/>
  <c r="BY2671" i="3"/>
  <c r="BX2671" i="3"/>
  <c r="BB2671" i="3"/>
  <c r="U2671" i="3"/>
  <c r="T2671" i="3"/>
  <c r="S2671" i="3"/>
  <c r="C2671" i="3"/>
  <c r="A2671" i="3"/>
  <c r="BY2670" i="3"/>
  <c r="BX2670" i="3"/>
  <c r="BB2670" i="3"/>
  <c r="U2670" i="3"/>
  <c r="T2670" i="3"/>
  <c r="S2670" i="3"/>
  <c r="C2670" i="3"/>
  <c r="A2670" i="3"/>
  <c r="BY2669" i="3"/>
  <c r="BX2669" i="3"/>
  <c r="BB2669" i="3"/>
  <c r="U2669" i="3"/>
  <c r="T2669" i="3"/>
  <c r="S2669" i="3"/>
  <c r="C2669" i="3"/>
  <c r="A2669" i="3"/>
  <c r="BY2668" i="3"/>
  <c r="BX2668" i="3"/>
  <c r="BB2668" i="3"/>
  <c r="U2668" i="3"/>
  <c r="T2668" i="3"/>
  <c r="S2668" i="3"/>
  <c r="C2668" i="3"/>
  <c r="A2668" i="3"/>
  <c r="BY2667" i="3"/>
  <c r="BX2667" i="3"/>
  <c r="BB2667" i="3"/>
  <c r="U2667" i="3"/>
  <c r="T2667" i="3"/>
  <c r="S2667" i="3"/>
  <c r="C2667" i="3"/>
  <c r="A2667" i="3"/>
  <c r="BY2666" i="3"/>
  <c r="BX2666" i="3"/>
  <c r="BB2666" i="3"/>
  <c r="U2666" i="3"/>
  <c r="T2666" i="3"/>
  <c r="S2666" i="3"/>
  <c r="C2666" i="3"/>
  <c r="A2666" i="3"/>
  <c r="BY2665" i="3"/>
  <c r="BX2665" i="3"/>
  <c r="BB2665" i="3"/>
  <c r="U2665" i="3"/>
  <c r="T2665" i="3"/>
  <c r="S2665" i="3"/>
  <c r="C2665" i="3"/>
  <c r="A2665" i="3"/>
  <c r="BY2664" i="3"/>
  <c r="BX2664" i="3"/>
  <c r="BB2664" i="3"/>
  <c r="U2664" i="3"/>
  <c r="T2664" i="3"/>
  <c r="S2664" i="3"/>
  <c r="C2664" i="3"/>
  <c r="A2664" i="3"/>
  <c r="BY2663" i="3"/>
  <c r="BX2663" i="3"/>
  <c r="BB2663" i="3"/>
  <c r="U2663" i="3"/>
  <c r="T2663" i="3"/>
  <c r="S2663" i="3"/>
  <c r="C2663" i="3"/>
  <c r="A2663" i="3"/>
  <c r="BY2662" i="3"/>
  <c r="BX2662" i="3"/>
  <c r="BB2662" i="3"/>
  <c r="U2662" i="3"/>
  <c r="T2662" i="3"/>
  <c r="S2662" i="3"/>
  <c r="C2662" i="3"/>
  <c r="A2662" i="3"/>
  <c r="BY2661" i="3"/>
  <c r="BX2661" i="3"/>
  <c r="BB2661" i="3"/>
  <c r="U2661" i="3"/>
  <c r="T2661" i="3"/>
  <c r="S2661" i="3"/>
  <c r="C2661" i="3"/>
  <c r="A2661" i="3"/>
  <c r="BY2660" i="3"/>
  <c r="BX2660" i="3"/>
  <c r="BB2660" i="3"/>
  <c r="U2660" i="3"/>
  <c r="T2660" i="3"/>
  <c r="S2660" i="3"/>
  <c r="C2660" i="3"/>
  <c r="A2660" i="3"/>
  <c r="BY2659" i="3"/>
  <c r="BX2659" i="3"/>
  <c r="BB2659" i="3"/>
  <c r="U2659" i="3"/>
  <c r="T2659" i="3"/>
  <c r="S2659" i="3"/>
  <c r="C2659" i="3"/>
  <c r="A2659" i="3"/>
  <c r="BY2658" i="3"/>
  <c r="BX2658" i="3"/>
  <c r="BB2658" i="3"/>
  <c r="U2658" i="3"/>
  <c r="T2658" i="3"/>
  <c r="S2658" i="3"/>
  <c r="C2658" i="3"/>
  <c r="A2658" i="3"/>
  <c r="BY2657" i="3"/>
  <c r="BX2657" i="3"/>
  <c r="BB2657" i="3"/>
  <c r="U2657" i="3"/>
  <c r="T2657" i="3"/>
  <c r="S2657" i="3"/>
  <c r="C2657" i="3"/>
  <c r="A2657" i="3"/>
  <c r="BY2656" i="3"/>
  <c r="BX2656" i="3"/>
  <c r="BB2656" i="3"/>
  <c r="U2656" i="3"/>
  <c r="T2656" i="3"/>
  <c r="S2656" i="3"/>
  <c r="C2656" i="3"/>
  <c r="A2656" i="3"/>
  <c r="BY2655" i="3"/>
  <c r="BX2655" i="3"/>
  <c r="BB2655" i="3"/>
  <c r="U2655" i="3"/>
  <c r="T2655" i="3"/>
  <c r="S2655" i="3"/>
  <c r="C2655" i="3"/>
  <c r="A2655" i="3"/>
  <c r="BY2654" i="3"/>
  <c r="BX2654" i="3"/>
  <c r="BB2654" i="3"/>
  <c r="U2654" i="3"/>
  <c r="T2654" i="3"/>
  <c r="S2654" i="3"/>
  <c r="C2654" i="3"/>
  <c r="A2654" i="3"/>
  <c r="BY2653" i="3"/>
  <c r="BX2653" i="3"/>
  <c r="BB2653" i="3"/>
  <c r="U2653" i="3"/>
  <c r="T2653" i="3"/>
  <c r="S2653" i="3"/>
  <c r="C2653" i="3"/>
  <c r="A2653" i="3"/>
  <c r="BY2652" i="3"/>
  <c r="BX2652" i="3"/>
  <c r="BB2652" i="3"/>
  <c r="U2652" i="3"/>
  <c r="T2652" i="3"/>
  <c r="S2652" i="3"/>
  <c r="C2652" i="3"/>
  <c r="A2652" i="3"/>
  <c r="BY2651" i="3"/>
  <c r="BX2651" i="3"/>
  <c r="BB2651" i="3"/>
  <c r="U2651" i="3"/>
  <c r="T2651" i="3"/>
  <c r="S2651" i="3"/>
  <c r="C2651" i="3"/>
  <c r="A2651" i="3"/>
  <c r="BY2650" i="3"/>
  <c r="BX2650" i="3"/>
  <c r="BB2650" i="3"/>
  <c r="U2650" i="3"/>
  <c r="T2650" i="3"/>
  <c r="S2650" i="3"/>
  <c r="C2650" i="3"/>
  <c r="A2650" i="3"/>
  <c r="BY2649" i="3"/>
  <c r="BX2649" i="3"/>
  <c r="BB2649" i="3"/>
  <c r="U2649" i="3"/>
  <c r="T2649" i="3"/>
  <c r="S2649" i="3"/>
  <c r="C2649" i="3"/>
  <c r="A2649" i="3"/>
  <c r="BY2648" i="3"/>
  <c r="BX2648" i="3"/>
  <c r="BB2648" i="3"/>
  <c r="U2648" i="3"/>
  <c r="T2648" i="3"/>
  <c r="S2648" i="3"/>
  <c r="C2648" i="3"/>
  <c r="A2648" i="3"/>
  <c r="BY2647" i="3"/>
  <c r="BX2647" i="3"/>
  <c r="BB2647" i="3"/>
  <c r="U2647" i="3"/>
  <c r="T2647" i="3"/>
  <c r="S2647" i="3"/>
  <c r="C2647" i="3"/>
  <c r="A2647" i="3"/>
  <c r="BY2646" i="3"/>
  <c r="BX2646" i="3"/>
  <c r="BB2646" i="3"/>
  <c r="U2646" i="3"/>
  <c r="T2646" i="3"/>
  <c r="S2646" i="3"/>
  <c r="C2646" i="3"/>
  <c r="A2646" i="3"/>
  <c r="BY2645" i="3"/>
  <c r="BX2645" i="3"/>
  <c r="BB2645" i="3"/>
  <c r="U2645" i="3"/>
  <c r="T2645" i="3"/>
  <c r="S2645" i="3"/>
  <c r="C2645" i="3"/>
  <c r="A2645" i="3"/>
  <c r="BY2644" i="3"/>
  <c r="BX2644" i="3"/>
  <c r="BB2644" i="3"/>
  <c r="U2644" i="3"/>
  <c r="T2644" i="3"/>
  <c r="S2644" i="3"/>
  <c r="C2644" i="3"/>
  <c r="A2644" i="3"/>
  <c r="BY2643" i="3"/>
  <c r="BX2643" i="3"/>
  <c r="BB2643" i="3"/>
  <c r="U2643" i="3"/>
  <c r="T2643" i="3"/>
  <c r="S2643" i="3"/>
  <c r="C2643" i="3"/>
  <c r="A2643" i="3"/>
  <c r="BY2642" i="3"/>
  <c r="BX2642" i="3"/>
  <c r="BB2642" i="3"/>
  <c r="U2642" i="3"/>
  <c r="T2642" i="3"/>
  <c r="S2642" i="3"/>
  <c r="C2642" i="3"/>
  <c r="A2642" i="3"/>
  <c r="BY2641" i="3"/>
  <c r="BX2641" i="3"/>
  <c r="BB2641" i="3"/>
  <c r="U2641" i="3"/>
  <c r="T2641" i="3"/>
  <c r="S2641" i="3"/>
  <c r="C2641" i="3"/>
  <c r="A2641" i="3"/>
  <c r="BY2640" i="3"/>
  <c r="BX2640" i="3"/>
  <c r="BB2640" i="3"/>
  <c r="U2640" i="3"/>
  <c r="T2640" i="3"/>
  <c r="S2640" i="3"/>
  <c r="C2640" i="3"/>
  <c r="A2640" i="3"/>
  <c r="BY2639" i="3"/>
  <c r="BX2639" i="3"/>
  <c r="BB2639" i="3"/>
  <c r="U2639" i="3"/>
  <c r="T2639" i="3"/>
  <c r="S2639" i="3"/>
  <c r="C2639" i="3"/>
  <c r="A2639" i="3"/>
  <c r="BY2638" i="3"/>
  <c r="BX2638" i="3"/>
  <c r="BB2638" i="3"/>
  <c r="U2638" i="3"/>
  <c r="T2638" i="3"/>
  <c r="S2638" i="3"/>
  <c r="C2638" i="3"/>
  <c r="A2638" i="3"/>
  <c r="BY2637" i="3"/>
  <c r="BX2637" i="3"/>
  <c r="BB2637" i="3"/>
  <c r="U2637" i="3"/>
  <c r="T2637" i="3"/>
  <c r="S2637" i="3"/>
  <c r="C2637" i="3"/>
  <c r="A2637" i="3"/>
  <c r="BY2636" i="3"/>
  <c r="BX2636" i="3"/>
  <c r="BB2636" i="3"/>
  <c r="U2636" i="3"/>
  <c r="T2636" i="3"/>
  <c r="S2636" i="3"/>
  <c r="C2636" i="3"/>
  <c r="A2636" i="3"/>
  <c r="BY2635" i="3"/>
  <c r="BX2635" i="3"/>
  <c r="BB2635" i="3"/>
  <c r="U2635" i="3"/>
  <c r="T2635" i="3"/>
  <c r="S2635" i="3"/>
  <c r="C2635" i="3"/>
  <c r="A2635" i="3"/>
  <c r="BY2634" i="3"/>
  <c r="BX2634" i="3"/>
  <c r="BB2634" i="3"/>
  <c r="U2634" i="3"/>
  <c r="T2634" i="3"/>
  <c r="S2634" i="3"/>
  <c r="C2634" i="3"/>
  <c r="A2634" i="3"/>
  <c r="BY2633" i="3"/>
  <c r="BX2633" i="3"/>
  <c r="BB2633" i="3"/>
  <c r="U2633" i="3"/>
  <c r="T2633" i="3"/>
  <c r="S2633" i="3"/>
  <c r="C2633" i="3"/>
  <c r="A2633" i="3"/>
  <c r="BY2632" i="3"/>
  <c r="BX2632" i="3"/>
  <c r="BB2632" i="3"/>
  <c r="U2632" i="3"/>
  <c r="T2632" i="3"/>
  <c r="S2632" i="3"/>
  <c r="C2632" i="3"/>
  <c r="A2632" i="3"/>
  <c r="BY2631" i="3"/>
  <c r="BX2631" i="3"/>
  <c r="BB2631" i="3"/>
  <c r="U2631" i="3"/>
  <c r="T2631" i="3"/>
  <c r="S2631" i="3"/>
  <c r="C2631" i="3"/>
  <c r="A2631" i="3"/>
  <c r="BY2630" i="3"/>
  <c r="BX2630" i="3"/>
  <c r="BB2630" i="3"/>
  <c r="U2630" i="3"/>
  <c r="T2630" i="3"/>
  <c r="S2630" i="3"/>
  <c r="C2630" i="3"/>
  <c r="A2630" i="3"/>
  <c r="BY2629" i="3"/>
  <c r="BX2629" i="3"/>
  <c r="BB2629" i="3"/>
  <c r="U2629" i="3"/>
  <c r="T2629" i="3"/>
  <c r="S2629" i="3"/>
  <c r="C2629" i="3"/>
  <c r="A2629" i="3"/>
  <c r="BY2628" i="3"/>
  <c r="BX2628" i="3"/>
  <c r="BB2628" i="3"/>
  <c r="U2628" i="3"/>
  <c r="T2628" i="3"/>
  <c r="S2628" i="3"/>
  <c r="C2628" i="3"/>
  <c r="A2628" i="3"/>
  <c r="BY2627" i="3"/>
  <c r="BX2627" i="3"/>
  <c r="BB2627" i="3"/>
  <c r="U2627" i="3"/>
  <c r="T2627" i="3"/>
  <c r="S2627" i="3"/>
  <c r="C2627" i="3"/>
  <c r="A2627" i="3"/>
  <c r="BY2626" i="3"/>
  <c r="BX2626" i="3"/>
  <c r="BB2626" i="3"/>
  <c r="U2626" i="3"/>
  <c r="T2626" i="3"/>
  <c r="S2626" i="3"/>
  <c r="C2626" i="3"/>
  <c r="A2626" i="3"/>
  <c r="BY2625" i="3"/>
  <c r="BX2625" i="3"/>
  <c r="BB2625" i="3"/>
  <c r="U2625" i="3"/>
  <c r="T2625" i="3"/>
  <c r="S2625" i="3"/>
  <c r="C2625" i="3"/>
  <c r="A2625" i="3"/>
  <c r="BY2624" i="3"/>
  <c r="BX2624" i="3"/>
  <c r="BB2624" i="3"/>
  <c r="U2624" i="3"/>
  <c r="T2624" i="3"/>
  <c r="S2624" i="3"/>
  <c r="C2624" i="3"/>
  <c r="A2624" i="3"/>
  <c r="BY2623" i="3"/>
  <c r="BX2623" i="3"/>
  <c r="BB2623" i="3"/>
  <c r="U2623" i="3"/>
  <c r="T2623" i="3"/>
  <c r="S2623" i="3"/>
  <c r="C2623" i="3"/>
  <c r="A2623" i="3"/>
  <c r="BY2622" i="3"/>
  <c r="BX2622" i="3"/>
  <c r="BB2622" i="3"/>
  <c r="U2622" i="3"/>
  <c r="T2622" i="3"/>
  <c r="S2622" i="3"/>
  <c r="C2622" i="3"/>
  <c r="A2622" i="3"/>
  <c r="BY2621" i="3"/>
  <c r="BX2621" i="3"/>
  <c r="BB2621" i="3"/>
  <c r="U2621" i="3"/>
  <c r="T2621" i="3"/>
  <c r="S2621" i="3"/>
  <c r="C2621" i="3"/>
  <c r="A2621" i="3"/>
  <c r="BY2620" i="3"/>
  <c r="BX2620" i="3"/>
  <c r="BB2620" i="3"/>
  <c r="U2620" i="3"/>
  <c r="T2620" i="3"/>
  <c r="S2620" i="3"/>
  <c r="C2620" i="3"/>
  <c r="A2620" i="3"/>
  <c r="BY2619" i="3"/>
  <c r="BX2619" i="3"/>
  <c r="BB2619" i="3"/>
  <c r="U2619" i="3"/>
  <c r="T2619" i="3"/>
  <c r="S2619" i="3"/>
  <c r="C2619" i="3"/>
  <c r="A2619" i="3"/>
  <c r="BY2618" i="3"/>
  <c r="BX2618" i="3"/>
  <c r="BB2618" i="3"/>
  <c r="U2618" i="3"/>
  <c r="T2618" i="3"/>
  <c r="S2618" i="3"/>
  <c r="C2618" i="3"/>
  <c r="A2618" i="3"/>
  <c r="BY2617" i="3"/>
  <c r="BX2617" i="3"/>
  <c r="BB2617" i="3"/>
  <c r="U2617" i="3"/>
  <c r="T2617" i="3"/>
  <c r="S2617" i="3"/>
  <c r="C2617" i="3"/>
  <c r="A2617" i="3"/>
  <c r="BY2616" i="3"/>
  <c r="BX2616" i="3"/>
  <c r="BB2616" i="3"/>
  <c r="U2616" i="3"/>
  <c r="T2616" i="3"/>
  <c r="S2616" i="3"/>
  <c r="C2616" i="3"/>
  <c r="A2616" i="3"/>
  <c r="BY2615" i="3"/>
  <c r="BX2615" i="3"/>
  <c r="BB2615" i="3"/>
  <c r="U2615" i="3"/>
  <c r="T2615" i="3"/>
  <c r="S2615" i="3"/>
  <c r="C2615" i="3"/>
  <c r="A2615" i="3"/>
  <c r="BY2614" i="3"/>
  <c r="BX2614" i="3"/>
  <c r="BB2614" i="3"/>
  <c r="U2614" i="3"/>
  <c r="T2614" i="3"/>
  <c r="S2614" i="3"/>
  <c r="C2614" i="3"/>
  <c r="A2614" i="3"/>
  <c r="BY2613" i="3"/>
  <c r="BX2613" i="3"/>
  <c r="BB2613" i="3"/>
  <c r="U2613" i="3"/>
  <c r="T2613" i="3"/>
  <c r="S2613" i="3"/>
  <c r="C2613" i="3"/>
  <c r="A2613" i="3"/>
  <c r="BY2612" i="3"/>
  <c r="BX2612" i="3"/>
  <c r="BB2612" i="3"/>
  <c r="U2612" i="3"/>
  <c r="T2612" i="3"/>
  <c r="S2612" i="3"/>
  <c r="C2612" i="3"/>
  <c r="A2612" i="3"/>
  <c r="BY2611" i="3"/>
  <c r="BX2611" i="3"/>
  <c r="BB2611" i="3"/>
  <c r="U2611" i="3"/>
  <c r="T2611" i="3"/>
  <c r="S2611" i="3"/>
  <c r="C2611" i="3"/>
  <c r="A2611" i="3"/>
  <c r="BY2610" i="3"/>
  <c r="BX2610" i="3"/>
  <c r="BB2610" i="3"/>
  <c r="U2610" i="3"/>
  <c r="T2610" i="3"/>
  <c r="S2610" i="3"/>
  <c r="C2610" i="3"/>
  <c r="A2610" i="3"/>
  <c r="BY2609" i="3"/>
  <c r="BX2609" i="3"/>
  <c r="BB2609" i="3"/>
  <c r="U2609" i="3"/>
  <c r="T2609" i="3"/>
  <c r="S2609" i="3"/>
  <c r="C2609" i="3"/>
  <c r="A2609" i="3"/>
  <c r="BY2608" i="3"/>
  <c r="BX2608" i="3"/>
  <c r="BB2608" i="3"/>
  <c r="U2608" i="3"/>
  <c r="T2608" i="3"/>
  <c r="S2608" i="3"/>
  <c r="C2608" i="3"/>
  <c r="A2608" i="3"/>
  <c r="BY2607" i="3"/>
  <c r="BX2607" i="3"/>
  <c r="BB2607" i="3"/>
  <c r="U2607" i="3"/>
  <c r="T2607" i="3"/>
  <c r="S2607" i="3"/>
  <c r="C2607" i="3"/>
  <c r="A2607" i="3"/>
  <c r="BY2606" i="3"/>
  <c r="BX2606" i="3"/>
  <c r="BB2606" i="3"/>
  <c r="U2606" i="3"/>
  <c r="T2606" i="3"/>
  <c r="S2606" i="3"/>
  <c r="C2606" i="3"/>
  <c r="A2606" i="3"/>
  <c r="BY2605" i="3"/>
  <c r="BX2605" i="3"/>
  <c r="BB2605" i="3"/>
  <c r="U2605" i="3"/>
  <c r="T2605" i="3"/>
  <c r="S2605" i="3"/>
  <c r="C2605" i="3"/>
  <c r="A2605" i="3"/>
  <c r="BY2604" i="3"/>
  <c r="BX2604" i="3"/>
  <c r="BB2604" i="3"/>
  <c r="U2604" i="3"/>
  <c r="T2604" i="3"/>
  <c r="S2604" i="3"/>
  <c r="C2604" i="3"/>
  <c r="A2604" i="3"/>
  <c r="BY2603" i="3"/>
  <c r="BX2603" i="3"/>
  <c r="BB2603" i="3"/>
  <c r="U2603" i="3"/>
  <c r="T2603" i="3"/>
  <c r="S2603" i="3"/>
  <c r="C2603" i="3"/>
  <c r="A2603" i="3"/>
  <c r="BY2602" i="3"/>
  <c r="BX2602" i="3"/>
  <c r="BB2602" i="3"/>
  <c r="U2602" i="3"/>
  <c r="T2602" i="3"/>
  <c r="S2602" i="3"/>
  <c r="C2602" i="3"/>
  <c r="A2602" i="3"/>
  <c r="BY2601" i="3"/>
  <c r="BX2601" i="3"/>
  <c r="BB2601" i="3"/>
  <c r="U2601" i="3"/>
  <c r="T2601" i="3"/>
  <c r="S2601" i="3"/>
  <c r="C2601" i="3"/>
  <c r="A2601" i="3"/>
  <c r="BY2600" i="3"/>
  <c r="BX2600" i="3"/>
  <c r="BB2600" i="3"/>
  <c r="U2600" i="3"/>
  <c r="T2600" i="3"/>
  <c r="S2600" i="3"/>
  <c r="C2600" i="3"/>
  <c r="A2600" i="3"/>
  <c r="BY2599" i="3"/>
  <c r="BX2599" i="3"/>
  <c r="BB2599" i="3"/>
  <c r="U2599" i="3"/>
  <c r="T2599" i="3"/>
  <c r="S2599" i="3"/>
  <c r="C2599" i="3"/>
  <c r="A2599" i="3"/>
  <c r="BY2598" i="3"/>
  <c r="BX2598" i="3"/>
  <c r="BB2598" i="3"/>
  <c r="U2598" i="3"/>
  <c r="T2598" i="3"/>
  <c r="S2598" i="3"/>
  <c r="C2598" i="3"/>
  <c r="A2598" i="3"/>
  <c r="BY2597" i="3"/>
  <c r="BX2597" i="3"/>
  <c r="BB2597" i="3"/>
  <c r="U2597" i="3"/>
  <c r="T2597" i="3"/>
  <c r="S2597" i="3"/>
  <c r="C2597" i="3"/>
  <c r="A2597" i="3"/>
  <c r="BY2596" i="3"/>
  <c r="BX2596" i="3"/>
  <c r="BB2596" i="3"/>
  <c r="U2596" i="3"/>
  <c r="T2596" i="3"/>
  <c r="S2596" i="3"/>
  <c r="C2596" i="3"/>
  <c r="A2596" i="3"/>
  <c r="BY2595" i="3"/>
  <c r="BX2595" i="3"/>
  <c r="BB2595" i="3"/>
  <c r="U2595" i="3"/>
  <c r="T2595" i="3"/>
  <c r="S2595" i="3"/>
  <c r="C2595" i="3"/>
  <c r="A2595" i="3"/>
  <c r="BY2594" i="3"/>
  <c r="BX2594" i="3"/>
  <c r="BB2594" i="3"/>
  <c r="U2594" i="3"/>
  <c r="T2594" i="3"/>
  <c r="S2594" i="3"/>
  <c r="C2594" i="3"/>
  <c r="A2594" i="3"/>
  <c r="BY2593" i="3"/>
  <c r="BX2593" i="3"/>
  <c r="BB2593" i="3"/>
  <c r="U2593" i="3"/>
  <c r="T2593" i="3"/>
  <c r="S2593" i="3"/>
  <c r="C2593" i="3"/>
  <c r="A2593" i="3"/>
  <c r="BY2592" i="3"/>
  <c r="BX2592" i="3"/>
  <c r="BB2592" i="3"/>
  <c r="U2592" i="3"/>
  <c r="T2592" i="3"/>
  <c r="S2592" i="3"/>
  <c r="C2592" i="3"/>
  <c r="A2592" i="3"/>
  <c r="BY2591" i="3"/>
  <c r="BX2591" i="3"/>
  <c r="BB2591" i="3"/>
  <c r="U2591" i="3"/>
  <c r="T2591" i="3"/>
  <c r="S2591" i="3"/>
  <c r="C2591" i="3"/>
  <c r="A2591" i="3"/>
  <c r="BY2590" i="3"/>
  <c r="BX2590" i="3"/>
  <c r="BB2590" i="3"/>
  <c r="U2590" i="3"/>
  <c r="T2590" i="3"/>
  <c r="S2590" i="3"/>
  <c r="C2590" i="3"/>
  <c r="A2590" i="3"/>
  <c r="BY2589" i="3"/>
  <c r="BX2589" i="3"/>
  <c r="BB2589" i="3"/>
  <c r="U2589" i="3"/>
  <c r="T2589" i="3"/>
  <c r="S2589" i="3"/>
  <c r="C2589" i="3"/>
  <c r="A2589" i="3"/>
  <c r="BY2588" i="3"/>
  <c r="BX2588" i="3"/>
  <c r="BB2588" i="3"/>
  <c r="U2588" i="3"/>
  <c r="T2588" i="3"/>
  <c r="S2588" i="3"/>
  <c r="C2588" i="3"/>
  <c r="A2588" i="3"/>
  <c r="BY2587" i="3"/>
  <c r="BX2587" i="3"/>
  <c r="BB2587" i="3"/>
  <c r="U2587" i="3"/>
  <c r="T2587" i="3"/>
  <c r="S2587" i="3"/>
  <c r="C2587" i="3"/>
  <c r="A2587" i="3"/>
  <c r="BY2586" i="3"/>
  <c r="BX2586" i="3"/>
  <c r="BB2586" i="3"/>
  <c r="U2586" i="3"/>
  <c r="T2586" i="3"/>
  <c r="S2586" i="3"/>
  <c r="C2586" i="3"/>
  <c r="A2586" i="3"/>
  <c r="BY2585" i="3"/>
  <c r="BX2585" i="3"/>
  <c r="BB2585" i="3"/>
  <c r="U2585" i="3"/>
  <c r="T2585" i="3"/>
  <c r="S2585" i="3"/>
  <c r="C2585" i="3"/>
  <c r="A2585" i="3"/>
  <c r="BY2584" i="3"/>
  <c r="BX2584" i="3"/>
  <c r="BB2584" i="3"/>
  <c r="U2584" i="3"/>
  <c r="T2584" i="3"/>
  <c r="S2584" i="3"/>
  <c r="C2584" i="3"/>
  <c r="A2584" i="3"/>
  <c r="BY2583" i="3"/>
  <c r="BX2583" i="3"/>
  <c r="BB2583" i="3"/>
  <c r="U2583" i="3"/>
  <c r="T2583" i="3"/>
  <c r="S2583" i="3"/>
  <c r="C2583" i="3"/>
  <c r="A2583" i="3"/>
  <c r="BY2582" i="3"/>
  <c r="BX2582" i="3"/>
  <c r="BB2582" i="3"/>
  <c r="U2582" i="3"/>
  <c r="T2582" i="3"/>
  <c r="S2582" i="3"/>
  <c r="C2582" i="3"/>
  <c r="A2582" i="3"/>
  <c r="BY2581" i="3"/>
  <c r="BX2581" i="3"/>
  <c r="BB2581" i="3"/>
  <c r="U2581" i="3"/>
  <c r="T2581" i="3"/>
  <c r="S2581" i="3"/>
  <c r="C2581" i="3"/>
  <c r="A2581" i="3"/>
  <c r="BY2580" i="3"/>
  <c r="BX2580" i="3"/>
  <c r="BB2580" i="3"/>
  <c r="U2580" i="3"/>
  <c r="T2580" i="3"/>
  <c r="S2580" i="3"/>
  <c r="C2580" i="3"/>
  <c r="A2580" i="3"/>
  <c r="BY2579" i="3"/>
  <c r="BX2579" i="3"/>
  <c r="BB2579" i="3"/>
  <c r="U2579" i="3"/>
  <c r="T2579" i="3"/>
  <c r="S2579" i="3"/>
  <c r="C2579" i="3"/>
  <c r="A2579" i="3"/>
  <c r="BY2578" i="3"/>
  <c r="BX2578" i="3"/>
  <c r="BB2578" i="3"/>
  <c r="U2578" i="3"/>
  <c r="T2578" i="3"/>
  <c r="S2578" i="3"/>
  <c r="C2578" i="3"/>
  <c r="A2578" i="3"/>
  <c r="BY2577" i="3"/>
  <c r="BX2577" i="3"/>
  <c r="BB2577" i="3"/>
  <c r="U2577" i="3"/>
  <c r="T2577" i="3"/>
  <c r="S2577" i="3"/>
  <c r="C2577" i="3"/>
  <c r="A2577" i="3"/>
  <c r="BY2576" i="3"/>
  <c r="BX2576" i="3"/>
  <c r="BB2576" i="3"/>
  <c r="U2576" i="3"/>
  <c r="T2576" i="3"/>
  <c r="S2576" i="3"/>
  <c r="C2576" i="3"/>
  <c r="A2576" i="3"/>
  <c r="BY2575" i="3"/>
  <c r="BX2575" i="3"/>
  <c r="BB2575" i="3"/>
  <c r="U2575" i="3"/>
  <c r="T2575" i="3"/>
  <c r="S2575" i="3"/>
  <c r="C2575" i="3"/>
  <c r="A2575" i="3"/>
  <c r="BY2574" i="3"/>
  <c r="BX2574" i="3"/>
  <c r="BB2574" i="3"/>
  <c r="U2574" i="3"/>
  <c r="T2574" i="3"/>
  <c r="S2574" i="3"/>
  <c r="C2574" i="3"/>
  <c r="A2574" i="3"/>
  <c r="BY2573" i="3"/>
  <c r="BX2573" i="3"/>
  <c r="BB2573" i="3"/>
  <c r="U2573" i="3"/>
  <c r="T2573" i="3"/>
  <c r="S2573" i="3"/>
  <c r="C2573" i="3"/>
  <c r="A2573" i="3"/>
  <c r="BY2572" i="3"/>
  <c r="BX2572" i="3"/>
  <c r="BB2572" i="3"/>
  <c r="U2572" i="3"/>
  <c r="T2572" i="3"/>
  <c r="S2572" i="3"/>
  <c r="C2572" i="3"/>
  <c r="A2572" i="3"/>
  <c r="BY2571" i="3"/>
  <c r="BX2571" i="3"/>
  <c r="BB2571" i="3"/>
  <c r="U2571" i="3"/>
  <c r="T2571" i="3"/>
  <c r="S2571" i="3"/>
  <c r="C2571" i="3"/>
  <c r="A2571" i="3"/>
  <c r="BY2570" i="3"/>
  <c r="BX2570" i="3"/>
  <c r="BB2570" i="3"/>
  <c r="U2570" i="3"/>
  <c r="T2570" i="3"/>
  <c r="S2570" i="3"/>
  <c r="C2570" i="3"/>
  <c r="A2570" i="3"/>
  <c r="BY2569" i="3"/>
  <c r="BX2569" i="3"/>
  <c r="BB2569" i="3"/>
  <c r="U2569" i="3"/>
  <c r="T2569" i="3"/>
  <c r="S2569" i="3"/>
  <c r="C2569" i="3"/>
  <c r="A2569" i="3"/>
  <c r="BY2568" i="3"/>
  <c r="BX2568" i="3"/>
  <c r="BB2568" i="3"/>
  <c r="U2568" i="3"/>
  <c r="T2568" i="3"/>
  <c r="S2568" i="3"/>
  <c r="C2568" i="3"/>
  <c r="A2568" i="3"/>
  <c r="BY2567" i="3"/>
  <c r="BX2567" i="3"/>
  <c r="BB2567" i="3"/>
  <c r="U2567" i="3"/>
  <c r="T2567" i="3"/>
  <c r="S2567" i="3"/>
  <c r="C2567" i="3"/>
  <c r="A2567" i="3"/>
  <c r="BY2566" i="3"/>
  <c r="BX2566" i="3"/>
  <c r="BB2566" i="3"/>
  <c r="U2566" i="3"/>
  <c r="T2566" i="3"/>
  <c r="S2566" i="3"/>
  <c r="C2566" i="3"/>
  <c r="A2566" i="3"/>
  <c r="BY2565" i="3"/>
  <c r="BX2565" i="3"/>
  <c r="BB2565" i="3"/>
  <c r="U2565" i="3"/>
  <c r="T2565" i="3"/>
  <c r="S2565" i="3"/>
  <c r="C2565" i="3"/>
  <c r="A2565" i="3"/>
  <c r="BY2564" i="3"/>
  <c r="BX2564" i="3"/>
  <c r="BB2564" i="3"/>
  <c r="U2564" i="3"/>
  <c r="T2564" i="3"/>
  <c r="S2564" i="3"/>
  <c r="C2564" i="3"/>
  <c r="A2564" i="3"/>
  <c r="BY2563" i="3"/>
  <c r="BX2563" i="3"/>
  <c r="BB2563" i="3"/>
  <c r="U2563" i="3"/>
  <c r="T2563" i="3"/>
  <c r="S2563" i="3"/>
  <c r="C2563" i="3"/>
  <c r="A2563" i="3"/>
  <c r="BY2562" i="3"/>
  <c r="BX2562" i="3"/>
  <c r="BB2562" i="3"/>
  <c r="U2562" i="3"/>
  <c r="T2562" i="3"/>
  <c r="S2562" i="3"/>
  <c r="C2562" i="3"/>
  <c r="A2562" i="3"/>
  <c r="BY2561" i="3"/>
  <c r="BX2561" i="3"/>
  <c r="BB2561" i="3"/>
  <c r="U2561" i="3"/>
  <c r="T2561" i="3"/>
  <c r="S2561" i="3"/>
  <c r="C2561" i="3"/>
  <c r="A2561" i="3"/>
  <c r="BY2560" i="3"/>
  <c r="BX2560" i="3"/>
  <c r="BB2560" i="3"/>
  <c r="U2560" i="3"/>
  <c r="T2560" i="3"/>
  <c r="S2560" i="3"/>
  <c r="C2560" i="3"/>
  <c r="A2560" i="3"/>
  <c r="BY2559" i="3"/>
  <c r="BX2559" i="3"/>
  <c r="BB2559" i="3"/>
  <c r="U2559" i="3"/>
  <c r="T2559" i="3"/>
  <c r="S2559" i="3"/>
  <c r="C2559" i="3"/>
  <c r="A2559" i="3"/>
  <c r="BY2558" i="3"/>
  <c r="BX2558" i="3"/>
  <c r="BB2558" i="3"/>
  <c r="U2558" i="3"/>
  <c r="T2558" i="3"/>
  <c r="S2558" i="3"/>
  <c r="C2558" i="3"/>
  <c r="A2558" i="3"/>
  <c r="BY2557" i="3"/>
  <c r="BX2557" i="3"/>
  <c r="BB2557" i="3"/>
  <c r="U2557" i="3"/>
  <c r="T2557" i="3"/>
  <c r="S2557" i="3"/>
  <c r="C2557" i="3"/>
  <c r="A2557" i="3"/>
  <c r="BY2556" i="3"/>
  <c r="BX2556" i="3"/>
  <c r="BB2556" i="3"/>
  <c r="U2556" i="3"/>
  <c r="T2556" i="3"/>
  <c r="S2556" i="3"/>
  <c r="C2556" i="3"/>
  <c r="A2556" i="3"/>
  <c r="BY2555" i="3"/>
  <c r="BX2555" i="3"/>
  <c r="BB2555" i="3"/>
  <c r="U2555" i="3"/>
  <c r="T2555" i="3"/>
  <c r="S2555" i="3"/>
  <c r="C2555" i="3"/>
  <c r="A2555" i="3"/>
  <c r="BY2554" i="3"/>
  <c r="BX2554" i="3"/>
  <c r="BB2554" i="3"/>
  <c r="U2554" i="3"/>
  <c r="T2554" i="3"/>
  <c r="S2554" i="3"/>
  <c r="C2554" i="3"/>
  <c r="A2554" i="3"/>
  <c r="BY2553" i="3"/>
  <c r="BX2553" i="3"/>
  <c r="BB2553" i="3"/>
  <c r="U2553" i="3"/>
  <c r="T2553" i="3"/>
  <c r="S2553" i="3"/>
  <c r="C2553" i="3"/>
  <c r="A2553" i="3"/>
  <c r="BY2552" i="3"/>
  <c r="BX2552" i="3"/>
  <c r="BB2552" i="3"/>
  <c r="U2552" i="3"/>
  <c r="T2552" i="3"/>
  <c r="S2552" i="3"/>
  <c r="C2552" i="3"/>
  <c r="A2552" i="3"/>
  <c r="BY2551" i="3"/>
  <c r="BX2551" i="3"/>
  <c r="BB2551" i="3"/>
  <c r="U2551" i="3"/>
  <c r="T2551" i="3"/>
  <c r="S2551" i="3"/>
  <c r="C2551" i="3"/>
  <c r="A2551" i="3"/>
  <c r="BY2550" i="3"/>
  <c r="BX2550" i="3"/>
  <c r="BB2550" i="3"/>
  <c r="U2550" i="3"/>
  <c r="T2550" i="3"/>
  <c r="S2550" i="3"/>
  <c r="C2550" i="3"/>
  <c r="A2550" i="3"/>
  <c r="BY2549" i="3"/>
  <c r="BX2549" i="3"/>
  <c r="BB2549" i="3"/>
  <c r="U2549" i="3"/>
  <c r="T2549" i="3"/>
  <c r="S2549" i="3"/>
  <c r="C2549" i="3"/>
  <c r="A2549" i="3"/>
  <c r="BY2548" i="3"/>
  <c r="BX2548" i="3"/>
  <c r="BB2548" i="3"/>
  <c r="U2548" i="3"/>
  <c r="T2548" i="3"/>
  <c r="S2548" i="3"/>
  <c r="C2548" i="3"/>
  <c r="A2548" i="3"/>
  <c r="BY2547" i="3"/>
  <c r="BX2547" i="3"/>
  <c r="BB2547" i="3"/>
  <c r="U2547" i="3"/>
  <c r="T2547" i="3"/>
  <c r="S2547" i="3"/>
  <c r="C2547" i="3"/>
  <c r="A2547" i="3"/>
  <c r="BY2546" i="3"/>
  <c r="BX2546" i="3"/>
  <c r="BB2546" i="3"/>
  <c r="U2546" i="3"/>
  <c r="T2546" i="3"/>
  <c r="S2546" i="3"/>
  <c r="C2546" i="3"/>
  <c r="A2546" i="3"/>
  <c r="BY2545" i="3"/>
  <c r="BX2545" i="3"/>
  <c r="BB2545" i="3"/>
  <c r="U2545" i="3"/>
  <c r="T2545" i="3"/>
  <c r="S2545" i="3"/>
  <c r="C2545" i="3"/>
  <c r="A2545" i="3"/>
  <c r="BY2544" i="3"/>
  <c r="BX2544" i="3"/>
  <c r="BB2544" i="3"/>
  <c r="U2544" i="3"/>
  <c r="T2544" i="3"/>
  <c r="S2544" i="3"/>
  <c r="C2544" i="3"/>
  <c r="A2544" i="3"/>
  <c r="BY2543" i="3"/>
  <c r="BX2543" i="3"/>
  <c r="BB2543" i="3"/>
  <c r="U2543" i="3"/>
  <c r="T2543" i="3"/>
  <c r="S2543" i="3"/>
  <c r="C2543" i="3"/>
  <c r="A2543" i="3"/>
  <c r="BY2542" i="3"/>
  <c r="BX2542" i="3"/>
  <c r="BB2542" i="3"/>
  <c r="U2542" i="3"/>
  <c r="T2542" i="3"/>
  <c r="S2542" i="3"/>
  <c r="C2542" i="3"/>
  <c r="A2542" i="3"/>
  <c r="BY2541" i="3"/>
  <c r="BX2541" i="3"/>
  <c r="BB2541" i="3"/>
  <c r="U2541" i="3"/>
  <c r="T2541" i="3"/>
  <c r="S2541" i="3"/>
  <c r="C2541" i="3"/>
  <c r="A2541" i="3"/>
  <c r="BY2540" i="3"/>
  <c r="BX2540" i="3"/>
  <c r="BB2540" i="3"/>
  <c r="U2540" i="3"/>
  <c r="T2540" i="3"/>
  <c r="S2540" i="3"/>
  <c r="C2540" i="3"/>
  <c r="A2540" i="3"/>
  <c r="BY2539" i="3"/>
  <c r="BX2539" i="3"/>
  <c r="BB2539" i="3"/>
  <c r="U2539" i="3"/>
  <c r="T2539" i="3"/>
  <c r="S2539" i="3"/>
  <c r="C2539" i="3"/>
  <c r="A2539" i="3"/>
  <c r="BY2538" i="3"/>
  <c r="BX2538" i="3"/>
  <c r="BB2538" i="3"/>
  <c r="U2538" i="3"/>
  <c r="T2538" i="3"/>
  <c r="S2538" i="3"/>
  <c r="C2538" i="3"/>
  <c r="A2538" i="3"/>
  <c r="BY2537" i="3"/>
  <c r="BX2537" i="3"/>
  <c r="BB2537" i="3"/>
  <c r="U2537" i="3"/>
  <c r="T2537" i="3"/>
  <c r="S2537" i="3"/>
  <c r="C2537" i="3"/>
  <c r="A2537" i="3"/>
  <c r="BY2536" i="3"/>
  <c r="BX2536" i="3"/>
  <c r="BB2536" i="3"/>
  <c r="U2536" i="3"/>
  <c r="T2536" i="3"/>
  <c r="S2536" i="3"/>
  <c r="C2536" i="3"/>
  <c r="A2536" i="3"/>
  <c r="BY2535" i="3"/>
  <c r="BX2535" i="3"/>
  <c r="BB2535" i="3"/>
  <c r="U2535" i="3"/>
  <c r="T2535" i="3"/>
  <c r="S2535" i="3"/>
  <c r="C2535" i="3"/>
  <c r="A2535" i="3"/>
  <c r="BY2534" i="3"/>
  <c r="BX2534" i="3"/>
  <c r="BB2534" i="3"/>
  <c r="U2534" i="3"/>
  <c r="T2534" i="3"/>
  <c r="S2534" i="3"/>
  <c r="C2534" i="3"/>
  <c r="A2534" i="3"/>
  <c r="BY2533" i="3"/>
  <c r="BX2533" i="3"/>
  <c r="BB2533" i="3"/>
  <c r="U2533" i="3"/>
  <c r="T2533" i="3"/>
  <c r="S2533" i="3"/>
  <c r="C2533" i="3"/>
  <c r="A2533" i="3"/>
  <c r="BY2532" i="3"/>
  <c r="BX2532" i="3"/>
  <c r="BB2532" i="3"/>
  <c r="U2532" i="3"/>
  <c r="T2532" i="3"/>
  <c r="S2532" i="3"/>
  <c r="C2532" i="3"/>
  <c r="A2532" i="3"/>
  <c r="BY2531" i="3"/>
  <c r="BX2531" i="3"/>
  <c r="BB2531" i="3"/>
  <c r="U2531" i="3"/>
  <c r="T2531" i="3"/>
  <c r="S2531" i="3"/>
  <c r="C2531" i="3"/>
  <c r="A2531" i="3"/>
  <c r="BY2530" i="3"/>
  <c r="BX2530" i="3"/>
  <c r="BB2530" i="3"/>
  <c r="U2530" i="3"/>
  <c r="T2530" i="3"/>
  <c r="S2530" i="3"/>
  <c r="C2530" i="3"/>
  <c r="A2530" i="3"/>
  <c r="BY2529" i="3"/>
  <c r="BX2529" i="3"/>
  <c r="BB2529" i="3"/>
  <c r="U2529" i="3"/>
  <c r="T2529" i="3"/>
  <c r="S2529" i="3"/>
  <c r="C2529" i="3"/>
  <c r="A2529" i="3"/>
  <c r="BY2528" i="3"/>
  <c r="BX2528" i="3"/>
  <c r="BB2528" i="3"/>
  <c r="U2528" i="3"/>
  <c r="T2528" i="3"/>
  <c r="S2528" i="3"/>
  <c r="C2528" i="3"/>
  <c r="A2528" i="3"/>
  <c r="BY2527" i="3"/>
  <c r="BX2527" i="3"/>
  <c r="BB2527" i="3"/>
  <c r="U2527" i="3"/>
  <c r="T2527" i="3"/>
  <c r="S2527" i="3"/>
  <c r="C2527" i="3"/>
  <c r="A2527" i="3"/>
  <c r="BY2526" i="3"/>
  <c r="BX2526" i="3"/>
  <c r="BB2526" i="3"/>
  <c r="U2526" i="3"/>
  <c r="T2526" i="3"/>
  <c r="S2526" i="3"/>
  <c r="C2526" i="3"/>
  <c r="A2526" i="3"/>
  <c r="BY2525" i="3"/>
  <c r="BX2525" i="3"/>
  <c r="BB2525" i="3"/>
  <c r="U2525" i="3"/>
  <c r="T2525" i="3"/>
  <c r="S2525" i="3"/>
  <c r="C2525" i="3"/>
  <c r="A2525" i="3"/>
  <c r="BY2524" i="3"/>
  <c r="BX2524" i="3"/>
  <c r="BB2524" i="3"/>
  <c r="U2524" i="3"/>
  <c r="T2524" i="3"/>
  <c r="S2524" i="3"/>
  <c r="C2524" i="3"/>
  <c r="A2524" i="3"/>
  <c r="BY2523" i="3"/>
  <c r="BX2523" i="3"/>
  <c r="BB2523" i="3"/>
  <c r="U2523" i="3"/>
  <c r="T2523" i="3"/>
  <c r="S2523" i="3"/>
  <c r="C2523" i="3"/>
  <c r="A2523" i="3"/>
  <c r="BY2522" i="3"/>
  <c r="BX2522" i="3"/>
  <c r="BB2522" i="3"/>
  <c r="U2522" i="3"/>
  <c r="T2522" i="3"/>
  <c r="S2522" i="3"/>
  <c r="C2522" i="3"/>
  <c r="A2522" i="3"/>
  <c r="BY2521" i="3"/>
  <c r="BX2521" i="3"/>
  <c r="BB2521" i="3"/>
  <c r="U2521" i="3"/>
  <c r="T2521" i="3"/>
  <c r="S2521" i="3"/>
  <c r="C2521" i="3"/>
  <c r="A2521" i="3"/>
  <c r="BY2520" i="3"/>
  <c r="BX2520" i="3"/>
  <c r="BB2520" i="3"/>
  <c r="U2520" i="3"/>
  <c r="T2520" i="3"/>
  <c r="S2520" i="3"/>
  <c r="C2520" i="3"/>
  <c r="A2520" i="3"/>
  <c r="BY2519" i="3"/>
  <c r="BX2519" i="3"/>
  <c r="BB2519" i="3"/>
  <c r="U2519" i="3"/>
  <c r="T2519" i="3"/>
  <c r="S2519" i="3"/>
  <c r="C2519" i="3"/>
  <c r="A2519" i="3"/>
  <c r="BY2518" i="3"/>
  <c r="BX2518" i="3"/>
  <c r="BB2518" i="3"/>
  <c r="U2518" i="3"/>
  <c r="T2518" i="3"/>
  <c r="S2518" i="3"/>
  <c r="C2518" i="3"/>
  <c r="A2518" i="3"/>
  <c r="BY2517" i="3"/>
  <c r="BX2517" i="3"/>
  <c r="BB2517" i="3"/>
  <c r="U2517" i="3"/>
  <c r="T2517" i="3"/>
  <c r="S2517" i="3"/>
  <c r="C2517" i="3"/>
  <c r="A2517" i="3"/>
  <c r="BY2516" i="3"/>
  <c r="BX2516" i="3"/>
  <c r="BB2516" i="3"/>
  <c r="U2516" i="3"/>
  <c r="T2516" i="3"/>
  <c r="S2516" i="3"/>
  <c r="C2516" i="3"/>
  <c r="A2516" i="3"/>
  <c r="BY2515" i="3"/>
  <c r="BX2515" i="3"/>
  <c r="BB2515" i="3"/>
  <c r="U2515" i="3"/>
  <c r="T2515" i="3"/>
  <c r="S2515" i="3"/>
  <c r="C2515" i="3"/>
  <c r="A2515" i="3"/>
  <c r="BY2514" i="3"/>
  <c r="BX2514" i="3"/>
  <c r="BB2514" i="3"/>
  <c r="U2514" i="3"/>
  <c r="T2514" i="3"/>
  <c r="S2514" i="3"/>
  <c r="C2514" i="3"/>
  <c r="A2514" i="3"/>
  <c r="BY2513" i="3"/>
  <c r="BX2513" i="3"/>
  <c r="BB2513" i="3"/>
  <c r="U2513" i="3"/>
  <c r="T2513" i="3"/>
  <c r="S2513" i="3"/>
  <c r="C2513" i="3"/>
  <c r="A2513" i="3"/>
  <c r="BY2512" i="3"/>
  <c r="BX2512" i="3"/>
  <c r="BB2512" i="3"/>
  <c r="U2512" i="3"/>
  <c r="T2512" i="3"/>
  <c r="S2512" i="3"/>
  <c r="C2512" i="3"/>
  <c r="A2512" i="3"/>
  <c r="BY2511" i="3"/>
  <c r="BX2511" i="3"/>
  <c r="BB2511" i="3"/>
  <c r="U2511" i="3"/>
  <c r="T2511" i="3"/>
  <c r="S2511" i="3"/>
  <c r="C2511" i="3"/>
  <c r="A2511" i="3"/>
  <c r="BY2510" i="3"/>
  <c r="BX2510" i="3"/>
  <c r="BB2510" i="3"/>
  <c r="U2510" i="3"/>
  <c r="T2510" i="3"/>
  <c r="S2510" i="3"/>
  <c r="C2510" i="3"/>
  <c r="A2510" i="3"/>
  <c r="BY2509" i="3"/>
  <c r="BX2509" i="3"/>
  <c r="BB2509" i="3"/>
  <c r="U2509" i="3"/>
  <c r="T2509" i="3"/>
  <c r="S2509" i="3"/>
  <c r="C2509" i="3"/>
  <c r="A2509" i="3"/>
  <c r="BY2508" i="3"/>
  <c r="BX2508" i="3"/>
  <c r="BB2508" i="3"/>
  <c r="U2508" i="3"/>
  <c r="T2508" i="3"/>
  <c r="S2508" i="3"/>
  <c r="C2508" i="3"/>
  <c r="A2508" i="3"/>
  <c r="BY2507" i="3"/>
  <c r="BX2507" i="3"/>
  <c r="BB2507" i="3"/>
  <c r="U2507" i="3"/>
  <c r="T2507" i="3"/>
  <c r="S2507" i="3"/>
  <c r="C2507" i="3"/>
  <c r="A2507" i="3"/>
  <c r="BY2506" i="3"/>
  <c r="BX2506" i="3"/>
  <c r="BB2506" i="3"/>
  <c r="U2506" i="3"/>
  <c r="T2506" i="3"/>
  <c r="S2506" i="3"/>
  <c r="C2506" i="3"/>
  <c r="A2506" i="3"/>
  <c r="BY2505" i="3"/>
  <c r="BX2505" i="3"/>
  <c r="BB2505" i="3"/>
  <c r="U2505" i="3"/>
  <c r="T2505" i="3"/>
  <c r="S2505" i="3"/>
  <c r="C2505" i="3"/>
  <c r="A2505" i="3"/>
  <c r="BY2504" i="3"/>
  <c r="BX2504" i="3"/>
  <c r="BB2504" i="3"/>
  <c r="U2504" i="3"/>
  <c r="T2504" i="3"/>
  <c r="S2504" i="3"/>
  <c r="C2504" i="3"/>
  <c r="A2504" i="3"/>
  <c r="BY2503" i="3"/>
  <c r="BX2503" i="3"/>
  <c r="BB2503" i="3"/>
  <c r="U2503" i="3"/>
  <c r="T2503" i="3"/>
  <c r="S2503" i="3"/>
  <c r="C2503" i="3"/>
  <c r="A2503" i="3"/>
  <c r="BY2502" i="3"/>
  <c r="BX2502" i="3"/>
  <c r="BB2502" i="3"/>
  <c r="U2502" i="3"/>
  <c r="T2502" i="3"/>
  <c r="S2502" i="3"/>
  <c r="C2502" i="3"/>
  <c r="A2502" i="3"/>
  <c r="BY2501" i="3"/>
  <c r="BX2501" i="3"/>
  <c r="BB2501" i="3"/>
  <c r="U2501" i="3"/>
  <c r="T2501" i="3"/>
  <c r="S2501" i="3"/>
  <c r="C2501" i="3"/>
  <c r="A2501" i="3"/>
  <c r="BY2500" i="3"/>
  <c r="BX2500" i="3"/>
  <c r="BB2500" i="3"/>
  <c r="U2500" i="3"/>
  <c r="T2500" i="3"/>
  <c r="S2500" i="3"/>
  <c r="C2500" i="3"/>
  <c r="A2500" i="3"/>
  <c r="BY2499" i="3"/>
  <c r="BX2499" i="3"/>
  <c r="BB2499" i="3"/>
  <c r="U2499" i="3"/>
  <c r="T2499" i="3"/>
  <c r="S2499" i="3"/>
  <c r="C2499" i="3"/>
  <c r="A2499" i="3"/>
  <c r="BY2498" i="3"/>
  <c r="BX2498" i="3"/>
  <c r="BB2498" i="3"/>
  <c r="U2498" i="3"/>
  <c r="T2498" i="3"/>
  <c r="S2498" i="3"/>
  <c r="C2498" i="3"/>
  <c r="A2498" i="3"/>
  <c r="BY2497" i="3"/>
  <c r="BX2497" i="3"/>
  <c r="BB2497" i="3"/>
  <c r="U2497" i="3"/>
  <c r="T2497" i="3"/>
  <c r="S2497" i="3"/>
  <c r="C2497" i="3"/>
  <c r="A2497" i="3"/>
  <c r="BY2496" i="3"/>
  <c r="BX2496" i="3"/>
  <c r="BB2496" i="3"/>
  <c r="U2496" i="3"/>
  <c r="T2496" i="3"/>
  <c r="S2496" i="3"/>
  <c r="C2496" i="3"/>
  <c r="A2496" i="3"/>
  <c r="BY2495" i="3"/>
  <c r="BX2495" i="3"/>
  <c r="BB2495" i="3"/>
  <c r="U2495" i="3"/>
  <c r="T2495" i="3"/>
  <c r="S2495" i="3"/>
  <c r="C2495" i="3"/>
  <c r="A2495" i="3"/>
  <c r="BY2494" i="3"/>
  <c r="BX2494" i="3"/>
  <c r="BB2494" i="3"/>
  <c r="U2494" i="3"/>
  <c r="T2494" i="3"/>
  <c r="S2494" i="3"/>
  <c r="C2494" i="3"/>
  <c r="A2494" i="3"/>
  <c r="BY2493" i="3"/>
  <c r="BX2493" i="3"/>
  <c r="BB2493" i="3"/>
  <c r="U2493" i="3"/>
  <c r="T2493" i="3"/>
  <c r="S2493" i="3"/>
  <c r="C2493" i="3"/>
  <c r="A2493" i="3"/>
  <c r="BY2492" i="3"/>
  <c r="BX2492" i="3"/>
  <c r="BB2492" i="3"/>
  <c r="U2492" i="3"/>
  <c r="T2492" i="3"/>
  <c r="S2492" i="3"/>
  <c r="C2492" i="3"/>
  <c r="A2492" i="3"/>
  <c r="BY2491" i="3"/>
  <c r="BX2491" i="3"/>
  <c r="BB2491" i="3"/>
  <c r="U2491" i="3"/>
  <c r="T2491" i="3"/>
  <c r="S2491" i="3"/>
  <c r="C2491" i="3"/>
  <c r="A2491" i="3"/>
  <c r="BY2490" i="3"/>
  <c r="BX2490" i="3"/>
  <c r="BB2490" i="3"/>
  <c r="U2490" i="3"/>
  <c r="T2490" i="3"/>
  <c r="S2490" i="3"/>
  <c r="C2490" i="3"/>
  <c r="A2490" i="3"/>
  <c r="BY2489" i="3"/>
  <c r="BX2489" i="3"/>
  <c r="BB2489" i="3"/>
  <c r="U2489" i="3"/>
  <c r="T2489" i="3"/>
  <c r="S2489" i="3"/>
  <c r="C2489" i="3"/>
  <c r="A2489" i="3"/>
  <c r="BY2488" i="3"/>
  <c r="BX2488" i="3"/>
  <c r="BB2488" i="3"/>
  <c r="U2488" i="3"/>
  <c r="T2488" i="3"/>
  <c r="S2488" i="3"/>
  <c r="C2488" i="3"/>
  <c r="A2488" i="3"/>
  <c r="BY2487" i="3"/>
  <c r="BX2487" i="3"/>
  <c r="BB2487" i="3"/>
  <c r="U2487" i="3"/>
  <c r="T2487" i="3"/>
  <c r="S2487" i="3"/>
  <c r="C2487" i="3"/>
  <c r="A2487" i="3"/>
  <c r="BY2486" i="3"/>
  <c r="BX2486" i="3"/>
  <c r="BB2486" i="3"/>
  <c r="U2486" i="3"/>
  <c r="T2486" i="3"/>
  <c r="S2486" i="3"/>
  <c r="C2486" i="3"/>
  <c r="A2486" i="3"/>
  <c r="BY2485" i="3"/>
  <c r="BX2485" i="3"/>
  <c r="BB2485" i="3"/>
  <c r="U2485" i="3"/>
  <c r="T2485" i="3"/>
  <c r="S2485" i="3"/>
  <c r="C2485" i="3"/>
  <c r="A2485" i="3"/>
  <c r="BY2484" i="3"/>
  <c r="BX2484" i="3"/>
  <c r="BB2484" i="3"/>
  <c r="U2484" i="3"/>
  <c r="T2484" i="3"/>
  <c r="S2484" i="3"/>
  <c r="C2484" i="3"/>
  <c r="A2484" i="3"/>
  <c r="BY2483" i="3"/>
  <c r="BX2483" i="3"/>
  <c r="BB2483" i="3"/>
  <c r="U2483" i="3"/>
  <c r="T2483" i="3"/>
  <c r="S2483" i="3"/>
  <c r="C2483" i="3"/>
  <c r="A2483" i="3"/>
  <c r="BY2482" i="3"/>
  <c r="BX2482" i="3"/>
  <c r="BB2482" i="3"/>
  <c r="U2482" i="3"/>
  <c r="T2482" i="3"/>
  <c r="S2482" i="3"/>
  <c r="C2482" i="3"/>
  <c r="A2482" i="3"/>
  <c r="BY2481" i="3"/>
  <c r="BX2481" i="3"/>
  <c r="BB2481" i="3"/>
  <c r="U2481" i="3"/>
  <c r="T2481" i="3"/>
  <c r="S2481" i="3"/>
  <c r="C2481" i="3"/>
  <c r="A2481" i="3"/>
  <c r="BY2480" i="3"/>
  <c r="BX2480" i="3"/>
  <c r="BB2480" i="3"/>
  <c r="U2480" i="3"/>
  <c r="T2480" i="3"/>
  <c r="S2480" i="3"/>
  <c r="C2480" i="3"/>
  <c r="A2480" i="3"/>
  <c r="BY2479" i="3"/>
  <c r="BX2479" i="3"/>
  <c r="BB2479" i="3"/>
  <c r="U2479" i="3"/>
  <c r="T2479" i="3"/>
  <c r="S2479" i="3"/>
  <c r="C2479" i="3"/>
  <c r="A2479" i="3"/>
  <c r="BY2478" i="3"/>
  <c r="BX2478" i="3"/>
  <c r="BB2478" i="3"/>
  <c r="U2478" i="3"/>
  <c r="T2478" i="3"/>
  <c r="S2478" i="3"/>
  <c r="C2478" i="3"/>
  <c r="A2478" i="3"/>
  <c r="BY2477" i="3"/>
  <c r="BX2477" i="3"/>
  <c r="BB2477" i="3"/>
  <c r="U2477" i="3"/>
  <c r="T2477" i="3"/>
  <c r="S2477" i="3"/>
  <c r="C2477" i="3"/>
  <c r="A2477" i="3"/>
  <c r="BY2476" i="3"/>
  <c r="BX2476" i="3"/>
  <c r="BB2476" i="3"/>
  <c r="U2476" i="3"/>
  <c r="T2476" i="3"/>
  <c r="S2476" i="3"/>
  <c r="C2476" i="3"/>
  <c r="A2476" i="3"/>
  <c r="BY2475" i="3"/>
  <c r="BX2475" i="3"/>
  <c r="BB2475" i="3"/>
  <c r="U2475" i="3"/>
  <c r="T2475" i="3"/>
  <c r="S2475" i="3"/>
  <c r="C2475" i="3"/>
  <c r="A2475" i="3"/>
  <c r="BY2474" i="3"/>
  <c r="BX2474" i="3"/>
  <c r="BB2474" i="3"/>
  <c r="U2474" i="3"/>
  <c r="T2474" i="3"/>
  <c r="S2474" i="3"/>
  <c r="C2474" i="3"/>
  <c r="A2474" i="3"/>
  <c r="BY2473" i="3"/>
  <c r="BX2473" i="3"/>
  <c r="BB2473" i="3"/>
  <c r="U2473" i="3"/>
  <c r="T2473" i="3"/>
  <c r="S2473" i="3"/>
  <c r="C2473" i="3"/>
  <c r="A2473" i="3"/>
  <c r="BY2472" i="3"/>
  <c r="BX2472" i="3"/>
  <c r="BB2472" i="3"/>
  <c r="U2472" i="3"/>
  <c r="T2472" i="3"/>
  <c r="S2472" i="3"/>
  <c r="C2472" i="3"/>
  <c r="A2472" i="3"/>
  <c r="BY2471" i="3"/>
  <c r="BX2471" i="3"/>
  <c r="BB2471" i="3"/>
  <c r="U2471" i="3"/>
  <c r="T2471" i="3"/>
  <c r="S2471" i="3"/>
  <c r="C2471" i="3"/>
  <c r="A2471" i="3"/>
  <c r="BY2470" i="3"/>
  <c r="BX2470" i="3"/>
  <c r="BB2470" i="3"/>
  <c r="U2470" i="3"/>
  <c r="T2470" i="3"/>
  <c r="S2470" i="3"/>
  <c r="C2470" i="3"/>
  <c r="A2470" i="3"/>
  <c r="BY2469" i="3"/>
  <c r="BX2469" i="3"/>
  <c r="BB2469" i="3"/>
  <c r="U2469" i="3"/>
  <c r="T2469" i="3"/>
  <c r="S2469" i="3"/>
  <c r="C2469" i="3"/>
  <c r="A2469" i="3"/>
  <c r="BY2468" i="3"/>
  <c r="BX2468" i="3"/>
  <c r="BB2468" i="3"/>
  <c r="U2468" i="3"/>
  <c r="T2468" i="3"/>
  <c r="S2468" i="3"/>
  <c r="C2468" i="3"/>
  <c r="A2468" i="3"/>
  <c r="BY2467" i="3"/>
  <c r="BX2467" i="3"/>
  <c r="BB2467" i="3"/>
  <c r="U2467" i="3"/>
  <c r="T2467" i="3"/>
  <c r="S2467" i="3"/>
  <c r="C2467" i="3"/>
  <c r="A2467" i="3"/>
  <c r="BY2466" i="3"/>
  <c r="BX2466" i="3"/>
  <c r="BB2466" i="3"/>
  <c r="U2466" i="3"/>
  <c r="T2466" i="3"/>
  <c r="S2466" i="3"/>
  <c r="C2466" i="3"/>
  <c r="A2466" i="3"/>
  <c r="BY2465" i="3"/>
  <c r="BX2465" i="3"/>
  <c r="BB2465" i="3"/>
  <c r="U2465" i="3"/>
  <c r="T2465" i="3"/>
  <c r="S2465" i="3"/>
  <c r="C2465" i="3"/>
  <c r="A2465" i="3"/>
  <c r="BY2464" i="3"/>
  <c r="BX2464" i="3"/>
  <c r="BB2464" i="3"/>
  <c r="U2464" i="3"/>
  <c r="T2464" i="3"/>
  <c r="S2464" i="3"/>
  <c r="C2464" i="3"/>
  <c r="A2464" i="3"/>
  <c r="BY2463" i="3"/>
  <c r="BX2463" i="3"/>
  <c r="BB2463" i="3"/>
  <c r="U2463" i="3"/>
  <c r="T2463" i="3"/>
  <c r="S2463" i="3"/>
  <c r="C2463" i="3"/>
  <c r="A2463" i="3"/>
  <c r="BY2462" i="3"/>
  <c r="BX2462" i="3"/>
  <c r="BB2462" i="3"/>
  <c r="U2462" i="3"/>
  <c r="T2462" i="3"/>
  <c r="S2462" i="3"/>
  <c r="C2462" i="3"/>
  <c r="A2462" i="3"/>
  <c r="BY2461" i="3"/>
  <c r="BX2461" i="3"/>
  <c r="BB2461" i="3"/>
  <c r="U2461" i="3"/>
  <c r="T2461" i="3"/>
  <c r="S2461" i="3"/>
  <c r="C2461" i="3"/>
  <c r="A2461" i="3"/>
  <c r="BY2460" i="3"/>
  <c r="BX2460" i="3"/>
  <c r="BB2460" i="3"/>
  <c r="U2460" i="3"/>
  <c r="T2460" i="3"/>
  <c r="S2460" i="3"/>
  <c r="C2460" i="3"/>
  <c r="A2460" i="3"/>
  <c r="BY2459" i="3"/>
  <c r="BX2459" i="3"/>
  <c r="BB2459" i="3"/>
  <c r="U2459" i="3"/>
  <c r="T2459" i="3"/>
  <c r="S2459" i="3"/>
  <c r="C2459" i="3"/>
  <c r="A2459" i="3"/>
  <c r="BY2458" i="3"/>
  <c r="BX2458" i="3"/>
  <c r="BB2458" i="3"/>
  <c r="U2458" i="3"/>
  <c r="T2458" i="3"/>
  <c r="S2458" i="3"/>
  <c r="C2458" i="3"/>
  <c r="A2458" i="3"/>
  <c r="BY2457" i="3"/>
  <c r="BX2457" i="3"/>
  <c r="BB2457" i="3"/>
  <c r="U2457" i="3"/>
  <c r="T2457" i="3"/>
  <c r="S2457" i="3"/>
  <c r="C2457" i="3"/>
  <c r="A2457" i="3"/>
  <c r="BY2456" i="3"/>
  <c r="BX2456" i="3"/>
  <c r="BB2456" i="3"/>
  <c r="U2456" i="3"/>
  <c r="T2456" i="3"/>
  <c r="S2456" i="3"/>
  <c r="C2456" i="3"/>
  <c r="A2456" i="3"/>
  <c r="BY2455" i="3"/>
  <c r="BX2455" i="3"/>
  <c r="BB2455" i="3"/>
  <c r="U2455" i="3"/>
  <c r="T2455" i="3"/>
  <c r="S2455" i="3"/>
  <c r="C2455" i="3"/>
  <c r="A2455" i="3"/>
  <c r="BY2454" i="3"/>
  <c r="BX2454" i="3"/>
  <c r="BB2454" i="3"/>
  <c r="U2454" i="3"/>
  <c r="T2454" i="3"/>
  <c r="S2454" i="3"/>
  <c r="C2454" i="3"/>
  <c r="A2454" i="3"/>
  <c r="BY2453" i="3"/>
  <c r="BX2453" i="3"/>
  <c r="BB2453" i="3"/>
  <c r="U2453" i="3"/>
  <c r="T2453" i="3"/>
  <c r="S2453" i="3"/>
  <c r="C2453" i="3"/>
  <c r="A2453" i="3"/>
  <c r="BY2452" i="3"/>
  <c r="BX2452" i="3"/>
  <c r="BB2452" i="3"/>
  <c r="U2452" i="3"/>
  <c r="T2452" i="3"/>
  <c r="S2452" i="3"/>
  <c r="C2452" i="3"/>
  <c r="A2452" i="3"/>
  <c r="BY2451" i="3"/>
  <c r="BX2451" i="3"/>
  <c r="BB2451" i="3"/>
  <c r="U2451" i="3"/>
  <c r="T2451" i="3"/>
  <c r="S2451" i="3"/>
  <c r="C2451" i="3"/>
  <c r="A2451" i="3"/>
  <c r="BY2450" i="3"/>
  <c r="BX2450" i="3"/>
  <c r="BB2450" i="3"/>
  <c r="U2450" i="3"/>
  <c r="T2450" i="3"/>
  <c r="S2450" i="3"/>
  <c r="C2450" i="3"/>
  <c r="A2450" i="3"/>
  <c r="BY2449" i="3"/>
  <c r="BX2449" i="3"/>
  <c r="BB2449" i="3"/>
  <c r="U2449" i="3"/>
  <c r="T2449" i="3"/>
  <c r="S2449" i="3"/>
  <c r="C2449" i="3"/>
  <c r="A2449" i="3"/>
  <c r="BY2448" i="3"/>
  <c r="BX2448" i="3"/>
  <c r="BB2448" i="3"/>
  <c r="U2448" i="3"/>
  <c r="T2448" i="3"/>
  <c r="S2448" i="3"/>
  <c r="C2448" i="3"/>
  <c r="A2448" i="3"/>
  <c r="BY2447" i="3"/>
  <c r="BX2447" i="3"/>
  <c r="BB2447" i="3"/>
  <c r="U2447" i="3"/>
  <c r="T2447" i="3"/>
  <c r="S2447" i="3"/>
  <c r="C2447" i="3"/>
  <c r="A2447" i="3"/>
  <c r="BY2446" i="3"/>
  <c r="BX2446" i="3"/>
  <c r="BB2446" i="3"/>
  <c r="U2446" i="3"/>
  <c r="T2446" i="3"/>
  <c r="S2446" i="3"/>
  <c r="C2446" i="3"/>
  <c r="A2446" i="3"/>
  <c r="BY2445" i="3"/>
  <c r="BX2445" i="3"/>
  <c r="BB2445" i="3"/>
  <c r="U2445" i="3"/>
  <c r="T2445" i="3"/>
  <c r="S2445" i="3"/>
  <c r="C2445" i="3"/>
  <c r="A2445" i="3"/>
  <c r="BY2444" i="3"/>
  <c r="BX2444" i="3"/>
  <c r="BB2444" i="3"/>
  <c r="U2444" i="3"/>
  <c r="T2444" i="3"/>
  <c r="S2444" i="3"/>
  <c r="C2444" i="3"/>
  <c r="A2444" i="3"/>
  <c r="BY2443" i="3"/>
  <c r="BX2443" i="3"/>
  <c r="BB2443" i="3"/>
  <c r="U2443" i="3"/>
  <c r="T2443" i="3"/>
  <c r="S2443" i="3"/>
  <c r="C2443" i="3"/>
  <c r="A2443" i="3"/>
  <c r="BY2442" i="3"/>
  <c r="BX2442" i="3"/>
  <c r="BB2442" i="3"/>
  <c r="U2442" i="3"/>
  <c r="T2442" i="3"/>
  <c r="S2442" i="3"/>
  <c r="C2442" i="3"/>
  <c r="A2442" i="3"/>
  <c r="BY2441" i="3"/>
  <c r="BX2441" i="3"/>
  <c r="BB2441" i="3"/>
  <c r="U2441" i="3"/>
  <c r="T2441" i="3"/>
  <c r="S2441" i="3"/>
  <c r="C2441" i="3"/>
  <c r="A2441" i="3"/>
  <c r="BY2440" i="3"/>
  <c r="BX2440" i="3"/>
  <c r="BB2440" i="3"/>
  <c r="U2440" i="3"/>
  <c r="T2440" i="3"/>
  <c r="S2440" i="3"/>
  <c r="C2440" i="3"/>
  <c r="A2440" i="3"/>
  <c r="BY2439" i="3"/>
  <c r="BX2439" i="3"/>
  <c r="BB2439" i="3"/>
  <c r="U2439" i="3"/>
  <c r="T2439" i="3"/>
  <c r="S2439" i="3"/>
  <c r="C2439" i="3"/>
  <c r="A2439" i="3"/>
  <c r="BY2438" i="3"/>
  <c r="BX2438" i="3"/>
  <c r="BB2438" i="3"/>
  <c r="U2438" i="3"/>
  <c r="T2438" i="3"/>
  <c r="S2438" i="3"/>
  <c r="C2438" i="3"/>
  <c r="A2438" i="3"/>
  <c r="BY2437" i="3"/>
  <c r="BX2437" i="3"/>
  <c r="BB2437" i="3"/>
  <c r="U2437" i="3"/>
  <c r="T2437" i="3"/>
  <c r="S2437" i="3"/>
  <c r="C2437" i="3"/>
  <c r="A2437" i="3"/>
  <c r="BY2436" i="3"/>
  <c r="BX2436" i="3"/>
  <c r="BB2436" i="3"/>
  <c r="U2436" i="3"/>
  <c r="T2436" i="3"/>
  <c r="S2436" i="3"/>
  <c r="C2436" i="3"/>
  <c r="A2436" i="3"/>
  <c r="BY2435" i="3"/>
  <c r="BX2435" i="3"/>
  <c r="BB2435" i="3"/>
  <c r="U2435" i="3"/>
  <c r="T2435" i="3"/>
  <c r="S2435" i="3"/>
  <c r="C2435" i="3"/>
  <c r="A2435" i="3"/>
  <c r="BY2434" i="3"/>
  <c r="BX2434" i="3"/>
  <c r="BB2434" i="3"/>
  <c r="U2434" i="3"/>
  <c r="T2434" i="3"/>
  <c r="S2434" i="3"/>
  <c r="C2434" i="3"/>
  <c r="A2434" i="3"/>
  <c r="BY2433" i="3"/>
  <c r="BX2433" i="3"/>
  <c r="BB2433" i="3"/>
  <c r="U2433" i="3"/>
  <c r="T2433" i="3"/>
  <c r="S2433" i="3"/>
  <c r="C2433" i="3"/>
  <c r="A2433" i="3"/>
  <c r="BY2432" i="3"/>
  <c r="BX2432" i="3"/>
  <c r="BB2432" i="3"/>
  <c r="U2432" i="3"/>
  <c r="T2432" i="3"/>
  <c r="S2432" i="3"/>
  <c r="C2432" i="3"/>
  <c r="A2432" i="3"/>
  <c r="BY2431" i="3"/>
  <c r="BX2431" i="3"/>
  <c r="BB2431" i="3"/>
  <c r="U2431" i="3"/>
  <c r="T2431" i="3"/>
  <c r="S2431" i="3"/>
  <c r="C2431" i="3"/>
  <c r="A2431" i="3"/>
  <c r="BY2430" i="3"/>
  <c r="BX2430" i="3"/>
  <c r="BB2430" i="3"/>
  <c r="U2430" i="3"/>
  <c r="T2430" i="3"/>
  <c r="S2430" i="3"/>
  <c r="C2430" i="3"/>
  <c r="A2430" i="3"/>
  <c r="BY2429" i="3"/>
  <c r="BX2429" i="3"/>
  <c r="BB2429" i="3"/>
  <c r="U2429" i="3"/>
  <c r="T2429" i="3"/>
  <c r="S2429" i="3"/>
  <c r="C2429" i="3"/>
  <c r="A2429" i="3"/>
  <c r="BY2428" i="3"/>
  <c r="BX2428" i="3"/>
  <c r="BB2428" i="3"/>
  <c r="U2428" i="3"/>
  <c r="T2428" i="3"/>
  <c r="S2428" i="3"/>
  <c r="C2428" i="3"/>
  <c r="A2428" i="3"/>
  <c r="BY2427" i="3"/>
  <c r="BX2427" i="3"/>
  <c r="BB2427" i="3"/>
  <c r="U2427" i="3"/>
  <c r="T2427" i="3"/>
  <c r="S2427" i="3"/>
  <c r="C2427" i="3"/>
  <c r="A2427" i="3"/>
  <c r="BY2426" i="3"/>
  <c r="BX2426" i="3"/>
  <c r="BB2426" i="3"/>
  <c r="U2426" i="3"/>
  <c r="T2426" i="3"/>
  <c r="S2426" i="3"/>
  <c r="C2426" i="3"/>
  <c r="A2426" i="3"/>
  <c r="BY2425" i="3"/>
  <c r="BX2425" i="3"/>
  <c r="BB2425" i="3"/>
  <c r="U2425" i="3"/>
  <c r="T2425" i="3"/>
  <c r="S2425" i="3"/>
  <c r="C2425" i="3"/>
  <c r="A2425" i="3"/>
  <c r="BY2424" i="3"/>
  <c r="BX2424" i="3"/>
  <c r="BB2424" i="3"/>
  <c r="U2424" i="3"/>
  <c r="T2424" i="3"/>
  <c r="S2424" i="3"/>
  <c r="C2424" i="3"/>
  <c r="A2424" i="3"/>
  <c r="BY2423" i="3"/>
  <c r="BX2423" i="3"/>
  <c r="BB2423" i="3"/>
  <c r="U2423" i="3"/>
  <c r="T2423" i="3"/>
  <c r="S2423" i="3"/>
  <c r="C2423" i="3"/>
  <c r="A2423" i="3"/>
  <c r="BY2422" i="3"/>
  <c r="BX2422" i="3"/>
  <c r="BB2422" i="3"/>
  <c r="U2422" i="3"/>
  <c r="T2422" i="3"/>
  <c r="S2422" i="3"/>
  <c r="C2422" i="3"/>
  <c r="A2422" i="3"/>
  <c r="BY2421" i="3"/>
  <c r="BX2421" i="3"/>
  <c r="BB2421" i="3"/>
  <c r="U2421" i="3"/>
  <c r="T2421" i="3"/>
  <c r="S2421" i="3"/>
  <c r="C2421" i="3"/>
  <c r="A2421" i="3"/>
  <c r="BY2420" i="3"/>
  <c r="BX2420" i="3"/>
  <c r="BB2420" i="3"/>
  <c r="U2420" i="3"/>
  <c r="T2420" i="3"/>
  <c r="S2420" i="3"/>
  <c r="C2420" i="3"/>
  <c r="A2420" i="3"/>
  <c r="BY2419" i="3"/>
  <c r="BX2419" i="3"/>
  <c r="BB2419" i="3"/>
  <c r="U2419" i="3"/>
  <c r="T2419" i="3"/>
  <c r="S2419" i="3"/>
  <c r="C2419" i="3"/>
  <c r="A2419" i="3"/>
  <c r="BY2418" i="3"/>
  <c r="BX2418" i="3"/>
  <c r="BB2418" i="3"/>
  <c r="U2418" i="3"/>
  <c r="T2418" i="3"/>
  <c r="S2418" i="3"/>
  <c r="C2418" i="3"/>
  <c r="A2418" i="3"/>
  <c r="BY2417" i="3"/>
  <c r="BX2417" i="3"/>
  <c r="BB2417" i="3"/>
  <c r="U2417" i="3"/>
  <c r="T2417" i="3"/>
  <c r="S2417" i="3"/>
  <c r="C2417" i="3"/>
  <c r="A2417" i="3"/>
  <c r="BY2416" i="3"/>
  <c r="BX2416" i="3"/>
  <c r="BB2416" i="3"/>
  <c r="U2416" i="3"/>
  <c r="T2416" i="3"/>
  <c r="S2416" i="3"/>
  <c r="C2416" i="3"/>
  <c r="A2416" i="3"/>
  <c r="BY2415" i="3"/>
  <c r="BX2415" i="3"/>
  <c r="BB2415" i="3"/>
  <c r="U2415" i="3"/>
  <c r="T2415" i="3"/>
  <c r="S2415" i="3"/>
  <c r="C2415" i="3"/>
  <c r="A2415" i="3"/>
  <c r="BY2414" i="3"/>
  <c r="BX2414" i="3"/>
  <c r="BB2414" i="3"/>
  <c r="U2414" i="3"/>
  <c r="T2414" i="3"/>
  <c r="S2414" i="3"/>
  <c r="C2414" i="3"/>
  <c r="A2414" i="3"/>
  <c r="BY2413" i="3"/>
  <c r="BX2413" i="3"/>
  <c r="BB2413" i="3"/>
  <c r="U2413" i="3"/>
  <c r="T2413" i="3"/>
  <c r="S2413" i="3"/>
  <c r="C2413" i="3"/>
  <c r="A2413" i="3"/>
  <c r="BY2412" i="3"/>
  <c r="BX2412" i="3"/>
  <c r="BB2412" i="3"/>
  <c r="U2412" i="3"/>
  <c r="T2412" i="3"/>
  <c r="S2412" i="3"/>
  <c r="C2412" i="3"/>
  <c r="A2412" i="3"/>
  <c r="BY2411" i="3"/>
  <c r="BX2411" i="3"/>
  <c r="BB2411" i="3"/>
  <c r="U2411" i="3"/>
  <c r="T2411" i="3"/>
  <c r="S2411" i="3"/>
  <c r="C2411" i="3"/>
  <c r="A2411" i="3"/>
  <c r="BY2410" i="3"/>
  <c r="BX2410" i="3"/>
  <c r="BB2410" i="3"/>
  <c r="U2410" i="3"/>
  <c r="T2410" i="3"/>
  <c r="S2410" i="3"/>
  <c r="C2410" i="3"/>
  <c r="A2410" i="3"/>
  <c r="BY2409" i="3"/>
  <c r="BX2409" i="3"/>
  <c r="BB2409" i="3"/>
  <c r="U2409" i="3"/>
  <c r="T2409" i="3"/>
  <c r="S2409" i="3"/>
  <c r="C2409" i="3"/>
  <c r="A2409" i="3"/>
  <c r="BY2408" i="3"/>
  <c r="BX2408" i="3"/>
  <c r="BB2408" i="3"/>
  <c r="U2408" i="3"/>
  <c r="T2408" i="3"/>
  <c r="S2408" i="3"/>
  <c r="C2408" i="3"/>
  <c r="A2408" i="3"/>
  <c r="BY2407" i="3"/>
  <c r="BX2407" i="3"/>
  <c r="BB2407" i="3"/>
  <c r="U2407" i="3"/>
  <c r="T2407" i="3"/>
  <c r="S2407" i="3"/>
  <c r="C2407" i="3"/>
  <c r="A2407" i="3"/>
  <c r="BY2406" i="3"/>
  <c r="BX2406" i="3"/>
  <c r="BB2406" i="3"/>
  <c r="U2406" i="3"/>
  <c r="T2406" i="3"/>
  <c r="S2406" i="3"/>
  <c r="C2406" i="3"/>
  <c r="A2406" i="3"/>
  <c r="BY2405" i="3"/>
  <c r="BX2405" i="3"/>
  <c r="BB2405" i="3"/>
  <c r="U2405" i="3"/>
  <c r="T2405" i="3"/>
  <c r="S2405" i="3"/>
  <c r="C2405" i="3"/>
  <c r="A2405" i="3"/>
  <c r="BY2404" i="3"/>
  <c r="BX2404" i="3"/>
  <c r="BB2404" i="3"/>
  <c r="U2404" i="3"/>
  <c r="T2404" i="3"/>
  <c r="S2404" i="3"/>
  <c r="C2404" i="3"/>
  <c r="A2404" i="3"/>
  <c r="BY2403" i="3"/>
  <c r="BX2403" i="3"/>
  <c r="BB2403" i="3"/>
  <c r="U2403" i="3"/>
  <c r="T2403" i="3"/>
  <c r="S2403" i="3"/>
  <c r="C2403" i="3"/>
  <c r="A2403" i="3"/>
  <c r="BY2402" i="3"/>
  <c r="BX2402" i="3"/>
  <c r="BB2402" i="3"/>
  <c r="U2402" i="3"/>
  <c r="T2402" i="3"/>
  <c r="S2402" i="3"/>
  <c r="C2402" i="3"/>
  <c r="A2402" i="3"/>
  <c r="BY2401" i="3"/>
  <c r="BX2401" i="3"/>
  <c r="BB2401" i="3"/>
  <c r="U2401" i="3"/>
  <c r="T2401" i="3"/>
  <c r="S2401" i="3"/>
  <c r="C2401" i="3"/>
  <c r="A2401" i="3"/>
  <c r="BY2400" i="3"/>
  <c r="BX2400" i="3"/>
  <c r="BB2400" i="3"/>
  <c r="U2400" i="3"/>
  <c r="T2400" i="3"/>
  <c r="S2400" i="3"/>
  <c r="C2400" i="3"/>
  <c r="A2400" i="3"/>
  <c r="BY2399" i="3"/>
  <c r="BX2399" i="3"/>
  <c r="BB2399" i="3"/>
  <c r="U2399" i="3"/>
  <c r="T2399" i="3"/>
  <c r="S2399" i="3"/>
  <c r="C2399" i="3"/>
  <c r="A2399" i="3"/>
  <c r="BY2398" i="3"/>
  <c r="BX2398" i="3"/>
  <c r="BB2398" i="3"/>
  <c r="U2398" i="3"/>
  <c r="T2398" i="3"/>
  <c r="S2398" i="3"/>
  <c r="C2398" i="3"/>
  <c r="A2398" i="3"/>
  <c r="BY2397" i="3"/>
  <c r="BX2397" i="3"/>
  <c r="BB2397" i="3"/>
  <c r="U2397" i="3"/>
  <c r="T2397" i="3"/>
  <c r="S2397" i="3"/>
  <c r="C2397" i="3"/>
  <c r="A2397" i="3"/>
  <c r="BY2396" i="3"/>
  <c r="BX2396" i="3"/>
  <c r="BB2396" i="3"/>
  <c r="U2396" i="3"/>
  <c r="T2396" i="3"/>
  <c r="S2396" i="3"/>
  <c r="C2396" i="3"/>
  <c r="A2396" i="3"/>
  <c r="BY2395" i="3"/>
  <c r="BX2395" i="3"/>
  <c r="BB2395" i="3"/>
  <c r="U2395" i="3"/>
  <c r="T2395" i="3"/>
  <c r="S2395" i="3"/>
  <c r="C2395" i="3"/>
  <c r="A2395" i="3"/>
  <c r="BY2394" i="3"/>
  <c r="BX2394" i="3"/>
  <c r="BB2394" i="3"/>
  <c r="U2394" i="3"/>
  <c r="T2394" i="3"/>
  <c r="S2394" i="3"/>
  <c r="C2394" i="3"/>
  <c r="A2394" i="3"/>
  <c r="BY2393" i="3"/>
  <c r="BX2393" i="3"/>
  <c r="BB2393" i="3"/>
  <c r="U2393" i="3"/>
  <c r="T2393" i="3"/>
  <c r="S2393" i="3"/>
  <c r="C2393" i="3"/>
  <c r="A2393" i="3"/>
  <c r="BY2392" i="3"/>
  <c r="BX2392" i="3"/>
  <c r="BB2392" i="3"/>
  <c r="U2392" i="3"/>
  <c r="T2392" i="3"/>
  <c r="S2392" i="3"/>
  <c r="C2392" i="3"/>
  <c r="A2392" i="3"/>
  <c r="BY2391" i="3"/>
  <c r="BX2391" i="3"/>
  <c r="BB2391" i="3"/>
  <c r="U2391" i="3"/>
  <c r="T2391" i="3"/>
  <c r="S2391" i="3"/>
  <c r="C2391" i="3"/>
  <c r="A2391" i="3"/>
  <c r="BY2390" i="3"/>
  <c r="BX2390" i="3"/>
  <c r="BB2390" i="3"/>
  <c r="U2390" i="3"/>
  <c r="T2390" i="3"/>
  <c r="S2390" i="3"/>
  <c r="C2390" i="3"/>
  <c r="A2390" i="3"/>
  <c r="BY2389" i="3"/>
  <c r="BX2389" i="3"/>
  <c r="BB2389" i="3"/>
  <c r="U2389" i="3"/>
  <c r="T2389" i="3"/>
  <c r="S2389" i="3"/>
  <c r="C2389" i="3"/>
  <c r="A2389" i="3"/>
  <c r="BY2388" i="3"/>
  <c r="BX2388" i="3"/>
  <c r="BB2388" i="3"/>
  <c r="U2388" i="3"/>
  <c r="T2388" i="3"/>
  <c r="S2388" i="3"/>
  <c r="C2388" i="3"/>
  <c r="A2388" i="3"/>
  <c r="BY2387" i="3"/>
  <c r="BX2387" i="3"/>
  <c r="BB2387" i="3"/>
  <c r="U2387" i="3"/>
  <c r="T2387" i="3"/>
  <c r="S2387" i="3"/>
  <c r="C2387" i="3"/>
  <c r="A2387" i="3"/>
  <c r="BY2386" i="3"/>
  <c r="BX2386" i="3"/>
  <c r="BB2386" i="3"/>
  <c r="U2386" i="3"/>
  <c r="T2386" i="3"/>
  <c r="S2386" i="3"/>
  <c r="C2386" i="3"/>
  <c r="A2386" i="3"/>
  <c r="BY2385" i="3"/>
  <c r="BX2385" i="3"/>
  <c r="BB2385" i="3"/>
  <c r="U2385" i="3"/>
  <c r="T2385" i="3"/>
  <c r="S2385" i="3"/>
  <c r="C2385" i="3"/>
  <c r="A2385" i="3"/>
  <c r="BY2384" i="3"/>
  <c r="BX2384" i="3"/>
  <c r="BB2384" i="3"/>
  <c r="U2384" i="3"/>
  <c r="T2384" i="3"/>
  <c r="S2384" i="3"/>
  <c r="C2384" i="3"/>
  <c r="A2384" i="3"/>
  <c r="BY2383" i="3"/>
  <c r="BX2383" i="3"/>
  <c r="BB2383" i="3"/>
  <c r="U2383" i="3"/>
  <c r="T2383" i="3"/>
  <c r="S2383" i="3"/>
  <c r="C2383" i="3"/>
  <c r="A2383" i="3"/>
  <c r="BY2382" i="3"/>
  <c r="BX2382" i="3"/>
  <c r="BB2382" i="3"/>
  <c r="U2382" i="3"/>
  <c r="T2382" i="3"/>
  <c r="S2382" i="3"/>
  <c r="C2382" i="3"/>
  <c r="A2382" i="3"/>
  <c r="BY2381" i="3"/>
  <c r="BX2381" i="3"/>
  <c r="BB2381" i="3"/>
  <c r="U2381" i="3"/>
  <c r="T2381" i="3"/>
  <c r="S2381" i="3"/>
  <c r="C2381" i="3"/>
  <c r="A2381" i="3"/>
  <c r="BY2380" i="3"/>
  <c r="BX2380" i="3"/>
  <c r="BB2380" i="3"/>
  <c r="U2380" i="3"/>
  <c r="T2380" i="3"/>
  <c r="S2380" i="3"/>
  <c r="C2380" i="3"/>
  <c r="A2380" i="3"/>
  <c r="BY2379" i="3"/>
  <c r="BX2379" i="3"/>
  <c r="BB2379" i="3"/>
  <c r="U2379" i="3"/>
  <c r="T2379" i="3"/>
  <c r="S2379" i="3"/>
  <c r="C2379" i="3"/>
  <c r="A2379" i="3"/>
  <c r="BY2378" i="3"/>
  <c r="BX2378" i="3"/>
  <c r="BB2378" i="3"/>
  <c r="U2378" i="3"/>
  <c r="T2378" i="3"/>
  <c r="S2378" i="3"/>
  <c r="C2378" i="3"/>
  <c r="A2378" i="3"/>
  <c r="BY2377" i="3"/>
  <c r="BX2377" i="3"/>
  <c r="BB2377" i="3"/>
  <c r="U2377" i="3"/>
  <c r="T2377" i="3"/>
  <c r="S2377" i="3"/>
  <c r="C2377" i="3"/>
  <c r="A2377" i="3"/>
  <c r="BY2376" i="3"/>
  <c r="BX2376" i="3"/>
  <c r="BB2376" i="3"/>
  <c r="U2376" i="3"/>
  <c r="T2376" i="3"/>
  <c r="S2376" i="3"/>
  <c r="C2376" i="3"/>
  <c r="A2376" i="3"/>
  <c r="BY2375" i="3"/>
  <c r="BX2375" i="3"/>
  <c r="BB2375" i="3"/>
  <c r="U2375" i="3"/>
  <c r="T2375" i="3"/>
  <c r="S2375" i="3"/>
  <c r="C2375" i="3"/>
  <c r="A2375" i="3"/>
  <c r="BY2374" i="3"/>
  <c r="BX2374" i="3"/>
  <c r="BB2374" i="3"/>
  <c r="U2374" i="3"/>
  <c r="T2374" i="3"/>
  <c r="S2374" i="3"/>
  <c r="C2374" i="3"/>
  <c r="A2374" i="3"/>
  <c r="BY2373" i="3"/>
  <c r="BX2373" i="3"/>
  <c r="BB2373" i="3"/>
  <c r="U2373" i="3"/>
  <c r="T2373" i="3"/>
  <c r="S2373" i="3"/>
  <c r="C2373" i="3"/>
  <c r="A2373" i="3"/>
  <c r="BY2372" i="3"/>
  <c r="BX2372" i="3"/>
  <c r="BB2372" i="3"/>
  <c r="U2372" i="3"/>
  <c r="T2372" i="3"/>
  <c r="S2372" i="3"/>
  <c r="C2372" i="3"/>
  <c r="A2372" i="3"/>
  <c r="BY2371" i="3"/>
  <c r="BX2371" i="3"/>
  <c r="BB2371" i="3"/>
  <c r="U2371" i="3"/>
  <c r="T2371" i="3"/>
  <c r="S2371" i="3"/>
  <c r="C2371" i="3"/>
  <c r="A2371" i="3"/>
  <c r="BY2370" i="3"/>
  <c r="BX2370" i="3"/>
  <c r="BB2370" i="3"/>
  <c r="U2370" i="3"/>
  <c r="T2370" i="3"/>
  <c r="S2370" i="3"/>
  <c r="C2370" i="3"/>
  <c r="A2370" i="3"/>
  <c r="BY2369" i="3"/>
  <c r="BX2369" i="3"/>
  <c r="BB2369" i="3"/>
  <c r="U2369" i="3"/>
  <c r="T2369" i="3"/>
  <c r="S2369" i="3"/>
  <c r="C2369" i="3"/>
  <c r="A2369" i="3"/>
  <c r="BY2368" i="3"/>
  <c r="BX2368" i="3"/>
  <c r="BB2368" i="3"/>
  <c r="U2368" i="3"/>
  <c r="T2368" i="3"/>
  <c r="S2368" i="3"/>
  <c r="C2368" i="3"/>
  <c r="A2368" i="3"/>
  <c r="BY2367" i="3"/>
  <c r="BX2367" i="3"/>
  <c r="BB2367" i="3"/>
  <c r="U2367" i="3"/>
  <c r="T2367" i="3"/>
  <c r="S2367" i="3"/>
  <c r="C2367" i="3"/>
  <c r="A2367" i="3"/>
  <c r="BY2366" i="3"/>
  <c r="BX2366" i="3"/>
  <c r="BB2366" i="3"/>
  <c r="U2366" i="3"/>
  <c r="T2366" i="3"/>
  <c r="S2366" i="3"/>
  <c r="C2366" i="3"/>
  <c r="A2366" i="3"/>
  <c r="BY2365" i="3"/>
  <c r="BX2365" i="3"/>
  <c r="BB2365" i="3"/>
  <c r="U2365" i="3"/>
  <c r="T2365" i="3"/>
  <c r="S2365" i="3"/>
  <c r="C2365" i="3"/>
  <c r="A2365" i="3"/>
  <c r="BY2364" i="3"/>
  <c r="BX2364" i="3"/>
  <c r="BB2364" i="3"/>
  <c r="U2364" i="3"/>
  <c r="T2364" i="3"/>
  <c r="S2364" i="3"/>
  <c r="C2364" i="3"/>
  <c r="A2364" i="3"/>
  <c r="BY2363" i="3"/>
  <c r="BX2363" i="3"/>
  <c r="BB2363" i="3"/>
  <c r="U2363" i="3"/>
  <c r="T2363" i="3"/>
  <c r="S2363" i="3"/>
  <c r="C2363" i="3"/>
  <c r="A2363" i="3"/>
  <c r="BY2362" i="3"/>
  <c r="BX2362" i="3"/>
  <c r="BB2362" i="3"/>
  <c r="U2362" i="3"/>
  <c r="T2362" i="3"/>
  <c r="S2362" i="3"/>
  <c r="C2362" i="3"/>
  <c r="A2362" i="3"/>
  <c r="BY2361" i="3"/>
  <c r="BX2361" i="3"/>
  <c r="BB2361" i="3"/>
  <c r="U2361" i="3"/>
  <c r="T2361" i="3"/>
  <c r="S2361" i="3"/>
  <c r="C2361" i="3"/>
  <c r="A2361" i="3"/>
  <c r="BY2360" i="3"/>
  <c r="BX2360" i="3"/>
  <c r="BB2360" i="3"/>
  <c r="U2360" i="3"/>
  <c r="T2360" i="3"/>
  <c r="S2360" i="3"/>
  <c r="C2360" i="3"/>
  <c r="A2360" i="3"/>
  <c r="BY2359" i="3"/>
  <c r="BX2359" i="3"/>
  <c r="BB2359" i="3"/>
  <c r="U2359" i="3"/>
  <c r="T2359" i="3"/>
  <c r="S2359" i="3"/>
  <c r="C2359" i="3"/>
  <c r="A2359" i="3"/>
  <c r="BY2358" i="3"/>
  <c r="BX2358" i="3"/>
  <c r="BB2358" i="3"/>
  <c r="U2358" i="3"/>
  <c r="T2358" i="3"/>
  <c r="S2358" i="3"/>
  <c r="C2358" i="3"/>
  <c r="A2358" i="3"/>
  <c r="BY2357" i="3"/>
  <c r="BX2357" i="3"/>
  <c r="BB2357" i="3"/>
  <c r="U2357" i="3"/>
  <c r="T2357" i="3"/>
  <c r="S2357" i="3"/>
  <c r="C2357" i="3"/>
  <c r="A2357" i="3"/>
  <c r="BY2356" i="3"/>
  <c r="BX2356" i="3"/>
  <c r="BB2356" i="3"/>
  <c r="U2356" i="3"/>
  <c r="T2356" i="3"/>
  <c r="S2356" i="3"/>
  <c r="C2356" i="3"/>
  <c r="A2356" i="3"/>
  <c r="BY2355" i="3"/>
  <c r="BX2355" i="3"/>
  <c r="BB2355" i="3"/>
  <c r="U2355" i="3"/>
  <c r="T2355" i="3"/>
  <c r="S2355" i="3"/>
  <c r="C2355" i="3"/>
  <c r="A2355" i="3"/>
  <c r="BY2354" i="3"/>
  <c r="BX2354" i="3"/>
  <c r="BB2354" i="3"/>
  <c r="U2354" i="3"/>
  <c r="T2354" i="3"/>
  <c r="S2354" i="3"/>
  <c r="C2354" i="3"/>
  <c r="A2354" i="3"/>
  <c r="BY2353" i="3"/>
  <c r="BX2353" i="3"/>
  <c r="BB2353" i="3"/>
  <c r="U2353" i="3"/>
  <c r="T2353" i="3"/>
  <c r="S2353" i="3"/>
  <c r="C2353" i="3"/>
  <c r="A2353" i="3"/>
  <c r="BY2352" i="3"/>
  <c r="BX2352" i="3"/>
  <c r="BB2352" i="3"/>
  <c r="U2352" i="3"/>
  <c r="T2352" i="3"/>
  <c r="S2352" i="3"/>
  <c r="C2352" i="3"/>
  <c r="A2352" i="3"/>
  <c r="BY2351" i="3"/>
  <c r="BX2351" i="3"/>
  <c r="BB2351" i="3"/>
  <c r="U2351" i="3"/>
  <c r="T2351" i="3"/>
  <c r="S2351" i="3"/>
  <c r="C2351" i="3"/>
  <c r="A2351" i="3"/>
  <c r="BY2350" i="3"/>
  <c r="BX2350" i="3"/>
  <c r="BB2350" i="3"/>
  <c r="U2350" i="3"/>
  <c r="T2350" i="3"/>
  <c r="S2350" i="3"/>
  <c r="C2350" i="3"/>
  <c r="A2350" i="3"/>
  <c r="BY2349" i="3"/>
  <c r="BX2349" i="3"/>
  <c r="BB2349" i="3"/>
  <c r="U2349" i="3"/>
  <c r="T2349" i="3"/>
  <c r="S2349" i="3"/>
  <c r="C2349" i="3"/>
  <c r="A2349" i="3"/>
  <c r="BY2348" i="3"/>
  <c r="BX2348" i="3"/>
  <c r="BB2348" i="3"/>
  <c r="U2348" i="3"/>
  <c r="T2348" i="3"/>
  <c r="S2348" i="3"/>
  <c r="C2348" i="3"/>
  <c r="A2348" i="3"/>
  <c r="BY2347" i="3"/>
  <c r="BX2347" i="3"/>
  <c r="BB2347" i="3"/>
  <c r="U2347" i="3"/>
  <c r="T2347" i="3"/>
  <c r="S2347" i="3"/>
  <c r="C2347" i="3"/>
  <c r="A2347" i="3"/>
  <c r="BY2346" i="3"/>
  <c r="BX2346" i="3"/>
  <c r="BB2346" i="3"/>
  <c r="U2346" i="3"/>
  <c r="T2346" i="3"/>
  <c r="S2346" i="3"/>
  <c r="C2346" i="3"/>
  <c r="A2346" i="3"/>
  <c r="BY2345" i="3"/>
  <c r="BX2345" i="3"/>
  <c r="BB2345" i="3"/>
  <c r="U2345" i="3"/>
  <c r="T2345" i="3"/>
  <c r="S2345" i="3"/>
  <c r="C2345" i="3"/>
  <c r="A2345" i="3"/>
  <c r="BY2344" i="3"/>
  <c r="BX2344" i="3"/>
  <c r="BB2344" i="3"/>
  <c r="U2344" i="3"/>
  <c r="T2344" i="3"/>
  <c r="S2344" i="3"/>
  <c r="C2344" i="3"/>
  <c r="A2344" i="3"/>
  <c r="BY2343" i="3"/>
  <c r="BX2343" i="3"/>
  <c r="BB2343" i="3"/>
  <c r="U2343" i="3"/>
  <c r="T2343" i="3"/>
  <c r="S2343" i="3"/>
  <c r="C2343" i="3"/>
  <c r="A2343" i="3"/>
  <c r="BY2342" i="3"/>
  <c r="BX2342" i="3"/>
  <c r="BB2342" i="3"/>
  <c r="U2342" i="3"/>
  <c r="T2342" i="3"/>
  <c r="S2342" i="3"/>
  <c r="C2342" i="3"/>
  <c r="A2342" i="3"/>
  <c r="BY2341" i="3"/>
  <c r="BX2341" i="3"/>
  <c r="BB2341" i="3"/>
  <c r="U2341" i="3"/>
  <c r="T2341" i="3"/>
  <c r="S2341" i="3"/>
  <c r="C2341" i="3"/>
  <c r="A2341" i="3"/>
  <c r="BY2340" i="3"/>
  <c r="BX2340" i="3"/>
  <c r="BB2340" i="3"/>
  <c r="U2340" i="3"/>
  <c r="T2340" i="3"/>
  <c r="S2340" i="3"/>
  <c r="C2340" i="3"/>
  <c r="A2340" i="3"/>
  <c r="BY2339" i="3"/>
  <c r="BX2339" i="3"/>
  <c r="BB2339" i="3"/>
  <c r="U2339" i="3"/>
  <c r="T2339" i="3"/>
  <c r="S2339" i="3"/>
  <c r="C2339" i="3"/>
  <c r="A2339" i="3"/>
  <c r="BY2338" i="3"/>
  <c r="BX2338" i="3"/>
  <c r="BB2338" i="3"/>
  <c r="U2338" i="3"/>
  <c r="T2338" i="3"/>
  <c r="S2338" i="3"/>
  <c r="C2338" i="3"/>
  <c r="A2338" i="3"/>
  <c r="BY2337" i="3"/>
  <c r="BX2337" i="3"/>
  <c r="BB2337" i="3"/>
  <c r="U2337" i="3"/>
  <c r="T2337" i="3"/>
  <c r="S2337" i="3"/>
  <c r="C2337" i="3"/>
  <c r="A2337" i="3"/>
  <c r="BY2336" i="3"/>
  <c r="BX2336" i="3"/>
  <c r="BB2336" i="3"/>
  <c r="U2336" i="3"/>
  <c r="T2336" i="3"/>
  <c r="S2336" i="3"/>
  <c r="C2336" i="3"/>
  <c r="A2336" i="3"/>
  <c r="BY2335" i="3"/>
  <c r="BX2335" i="3"/>
  <c r="BB2335" i="3"/>
  <c r="U2335" i="3"/>
  <c r="T2335" i="3"/>
  <c r="S2335" i="3"/>
  <c r="C2335" i="3"/>
  <c r="A2335" i="3"/>
  <c r="BY2334" i="3"/>
  <c r="BX2334" i="3"/>
  <c r="BB2334" i="3"/>
  <c r="U2334" i="3"/>
  <c r="T2334" i="3"/>
  <c r="S2334" i="3"/>
  <c r="C2334" i="3"/>
  <c r="A2334" i="3"/>
  <c r="BY2333" i="3"/>
  <c r="BX2333" i="3"/>
  <c r="BB2333" i="3"/>
  <c r="U2333" i="3"/>
  <c r="T2333" i="3"/>
  <c r="S2333" i="3"/>
  <c r="C2333" i="3"/>
  <c r="A2333" i="3"/>
  <c r="BY2332" i="3"/>
  <c r="BX2332" i="3"/>
  <c r="BB2332" i="3"/>
  <c r="U2332" i="3"/>
  <c r="T2332" i="3"/>
  <c r="S2332" i="3"/>
  <c r="C2332" i="3"/>
  <c r="A2332" i="3"/>
  <c r="BY2331" i="3"/>
  <c r="BX2331" i="3"/>
  <c r="BB2331" i="3"/>
  <c r="U2331" i="3"/>
  <c r="T2331" i="3"/>
  <c r="S2331" i="3"/>
  <c r="C2331" i="3"/>
  <c r="A2331" i="3"/>
  <c r="BY2330" i="3"/>
  <c r="BX2330" i="3"/>
  <c r="BB2330" i="3"/>
  <c r="U2330" i="3"/>
  <c r="T2330" i="3"/>
  <c r="S2330" i="3"/>
  <c r="C2330" i="3"/>
  <c r="A2330" i="3"/>
  <c r="BY2329" i="3"/>
  <c r="BX2329" i="3"/>
  <c r="BB2329" i="3"/>
  <c r="U2329" i="3"/>
  <c r="T2329" i="3"/>
  <c r="S2329" i="3"/>
  <c r="C2329" i="3"/>
  <c r="A2329" i="3"/>
  <c r="BY2328" i="3"/>
  <c r="BX2328" i="3"/>
  <c r="BB2328" i="3"/>
  <c r="U2328" i="3"/>
  <c r="T2328" i="3"/>
  <c r="S2328" i="3"/>
  <c r="C2328" i="3"/>
  <c r="A2328" i="3"/>
  <c r="BY2327" i="3"/>
  <c r="BX2327" i="3"/>
  <c r="BB2327" i="3"/>
  <c r="U2327" i="3"/>
  <c r="T2327" i="3"/>
  <c r="S2327" i="3"/>
  <c r="C2327" i="3"/>
  <c r="A2327" i="3"/>
  <c r="BY2326" i="3"/>
  <c r="BX2326" i="3"/>
  <c r="BB2326" i="3"/>
  <c r="U2326" i="3"/>
  <c r="T2326" i="3"/>
  <c r="S2326" i="3"/>
  <c r="C2326" i="3"/>
  <c r="A2326" i="3"/>
  <c r="BY2325" i="3"/>
  <c r="BX2325" i="3"/>
  <c r="BB2325" i="3"/>
  <c r="U2325" i="3"/>
  <c r="T2325" i="3"/>
  <c r="S2325" i="3"/>
  <c r="C2325" i="3"/>
  <c r="A2325" i="3"/>
  <c r="BY2324" i="3"/>
  <c r="BX2324" i="3"/>
  <c r="BB2324" i="3"/>
  <c r="U2324" i="3"/>
  <c r="T2324" i="3"/>
  <c r="S2324" i="3"/>
  <c r="C2324" i="3"/>
  <c r="A2324" i="3"/>
  <c r="BY2323" i="3"/>
  <c r="BX2323" i="3"/>
  <c r="BB2323" i="3"/>
  <c r="U2323" i="3"/>
  <c r="T2323" i="3"/>
  <c r="S2323" i="3"/>
  <c r="C2323" i="3"/>
  <c r="A2323" i="3"/>
  <c r="BY2322" i="3"/>
  <c r="BX2322" i="3"/>
  <c r="BB2322" i="3"/>
  <c r="U2322" i="3"/>
  <c r="T2322" i="3"/>
  <c r="S2322" i="3"/>
  <c r="C2322" i="3"/>
  <c r="A2322" i="3"/>
  <c r="BY2321" i="3"/>
  <c r="BX2321" i="3"/>
  <c r="BB2321" i="3"/>
  <c r="U2321" i="3"/>
  <c r="T2321" i="3"/>
  <c r="S2321" i="3"/>
  <c r="C2321" i="3"/>
  <c r="A2321" i="3"/>
  <c r="BY2320" i="3"/>
  <c r="BX2320" i="3"/>
  <c r="BB2320" i="3"/>
  <c r="U2320" i="3"/>
  <c r="T2320" i="3"/>
  <c r="S2320" i="3"/>
  <c r="C2320" i="3"/>
  <c r="A2320" i="3"/>
  <c r="BY2319" i="3"/>
  <c r="BX2319" i="3"/>
  <c r="BB2319" i="3"/>
  <c r="U2319" i="3"/>
  <c r="T2319" i="3"/>
  <c r="S2319" i="3"/>
  <c r="C2319" i="3"/>
  <c r="A2319" i="3"/>
  <c r="BY2318" i="3"/>
  <c r="BX2318" i="3"/>
  <c r="BB2318" i="3"/>
  <c r="U2318" i="3"/>
  <c r="T2318" i="3"/>
  <c r="S2318" i="3"/>
  <c r="C2318" i="3"/>
  <c r="A2318" i="3"/>
  <c r="BY2317" i="3"/>
  <c r="BX2317" i="3"/>
  <c r="BB2317" i="3"/>
  <c r="U2317" i="3"/>
  <c r="T2317" i="3"/>
  <c r="S2317" i="3"/>
  <c r="C2317" i="3"/>
  <c r="A2317" i="3"/>
  <c r="BY2316" i="3"/>
  <c r="BX2316" i="3"/>
  <c r="BB2316" i="3"/>
  <c r="U2316" i="3"/>
  <c r="T2316" i="3"/>
  <c r="S2316" i="3"/>
  <c r="C2316" i="3"/>
  <c r="A2316" i="3"/>
  <c r="BY2315" i="3"/>
  <c r="BX2315" i="3"/>
  <c r="BB2315" i="3"/>
  <c r="U2315" i="3"/>
  <c r="T2315" i="3"/>
  <c r="S2315" i="3"/>
  <c r="C2315" i="3"/>
  <c r="A2315" i="3"/>
  <c r="BY2314" i="3"/>
  <c r="BX2314" i="3"/>
  <c r="BB2314" i="3"/>
  <c r="U2314" i="3"/>
  <c r="T2314" i="3"/>
  <c r="S2314" i="3"/>
  <c r="C2314" i="3"/>
  <c r="A2314" i="3"/>
  <c r="BY2313" i="3"/>
  <c r="BX2313" i="3"/>
  <c r="BB2313" i="3"/>
  <c r="U2313" i="3"/>
  <c r="T2313" i="3"/>
  <c r="S2313" i="3"/>
  <c r="C2313" i="3"/>
  <c r="A2313" i="3"/>
  <c r="BY2312" i="3"/>
  <c r="BX2312" i="3"/>
  <c r="BB2312" i="3"/>
  <c r="U2312" i="3"/>
  <c r="T2312" i="3"/>
  <c r="S2312" i="3"/>
  <c r="C2312" i="3"/>
  <c r="A2312" i="3"/>
  <c r="BY2311" i="3"/>
  <c r="BX2311" i="3"/>
  <c r="BB2311" i="3"/>
  <c r="U2311" i="3"/>
  <c r="T2311" i="3"/>
  <c r="S2311" i="3"/>
  <c r="C2311" i="3"/>
  <c r="A2311" i="3"/>
  <c r="BY2310" i="3"/>
  <c r="BX2310" i="3"/>
  <c r="BB2310" i="3"/>
  <c r="U2310" i="3"/>
  <c r="T2310" i="3"/>
  <c r="S2310" i="3"/>
  <c r="C2310" i="3"/>
  <c r="A2310" i="3"/>
  <c r="BY2309" i="3"/>
  <c r="BX2309" i="3"/>
  <c r="BB2309" i="3"/>
  <c r="U2309" i="3"/>
  <c r="T2309" i="3"/>
  <c r="S2309" i="3"/>
  <c r="C2309" i="3"/>
  <c r="A2309" i="3"/>
  <c r="BY2308" i="3"/>
  <c r="BX2308" i="3"/>
  <c r="BB2308" i="3"/>
  <c r="U2308" i="3"/>
  <c r="T2308" i="3"/>
  <c r="S2308" i="3"/>
  <c r="C2308" i="3"/>
  <c r="A2308" i="3"/>
  <c r="BY2307" i="3"/>
  <c r="BX2307" i="3"/>
  <c r="BB2307" i="3"/>
  <c r="U2307" i="3"/>
  <c r="T2307" i="3"/>
  <c r="S2307" i="3"/>
  <c r="C2307" i="3"/>
  <c r="A2307" i="3"/>
  <c r="BY2306" i="3"/>
  <c r="BX2306" i="3"/>
  <c r="BB2306" i="3"/>
  <c r="U2306" i="3"/>
  <c r="T2306" i="3"/>
  <c r="S2306" i="3"/>
  <c r="C2306" i="3"/>
  <c r="A2306" i="3"/>
  <c r="BY2305" i="3"/>
  <c r="BX2305" i="3"/>
  <c r="BB2305" i="3"/>
  <c r="U2305" i="3"/>
  <c r="T2305" i="3"/>
  <c r="S2305" i="3"/>
  <c r="C2305" i="3"/>
  <c r="A2305" i="3"/>
  <c r="BY2304" i="3"/>
  <c r="BX2304" i="3"/>
  <c r="BB2304" i="3"/>
  <c r="U2304" i="3"/>
  <c r="T2304" i="3"/>
  <c r="S2304" i="3"/>
  <c r="C2304" i="3"/>
  <c r="A2304" i="3"/>
  <c r="BY2303" i="3"/>
  <c r="BX2303" i="3"/>
  <c r="BB2303" i="3"/>
  <c r="U2303" i="3"/>
  <c r="T2303" i="3"/>
  <c r="S2303" i="3"/>
  <c r="C2303" i="3"/>
  <c r="A2303" i="3"/>
  <c r="BY2302" i="3"/>
  <c r="BX2302" i="3"/>
  <c r="BB2302" i="3"/>
  <c r="U2302" i="3"/>
  <c r="T2302" i="3"/>
  <c r="S2302" i="3"/>
  <c r="C2302" i="3"/>
  <c r="A2302" i="3"/>
  <c r="BY2301" i="3"/>
  <c r="BX2301" i="3"/>
  <c r="BB2301" i="3"/>
  <c r="U2301" i="3"/>
  <c r="T2301" i="3"/>
  <c r="S2301" i="3"/>
  <c r="C2301" i="3"/>
  <c r="A2301" i="3"/>
  <c r="BY2300" i="3"/>
  <c r="BX2300" i="3"/>
  <c r="BB2300" i="3"/>
  <c r="U2300" i="3"/>
  <c r="T2300" i="3"/>
  <c r="S2300" i="3"/>
  <c r="C2300" i="3"/>
  <c r="A2300" i="3"/>
  <c r="BY2299" i="3"/>
  <c r="BX2299" i="3"/>
  <c r="BB2299" i="3"/>
  <c r="U2299" i="3"/>
  <c r="T2299" i="3"/>
  <c r="S2299" i="3"/>
  <c r="C2299" i="3"/>
  <c r="A2299" i="3"/>
  <c r="BY2298" i="3"/>
  <c r="BX2298" i="3"/>
  <c r="BB2298" i="3"/>
  <c r="U2298" i="3"/>
  <c r="T2298" i="3"/>
  <c r="S2298" i="3"/>
  <c r="C2298" i="3"/>
  <c r="A2298" i="3"/>
  <c r="BY2297" i="3"/>
  <c r="BX2297" i="3"/>
  <c r="BB2297" i="3"/>
  <c r="U2297" i="3"/>
  <c r="T2297" i="3"/>
  <c r="S2297" i="3"/>
  <c r="C2297" i="3"/>
  <c r="A2297" i="3"/>
  <c r="BY2296" i="3"/>
  <c r="BX2296" i="3"/>
  <c r="BB2296" i="3"/>
  <c r="U2296" i="3"/>
  <c r="T2296" i="3"/>
  <c r="S2296" i="3"/>
  <c r="C2296" i="3"/>
  <c r="A2296" i="3"/>
  <c r="BY2295" i="3"/>
  <c r="BX2295" i="3"/>
  <c r="BB2295" i="3"/>
  <c r="U2295" i="3"/>
  <c r="T2295" i="3"/>
  <c r="S2295" i="3"/>
  <c r="C2295" i="3"/>
  <c r="A2295" i="3"/>
  <c r="BY2294" i="3"/>
  <c r="BX2294" i="3"/>
  <c r="BB2294" i="3"/>
  <c r="U2294" i="3"/>
  <c r="T2294" i="3"/>
  <c r="S2294" i="3"/>
  <c r="C2294" i="3"/>
  <c r="A2294" i="3"/>
  <c r="BY2293" i="3"/>
  <c r="BX2293" i="3"/>
  <c r="BB2293" i="3"/>
  <c r="U2293" i="3"/>
  <c r="T2293" i="3"/>
  <c r="S2293" i="3"/>
  <c r="C2293" i="3"/>
  <c r="A2293" i="3"/>
  <c r="BY2292" i="3"/>
  <c r="BX2292" i="3"/>
  <c r="BB2292" i="3"/>
  <c r="U2292" i="3"/>
  <c r="T2292" i="3"/>
  <c r="S2292" i="3"/>
  <c r="C2292" i="3"/>
  <c r="A2292" i="3"/>
  <c r="BY2291" i="3"/>
  <c r="BX2291" i="3"/>
  <c r="BB2291" i="3"/>
  <c r="U2291" i="3"/>
  <c r="T2291" i="3"/>
  <c r="S2291" i="3"/>
  <c r="C2291" i="3"/>
  <c r="A2291" i="3"/>
  <c r="BY2290" i="3"/>
  <c r="BX2290" i="3"/>
  <c r="BB2290" i="3"/>
  <c r="U2290" i="3"/>
  <c r="T2290" i="3"/>
  <c r="S2290" i="3"/>
  <c r="C2290" i="3"/>
  <c r="A2290" i="3"/>
  <c r="BY2289" i="3"/>
  <c r="BX2289" i="3"/>
  <c r="BB2289" i="3"/>
  <c r="U2289" i="3"/>
  <c r="T2289" i="3"/>
  <c r="S2289" i="3"/>
  <c r="C2289" i="3"/>
  <c r="A2289" i="3"/>
  <c r="BY2288" i="3"/>
  <c r="BX2288" i="3"/>
  <c r="BB2288" i="3"/>
  <c r="U2288" i="3"/>
  <c r="T2288" i="3"/>
  <c r="S2288" i="3"/>
  <c r="C2288" i="3"/>
  <c r="A2288" i="3"/>
  <c r="BY2287" i="3"/>
  <c r="BX2287" i="3"/>
  <c r="BB2287" i="3"/>
  <c r="U2287" i="3"/>
  <c r="T2287" i="3"/>
  <c r="S2287" i="3"/>
  <c r="C2287" i="3"/>
  <c r="A2287" i="3"/>
  <c r="BY2286" i="3"/>
  <c r="BX2286" i="3"/>
  <c r="BB2286" i="3"/>
  <c r="U2286" i="3"/>
  <c r="T2286" i="3"/>
  <c r="S2286" i="3"/>
  <c r="C2286" i="3"/>
  <c r="A2286" i="3"/>
  <c r="BY2285" i="3"/>
  <c r="BX2285" i="3"/>
  <c r="BB2285" i="3"/>
  <c r="U2285" i="3"/>
  <c r="T2285" i="3"/>
  <c r="S2285" i="3"/>
  <c r="C2285" i="3"/>
  <c r="A2285" i="3"/>
  <c r="BY2284" i="3"/>
  <c r="BX2284" i="3"/>
  <c r="BB2284" i="3"/>
  <c r="U2284" i="3"/>
  <c r="T2284" i="3"/>
  <c r="S2284" i="3"/>
  <c r="C2284" i="3"/>
  <c r="A2284" i="3"/>
  <c r="BY2283" i="3"/>
  <c r="BX2283" i="3"/>
  <c r="BB2283" i="3"/>
  <c r="U2283" i="3"/>
  <c r="T2283" i="3"/>
  <c r="S2283" i="3"/>
  <c r="C2283" i="3"/>
  <c r="A2283" i="3"/>
  <c r="BY2282" i="3"/>
  <c r="BX2282" i="3"/>
  <c r="BB2282" i="3"/>
  <c r="U2282" i="3"/>
  <c r="T2282" i="3"/>
  <c r="S2282" i="3"/>
  <c r="C2282" i="3"/>
  <c r="A2282" i="3"/>
  <c r="BY2281" i="3"/>
  <c r="BX2281" i="3"/>
  <c r="BB2281" i="3"/>
  <c r="U2281" i="3"/>
  <c r="T2281" i="3"/>
  <c r="S2281" i="3"/>
  <c r="C2281" i="3"/>
  <c r="A2281" i="3"/>
  <c r="BY2280" i="3"/>
  <c r="BX2280" i="3"/>
  <c r="BB2280" i="3"/>
  <c r="U2280" i="3"/>
  <c r="T2280" i="3"/>
  <c r="S2280" i="3"/>
  <c r="C2280" i="3"/>
  <c r="A2280" i="3"/>
  <c r="BY2279" i="3"/>
  <c r="BX2279" i="3"/>
  <c r="BB2279" i="3"/>
  <c r="U2279" i="3"/>
  <c r="T2279" i="3"/>
  <c r="S2279" i="3"/>
  <c r="C2279" i="3"/>
  <c r="A2279" i="3"/>
  <c r="BY2278" i="3"/>
  <c r="BX2278" i="3"/>
  <c r="BB2278" i="3"/>
  <c r="U2278" i="3"/>
  <c r="T2278" i="3"/>
  <c r="S2278" i="3"/>
  <c r="C2278" i="3"/>
  <c r="A2278" i="3"/>
  <c r="BY2277" i="3"/>
  <c r="BX2277" i="3"/>
  <c r="BB2277" i="3"/>
  <c r="U2277" i="3"/>
  <c r="T2277" i="3"/>
  <c r="S2277" i="3"/>
  <c r="C2277" i="3"/>
  <c r="A2277" i="3"/>
  <c r="BY2276" i="3"/>
  <c r="BX2276" i="3"/>
  <c r="BB2276" i="3"/>
  <c r="U2276" i="3"/>
  <c r="T2276" i="3"/>
  <c r="S2276" i="3"/>
  <c r="C2276" i="3"/>
  <c r="A2276" i="3"/>
  <c r="BY2275" i="3"/>
  <c r="BX2275" i="3"/>
  <c r="BB2275" i="3"/>
  <c r="U2275" i="3"/>
  <c r="T2275" i="3"/>
  <c r="S2275" i="3"/>
  <c r="C2275" i="3"/>
  <c r="A2275" i="3"/>
  <c r="BY2274" i="3"/>
  <c r="BX2274" i="3"/>
  <c r="BB2274" i="3"/>
  <c r="U2274" i="3"/>
  <c r="T2274" i="3"/>
  <c r="S2274" i="3"/>
  <c r="C2274" i="3"/>
  <c r="A2274" i="3"/>
  <c r="BY2273" i="3"/>
  <c r="BX2273" i="3"/>
  <c r="BB2273" i="3"/>
  <c r="U2273" i="3"/>
  <c r="T2273" i="3"/>
  <c r="S2273" i="3"/>
  <c r="C2273" i="3"/>
  <c r="A2273" i="3"/>
  <c r="BY2272" i="3"/>
  <c r="BX2272" i="3"/>
  <c r="BB2272" i="3"/>
  <c r="U2272" i="3"/>
  <c r="T2272" i="3"/>
  <c r="S2272" i="3"/>
  <c r="C2272" i="3"/>
  <c r="A2272" i="3"/>
  <c r="BY2271" i="3"/>
  <c r="BX2271" i="3"/>
  <c r="BB2271" i="3"/>
  <c r="U2271" i="3"/>
  <c r="T2271" i="3"/>
  <c r="S2271" i="3"/>
  <c r="C2271" i="3"/>
  <c r="A2271" i="3"/>
  <c r="BY2270" i="3"/>
  <c r="BX2270" i="3"/>
  <c r="BB2270" i="3"/>
  <c r="U2270" i="3"/>
  <c r="T2270" i="3"/>
  <c r="S2270" i="3"/>
  <c r="C2270" i="3"/>
  <c r="A2270" i="3"/>
  <c r="BY2269" i="3"/>
  <c r="BX2269" i="3"/>
  <c r="BB2269" i="3"/>
  <c r="U2269" i="3"/>
  <c r="T2269" i="3"/>
  <c r="S2269" i="3"/>
  <c r="C2269" i="3"/>
  <c r="A2269" i="3"/>
  <c r="BY2268" i="3"/>
  <c r="BX2268" i="3"/>
  <c r="BB2268" i="3"/>
  <c r="U2268" i="3"/>
  <c r="T2268" i="3"/>
  <c r="S2268" i="3"/>
  <c r="C2268" i="3"/>
  <c r="A2268" i="3"/>
  <c r="BY2267" i="3"/>
  <c r="BX2267" i="3"/>
  <c r="BB2267" i="3"/>
  <c r="U2267" i="3"/>
  <c r="T2267" i="3"/>
  <c r="S2267" i="3"/>
  <c r="C2267" i="3"/>
  <c r="A2267" i="3"/>
  <c r="BY2266" i="3"/>
  <c r="BX2266" i="3"/>
  <c r="BB2266" i="3"/>
  <c r="U2266" i="3"/>
  <c r="T2266" i="3"/>
  <c r="S2266" i="3"/>
  <c r="C2266" i="3"/>
  <c r="A2266" i="3"/>
  <c r="BY2265" i="3"/>
  <c r="BX2265" i="3"/>
  <c r="BB2265" i="3"/>
  <c r="U2265" i="3"/>
  <c r="T2265" i="3"/>
  <c r="S2265" i="3"/>
  <c r="C2265" i="3"/>
  <c r="A2265" i="3"/>
  <c r="BY2264" i="3"/>
  <c r="BX2264" i="3"/>
  <c r="BB2264" i="3"/>
  <c r="U2264" i="3"/>
  <c r="T2264" i="3"/>
  <c r="S2264" i="3"/>
  <c r="C2264" i="3"/>
  <c r="A2264" i="3"/>
  <c r="BY2263" i="3"/>
  <c r="BX2263" i="3"/>
  <c r="BB2263" i="3"/>
  <c r="U2263" i="3"/>
  <c r="T2263" i="3"/>
  <c r="S2263" i="3"/>
  <c r="C2263" i="3"/>
  <c r="A2263" i="3"/>
  <c r="BY2262" i="3"/>
  <c r="BX2262" i="3"/>
  <c r="BB2262" i="3"/>
  <c r="U2262" i="3"/>
  <c r="T2262" i="3"/>
  <c r="S2262" i="3"/>
  <c r="C2262" i="3"/>
  <c r="A2262" i="3"/>
  <c r="BY2261" i="3"/>
  <c r="BX2261" i="3"/>
  <c r="BB2261" i="3"/>
  <c r="U2261" i="3"/>
  <c r="T2261" i="3"/>
  <c r="S2261" i="3"/>
  <c r="C2261" i="3"/>
  <c r="A2261" i="3"/>
  <c r="BY2260" i="3"/>
  <c r="BX2260" i="3"/>
  <c r="BB2260" i="3"/>
  <c r="U2260" i="3"/>
  <c r="T2260" i="3"/>
  <c r="S2260" i="3"/>
  <c r="C2260" i="3"/>
  <c r="A2260" i="3"/>
  <c r="BY2259" i="3"/>
  <c r="BX2259" i="3"/>
  <c r="BB2259" i="3"/>
  <c r="U2259" i="3"/>
  <c r="T2259" i="3"/>
  <c r="S2259" i="3"/>
  <c r="C2259" i="3"/>
  <c r="A2259" i="3"/>
  <c r="BY2258" i="3"/>
  <c r="BX2258" i="3"/>
  <c r="BB2258" i="3"/>
  <c r="U2258" i="3"/>
  <c r="T2258" i="3"/>
  <c r="S2258" i="3"/>
  <c r="C2258" i="3"/>
  <c r="A2258" i="3"/>
  <c r="BY2257" i="3"/>
  <c r="BX2257" i="3"/>
  <c r="BB2257" i="3"/>
  <c r="U2257" i="3"/>
  <c r="T2257" i="3"/>
  <c r="S2257" i="3"/>
  <c r="C2257" i="3"/>
  <c r="A2257" i="3"/>
  <c r="BY2256" i="3"/>
  <c r="BX2256" i="3"/>
  <c r="BB2256" i="3"/>
  <c r="U2256" i="3"/>
  <c r="T2256" i="3"/>
  <c r="S2256" i="3"/>
  <c r="C2256" i="3"/>
  <c r="A2256" i="3"/>
  <c r="BY2255" i="3"/>
  <c r="BX2255" i="3"/>
  <c r="BB2255" i="3"/>
  <c r="U2255" i="3"/>
  <c r="T2255" i="3"/>
  <c r="S2255" i="3"/>
  <c r="C2255" i="3"/>
  <c r="A2255" i="3"/>
  <c r="BY2254" i="3"/>
  <c r="BX2254" i="3"/>
  <c r="BB2254" i="3"/>
  <c r="U2254" i="3"/>
  <c r="T2254" i="3"/>
  <c r="S2254" i="3"/>
  <c r="C2254" i="3"/>
  <c r="A2254" i="3"/>
  <c r="BY2253" i="3"/>
  <c r="BX2253" i="3"/>
  <c r="BB2253" i="3"/>
  <c r="U2253" i="3"/>
  <c r="T2253" i="3"/>
  <c r="S2253" i="3"/>
  <c r="C2253" i="3"/>
  <c r="A2253" i="3"/>
  <c r="BY2252" i="3"/>
  <c r="BX2252" i="3"/>
  <c r="BB2252" i="3"/>
  <c r="U2252" i="3"/>
  <c r="T2252" i="3"/>
  <c r="S2252" i="3"/>
  <c r="C2252" i="3"/>
  <c r="A2252" i="3"/>
  <c r="BY2251" i="3"/>
  <c r="BX2251" i="3"/>
  <c r="BB2251" i="3"/>
  <c r="U2251" i="3"/>
  <c r="T2251" i="3"/>
  <c r="S2251" i="3"/>
  <c r="C2251" i="3"/>
  <c r="A2251" i="3"/>
  <c r="BY2250" i="3"/>
  <c r="BX2250" i="3"/>
  <c r="BB2250" i="3"/>
  <c r="U2250" i="3"/>
  <c r="T2250" i="3"/>
  <c r="S2250" i="3"/>
  <c r="C2250" i="3"/>
  <c r="A2250" i="3"/>
  <c r="BY2249" i="3"/>
  <c r="BX2249" i="3"/>
  <c r="BB2249" i="3"/>
  <c r="U2249" i="3"/>
  <c r="T2249" i="3"/>
  <c r="S2249" i="3"/>
  <c r="C2249" i="3"/>
  <c r="A2249" i="3"/>
  <c r="BY2248" i="3"/>
  <c r="BX2248" i="3"/>
  <c r="BB2248" i="3"/>
  <c r="U2248" i="3"/>
  <c r="T2248" i="3"/>
  <c r="S2248" i="3"/>
  <c r="C2248" i="3"/>
  <c r="A2248" i="3"/>
  <c r="BY2247" i="3"/>
  <c r="BX2247" i="3"/>
  <c r="BB2247" i="3"/>
  <c r="U2247" i="3"/>
  <c r="T2247" i="3"/>
  <c r="S2247" i="3"/>
  <c r="C2247" i="3"/>
  <c r="A2247" i="3"/>
  <c r="BY2246" i="3"/>
  <c r="BX2246" i="3"/>
  <c r="BB2246" i="3"/>
  <c r="U2246" i="3"/>
  <c r="T2246" i="3"/>
  <c r="S2246" i="3"/>
  <c r="C2246" i="3"/>
  <c r="A2246" i="3"/>
  <c r="BY2245" i="3"/>
  <c r="BX2245" i="3"/>
  <c r="BB2245" i="3"/>
  <c r="U2245" i="3"/>
  <c r="T2245" i="3"/>
  <c r="S2245" i="3"/>
  <c r="C2245" i="3"/>
  <c r="A2245" i="3"/>
  <c r="BY2244" i="3"/>
  <c r="BX2244" i="3"/>
  <c r="BB2244" i="3"/>
  <c r="U2244" i="3"/>
  <c r="T2244" i="3"/>
  <c r="S2244" i="3"/>
  <c r="C2244" i="3"/>
  <c r="A2244" i="3"/>
  <c r="BY2243" i="3"/>
  <c r="BX2243" i="3"/>
  <c r="BB2243" i="3"/>
  <c r="U2243" i="3"/>
  <c r="T2243" i="3"/>
  <c r="S2243" i="3"/>
  <c r="C2243" i="3"/>
  <c r="A2243" i="3"/>
  <c r="BY2242" i="3"/>
  <c r="BX2242" i="3"/>
  <c r="BB2242" i="3"/>
  <c r="U2242" i="3"/>
  <c r="T2242" i="3"/>
  <c r="S2242" i="3"/>
  <c r="C2242" i="3"/>
  <c r="A2242" i="3"/>
  <c r="BY2241" i="3"/>
  <c r="BX2241" i="3"/>
  <c r="BB2241" i="3"/>
  <c r="U2241" i="3"/>
  <c r="T2241" i="3"/>
  <c r="S2241" i="3"/>
  <c r="C2241" i="3"/>
  <c r="A2241" i="3"/>
  <c r="BY2240" i="3"/>
  <c r="BX2240" i="3"/>
  <c r="BB2240" i="3"/>
  <c r="U2240" i="3"/>
  <c r="T2240" i="3"/>
  <c r="S2240" i="3"/>
  <c r="C2240" i="3"/>
  <c r="A2240" i="3"/>
  <c r="BY2239" i="3"/>
  <c r="BX2239" i="3"/>
  <c r="BB2239" i="3"/>
  <c r="U2239" i="3"/>
  <c r="T2239" i="3"/>
  <c r="S2239" i="3"/>
  <c r="C2239" i="3"/>
  <c r="A2239" i="3"/>
  <c r="BY2238" i="3"/>
  <c r="BX2238" i="3"/>
  <c r="BB2238" i="3"/>
  <c r="U2238" i="3"/>
  <c r="T2238" i="3"/>
  <c r="S2238" i="3"/>
  <c r="C2238" i="3"/>
  <c r="A2238" i="3"/>
  <c r="BY2237" i="3"/>
  <c r="BX2237" i="3"/>
  <c r="BB2237" i="3"/>
  <c r="U2237" i="3"/>
  <c r="T2237" i="3"/>
  <c r="S2237" i="3"/>
  <c r="C2237" i="3"/>
  <c r="A2237" i="3"/>
  <c r="BY2236" i="3"/>
  <c r="BX2236" i="3"/>
  <c r="BB2236" i="3"/>
  <c r="U2236" i="3"/>
  <c r="T2236" i="3"/>
  <c r="S2236" i="3"/>
  <c r="C2236" i="3"/>
  <c r="A2236" i="3"/>
  <c r="BY2235" i="3"/>
  <c r="BX2235" i="3"/>
  <c r="BB2235" i="3"/>
  <c r="U2235" i="3"/>
  <c r="T2235" i="3"/>
  <c r="S2235" i="3"/>
  <c r="C2235" i="3"/>
  <c r="A2235" i="3"/>
  <c r="BY2234" i="3"/>
  <c r="BX2234" i="3"/>
  <c r="BB2234" i="3"/>
  <c r="U2234" i="3"/>
  <c r="T2234" i="3"/>
  <c r="S2234" i="3"/>
  <c r="C2234" i="3"/>
  <c r="A2234" i="3"/>
  <c r="BY2233" i="3"/>
  <c r="BX2233" i="3"/>
  <c r="BB2233" i="3"/>
  <c r="U2233" i="3"/>
  <c r="T2233" i="3"/>
  <c r="S2233" i="3"/>
  <c r="C2233" i="3"/>
  <c r="A2233" i="3"/>
  <c r="BY2232" i="3"/>
  <c r="BX2232" i="3"/>
  <c r="BB2232" i="3"/>
  <c r="U2232" i="3"/>
  <c r="T2232" i="3"/>
  <c r="S2232" i="3"/>
  <c r="C2232" i="3"/>
  <c r="A2232" i="3"/>
  <c r="BY2231" i="3"/>
  <c r="BX2231" i="3"/>
  <c r="BB2231" i="3"/>
  <c r="U2231" i="3"/>
  <c r="T2231" i="3"/>
  <c r="S2231" i="3"/>
  <c r="C2231" i="3"/>
  <c r="A2231" i="3"/>
  <c r="BY2230" i="3"/>
  <c r="BX2230" i="3"/>
  <c r="BB2230" i="3"/>
  <c r="U2230" i="3"/>
  <c r="T2230" i="3"/>
  <c r="S2230" i="3"/>
  <c r="C2230" i="3"/>
  <c r="A2230" i="3"/>
  <c r="BY2229" i="3"/>
  <c r="BX2229" i="3"/>
  <c r="BB2229" i="3"/>
  <c r="U2229" i="3"/>
  <c r="T2229" i="3"/>
  <c r="S2229" i="3"/>
  <c r="C2229" i="3"/>
  <c r="A2229" i="3"/>
  <c r="BY2228" i="3"/>
  <c r="BX2228" i="3"/>
  <c r="BB2228" i="3"/>
  <c r="U2228" i="3"/>
  <c r="T2228" i="3"/>
  <c r="S2228" i="3"/>
  <c r="C2228" i="3"/>
  <c r="A2228" i="3"/>
  <c r="BY2227" i="3"/>
  <c r="BX2227" i="3"/>
  <c r="BB2227" i="3"/>
  <c r="U2227" i="3"/>
  <c r="T2227" i="3"/>
  <c r="S2227" i="3"/>
  <c r="C2227" i="3"/>
  <c r="A2227" i="3"/>
  <c r="BY2226" i="3"/>
  <c r="BX2226" i="3"/>
  <c r="BB2226" i="3"/>
  <c r="U2226" i="3"/>
  <c r="T2226" i="3"/>
  <c r="S2226" i="3"/>
  <c r="C2226" i="3"/>
  <c r="A2226" i="3"/>
  <c r="BY2225" i="3"/>
  <c r="BX2225" i="3"/>
  <c r="BB2225" i="3"/>
  <c r="U2225" i="3"/>
  <c r="T2225" i="3"/>
  <c r="S2225" i="3"/>
  <c r="C2225" i="3"/>
  <c r="A2225" i="3"/>
  <c r="BY2224" i="3"/>
  <c r="BX2224" i="3"/>
  <c r="BB2224" i="3"/>
  <c r="U2224" i="3"/>
  <c r="T2224" i="3"/>
  <c r="S2224" i="3"/>
  <c r="C2224" i="3"/>
  <c r="A2224" i="3"/>
  <c r="BY2223" i="3"/>
  <c r="BX2223" i="3"/>
  <c r="BB2223" i="3"/>
  <c r="U2223" i="3"/>
  <c r="T2223" i="3"/>
  <c r="S2223" i="3"/>
  <c r="C2223" i="3"/>
  <c r="A2223" i="3"/>
  <c r="BY2222" i="3"/>
  <c r="BX2222" i="3"/>
  <c r="BB2222" i="3"/>
  <c r="U2222" i="3"/>
  <c r="T2222" i="3"/>
  <c r="S2222" i="3"/>
  <c r="C2222" i="3"/>
  <c r="A2222" i="3"/>
  <c r="BY2221" i="3"/>
  <c r="BX2221" i="3"/>
  <c r="BB2221" i="3"/>
  <c r="U2221" i="3"/>
  <c r="T2221" i="3"/>
  <c r="S2221" i="3"/>
  <c r="C2221" i="3"/>
  <c r="A2221" i="3"/>
  <c r="BY2220" i="3"/>
  <c r="BX2220" i="3"/>
  <c r="BB2220" i="3"/>
  <c r="U2220" i="3"/>
  <c r="T2220" i="3"/>
  <c r="S2220" i="3"/>
  <c r="C2220" i="3"/>
  <c r="A2220" i="3"/>
  <c r="BY2219" i="3"/>
  <c r="BX2219" i="3"/>
  <c r="BB2219" i="3"/>
  <c r="U2219" i="3"/>
  <c r="T2219" i="3"/>
  <c r="S2219" i="3"/>
  <c r="C2219" i="3"/>
  <c r="A2219" i="3"/>
  <c r="BY2218" i="3"/>
  <c r="BX2218" i="3"/>
  <c r="BB2218" i="3"/>
  <c r="U2218" i="3"/>
  <c r="T2218" i="3"/>
  <c r="S2218" i="3"/>
  <c r="C2218" i="3"/>
  <c r="A2218" i="3"/>
  <c r="BY2217" i="3"/>
  <c r="BX2217" i="3"/>
  <c r="BB2217" i="3"/>
  <c r="U2217" i="3"/>
  <c r="T2217" i="3"/>
  <c r="S2217" i="3"/>
  <c r="C2217" i="3"/>
  <c r="A2217" i="3"/>
  <c r="BY2216" i="3"/>
  <c r="BX2216" i="3"/>
  <c r="BB2216" i="3"/>
  <c r="U2216" i="3"/>
  <c r="T2216" i="3"/>
  <c r="S2216" i="3"/>
  <c r="C2216" i="3"/>
  <c r="A2216" i="3"/>
  <c r="BY2215" i="3"/>
  <c r="BX2215" i="3"/>
  <c r="BB2215" i="3"/>
  <c r="U2215" i="3"/>
  <c r="T2215" i="3"/>
  <c r="S2215" i="3"/>
  <c r="C2215" i="3"/>
  <c r="A2215" i="3"/>
  <c r="BY2214" i="3"/>
  <c r="BX2214" i="3"/>
  <c r="BB2214" i="3"/>
  <c r="U2214" i="3"/>
  <c r="T2214" i="3"/>
  <c r="S2214" i="3"/>
  <c r="C2214" i="3"/>
  <c r="A2214" i="3"/>
  <c r="BY2213" i="3"/>
  <c r="BX2213" i="3"/>
  <c r="BB2213" i="3"/>
  <c r="U2213" i="3"/>
  <c r="T2213" i="3"/>
  <c r="S2213" i="3"/>
  <c r="C2213" i="3"/>
  <c r="A2213" i="3"/>
  <c r="BY2212" i="3"/>
  <c r="BX2212" i="3"/>
  <c r="BB2212" i="3"/>
  <c r="U2212" i="3"/>
  <c r="T2212" i="3"/>
  <c r="S2212" i="3"/>
  <c r="C2212" i="3"/>
  <c r="A2212" i="3"/>
  <c r="BY2211" i="3"/>
  <c r="BX2211" i="3"/>
  <c r="BB2211" i="3"/>
  <c r="U2211" i="3"/>
  <c r="T2211" i="3"/>
  <c r="S2211" i="3"/>
  <c r="C2211" i="3"/>
  <c r="A2211" i="3"/>
  <c r="BY2210" i="3"/>
  <c r="BX2210" i="3"/>
  <c r="BB2210" i="3"/>
  <c r="U2210" i="3"/>
  <c r="T2210" i="3"/>
  <c r="S2210" i="3"/>
  <c r="C2210" i="3"/>
  <c r="A2210" i="3"/>
  <c r="BY2209" i="3"/>
  <c r="BX2209" i="3"/>
  <c r="BB2209" i="3"/>
  <c r="U2209" i="3"/>
  <c r="T2209" i="3"/>
  <c r="S2209" i="3"/>
  <c r="C2209" i="3"/>
  <c r="A2209" i="3"/>
  <c r="BY2208" i="3"/>
  <c r="BX2208" i="3"/>
  <c r="BB2208" i="3"/>
  <c r="U2208" i="3"/>
  <c r="T2208" i="3"/>
  <c r="S2208" i="3"/>
  <c r="C2208" i="3"/>
  <c r="A2208" i="3"/>
  <c r="BY2207" i="3"/>
  <c r="BX2207" i="3"/>
  <c r="BB2207" i="3"/>
  <c r="U2207" i="3"/>
  <c r="T2207" i="3"/>
  <c r="S2207" i="3"/>
  <c r="C2207" i="3"/>
  <c r="A2207" i="3"/>
  <c r="BY2206" i="3"/>
  <c r="BX2206" i="3"/>
  <c r="BB2206" i="3"/>
  <c r="U2206" i="3"/>
  <c r="T2206" i="3"/>
  <c r="S2206" i="3"/>
  <c r="C2206" i="3"/>
  <c r="A2206" i="3"/>
  <c r="BY2205" i="3"/>
  <c r="BX2205" i="3"/>
  <c r="BB2205" i="3"/>
  <c r="U2205" i="3"/>
  <c r="T2205" i="3"/>
  <c r="S2205" i="3"/>
  <c r="C2205" i="3"/>
  <c r="A2205" i="3"/>
  <c r="BY2204" i="3"/>
  <c r="BX2204" i="3"/>
  <c r="BB2204" i="3"/>
  <c r="U2204" i="3"/>
  <c r="T2204" i="3"/>
  <c r="S2204" i="3"/>
  <c r="C2204" i="3"/>
  <c r="A2204" i="3"/>
  <c r="BY2203" i="3"/>
  <c r="BX2203" i="3"/>
  <c r="BB2203" i="3"/>
  <c r="U2203" i="3"/>
  <c r="T2203" i="3"/>
  <c r="S2203" i="3"/>
  <c r="C2203" i="3"/>
  <c r="A2203" i="3"/>
  <c r="BY2202" i="3"/>
  <c r="BX2202" i="3"/>
  <c r="BB2202" i="3"/>
  <c r="U2202" i="3"/>
  <c r="T2202" i="3"/>
  <c r="S2202" i="3"/>
  <c r="C2202" i="3"/>
  <c r="A2202" i="3"/>
  <c r="BY2201" i="3"/>
  <c r="BX2201" i="3"/>
  <c r="BB2201" i="3"/>
  <c r="U2201" i="3"/>
  <c r="T2201" i="3"/>
  <c r="S2201" i="3"/>
  <c r="C2201" i="3"/>
  <c r="A2201" i="3"/>
  <c r="BY2200" i="3"/>
  <c r="BX2200" i="3"/>
  <c r="BB2200" i="3"/>
  <c r="U2200" i="3"/>
  <c r="T2200" i="3"/>
  <c r="S2200" i="3"/>
  <c r="C2200" i="3"/>
  <c r="A2200" i="3"/>
  <c r="BY2199" i="3"/>
  <c r="BX2199" i="3"/>
  <c r="BB2199" i="3"/>
  <c r="U2199" i="3"/>
  <c r="T2199" i="3"/>
  <c r="S2199" i="3"/>
  <c r="C2199" i="3"/>
  <c r="A2199" i="3"/>
  <c r="BY2198" i="3"/>
  <c r="BX2198" i="3"/>
  <c r="BB2198" i="3"/>
  <c r="U2198" i="3"/>
  <c r="T2198" i="3"/>
  <c r="S2198" i="3"/>
  <c r="C2198" i="3"/>
  <c r="A2198" i="3"/>
  <c r="BY2197" i="3"/>
  <c r="BX2197" i="3"/>
  <c r="BB2197" i="3"/>
  <c r="U2197" i="3"/>
  <c r="T2197" i="3"/>
  <c r="S2197" i="3"/>
  <c r="C2197" i="3"/>
  <c r="A2197" i="3"/>
  <c r="BY2196" i="3"/>
  <c r="BX2196" i="3"/>
  <c r="BB2196" i="3"/>
  <c r="U2196" i="3"/>
  <c r="T2196" i="3"/>
  <c r="S2196" i="3"/>
  <c r="C2196" i="3"/>
  <c r="A2196" i="3"/>
  <c r="BY2195" i="3"/>
  <c r="BX2195" i="3"/>
  <c r="BB2195" i="3"/>
  <c r="U2195" i="3"/>
  <c r="T2195" i="3"/>
  <c r="S2195" i="3"/>
  <c r="C2195" i="3"/>
  <c r="A2195" i="3"/>
  <c r="BY2194" i="3"/>
  <c r="BX2194" i="3"/>
  <c r="BB2194" i="3"/>
  <c r="U2194" i="3"/>
  <c r="T2194" i="3"/>
  <c r="S2194" i="3"/>
  <c r="C2194" i="3"/>
  <c r="A2194" i="3"/>
  <c r="BY2193" i="3"/>
  <c r="BX2193" i="3"/>
  <c r="BB2193" i="3"/>
  <c r="U2193" i="3"/>
  <c r="T2193" i="3"/>
  <c r="S2193" i="3"/>
  <c r="C2193" i="3"/>
  <c r="A2193" i="3"/>
  <c r="BY2192" i="3"/>
  <c r="BX2192" i="3"/>
  <c r="BB2192" i="3"/>
  <c r="U2192" i="3"/>
  <c r="T2192" i="3"/>
  <c r="S2192" i="3"/>
  <c r="C2192" i="3"/>
  <c r="A2192" i="3"/>
  <c r="BY2191" i="3"/>
  <c r="BX2191" i="3"/>
  <c r="BB2191" i="3"/>
  <c r="U2191" i="3"/>
  <c r="T2191" i="3"/>
  <c r="S2191" i="3"/>
  <c r="C2191" i="3"/>
  <c r="A2191" i="3"/>
  <c r="BY2190" i="3"/>
  <c r="BX2190" i="3"/>
  <c r="BB2190" i="3"/>
  <c r="U2190" i="3"/>
  <c r="T2190" i="3"/>
  <c r="S2190" i="3"/>
  <c r="C2190" i="3"/>
  <c r="A2190" i="3"/>
  <c r="BY2189" i="3"/>
  <c r="BX2189" i="3"/>
  <c r="BB2189" i="3"/>
  <c r="U2189" i="3"/>
  <c r="T2189" i="3"/>
  <c r="S2189" i="3"/>
  <c r="C2189" i="3"/>
  <c r="A2189" i="3"/>
  <c r="BY2188" i="3"/>
  <c r="BX2188" i="3"/>
  <c r="BB2188" i="3"/>
  <c r="U2188" i="3"/>
  <c r="T2188" i="3"/>
  <c r="S2188" i="3"/>
  <c r="C2188" i="3"/>
  <c r="A2188" i="3"/>
  <c r="BY2187" i="3"/>
  <c r="BX2187" i="3"/>
  <c r="BB2187" i="3"/>
  <c r="U2187" i="3"/>
  <c r="T2187" i="3"/>
  <c r="S2187" i="3"/>
  <c r="C2187" i="3"/>
  <c r="A2187" i="3"/>
  <c r="BY2186" i="3"/>
  <c r="BX2186" i="3"/>
  <c r="BB2186" i="3"/>
  <c r="U2186" i="3"/>
  <c r="T2186" i="3"/>
  <c r="S2186" i="3"/>
  <c r="C2186" i="3"/>
  <c r="A2186" i="3"/>
  <c r="BY2185" i="3"/>
  <c r="BX2185" i="3"/>
  <c r="BB2185" i="3"/>
  <c r="U2185" i="3"/>
  <c r="T2185" i="3"/>
  <c r="S2185" i="3"/>
  <c r="C2185" i="3"/>
  <c r="A2185" i="3"/>
  <c r="BY2184" i="3"/>
  <c r="BX2184" i="3"/>
  <c r="BB2184" i="3"/>
  <c r="U2184" i="3"/>
  <c r="T2184" i="3"/>
  <c r="S2184" i="3"/>
  <c r="C2184" i="3"/>
  <c r="A2184" i="3"/>
  <c r="BY2183" i="3"/>
  <c r="BX2183" i="3"/>
  <c r="BB2183" i="3"/>
  <c r="U2183" i="3"/>
  <c r="T2183" i="3"/>
  <c r="S2183" i="3"/>
  <c r="C2183" i="3"/>
  <c r="A2183" i="3"/>
  <c r="BY2182" i="3"/>
  <c r="BX2182" i="3"/>
  <c r="BB2182" i="3"/>
  <c r="U2182" i="3"/>
  <c r="T2182" i="3"/>
  <c r="S2182" i="3"/>
  <c r="C2182" i="3"/>
  <c r="A2182" i="3"/>
  <c r="BY2181" i="3"/>
  <c r="BX2181" i="3"/>
  <c r="BB2181" i="3"/>
  <c r="U2181" i="3"/>
  <c r="T2181" i="3"/>
  <c r="S2181" i="3"/>
  <c r="C2181" i="3"/>
  <c r="A2181" i="3"/>
  <c r="BY2180" i="3"/>
  <c r="BX2180" i="3"/>
  <c r="BB2180" i="3"/>
  <c r="U2180" i="3"/>
  <c r="T2180" i="3"/>
  <c r="S2180" i="3"/>
  <c r="C2180" i="3"/>
  <c r="A2180" i="3"/>
  <c r="BY2179" i="3"/>
  <c r="BX2179" i="3"/>
  <c r="BB2179" i="3"/>
  <c r="U2179" i="3"/>
  <c r="T2179" i="3"/>
  <c r="S2179" i="3"/>
  <c r="C2179" i="3"/>
  <c r="A2179" i="3"/>
  <c r="BY2178" i="3"/>
  <c r="BX2178" i="3"/>
  <c r="BB2178" i="3"/>
  <c r="U2178" i="3"/>
  <c r="T2178" i="3"/>
  <c r="S2178" i="3"/>
  <c r="C2178" i="3"/>
  <c r="A2178" i="3"/>
  <c r="BY2177" i="3"/>
  <c r="BX2177" i="3"/>
  <c r="BB2177" i="3"/>
  <c r="U2177" i="3"/>
  <c r="T2177" i="3"/>
  <c r="S2177" i="3"/>
  <c r="C2177" i="3"/>
  <c r="A2177" i="3"/>
  <c r="BY2176" i="3"/>
  <c r="BX2176" i="3"/>
  <c r="BB2176" i="3"/>
  <c r="U2176" i="3"/>
  <c r="T2176" i="3"/>
  <c r="S2176" i="3"/>
  <c r="C2176" i="3"/>
  <c r="A2176" i="3"/>
  <c r="BY2175" i="3"/>
  <c r="BX2175" i="3"/>
  <c r="BB2175" i="3"/>
  <c r="U2175" i="3"/>
  <c r="T2175" i="3"/>
  <c r="S2175" i="3"/>
  <c r="C2175" i="3"/>
  <c r="A2175" i="3"/>
  <c r="BY2174" i="3"/>
  <c r="BX2174" i="3"/>
  <c r="BB2174" i="3"/>
  <c r="U2174" i="3"/>
  <c r="T2174" i="3"/>
  <c r="S2174" i="3"/>
  <c r="C2174" i="3"/>
  <c r="A2174" i="3"/>
  <c r="BY2173" i="3"/>
  <c r="BX2173" i="3"/>
  <c r="BB2173" i="3"/>
  <c r="U2173" i="3"/>
  <c r="T2173" i="3"/>
  <c r="S2173" i="3"/>
  <c r="C2173" i="3"/>
  <c r="A2173" i="3"/>
  <c r="BY2172" i="3"/>
  <c r="BX2172" i="3"/>
  <c r="BB2172" i="3"/>
  <c r="U2172" i="3"/>
  <c r="T2172" i="3"/>
  <c r="S2172" i="3"/>
  <c r="C2172" i="3"/>
  <c r="A2172" i="3"/>
  <c r="BY2171" i="3"/>
  <c r="BX2171" i="3"/>
  <c r="BB2171" i="3"/>
  <c r="U2171" i="3"/>
  <c r="T2171" i="3"/>
  <c r="S2171" i="3"/>
  <c r="C2171" i="3"/>
  <c r="A2171" i="3"/>
  <c r="BY2170" i="3"/>
  <c r="BX2170" i="3"/>
  <c r="BB2170" i="3"/>
  <c r="U2170" i="3"/>
  <c r="T2170" i="3"/>
  <c r="S2170" i="3"/>
  <c r="C2170" i="3"/>
  <c r="A2170" i="3"/>
  <c r="BY2169" i="3"/>
  <c r="BX2169" i="3"/>
  <c r="BB2169" i="3"/>
  <c r="U2169" i="3"/>
  <c r="T2169" i="3"/>
  <c r="S2169" i="3"/>
  <c r="C2169" i="3"/>
  <c r="A2169" i="3"/>
  <c r="BY2168" i="3"/>
  <c r="BX2168" i="3"/>
  <c r="BB2168" i="3"/>
  <c r="U2168" i="3"/>
  <c r="T2168" i="3"/>
  <c r="S2168" i="3"/>
  <c r="C2168" i="3"/>
  <c r="A2168" i="3"/>
  <c r="BY2167" i="3"/>
  <c r="BX2167" i="3"/>
  <c r="BB2167" i="3"/>
  <c r="U2167" i="3"/>
  <c r="T2167" i="3"/>
  <c r="S2167" i="3"/>
  <c r="C2167" i="3"/>
  <c r="A2167" i="3"/>
  <c r="BY2166" i="3"/>
  <c r="BX2166" i="3"/>
  <c r="BB2166" i="3"/>
  <c r="U2166" i="3"/>
  <c r="T2166" i="3"/>
  <c r="S2166" i="3"/>
  <c r="C2166" i="3"/>
  <c r="A2166" i="3"/>
  <c r="BY2165" i="3"/>
  <c r="BX2165" i="3"/>
  <c r="BB2165" i="3"/>
  <c r="U2165" i="3"/>
  <c r="T2165" i="3"/>
  <c r="S2165" i="3"/>
  <c r="C2165" i="3"/>
  <c r="A2165" i="3"/>
  <c r="BY2164" i="3"/>
  <c r="BX2164" i="3"/>
  <c r="BB2164" i="3"/>
  <c r="U2164" i="3"/>
  <c r="T2164" i="3"/>
  <c r="S2164" i="3"/>
  <c r="C2164" i="3"/>
  <c r="A2164" i="3"/>
  <c r="BY2163" i="3"/>
  <c r="BX2163" i="3"/>
  <c r="BB2163" i="3"/>
  <c r="U2163" i="3"/>
  <c r="T2163" i="3"/>
  <c r="S2163" i="3"/>
  <c r="C2163" i="3"/>
  <c r="A2163" i="3"/>
  <c r="BY2162" i="3"/>
  <c r="BX2162" i="3"/>
  <c r="BB2162" i="3"/>
  <c r="U2162" i="3"/>
  <c r="T2162" i="3"/>
  <c r="S2162" i="3"/>
  <c r="C2162" i="3"/>
  <c r="A2162" i="3"/>
  <c r="BY2161" i="3"/>
  <c r="BX2161" i="3"/>
  <c r="BB2161" i="3"/>
  <c r="U2161" i="3"/>
  <c r="T2161" i="3"/>
  <c r="S2161" i="3"/>
  <c r="C2161" i="3"/>
  <c r="A2161" i="3"/>
  <c r="BY2160" i="3"/>
  <c r="BX2160" i="3"/>
  <c r="BB2160" i="3"/>
  <c r="U2160" i="3"/>
  <c r="T2160" i="3"/>
  <c r="S2160" i="3"/>
  <c r="C2160" i="3"/>
  <c r="A2160" i="3"/>
  <c r="BY2159" i="3"/>
  <c r="BX2159" i="3"/>
  <c r="BB2159" i="3"/>
  <c r="U2159" i="3"/>
  <c r="T2159" i="3"/>
  <c r="S2159" i="3"/>
  <c r="C2159" i="3"/>
  <c r="A2159" i="3"/>
  <c r="BY2158" i="3"/>
  <c r="BX2158" i="3"/>
  <c r="BB2158" i="3"/>
  <c r="U2158" i="3"/>
  <c r="T2158" i="3"/>
  <c r="S2158" i="3"/>
  <c r="C2158" i="3"/>
  <c r="A2158" i="3"/>
  <c r="BY2157" i="3"/>
  <c r="BX2157" i="3"/>
  <c r="BB2157" i="3"/>
  <c r="U2157" i="3"/>
  <c r="T2157" i="3"/>
  <c r="S2157" i="3"/>
  <c r="C2157" i="3"/>
  <c r="A2157" i="3"/>
  <c r="BY2156" i="3"/>
  <c r="BX2156" i="3"/>
  <c r="BB2156" i="3"/>
  <c r="U2156" i="3"/>
  <c r="T2156" i="3"/>
  <c r="S2156" i="3"/>
  <c r="C2156" i="3"/>
  <c r="A2156" i="3"/>
  <c r="BY2155" i="3"/>
  <c r="BX2155" i="3"/>
  <c r="BB2155" i="3"/>
  <c r="U2155" i="3"/>
  <c r="T2155" i="3"/>
  <c r="S2155" i="3"/>
  <c r="C2155" i="3"/>
  <c r="A2155" i="3"/>
  <c r="BY2154" i="3"/>
  <c r="BX2154" i="3"/>
  <c r="BB2154" i="3"/>
  <c r="U2154" i="3"/>
  <c r="T2154" i="3"/>
  <c r="S2154" i="3"/>
  <c r="C2154" i="3"/>
  <c r="A2154" i="3"/>
  <c r="BY2153" i="3"/>
  <c r="BX2153" i="3"/>
  <c r="BB2153" i="3"/>
  <c r="U2153" i="3"/>
  <c r="T2153" i="3"/>
  <c r="S2153" i="3"/>
  <c r="C2153" i="3"/>
  <c r="A2153" i="3"/>
  <c r="BY2152" i="3"/>
  <c r="BX2152" i="3"/>
  <c r="BB2152" i="3"/>
  <c r="U2152" i="3"/>
  <c r="T2152" i="3"/>
  <c r="S2152" i="3"/>
  <c r="C2152" i="3"/>
  <c r="A2152" i="3"/>
  <c r="BY2151" i="3"/>
  <c r="BX2151" i="3"/>
  <c r="BB2151" i="3"/>
  <c r="U2151" i="3"/>
  <c r="T2151" i="3"/>
  <c r="S2151" i="3"/>
  <c r="C2151" i="3"/>
  <c r="A2151" i="3"/>
  <c r="BY2150" i="3"/>
  <c r="BX2150" i="3"/>
  <c r="BB2150" i="3"/>
  <c r="U2150" i="3"/>
  <c r="T2150" i="3"/>
  <c r="S2150" i="3"/>
  <c r="C2150" i="3"/>
  <c r="A2150" i="3"/>
  <c r="BY2149" i="3"/>
  <c r="BX2149" i="3"/>
  <c r="BB2149" i="3"/>
  <c r="U2149" i="3"/>
  <c r="T2149" i="3"/>
  <c r="S2149" i="3"/>
  <c r="C2149" i="3"/>
  <c r="A2149" i="3"/>
  <c r="BY2148" i="3"/>
  <c r="BX2148" i="3"/>
  <c r="BB2148" i="3"/>
  <c r="U2148" i="3"/>
  <c r="T2148" i="3"/>
  <c r="S2148" i="3"/>
  <c r="C2148" i="3"/>
  <c r="A2148" i="3"/>
  <c r="BY2147" i="3"/>
  <c r="BX2147" i="3"/>
  <c r="BB2147" i="3"/>
  <c r="U2147" i="3"/>
  <c r="T2147" i="3"/>
  <c r="S2147" i="3"/>
  <c r="C2147" i="3"/>
  <c r="A2147" i="3"/>
  <c r="BY2146" i="3"/>
  <c r="BX2146" i="3"/>
  <c r="BB2146" i="3"/>
  <c r="U2146" i="3"/>
  <c r="T2146" i="3"/>
  <c r="S2146" i="3"/>
  <c r="C2146" i="3"/>
  <c r="A2146" i="3"/>
  <c r="BY2145" i="3"/>
  <c r="BX2145" i="3"/>
  <c r="BB2145" i="3"/>
  <c r="U2145" i="3"/>
  <c r="T2145" i="3"/>
  <c r="S2145" i="3"/>
  <c r="C2145" i="3"/>
  <c r="A2145" i="3"/>
  <c r="BY2144" i="3"/>
  <c r="BX2144" i="3"/>
  <c r="BB2144" i="3"/>
  <c r="U2144" i="3"/>
  <c r="T2144" i="3"/>
  <c r="S2144" i="3"/>
  <c r="C2144" i="3"/>
  <c r="A2144" i="3"/>
  <c r="BY2143" i="3"/>
  <c r="BX2143" i="3"/>
  <c r="BB2143" i="3"/>
  <c r="U2143" i="3"/>
  <c r="T2143" i="3"/>
  <c r="S2143" i="3"/>
  <c r="C2143" i="3"/>
  <c r="A2143" i="3"/>
  <c r="BY2142" i="3"/>
  <c r="BX2142" i="3"/>
  <c r="BB2142" i="3"/>
  <c r="U2142" i="3"/>
  <c r="T2142" i="3"/>
  <c r="S2142" i="3"/>
  <c r="C2142" i="3"/>
  <c r="A2142" i="3"/>
  <c r="BY2141" i="3"/>
  <c r="BX2141" i="3"/>
  <c r="BB2141" i="3"/>
  <c r="U2141" i="3"/>
  <c r="T2141" i="3"/>
  <c r="S2141" i="3"/>
  <c r="C2141" i="3"/>
  <c r="A2141" i="3"/>
  <c r="BY2140" i="3"/>
  <c r="BX2140" i="3"/>
  <c r="BB2140" i="3"/>
  <c r="U2140" i="3"/>
  <c r="T2140" i="3"/>
  <c r="S2140" i="3"/>
  <c r="C2140" i="3"/>
  <c r="A2140" i="3"/>
  <c r="BY2139" i="3"/>
  <c r="BX2139" i="3"/>
  <c r="BB2139" i="3"/>
  <c r="U2139" i="3"/>
  <c r="T2139" i="3"/>
  <c r="S2139" i="3"/>
  <c r="C2139" i="3"/>
  <c r="A2139" i="3"/>
  <c r="BY2138" i="3"/>
  <c r="BX2138" i="3"/>
  <c r="BB2138" i="3"/>
  <c r="U2138" i="3"/>
  <c r="T2138" i="3"/>
  <c r="S2138" i="3"/>
  <c r="C2138" i="3"/>
  <c r="A2138" i="3"/>
  <c r="BY2137" i="3"/>
  <c r="BX2137" i="3"/>
  <c r="BB2137" i="3"/>
  <c r="U2137" i="3"/>
  <c r="T2137" i="3"/>
  <c r="S2137" i="3"/>
  <c r="C2137" i="3"/>
  <c r="A2137" i="3"/>
  <c r="BY2136" i="3"/>
  <c r="BX2136" i="3"/>
  <c r="BB2136" i="3"/>
  <c r="U2136" i="3"/>
  <c r="T2136" i="3"/>
  <c r="S2136" i="3"/>
  <c r="C2136" i="3"/>
  <c r="A2136" i="3"/>
  <c r="BY2135" i="3"/>
  <c r="BX2135" i="3"/>
  <c r="BB2135" i="3"/>
  <c r="U2135" i="3"/>
  <c r="T2135" i="3"/>
  <c r="S2135" i="3"/>
  <c r="C2135" i="3"/>
  <c r="A2135" i="3"/>
  <c r="BY2134" i="3"/>
  <c r="BX2134" i="3"/>
  <c r="BB2134" i="3"/>
  <c r="U2134" i="3"/>
  <c r="T2134" i="3"/>
  <c r="S2134" i="3"/>
  <c r="C2134" i="3"/>
  <c r="A2134" i="3"/>
  <c r="BY2133" i="3"/>
  <c r="BX2133" i="3"/>
  <c r="BB2133" i="3"/>
  <c r="U2133" i="3"/>
  <c r="T2133" i="3"/>
  <c r="S2133" i="3"/>
  <c r="C2133" i="3"/>
  <c r="A2133" i="3"/>
  <c r="BY2132" i="3"/>
  <c r="BX2132" i="3"/>
  <c r="BB2132" i="3"/>
  <c r="U2132" i="3"/>
  <c r="T2132" i="3"/>
  <c r="S2132" i="3"/>
  <c r="C2132" i="3"/>
  <c r="A2132" i="3"/>
  <c r="BY2131" i="3"/>
  <c r="BX2131" i="3"/>
  <c r="BB2131" i="3"/>
  <c r="U2131" i="3"/>
  <c r="T2131" i="3"/>
  <c r="S2131" i="3"/>
  <c r="C2131" i="3"/>
  <c r="A2131" i="3"/>
  <c r="BY2130" i="3"/>
  <c r="BX2130" i="3"/>
  <c r="BB2130" i="3"/>
  <c r="U2130" i="3"/>
  <c r="T2130" i="3"/>
  <c r="S2130" i="3"/>
  <c r="C2130" i="3"/>
  <c r="A2130" i="3"/>
  <c r="BY2129" i="3"/>
  <c r="BX2129" i="3"/>
  <c r="BB2129" i="3"/>
  <c r="U2129" i="3"/>
  <c r="T2129" i="3"/>
  <c r="S2129" i="3"/>
  <c r="C2129" i="3"/>
  <c r="A2129" i="3"/>
  <c r="BY2128" i="3"/>
  <c r="BX2128" i="3"/>
  <c r="BB2128" i="3"/>
  <c r="U2128" i="3"/>
  <c r="T2128" i="3"/>
  <c r="S2128" i="3"/>
  <c r="C2128" i="3"/>
  <c r="A2128" i="3"/>
  <c r="BY2127" i="3"/>
  <c r="BX2127" i="3"/>
  <c r="BB2127" i="3"/>
  <c r="U2127" i="3"/>
  <c r="T2127" i="3"/>
  <c r="S2127" i="3"/>
  <c r="C2127" i="3"/>
  <c r="A2127" i="3"/>
  <c r="BY2126" i="3"/>
  <c r="BX2126" i="3"/>
  <c r="BB2126" i="3"/>
  <c r="U2126" i="3"/>
  <c r="T2126" i="3"/>
  <c r="S2126" i="3"/>
  <c r="C2126" i="3"/>
  <c r="A2126" i="3"/>
  <c r="BY2125" i="3"/>
  <c r="BX2125" i="3"/>
  <c r="BB2125" i="3"/>
  <c r="U2125" i="3"/>
  <c r="T2125" i="3"/>
  <c r="S2125" i="3"/>
  <c r="C2125" i="3"/>
  <c r="A2125" i="3"/>
  <c r="BY2124" i="3"/>
  <c r="BX2124" i="3"/>
  <c r="BB2124" i="3"/>
  <c r="U2124" i="3"/>
  <c r="T2124" i="3"/>
  <c r="S2124" i="3"/>
  <c r="C2124" i="3"/>
  <c r="A2124" i="3"/>
  <c r="BY2123" i="3"/>
  <c r="BX2123" i="3"/>
  <c r="BB2123" i="3"/>
  <c r="U2123" i="3"/>
  <c r="T2123" i="3"/>
  <c r="S2123" i="3"/>
  <c r="C2123" i="3"/>
  <c r="A2123" i="3"/>
  <c r="BY2122" i="3"/>
  <c r="BX2122" i="3"/>
  <c r="BB2122" i="3"/>
  <c r="U2122" i="3"/>
  <c r="T2122" i="3"/>
  <c r="S2122" i="3"/>
  <c r="C2122" i="3"/>
  <c r="A2122" i="3"/>
  <c r="BY2121" i="3"/>
  <c r="BX2121" i="3"/>
  <c r="BB2121" i="3"/>
  <c r="U2121" i="3"/>
  <c r="T2121" i="3"/>
  <c r="S2121" i="3"/>
  <c r="C2121" i="3"/>
  <c r="A2121" i="3"/>
  <c r="BY2120" i="3"/>
  <c r="BX2120" i="3"/>
  <c r="BB2120" i="3"/>
  <c r="U2120" i="3"/>
  <c r="T2120" i="3"/>
  <c r="S2120" i="3"/>
  <c r="C2120" i="3"/>
  <c r="A2120" i="3"/>
  <c r="BY2119" i="3"/>
  <c r="BX2119" i="3"/>
  <c r="BB2119" i="3"/>
  <c r="U2119" i="3"/>
  <c r="T2119" i="3"/>
  <c r="S2119" i="3"/>
  <c r="C2119" i="3"/>
  <c r="A2119" i="3"/>
  <c r="BY2118" i="3"/>
  <c r="BX2118" i="3"/>
  <c r="BB2118" i="3"/>
  <c r="U2118" i="3"/>
  <c r="T2118" i="3"/>
  <c r="S2118" i="3"/>
  <c r="C2118" i="3"/>
  <c r="A2118" i="3"/>
  <c r="BY2117" i="3"/>
  <c r="BX2117" i="3"/>
  <c r="BB2117" i="3"/>
  <c r="U2117" i="3"/>
  <c r="T2117" i="3"/>
  <c r="S2117" i="3"/>
  <c r="C2117" i="3"/>
  <c r="A2117" i="3"/>
  <c r="BY2116" i="3"/>
  <c r="BX2116" i="3"/>
  <c r="BB2116" i="3"/>
  <c r="U2116" i="3"/>
  <c r="T2116" i="3"/>
  <c r="S2116" i="3"/>
  <c r="C2116" i="3"/>
  <c r="A2116" i="3"/>
  <c r="BY2115" i="3"/>
  <c r="BX2115" i="3"/>
  <c r="BB2115" i="3"/>
  <c r="U2115" i="3"/>
  <c r="T2115" i="3"/>
  <c r="S2115" i="3"/>
  <c r="C2115" i="3"/>
  <c r="A2115" i="3"/>
  <c r="BY2114" i="3"/>
  <c r="BX2114" i="3"/>
  <c r="BB2114" i="3"/>
  <c r="U2114" i="3"/>
  <c r="T2114" i="3"/>
  <c r="S2114" i="3"/>
  <c r="C2114" i="3"/>
  <c r="A2114" i="3"/>
  <c r="BY2113" i="3"/>
  <c r="BX2113" i="3"/>
  <c r="BB2113" i="3"/>
  <c r="U2113" i="3"/>
  <c r="T2113" i="3"/>
  <c r="S2113" i="3"/>
  <c r="C2113" i="3"/>
  <c r="A2113" i="3"/>
  <c r="BY2112" i="3"/>
  <c r="BX2112" i="3"/>
  <c r="BB2112" i="3"/>
  <c r="U2112" i="3"/>
  <c r="T2112" i="3"/>
  <c r="S2112" i="3"/>
  <c r="C2112" i="3"/>
  <c r="A2112" i="3"/>
  <c r="BY2111" i="3"/>
  <c r="BX2111" i="3"/>
  <c r="BB2111" i="3"/>
  <c r="U2111" i="3"/>
  <c r="T2111" i="3"/>
  <c r="S2111" i="3"/>
  <c r="C2111" i="3"/>
  <c r="A2111" i="3"/>
  <c r="BY2110" i="3"/>
  <c r="BX2110" i="3"/>
  <c r="BB2110" i="3"/>
  <c r="U2110" i="3"/>
  <c r="T2110" i="3"/>
  <c r="S2110" i="3"/>
  <c r="C2110" i="3"/>
  <c r="A2110" i="3"/>
  <c r="BY2109" i="3"/>
  <c r="BX2109" i="3"/>
  <c r="BB2109" i="3"/>
  <c r="U2109" i="3"/>
  <c r="T2109" i="3"/>
  <c r="S2109" i="3"/>
  <c r="C2109" i="3"/>
  <c r="A2109" i="3"/>
  <c r="BY2108" i="3"/>
  <c r="BX2108" i="3"/>
  <c r="BB2108" i="3"/>
  <c r="U2108" i="3"/>
  <c r="T2108" i="3"/>
  <c r="S2108" i="3"/>
  <c r="C2108" i="3"/>
  <c r="A2108" i="3"/>
  <c r="BY2107" i="3"/>
  <c r="BX2107" i="3"/>
  <c r="BB2107" i="3"/>
  <c r="U2107" i="3"/>
  <c r="T2107" i="3"/>
  <c r="S2107" i="3"/>
  <c r="C2107" i="3"/>
  <c r="A2107" i="3"/>
  <c r="BY2106" i="3"/>
  <c r="BX2106" i="3"/>
  <c r="BB2106" i="3"/>
  <c r="U2106" i="3"/>
  <c r="T2106" i="3"/>
  <c r="S2106" i="3"/>
  <c r="C2106" i="3"/>
  <c r="A2106" i="3"/>
  <c r="BY2105" i="3"/>
  <c r="BX2105" i="3"/>
  <c r="BB2105" i="3"/>
  <c r="U2105" i="3"/>
  <c r="T2105" i="3"/>
  <c r="S2105" i="3"/>
  <c r="C2105" i="3"/>
  <c r="A2105" i="3"/>
  <c r="BY2104" i="3"/>
  <c r="BX2104" i="3"/>
  <c r="BB2104" i="3"/>
  <c r="U2104" i="3"/>
  <c r="T2104" i="3"/>
  <c r="S2104" i="3"/>
  <c r="C2104" i="3"/>
  <c r="A2104" i="3"/>
  <c r="BY2103" i="3"/>
  <c r="BX2103" i="3"/>
  <c r="BB2103" i="3"/>
  <c r="U2103" i="3"/>
  <c r="T2103" i="3"/>
  <c r="S2103" i="3"/>
  <c r="C2103" i="3"/>
  <c r="A2103" i="3"/>
  <c r="BY2102" i="3"/>
  <c r="BX2102" i="3"/>
  <c r="BB2102" i="3"/>
  <c r="U2102" i="3"/>
  <c r="T2102" i="3"/>
  <c r="S2102" i="3"/>
  <c r="C2102" i="3"/>
  <c r="A2102" i="3"/>
  <c r="BY2101" i="3"/>
  <c r="BX2101" i="3"/>
  <c r="BB2101" i="3"/>
  <c r="U2101" i="3"/>
  <c r="T2101" i="3"/>
  <c r="S2101" i="3"/>
  <c r="C2101" i="3"/>
  <c r="A2101" i="3"/>
  <c r="BY2100" i="3"/>
  <c r="BX2100" i="3"/>
  <c r="BB2100" i="3"/>
  <c r="U2100" i="3"/>
  <c r="T2100" i="3"/>
  <c r="S2100" i="3"/>
  <c r="C2100" i="3"/>
  <c r="A2100" i="3"/>
  <c r="BY2099" i="3"/>
  <c r="BX2099" i="3"/>
  <c r="BB2099" i="3"/>
  <c r="U2099" i="3"/>
  <c r="T2099" i="3"/>
  <c r="S2099" i="3"/>
  <c r="C2099" i="3"/>
  <c r="A2099" i="3"/>
  <c r="BY2098" i="3"/>
  <c r="BX2098" i="3"/>
  <c r="BB2098" i="3"/>
  <c r="U2098" i="3"/>
  <c r="T2098" i="3"/>
  <c r="S2098" i="3"/>
  <c r="C2098" i="3"/>
  <c r="A2098" i="3"/>
  <c r="BY2097" i="3"/>
  <c r="BX2097" i="3"/>
  <c r="BB2097" i="3"/>
  <c r="U2097" i="3"/>
  <c r="T2097" i="3"/>
  <c r="S2097" i="3"/>
  <c r="C2097" i="3"/>
  <c r="A2097" i="3"/>
  <c r="BY2096" i="3"/>
  <c r="BX2096" i="3"/>
  <c r="BB2096" i="3"/>
  <c r="U2096" i="3"/>
  <c r="T2096" i="3"/>
  <c r="S2096" i="3"/>
  <c r="C2096" i="3"/>
  <c r="A2096" i="3"/>
  <c r="BY2095" i="3"/>
  <c r="BX2095" i="3"/>
  <c r="BB2095" i="3"/>
  <c r="U2095" i="3"/>
  <c r="T2095" i="3"/>
  <c r="S2095" i="3"/>
  <c r="C2095" i="3"/>
  <c r="A2095" i="3"/>
  <c r="BY2094" i="3"/>
  <c r="BX2094" i="3"/>
  <c r="BB2094" i="3"/>
  <c r="U2094" i="3"/>
  <c r="T2094" i="3"/>
  <c r="S2094" i="3"/>
  <c r="C2094" i="3"/>
  <c r="A2094" i="3"/>
  <c r="BY2093" i="3"/>
  <c r="BX2093" i="3"/>
  <c r="BB2093" i="3"/>
  <c r="U2093" i="3"/>
  <c r="T2093" i="3"/>
  <c r="S2093" i="3"/>
  <c r="C2093" i="3"/>
  <c r="A2093" i="3"/>
  <c r="BY2092" i="3"/>
  <c r="BX2092" i="3"/>
  <c r="BB2092" i="3"/>
  <c r="U2092" i="3"/>
  <c r="T2092" i="3"/>
  <c r="S2092" i="3"/>
  <c r="C2092" i="3"/>
  <c r="A2092" i="3"/>
  <c r="BY2091" i="3"/>
  <c r="BX2091" i="3"/>
  <c r="BB2091" i="3"/>
  <c r="U2091" i="3"/>
  <c r="T2091" i="3"/>
  <c r="S2091" i="3"/>
  <c r="C2091" i="3"/>
  <c r="A2091" i="3"/>
  <c r="BY2090" i="3"/>
  <c r="BX2090" i="3"/>
  <c r="BB2090" i="3"/>
  <c r="U2090" i="3"/>
  <c r="T2090" i="3"/>
  <c r="S2090" i="3"/>
  <c r="C2090" i="3"/>
  <c r="A2090" i="3"/>
  <c r="BY2089" i="3"/>
  <c r="BX2089" i="3"/>
  <c r="BB2089" i="3"/>
  <c r="U2089" i="3"/>
  <c r="T2089" i="3"/>
  <c r="S2089" i="3"/>
  <c r="C2089" i="3"/>
  <c r="A2089" i="3"/>
  <c r="BY2088" i="3"/>
  <c r="BX2088" i="3"/>
  <c r="BB2088" i="3"/>
  <c r="U2088" i="3"/>
  <c r="T2088" i="3"/>
  <c r="S2088" i="3"/>
  <c r="C2088" i="3"/>
  <c r="A2088" i="3"/>
  <c r="BY2087" i="3"/>
  <c r="BX2087" i="3"/>
  <c r="BB2087" i="3"/>
  <c r="U2087" i="3"/>
  <c r="T2087" i="3"/>
  <c r="S2087" i="3"/>
  <c r="C2087" i="3"/>
  <c r="A2087" i="3"/>
  <c r="BY2086" i="3"/>
  <c r="BX2086" i="3"/>
  <c r="BB2086" i="3"/>
  <c r="U2086" i="3"/>
  <c r="T2086" i="3"/>
  <c r="S2086" i="3"/>
  <c r="C2086" i="3"/>
  <c r="A2086" i="3"/>
  <c r="BY2085" i="3"/>
  <c r="BX2085" i="3"/>
  <c r="BB2085" i="3"/>
  <c r="U2085" i="3"/>
  <c r="T2085" i="3"/>
  <c r="S2085" i="3"/>
  <c r="C2085" i="3"/>
  <c r="A2085" i="3"/>
  <c r="BY2084" i="3"/>
  <c r="BX2084" i="3"/>
  <c r="BB2084" i="3"/>
  <c r="U2084" i="3"/>
  <c r="T2084" i="3"/>
  <c r="S2084" i="3"/>
  <c r="C2084" i="3"/>
  <c r="A2084" i="3"/>
  <c r="BY2083" i="3"/>
  <c r="BX2083" i="3"/>
  <c r="BB2083" i="3"/>
  <c r="U2083" i="3"/>
  <c r="T2083" i="3"/>
  <c r="S2083" i="3"/>
  <c r="C2083" i="3"/>
  <c r="A2083" i="3"/>
  <c r="BY2082" i="3"/>
  <c r="BX2082" i="3"/>
  <c r="BB2082" i="3"/>
  <c r="U2082" i="3"/>
  <c r="T2082" i="3"/>
  <c r="S2082" i="3"/>
  <c r="C2082" i="3"/>
  <c r="A2082" i="3"/>
  <c r="BY2081" i="3"/>
  <c r="BX2081" i="3"/>
  <c r="BB2081" i="3"/>
  <c r="U2081" i="3"/>
  <c r="T2081" i="3"/>
  <c r="S2081" i="3"/>
  <c r="C2081" i="3"/>
  <c r="A2081" i="3"/>
  <c r="BY2080" i="3"/>
  <c r="BX2080" i="3"/>
  <c r="BB2080" i="3"/>
  <c r="U2080" i="3"/>
  <c r="T2080" i="3"/>
  <c r="S2080" i="3"/>
  <c r="C2080" i="3"/>
  <c r="A2080" i="3"/>
  <c r="BY2079" i="3"/>
  <c r="BX2079" i="3"/>
  <c r="BB2079" i="3"/>
  <c r="U2079" i="3"/>
  <c r="T2079" i="3"/>
  <c r="S2079" i="3"/>
  <c r="C2079" i="3"/>
  <c r="A2079" i="3"/>
  <c r="BY2078" i="3"/>
  <c r="BX2078" i="3"/>
  <c r="BB2078" i="3"/>
  <c r="U2078" i="3"/>
  <c r="T2078" i="3"/>
  <c r="S2078" i="3"/>
  <c r="C2078" i="3"/>
  <c r="A2078" i="3"/>
  <c r="BY2077" i="3"/>
  <c r="BX2077" i="3"/>
  <c r="BB2077" i="3"/>
  <c r="U2077" i="3"/>
  <c r="T2077" i="3"/>
  <c r="S2077" i="3"/>
  <c r="C2077" i="3"/>
  <c r="A2077" i="3"/>
  <c r="BY2076" i="3"/>
  <c r="BX2076" i="3"/>
  <c r="BB2076" i="3"/>
  <c r="U2076" i="3"/>
  <c r="T2076" i="3"/>
  <c r="S2076" i="3"/>
  <c r="C2076" i="3"/>
  <c r="A2076" i="3"/>
  <c r="BY2075" i="3"/>
  <c r="BX2075" i="3"/>
  <c r="BB2075" i="3"/>
  <c r="U2075" i="3"/>
  <c r="T2075" i="3"/>
  <c r="S2075" i="3"/>
  <c r="C2075" i="3"/>
  <c r="A2075" i="3"/>
  <c r="BY2074" i="3"/>
  <c r="BX2074" i="3"/>
  <c r="BB2074" i="3"/>
  <c r="U2074" i="3"/>
  <c r="T2074" i="3"/>
  <c r="S2074" i="3"/>
  <c r="C2074" i="3"/>
  <c r="A2074" i="3"/>
  <c r="BY2073" i="3"/>
  <c r="BX2073" i="3"/>
  <c r="BB2073" i="3"/>
  <c r="U2073" i="3"/>
  <c r="T2073" i="3"/>
  <c r="S2073" i="3"/>
  <c r="C2073" i="3"/>
  <c r="A2073" i="3"/>
  <c r="BY2072" i="3"/>
  <c r="BX2072" i="3"/>
  <c r="BB2072" i="3"/>
  <c r="U2072" i="3"/>
  <c r="T2072" i="3"/>
  <c r="S2072" i="3"/>
  <c r="C2072" i="3"/>
  <c r="A2072" i="3"/>
  <c r="BY2071" i="3"/>
  <c r="BX2071" i="3"/>
  <c r="BB2071" i="3"/>
  <c r="U2071" i="3"/>
  <c r="T2071" i="3"/>
  <c r="S2071" i="3"/>
  <c r="C2071" i="3"/>
  <c r="A2071" i="3"/>
  <c r="BY2070" i="3"/>
  <c r="BX2070" i="3"/>
  <c r="BB2070" i="3"/>
  <c r="U2070" i="3"/>
  <c r="T2070" i="3"/>
  <c r="S2070" i="3"/>
  <c r="C2070" i="3"/>
  <c r="A2070" i="3"/>
  <c r="BY2069" i="3"/>
  <c r="BX2069" i="3"/>
  <c r="BB2069" i="3"/>
  <c r="U2069" i="3"/>
  <c r="T2069" i="3"/>
  <c r="S2069" i="3"/>
  <c r="C2069" i="3"/>
  <c r="A2069" i="3"/>
  <c r="BY2068" i="3"/>
  <c r="BX2068" i="3"/>
  <c r="BB2068" i="3"/>
  <c r="U2068" i="3"/>
  <c r="T2068" i="3"/>
  <c r="S2068" i="3"/>
  <c r="C2068" i="3"/>
  <c r="A2068" i="3"/>
  <c r="BY2067" i="3"/>
  <c r="BX2067" i="3"/>
  <c r="BB2067" i="3"/>
  <c r="U2067" i="3"/>
  <c r="T2067" i="3"/>
  <c r="S2067" i="3"/>
  <c r="C2067" i="3"/>
  <c r="A2067" i="3"/>
  <c r="BY2066" i="3"/>
  <c r="BX2066" i="3"/>
  <c r="BB2066" i="3"/>
  <c r="U2066" i="3"/>
  <c r="T2066" i="3"/>
  <c r="S2066" i="3"/>
  <c r="C2066" i="3"/>
  <c r="A2066" i="3"/>
  <c r="BY2065" i="3"/>
  <c r="BX2065" i="3"/>
  <c r="BB2065" i="3"/>
  <c r="U2065" i="3"/>
  <c r="T2065" i="3"/>
  <c r="S2065" i="3"/>
  <c r="C2065" i="3"/>
  <c r="A2065" i="3"/>
  <c r="BY2064" i="3"/>
  <c r="BX2064" i="3"/>
  <c r="BB2064" i="3"/>
  <c r="U2064" i="3"/>
  <c r="T2064" i="3"/>
  <c r="S2064" i="3"/>
  <c r="C2064" i="3"/>
  <c r="A2064" i="3"/>
  <c r="BY2063" i="3"/>
  <c r="BX2063" i="3"/>
  <c r="BB2063" i="3"/>
  <c r="U2063" i="3"/>
  <c r="T2063" i="3"/>
  <c r="S2063" i="3"/>
  <c r="C2063" i="3"/>
  <c r="A2063" i="3"/>
  <c r="BY2062" i="3"/>
  <c r="BX2062" i="3"/>
  <c r="BB2062" i="3"/>
  <c r="U2062" i="3"/>
  <c r="T2062" i="3"/>
  <c r="S2062" i="3"/>
  <c r="C2062" i="3"/>
  <c r="A2062" i="3"/>
  <c r="BY2061" i="3"/>
  <c r="BX2061" i="3"/>
  <c r="BB2061" i="3"/>
  <c r="U2061" i="3"/>
  <c r="T2061" i="3"/>
  <c r="S2061" i="3"/>
  <c r="C2061" i="3"/>
  <c r="A2061" i="3"/>
  <c r="BY2060" i="3"/>
  <c r="BX2060" i="3"/>
  <c r="BB2060" i="3"/>
  <c r="U2060" i="3"/>
  <c r="T2060" i="3"/>
  <c r="S2060" i="3"/>
  <c r="C2060" i="3"/>
  <c r="A2060" i="3"/>
  <c r="BY2059" i="3"/>
  <c r="BX2059" i="3"/>
  <c r="BB2059" i="3"/>
  <c r="U2059" i="3"/>
  <c r="T2059" i="3"/>
  <c r="S2059" i="3"/>
  <c r="C2059" i="3"/>
  <c r="A2059" i="3"/>
  <c r="BY2058" i="3"/>
  <c r="BX2058" i="3"/>
  <c r="BB2058" i="3"/>
  <c r="U2058" i="3"/>
  <c r="T2058" i="3"/>
  <c r="S2058" i="3"/>
  <c r="C2058" i="3"/>
  <c r="A2058" i="3"/>
  <c r="BY2057" i="3"/>
  <c r="BX2057" i="3"/>
  <c r="BB2057" i="3"/>
  <c r="U2057" i="3"/>
  <c r="T2057" i="3"/>
  <c r="S2057" i="3"/>
  <c r="C2057" i="3"/>
  <c r="A2057" i="3"/>
  <c r="BY2056" i="3"/>
  <c r="BX2056" i="3"/>
  <c r="BB2056" i="3"/>
  <c r="U2056" i="3"/>
  <c r="T2056" i="3"/>
  <c r="S2056" i="3"/>
  <c r="C2056" i="3"/>
  <c r="A2056" i="3"/>
  <c r="BY2055" i="3"/>
  <c r="BX2055" i="3"/>
  <c r="BB2055" i="3"/>
  <c r="U2055" i="3"/>
  <c r="T2055" i="3"/>
  <c r="S2055" i="3"/>
  <c r="C2055" i="3"/>
  <c r="A2055" i="3"/>
  <c r="BY2054" i="3"/>
  <c r="BX2054" i="3"/>
  <c r="BB2054" i="3"/>
  <c r="U2054" i="3"/>
  <c r="T2054" i="3"/>
  <c r="S2054" i="3"/>
  <c r="C2054" i="3"/>
  <c r="A2054" i="3"/>
  <c r="BY2053" i="3"/>
  <c r="BX2053" i="3"/>
  <c r="BB2053" i="3"/>
  <c r="U2053" i="3"/>
  <c r="T2053" i="3"/>
  <c r="S2053" i="3"/>
  <c r="C2053" i="3"/>
  <c r="A2053" i="3"/>
  <c r="BY2052" i="3"/>
  <c r="BX2052" i="3"/>
  <c r="BB2052" i="3"/>
  <c r="U2052" i="3"/>
  <c r="T2052" i="3"/>
  <c r="S2052" i="3"/>
  <c r="C2052" i="3"/>
  <c r="A2052" i="3"/>
  <c r="BY2051" i="3"/>
  <c r="BX2051" i="3"/>
  <c r="BB2051" i="3"/>
  <c r="U2051" i="3"/>
  <c r="T2051" i="3"/>
  <c r="S2051" i="3"/>
  <c r="C2051" i="3"/>
  <c r="A2051" i="3"/>
  <c r="BY2050" i="3"/>
  <c r="BX2050" i="3"/>
  <c r="BB2050" i="3"/>
  <c r="U2050" i="3"/>
  <c r="T2050" i="3"/>
  <c r="S2050" i="3"/>
  <c r="C2050" i="3"/>
  <c r="A2050" i="3"/>
  <c r="BY2049" i="3"/>
  <c r="BX2049" i="3"/>
  <c r="BB2049" i="3"/>
  <c r="U2049" i="3"/>
  <c r="T2049" i="3"/>
  <c r="S2049" i="3"/>
  <c r="C2049" i="3"/>
  <c r="A2049" i="3"/>
  <c r="BY2048" i="3"/>
  <c r="BX2048" i="3"/>
  <c r="BB2048" i="3"/>
  <c r="U2048" i="3"/>
  <c r="T2048" i="3"/>
  <c r="S2048" i="3"/>
  <c r="C2048" i="3"/>
  <c r="A2048" i="3"/>
  <c r="BY2047" i="3"/>
  <c r="BX2047" i="3"/>
  <c r="BB2047" i="3"/>
  <c r="U2047" i="3"/>
  <c r="T2047" i="3"/>
  <c r="S2047" i="3"/>
  <c r="C2047" i="3"/>
  <c r="A2047" i="3"/>
  <c r="BY2046" i="3"/>
  <c r="BX2046" i="3"/>
  <c r="BB2046" i="3"/>
  <c r="U2046" i="3"/>
  <c r="T2046" i="3"/>
  <c r="S2046" i="3"/>
  <c r="C2046" i="3"/>
  <c r="A2046" i="3"/>
  <c r="BY2045" i="3"/>
  <c r="BX2045" i="3"/>
  <c r="BB2045" i="3"/>
  <c r="U2045" i="3"/>
  <c r="T2045" i="3"/>
  <c r="S2045" i="3"/>
  <c r="C2045" i="3"/>
  <c r="A2045" i="3"/>
  <c r="BY2044" i="3"/>
  <c r="BX2044" i="3"/>
  <c r="BB2044" i="3"/>
  <c r="U2044" i="3"/>
  <c r="T2044" i="3"/>
  <c r="S2044" i="3"/>
  <c r="C2044" i="3"/>
  <c r="A2044" i="3"/>
  <c r="BY2043" i="3"/>
  <c r="BX2043" i="3"/>
  <c r="BB2043" i="3"/>
  <c r="U2043" i="3"/>
  <c r="T2043" i="3"/>
  <c r="S2043" i="3"/>
  <c r="C2043" i="3"/>
  <c r="A2043" i="3"/>
  <c r="BY2042" i="3"/>
  <c r="BX2042" i="3"/>
  <c r="BB2042" i="3"/>
  <c r="U2042" i="3"/>
  <c r="T2042" i="3"/>
  <c r="S2042" i="3"/>
  <c r="C2042" i="3"/>
  <c r="A2042" i="3"/>
  <c r="BY2041" i="3"/>
  <c r="BX2041" i="3"/>
  <c r="BB2041" i="3"/>
  <c r="U2041" i="3"/>
  <c r="T2041" i="3"/>
  <c r="S2041" i="3"/>
  <c r="C2041" i="3"/>
  <c r="A2041" i="3"/>
  <c r="BY2040" i="3"/>
  <c r="BX2040" i="3"/>
  <c r="BB2040" i="3"/>
  <c r="U2040" i="3"/>
  <c r="T2040" i="3"/>
  <c r="S2040" i="3"/>
  <c r="C2040" i="3"/>
  <c r="A2040" i="3"/>
  <c r="BY2039" i="3"/>
  <c r="BX2039" i="3"/>
  <c r="BB2039" i="3"/>
  <c r="U2039" i="3"/>
  <c r="T2039" i="3"/>
  <c r="S2039" i="3"/>
  <c r="C2039" i="3"/>
  <c r="A2039" i="3"/>
  <c r="BY2038" i="3"/>
  <c r="BX2038" i="3"/>
  <c r="BB2038" i="3"/>
  <c r="U2038" i="3"/>
  <c r="T2038" i="3"/>
  <c r="S2038" i="3"/>
  <c r="C2038" i="3"/>
  <c r="A2038" i="3"/>
  <c r="BY2037" i="3"/>
  <c r="BX2037" i="3"/>
  <c r="BB2037" i="3"/>
  <c r="U2037" i="3"/>
  <c r="T2037" i="3"/>
  <c r="S2037" i="3"/>
  <c r="C2037" i="3"/>
  <c r="A2037" i="3"/>
  <c r="BY2036" i="3"/>
  <c r="BX2036" i="3"/>
  <c r="BB2036" i="3"/>
  <c r="U2036" i="3"/>
  <c r="T2036" i="3"/>
  <c r="S2036" i="3"/>
  <c r="C2036" i="3"/>
  <c r="A2036" i="3"/>
  <c r="BY2035" i="3"/>
  <c r="BX2035" i="3"/>
  <c r="BB2035" i="3"/>
  <c r="U2035" i="3"/>
  <c r="T2035" i="3"/>
  <c r="S2035" i="3"/>
  <c r="C2035" i="3"/>
  <c r="A2035" i="3"/>
  <c r="BY2034" i="3"/>
  <c r="BX2034" i="3"/>
  <c r="BB2034" i="3"/>
  <c r="U2034" i="3"/>
  <c r="T2034" i="3"/>
  <c r="S2034" i="3"/>
  <c r="C2034" i="3"/>
  <c r="A2034" i="3"/>
  <c r="BY2033" i="3"/>
  <c r="BX2033" i="3"/>
  <c r="BB2033" i="3"/>
  <c r="U2033" i="3"/>
  <c r="T2033" i="3"/>
  <c r="S2033" i="3"/>
  <c r="C2033" i="3"/>
  <c r="A2033" i="3"/>
  <c r="BY2032" i="3"/>
  <c r="BX2032" i="3"/>
  <c r="BB2032" i="3"/>
  <c r="U2032" i="3"/>
  <c r="T2032" i="3"/>
  <c r="S2032" i="3"/>
  <c r="C2032" i="3"/>
  <c r="A2032" i="3"/>
  <c r="BY2031" i="3"/>
  <c r="BX2031" i="3"/>
  <c r="BB2031" i="3"/>
  <c r="U2031" i="3"/>
  <c r="T2031" i="3"/>
  <c r="S2031" i="3"/>
  <c r="C2031" i="3"/>
  <c r="A2031" i="3"/>
  <c r="BY2030" i="3"/>
  <c r="BX2030" i="3"/>
  <c r="BB2030" i="3"/>
  <c r="U2030" i="3"/>
  <c r="T2030" i="3"/>
  <c r="S2030" i="3"/>
  <c r="C2030" i="3"/>
  <c r="A2030" i="3"/>
  <c r="BY2029" i="3"/>
  <c r="BX2029" i="3"/>
  <c r="BB2029" i="3"/>
  <c r="U2029" i="3"/>
  <c r="T2029" i="3"/>
  <c r="S2029" i="3"/>
  <c r="C2029" i="3"/>
  <c r="A2029" i="3"/>
  <c r="BY2028" i="3"/>
  <c r="BX2028" i="3"/>
  <c r="BB2028" i="3"/>
  <c r="U2028" i="3"/>
  <c r="T2028" i="3"/>
  <c r="S2028" i="3"/>
  <c r="C2028" i="3"/>
  <c r="A2028" i="3"/>
  <c r="BY2027" i="3"/>
  <c r="BX2027" i="3"/>
  <c r="BB2027" i="3"/>
  <c r="U2027" i="3"/>
  <c r="T2027" i="3"/>
  <c r="S2027" i="3"/>
  <c r="C2027" i="3"/>
  <c r="A2027" i="3"/>
  <c r="BY2026" i="3"/>
  <c r="BX2026" i="3"/>
  <c r="BB2026" i="3"/>
  <c r="U2026" i="3"/>
  <c r="T2026" i="3"/>
  <c r="S2026" i="3"/>
  <c r="C2026" i="3"/>
  <c r="A2026" i="3"/>
  <c r="BY2025" i="3"/>
  <c r="BX2025" i="3"/>
  <c r="BB2025" i="3"/>
  <c r="U2025" i="3"/>
  <c r="T2025" i="3"/>
  <c r="S2025" i="3"/>
  <c r="C2025" i="3"/>
  <c r="A2025" i="3"/>
  <c r="BY2024" i="3"/>
  <c r="BX2024" i="3"/>
  <c r="BB2024" i="3"/>
  <c r="U2024" i="3"/>
  <c r="T2024" i="3"/>
  <c r="S2024" i="3"/>
  <c r="C2024" i="3"/>
  <c r="A2024" i="3"/>
  <c r="BY2023" i="3"/>
  <c r="BX2023" i="3"/>
  <c r="BB2023" i="3"/>
  <c r="U2023" i="3"/>
  <c r="T2023" i="3"/>
  <c r="S2023" i="3"/>
  <c r="C2023" i="3"/>
  <c r="A2023" i="3"/>
  <c r="BY2022" i="3"/>
  <c r="BX2022" i="3"/>
  <c r="BB2022" i="3"/>
  <c r="U2022" i="3"/>
  <c r="T2022" i="3"/>
  <c r="S2022" i="3"/>
  <c r="C2022" i="3"/>
  <c r="A2022" i="3"/>
  <c r="BY2021" i="3"/>
  <c r="BX2021" i="3"/>
  <c r="BB2021" i="3"/>
  <c r="U2021" i="3"/>
  <c r="T2021" i="3"/>
  <c r="S2021" i="3"/>
  <c r="C2021" i="3"/>
  <c r="A2021" i="3"/>
  <c r="BY2020" i="3"/>
  <c r="BX2020" i="3"/>
  <c r="BB2020" i="3"/>
  <c r="U2020" i="3"/>
  <c r="T2020" i="3"/>
  <c r="S2020" i="3"/>
  <c r="C2020" i="3"/>
  <c r="A2020" i="3"/>
  <c r="BY2019" i="3"/>
  <c r="BX2019" i="3"/>
  <c r="BB2019" i="3"/>
  <c r="U2019" i="3"/>
  <c r="T2019" i="3"/>
  <c r="S2019" i="3"/>
  <c r="C2019" i="3"/>
  <c r="A2019" i="3"/>
  <c r="BY2018" i="3"/>
  <c r="BX2018" i="3"/>
  <c r="BB2018" i="3"/>
  <c r="U2018" i="3"/>
  <c r="T2018" i="3"/>
  <c r="S2018" i="3"/>
  <c r="C2018" i="3"/>
  <c r="A2018" i="3"/>
  <c r="BY2017" i="3"/>
  <c r="BX2017" i="3"/>
  <c r="BB2017" i="3"/>
  <c r="U2017" i="3"/>
  <c r="T2017" i="3"/>
  <c r="S2017" i="3"/>
  <c r="C2017" i="3"/>
  <c r="A2017" i="3"/>
  <c r="BY2016" i="3"/>
  <c r="BX2016" i="3"/>
  <c r="BB2016" i="3"/>
  <c r="U2016" i="3"/>
  <c r="T2016" i="3"/>
  <c r="S2016" i="3"/>
  <c r="C2016" i="3"/>
  <c r="A2016" i="3"/>
  <c r="BY2015" i="3"/>
  <c r="BX2015" i="3"/>
  <c r="BB2015" i="3"/>
  <c r="U2015" i="3"/>
  <c r="T2015" i="3"/>
  <c r="S2015" i="3"/>
  <c r="C2015" i="3"/>
  <c r="A2015" i="3"/>
  <c r="BY2014" i="3"/>
  <c r="BX2014" i="3"/>
  <c r="BB2014" i="3"/>
  <c r="U2014" i="3"/>
  <c r="T2014" i="3"/>
  <c r="S2014" i="3"/>
  <c r="C2014" i="3"/>
  <c r="A2014" i="3"/>
  <c r="BY2013" i="3"/>
  <c r="BX2013" i="3"/>
  <c r="BB2013" i="3"/>
  <c r="U2013" i="3"/>
  <c r="T2013" i="3"/>
  <c r="S2013" i="3"/>
  <c r="C2013" i="3"/>
  <c r="A2013" i="3"/>
  <c r="BY2012" i="3"/>
  <c r="BX2012" i="3"/>
  <c r="BB2012" i="3"/>
  <c r="U2012" i="3"/>
  <c r="T2012" i="3"/>
  <c r="S2012" i="3"/>
  <c r="C2012" i="3"/>
  <c r="A2012" i="3"/>
  <c r="BY2011" i="3"/>
  <c r="BX2011" i="3"/>
  <c r="BB2011" i="3"/>
  <c r="U2011" i="3"/>
  <c r="T2011" i="3"/>
  <c r="S2011" i="3"/>
  <c r="C2011" i="3"/>
  <c r="A2011" i="3"/>
  <c r="BY2010" i="3"/>
  <c r="BX2010" i="3"/>
  <c r="BB2010" i="3"/>
  <c r="U2010" i="3"/>
  <c r="T2010" i="3"/>
  <c r="S2010" i="3"/>
  <c r="C2010" i="3"/>
  <c r="A2010" i="3"/>
  <c r="BY2009" i="3"/>
  <c r="BX2009" i="3"/>
  <c r="BB2009" i="3"/>
  <c r="U2009" i="3"/>
  <c r="T2009" i="3"/>
  <c r="S2009" i="3"/>
  <c r="C2009" i="3"/>
  <c r="A2009" i="3"/>
  <c r="BY2008" i="3"/>
  <c r="BX2008" i="3"/>
  <c r="BB2008" i="3"/>
  <c r="U2008" i="3"/>
  <c r="T2008" i="3"/>
  <c r="S2008" i="3"/>
  <c r="C2008" i="3"/>
  <c r="A2008" i="3"/>
  <c r="BY2007" i="3"/>
  <c r="BX2007" i="3"/>
  <c r="BB2007" i="3"/>
  <c r="U2007" i="3"/>
  <c r="T2007" i="3"/>
  <c r="S2007" i="3"/>
  <c r="C2007" i="3"/>
  <c r="A2007" i="3"/>
  <c r="BY2006" i="3"/>
  <c r="BX2006" i="3"/>
  <c r="BB2006" i="3"/>
  <c r="U2006" i="3"/>
  <c r="T2006" i="3"/>
  <c r="S2006" i="3"/>
  <c r="C2006" i="3"/>
  <c r="A2006" i="3"/>
  <c r="BY2005" i="3"/>
  <c r="BX2005" i="3"/>
  <c r="BB2005" i="3"/>
  <c r="U2005" i="3"/>
  <c r="T2005" i="3"/>
  <c r="S2005" i="3"/>
  <c r="C2005" i="3"/>
  <c r="A2005" i="3"/>
  <c r="BY2004" i="3"/>
  <c r="BX2004" i="3"/>
  <c r="BB2004" i="3"/>
  <c r="U2004" i="3"/>
  <c r="T2004" i="3"/>
  <c r="S2004" i="3"/>
  <c r="C2004" i="3"/>
  <c r="A2004" i="3"/>
  <c r="BY2003" i="3"/>
  <c r="BX2003" i="3"/>
  <c r="BB2003" i="3"/>
  <c r="U2003" i="3"/>
  <c r="T2003" i="3"/>
  <c r="S2003" i="3"/>
  <c r="C2003" i="3"/>
  <c r="A2003" i="3"/>
  <c r="BY2002" i="3"/>
  <c r="BX2002" i="3"/>
  <c r="BB2002" i="3"/>
  <c r="U2002" i="3"/>
  <c r="T2002" i="3"/>
  <c r="S2002" i="3"/>
  <c r="C2002" i="3"/>
  <c r="A2002" i="3"/>
  <c r="BY2001" i="3"/>
  <c r="BX2001" i="3"/>
  <c r="BB2001" i="3"/>
  <c r="U2001" i="3"/>
  <c r="T2001" i="3"/>
  <c r="S2001" i="3"/>
  <c r="C2001" i="3"/>
  <c r="A2001" i="3"/>
  <c r="BY2000" i="3"/>
  <c r="BX2000" i="3"/>
  <c r="BB2000" i="3"/>
  <c r="U2000" i="3"/>
  <c r="T2000" i="3"/>
  <c r="S2000" i="3"/>
  <c r="C2000" i="3"/>
  <c r="A2000" i="3"/>
  <c r="BY1999" i="3"/>
  <c r="BX1999" i="3"/>
  <c r="BB1999" i="3"/>
  <c r="U1999" i="3"/>
  <c r="T1999" i="3"/>
  <c r="S1999" i="3"/>
  <c r="C1999" i="3"/>
  <c r="A1999" i="3"/>
  <c r="BY1998" i="3"/>
  <c r="BX1998" i="3"/>
  <c r="BB1998" i="3"/>
  <c r="U1998" i="3"/>
  <c r="T1998" i="3"/>
  <c r="S1998" i="3"/>
  <c r="C1998" i="3"/>
  <c r="A1998" i="3"/>
  <c r="BY1997" i="3"/>
  <c r="BX1997" i="3"/>
  <c r="BB1997" i="3"/>
  <c r="U1997" i="3"/>
  <c r="T1997" i="3"/>
  <c r="S1997" i="3"/>
  <c r="C1997" i="3"/>
  <c r="A1997" i="3"/>
  <c r="BY1996" i="3"/>
  <c r="BX1996" i="3"/>
  <c r="BB1996" i="3"/>
  <c r="U1996" i="3"/>
  <c r="T1996" i="3"/>
  <c r="S1996" i="3"/>
  <c r="C1996" i="3"/>
  <c r="A1996" i="3"/>
  <c r="BY1995" i="3"/>
  <c r="BX1995" i="3"/>
  <c r="BB1995" i="3"/>
  <c r="U1995" i="3"/>
  <c r="T1995" i="3"/>
  <c r="S1995" i="3"/>
  <c r="C1995" i="3"/>
  <c r="A1995" i="3"/>
  <c r="BY1994" i="3"/>
  <c r="BX1994" i="3"/>
  <c r="BB1994" i="3"/>
  <c r="U1994" i="3"/>
  <c r="T1994" i="3"/>
  <c r="S1994" i="3"/>
  <c r="C1994" i="3"/>
  <c r="A1994" i="3"/>
  <c r="BY1993" i="3"/>
  <c r="BX1993" i="3"/>
  <c r="BB1993" i="3"/>
  <c r="U1993" i="3"/>
  <c r="T1993" i="3"/>
  <c r="S1993" i="3"/>
  <c r="C1993" i="3"/>
  <c r="A1993" i="3"/>
  <c r="BY1992" i="3"/>
  <c r="BX1992" i="3"/>
  <c r="BB1992" i="3"/>
  <c r="U1992" i="3"/>
  <c r="T1992" i="3"/>
  <c r="S1992" i="3"/>
  <c r="C1992" i="3"/>
  <c r="A1992" i="3"/>
  <c r="BY1991" i="3"/>
  <c r="BX1991" i="3"/>
  <c r="BB1991" i="3"/>
  <c r="U1991" i="3"/>
  <c r="T1991" i="3"/>
  <c r="S1991" i="3"/>
  <c r="C1991" i="3"/>
  <c r="A1991" i="3"/>
  <c r="BY1990" i="3"/>
  <c r="BX1990" i="3"/>
  <c r="BB1990" i="3"/>
  <c r="U1990" i="3"/>
  <c r="T1990" i="3"/>
  <c r="S1990" i="3"/>
  <c r="C1990" i="3"/>
  <c r="A1990" i="3"/>
  <c r="BY1989" i="3"/>
  <c r="BX1989" i="3"/>
  <c r="BB1989" i="3"/>
  <c r="U1989" i="3"/>
  <c r="T1989" i="3"/>
  <c r="S1989" i="3"/>
  <c r="C1989" i="3"/>
  <c r="A1989" i="3"/>
  <c r="BY1988" i="3"/>
  <c r="BX1988" i="3"/>
  <c r="BB1988" i="3"/>
  <c r="U1988" i="3"/>
  <c r="T1988" i="3"/>
  <c r="S1988" i="3"/>
  <c r="C1988" i="3"/>
  <c r="A1988" i="3"/>
  <c r="BY1987" i="3"/>
  <c r="BX1987" i="3"/>
  <c r="BB1987" i="3"/>
  <c r="U1987" i="3"/>
  <c r="T1987" i="3"/>
  <c r="S1987" i="3"/>
  <c r="C1987" i="3"/>
  <c r="A1987" i="3"/>
  <c r="BY1986" i="3"/>
  <c r="BX1986" i="3"/>
  <c r="BB1986" i="3"/>
  <c r="U1986" i="3"/>
  <c r="T1986" i="3"/>
  <c r="S1986" i="3"/>
  <c r="C1986" i="3"/>
  <c r="A1986" i="3"/>
  <c r="BY1985" i="3"/>
  <c r="BX1985" i="3"/>
  <c r="BB1985" i="3"/>
  <c r="U1985" i="3"/>
  <c r="T1985" i="3"/>
  <c r="S1985" i="3"/>
  <c r="C1985" i="3"/>
  <c r="A1985" i="3"/>
  <c r="BY1984" i="3"/>
  <c r="BX1984" i="3"/>
  <c r="BB1984" i="3"/>
  <c r="U1984" i="3"/>
  <c r="T1984" i="3"/>
  <c r="S1984" i="3"/>
  <c r="C1984" i="3"/>
  <c r="A1984" i="3"/>
  <c r="BY1983" i="3"/>
  <c r="BX1983" i="3"/>
  <c r="BB1983" i="3"/>
  <c r="U1983" i="3"/>
  <c r="T1983" i="3"/>
  <c r="S1983" i="3"/>
  <c r="C1983" i="3"/>
  <c r="A1983" i="3"/>
  <c r="BY1982" i="3"/>
  <c r="BX1982" i="3"/>
  <c r="BB1982" i="3"/>
  <c r="U1982" i="3"/>
  <c r="T1982" i="3"/>
  <c r="S1982" i="3"/>
  <c r="C1982" i="3"/>
  <c r="A1982" i="3"/>
  <c r="BY1981" i="3"/>
  <c r="BX1981" i="3"/>
  <c r="BB1981" i="3"/>
  <c r="U1981" i="3"/>
  <c r="T1981" i="3"/>
  <c r="S1981" i="3"/>
  <c r="C1981" i="3"/>
  <c r="A1981" i="3"/>
  <c r="BY1980" i="3"/>
  <c r="BX1980" i="3"/>
  <c r="BB1980" i="3"/>
  <c r="U1980" i="3"/>
  <c r="T1980" i="3"/>
  <c r="S1980" i="3"/>
  <c r="C1980" i="3"/>
  <c r="A1980" i="3"/>
  <c r="BY1979" i="3"/>
  <c r="BX1979" i="3"/>
  <c r="BB1979" i="3"/>
  <c r="U1979" i="3"/>
  <c r="T1979" i="3"/>
  <c r="S1979" i="3"/>
  <c r="C1979" i="3"/>
  <c r="A1979" i="3"/>
  <c r="BY1978" i="3"/>
  <c r="BX1978" i="3"/>
  <c r="BB1978" i="3"/>
  <c r="U1978" i="3"/>
  <c r="T1978" i="3"/>
  <c r="S1978" i="3"/>
  <c r="C1978" i="3"/>
  <c r="A1978" i="3"/>
  <c r="BY1977" i="3"/>
  <c r="BX1977" i="3"/>
  <c r="BB1977" i="3"/>
  <c r="U1977" i="3"/>
  <c r="T1977" i="3"/>
  <c r="S1977" i="3"/>
  <c r="C1977" i="3"/>
  <c r="A1977" i="3"/>
  <c r="BY1976" i="3"/>
  <c r="BX1976" i="3"/>
  <c r="BB1976" i="3"/>
  <c r="U1976" i="3"/>
  <c r="T1976" i="3"/>
  <c r="S1976" i="3"/>
  <c r="C1976" i="3"/>
  <c r="A1976" i="3"/>
  <c r="BY1975" i="3"/>
  <c r="BX1975" i="3"/>
  <c r="BB1975" i="3"/>
  <c r="U1975" i="3"/>
  <c r="T1975" i="3"/>
  <c r="S1975" i="3"/>
  <c r="C1975" i="3"/>
  <c r="A1975" i="3"/>
  <c r="BY1974" i="3"/>
  <c r="BX1974" i="3"/>
  <c r="BB1974" i="3"/>
  <c r="U1974" i="3"/>
  <c r="T1974" i="3"/>
  <c r="S1974" i="3"/>
  <c r="C1974" i="3"/>
  <c r="A1974" i="3"/>
  <c r="BY1973" i="3"/>
  <c r="BX1973" i="3"/>
  <c r="BB1973" i="3"/>
  <c r="U1973" i="3"/>
  <c r="T1973" i="3"/>
  <c r="S1973" i="3"/>
  <c r="C1973" i="3"/>
  <c r="A1973" i="3"/>
  <c r="BY1972" i="3"/>
  <c r="BX1972" i="3"/>
  <c r="BB1972" i="3"/>
  <c r="U1972" i="3"/>
  <c r="T1972" i="3"/>
  <c r="S1972" i="3"/>
  <c r="C1972" i="3"/>
  <c r="A1972" i="3"/>
  <c r="BY1971" i="3"/>
  <c r="BX1971" i="3"/>
  <c r="BB1971" i="3"/>
  <c r="U1971" i="3"/>
  <c r="T1971" i="3"/>
  <c r="S1971" i="3"/>
  <c r="C1971" i="3"/>
  <c r="A1971" i="3"/>
  <c r="BY1970" i="3"/>
  <c r="BX1970" i="3"/>
  <c r="BB1970" i="3"/>
  <c r="U1970" i="3"/>
  <c r="T1970" i="3"/>
  <c r="S1970" i="3"/>
  <c r="C1970" i="3"/>
  <c r="A1970" i="3"/>
  <c r="BY1969" i="3"/>
  <c r="BX1969" i="3"/>
  <c r="BB1969" i="3"/>
  <c r="U1969" i="3"/>
  <c r="T1969" i="3"/>
  <c r="S1969" i="3"/>
  <c r="C1969" i="3"/>
  <c r="A1969" i="3"/>
  <c r="BY1968" i="3"/>
  <c r="BX1968" i="3"/>
  <c r="BB1968" i="3"/>
  <c r="U1968" i="3"/>
  <c r="T1968" i="3"/>
  <c r="S1968" i="3"/>
  <c r="C1968" i="3"/>
  <c r="A1968" i="3"/>
  <c r="BY1967" i="3"/>
  <c r="BX1967" i="3"/>
  <c r="BB1967" i="3"/>
  <c r="U1967" i="3"/>
  <c r="T1967" i="3"/>
  <c r="S1967" i="3"/>
  <c r="C1967" i="3"/>
  <c r="A1967" i="3"/>
  <c r="BY1966" i="3"/>
  <c r="BX1966" i="3"/>
  <c r="BB1966" i="3"/>
  <c r="U1966" i="3"/>
  <c r="T1966" i="3"/>
  <c r="S1966" i="3"/>
  <c r="C1966" i="3"/>
  <c r="A1966" i="3"/>
  <c r="BY1965" i="3"/>
  <c r="BX1965" i="3"/>
  <c r="BB1965" i="3"/>
  <c r="U1965" i="3"/>
  <c r="T1965" i="3"/>
  <c r="S1965" i="3"/>
  <c r="C1965" i="3"/>
  <c r="A1965" i="3"/>
  <c r="BY1964" i="3"/>
  <c r="BX1964" i="3"/>
  <c r="BB1964" i="3"/>
  <c r="U1964" i="3"/>
  <c r="T1964" i="3"/>
  <c r="S1964" i="3"/>
  <c r="C1964" i="3"/>
  <c r="A1964" i="3"/>
  <c r="BY1963" i="3"/>
  <c r="BX1963" i="3"/>
  <c r="BB1963" i="3"/>
  <c r="U1963" i="3"/>
  <c r="T1963" i="3"/>
  <c r="S1963" i="3"/>
  <c r="C1963" i="3"/>
  <c r="A1963" i="3"/>
  <c r="BY1962" i="3"/>
  <c r="BX1962" i="3"/>
  <c r="BB1962" i="3"/>
  <c r="U1962" i="3"/>
  <c r="T1962" i="3"/>
  <c r="S1962" i="3"/>
  <c r="C1962" i="3"/>
  <c r="A1962" i="3"/>
  <c r="BY1961" i="3"/>
  <c r="BX1961" i="3"/>
  <c r="BB1961" i="3"/>
  <c r="U1961" i="3"/>
  <c r="T1961" i="3"/>
  <c r="S1961" i="3"/>
  <c r="C1961" i="3"/>
  <c r="A1961" i="3"/>
  <c r="BY1960" i="3"/>
  <c r="BX1960" i="3"/>
  <c r="BB1960" i="3"/>
  <c r="U1960" i="3"/>
  <c r="T1960" i="3"/>
  <c r="S1960" i="3"/>
  <c r="C1960" i="3"/>
  <c r="A1960" i="3"/>
  <c r="BY1959" i="3"/>
  <c r="BX1959" i="3"/>
  <c r="BB1959" i="3"/>
  <c r="U1959" i="3"/>
  <c r="T1959" i="3"/>
  <c r="S1959" i="3"/>
  <c r="C1959" i="3"/>
  <c r="A1959" i="3"/>
  <c r="BY1958" i="3"/>
  <c r="BX1958" i="3"/>
  <c r="BB1958" i="3"/>
  <c r="U1958" i="3"/>
  <c r="T1958" i="3"/>
  <c r="S1958" i="3"/>
  <c r="C1958" i="3"/>
  <c r="A1958" i="3"/>
  <c r="BY1957" i="3"/>
  <c r="BX1957" i="3"/>
  <c r="BB1957" i="3"/>
  <c r="U1957" i="3"/>
  <c r="T1957" i="3"/>
  <c r="S1957" i="3"/>
  <c r="C1957" i="3"/>
  <c r="A1957" i="3"/>
  <c r="BY1956" i="3"/>
  <c r="BX1956" i="3"/>
  <c r="BB1956" i="3"/>
  <c r="U1956" i="3"/>
  <c r="T1956" i="3"/>
  <c r="S1956" i="3"/>
  <c r="C1956" i="3"/>
  <c r="A1956" i="3"/>
  <c r="BY1955" i="3"/>
  <c r="BX1955" i="3"/>
  <c r="BB1955" i="3"/>
  <c r="U1955" i="3"/>
  <c r="T1955" i="3"/>
  <c r="S1955" i="3"/>
  <c r="C1955" i="3"/>
  <c r="A1955" i="3"/>
  <c r="BY1954" i="3"/>
  <c r="BX1954" i="3"/>
  <c r="BB1954" i="3"/>
  <c r="U1954" i="3"/>
  <c r="T1954" i="3"/>
  <c r="S1954" i="3"/>
  <c r="C1954" i="3"/>
  <c r="A1954" i="3"/>
  <c r="BY1953" i="3"/>
  <c r="BX1953" i="3"/>
  <c r="BB1953" i="3"/>
  <c r="U1953" i="3"/>
  <c r="T1953" i="3"/>
  <c r="S1953" i="3"/>
  <c r="C1953" i="3"/>
  <c r="A1953" i="3"/>
  <c r="BY1952" i="3"/>
  <c r="BX1952" i="3"/>
  <c r="BB1952" i="3"/>
  <c r="U1952" i="3"/>
  <c r="T1952" i="3"/>
  <c r="S1952" i="3"/>
  <c r="C1952" i="3"/>
  <c r="A1952" i="3"/>
  <c r="BY1951" i="3"/>
  <c r="BX1951" i="3"/>
  <c r="BB1951" i="3"/>
  <c r="U1951" i="3"/>
  <c r="T1951" i="3"/>
  <c r="S1951" i="3"/>
  <c r="C1951" i="3"/>
  <c r="A1951" i="3"/>
  <c r="BY1950" i="3"/>
  <c r="BX1950" i="3"/>
  <c r="BB1950" i="3"/>
  <c r="U1950" i="3"/>
  <c r="T1950" i="3"/>
  <c r="S1950" i="3"/>
  <c r="C1950" i="3"/>
  <c r="A1950" i="3"/>
  <c r="BY1949" i="3"/>
  <c r="BX1949" i="3"/>
  <c r="BB1949" i="3"/>
  <c r="U1949" i="3"/>
  <c r="T1949" i="3"/>
  <c r="S1949" i="3"/>
  <c r="C1949" i="3"/>
  <c r="A1949" i="3"/>
  <c r="BY1948" i="3"/>
  <c r="BX1948" i="3"/>
  <c r="BB1948" i="3"/>
  <c r="U1948" i="3"/>
  <c r="T1948" i="3"/>
  <c r="S1948" i="3"/>
  <c r="C1948" i="3"/>
  <c r="A1948" i="3"/>
  <c r="BY1947" i="3"/>
  <c r="BX1947" i="3"/>
  <c r="BB1947" i="3"/>
  <c r="U1947" i="3"/>
  <c r="T1947" i="3"/>
  <c r="S1947" i="3"/>
  <c r="C1947" i="3"/>
  <c r="A1947" i="3"/>
  <c r="BY1946" i="3"/>
  <c r="BX1946" i="3"/>
  <c r="BB1946" i="3"/>
  <c r="U1946" i="3"/>
  <c r="T1946" i="3"/>
  <c r="S1946" i="3"/>
  <c r="C1946" i="3"/>
  <c r="A1946" i="3"/>
  <c r="BY1945" i="3"/>
  <c r="BX1945" i="3"/>
  <c r="BB1945" i="3"/>
  <c r="U1945" i="3"/>
  <c r="T1945" i="3"/>
  <c r="S1945" i="3"/>
  <c r="C1945" i="3"/>
  <c r="A1945" i="3"/>
  <c r="BY1944" i="3"/>
  <c r="BX1944" i="3"/>
  <c r="BB1944" i="3"/>
  <c r="U1944" i="3"/>
  <c r="T1944" i="3"/>
  <c r="S1944" i="3"/>
  <c r="C1944" i="3"/>
  <c r="A1944" i="3"/>
  <c r="BY1943" i="3"/>
  <c r="BX1943" i="3"/>
  <c r="BB1943" i="3"/>
  <c r="U1943" i="3"/>
  <c r="T1943" i="3"/>
  <c r="S1943" i="3"/>
  <c r="C1943" i="3"/>
  <c r="A1943" i="3"/>
  <c r="BY1942" i="3"/>
  <c r="BX1942" i="3"/>
  <c r="BB1942" i="3"/>
  <c r="U1942" i="3"/>
  <c r="T1942" i="3"/>
  <c r="S1942" i="3"/>
  <c r="C1942" i="3"/>
  <c r="A1942" i="3"/>
  <c r="BY1941" i="3"/>
  <c r="BX1941" i="3"/>
  <c r="BB1941" i="3"/>
  <c r="U1941" i="3"/>
  <c r="T1941" i="3"/>
  <c r="S1941" i="3"/>
  <c r="C1941" i="3"/>
  <c r="A1941" i="3"/>
  <c r="BY1940" i="3"/>
  <c r="BX1940" i="3"/>
  <c r="BB1940" i="3"/>
  <c r="U1940" i="3"/>
  <c r="T1940" i="3"/>
  <c r="S1940" i="3"/>
  <c r="C1940" i="3"/>
  <c r="A1940" i="3"/>
  <c r="BY1939" i="3"/>
  <c r="BX1939" i="3"/>
  <c r="BB1939" i="3"/>
  <c r="U1939" i="3"/>
  <c r="T1939" i="3"/>
  <c r="S1939" i="3"/>
  <c r="C1939" i="3"/>
  <c r="A1939" i="3"/>
  <c r="BY1938" i="3"/>
  <c r="BX1938" i="3"/>
  <c r="BB1938" i="3"/>
  <c r="U1938" i="3"/>
  <c r="T1938" i="3"/>
  <c r="S1938" i="3"/>
  <c r="C1938" i="3"/>
  <c r="A1938" i="3"/>
  <c r="BY1937" i="3"/>
  <c r="BX1937" i="3"/>
  <c r="BB1937" i="3"/>
  <c r="U1937" i="3"/>
  <c r="T1937" i="3"/>
  <c r="S1937" i="3"/>
  <c r="C1937" i="3"/>
  <c r="A1937" i="3"/>
  <c r="BY1936" i="3"/>
  <c r="BX1936" i="3"/>
  <c r="BB1936" i="3"/>
  <c r="U1936" i="3"/>
  <c r="T1936" i="3"/>
  <c r="S1936" i="3"/>
  <c r="C1936" i="3"/>
  <c r="A1936" i="3"/>
  <c r="BY1935" i="3"/>
  <c r="BX1935" i="3"/>
  <c r="BB1935" i="3"/>
  <c r="U1935" i="3"/>
  <c r="T1935" i="3"/>
  <c r="S1935" i="3"/>
  <c r="C1935" i="3"/>
  <c r="A1935" i="3"/>
  <c r="BY1934" i="3"/>
  <c r="BX1934" i="3"/>
  <c r="BB1934" i="3"/>
  <c r="U1934" i="3"/>
  <c r="T1934" i="3"/>
  <c r="S1934" i="3"/>
  <c r="C1934" i="3"/>
  <c r="A1934" i="3"/>
  <c r="BY1933" i="3"/>
  <c r="BX1933" i="3"/>
  <c r="BB1933" i="3"/>
  <c r="U1933" i="3"/>
  <c r="T1933" i="3"/>
  <c r="S1933" i="3"/>
  <c r="C1933" i="3"/>
  <c r="A1933" i="3"/>
  <c r="BY1932" i="3"/>
  <c r="BX1932" i="3"/>
  <c r="BB1932" i="3"/>
  <c r="U1932" i="3"/>
  <c r="T1932" i="3"/>
  <c r="S1932" i="3"/>
  <c r="C1932" i="3"/>
  <c r="A1932" i="3"/>
  <c r="BY1931" i="3"/>
  <c r="BX1931" i="3"/>
  <c r="BB1931" i="3"/>
  <c r="U1931" i="3"/>
  <c r="T1931" i="3"/>
  <c r="S1931" i="3"/>
  <c r="C1931" i="3"/>
  <c r="A1931" i="3"/>
  <c r="BY1930" i="3"/>
  <c r="BX1930" i="3"/>
  <c r="BB1930" i="3"/>
  <c r="U1930" i="3"/>
  <c r="T1930" i="3"/>
  <c r="S1930" i="3"/>
  <c r="C1930" i="3"/>
  <c r="A1930" i="3"/>
  <c r="BY1929" i="3"/>
  <c r="BX1929" i="3"/>
  <c r="BB1929" i="3"/>
  <c r="U1929" i="3"/>
  <c r="T1929" i="3"/>
  <c r="S1929" i="3"/>
  <c r="C1929" i="3"/>
  <c r="A1929" i="3"/>
  <c r="BY1928" i="3"/>
  <c r="BX1928" i="3"/>
  <c r="BB1928" i="3"/>
  <c r="U1928" i="3"/>
  <c r="T1928" i="3"/>
  <c r="S1928" i="3"/>
  <c r="C1928" i="3"/>
  <c r="A1928" i="3"/>
  <c r="BY1927" i="3"/>
  <c r="BX1927" i="3"/>
  <c r="BB1927" i="3"/>
  <c r="U1927" i="3"/>
  <c r="T1927" i="3"/>
  <c r="S1927" i="3"/>
  <c r="C1927" i="3"/>
  <c r="A1927" i="3"/>
  <c r="BY1926" i="3"/>
  <c r="BX1926" i="3"/>
  <c r="BB1926" i="3"/>
  <c r="U1926" i="3"/>
  <c r="T1926" i="3"/>
  <c r="S1926" i="3"/>
  <c r="C1926" i="3"/>
  <c r="A1926" i="3"/>
  <c r="BY1925" i="3"/>
  <c r="BX1925" i="3"/>
  <c r="BB1925" i="3"/>
  <c r="U1925" i="3"/>
  <c r="T1925" i="3"/>
  <c r="S1925" i="3"/>
  <c r="C1925" i="3"/>
  <c r="A1925" i="3"/>
  <c r="BY1924" i="3"/>
  <c r="BX1924" i="3"/>
  <c r="BB1924" i="3"/>
  <c r="U1924" i="3"/>
  <c r="T1924" i="3"/>
  <c r="S1924" i="3"/>
  <c r="C1924" i="3"/>
  <c r="A1924" i="3"/>
  <c r="BY1923" i="3"/>
  <c r="BX1923" i="3"/>
  <c r="BB1923" i="3"/>
  <c r="U1923" i="3"/>
  <c r="T1923" i="3"/>
  <c r="S1923" i="3"/>
  <c r="C1923" i="3"/>
  <c r="A1923" i="3"/>
  <c r="BY1922" i="3"/>
  <c r="BX1922" i="3"/>
  <c r="BB1922" i="3"/>
  <c r="U1922" i="3"/>
  <c r="T1922" i="3"/>
  <c r="S1922" i="3"/>
  <c r="C1922" i="3"/>
  <c r="A1922" i="3"/>
  <c r="BY1921" i="3"/>
  <c r="BX1921" i="3"/>
  <c r="BB1921" i="3"/>
  <c r="U1921" i="3"/>
  <c r="T1921" i="3"/>
  <c r="S1921" i="3"/>
  <c r="C1921" i="3"/>
  <c r="A1921" i="3"/>
  <c r="BY1920" i="3"/>
  <c r="BX1920" i="3"/>
  <c r="BB1920" i="3"/>
  <c r="U1920" i="3"/>
  <c r="T1920" i="3"/>
  <c r="S1920" i="3"/>
  <c r="C1920" i="3"/>
  <c r="A1920" i="3"/>
  <c r="BY1919" i="3"/>
  <c r="BX1919" i="3"/>
  <c r="BB1919" i="3"/>
  <c r="U1919" i="3"/>
  <c r="T1919" i="3"/>
  <c r="S1919" i="3"/>
  <c r="C1919" i="3"/>
  <c r="A1919" i="3"/>
  <c r="BY1918" i="3"/>
  <c r="BX1918" i="3"/>
  <c r="BB1918" i="3"/>
  <c r="U1918" i="3"/>
  <c r="T1918" i="3"/>
  <c r="S1918" i="3"/>
  <c r="C1918" i="3"/>
  <c r="A1918" i="3"/>
  <c r="BY1917" i="3"/>
  <c r="BX1917" i="3"/>
  <c r="BB1917" i="3"/>
  <c r="U1917" i="3"/>
  <c r="T1917" i="3"/>
  <c r="S1917" i="3"/>
  <c r="C1917" i="3"/>
  <c r="A1917" i="3"/>
  <c r="BY1916" i="3"/>
  <c r="BX1916" i="3"/>
  <c r="BB1916" i="3"/>
  <c r="U1916" i="3"/>
  <c r="T1916" i="3"/>
  <c r="S1916" i="3"/>
  <c r="C1916" i="3"/>
  <c r="A1916" i="3"/>
  <c r="BY1915" i="3"/>
  <c r="BX1915" i="3"/>
  <c r="BB1915" i="3"/>
  <c r="U1915" i="3"/>
  <c r="T1915" i="3"/>
  <c r="S1915" i="3"/>
  <c r="C1915" i="3"/>
  <c r="A1915" i="3"/>
  <c r="BY1914" i="3"/>
  <c r="BX1914" i="3"/>
  <c r="BB1914" i="3"/>
  <c r="U1914" i="3"/>
  <c r="T1914" i="3"/>
  <c r="S1914" i="3"/>
  <c r="C1914" i="3"/>
  <c r="A1914" i="3"/>
  <c r="BY1913" i="3"/>
  <c r="BX1913" i="3"/>
  <c r="BB1913" i="3"/>
  <c r="U1913" i="3"/>
  <c r="T1913" i="3"/>
  <c r="S1913" i="3"/>
  <c r="C1913" i="3"/>
  <c r="A1913" i="3"/>
  <c r="BY1912" i="3"/>
  <c r="BX1912" i="3"/>
  <c r="BB1912" i="3"/>
  <c r="U1912" i="3"/>
  <c r="T1912" i="3"/>
  <c r="S1912" i="3"/>
  <c r="C1912" i="3"/>
  <c r="A1912" i="3"/>
  <c r="BY1911" i="3"/>
  <c r="BX1911" i="3"/>
  <c r="BB1911" i="3"/>
  <c r="U1911" i="3"/>
  <c r="T1911" i="3"/>
  <c r="S1911" i="3"/>
  <c r="C1911" i="3"/>
  <c r="A1911" i="3"/>
  <c r="BY1910" i="3"/>
  <c r="BX1910" i="3"/>
  <c r="BB1910" i="3"/>
  <c r="U1910" i="3"/>
  <c r="T1910" i="3"/>
  <c r="S1910" i="3"/>
  <c r="C1910" i="3"/>
  <c r="A1910" i="3"/>
  <c r="BY1909" i="3"/>
  <c r="BX1909" i="3"/>
  <c r="BB1909" i="3"/>
  <c r="U1909" i="3"/>
  <c r="T1909" i="3"/>
  <c r="S1909" i="3"/>
  <c r="C1909" i="3"/>
  <c r="A1909" i="3"/>
  <c r="BY1908" i="3"/>
  <c r="BX1908" i="3"/>
  <c r="BB1908" i="3"/>
  <c r="U1908" i="3"/>
  <c r="T1908" i="3"/>
  <c r="S1908" i="3"/>
  <c r="C1908" i="3"/>
  <c r="A1908" i="3"/>
  <c r="BY1907" i="3"/>
  <c r="BX1907" i="3"/>
  <c r="BB1907" i="3"/>
  <c r="U1907" i="3"/>
  <c r="T1907" i="3"/>
  <c r="S1907" i="3"/>
  <c r="C1907" i="3"/>
  <c r="A1907" i="3"/>
  <c r="BY1906" i="3"/>
  <c r="BX1906" i="3"/>
  <c r="BB1906" i="3"/>
  <c r="U1906" i="3"/>
  <c r="T1906" i="3"/>
  <c r="S1906" i="3"/>
  <c r="C1906" i="3"/>
  <c r="A1906" i="3"/>
  <c r="BY1905" i="3"/>
  <c r="BX1905" i="3"/>
  <c r="BB1905" i="3"/>
  <c r="U1905" i="3"/>
  <c r="T1905" i="3"/>
  <c r="S1905" i="3"/>
  <c r="C1905" i="3"/>
  <c r="A1905" i="3"/>
  <c r="BY1904" i="3"/>
  <c r="BX1904" i="3"/>
  <c r="BB1904" i="3"/>
  <c r="U1904" i="3"/>
  <c r="T1904" i="3"/>
  <c r="S1904" i="3"/>
  <c r="C1904" i="3"/>
  <c r="A1904" i="3"/>
  <c r="BY1903" i="3"/>
  <c r="BX1903" i="3"/>
  <c r="BB1903" i="3"/>
  <c r="U1903" i="3"/>
  <c r="T1903" i="3"/>
  <c r="S1903" i="3"/>
  <c r="C1903" i="3"/>
  <c r="A1903" i="3"/>
  <c r="BY1902" i="3"/>
  <c r="BX1902" i="3"/>
  <c r="BB1902" i="3"/>
  <c r="U1902" i="3"/>
  <c r="T1902" i="3"/>
  <c r="S1902" i="3"/>
  <c r="C1902" i="3"/>
  <c r="A1902" i="3"/>
  <c r="BY1901" i="3"/>
  <c r="BX1901" i="3"/>
  <c r="BB1901" i="3"/>
  <c r="U1901" i="3"/>
  <c r="T1901" i="3"/>
  <c r="S1901" i="3"/>
  <c r="C1901" i="3"/>
  <c r="A1901" i="3"/>
  <c r="BY1900" i="3"/>
  <c r="BX1900" i="3"/>
  <c r="BB1900" i="3"/>
  <c r="U1900" i="3"/>
  <c r="T1900" i="3"/>
  <c r="S1900" i="3"/>
  <c r="C1900" i="3"/>
  <c r="A1900" i="3"/>
  <c r="BY1899" i="3"/>
  <c r="BX1899" i="3"/>
  <c r="BB1899" i="3"/>
  <c r="U1899" i="3"/>
  <c r="T1899" i="3"/>
  <c r="S1899" i="3"/>
  <c r="C1899" i="3"/>
  <c r="A1899" i="3"/>
  <c r="BY1898" i="3"/>
  <c r="BX1898" i="3"/>
  <c r="BB1898" i="3"/>
  <c r="U1898" i="3"/>
  <c r="T1898" i="3"/>
  <c r="S1898" i="3"/>
  <c r="C1898" i="3"/>
  <c r="A1898" i="3"/>
  <c r="BY1897" i="3"/>
  <c r="BX1897" i="3"/>
  <c r="BB1897" i="3"/>
  <c r="U1897" i="3"/>
  <c r="T1897" i="3"/>
  <c r="S1897" i="3"/>
  <c r="C1897" i="3"/>
  <c r="A1897" i="3"/>
  <c r="BY1896" i="3"/>
  <c r="BX1896" i="3"/>
  <c r="BB1896" i="3"/>
  <c r="U1896" i="3"/>
  <c r="T1896" i="3"/>
  <c r="S1896" i="3"/>
  <c r="C1896" i="3"/>
  <c r="A1896" i="3"/>
  <c r="BY1895" i="3"/>
  <c r="BX1895" i="3"/>
  <c r="BB1895" i="3"/>
  <c r="U1895" i="3"/>
  <c r="T1895" i="3"/>
  <c r="S1895" i="3"/>
  <c r="C1895" i="3"/>
  <c r="A1895" i="3"/>
  <c r="BY1894" i="3"/>
  <c r="BX1894" i="3"/>
  <c r="BB1894" i="3"/>
  <c r="U1894" i="3"/>
  <c r="T1894" i="3"/>
  <c r="S1894" i="3"/>
  <c r="C1894" i="3"/>
  <c r="A1894" i="3"/>
  <c r="BY1893" i="3"/>
  <c r="BX1893" i="3"/>
  <c r="BB1893" i="3"/>
  <c r="U1893" i="3"/>
  <c r="T1893" i="3"/>
  <c r="S1893" i="3"/>
  <c r="C1893" i="3"/>
  <c r="A1893" i="3"/>
  <c r="BY1892" i="3"/>
  <c r="BX1892" i="3"/>
  <c r="BB1892" i="3"/>
  <c r="U1892" i="3"/>
  <c r="T1892" i="3"/>
  <c r="S1892" i="3"/>
  <c r="C1892" i="3"/>
  <c r="A1892" i="3"/>
  <c r="BY1891" i="3"/>
  <c r="BX1891" i="3"/>
  <c r="BB1891" i="3"/>
  <c r="U1891" i="3"/>
  <c r="T1891" i="3"/>
  <c r="S1891" i="3"/>
  <c r="C1891" i="3"/>
  <c r="A1891" i="3"/>
  <c r="BY1890" i="3"/>
  <c r="BX1890" i="3"/>
  <c r="BB1890" i="3"/>
  <c r="U1890" i="3"/>
  <c r="T1890" i="3"/>
  <c r="S1890" i="3"/>
  <c r="C1890" i="3"/>
  <c r="A1890" i="3"/>
  <c r="BY1889" i="3"/>
  <c r="BX1889" i="3"/>
  <c r="BB1889" i="3"/>
  <c r="U1889" i="3"/>
  <c r="T1889" i="3"/>
  <c r="S1889" i="3"/>
  <c r="C1889" i="3"/>
  <c r="A1889" i="3"/>
  <c r="BY1888" i="3"/>
  <c r="BX1888" i="3"/>
  <c r="BB1888" i="3"/>
  <c r="U1888" i="3"/>
  <c r="T1888" i="3"/>
  <c r="S1888" i="3"/>
  <c r="C1888" i="3"/>
  <c r="A1888" i="3"/>
  <c r="BY1887" i="3"/>
  <c r="BX1887" i="3"/>
  <c r="BB1887" i="3"/>
  <c r="U1887" i="3"/>
  <c r="T1887" i="3"/>
  <c r="S1887" i="3"/>
  <c r="C1887" i="3"/>
  <c r="A1887" i="3"/>
  <c r="BY1886" i="3"/>
  <c r="BX1886" i="3"/>
  <c r="BB1886" i="3"/>
  <c r="U1886" i="3"/>
  <c r="T1886" i="3"/>
  <c r="S1886" i="3"/>
  <c r="C1886" i="3"/>
  <c r="A1886" i="3"/>
  <c r="BY1885" i="3"/>
  <c r="BX1885" i="3"/>
  <c r="BB1885" i="3"/>
  <c r="U1885" i="3"/>
  <c r="T1885" i="3"/>
  <c r="S1885" i="3"/>
  <c r="C1885" i="3"/>
  <c r="A1885" i="3"/>
  <c r="BY1884" i="3"/>
  <c r="BX1884" i="3"/>
  <c r="BB1884" i="3"/>
  <c r="U1884" i="3"/>
  <c r="T1884" i="3"/>
  <c r="S1884" i="3"/>
  <c r="C1884" i="3"/>
  <c r="A1884" i="3"/>
  <c r="BY1883" i="3"/>
  <c r="BX1883" i="3"/>
  <c r="BB1883" i="3"/>
  <c r="U1883" i="3"/>
  <c r="T1883" i="3"/>
  <c r="S1883" i="3"/>
  <c r="C1883" i="3"/>
  <c r="A1883" i="3"/>
  <c r="BY1882" i="3"/>
  <c r="BX1882" i="3"/>
  <c r="BB1882" i="3"/>
  <c r="U1882" i="3"/>
  <c r="T1882" i="3"/>
  <c r="S1882" i="3"/>
  <c r="C1882" i="3"/>
  <c r="A1882" i="3"/>
  <c r="BY1881" i="3"/>
  <c r="BX1881" i="3"/>
  <c r="BB1881" i="3"/>
  <c r="U1881" i="3"/>
  <c r="T1881" i="3"/>
  <c r="S1881" i="3"/>
  <c r="C1881" i="3"/>
  <c r="A1881" i="3"/>
  <c r="BY1880" i="3"/>
  <c r="BX1880" i="3"/>
  <c r="BB1880" i="3"/>
  <c r="U1880" i="3"/>
  <c r="T1880" i="3"/>
  <c r="S1880" i="3"/>
  <c r="C1880" i="3"/>
  <c r="A1880" i="3"/>
  <c r="BY1879" i="3"/>
  <c r="BX1879" i="3"/>
  <c r="BB1879" i="3"/>
  <c r="U1879" i="3"/>
  <c r="T1879" i="3"/>
  <c r="S1879" i="3"/>
  <c r="C1879" i="3"/>
  <c r="A1879" i="3"/>
  <c r="BY1878" i="3"/>
  <c r="BX1878" i="3"/>
  <c r="BB1878" i="3"/>
  <c r="U1878" i="3"/>
  <c r="T1878" i="3"/>
  <c r="S1878" i="3"/>
  <c r="C1878" i="3"/>
  <c r="A1878" i="3"/>
  <c r="BY1877" i="3"/>
  <c r="BX1877" i="3"/>
  <c r="BB1877" i="3"/>
  <c r="U1877" i="3"/>
  <c r="T1877" i="3"/>
  <c r="S1877" i="3"/>
  <c r="C1877" i="3"/>
  <c r="A1877" i="3"/>
  <c r="BY1876" i="3"/>
  <c r="BX1876" i="3"/>
  <c r="BB1876" i="3"/>
  <c r="U1876" i="3"/>
  <c r="T1876" i="3"/>
  <c r="S1876" i="3"/>
  <c r="C1876" i="3"/>
  <c r="A1876" i="3"/>
  <c r="BY1875" i="3"/>
  <c r="BX1875" i="3"/>
  <c r="BB1875" i="3"/>
  <c r="U1875" i="3"/>
  <c r="T1875" i="3"/>
  <c r="S1875" i="3"/>
  <c r="C1875" i="3"/>
  <c r="A1875" i="3"/>
  <c r="BY1874" i="3"/>
  <c r="BX1874" i="3"/>
  <c r="BB1874" i="3"/>
  <c r="U1874" i="3"/>
  <c r="T1874" i="3"/>
  <c r="S1874" i="3"/>
  <c r="C1874" i="3"/>
  <c r="A1874" i="3"/>
  <c r="BY1873" i="3"/>
  <c r="BX1873" i="3"/>
  <c r="BB1873" i="3"/>
  <c r="U1873" i="3"/>
  <c r="T1873" i="3"/>
  <c r="S1873" i="3"/>
  <c r="C1873" i="3"/>
  <c r="A1873" i="3"/>
  <c r="BY1872" i="3"/>
  <c r="BX1872" i="3"/>
  <c r="BB1872" i="3"/>
  <c r="U1872" i="3"/>
  <c r="T1872" i="3"/>
  <c r="S1872" i="3"/>
  <c r="C1872" i="3"/>
  <c r="A1872" i="3"/>
  <c r="BY1871" i="3"/>
  <c r="BX1871" i="3"/>
  <c r="BB1871" i="3"/>
  <c r="U1871" i="3"/>
  <c r="T1871" i="3"/>
  <c r="S1871" i="3"/>
  <c r="C1871" i="3"/>
  <c r="A1871" i="3"/>
  <c r="BY1870" i="3"/>
  <c r="BX1870" i="3"/>
  <c r="BB1870" i="3"/>
  <c r="U1870" i="3"/>
  <c r="T1870" i="3"/>
  <c r="S1870" i="3"/>
  <c r="C1870" i="3"/>
  <c r="A1870" i="3"/>
  <c r="BY1869" i="3"/>
  <c r="BX1869" i="3"/>
  <c r="BB1869" i="3"/>
  <c r="U1869" i="3"/>
  <c r="T1869" i="3"/>
  <c r="S1869" i="3"/>
  <c r="C1869" i="3"/>
  <c r="A1869" i="3"/>
  <c r="BY1868" i="3"/>
  <c r="BX1868" i="3"/>
  <c r="BB1868" i="3"/>
  <c r="U1868" i="3"/>
  <c r="T1868" i="3"/>
  <c r="S1868" i="3"/>
  <c r="C1868" i="3"/>
  <c r="A1868" i="3"/>
  <c r="BY1867" i="3"/>
  <c r="BX1867" i="3"/>
  <c r="BB1867" i="3"/>
  <c r="U1867" i="3"/>
  <c r="T1867" i="3"/>
  <c r="S1867" i="3"/>
  <c r="C1867" i="3"/>
  <c r="A1867" i="3"/>
  <c r="BY1866" i="3"/>
  <c r="BX1866" i="3"/>
  <c r="BB1866" i="3"/>
  <c r="U1866" i="3"/>
  <c r="T1866" i="3"/>
  <c r="S1866" i="3"/>
  <c r="C1866" i="3"/>
  <c r="A1866" i="3"/>
  <c r="BY1865" i="3"/>
  <c r="BX1865" i="3"/>
  <c r="BB1865" i="3"/>
  <c r="U1865" i="3"/>
  <c r="T1865" i="3"/>
  <c r="S1865" i="3"/>
  <c r="C1865" i="3"/>
  <c r="A1865" i="3"/>
  <c r="BY1864" i="3"/>
  <c r="BX1864" i="3"/>
  <c r="BB1864" i="3"/>
  <c r="U1864" i="3"/>
  <c r="T1864" i="3"/>
  <c r="S1864" i="3"/>
  <c r="C1864" i="3"/>
  <c r="A1864" i="3"/>
  <c r="BY1863" i="3"/>
  <c r="BX1863" i="3"/>
  <c r="BB1863" i="3"/>
  <c r="U1863" i="3"/>
  <c r="T1863" i="3"/>
  <c r="S1863" i="3"/>
  <c r="C1863" i="3"/>
  <c r="A1863" i="3"/>
  <c r="BY1862" i="3"/>
  <c r="BX1862" i="3"/>
  <c r="BB1862" i="3"/>
  <c r="U1862" i="3"/>
  <c r="T1862" i="3"/>
  <c r="S1862" i="3"/>
  <c r="C1862" i="3"/>
  <c r="A1862" i="3"/>
  <c r="BY1861" i="3"/>
  <c r="BX1861" i="3"/>
  <c r="BB1861" i="3"/>
  <c r="U1861" i="3"/>
  <c r="T1861" i="3"/>
  <c r="S1861" i="3"/>
  <c r="C1861" i="3"/>
  <c r="A1861" i="3"/>
  <c r="BY1860" i="3"/>
  <c r="BX1860" i="3"/>
  <c r="BB1860" i="3"/>
  <c r="U1860" i="3"/>
  <c r="T1860" i="3"/>
  <c r="S1860" i="3"/>
  <c r="C1860" i="3"/>
  <c r="A1860" i="3"/>
  <c r="BY1859" i="3"/>
  <c r="BX1859" i="3"/>
  <c r="BB1859" i="3"/>
  <c r="U1859" i="3"/>
  <c r="T1859" i="3"/>
  <c r="S1859" i="3"/>
  <c r="C1859" i="3"/>
  <c r="A1859" i="3"/>
  <c r="BY1858" i="3"/>
  <c r="BX1858" i="3"/>
  <c r="BB1858" i="3"/>
  <c r="U1858" i="3"/>
  <c r="T1858" i="3"/>
  <c r="S1858" i="3"/>
  <c r="C1858" i="3"/>
  <c r="A1858" i="3"/>
  <c r="BY1857" i="3"/>
  <c r="BX1857" i="3"/>
  <c r="BB1857" i="3"/>
  <c r="U1857" i="3"/>
  <c r="T1857" i="3"/>
  <c r="S1857" i="3"/>
  <c r="C1857" i="3"/>
  <c r="A1857" i="3"/>
  <c r="BY1856" i="3"/>
  <c r="BX1856" i="3"/>
  <c r="BB1856" i="3"/>
  <c r="U1856" i="3"/>
  <c r="T1856" i="3"/>
  <c r="S1856" i="3"/>
  <c r="C1856" i="3"/>
  <c r="A1856" i="3"/>
  <c r="BY1855" i="3"/>
  <c r="BX1855" i="3"/>
  <c r="BB1855" i="3"/>
  <c r="U1855" i="3"/>
  <c r="T1855" i="3"/>
  <c r="S1855" i="3"/>
  <c r="C1855" i="3"/>
  <c r="A1855" i="3"/>
  <c r="BY1854" i="3"/>
  <c r="BX1854" i="3"/>
  <c r="BB1854" i="3"/>
  <c r="U1854" i="3"/>
  <c r="T1854" i="3"/>
  <c r="S1854" i="3"/>
  <c r="C1854" i="3"/>
  <c r="A1854" i="3"/>
  <c r="BY1853" i="3"/>
  <c r="BX1853" i="3"/>
  <c r="BB1853" i="3"/>
  <c r="U1853" i="3"/>
  <c r="T1853" i="3"/>
  <c r="S1853" i="3"/>
  <c r="C1853" i="3"/>
  <c r="A1853" i="3"/>
  <c r="BY1852" i="3"/>
  <c r="BX1852" i="3"/>
  <c r="BB1852" i="3"/>
  <c r="U1852" i="3"/>
  <c r="T1852" i="3"/>
  <c r="S1852" i="3"/>
  <c r="C1852" i="3"/>
  <c r="A1852" i="3"/>
  <c r="BY1851" i="3"/>
  <c r="BX1851" i="3"/>
  <c r="BB1851" i="3"/>
  <c r="U1851" i="3"/>
  <c r="T1851" i="3"/>
  <c r="S1851" i="3"/>
  <c r="C1851" i="3"/>
  <c r="A1851" i="3"/>
  <c r="BY1850" i="3"/>
  <c r="BX1850" i="3"/>
  <c r="BB1850" i="3"/>
  <c r="U1850" i="3"/>
  <c r="T1850" i="3"/>
  <c r="S1850" i="3"/>
  <c r="C1850" i="3"/>
  <c r="A1850" i="3"/>
  <c r="BY1849" i="3"/>
  <c r="BX1849" i="3"/>
  <c r="BB1849" i="3"/>
  <c r="U1849" i="3"/>
  <c r="T1849" i="3"/>
  <c r="S1849" i="3"/>
  <c r="C1849" i="3"/>
  <c r="A1849" i="3"/>
  <c r="BY1848" i="3"/>
  <c r="BX1848" i="3"/>
  <c r="BB1848" i="3"/>
  <c r="U1848" i="3"/>
  <c r="T1848" i="3"/>
  <c r="S1848" i="3"/>
  <c r="C1848" i="3"/>
  <c r="A1848" i="3"/>
  <c r="BY1847" i="3"/>
  <c r="BX1847" i="3"/>
  <c r="BB1847" i="3"/>
  <c r="U1847" i="3"/>
  <c r="T1847" i="3"/>
  <c r="S1847" i="3"/>
  <c r="C1847" i="3"/>
  <c r="A1847" i="3"/>
  <c r="BY1846" i="3"/>
  <c r="BX1846" i="3"/>
  <c r="BB1846" i="3"/>
  <c r="U1846" i="3"/>
  <c r="T1846" i="3"/>
  <c r="S1846" i="3"/>
  <c r="C1846" i="3"/>
  <c r="A1846" i="3"/>
  <c r="BY1845" i="3"/>
  <c r="BX1845" i="3"/>
  <c r="BB1845" i="3"/>
  <c r="U1845" i="3"/>
  <c r="T1845" i="3"/>
  <c r="S1845" i="3"/>
  <c r="C1845" i="3"/>
  <c r="A1845" i="3"/>
  <c r="BY1844" i="3"/>
  <c r="BX1844" i="3"/>
  <c r="BB1844" i="3"/>
  <c r="U1844" i="3"/>
  <c r="T1844" i="3"/>
  <c r="S1844" i="3"/>
  <c r="C1844" i="3"/>
  <c r="A1844" i="3"/>
  <c r="BY1843" i="3"/>
  <c r="BX1843" i="3"/>
  <c r="BB1843" i="3"/>
  <c r="U1843" i="3"/>
  <c r="T1843" i="3"/>
  <c r="S1843" i="3"/>
  <c r="C1843" i="3"/>
  <c r="A1843" i="3"/>
  <c r="BY1842" i="3"/>
  <c r="BX1842" i="3"/>
  <c r="BB1842" i="3"/>
  <c r="U1842" i="3"/>
  <c r="T1842" i="3"/>
  <c r="S1842" i="3"/>
  <c r="C1842" i="3"/>
  <c r="A1842" i="3"/>
  <c r="BY1841" i="3"/>
  <c r="BX1841" i="3"/>
  <c r="BB1841" i="3"/>
  <c r="U1841" i="3"/>
  <c r="T1841" i="3"/>
  <c r="S1841" i="3"/>
  <c r="C1841" i="3"/>
  <c r="A1841" i="3"/>
  <c r="BY1840" i="3"/>
  <c r="BX1840" i="3"/>
  <c r="BB1840" i="3"/>
  <c r="U1840" i="3"/>
  <c r="T1840" i="3"/>
  <c r="S1840" i="3"/>
  <c r="C1840" i="3"/>
  <c r="A1840" i="3"/>
  <c r="BY1839" i="3"/>
  <c r="BX1839" i="3"/>
  <c r="BB1839" i="3"/>
  <c r="U1839" i="3"/>
  <c r="T1839" i="3"/>
  <c r="S1839" i="3"/>
  <c r="C1839" i="3"/>
  <c r="A1839" i="3"/>
  <c r="BY1838" i="3"/>
  <c r="BX1838" i="3"/>
  <c r="BB1838" i="3"/>
  <c r="U1838" i="3"/>
  <c r="T1838" i="3"/>
  <c r="S1838" i="3"/>
  <c r="C1838" i="3"/>
  <c r="A1838" i="3"/>
  <c r="BY1837" i="3"/>
  <c r="BX1837" i="3"/>
  <c r="BB1837" i="3"/>
  <c r="U1837" i="3"/>
  <c r="T1837" i="3"/>
  <c r="S1837" i="3"/>
  <c r="C1837" i="3"/>
  <c r="A1837" i="3"/>
  <c r="BY1836" i="3"/>
  <c r="BX1836" i="3"/>
  <c r="BB1836" i="3"/>
  <c r="U1836" i="3"/>
  <c r="T1836" i="3"/>
  <c r="S1836" i="3"/>
  <c r="C1836" i="3"/>
  <c r="A1836" i="3"/>
  <c r="BY1835" i="3"/>
  <c r="BX1835" i="3"/>
  <c r="BB1835" i="3"/>
  <c r="U1835" i="3"/>
  <c r="T1835" i="3"/>
  <c r="S1835" i="3"/>
  <c r="C1835" i="3"/>
  <c r="A1835" i="3"/>
  <c r="BY1834" i="3"/>
  <c r="BX1834" i="3"/>
  <c r="BB1834" i="3"/>
  <c r="U1834" i="3"/>
  <c r="T1834" i="3"/>
  <c r="S1834" i="3"/>
  <c r="C1834" i="3"/>
  <c r="A1834" i="3"/>
  <c r="BY1833" i="3"/>
  <c r="BX1833" i="3"/>
  <c r="BB1833" i="3"/>
  <c r="U1833" i="3"/>
  <c r="T1833" i="3"/>
  <c r="S1833" i="3"/>
  <c r="C1833" i="3"/>
  <c r="A1833" i="3"/>
  <c r="BY1832" i="3"/>
  <c r="BX1832" i="3"/>
  <c r="BB1832" i="3"/>
  <c r="U1832" i="3"/>
  <c r="T1832" i="3"/>
  <c r="S1832" i="3"/>
  <c r="C1832" i="3"/>
  <c r="A1832" i="3"/>
  <c r="BY1831" i="3"/>
  <c r="BX1831" i="3"/>
  <c r="BB1831" i="3"/>
  <c r="U1831" i="3"/>
  <c r="T1831" i="3"/>
  <c r="S1831" i="3"/>
  <c r="C1831" i="3"/>
  <c r="A1831" i="3"/>
  <c r="BY1830" i="3"/>
  <c r="BX1830" i="3"/>
  <c r="BB1830" i="3"/>
  <c r="U1830" i="3"/>
  <c r="T1830" i="3"/>
  <c r="S1830" i="3"/>
  <c r="C1830" i="3"/>
  <c r="A1830" i="3"/>
  <c r="BY1829" i="3"/>
  <c r="BX1829" i="3"/>
  <c r="BB1829" i="3"/>
  <c r="U1829" i="3"/>
  <c r="T1829" i="3"/>
  <c r="S1829" i="3"/>
  <c r="C1829" i="3"/>
  <c r="A1829" i="3"/>
  <c r="BY1828" i="3"/>
  <c r="BX1828" i="3"/>
  <c r="BB1828" i="3"/>
  <c r="U1828" i="3"/>
  <c r="T1828" i="3"/>
  <c r="S1828" i="3"/>
  <c r="C1828" i="3"/>
  <c r="A1828" i="3"/>
  <c r="BY1827" i="3"/>
  <c r="BX1827" i="3"/>
  <c r="BB1827" i="3"/>
  <c r="U1827" i="3"/>
  <c r="T1827" i="3"/>
  <c r="S1827" i="3"/>
  <c r="C1827" i="3"/>
  <c r="A1827" i="3"/>
  <c r="BY1826" i="3"/>
  <c r="BX1826" i="3"/>
  <c r="BB1826" i="3"/>
  <c r="U1826" i="3"/>
  <c r="T1826" i="3"/>
  <c r="S1826" i="3"/>
  <c r="C1826" i="3"/>
  <c r="A1826" i="3"/>
  <c r="BY1825" i="3"/>
  <c r="BX1825" i="3"/>
  <c r="BB1825" i="3"/>
  <c r="U1825" i="3"/>
  <c r="T1825" i="3"/>
  <c r="S1825" i="3"/>
  <c r="C1825" i="3"/>
  <c r="A1825" i="3"/>
  <c r="BY1824" i="3"/>
  <c r="BX1824" i="3"/>
  <c r="BB1824" i="3"/>
  <c r="U1824" i="3"/>
  <c r="T1824" i="3"/>
  <c r="S1824" i="3"/>
  <c r="C1824" i="3"/>
  <c r="A1824" i="3"/>
  <c r="BY1823" i="3"/>
  <c r="BX1823" i="3"/>
  <c r="BB1823" i="3"/>
  <c r="U1823" i="3"/>
  <c r="T1823" i="3"/>
  <c r="S1823" i="3"/>
  <c r="C1823" i="3"/>
  <c r="A1823" i="3"/>
  <c r="BY1822" i="3"/>
  <c r="BX1822" i="3"/>
  <c r="BB1822" i="3"/>
  <c r="U1822" i="3"/>
  <c r="T1822" i="3"/>
  <c r="S1822" i="3"/>
  <c r="C1822" i="3"/>
  <c r="A1822" i="3"/>
  <c r="BY1821" i="3"/>
  <c r="BX1821" i="3"/>
  <c r="BB1821" i="3"/>
  <c r="U1821" i="3"/>
  <c r="T1821" i="3"/>
  <c r="S1821" i="3"/>
  <c r="C1821" i="3"/>
  <c r="A1821" i="3"/>
  <c r="BY1820" i="3"/>
  <c r="BX1820" i="3"/>
  <c r="BB1820" i="3"/>
  <c r="U1820" i="3"/>
  <c r="T1820" i="3"/>
  <c r="S1820" i="3"/>
  <c r="C1820" i="3"/>
  <c r="A1820" i="3"/>
  <c r="BY1819" i="3"/>
  <c r="BX1819" i="3"/>
  <c r="BB1819" i="3"/>
  <c r="U1819" i="3"/>
  <c r="T1819" i="3"/>
  <c r="S1819" i="3"/>
  <c r="C1819" i="3"/>
  <c r="A1819" i="3"/>
  <c r="BY1818" i="3"/>
  <c r="BX1818" i="3"/>
  <c r="BB1818" i="3"/>
  <c r="U1818" i="3"/>
  <c r="T1818" i="3"/>
  <c r="S1818" i="3"/>
  <c r="C1818" i="3"/>
  <c r="A1818" i="3"/>
  <c r="BY1817" i="3"/>
  <c r="BX1817" i="3"/>
  <c r="BB1817" i="3"/>
  <c r="U1817" i="3"/>
  <c r="T1817" i="3"/>
  <c r="S1817" i="3"/>
  <c r="C1817" i="3"/>
  <c r="A1817" i="3"/>
  <c r="BY1816" i="3"/>
  <c r="BX1816" i="3"/>
  <c r="BB1816" i="3"/>
  <c r="U1816" i="3"/>
  <c r="T1816" i="3"/>
  <c r="S1816" i="3"/>
  <c r="C1816" i="3"/>
  <c r="A1816" i="3"/>
  <c r="BY1815" i="3"/>
  <c r="BX1815" i="3"/>
  <c r="BB1815" i="3"/>
  <c r="U1815" i="3"/>
  <c r="T1815" i="3"/>
  <c r="S1815" i="3"/>
  <c r="C1815" i="3"/>
  <c r="A1815" i="3"/>
  <c r="BY1814" i="3"/>
  <c r="BX1814" i="3"/>
  <c r="BB1814" i="3"/>
  <c r="U1814" i="3"/>
  <c r="T1814" i="3"/>
  <c r="S1814" i="3"/>
  <c r="C1814" i="3"/>
  <c r="A1814" i="3"/>
  <c r="BY1813" i="3"/>
  <c r="BX1813" i="3"/>
  <c r="BB1813" i="3"/>
  <c r="U1813" i="3"/>
  <c r="T1813" i="3"/>
  <c r="S1813" i="3"/>
  <c r="C1813" i="3"/>
  <c r="A1813" i="3"/>
  <c r="BY1812" i="3"/>
  <c r="BX1812" i="3"/>
  <c r="BB1812" i="3"/>
  <c r="U1812" i="3"/>
  <c r="T1812" i="3"/>
  <c r="S1812" i="3"/>
  <c r="C1812" i="3"/>
  <c r="A1812" i="3"/>
  <c r="BY1811" i="3"/>
  <c r="BX1811" i="3"/>
  <c r="BB1811" i="3"/>
  <c r="U1811" i="3"/>
  <c r="T1811" i="3"/>
  <c r="S1811" i="3"/>
  <c r="C1811" i="3"/>
  <c r="A1811" i="3"/>
  <c r="BY1810" i="3"/>
  <c r="BX1810" i="3"/>
  <c r="BB1810" i="3"/>
  <c r="U1810" i="3"/>
  <c r="T1810" i="3"/>
  <c r="S1810" i="3"/>
  <c r="C1810" i="3"/>
  <c r="A1810" i="3"/>
  <c r="BY1809" i="3"/>
  <c r="BX1809" i="3"/>
  <c r="BB1809" i="3"/>
  <c r="U1809" i="3"/>
  <c r="T1809" i="3"/>
  <c r="S1809" i="3"/>
  <c r="C1809" i="3"/>
  <c r="A1809" i="3"/>
  <c r="BY1808" i="3"/>
  <c r="BX1808" i="3"/>
  <c r="BB1808" i="3"/>
  <c r="U1808" i="3"/>
  <c r="T1808" i="3"/>
  <c r="S1808" i="3"/>
  <c r="C1808" i="3"/>
  <c r="A1808" i="3"/>
  <c r="BY1807" i="3"/>
  <c r="BX1807" i="3"/>
  <c r="BB1807" i="3"/>
  <c r="U1807" i="3"/>
  <c r="T1807" i="3"/>
  <c r="S1807" i="3"/>
  <c r="C1807" i="3"/>
  <c r="A1807" i="3"/>
  <c r="BY1806" i="3"/>
  <c r="BX1806" i="3"/>
  <c r="BB1806" i="3"/>
  <c r="U1806" i="3"/>
  <c r="T1806" i="3"/>
  <c r="S1806" i="3"/>
  <c r="C1806" i="3"/>
  <c r="A1806" i="3"/>
  <c r="BY1805" i="3"/>
  <c r="BX1805" i="3"/>
  <c r="BB1805" i="3"/>
  <c r="U1805" i="3"/>
  <c r="T1805" i="3"/>
  <c r="S1805" i="3"/>
  <c r="C1805" i="3"/>
  <c r="A1805" i="3"/>
  <c r="BY1804" i="3"/>
  <c r="BX1804" i="3"/>
  <c r="BB1804" i="3"/>
  <c r="U1804" i="3"/>
  <c r="T1804" i="3"/>
  <c r="S1804" i="3"/>
  <c r="C1804" i="3"/>
  <c r="A1804" i="3"/>
  <c r="BY1803" i="3"/>
  <c r="BX1803" i="3"/>
  <c r="BB1803" i="3"/>
  <c r="U1803" i="3"/>
  <c r="T1803" i="3"/>
  <c r="S1803" i="3"/>
  <c r="C1803" i="3"/>
  <c r="A1803" i="3"/>
  <c r="BY1802" i="3"/>
  <c r="BX1802" i="3"/>
  <c r="BB1802" i="3"/>
  <c r="U1802" i="3"/>
  <c r="T1802" i="3"/>
  <c r="S1802" i="3"/>
  <c r="C1802" i="3"/>
  <c r="A1802" i="3"/>
  <c r="BY1801" i="3"/>
  <c r="BX1801" i="3"/>
  <c r="BB1801" i="3"/>
  <c r="U1801" i="3"/>
  <c r="T1801" i="3"/>
  <c r="S1801" i="3"/>
  <c r="C1801" i="3"/>
  <c r="A1801" i="3"/>
  <c r="BY1800" i="3"/>
  <c r="BX1800" i="3"/>
  <c r="BB1800" i="3"/>
  <c r="U1800" i="3"/>
  <c r="T1800" i="3"/>
  <c r="S1800" i="3"/>
  <c r="C1800" i="3"/>
  <c r="A1800" i="3"/>
  <c r="BY1799" i="3"/>
  <c r="BX1799" i="3"/>
  <c r="BB1799" i="3"/>
  <c r="U1799" i="3"/>
  <c r="T1799" i="3"/>
  <c r="S1799" i="3"/>
  <c r="C1799" i="3"/>
  <c r="A1799" i="3"/>
  <c r="BY1798" i="3"/>
  <c r="BX1798" i="3"/>
  <c r="BB1798" i="3"/>
  <c r="U1798" i="3"/>
  <c r="T1798" i="3"/>
  <c r="S1798" i="3"/>
  <c r="C1798" i="3"/>
  <c r="A1798" i="3"/>
  <c r="BY1797" i="3"/>
  <c r="BX1797" i="3"/>
  <c r="BB1797" i="3"/>
  <c r="U1797" i="3"/>
  <c r="T1797" i="3"/>
  <c r="S1797" i="3"/>
  <c r="C1797" i="3"/>
  <c r="A1797" i="3"/>
  <c r="BY1796" i="3"/>
  <c r="BX1796" i="3"/>
  <c r="BB1796" i="3"/>
  <c r="U1796" i="3"/>
  <c r="T1796" i="3"/>
  <c r="S1796" i="3"/>
  <c r="C1796" i="3"/>
  <c r="A1796" i="3"/>
  <c r="BY1795" i="3"/>
  <c r="BX1795" i="3"/>
  <c r="BB1795" i="3"/>
  <c r="U1795" i="3"/>
  <c r="T1795" i="3"/>
  <c r="S1795" i="3"/>
  <c r="C1795" i="3"/>
  <c r="A1795" i="3"/>
  <c r="BY1794" i="3"/>
  <c r="BX1794" i="3"/>
  <c r="BB1794" i="3"/>
  <c r="U1794" i="3"/>
  <c r="T1794" i="3"/>
  <c r="S1794" i="3"/>
  <c r="C1794" i="3"/>
  <c r="A1794" i="3"/>
  <c r="BY1793" i="3"/>
  <c r="BX1793" i="3"/>
  <c r="BB1793" i="3"/>
  <c r="U1793" i="3"/>
  <c r="T1793" i="3"/>
  <c r="S1793" i="3"/>
  <c r="C1793" i="3"/>
  <c r="A1793" i="3"/>
  <c r="BY1792" i="3"/>
  <c r="BX1792" i="3"/>
  <c r="BB1792" i="3"/>
  <c r="U1792" i="3"/>
  <c r="T1792" i="3"/>
  <c r="S1792" i="3"/>
  <c r="C1792" i="3"/>
  <c r="A1792" i="3"/>
  <c r="BY1791" i="3"/>
  <c r="BX1791" i="3"/>
  <c r="BB1791" i="3"/>
  <c r="U1791" i="3"/>
  <c r="T1791" i="3"/>
  <c r="S1791" i="3"/>
  <c r="C1791" i="3"/>
  <c r="A1791" i="3"/>
  <c r="BY1790" i="3"/>
  <c r="BX1790" i="3"/>
  <c r="BB1790" i="3"/>
  <c r="U1790" i="3"/>
  <c r="T1790" i="3"/>
  <c r="S1790" i="3"/>
  <c r="C1790" i="3"/>
  <c r="A1790" i="3"/>
  <c r="BY1789" i="3"/>
  <c r="BX1789" i="3"/>
  <c r="BB1789" i="3"/>
  <c r="U1789" i="3"/>
  <c r="T1789" i="3"/>
  <c r="S1789" i="3"/>
  <c r="C1789" i="3"/>
  <c r="A1789" i="3"/>
  <c r="BY1788" i="3"/>
  <c r="BX1788" i="3"/>
  <c r="BB1788" i="3"/>
  <c r="U1788" i="3"/>
  <c r="T1788" i="3"/>
  <c r="S1788" i="3"/>
  <c r="C1788" i="3"/>
  <c r="A1788" i="3"/>
  <c r="BY1787" i="3"/>
  <c r="BX1787" i="3"/>
  <c r="BB1787" i="3"/>
  <c r="U1787" i="3"/>
  <c r="T1787" i="3"/>
  <c r="S1787" i="3"/>
  <c r="C1787" i="3"/>
  <c r="A1787" i="3"/>
  <c r="BY1786" i="3"/>
  <c r="BX1786" i="3"/>
  <c r="BB1786" i="3"/>
  <c r="U1786" i="3"/>
  <c r="T1786" i="3"/>
  <c r="S1786" i="3"/>
  <c r="C1786" i="3"/>
  <c r="A1786" i="3"/>
  <c r="BY1785" i="3"/>
  <c r="BX1785" i="3"/>
  <c r="BB1785" i="3"/>
  <c r="U1785" i="3"/>
  <c r="T1785" i="3"/>
  <c r="S1785" i="3"/>
  <c r="C1785" i="3"/>
  <c r="A1785" i="3"/>
  <c r="BY1784" i="3"/>
  <c r="BX1784" i="3"/>
  <c r="BB1784" i="3"/>
  <c r="U1784" i="3"/>
  <c r="T1784" i="3"/>
  <c r="S1784" i="3"/>
  <c r="C1784" i="3"/>
  <c r="A1784" i="3"/>
  <c r="BY1783" i="3"/>
  <c r="BX1783" i="3"/>
  <c r="BB1783" i="3"/>
  <c r="U1783" i="3"/>
  <c r="T1783" i="3"/>
  <c r="S1783" i="3"/>
  <c r="C1783" i="3"/>
  <c r="A1783" i="3"/>
  <c r="BY1782" i="3"/>
  <c r="BX1782" i="3"/>
  <c r="BB1782" i="3"/>
  <c r="U1782" i="3"/>
  <c r="T1782" i="3"/>
  <c r="S1782" i="3"/>
  <c r="C1782" i="3"/>
  <c r="A1782" i="3"/>
  <c r="BY1781" i="3"/>
  <c r="BX1781" i="3"/>
  <c r="BB1781" i="3"/>
  <c r="U1781" i="3"/>
  <c r="T1781" i="3"/>
  <c r="S1781" i="3"/>
  <c r="C1781" i="3"/>
  <c r="A1781" i="3"/>
  <c r="BY1780" i="3"/>
  <c r="BX1780" i="3"/>
  <c r="BB1780" i="3"/>
  <c r="U1780" i="3"/>
  <c r="T1780" i="3"/>
  <c r="S1780" i="3"/>
  <c r="C1780" i="3"/>
  <c r="A1780" i="3"/>
  <c r="BY1779" i="3"/>
  <c r="BX1779" i="3"/>
  <c r="BB1779" i="3"/>
  <c r="U1779" i="3"/>
  <c r="T1779" i="3"/>
  <c r="S1779" i="3"/>
  <c r="C1779" i="3"/>
  <c r="A1779" i="3"/>
  <c r="BY1778" i="3"/>
  <c r="BX1778" i="3"/>
  <c r="BB1778" i="3"/>
  <c r="U1778" i="3"/>
  <c r="T1778" i="3"/>
  <c r="S1778" i="3"/>
  <c r="C1778" i="3"/>
  <c r="A1778" i="3"/>
  <c r="BY1777" i="3"/>
  <c r="BX1777" i="3"/>
  <c r="BB1777" i="3"/>
  <c r="U1777" i="3"/>
  <c r="T1777" i="3"/>
  <c r="S1777" i="3"/>
  <c r="C1777" i="3"/>
  <c r="A1777" i="3"/>
  <c r="BY1776" i="3"/>
  <c r="BX1776" i="3"/>
  <c r="BB1776" i="3"/>
  <c r="U1776" i="3"/>
  <c r="T1776" i="3"/>
  <c r="S1776" i="3"/>
  <c r="C1776" i="3"/>
  <c r="A1776" i="3"/>
  <c r="BY1775" i="3"/>
  <c r="BX1775" i="3"/>
  <c r="BB1775" i="3"/>
  <c r="U1775" i="3"/>
  <c r="T1775" i="3"/>
  <c r="S1775" i="3"/>
  <c r="C1775" i="3"/>
  <c r="A1775" i="3"/>
  <c r="BY1774" i="3"/>
  <c r="BX1774" i="3"/>
  <c r="BB1774" i="3"/>
  <c r="U1774" i="3"/>
  <c r="T1774" i="3"/>
  <c r="S1774" i="3"/>
  <c r="C1774" i="3"/>
  <c r="A1774" i="3"/>
  <c r="BY1773" i="3"/>
  <c r="BX1773" i="3"/>
  <c r="BB1773" i="3"/>
  <c r="U1773" i="3"/>
  <c r="T1773" i="3"/>
  <c r="S1773" i="3"/>
  <c r="C1773" i="3"/>
  <c r="A1773" i="3"/>
  <c r="BY1772" i="3"/>
  <c r="BX1772" i="3"/>
  <c r="BB1772" i="3"/>
  <c r="U1772" i="3"/>
  <c r="T1772" i="3"/>
  <c r="S1772" i="3"/>
  <c r="C1772" i="3"/>
  <c r="A1772" i="3"/>
  <c r="BY1771" i="3"/>
  <c r="BX1771" i="3"/>
  <c r="BB1771" i="3"/>
  <c r="U1771" i="3"/>
  <c r="T1771" i="3"/>
  <c r="S1771" i="3"/>
  <c r="C1771" i="3"/>
  <c r="A1771" i="3"/>
  <c r="BY1770" i="3"/>
  <c r="BX1770" i="3"/>
  <c r="BB1770" i="3"/>
  <c r="U1770" i="3"/>
  <c r="T1770" i="3"/>
  <c r="S1770" i="3"/>
  <c r="C1770" i="3"/>
  <c r="A1770" i="3"/>
  <c r="BY1769" i="3"/>
  <c r="BX1769" i="3"/>
  <c r="BB1769" i="3"/>
  <c r="U1769" i="3"/>
  <c r="T1769" i="3"/>
  <c r="S1769" i="3"/>
  <c r="C1769" i="3"/>
  <c r="A1769" i="3"/>
  <c r="BY1768" i="3"/>
  <c r="BX1768" i="3"/>
  <c r="BB1768" i="3"/>
  <c r="U1768" i="3"/>
  <c r="T1768" i="3"/>
  <c r="S1768" i="3"/>
  <c r="C1768" i="3"/>
  <c r="A1768" i="3"/>
  <c r="BY1767" i="3"/>
  <c r="BX1767" i="3"/>
  <c r="BB1767" i="3"/>
  <c r="U1767" i="3"/>
  <c r="T1767" i="3"/>
  <c r="S1767" i="3"/>
  <c r="C1767" i="3"/>
  <c r="A1767" i="3"/>
  <c r="BY1766" i="3"/>
  <c r="BX1766" i="3"/>
  <c r="BB1766" i="3"/>
  <c r="U1766" i="3"/>
  <c r="T1766" i="3"/>
  <c r="S1766" i="3"/>
  <c r="C1766" i="3"/>
  <c r="A1766" i="3"/>
  <c r="BY1765" i="3"/>
  <c r="BX1765" i="3"/>
  <c r="BB1765" i="3"/>
  <c r="U1765" i="3"/>
  <c r="T1765" i="3"/>
  <c r="S1765" i="3"/>
  <c r="C1765" i="3"/>
  <c r="A1765" i="3"/>
  <c r="BY1764" i="3"/>
  <c r="BX1764" i="3"/>
  <c r="BB1764" i="3"/>
  <c r="U1764" i="3"/>
  <c r="T1764" i="3"/>
  <c r="S1764" i="3"/>
  <c r="C1764" i="3"/>
  <c r="A1764" i="3"/>
  <c r="BY1763" i="3"/>
  <c r="BX1763" i="3"/>
  <c r="BB1763" i="3"/>
  <c r="U1763" i="3"/>
  <c r="T1763" i="3"/>
  <c r="S1763" i="3"/>
  <c r="C1763" i="3"/>
  <c r="A1763" i="3"/>
  <c r="BY1762" i="3"/>
  <c r="BX1762" i="3"/>
  <c r="BB1762" i="3"/>
  <c r="U1762" i="3"/>
  <c r="T1762" i="3"/>
  <c r="S1762" i="3"/>
  <c r="C1762" i="3"/>
  <c r="A1762" i="3"/>
  <c r="BY1761" i="3"/>
  <c r="BX1761" i="3"/>
  <c r="BB1761" i="3"/>
  <c r="U1761" i="3"/>
  <c r="T1761" i="3"/>
  <c r="S1761" i="3"/>
  <c r="C1761" i="3"/>
  <c r="A1761" i="3"/>
  <c r="BY1760" i="3"/>
  <c r="BX1760" i="3"/>
  <c r="BB1760" i="3"/>
  <c r="U1760" i="3"/>
  <c r="T1760" i="3"/>
  <c r="S1760" i="3"/>
  <c r="C1760" i="3"/>
  <c r="A1760" i="3"/>
  <c r="BY1759" i="3"/>
  <c r="BX1759" i="3"/>
  <c r="BB1759" i="3"/>
  <c r="U1759" i="3"/>
  <c r="T1759" i="3"/>
  <c r="S1759" i="3"/>
  <c r="C1759" i="3"/>
  <c r="A1759" i="3"/>
  <c r="BY1758" i="3"/>
  <c r="BX1758" i="3"/>
  <c r="BB1758" i="3"/>
  <c r="U1758" i="3"/>
  <c r="T1758" i="3"/>
  <c r="S1758" i="3"/>
  <c r="C1758" i="3"/>
  <c r="A1758" i="3"/>
  <c r="BY1757" i="3"/>
  <c r="BX1757" i="3"/>
  <c r="BB1757" i="3"/>
  <c r="U1757" i="3"/>
  <c r="T1757" i="3"/>
  <c r="S1757" i="3"/>
  <c r="C1757" i="3"/>
  <c r="A1757" i="3"/>
  <c r="BY1756" i="3"/>
  <c r="BX1756" i="3"/>
  <c r="BB1756" i="3"/>
  <c r="U1756" i="3"/>
  <c r="T1756" i="3"/>
  <c r="S1756" i="3"/>
  <c r="C1756" i="3"/>
  <c r="A1756" i="3"/>
  <c r="BY1755" i="3"/>
  <c r="BX1755" i="3"/>
  <c r="BB1755" i="3"/>
  <c r="U1755" i="3"/>
  <c r="T1755" i="3"/>
  <c r="S1755" i="3"/>
  <c r="C1755" i="3"/>
  <c r="A1755" i="3"/>
  <c r="BY1754" i="3"/>
  <c r="BX1754" i="3"/>
  <c r="BB1754" i="3"/>
  <c r="U1754" i="3"/>
  <c r="T1754" i="3"/>
  <c r="S1754" i="3"/>
  <c r="C1754" i="3"/>
  <c r="A1754" i="3"/>
  <c r="BY1753" i="3"/>
  <c r="BX1753" i="3"/>
  <c r="BB1753" i="3"/>
  <c r="U1753" i="3"/>
  <c r="T1753" i="3"/>
  <c r="S1753" i="3"/>
  <c r="C1753" i="3"/>
  <c r="A1753" i="3"/>
  <c r="BY1752" i="3"/>
  <c r="BX1752" i="3"/>
  <c r="BB1752" i="3"/>
  <c r="U1752" i="3"/>
  <c r="T1752" i="3"/>
  <c r="S1752" i="3"/>
  <c r="C1752" i="3"/>
  <c r="A1752" i="3"/>
  <c r="BY1751" i="3"/>
  <c r="BX1751" i="3"/>
  <c r="BB1751" i="3"/>
  <c r="U1751" i="3"/>
  <c r="T1751" i="3"/>
  <c r="S1751" i="3"/>
  <c r="C1751" i="3"/>
  <c r="A1751" i="3"/>
  <c r="BY1750" i="3"/>
  <c r="BX1750" i="3"/>
  <c r="BB1750" i="3"/>
  <c r="U1750" i="3"/>
  <c r="T1750" i="3"/>
  <c r="S1750" i="3"/>
  <c r="C1750" i="3"/>
  <c r="A1750" i="3"/>
  <c r="BY1749" i="3"/>
  <c r="BX1749" i="3"/>
  <c r="BB1749" i="3"/>
  <c r="U1749" i="3"/>
  <c r="T1749" i="3"/>
  <c r="S1749" i="3"/>
  <c r="C1749" i="3"/>
  <c r="A1749" i="3"/>
  <c r="BY1748" i="3"/>
  <c r="BX1748" i="3"/>
  <c r="BB1748" i="3"/>
  <c r="U1748" i="3"/>
  <c r="T1748" i="3"/>
  <c r="S1748" i="3"/>
  <c r="C1748" i="3"/>
  <c r="A1748" i="3"/>
  <c r="BY1747" i="3"/>
  <c r="BX1747" i="3"/>
  <c r="BB1747" i="3"/>
  <c r="U1747" i="3"/>
  <c r="T1747" i="3"/>
  <c r="S1747" i="3"/>
  <c r="C1747" i="3"/>
  <c r="A1747" i="3"/>
  <c r="BY1746" i="3"/>
  <c r="BX1746" i="3"/>
  <c r="BB1746" i="3"/>
  <c r="U1746" i="3"/>
  <c r="T1746" i="3"/>
  <c r="S1746" i="3"/>
  <c r="C1746" i="3"/>
  <c r="A1746" i="3"/>
  <c r="BY1745" i="3"/>
  <c r="BX1745" i="3"/>
  <c r="BB1745" i="3"/>
  <c r="U1745" i="3"/>
  <c r="T1745" i="3"/>
  <c r="S1745" i="3"/>
  <c r="C1745" i="3"/>
  <c r="A1745" i="3"/>
  <c r="BY1744" i="3"/>
  <c r="BX1744" i="3"/>
  <c r="BB1744" i="3"/>
  <c r="U1744" i="3"/>
  <c r="T1744" i="3"/>
  <c r="S1744" i="3"/>
  <c r="C1744" i="3"/>
  <c r="A1744" i="3"/>
  <c r="BY1743" i="3"/>
  <c r="BX1743" i="3"/>
  <c r="BB1743" i="3"/>
  <c r="U1743" i="3"/>
  <c r="T1743" i="3"/>
  <c r="S1743" i="3"/>
  <c r="C1743" i="3"/>
  <c r="A1743" i="3"/>
  <c r="BY1742" i="3"/>
  <c r="BX1742" i="3"/>
  <c r="BB1742" i="3"/>
  <c r="U1742" i="3"/>
  <c r="T1742" i="3"/>
  <c r="S1742" i="3"/>
  <c r="C1742" i="3"/>
  <c r="A1742" i="3"/>
  <c r="BY1741" i="3"/>
  <c r="BX1741" i="3"/>
  <c r="BB1741" i="3"/>
  <c r="U1741" i="3"/>
  <c r="T1741" i="3"/>
  <c r="S1741" i="3"/>
  <c r="C1741" i="3"/>
  <c r="A1741" i="3"/>
  <c r="BY1740" i="3"/>
  <c r="BX1740" i="3"/>
  <c r="BB1740" i="3"/>
  <c r="U1740" i="3"/>
  <c r="T1740" i="3"/>
  <c r="S1740" i="3"/>
  <c r="C1740" i="3"/>
  <c r="A1740" i="3"/>
  <c r="BY1739" i="3"/>
  <c r="BX1739" i="3"/>
  <c r="BB1739" i="3"/>
  <c r="U1739" i="3"/>
  <c r="T1739" i="3"/>
  <c r="S1739" i="3"/>
  <c r="C1739" i="3"/>
  <c r="A1739" i="3"/>
  <c r="BY1738" i="3"/>
  <c r="BX1738" i="3"/>
  <c r="BB1738" i="3"/>
  <c r="U1738" i="3"/>
  <c r="T1738" i="3"/>
  <c r="S1738" i="3"/>
  <c r="C1738" i="3"/>
  <c r="A1738" i="3"/>
  <c r="BY1737" i="3"/>
  <c r="BX1737" i="3"/>
  <c r="BB1737" i="3"/>
  <c r="U1737" i="3"/>
  <c r="T1737" i="3"/>
  <c r="S1737" i="3"/>
  <c r="C1737" i="3"/>
  <c r="A1737" i="3"/>
  <c r="BY1736" i="3"/>
  <c r="BX1736" i="3"/>
  <c r="BB1736" i="3"/>
  <c r="U1736" i="3"/>
  <c r="T1736" i="3"/>
  <c r="S1736" i="3"/>
  <c r="C1736" i="3"/>
  <c r="A1736" i="3"/>
  <c r="BY1735" i="3"/>
  <c r="BX1735" i="3"/>
  <c r="BB1735" i="3"/>
  <c r="U1735" i="3"/>
  <c r="T1735" i="3"/>
  <c r="S1735" i="3"/>
  <c r="C1735" i="3"/>
  <c r="A1735" i="3"/>
  <c r="BY1734" i="3"/>
  <c r="BX1734" i="3"/>
  <c r="BB1734" i="3"/>
  <c r="U1734" i="3"/>
  <c r="T1734" i="3"/>
  <c r="S1734" i="3"/>
  <c r="C1734" i="3"/>
  <c r="A1734" i="3"/>
  <c r="BY1733" i="3"/>
  <c r="BX1733" i="3"/>
  <c r="BB1733" i="3"/>
  <c r="U1733" i="3"/>
  <c r="T1733" i="3"/>
  <c r="S1733" i="3"/>
  <c r="C1733" i="3"/>
  <c r="A1733" i="3"/>
  <c r="BY1732" i="3"/>
  <c r="BX1732" i="3"/>
  <c r="BB1732" i="3"/>
  <c r="U1732" i="3"/>
  <c r="T1732" i="3"/>
  <c r="S1732" i="3"/>
  <c r="C1732" i="3"/>
  <c r="A1732" i="3"/>
  <c r="BY1731" i="3"/>
  <c r="BX1731" i="3"/>
  <c r="BB1731" i="3"/>
  <c r="U1731" i="3"/>
  <c r="T1731" i="3"/>
  <c r="S1731" i="3"/>
  <c r="C1731" i="3"/>
  <c r="A1731" i="3"/>
  <c r="BY1730" i="3"/>
  <c r="BX1730" i="3"/>
  <c r="BB1730" i="3"/>
  <c r="U1730" i="3"/>
  <c r="T1730" i="3"/>
  <c r="S1730" i="3"/>
  <c r="C1730" i="3"/>
  <c r="A1730" i="3"/>
  <c r="BY1729" i="3"/>
  <c r="BX1729" i="3"/>
  <c r="BB1729" i="3"/>
  <c r="U1729" i="3"/>
  <c r="T1729" i="3"/>
  <c r="S1729" i="3"/>
  <c r="C1729" i="3"/>
  <c r="A1729" i="3"/>
  <c r="BY1728" i="3"/>
  <c r="BX1728" i="3"/>
  <c r="BB1728" i="3"/>
  <c r="U1728" i="3"/>
  <c r="T1728" i="3"/>
  <c r="S1728" i="3"/>
  <c r="C1728" i="3"/>
  <c r="A1728" i="3"/>
  <c r="BY1727" i="3"/>
  <c r="BX1727" i="3"/>
  <c r="BB1727" i="3"/>
  <c r="U1727" i="3"/>
  <c r="T1727" i="3"/>
  <c r="S1727" i="3"/>
  <c r="C1727" i="3"/>
  <c r="A1727" i="3"/>
  <c r="BY1726" i="3"/>
  <c r="BX1726" i="3"/>
  <c r="BB1726" i="3"/>
  <c r="U1726" i="3"/>
  <c r="T1726" i="3"/>
  <c r="S1726" i="3"/>
  <c r="C1726" i="3"/>
  <c r="A1726" i="3"/>
  <c r="BY1725" i="3"/>
  <c r="BX1725" i="3"/>
  <c r="BB1725" i="3"/>
  <c r="U1725" i="3"/>
  <c r="T1725" i="3"/>
  <c r="S1725" i="3"/>
  <c r="C1725" i="3"/>
  <c r="A1725" i="3"/>
  <c r="BY1724" i="3"/>
  <c r="BX1724" i="3"/>
  <c r="BB1724" i="3"/>
  <c r="U1724" i="3"/>
  <c r="T1724" i="3"/>
  <c r="S1724" i="3"/>
  <c r="C1724" i="3"/>
  <c r="A1724" i="3"/>
  <c r="BY1723" i="3"/>
  <c r="BX1723" i="3"/>
  <c r="BB1723" i="3"/>
  <c r="U1723" i="3"/>
  <c r="T1723" i="3"/>
  <c r="S1723" i="3"/>
  <c r="C1723" i="3"/>
  <c r="A1723" i="3"/>
  <c r="BY1722" i="3"/>
  <c r="BX1722" i="3"/>
  <c r="BB1722" i="3"/>
  <c r="U1722" i="3"/>
  <c r="T1722" i="3"/>
  <c r="S1722" i="3"/>
  <c r="C1722" i="3"/>
  <c r="A1722" i="3"/>
  <c r="BY1721" i="3"/>
  <c r="BX1721" i="3"/>
  <c r="BB1721" i="3"/>
  <c r="U1721" i="3"/>
  <c r="T1721" i="3"/>
  <c r="S1721" i="3"/>
  <c r="C1721" i="3"/>
  <c r="A1721" i="3"/>
  <c r="BY1720" i="3"/>
  <c r="BX1720" i="3"/>
  <c r="BB1720" i="3"/>
  <c r="U1720" i="3"/>
  <c r="T1720" i="3"/>
  <c r="S1720" i="3"/>
  <c r="C1720" i="3"/>
  <c r="A1720" i="3"/>
  <c r="BY1719" i="3"/>
  <c r="BX1719" i="3"/>
  <c r="BB1719" i="3"/>
  <c r="U1719" i="3"/>
  <c r="T1719" i="3"/>
  <c r="S1719" i="3"/>
  <c r="C1719" i="3"/>
  <c r="A1719" i="3"/>
  <c r="BY1718" i="3"/>
  <c r="BX1718" i="3"/>
  <c r="BB1718" i="3"/>
  <c r="U1718" i="3"/>
  <c r="T1718" i="3"/>
  <c r="S1718" i="3"/>
  <c r="C1718" i="3"/>
  <c r="A1718" i="3"/>
  <c r="BY1717" i="3"/>
  <c r="BX1717" i="3"/>
  <c r="BB1717" i="3"/>
  <c r="U1717" i="3"/>
  <c r="T1717" i="3"/>
  <c r="S1717" i="3"/>
  <c r="C1717" i="3"/>
  <c r="A1717" i="3"/>
  <c r="BY1716" i="3"/>
  <c r="BX1716" i="3"/>
  <c r="BB1716" i="3"/>
  <c r="U1716" i="3"/>
  <c r="T1716" i="3"/>
  <c r="S1716" i="3"/>
  <c r="C1716" i="3"/>
  <c r="A1716" i="3"/>
  <c r="BY1715" i="3"/>
  <c r="BX1715" i="3"/>
  <c r="BB1715" i="3"/>
  <c r="U1715" i="3"/>
  <c r="T1715" i="3"/>
  <c r="S1715" i="3"/>
  <c r="C1715" i="3"/>
  <c r="A1715" i="3"/>
  <c r="BY1714" i="3"/>
  <c r="BX1714" i="3"/>
  <c r="BB1714" i="3"/>
  <c r="U1714" i="3"/>
  <c r="T1714" i="3"/>
  <c r="S1714" i="3"/>
  <c r="C1714" i="3"/>
  <c r="A1714" i="3"/>
  <c r="BY1713" i="3"/>
  <c r="BX1713" i="3"/>
  <c r="BB1713" i="3"/>
  <c r="U1713" i="3"/>
  <c r="T1713" i="3"/>
  <c r="S1713" i="3"/>
  <c r="C1713" i="3"/>
  <c r="A1713" i="3"/>
  <c r="BY1712" i="3"/>
  <c r="BX1712" i="3"/>
  <c r="BB1712" i="3"/>
  <c r="U1712" i="3"/>
  <c r="T1712" i="3"/>
  <c r="S1712" i="3"/>
  <c r="C1712" i="3"/>
  <c r="A1712" i="3"/>
  <c r="BY1711" i="3"/>
  <c r="BX1711" i="3"/>
  <c r="BB1711" i="3"/>
  <c r="U1711" i="3"/>
  <c r="T1711" i="3"/>
  <c r="S1711" i="3"/>
  <c r="C1711" i="3"/>
  <c r="A1711" i="3"/>
  <c r="BY1710" i="3"/>
  <c r="BX1710" i="3"/>
  <c r="BB1710" i="3"/>
  <c r="U1710" i="3"/>
  <c r="T1710" i="3"/>
  <c r="S1710" i="3"/>
  <c r="C1710" i="3"/>
  <c r="A1710" i="3"/>
  <c r="BY1709" i="3"/>
  <c r="BX1709" i="3"/>
  <c r="BB1709" i="3"/>
  <c r="U1709" i="3"/>
  <c r="T1709" i="3"/>
  <c r="S1709" i="3"/>
  <c r="C1709" i="3"/>
  <c r="A1709" i="3"/>
  <c r="BY1708" i="3"/>
  <c r="BX1708" i="3"/>
  <c r="BB1708" i="3"/>
  <c r="U1708" i="3"/>
  <c r="T1708" i="3"/>
  <c r="S1708" i="3"/>
  <c r="C1708" i="3"/>
  <c r="A1708" i="3"/>
  <c r="BY1707" i="3"/>
  <c r="BX1707" i="3"/>
  <c r="BB1707" i="3"/>
  <c r="U1707" i="3"/>
  <c r="T1707" i="3"/>
  <c r="S1707" i="3"/>
  <c r="C1707" i="3"/>
  <c r="A1707" i="3"/>
  <c r="BY1706" i="3"/>
  <c r="BX1706" i="3"/>
  <c r="BB1706" i="3"/>
  <c r="U1706" i="3"/>
  <c r="T1706" i="3"/>
  <c r="S1706" i="3"/>
  <c r="C1706" i="3"/>
  <c r="A1706" i="3"/>
  <c r="BY1705" i="3"/>
  <c r="BX1705" i="3"/>
  <c r="BB1705" i="3"/>
  <c r="U1705" i="3"/>
  <c r="T1705" i="3"/>
  <c r="S1705" i="3"/>
  <c r="C1705" i="3"/>
  <c r="A1705" i="3"/>
  <c r="BY1704" i="3"/>
  <c r="BX1704" i="3"/>
  <c r="BB1704" i="3"/>
  <c r="U1704" i="3"/>
  <c r="T1704" i="3"/>
  <c r="S1704" i="3"/>
  <c r="C1704" i="3"/>
  <c r="A1704" i="3"/>
  <c r="BY1703" i="3"/>
  <c r="BX1703" i="3"/>
  <c r="BB1703" i="3"/>
  <c r="U1703" i="3"/>
  <c r="T1703" i="3"/>
  <c r="S1703" i="3"/>
  <c r="C1703" i="3"/>
  <c r="A1703" i="3"/>
  <c r="BY1702" i="3"/>
  <c r="BX1702" i="3"/>
  <c r="BB1702" i="3"/>
  <c r="U1702" i="3"/>
  <c r="T1702" i="3"/>
  <c r="S1702" i="3"/>
  <c r="C1702" i="3"/>
  <c r="A1702" i="3"/>
  <c r="BY1701" i="3"/>
  <c r="BX1701" i="3"/>
  <c r="BB1701" i="3"/>
  <c r="U1701" i="3"/>
  <c r="T1701" i="3"/>
  <c r="S1701" i="3"/>
  <c r="C1701" i="3"/>
  <c r="A1701" i="3"/>
  <c r="BY1700" i="3"/>
  <c r="BX1700" i="3"/>
  <c r="BB1700" i="3"/>
  <c r="U1700" i="3"/>
  <c r="T1700" i="3"/>
  <c r="S1700" i="3"/>
  <c r="C1700" i="3"/>
  <c r="A1700" i="3"/>
  <c r="BY1699" i="3"/>
  <c r="BX1699" i="3"/>
  <c r="BB1699" i="3"/>
  <c r="U1699" i="3"/>
  <c r="T1699" i="3"/>
  <c r="S1699" i="3"/>
  <c r="C1699" i="3"/>
  <c r="A1699" i="3"/>
  <c r="BY1698" i="3"/>
  <c r="BX1698" i="3"/>
  <c r="BB1698" i="3"/>
  <c r="U1698" i="3"/>
  <c r="T1698" i="3"/>
  <c r="S1698" i="3"/>
  <c r="C1698" i="3"/>
  <c r="A1698" i="3"/>
  <c r="BY1697" i="3"/>
  <c r="BX1697" i="3"/>
  <c r="BB1697" i="3"/>
  <c r="U1697" i="3"/>
  <c r="T1697" i="3"/>
  <c r="S1697" i="3"/>
  <c r="C1697" i="3"/>
  <c r="A1697" i="3"/>
  <c r="BY1696" i="3"/>
  <c r="BX1696" i="3"/>
  <c r="BB1696" i="3"/>
  <c r="U1696" i="3"/>
  <c r="T1696" i="3"/>
  <c r="S1696" i="3"/>
  <c r="C1696" i="3"/>
  <c r="A1696" i="3"/>
  <c r="BY1695" i="3"/>
  <c r="BX1695" i="3"/>
  <c r="BB1695" i="3"/>
  <c r="U1695" i="3"/>
  <c r="T1695" i="3"/>
  <c r="S1695" i="3"/>
  <c r="C1695" i="3"/>
  <c r="A1695" i="3"/>
  <c r="BY1694" i="3"/>
  <c r="BX1694" i="3"/>
  <c r="BB1694" i="3"/>
  <c r="U1694" i="3"/>
  <c r="T1694" i="3"/>
  <c r="S1694" i="3"/>
  <c r="C1694" i="3"/>
  <c r="A1694" i="3"/>
  <c r="BY1693" i="3"/>
  <c r="BX1693" i="3"/>
  <c r="BB1693" i="3"/>
  <c r="U1693" i="3"/>
  <c r="T1693" i="3"/>
  <c r="S1693" i="3"/>
  <c r="C1693" i="3"/>
  <c r="A1693" i="3"/>
  <c r="BY1692" i="3"/>
  <c r="BX1692" i="3"/>
  <c r="BB1692" i="3"/>
  <c r="U1692" i="3"/>
  <c r="T1692" i="3"/>
  <c r="S1692" i="3"/>
  <c r="C1692" i="3"/>
  <c r="A1692" i="3"/>
  <c r="BY1691" i="3"/>
  <c r="BX1691" i="3"/>
  <c r="BB1691" i="3"/>
  <c r="U1691" i="3"/>
  <c r="T1691" i="3"/>
  <c r="S1691" i="3"/>
  <c r="C1691" i="3"/>
  <c r="A1691" i="3"/>
  <c r="BY1690" i="3"/>
  <c r="BX1690" i="3"/>
  <c r="BB1690" i="3"/>
  <c r="U1690" i="3"/>
  <c r="T1690" i="3"/>
  <c r="S1690" i="3"/>
  <c r="C1690" i="3"/>
  <c r="A1690" i="3"/>
  <c r="BY1689" i="3"/>
  <c r="BX1689" i="3"/>
  <c r="BB1689" i="3"/>
  <c r="U1689" i="3"/>
  <c r="T1689" i="3"/>
  <c r="S1689" i="3"/>
  <c r="C1689" i="3"/>
  <c r="A1689" i="3"/>
  <c r="BY1688" i="3"/>
  <c r="BX1688" i="3"/>
  <c r="BB1688" i="3"/>
  <c r="U1688" i="3"/>
  <c r="T1688" i="3"/>
  <c r="S1688" i="3"/>
  <c r="C1688" i="3"/>
  <c r="A1688" i="3"/>
  <c r="BY1687" i="3"/>
  <c r="BX1687" i="3"/>
  <c r="BB1687" i="3"/>
  <c r="U1687" i="3"/>
  <c r="T1687" i="3"/>
  <c r="S1687" i="3"/>
  <c r="C1687" i="3"/>
  <c r="A1687" i="3"/>
  <c r="BY1686" i="3"/>
  <c r="BX1686" i="3"/>
  <c r="BB1686" i="3"/>
  <c r="U1686" i="3"/>
  <c r="T1686" i="3"/>
  <c r="S1686" i="3"/>
  <c r="C1686" i="3"/>
  <c r="A1686" i="3"/>
  <c r="BY1685" i="3"/>
  <c r="BX1685" i="3"/>
  <c r="BB1685" i="3"/>
  <c r="U1685" i="3"/>
  <c r="T1685" i="3"/>
  <c r="S1685" i="3"/>
  <c r="C1685" i="3"/>
  <c r="A1685" i="3"/>
  <c r="BY1684" i="3"/>
  <c r="BX1684" i="3"/>
  <c r="BB1684" i="3"/>
  <c r="U1684" i="3"/>
  <c r="T1684" i="3"/>
  <c r="S1684" i="3"/>
  <c r="C1684" i="3"/>
  <c r="A1684" i="3"/>
  <c r="BY1683" i="3"/>
  <c r="BX1683" i="3"/>
  <c r="BB1683" i="3"/>
  <c r="U1683" i="3"/>
  <c r="T1683" i="3"/>
  <c r="S1683" i="3"/>
  <c r="C1683" i="3"/>
  <c r="A1683" i="3"/>
  <c r="BY1682" i="3"/>
  <c r="BX1682" i="3"/>
  <c r="BB1682" i="3"/>
  <c r="U1682" i="3"/>
  <c r="T1682" i="3"/>
  <c r="S1682" i="3"/>
  <c r="C1682" i="3"/>
  <c r="A1682" i="3"/>
  <c r="BY1681" i="3"/>
  <c r="BX1681" i="3"/>
  <c r="BB1681" i="3"/>
  <c r="U1681" i="3"/>
  <c r="T1681" i="3"/>
  <c r="S1681" i="3"/>
  <c r="C1681" i="3"/>
  <c r="A1681" i="3"/>
  <c r="BY1680" i="3"/>
  <c r="BX1680" i="3"/>
  <c r="BB1680" i="3"/>
  <c r="U1680" i="3"/>
  <c r="T1680" i="3"/>
  <c r="S1680" i="3"/>
  <c r="C1680" i="3"/>
  <c r="A1680" i="3"/>
  <c r="BY1679" i="3"/>
  <c r="BX1679" i="3"/>
  <c r="BB1679" i="3"/>
  <c r="U1679" i="3"/>
  <c r="T1679" i="3"/>
  <c r="S1679" i="3"/>
  <c r="C1679" i="3"/>
  <c r="A1679" i="3"/>
  <c r="BY1678" i="3"/>
  <c r="BX1678" i="3"/>
  <c r="BB1678" i="3"/>
  <c r="U1678" i="3"/>
  <c r="T1678" i="3"/>
  <c r="S1678" i="3"/>
  <c r="C1678" i="3"/>
  <c r="A1678" i="3"/>
  <c r="BY1677" i="3"/>
  <c r="BX1677" i="3"/>
  <c r="BB1677" i="3"/>
  <c r="U1677" i="3"/>
  <c r="T1677" i="3"/>
  <c r="S1677" i="3"/>
  <c r="C1677" i="3"/>
  <c r="A1677" i="3"/>
  <c r="BY1676" i="3"/>
  <c r="BX1676" i="3"/>
  <c r="BB1676" i="3"/>
  <c r="U1676" i="3"/>
  <c r="T1676" i="3"/>
  <c r="S1676" i="3"/>
  <c r="C1676" i="3"/>
  <c r="A1676" i="3"/>
  <c r="BY1675" i="3"/>
  <c r="BX1675" i="3"/>
  <c r="BB1675" i="3"/>
  <c r="U1675" i="3"/>
  <c r="T1675" i="3"/>
  <c r="S1675" i="3"/>
  <c r="C1675" i="3"/>
  <c r="A1675" i="3"/>
  <c r="BY1674" i="3"/>
  <c r="BX1674" i="3"/>
  <c r="BB1674" i="3"/>
  <c r="U1674" i="3"/>
  <c r="T1674" i="3"/>
  <c r="S1674" i="3"/>
  <c r="C1674" i="3"/>
  <c r="A1674" i="3"/>
  <c r="BY1673" i="3"/>
  <c r="BX1673" i="3"/>
  <c r="BB1673" i="3"/>
  <c r="U1673" i="3"/>
  <c r="T1673" i="3"/>
  <c r="S1673" i="3"/>
  <c r="C1673" i="3"/>
  <c r="A1673" i="3"/>
  <c r="BY1672" i="3"/>
  <c r="BX1672" i="3"/>
  <c r="BB1672" i="3"/>
  <c r="U1672" i="3"/>
  <c r="T1672" i="3"/>
  <c r="S1672" i="3"/>
  <c r="C1672" i="3"/>
  <c r="A1672" i="3"/>
  <c r="BY1671" i="3"/>
  <c r="BX1671" i="3"/>
  <c r="BB1671" i="3"/>
  <c r="U1671" i="3"/>
  <c r="T1671" i="3"/>
  <c r="S1671" i="3"/>
  <c r="C1671" i="3"/>
  <c r="A1671" i="3"/>
  <c r="BY1670" i="3"/>
  <c r="BX1670" i="3"/>
  <c r="BB1670" i="3"/>
  <c r="U1670" i="3"/>
  <c r="T1670" i="3"/>
  <c r="S1670" i="3"/>
  <c r="C1670" i="3"/>
  <c r="A1670" i="3"/>
  <c r="BY1669" i="3"/>
  <c r="BX1669" i="3"/>
  <c r="BB1669" i="3"/>
  <c r="U1669" i="3"/>
  <c r="T1669" i="3"/>
  <c r="S1669" i="3"/>
  <c r="C1669" i="3"/>
  <c r="A1669" i="3"/>
  <c r="BY1668" i="3"/>
  <c r="BX1668" i="3"/>
  <c r="BB1668" i="3"/>
  <c r="U1668" i="3"/>
  <c r="T1668" i="3"/>
  <c r="S1668" i="3"/>
  <c r="C1668" i="3"/>
  <c r="A1668" i="3"/>
  <c r="BY1667" i="3"/>
  <c r="BX1667" i="3"/>
  <c r="BB1667" i="3"/>
  <c r="U1667" i="3"/>
  <c r="T1667" i="3"/>
  <c r="S1667" i="3"/>
  <c r="C1667" i="3"/>
  <c r="A1667" i="3"/>
  <c r="BY1666" i="3"/>
  <c r="BX1666" i="3"/>
  <c r="BB1666" i="3"/>
  <c r="U1666" i="3"/>
  <c r="T1666" i="3"/>
  <c r="S1666" i="3"/>
  <c r="C1666" i="3"/>
  <c r="A1666" i="3"/>
  <c r="BY1665" i="3"/>
  <c r="BX1665" i="3"/>
  <c r="BB1665" i="3"/>
  <c r="U1665" i="3"/>
  <c r="T1665" i="3"/>
  <c r="S1665" i="3"/>
  <c r="C1665" i="3"/>
  <c r="A1665" i="3"/>
  <c r="BY1664" i="3"/>
  <c r="BX1664" i="3"/>
  <c r="BB1664" i="3"/>
  <c r="U1664" i="3"/>
  <c r="T1664" i="3"/>
  <c r="S1664" i="3"/>
  <c r="C1664" i="3"/>
  <c r="A1664" i="3"/>
  <c r="BY1663" i="3"/>
  <c r="BX1663" i="3"/>
  <c r="BB1663" i="3"/>
  <c r="U1663" i="3"/>
  <c r="T1663" i="3"/>
  <c r="S1663" i="3"/>
  <c r="C1663" i="3"/>
  <c r="A1663" i="3"/>
  <c r="BY1662" i="3"/>
  <c r="BX1662" i="3"/>
  <c r="BB1662" i="3"/>
  <c r="U1662" i="3"/>
  <c r="T1662" i="3"/>
  <c r="S1662" i="3"/>
  <c r="C1662" i="3"/>
  <c r="A1662" i="3"/>
  <c r="BY1661" i="3"/>
  <c r="BX1661" i="3"/>
  <c r="BB1661" i="3"/>
  <c r="U1661" i="3"/>
  <c r="T1661" i="3"/>
  <c r="S1661" i="3"/>
  <c r="C1661" i="3"/>
  <c r="A1661" i="3"/>
  <c r="BY1660" i="3"/>
  <c r="BX1660" i="3"/>
  <c r="BB1660" i="3"/>
  <c r="U1660" i="3"/>
  <c r="T1660" i="3"/>
  <c r="S1660" i="3"/>
  <c r="C1660" i="3"/>
  <c r="A1660" i="3"/>
  <c r="BY1659" i="3"/>
  <c r="BX1659" i="3"/>
  <c r="BB1659" i="3"/>
  <c r="U1659" i="3"/>
  <c r="T1659" i="3"/>
  <c r="S1659" i="3"/>
  <c r="C1659" i="3"/>
  <c r="A1659" i="3"/>
  <c r="BY1658" i="3"/>
  <c r="BX1658" i="3"/>
  <c r="BB1658" i="3"/>
  <c r="U1658" i="3"/>
  <c r="T1658" i="3"/>
  <c r="S1658" i="3"/>
  <c r="C1658" i="3"/>
  <c r="A1658" i="3"/>
  <c r="BY1657" i="3"/>
  <c r="BX1657" i="3"/>
  <c r="BB1657" i="3"/>
  <c r="U1657" i="3"/>
  <c r="T1657" i="3"/>
  <c r="S1657" i="3"/>
  <c r="C1657" i="3"/>
  <c r="A1657" i="3"/>
  <c r="BY1656" i="3"/>
  <c r="BX1656" i="3"/>
  <c r="BB1656" i="3"/>
  <c r="U1656" i="3"/>
  <c r="T1656" i="3"/>
  <c r="S1656" i="3"/>
  <c r="C1656" i="3"/>
  <c r="A1656" i="3"/>
  <c r="BY1655" i="3"/>
  <c r="BX1655" i="3"/>
  <c r="BB1655" i="3"/>
  <c r="U1655" i="3"/>
  <c r="T1655" i="3"/>
  <c r="S1655" i="3"/>
  <c r="C1655" i="3"/>
  <c r="A1655" i="3"/>
  <c r="BY1654" i="3"/>
  <c r="BX1654" i="3"/>
  <c r="BB1654" i="3"/>
  <c r="U1654" i="3"/>
  <c r="T1654" i="3"/>
  <c r="S1654" i="3"/>
  <c r="C1654" i="3"/>
  <c r="A1654" i="3"/>
  <c r="BY1653" i="3"/>
  <c r="BX1653" i="3"/>
  <c r="BB1653" i="3"/>
  <c r="U1653" i="3"/>
  <c r="T1653" i="3"/>
  <c r="S1653" i="3"/>
  <c r="C1653" i="3"/>
  <c r="A1653" i="3"/>
  <c r="BY1652" i="3"/>
  <c r="BX1652" i="3"/>
  <c r="BB1652" i="3"/>
  <c r="U1652" i="3"/>
  <c r="T1652" i="3"/>
  <c r="S1652" i="3"/>
  <c r="C1652" i="3"/>
  <c r="A1652" i="3"/>
  <c r="BY1651" i="3"/>
  <c r="BX1651" i="3"/>
  <c r="BB1651" i="3"/>
  <c r="U1651" i="3"/>
  <c r="T1651" i="3"/>
  <c r="S1651" i="3"/>
  <c r="C1651" i="3"/>
  <c r="A1651" i="3"/>
  <c r="BY1650" i="3"/>
  <c r="BX1650" i="3"/>
  <c r="BB1650" i="3"/>
  <c r="U1650" i="3"/>
  <c r="T1650" i="3"/>
  <c r="S1650" i="3"/>
  <c r="C1650" i="3"/>
  <c r="A1650" i="3"/>
  <c r="BY1649" i="3"/>
  <c r="BX1649" i="3"/>
  <c r="BB1649" i="3"/>
  <c r="U1649" i="3"/>
  <c r="T1649" i="3"/>
  <c r="S1649" i="3"/>
  <c r="C1649" i="3"/>
  <c r="A1649" i="3"/>
  <c r="BY1648" i="3"/>
  <c r="BX1648" i="3"/>
  <c r="BB1648" i="3"/>
  <c r="U1648" i="3"/>
  <c r="T1648" i="3"/>
  <c r="S1648" i="3"/>
  <c r="C1648" i="3"/>
  <c r="A1648" i="3"/>
  <c r="BY1647" i="3"/>
  <c r="BX1647" i="3"/>
  <c r="BB1647" i="3"/>
  <c r="U1647" i="3"/>
  <c r="T1647" i="3"/>
  <c r="S1647" i="3"/>
  <c r="C1647" i="3"/>
  <c r="A1647" i="3"/>
  <c r="BY1646" i="3"/>
  <c r="BX1646" i="3"/>
  <c r="BB1646" i="3"/>
  <c r="U1646" i="3"/>
  <c r="T1646" i="3"/>
  <c r="S1646" i="3"/>
  <c r="C1646" i="3"/>
  <c r="A1646" i="3"/>
  <c r="BY1645" i="3"/>
  <c r="BX1645" i="3"/>
  <c r="BB1645" i="3"/>
  <c r="U1645" i="3"/>
  <c r="T1645" i="3"/>
  <c r="S1645" i="3"/>
  <c r="C1645" i="3"/>
  <c r="A1645" i="3"/>
  <c r="BY1644" i="3"/>
  <c r="BX1644" i="3"/>
  <c r="BB1644" i="3"/>
  <c r="U1644" i="3"/>
  <c r="T1644" i="3"/>
  <c r="S1644" i="3"/>
  <c r="C1644" i="3"/>
  <c r="A1644" i="3"/>
  <c r="BY1643" i="3"/>
  <c r="BX1643" i="3"/>
  <c r="BB1643" i="3"/>
  <c r="U1643" i="3"/>
  <c r="T1643" i="3"/>
  <c r="S1643" i="3"/>
  <c r="C1643" i="3"/>
  <c r="A1643" i="3"/>
  <c r="BY1642" i="3"/>
  <c r="BX1642" i="3"/>
  <c r="BB1642" i="3"/>
  <c r="U1642" i="3"/>
  <c r="T1642" i="3"/>
  <c r="S1642" i="3"/>
  <c r="C1642" i="3"/>
  <c r="A1642" i="3"/>
  <c r="BY1641" i="3"/>
  <c r="BX1641" i="3"/>
  <c r="BB1641" i="3"/>
  <c r="U1641" i="3"/>
  <c r="T1641" i="3"/>
  <c r="S1641" i="3"/>
  <c r="C1641" i="3"/>
  <c r="A1641" i="3"/>
  <c r="BY1640" i="3"/>
  <c r="BX1640" i="3"/>
  <c r="BB1640" i="3"/>
  <c r="U1640" i="3"/>
  <c r="T1640" i="3"/>
  <c r="S1640" i="3"/>
  <c r="C1640" i="3"/>
  <c r="A1640" i="3"/>
  <c r="BY1639" i="3"/>
  <c r="BX1639" i="3"/>
  <c r="BB1639" i="3"/>
  <c r="U1639" i="3"/>
  <c r="T1639" i="3"/>
  <c r="S1639" i="3"/>
  <c r="C1639" i="3"/>
  <c r="A1639" i="3"/>
  <c r="BY1638" i="3"/>
  <c r="BX1638" i="3"/>
  <c r="BB1638" i="3"/>
  <c r="U1638" i="3"/>
  <c r="T1638" i="3"/>
  <c r="S1638" i="3"/>
  <c r="C1638" i="3"/>
  <c r="A1638" i="3"/>
  <c r="BY1637" i="3"/>
  <c r="BX1637" i="3"/>
  <c r="BB1637" i="3"/>
  <c r="U1637" i="3"/>
  <c r="T1637" i="3"/>
  <c r="S1637" i="3"/>
  <c r="C1637" i="3"/>
  <c r="A1637" i="3"/>
  <c r="BY1636" i="3"/>
  <c r="BX1636" i="3"/>
  <c r="BB1636" i="3"/>
  <c r="U1636" i="3"/>
  <c r="T1636" i="3"/>
  <c r="S1636" i="3"/>
  <c r="C1636" i="3"/>
  <c r="A1636" i="3"/>
  <c r="BY1635" i="3"/>
  <c r="BX1635" i="3"/>
  <c r="BB1635" i="3"/>
  <c r="U1635" i="3"/>
  <c r="T1635" i="3"/>
  <c r="S1635" i="3"/>
  <c r="C1635" i="3"/>
  <c r="A1635" i="3"/>
  <c r="BY1634" i="3"/>
  <c r="BX1634" i="3"/>
  <c r="BB1634" i="3"/>
  <c r="U1634" i="3"/>
  <c r="T1634" i="3"/>
  <c r="S1634" i="3"/>
  <c r="C1634" i="3"/>
  <c r="A1634" i="3"/>
  <c r="BY1633" i="3"/>
  <c r="BX1633" i="3"/>
  <c r="BB1633" i="3"/>
  <c r="U1633" i="3"/>
  <c r="T1633" i="3"/>
  <c r="S1633" i="3"/>
  <c r="C1633" i="3"/>
  <c r="A1633" i="3"/>
  <c r="BY1632" i="3"/>
  <c r="BX1632" i="3"/>
  <c r="BB1632" i="3"/>
  <c r="U1632" i="3"/>
  <c r="T1632" i="3"/>
  <c r="S1632" i="3"/>
  <c r="C1632" i="3"/>
  <c r="A1632" i="3"/>
  <c r="BY1631" i="3"/>
  <c r="BX1631" i="3"/>
  <c r="BB1631" i="3"/>
  <c r="U1631" i="3"/>
  <c r="T1631" i="3"/>
  <c r="S1631" i="3"/>
  <c r="C1631" i="3"/>
  <c r="A1631" i="3"/>
  <c r="BY1630" i="3"/>
  <c r="BX1630" i="3"/>
  <c r="BB1630" i="3"/>
  <c r="U1630" i="3"/>
  <c r="T1630" i="3"/>
  <c r="S1630" i="3"/>
  <c r="C1630" i="3"/>
  <c r="A1630" i="3"/>
  <c r="BY1629" i="3"/>
  <c r="BX1629" i="3"/>
  <c r="BB1629" i="3"/>
  <c r="U1629" i="3"/>
  <c r="T1629" i="3"/>
  <c r="S1629" i="3"/>
  <c r="C1629" i="3"/>
  <c r="A1629" i="3"/>
  <c r="BY1628" i="3"/>
  <c r="BX1628" i="3"/>
  <c r="BB1628" i="3"/>
  <c r="U1628" i="3"/>
  <c r="T1628" i="3"/>
  <c r="S1628" i="3"/>
  <c r="C1628" i="3"/>
  <c r="A1628" i="3"/>
  <c r="BY1627" i="3"/>
  <c r="BX1627" i="3"/>
  <c r="BB1627" i="3"/>
  <c r="U1627" i="3"/>
  <c r="T1627" i="3"/>
  <c r="S1627" i="3"/>
  <c r="C1627" i="3"/>
  <c r="A1627" i="3"/>
  <c r="BY1626" i="3"/>
  <c r="BX1626" i="3"/>
  <c r="BB1626" i="3"/>
  <c r="U1626" i="3"/>
  <c r="T1626" i="3"/>
  <c r="S1626" i="3"/>
  <c r="C1626" i="3"/>
  <c r="A1626" i="3"/>
  <c r="BY1625" i="3"/>
  <c r="BX1625" i="3"/>
  <c r="BB1625" i="3"/>
  <c r="U1625" i="3"/>
  <c r="T1625" i="3"/>
  <c r="S1625" i="3"/>
  <c r="C1625" i="3"/>
  <c r="A1625" i="3"/>
  <c r="BY1624" i="3"/>
  <c r="BX1624" i="3"/>
  <c r="BB1624" i="3"/>
  <c r="U1624" i="3"/>
  <c r="T1624" i="3"/>
  <c r="S1624" i="3"/>
  <c r="C1624" i="3"/>
  <c r="A1624" i="3"/>
  <c r="BY1623" i="3"/>
  <c r="BX1623" i="3"/>
  <c r="BB1623" i="3"/>
  <c r="U1623" i="3"/>
  <c r="T1623" i="3"/>
  <c r="S1623" i="3"/>
  <c r="C1623" i="3"/>
  <c r="A1623" i="3"/>
  <c r="BY1622" i="3"/>
  <c r="BX1622" i="3"/>
  <c r="BB1622" i="3"/>
  <c r="U1622" i="3"/>
  <c r="T1622" i="3"/>
  <c r="S1622" i="3"/>
  <c r="C1622" i="3"/>
  <c r="A1622" i="3"/>
  <c r="BY1621" i="3"/>
  <c r="BX1621" i="3"/>
  <c r="BB1621" i="3"/>
  <c r="U1621" i="3"/>
  <c r="T1621" i="3"/>
  <c r="S1621" i="3"/>
  <c r="C1621" i="3"/>
  <c r="A1621" i="3"/>
  <c r="BY1620" i="3"/>
  <c r="BX1620" i="3"/>
  <c r="BB1620" i="3"/>
  <c r="U1620" i="3"/>
  <c r="T1620" i="3"/>
  <c r="S1620" i="3"/>
  <c r="C1620" i="3"/>
  <c r="A1620" i="3"/>
  <c r="BY1619" i="3"/>
  <c r="BX1619" i="3"/>
  <c r="BB1619" i="3"/>
  <c r="U1619" i="3"/>
  <c r="T1619" i="3"/>
  <c r="S1619" i="3"/>
  <c r="C1619" i="3"/>
  <c r="A1619" i="3"/>
  <c r="BY1618" i="3"/>
  <c r="BX1618" i="3"/>
  <c r="BB1618" i="3"/>
  <c r="U1618" i="3"/>
  <c r="T1618" i="3"/>
  <c r="S1618" i="3"/>
  <c r="C1618" i="3"/>
  <c r="A1618" i="3"/>
  <c r="BY1617" i="3"/>
  <c r="BX1617" i="3"/>
  <c r="BB1617" i="3"/>
  <c r="U1617" i="3"/>
  <c r="T1617" i="3"/>
  <c r="S1617" i="3"/>
  <c r="C1617" i="3"/>
  <c r="A1617" i="3"/>
  <c r="BY1616" i="3"/>
  <c r="BX1616" i="3"/>
  <c r="BB1616" i="3"/>
  <c r="U1616" i="3"/>
  <c r="T1616" i="3"/>
  <c r="S1616" i="3"/>
  <c r="C1616" i="3"/>
  <c r="A1616" i="3"/>
  <c r="BY1615" i="3"/>
  <c r="BX1615" i="3"/>
  <c r="BB1615" i="3"/>
  <c r="U1615" i="3"/>
  <c r="T1615" i="3"/>
  <c r="S1615" i="3"/>
  <c r="C1615" i="3"/>
  <c r="A1615" i="3"/>
  <c r="BY1614" i="3"/>
  <c r="BX1614" i="3"/>
  <c r="BB1614" i="3"/>
  <c r="U1614" i="3"/>
  <c r="T1614" i="3"/>
  <c r="S1614" i="3"/>
  <c r="C1614" i="3"/>
  <c r="A1614" i="3"/>
  <c r="BY1613" i="3"/>
  <c r="BX1613" i="3"/>
  <c r="BB1613" i="3"/>
  <c r="U1613" i="3"/>
  <c r="T1613" i="3"/>
  <c r="S1613" i="3"/>
  <c r="C1613" i="3"/>
  <c r="A1613" i="3"/>
  <c r="BY1612" i="3"/>
  <c r="BX1612" i="3"/>
  <c r="BB1612" i="3"/>
  <c r="U1612" i="3"/>
  <c r="T1612" i="3"/>
  <c r="S1612" i="3"/>
  <c r="C1612" i="3"/>
  <c r="A1612" i="3"/>
  <c r="BY1611" i="3"/>
  <c r="BX1611" i="3"/>
  <c r="BB1611" i="3"/>
  <c r="U1611" i="3"/>
  <c r="T1611" i="3"/>
  <c r="S1611" i="3"/>
  <c r="C1611" i="3"/>
  <c r="A1611" i="3"/>
  <c r="BY1610" i="3"/>
  <c r="BX1610" i="3"/>
  <c r="BB1610" i="3"/>
  <c r="U1610" i="3"/>
  <c r="T1610" i="3"/>
  <c r="S1610" i="3"/>
  <c r="C1610" i="3"/>
  <c r="A1610" i="3"/>
  <c r="BY1609" i="3"/>
  <c r="BX1609" i="3"/>
  <c r="BB1609" i="3"/>
  <c r="U1609" i="3"/>
  <c r="T1609" i="3"/>
  <c r="S1609" i="3"/>
  <c r="C1609" i="3"/>
  <c r="A1609" i="3"/>
  <c r="BY1608" i="3"/>
  <c r="BX1608" i="3"/>
  <c r="BB1608" i="3"/>
  <c r="U1608" i="3"/>
  <c r="T1608" i="3"/>
  <c r="S1608" i="3"/>
  <c r="C1608" i="3"/>
  <c r="A1608" i="3"/>
  <c r="BY1607" i="3"/>
  <c r="BX1607" i="3"/>
  <c r="BB1607" i="3"/>
  <c r="U1607" i="3"/>
  <c r="T1607" i="3"/>
  <c r="S1607" i="3"/>
  <c r="C1607" i="3"/>
  <c r="A1607" i="3"/>
  <c r="BY1606" i="3"/>
  <c r="BX1606" i="3"/>
  <c r="BB1606" i="3"/>
  <c r="U1606" i="3"/>
  <c r="T1606" i="3"/>
  <c r="S1606" i="3"/>
  <c r="C1606" i="3"/>
  <c r="A1606" i="3"/>
  <c r="BY1605" i="3"/>
  <c r="BX1605" i="3"/>
  <c r="BB1605" i="3"/>
  <c r="U1605" i="3"/>
  <c r="T1605" i="3"/>
  <c r="S1605" i="3"/>
  <c r="C1605" i="3"/>
  <c r="A1605" i="3"/>
  <c r="BY1604" i="3"/>
  <c r="BX1604" i="3"/>
  <c r="BB1604" i="3"/>
  <c r="U1604" i="3"/>
  <c r="T1604" i="3"/>
  <c r="S1604" i="3"/>
  <c r="C1604" i="3"/>
  <c r="A1604" i="3"/>
  <c r="BY1603" i="3"/>
  <c r="BX1603" i="3"/>
  <c r="BB1603" i="3"/>
  <c r="U1603" i="3"/>
  <c r="T1603" i="3"/>
  <c r="S1603" i="3"/>
  <c r="C1603" i="3"/>
  <c r="A1603" i="3"/>
  <c r="BY1602" i="3"/>
  <c r="BX1602" i="3"/>
  <c r="BB1602" i="3"/>
  <c r="U1602" i="3"/>
  <c r="T1602" i="3"/>
  <c r="S1602" i="3"/>
  <c r="C1602" i="3"/>
  <c r="A1602" i="3"/>
  <c r="BY1601" i="3"/>
  <c r="BX1601" i="3"/>
  <c r="BB1601" i="3"/>
  <c r="U1601" i="3"/>
  <c r="T1601" i="3"/>
  <c r="S1601" i="3"/>
  <c r="C1601" i="3"/>
  <c r="A1601" i="3"/>
  <c r="BY1600" i="3"/>
  <c r="BX1600" i="3"/>
  <c r="BB1600" i="3"/>
  <c r="U1600" i="3"/>
  <c r="T1600" i="3"/>
  <c r="S1600" i="3"/>
  <c r="C1600" i="3"/>
  <c r="A1600" i="3"/>
  <c r="BY1599" i="3"/>
  <c r="BX1599" i="3"/>
  <c r="BB1599" i="3"/>
  <c r="U1599" i="3"/>
  <c r="T1599" i="3"/>
  <c r="S1599" i="3"/>
  <c r="C1599" i="3"/>
  <c r="A1599" i="3"/>
  <c r="BY1598" i="3"/>
  <c r="BX1598" i="3"/>
  <c r="BB1598" i="3"/>
  <c r="U1598" i="3"/>
  <c r="T1598" i="3"/>
  <c r="S1598" i="3"/>
  <c r="C1598" i="3"/>
  <c r="A1598" i="3"/>
  <c r="BY1597" i="3"/>
  <c r="BX1597" i="3"/>
  <c r="BB1597" i="3"/>
  <c r="U1597" i="3"/>
  <c r="T1597" i="3"/>
  <c r="S1597" i="3"/>
  <c r="C1597" i="3"/>
  <c r="A1597" i="3"/>
  <c r="BY1596" i="3"/>
  <c r="BX1596" i="3"/>
  <c r="BB1596" i="3"/>
  <c r="U1596" i="3"/>
  <c r="T1596" i="3"/>
  <c r="S1596" i="3"/>
  <c r="C1596" i="3"/>
  <c r="A1596" i="3"/>
  <c r="BY1595" i="3"/>
  <c r="BX1595" i="3"/>
  <c r="BB1595" i="3"/>
  <c r="U1595" i="3"/>
  <c r="T1595" i="3"/>
  <c r="S1595" i="3"/>
  <c r="C1595" i="3"/>
  <c r="A1595" i="3"/>
  <c r="BY1594" i="3"/>
  <c r="BX1594" i="3"/>
  <c r="BB1594" i="3"/>
  <c r="U1594" i="3"/>
  <c r="T1594" i="3"/>
  <c r="S1594" i="3"/>
  <c r="C1594" i="3"/>
  <c r="A1594" i="3"/>
  <c r="BY1593" i="3"/>
  <c r="BX1593" i="3"/>
  <c r="BB1593" i="3"/>
  <c r="U1593" i="3"/>
  <c r="T1593" i="3"/>
  <c r="S1593" i="3"/>
  <c r="C1593" i="3"/>
  <c r="A1593" i="3"/>
  <c r="BY1592" i="3"/>
  <c r="BX1592" i="3"/>
  <c r="BB1592" i="3"/>
  <c r="U1592" i="3"/>
  <c r="T1592" i="3"/>
  <c r="S1592" i="3"/>
  <c r="C1592" i="3"/>
  <c r="A1592" i="3"/>
  <c r="BY1591" i="3"/>
  <c r="BX1591" i="3"/>
  <c r="BB1591" i="3"/>
  <c r="U1591" i="3"/>
  <c r="T1591" i="3"/>
  <c r="S1591" i="3"/>
  <c r="C1591" i="3"/>
  <c r="A1591" i="3"/>
  <c r="BY1590" i="3"/>
  <c r="BX1590" i="3"/>
  <c r="BB1590" i="3"/>
  <c r="U1590" i="3"/>
  <c r="T1590" i="3"/>
  <c r="S1590" i="3"/>
  <c r="C1590" i="3"/>
  <c r="A1590" i="3"/>
  <c r="BY1589" i="3"/>
  <c r="BX1589" i="3"/>
  <c r="BB1589" i="3"/>
  <c r="U1589" i="3"/>
  <c r="T1589" i="3"/>
  <c r="S1589" i="3"/>
  <c r="C1589" i="3"/>
  <c r="A1589" i="3"/>
  <c r="BY1588" i="3"/>
  <c r="BX1588" i="3"/>
  <c r="BB1588" i="3"/>
  <c r="U1588" i="3"/>
  <c r="T1588" i="3"/>
  <c r="S1588" i="3"/>
  <c r="C1588" i="3"/>
  <c r="A1588" i="3"/>
  <c r="BY1587" i="3"/>
  <c r="BX1587" i="3"/>
  <c r="BB1587" i="3"/>
  <c r="U1587" i="3"/>
  <c r="T1587" i="3"/>
  <c r="S1587" i="3"/>
  <c r="C1587" i="3"/>
  <c r="A1587" i="3"/>
  <c r="BY1586" i="3"/>
  <c r="BX1586" i="3"/>
  <c r="BB1586" i="3"/>
  <c r="U1586" i="3"/>
  <c r="T1586" i="3"/>
  <c r="S1586" i="3"/>
  <c r="C1586" i="3"/>
  <c r="A1586" i="3"/>
  <c r="BY1585" i="3"/>
  <c r="BX1585" i="3"/>
  <c r="BB1585" i="3"/>
  <c r="U1585" i="3"/>
  <c r="T1585" i="3"/>
  <c r="S1585" i="3"/>
  <c r="C1585" i="3"/>
  <c r="A1585" i="3"/>
  <c r="BY1584" i="3"/>
  <c r="BX1584" i="3"/>
  <c r="BB1584" i="3"/>
  <c r="U1584" i="3"/>
  <c r="T1584" i="3"/>
  <c r="S1584" i="3"/>
  <c r="C1584" i="3"/>
  <c r="A1584" i="3"/>
  <c r="BY1583" i="3"/>
  <c r="BX1583" i="3"/>
  <c r="BB1583" i="3"/>
  <c r="U1583" i="3"/>
  <c r="T1583" i="3"/>
  <c r="S1583" i="3"/>
  <c r="C1583" i="3"/>
  <c r="A1583" i="3"/>
  <c r="BY1582" i="3"/>
  <c r="BX1582" i="3"/>
  <c r="BB1582" i="3"/>
  <c r="U1582" i="3"/>
  <c r="T1582" i="3"/>
  <c r="S1582" i="3"/>
  <c r="C1582" i="3"/>
  <c r="A1582" i="3"/>
  <c r="BY1581" i="3"/>
  <c r="BX1581" i="3"/>
  <c r="BB1581" i="3"/>
  <c r="U1581" i="3"/>
  <c r="T1581" i="3"/>
  <c r="S1581" i="3"/>
  <c r="C1581" i="3"/>
  <c r="A1581" i="3"/>
  <c r="BY1580" i="3"/>
  <c r="BX1580" i="3"/>
  <c r="BB1580" i="3"/>
  <c r="U1580" i="3"/>
  <c r="T1580" i="3"/>
  <c r="S1580" i="3"/>
  <c r="C1580" i="3"/>
  <c r="A1580" i="3"/>
  <c r="BY1579" i="3"/>
  <c r="BX1579" i="3"/>
  <c r="BB1579" i="3"/>
  <c r="U1579" i="3"/>
  <c r="T1579" i="3"/>
  <c r="S1579" i="3"/>
  <c r="C1579" i="3"/>
  <c r="A1579" i="3"/>
  <c r="BY1578" i="3"/>
  <c r="BX1578" i="3"/>
  <c r="BB1578" i="3"/>
  <c r="U1578" i="3"/>
  <c r="T1578" i="3"/>
  <c r="S1578" i="3"/>
  <c r="C1578" i="3"/>
  <c r="A1578" i="3"/>
  <c r="BY1577" i="3"/>
  <c r="BX1577" i="3"/>
  <c r="BB1577" i="3"/>
  <c r="U1577" i="3"/>
  <c r="T1577" i="3"/>
  <c r="S1577" i="3"/>
  <c r="C1577" i="3"/>
  <c r="A1577" i="3"/>
  <c r="BY1576" i="3"/>
  <c r="BX1576" i="3"/>
  <c r="BB1576" i="3"/>
  <c r="U1576" i="3"/>
  <c r="T1576" i="3"/>
  <c r="S1576" i="3"/>
  <c r="C1576" i="3"/>
  <c r="A1576" i="3"/>
  <c r="BY1575" i="3"/>
  <c r="BX1575" i="3"/>
  <c r="BB1575" i="3"/>
  <c r="U1575" i="3"/>
  <c r="T1575" i="3"/>
  <c r="S1575" i="3"/>
  <c r="C1575" i="3"/>
  <c r="A1575" i="3"/>
  <c r="BY1574" i="3"/>
  <c r="BX1574" i="3"/>
  <c r="BB1574" i="3"/>
  <c r="U1574" i="3"/>
  <c r="T1574" i="3"/>
  <c r="S1574" i="3"/>
  <c r="C1574" i="3"/>
  <c r="A1574" i="3"/>
  <c r="BY1573" i="3"/>
  <c r="BX1573" i="3"/>
  <c r="BB1573" i="3"/>
  <c r="U1573" i="3"/>
  <c r="T1573" i="3"/>
  <c r="S1573" i="3"/>
  <c r="C1573" i="3"/>
  <c r="A1573" i="3"/>
  <c r="BY1572" i="3"/>
  <c r="BX1572" i="3"/>
  <c r="BB1572" i="3"/>
  <c r="U1572" i="3"/>
  <c r="T1572" i="3"/>
  <c r="S1572" i="3"/>
  <c r="C1572" i="3"/>
  <c r="A1572" i="3"/>
  <c r="BY1571" i="3"/>
  <c r="BX1571" i="3"/>
  <c r="BB1571" i="3"/>
  <c r="U1571" i="3"/>
  <c r="T1571" i="3"/>
  <c r="S1571" i="3"/>
  <c r="C1571" i="3"/>
  <c r="A1571" i="3"/>
  <c r="BY1570" i="3"/>
  <c r="BX1570" i="3"/>
  <c r="BB1570" i="3"/>
  <c r="U1570" i="3"/>
  <c r="T1570" i="3"/>
  <c r="S1570" i="3"/>
  <c r="C1570" i="3"/>
  <c r="A1570" i="3"/>
  <c r="BY1569" i="3"/>
  <c r="BX1569" i="3"/>
  <c r="BB1569" i="3"/>
  <c r="U1569" i="3"/>
  <c r="T1569" i="3"/>
  <c r="S1569" i="3"/>
  <c r="C1569" i="3"/>
  <c r="A1569" i="3"/>
  <c r="BY1568" i="3"/>
  <c r="BX1568" i="3"/>
  <c r="BB1568" i="3"/>
  <c r="U1568" i="3"/>
  <c r="T1568" i="3"/>
  <c r="S1568" i="3"/>
  <c r="C1568" i="3"/>
  <c r="A1568" i="3"/>
  <c r="BY1567" i="3"/>
  <c r="BX1567" i="3"/>
  <c r="BB1567" i="3"/>
  <c r="U1567" i="3"/>
  <c r="T1567" i="3"/>
  <c r="S1567" i="3"/>
  <c r="C1567" i="3"/>
  <c r="A1567" i="3"/>
  <c r="BY1566" i="3"/>
  <c r="BX1566" i="3"/>
  <c r="BB1566" i="3"/>
  <c r="U1566" i="3"/>
  <c r="T1566" i="3"/>
  <c r="S1566" i="3"/>
  <c r="C1566" i="3"/>
  <c r="A1566" i="3"/>
  <c r="BY1565" i="3"/>
  <c r="BX1565" i="3"/>
  <c r="BB1565" i="3"/>
  <c r="U1565" i="3"/>
  <c r="T1565" i="3"/>
  <c r="S1565" i="3"/>
  <c r="C1565" i="3"/>
  <c r="A1565" i="3"/>
  <c r="BY1564" i="3"/>
  <c r="BX1564" i="3"/>
  <c r="BB1564" i="3"/>
  <c r="U1564" i="3"/>
  <c r="T1564" i="3"/>
  <c r="S1564" i="3"/>
  <c r="C1564" i="3"/>
  <c r="A1564" i="3"/>
  <c r="BY1563" i="3"/>
  <c r="BX1563" i="3"/>
  <c r="BB1563" i="3"/>
  <c r="U1563" i="3"/>
  <c r="T1563" i="3"/>
  <c r="S1563" i="3"/>
  <c r="C1563" i="3"/>
  <c r="A1563" i="3"/>
  <c r="BY1562" i="3"/>
  <c r="BX1562" i="3"/>
  <c r="BB1562" i="3"/>
  <c r="U1562" i="3"/>
  <c r="T1562" i="3"/>
  <c r="S1562" i="3"/>
  <c r="C1562" i="3"/>
  <c r="A1562" i="3"/>
  <c r="BY1561" i="3"/>
  <c r="BX1561" i="3"/>
  <c r="BB1561" i="3"/>
  <c r="U1561" i="3"/>
  <c r="T1561" i="3"/>
  <c r="S1561" i="3"/>
  <c r="C1561" i="3"/>
  <c r="A1561" i="3"/>
  <c r="BY1560" i="3"/>
  <c r="BX1560" i="3"/>
  <c r="BB1560" i="3"/>
  <c r="U1560" i="3"/>
  <c r="T1560" i="3"/>
  <c r="S1560" i="3"/>
  <c r="C1560" i="3"/>
  <c r="A1560" i="3"/>
  <c r="BY1559" i="3"/>
  <c r="BX1559" i="3"/>
  <c r="BB1559" i="3"/>
  <c r="U1559" i="3"/>
  <c r="T1559" i="3"/>
  <c r="S1559" i="3"/>
  <c r="C1559" i="3"/>
  <c r="A1559" i="3"/>
  <c r="BY1558" i="3"/>
  <c r="BX1558" i="3"/>
  <c r="BB1558" i="3"/>
  <c r="U1558" i="3"/>
  <c r="T1558" i="3"/>
  <c r="S1558" i="3"/>
  <c r="C1558" i="3"/>
  <c r="A1558" i="3"/>
  <c r="BY1557" i="3"/>
  <c r="BX1557" i="3"/>
  <c r="BB1557" i="3"/>
  <c r="U1557" i="3"/>
  <c r="T1557" i="3"/>
  <c r="S1557" i="3"/>
  <c r="C1557" i="3"/>
  <c r="A1557" i="3"/>
  <c r="BY1556" i="3"/>
  <c r="BX1556" i="3"/>
  <c r="BB1556" i="3"/>
  <c r="U1556" i="3"/>
  <c r="T1556" i="3"/>
  <c r="S1556" i="3"/>
  <c r="C1556" i="3"/>
  <c r="A1556" i="3"/>
  <c r="BY1555" i="3"/>
  <c r="BX1555" i="3"/>
  <c r="BB1555" i="3"/>
  <c r="U1555" i="3"/>
  <c r="T1555" i="3"/>
  <c r="S1555" i="3"/>
  <c r="C1555" i="3"/>
  <c r="A1555" i="3"/>
  <c r="BY1554" i="3"/>
  <c r="BX1554" i="3"/>
  <c r="BB1554" i="3"/>
  <c r="U1554" i="3"/>
  <c r="T1554" i="3"/>
  <c r="S1554" i="3"/>
  <c r="C1554" i="3"/>
  <c r="A1554" i="3"/>
  <c r="BY1553" i="3"/>
  <c r="BX1553" i="3"/>
  <c r="BB1553" i="3"/>
  <c r="U1553" i="3"/>
  <c r="T1553" i="3"/>
  <c r="S1553" i="3"/>
  <c r="C1553" i="3"/>
  <c r="A1553" i="3"/>
  <c r="BY1552" i="3"/>
  <c r="BX1552" i="3"/>
  <c r="BB1552" i="3"/>
  <c r="U1552" i="3"/>
  <c r="T1552" i="3"/>
  <c r="S1552" i="3"/>
  <c r="C1552" i="3"/>
  <c r="A1552" i="3"/>
  <c r="BY1551" i="3"/>
  <c r="BX1551" i="3"/>
  <c r="BB1551" i="3"/>
  <c r="U1551" i="3"/>
  <c r="T1551" i="3"/>
  <c r="S1551" i="3"/>
  <c r="C1551" i="3"/>
  <c r="A1551" i="3"/>
  <c r="BY1550" i="3"/>
  <c r="BX1550" i="3"/>
  <c r="BB1550" i="3"/>
  <c r="U1550" i="3"/>
  <c r="T1550" i="3"/>
  <c r="S1550" i="3"/>
  <c r="C1550" i="3"/>
  <c r="A1550" i="3"/>
  <c r="BY1549" i="3"/>
  <c r="BX1549" i="3"/>
  <c r="BB1549" i="3"/>
  <c r="U1549" i="3"/>
  <c r="T1549" i="3"/>
  <c r="S1549" i="3"/>
  <c r="C1549" i="3"/>
  <c r="A1549" i="3"/>
  <c r="BY1548" i="3"/>
  <c r="BX1548" i="3"/>
  <c r="BB1548" i="3"/>
  <c r="U1548" i="3"/>
  <c r="T1548" i="3"/>
  <c r="S1548" i="3"/>
  <c r="C1548" i="3"/>
  <c r="A1548" i="3"/>
  <c r="BY1547" i="3"/>
  <c r="BX1547" i="3"/>
  <c r="BB1547" i="3"/>
  <c r="U1547" i="3"/>
  <c r="T1547" i="3"/>
  <c r="S1547" i="3"/>
  <c r="C1547" i="3"/>
  <c r="A1547" i="3"/>
  <c r="BY1546" i="3"/>
  <c r="BX1546" i="3"/>
  <c r="BB1546" i="3"/>
  <c r="U1546" i="3"/>
  <c r="T1546" i="3"/>
  <c r="S1546" i="3"/>
  <c r="C1546" i="3"/>
  <c r="A1546" i="3"/>
  <c r="BY1545" i="3"/>
  <c r="BX1545" i="3"/>
  <c r="BB1545" i="3"/>
  <c r="U1545" i="3"/>
  <c r="T1545" i="3"/>
  <c r="S1545" i="3"/>
  <c r="C1545" i="3"/>
  <c r="A1545" i="3"/>
  <c r="BY1544" i="3"/>
  <c r="BX1544" i="3"/>
  <c r="BB1544" i="3"/>
  <c r="U1544" i="3"/>
  <c r="T1544" i="3"/>
  <c r="S1544" i="3"/>
  <c r="C1544" i="3"/>
  <c r="A1544" i="3"/>
  <c r="BY1543" i="3"/>
  <c r="BX1543" i="3"/>
  <c r="BB1543" i="3"/>
  <c r="U1543" i="3"/>
  <c r="T1543" i="3"/>
  <c r="S1543" i="3"/>
  <c r="C1543" i="3"/>
  <c r="A1543" i="3"/>
  <c r="BY1542" i="3"/>
  <c r="BX1542" i="3"/>
  <c r="BB1542" i="3"/>
  <c r="U1542" i="3"/>
  <c r="T1542" i="3"/>
  <c r="S1542" i="3"/>
  <c r="C1542" i="3"/>
  <c r="A1542" i="3"/>
  <c r="BY1541" i="3"/>
  <c r="BX1541" i="3"/>
  <c r="BB1541" i="3"/>
  <c r="U1541" i="3"/>
  <c r="T1541" i="3"/>
  <c r="S1541" i="3"/>
  <c r="C1541" i="3"/>
  <c r="A1541" i="3"/>
  <c r="BY1540" i="3"/>
  <c r="BX1540" i="3"/>
  <c r="BB1540" i="3"/>
  <c r="U1540" i="3"/>
  <c r="T1540" i="3"/>
  <c r="S1540" i="3"/>
  <c r="C1540" i="3"/>
  <c r="A1540" i="3"/>
  <c r="BY1539" i="3"/>
  <c r="BX1539" i="3"/>
  <c r="BB1539" i="3"/>
  <c r="U1539" i="3"/>
  <c r="T1539" i="3"/>
  <c r="S1539" i="3"/>
  <c r="C1539" i="3"/>
  <c r="A1539" i="3"/>
  <c r="BY1538" i="3"/>
  <c r="BX1538" i="3"/>
  <c r="BB1538" i="3"/>
  <c r="U1538" i="3"/>
  <c r="T1538" i="3"/>
  <c r="S1538" i="3"/>
  <c r="C1538" i="3"/>
  <c r="A1538" i="3"/>
  <c r="BY1537" i="3"/>
  <c r="BX1537" i="3"/>
  <c r="BB1537" i="3"/>
  <c r="U1537" i="3"/>
  <c r="T1537" i="3"/>
  <c r="S1537" i="3"/>
  <c r="C1537" i="3"/>
  <c r="A1537" i="3"/>
  <c r="BY1536" i="3"/>
  <c r="BX1536" i="3"/>
  <c r="BB1536" i="3"/>
  <c r="U1536" i="3"/>
  <c r="T1536" i="3"/>
  <c r="S1536" i="3"/>
  <c r="C1536" i="3"/>
  <c r="A1536" i="3"/>
  <c r="BY1535" i="3"/>
  <c r="BX1535" i="3"/>
  <c r="BB1535" i="3"/>
  <c r="U1535" i="3"/>
  <c r="T1535" i="3"/>
  <c r="S1535" i="3"/>
  <c r="C1535" i="3"/>
  <c r="A1535" i="3"/>
  <c r="BY1534" i="3"/>
  <c r="BX1534" i="3"/>
  <c r="BB1534" i="3"/>
  <c r="U1534" i="3"/>
  <c r="T1534" i="3"/>
  <c r="S1534" i="3"/>
  <c r="C1534" i="3"/>
  <c r="A1534" i="3"/>
  <c r="BY1533" i="3"/>
  <c r="BX1533" i="3"/>
  <c r="BB1533" i="3"/>
  <c r="U1533" i="3"/>
  <c r="T1533" i="3"/>
  <c r="S1533" i="3"/>
  <c r="C1533" i="3"/>
  <c r="A1533" i="3"/>
  <c r="BY1532" i="3"/>
  <c r="BX1532" i="3"/>
  <c r="BB1532" i="3"/>
  <c r="U1532" i="3"/>
  <c r="T1532" i="3"/>
  <c r="S1532" i="3"/>
  <c r="C1532" i="3"/>
  <c r="A1532" i="3"/>
  <c r="BY1531" i="3"/>
  <c r="BX1531" i="3"/>
  <c r="BB1531" i="3"/>
  <c r="U1531" i="3"/>
  <c r="T1531" i="3"/>
  <c r="S1531" i="3"/>
  <c r="C1531" i="3"/>
  <c r="A1531" i="3"/>
  <c r="BY1530" i="3"/>
  <c r="BX1530" i="3"/>
  <c r="BB1530" i="3"/>
  <c r="U1530" i="3"/>
  <c r="T1530" i="3"/>
  <c r="S1530" i="3"/>
  <c r="C1530" i="3"/>
  <c r="A1530" i="3"/>
  <c r="BY1529" i="3"/>
  <c r="BX1529" i="3"/>
  <c r="BB1529" i="3"/>
  <c r="U1529" i="3"/>
  <c r="T1529" i="3"/>
  <c r="S1529" i="3"/>
  <c r="C1529" i="3"/>
  <c r="A1529" i="3"/>
  <c r="BY1528" i="3"/>
  <c r="BX1528" i="3"/>
  <c r="BB1528" i="3"/>
  <c r="U1528" i="3"/>
  <c r="T1528" i="3"/>
  <c r="S1528" i="3"/>
  <c r="C1528" i="3"/>
  <c r="A1528" i="3"/>
  <c r="BY1527" i="3"/>
  <c r="BX1527" i="3"/>
  <c r="BB1527" i="3"/>
  <c r="U1527" i="3"/>
  <c r="T1527" i="3"/>
  <c r="S1527" i="3"/>
  <c r="C1527" i="3"/>
  <c r="A1527" i="3"/>
  <c r="BY1526" i="3"/>
  <c r="BX1526" i="3"/>
  <c r="BB1526" i="3"/>
  <c r="U1526" i="3"/>
  <c r="T1526" i="3"/>
  <c r="S1526" i="3"/>
  <c r="C1526" i="3"/>
  <c r="A1526" i="3"/>
  <c r="BY1525" i="3"/>
  <c r="BX1525" i="3"/>
  <c r="BB1525" i="3"/>
  <c r="U1525" i="3"/>
  <c r="T1525" i="3"/>
  <c r="S1525" i="3"/>
  <c r="C1525" i="3"/>
  <c r="A1525" i="3"/>
  <c r="BY1524" i="3"/>
  <c r="BX1524" i="3"/>
  <c r="BB1524" i="3"/>
  <c r="U1524" i="3"/>
  <c r="T1524" i="3"/>
  <c r="S1524" i="3"/>
  <c r="C1524" i="3"/>
  <c r="A1524" i="3"/>
  <c r="BY1523" i="3"/>
  <c r="BX1523" i="3"/>
  <c r="BB1523" i="3"/>
  <c r="U1523" i="3"/>
  <c r="T1523" i="3"/>
  <c r="S1523" i="3"/>
  <c r="C1523" i="3"/>
  <c r="A1523" i="3"/>
  <c r="BY1522" i="3"/>
  <c r="BX1522" i="3"/>
  <c r="BB1522" i="3"/>
  <c r="U1522" i="3"/>
  <c r="T1522" i="3"/>
  <c r="S1522" i="3"/>
  <c r="C1522" i="3"/>
  <c r="A1522" i="3"/>
  <c r="BY1521" i="3"/>
  <c r="BX1521" i="3"/>
  <c r="BB1521" i="3"/>
  <c r="U1521" i="3"/>
  <c r="T1521" i="3"/>
  <c r="S1521" i="3"/>
  <c r="C1521" i="3"/>
  <c r="A1521" i="3"/>
  <c r="BY1520" i="3"/>
  <c r="BX1520" i="3"/>
  <c r="BB1520" i="3"/>
  <c r="U1520" i="3"/>
  <c r="T1520" i="3"/>
  <c r="S1520" i="3"/>
  <c r="C1520" i="3"/>
  <c r="A1520" i="3"/>
  <c r="BY1519" i="3"/>
  <c r="BX1519" i="3"/>
  <c r="BB1519" i="3"/>
  <c r="U1519" i="3"/>
  <c r="T1519" i="3"/>
  <c r="S1519" i="3"/>
  <c r="C1519" i="3"/>
  <c r="A1519" i="3"/>
  <c r="BY1518" i="3"/>
  <c r="BX1518" i="3"/>
  <c r="BB1518" i="3"/>
  <c r="U1518" i="3"/>
  <c r="T1518" i="3"/>
  <c r="S1518" i="3"/>
  <c r="C1518" i="3"/>
  <c r="A1518" i="3"/>
  <c r="BY1517" i="3"/>
  <c r="BX1517" i="3"/>
  <c r="BB1517" i="3"/>
  <c r="U1517" i="3"/>
  <c r="T1517" i="3"/>
  <c r="S1517" i="3"/>
  <c r="C1517" i="3"/>
  <c r="A1517" i="3"/>
  <c r="BY1516" i="3"/>
  <c r="BX1516" i="3"/>
  <c r="BB1516" i="3"/>
  <c r="U1516" i="3"/>
  <c r="T1516" i="3"/>
  <c r="S1516" i="3"/>
  <c r="C1516" i="3"/>
  <c r="A1516" i="3"/>
  <c r="BY1515" i="3"/>
  <c r="BX1515" i="3"/>
  <c r="BB1515" i="3"/>
  <c r="U1515" i="3"/>
  <c r="T1515" i="3"/>
  <c r="S1515" i="3"/>
  <c r="C1515" i="3"/>
  <c r="A1515" i="3"/>
  <c r="BY1514" i="3"/>
  <c r="BX1514" i="3"/>
  <c r="BB1514" i="3"/>
  <c r="U1514" i="3"/>
  <c r="T1514" i="3"/>
  <c r="S1514" i="3"/>
  <c r="C1514" i="3"/>
  <c r="A1514" i="3"/>
  <c r="BY1513" i="3"/>
  <c r="BX1513" i="3"/>
  <c r="BB1513" i="3"/>
  <c r="U1513" i="3"/>
  <c r="T1513" i="3"/>
  <c r="S1513" i="3"/>
  <c r="C1513" i="3"/>
  <c r="A1513" i="3"/>
  <c r="BY1512" i="3"/>
  <c r="BX1512" i="3"/>
  <c r="BB1512" i="3"/>
  <c r="U1512" i="3"/>
  <c r="T1512" i="3"/>
  <c r="S1512" i="3"/>
  <c r="C1512" i="3"/>
  <c r="A1512" i="3"/>
  <c r="BY1511" i="3"/>
  <c r="BX1511" i="3"/>
  <c r="BB1511" i="3"/>
  <c r="U1511" i="3"/>
  <c r="T1511" i="3"/>
  <c r="S1511" i="3"/>
  <c r="C1511" i="3"/>
  <c r="A1511" i="3"/>
  <c r="BY1510" i="3"/>
  <c r="BX1510" i="3"/>
  <c r="BB1510" i="3"/>
  <c r="U1510" i="3"/>
  <c r="T1510" i="3"/>
  <c r="S1510" i="3"/>
  <c r="C1510" i="3"/>
  <c r="A1510" i="3"/>
  <c r="BY1509" i="3"/>
  <c r="BX1509" i="3"/>
  <c r="BB1509" i="3"/>
  <c r="U1509" i="3"/>
  <c r="T1509" i="3"/>
  <c r="S1509" i="3"/>
  <c r="C1509" i="3"/>
  <c r="A1509" i="3"/>
  <c r="BY1508" i="3"/>
  <c r="BX1508" i="3"/>
  <c r="BB1508" i="3"/>
  <c r="U1508" i="3"/>
  <c r="T1508" i="3"/>
  <c r="S1508" i="3"/>
  <c r="C1508" i="3"/>
  <c r="A1508" i="3"/>
  <c r="BY1507" i="3"/>
  <c r="BX1507" i="3"/>
  <c r="BB1507" i="3"/>
  <c r="U1507" i="3"/>
  <c r="T1507" i="3"/>
  <c r="S1507" i="3"/>
  <c r="C1507" i="3"/>
  <c r="A1507" i="3"/>
  <c r="BY1506" i="3"/>
  <c r="BX1506" i="3"/>
  <c r="BB1506" i="3"/>
  <c r="U1506" i="3"/>
  <c r="T1506" i="3"/>
  <c r="S1506" i="3"/>
  <c r="C1506" i="3"/>
  <c r="A1506" i="3"/>
  <c r="BY1505" i="3"/>
  <c r="BX1505" i="3"/>
  <c r="BB1505" i="3"/>
  <c r="U1505" i="3"/>
  <c r="T1505" i="3"/>
  <c r="S1505" i="3"/>
  <c r="C1505" i="3"/>
  <c r="A1505" i="3"/>
  <c r="BY1504" i="3"/>
  <c r="BX1504" i="3"/>
  <c r="BB1504" i="3"/>
  <c r="U1504" i="3"/>
  <c r="T1504" i="3"/>
  <c r="S1504" i="3"/>
  <c r="C1504" i="3"/>
  <c r="A1504" i="3"/>
  <c r="BY1503" i="3"/>
  <c r="BX1503" i="3"/>
  <c r="BB1503" i="3"/>
  <c r="U1503" i="3"/>
  <c r="T1503" i="3"/>
  <c r="S1503" i="3"/>
  <c r="C1503" i="3"/>
  <c r="A1503" i="3"/>
  <c r="BY1502" i="3"/>
  <c r="BX1502" i="3"/>
  <c r="BB1502" i="3"/>
  <c r="U1502" i="3"/>
  <c r="T1502" i="3"/>
  <c r="S1502" i="3"/>
  <c r="C1502" i="3"/>
  <c r="A1502" i="3"/>
  <c r="BY1501" i="3"/>
  <c r="BX1501" i="3"/>
  <c r="BB1501" i="3"/>
  <c r="U1501" i="3"/>
  <c r="T1501" i="3"/>
  <c r="S1501" i="3"/>
  <c r="C1501" i="3"/>
  <c r="A1501" i="3"/>
  <c r="BY1500" i="3"/>
  <c r="BX1500" i="3"/>
  <c r="BB1500" i="3"/>
  <c r="U1500" i="3"/>
  <c r="T1500" i="3"/>
  <c r="S1500" i="3"/>
  <c r="C1500" i="3"/>
  <c r="A1500" i="3"/>
  <c r="BY1499" i="3"/>
  <c r="BX1499" i="3"/>
  <c r="BB1499" i="3"/>
  <c r="U1499" i="3"/>
  <c r="T1499" i="3"/>
  <c r="S1499" i="3"/>
  <c r="C1499" i="3"/>
  <c r="A1499" i="3"/>
  <c r="BY1498" i="3"/>
  <c r="BX1498" i="3"/>
  <c r="BB1498" i="3"/>
  <c r="U1498" i="3"/>
  <c r="T1498" i="3"/>
  <c r="S1498" i="3"/>
  <c r="C1498" i="3"/>
  <c r="A1498" i="3"/>
  <c r="BY1497" i="3"/>
  <c r="BX1497" i="3"/>
  <c r="BB1497" i="3"/>
  <c r="U1497" i="3"/>
  <c r="T1497" i="3"/>
  <c r="S1497" i="3"/>
  <c r="C1497" i="3"/>
  <c r="A1497" i="3"/>
  <c r="BY1496" i="3"/>
  <c r="BX1496" i="3"/>
  <c r="BB1496" i="3"/>
  <c r="U1496" i="3"/>
  <c r="T1496" i="3"/>
  <c r="S1496" i="3"/>
  <c r="C1496" i="3"/>
  <c r="A1496" i="3"/>
  <c r="BY1495" i="3"/>
  <c r="BX1495" i="3"/>
  <c r="BB1495" i="3"/>
  <c r="U1495" i="3"/>
  <c r="T1495" i="3"/>
  <c r="S1495" i="3"/>
  <c r="C1495" i="3"/>
  <c r="A1495" i="3"/>
  <c r="BY1494" i="3"/>
  <c r="BX1494" i="3"/>
  <c r="BB1494" i="3"/>
  <c r="U1494" i="3"/>
  <c r="T1494" i="3"/>
  <c r="S1494" i="3"/>
  <c r="C1494" i="3"/>
  <c r="A1494" i="3"/>
  <c r="BY1493" i="3"/>
  <c r="BX1493" i="3"/>
  <c r="BB1493" i="3"/>
  <c r="U1493" i="3"/>
  <c r="T1493" i="3"/>
  <c r="S1493" i="3"/>
  <c r="C1493" i="3"/>
  <c r="A1493" i="3"/>
  <c r="BY1492" i="3"/>
  <c r="BX1492" i="3"/>
  <c r="BB1492" i="3"/>
  <c r="U1492" i="3"/>
  <c r="T1492" i="3"/>
  <c r="S1492" i="3"/>
  <c r="C1492" i="3"/>
  <c r="A1492" i="3"/>
  <c r="BY1491" i="3"/>
  <c r="BX1491" i="3"/>
  <c r="BB1491" i="3"/>
  <c r="U1491" i="3"/>
  <c r="T1491" i="3"/>
  <c r="S1491" i="3"/>
  <c r="C1491" i="3"/>
  <c r="A1491" i="3"/>
  <c r="BY1490" i="3"/>
  <c r="BX1490" i="3"/>
  <c r="BB1490" i="3"/>
  <c r="U1490" i="3"/>
  <c r="T1490" i="3"/>
  <c r="S1490" i="3"/>
  <c r="C1490" i="3"/>
  <c r="A1490" i="3"/>
  <c r="BY1489" i="3"/>
  <c r="BX1489" i="3"/>
  <c r="BB1489" i="3"/>
  <c r="U1489" i="3"/>
  <c r="T1489" i="3"/>
  <c r="S1489" i="3"/>
  <c r="C1489" i="3"/>
  <c r="A1489" i="3"/>
  <c r="BY1488" i="3"/>
  <c r="BX1488" i="3"/>
  <c r="BB1488" i="3"/>
  <c r="U1488" i="3"/>
  <c r="T1488" i="3"/>
  <c r="S1488" i="3"/>
  <c r="C1488" i="3"/>
  <c r="A1488" i="3"/>
  <c r="BY1487" i="3"/>
  <c r="BX1487" i="3"/>
  <c r="BB1487" i="3"/>
  <c r="U1487" i="3"/>
  <c r="T1487" i="3"/>
  <c r="S1487" i="3"/>
  <c r="C1487" i="3"/>
  <c r="A1487" i="3"/>
  <c r="BY1486" i="3"/>
  <c r="BX1486" i="3"/>
  <c r="BB1486" i="3"/>
  <c r="U1486" i="3"/>
  <c r="T1486" i="3"/>
  <c r="S1486" i="3"/>
  <c r="C1486" i="3"/>
  <c r="A1486" i="3"/>
  <c r="BY1485" i="3"/>
  <c r="BX1485" i="3"/>
  <c r="BB1485" i="3"/>
  <c r="U1485" i="3"/>
  <c r="T1485" i="3"/>
  <c r="S1485" i="3"/>
  <c r="C1485" i="3"/>
  <c r="A1485" i="3"/>
  <c r="BY1484" i="3"/>
  <c r="BX1484" i="3"/>
  <c r="BB1484" i="3"/>
  <c r="U1484" i="3"/>
  <c r="T1484" i="3"/>
  <c r="S1484" i="3"/>
  <c r="C1484" i="3"/>
  <c r="A1484" i="3"/>
  <c r="BY1483" i="3"/>
  <c r="BX1483" i="3"/>
  <c r="BB1483" i="3"/>
  <c r="U1483" i="3"/>
  <c r="T1483" i="3"/>
  <c r="S1483" i="3"/>
  <c r="C1483" i="3"/>
  <c r="A1483" i="3"/>
  <c r="BY1482" i="3"/>
  <c r="BX1482" i="3"/>
  <c r="BB1482" i="3"/>
  <c r="U1482" i="3"/>
  <c r="T1482" i="3"/>
  <c r="S1482" i="3"/>
  <c r="C1482" i="3"/>
  <c r="A1482" i="3"/>
  <c r="BY1481" i="3"/>
  <c r="BX1481" i="3"/>
  <c r="BB1481" i="3"/>
  <c r="U1481" i="3"/>
  <c r="T1481" i="3"/>
  <c r="S1481" i="3"/>
  <c r="C1481" i="3"/>
  <c r="A1481" i="3"/>
  <c r="BY1480" i="3"/>
  <c r="BX1480" i="3"/>
  <c r="BB1480" i="3"/>
  <c r="U1480" i="3"/>
  <c r="T1480" i="3"/>
  <c r="S1480" i="3"/>
  <c r="C1480" i="3"/>
  <c r="A1480" i="3"/>
  <c r="BY1479" i="3"/>
  <c r="BX1479" i="3"/>
  <c r="BB1479" i="3"/>
  <c r="U1479" i="3"/>
  <c r="T1479" i="3"/>
  <c r="S1479" i="3"/>
  <c r="C1479" i="3"/>
  <c r="A1479" i="3"/>
  <c r="BY1478" i="3"/>
  <c r="BX1478" i="3"/>
  <c r="BB1478" i="3"/>
  <c r="U1478" i="3"/>
  <c r="T1478" i="3"/>
  <c r="S1478" i="3"/>
  <c r="C1478" i="3"/>
  <c r="A1478" i="3"/>
  <c r="BY1477" i="3"/>
  <c r="BX1477" i="3"/>
  <c r="BB1477" i="3"/>
  <c r="U1477" i="3"/>
  <c r="T1477" i="3"/>
  <c r="S1477" i="3"/>
  <c r="C1477" i="3"/>
  <c r="A1477" i="3"/>
  <c r="BY1476" i="3"/>
  <c r="BX1476" i="3"/>
  <c r="BB1476" i="3"/>
  <c r="U1476" i="3"/>
  <c r="T1476" i="3"/>
  <c r="S1476" i="3"/>
  <c r="C1476" i="3"/>
  <c r="A1476" i="3"/>
  <c r="BY1475" i="3"/>
  <c r="BX1475" i="3"/>
  <c r="BB1475" i="3"/>
  <c r="U1475" i="3"/>
  <c r="T1475" i="3"/>
  <c r="S1475" i="3"/>
  <c r="C1475" i="3"/>
  <c r="A1475" i="3"/>
  <c r="BY1474" i="3"/>
  <c r="BX1474" i="3"/>
  <c r="BB1474" i="3"/>
  <c r="U1474" i="3"/>
  <c r="T1474" i="3"/>
  <c r="S1474" i="3"/>
  <c r="C1474" i="3"/>
  <c r="A1474" i="3"/>
  <c r="BY1473" i="3"/>
  <c r="BX1473" i="3"/>
  <c r="BB1473" i="3"/>
  <c r="U1473" i="3"/>
  <c r="T1473" i="3"/>
  <c r="S1473" i="3"/>
  <c r="C1473" i="3"/>
  <c r="A1473" i="3"/>
  <c r="BY1472" i="3"/>
  <c r="BX1472" i="3"/>
  <c r="BB1472" i="3"/>
  <c r="U1472" i="3"/>
  <c r="T1472" i="3"/>
  <c r="S1472" i="3"/>
  <c r="C1472" i="3"/>
  <c r="A1472" i="3"/>
  <c r="BY1471" i="3"/>
  <c r="BX1471" i="3"/>
  <c r="BB1471" i="3"/>
  <c r="U1471" i="3"/>
  <c r="T1471" i="3"/>
  <c r="S1471" i="3"/>
  <c r="C1471" i="3"/>
  <c r="A1471" i="3"/>
  <c r="BY1470" i="3"/>
  <c r="BX1470" i="3"/>
  <c r="BB1470" i="3"/>
  <c r="U1470" i="3"/>
  <c r="T1470" i="3"/>
  <c r="S1470" i="3"/>
  <c r="C1470" i="3"/>
  <c r="A1470" i="3"/>
  <c r="BY1469" i="3"/>
  <c r="BX1469" i="3"/>
  <c r="BB1469" i="3"/>
  <c r="U1469" i="3"/>
  <c r="T1469" i="3"/>
  <c r="S1469" i="3"/>
  <c r="C1469" i="3"/>
  <c r="A1469" i="3"/>
  <c r="BY1468" i="3"/>
  <c r="BX1468" i="3"/>
  <c r="BB1468" i="3"/>
  <c r="U1468" i="3"/>
  <c r="T1468" i="3"/>
  <c r="S1468" i="3"/>
  <c r="C1468" i="3"/>
  <c r="A1468" i="3"/>
  <c r="BY1467" i="3"/>
  <c r="BX1467" i="3"/>
  <c r="BB1467" i="3"/>
  <c r="U1467" i="3"/>
  <c r="T1467" i="3"/>
  <c r="S1467" i="3"/>
  <c r="C1467" i="3"/>
  <c r="A1467" i="3"/>
  <c r="BY1466" i="3"/>
  <c r="BX1466" i="3"/>
  <c r="BB1466" i="3"/>
  <c r="U1466" i="3"/>
  <c r="T1466" i="3"/>
  <c r="S1466" i="3"/>
  <c r="C1466" i="3"/>
  <c r="A1466" i="3"/>
  <c r="BY1465" i="3"/>
  <c r="BX1465" i="3"/>
  <c r="BB1465" i="3"/>
  <c r="U1465" i="3"/>
  <c r="T1465" i="3"/>
  <c r="S1465" i="3"/>
  <c r="C1465" i="3"/>
  <c r="A1465" i="3"/>
  <c r="BY1464" i="3"/>
  <c r="BX1464" i="3"/>
  <c r="BB1464" i="3"/>
  <c r="U1464" i="3"/>
  <c r="T1464" i="3"/>
  <c r="S1464" i="3"/>
  <c r="C1464" i="3"/>
  <c r="A1464" i="3"/>
  <c r="BY1463" i="3"/>
  <c r="BX1463" i="3"/>
  <c r="BB1463" i="3"/>
  <c r="U1463" i="3"/>
  <c r="T1463" i="3"/>
  <c r="S1463" i="3"/>
  <c r="C1463" i="3"/>
  <c r="A1463" i="3"/>
  <c r="BY1462" i="3"/>
  <c r="BX1462" i="3"/>
  <c r="BB1462" i="3"/>
  <c r="U1462" i="3"/>
  <c r="T1462" i="3"/>
  <c r="S1462" i="3"/>
  <c r="C1462" i="3"/>
  <c r="A1462" i="3"/>
  <c r="BY1461" i="3"/>
  <c r="BX1461" i="3"/>
  <c r="BB1461" i="3"/>
  <c r="U1461" i="3"/>
  <c r="T1461" i="3"/>
  <c r="S1461" i="3"/>
  <c r="C1461" i="3"/>
  <c r="A1461" i="3"/>
  <c r="BY1460" i="3"/>
  <c r="BX1460" i="3"/>
  <c r="BB1460" i="3"/>
  <c r="U1460" i="3"/>
  <c r="T1460" i="3"/>
  <c r="S1460" i="3"/>
  <c r="C1460" i="3"/>
  <c r="A1460" i="3"/>
  <c r="BY1459" i="3"/>
  <c r="BX1459" i="3"/>
  <c r="BB1459" i="3"/>
  <c r="U1459" i="3"/>
  <c r="T1459" i="3"/>
  <c r="S1459" i="3"/>
  <c r="C1459" i="3"/>
  <c r="A1459" i="3"/>
  <c r="BY1458" i="3"/>
  <c r="BX1458" i="3"/>
  <c r="BB1458" i="3"/>
  <c r="U1458" i="3"/>
  <c r="T1458" i="3"/>
  <c r="S1458" i="3"/>
  <c r="C1458" i="3"/>
  <c r="A1458" i="3"/>
  <c r="BY1457" i="3"/>
  <c r="BX1457" i="3"/>
  <c r="BB1457" i="3"/>
  <c r="U1457" i="3"/>
  <c r="T1457" i="3"/>
  <c r="S1457" i="3"/>
  <c r="C1457" i="3"/>
  <c r="A1457" i="3"/>
  <c r="BY1456" i="3"/>
  <c r="BX1456" i="3"/>
  <c r="BB1456" i="3"/>
  <c r="U1456" i="3"/>
  <c r="T1456" i="3"/>
  <c r="S1456" i="3"/>
  <c r="C1456" i="3"/>
  <c r="A1456" i="3"/>
  <c r="BY1455" i="3"/>
  <c r="BX1455" i="3"/>
  <c r="BB1455" i="3"/>
  <c r="U1455" i="3"/>
  <c r="T1455" i="3"/>
  <c r="S1455" i="3"/>
  <c r="C1455" i="3"/>
  <c r="A1455" i="3"/>
  <c r="BY1454" i="3"/>
  <c r="BX1454" i="3"/>
  <c r="BB1454" i="3"/>
  <c r="U1454" i="3"/>
  <c r="T1454" i="3"/>
  <c r="S1454" i="3"/>
  <c r="C1454" i="3"/>
  <c r="A1454" i="3"/>
  <c r="BY1453" i="3"/>
  <c r="BX1453" i="3"/>
  <c r="BB1453" i="3"/>
  <c r="U1453" i="3"/>
  <c r="T1453" i="3"/>
  <c r="S1453" i="3"/>
  <c r="C1453" i="3"/>
  <c r="A1453" i="3"/>
  <c r="BY1452" i="3"/>
  <c r="BX1452" i="3"/>
  <c r="BB1452" i="3"/>
  <c r="U1452" i="3"/>
  <c r="T1452" i="3"/>
  <c r="S1452" i="3"/>
  <c r="C1452" i="3"/>
  <c r="A1452" i="3"/>
  <c r="BY1451" i="3"/>
  <c r="BX1451" i="3"/>
  <c r="BB1451" i="3"/>
  <c r="U1451" i="3"/>
  <c r="T1451" i="3"/>
  <c r="S1451" i="3"/>
  <c r="C1451" i="3"/>
  <c r="A1451" i="3"/>
  <c r="BY1450" i="3"/>
  <c r="BX1450" i="3"/>
  <c r="BB1450" i="3"/>
  <c r="U1450" i="3"/>
  <c r="T1450" i="3"/>
  <c r="S1450" i="3"/>
  <c r="C1450" i="3"/>
  <c r="A1450" i="3"/>
  <c r="BY1449" i="3"/>
  <c r="BX1449" i="3"/>
  <c r="BB1449" i="3"/>
  <c r="U1449" i="3"/>
  <c r="T1449" i="3"/>
  <c r="S1449" i="3"/>
  <c r="C1449" i="3"/>
  <c r="A1449" i="3"/>
  <c r="BY1448" i="3"/>
  <c r="BX1448" i="3"/>
  <c r="BB1448" i="3"/>
  <c r="U1448" i="3"/>
  <c r="T1448" i="3"/>
  <c r="S1448" i="3"/>
  <c r="C1448" i="3"/>
  <c r="A1448" i="3"/>
  <c r="BY1447" i="3"/>
  <c r="BX1447" i="3"/>
  <c r="BB1447" i="3"/>
  <c r="U1447" i="3"/>
  <c r="T1447" i="3"/>
  <c r="S1447" i="3"/>
  <c r="C1447" i="3"/>
  <c r="A1447" i="3"/>
  <c r="BY1446" i="3"/>
  <c r="BX1446" i="3"/>
  <c r="BB1446" i="3"/>
  <c r="U1446" i="3"/>
  <c r="T1446" i="3"/>
  <c r="S1446" i="3"/>
  <c r="C1446" i="3"/>
  <c r="A1446" i="3"/>
  <c r="BY1445" i="3"/>
  <c r="BX1445" i="3"/>
  <c r="BB1445" i="3"/>
  <c r="U1445" i="3"/>
  <c r="T1445" i="3"/>
  <c r="S1445" i="3"/>
  <c r="C1445" i="3"/>
  <c r="A1445" i="3"/>
  <c r="BY1444" i="3"/>
  <c r="BX1444" i="3"/>
  <c r="BB1444" i="3"/>
  <c r="U1444" i="3"/>
  <c r="T1444" i="3"/>
  <c r="S1444" i="3"/>
  <c r="C1444" i="3"/>
  <c r="A1444" i="3"/>
  <c r="BY1443" i="3"/>
  <c r="BX1443" i="3"/>
  <c r="BB1443" i="3"/>
  <c r="U1443" i="3"/>
  <c r="T1443" i="3"/>
  <c r="S1443" i="3"/>
  <c r="C1443" i="3"/>
  <c r="A1443" i="3"/>
  <c r="BY1442" i="3"/>
  <c r="BX1442" i="3"/>
  <c r="BB1442" i="3"/>
  <c r="U1442" i="3"/>
  <c r="T1442" i="3"/>
  <c r="S1442" i="3"/>
  <c r="C1442" i="3"/>
  <c r="A1442" i="3"/>
  <c r="BY1441" i="3"/>
  <c r="BX1441" i="3"/>
  <c r="BB1441" i="3"/>
  <c r="U1441" i="3"/>
  <c r="T1441" i="3"/>
  <c r="S1441" i="3"/>
  <c r="C1441" i="3"/>
  <c r="A1441" i="3"/>
  <c r="BY1440" i="3"/>
  <c r="BX1440" i="3"/>
  <c r="BB1440" i="3"/>
  <c r="U1440" i="3"/>
  <c r="T1440" i="3"/>
  <c r="S1440" i="3"/>
  <c r="C1440" i="3"/>
  <c r="A1440" i="3"/>
  <c r="BY1439" i="3"/>
  <c r="BX1439" i="3"/>
  <c r="BB1439" i="3"/>
  <c r="U1439" i="3"/>
  <c r="T1439" i="3"/>
  <c r="S1439" i="3"/>
  <c r="C1439" i="3"/>
  <c r="A1439" i="3"/>
  <c r="BY1438" i="3"/>
  <c r="BX1438" i="3"/>
  <c r="BB1438" i="3"/>
  <c r="U1438" i="3"/>
  <c r="T1438" i="3"/>
  <c r="S1438" i="3"/>
  <c r="C1438" i="3"/>
  <c r="A1438" i="3"/>
  <c r="BY1437" i="3"/>
  <c r="BX1437" i="3"/>
  <c r="BB1437" i="3"/>
  <c r="U1437" i="3"/>
  <c r="T1437" i="3"/>
  <c r="S1437" i="3"/>
  <c r="C1437" i="3"/>
  <c r="A1437" i="3"/>
  <c r="BY1436" i="3"/>
  <c r="BX1436" i="3"/>
  <c r="BB1436" i="3"/>
  <c r="U1436" i="3"/>
  <c r="T1436" i="3"/>
  <c r="S1436" i="3"/>
  <c r="C1436" i="3"/>
  <c r="A1436" i="3"/>
  <c r="BY1435" i="3"/>
  <c r="BX1435" i="3"/>
  <c r="BB1435" i="3"/>
  <c r="U1435" i="3"/>
  <c r="T1435" i="3"/>
  <c r="S1435" i="3"/>
  <c r="C1435" i="3"/>
  <c r="A1435" i="3"/>
  <c r="BY1434" i="3"/>
  <c r="BX1434" i="3"/>
  <c r="BB1434" i="3"/>
  <c r="U1434" i="3"/>
  <c r="T1434" i="3"/>
  <c r="S1434" i="3"/>
  <c r="C1434" i="3"/>
  <c r="A1434" i="3"/>
  <c r="BY1433" i="3"/>
  <c r="BX1433" i="3"/>
  <c r="BB1433" i="3"/>
  <c r="U1433" i="3"/>
  <c r="T1433" i="3"/>
  <c r="S1433" i="3"/>
  <c r="C1433" i="3"/>
  <c r="A1433" i="3"/>
  <c r="BY1432" i="3"/>
  <c r="BX1432" i="3"/>
  <c r="BB1432" i="3"/>
  <c r="U1432" i="3"/>
  <c r="T1432" i="3"/>
  <c r="S1432" i="3"/>
  <c r="C1432" i="3"/>
  <c r="A1432" i="3"/>
  <c r="BY1431" i="3"/>
  <c r="BX1431" i="3"/>
  <c r="BB1431" i="3"/>
  <c r="U1431" i="3"/>
  <c r="T1431" i="3"/>
  <c r="S1431" i="3"/>
  <c r="C1431" i="3"/>
  <c r="A1431" i="3"/>
  <c r="BY1430" i="3"/>
  <c r="BX1430" i="3"/>
  <c r="BB1430" i="3"/>
  <c r="U1430" i="3"/>
  <c r="T1430" i="3"/>
  <c r="S1430" i="3"/>
  <c r="C1430" i="3"/>
  <c r="A1430" i="3"/>
  <c r="BY1429" i="3"/>
  <c r="BX1429" i="3"/>
  <c r="BB1429" i="3"/>
  <c r="U1429" i="3"/>
  <c r="T1429" i="3"/>
  <c r="S1429" i="3"/>
  <c r="C1429" i="3"/>
  <c r="A1429" i="3"/>
  <c r="BY1428" i="3"/>
  <c r="BX1428" i="3"/>
  <c r="BB1428" i="3"/>
  <c r="U1428" i="3"/>
  <c r="T1428" i="3"/>
  <c r="S1428" i="3"/>
  <c r="C1428" i="3"/>
  <c r="A1428" i="3"/>
  <c r="BY1427" i="3"/>
  <c r="BX1427" i="3"/>
  <c r="BB1427" i="3"/>
  <c r="U1427" i="3"/>
  <c r="T1427" i="3"/>
  <c r="S1427" i="3"/>
  <c r="C1427" i="3"/>
  <c r="A1427" i="3"/>
  <c r="BY1426" i="3"/>
  <c r="BX1426" i="3"/>
  <c r="BB1426" i="3"/>
  <c r="U1426" i="3"/>
  <c r="T1426" i="3"/>
  <c r="S1426" i="3"/>
  <c r="C1426" i="3"/>
  <c r="A1426" i="3"/>
  <c r="BY1425" i="3"/>
  <c r="BX1425" i="3"/>
  <c r="BB1425" i="3"/>
  <c r="U1425" i="3"/>
  <c r="T1425" i="3"/>
  <c r="S1425" i="3"/>
  <c r="C1425" i="3"/>
  <c r="A1425" i="3"/>
  <c r="BY1424" i="3"/>
  <c r="BX1424" i="3"/>
  <c r="BB1424" i="3"/>
  <c r="U1424" i="3"/>
  <c r="T1424" i="3"/>
  <c r="S1424" i="3"/>
  <c r="C1424" i="3"/>
  <c r="A1424" i="3"/>
  <c r="BY1423" i="3"/>
  <c r="BX1423" i="3"/>
  <c r="BB1423" i="3"/>
  <c r="U1423" i="3"/>
  <c r="T1423" i="3"/>
  <c r="S1423" i="3"/>
  <c r="C1423" i="3"/>
  <c r="A1423" i="3"/>
  <c r="BY1422" i="3"/>
  <c r="BX1422" i="3"/>
  <c r="BB1422" i="3"/>
  <c r="U1422" i="3"/>
  <c r="T1422" i="3"/>
  <c r="S1422" i="3"/>
  <c r="C1422" i="3"/>
  <c r="A1422" i="3"/>
  <c r="BY1421" i="3"/>
  <c r="BX1421" i="3"/>
  <c r="BB1421" i="3"/>
  <c r="U1421" i="3"/>
  <c r="T1421" i="3"/>
  <c r="S1421" i="3"/>
  <c r="C1421" i="3"/>
  <c r="A1421" i="3"/>
  <c r="BY1420" i="3"/>
  <c r="BX1420" i="3"/>
  <c r="BB1420" i="3"/>
  <c r="U1420" i="3"/>
  <c r="T1420" i="3"/>
  <c r="S1420" i="3"/>
  <c r="C1420" i="3"/>
  <c r="A1420" i="3"/>
  <c r="BY1419" i="3"/>
  <c r="BX1419" i="3"/>
  <c r="BB1419" i="3"/>
  <c r="U1419" i="3"/>
  <c r="T1419" i="3"/>
  <c r="S1419" i="3"/>
  <c r="C1419" i="3"/>
  <c r="A1419" i="3"/>
  <c r="BY1418" i="3"/>
  <c r="BX1418" i="3"/>
  <c r="BB1418" i="3"/>
  <c r="U1418" i="3"/>
  <c r="T1418" i="3"/>
  <c r="S1418" i="3"/>
  <c r="C1418" i="3"/>
  <c r="A1418" i="3"/>
  <c r="BY1417" i="3"/>
  <c r="BX1417" i="3"/>
  <c r="BB1417" i="3"/>
  <c r="U1417" i="3"/>
  <c r="T1417" i="3"/>
  <c r="S1417" i="3"/>
  <c r="C1417" i="3"/>
  <c r="A1417" i="3"/>
  <c r="BY1416" i="3"/>
  <c r="BX1416" i="3"/>
  <c r="BB1416" i="3"/>
  <c r="U1416" i="3"/>
  <c r="T1416" i="3"/>
  <c r="S1416" i="3"/>
  <c r="C1416" i="3"/>
  <c r="A1416" i="3"/>
  <c r="BY1415" i="3"/>
  <c r="BX1415" i="3"/>
  <c r="BB1415" i="3"/>
  <c r="U1415" i="3"/>
  <c r="T1415" i="3"/>
  <c r="S1415" i="3"/>
  <c r="C1415" i="3"/>
  <c r="A1415" i="3"/>
  <c r="BY1414" i="3"/>
  <c r="BX1414" i="3"/>
  <c r="BB1414" i="3"/>
  <c r="U1414" i="3"/>
  <c r="T1414" i="3"/>
  <c r="S1414" i="3"/>
  <c r="C1414" i="3"/>
  <c r="A1414" i="3"/>
  <c r="BY1413" i="3"/>
  <c r="BX1413" i="3"/>
  <c r="BB1413" i="3"/>
  <c r="U1413" i="3"/>
  <c r="T1413" i="3"/>
  <c r="S1413" i="3"/>
  <c r="C1413" i="3"/>
  <c r="A1413" i="3"/>
  <c r="BY1412" i="3"/>
  <c r="BX1412" i="3"/>
  <c r="BB1412" i="3"/>
  <c r="U1412" i="3"/>
  <c r="T1412" i="3"/>
  <c r="S1412" i="3"/>
  <c r="C1412" i="3"/>
  <c r="A1412" i="3"/>
  <c r="BY1411" i="3"/>
  <c r="BX1411" i="3"/>
  <c r="BB1411" i="3"/>
  <c r="U1411" i="3"/>
  <c r="T1411" i="3"/>
  <c r="S1411" i="3"/>
  <c r="C1411" i="3"/>
  <c r="A1411" i="3"/>
  <c r="BY1410" i="3"/>
  <c r="BX1410" i="3"/>
  <c r="BB1410" i="3"/>
  <c r="U1410" i="3"/>
  <c r="T1410" i="3"/>
  <c r="S1410" i="3"/>
  <c r="C1410" i="3"/>
  <c r="A1410" i="3"/>
  <c r="BY1409" i="3"/>
  <c r="BX1409" i="3"/>
  <c r="BB1409" i="3"/>
  <c r="U1409" i="3"/>
  <c r="T1409" i="3"/>
  <c r="S1409" i="3"/>
  <c r="C1409" i="3"/>
  <c r="A1409" i="3"/>
  <c r="BY1408" i="3"/>
  <c r="BX1408" i="3"/>
  <c r="BB1408" i="3"/>
  <c r="U1408" i="3"/>
  <c r="T1408" i="3"/>
  <c r="S1408" i="3"/>
  <c r="C1408" i="3"/>
  <c r="A1408" i="3"/>
  <c r="BY1407" i="3"/>
  <c r="BX1407" i="3"/>
  <c r="BB1407" i="3"/>
  <c r="U1407" i="3"/>
  <c r="T1407" i="3"/>
  <c r="S1407" i="3"/>
  <c r="C1407" i="3"/>
  <c r="A1407" i="3"/>
  <c r="BY1406" i="3"/>
  <c r="BX1406" i="3"/>
  <c r="BB1406" i="3"/>
  <c r="U1406" i="3"/>
  <c r="T1406" i="3"/>
  <c r="S1406" i="3"/>
  <c r="C1406" i="3"/>
  <c r="A1406" i="3"/>
  <c r="BY1405" i="3"/>
  <c r="BX1405" i="3"/>
  <c r="BB1405" i="3"/>
  <c r="U1405" i="3"/>
  <c r="T1405" i="3"/>
  <c r="S1405" i="3"/>
  <c r="C1405" i="3"/>
  <c r="A1405" i="3"/>
  <c r="BY1404" i="3"/>
  <c r="BX1404" i="3"/>
  <c r="BB1404" i="3"/>
  <c r="U1404" i="3"/>
  <c r="T1404" i="3"/>
  <c r="S1404" i="3"/>
  <c r="C1404" i="3"/>
  <c r="A1404" i="3"/>
  <c r="BY1403" i="3"/>
  <c r="BX1403" i="3"/>
  <c r="BB1403" i="3"/>
  <c r="U1403" i="3"/>
  <c r="T1403" i="3"/>
  <c r="S1403" i="3"/>
  <c r="C1403" i="3"/>
  <c r="A1403" i="3"/>
  <c r="BY1402" i="3"/>
  <c r="BX1402" i="3"/>
  <c r="BB1402" i="3"/>
  <c r="U1402" i="3"/>
  <c r="T1402" i="3"/>
  <c r="S1402" i="3"/>
  <c r="C1402" i="3"/>
  <c r="A1402" i="3"/>
  <c r="BY1401" i="3"/>
  <c r="BX1401" i="3"/>
  <c r="BB1401" i="3"/>
  <c r="U1401" i="3"/>
  <c r="T1401" i="3"/>
  <c r="S1401" i="3"/>
  <c r="C1401" i="3"/>
  <c r="A1401" i="3"/>
  <c r="BY1400" i="3"/>
  <c r="BX1400" i="3"/>
  <c r="BB1400" i="3"/>
  <c r="U1400" i="3"/>
  <c r="T1400" i="3"/>
  <c r="S1400" i="3"/>
  <c r="C1400" i="3"/>
  <c r="A1400" i="3"/>
  <c r="BY1399" i="3"/>
  <c r="BX1399" i="3"/>
  <c r="BB1399" i="3"/>
  <c r="U1399" i="3"/>
  <c r="T1399" i="3"/>
  <c r="S1399" i="3"/>
  <c r="C1399" i="3"/>
  <c r="A1399" i="3"/>
  <c r="BY1398" i="3"/>
  <c r="BX1398" i="3"/>
  <c r="BB1398" i="3"/>
  <c r="U1398" i="3"/>
  <c r="T1398" i="3"/>
  <c r="S1398" i="3"/>
  <c r="C1398" i="3"/>
  <c r="A1398" i="3"/>
  <c r="BY1397" i="3"/>
  <c r="BX1397" i="3"/>
  <c r="BB1397" i="3"/>
  <c r="U1397" i="3"/>
  <c r="T1397" i="3"/>
  <c r="S1397" i="3"/>
  <c r="C1397" i="3"/>
  <c r="A1397" i="3"/>
  <c r="BY1396" i="3"/>
  <c r="BX1396" i="3"/>
  <c r="BB1396" i="3"/>
  <c r="U1396" i="3"/>
  <c r="T1396" i="3"/>
  <c r="S1396" i="3"/>
  <c r="C1396" i="3"/>
  <c r="A1396" i="3"/>
  <c r="BY1395" i="3"/>
  <c r="BX1395" i="3"/>
  <c r="BB1395" i="3"/>
  <c r="U1395" i="3"/>
  <c r="T1395" i="3"/>
  <c r="S1395" i="3"/>
  <c r="C1395" i="3"/>
  <c r="A1395" i="3"/>
  <c r="BY1394" i="3"/>
  <c r="BX1394" i="3"/>
  <c r="BB1394" i="3"/>
  <c r="U1394" i="3"/>
  <c r="T1394" i="3"/>
  <c r="S1394" i="3"/>
  <c r="C1394" i="3"/>
  <c r="A1394" i="3"/>
  <c r="BY1393" i="3"/>
  <c r="BX1393" i="3"/>
  <c r="BB1393" i="3"/>
  <c r="U1393" i="3"/>
  <c r="T1393" i="3"/>
  <c r="S1393" i="3"/>
  <c r="C1393" i="3"/>
  <c r="A1393" i="3"/>
  <c r="BY1392" i="3"/>
  <c r="BX1392" i="3"/>
  <c r="BB1392" i="3"/>
  <c r="U1392" i="3"/>
  <c r="T1392" i="3"/>
  <c r="S1392" i="3"/>
  <c r="C1392" i="3"/>
  <c r="A1392" i="3"/>
  <c r="BY1391" i="3"/>
  <c r="BX1391" i="3"/>
  <c r="BB1391" i="3"/>
  <c r="U1391" i="3"/>
  <c r="T1391" i="3"/>
  <c r="S1391" i="3"/>
  <c r="C1391" i="3"/>
  <c r="A1391" i="3"/>
  <c r="BY1390" i="3"/>
  <c r="BX1390" i="3"/>
  <c r="BB1390" i="3"/>
  <c r="U1390" i="3"/>
  <c r="T1390" i="3"/>
  <c r="S1390" i="3"/>
  <c r="C1390" i="3"/>
  <c r="A1390" i="3"/>
  <c r="BY1389" i="3"/>
  <c r="BX1389" i="3"/>
  <c r="BB1389" i="3"/>
  <c r="U1389" i="3"/>
  <c r="T1389" i="3"/>
  <c r="S1389" i="3"/>
  <c r="C1389" i="3"/>
  <c r="A1389" i="3"/>
  <c r="BY1388" i="3"/>
  <c r="BX1388" i="3"/>
  <c r="BB1388" i="3"/>
  <c r="U1388" i="3"/>
  <c r="T1388" i="3"/>
  <c r="S1388" i="3"/>
  <c r="C1388" i="3"/>
  <c r="A1388" i="3"/>
  <c r="BY1387" i="3"/>
  <c r="BX1387" i="3"/>
  <c r="BB1387" i="3"/>
  <c r="U1387" i="3"/>
  <c r="T1387" i="3"/>
  <c r="S1387" i="3"/>
  <c r="C1387" i="3"/>
  <c r="A1387" i="3"/>
  <c r="BY1386" i="3"/>
  <c r="BX1386" i="3"/>
  <c r="BB1386" i="3"/>
  <c r="U1386" i="3"/>
  <c r="T1386" i="3"/>
  <c r="S1386" i="3"/>
  <c r="C1386" i="3"/>
  <c r="A1386" i="3"/>
  <c r="BY1385" i="3"/>
  <c r="BX1385" i="3"/>
  <c r="BB1385" i="3"/>
  <c r="U1385" i="3"/>
  <c r="T1385" i="3"/>
  <c r="S1385" i="3"/>
  <c r="C1385" i="3"/>
  <c r="A1385" i="3"/>
  <c r="BY1384" i="3"/>
  <c r="BX1384" i="3"/>
  <c r="BB1384" i="3"/>
  <c r="U1384" i="3"/>
  <c r="T1384" i="3"/>
  <c r="S1384" i="3"/>
  <c r="C1384" i="3"/>
  <c r="A1384" i="3"/>
  <c r="BY1383" i="3"/>
  <c r="BX1383" i="3"/>
  <c r="BB1383" i="3"/>
  <c r="U1383" i="3"/>
  <c r="T1383" i="3"/>
  <c r="S1383" i="3"/>
  <c r="C1383" i="3"/>
  <c r="A1383" i="3"/>
  <c r="BY1382" i="3"/>
  <c r="BX1382" i="3"/>
  <c r="BB1382" i="3"/>
  <c r="U1382" i="3"/>
  <c r="T1382" i="3"/>
  <c r="S1382" i="3"/>
  <c r="C1382" i="3"/>
  <c r="A1382" i="3"/>
  <c r="BY1381" i="3"/>
  <c r="BX1381" i="3"/>
  <c r="BB1381" i="3"/>
  <c r="U1381" i="3"/>
  <c r="T1381" i="3"/>
  <c r="S1381" i="3"/>
  <c r="C1381" i="3"/>
  <c r="A1381" i="3"/>
  <c r="BY1380" i="3"/>
  <c r="BX1380" i="3"/>
  <c r="BB1380" i="3"/>
  <c r="U1380" i="3"/>
  <c r="T1380" i="3"/>
  <c r="S1380" i="3"/>
  <c r="C1380" i="3"/>
  <c r="A1380" i="3"/>
  <c r="BY1379" i="3"/>
  <c r="BX1379" i="3"/>
  <c r="BB1379" i="3"/>
  <c r="U1379" i="3"/>
  <c r="T1379" i="3"/>
  <c r="S1379" i="3"/>
  <c r="C1379" i="3"/>
  <c r="A1379" i="3"/>
  <c r="BY1378" i="3"/>
  <c r="BX1378" i="3"/>
  <c r="BB1378" i="3"/>
  <c r="U1378" i="3"/>
  <c r="T1378" i="3"/>
  <c r="S1378" i="3"/>
  <c r="C1378" i="3"/>
  <c r="A1378" i="3"/>
  <c r="BY1377" i="3"/>
  <c r="BX1377" i="3"/>
  <c r="BB1377" i="3"/>
  <c r="U1377" i="3"/>
  <c r="T1377" i="3"/>
  <c r="S1377" i="3"/>
  <c r="C1377" i="3"/>
  <c r="A1377" i="3"/>
  <c r="BY1376" i="3"/>
  <c r="BX1376" i="3"/>
  <c r="BB1376" i="3"/>
  <c r="U1376" i="3"/>
  <c r="T1376" i="3"/>
  <c r="S1376" i="3"/>
  <c r="C1376" i="3"/>
  <c r="A1376" i="3"/>
  <c r="BY1375" i="3"/>
  <c r="BX1375" i="3"/>
  <c r="BB1375" i="3"/>
  <c r="U1375" i="3"/>
  <c r="T1375" i="3"/>
  <c r="S1375" i="3"/>
  <c r="C1375" i="3"/>
  <c r="A1375" i="3"/>
  <c r="BY1374" i="3"/>
  <c r="BX1374" i="3"/>
  <c r="BB1374" i="3"/>
  <c r="U1374" i="3"/>
  <c r="T1374" i="3"/>
  <c r="S1374" i="3"/>
  <c r="C1374" i="3"/>
  <c r="A1374" i="3"/>
  <c r="BY1373" i="3"/>
  <c r="BX1373" i="3"/>
  <c r="BB1373" i="3"/>
  <c r="U1373" i="3"/>
  <c r="T1373" i="3"/>
  <c r="S1373" i="3"/>
  <c r="C1373" i="3"/>
  <c r="A1373" i="3"/>
  <c r="BY1372" i="3"/>
  <c r="BX1372" i="3"/>
  <c r="BB1372" i="3"/>
  <c r="U1372" i="3"/>
  <c r="T1372" i="3"/>
  <c r="S1372" i="3"/>
  <c r="C1372" i="3"/>
  <c r="A1372" i="3"/>
  <c r="BY1371" i="3"/>
  <c r="BX1371" i="3"/>
  <c r="BB1371" i="3"/>
  <c r="U1371" i="3"/>
  <c r="T1371" i="3"/>
  <c r="S1371" i="3"/>
  <c r="C1371" i="3"/>
  <c r="A1371" i="3"/>
  <c r="BY1370" i="3"/>
  <c r="BX1370" i="3"/>
  <c r="BB1370" i="3"/>
  <c r="U1370" i="3"/>
  <c r="T1370" i="3"/>
  <c r="S1370" i="3"/>
  <c r="C1370" i="3"/>
  <c r="A1370" i="3"/>
  <c r="BY1369" i="3"/>
  <c r="BX1369" i="3"/>
  <c r="BB1369" i="3"/>
  <c r="U1369" i="3"/>
  <c r="T1369" i="3"/>
  <c r="S1369" i="3"/>
  <c r="C1369" i="3"/>
  <c r="A1369" i="3"/>
  <c r="BY1368" i="3"/>
  <c r="BX1368" i="3"/>
  <c r="BB1368" i="3"/>
  <c r="U1368" i="3"/>
  <c r="T1368" i="3"/>
  <c r="S1368" i="3"/>
  <c r="C1368" i="3"/>
  <c r="A1368" i="3"/>
  <c r="BY1367" i="3"/>
  <c r="BX1367" i="3"/>
  <c r="BB1367" i="3"/>
  <c r="U1367" i="3"/>
  <c r="T1367" i="3"/>
  <c r="S1367" i="3"/>
  <c r="C1367" i="3"/>
  <c r="A1367" i="3"/>
  <c r="BY1366" i="3"/>
  <c r="BX1366" i="3"/>
  <c r="BB1366" i="3"/>
  <c r="U1366" i="3"/>
  <c r="T1366" i="3"/>
  <c r="S1366" i="3"/>
  <c r="C1366" i="3"/>
  <c r="A1366" i="3"/>
  <c r="BY1365" i="3"/>
  <c r="BX1365" i="3"/>
  <c r="BB1365" i="3"/>
  <c r="U1365" i="3"/>
  <c r="T1365" i="3"/>
  <c r="S1365" i="3"/>
  <c r="C1365" i="3"/>
  <c r="A1365" i="3"/>
  <c r="BY1364" i="3"/>
  <c r="BX1364" i="3"/>
  <c r="BB1364" i="3"/>
  <c r="U1364" i="3"/>
  <c r="T1364" i="3"/>
  <c r="S1364" i="3"/>
  <c r="C1364" i="3"/>
  <c r="A1364" i="3"/>
  <c r="BY1363" i="3"/>
  <c r="BX1363" i="3"/>
  <c r="BB1363" i="3"/>
  <c r="U1363" i="3"/>
  <c r="T1363" i="3"/>
  <c r="S1363" i="3"/>
  <c r="C1363" i="3"/>
  <c r="A1363" i="3"/>
  <c r="BY1362" i="3"/>
  <c r="BX1362" i="3"/>
  <c r="BB1362" i="3"/>
  <c r="U1362" i="3"/>
  <c r="T1362" i="3"/>
  <c r="S1362" i="3"/>
  <c r="C1362" i="3"/>
  <c r="A1362" i="3"/>
  <c r="BY1361" i="3"/>
  <c r="BX1361" i="3"/>
  <c r="BB1361" i="3"/>
  <c r="U1361" i="3"/>
  <c r="T1361" i="3"/>
  <c r="S1361" i="3"/>
  <c r="C1361" i="3"/>
  <c r="A1361" i="3"/>
  <c r="BY1360" i="3"/>
  <c r="BX1360" i="3"/>
  <c r="BB1360" i="3"/>
  <c r="U1360" i="3"/>
  <c r="T1360" i="3"/>
  <c r="S1360" i="3"/>
  <c r="C1360" i="3"/>
  <c r="A1360" i="3"/>
  <c r="BY1359" i="3"/>
  <c r="BX1359" i="3"/>
  <c r="BB1359" i="3"/>
  <c r="U1359" i="3"/>
  <c r="T1359" i="3"/>
  <c r="S1359" i="3"/>
  <c r="C1359" i="3"/>
  <c r="A1359" i="3"/>
  <c r="BY1358" i="3"/>
  <c r="BX1358" i="3"/>
  <c r="BB1358" i="3"/>
  <c r="U1358" i="3"/>
  <c r="T1358" i="3"/>
  <c r="S1358" i="3"/>
  <c r="C1358" i="3"/>
  <c r="A1358" i="3"/>
  <c r="BY1357" i="3"/>
  <c r="BX1357" i="3"/>
  <c r="BB1357" i="3"/>
  <c r="U1357" i="3"/>
  <c r="T1357" i="3"/>
  <c r="S1357" i="3"/>
  <c r="C1357" i="3"/>
  <c r="A1357" i="3"/>
  <c r="BY1356" i="3"/>
  <c r="BX1356" i="3"/>
  <c r="BB1356" i="3"/>
  <c r="U1356" i="3"/>
  <c r="T1356" i="3"/>
  <c r="S1356" i="3"/>
  <c r="C1356" i="3"/>
  <c r="A1356" i="3"/>
  <c r="BY1355" i="3"/>
  <c r="BX1355" i="3"/>
  <c r="BB1355" i="3"/>
  <c r="U1355" i="3"/>
  <c r="T1355" i="3"/>
  <c r="S1355" i="3"/>
  <c r="C1355" i="3"/>
  <c r="A1355" i="3"/>
  <c r="BY1354" i="3"/>
  <c r="BX1354" i="3"/>
  <c r="BB1354" i="3"/>
  <c r="U1354" i="3"/>
  <c r="T1354" i="3"/>
  <c r="S1354" i="3"/>
  <c r="C1354" i="3"/>
  <c r="A1354" i="3"/>
  <c r="BY1353" i="3"/>
  <c r="BX1353" i="3"/>
  <c r="BB1353" i="3"/>
  <c r="U1353" i="3"/>
  <c r="T1353" i="3"/>
  <c r="S1353" i="3"/>
  <c r="C1353" i="3"/>
  <c r="A1353" i="3"/>
  <c r="BY1352" i="3"/>
  <c r="BX1352" i="3"/>
  <c r="BB1352" i="3"/>
  <c r="U1352" i="3"/>
  <c r="T1352" i="3"/>
  <c r="S1352" i="3"/>
  <c r="C1352" i="3"/>
  <c r="A1352" i="3"/>
  <c r="BY1351" i="3"/>
  <c r="BX1351" i="3"/>
  <c r="BB1351" i="3"/>
  <c r="U1351" i="3"/>
  <c r="T1351" i="3"/>
  <c r="S1351" i="3"/>
  <c r="C1351" i="3"/>
  <c r="A1351" i="3"/>
  <c r="BY1350" i="3"/>
  <c r="BX1350" i="3"/>
  <c r="BB1350" i="3"/>
  <c r="U1350" i="3"/>
  <c r="T1350" i="3"/>
  <c r="S1350" i="3"/>
  <c r="C1350" i="3"/>
  <c r="A1350" i="3"/>
  <c r="BY1349" i="3"/>
  <c r="BX1349" i="3"/>
  <c r="BB1349" i="3"/>
  <c r="U1349" i="3"/>
  <c r="T1349" i="3"/>
  <c r="S1349" i="3"/>
  <c r="C1349" i="3"/>
  <c r="A1349" i="3"/>
  <c r="BY1348" i="3"/>
  <c r="BX1348" i="3"/>
  <c r="BB1348" i="3"/>
  <c r="U1348" i="3"/>
  <c r="T1348" i="3"/>
  <c r="S1348" i="3"/>
  <c r="C1348" i="3"/>
  <c r="A1348" i="3"/>
  <c r="BY1347" i="3"/>
  <c r="BX1347" i="3"/>
  <c r="BB1347" i="3"/>
  <c r="U1347" i="3"/>
  <c r="T1347" i="3"/>
  <c r="S1347" i="3"/>
  <c r="C1347" i="3"/>
  <c r="A1347" i="3"/>
  <c r="BY1346" i="3"/>
  <c r="BX1346" i="3"/>
  <c r="BB1346" i="3"/>
  <c r="U1346" i="3"/>
  <c r="T1346" i="3"/>
  <c r="S1346" i="3"/>
  <c r="C1346" i="3"/>
  <c r="A1346" i="3"/>
  <c r="BY1345" i="3"/>
  <c r="BX1345" i="3"/>
  <c r="BB1345" i="3"/>
  <c r="U1345" i="3"/>
  <c r="T1345" i="3"/>
  <c r="S1345" i="3"/>
  <c r="C1345" i="3"/>
  <c r="A1345" i="3"/>
  <c r="BY1344" i="3"/>
  <c r="BX1344" i="3"/>
  <c r="BB1344" i="3"/>
  <c r="U1344" i="3"/>
  <c r="T1344" i="3"/>
  <c r="S1344" i="3"/>
  <c r="C1344" i="3"/>
  <c r="A1344" i="3"/>
  <c r="BY1343" i="3"/>
  <c r="BX1343" i="3"/>
  <c r="BB1343" i="3"/>
  <c r="U1343" i="3"/>
  <c r="T1343" i="3"/>
  <c r="S1343" i="3"/>
  <c r="C1343" i="3"/>
  <c r="A1343" i="3"/>
  <c r="BY1342" i="3"/>
  <c r="BX1342" i="3"/>
  <c r="BB1342" i="3"/>
  <c r="U1342" i="3"/>
  <c r="T1342" i="3"/>
  <c r="S1342" i="3"/>
  <c r="C1342" i="3"/>
  <c r="A1342" i="3"/>
  <c r="BY1341" i="3"/>
  <c r="BX1341" i="3"/>
  <c r="BB1341" i="3"/>
  <c r="U1341" i="3"/>
  <c r="T1341" i="3"/>
  <c r="S1341" i="3"/>
  <c r="C1341" i="3"/>
  <c r="A1341" i="3"/>
  <c r="BY1340" i="3"/>
  <c r="BX1340" i="3"/>
  <c r="BB1340" i="3"/>
  <c r="U1340" i="3"/>
  <c r="T1340" i="3"/>
  <c r="S1340" i="3"/>
  <c r="C1340" i="3"/>
  <c r="A1340" i="3"/>
  <c r="BY1339" i="3"/>
  <c r="BX1339" i="3"/>
  <c r="BB1339" i="3"/>
  <c r="U1339" i="3"/>
  <c r="T1339" i="3"/>
  <c r="S1339" i="3"/>
  <c r="C1339" i="3"/>
  <c r="A1339" i="3"/>
  <c r="BY1338" i="3"/>
  <c r="BX1338" i="3"/>
  <c r="BB1338" i="3"/>
  <c r="U1338" i="3"/>
  <c r="T1338" i="3"/>
  <c r="S1338" i="3"/>
  <c r="C1338" i="3"/>
  <c r="A1338" i="3"/>
  <c r="BY1337" i="3"/>
  <c r="BX1337" i="3"/>
  <c r="BB1337" i="3"/>
  <c r="U1337" i="3"/>
  <c r="T1337" i="3"/>
  <c r="S1337" i="3"/>
  <c r="C1337" i="3"/>
  <c r="A1337" i="3"/>
  <c r="BY1336" i="3"/>
  <c r="BX1336" i="3"/>
  <c r="BB1336" i="3"/>
  <c r="U1336" i="3"/>
  <c r="T1336" i="3"/>
  <c r="S1336" i="3"/>
  <c r="C1336" i="3"/>
  <c r="A1336" i="3"/>
  <c r="BY1335" i="3"/>
  <c r="BX1335" i="3"/>
  <c r="BB1335" i="3"/>
  <c r="U1335" i="3"/>
  <c r="T1335" i="3"/>
  <c r="S1335" i="3"/>
  <c r="C1335" i="3"/>
  <c r="A1335" i="3"/>
  <c r="BY1334" i="3"/>
  <c r="BX1334" i="3"/>
  <c r="BB1334" i="3"/>
  <c r="U1334" i="3"/>
  <c r="T1334" i="3"/>
  <c r="S1334" i="3"/>
  <c r="C1334" i="3"/>
  <c r="A1334" i="3"/>
  <c r="BY1333" i="3"/>
  <c r="BX1333" i="3"/>
  <c r="BB1333" i="3"/>
  <c r="U1333" i="3"/>
  <c r="T1333" i="3"/>
  <c r="S1333" i="3"/>
  <c r="C1333" i="3"/>
  <c r="A1333" i="3"/>
  <c r="BY1332" i="3"/>
  <c r="BX1332" i="3"/>
  <c r="BB1332" i="3"/>
  <c r="U1332" i="3"/>
  <c r="T1332" i="3"/>
  <c r="S1332" i="3"/>
  <c r="C1332" i="3"/>
  <c r="A1332" i="3"/>
  <c r="BY1331" i="3"/>
  <c r="BX1331" i="3"/>
  <c r="BB1331" i="3"/>
  <c r="U1331" i="3"/>
  <c r="T1331" i="3"/>
  <c r="S1331" i="3"/>
  <c r="C1331" i="3"/>
  <c r="A1331" i="3"/>
  <c r="BY1330" i="3"/>
  <c r="BX1330" i="3"/>
  <c r="BB1330" i="3"/>
  <c r="U1330" i="3"/>
  <c r="T1330" i="3"/>
  <c r="S1330" i="3"/>
  <c r="C1330" i="3"/>
  <c r="A1330" i="3"/>
  <c r="BY1329" i="3"/>
  <c r="BX1329" i="3"/>
  <c r="BB1329" i="3"/>
  <c r="U1329" i="3"/>
  <c r="T1329" i="3"/>
  <c r="S1329" i="3"/>
  <c r="C1329" i="3"/>
  <c r="A1329" i="3"/>
  <c r="BY1328" i="3"/>
  <c r="BX1328" i="3"/>
  <c r="BB1328" i="3"/>
  <c r="U1328" i="3"/>
  <c r="T1328" i="3"/>
  <c r="S1328" i="3"/>
  <c r="C1328" i="3"/>
  <c r="A1328" i="3"/>
  <c r="BY1327" i="3"/>
  <c r="BX1327" i="3"/>
  <c r="BB1327" i="3"/>
  <c r="U1327" i="3"/>
  <c r="T1327" i="3"/>
  <c r="S1327" i="3"/>
  <c r="C1327" i="3"/>
  <c r="A1327" i="3"/>
  <c r="BY1326" i="3"/>
  <c r="BX1326" i="3"/>
  <c r="BB1326" i="3"/>
  <c r="U1326" i="3"/>
  <c r="T1326" i="3"/>
  <c r="S1326" i="3"/>
  <c r="C1326" i="3"/>
  <c r="A1326" i="3"/>
  <c r="BY1325" i="3"/>
  <c r="BX1325" i="3"/>
  <c r="BB1325" i="3"/>
  <c r="U1325" i="3"/>
  <c r="T1325" i="3"/>
  <c r="S1325" i="3"/>
  <c r="C1325" i="3"/>
  <c r="A1325" i="3"/>
  <c r="BY1324" i="3"/>
  <c r="BX1324" i="3"/>
  <c r="BB1324" i="3"/>
  <c r="U1324" i="3"/>
  <c r="T1324" i="3"/>
  <c r="S1324" i="3"/>
  <c r="C1324" i="3"/>
  <c r="A1324" i="3"/>
  <c r="BY1323" i="3"/>
  <c r="BX1323" i="3"/>
  <c r="BB1323" i="3"/>
  <c r="U1323" i="3"/>
  <c r="T1323" i="3"/>
  <c r="S1323" i="3"/>
  <c r="C1323" i="3"/>
  <c r="A1323" i="3"/>
  <c r="BY1322" i="3"/>
  <c r="BX1322" i="3"/>
  <c r="BB1322" i="3"/>
  <c r="U1322" i="3"/>
  <c r="T1322" i="3"/>
  <c r="S1322" i="3"/>
  <c r="C1322" i="3"/>
  <c r="A1322" i="3"/>
  <c r="BY1321" i="3"/>
  <c r="BX1321" i="3"/>
  <c r="BB1321" i="3"/>
  <c r="U1321" i="3"/>
  <c r="T1321" i="3"/>
  <c r="S1321" i="3"/>
  <c r="C1321" i="3"/>
  <c r="A1321" i="3"/>
  <c r="BY1320" i="3"/>
  <c r="BX1320" i="3"/>
  <c r="BB1320" i="3"/>
  <c r="U1320" i="3"/>
  <c r="T1320" i="3"/>
  <c r="S1320" i="3"/>
  <c r="C1320" i="3"/>
  <c r="A1320" i="3"/>
  <c r="BY1319" i="3"/>
  <c r="BX1319" i="3"/>
  <c r="BB1319" i="3"/>
  <c r="U1319" i="3"/>
  <c r="T1319" i="3"/>
  <c r="S1319" i="3"/>
  <c r="C1319" i="3"/>
  <c r="A1319" i="3"/>
  <c r="BY1318" i="3"/>
  <c r="BX1318" i="3"/>
  <c r="BB1318" i="3"/>
  <c r="U1318" i="3"/>
  <c r="T1318" i="3"/>
  <c r="S1318" i="3"/>
  <c r="C1318" i="3"/>
  <c r="A1318" i="3"/>
  <c r="BY1317" i="3"/>
  <c r="BX1317" i="3"/>
  <c r="BB1317" i="3"/>
  <c r="U1317" i="3"/>
  <c r="T1317" i="3"/>
  <c r="S1317" i="3"/>
  <c r="C1317" i="3"/>
  <c r="A1317" i="3"/>
  <c r="BY1316" i="3"/>
  <c r="BX1316" i="3"/>
  <c r="BB1316" i="3"/>
  <c r="U1316" i="3"/>
  <c r="T1316" i="3"/>
  <c r="S1316" i="3"/>
  <c r="C1316" i="3"/>
  <c r="A1316" i="3"/>
  <c r="BY1315" i="3"/>
  <c r="BX1315" i="3"/>
  <c r="BB1315" i="3"/>
  <c r="U1315" i="3"/>
  <c r="T1315" i="3"/>
  <c r="S1315" i="3"/>
  <c r="C1315" i="3"/>
  <c r="A1315" i="3"/>
  <c r="BY1314" i="3"/>
  <c r="BX1314" i="3"/>
  <c r="BB1314" i="3"/>
  <c r="U1314" i="3"/>
  <c r="T1314" i="3"/>
  <c r="S1314" i="3"/>
  <c r="C1314" i="3"/>
  <c r="A1314" i="3"/>
  <c r="BY1313" i="3"/>
  <c r="BX1313" i="3"/>
  <c r="BB1313" i="3"/>
  <c r="U1313" i="3"/>
  <c r="T1313" i="3"/>
  <c r="S1313" i="3"/>
  <c r="C1313" i="3"/>
  <c r="A1313" i="3"/>
  <c r="BY1312" i="3"/>
  <c r="BX1312" i="3"/>
  <c r="BB1312" i="3"/>
  <c r="U1312" i="3"/>
  <c r="T1312" i="3"/>
  <c r="S1312" i="3"/>
  <c r="C1312" i="3"/>
  <c r="A1312" i="3"/>
  <c r="BY1311" i="3"/>
  <c r="BX1311" i="3"/>
  <c r="BB1311" i="3"/>
  <c r="U1311" i="3"/>
  <c r="T1311" i="3"/>
  <c r="S1311" i="3"/>
  <c r="C1311" i="3"/>
  <c r="A1311" i="3"/>
  <c r="BY1310" i="3"/>
  <c r="BX1310" i="3"/>
  <c r="BB1310" i="3"/>
  <c r="U1310" i="3"/>
  <c r="T1310" i="3"/>
  <c r="S1310" i="3"/>
  <c r="C1310" i="3"/>
  <c r="A1310" i="3"/>
  <c r="BY1309" i="3"/>
  <c r="BX1309" i="3"/>
  <c r="BB1309" i="3"/>
  <c r="U1309" i="3"/>
  <c r="T1309" i="3"/>
  <c r="S1309" i="3"/>
  <c r="C1309" i="3"/>
  <c r="A1309" i="3"/>
  <c r="BY1308" i="3"/>
  <c r="BX1308" i="3"/>
  <c r="BB1308" i="3"/>
  <c r="U1308" i="3"/>
  <c r="T1308" i="3"/>
  <c r="S1308" i="3"/>
  <c r="C1308" i="3"/>
  <c r="A1308" i="3"/>
  <c r="BY1307" i="3"/>
  <c r="BX1307" i="3"/>
  <c r="BB1307" i="3"/>
  <c r="U1307" i="3"/>
  <c r="T1307" i="3"/>
  <c r="S1307" i="3"/>
  <c r="C1307" i="3"/>
  <c r="A1307" i="3"/>
  <c r="BY1306" i="3"/>
  <c r="BX1306" i="3"/>
  <c r="BB1306" i="3"/>
  <c r="U1306" i="3"/>
  <c r="T1306" i="3"/>
  <c r="S1306" i="3"/>
  <c r="C1306" i="3"/>
  <c r="A1306" i="3"/>
  <c r="BY1305" i="3"/>
  <c r="BX1305" i="3"/>
  <c r="BB1305" i="3"/>
  <c r="U1305" i="3"/>
  <c r="T1305" i="3"/>
  <c r="S1305" i="3"/>
  <c r="C1305" i="3"/>
  <c r="A1305" i="3"/>
  <c r="BY1304" i="3"/>
  <c r="BX1304" i="3"/>
  <c r="BB1304" i="3"/>
  <c r="U1304" i="3"/>
  <c r="T1304" i="3"/>
  <c r="S1304" i="3"/>
  <c r="C1304" i="3"/>
  <c r="A1304" i="3"/>
  <c r="BY1303" i="3"/>
  <c r="BX1303" i="3"/>
  <c r="BB1303" i="3"/>
  <c r="U1303" i="3"/>
  <c r="T1303" i="3"/>
  <c r="S1303" i="3"/>
  <c r="C1303" i="3"/>
  <c r="A1303" i="3"/>
  <c r="BY1302" i="3"/>
  <c r="BX1302" i="3"/>
  <c r="BB1302" i="3"/>
  <c r="U1302" i="3"/>
  <c r="T1302" i="3"/>
  <c r="S1302" i="3"/>
  <c r="C1302" i="3"/>
  <c r="A1302" i="3"/>
  <c r="BY1301" i="3"/>
  <c r="BX1301" i="3"/>
  <c r="BB1301" i="3"/>
  <c r="U1301" i="3"/>
  <c r="T1301" i="3"/>
  <c r="S1301" i="3"/>
  <c r="C1301" i="3"/>
  <c r="A1301" i="3"/>
  <c r="BY1300" i="3"/>
  <c r="BX1300" i="3"/>
  <c r="BB1300" i="3"/>
  <c r="U1300" i="3"/>
  <c r="T1300" i="3"/>
  <c r="S1300" i="3"/>
  <c r="C1300" i="3"/>
  <c r="A1300" i="3"/>
  <c r="BY1299" i="3"/>
  <c r="BX1299" i="3"/>
  <c r="BB1299" i="3"/>
  <c r="U1299" i="3"/>
  <c r="T1299" i="3"/>
  <c r="S1299" i="3"/>
  <c r="C1299" i="3"/>
  <c r="A1299" i="3"/>
  <c r="BY1298" i="3"/>
  <c r="BX1298" i="3"/>
  <c r="BB1298" i="3"/>
  <c r="U1298" i="3"/>
  <c r="T1298" i="3"/>
  <c r="S1298" i="3"/>
  <c r="C1298" i="3"/>
  <c r="A1298" i="3"/>
  <c r="BY1297" i="3"/>
  <c r="BX1297" i="3"/>
  <c r="BB1297" i="3"/>
  <c r="U1297" i="3"/>
  <c r="T1297" i="3"/>
  <c r="S1297" i="3"/>
  <c r="C1297" i="3"/>
  <c r="A1297" i="3"/>
  <c r="BY1296" i="3"/>
  <c r="BX1296" i="3"/>
  <c r="BB1296" i="3"/>
  <c r="U1296" i="3"/>
  <c r="T1296" i="3"/>
  <c r="S1296" i="3"/>
  <c r="C1296" i="3"/>
  <c r="A1296" i="3"/>
  <c r="BY1295" i="3"/>
  <c r="BX1295" i="3"/>
  <c r="BB1295" i="3"/>
  <c r="U1295" i="3"/>
  <c r="T1295" i="3"/>
  <c r="S1295" i="3"/>
  <c r="C1295" i="3"/>
  <c r="A1295" i="3"/>
  <c r="BY1294" i="3"/>
  <c r="BX1294" i="3"/>
  <c r="BB1294" i="3"/>
  <c r="U1294" i="3"/>
  <c r="T1294" i="3"/>
  <c r="S1294" i="3"/>
  <c r="C1294" i="3"/>
  <c r="A1294" i="3"/>
  <c r="BY1293" i="3"/>
  <c r="BX1293" i="3"/>
  <c r="BB1293" i="3"/>
  <c r="U1293" i="3"/>
  <c r="T1293" i="3"/>
  <c r="S1293" i="3"/>
  <c r="C1293" i="3"/>
  <c r="A1293" i="3"/>
  <c r="BY1292" i="3"/>
  <c r="BX1292" i="3"/>
  <c r="BB1292" i="3"/>
  <c r="U1292" i="3"/>
  <c r="T1292" i="3"/>
  <c r="S1292" i="3"/>
  <c r="C1292" i="3"/>
  <c r="A1292" i="3"/>
  <c r="BY1291" i="3"/>
  <c r="BX1291" i="3"/>
  <c r="BB1291" i="3"/>
  <c r="U1291" i="3"/>
  <c r="T1291" i="3"/>
  <c r="S1291" i="3"/>
  <c r="C1291" i="3"/>
  <c r="A1291" i="3"/>
  <c r="BY1290" i="3"/>
  <c r="BX1290" i="3"/>
  <c r="BB1290" i="3"/>
  <c r="U1290" i="3"/>
  <c r="T1290" i="3"/>
  <c r="S1290" i="3"/>
  <c r="C1290" i="3"/>
  <c r="A1290" i="3"/>
  <c r="BY1289" i="3"/>
  <c r="BX1289" i="3"/>
  <c r="BB1289" i="3"/>
  <c r="U1289" i="3"/>
  <c r="T1289" i="3"/>
  <c r="S1289" i="3"/>
  <c r="C1289" i="3"/>
  <c r="A1289" i="3"/>
  <c r="BY1288" i="3"/>
  <c r="BX1288" i="3"/>
  <c r="BB1288" i="3"/>
  <c r="U1288" i="3"/>
  <c r="T1288" i="3"/>
  <c r="S1288" i="3"/>
  <c r="C1288" i="3"/>
  <c r="A1288" i="3"/>
  <c r="BY1287" i="3"/>
  <c r="BX1287" i="3"/>
  <c r="BB1287" i="3"/>
  <c r="U1287" i="3"/>
  <c r="T1287" i="3"/>
  <c r="S1287" i="3"/>
  <c r="C1287" i="3"/>
  <c r="A1287" i="3"/>
  <c r="BY1286" i="3"/>
  <c r="BX1286" i="3"/>
  <c r="BB1286" i="3"/>
  <c r="U1286" i="3"/>
  <c r="T1286" i="3"/>
  <c r="S1286" i="3"/>
  <c r="C1286" i="3"/>
  <c r="A1286" i="3"/>
  <c r="BY1285" i="3"/>
  <c r="BX1285" i="3"/>
  <c r="BB1285" i="3"/>
  <c r="U1285" i="3"/>
  <c r="T1285" i="3"/>
  <c r="S1285" i="3"/>
  <c r="C1285" i="3"/>
  <c r="A1285" i="3"/>
  <c r="BY1284" i="3"/>
  <c r="BX1284" i="3"/>
  <c r="BB1284" i="3"/>
  <c r="U1284" i="3"/>
  <c r="T1284" i="3"/>
  <c r="S1284" i="3"/>
  <c r="C1284" i="3"/>
  <c r="A1284" i="3"/>
  <c r="BY1283" i="3"/>
  <c r="BX1283" i="3"/>
  <c r="BB1283" i="3"/>
  <c r="U1283" i="3"/>
  <c r="T1283" i="3"/>
  <c r="S1283" i="3"/>
  <c r="C1283" i="3"/>
  <c r="A1283" i="3"/>
  <c r="BY1282" i="3"/>
  <c r="BX1282" i="3"/>
  <c r="BB1282" i="3"/>
  <c r="U1282" i="3"/>
  <c r="T1282" i="3"/>
  <c r="S1282" i="3"/>
  <c r="C1282" i="3"/>
  <c r="A1282" i="3"/>
  <c r="BY1281" i="3"/>
  <c r="BX1281" i="3"/>
  <c r="BB1281" i="3"/>
  <c r="U1281" i="3"/>
  <c r="T1281" i="3"/>
  <c r="S1281" i="3"/>
  <c r="C1281" i="3"/>
  <c r="A1281" i="3"/>
  <c r="BY1280" i="3"/>
  <c r="BX1280" i="3"/>
  <c r="BB1280" i="3"/>
  <c r="U1280" i="3"/>
  <c r="T1280" i="3"/>
  <c r="S1280" i="3"/>
  <c r="C1280" i="3"/>
  <c r="A1280" i="3"/>
  <c r="BY1279" i="3"/>
  <c r="BX1279" i="3"/>
  <c r="BB1279" i="3"/>
  <c r="U1279" i="3"/>
  <c r="T1279" i="3"/>
  <c r="S1279" i="3"/>
  <c r="C1279" i="3"/>
  <c r="A1279" i="3"/>
  <c r="BY1278" i="3"/>
  <c r="BX1278" i="3"/>
  <c r="BB1278" i="3"/>
  <c r="U1278" i="3"/>
  <c r="T1278" i="3"/>
  <c r="S1278" i="3"/>
  <c r="C1278" i="3"/>
  <c r="A1278" i="3"/>
  <c r="BY1277" i="3"/>
  <c r="BX1277" i="3"/>
  <c r="BB1277" i="3"/>
  <c r="U1277" i="3"/>
  <c r="T1277" i="3"/>
  <c r="S1277" i="3"/>
  <c r="C1277" i="3"/>
  <c r="A1277" i="3"/>
  <c r="BY1276" i="3"/>
  <c r="BX1276" i="3"/>
  <c r="BB1276" i="3"/>
  <c r="U1276" i="3"/>
  <c r="T1276" i="3"/>
  <c r="S1276" i="3"/>
  <c r="C1276" i="3"/>
  <c r="A1276" i="3"/>
  <c r="BY1275" i="3"/>
  <c r="BX1275" i="3"/>
  <c r="BB1275" i="3"/>
  <c r="U1275" i="3"/>
  <c r="T1275" i="3"/>
  <c r="S1275" i="3"/>
  <c r="C1275" i="3"/>
  <c r="A1275" i="3"/>
  <c r="BY1274" i="3"/>
  <c r="BX1274" i="3"/>
  <c r="BB1274" i="3"/>
  <c r="U1274" i="3"/>
  <c r="T1274" i="3"/>
  <c r="S1274" i="3"/>
  <c r="C1274" i="3"/>
  <c r="A1274" i="3"/>
  <c r="BY1273" i="3"/>
  <c r="BX1273" i="3"/>
  <c r="BB1273" i="3"/>
  <c r="U1273" i="3"/>
  <c r="T1273" i="3"/>
  <c r="S1273" i="3"/>
  <c r="C1273" i="3"/>
  <c r="A1273" i="3"/>
  <c r="BY1272" i="3"/>
  <c r="BX1272" i="3"/>
  <c r="BB1272" i="3"/>
  <c r="U1272" i="3"/>
  <c r="T1272" i="3"/>
  <c r="S1272" i="3"/>
  <c r="C1272" i="3"/>
  <c r="A1272" i="3"/>
  <c r="BY1271" i="3"/>
  <c r="BX1271" i="3"/>
  <c r="BB1271" i="3"/>
  <c r="U1271" i="3"/>
  <c r="T1271" i="3"/>
  <c r="S1271" i="3"/>
  <c r="C1271" i="3"/>
  <c r="A1271" i="3"/>
  <c r="BY1270" i="3"/>
  <c r="BX1270" i="3"/>
  <c r="BB1270" i="3"/>
  <c r="U1270" i="3"/>
  <c r="T1270" i="3"/>
  <c r="S1270" i="3"/>
  <c r="C1270" i="3"/>
  <c r="A1270" i="3"/>
  <c r="BY1269" i="3"/>
  <c r="BX1269" i="3"/>
  <c r="BB1269" i="3"/>
  <c r="U1269" i="3"/>
  <c r="T1269" i="3"/>
  <c r="S1269" i="3"/>
  <c r="C1269" i="3"/>
  <c r="A1269" i="3"/>
  <c r="BY1268" i="3"/>
  <c r="BX1268" i="3"/>
  <c r="BB1268" i="3"/>
  <c r="U1268" i="3"/>
  <c r="T1268" i="3"/>
  <c r="S1268" i="3"/>
  <c r="C1268" i="3"/>
  <c r="A1268" i="3"/>
  <c r="BY1267" i="3"/>
  <c r="BX1267" i="3"/>
  <c r="BB1267" i="3"/>
  <c r="U1267" i="3"/>
  <c r="T1267" i="3"/>
  <c r="S1267" i="3"/>
  <c r="C1267" i="3"/>
  <c r="A1267" i="3"/>
  <c r="BY1266" i="3"/>
  <c r="BX1266" i="3"/>
  <c r="BB1266" i="3"/>
  <c r="U1266" i="3"/>
  <c r="T1266" i="3"/>
  <c r="S1266" i="3"/>
  <c r="C1266" i="3"/>
  <c r="A1266" i="3"/>
  <c r="BY1265" i="3"/>
  <c r="BX1265" i="3"/>
  <c r="BB1265" i="3"/>
  <c r="U1265" i="3"/>
  <c r="T1265" i="3"/>
  <c r="S1265" i="3"/>
  <c r="C1265" i="3"/>
  <c r="A1265" i="3"/>
  <c r="BY1264" i="3"/>
  <c r="BX1264" i="3"/>
  <c r="BB1264" i="3"/>
  <c r="U1264" i="3"/>
  <c r="T1264" i="3"/>
  <c r="S1264" i="3"/>
  <c r="C1264" i="3"/>
  <c r="A1264" i="3"/>
  <c r="BY1263" i="3"/>
  <c r="BX1263" i="3"/>
  <c r="BB1263" i="3"/>
  <c r="U1263" i="3"/>
  <c r="T1263" i="3"/>
  <c r="S1263" i="3"/>
  <c r="C1263" i="3"/>
  <c r="A1263" i="3"/>
  <c r="BY1262" i="3"/>
  <c r="BX1262" i="3"/>
  <c r="BB1262" i="3"/>
  <c r="U1262" i="3"/>
  <c r="T1262" i="3"/>
  <c r="S1262" i="3"/>
  <c r="C1262" i="3"/>
  <c r="A1262" i="3"/>
  <c r="BY1261" i="3"/>
  <c r="BX1261" i="3"/>
  <c r="BB1261" i="3"/>
  <c r="U1261" i="3"/>
  <c r="T1261" i="3"/>
  <c r="S1261" i="3"/>
  <c r="C1261" i="3"/>
  <c r="A1261" i="3"/>
  <c r="BY1260" i="3"/>
  <c r="BX1260" i="3"/>
  <c r="BB1260" i="3"/>
  <c r="U1260" i="3"/>
  <c r="T1260" i="3"/>
  <c r="S1260" i="3"/>
  <c r="C1260" i="3"/>
  <c r="A1260" i="3"/>
  <c r="BY1259" i="3"/>
  <c r="BX1259" i="3"/>
  <c r="BB1259" i="3"/>
  <c r="U1259" i="3"/>
  <c r="T1259" i="3"/>
  <c r="S1259" i="3"/>
  <c r="C1259" i="3"/>
  <c r="A1259" i="3"/>
  <c r="BY1258" i="3"/>
  <c r="BX1258" i="3"/>
  <c r="BB1258" i="3"/>
  <c r="U1258" i="3"/>
  <c r="T1258" i="3"/>
  <c r="S1258" i="3"/>
  <c r="C1258" i="3"/>
  <c r="A1258" i="3"/>
  <c r="BY1257" i="3"/>
  <c r="BX1257" i="3"/>
  <c r="BB1257" i="3"/>
  <c r="U1257" i="3"/>
  <c r="T1257" i="3"/>
  <c r="S1257" i="3"/>
  <c r="C1257" i="3"/>
  <c r="A1257" i="3"/>
  <c r="BY1256" i="3"/>
  <c r="BX1256" i="3"/>
  <c r="BB1256" i="3"/>
  <c r="U1256" i="3"/>
  <c r="T1256" i="3"/>
  <c r="S1256" i="3"/>
  <c r="C1256" i="3"/>
  <c r="A1256" i="3"/>
  <c r="BY1255" i="3"/>
  <c r="BX1255" i="3"/>
  <c r="BB1255" i="3"/>
  <c r="U1255" i="3"/>
  <c r="T1255" i="3"/>
  <c r="S1255" i="3"/>
  <c r="C1255" i="3"/>
  <c r="A1255" i="3"/>
  <c r="BY1254" i="3"/>
  <c r="BX1254" i="3"/>
  <c r="BB1254" i="3"/>
  <c r="U1254" i="3"/>
  <c r="T1254" i="3"/>
  <c r="S1254" i="3"/>
  <c r="C1254" i="3"/>
  <c r="A1254" i="3"/>
  <c r="BY1253" i="3"/>
  <c r="BX1253" i="3"/>
  <c r="BB1253" i="3"/>
  <c r="U1253" i="3"/>
  <c r="T1253" i="3"/>
  <c r="S1253" i="3"/>
  <c r="C1253" i="3"/>
  <c r="A1253" i="3"/>
  <c r="BY1252" i="3"/>
  <c r="BX1252" i="3"/>
  <c r="BB1252" i="3"/>
  <c r="U1252" i="3"/>
  <c r="T1252" i="3"/>
  <c r="S1252" i="3"/>
  <c r="C1252" i="3"/>
  <c r="A1252" i="3"/>
  <c r="BY1251" i="3"/>
  <c r="BX1251" i="3"/>
  <c r="BB1251" i="3"/>
  <c r="U1251" i="3"/>
  <c r="T1251" i="3"/>
  <c r="S1251" i="3"/>
  <c r="C1251" i="3"/>
  <c r="A1251" i="3"/>
  <c r="BY1250" i="3"/>
  <c r="BX1250" i="3"/>
  <c r="BB1250" i="3"/>
  <c r="U1250" i="3"/>
  <c r="T1250" i="3"/>
  <c r="S1250" i="3"/>
  <c r="C1250" i="3"/>
  <c r="A1250" i="3"/>
  <c r="BY1249" i="3"/>
  <c r="BX1249" i="3"/>
  <c r="BB1249" i="3"/>
  <c r="U1249" i="3"/>
  <c r="T1249" i="3"/>
  <c r="S1249" i="3"/>
  <c r="C1249" i="3"/>
  <c r="A1249" i="3"/>
  <c r="BY1248" i="3"/>
  <c r="BX1248" i="3"/>
  <c r="BB1248" i="3"/>
  <c r="U1248" i="3"/>
  <c r="T1248" i="3"/>
  <c r="S1248" i="3"/>
  <c r="C1248" i="3"/>
  <c r="A1248" i="3"/>
  <c r="BY1247" i="3"/>
  <c r="BX1247" i="3"/>
  <c r="BB1247" i="3"/>
  <c r="U1247" i="3"/>
  <c r="T1247" i="3"/>
  <c r="S1247" i="3"/>
  <c r="C1247" i="3"/>
  <c r="A1247" i="3"/>
  <c r="BY1246" i="3"/>
  <c r="BX1246" i="3"/>
  <c r="BB1246" i="3"/>
  <c r="U1246" i="3"/>
  <c r="T1246" i="3"/>
  <c r="S1246" i="3"/>
  <c r="C1246" i="3"/>
  <c r="A1246" i="3"/>
  <c r="BY1245" i="3"/>
  <c r="BX1245" i="3"/>
  <c r="BB1245" i="3"/>
  <c r="U1245" i="3"/>
  <c r="T1245" i="3"/>
  <c r="S1245" i="3"/>
  <c r="C1245" i="3"/>
  <c r="A1245" i="3"/>
  <c r="BY1244" i="3"/>
  <c r="BX1244" i="3"/>
  <c r="BB1244" i="3"/>
  <c r="U1244" i="3"/>
  <c r="T1244" i="3"/>
  <c r="S1244" i="3"/>
  <c r="C1244" i="3"/>
  <c r="A1244" i="3"/>
  <c r="BY1243" i="3"/>
  <c r="BX1243" i="3"/>
  <c r="BB1243" i="3"/>
  <c r="U1243" i="3"/>
  <c r="T1243" i="3"/>
  <c r="S1243" i="3"/>
  <c r="C1243" i="3"/>
  <c r="A1243" i="3"/>
  <c r="BY1242" i="3"/>
  <c r="BX1242" i="3"/>
  <c r="BB1242" i="3"/>
  <c r="U1242" i="3"/>
  <c r="T1242" i="3"/>
  <c r="S1242" i="3"/>
  <c r="C1242" i="3"/>
  <c r="A1242" i="3"/>
  <c r="BY1241" i="3"/>
  <c r="BX1241" i="3"/>
  <c r="BB1241" i="3"/>
  <c r="U1241" i="3"/>
  <c r="T1241" i="3"/>
  <c r="S1241" i="3"/>
  <c r="C1241" i="3"/>
  <c r="A1241" i="3"/>
  <c r="BY1240" i="3"/>
  <c r="BX1240" i="3"/>
  <c r="BB1240" i="3"/>
  <c r="U1240" i="3"/>
  <c r="T1240" i="3"/>
  <c r="S1240" i="3"/>
  <c r="C1240" i="3"/>
  <c r="A1240" i="3"/>
  <c r="BY1239" i="3"/>
  <c r="BX1239" i="3"/>
  <c r="BB1239" i="3"/>
  <c r="U1239" i="3"/>
  <c r="T1239" i="3"/>
  <c r="S1239" i="3"/>
  <c r="C1239" i="3"/>
  <c r="A1239" i="3"/>
  <c r="BY1238" i="3"/>
  <c r="BX1238" i="3"/>
  <c r="BB1238" i="3"/>
  <c r="U1238" i="3"/>
  <c r="T1238" i="3"/>
  <c r="S1238" i="3"/>
  <c r="C1238" i="3"/>
  <c r="A1238" i="3"/>
  <c r="BY1237" i="3"/>
  <c r="BX1237" i="3"/>
  <c r="BB1237" i="3"/>
  <c r="U1237" i="3"/>
  <c r="T1237" i="3"/>
  <c r="S1237" i="3"/>
  <c r="C1237" i="3"/>
  <c r="A1237" i="3"/>
  <c r="BY1236" i="3"/>
  <c r="BX1236" i="3"/>
  <c r="BB1236" i="3"/>
  <c r="U1236" i="3"/>
  <c r="T1236" i="3"/>
  <c r="S1236" i="3"/>
  <c r="C1236" i="3"/>
  <c r="A1236" i="3"/>
  <c r="BY1235" i="3"/>
  <c r="BX1235" i="3"/>
  <c r="BB1235" i="3"/>
  <c r="U1235" i="3"/>
  <c r="T1235" i="3"/>
  <c r="S1235" i="3"/>
  <c r="C1235" i="3"/>
  <c r="A1235" i="3"/>
  <c r="BY1234" i="3"/>
  <c r="BX1234" i="3"/>
  <c r="BB1234" i="3"/>
  <c r="U1234" i="3"/>
  <c r="T1234" i="3"/>
  <c r="S1234" i="3"/>
  <c r="C1234" i="3"/>
  <c r="A1234" i="3"/>
  <c r="BY1233" i="3"/>
  <c r="BX1233" i="3"/>
  <c r="BB1233" i="3"/>
  <c r="U1233" i="3"/>
  <c r="T1233" i="3"/>
  <c r="S1233" i="3"/>
  <c r="C1233" i="3"/>
  <c r="A1233" i="3"/>
  <c r="BY1232" i="3"/>
  <c r="BX1232" i="3"/>
  <c r="BB1232" i="3"/>
  <c r="U1232" i="3"/>
  <c r="T1232" i="3"/>
  <c r="S1232" i="3"/>
  <c r="C1232" i="3"/>
  <c r="A1232" i="3"/>
  <c r="BY1231" i="3"/>
  <c r="BX1231" i="3"/>
  <c r="BB1231" i="3"/>
  <c r="U1231" i="3"/>
  <c r="T1231" i="3"/>
  <c r="S1231" i="3"/>
  <c r="C1231" i="3"/>
  <c r="A1231" i="3"/>
  <c r="BY1230" i="3"/>
  <c r="BX1230" i="3"/>
  <c r="BB1230" i="3"/>
  <c r="U1230" i="3"/>
  <c r="T1230" i="3"/>
  <c r="S1230" i="3"/>
  <c r="C1230" i="3"/>
  <c r="A1230" i="3"/>
  <c r="BY1229" i="3"/>
  <c r="BX1229" i="3"/>
  <c r="BB1229" i="3"/>
  <c r="U1229" i="3"/>
  <c r="T1229" i="3"/>
  <c r="S1229" i="3"/>
  <c r="C1229" i="3"/>
  <c r="A1229" i="3"/>
  <c r="BY1228" i="3"/>
  <c r="BX1228" i="3"/>
  <c r="BB1228" i="3"/>
  <c r="U1228" i="3"/>
  <c r="T1228" i="3"/>
  <c r="S1228" i="3"/>
  <c r="C1228" i="3"/>
  <c r="A1228" i="3"/>
  <c r="BY1227" i="3"/>
  <c r="BX1227" i="3"/>
  <c r="BB1227" i="3"/>
  <c r="U1227" i="3"/>
  <c r="T1227" i="3"/>
  <c r="S1227" i="3"/>
  <c r="C1227" i="3"/>
  <c r="A1227" i="3"/>
  <c r="BY1226" i="3"/>
  <c r="BX1226" i="3"/>
  <c r="BB1226" i="3"/>
  <c r="U1226" i="3"/>
  <c r="T1226" i="3"/>
  <c r="S1226" i="3"/>
  <c r="C1226" i="3"/>
  <c r="A1226" i="3"/>
  <c r="BY1225" i="3"/>
  <c r="BX1225" i="3"/>
  <c r="BB1225" i="3"/>
  <c r="U1225" i="3"/>
  <c r="T1225" i="3"/>
  <c r="S1225" i="3"/>
  <c r="C1225" i="3"/>
  <c r="A1225" i="3"/>
  <c r="BY1224" i="3"/>
  <c r="BX1224" i="3"/>
  <c r="BB1224" i="3"/>
  <c r="U1224" i="3"/>
  <c r="T1224" i="3"/>
  <c r="S1224" i="3"/>
  <c r="C1224" i="3"/>
  <c r="A1224" i="3"/>
  <c r="BY1223" i="3"/>
  <c r="BX1223" i="3"/>
  <c r="BB1223" i="3"/>
  <c r="U1223" i="3"/>
  <c r="T1223" i="3"/>
  <c r="S1223" i="3"/>
  <c r="C1223" i="3"/>
  <c r="A1223" i="3"/>
  <c r="BY1222" i="3"/>
  <c r="BX1222" i="3"/>
  <c r="BB1222" i="3"/>
  <c r="U1222" i="3"/>
  <c r="T1222" i="3"/>
  <c r="S1222" i="3"/>
  <c r="C1222" i="3"/>
  <c r="A1222" i="3"/>
  <c r="BY1221" i="3"/>
  <c r="BX1221" i="3"/>
  <c r="BB1221" i="3"/>
  <c r="U1221" i="3"/>
  <c r="T1221" i="3"/>
  <c r="S1221" i="3"/>
  <c r="C1221" i="3"/>
  <c r="A1221" i="3"/>
  <c r="BY1220" i="3"/>
  <c r="BX1220" i="3"/>
  <c r="BB1220" i="3"/>
  <c r="U1220" i="3"/>
  <c r="T1220" i="3"/>
  <c r="S1220" i="3"/>
  <c r="C1220" i="3"/>
  <c r="A1220" i="3"/>
  <c r="BY1219" i="3"/>
  <c r="BX1219" i="3"/>
  <c r="BB1219" i="3"/>
  <c r="U1219" i="3"/>
  <c r="T1219" i="3"/>
  <c r="S1219" i="3"/>
  <c r="C1219" i="3"/>
  <c r="A1219" i="3"/>
  <c r="BY1218" i="3"/>
  <c r="BX1218" i="3"/>
  <c r="BB1218" i="3"/>
  <c r="U1218" i="3"/>
  <c r="T1218" i="3"/>
  <c r="S1218" i="3"/>
  <c r="C1218" i="3"/>
  <c r="A1218" i="3"/>
  <c r="BY1217" i="3"/>
  <c r="BX1217" i="3"/>
  <c r="BB1217" i="3"/>
  <c r="U1217" i="3"/>
  <c r="T1217" i="3"/>
  <c r="S1217" i="3"/>
  <c r="C1217" i="3"/>
  <c r="A1217" i="3"/>
  <c r="BY1216" i="3"/>
  <c r="BX1216" i="3"/>
  <c r="BB1216" i="3"/>
  <c r="U1216" i="3"/>
  <c r="T1216" i="3"/>
  <c r="S1216" i="3"/>
  <c r="C1216" i="3"/>
  <c r="A1216" i="3"/>
  <c r="BY1215" i="3"/>
  <c r="BX1215" i="3"/>
  <c r="BB1215" i="3"/>
  <c r="U1215" i="3"/>
  <c r="T1215" i="3"/>
  <c r="S1215" i="3"/>
  <c r="C1215" i="3"/>
  <c r="A1215" i="3"/>
  <c r="BY1214" i="3"/>
  <c r="BX1214" i="3"/>
  <c r="BB1214" i="3"/>
  <c r="U1214" i="3"/>
  <c r="T1214" i="3"/>
  <c r="S1214" i="3"/>
  <c r="C1214" i="3"/>
  <c r="A1214" i="3"/>
  <c r="BY1213" i="3"/>
  <c r="BX1213" i="3"/>
  <c r="BB1213" i="3"/>
  <c r="U1213" i="3"/>
  <c r="T1213" i="3"/>
  <c r="S1213" i="3"/>
  <c r="C1213" i="3"/>
  <c r="A1213" i="3"/>
  <c r="BY1212" i="3"/>
  <c r="BX1212" i="3"/>
  <c r="BB1212" i="3"/>
  <c r="U1212" i="3"/>
  <c r="T1212" i="3"/>
  <c r="S1212" i="3"/>
  <c r="C1212" i="3"/>
  <c r="A1212" i="3"/>
  <c r="BY1211" i="3"/>
  <c r="BX1211" i="3"/>
  <c r="BB1211" i="3"/>
  <c r="U1211" i="3"/>
  <c r="T1211" i="3"/>
  <c r="S1211" i="3"/>
  <c r="C1211" i="3"/>
  <c r="A1211" i="3"/>
  <c r="BY1210" i="3"/>
  <c r="BX1210" i="3"/>
  <c r="BB1210" i="3"/>
  <c r="U1210" i="3"/>
  <c r="T1210" i="3"/>
  <c r="S1210" i="3"/>
  <c r="C1210" i="3"/>
  <c r="A1210" i="3"/>
  <c r="BY1209" i="3"/>
  <c r="BX1209" i="3"/>
  <c r="BB1209" i="3"/>
  <c r="U1209" i="3"/>
  <c r="T1209" i="3"/>
  <c r="S1209" i="3"/>
  <c r="C1209" i="3"/>
  <c r="A1209" i="3"/>
  <c r="BY1208" i="3"/>
  <c r="BX1208" i="3"/>
  <c r="BB1208" i="3"/>
  <c r="U1208" i="3"/>
  <c r="T1208" i="3"/>
  <c r="S1208" i="3"/>
  <c r="C1208" i="3"/>
  <c r="A1208" i="3"/>
  <c r="BY1207" i="3"/>
  <c r="BX1207" i="3"/>
  <c r="BB1207" i="3"/>
  <c r="U1207" i="3"/>
  <c r="T1207" i="3"/>
  <c r="S1207" i="3"/>
  <c r="C1207" i="3"/>
  <c r="A1207" i="3"/>
  <c r="BY1206" i="3"/>
  <c r="BX1206" i="3"/>
  <c r="BB1206" i="3"/>
  <c r="U1206" i="3"/>
  <c r="T1206" i="3"/>
  <c r="S1206" i="3"/>
  <c r="C1206" i="3"/>
  <c r="A1206" i="3"/>
  <c r="BY1205" i="3"/>
  <c r="BX1205" i="3"/>
  <c r="BB1205" i="3"/>
  <c r="U1205" i="3"/>
  <c r="T1205" i="3"/>
  <c r="S1205" i="3"/>
  <c r="C1205" i="3"/>
  <c r="A1205" i="3"/>
  <c r="BY1204" i="3"/>
  <c r="BX1204" i="3"/>
  <c r="BB1204" i="3"/>
  <c r="U1204" i="3"/>
  <c r="T1204" i="3"/>
  <c r="S1204" i="3"/>
  <c r="C1204" i="3"/>
  <c r="A1204" i="3"/>
  <c r="BY1203" i="3"/>
  <c r="BX1203" i="3"/>
  <c r="BB1203" i="3"/>
  <c r="U1203" i="3"/>
  <c r="T1203" i="3"/>
  <c r="S1203" i="3"/>
  <c r="C1203" i="3"/>
  <c r="A1203" i="3"/>
  <c r="BY1202" i="3"/>
  <c r="BX1202" i="3"/>
  <c r="BB1202" i="3"/>
  <c r="U1202" i="3"/>
  <c r="T1202" i="3"/>
  <c r="S1202" i="3"/>
  <c r="C1202" i="3"/>
  <c r="A1202" i="3"/>
  <c r="BY1201" i="3"/>
  <c r="BX1201" i="3"/>
  <c r="BB1201" i="3"/>
  <c r="U1201" i="3"/>
  <c r="T1201" i="3"/>
  <c r="S1201" i="3"/>
  <c r="C1201" i="3"/>
  <c r="A1201" i="3"/>
  <c r="BY1200" i="3"/>
  <c r="BX1200" i="3"/>
  <c r="BB1200" i="3"/>
  <c r="U1200" i="3"/>
  <c r="T1200" i="3"/>
  <c r="S1200" i="3"/>
  <c r="C1200" i="3"/>
  <c r="A1200" i="3"/>
  <c r="BY1199" i="3"/>
  <c r="BX1199" i="3"/>
  <c r="BB1199" i="3"/>
  <c r="U1199" i="3"/>
  <c r="T1199" i="3"/>
  <c r="S1199" i="3"/>
  <c r="C1199" i="3"/>
  <c r="A1199" i="3"/>
  <c r="BY1198" i="3"/>
  <c r="BX1198" i="3"/>
  <c r="BB1198" i="3"/>
  <c r="U1198" i="3"/>
  <c r="T1198" i="3"/>
  <c r="S1198" i="3"/>
  <c r="C1198" i="3"/>
  <c r="A1198" i="3"/>
  <c r="BY1197" i="3"/>
  <c r="BX1197" i="3"/>
  <c r="BB1197" i="3"/>
  <c r="U1197" i="3"/>
  <c r="T1197" i="3"/>
  <c r="S1197" i="3"/>
  <c r="C1197" i="3"/>
  <c r="A1197" i="3"/>
  <c r="BY1196" i="3"/>
  <c r="BX1196" i="3"/>
  <c r="BB1196" i="3"/>
  <c r="U1196" i="3"/>
  <c r="T1196" i="3"/>
  <c r="S1196" i="3"/>
  <c r="C1196" i="3"/>
  <c r="A1196" i="3"/>
  <c r="BY1195" i="3"/>
  <c r="BX1195" i="3"/>
  <c r="BB1195" i="3"/>
  <c r="U1195" i="3"/>
  <c r="T1195" i="3"/>
  <c r="S1195" i="3"/>
  <c r="C1195" i="3"/>
  <c r="A1195" i="3"/>
  <c r="BY1194" i="3"/>
  <c r="BX1194" i="3"/>
  <c r="BB1194" i="3"/>
  <c r="U1194" i="3"/>
  <c r="T1194" i="3"/>
  <c r="S1194" i="3"/>
  <c r="C1194" i="3"/>
  <c r="A1194" i="3"/>
  <c r="BY1193" i="3"/>
  <c r="BX1193" i="3"/>
  <c r="BB1193" i="3"/>
  <c r="U1193" i="3"/>
  <c r="T1193" i="3"/>
  <c r="S1193" i="3"/>
  <c r="C1193" i="3"/>
  <c r="A1193" i="3"/>
  <c r="BY1192" i="3"/>
  <c r="BX1192" i="3"/>
  <c r="BB1192" i="3"/>
  <c r="U1192" i="3"/>
  <c r="T1192" i="3"/>
  <c r="S1192" i="3"/>
  <c r="C1192" i="3"/>
  <c r="A1192" i="3"/>
  <c r="BY1191" i="3"/>
  <c r="BX1191" i="3"/>
  <c r="BB1191" i="3"/>
  <c r="U1191" i="3"/>
  <c r="T1191" i="3"/>
  <c r="S1191" i="3"/>
  <c r="C1191" i="3"/>
  <c r="A1191" i="3"/>
  <c r="BY1190" i="3"/>
  <c r="BX1190" i="3"/>
  <c r="BB1190" i="3"/>
  <c r="U1190" i="3"/>
  <c r="T1190" i="3"/>
  <c r="S1190" i="3"/>
  <c r="C1190" i="3"/>
  <c r="A1190" i="3"/>
  <c r="BY1189" i="3"/>
  <c r="BX1189" i="3"/>
  <c r="BB1189" i="3"/>
  <c r="U1189" i="3"/>
  <c r="T1189" i="3"/>
  <c r="S1189" i="3"/>
  <c r="C1189" i="3"/>
  <c r="A1189" i="3"/>
  <c r="BY1188" i="3"/>
  <c r="BX1188" i="3"/>
  <c r="BB1188" i="3"/>
  <c r="U1188" i="3"/>
  <c r="T1188" i="3"/>
  <c r="S1188" i="3"/>
  <c r="C1188" i="3"/>
  <c r="A1188" i="3"/>
  <c r="BY1187" i="3"/>
  <c r="BX1187" i="3"/>
  <c r="BB1187" i="3"/>
  <c r="U1187" i="3"/>
  <c r="T1187" i="3"/>
  <c r="S1187" i="3"/>
  <c r="C1187" i="3"/>
  <c r="A1187" i="3"/>
  <c r="BY1186" i="3"/>
  <c r="BX1186" i="3"/>
  <c r="BB1186" i="3"/>
  <c r="U1186" i="3"/>
  <c r="T1186" i="3"/>
  <c r="S1186" i="3"/>
  <c r="C1186" i="3"/>
  <c r="A1186" i="3"/>
  <c r="BY1185" i="3"/>
  <c r="BX1185" i="3"/>
  <c r="BB1185" i="3"/>
  <c r="U1185" i="3"/>
  <c r="T1185" i="3"/>
  <c r="S1185" i="3"/>
  <c r="C1185" i="3"/>
  <c r="A1185" i="3"/>
  <c r="BY1184" i="3"/>
  <c r="BX1184" i="3"/>
  <c r="BB1184" i="3"/>
  <c r="U1184" i="3"/>
  <c r="T1184" i="3"/>
  <c r="S1184" i="3"/>
  <c r="C1184" i="3"/>
  <c r="A1184" i="3"/>
  <c r="BY1183" i="3"/>
  <c r="BX1183" i="3"/>
  <c r="BB1183" i="3"/>
  <c r="U1183" i="3"/>
  <c r="T1183" i="3"/>
  <c r="S1183" i="3"/>
  <c r="C1183" i="3"/>
  <c r="A1183" i="3"/>
  <c r="BY1182" i="3"/>
  <c r="BX1182" i="3"/>
  <c r="BB1182" i="3"/>
  <c r="U1182" i="3"/>
  <c r="T1182" i="3"/>
  <c r="S1182" i="3"/>
  <c r="C1182" i="3"/>
  <c r="A1182" i="3"/>
  <c r="BY1181" i="3"/>
  <c r="BX1181" i="3"/>
  <c r="BB1181" i="3"/>
  <c r="U1181" i="3"/>
  <c r="T1181" i="3"/>
  <c r="S1181" i="3"/>
  <c r="C1181" i="3"/>
  <c r="A1181" i="3"/>
  <c r="BY1180" i="3"/>
  <c r="BX1180" i="3"/>
  <c r="BB1180" i="3"/>
  <c r="U1180" i="3"/>
  <c r="T1180" i="3"/>
  <c r="S1180" i="3"/>
  <c r="C1180" i="3"/>
  <c r="A1180" i="3"/>
  <c r="BY1179" i="3"/>
  <c r="BX1179" i="3"/>
  <c r="BB1179" i="3"/>
  <c r="U1179" i="3"/>
  <c r="T1179" i="3"/>
  <c r="S1179" i="3"/>
  <c r="C1179" i="3"/>
  <c r="A1179" i="3"/>
  <c r="BY1178" i="3"/>
  <c r="BX1178" i="3"/>
  <c r="BB1178" i="3"/>
  <c r="U1178" i="3"/>
  <c r="T1178" i="3"/>
  <c r="S1178" i="3"/>
  <c r="C1178" i="3"/>
  <c r="A1178" i="3"/>
  <c r="BY1177" i="3"/>
  <c r="BX1177" i="3"/>
  <c r="BB1177" i="3"/>
  <c r="U1177" i="3"/>
  <c r="T1177" i="3"/>
  <c r="S1177" i="3"/>
  <c r="C1177" i="3"/>
  <c r="A1177" i="3"/>
  <c r="BY1176" i="3"/>
  <c r="BX1176" i="3"/>
  <c r="BB1176" i="3"/>
  <c r="U1176" i="3"/>
  <c r="T1176" i="3"/>
  <c r="S1176" i="3"/>
  <c r="C1176" i="3"/>
  <c r="A1176" i="3"/>
  <c r="BY1175" i="3"/>
  <c r="BX1175" i="3"/>
  <c r="BB1175" i="3"/>
  <c r="U1175" i="3"/>
  <c r="T1175" i="3"/>
  <c r="S1175" i="3"/>
  <c r="C1175" i="3"/>
  <c r="A1175" i="3"/>
  <c r="BY1174" i="3"/>
  <c r="BX1174" i="3"/>
  <c r="BB1174" i="3"/>
  <c r="U1174" i="3"/>
  <c r="T1174" i="3"/>
  <c r="S1174" i="3"/>
  <c r="C1174" i="3"/>
  <c r="A1174" i="3"/>
  <c r="BY1173" i="3"/>
  <c r="BX1173" i="3"/>
  <c r="BB1173" i="3"/>
  <c r="U1173" i="3"/>
  <c r="T1173" i="3"/>
  <c r="S1173" i="3"/>
  <c r="C1173" i="3"/>
  <c r="A1173" i="3"/>
  <c r="BY1172" i="3"/>
  <c r="BX1172" i="3"/>
  <c r="BB1172" i="3"/>
  <c r="U1172" i="3"/>
  <c r="T1172" i="3"/>
  <c r="S1172" i="3"/>
  <c r="C1172" i="3"/>
  <c r="A1172" i="3"/>
  <c r="BY1171" i="3"/>
  <c r="BX1171" i="3"/>
  <c r="BB1171" i="3"/>
  <c r="U1171" i="3"/>
  <c r="T1171" i="3"/>
  <c r="S1171" i="3"/>
  <c r="C1171" i="3"/>
  <c r="A1171" i="3"/>
  <c r="BY1170" i="3"/>
  <c r="BX1170" i="3"/>
  <c r="BB1170" i="3"/>
  <c r="U1170" i="3"/>
  <c r="T1170" i="3"/>
  <c r="S1170" i="3"/>
  <c r="C1170" i="3"/>
  <c r="A1170" i="3"/>
  <c r="BY1169" i="3"/>
  <c r="BX1169" i="3"/>
  <c r="BB1169" i="3"/>
  <c r="U1169" i="3"/>
  <c r="T1169" i="3"/>
  <c r="S1169" i="3"/>
  <c r="C1169" i="3"/>
  <c r="A1169" i="3"/>
  <c r="BY1168" i="3"/>
  <c r="BX1168" i="3"/>
  <c r="BB1168" i="3"/>
  <c r="U1168" i="3"/>
  <c r="T1168" i="3"/>
  <c r="S1168" i="3"/>
  <c r="C1168" i="3"/>
  <c r="A1168" i="3"/>
  <c r="BY1167" i="3"/>
  <c r="BX1167" i="3"/>
  <c r="BB1167" i="3"/>
  <c r="U1167" i="3"/>
  <c r="T1167" i="3"/>
  <c r="S1167" i="3"/>
  <c r="C1167" i="3"/>
  <c r="A1167" i="3"/>
  <c r="BY1166" i="3"/>
  <c r="BX1166" i="3"/>
  <c r="BB1166" i="3"/>
  <c r="U1166" i="3"/>
  <c r="T1166" i="3"/>
  <c r="S1166" i="3"/>
  <c r="C1166" i="3"/>
  <c r="A1166" i="3"/>
  <c r="BY1165" i="3"/>
  <c r="BX1165" i="3"/>
  <c r="BB1165" i="3"/>
  <c r="U1165" i="3"/>
  <c r="T1165" i="3"/>
  <c r="S1165" i="3"/>
  <c r="C1165" i="3"/>
  <c r="A1165" i="3"/>
  <c r="BY1164" i="3"/>
  <c r="BX1164" i="3"/>
  <c r="BB1164" i="3"/>
  <c r="U1164" i="3"/>
  <c r="T1164" i="3"/>
  <c r="S1164" i="3"/>
  <c r="C1164" i="3"/>
  <c r="A1164" i="3"/>
  <c r="BY1163" i="3"/>
  <c r="BX1163" i="3"/>
  <c r="BB1163" i="3"/>
  <c r="U1163" i="3"/>
  <c r="T1163" i="3"/>
  <c r="S1163" i="3"/>
  <c r="C1163" i="3"/>
  <c r="A1163" i="3"/>
  <c r="BY1162" i="3"/>
  <c r="BX1162" i="3"/>
  <c r="BB1162" i="3"/>
  <c r="U1162" i="3"/>
  <c r="T1162" i="3"/>
  <c r="S1162" i="3"/>
  <c r="C1162" i="3"/>
  <c r="A1162" i="3"/>
  <c r="BY1161" i="3"/>
  <c r="BX1161" i="3"/>
  <c r="BB1161" i="3"/>
  <c r="U1161" i="3"/>
  <c r="T1161" i="3"/>
  <c r="S1161" i="3"/>
  <c r="C1161" i="3"/>
  <c r="A1161" i="3"/>
  <c r="BY1160" i="3"/>
  <c r="BX1160" i="3"/>
  <c r="BB1160" i="3"/>
  <c r="U1160" i="3"/>
  <c r="T1160" i="3"/>
  <c r="S1160" i="3"/>
  <c r="C1160" i="3"/>
  <c r="A1160" i="3"/>
  <c r="BY1159" i="3"/>
  <c r="BX1159" i="3"/>
  <c r="BB1159" i="3"/>
  <c r="U1159" i="3"/>
  <c r="T1159" i="3"/>
  <c r="S1159" i="3"/>
  <c r="C1159" i="3"/>
  <c r="A1159" i="3"/>
  <c r="BY1158" i="3"/>
  <c r="BX1158" i="3"/>
  <c r="BB1158" i="3"/>
  <c r="U1158" i="3"/>
  <c r="T1158" i="3"/>
  <c r="S1158" i="3"/>
  <c r="C1158" i="3"/>
  <c r="A1158" i="3"/>
  <c r="BY1157" i="3"/>
  <c r="BX1157" i="3"/>
  <c r="BB1157" i="3"/>
  <c r="U1157" i="3"/>
  <c r="T1157" i="3"/>
  <c r="S1157" i="3"/>
  <c r="C1157" i="3"/>
  <c r="A1157" i="3"/>
  <c r="BY1156" i="3"/>
  <c r="BX1156" i="3"/>
  <c r="BB1156" i="3"/>
  <c r="U1156" i="3"/>
  <c r="T1156" i="3"/>
  <c r="S1156" i="3"/>
  <c r="C1156" i="3"/>
  <c r="A1156" i="3"/>
  <c r="BY1155" i="3"/>
  <c r="BX1155" i="3"/>
  <c r="BB1155" i="3"/>
  <c r="U1155" i="3"/>
  <c r="T1155" i="3"/>
  <c r="S1155" i="3"/>
  <c r="C1155" i="3"/>
  <c r="A1155" i="3"/>
  <c r="BY1154" i="3"/>
  <c r="BX1154" i="3"/>
  <c r="BB1154" i="3"/>
  <c r="U1154" i="3"/>
  <c r="T1154" i="3"/>
  <c r="S1154" i="3"/>
  <c r="C1154" i="3"/>
  <c r="A1154" i="3"/>
  <c r="BY1153" i="3"/>
  <c r="BX1153" i="3"/>
  <c r="BB1153" i="3"/>
  <c r="U1153" i="3"/>
  <c r="T1153" i="3"/>
  <c r="S1153" i="3"/>
  <c r="C1153" i="3"/>
  <c r="A1153" i="3"/>
  <c r="BY1152" i="3"/>
  <c r="BX1152" i="3"/>
  <c r="BB1152" i="3"/>
  <c r="U1152" i="3"/>
  <c r="T1152" i="3"/>
  <c r="S1152" i="3"/>
  <c r="C1152" i="3"/>
  <c r="A1152" i="3"/>
  <c r="BY1151" i="3"/>
  <c r="BX1151" i="3"/>
  <c r="BB1151" i="3"/>
  <c r="U1151" i="3"/>
  <c r="T1151" i="3"/>
  <c r="S1151" i="3"/>
  <c r="C1151" i="3"/>
  <c r="A1151" i="3"/>
  <c r="BY1150" i="3"/>
  <c r="BX1150" i="3"/>
  <c r="BB1150" i="3"/>
  <c r="U1150" i="3"/>
  <c r="T1150" i="3"/>
  <c r="S1150" i="3"/>
  <c r="C1150" i="3"/>
  <c r="A1150" i="3"/>
  <c r="BY1149" i="3"/>
  <c r="BX1149" i="3"/>
  <c r="BB1149" i="3"/>
  <c r="U1149" i="3"/>
  <c r="T1149" i="3"/>
  <c r="S1149" i="3"/>
  <c r="C1149" i="3"/>
  <c r="A1149" i="3"/>
  <c r="BY1148" i="3"/>
  <c r="BX1148" i="3"/>
  <c r="BB1148" i="3"/>
  <c r="U1148" i="3"/>
  <c r="T1148" i="3"/>
  <c r="S1148" i="3"/>
  <c r="C1148" i="3"/>
  <c r="A1148" i="3"/>
  <c r="BY1147" i="3"/>
  <c r="BX1147" i="3"/>
  <c r="BB1147" i="3"/>
  <c r="U1147" i="3"/>
  <c r="T1147" i="3"/>
  <c r="S1147" i="3"/>
  <c r="C1147" i="3"/>
  <c r="A1147" i="3"/>
  <c r="BY1146" i="3"/>
  <c r="BX1146" i="3"/>
  <c r="BB1146" i="3"/>
  <c r="U1146" i="3"/>
  <c r="T1146" i="3"/>
  <c r="S1146" i="3"/>
  <c r="C1146" i="3"/>
  <c r="A1146" i="3"/>
  <c r="BY1145" i="3"/>
  <c r="BX1145" i="3"/>
  <c r="BB1145" i="3"/>
  <c r="U1145" i="3"/>
  <c r="T1145" i="3"/>
  <c r="S1145" i="3"/>
  <c r="C1145" i="3"/>
  <c r="A1145" i="3"/>
  <c r="BY1144" i="3"/>
  <c r="BX1144" i="3"/>
  <c r="BB1144" i="3"/>
  <c r="U1144" i="3"/>
  <c r="T1144" i="3"/>
  <c r="S1144" i="3"/>
  <c r="C1144" i="3"/>
  <c r="A1144" i="3"/>
  <c r="BY1143" i="3"/>
  <c r="BX1143" i="3"/>
  <c r="BB1143" i="3"/>
  <c r="U1143" i="3"/>
  <c r="T1143" i="3"/>
  <c r="S1143" i="3"/>
  <c r="C1143" i="3"/>
  <c r="A1143" i="3"/>
  <c r="BY1142" i="3"/>
  <c r="BX1142" i="3"/>
  <c r="BB1142" i="3"/>
  <c r="U1142" i="3"/>
  <c r="T1142" i="3"/>
  <c r="S1142" i="3"/>
  <c r="C1142" i="3"/>
  <c r="A1142" i="3"/>
  <c r="BY1141" i="3"/>
  <c r="BX1141" i="3"/>
  <c r="BB1141" i="3"/>
  <c r="U1141" i="3"/>
  <c r="T1141" i="3"/>
  <c r="S1141" i="3"/>
  <c r="C1141" i="3"/>
  <c r="A1141" i="3"/>
  <c r="BY1140" i="3"/>
  <c r="BX1140" i="3"/>
  <c r="BB1140" i="3"/>
  <c r="U1140" i="3"/>
  <c r="T1140" i="3"/>
  <c r="S1140" i="3"/>
  <c r="C1140" i="3"/>
  <c r="A1140" i="3"/>
  <c r="BY1139" i="3"/>
  <c r="BX1139" i="3"/>
  <c r="BB1139" i="3"/>
  <c r="U1139" i="3"/>
  <c r="T1139" i="3"/>
  <c r="S1139" i="3"/>
  <c r="C1139" i="3"/>
  <c r="A1139" i="3"/>
  <c r="BY1138" i="3"/>
  <c r="BX1138" i="3"/>
  <c r="BB1138" i="3"/>
  <c r="U1138" i="3"/>
  <c r="T1138" i="3"/>
  <c r="S1138" i="3"/>
  <c r="C1138" i="3"/>
  <c r="A1138" i="3"/>
  <c r="BY1137" i="3"/>
  <c r="BX1137" i="3"/>
  <c r="BB1137" i="3"/>
  <c r="U1137" i="3"/>
  <c r="T1137" i="3"/>
  <c r="S1137" i="3"/>
  <c r="C1137" i="3"/>
  <c r="A1137" i="3"/>
  <c r="BY1136" i="3"/>
  <c r="BX1136" i="3"/>
  <c r="BB1136" i="3"/>
  <c r="U1136" i="3"/>
  <c r="T1136" i="3"/>
  <c r="S1136" i="3"/>
  <c r="C1136" i="3"/>
  <c r="A1136" i="3"/>
  <c r="BY1135" i="3"/>
  <c r="BX1135" i="3"/>
  <c r="BB1135" i="3"/>
  <c r="U1135" i="3"/>
  <c r="T1135" i="3"/>
  <c r="S1135" i="3"/>
  <c r="C1135" i="3"/>
  <c r="A1135" i="3"/>
  <c r="BY1134" i="3"/>
  <c r="BX1134" i="3"/>
  <c r="BB1134" i="3"/>
  <c r="U1134" i="3"/>
  <c r="T1134" i="3"/>
  <c r="S1134" i="3"/>
  <c r="C1134" i="3"/>
  <c r="A1134" i="3"/>
  <c r="BY1133" i="3"/>
  <c r="BX1133" i="3"/>
  <c r="BB1133" i="3"/>
  <c r="U1133" i="3"/>
  <c r="T1133" i="3"/>
  <c r="S1133" i="3"/>
  <c r="C1133" i="3"/>
  <c r="A1133" i="3"/>
  <c r="BY1132" i="3"/>
  <c r="BX1132" i="3"/>
  <c r="BB1132" i="3"/>
  <c r="U1132" i="3"/>
  <c r="T1132" i="3"/>
  <c r="S1132" i="3"/>
  <c r="C1132" i="3"/>
  <c r="A1132" i="3"/>
  <c r="BY1131" i="3"/>
  <c r="BX1131" i="3"/>
  <c r="BB1131" i="3"/>
  <c r="U1131" i="3"/>
  <c r="T1131" i="3"/>
  <c r="S1131" i="3"/>
  <c r="C1131" i="3"/>
  <c r="A1131" i="3"/>
  <c r="BY1130" i="3"/>
  <c r="BX1130" i="3"/>
  <c r="BB1130" i="3"/>
  <c r="U1130" i="3"/>
  <c r="T1130" i="3"/>
  <c r="S1130" i="3"/>
  <c r="C1130" i="3"/>
  <c r="A1130" i="3"/>
  <c r="BY1129" i="3"/>
  <c r="BX1129" i="3"/>
  <c r="BB1129" i="3"/>
  <c r="U1129" i="3"/>
  <c r="T1129" i="3"/>
  <c r="S1129" i="3"/>
  <c r="C1129" i="3"/>
  <c r="A1129" i="3"/>
  <c r="BY1128" i="3"/>
  <c r="BX1128" i="3"/>
  <c r="BB1128" i="3"/>
  <c r="U1128" i="3"/>
  <c r="T1128" i="3"/>
  <c r="S1128" i="3"/>
  <c r="C1128" i="3"/>
  <c r="A1128" i="3"/>
  <c r="BY1127" i="3"/>
  <c r="BX1127" i="3"/>
  <c r="BB1127" i="3"/>
  <c r="U1127" i="3"/>
  <c r="T1127" i="3"/>
  <c r="S1127" i="3"/>
  <c r="C1127" i="3"/>
  <c r="A1127" i="3"/>
  <c r="BY1126" i="3"/>
  <c r="BX1126" i="3"/>
  <c r="BB1126" i="3"/>
  <c r="U1126" i="3"/>
  <c r="T1126" i="3"/>
  <c r="S1126" i="3"/>
  <c r="C1126" i="3"/>
  <c r="A1126" i="3"/>
  <c r="BY1125" i="3"/>
  <c r="BX1125" i="3"/>
  <c r="BB1125" i="3"/>
  <c r="U1125" i="3"/>
  <c r="T1125" i="3"/>
  <c r="S1125" i="3"/>
  <c r="C1125" i="3"/>
  <c r="A1125" i="3"/>
  <c r="BY1124" i="3"/>
  <c r="BX1124" i="3"/>
  <c r="BB1124" i="3"/>
  <c r="U1124" i="3"/>
  <c r="T1124" i="3"/>
  <c r="S1124" i="3"/>
  <c r="C1124" i="3"/>
  <c r="A1124" i="3"/>
  <c r="BY1123" i="3"/>
  <c r="BX1123" i="3"/>
  <c r="BB1123" i="3"/>
  <c r="U1123" i="3"/>
  <c r="T1123" i="3"/>
  <c r="S1123" i="3"/>
  <c r="C1123" i="3"/>
  <c r="A1123" i="3"/>
  <c r="BY1122" i="3"/>
  <c r="BX1122" i="3"/>
  <c r="BB1122" i="3"/>
  <c r="U1122" i="3"/>
  <c r="T1122" i="3"/>
  <c r="S1122" i="3"/>
  <c r="C1122" i="3"/>
  <c r="A1122" i="3"/>
  <c r="BY1121" i="3"/>
  <c r="BX1121" i="3"/>
  <c r="BB1121" i="3"/>
  <c r="U1121" i="3"/>
  <c r="T1121" i="3"/>
  <c r="S1121" i="3"/>
  <c r="C1121" i="3"/>
  <c r="A1121" i="3"/>
  <c r="BY1120" i="3"/>
  <c r="BX1120" i="3"/>
  <c r="BB1120" i="3"/>
  <c r="U1120" i="3"/>
  <c r="T1120" i="3"/>
  <c r="S1120" i="3"/>
  <c r="C1120" i="3"/>
  <c r="A1120" i="3"/>
  <c r="BY1119" i="3"/>
  <c r="BX1119" i="3"/>
  <c r="BB1119" i="3"/>
  <c r="U1119" i="3"/>
  <c r="T1119" i="3"/>
  <c r="S1119" i="3"/>
  <c r="C1119" i="3"/>
  <c r="A1119" i="3"/>
  <c r="BY1118" i="3"/>
  <c r="BX1118" i="3"/>
  <c r="BB1118" i="3"/>
  <c r="U1118" i="3"/>
  <c r="T1118" i="3"/>
  <c r="S1118" i="3"/>
  <c r="C1118" i="3"/>
  <c r="A1118" i="3"/>
  <c r="BY1117" i="3"/>
  <c r="BX1117" i="3"/>
  <c r="BB1117" i="3"/>
  <c r="U1117" i="3"/>
  <c r="T1117" i="3"/>
  <c r="S1117" i="3"/>
  <c r="C1117" i="3"/>
  <c r="A1117" i="3"/>
  <c r="BY1116" i="3"/>
  <c r="BX1116" i="3"/>
  <c r="BB1116" i="3"/>
  <c r="U1116" i="3"/>
  <c r="T1116" i="3"/>
  <c r="S1116" i="3"/>
  <c r="C1116" i="3"/>
  <c r="A1116" i="3"/>
  <c r="BY1115" i="3"/>
  <c r="BX1115" i="3"/>
  <c r="BB1115" i="3"/>
  <c r="U1115" i="3"/>
  <c r="T1115" i="3"/>
  <c r="S1115" i="3"/>
  <c r="C1115" i="3"/>
  <c r="A1115" i="3"/>
  <c r="BY1114" i="3"/>
  <c r="BX1114" i="3"/>
  <c r="BB1114" i="3"/>
  <c r="U1114" i="3"/>
  <c r="T1114" i="3"/>
  <c r="S1114" i="3"/>
  <c r="C1114" i="3"/>
  <c r="A1114" i="3"/>
  <c r="BY1113" i="3"/>
  <c r="BX1113" i="3"/>
  <c r="BB1113" i="3"/>
  <c r="U1113" i="3"/>
  <c r="T1113" i="3"/>
  <c r="S1113" i="3"/>
  <c r="C1113" i="3"/>
  <c r="A1113" i="3"/>
  <c r="BY1112" i="3"/>
  <c r="BX1112" i="3"/>
  <c r="BB1112" i="3"/>
  <c r="U1112" i="3"/>
  <c r="T1112" i="3"/>
  <c r="S1112" i="3"/>
  <c r="C1112" i="3"/>
  <c r="A1112" i="3"/>
  <c r="BY1111" i="3"/>
  <c r="BX1111" i="3"/>
  <c r="BB1111" i="3"/>
  <c r="U1111" i="3"/>
  <c r="T1111" i="3"/>
  <c r="S1111" i="3"/>
  <c r="C1111" i="3"/>
  <c r="A1111" i="3"/>
  <c r="BY1110" i="3"/>
  <c r="BX1110" i="3"/>
  <c r="BB1110" i="3"/>
  <c r="U1110" i="3"/>
  <c r="T1110" i="3"/>
  <c r="S1110" i="3"/>
  <c r="C1110" i="3"/>
  <c r="A1110" i="3"/>
  <c r="BY1109" i="3"/>
  <c r="BX1109" i="3"/>
  <c r="BB1109" i="3"/>
  <c r="U1109" i="3"/>
  <c r="T1109" i="3"/>
  <c r="S1109" i="3"/>
  <c r="C1109" i="3"/>
  <c r="A1109" i="3"/>
  <c r="BY1108" i="3"/>
  <c r="BX1108" i="3"/>
  <c r="BB1108" i="3"/>
  <c r="U1108" i="3"/>
  <c r="T1108" i="3"/>
  <c r="S1108" i="3"/>
  <c r="C1108" i="3"/>
  <c r="A1108" i="3"/>
  <c r="BY1107" i="3"/>
  <c r="BX1107" i="3"/>
  <c r="BB1107" i="3"/>
  <c r="U1107" i="3"/>
  <c r="T1107" i="3"/>
  <c r="S1107" i="3"/>
  <c r="C1107" i="3"/>
  <c r="A1107" i="3"/>
  <c r="BY1106" i="3"/>
  <c r="BX1106" i="3"/>
  <c r="BB1106" i="3"/>
  <c r="U1106" i="3"/>
  <c r="T1106" i="3"/>
  <c r="S1106" i="3"/>
  <c r="C1106" i="3"/>
  <c r="A1106" i="3"/>
  <c r="BY1105" i="3"/>
  <c r="BX1105" i="3"/>
  <c r="BB1105" i="3"/>
  <c r="U1105" i="3"/>
  <c r="T1105" i="3"/>
  <c r="S1105" i="3"/>
  <c r="C1105" i="3"/>
  <c r="A1105" i="3"/>
  <c r="BY1104" i="3"/>
  <c r="BX1104" i="3"/>
  <c r="BB1104" i="3"/>
  <c r="U1104" i="3"/>
  <c r="T1104" i="3"/>
  <c r="S1104" i="3"/>
  <c r="C1104" i="3"/>
  <c r="A1104" i="3"/>
  <c r="BY1103" i="3"/>
  <c r="BX1103" i="3"/>
  <c r="BB1103" i="3"/>
  <c r="U1103" i="3"/>
  <c r="T1103" i="3"/>
  <c r="S1103" i="3"/>
  <c r="C1103" i="3"/>
  <c r="A1103" i="3"/>
  <c r="BY1102" i="3"/>
  <c r="BX1102" i="3"/>
  <c r="BB1102" i="3"/>
  <c r="U1102" i="3"/>
  <c r="T1102" i="3"/>
  <c r="S1102" i="3"/>
  <c r="C1102" i="3"/>
  <c r="A1102" i="3"/>
  <c r="BY1101" i="3"/>
  <c r="BX1101" i="3"/>
  <c r="BB1101" i="3"/>
  <c r="U1101" i="3"/>
  <c r="T1101" i="3"/>
  <c r="S1101" i="3"/>
  <c r="C1101" i="3"/>
  <c r="A1101" i="3"/>
  <c r="BY1100" i="3"/>
  <c r="BX1100" i="3"/>
  <c r="BB1100" i="3"/>
  <c r="U1100" i="3"/>
  <c r="T1100" i="3"/>
  <c r="S1100" i="3"/>
  <c r="C1100" i="3"/>
  <c r="A1100" i="3"/>
  <c r="BY1099" i="3"/>
  <c r="BX1099" i="3"/>
  <c r="BB1099" i="3"/>
  <c r="U1099" i="3"/>
  <c r="T1099" i="3"/>
  <c r="S1099" i="3"/>
  <c r="C1099" i="3"/>
  <c r="A1099" i="3"/>
  <c r="BY1098" i="3"/>
  <c r="BX1098" i="3"/>
  <c r="BB1098" i="3"/>
  <c r="U1098" i="3"/>
  <c r="T1098" i="3"/>
  <c r="S1098" i="3"/>
  <c r="C1098" i="3"/>
  <c r="A1098" i="3"/>
  <c r="BY1097" i="3"/>
  <c r="BX1097" i="3"/>
  <c r="BB1097" i="3"/>
  <c r="U1097" i="3"/>
  <c r="T1097" i="3"/>
  <c r="S1097" i="3"/>
  <c r="C1097" i="3"/>
  <c r="A1097" i="3"/>
  <c r="BY1096" i="3"/>
  <c r="BX1096" i="3"/>
  <c r="BB1096" i="3"/>
  <c r="U1096" i="3"/>
  <c r="T1096" i="3"/>
  <c r="S1096" i="3"/>
  <c r="C1096" i="3"/>
  <c r="A1096" i="3"/>
  <c r="BY1095" i="3"/>
  <c r="BX1095" i="3"/>
  <c r="BB1095" i="3"/>
  <c r="U1095" i="3"/>
  <c r="T1095" i="3"/>
  <c r="S1095" i="3"/>
  <c r="C1095" i="3"/>
  <c r="A1095" i="3"/>
  <c r="BY1094" i="3"/>
  <c r="BX1094" i="3"/>
  <c r="BB1094" i="3"/>
  <c r="U1094" i="3"/>
  <c r="T1094" i="3"/>
  <c r="S1094" i="3"/>
  <c r="C1094" i="3"/>
  <c r="A1094" i="3"/>
  <c r="BY1093" i="3"/>
  <c r="BX1093" i="3"/>
  <c r="BB1093" i="3"/>
  <c r="U1093" i="3"/>
  <c r="T1093" i="3"/>
  <c r="S1093" i="3"/>
  <c r="C1093" i="3"/>
  <c r="A1093" i="3"/>
  <c r="BY1092" i="3"/>
  <c r="BX1092" i="3"/>
  <c r="BB1092" i="3"/>
  <c r="U1092" i="3"/>
  <c r="T1092" i="3"/>
  <c r="S1092" i="3"/>
  <c r="C1092" i="3"/>
  <c r="A1092" i="3"/>
  <c r="BY1091" i="3"/>
  <c r="BX1091" i="3"/>
  <c r="BB1091" i="3"/>
  <c r="U1091" i="3"/>
  <c r="T1091" i="3"/>
  <c r="S1091" i="3"/>
  <c r="C1091" i="3"/>
  <c r="A1091" i="3"/>
  <c r="BY1090" i="3"/>
  <c r="BX1090" i="3"/>
  <c r="BB1090" i="3"/>
  <c r="U1090" i="3"/>
  <c r="T1090" i="3"/>
  <c r="S1090" i="3"/>
  <c r="C1090" i="3"/>
  <c r="A1090" i="3"/>
  <c r="BY1089" i="3"/>
  <c r="BX1089" i="3"/>
  <c r="BB1089" i="3"/>
  <c r="U1089" i="3"/>
  <c r="T1089" i="3"/>
  <c r="S1089" i="3"/>
  <c r="C1089" i="3"/>
  <c r="A1089" i="3"/>
  <c r="BY1088" i="3"/>
  <c r="BX1088" i="3"/>
  <c r="BB1088" i="3"/>
  <c r="U1088" i="3"/>
  <c r="T1088" i="3"/>
  <c r="S1088" i="3"/>
  <c r="C1088" i="3"/>
  <c r="A1088" i="3"/>
  <c r="BY1087" i="3"/>
  <c r="BX1087" i="3"/>
  <c r="BB1087" i="3"/>
  <c r="U1087" i="3"/>
  <c r="T1087" i="3"/>
  <c r="S1087" i="3"/>
  <c r="C1087" i="3"/>
  <c r="A1087" i="3"/>
  <c r="BY1086" i="3"/>
  <c r="BX1086" i="3"/>
  <c r="BB1086" i="3"/>
  <c r="U1086" i="3"/>
  <c r="T1086" i="3"/>
  <c r="S1086" i="3"/>
  <c r="C1086" i="3"/>
  <c r="A1086" i="3"/>
  <c r="BY1085" i="3"/>
  <c r="BX1085" i="3"/>
  <c r="BB1085" i="3"/>
  <c r="U1085" i="3"/>
  <c r="T1085" i="3"/>
  <c r="S1085" i="3"/>
  <c r="C1085" i="3"/>
  <c r="A1085" i="3"/>
  <c r="BY1084" i="3"/>
  <c r="BX1084" i="3"/>
  <c r="BB1084" i="3"/>
  <c r="U1084" i="3"/>
  <c r="T1084" i="3"/>
  <c r="S1084" i="3"/>
  <c r="C1084" i="3"/>
  <c r="A1084" i="3"/>
  <c r="BY1083" i="3"/>
  <c r="BX1083" i="3"/>
  <c r="BB1083" i="3"/>
  <c r="U1083" i="3"/>
  <c r="T1083" i="3"/>
  <c r="S1083" i="3"/>
  <c r="C1083" i="3"/>
  <c r="A1083" i="3"/>
  <c r="BY1082" i="3"/>
  <c r="BX1082" i="3"/>
  <c r="BB1082" i="3"/>
  <c r="U1082" i="3"/>
  <c r="T1082" i="3"/>
  <c r="S1082" i="3"/>
  <c r="C1082" i="3"/>
  <c r="A1082" i="3"/>
  <c r="BY1081" i="3"/>
  <c r="BX1081" i="3"/>
  <c r="BB1081" i="3"/>
  <c r="U1081" i="3"/>
  <c r="T1081" i="3"/>
  <c r="S1081" i="3"/>
  <c r="C1081" i="3"/>
  <c r="A1081" i="3"/>
  <c r="BY1080" i="3"/>
  <c r="BX1080" i="3"/>
  <c r="BB1080" i="3"/>
  <c r="U1080" i="3"/>
  <c r="T1080" i="3"/>
  <c r="S1080" i="3"/>
  <c r="C1080" i="3"/>
  <c r="A1080" i="3"/>
  <c r="BY1079" i="3"/>
  <c r="BX1079" i="3"/>
  <c r="BB1079" i="3"/>
  <c r="U1079" i="3"/>
  <c r="T1079" i="3"/>
  <c r="S1079" i="3"/>
  <c r="C1079" i="3"/>
  <c r="A1079" i="3"/>
  <c r="BY1078" i="3"/>
  <c r="BX1078" i="3"/>
  <c r="BB1078" i="3"/>
  <c r="U1078" i="3"/>
  <c r="T1078" i="3"/>
  <c r="S1078" i="3"/>
  <c r="C1078" i="3"/>
  <c r="A1078" i="3"/>
  <c r="BY1077" i="3"/>
  <c r="BX1077" i="3"/>
  <c r="BB1077" i="3"/>
  <c r="U1077" i="3"/>
  <c r="T1077" i="3"/>
  <c r="S1077" i="3"/>
  <c r="C1077" i="3"/>
  <c r="A1077" i="3"/>
  <c r="BY1076" i="3"/>
  <c r="BX1076" i="3"/>
  <c r="BB1076" i="3"/>
  <c r="U1076" i="3"/>
  <c r="T1076" i="3"/>
  <c r="S1076" i="3"/>
  <c r="C1076" i="3"/>
  <c r="A1076" i="3"/>
  <c r="BY1075" i="3"/>
  <c r="BX1075" i="3"/>
  <c r="BB1075" i="3"/>
  <c r="U1075" i="3"/>
  <c r="T1075" i="3"/>
  <c r="S1075" i="3"/>
  <c r="C1075" i="3"/>
  <c r="A1075" i="3"/>
  <c r="BY1074" i="3"/>
  <c r="BX1074" i="3"/>
  <c r="BB1074" i="3"/>
  <c r="U1074" i="3"/>
  <c r="T1074" i="3"/>
  <c r="S1074" i="3"/>
  <c r="C1074" i="3"/>
  <c r="A1074" i="3"/>
  <c r="BY1073" i="3"/>
  <c r="BX1073" i="3"/>
  <c r="BB1073" i="3"/>
  <c r="U1073" i="3"/>
  <c r="T1073" i="3"/>
  <c r="S1073" i="3"/>
  <c r="C1073" i="3"/>
  <c r="A1073" i="3"/>
  <c r="BY1072" i="3"/>
  <c r="BX1072" i="3"/>
  <c r="BB1072" i="3"/>
  <c r="U1072" i="3"/>
  <c r="T1072" i="3"/>
  <c r="S1072" i="3"/>
  <c r="C1072" i="3"/>
  <c r="A1072" i="3"/>
  <c r="BY1071" i="3"/>
  <c r="BX1071" i="3"/>
  <c r="BB1071" i="3"/>
  <c r="U1071" i="3"/>
  <c r="T1071" i="3"/>
  <c r="S1071" i="3"/>
  <c r="C1071" i="3"/>
  <c r="A1071" i="3"/>
  <c r="BY1070" i="3"/>
  <c r="BX1070" i="3"/>
  <c r="BB1070" i="3"/>
  <c r="U1070" i="3"/>
  <c r="T1070" i="3"/>
  <c r="S1070" i="3"/>
  <c r="C1070" i="3"/>
  <c r="A1070" i="3"/>
  <c r="BY1069" i="3"/>
  <c r="BX1069" i="3"/>
  <c r="BB1069" i="3"/>
  <c r="U1069" i="3"/>
  <c r="T1069" i="3"/>
  <c r="S1069" i="3"/>
  <c r="C1069" i="3"/>
  <c r="A1069" i="3"/>
  <c r="BY1068" i="3"/>
  <c r="BX1068" i="3"/>
  <c r="BB1068" i="3"/>
  <c r="U1068" i="3"/>
  <c r="T1068" i="3"/>
  <c r="S1068" i="3"/>
  <c r="C1068" i="3"/>
  <c r="A1068" i="3"/>
  <c r="BY1067" i="3"/>
  <c r="BX1067" i="3"/>
  <c r="BB1067" i="3"/>
  <c r="U1067" i="3"/>
  <c r="T1067" i="3"/>
  <c r="S1067" i="3"/>
  <c r="C1067" i="3"/>
  <c r="A1067" i="3"/>
  <c r="BY1066" i="3"/>
  <c r="BX1066" i="3"/>
  <c r="BB1066" i="3"/>
  <c r="U1066" i="3"/>
  <c r="T1066" i="3"/>
  <c r="S1066" i="3"/>
  <c r="C1066" i="3"/>
  <c r="A1066" i="3"/>
  <c r="BY1065" i="3"/>
  <c r="BX1065" i="3"/>
  <c r="BB1065" i="3"/>
  <c r="U1065" i="3"/>
  <c r="T1065" i="3"/>
  <c r="S1065" i="3"/>
  <c r="C1065" i="3"/>
  <c r="A1065" i="3"/>
  <c r="BY1064" i="3"/>
  <c r="BX1064" i="3"/>
  <c r="BB1064" i="3"/>
  <c r="U1064" i="3"/>
  <c r="T1064" i="3"/>
  <c r="S1064" i="3"/>
  <c r="C1064" i="3"/>
  <c r="A1064" i="3"/>
  <c r="BY1063" i="3"/>
  <c r="BX1063" i="3"/>
  <c r="BB1063" i="3"/>
  <c r="U1063" i="3"/>
  <c r="T1063" i="3"/>
  <c r="S1063" i="3"/>
  <c r="C1063" i="3"/>
  <c r="A1063" i="3"/>
  <c r="BY1062" i="3"/>
  <c r="BX1062" i="3"/>
  <c r="BB1062" i="3"/>
  <c r="U1062" i="3"/>
  <c r="T1062" i="3"/>
  <c r="S1062" i="3"/>
  <c r="C1062" i="3"/>
  <c r="A1062" i="3"/>
  <c r="BY1061" i="3"/>
  <c r="BX1061" i="3"/>
  <c r="BB1061" i="3"/>
  <c r="U1061" i="3"/>
  <c r="T1061" i="3"/>
  <c r="S1061" i="3"/>
  <c r="C1061" i="3"/>
  <c r="A1061" i="3"/>
  <c r="BY1060" i="3"/>
  <c r="BX1060" i="3"/>
  <c r="BB1060" i="3"/>
  <c r="U1060" i="3"/>
  <c r="T1060" i="3"/>
  <c r="S1060" i="3"/>
  <c r="C1060" i="3"/>
  <c r="A1060" i="3"/>
  <c r="BY1059" i="3"/>
  <c r="BX1059" i="3"/>
  <c r="BB1059" i="3"/>
  <c r="U1059" i="3"/>
  <c r="T1059" i="3"/>
  <c r="S1059" i="3"/>
  <c r="C1059" i="3"/>
  <c r="A1059" i="3"/>
  <c r="BY1058" i="3"/>
  <c r="BX1058" i="3"/>
  <c r="BB1058" i="3"/>
  <c r="U1058" i="3"/>
  <c r="T1058" i="3"/>
  <c r="S1058" i="3"/>
  <c r="C1058" i="3"/>
  <c r="A1058" i="3"/>
  <c r="BY1057" i="3"/>
  <c r="BX1057" i="3"/>
  <c r="BB1057" i="3"/>
  <c r="U1057" i="3"/>
  <c r="T1057" i="3"/>
  <c r="S1057" i="3"/>
  <c r="C1057" i="3"/>
  <c r="A1057" i="3"/>
  <c r="BY1056" i="3"/>
  <c r="BX1056" i="3"/>
  <c r="BB1056" i="3"/>
  <c r="U1056" i="3"/>
  <c r="T1056" i="3"/>
  <c r="S1056" i="3"/>
  <c r="C1056" i="3"/>
  <c r="A1056" i="3"/>
  <c r="BY1055" i="3"/>
  <c r="BX1055" i="3"/>
  <c r="BB1055" i="3"/>
  <c r="U1055" i="3"/>
  <c r="T1055" i="3"/>
  <c r="S1055" i="3"/>
  <c r="C1055" i="3"/>
  <c r="A1055" i="3"/>
  <c r="BY1054" i="3"/>
  <c r="BX1054" i="3"/>
  <c r="BB1054" i="3"/>
  <c r="U1054" i="3"/>
  <c r="T1054" i="3"/>
  <c r="S1054" i="3"/>
  <c r="C1054" i="3"/>
  <c r="A1054" i="3"/>
  <c r="BY1053" i="3"/>
  <c r="BX1053" i="3"/>
  <c r="BB1053" i="3"/>
  <c r="U1053" i="3"/>
  <c r="T1053" i="3"/>
  <c r="S1053" i="3"/>
  <c r="C1053" i="3"/>
  <c r="A1053" i="3"/>
  <c r="BY1052" i="3"/>
  <c r="BX1052" i="3"/>
  <c r="BB1052" i="3"/>
  <c r="U1052" i="3"/>
  <c r="T1052" i="3"/>
  <c r="S1052" i="3"/>
  <c r="C1052" i="3"/>
  <c r="A1052" i="3"/>
  <c r="BY1051" i="3"/>
  <c r="BX1051" i="3"/>
  <c r="BB1051" i="3"/>
  <c r="U1051" i="3"/>
  <c r="T1051" i="3"/>
  <c r="S1051" i="3"/>
  <c r="C1051" i="3"/>
  <c r="A1051" i="3"/>
  <c r="BY1050" i="3"/>
  <c r="BX1050" i="3"/>
  <c r="BB1050" i="3"/>
  <c r="U1050" i="3"/>
  <c r="T1050" i="3"/>
  <c r="S1050" i="3"/>
  <c r="C1050" i="3"/>
  <c r="A1050" i="3"/>
  <c r="BY1049" i="3"/>
  <c r="BX1049" i="3"/>
  <c r="BB1049" i="3"/>
  <c r="U1049" i="3"/>
  <c r="T1049" i="3"/>
  <c r="S1049" i="3"/>
  <c r="C1049" i="3"/>
  <c r="A1049" i="3"/>
  <c r="BY1048" i="3"/>
  <c r="BX1048" i="3"/>
  <c r="BB1048" i="3"/>
  <c r="U1048" i="3"/>
  <c r="T1048" i="3"/>
  <c r="S1048" i="3"/>
  <c r="C1048" i="3"/>
  <c r="A1048" i="3"/>
  <c r="BY1047" i="3"/>
  <c r="BX1047" i="3"/>
  <c r="BB1047" i="3"/>
  <c r="U1047" i="3"/>
  <c r="T1047" i="3"/>
  <c r="S1047" i="3"/>
  <c r="C1047" i="3"/>
  <c r="A1047" i="3"/>
  <c r="BY1046" i="3"/>
  <c r="BX1046" i="3"/>
  <c r="BB1046" i="3"/>
  <c r="U1046" i="3"/>
  <c r="T1046" i="3"/>
  <c r="S1046" i="3"/>
  <c r="C1046" i="3"/>
  <c r="A1046" i="3"/>
  <c r="BY1045" i="3"/>
  <c r="BX1045" i="3"/>
  <c r="BB1045" i="3"/>
  <c r="U1045" i="3"/>
  <c r="T1045" i="3"/>
  <c r="S1045" i="3"/>
  <c r="C1045" i="3"/>
  <c r="A1045" i="3"/>
  <c r="BY1044" i="3"/>
  <c r="BX1044" i="3"/>
  <c r="BB1044" i="3"/>
  <c r="U1044" i="3"/>
  <c r="T1044" i="3"/>
  <c r="S1044" i="3"/>
  <c r="C1044" i="3"/>
  <c r="A1044" i="3"/>
  <c r="BY1043" i="3"/>
  <c r="BX1043" i="3"/>
  <c r="BB1043" i="3"/>
  <c r="U1043" i="3"/>
  <c r="T1043" i="3"/>
  <c r="S1043" i="3"/>
  <c r="C1043" i="3"/>
  <c r="A1043" i="3"/>
  <c r="BY1042" i="3"/>
  <c r="BX1042" i="3"/>
  <c r="BB1042" i="3"/>
  <c r="U1042" i="3"/>
  <c r="T1042" i="3"/>
  <c r="S1042" i="3"/>
  <c r="C1042" i="3"/>
  <c r="A1042" i="3"/>
  <c r="BY1041" i="3"/>
  <c r="BX1041" i="3"/>
  <c r="BB1041" i="3"/>
  <c r="U1041" i="3"/>
  <c r="T1041" i="3"/>
  <c r="S1041" i="3"/>
  <c r="C1041" i="3"/>
  <c r="A1041" i="3"/>
  <c r="BY1040" i="3"/>
  <c r="BX1040" i="3"/>
  <c r="BB1040" i="3"/>
  <c r="U1040" i="3"/>
  <c r="T1040" i="3"/>
  <c r="S1040" i="3"/>
  <c r="C1040" i="3"/>
  <c r="A1040" i="3"/>
  <c r="BY1039" i="3"/>
  <c r="BX1039" i="3"/>
  <c r="BB1039" i="3"/>
  <c r="U1039" i="3"/>
  <c r="T1039" i="3"/>
  <c r="S1039" i="3"/>
  <c r="C1039" i="3"/>
  <c r="A1039" i="3"/>
  <c r="BY1038" i="3"/>
  <c r="BX1038" i="3"/>
  <c r="BB1038" i="3"/>
  <c r="U1038" i="3"/>
  <c r="T1038" i="3"/>
  <c r="S1038" i="3"/>
  <c r="C1038" i="3"/>
  <c r="A1038" i="3"/>
  <c r="BY1037" i="3"/>
  <c r="BX1037" i="3"/>
  <c r="BB1037" i="3"/>
  <c r="U1037" i="3"/>
  <c r="T1037" i="3"/>
  <c r="S1037" i="3"/>
  <c r="C1037" i="3"/>
  <c r="A1037" i="3"/>
  <c r="BY1036" i="3"/>
  <c r="BX1036" i="3"/>
  <c r="BB1036" i="3"/>
  <c r="U1036" i="3"/>
  <c r="T1036" i="3"/>
  <c r="S1036" i="3"/>
  <c r="C1036" i="3"/>
  <c r="A1036" i="3"/>
  <c r="BY1035" i="3"/>
  <c r="BX1035" i="3"/>
  <c r="BB1035" i="3"/>
  <c r="U1035" i="3"/>
  <c r="T1035" i="3"/>
  <c r="S1035" i="3"/>
  <c r="C1035" i="3"/>
  <c r="A1035" i="3"/>
  <c r="BY1034" i="3"/>
  <c r="BX1034" i="3"/>
  <c r="BB1034" i="3"/>
  <c r="U1034" i="3"/>
  <c r="T1034" i="3"/>
  <c r="S1034" i="3"/>
  <c r="C1034" i="3"/>
  <c r="A1034" i="3"/>
  <c r="BY1033" i="3"/>
  <c r="BX1033" i="3"/>
  <c r="BB1033" i="3"/>
  <c r="U1033" i="3"/>
  <c r="T1033" i="3"/>
  <c r="S1033" i="3"/>
  <c r="C1033" i="3"/>
  <c r="A1033" i="3"/>
  <c r="BY1032" i="3"/>
  <c r="BX1032" i="3"/>
  <c r="BB1032" i="3"/>
  <c r="U1032" i="3"/>
  <c r="T1032" i="3"/>
  <c r="S1032" i="3"/>
  <c r="C1032" i="3"/>
  <c r="A1032" i="3"/>
  <c r="BY1031" i="3"/>
  <c r="BX1031" i="3"/>
  <c r="BB1031" i="3"/>
  <c r="U1031" i="3"/>
  <c r="T1031" i="3"/>
  <c r="S1031" i="3"/>
  <c r="C1031" i="3"/>
  <c r="A1031" i="3"/>
  <c r="BY1030" i="3"/>
  <c r="BX1030" i="3"/>
  <c r="BB1030" i="3"/>
  <c r="U1030" i="3"/>
  <c r="T1030" i="3"/>
  <c r="S1030" i="3"/>
  <c r="C1030" i="3"/>
  <c r="A1030" i="3"/>
  <c r="BY1029" i="3"/>
  <c r="BX1029" i="3"/>
  <c r="BB1029" i="3"/>
  <c r="U1029" i="3"/>
  <c r="T1029" i="3"/>
  <c r="S1029" i="3"/>
  <c r="C1029" i="3"/>
  <c r="A1029" i="3"/>
  <c r="BY1028" i="3"/>
  <c r="BX1028" i="3"/>
  <c r="BB1028" i="3"/>
  <c r="U1028" i="3"/>
  <c r="T1028" i="3"/>
  <c r="S1028" i="3"/>
  <c r="C1028" i="3"/>
  <c r="A1028" i="3"/>
  <c r="BY1027" i="3"/>
  <c r="BX1027" i="3"/>
  <c r="BB1027" i="3"/>
  <c r="U1027" i="3"/>
  <c r="T1027" i="3"/>
  <c r="S1027" i="3"/>
  <c r="C1027" i="3"/>
  <c r="A1027" i="3"/>
  <c r="BY1026" i="3"/>
  <c r="BX1026" i="3"/>
  <c r="BB1026" i="3"/>
  <c r="U1026" i="3"/>
  <c r="T1026" i="3"/>
  <c r="S1026" i="3"/>
  <c r="C1026" i="3"/>
  <c r="A1026" i="3"/>
  <c r="BY1025" i="3"/>
  <c r="BX1025" i="3"/>
  <c r="BB1025" i="3"/>
  <c r="U1025" i="3"/>
  <c r="T1025" i="3"/>
  <c r="S1025" i="3"/>
  <c r="C1025" i="3"/>
  <c r="A1025" i="3"/>
  <c r="BY1024" i="3"/>
  <c r="BX1024" i="3"/>
  <c r="BB1024" i="3"/>
  <c r="U1024" i="3"/>
  <c r="T1024" i="3"/>
  <c r="S1024" i="3"/>
  <c r="C1024" i="3"/>
  <c r="A1024" i="3"/>
  <c r="BY1023" i="3"/>
  <c r="BX1023" i="3"/>
  <c r="BB1023" i="3"/>
  <c r="U1023" i="3"/>
  <c r="T1023" i="3"/>
  <c r="S1023" i="3"/>
  <c r="C1023" i="3"/>
  <c r="A1023" i="3"/>
  <c r="BY1022" i="3"/>
  <c r="BX1022" i="3"/>
  <c r="BB1022" i="3"/>
  <c r="U1022" i="3"/>
  <c r="T1022" i="3"/>
  <c r="S1022" i="3"/>
  <c r="C1022" i="3"/>
  <c r="A1022" i="3"/>
  <c r="BY1021" i="3"/>
  <c r="BX1021" i="3"/>
  <c r="BB1021" i="3"/>
  <c r="U1021" i="3"/>
  <c r="T1021" i="3"/>
  <c r="S1021" i="3"/>
  <c r="C1021" i="3"/>
  <c r="A1021" i="3"/>
  <c r="BY1020" i="3"/>
  <c r="BX1020" i="3"/>
  <c r="BB1020" i="3"/>
  <c r="U1020" i="3"/>
  <c r="T1020" i="3"/>
  <c r="S1020" i="3"/>
  <c r="C1020" i="3"/>
  <c r="A1020" i="3"/>
  <c r="BY1019" i="3"/>
  <c r="BX1019" i="3"/>
  <c r="BB1019" i="3"/>
  <c r="U1019" i="3"/>
  <c r="T1019" i="3"/>
  <c r="S1019" i="3"/>
  <c r="C1019" i="3"/>
  <c r="A1019" i="3"/>
  <c r="BY1018" i="3"/>
  <c r="BX1018" i="3"/>
  <c r="BB1018" i="3"/>
  <c r="U1018" i="3"/>
  <c r="T1018" i="3"/>
  <c r="S1018" i="3"/>
  <c r="C1018" i="3"/>
  <c r="A1018" i="3"/>
  <c r="BY1017" i="3"/>
  <c r="BX1017" i="3"/>
  <c r="BB1017" i="3"/>
  <c r="U1017" i="3"/>
  <c r="T1017" i="3"/>
  <c r="S1017" i="3"/>
  <c r="C1017" i="3"/>
  <c r="A1017" i="3"/>
  <c r="BY1016" i="3"/>
  <c r="BX1016" i="3"/>
  <c r="BB1016" i="3"/>
  <c r="U1016" i="3"/>
  <c r="T1016" i="3"/>
  <c r="S1016" i="3"/>
  <c r="C1016" i="3"/>
  <c r="A1016" i="3"/>
  <c r="BY1015" i="3"/>
  <c r="BX1015" i="3"/>
  <c r="BB1015" i="3"/>
  <c r="U1015" i="3"/>
  <c r="T1015" i="3"/>
  <c r="S1015" i="3"/>
  <c r="C1015" i="3"/>
  <c r="A1015" i="3"/>
  <c r="BY1014" i="3"/>
  <c r="BX1014" i="3"/>
  <c r="BB1014" i="3"/>
  <c r="U1014" i="3"/>
  <c r="T1014" i="3"/>
  <c r="S1014" i="3"/>
  <c r="C1014" i="3"/>
  <c r="A1014" i="3"/>
  <c r="BY1013" i="3"/>
  <c r="BX1013" i="3"/>
  <c r="BB1013" i="3"/>
  <c r="U1013" i="3"/>
  <c r="T1013" i="3"/>
  <c r="S1013" i="3"/>
  <c r="C1013" i="3"/>
  <c r="A1013" i="3"/>
  <c r="BY1012" i="3"/>
  <c r="BX1012" i="3"/>
  <c r="BB1012" i="3"/>
  <c r="U1012" i="3"/>
  <c r="T1012" i="3"/>
  <c r="S1012" i="3"/>
  <c r="C1012" i="3"/>
  <c r="A1012" i="3"/>
  <c r="BY1011" i="3"/>
  <c r="BX1011" i="3"/>
  <c r="BB1011" i="3"/>
  <c r="U1011" i="3"/>
  <c r="T1011" i="3"/>
  <c r="S1011" i="3"/>
  <c r="C1011" i="3"/>
  <c r="A1011" i="3"/>
  <c r="BY1010" i="3"/>
  <c r="BX1010" i="3"/>
  <c r="BB1010" i="3"/>
  <c r="U1010" i="3"/>
  <c r="T1010" i="3"/>
  <c r="S1010" i="3"/>
  <c r="C1010" i="3"/>
  <c r="A1010" i="3"/>
  <c r="BY1009" i="3"/>
  <c r="BX1009" i="3"/>
  <c r="BB1009" i="3"/>
  <c r="U1009" i="3"/>
  <c r="T1009" i="3"/>
  <c r="S1009" i="3"/>
  <c r="C1009" i="3"/>
  <c r="A1009" i="3"/>
  <c r="BY1008" i="3"/>
  <c r="BX1008" i="3"/>
  <c r="BB1008" i="3"/>
  <c r="U1008" i="3"/>
  <c r="T1008" i="3"/>
  <c r="S1008" i="3"/>
  <c r="C1008" i="3"/>
  <c r="A1008" i="3"/>
  <c r="BY1007" i="3"/>
  <c r="BX1007" i="3"/>
  <c r="BB1007" i="3"/>
  <c r="U1007" i="3"/>
  <c r="T1007" i="3"/>
  <c r="S1007" i="3"/>
  <c r="C1007" i="3"/>
  <c r="A1007" i="3"/>
  <c r="BY1006" i="3"/>
  <c r="BX1006" i="3"/>
  <c r="BB1006" i="3"/>
  <c r="U1006" i="3"/>
  <c r="T1006" i="3"/>
  <c r="S1006" i="3"/>
  <c r="C1006" i="3"/>
  <c r="A1006" i="3"/>
  <c r="BY1005" i="3"/>
  <c r="BX1005" i="3"/>
  <c r="BB1005" i="3"/>
  <c r="U1005" i="3"/>
  <c r="T1005" i="3"/>
  <c r="S1005" i="3"/>
  <c r="C1005" i="3"/>
  <c r="A1005" i="3"/>
  <c r="BY1004" i="3"/>
  <c r="BX1004" i="3"/>
  <c r="BB1004" i="3"/>
  <c r="U1004" i="3"/>
  <c r="T1004" i="3"/>
  <c r="S1004" i="3"/>
  <c r="C1004" i="3"/>
  <c r="A1004" i="3"/>
  <c r="BY1003" i="3"/>
  <c r="BX1003" i="3"/>
  <c r="BB1003" i="3"/>
  <c r="U1003" i="3"/>
  <c r="T1003" i="3"/>
  <c r="S1003" i="3"/>
  <c r="C1003" i="3"/>
  <c r="A1003" i="3"/>
  <c r="BY1002" i="3"/>
  <c r="BX1002" i="3"/>
  <c r="BB1002" i="3"/>
  <c r="U1002" i="3"/>
  <c r="T1002" i="3"/>
  <c r="S1002" i="3"/>
  <c r="C1002" i="3"/>
  <c r="A1002" i="3"/>
  <c r="BY1001" i="3"/>
  <c r="BX1001" i="3"/>
  <c r="BB1001" i="3"/>
  <c r="U1001" i="3"/>
  <c r="T1001" i="3"/>
  <c r="S1001" i="3"/>
  <c r="C1001" i="3"/>
  <c r="A1001" i="3"/>
  <c r="BY1000" i="3"/>
  <c r="BX1000" i="3"/>
  <c r="BB1000" i="3"/>
  <c r="U1000" i="3"/>
  <c r="T1000" i="3"/>
  <c r="S1000" i="3"/>
  <c r="C1000" i="3"/>
  <c r="A1000" i="3"/>
  <c r="BY999" i="3"/>
  <c r="BX999" i="3"/>
  <c r="BB999" i="3"/>
  <c r="U999" i="3"/>
  <c r="T999" i="3"/>
  <c r="S999" i="3"/>
  <c r="C999" i="3"/>
  <c r="A999" i="3"/>
  <c r="BY998" i="3"/>
  <c r="BX998" i="3"/>
  <c r="BB998" i="3"/>
  <c r="U998" i="3"/>
  <c r="T998" i="3"/>
  <c r="S998" i="3"/>
  <c r="C998" i="3"/>
  <c r="A998" i="3"/>
  <c r="BY997" i="3"/>
  <c r="BX997" i="3"/>
  <c r="BB997" i="3"/>
  <c r="U997" i="3"/>
  <c r="T997" i="3"/>
  <c r="S997" i="3"/>
  <c r="C997" i="3"/>
  <c r="A997" i="3"/>
  <c r="BY996" i="3"/>
  <c r="BX996" i="3"/>
  <c r="BB996" i="3"/>
  <c r="U996" i="3"/>
  <c r="T996" i="3"/>
  <c r="S996" i="3"/>
  <c r="C996" i="3"/>
  <c r="A996" i="3"/>
  <c r="BY995" i="3"/>
  <c r="BX995" i="3"/>
  <c r="BB995" i="3"/>
  <c r="U995" i="3"/>
  <c r="T995" i="3"/>
  <c r="S995" i="3"/>
  <c r="C995" i="3"/>
  <c r="A995" i="3"/>
  <c r="BY994" i="3"/>
  <c r="BX994" i="3"/>
  <c r="BB994" i="3"/>
  <c r="U994" i="3"/>
  <c r="T994" i="3"/>
  <c r="S994" i="3"/>
  <c r="C994" i="3"/>
  <c r="A994" i="3"/>
  <c r="BY993" i="3"/>
  <c r="BX993" i="3"/>
  <c r="BB993" i="3"/>
  <c r="U993" i="3"/>
  <c r="T993" i="3"/>
  <c r="S993" i="3"/>
  <c r="C993" i="3"/>
  <c r="A993" i="3"/>
  <c r="BY992" i="3"/>
  <c r="BX992" i="3"/>
  <c r="BB992" i="3"/>
  <c r="U992" i="3"/>
  <c r="T992" i="3"/>
  <c r="S992" i="3"/>
  <c r="C992" i="3"/>
  <c r="A992" i="3"/>
  <c r="BY991" i="3"/>
  <c r="BX991" i="3"/>
  <c r="BB991" i="3"/>
  <c r="U991" i="3"/>
  <c r="T991" i="3"/>
  <c r="S991" i="3"/>
  <c r="C991" i="3"/>
  <c r="A991" i="3"/>
  <c r="BY990" i="3"/>
  <c r="BX990" i="3"/>
  <c r="BB990" i="3"/>
  <c r="U990" i="3"/>
  <c r="T990" i="3"/>
  <c r="S990" i="3"/>
  <c r="C990" i="3"/>
  <c r="A990" i="3"/>
  <c r="BY989" i="3"/>
  <c r="BX989" i="3"/>
  <c r="BB989" i="3"/>
  <c r="U989" i="3"/>
  <c r="T989" i="3"/>
  <c r="S989" i="3"/>
  <c r="C989" i="3"/>
  <c r="A989" i="3"/>
  <c r="BY988" i="3"/>
  <c r="BX988" i="3"/>
  <c r="BB988" i="3"/>
  <c r="U988" i="3"/>
  <c r="T988" i="3"/>
  <c r="S988" i="3"/>
  <c r="C988" i="3"/>
  <c r="A988" i="3"/>
  <c r="BY987" i="3"/>
  <c r="BX987" i="3"/>
  <c r="BB987" i="3"/>
  <c r="U987" i="3"/>
  <c r="T987" i="3"/>
  <c r="S987" i="3"/>
  <c r="C987" i="3"/>
  <c r="A987" i="3"/>
  <c r="BY986" i="3"/>
  <c r="BX986" i="3"/>
  <c r="BB986" i="3"/>
  <c r="U986" i="3"/>
  <c r="T986" i="3"/>
  <c r="S986" i="3"/>
  <c r="C986" i="3"/>
  <c r="A986" i="3"/>
  <c r="BY985" i="3"/>
  <c r="BX985" i="3"/>
  <c r="BB985" i="3"/>
  <c r="U985" i="3"/>
  <c r="T985" i="3"/>
  <c r="S985" i="3"/>
  <c r="C985" i="3"/>
  <c r="A985" i="3"/>
  <c r="BY984" i="3"/>
  <c r="BX984" i="3"/>
  <c r="BB984" i="3"/>
  <c r="U984" i="3"/>
  <c r="T984" i="3"/>
  <c r="S984" i="3"/>
  <c r="C984" i="3"/>
  <c r="A984" i="3"/>
  <c r="BY983" i="3"/>
  <c r="BX983" i="3"/>
  <c r="BB983" i="3"/>
  <c r="U983" i="3"/>
  <c r="T983" i="3"/>
  <c r="S983" i="3"/>
  <c r="C983" i="3"/>
  <c r="A983" i="3"/>
  <c r="BY982" i="3"/>
  <c r="BX982" i="3"/>
  <c r="BB982" i="3"/>
  <c r="U982" i="3"/>
  <c r="T982" i="3"/>
  <c r="S982" i="3"/>
  <c r="C982" i="3"/>
  <c r="A982" i="3"/>
  <c r="BY981" i="3"/>
  <c r="BX981" i="3"/>
  <c r="BB981" i="3"/>
  <c r="U981" i="3"/>
  <c r="T981" i="3"/>
  <c r="S981" i="3"/>
  <c r="C981" i="3"/>
  <c r="A981" i="3"/>
  <c r="BY980" i="3"/>
  <c r="BX980" i="3"/>
  <c r="BB980" i="3"/>
  <c r="U980" i="3"/>
  <c r="T980" i="3"/>
  <c r="S980" i="3"/>
  <c r="C980" i="3"/>
  <c r="A980" i="3"/>
  <c r="BY979" i="3"/>
  <c r="BX979" i="3"/>
  <c r="BB979" i="3"/>
  <c r="U979" i="3"/>
  <c r="T979" i="3"/>
  <c r="S979" i="3"/>
  <c r="C979" i="3"/>
  <c r="A979" i="3"/>
  <c r="BY978" i="3"/>
  <c r="BX978" i="3"/>
  <c r="BB978" i="3"/>
  <c r="U978" i="3"/>
  <c r="T978" i="3"/>
  <c r="S978" i="3"/>
  <c r="C978" i="3"/>
  <c r="A978" i="3"/>
  <c r="BY977" i="3"/>
  <c r="BX977" i="3"/>
  <c r="BB977" i="3"/>
  <c r="U977" i="3"/>
  <c r="T977" i="3"/>
  <c r="S977" i="3"/>
  <c r="C977" i="3"/>
  <c r="A977" i="3"/>
  <c r="BY976" i="3"/>
  <c r="BX976" i="3"/>
  <c r="BB976" i="3"/>
  <c r="U976" i="3"/>
  <c r="T976" i="3"/>
  <c r="S976" i="3"/>
  <c r="C976" i="3"/>
  <c r="A976" i="3"/>
  <c r="BY975" i="3"/>
  <c r="BX975" i="3"/>
  <c r="BB975" i="3"/>
  <c r="U975" i="3"/>
  <c r="T975" i="3"/>
  <c r="S975" i="3"/>
  <c r="C975" i="3"/>
  <c r="A975" i="3"/>
  <c r="BY974" i="3"/>
  <c r="BX974" i="3"/>
  <c r="BB974" i="3"/>
  <c r="U974" i="3"/>
  <c r="T974" i="3"/>
  <c r="S974" i="3"/>
  <c r="C974" i="3"/>
  <c r="A974" i="3"/>
  <c r="BY973" i="3"/>
  <c r="BX973" i="3"/>
  <c r="BB973" i="3"/>
  <c r="U973" i="3"/>
  <c r="T973" i="3"/>
  <c r="S973" i="3"/>
  <c r="C973" i="3"/>
  <c r="A973" i="3"/>
  <c r="BY972" i="3"/>
  <c r="BX972" i="3"/>
  <c r="BB972" i="3"/>
  <c r="U972" i="3"/>
  <c r="T972" i="3"/>
  <c r="S972" i="3"/>
  <c r="C972" i="3"/>
  <c r="A972" i="3"/>
  <c r="BY971" i="3"/>
  <c r="BX971" i="3"/>
  <c r="BB971" i="3"/>
  <c r="U971" i="3"/>
  <c r="T971" i="3"/>
  <c r="S971" i="3"/>
  <c r="C971" i="3"/>
  <c r="A971" i="3"/>
  <c r="BY970" i="3"/>
  <c r="BX970" i="3"/>
  <c r="BB970" i="3"/>
  <c r="U970" i="3"/>
  <c r="T970" i="3"/>
  <c r="S970" i="3"/>
  <c r="C970" i="3"/>
  <c r="A970" i="3"/>
  <c r="BY969" i="3"/>
  <c r="BX969" i="3"/>
  <c r="BB969" i="3"/>
  <c r="U969" i="3"/>
  <c r="T969" i="3"/>
  <c r="S969" i="3"/>
  <c r="C969" i="3"/>
  <c r="A969" i="3"/>
  <c r="BY968" i="3"/>
  <c r="BX968" i="3"/>
  <c r="BB968" i="3"/>
  <c r="U968" i="3"/>
  <c r="T968" i="3"/>
  <c r="S968" i="3"/>
  <c r="C968" i="3"/>
  <c r="A968" i="3"/>
  <c r="BY967" i="3"/>
  <c r="BX967" i="3"/>
  <c r="BB967" i="3"/>
  <c r="U967" i="3"/>
  <c r="T967" i="3"/>
  <c r="S967" i="3"/>
  <c r="C967" i="3"/>
  <c r="A967" i="3"/>
  <c r="BY966" i="3"/>
  <c r="BX966" i="3"/>
  <c r="BB966" i="3"/>
  <c r="U966" i="3"/>
  <c r="T966" i="3"/>
  <c r="S966" i="3"/>
  <c r="C966" i="3"/>
  <c r="A966" i="3"/>
  <c r="BY965" i="3"/>
  <c r="BX965" i="3"/>
  <c r="BB965" i="3"/>
  <c r="U965" i="3"/>
  <c r="T965" i="3"/>
  <c r="S965" i="3"/>
  <c r="C965" i="3"/>
  <c r="A965" i="3"/>
  <c r="BY964" i="3"/>
  <c r="BX964" i="3"/>
  <c r="BB964" i="3"/>
  <c r="U964" i="3"/>
  <c r="T964" i="3"/>
  <c r="S964" i="3"/>
  <c r="C964" i="3"/>
  <c r="A964" i="3"/>
  <c r="BY963" i="3"/>
  <c r="BX963" i="3"/>
  <c r="BB963" i="3"/>
  <c r="U963" i="3"/>
  <c r="T963" i="3"/>
  <c r="S963" i="3"/>
  <c r="C963" i="3"/>
  <c r="A963" i="3"/>
  <c r="BY962" i="3"/>
  <c r="BX962" i="3"/>
  <c r="BB962" i="3"/>
  <c r="U962" i="3"/>
  <c r="T962" i="3"/>
  <c r="S962" i="3"/>
  <c r="C962" i="3"/>
  <c r="A962" i="3"/>
  <c r="BY961" i="3"/>
  <c r="BX961" i="3"/>
  <c r="BB961" i="3"/>
  <c r="U961" i="3"/>
  <c r="T961" i="3"/>
  <c r="S961" i="3"/>
  <c r="C961" i="3"/>
  <c r="A961" i="3"/>
  <c r="BY960" i="3"/>
  <c r="BX960" i="3"/>
  <c r="BB960" i="3"/>
  <c r="U960" i="3"/>
  <c r="T960" i="3"/>
  <c r="S960" i="3"/>
  <c r="C960" i="3"/>
  <c r="A960" i="3"/>
  <c r="BY959" i="3"/>
  <c r="BX959" i="3"/>
  <c r="BB959" i="3"/>
  <c r="U959" i="3"/>
  <c r="T959" i="3"/>
  <c r="S959" i="3"/>
  <c r="C959" i="3"/>
  <c r="A959" i="3"/>
  <c r="BY958" i="3"/>
  <c r="BX958" i="3"/>
  <c r="BB958" i="3"/>
  <c r="U958" i="3"/>
  <c r="T958" i="3"/>
  <c r="S958" i="3"/>
  <c r="C958" i="3"/>
  <c r="A958" i="3"/>
  <c r="BY957" i="3"/>
  <c r="BX957" i="3"/>
  <c r="BB957" i="3"/>
  <c r="U957" i="3"/>
  <c r="T957" i="3"/>
  <c r="S957" i="3"/>
  <c r="C957" i="3"/>
  <c r="A957" i="3"/>
  <c r="BY956" i="3"/>
  <c r="BX956" i="3"/>
  <c r="BB956" i="3"/>
  <c r="U956" i="3"/>
  <c r="T956" i="3"/>
  <c r="S956" i="3"/>
  <c r="C956" i="3"/>
  <c r="A956" i="3"/>
  <c r="BY955" i="3"/>
  <c r="BX955" i="3"/>
  <c r="BB955" i="3"/>
  <c r="U955" i="3"/>
  <c r="T955" i="3"/>
  <c r="S955" i="3"/>
  <c r="C955" i="3"/>
  <c r="A955" i="3"/>
  <c r="BY954" i="3"/>
  <c r="BX954" i="3"/>
  <c r="BB954" i="3"/>
  <c r="U954" i="3"/>
  <c r="T954" i="3"/>
  <c r="S954" i="3"/>
  <c r="C954" i="3"/>
  <c r="A954" i="3"/>
  <c r="BY953" i="3"/>
  <c r="BX953" i="3"/>
  <c r="BB953" i="3"/>
  <c r="U953" i="3"/>
  <c r="T953" i="3"/>
  <c r="S953" i="3"/>
  <c r="C953" i="3"/>
  <c r="A953" i="3"/>
  <c r="BY952" i="3"/>
  <c r="BX952" i="3"/>
  <c r="BB952" i="3"/>
  <c r="U952" i="3"/>
  <c r="T952" i="3"/>
  <c r="S952" i="3"/>
  <c r="C952" i="3"/>
  <c r="A952" i="3"/>
  <c r="BY951" i="3"/>
  <c r="BX951" i="3"/>
  <c r="BB951" i="3"/>
  <c r="U951" i="3"/>
  <c r="T951" i="3"/>
  <c r="S951" i="3"/>
  <c r="C951" i="3"/>
  <c r="A951" i="3"/>
  <c r="BY950" i="3"/>
  <c r="BX950" i="3"/>
  <c r="BB950" i="3"/>
  <c r="U950" i="3"/>
  <c r="T950" i="3"/>
  <c r="S950" i="3"/>
  <c r="C950" i="3"/>
  <c r="A950" i="3"/>
  <c r="BY949" i="3"/>
  <c r="BX949" i="3"/>
  <c r="BB949" i="3"/>
  <c r="U949" i="3"/>
  <c r="T949" i="3"/>
  <c r="S949" i="3"/>
  <c r="C949" i="3"/>
  <c r="A949" i="3"/>
  <c r="BY948" i="3"/>
  <c r="BX948" i="3"/>
  <c r="BB948" i="3"/>
  <c r="U948" i="3"/>
  <c r="T948" i="3"/>
  <c r="S948" i="3"/>
  <c r="C948" i="3"/>
  <c r="A948" i="3"/>
  <c r="BY947" i="3"/>
  <c r="BX947" i="3"/>
  <c r="BB947" i="3"/>
  <c r="U947" i="3"/>
  <c r="T947" i="3"/>
  <c r="S947" i="3"/>
  <c r="C947" i="3"/>
  <c r="A947" i="3"/>
  <c r="BY946" i="3"/>
  <c r="BX946" i="3"/>
  <c r="BB946" i="3"/>
  <c r="U946" i="3"/>
  <c r="T946" i="3"/>
  <c r="S946" i="3"/>
  <c r="C946" i="3"/>
  <c r="A946" i="3"/>
  <c r="BY945" i="3"/>
  <c r="BX945" i="3"/>
  <c r="BB945" i="3"/>
  <c r="U945" i="3"/>
  <c r="T945" i="3"/>
  <c r="S945" i="3"/>
  <c r="C945" i="3"/>
  <c r="A945" i="3"/>
  <c r="BY944" i="3"/>
  <c r="BX944" i="3"/>
  <c r="BB944" i="3"/>
  <c r="U944" i="3"/>
  <c r="T944" i="3"/>
  <c r="S944" i="3"/>
  <c r="C944" i="3"/>
  <c r="A944" i="3"/>
  <c r="BY943" i="3"/>
  <c r="BX943" i="3"/>
  <c r="BB943" i="3"/>
  <c r="U943" i="3"/>
  <c r="T943" i="3"/>
  <c r="S943" i="3"/>
  <c r="C943" i="3"/>
  <c r="A943" i="3"/>
  <c r="BY942" i="3"/>
  <c r="BX942" i="3"/>
  <c r="BB942" i="3"/>
  <c r="U942" i="3"/>
  <c r="T942" i="3"/>
  <c r="S942" i="3"/>
  <c r="C942" i="3"/>
  <c r="A942" i="3"/>
  <c r="BY941" i="3"/>
  <c r="BX941" i="3"/>
  <c r="BB941" i="3"/>
  <c r="U941" i="3"/>
  <c r="T941" i="3"/>
  <c r="S941" i="3"/>
  <c r="C941" i="3"/>
  <c r="A941" i="3"/>
  <c r="BY940" i="3"/>
  <c r="BX940" i="3"/>
  <c r="BB940" i="3"/>
  <c r="U940" i="3"/>
  <c r="T940" i="3"/>
  <c r="S940" i="3"/>
  <c r="C940" i="3"/>
  <c r="A940" i="3"/>
  <c r="BY939" i="3"/>
  <c r="BX939" i="3"/>
  <c r="BB939" i="3"/>
  <c r="U939" i="3"/>
  <c r="T939" i="3"/>
  <c r="S939" i="3"/>
  <c r="C939" i="3"/>
  <c r="A939" i="3"/>
  <c r="BY938" i="3"/>
  <c r="BX938" i="3"/>
  <c r="BB938" i="3"/>
  <c r="U938" i="3"/>
  <c r="T938" i="3"/>
  <c r="S938" i="3"/>
  <c r="C938" i="3"/>
  <c r="A938" i="3"/>
  <c r="BY937" i="3"/>
  <c r="BX937" i="3"/>
  <c r="BB937" i="3"/>
  <c r="U937" i="3"/>
  <c r="T937" i="3"/>
  <c r="S937" i="3"/>
  <c r="C937" i="3"/>
  <c r="A937" i="3"/>
  <c r="BY936" i="3"/>
  <c r="BX936" i="3"/>
  <c r="BB936" i="3"/>
  <c r="U936" i="3"/>
  <c r="T936" i="3"/>
  <c r="S936" i="3"/>
  <c r="C936" i="3"/>
  <c r="A936" i="3"/>
  <c r="BY935" i="3"/>
  <c r="BX935" i="3"/>
  <c r="BB935" i="3"/>
  <c r="U935" i="3"/>
  <c r="T935" i="3"/>
  <c r="S935" i="3"/>
  <c r="C935" i="3"/>
  <c r="A935" i="3"/>
  <c r="BY934" i="3"/>
  <c r="BX934" i="3"/>
  <c r="BB934" i="3"/>
  <c r="U934" i="3"/>
  <c r="T934" i="3"/>
  <c r="S934" i="3"/>
  <c r="C934" i="3"/>
  <c r="A934" i="3"/>
  <c r="BY933" i="3"/>
  <c r="BX933" i="3"/>
  <c r="BB933" i="3"/>
  <c r="U933" i="3"/>
  <c r="T933" i="3"/>
  <c r="S933" i="3"/>
  <c r="C933" i="3"/>
  <c r="A933" i="3"/>
  <c r="BY932" i="3"/>
  <c r="BX932" i="3"/>
  <c r="BB932" i="3"/>
  <c r="U932" i="3"/>
  <c r="T932" i="3"/>
  <c r="S932" i="3"/>
  <c r="C932" i="3"/>
  <c r="A932" i="3"/>
  <c r="BY931" i="3"/>
  <c r="BX931" i="3"/>
  <c r="BB931" i="3"/>
  <c r="U931" i="3"/>
  <c r="T931" i="3"/>
  <c r="S931" i="3"/>
  <c r="C931" i="3"/>
  <c r="A931" i="3"/>
  <c r="BY930" i="3"/>
  <c r="BX930" i="3"/>
  <c r="BB930" i="3"/>
  <c r="U930" i="3"/>
  <c r="T930" i="3"/>
  <c r="S930" i="3"/>
  <c r="C930" i="3"/>
  <c r="A930" i="3"/>
  <c r="BY929" i="3"/>
  <c r="BX929" i="3"/>
  <c r="BB929" i="3"/>
  <c r="U929" i="3"/>
  <c r="T929" i="3"/>
  <c r="S929" i="3"/>
  <c r="C929" i="3"/>
  <c r="A929" i="3"/>
  <c r="BY928" i="3"/>
  <c r="BX928" i="3"/>
  <c r="BB928" i="3"/>
  <c r="U928" i="3"/>
  <c r="T928" i="3"/>
  <c r="S928" i="3"/>
  <c r="C928" i="3"/>
  <c r="A928" i="3"/>
  <c r="BY927" i="3"/>
  <c r="BX927" i="3"/>
  <c r="BB927" i="3"/>
  <c r="U927" i="3"/>
  <c r="T927" i="3"/>
  <c r="S927" i="3"/>
  <c r="C927" i="3"/>
  <c r="A927" i="3"/>
  <c r="BY926" i="3"/>
  <c r="BX926" i="3"/>
  <c r="BB926" i="3"/>
  <c r="U926" i="3"/>
  <c r="T926" i="3"/>
  <c r="S926" i="3"/>
  <c r="C926" i="3"/>
  <c r="A926" i="3"/>
  <c r="BY925" i="3"/>
  <c r="BX925" i="3"/>
  <c r="BB925" i="3"/>
  <c r="U925" i="3"/>
  <c r="T925" i="3"/>
  <c r="S925" i="3"/>
  <c r="C925" i="3"/>
  <c r="A925" i="3"/>
  <c r="BY924" i="3"/>
  <c r="BX924" i="3"/>
  <c r="BB924" i="3"/>
  <c r="U924" i="3"/>
  <c r="T924" i="3"/>
  <c r="S924" i="3"/>
  <c r="C924" i="3"/>
  <c r="A924" i="3"/>
  <c r="BY923" i="3"/>
  <c r="BX923" i="3"/>
  <c r="BB923" i="3"/>
  <c r="U923" i="3"/>
  <c r="T923" i="3"/>
  <c r="S923" i="3"/>
  <c r="C923" i="3"/>
  <c r="A923" i="3"/>
  <c r="BY922" i="3"/>
  <c r="BX922" i="3"/>
  <c r="BB922" i="3"/>
  <c r="U922" i="3"/>
  <c r="T922" i="3"/>
  <c r="S922" i="3"/>
  <c r="C922" i="3"/>
  <c r="A922" i="3"/>
  <c r="BY921" i="3"/>
  <c r="BX921" i="3"/>
  <c r="BB921" i="3"/>
  <c r="U921" i="3"/>
  <c r="T921" i="3"/>
  <c r="S921" i="3"/>
  <c r="C921" i="3"/>
  <c r="A921" i="3"/>
  <c r="BY920" i="3"/>
  <c r="BX920" i="3"/>
  <c r="BB920" i="3"/>
  <c r="U920" i="3"/>
  <c r="T920" i="3"/>
  <c r="S920" i="3"/>
  <c r="C920" i="3"/>
  <c r="A920" i="3"/>
  <c r="BY919" i="3"/>
  <c r="BX919" i="3"/>
  <c r="BB919" i="3"/>
  <c r="U919" i="3"/>
  <c r="T919" i="3"/>
  <c r="S919" i="3"/>
  <c r="C919" i="3"/>
  <c r="A919" i="3"/>
  <c r="BY918" i="3"/>
  <c r="BX918" i="3"/>
  <c r="BB918" i="3"/>
  <c r="U918" i="3"/>
  <c r="T918" i="3"/>
  <c r="S918" i="3"/>
  <c r="C918" i="3"/>
  <c r="A918" i="3"/>
  <c r="BY917" i="3"/>
  <c r="BX917" i="3"/>
  <c r="BB917" i="3"/>
  <c r="U917" i="3"/>
  <c r="T917" i="3"/>
  <c r="S917" i="3"/>
  <c r="C917" i="3"/>
  <c r="A917" i="3"/>
  <c r="BY916" i="3"/>
  <c r="BX916" i="3"/>
  <c r="BB916" i="3"/>
  <c r="U916" i="3"/>
  <c r="T916" i="3"/>
  <c r="S916" i="3"/>
  <c r="C916" i="3"/>
  <c r="A916" i="3"/>
  <c r="BY915" i="3"/>
  <c r="BX915" i="3"/>
  <c r="BB915" i="3"/>
  <c r="U915" i="3"/>
  <c r="T915" i="3"/>
  <c r="S915" i="3"/>
  <c r="C915" i="3"/>
  <c r="A915" i="3"/>
  <c r="BY914" i="3"/>
  <c r="BX914" i="3"/>
  <c r="BB914" i="3"/>
  <c r="U914" i="3"/>
  <c r="T914" i="3"/>
  <c r="S914" i="3"/>
  <c r="C914" i="3"/>
  <c r="A914" i="3"/>
  <c r="BY913" i="3"/>
  <c r="BX913" i="3"/>
  <c r="BB913" i="3"/>
  <c r="U913" i="3"/>
  <c r="T913" i="3"/>
  <c r="S913" i="3"/>
  <c r="C913" i="3"/>
  <c r="A913" i="3"/>
  <c r="BY912" i="3"/>
  <c r="BX912" i="3"/>
  <c r="BB912" i="3"/>
  <c r="U912" i="3"/>
  <c r="T912" i="3"/>
  <c r="S912" i="3"/>
  <c r="C912" i="3"/>
  <c r="A912" i="3"/>
  <c r="BY911" i="3"/>
  <c r="BX911" i="3"/>
  <c r="BB911" i="3"/>
  <c r="U911" i="3"/>
  <c r="T911" i="3"/>
  <c r="S911" i="3"/>
  <c r="C911" i="3"/>
  <c r="A911" i="3"/>
  <c r="BY910" i="3"/>
  <c r="BX910" i="3"/>
  <c r="BB910" i="3"/>
  <c r="U910" i="3"/>
  <c r="T910" i="3"/>
  <c r="S910" i="3"/>
  <c r="C910" i="3"/>
  <c r="A910" i="3"/>
  <c r="BY909" i="3"/>
  <c r="BX909" i="3"/>
  <c r="BB909" i="3"/>
  <c r="U909" i="3"/>
  <c r="T909" i="3"/>
  <c r="S909" i="3"/>
  <c r="C909" i="3"/>
  <c r="A909" i="3"/>
  <c r="BY908" i="3"/>
  <c r="BX908" i="3"/>
  <c r="BB908" i="3"/>
  <c r="U908" i="3"/>
  <c r="T908" i="3"/>
  <c r="S908" i="3"/>
  <c r="C908" i="3"/>
  <c r="A908" i="3"/>
  <c r="BY907" i="3"/>
  <c r="BX907" i="3"/>
  <c r="BB907" i="3"/>
  <c r="U907" i="3"/>
  <c r="T907" i="3"/>
  <c r="S907" i="3"/>
  <c r="C907" i="3"/>
  <c r="A907" i="3"/>
  <c r="BY906" i="3"/>
  <c r="BX906" i="3"/>
  <c r="BB906" i="3"/>
  <c r="U906" i="3"/>
  <c r="T906" i="3"/>
  <c r="S906" i="3"/>
  <c r="C906" i="3"/>
  <c r="A906" i="3"/>
  <c r="BY905" i="3"/>
  <c r="BX905" i="3"/>
  <c r="BB905" i="3"/>
  <c r="U905" i="3"/>
  <c r="T905" i="3"/>
  <c r="S905" i="3"/>
  <c r="C905" i="3"/>
  <c r="A905" i="3"/>
  <c r="BY904" i="3"/>
  <c r="BX904" i="3"/>
  <c r="BB904" i="3"/>
  <c r="U904" i="3"/>
  <c r="T904" i="3"/>
  <c r="S904" i="3"/>
  <c r="C904" i="3"/>
  <c r="A904" i="3"/>
  <c r="BY903" i="3"/>
  <c r="BX903" i="3"/>
  <c r="BB903" i="3"/>
  <c r="U903" i="3"/>
  <c r="T903" i="3"/>
  <c r="S903" i="3"/>
  <c r="C903" i="3"/>
  <c r="A903" i="3"/>
  <c r="BY902" i="3"/>
  <c r="BX902" i="3"/>
  <c r="BB902" i="3"/>
  <c r="U902" i="3"/>
  <c r="T902" i="3"/>
  <c r="S902" i="3"/>
  <c r="C902" i="3"/>
  <c r="A902" i="3"/>
  <c r="BY901" i="3"/>
  <c r="BX901" i="3"/>
  <c r="BB901" i="3"/>
  <c r="U901" i="3"/>
  <c r="T901" i="3"/>
  <c r="S901" i="3"/>
  <c r="C901" i="3"/>
  <c r="A901" i="3"/>
  <c r="BY900" i="3"/>
  <c r="BX900" i="3"/>
  <c r="BB900" i="3"/>
  <c r="U900" i="3"/>
  <c r="T900" i="3"/>
  <c r="S900" i="3"/>
  <c r="C900" i="3"/>
  <c r="A900" i="3"/>
  <c r="BY899" i="3"/>
  <c r="BX899" i="3"/>
  <c r="BB899" i="3"/>
  <c r="U899" i="3"/>
  <c r="T899" i="3"/>
  <c r="S899" i="3"/>
  <c r="C899" i="3"/>
  <c r="A899" i="3"/>
  <c r="BY898" i="3"/>
  <c r="BX898" i="3"/>
  <c r="BB898" i="3"/>
  <c r="U898" i="3"/>
  <c r="T898" i="3"/>
  <c r="S898" i="3"/>
  <c r="C898" i="3"/>
  <c r="A898" i="3"/>
  <c r="BY897" i="3"/>
  <c r="BX897" i="3"/>
  <c r="BB897" i="3"/>
  <c r="U897" i="3"/>
  <c r="T897" i="3"/>
  <c r="S897" i="3"/>
  <c r="C897" i="3"/>
  <c r="A897" i="3"/>
  <c r="BY896" i="3"/>
  <c r="BX896" i="3"/>
  <c r="BB896" i="3"/>
  <c r="U896" i="3"/>
  <c r="T896" i="3"/>
  <c r="S896" i="3"/>
  <c r="C896" i="3"/>
  <c r="A896" i="3"/>
  <c r="BY895" i="3"/>
  <c r="BX895" i="3"/>
  <c r="BB895" i="3"/>
  <c r="U895" i="3"/>
  <c r="T895" i="3"/>
  <c r="S895" i="3"/>
  <c r="C895" i="3"/>
  <c r="A895" i="3"/>
  <c r="BY894" i="3"/>
  <c r="BX894" i="3"/>
  <c r="BB894" i="3"/>
  <c r="U894" i="3"/>
  <c r="T894" i="3"/>
  <c r="S894" i="3"/>
  <c r="C894" i="3"/>
  <c r="A894" i="3"/>
  <c r="BY893" i="3"/>
  <c r="BX893" i="3"/>
  <c r="BB893" i="3"/>
  <c r="U893" i="3"/>
  <c r="T893" i="3"/>
  <c r="S893" i="3"/>
  <c r="C893" i="3"/>
  <c r="A893" i="3"/>
  <c r="BY892" i="3"/>
  <c r="BX892" i="3"/>
  <c r="BB892" i="3"/>
  <c r="U892" i="3"/>
  <c r="T892" i="3"/>
  <c r="S892" i="3"/>
  <c r="C892" i="3"/>
  <c r="A892" i="3"/>
  <c r="BY891" i="3"/>
  <c r="BX891" i="3"/>
  <c r="BB891" i="3"/>
  <c r="U891" i="3"/>
  <c r="T891" i="3"/>
  <c r="S891" i="3"/>
  <c r="C891" i="3"/>
  <c r="A891" i="3"/>
  <c r="BY890" i="3"/>
  <c r="BX890" i="3"/>
  <c r="BB890" i="3"/>
  <c r="U890" i="3"/>
  <c r="T890" i="3"/>
  <c r="S890" i="3"/>
  <c r="C890" i="3"/>
  <c r="A890" i="3"/>
  <c r="BY889" i="3"/>
  <c r="BX889" i="3"/>
  <c r="BB889" i="3"/>
  <c r="U889" i="3"/>
  <c r="T889" i="3"/>
  <c r="S889" i="3"/>
  <c r="C889" i="3"/>
  <c r="A889" i="3"/>
  <c r="BY888" i="3"/>
  <c r="BX888" i="3"/>
  <c r="BB888" i="3"/>
  <c r="U888" i="3"/>
  <c r="T888" i="3"/>
  <c r="S888" i="3"/>
  <c r="C888" i="3"/>
  <c r="A888" i="3"/>
  <c r="BY887" i="3"/>
  <c r="BX887" i="3"/>
  <c r="BB887" i="3"/>
  <c r="U887" i="3"/>
  <c r="T887" i="3"/>
  <c r="S887" i="3"/>
  <c r="C887" i="3"/>
  <c r="A887" i="3"/>
  <c r="BY886" i="3"/>
  <c r="BX886" i="3"/>
  <c r="BB886" i="3"/>
  <c r="U886" i="3"/>
  <c r="T886" i="3"/>
  <c r="S886" i="3"/>
  <c r="C886" i="3"/>
  <c r="A886" i="3"/>
  <c r="BY885" i="3"/>
  <c r="BX885" i="3"/>
  <c r="BB885" i="3"/>
  <c r="U885" i="3"/>
  <c r="T885" i="3"/>
  <c r="S885" i="3"/>
  <c r="C885" i="3"/>
  <c r="A885" i="3"/>
  <c r="BY884" i="3"/>
  <c r="BX884" i="3"/>
  <c r="BB884" i="3"/>
  <c r="U884" i="3"/>
  <c r="T884" i="3"/>
  <c r="S884" i="3"/>
  <c r="C884" i="3"/>
  <c r="A884" i="3"/>
  <c r="BY883" i="3"/>
  <c r="BX883" i="3"/>
  <c r="BB883" i="3"/>
  <c r="U883" i="3"/>
  <c r="T883" i="3"/>
  <c r="S883" i="3"/>
  <c r="C883" i="3"/>
  <c r="A883" i="3"/>
  <c r="BY882" i="3"/>
  <c r="BX882" i="3"/>
  <c r="BB882" i="3"/>
  <c r="U882" i="3"/>
  <c r="T882" i="3"/>
  <c r="S882" i="3"/>
  <c r="C882" i="3"/>
  <c r="A882" i="3"/>
  <c r="BY881" i="3"/>
  <c r="BX881" i="3"/>
  <c r="BB881" i="3"/>
  <c r="U881" i="3"/>
  <c r="T881" i="3"/>
  <c r="S881" i="3"/>
  <c r="C881" i="3"/>
  <c r="A881" i="3"/>
  <c r="BY880" i="3"/>
  <c r="BX880" i="3"/>
  <c r="BB880" i="3"/>
  <c r="U880" i="3"/>
  <c r="T880" i="3"/>
  <c r="S880" i="3"/>
  <c r="C880" i="3"/>
  <c r="A880" i="3"/>
  <c r="BY879" i="3"/>
  <c r="BX879" i="3"/>
  <c r="BB879" i="3"/>
  <c r="U879" i="3"/>
  <c r="T879" i="3"/>
  <c r="S879" i="3"/>
  <c r="C879" i="3"/>
  <c r="A879" i="3"/>
  <c r="BY878" i="3"/>
  <c r="BX878" i="3"/>
  <c r="BB878" i="3"/>
  <c r="U878" i="3"/>
  <c r="T878" i="3"/>
  <c r="S878" i="3"/>
  <c r="C878" i="3"/>
  <c r="A878" i="3"/>
  <c r="BY877" i="3"/>
  <c r="BX877" i="3"/>
  <c r="BB877" i="3"/>
  <c r="U877" i="3"/>
  <c r="T877" i="3"/>
  <c r="S877" i="3"/>
  <c r="C877" i="3"/>
  <c r="A877" i="3"/>
  <c r="BY876" i="3"/>
  <c r="BX876" i="3"/>
  <c r="BB876" i="3"/>
  <c r="U876" i="3"/>
  <c r="T876" i="3"/>
  <c r="S876" i="3"/>
  <c r="C876" i="3"/>
  <c r="A876" i="3"/>
  <c r="BY875" i="3"/>
  <c r="BX875" i="3"/>
  <c r="BB875" i="3"/>
  <c r="U875" i="3"/>
  <c r="T875" i="3"/>
  <c r="S875" i="3"/>
  <c r="C875" i="3"/>
  <c r="A875" i="3"/>
  <c r="BY874" i="3"/>
  <c r="BX874" i="3"/>
  <c r="BB874" i="3"/>
  <c r="U874" i="3"/>
  <c r="T874" i="3"/>
  <c r="S874" i="3"/>
  <c r="C874" i="3"/>
  <c r="A874" i="3"/>
  <c r="BY873" i="3"/>
  <c r="BX873" i="3"/>
  <c r="BB873" i="3"/>
  <c r="U873" i="3"/>
  <c r="T873" i="3"/>
  <c r="S873" i="3"/>
  <c r="C873" i="3"/>
  <c r="A873" i="3"/>
  <c r="BY872" i="3"/>
  <c r="BX872" i="3"/>
  <c r="BB872" i="3"/>
  <c r="U872" i="3"/>
  <c r="T872" i="3"/>
  <c r="S872" i="3"/>
  <c r="C872" i="3"/>
  <c r="A872" i="3"/>
  <c r="BY871" i="3"/>
  <c r="BX871" i="3"/>
  <c r="BB871" i="3"/>
  <c r="U871" i="3"/>
  <c r="T871" i="3"/>
  <c r="S871" i="3"/>
  <c r="C871" i="3"/>
  <c r="A871" i="3"/>
  <c r="BY870" i="3"/>
  <c r="BX870" i="3"/>
  <c r="BB870" i="3"/>
  <c r="U870" i="3"/>
  <c r="T870" i="3"/>
  <c r="S870" i="3"/>
  <c r="C870" i="3"/>
  <c r="A870" i="3"/>
  <c r="BY869" i="3"/>
  <c r="BX869" i="3"/>
  <c r="BB869" i="3"/>
  <c r="U869" i="3"/>
  <c r="T869" i="3"/>
  <c r="S869" i="3"/>
  <c r="C869" i="3"/>
  <c r="A869" i="3"/>
  <c r="BY868" i="3"/>
  <c r="BX868" i="3"/>
  <c r="BB868" i="3"/>
  <c r="U868" i="3"/>
  <c r="T868" i="3"/>
  <c r="S868" i="3"/>
  <c r="C868" i="3"/>
  <c r="A868" i="3"/>
  <c r="BY867" i="3"/>
  <c r="BX867" i="3"/>
  <c r="BB867" i="3"/>
  <c r="U867" i="3"/>
  <c r="T867" i="3"/>
  <c r="S867" i="3"/>
  <c r="C867" i="3"/>
  <c r="A867" i="3"/>
  <c r="BY866" i="3"/>
  <c r="BX866" i="3"/>
  <c r="BB866" i="3"/>
  <c r="U866" i="3"/>
  <c r="T866" i="3"/>
  <c r="S866" i="3"/>
  <c r="C866" i="3"/>
  <c r="A866" i="3"/>
  <c r="BY865" i="3"/>
  <c r="BX865" i="3"/>
  <c r="BB865" i="3"/>
  <c r="U865" i="3"/>
  <c r="T865" i="3"/>
  <c r="S865" i="3"/>
  <c r="C865" i="3"/>
  <c r="A865" i="3"/>
  <c r="BY864" i="3"/>
  <c r="BX864" i="3"/>
  <c r="BB864" i="3"/>
  <c r="U864" i="3"/>
  <c r="T864" i="3"/>
  <c r="S864" i="3"/>
  <c r="C864" i="3"/>
  <c r="A864" i="3"/>
  <c r="BY863" i="3"/>
  <c r="BX863" i="3"/>
  <c r="BB863" i="3"/>
  <c r="U863" i="3"/>
  <c r="T863" i="3"/>
  <c r="S863" i="3"/>
  <c r="C863" i="3"/>
  <c r="A863" i="3"/>
  <c r="BY862" i="3"/>
  <c r="BX862" i="3"/>
  <c r="BB862" i="3"/>
  <c r="U862" i="3"/>
  <c r="T862" i="3"/>
  <c r="S862" i="3"/>
  <c r="C862" i="3"/>
  <c r="A862" i="3"/>
  <c r="BY861" i="3"/>
  <c r="BX861" i="3"/>
  <c r="BB861" i="3"/>
  <c r="U861" i="3"/>
  <c r="T861" i="3"/>
  <c r="S861" i="3"/>
  <c r="C861" i="3"/>
  <c r="A861" i="3"/>
  <c r="BY860" i="3"/>
  <c r="BX860" i="3"/>
  <c r="BB860" i="3"/>
  <c r="U860" i="3"/>
  <c r="T860" i="3"/>
  <c r="S860" i="3"/>
  <c r="C860" i="3"/>
  <c r="A860" i="3"/>
  <c r="BY859" i="3"/>
  <c r="BX859" i="3"/>
  <c r="BB859" i="3"/>
  <c r="U859" i="3"/>
  <c r="T859" i="3"/>
  <c r="S859" i="3"/>
  <c r="C859" i="3"/>
  <c r="A859" i="3"/>
  <c r="BY858" i="3"/>
  <c r="BX858" i="3"/>
  <c r="BB858" i="3"/>
  <c r="U858" i="3"/>
  <c r="T858" i="3"/>
  <c r="S858" i="3"/>
  <c r="C858" i="3"/>
  <c r="A858" i="3"/>
  <c r="BY857" i="3"/>
  <c r="BX857" i="3"/>
  <c r="BB857" i="3"/>
  <c r="U857" i="3"/>
  <c r="T857" i="3"/>
  <c r="S857" i="3"/>
  <c r="C857" i="3"/>
  <c r="A857" i="3"/>
  <c r="BY856" i="3"/>
  <c r="BX856" i="3"/>
  <c r="BB856" i="3"/>
  <c r="U856" i="3"/>
  <c r="T856" i="3"/>
  <c r="S856" i="3"/>
  <c r="C856" i="3"/>
  <c r="A856" i="3"/>
  <c r="BY855" i="3"/>
  <c r="BX855" i="3"/>
  <c r="BB855" i="3"/>
  <c r="U855" i="3"/>
  <c r="T855" i="3"/>
  <c r="S855" i="3"/>
  <c r="C855" i="3"/>
  <c r="A855" i="3"/>
  <c r="BY854" i="3"/>
  <c r="BX854" i="3"/>
  <c r="BB854" i="3"/>
  <c r="U854" i="3"/>
  <c r="T854" i="3"/>
  <c r="S854" i="3"/>
  <c r="C854" i="3"/>
  <c r="A854" i="3"/>
  <c r="BY853" i="3"/>
  <c r="BX853" i="3"/>
  <c r="BB853" i="3"/>
  <c r="U853" i="3"/>
  <c r="T853" i="3"/>
  <c r="S853" i="3"/>
  <c r="C853" i="3"/>
  <c r="A853" i="3"/>
  <c r="BY852" i="3"/>
  <c r="BX852" i="3"/>
  <c r="BB852" i="3"/>
  <c r="U852" i="3"/>
  <c r="T852" i="3"/>
  <c r="S852" i="3"/>
  <c r="C852" i="3"/>
  <c r="A852" i="3"/>
  <c r="BY851" i="3"/>
  <c r="BX851" i="3"/>
  <c r="BB851" i="3"/>
  <c r="U851" i="3"/>
  <c r="T851" i="3"/>
  <c r="S851" i="3"/>
  <c r="C851" i="3"/>
  <c r="A851" i="3"/>
  <c r="BY850" i="3"/>
  <c r="BX850" i="3"/>
  <c r="BB850" i="3"/>
  <c r="U850" i="3"/>
  <c r="T850" i="3"/>
  <c r="S850" i="3"/>
  <c r="C850" i="3"/>
  <c r="A850" i="3"/>
  <c r="BY849" i="3"/>
  <c r="BX849" i="3"/>
  <c r="BB849" i="3"/>
  <c r="U849" i="3"/>
  <c r="T849" i="3"/>
  <c r="S849" i="3"/>
  <c r="C849" i="3"/>
  <c r="A849" i="3"/>
  <c r="BY848" i="3"/>
  <c r="BX848" i="3"/>
  <c r="BB848" i="3"/>
  <c r="U848" i="3"/>
  <c r="T848" i="3"/>
  <c r="S848" i="3"/>
  <c r="C848" i="3"/>
  <c r="A848" i="3"/>
  <c r="BY847" i="3"/>
  <c r="BX847" i="3"/>
  <c r="BB847" i="3"/>
  <c r="U847" i="3"/>
  <c r="T847" i="3"/>
  <c r="S847" i="3"/>
  <c r="C847" i="3"/>
  <c r="A847" i="3"/>
  <c r="BY846" i="3"/>
  <c r="BX846" i="3"/>
  <c r="BB846" i="3"/>
  <c r="U846" i="3"/>
  <c r="T846" i="3"/>
  <c r="S846" i="3"/>
  <c r="C846" i="3"/>
  <c r="A846" i="3"/>
  <c r="BY845" i="3"/>
  <c r="BX845" i="3"/>
  <c r="BB845" i="3"/>
  <c r="U845" i="3"/>
  <c r="T845" i="3"/>
  <c r="S845" i="3"/>
  <c r="C845" i="3"/>
  <c r="A845" i="3"/>
  <c r="BY844" i="3"/>
  <c r="BX844" i="3"/>
  <c r="BB844" i="3"/>
  <c r="U844" i="3"/>
  <c r="T844" i="3"/>
  <c r="S844" i="3"/>
  <c r="C844" i="3"/>
  <c r="A844" i="3"/>
  <c r="BY843" i="3"/>
  <c r="BX843" i="3"/>
  <c r="BB843" i="3"/>
  <c r="U843" i="3"/>
  <c r="T843" i="3"/>
  <c r="S843" i="3"/>
  <c r="C843" i="3"/>
  <c r="A843" i="3"/>
  <c r="BY842" i="3"/>
  <c r="BX842" i="3"/>
  <c r="BB842" i="3"/>
  <c r="U842" i="3"/>
  <c r="T842" i="3"/>
  <c r="S842" i="3"/>
  <c r="C842" i="3"/>
  <c r="A842" i="3"/>
  <c r="BY841" i="3"/>
  <c r="BX841" i="3"/>
  <c r="BB841" i="3"/>
  <c r="U841" i="3"/>
  <c r="T841" i="3"/>
  <c r="S841" i="3"/>
  <c r="C841" i="3"/>
  <c r="A841" i="3"/>
  <c r="BY840" i="3"/>
  <c r="BX840" i="3"/>
  <c r="BB840" i="3"/>
  <c r="U840" i="3"/>
  <c r="T840" i="3"/>
  <c r="S840" i="3"/>
  <c r="C840" i="3"/>
  <c r="A840" i="3"/>
  <c r="BY839" i="3"/>
  <c r="BX839" i="3"/>
  <c r="BB839" i="3"/>
  <c r="U839" i="3"/>
  <c r="T839" i="3"/>
  <c r="S839" i="3"/>
  <c r="C839" i="3"/>
  <c r="A839" i="3"/>
  <c r="BY838" i="3"/>
  <c r="BX838" i="3"/>
  <c r="BB838" i="3"/>
  <c r="U838" i="3"/>
  <c r="T838" i="3"/>
  <c r="S838" i="3"/>
  <c r="C838" i="3"/>
  <c r="A838" i="3"/>
  <c r="BY837" i="3"/>
  <c r="BX837" i="3"/>
  <c r="BB837" i="3"/>
  <c r="U837" i="3"/>
  <c r="T837" i="3"/>
  <c r="S837" i="3"/>
  <c r="C837" i="3"/>
  <c r="A837" i="3"/>
  <c r="BY836" i="3"/>
  <c r="BX836" i="3"/>
  <c r="BB836" i="3"/>
  <c r="U836" i="3"/>
  <c r="T836" i="3"/>
  <c r="S836" i="3"/>
  <c r="C836" i="3"/>
  <c r="A836" i="3"/>
  <c r="BY835" i="3"/>
  <c r="BX835" i="3"/>
  <c r="BB835" i="3"/>
  <c r="U835" i="3"/>
  <c r="T835" i="3"/>
  <c r="S835" i="3"/>
  <c r="C835" i="3"/>
  <c r="A835" i="3"/>
  <c r="BY834" i="3"/>
  <c r="BX834" i="3"/>
  <c r="BB834" i="3"/>
  <c r="U834" i="3"/>
  <c r="T834" i="3"/>
  <c r="S834" i="3"/>
  <c r="C834" i="3"/>
  <c r="A834" i="3"/>
  <c r="BY833" i="3"/>
  <c r="BX833" i="3"/>
  <c r="BB833" i="3"/>
  <c r="U833" i="3"/>
  <c r="T833" i="3"/>
  <c r="S833" i="3"/>
  <c r="C833" i="3"/>
  <c r="A833" i="3"/>
  <c r="BY832" i="3"/>
  <c r="BX832" i="3"/>
  <c r="BB832" i="3"/>
  <c r="U832" i="3"/>
  <c r="T832" i="3"/>
  <c r="S832" i="3"/>
  <c r="C832" i="3"/>
  <c r="A832" i="3"/>
  <c r="BY831" i="3"/>
  <c r="BX831" i="3"/>
  <c r="BB831" i="3"/>
  <c r="U831" i="3"/>
  <c r="T831" i="3"/>
  <c r="S831" i="3"/>
  <c r="C831" i="3"/>
  <c r="A831" i="3"/>
  <c r="BY830" i="3"/>
  <c r="BX830" i="3"/>
  <c r="BB830" i="3"/>
  <c r="U830" i="3"/>
  <c r="T830" i="3"/>
  <c r="S830" i="3"/>
  <c r="C830" i="3"/>
  <c r="A830" i="3"/>
  <c r="BY829" i="3"/>
  <c r="BX829" i="3"/>
  <c r="BB829" i="3"/>
  <c r="U829" i="3"/>
  <c r="T829" i="3"/>
  <c r="S829" i="3"/>
  <c r="C829" i="3"/>
  <c r="A829" i="3"/>
  <c r="BY828" i="3"/>
  <c r="BX828" i="3"/>
  <c r="BB828" i="3"/>
  <c r="U828" i="3"/>
  <c r="T828" i="3"/>
  <c r="S828" i="3"/>
  <c r="C828" i="3"/>
  <c r="A828" i="3"/>
  <c r="BY827" i="3"/>
  <c r="BX827" i="3"/>
  <c r="BB827" i="3"/>
  <c r="U827" i="3"/>
  <c r="T827" i="3"/>
  <c r="S827" i="3"/>
  <c r="C827" i="3"/>
  <c r="A827" i="3"/>
  <c r="BY826" i="3"/>
  <c r="BX826" i="3"/>
  <c r="BB826" i="3"/>
  <c r="U826" i="3"/>
  <c r="T826" i="3"/>
  <c r="S826" i="3"/>
  <c r="C826" i="3"/>
  <c r="A826" i="3"/>
  <c r="BY825" i="3"/>
  <c r="BX825" i="3"/>
  <c r="BB825" i="3"/>
  <c r="U825" i="3"/>
  <c r="T825" i="3"/>
  <c r="S825" i="3"/>
  <c r="C825" i="3"/>
  <c r="A825" i="3"/>
  <c r="BY824" i="3"/>
  <c r="BX824" i="3"/>
  <c r="BB824" i="3"/>
  <c r="U824" i="3"/>
  <c r="T824" i="3"/>
  <c r="S824" i="3"/>
  <c r="C824" i="3"/>
  <c r="A824" i="3"/>
  <c r="BY823" i="3"/>
  <c r="BX823" i="3"/>
  <c r="BB823" i="3"/>
  <c r="U823" i="3"/>
  <c r="T823" i="3"/>
  <c r="S823" i="3"/>
  <c r="C823" i="3"/>
  <c r="A823" i="3"/>
  <c r="BY822" i="3"/>
  <c r="BX822" i="3"/>
  <c r="BB822" i="3"/>
  <c r="U822" i="3"/>
  <c r="T822" i="3"/>
  <c r="S822" i="3"/>
  <c r="C822" i="3"/>
  <c r="A822" i="3"/>
  <c r="BY821" i="3"/>
  <c r="BX821" i="3"/>
  <c r="BB821" i="3"/>
  <c r="U821" i="3"/>
  <c r="T821" i="3"/>
  <c r="S821" i="3"/>
  <c r="C821" i="3"/>
  <c r="A821" i="3"/>
  <c r="BY820" i="3"/>
  <c r="BX820" i="3"/>
  <c r="BB820" i="3"/>
  <c r="U820" i="3"/>
  <c r="T820" i="3"/>
  <c r="S820" i="3"/>
  <c r="C820" i="3"/>
  <c r="A820" i="3"/>
  <c r="BY819" i="3"/>
  <c r="BX819" i="3"/>
  <c r="BB819" i="3"/>
  <c r="U819" i="3"/>
  <c r="T819" i="3"/>
  <c r="S819" i="3"/>
  <c r="C819" i="3"/>
  <c r="A819" i="3"/>
  <c r="BY818" i="3"/>
  <c r="BX818" i="3"/>
  <c r="BB818" i="3"/>
  <c r="U818" i="3"/>
  <c r="T818" i="3"/>
  <c r="S818" i="3"/>
  <c r="C818" i="3"/>
  <c r="A818" i="3"/>
  <c r="BY817" i="3"/>
  <c r="BX817" i="3"/>
  <c r="BB817" i="3"/>
  <c r="U817" i="3"/>
  <c r="T817" i="3"/>
  <c r="S817" i="3"/>
  <c r="C817" i="3"/>
  <c r="A817" i="3"/>
  <c r="BY816" i="3"/>
  <c r="BX816" i="3"/>
  <c r="BB816" i="3"/>
  <c r="U816" i="3"/>
  <c r="T816" i="3"/>
  <c r="S816" i="3"/>
  <c r="C816" i="3"/>
  <c r="A816" i="3"/>
  <c r="BY815" i="3"/>
  <c r="BX815" i="3"/>
  <c r="BB815" i="3"/>
  <c r="U815" i="3"/>
  <c r="T815" i="3"/>
  <c r="S815" i="3"/>
  <c r="C815" i="3"/>
  <c r="A815" i="3"/>
  <c r="BY814" i="3"/>
  <c r="BX814" i="3"/>
  <c r="BB814" i="3"/>
  <c r="U814" i="3"/>
  <c r="T814" i="3"/>
  <c r="S814" i="3"/>
  <c r="C814" i="3"/>
  <c r="A814" i="3"/>
  <c r="BY813" i="3"/>
  <c r="BX813" i="3"/>
  <c r="BB813" i="3"/>
  <c r="U813" i="3"/>
  <c r="T813" i="3"/>
  <c r="S813" i="3"/>
  <c r="C813" i="3"/>
  <c r="A813" i="3"/>
  <c r="BY812" i="3"/>
  <c r="BX812" i="3"/>
  <c r="BB812" i="3"/>
  <c r="U812" i="3"/>
  <c r="T812" i="3"/>
  <c r="S812" i="3"/>
  <c r="C812" i="3"/>
  <c r="A812" i="3"/>
  <c r="BY811" i="3"/>
  <c r="BX811" i="3"/>
  <c r="BB811" i="3"/>
  <c r="U811" i="3"/>
  <c r="T811" i="3"/>
  <c r="S811" i="3"/>
  <c r="C811" i="3"/>
  <c r="A811" i="3"/>
  <c r="BY810" i="3"/>
  <c r="BX810" i="3"/>
  <c r="BB810" i="3"/>
  <c r="U810" i="3"/>
  <c r="T810" i="3"/>
  <c r="S810" i="3"/>
  <c r="C810" i="3"/>
  <c r="A810" i="3"/>
  <c r="BY809" i="3"/>
  <c r="BX809" i="3"/>
  <c r="BB809" i="3"/>
  <c r="U809" i="3"/>
  <c r="T809" i="3"/>
  <c r="S809" i="3"/>
  <c r="C809" i="3"/>
  <c r="A809" i="3"/>
  <c r="BY808" i="3"/>
  <c r="BX808" i="3"/>
  <c r="BB808" i="3"/>
  <c r="U808" i="3"/>
  <c r="T808" i="3"/>
  <c r="S808" i="3"/>
  <c r="C808" i="3"/>
  <c r="A808" i="3"/>
  <c r="BY807" i="3"/>
  <c r="BX807" i="3"/>
  <c r="BB807" i="3"/>
  <c r="U807" i="3"/>
  <c r="T807" i="3"/>
  <c r="S807" i="3"/>
  <c r="C807" i="3"/>
  <c r="A807" i="3"/>
  <c r="BY806" i="3"/>
  <c r="BX806" i="3"/>
  <c r="BB806" i="3"/>
  <c r="U806" i="3"/>
  <c r="T806" i="3"/>
  <c r="S806" i="3"/>
  <c r="C806" i="3"/>
  <c r="A806" i="3"/>
  <c r="BY805" i="3"/>
  <c r="BX805" i="3"/>
  <c r="BB805" i="3"/>
  <c r="U805" i="3"/>
  <c r="T805" i="3"/>
  <c r="S805" i="3"/>
  <c r="C805" i="3"/>
  <c r="A805" i="3"/>
  <c r="BY804" i="3"/>
  <c r="BX804" i="3"/>
  <c r="BB804" i="3"/>
  <c r="U804" i="3"/>
  <c r="T804" i="3"/>
  <c r="S804" i="3"/>
  <c r="C804" i="3"/>
  <c r="A804" i="3"/>
  <c r="BY803" i="3"/>
  <c r="BX803" i="3"/>
  <c r="BB803" i="3"/>
  <c r="U803" i="3"/>
  <c r="T803" i="3"/>
  <c r="S803" i="3"/>
  <c r="C803" i="3"/>
  <c r="A803" i="3"/>
  <c r="BY802" i="3"/>
  <c r="BX802" i="3"/>
  <c r="BB802" i="3"/>
  <c r="U802" i="3"/>
  <c r="T802" i="3"/>
  <c r="S802" i="3"/>
  <c r="C802" i="3"/>
  <c r="A802" i="3"/>
  <c r="BY801" i="3"/>
  <c r="BX801" i="3"/>
  <c r="BB801" i="3"/>
  <c r="U801" i="3"/>
  <c r="T801" i="3"/>
  <c r="S801" i="3"/>
  <c r="C801" i="3"/>
  <c r="A801" i="3"/>
  <c r="BY800" i="3"/>
  <c r="BX800" i="3"/>
  <c r="BB800" i="3"/>
  <c r="U800" i="3"/>
  <c r="T800" i="3"/>
  <c r="S800" i="3"/>
  <c r="C800" i="3"/>
  <c r="A800" i="3"/>
  <c r="BY799" i="3"/>
  <c r="BX799" i="3"/>
  <c r="BB799" i="3"/>
  <c r="U799" i="3"/>
  <c r="T799" i="3"/>
  <c r="S799" i="3"/>
  <c r="C799" i="3"/>
  <c r="A799" i="3"/>
  <c r="BY798" i="3"/>
  <c r="BX798" i="3"/>
  <c r="BB798" i="3"/>
  <c r="U798" i="3"/>
  <c r="T798" i="3"/>
  <c r="S798" i="3"/>
  <c r="C798" i="3"/>
  <c r="A798" i="3"/>
  <c r="BY797" i="3"/>
  <c r="BX797" i="3"/>
  <c r="BB797" i="3"/>
  <c r="U797" i="3"/>
  <c r="T797" i="3"/>
  <c r="S797" i="3"/>
  <c r="C797" i="3"/>
  <c r="A797" i="3"/>
  <c r="BY796" i="3"/>
  <c r="BX796" i="3"/>
  <c r="BB796" i="3"/>
  <c r="U796" i="3"/>
  <c r="T796" i="3"/>
  <c r="S796" i="3"/>
  <c r="C796" i="3"/>
  <c r="A796" i="3"/>
  <c r="BY795" i="3"/>
  <c r="BX795" i="3"/>
  <c r="BB795" i="3"/>
  <c r="U795" i="3"/>
  <c r="T795" i="3"/>
  <c r="S795" i="3"/>
  <c r="C795" i="3"/>
  <c r="A795" i="3"/>
  <c r="BY794" i="3"/>
  <c r="BX794" i="3"/>
  <c r="BB794" i="3"/>
  <c r="U794" i="3"/>
  <c r="T794" i="3"/>
  <c r="S794" i="3"/>
  <c r="C794" i="3"/>
  <c r="A794" i="3"/>
  <c r="BY793" i="3"/>
  <c r="BX793" i="3"/>
  <c r="BB793" i="3"/>
  <c r="U793" i="3"/>
  <c r="T793" i="3"/>
  <c r="S793" i="3"/>
  <c r="C793" i="3"/>
  <c r="A793" i="3"/>
  <c r="BY792" i="3"/>
  <c r="BX792" i="3"/>
  <c r="BB792" i="3"/>
  <c r="U792" i="3"/>
  <c r="T792" i="3"/>
  <c r="S792" i="3"/>
  <c r="C792" i="3"/>
  <c r="A792" i="3"/>
  <c r="BY791" i="3"/>
  <c r="BX791" i="3"/>
  <c r="BB791" i="3"/>
  <c r="U791" i="3"/>
  <c r="T791" i="3"/>
  <c r="S791" i="3"/>
  <c r="C791" i="3"/>
  <c r="A791" i="3"/>
  <c r="BY790" i="3"/>
  <c r="BX790" i="3"/>
  <c r="BB790" i="3"/>
  <c r="U790" i="3"/>
  <c r="T790" i="3"/>
  <c r="S790" i="3"/>
  <c r="C790" i="3"/>
  <c r="A790" i="3"/>
  <c r="BY789" i="3"/>
  <c r="BX789" i="3"/>
  <c r="BB789" i="3"/>
  <c r="U789" i="3"/>
  <c r="T789" i="3"/>
  <c r="S789" i="3"/>
  <c r="C789" i="3"/>
  <c r="A789" i="3"/>
  <c r="BY788" i="3"/>
  <c r="BX788" i="3"/>
  <c r="BB788" i="3"/>
  <c r="U788" i="3"/>
  <c r="T788" i="3"/>
  <c r="S788" i="3"/>
  <c r="C788" i="3"/>
  <c r="A788" i="3"/>
  <c r="BY787" i="3"/>
  <c r="BX787" i="3"/>
  <c r="BB787" i="3"/>
  <c r="U787" i="3"/>
  <c r="T787" i="3"/>
  <c r="S787" i="3"/>
  <c r="C787" i="3"/>
  <c r="A787" i="3"/>
  <c r="BY786" i="3"/>
  <c r="BX786" i="3"/>
  <c r="BB786" i="3"/>
  <c r="U786" i="3"/>
  <c r="T786" i="3"/>
  <c r="S786" i="3"/>
  <c r="C786" i="3"/>
  <c r="A786" i="3"/>
  <c r="BY785" i="3"/>
  <c r="BX785" i="3"/>
  <c r="BB785" i="3"/>
  <c r="U785" i="3"/>
  <c r="T785" i="3"/>
  <c r="S785" i="3"/>
  <c r="C785" i="3"/>
  <c r="A785" i="3"/>
  <c r="BY784" i="3"/>
  <c r="BX784" i="3"/>
  <c r="BB784" i="3"/>
  <c r="U784" i="3"/>
  <c r="T784" i="3"/>
  <c r="S784" i="3"/>
  <c r="C784" i="3"/>
  <c r="A784" i="3"/>
  <c r="BY783" i="3"/>
  <c r="BX783" i="3"/>
  <c r="BB783" i="3"/>
  <c r="U783" i="3"/>
  <c r="T783" i="3"/>
  <c r="S783" i="3"/>
  <c r="C783" i="3"/>
  <c r="A783" i="3"/>
  <c r="BY782" i="3"/>
  <c r="BX782" i="3"/>
  <c r="BB782" i="3"/>
  <c r="U782" i="3"/>
  <c r="T782" i="3"/>
  <c r="S782" i="3"/>
  <c r="C782" i="3"/>
  <c r="A782" i="3"/>
  <c r="BY781" i="3"/>
  <c r="BX781" i="3"/>
  <c r="BB781" i="3"/>
  <c r="U781" i="3"/>
  <c r="T781" i="3"/>
  <c r="S781" i="3"/>
  <c r="C781" i="3"/>
  <c r="A781" i="3"/>
  <c r="BY780" i="3"/>
  <c r="BX780" i="3"/>
  <c r="BB780" i="3"/>
  <c r="U780" i="3"/>
  <c r="T780" i="3"/>
  <c r="S780" i="3"/>
  <c r="C780" i="3"/>
  <c r="A780" i="3"/>
  <c r="BY779" i="3"/>
  <c r="BX779" i="3"/>
  <c r="BB779" i="3"/>
  <c r="U779" i="3"/>
  <c r="T779" i="3"/>
  <c r="S779" i="3"/>
  <c r="C779" i="3"/>
  <c r="A779" i="3"/>
  <c r="BY778" i="3"/>
  <c r="BX778" i="3"/>
  <c r="BB778" i="3"/>
  <c r="U778" i="3"/>
  <c r="T778" i="3"/>
  <c r="S778" i="3"/>
  <c r="C778" i="3"/>
  <c r="A778" i="3"/>
  <c r="BY777" i="3"/>
  <c r="BX777" i="3"/>
  <c r="BB777" i="3"/>
  <c r="U777" i="3"/>
  <c r="T777" i="3"/>
  <c r="S777" i="3"/>
  <c r="C777" i="3"/>
  <c r="A777" i="3"/>
  <c r="BY776" i="3"/>
  <c r="BX776" i="3"/>
  <c r="BB776" i="3"/>
  <c r="U776" i="3"/>
  <c r="T776" i="3"/>
  <c r="S776" i="3"/>
  <c r="C776" i="3"/>
  <c r="A776" i="3"/>
  <c r="BY775" i="3"/>
  <c r="BX775" i="3"/>
  <c r="BB775" i="3"/>
  <c r="U775" i="3"/>
  <c r="T775" i="3"/>
  <c r="S775" i="3"/>
  <c r="C775" i="3"/>
  <c r="A775" i="3"/>
  <c r="BY774" i="3"/>
  <c r="BX774" i="3"/>
  <c r="BB774" i="3"/>
  <c r="U774" i="3"/>
  <c r="T774" i="3"/>
  <c r="S774" i="3"/>
  <c r="C774" i="3"/>
  <c r="A774" i="3"/>
  <c r="BY773" i="3"/>
  <c r="BX773" i="3"/>
  <c r="BB773" i="3"/>
  <c r="U773" i="3"/>
  <c r="T773" i="3"/>
  <c r="S773" i="3"/>
  <c r="C773" i="3"/>
  <c r="A773" i="3"/>
  <c r="BY772" i="3"/>
  <c r="BX772" i="3"/>
  <c r="BB772" i="3"/>
  <c r="U772" i="3"/>
  <c r="T772" i="3"/>
  <c r="S772" i="3"/>
  <c r="C772" i="3"/>
  <c r="A772" i="3"/>
  <c r="BY771" i="3"/>
  <c r="BX771" i="3"/>
  <c r="BB771" i="3"/>
  <c r="U771" i="3"/>
  <c r="T771" i="3"/>
  <c r="S771" i="3"/>
  <c r="C771" i="3"/>
  <c r="A771" i="3"/>
  <c r="BY770" i="3"/>
  <c r="BX770" i="3"/>
  <c r="BB770" i="3"/>
  <c r="U770" i="3"/>
  <c r="T770" i="3"/>
  <c r="S770" i="3"/>
  <c r="C770" i="3"/>
  <c r="A770" i="3"/>
  <c r="BY769" i="3"/>
  <c r="BX769" i="3"/>
  <c r="BB769" i="3"/>
  <c r="U769" i="3"/>
  <c r="T769" i="3"/>
  <c r="S769" i="3"/>
  <c r="C769" i="3"/>
  <c r="A769" i="3"/>
  <c r="BY768" i="3"/>
  <c r="BX768" i="3"/>
  <c r="BB768" i="3"/>
  <c r="U768" i="3"/>
  <c r="T768" i="3"/>
  <c r="S768" i="3"/>
  <c r="C768" i="3"/>
  <c r="A768" i="3"/>
  <c r="BY767" i="3"/>
  <c r="BX767" i="3"/>
  <c r="BB767" i="3"/>
  <c r="U767" i="3"/>
  <c r="T767" i="3"/>
  <c r="S767" i="3"/>
  <c r="C767" i="3"/>
  <c r="A767" i="3"/>
  <c r="BY766" i="3"/>
  <c r="BX766" i="3"/>
  <c r="BB766" i="3"/>
  <c r="U766" i="3"/>
  <c r="T766" i="3"/>
  <c r="S766" i="3"/>
  <c r="C766" i="3"/>
  <c r="A766" i="3"/>
  <c r="BY765" i="3"/>
  <c r="BX765" i="3"/>
  <c r="BB765" i="3"/>
  <c r="U765" i="3"/>
  <c r="T765" i="3"/>
  <c r="S765" i="3"/>
  <c r="C765" i="3"/>
  <c r="A765" i="3"/>
  <c r="BY764" i="3"/>
  <c r="BX764" i="3"/>
  <c r="BB764" i="3"/>
  <c r="U764" i="3"/>
  <c r="T764" i="3"/>
  <c r="S764" i="3"/>
  <c r="C764" i="3"/>
  <c r="A764" i="3"/>
  <c r="BY763" i="3"/>
  <c r="BX763" i="3"/>
  <c r="BB763" i="3"/>
  <c r="U763" i="3"/>
  <c r="T763" i="3"/>
  <c r="S763" i="3"/>
  <c r="C763" i="3"/>
  <c r="A763" i="3"/>
  <c r="BY762" i="3"/>
  <c r="BX762" i="3"/>
  <c r="BB762" i="3"/>
  <c r="U762" i="3"/>
  <c r="T762" i="3"/>
  <c r="S762" i="3"/>
  <c r="C762" i="3"/>
  <c r="A762" i="3"/>
  <c r="BY761" i="3"/>
  <c r="BX761" i="3"/>
  <c r="BB761" i="3"/>
  <c r="U761" i="3"/>
  <c r="T761" i="3"/>
  <c r="S761" i="3"/>
  <c r="C761" i="3"/>
  <c r="A761" i="3"/>
  <c r="BY760" i="3"/>
  <c r="BX760" i="3"/>
  <c r="BB760" i="3"/>
  <c r="U760" i="3"/>
  <c r="T760" i="3"/>
  <c r="S760" i="3"/>
  <c r="C760" i="3"/>
  <c r="A760" i="3"/>
  <c r="BY759" i="3"/>
  <c r="BX759" i="3"/>
  <c r="BB759" i="3"/>
  <c r="U759" i="3"/>
  <c r="T759" i="3"/>
  <c r="S759" i="3"/>
  <c r="C759" i="3"/>
  <c r="A759" i="3"/>
  <c r="BY758" i="3"/>
  <c r="BX758" i="3"/>
  <c r="BB758" i="3"/>
  <c r="U758" i="3"/>
  <c r="T758" i="3"/>
  <c r="S758" i="3"/>
  <c r="C758" i="3"/>
  <c r="A758" i="3"/>
  <c r="BY757" i="3"/>
  <c r="BX757" i="3"/>
  <c r="BB757" i="3"/>
  <c r="U757" i="3"/>
  <c r="T757" i="3"/>
  <c r="S757" i="3"/>
  <c r="C757" i="3"/>
  <c r="A757" i="3"/>
  <c r="BY756" i="3"/>
  <c r="BX756" i="3"/>
  <c r="BB756" i="3"/>
  <c r="U756" i="3"/>
  <c r="T756" i="3"/>
  <c r="S756" i="3"/>
  <c r="C756" i="3"/>
  <c r="A756" i="3"/>
  <c r="BY755" i="3"/>
  <c r="BX755" i="3"/>
  <c r="BB755" i="3"/>
  <c r="U755" i="3"/>
  <c r="T755" i="3"/>
  <c r="S755" i="3"/>
  <c r="C755" i="3"/>
  <c r="A755" i="3"/>
  <c r="BY754" i="3"/>
  <c r="BX754" i="3"/>
  <c r="BB754" i="3"/>
  <c r="U754" i="3"/>
  <c r="T754" i="3"/>
  <c r="S754" i="3"/>
  <c r="C754" i="3"/>
  <c r="A754" i="3"/>
  <c r="BY753" i="3"/>
  <c r="BX753" i="3"/>
  <c r="BB753" i="3"/>
  <c r="U753" i="3"/>
  <c r="T753" i="3"/>
  <c r="S753" i="3"/>
  <c r="C753" i="3"/>
  <c r="A753" i="3"/>
  <c r="BY752" i="3"/>
  <c r="BX752" i="3"/>
  <c r="BB752" i="3"/>
  <c r="U752" i="3"/>
  <c r="T752" i="3"/>
  <c r="S752" i="3"/>
  <c r="C752" i="3"/>
  <c r="A752" i="3"/>
  <c r="BY751" i="3"/>
  <c r="BX751" i="3"/>
  <c r="BB751" i="3"/>
  <c r="U751" i="3"/>
  <c r="T751" i="3"/>
  <c r="S751" i="3"/>
  <c r="C751" i="3"/>
  <c r="A751" i="3"/>
  <c r="BY750" i="3"/>
  <c r="BX750" i="3"/>
  <c r="BB750" i="3"/>
  <c r="U750" i="3"/>
  <c r="T750" i="3"/>
  <c r="S750" i="3"/>
  <c r="C750" i="3"/>
  <c r="A750" i="3"/>
  <c r="BY749" i="3"/>
  <c r="BX749" i="3"/>
  <c r="BB749" i="3"/>
  <c r="U749" i="3"/>
  <c r="T749" i="3"/>
  <c r="S749" i="3"/>
  <c r="C749" i="3"/>
  <c r="A749" i="3"/>
  <c r="BY748" i="3"/>
  <c r="BX748" i="3"/>
  <c r="BB748" i="3"/>
  <c r="U748" i="3"/>
  <c r="T748" i="3"/>
  <c r="S748" i="3"/>
  <c r="C748" i="3"/>
  <c r="A748" i="3"/>
  <c r="BY747" i="3"/>
  <c r="BX747" i="3"/>
  <c r="BB747" i="3"/>
  <c r="U747" i="3"/>
  <c r="T747" i="3"/>
  <c r="S747" i="3"/>
  <c r="C747" i="3"/>
  <c r="A747" i="3"/>
  <c r="BY746" i="3"/>
  <c r="BX746" i="3"/>
  <c r="BB746" i="3"/>
  <c r="U746" i="3"/>
  <c r="T746" i="3"/>
  <c r="S746" i="3"/>
  <c r="C746" i="3"/>
  <c r="A746" i="3"/>
  <c r="BY745" i="3"/>
  <c r="BX745" i="3"/>
  <c r="BB745" i="3"/>
  <c r="U745" i="3"/>
  <c r="T745" i="3"/>
  <c r="S745" i="3"/>
  <c r="C745" i="3"/>
  <c r="A745" i="3"/>
  <c r="BY744" i="3"/>
  <c r="BX744" i="3"/>
  <c r="BB744" i="3"/>
  <c r="U744" i="3"/>
  <c r="T744" i="3"/>
  <c r="S744" i="3"/>
  <c r="C744" i="3"/>
  <c r="A744" i="3"/>
  <c r="BY743" i="3"/>
  <c r="BX743" i="3"/>
  <c r="BB743" i="3"/>
  <c r="U743" i="3"/>
  <c r="T743" i="3"/>
  <c r="S743" i="3"/>
  <c r="C743" i="3"/>
  <c r="A743" i="3"/>
  <c r="BY742" i="3"/>
  <c r="BX742" i="3"/>
  <c r="BB742" i="3"/>
  <c r="U742" i="3"/>
  <c r="T742" i="3"/>
  <c r="S742" i="3"/>
  <c r="C742" i="3"/>
  <c r="A742" i="3"/>
  <c r="BY741" i="3"/>
  <c r="BX741" i="3"/>
  <c r="BB741" i="3"/>
  <c r="U741" i="3"/>
  <c r="T741" i="3"/>
  <c r="S741" i="3"/>
  <c r="C741" i="3"/>
  <c r="A741" i="3"/>
  <c r="BY740" i="3"/>
  <c r="BX740" i="3"/>
  <c r="BB740" i="3"/>
  <c r="U740" i="3"/>
  <c r="T740" i="3"/>
  <c r="S740" i="3"/>
  <c r="C740" i="3"/>
  <c r="A740" i="3"/>
  <c r="BY739" i="3"/>
  <c r="BX739" i="3"/>
  <c r="BB739" i="3"/>
  <c r="U739" i="3"/>
  <c r="T739" i="3"/>
  <c r="S739" i="3"/>
  <c r="C739" i="3"/>
  <c r="A739" i="3"/>
  <c r="BY738" i="3"/>
  <c r="BX738" i="3"/>
  <c r="BB738" i="3"/>
  <c r="U738" i="3"/>
  <c r="T738" i="3"/>
  <c r="S738" i="3"/>
  <c r="C738" i="3"/>
  <c r="A738" i="3"/>
  <c r="BY737" i="3"/>
  <c r="BX737" i="3"/>
  <c r="BB737" i="3"/>
  <c r="U737" i="3"/>
  <c r="T737" i="3"/>
  <c r="S737" i="3"/>
  <c r="C737" i="3"/>
  <c r="A737" i="3"/>
  <c r="BY736" i="3"/>
  <c r="BX736" i="3"/>
  <c r="BB736" i="3"/>
  <c r="U736" i="3"/>
  <c r="T736" i="3"/>
  <c r="S736" i="3"/>
  <c r="C736" i="3"/>
  <c r="A736" i="3"/>
  <c r="BY735" i="3"/>
  <c r="BX735" i="3"/>
  <c r="BB735" i="3"/>
  <c r="U735" i="3"/>
  <c r="T735" i="3"/>
  <c r="S735" i="3"/>
  <c r="C735" i="3"/>
  <c r="A735" i="3"/>
  <c r="BY734" i="3"/>
  <c r="BX734" i="3"/>
  <c r="BB734" i="3"/>
  <c r="U734" i="3"/>
  <c r="T734" i="3"/>
  <c r="S734" i="3"/>
  <c r="C734" i="3"/>
  <c r="A734" i="3"/>
  <c r="BY733" i="3"/>
  <c r="BX733" i="3"/>
  <c r="BB733" i="3"/>
  <c r="U733" i="3"/>
  <c r="T733" i="3"/>
  <c r="S733" i="3"/>
  <c r="C733" i="3"/>
  <c r="A733" i="3"/>
  <c r="BY732" i="3"/>
  <c r="BX732" i="3"/>
  <c r="BB732" i="3"/>
  <c r="U732" i="3"/>
  <c r="T732" i="3"/>
  <c r="S732" i="3"/>
  <c r="C732" i="3"/>
  <c r="A732" i="3"/>
  <c r="BY731" i="3"/>
  <c r="BX731" i="3"/>
  <c r="BB731" i="3"/>
  <c r="U731" i="3"/>
  <c r="T731" i="3"/>
  <c r="S731" i="3"/>
  <c r="C731" i="3"/>
  <c r="A731" i="3"/>
  <c r="BY730" i="3"/>
  <c r="BX730" i="3"/>
  <c r="BB730" i="3"/>
  <c r="U730" i="3"/>
  <c r="T730" i="3"/>
  <c r="S730" i="3"/>
  <c r="C730" i="3"/>
  <c r="A730" i="3"/>
  <c r="BY729" i="3"/>
  <c r="BX729" i="3"/>
  <c r="BB729" i="3"/>
  <c r="U729" i="3"/>
  <c r="T729" i="3"/>
  <c r="S729" i="3"/>
  <c r="C729" i="3"/>
  <c r="A729" i="3"/>
  <c r="BY728" i="3"/>
  <c r="BX728" i="3"/>
  <c r="BB728" i="3"/>
  <c r="U728" i="3"/>
  <c r="T728" i="3"/>
  <c r="S728" i="3"/>
  <c r="C728" i="3"/>
  <c r="A728" i="3"/>
  <c r="BY727" i="3"/>
  <c r="BX727" i="3"/>
  <c r="BB727" i="3"/>
  <c r="U727" i="3"/>
  <c r="T727" i="3"/>
  <c r="S727" i="3"/>
  <c r="C727" i="3"/>
  <c r="A727" i="3"/>
  <c r="BY726" i="3"/>
  <c r="BX726" i="3"/>
  <c r="BB726" i="3"/>
  <c r="U726" i="3"/>
  <c r="T726" i="3"/>
  <c r="S726" i="3"/>
  <c r="C726" i="3"/>
  <c r="A726" i="3"/>
  <c r="BY725" i="3"/>
  <c r="BX725" i="3"/>
  <c r="BB725" i="3"/>
  <c r="U725" i="3"/>
  <c r="T725" i="3"/>
  <c r="S725" i="3"/>
  <c r="C725" i="3"/>
  <c r="A725" i="3"/>
  <c r="BY724" i="3"/>
  <c r="BX724" i="3"/>
  <c r="BB724" i="3"/>
  <c r="U724" i="3"/>
  <c r="T724" i="3"/>
  <c r="S724" i="3"/>
  <c r="C724" i="3"/>
  <c r="A724" i="3"/>
  <c r="BY723" i="3"/>
  <c r="BX723" i="3"/>
  <c r="BB723" i="3"/>
  <c r="U723" i="3"/>
  <c r="T723" i="3"/>
  <c r="S723" i="3"/>
  <c r="C723" i="3"/>
  <c r="A723" i="3"/>
  <c r="BY722" i="3"/>
  <c r="BX722" i="3"/>
  <c r="BB722" i="3"/>
  <c r="U722" i="3"/>
  <c r="T722" i="3"/>
  <c r="S722" i="3"/>
  <c r="C722" i="3"/>
  <c r="A722" i="3"/>
  <c r="BY721" i="3"/>
  <c r="BX721" i="3"/>
  <c r="BB721" i="3"/>
  <c r="U721" i="3"/>
  <c r="T721" i="3"/>
  <c r="S721" i="3"/>
  <c r="C721" i="3"/>
  <c r="A721" i="3"/>
  <c r="BY720" i="3"/>
  <c r="BX720" i="3"/>
  <c r="BB720" i="3"/>
  <c r="U720" i="3"/>
  <c r="T720" i="3"/>
  <c r="S720" i="3"/>
  <c r="C720" i="3"/>
  <c r="A720" i="3"/>
  <c r="BY719" i="3"/>
  <c r="BX719" i="3"/>
  <c r="BB719" i="3"/>
  <c r="U719" i="3"/>
  <c r="T719" i="3"/>
  <c r="S719" i="3"/>
  <c r="C719" i="3"/>
  <c r="A719" i="3"/>
  <c r="BY718" i="3"/>
  <c r="BX718" i="3"/>
  <c r="BB718" i="3"/>
  <c r="U718" i="3"/>
  <c r="T718" i="3"/>
  <c r="S718" i="3"/>
  <c r="C718" i="3"/>
  <c r="A718" i="3"/>
  <c r="BY717" i="3"/>
  <c r="BX717" i="3"/>
  <c r="BB717" i="3"/>
  <c r="U717" i="3"/>
  <c r="T717" i="3"/>
  <c r="S717" i="3"/>
  <c r="C717" i="3"/>
  <c r="A717" i="3"/>
  <c r="BY716" i="3"/>
  <c r="BX716" i="3"/>
  <c r="BB716" i="3"/>
  <c r="U716" i="3"/>
  <c r="T716" i="3"/>
  <c r="S716" i="3"/>
  <c r="C716" i="3"/>
  <c r="A716" i="3"/>
  <c r="BY715" i="3"/>
  <c r="BX715" i="3"/>
  <c r="BB715" i="3"/>
  <c r="U715" i="3"/>
  <c r="T715" i="3"/>
  <c r="S715" i="3"/>
  <c r="C715" i="3"/>
  <c r="A715" i="3"/>
  <c r="BY714" i="3"/>
  <c r="BX714" i="3"/>
  <c r="BB714" i="3"/>
  <c r="U714" i="3"/>
  <c r="T714" i="3"/>
  <c r="S714" i="3"/>
  <c r="C714" i="3"/>
  <c r="A714" i="3"/>
  <c r="BY713" i="3"/>
  <c r="BX713" i="3"/>
  <c r="BB713" i="3"/>
  <c r="U713" i="3"/>
  <c r="T713" i="3"/>
  <c r="S713" i="3"/>
  <c r="C713" i="3"/>
  <c r="A713" i="3"/>
  <c r="BY712" i="3"/>
  <c r="BX712" i="3"/>
  <c r="BB712" i="3"/>
  <c r="U712" i="3"/>
  <c r="T712" i="3"/>
  <c r="S712" i="3"/>
  <c r="C712" i="3"/>
  <c r="A712" i="3"/>
  <c r="BY711" i="3"/>
  <c r="BX711" i="3"/>
  <c r="BB711" i="3"/>
  <c r="U711" i="3"/>
  <c r="T711" i="3"/>
  <c r="S711" i="3"/>
  <c r="C711" i="3"/>
  <c r="A711" i="3"/>
  <c r="BY710" i="3"/>
  <c r="BX710" i="3"/>
  <c r="BB710" i="3"/>
  <c r="U710" i="3"/>
  <c r="T710" i="3"/>
  <c r="S710" i="3"/>
  <c r="C710" i="3"/>
  <c r="A710" i="3"/>
  <c r="BY709" i="3"/>
  <c r="BX709" i="3"/>
  <c r="BB709" i="3"/>
  <c r="U709" i="3"/>
  <c r="T709" i="3"/>
  <c r="S709" i="3"/>
  <c r="C709" i="3"/>
  <c r="A709" i="3"/>
  <c r="BY708" i="3"/>
  <c r="BX708" i="3"/>
  <c r="BB708" i="3"/>
  <c r="U708" i="3"/>
  <c r="T708" i="3"/>
  <c r="S708" i="3"/>
  <c r="C708" i="3"/>
  <c r="A708" i="3"/>
  <c r="BY707" i="3"/>
  <c r="BX707" i="3"/>
  <c r="BB707" i="3"/>
  <c r="U707" i="3"/>
  <c r="T707" i="3"/>
  <c r="S707" i="3"/>
  <c r="C707" i="3"/>
  <c r="A707" i="3"/>
  <c r="BY706" i="3"/>
  <c r="BX706" i="3"/>
  <c r="BB706" i="3"/>
  <c r="U706" i="3"/>
  <c r="T706" i="3"/>
  <c r="S706" i="3"/>
  <c r="C706" i="3"/>
  <c r="A706" i="3"/>
  <c r="BY705" i="3"/>
  <c r="BX705" i="3"/>
  <c r="BB705" i="3"/>
  <c r="U705" i="3"/>
  <c r="T705" i="3"/>
  <c r="S705" i="3"/>
  <c r="C705" i="3"/>
  <c r="A705" i="3"/>
  <c r="BY704" i="3"/>
  <c r="BX704" i="3"/>
  <c r="BB704" i="3"/>
  <c r="U704" i="3"/>
  <c r="T704" i="3"/>
  <c r="S704" i="3"/>
  <c r="C704" i="3"/>
  <c r="A704" i="3"/>
  <c r="BY703" i="3"/>
  <c r="BX703" i="3"/>
  <c r="BB703" i="3"/>
  <c r="U703" i="3"/>
  <c r="T703" i="3"/>
  <c r="S703" i="3"/>
  <c r="C703" i="3"/>
  <c r="A703" i="3"/>
  <c r="BY702" i="3"/>
  <c r="BX702" i="3"/>
  <c r="BB702" i="3"/>
  <c r="U702" i="3"/>
  <c r="T702" i="3"/>
  <c r="S702" i="3"/>
  <c r="C702" i="3"/>
  <c r="A702" i="3"/>
  <c r="BY701" i="3"/>
  <c r="BX701" i="3"/>
  <c r="BB701" i="3"/>
  <c r="U701" i="3"/>
  <c r="T701" i="3"/>
  <c r="S701" i="3"/>
  <c r="C701" i="3"/>
  <c r="A701" i="3"/>
  <c r="BY700" i="3"/>
  <c r="BX700" i="3"/>
  <c r="BB700" i="3"/>
  <c r="U700" i="3"/>
  <c r="T700" i="3"/>
  <c r="S700" i="3"/>
  <c r="C700" i="3"/>
  <c r="A700" i="3"/>
  <c r="BY699" i="3"/>
  <c r="BX699" i="3"/>
  <c r="BB699" i="3"/>
  <c r="U699" i="3"/>
  <c r="T699" i="3"/>
  <c r="S699" i="3"/>
  <c r="C699" i="3"/>
  <c r="A699" i="3"/>
  <c r="BY698" i="3"/>
  <c r="BX698" i="3"/>
  <c r="BB698" i="3"/>
  <c r="U698" i="3"/>
  <c r="T698" i="3"/>
  <c r="S698" i="3"/>
  <c r="C698" i="3"/>
  <c r="A698" i="3"/>
  <c r="BY697" i="3"/>
  <c r="BX697" i="3"/>
  <c r="BB697" i="3"/>
  <c r="U697" i="3"/>
  <c r="T697" i="3"/>
  <c r="S697" i="3"/>
  <c r="C697" i="3"/>
  <c r="A697" i="3"/>
  <c r="BY696" i="3"/>
  <c r="BX696" i="3"/>
  <c r="BB696" i="3"/>
  <c r="U696" i="3"/>
  <c r="T696" i="3"/>
  <c r="S696" i="3"/>
  <c r="C696" i="3"/>
  <c r="A696" i="3"/>
  <c r="BY695" i="3"/>
  <c r="BX695" i="3"/>
  <c r="BB695" i="3"/>
  <c r="U695" i="3"/>
  <c r="T695" i="3"/>
  <c r="S695" i="3"/>
  <c r="C695" i="3"/>
  <c r="A695" i="3"/>
  <c r="BY694" i="3"/>
  <c r="BX694" i="3"/>
  <c r="BB694" i="3"/>
  <c r="U694" i="3"/>
  <c r="T694" i="3"/>
  <c r="S694" i="3"/>
  <c r="C694" i="3"/>
  <c r="A694" i="3"/>
  <c r="BY693" i="3"/>
  <c r="BX693" i="3"/>
  <c r="BB693" i="3"/>
  <c r="U693" i="3"/>
  <c r="T693" i="3"/>
  <c r="S693" i="3"/>
  <c r="C693" i="3"/>
  <c r="A693" i="3"/>
  <c r="BY692" i="3"/>
  <c r="BX692" i="3"/>
  <c r="BB692" i="3"/>
  <c r="U692" i="3"/>
  <c r="T692" i="3"/>
  <c r="S692" i="3"/>
  <c r="C692" i="3"/>
  <c r="A692" i="3"/>
  <c r="BY691" i="3"/>
  <c r="BX691" i="3"/>
  <c r="BB691" i="3"/>
  <c r="U691" i="3"/>
  <c r="T691" i="3"/>
  <c r="S691" i="3"/>
  <c r="C691" i="3"/>
  <c r="A691" i="3"/>
  <c r="BY690" i="3"/>
  <c r="BX690" i="3"/>
  <c r="BB690" i="3"/>
  <c r="U690" i="3"/>
  <c r="T690" i="3"/>
  <c r="S690" i="3"/>
  <c r="C690" i="3"/>
  <c r="A690" i="3"/>
  <c r="BY689" i="3"/>
  <c r="BX689" i="3"/>
  <c r="BB689" i="3"/>
  <c r="U689" i="3"/>
  <c r="T689" i="3"/>
  <c r="S689" i="3"/>
  <c r="C689" i="3"/>
  <c r="A689" i="3"/>
  <c r="BY688" i="3"/>
  <c r="BX688" i="3"/>
  <c r="BB688" i="3"/>
  <c r="U688" i="3"/>
  <c r="T688" i="3"/>
  <c r="S688" i="3"/>
  <c r="C688" i="3"/>
  <c r="A688" i="3"/>
  <c r="BY687" i="3"/>
  <c r="BX687" i="3"/>
  <c r="BB687" i="3"/>
  <c r="U687" i="3"/>
  <c r="T687" i="3"/>
  <c r="S687" i="3"/>
  <c r="C687" i="3"/>
  <c r="A687" i="3"/>
  <c r="BY686" i="3"/>
  <c r="BX686" i="3"/>
  <c r="BB686" i="3"/>
  <c r="U686" i="3"/>
  <c r="T686" i="3"/>
  <c r="S686" i="3"/>
  <c r="C686" i="3"/>
  <c r="A686" i="3"/>
  <c r="BY685" i="3"/>
  <c r="BX685" i="3"/>
  <c r="BB685" i="3"/>
  <c r="U685" i="3"/>
  <c r="T685" i="3"/>
  <c r="S685" i="3"/>
  <c r="C685" i="3"/>
  <c r="A685" i="3"/>
  <c r="BY684" i="3"/>
  <c r="BX684" i="3"/>
  <c r="BB684" i="3"/>
  <c r="U684" i="3"/>
  <c r="T684" i="3"/>
  <c r="S684" i="3"/>
  <c r="C684" i="3"/>
  <c r="A684" i="3"/>
  <c r="BY683" i="3"/>
  <c r="BX683" i="3"/>
  <c r="BB683" i="3"/>
  <c r="U683" i="3"/>
  <c r="T683" i="3"/>
  <c r="S683" i="3"/>
  <c r="C683" i="3"/>
  <c r="A683" i="3"/>
  <c r="BY682" i="3"/>
  <c r="BX682" i="3"/>
  <c r="BB682" i="3"/>
  <c r="U682" i="3"/>
  <c r="T682" i="3"/>
  <c r="S682" i="3"/>
  <c r="C682" i="3"/>
  <c r="A682" i="3"/>
  <c r="BY681" i="3"/>
  <c r="BX681" i="3"/>
  <c r="BB681" i="3"/>
  <c r="U681" i="3"/>
  <c r="T681" i="3"/>
  <c r="S681" i="3"/>
  <c r="C681" i="3"/>
  <c r="A681" i="3"/>
  <c r="BY680" i="3"/>
  <c r="BX680" i="3"/>
  <c r="BB680" i="3"/>
  <c r="U680" i="3"/>
  <c r="T680" i="3"/>
  <c r="S680" i="3"/>
  <c r="C680" i="3"/>
  <c r="A680" i="3"/>
  <c r="BY679" i="3"/>
  <c r="BX679" i="3"/>
  <c r="BB679" i="3"/>
  <c r="U679" i="3"/>
  <c r="T679" i="3"/>
  <c r="S679" i="3"/>
  <c r="C679" i="3"/>
  <c r="A679" i="3"/>
  <c r="BY678" i="3"/>
  <c r="BX678" i="3"/>
  <c r="BB678" i="3"/>
  <c r="U678" i="3"/>
  <c r="T678" i="3"/>
  <c r="S678" i="3"/>
  <c r="C678" i="3"/>
  <c r="A678" i="3"/>
  <c r="BY677" i="3"/>
  <c r="BX677" i="3"/>
  <c r="BB677" i="3"/>
  <c r="U677" i="3"/>
  <c r="T677" i="3"/>
  <c r="S677" i="3"/>
  <c r="C677" i="3"/>
  <c r="A677" i="3"/>
  <c r="BY676" i="3"/>
  <c r="BX676" i="3"/>
  <c r="BB676" i="3"/>
  <c r="U676" i="3"/>
  <c r="T676" i="3"/>
  <c r="S676" i="3"/>
  <c r="C676" i="3"/>
  <c r="A676" i="3"/>
  <c r="BY675" i="3"/>
  <c r="BX675" i="3"/>
  <c r="BB675" i="3"/>
  <c r="U675" i="3"/>
  <c r="T675" i="3"/>
  <c r="S675" i="3"/>
  <c r="C675" i="3"/>
  <c r="A675" i="3"/>
  <c r="BY674" i="3"/>
  <c r="BX674" i="3"/>
  <c r="BB674" i="3"/>
  <c r="U674" i="3"/>
  <c r="T674" i="3"/>
  <c r="S674" i="3"/>
  <c r="C674" i="3"/>
  <c r="A674" i="3"/>
  <c r="BY673" i="3"/>
  <c r="BX673" i="3"/>
  <c r="BB673" i="3"/>
  <c r="U673" i="3"/>
  <c r="T673" i="3"/>
  <c r="S673" i="3"/>
  <c r="C673" i="3"/>
  <c r="A673" i="3"/>
  <c r="BY672" i="3"/>
  <c r="BX672" i="3"/>
  <c r="BB672" i="3"/>
  <c r="U672" i="3"/>
  <c r="T672" i="3"/>
  <c r="S672" i="3"/>
  <c r="C672" i="3"/>
  <c r="A672" i="3"/>
  <c r="BY671" i="3"/>
  <c r="BX671" i="3"/>
  <c r="BB671" i="3"/>
  <c r="U671" i="3"/>
  <c r="T671" i="3"/>
  <c r="S671" i="3"/>
  <c r="C671" i="3"/>
  <c r="A671" i="3"/>
  <c r="BY670" i="3"/>
  <c r="BX670" i="3"/>
  <c r="BB670" i="3"/>
  <c r="U670" i="3"/>
  <c r="T670" i="3"/>
  <c r="S670" i="3"/>
  <c r="C670" i="3"/>
  <c r="A670" i="3"/>
  <c r="BY669" i="3"/>
  <c r="BX669" i="3"/>
  <c r="BB669" i="3"/>
  <c r="U669" i="3"/>
  <c r="T669" i="3"/>
  <c r="S669" i="3"/>
  <c r="C669" i="3"/>
  <c r="A669" i="3"/>
  <c r="BY668" i="3"/>
  <c r="BX668" i="3"/>
  <c r="BB668" i="3"/>
  <c r="U668" i="3"/>
  <c r="T668" i="3"/>
  <c r="S668" i="3"/>
  <c r="C668" i="3"/>
  <c r="A668" i="3"/>
  <c r="BY667" i="3"/>
  <c r="BX667" i="3"/>
  <c r="BB667" i="3"/>
  <c r="U667" i="3"/>
  <c r="T667" i="3"/>
  <c r="S667" i="3"/>
  <c r="C667" i="3"/>
  <c r="A667" i="3"/>
  <c r="BY666" i="3"/>
  <c r="BX666" i="3"/>
  <c r="BB666" i="3"/>
  <c r="U666" i="3"/>
  <c r="T666" i="3"/>
  <c r="S666" i="3"/>
  <c r="C666" i="3"/>
  <c r="A666" i="3"/>
  <c r="BY665" i="3"/>
  <c r="BX665" i="3"/>
  <c r="BB665" i="3"/>
  <c r="U665" i="3"/>
  <c r="T665" i="3"/>
  <c r="S665" i="3"/>
  <c r="C665" i="3"/>
  <c r="A665" i="3"/>
  <c r="BY664" i="3"/>
  <c r="BX664" i="3"/>
  <c r="BB664" i="3"/>
  <c r="U664" i="3"/>
  <c r="T664" i="3"/>
  <c r="S664" i="3"/>
  <c r="C664" i="3"/>
  <c r="A664" i="3"/>
  <c r="BY663" i="3"/>
  <c r="BX663" i="3"/>
  <c r="BB663" i="3"/>
  <c r="U663" i="3"/>
  <c r="T663" i="3"/>
  <c r="S663" i="3"/>
  <c r="C663" i="3"/>
  <c r="A663" i="3"/>
  <c r="BY662" i="3"/>
  <c r="BX662" i="3"/>
  <c r="BB662" i="3"/>
  <c r="U662" i="3"/>
  <c r="T662" i="3"/>
  <c r="S662" i="3"/>
  <c r="C662" i="3"/>
  <c r="A662" i="3"/>
  <c r="BY661" i="3"/>
  <c r="BX661" i="3"/>
  <c r="BB661" i="3"/>
  <c r="U661" i="3"/>
  <c r="T661" i="3"/>
  <c r="S661" i="3"/>
  <c r="C661" i="3"/>
  <c r="A661" i="3"/>
  <c r="BY660" i="3"/>
  <c r="BX660" i="3"/>
  <c r="BB660" i="3"/>
  <c r="U660" i="3"/>
  <c r="T660" i="3"/>
  <c r="S660" i="3"/>
  <c r="C660" i="3"/>
  <c r="A660" i="3"/>
  <c r="BY659" i="3"/>
  <c r="BX659" i="3"/>
  <c r="BB659" i="3"/>
  <c r="U659" i="3"/>
  <c r="T659" i="3"/>
  <c r="S659" i="3"/>
  <c r="C659" i="3"/>
  <c r="A659" i="3"/>
  <c r="BY658" i="3"/>
  <c r="BX658" i="3"/>
  <c r="BB658" i="3"/>
  <c r="U658" i="3"/>
  <c r="T658" i="3"/>
  <c r="S658" i="3"/>
  <c r="C658" i="3"/>
  <c r="A658" i="3"/>
  <c r="BY657" i="3"/>
  <c r="BX657" i="3"/>
  <c r="BB657" i="3"/>
  <c r="U657" i="3"/>
  <c r="T657" i="3"/>
  <c r="S657" i="3"/>
  <c r="C657" i="3"/>
  <c r="A657" i="3"/>
  <c r="BY656" i="3"/>
  <c r="BX656" i="3"/>
  <c r="BB656" i="3"/>
  <c r="U656" i="3"/>
  <c r="T656" i="3"/>
  <c r="S656" i="3"/>
  <c r="C656" i="3"/>
  <c r="A656" i="3"/>
  <c r="BY655" i="3"/>
  <c r="BX655" i="3"/>
  <c r="BB655" i="3"/>
  <c r="U655" i="3"/>
  <c r="T655" i="3"/>
  <c r="S655" i="3"/>
  <c r="C655" i="3"/>
  <c r="A655" i="3"/>
  <c r="BY654" i="3"/>
  <c r="BX654" i="3"/>
  <c r="BB654" i="3"/>
  <c r="U654" i="3"/>
  <c r="T654" i="3"/>
  <c r="S654" i="3"/>
  <c r="C654" i="3"/>
  <c r="A654" i="3"/>
  <c r="BY653" i="3"/>
  <c r="BX653" i="3"/>
  <c r="BB653" i="3"/>
  <c r="U653" i="3"/>
  <c r="T653" i="3"/>
  <c r="S653" i="3"/>
  <c r="C653" i="3"/>
  <c r="A653" i="3"/>
  <c r="BY652" i="3"/>
  <c r="BX652" i="3"/>
  <c r="BB652" i="3"/>
  <c r="U652" i="3"/>
  <c r="T652" i="3"/>
  <c r="S652" i="3"/>
  <c r="C652" i="3"/>
  <c r="A652" i="3"/>
  <c r="BY651" i="3"/>
  <c r="BX651" i="3"/>
  <c r="BB651" i="3"/>
  <c r="U651" i="3"/>
  <c r="T651" i="3"/>
  <c r="S651" i="3"/>
  <c r="C651" i="3"/>
  <c r="A651" i="3"/>
  <c r="BY650" i="3"/>
  <c r="BX650" i="3"/>
  <c r="BB650" i="3"/>
  <c r="U650" i="3"/>
  <c r="T650" i="3"/>
  <c r="S650" i="3"/>
  <c r="C650" i="3"/>
  <c r="A650" i="3"/>
  <c r="BY649" i="3"/>
  <c r="BX649" i="3"/>
  <c r="BB649" i="3"/>
  <c r="U649" i="3"/>
  <c r="T649" i="3"/>
  <c r="S649" i="3"/>
  <c r="C649" i="3"/>
  <c r="A649" i="3"/>
  <c r="BY648" i="3"/>
  <c r="BX648" i="3"/>
  <c r="BB648" i="3"/>
  <c r="U648" i="3"/>
  <c r="T648" i="3"/>
  <c r="S648" i="3"/>
  <c r="C648" i="3"/>
  <c r="A648" i="3"/>
  <c r="BY647" i="3"/>
  <c r="BX647" i="3"/>
  <c r="BB647" i="3"/>
  <c r="U647" i="3"/>
  <c r="T647" i="3"/>
  <c r="S647" i="3"/>
  <c r="C647" i="3"/>
  <c r="A647" i="3"/>
  <c r="BY646" i="3"/>
  <c r="BX646" i="3"/>
  <c r="BB646" i="3"/>
  <c r="U646" i="3"/>
  <c r="T646" i="3"/>
  <c r="S646" i="3"/>
  <c r="C646" i="3"/>
  <c r="A646" i="3"/>
  <c r="BY645" i="3"/>
  <c r="BX645" i="3"/>
  <c r="BB645" i="3"/>
  <c r="U645" i="3"/>
  <c r="T645" i="3"/>
  <c r="S645" i="3"/>
  <c r="C645" i="3"/>
  <c r="A645" i="3"/>
  <c r="BY644" i="3"/>
  <c r="BX644" i="3"/>
  <c r="BB644" i="3"/>
  <c r="U644" i="3"/>
  <c r="T644" i="3"/>
  <c r="S644" i="3"/>
  <c r="C644" i="3"/>
  <c r="A644" i="3"/>
  <c r="BY643" i="3"/>
  <c r="BX643" i="3"/>
  <c r="BB643" i="3"/>
  <c r="U643" i="3"/>
  <c r="T643" i="3"/>
  <c r="S643" i="3"/>
  <c r="C643" i="3"/>
  <c r="A643" i="3"/>
  <c r="BY642" i="3"/>
  <c r="BX642" i="3"/>
  <c r="BB642" i="3"/>
  <c r="U642" i="3"/>
  <c r="T642" i="3"/>
  <c r="S642" i="3"/>
  <c r="C642" i="3"/>
  <c r="A642" i="3"/>
  <c r="BY641" i="3"/>
  <c r="BX641" i="3"/>
  <c r="BB641" i="3"/>
  <c r="U641" i="3"/>
  <c r="T641" i="3"/>
  <c r="S641" i="3"/>
  <c r="C641" i="3"/>
  <c r="A641" i="3"/>
  <c r="BY640" i="3"/>
  <c r="BX640" i="3"/>
  <c r="BB640" i="3"/>
  <c r="U640" i="3"/>
  <c r="T640" i="3"/>
  <c r="S640" i="3"/>
  <c r="C640" i="3"/>
  <c r="A640" i="3"/>
  <c r="BY639" i="3"/>
  <c r="BX639" i="3"/>
  <c r="BB639" i="3"/>
  <c r="U639" i="3"/>
  <c r="T639" i="3"/>
  <c r="S639" i="3"/>
  <c r="C639" i="3"/>
  <c r="A639" i="3"/>
  <c r="BY638" i="3"/>
  <c r="BX638" i="3"/>
  <c r="BB638" i="3"/>
  <c r="U638" i="3"/>
  <c r="T638" i="3"/>
  <c r="S638" i="3"/>
  <c r="C638" i="3"/>
  <c r="A638" i="3"/>
  <c r="BY637" i="3"/>
  <c r="BX637" i="3"/>
  <c r="BB637" i="3"/>
  <c r="U637" i="3"/>
  <c r="T637" i="3"/>
  <c r="S637" i="3"/>
  <c r="C637" i="3"/>
  <c r="A637" i="3"/>
  <c r="BY636" i="3"/>
  <c r="BX636" i="3"/>
  <c r="BB636" i="3"/>
  <c r="U636" i="3"/>
  <c r="T636" i="3"/>
  <c r="S636" i="3"/>
  <c r="C636" i="3"/>
  <c r="A636" i="3"/>
  <c r="BY635" i="3"/>
  <c r="BX635" i="3"/>
  <c r="BB635" i="3"/>
  <c r="U635" i="3"/>
  <c r="T635" i="3"/>
  <c r="S635" i="3"/>
  <c r="C635" i="3"/>
  <c r="A635" i="3"/>
  <c r="BY634" i="3"/>
  <c r="BX634" i="3"/>
  <c r="BB634" i="3"/>
  <c r="U634" i="3"/>
  <c r="T634" i="3"/>
  <c r="S634" i="3"/>
  <c r="C634" i="3"/>
  <c r="A634" i="3"/>
  <c r="BY633" i="3"/>
  <c r="BX633" i="3"/>
  <c r="BB633" i="3"/>
  <c r="U633" i="3"/>
  <c r="T633" i="3"/>
  <c r="S633" i="3"/>
  <c r="C633" i="3"/>
  <c r="A633" i="3"/>
  <c r="BY632" i="3"/>
  <c r="BX632" i="3"/>
  <c r="BB632" i="3"/>
  <c r="U632" i="3"/>
  <c r="T632" i="3"/>
  <c r="S632" i="3"/>
  <c r="C632" i="3"/>
  <c r="A632" i="3"/>
  <c r="BY631" i="3"/>
  <c r="BX631" i="3"/>
  <c r="BB631" i="3"/>
  <c r="U631" i="3"/>
  <c r="T631" i="3"/>
  <c r="S631" i="3"/>
  <c r="C631" i="3"/>
  <c r="A631" i="3"/>
  <c r="BY630" i="3"/>
  <c r="BX630" i="3"/>
  <c r="BB630" i="3"/>
  <c r="U630" i="3"/>
  <c r="T630" i="3"/>
  <c r="S630" i="3"/>
  <c r="C630" i="3"/>
  <c r="A630" i="3"/>
  <c r="BY629" i="3"/>
  <c r="BX629" i="3"/>
  <c r="BB629" i="3"/>
  <c r="U629" i="3"/>
  <c r="T629" i="3"/>
  <c r="S629" i="3"/>
  <c r="C629" i="3"/>
  <c r="A629" i="3"/>
  <c r="BY628" i="3"/>
  <c r="BX628" i="3"/>
  <c r="BB628" i="3"/>
  <c r="U628" i="3"/>
  <c r="T628" i="3"/>
  <c r="S628" i="3"/>
  <c r="C628" i="3"/>
  <c r="A628" i="3"/>
  <c r="BY627" i="3"/>
  <c r="BX627" i="3"/>
  <c r="BB627" i="3"/>
  <c r="U627" i="3"/>
  <c r="T627" i="3"/>
  <c r="S627" i="3"/>
  <c r="C627" i="3"/>
  <c r="A627" i="3"/>
  <c r="BY626" i="3"/>
  <c r="BX626" i="3"/>
  <c r="BB626" i="3"/>
  <c r="U626" i="3"/>
  <c r="T626" i="3"/>
  <c r="S626" i="3"/>
  <c r="C626" i="3"/>
  <c r="A626" i="3"/>
  <c r="BY625" i="3"/>
  <c r="BX625" i="3"/>
  <c r="BB625" i="3"/>
  <c r="U625" i="3"/>
  <c r="T625" i="3"/>
  <c r="S625" i="3"/>
  <c r="C625" i="3"/>
  <c r="A625" i="3"/>
  <c r="BY624" i="3"/>
  <c r="BX624" i="3"/>
  <c r="BB624" i="3"/>
  <c r="U624" i="3"/>
  <c r="T624" i="3"/>
  <c r="S624" i="3"/>
  <c r="C624" i="3"/>
  <c r="A624" i="3"/>
  <c r="BY623" i="3"/>
  <c r="BX623" i="3"/>
  <c r="BB623" i="3"/>
  <c r="U623" i="3"/>
  <c r="T623" i="3"/>
  <c r="S623" i="3"/>
  <c r="C623" i="3"/>
  <c r="A623" i="3"/>
  <c r="BY622" i="3"/>
  <c r="BX622" i="3"/>
  <c r="BB622" i="3"/>
  <c r="U622" i="3"/>
  <c r="T622" i="3"/>
  <c r="S622" i="3"/>
  <c r="C622" i="3"/>
  <c r="A622" i="3"/>
  <c r="BY621" i="3"/>
  <c r="BX621" i="3"/>
  <c r="BB621" i="3"/>
  <c r="U621" i="3"/>
  <c r="T621" i="3"/>
  <c r="S621" i="3"/>
  <c r="C621" i="3"/>
  <c r="A621" i="3"/>
  <c r="BY620" i="3"/>
  <c r="BX620" i="3"/>
  <c r="BB620" i="3"/>
  <c r="U620" i="3"/>
  <c r="T620" i="3"/>
  <c r="S620" i="3"/>
  <c r="C620" i="3"/>
  <c r="A620" i="3"/>
  <c r="BY619" i="3"/>
  <c r="BX619" i="3"/>
  <c r="BB619" i="3"/>
  <c r="U619" i="3"/>
  <c r="T619" i="3"/>
  <c r="S619" i="3"/>
  <c r="C619" i="3"/>
  <c r="A619" i="3"/>
  <c r="BY618" i="3"/>
  <c r="BX618" i="3"/>
  <c r="BB618" i="3"/>
  <c r="U618" i="3"/>
  <c r="T618" i="3"/>
  <c r="S618" i="3"/>
  <c r="C618" i="3"/>
  <c r="A618" i="3"/>
  <c r="BY617" i="3"/>
  <c r="BX617" i="3"/>
  <c r="BB617" i="3"/>
  <c r="U617" i="3"/>
  <c r="T617" i="3"/>
  <c r="S617" i="3"/>
  <c r="C617" i="3"/>
  <c r="A617" i="3"/>
  <c r="BY616" i="3"/>
  <c r="BX616" i="3"/>
  <c r="BB616" i="3"/>
  <c r="U616" i="3"/>
  <c r="T616" i="3"/>
  <c r="S616" i="3"/>
  <c r="C616" i="3"/>
  <c r="A616" i="3"/>
  <c r="BY615" i="3"/>
  <c r="BX615" i="3"/>
  <c r="BB615" i="3"/>
  <c r="U615" i="3"/>
  <c r="T615" i="3"/>
  <c r="S615" i="3"/>
  <c r="C615" i="3"/>
  <c r="A615" i="3"/>
  <c r="BY614" i="3"/>
  <c r="BX614" i="3"/>
  <c r="BB614" i="3"/>
  <c r="U614" i="3"/>
  <c r="T614" i="3"/>
  <c r="S614" i="3"/>
  <c r="C614" i="3"/>
  <c r="A614" i="3"/>
  <c r="BY613" i="3"/>
  <c r="BX613" i="3"/>
  <c r="BB613" i="3"/>
  <c r="U613" i="3"/>
  <c r="T613" i="3"/>
  <c r="S613" i="3"/>
  <c r="C613" i="3"/>
  <c r="A613" i="3"/>
  <c r="BY612" i="3"/>
  <c r="BX612" i="3"/>
  <c r="BB612" i="3"/>
  <c r="U612" i="3"/>
  <c r="T612" i="3"/>
  <c r="S612" i="3"/>
  <c r="C612" i="3"/>
  <c r="A612" i="3"/>
  <c r="BY611" i="3"/>
  <c r="BX611" i="3"/>
  <c r="BB611" i="3"/>
  <c r="U611" i="3"/>
  <c r="T611" i="3"/>
  <c r="S611" i="3"/>
  <c r="C611" i="3"/>
  <c r="A611" i="3"/>
  <c r="BY610" i="3"/>
  <c r="BX610" i="3"/>
  <c r="BB610" i="3"/>
  <c r="U610" i="3"/>
  <c r="T610" i="3"/>
  <c r="S610" i="3"/>
  <c r="C610" i="3"/>
  <c r="A610" i="3"/>
  <c r="BY609" i="3"/>
  <c r="BX609" i="3"/>
  <c r="BB609" i="3"/>
  <c r="U609" i="3"/>
  <c r="T609" i="3"/>
  <c r="S609" i="3"/>
  <c r="C609" i="3"/>
  <c r="A609" i="3"/>
  <c r="BY608" i="3"/>
  <c r="BX608" i="3"/>
  <c r="BB608" i="3"/>
  <c r="U608" i="3"/>
  <c r="T608" i="3"/>
  <c r="S608" i="3"/>
  <c r="C608" i="3"/>
  <c r="A608" i="3"/>
  <c r="BY607" i="3"/>
  <c r="BX607" i="3"/>
  <c r="BB607" i="3"/>
  <c r="U607" i="3"/>
  <c r="T607" i="3"/>
  <c r="S607" i="3"/>
  <c r="C607" i="3"/>
  <c r="A607" i="3"/>
  <c r="BY606" i="3"/>
  <c r="BX606" i="3"/>
  <c r="BB606" i="3"/>
  <c r="U606" i="3"/>
  <c r="T606" i="3"/>
  <c r="S606" i="3"/>
  <c r="C606" i="3"/>
  <c r="A606" i="3"/>
  <c r="BY605" i="3"/>
  <c r="BX605" i="3"/>
  <c r="BB605" i="3"/>
  <c r="U605" i="3"/>
  <c r="T605" i="3"/>
  <c r="S605" i="3"/>
  <c r="C605" i="3"/>
  <c r="A605" i="3"/>
  <c r="BY604" i="3"/>
  <c r="BX604" i="3"/>
  <c r="BB604" i="3"/>
  <c r="U604" i="3"/>
  <c r="T604" i="3"/>
  <c r="S604" i="3"/>
  <c r="C604" i="3"/>
  <c r="A604" i="3"/>
  <c r="BY603" i="3"/>
  <c r="BX603" i="3"/>
  <c r="BB603" i="3"/>
  <c r="U603" i="3"/>
  <c r="T603" i="3"/>
  <c r="S603" i="3"/>
  <c r="C603" i="3"/>
  <c r="A603" i="3"/>
  <c r="BY602" i="3"/>
  <c r="BX602" i="3"/>
  <c r="BB602" i="3"/>
  <c r="U602" i="3"/>
  <c r="T602" i="3"/>
  <c r="S602" i="3"/>
  <c r="C602" i="3"/>
  <c r="A602" i="3"/>
  <c r="BY601" i="3"/>
  <c r="BX601" i="3"/>
  <c r="BB601" i="3"/>
  <c r="U601" i="3"/>
  <c r="T601" i="3"/>
  <c r="S601" i="3"/>
  <c r="C601" i="3"/>
  <c r="A601" i="3"/>
  <c r="BY600" i="3"/>
  <c r="BX600" i="3"/>
  <c r="BB600" i="3"/>
  <c r="U600" i="3"/>
  <c r="T600" i="3"/>
  <c r="S600" i="3"/>
  <c r="C600" i="3"/>
  <c r="A600" i="3"/>
  <c r="BY599" i="3"/>
  <c r="BX599" i="3"/>
  <c r="BB599" i="3"/>
  <c r="U599" i="3"/>
  <c r="T599" i="3"/>
  <c r="S599" i="3"/>
  <c r="C599" i="3"/>
  <c r="A599" i="3"/>
  <c r="BY598" i="3"/>
  <c r="BX598" i="3"/>
  <c r="BB598" i="3"/>
  <c r="U598" i="3"/>
  <c r="T598" i="3"/>
  <c r="S598" i="3"/>
  <c r="C598" i="3"/>
  <c r="A598" i="3"/>
  <c r="BY597" i="3"/>
  <c r="BX597" i="3"/>
  <c r="BB597" i="3"/>
  <c r="U597" i="3"/>
  <c r="T597" i="3"/>
  <c r="S597" i="3"/>
  <c r="C597" i="3"/>
  <c r="A597" i="3"/>
  <c r="BY596" i="3"/>
  <c r="BX596" i="3"/>
  <c r="BB596" i="3"/>
  <c r="U596" i="3"/>
  <c r="T596" i="3"/>
  <c r="S596" i="3"/>
  <c r="C596" i="3"/>
  <c r="A596" i="3"/>
  <c r="BY595" i="3"/>
  <c r="BX595" i="3"/>
  <c r="BB595" i="3"/>
  <c r="U595" i="3"/>
  <c r="T595" i="3"/>
  <c r="S595" i="3"/>
  <c r="C595" i="3"/>
  <c r="A595" i="3"/>
  <c r="BY594" i="3"/>
  <c r="BX594" i="3"/>
  <c r="BB594" i="3"/>
  <c r="U594" i="3"/>
  <c r="T594" i="3"/>
  <c r="S594" i="3"/>
  <c r="C594" i="3"/>
  <c r="A594" i="3"/>
  <c r="BY593" i="3"/>
  <c r="BX593" i="3"/>
  <c r="BB593" i="3"/>
  <c r="U593" i="3"/>
  <c r="T593" i="3"/>
  <c r="S593" i="3"/>
  <c r="C593" i="3"/>
  <c r="A593" i="3"/>
  <c r="BY592" i="3"/>
  <c r="BX592" i="3"/>
  <c r="BB592" i="3"/>
  <c r="U592" i="3"/>
  <c r="T592" i="3"/>
  <c r="S592" i="3"/>
  <c r="C592" i="3"/>
  <c r="A592" i="3"/>
  <c r="BY591" i="3"/>
  <c r="BX591" i="3"/>
  <c r="BB591" i="3"/>
  <c r="U591" i="3"/>
  <c r="T591" i="3"/>
  <c r="S591" i="3"/>
  <c r="C591" i="3"/>
  <c r="A591" i="3"/>
  <c r="BY590" i="3"/>
  <c r="BX590" i="3"/>
  <c r="BB590" i="3"/>
  <c r="U590" i="3"/>
  <c r="T590" i="3"/>
  <c r="S590" i="3"/>
  <c r="C590" i="3"/>
  <c r="A590" i="3"/>
  <c r="BY589" i="3"/>
  <c r="BX589" i="3"/>
  <c r="BB589" i="3"/>
  <c r="U589" i="3"/>
  <c r="T589" i="3"/>
  <c r="S589" i="3"/>
  <c r="C589" i="3"/>
  <c r="A589" i="3"/>
  <c r="BY588" i="3"/>
  <c r="BX588" i="3"/>
  <c r="BB588" i="3"/>
  <c r="U588" i="3"/>
  <c r="T588" i="3"/>
  <c r="S588" i="3"/>
  <c r="C588" i="3"/>
  <c r="A588" i="3"/>
  <c r="BY587" i="3"/>
  <c r="BX587" i="3"/>
  <c r="BB587" i="3"/>
  <c r="U587" i="3"/>
  <c r="T587" i="3"/>
  <c r="S587" i="3"/>
  <c r="C587" i="3"/>
  <c r="A587" i="3"/>
  <c r="BY586" i="3"/>
  <c r="BX586" i="3"/>
  <c r="BB586" i="3"/>
  <c r="U586" i="3"/>
  <c r="T586" i="3"/>
  <c r="S586" i="3"/>
  <c r="C586" i="3"/>
  <c r="A586" i="3"/>
  <c r="BY585" i="3"/>
  <c r="BX585" i="3"/>
  <c r="BB585" i="3"/>
  <c r="U585" i="3"/>
  <c r="T585" i="3"/>
  <c r="S585" i="3"/>
  <c r="C585" i="3"/>
  <c r="A585" i="3"/>
  <c r="BY584" i="3"/>
  <c r="BX584" i="3"/>
  <c r="BB584" i="3"/>
  <c r="U584" i="3"/>
  <c r="T584" i="3"/>
  <c r="S584" i="3"/>
  <c r="C584" i="3"/>
  <c r="A584" i="3"/>
  <c r="BY583" i="3"/>
  <c r="BX583" i="3"/>
  <c r="BB583" i="3"/>
  <c r="U583" i="3"/>
  <c r="T583" i="3"/>
  <c r="S583" i="3"/>
  <c r="C583" i="3"/>
  <c r="A583" i="3"/>
  <c r="BY582" i="3"/>
  <c r="BX582" i="3"/>
  <c r="BB582" i="3"/>
  <c r="U582" i="3"/>
  <c r="T582" i="3"/>
  <c r="S582" i="3"/>
  <c r="C582" i="3"/>
  <c r="A582" i="3"/>
  <c r="BY581" i="3"/>
  <c r="BX581" i="3"/>
  <c r="BB581" i="3"/>
  <c r="U581" i="3"/>
  <c r="T581" i="3"/>
  <c r="S581" i="3"/>
  <c r="C581" i="3"/>
  <c r="A581" i="3"/>
  <c r="BY580" i="3"/>
  <c r="BX580" i="3"/>
  <c r="BB580" i="3"/>
  <c r="U580" i="3"/>
  <c r="T580" i="3"/>
  <c r="S580" i="3"/>
  <c r="C580" i="3"/>
  <c r="A580" i="3"/>
  <c r="BY579" i="3"/>
  <c r="BX579" i="3"/>
  <c r="BB579" i="3"/>
  <c r="U579" i="3"/>
  <c r="T579" i="3"/>
  <c r="S579" i="3"/>
  <c r="C579" i="3"/>
  <c r="A579" i="3"/>
  <c r="BY578" i="3"/>
  <c r="BX578" i="3"/>
  <c r="BB578" i="3"/>
  <c r="U578" i="3"/>
  <c r="T578" i="3"/>
  <c r="S578" i="3"/>
  <c r="C578" i="3"/>
  <c r="A578" i="3"/>
  <c r="BY577" i="3"/>
  <c r="BX577" i="3"/>
  <c r="BB577" i="3"/>
  <c r="U577" i="3"/>
  <c r="T577" i="3"/>
  <c r="S577" i="3"/>
  <c r="C577" i="3"/>
  <c r="A577" i="3"/>
  <c r="BY576" i="3"/>
  <c r="BX576" i="3"/>
  <c r="BB576" i="3"/>
  <c r="U576" i="3"/>
  <c r="T576" i="3"/>
  <c r="S576" i="3"/>
  <c r="C576" i="3"/>
  <c r="A576" i="3"/>
  <c r="BY575" i="3"/>
  <c r="BX575" i="3"/>
  <c r="BB575" i="3"/>
  <c r="U575" i="3"/>
  <c r="T575" i="3"/>
  <c r="S575" i="3"/>
  <c r="C575" i="3"/>
  <c r="A575" i="3"/>
  <c r="BY574" i="3"/>
  <c r="BX574" i="3"/>
  <c r="BB574" i="3"/>
  <c r="U574" i="3"/>
  <c r="T574" i="3"/>
  <c r="S574" i="3"/>
  <c r="C574" i="3"/>
  <c r="A574" i="3"/>
  <c r="BY573" i="3"/>
  <c r="BX573" i="3"/>
  <c r="BB573" i="3"/>
  <c r="U573" i="3"/>
  <c r="T573" i="3"/>
  <c r="S573" i="3"/>
  <c r="C573" i="3"/>
  <c r="A573" i="3"/>
  <c r="BY572" i="3"/>
  <c r="BX572" i="3"/>
  <c r="BB572" i="3"/>
  <c r="U572" i="3"/>
  <c r="T572" i="3"/>
  <c r="S572" i="3"/>
  <c r="C572" i="3"/>
  <c r="A572" i="3"/>
  <c r="BY571" i="3"/>
  <c r="BX571" i="3"/>
  <c r="BB571" i="3"/>
  <c r="U571" i="3"/>
  <c r="T571" i="3"/>
  <c r="S571" i="3"/>
  <c r="C571" i="3"/>
  <c r="A571" i="3"/>
  <c r="BY570" i="3"/>
  <c r="BX570" i="3"/>
  <c r="BB570" i="3"/>
  <c r="U570" i="3"/>
  <c r="T570" i="3"/>
  <c r="S570" i="3"/>
  <c r="C570" i="3"/>
  <c r="A570" i="3"/>
  <c r="BY569" i="3"/>
  <c r="BX569" i="3"/>
  <c r="BB569" i="3"/>
  <c r="U569" i="3"/>
  <c r="T569" i="3"/>
  <c r="S569" i="3"/>
  <c r="C569" i="3"/>
  <c r="A569" i="3"/>
  <c r="BY568" i="3"/>
  <c r="BX568" i="3"/>
  <c r="BB568" i="3"/>
  <c r="U568" i="3"/>
  <c r="T568" i="3"/>
  <c r="S568" i="3"/>
  <c r="C568" i="3"/>
  <c r="A568" i="3"/>
  <c r="BY567" i="3"/>
  <c r="BX567" i="3"/>
  <c r="BB567" i="3"/>
  <c r="U567" i="3"/>
  <c r="T567" i="3"/>
  <c r="S567" i="3"/>
  <c r="C567" i="3"/>
  <c r="A567" i="3"/>
  <c r="BY566" i="3"/>
  <c r="BX566" i="3"/>
  <c r="BB566" i="3"/>
  <c r="U566" i="3"/>
  <c r="T566" i="3"/>
  <c r="S566" i="3"/>
  <c r="C566" i="3"/>
  <c r="A566" i="3"/>
  <c r="BY565" i="3"/>
  <c r="BX565" i="3"/>
  <c r="BB565" i="3"/>
  <c r="U565" i="3"/>
  <c r="T565" i="3"/>
  <c r="S565" i="3"/>
  <c r="C565" i="3"/>
  <c r="A565" i="3"/>
  <c r="BY564" i="3"/>
  <c r="BX564" i="3"/>
  <c r="BB564" i="3"/>
  <c r="U564" i="3"/>
  <c r="T564" i="3"/>
  <c r="S564" i="3"/>
  <c r="C564" i="3"/>
  <c r="A564" i="3"/>
  <c r="BY563" i="3"/>
  <c r="BX563" i="3"/>
  <c r="BB563" i="3"/>
  <c r="U563" i="3"/>
  <c r="T563" i="3"/>
  <c r="S563" i="3"/>
  <c r="C563" i="3"/>
  <c r="A563" i="3"/>
  <c r="BY562" i="3"/>
  <c r="BX562" i="3"/>
  <c r="BB562" i="3"/>
  <c r="U562" i="3"/>
  <c r="T562" i="3"/>
  <c r="S562" i="3"/>
  <c r="C562" i="3"/>
  <c r="A562" i="3"/>
  <c r="BY561" i="3"/>
  <c r="BX561" i="3"/>
  <c r="BB561" i="3"/>
  <c r="U561" i="3"/>
  <c r="T561" i="3"/>
  <c r="S561" i="3"/>
  <c r="C561" i="3"/>
  <c r="A561" i="3"/>
  <c r="BY560" i="3"/>
  <c r="BX560" i="3"/>
  <c r="BB560" i="3"/>
  <c r="U560" i="3"/>
  <c r="T560" i="3"/>
  <c r="S560" i="3"/>
  <c r="C560" i="3"/>
  <c r="A560" i="3"/>
  <c r="BY559" i="3"/>
  <c r="BX559" i="3"/>
  <c r="BB559" i="3"/>
  <c r="U559" i="3"/>
  <c r="T559" i="3"/>
  <c r="S559" i="3"/>
  <c r="C559" i="3"/>
  <c r="A559" i="3"/>
  <c r="BY558" i="3"/>
  <c r="BX558" i="3"/>
  <c r="BB558" i="3"/>
  <c r="U558" i="3"/>
  <c r="T558" i="3"/>
  <c r="S558" i="3"/>
  <c r="C558" i="3"/>
  <c r="A558" i="3"/>
  <c r="BY557" i="3"/>
  <c r="BX557" i="3"/>
  <c r="BB557" i="3"/>
  <c r="U557" i="3"/>
  <c r="T557" i="3"/>
  <c r="S557" i="3"/>
  <c r="C557" i="3"/>
  <c r="A557" i="3"/>
  <c r="BY556" i="3"/>
  <c r="BX556" i="3"/>
  <c r="BB556" i="3"/>
  <c r="U556" i="3"/>
  <c r="T556" i="3"/>
  <c r="S556" i="3"/>
  <c r="C556" i="3"/>
  <c r="A556" i="3"/>
  <c r="BY555" i="3"/>
  <c r="BX555" i="3"/>
  <c r="BB555" i="3"/>
  <c r="U555" i="3"/>
  <c r="T555" i="3"/>
  <c r="S555" i="3"/>
  <c r="C555" i="3"/>
  <c r="A555" i="3"/>
  <c r="BY554" i="3"/>
  <c r="BX554" i="3"/>
  <c r="BB554" i="3"/>
  <c r="U554" i="3"/>
  <c r="T554" i="3"/>
  <c r="S554" i="3"/>
  <c r="C554" i="3"/>
  <c r="A554" i="3"/>
  <c r="BY553" i="3"/>
  <c r="BX553" i="3"/>
  <c r="BB553" i="3"/>
  <c r="U553" i="3"/>
  <c r="T553" i="3"/>
  <c r="S553" i="3"/>
  <c r="C553" i="3"/>
  <c r="A553" i="3"/>
  <c r="BY552" i="3"/>
  <c r="BX552" i="3"/>
  <c r="BB552" i="3"/>
  <c r="U552" i="3"/>
  <c r="T552" i="3"/>
  <c r="S552" i="3"/>
  <c r="C552" i="3"/>
  <c r="A552" i="3"/>
  <c r="BY551" i="3"/>
  <c r="BX551" i="3"/>
  <c r="BB551" i="3"/>
  <c r="U551" i="3"/>
  <c r="T551" i="3"/>
  <c r="S551" i="3"/>
  <c r="C551" i="3"/>
  <c r="A551" i="3"/>
  <c r="BY550" i="3"/>
  <c r="BX550" i="3"/>
  <c r="BB550" i="3"/>
  <c r="U550" i="3"/>
  <c r="T550" i="3"/>
  <c r="S550" i="3"/>
  <c r="C550" i="3"/>
  <c r="A550" i="3"/>
  <c r="BY549" i="3"/>
  <c r="BX549" i="3"/>
  <c r="BB549" i="3"/>
  <c r="U549" i="3"/>
  <c r="T549" i="3"/>
  <c r="S549" i="3"/>
  <c r="C549" i="3"/>
  <c r="A549" i="3"/>
  <c r="BY548" i="3"/>
  <c r="BX548" i="3"/>
  <c r="BB548" i="3"/>
  <c r="U548" i="3"/>
  <c r="T548" i="3"/>
  <c r="S548" i="3"/>
  <c r="C548" i="3"/>
  <c r="A548" i="3"/>
  <c r="BY547" i="3"/>
  <c r="BX547" i="3"/>
  <c r="BB547" i="3"/>
  <c r="U547" i="3"/>
  <c r="T547" i="3"/>
  <c r="S547" i="3"/>
  <c r="C547" i="3"/>
  <c r="A547" i="3"/>
  <c r="BY546" i="3"/>
  <c r="BX546" i="3"/>
  <c r="BB546" i="3"/>
  <c r="U546" i="3"/>
  <c r="T546" i="3"/>
  <c r="S546" i="3"/>
  <c r="C546" i="3"/>
  <c r="A546" i="3"/>
  <c r="BY545" i="3"/>
  <c r="BX545" i="3"/>
  <c r="BB545" i="3"/>
  <c r="U545" i="3"/>
  <c r="T545" i="3"/>
  <c r="S545" i="3"/>
  <c r="C545" i="3"/>
  <c r="A545" i="3"/>
  <c r="BY544" i="3"/>
  <c r="BX544" i="3"/>
  <c r="BB544" i="3"/>
  <c r="U544" i="3"/>
  <c r="T544" i="3"/>
  <c r="S544" i="3"/>
  <c r="C544" i="3"/>
  <c r="A544" i="3"/>
  <c r="BY543" i="3"/>
  <c r="BX543" i="3"/>
  <c r="BB543" i="3"/>
  <c r="U543" i="3"/>
  <c r="T543" i="3"/>
  <c r="S543" i="3"/>
  <c r="C543" i="3"/>
  <c r="A543" i="3"/>
  <c r="BY542" i="3"/>
  <c r="BX542" i="3"/>
  <c r="BB542" i="3"/>
  <c r="U542" i="3"/>
  <c r="T542" i="3"/>
  <c r="S542" i="3"/>
  <c r="C542" i="3"/>
  <c r="A542" i="3"/>
  <c r="BY541" i="3"/>
  <c r="BX541" i="3"/>
  <c r="BB541" i="3"/>
  <c r="U541" i="3"/>
  <c r="T541" i="3"/>
  <c r="S541" i="3"/>
  <c r="C541" i="3"/>
  <c r="A541" i="3"/>
  <c r="BY540" i="3"/>
  <c r="BX540" i="3"/>
  <c r="BB540" i="3"/>
  <c r="U540" i="3"/>
  <c r="T540" i="3"/>
  <c r="S540" i="3"/>
  <c r="C540" i="3"/>
  <c r="A540" i="3"/>
  <c r="BY539" i="3"/>
  <c r="BX539" i="3"/>
  <c r="BB539" i="3"/>
  <c r="U539" i="3"/>
  <c r="T539" i="3"/>
  <c r="S539" i="3"/>
  <c r="C539" i="3"/>
  <c r="A539" i="3"/>
  <c r="BY538" i="3"/>
  <c r="BX538" i="3"/>
  <c r="BB538" i="3"/>
  <c r="U538" i="3"/>
  <c r="T538" i="3"/>
  <c r="S538" i="3"/>
  <c r="C538" i="3"/>
  <c r="A538" i="3"/>
  <c r="BY537" i="3"/>
  <c r="BX537" i="3"/>
  <c r="BB537" i="3"/>
  <c r="U537" i="3"/>
  <c r="T537" i="3"/>
  <c r="S537" i="3"/>
  <c r="C537" i="3"/>
  <c r="A537" i="3"/>
  <c r="BY536" i="3"/>
  <c r="BX536" i="3"/>
  <c r="BB536" i="3"/>
  <c r="U536" i="3"/>
  <c r="T536" i="3"/>
  <c r="S536" i="3"/>
  <c r="C536" i="3"/>
  <c r="A536" i="3"/>
  <c r="BY535" i="3"/>
  <c r="BX535" i="3"/>
  <c r="BB535" i="3"/>
  <c r="U535" i="3"/>
  <c r="T535" i="3"/>
  <c r="S535" i="3"/>
  <c r="C535" i="3"/>
  <c r="A535" i="3"/>
  <c r="BY534" i="3"/>
  <c r="BX534" i="3"/>
  <c r="BB534" i="3"/>
  <c r="U534" i="3"/>
  <c r="T534" i="3"/>
  <c r="S534" i="3"/>
  <c r="C534" i="3"/>
  <c r="A534" i="3"/>
  <c r="BY533" i="3"/>
  <c r="BX533" i="3"/>
  <c r="BB533" i="3"/>
  <c r="U533" i="3"/>
  <c r="T533" i="3"/>
  <c r="S533" i="3"/>
  <c r="C533" i="3"/>
  <c r="A533" i="3"/>
  <c r="BY532" i="3"/>
  <c r="BX532" i="3"/>
  <c r="BB532" i="3"/>
  <c r="U532" i="3"/>
  <c r="T532" i="3"/>
  <c r="S532" i="3"/>
  <c r="C532" i="3"/>
  <c r="A532" i="3"/>
  <c r="BY531" i="3"/>
  <c r="BX531" i="3"/>
  <c r="BB531" i="3"/>
  <c r="U531" i="3"/>
  <c r="T531" i="3"/>
  <c r="S531" i="3"/>
  <c r="C531" i="3"/>
  <c r="A531" i="3"/>
  <c r="BY530" i="3"/>
  <c r="BX530" i="3"/>
  <c r="BB530" i="3"/>
  <c r="U530" i="3"/>
  <c r="T530" i="3"/>
  <c r="S530" i="3"/>
  <c r="C530" i="3"/>
  <c r="A530" i="3"/>
  <c r="BY529" i="3"/>
  <c r="BX529" i="3"/>
  <c r="BB529" i="3"/>
  <c r="U529" i="3"/>
  <c r="T529" i="3"/>
  <c r="S529" i="3"/>
  <c r="C529" i="3"/>
  <c r="A529" i="3"/>
  <c r="BY528" i="3"/>
  <c r="BX528" i="3"/>
  <c r="BB528" i="3"/>
  <c r="U528" i="3"/>
  <c r="T528" i="3"/>
  <c r="S528" i="3"/>
  <c r="C528" i="3"/>
  <c r="A528" i="3"/>
  <c r="BY527" i="3"/>
  <c r="BX527" i="3"/>
  <c r="BB527" i="3"/>
  <c r="U527" i="3"/>
  <c r="T527" i="3"/>
  <c r="S527" i="3"/>
  <c r="C527" i="3"/>
  <c r="A527" i="3"/>
  <c r="BY526" i="3"/>
  <c r="BX526" i="3"/>
  <c r="BB526" i="3"/>
  <c r="U526" i="3"/>
  <c r="T526" i="3"/>
  <c r="S526" i="3"/>
  <c r="C526" i="3"/>
  <c r="A526" i="3"/>
  <c r="BY525" i="3"/>
  <c r="BX525" i="3"/>
  <c r="BB525" i="3"/>
  <c r="U525" i="3"/>
  <c r="T525" i="3"/>
  <c r="S525" i="3"/>
  <c r="C525" i="3"/>
  <c r="A525" i="3"/>
  <c r="BY524" i="3"/>
  <c r="BX524" i="3"/>
  <c r="BB524" i="3"/>
  <c r="U524" i="3"/>
  <c r="T524" i="3"/>
  <c r="S524" i="3"/>
  <c r="C524" i="3"/>
  <c r="A524" i="3"/>
  <c r="BY523" i="3"/>
  <c r="BX523" i="3"/>
  <c r="BB523" i="3"/>
  <c r="U523" i="3"/>
  <c r="T523" i="3"/>
  <c r="S523" i="3"/>
  <c r="C523" i="3"/>
  <c r="A523" i="3"/>
  <c r="BY522" i="3"/>
  <c r="BX522" i="3"/>
  <c r="BB522" i="3"/>
  <c r="U522" i="3"/>
  <c r="T522" i="3"/>
  <c r="S522" i="3"/>
  <c r="C522" i="3"/>
  <c r="A522" i="3"/>
  <c r="BY521" i="3"/>
  <c r="BX521" i="3"/>
  <c r="BB521" i="3"/>
  <c r="U521" i="3"/>
  <c r="T521" i="3"/>
  <c r="S521" i="3"/>
  <c r="C521" i="3"/>
  <c r="A521" i="3"/>
  <c r="BY520" i="3"/>
  <c r="BX520" i="3"/>
  <c r="BB520" i="3"/>
  <c r="U520" i="3"/>
  <c r="T520" i="3"/>
  <c r="S520" i="3"/>
  <c r="C520" i="3"/>
  <c r="A520" i="3"/>
  <c r="BY519" i="3"/>
  <c r="BX519" i="3"/>
  <c r="BB519" i="3"/>
  <c r="U519" i="3"/>
  <c r="T519" i="3"/>
  <c r="S519" i="3"/>
  <c r="C519" i="3"/>
  <c r="A519" i="3"/>
  <c r="BY518" i="3"/>
  <c r="BX518" i="3"/>
  <c r="BB518" i="3"/>
  <c r="U518" i="3"/>
  <c r="T518" i="3"/>
  <c r="S518" i="3"/>
  <c r="C518" i="3"/>
  <c r="A518" i="3"/>
  <c r="BY517" i="3"/>
  <c r="BX517" i="3"/>
  <c r="BB517" i="3"/>
  <c r="U517" i="3"/>
  <c r="T517" i="3"/>
  <c r="S517" i="3"/>
  <c r="C517" i="3"/>
  <c r="A517" i="3"/>
  <c r="BY516" i="3"/>
  <c r="BX516" i="3"/>
  <c r="BB516" i="3"/>
  <c r="U516" i="3"/>
  <c r="T516" i="3"/>
  <c r="S516" i="3"/>
  <c r="C516" i="3"/>
  <c r="A516" i="3"/>
  <c r="BY515" i="3"/>
  <c r="BX515" i="3"/>
  <c r="BB515" i="3"/>
  <c r="U515" i="3"/>
  <c r="T515" i="3"/>
  <c r="S515" i="3"/>
  <c r="C515" i="3"/>
  <c r="A515" i="3"/>
  <c r="BY514" i="3"/>
  <c r="BX514" i="3"/>
  <c r="BB514" i="3"/>
  <c r="U514" i="3"/>
  <c r="T514" i="3"/>
  <c r="S514" i="3"/>
  <c r="C514" i="3"/>
  <c r="A514" i="3"/>
  <c r="BY513" i="3"/>
  <c r="BX513" i="3"/>
  <c r="BB513" i="3"/>
  <c r="U513" i="3"/>
  <c r="T513" i="3"/>
  <c r="S513" i="3"/>
  <c r="C513" i="3"/>
  <c r="A513" i="3"/>
  <c r="BY512" i="3"/>
  <c r="BX512" i="3"/>
  <c r="BB512" i="3"/>
  <c r="U512" i="3"/>
  <c r="T512" i="3"/>
  <c r="S512" i="3"/>
  <c r="C512" i="3"/>
  <c r="A512" i="3"/>
  <c r="BY511" i="3"/>
  <c r="BX511" i="3"/>
  <c r="BB511" i="3"/>
  <c r="U511" i="3"/>
  <c r="T511" i="3"/>
  <c r="S511" i="3"/>
  <c r="C511" i="3"/>
  <c r="A511" i="3"/>
  <c r="BY510" i="3"/>
  <c r="BX510" i="3"/>
  <c r="BB510" i="3"/>
  <c r="U510" i="3"/>
  <c r="T510" i="3"/>
  <c r="S510" i="3"/>
  <c r="C510" i="3"/>
  <c r="A510" i="3"/>
  <c r="BY509" i="3"/>
  <c r="BX509" i="3"/>
  <c r="BB509" i="3"/>
  <c r="U509" i="3"/>
  <c r="T509" i="3"/>
  <c r="S509" i="3"/>
  <c r="C509" i="3"/>
  <c r="A509" i="3"/>
  <c r="BY508" i="3"/>
  <c r="BX508" i="3"/>
  <c r="BB508" i="3"/>
  <c r="U508" i="3"/>
  <c r="T508" i="3"/>
  <c r="S508" i="3"/>
  <c r="C508" i="3"/>
  <c r="A508" i="3"/>
  <c r="BY507" i="3"/>
  <c r="BX507" i="3"/>
  <c r="BB507" i="3"/>
  <c r="U507" i="3"/>
  <c r="T507" i="3"/>
  <c r="S507" i="3"/>
  <c r="C507" i="3"/>
  <c r="A507" i="3"/>
  <c r="BY506" i="3"/>
  <c r="BX506" i="3"/>
  <c r="BB506" i="3"/>
  <c r="U506" i="3"/>
  <c r="T506" i="3"/>
  <c r="S506" i="3"/>
  <c r="C506" i="3"/>
  <c r="A506" i="3"/>
  <c r="BY505" i="3"/>
  <c r="BX505" i="3"/>
  <c r="BB505" i="3"/>
  <c r="U505" i="3"/>
  <c r="T505" i="3"/>
  <c r="S505" i="3"/>
  <c r="C505" i="3"/>
  <c r="A505" i="3"/>
  <c r="BY504" i="3"/>
  <c r="BX504" i="3"/>
  <c r="BB504" i="3"/>
  <c r="U504" i="3"/>
  <c r="T504" i="3"/>
  <c r="S504" i="3"/>
  <c r="C504" i="3"/>
  <c r="A504" i="3"/>
  <c r="BY503" i="3"/>
  <c r="BX503" i="3"/>
  <c r="BB503" i="3"/>
  <c r="U503" i="3"/>
  <c r="T503" i="3"/>
  <c r="S503" i="3"/>
  <c r="C503" i="3"/>
  <c r="A503" i="3"/>
  <c r="BY502" i="3"/>
  <c r="BX502" i="3"/>
  <c r="BB502" i="3"/>
  <c r="U502" i="3"/>
  <c r="T502" i="3"/>
  <c r="S502" i="3"/>
  <c r="C502" i="3"/>
  <c r="A502" i="3"/>
  <c r="BY501" i="3"/>
  <c r="BX501" i="3"/>
  <c r="BB501" i="3"/>
  <c r="U501" i="3"/>
  <c r="T501" i="3"/>
  <c r="S501" i="3"/>
  <c r="C501" i="3"/>
  <c r="A501" i="3"/>
  <c r="BY500" i="3"/>
  <c r="BX500" i="3"/>
  <c r="BB500" i="3"/>
  <c r="U500" i="3"/>
  <c r="T500" i="3"/>
  <c r="S500" i="3"/>
  <c r="C500" i="3"/>
  <c r="A500" i="3"/>
  <c r="BY499" i="3"/>
  <c r="BX499" i="3"/>
  <c r="BB499" i="3"/>
  <c r="U499" i="3"/>
  <c r="T499" i="3"/>
  <c r="S499" i="3"/>
  <c r="C499" i="3"/>
  <c r="A499" i="3"/>
  <c r="BY498" i="3"/>
  <c r="BX498" i="3"/>
  <c r="BB498" i="3"/>
  <c r="U498" i="3"/>
  <c r="T498" i="3"/>
  <c r="S498" i="3"/>
  <c r="C498" i="3"/>
  <c r="A498" i="3"/>
  <c r="BY497" i="3"/>
  <c r="BX497" i="3"/>
  <c r="BB497" i="3"/>
  <c r="U497" i="3"/>
  <c r="T497" i="3"/>
  <c r="S497" i="3"/>
  <c r="C497" i="3"/>
  <c r="A497" i="3"/>
  <c r="BY496" i="3"/>
  <c r="BX496" i="3"/>
  <c r="BB496" i="3"/>
  <c r="U496" i="3"/>
  <c r="T496" i="3"/>
  <c r="S496" i="3"/>
  <c r="C496" i="3"/>
  <c r="A496" i="3"/>
  <c r="BY495" i="3"/>
  <c r="BX495" i="3"/>
  <c r="BB495" i="3"/>
  <c r="U495" i="3"/>
  <c r="T495" i="3"/>
  <c r="S495" i="3"/>
  <c r="C495" i="3"/>
  <c r="A495" i="3"/>
  <c r="BY494" i="3"/>
  <c r="BX494" i="3"/>
  <c r="BB494" i="3"/>
  <c r="U494" i="3"/>
  <c r="T494" i="3"/>
  <c r="S494" i="3"/>
  <c r="C494" i="3"/>
  <c r="A494" i="3"/>
  <c r="BY493" i="3"/>
  <c r="BX493" i="3"/>
  <c r="BB493" i="3"/>
  <c r="U493" i="3"/>
  <c r="T493" i="3"/>
  <c r="S493" i="3"/>
  <c r="C493" i="3"/>
  <c r="A493" i="3"/>
  <c r="BY492" i="3"/>
  <c r="BX492" i="3"/>
  <c r="BB492" i="3"/>
  <c r="U492" i="3"/>
  <c r="T492" i="3"/>
  <c r="S492" i="3"/>
  <c r="C492" i="3"/>
  <c r="A492" i="3"/>
  <c r="BY491" i="3"/>
  <c r="BX491" i="3"/>
  <c r="BB491" i="3"/>
  <c r="U491" i="3"/>
  <c r="T491" i="3"/>
  <c r="S491" i="3"/>
  <c r="C491" i="3"/>
  <c r="A491" i="3"/>
  <c r="BY490" i="3"/>
  <c r="BX490" i="3"/>
  <c r="BB490" i="3"/>
  <c r="U490" i="3"/>
  <c r="T490" i="3"/>
  <c r="S490" i="3"/>
  <c r="C490" i="3"/>
  <c r="A490" i="3"/>
  <c r="BY489" i="3"/>
  <c r="BX489" i="3"/>
  <c r="BB489" i="3"/>
  <c r="U489" i="3"/>
  <c r="T489" i="3"/>
  <c r="S489" i="3"/>
  <c r="C489" i="3"/>
  <c r="A489" i="3"/>
  <c r="BY488" i="3"/>
  <c r="BX488" i="3"/>
  <c r="BB488" i="3"/>
  <c r="U488" i="3"/>
  <c r="T488" i="3"/>
  <c r="S488" i="3"/>
  <c r="C488" i="3"/>
  <c r="A488" i="3"/>
  <c r="BY487" i="3"/>
  <c r="BX487" i="3"/>
  <c r="BB487" i="3"/>
  <c r="U487" i="3"/>
  <c r="T487" i="3"/>
  <c r="S487" i="3"/>
  <c r="C487" i="3"/>
  <c r="A487" i="3"/>
  <c r="BY486" i="3"/>
  <c r="BX486" i="3"/>
  <c r="BB486" i="3"/>
  <c r="U486" i="3"/>
  <c r="T486" i="3"/>
  <c r="S486" i="3"/>
  <c r="C486" i="3"/>
  <c r="A486" i="3"/>
  <c r="BY485" i="3"/>
  <c r="BX485" i="3"/>
  <c r="BB485" i="3"/>
  <c r="U485" i="3"/>
  <c r="T485" i="3"/>
  <c r="S485" i="3"/>
  <c r="C485" i="3"/>
  <c r="A485" i="3"/>
  <c r="BY484" i="3"/>
  <c r="BX484" i="3"/>
  <c r="BB484" i="3"/>
  <c r="U484" i="3"/>
  <c r="T484" i="3"/>
  <c r="S484" i="3"/>
  <c r="C484" i="3"/>
  <c r="A484" i="3"/>
  <c r="BY483" i="3"/>
  <c r="BX483" i="3"/>
  <c r="BB483" i="3"/>
  <c r="U483" i="3"/>
  <c r="T483" i="3"/>
  <c r="S483" i="3"/>
  <c r="C483" i="3"/>
  <c r="A483" i="3"/>
  <c r="BY482" i="3"/>
  <c r="BX482" i="3"/>
  <c r="BB482" i="3"/>
  <c r="U482" i="3"/>
  <c r="T482" i="3"/>
  <c r="S482" i="3"/>
  <c r="C482" i="3"/>
  <c r="A482" i="3"/>
  <c r="BY481" i="3"/>
  <c r="BX481" i="3"/>
  <c r="BB481" i="3"/>
  <c r="U481" i="3"/>
  <c r="T481" i="3"/>
  <c r="S481" i="3"/>
  <c r="C481" i="3"/>
  <c r="A481" i="3"/>
  <c r="BY480" i="3"/>
  <c r="BX480" i="3"/>
  <c r="BB480" i="3"/>
  <c r="U480" i="3"/>
  <c r="T480" i="3"/>
  <c r="S480" i="3"/>
  <c r="C480" i="3"/>
  <c r="A480" i="3"/>
  <c r="BY479" i="3"/>
  <c r="BX479" i="3"/>
  <c r="BB479" i="3"/>
  <c r="U479" i="3"/>
  <c r="T479" i="3"/>
  <c r="S479" i="3"/>
  <c r="C479" i="3"/>
  <c r="A479" i="3"/>
  <c r="BY478" i="3"/>
  <c r="BX478" i="3"/>
  <c r="BB478" i="3"/>
  <c r="U478" i="3"/>
  <c r="T478" i="3"/>
  <c r="S478" i="3"/>
  <c r="C478" i="3"/>
  <c r="A478" i="3"/>
  <c r="BY477" i="3"/>
  <c r="BX477" i="3"/>
  <c r="BB477" i="3"/>
  <c r="U477" i="3"/>
  <c r="T477" i="3"/>
  <c r="S477" i="3"/>
  <c r="C477" i="3"/>
  <c r="A477" i="3"/>
  <c r="BY476" i="3"/>
  <c r="BX476" i="3"/>
  <c r="BB476" i="3"/>
  <c r="U476" i="3"/>
  <c r="T476" i="3"/>
  <c r="S476" i="3"/>
  <c r="C476" i="3"/>
  <c r="A476" i="3"/>
  <c r="BY475" i="3"/>
  <c r="BX475" i="3"/>
  <c r="BB475" i="3"/>
  <c r="U475" i="3"/>
  <c r="T475" i="3"/>
  <c r="S475" i="3"/>
  <c r="C475" i="3"/>
  <c r="A475" i="3"/>
  <c r="BY474" i="3"/>
  <c r="BX474" i="3"/>
  <c r="BB474" i="3"/>
  <c r="U474" i="3"/>
  <c r="T474" i="3"/>
  <c r="S474" i="3"/>
  <c r="C474" i="3"/>
  <c r="A474" i="3"/>
  <c r="BY473" i="3"/>
  <c r="BX473" i="3"/>
  <c r="BB473" i="3"/>
  <c r="U473" i="3"/>
  <c r="T473" i="3"/>
  <c r="S473" i="3"/>
  <c r="C473" i="3"/>
  <c r="A473" i="3"/>
  <c r="BY472" i="3"/>
  <c r="BX472" i="3"/>
  <c r="BB472" i="3"/>
  <c r="U472" i="3"/>
  <c r="T472" i="3"/>
  <c r="S472" i="3"/>
  <c r="C472" i="3"/>
  <c r="A472" i="3"/>
  <c r="BY471" i="3"/>
  <c r="BX471" i="3"/>
  <c r="BB471" i="3"/>
  <c r="U471" i="3"/>
  <c r="T471" i="3"/>
  <c r="S471" i="3"/>
  <c r="C471" i="3"/>
  <c r="A471" i="3"/>
  <c r="BY470" i="3"/>
  <c r="BX470" i="3"/>
  <c r="BB470" i="3"/>
  <c r="U470" i="3"/>
  <c r="T470" i="3"/>
  <c r="S470" i="3"/>
  <c r="C470" i="3"/>
  <c r="A470" i="3"/>
  <c r="BY469" i="3"/>
  <c r="BX469" i="3"/>
  <c r="BB469" i="3"/>
  <c r="U469" i="3"/>
  <c r="T469" i="3"/>
  <c r="S469" i="3"/>
  <c r="C469" i="3"/>
  <c r="A469" i="3"/>
  <c r="BY468" i="3"/>
  <c r="BX468" i="3"/>
  <c r="BB468" i="3"/>
  <c r="U468" i="3"/>
  <c r="T468" i="3"/>
  <c r="S468" i="3"/>
  <c r="C468" i="3"/>
  <c r="A468" i="3"/>
  <c r="BY467" i="3"/>
  <c r="BX467" i="3"/>
  <c r="BB467" i="3"/>
  <c r="U467" i="3"/>
  <c r="T467" i="3"/>
  <c r="S467" i="3"/>
  <c r="C467" i="3"/>
  <c r="A467" i="3"/>
  <c r="BY466" i="3"/>
  <c r="BX466" i="3"/>
  <c r="BB466" i="3"/>
  <c r="U466" i="3"/>
  <c r="T466" i="3"/>
  <c r="S466" i="3"/>
  <c r="C466" i="3"/>
  <c r="A466" i="3"/>
  <c r="BY465" i="3"/>
  <c r="BX465" i="3"/>
  <c r="BB465" i="3"/>
  <c r="U465" i="3"/>
  <c r="T465" i="3"/>
  <c r="S465" i="3"/>
  <c r="C465" i="3"/>
  <c r="A465" i="3"/>
  <c r="BY464" i="3"/>
  <c r="BX464" i="3"/>
  <c r="BB464" i="3"/>
  <c r="U464" i="3"/>
  <c r="T464" i="3"/>
  <c r="S464" i="3"/>
  <c r="C464" i="3"/>
  <c r="A464" i="3"/>
  <c r="BY463" i="3"/>
  <c r="BX463" i="3"/>
  <c r="BB463" i="3"/>
  <c r="U463" i="3"/>
  <c r="T463" i="3"/>
  <c r="S463" i="3"/>
  <c r="C463" i="3"/>
  <c r="A463" i="3"/>
  <c r="BY462" i="3"/>
  <c r="BX462" i="3"/>
  <c r="BB462" i="3"/>
  <c r="U462" i="3"/>
  <c r="T462" i="3"/>
  <c r="S462" i="3"/>
  <c r="C462" i="3"/>
  <c r="A462" i="3"/>
  <c r="BY461" i="3"/>
  <c r="BX461" i="3"/>
  <c r="BB461" i="3"/>
  <c r="U461" i="3"/>
  <c r="T461" i="3"/>
  <c r="S461" i="3"/>
  <c r="C461" i="3"/>
  <c r="A461" i="3"/>
  <c r="BY460" i="3"/>
  <c r="BX460" i="3"/>
  <c r="BB460" i="3"/>
  <c r="U460" i="3"/>
  <c r="T460" i="3"/>
  <c r="S460" i="3"/>
  <c r="C460" i="3"/>
  <c r="A460" i="3"/>
  <c r="BY459" i="3"/>
  <c r="BX459" i="3"/>
  <c r="BB459" i="3"/>
  <c r="U459" i="3"/>
  <c r="T459" i="3"/>
  <c r="S459" i="3"/>
  <c r="C459" i="3"/>
  <c r="A459" i="3"/>
  <c r="BY458" i="3"/>
  <c r="BX458" i="3"/>
  <c r="BB458" i="3"/>
  <c r="U458" i="3"/>
  <c r="T458" i="3"/>
  <c r="S458" i="3"/>
  <c r="C458" i="3"/>
  <c r="A458" i="3"/>
  <c r="BY457" i="3"/>
  <c r="BX457" i="3"/>
  <c r="BB457" i="3"/>
  <c r="U457" i="3"/>
  <c r="T457" i="3"/>
  <c r="S457" i="3"/>
  <c r="C457" i="3"/>
  <c r="A457" i="3"/>
  <c r="BY456" i="3"/>
  <c r="BX456" i="3"/>
  <c r="BB456" i="3"/>
  <c r="U456" i="3"/>
  <c r="T456" i="3"/>
  <c r="S456" i="3"/>
  <c r="C456" i="3"/>
  <c r="A456" i="3"/>
  <c r="BY455" i="3"/>
  <c r="BX455" i="3"/>
  <c r="BB455" i="3"/>
  <c r="U455" i="3"/>
  <c r="T455" i="3"/>
  <c r="S455" i="3"/>
  <c r="C455" i="3"/>
  <c r="A455" i="3"/>
  <c r="BY454" i="3"/>
  <c r="BX454" i="3"/>
  <c r="BB454" i="3"/>
  <c r="U454" i="3"/>
  <c r="T454" i="3"/>
  <c r="S454" i="3"/>
  <c r="C454" i="3"/>
  <c r="A454" i="3"/>
  <c r="BY453" i="3"/>
  <c r="BX453" i="3"/>
  <c r="BB453" i="3"/>
  <c r="U453" i="3"/>
  <c r="T453" i="3"/>
  <c r="S453" i="3"/>
  <c r="C453" i="3"/>
  <c r="A453" i="3"/>
  <c r="BY452" i="3"/>
  <c r="BX452" i="3"/>
  <c r="BB452" i="3"/>
  <c r="U452" i="3"/>
  <c r="T452" i="3"/>
  <c r="S452" i="3"/>
  <c r="C452" i="3"/>
  <c r="A452" i="3"/>
  <c r="BY451" i="3"/>
  <c r="BX451" i="3"/>
  <c r="BB451" i="3"/>
  <c r="U451" i="3"/>
  <c r="T451" i="3"/>
  <c r="S451" i="3"/>
  <c r="C451" i="3"/>
  <c r="A451" i="3"/>
  <c r="BY450" i="3"/>
  <c r="BX450" i="3"/>
  <c r="BB450" i="3"/>
  <c r="U450" i="3"/>
  <c r="T450" i="3"/>
  <c r="S450" i="3"/>
  <c r="C450" i="3"/>
  <c r="A450" i="3"/>
  <c r="BY449" i="3"/>
  <c r="BX449" i="3"/>
  <c r="BB449" i="3"/>
  <c r="U449" i="3"/>
  <c r="T449" i="3"/>
  <c r="S449" i="3"/>
  <c r="C449" i="3"/>
  <c r="A449" i="3"/>
  <c r="BY448" i="3"/>
  <c r="BX448" i="3"/>
  <c r="BB448" i="3"/>
  <c r="U448" i="3"/>
  <c r="T448" i="3"/>
  <c r="S448" i="3"/>
  <c r="C448" i="3"/>
  <c r="A448" i="3"/>
  <c r="BY447" i="3"/>
  <c r="BX447" i="3"/>
  <c r="BB447" i="3"/>
  <c r="U447" i="3"/>
  <c r="T447" i="3"/>
  <c r="S447" i="3"/>
  <c r="C447" i="3"/>
  <c r="A447" i="3"/>
  <c r="BY446" i="3"/>
  <c r="BX446" i="3"/>
  <c r="BB446" i="3"/>
  <c r="U446" i="3"/>
  <c r="T446" i="3"/>
  <c r="S446" i="3"/>
  <c r="C446" i="3"/>
  <c r="A446" i="3"/>
  <c r="BY445" i="3"/>
  <c r="BX445" i="3"/>
  <c r="BB445" i="3"/>
  <c r="U445" i="3"/>
  <c r="T445" i="3"/>
  <c r="S445" i="3"/>
  <c r="C445" i="3"/>
  <c r="A445" i="3"/>
  <c r="BY444" i="3"/>
  <c r="BX444" i="3"/>
  <c r="BB444" i="3"/>
  <c r="U444" i="3"/>
  <c r="T444" i="3"/>
  <c r="S444" i="3"/>
  <c r="C444" i="3"/>
  <c r="A444" i="3"/>
  <c r="BY443" i="3"/>
  <c r="BX443" i="3"/>
  <c r="BB443" i="3"/>
  <c r="U443" i="3"/>
  <c r="T443" i="3"/>
  <c r="S443" i="3"/>
  <c r="C443" i="3"/>
  <c r="A443" i="3"/>
  <c r="BY442" i="3"/>
  <c r="BX442" i="3"/>
  <c r="BB442" i="3"/>
  <c r="U442" i="3"/>
  <c r="T442" i="3"/>
  <c r="S442" i="3"/>
  <c r="C442" i="3"/>
  <c r="A442" i="3"/>
  <c r="BY441" i="3"/>
  <c r="BX441" i="3"/>
  <c r="BB441" i="3"/>
  <c r="U441" i="3"/>
  <c r="T441" i="3"/>
  <c r="S441" i="3"/>
  <c r="C441" i="3"/>
  <c r="A441" i="3"/>
  <c r="BY440" i="3"/>
  <c r="BX440" i="3"/>
  <c r="BB440" i="3"/>
  <c r="U440" i="3"/>
  <c r="T440" i="3"/>
  <c r="S440" i="3"/>
  <c r="C440" i="3"/>
  <c r="A440" i="3"/>
  <c r="BY439" i="3"/>
  <c r="BX439" i="3"/>
  <c r="BB439" i="3"/>
  <c r="U439" i="3"/>
  <c r="T439" i="3"/>
  <c r="S439" i="3"/>
  <c r="C439" i="3"/>
  <c r="A439" i="3"/>
  <c r="BY438" i="3"/>
  <c r="BX438" i="3"/>
  <c r="BB438" i="3"/>
  <c r="U438" i="3"/>
  <c r="T438" i="3"/>
  <c r="S438" i="3"/>
  <c r="C438" i="3"/>
  <c r="A438" i="3"/>
  <c r="BY437" i="3"/>
  <c r="BX437" i="3"/>
  <c r="BB437" i="3"/>
  <c r="U437" i="3"/>
  <c r="T437" i="3"/>
  <c r="S437" i="3"/>
  <c r="C437" i="3"/>
  <c r="A437" i="3"/>
  <c r="BY436" i="3"/>
  <c r="BX436" i="3"/>
  <c r="BB436" i="3"/>
  <c r="U436" i="3"/>
  <c r="T436" i="3"/>
  <c r="S436" i="3"/>
  <c r="C436" i="3"/>
  <c r="A436" i="3"/>
  <c r="BY435" i="3"/>
  <c r="BX435" i="3"/>
  <c r="BB435" i="3"/>
  <c r="U435" i="3"/>
  <c r="T435" i="3"/>
  <c r="S435" i="3"/>
  <c r="C435" i="3"/>
  <c r="A435" i="3"/>
  <c r="BY434" i="3"/>
  <c r="BX434" i="3"/>
  <c r="BB434" i="3"/>
  <c r="U434" i="3"/>
  <c r="T434" i="3"/>
  <c r="S434" i="3"/>
  <c r="C434" i="3"/>
  <c r="A434" i="3"/>
  <c r="BY433" i="3"/>
  <c r="BX433" i="3"/>
  <c r="BB433" i="3"/>
  <c r="U433" i="3"/>
  <c r="T433" i="3"/>
  <c r="S433" i="3"/>
  <c r="C433" i="3"/>
  <c r="A433" i="3"/>
  <c r="BY432" i="3"/>
  <c r="BX432" i="3"/>
  <c r="BB432" i="3"/>
  <c r="U432" i="3"/>
  <c r="T432" i="3"/>
  <c r="S432" i="3"/>
  <c r="C432" i="3"/>
  <c r="A432" i="3"/>
  <c r="BY431" i="3"/>
  <c r="BX431" i="3"/>
  <c r="BB431" i="3"/>
  <c r="U431" i="3"/>
  <c r="T431" i="3"/>
  <c r="S431" i="3"/>
  <c r="C431" i="3"/>
  <c r="A431" i="3"/>
  <c r="BY430" i="3"/>
  <c r="BX430" i="3"/>
  <c r="BB430" i="3"/>
  <c r="U430" i="3"/>
  <c r="T430" i="3"/>
  <c r="S430" i="3"/>
  <c r="C430" i="3"/>
  <c r="A430" i="3"/>
  <c r="BY429" i="3"/>
  <c r="BX429" i="3"/>
  <c r="BB429" i="3"/>
  <c r="U429" i="3"/>
  <c r="T429" i="3"/>
  <c r="S429" i="3"/>
  <c r="C429" i="3"/>
  <c r="A429" i="3"/>
  <c r="BY428" i="3"/>
  <c r="BX428" i="3"/>
  <c r="BB428" i="3"/>
  <c r="U428" i="3"/>
  <c r="T428" i="3"/>
  <c r="S428" i="3"/>
  <c r="C428" i="3"/>
  <c r="A428" i="3"/>
  <c r="BY427" i="3"/>
  <c r="BX427" i="3"/>
  <c r="BB427" i="3"/>
  <c r="U427" i="3"/>
  <c r="T427" i="3"/>
  <c r="S427" i="3"/>
  <c r="C427" i="3"/>
  <c r="A427" i="3"/>
  <c r="BY426" i="3"/>
  <c r="BX426" i="3"/>
  <c r="BB426" i="3"/>
  <c r="U426" i="3"/>
  <c r="T426" i="3"/>
  <c r="S426" i="3"/>
  <c r="C426" i="3"/>
  <c r="A426" i="3"/>
  <c r="BY425" i="3"/>
  <c r="BX425" i="3"/>
  <c r="BB425" i="3"/>
  <c r="U425" i="3"/>
  <c r="T425" i="3"/>
  <c r="S425" i="3"/>
  <c r="C425" i="3"/>
  <c r="A425" i="3"/>
  <c r="BY424" i="3"/>
  <c r="BX424" i="3"/>
  <c r="BB424" i="3"/>
  <c r="U424" i="3"/>
  <c r="T424" i="3"/>
  <c r="S424" i="3"/>
  <c r="C424" i="3"/>
  <c r="A424" i="3"/>
  <c r="BY423" i="3"/>
  <c r="BX423" i="3"/>
  <c r="BB423" i="3"/>
  <c r="U423" i="3"/>
  <c r="T423" i="3"/>
  <c r="S423" i="3"/>
  <c r="C423" i="3"/>
  <c r="A423" i="3"/>
  <c r="BY422" i="3"/>
  <c r="BX422" i="3"/>
  <c r="BB422" i="3"/>
  <c r="U422" i="3"/>
  <c r="T422" i="3"/>
  <c r="S422" i="3"/>
  <c r="C422" i="3"/>
  <c r="A422" i="3"/>
  <c r="BY421" i="3"/>
  <c r="BX421" i="3"/>
  <c r="BB421" i="3"/>
  <c r="U421" i="3"/>
  <c r="T421" i="3"/>
  <c r="S421" i="3"/>
  <c r="C421" i="3"/>
  <c r="A421" i="3"/>
  <c r="BY420" i="3"/>
  <c r="BX420" i="3"/>
  <c r="BB420" i="3"/>
  <c r="U420" i="3"/>
  <c r="T420" i="3"/>
  <c r="S420" i="3"/>
  <c r="C420" i="3"/>
  <c r="A420" i="3"/>
  <c r="BY419" i="3"/>
  <c r="BX419" i="3"/>
  <c r="BB419" i="3"/>
  <c r="U419" i="3"/>
  <c r="T419" i="3"/>
  <c r="S419" i="3"/>
  <c r="C419" i="3"/>
  <c r="A419" i="3"/>
  <c r="BY418" i="3"/>
  <c r="BX418" i="3"/>
  <c r="BB418" i="3"/>
  <c r="U418" i="3"/>
  <c r="T418" i="3"/>
  <c r="S418" i="3"/>
  <c r="C418" i="3"/>
  <c r="A418" i="3"/>
  <c r="BY417" i="3"/>
  <c r="BX417" i="3"/>
  <c r="BB417" i="3"/>
  <c r="U417" i="3"/>
  <c r="T417" i="3"/>
  <c r="S417" i="3"/>
  <c r="C417" i="3"/>
  <c r="A417" i="3"/>
  <c r="BY416" i="3"/>
  <c r="BX416" i="3"/>
  <c r="BB416" i="3"/>
  <c r="U416" i="3"/>
  <c r="T416" i="3"/>
  <c r="S416" i="3"/>
  <c r="C416" i="3"/>
  <c r="A416" i="3"/>
  <c r="BY415" i="3"/>
  <c r="BX415" i="3"/>
  <c r="BB415" i="3"/>
  <c r="U415" i="3"/>
  <c r="T415" i="3"/>
  <c r="S415" i="3"/>
  <c r="C415" i="3"/>
  <c r="A415" i="3"/>
  <c r="BY414" i="3"/>
  <c r="BX414" i="3"/>
  <c r="BB414" i="3"/>
  <c r="U414" i="3"/>
  <c r="T414" i="3"/>
  <c r="S414" i="3"/>
  <c r="C414" i="3"/>
  <c r="A414" i="3"/>
  <c r="BY413" i="3"/>
  <c r="BX413" i="3"/>
  <c r="BB413" i="3"/>
  <c r="U413" i="3"/>
  <c r="T413" i="3"/>
  <c r="S413" i="3"/>
  <c r="C413" i="3"/>
  <c r="A413" i="3"/>
  <c r="BY412" i="3"/>
  <c r="BX412" i="3"/>
  <c r="BB412" i="3"/>
  <c r="U412" i="3"/>
  <c r="T412" i="3"/>
  <c r="S412" i="3"/>
  <c r="C412" i="3"/>
  <c r="A412" i="3"/>
  <c r="BY411" i="3"/>
  <c r="BX411" i="3"/>
  <c r="BB411" i="3"/>
  <c r="U411" i="3"/>
  <c r="T411" i="3"/>
  <c r="S411" i="3"/>
  <c r="C411" i="3"/>
  <c r="A411" i="3"/>
  <c r="BY410" i="3"/>
  <c r="BX410" i="3"/>
  <c r="BB410" i="3"/>
  <c r="U410" i="3"/>
  <c r="T410" i="3"/>
  <c r="S410" i="3"/>
  <c r="C410" i="3"/>
  <c r="A410" i="3"/>
  <c r="BY409" i="3"/>
  <c r="BX409" i="3"/>
  <c r="BB409" i="3"/>
  <c r="U409" i="3"/>
  <c r="T409" i="3"/>
  <c r="S409" i="3"/>
  <c r="C409" i="3"/>
  <c r="A409" i="3"/>
  <c r="BY408" i="3"/>
  <c r="BX408" i="3"/>
  <c r="BB408" i="3"/>
  <c r="U408" i="3"/>
  <c r="T408" i="3"/>
  <c r="S408" i="3"/>
  <c r="C408" i="3"/>
  <c r="A408" i="3"/>
  <c r="BY407" i="3"/>
  <c r="BX407" i="3"/>
  <c r="BB407" i="3"/>
  <c r="U407" i="3"/>
  <c r="T407" i="3"/>
  <c r="S407" i="3"/>
  <c r="C407" i="3"/>
  <c r="A407" i="3"/>
  <c r="BY406" i="3"/>
  <c r="BX406" i="3"/>
  <c r="BB406" i="3"/>
  <c r="U406" i="3"/>
  <c r="T406" i="3"/>
  <c r="S406" i="3"/>
  <c r="C406" i="3"/>
  <c r="A406" i="3"/>
  <c r="BY405" i="3"/>
  <c r="BX405" i="3"/>
  <c r="BB405" i="3"/>
  <c r="U405" i="3"/>
  <c r="T405" i="3"/>
  <c r="S405" i="3"/>
  <c r="C405" i="3"/>
  <c r="A405" i="3"/>
  <c r="BY404" i="3"/>
  <c r="BX404" i="3"/>
  <c r="BB404" i="3"/>
  <c r="U404" i="3"/>
  <c r="T404" i="3"/>
  <c r="S404" i="3"/>
  <c r="C404" i="3"/>
  <c r="A404" i="3"/>
  <c r="BY403" i="3"/>
  <c r="BX403" i="3"/>
  <c r="BB403" i="3"/>
  <c r="U403" i="3"/>
  <c r="T403" i="3"/>
  <c r="S403" i="3"/>
  <c r="C403" i="3"/>
  <c r="A403" i="3"/>
  <c r="BY402" i="3"/>
  <c r="BX402" i="3"/>
  <c r="BB402" i="3"/>
  <c r="U402" i="3"/>
  <c r="T402" i="3"/>
  <c r="S402" i="3"/>
  <c r="C402" i="3"/>
  <c r="A402" i="3"/>
  <c r="BY401" i="3"/>
  <c r="BX401" i="3"/>
  <c r="BB401" i="3"/>
  <c r="U401" i="3"/>
  <c r="T401" i="3"/>
  <c r="S401" i="3"/>
  <c r="C401" i="3"/>
  <c r="A401" i="3"/>
  <c r="BY400" i="3"/>
  <c r="BX400" i="3"/>
  <c r="BB400" i="3"/>
  <c r="U400" i="3"/>
  <c r="T400" i="3"/>
  <c r="S400" i="3"/>
  <c r="C400" i="3"/>
  <c r="A400" i="3"/>
  <c r="BY399" i="3"/>
  <c r="BX399" i="3"/>
  <c r="BB399" i="3"/>
  <c r="U399" i="3"/>
  <c r="T399" i="3"/>
  <c r="S399" i="3"/>
  <c r="C399" i="3"/>
  <c r="A399" i="3"/>
  <c r="BY398" i="3"/>
  <c r="BX398" i="3"/>
  <c r="BB398" i="3"/>
  <c r="U398" i="3"/>
  <c r="T398" i="3"/>
  <c r="S398" i="3"/>
  <c r="C398" i="3"/>
  <c r="A398" i="3"/>
  <c r="BY397" i="3"/>
  <c r="BX397" i="3"/>
  <c r="BB397" i="3"/>
  <c r="U397" i="3"/>
  <c r="T397" i="3"/>
  <c r="S397" i="3"/>
  <c r="C397" i="3"/>
  <c r="A397" i="3"/>
  <c r="BY396" i="3"/>
  <c r="BX396" i="3"/>
  <c r="BB396" i="3"/>
  <c r="U396" i="3"/>
  <c r="T396" i="3"/>
  <c r="S396" i="3"/>
  <c r="C396" i="3"/>
  <c r="A396" i="3"/>
  <c r="BY395" i="3"/>
  <c r="BX395" i="3"/>
  <c r="BB395" i="3"/>
  <c r="U395" i="3"/>
  <c r="T395" i="3"/>
  <c r="S395" i="3"/>
  <c r="C395" i="3"/>
  <c r="A395" i="3"/>
  <c r="BY394" i="3"/>
  <c r="BX394" i="3"/>
  <c r="BB394" i="3"/>
  <c r="U394" i="3"/>
  <c r="T394" i="3"/>
  <c r="S394" i="3"/>
  <c r="C394" i="3"/>
  <c r="A394" i="3"/>
  <c r="BY393" i="3"/>
  <c r="BX393" i="3"/>
  <c r="BB393" i="3"/>
  <c r="U393" i="3"/>
  <c r="T393" i="3"/>
  <c r="S393" i="3"/>
  <c r="C393" i="3"/>
  <c r="A393" i="3"/>
  <c r="BY392" i="3"/>
  <c r="BX392" i="3"/>
  <c r="BB392" i="3"/>
  <c r="U392" i="3"/>
  <c r="T392" i="3"/>
  <c r="S392" i="3"/>
  <c r="C392" i="3"/>
  <c r="A392" i="3"/>
  <c r="BY391" i="3"/>
  <c r="BX391" i="3"/>
  <c r="BB391" i="3"/>
  <c r="U391" i="3"/>
  <c r="T391" i="3"/>
  <c r="S391" i="3"/>
  <c r="C391" i="3"/>
  <c r="A391" i="3"/>
  <c r="BY390" i="3"/>
  <c r="BX390" i="3"/>
  <c r="BB390" i="3"/>
  <c r="U390" i="3"/>
  <c r="T390" i="3"/>
  <c r="S390" i="3"/>
  <c r="C390" i="3"/>
  <c r="A390" i="3"/>
  <c r="BY389" i="3"/>
  <c r="BX389" i="3"/>
  <c r="BB389" i="3"/>
  <c r="U389" i="3"/>
  <c r="T389" i="3"/>
  <c r="S389" i="3"/>
  <c r="C389" i="3"/>
  <c r="A389" i="3"/>
  <c r="BY388" i="3"/>
  <c r="BX388" i="3"/>
  <c r="BB388" i="3"/>
  <c r="U388" i="3"/>
  <c r="T388" i="3"/>
  <c r="S388" i="3"/>
  <c r="C388" i="3"/>
  <c r="A388" i="3"/>
  <c r="BY387" i="3"/>
  <c r="BX387" i="3"/>
  <c r="BB387" i="3"/>
  <c r="U387" i="3"/>
  <c r="T387" i="3"/>
  <c r="S387" i="3"/>
  <c r="C387" i="3"/>
  <c r="A387" i="3"/>
  <c r="BY386" i="3"/>
  <c r="BX386" i="3"/>
  <c r="BB386" i="3"/>
  <c r="U386" i="3"/>
  <c r="T386" i="3"/>
  <c r="S386" i="3"/>
  <c r="C386" i="3"/>
  <c r="A386" i="3"/>
  <c r="BY385" i="3"/>
  <c r="BX385" i="3"/>
  <c r="BB385" i="3"/>
  <c r="U385" i="3"/>
  <c r="T385" i="3"/>
  <c r="S385" i="3"/>
  <c r="C385" i="3"/>
  <c r="A385" i="3"/>
  <c r="BY384" i="3"/>
  <c r="BX384" i="3"/>
  <c r="BB384" i="3"/>
  <c r="U384" i="3"/>
  <c r="T384" i="3"/>
  <c r="S384" i="3"/>
  <c r="C384" i="3"/>
  <c r="A384" i="3"/>
  <c r="BY383" i="3"/>
  <c r="BX383" i="3"/>
  <c r="BB383" i="3"/>
  <c r="U383" i="3"/>
  <c r="T383" i="3"/>
  <c r="S383" i="3"/>
  <c r="C383" i="3"/>
  <c r="A383" i="3"/>
  <c r="BY382" i="3"/>
  <c r="BX382" i="3"/>
  <c r="BB382" i="3"/>
  <c r="U382" i="3"/>
  <c r="T382" i="3"/>
  <c r="S382" i="3"/>
  <c r="C382" i="3"/>
  <c r="A382" i="3"/>
  <c r="BY381" i="3"/>
  <c r="BX381" i="3"/>
  <c r="BB381" i="3"/>
  <c r="U381" i="3"/>
  <c r="T381" i="3"/>
  <c r="S381" i="3"/>
  <c r="C381" i="3"/>
  <c r="A381" i="3"/>
  <c r="BY380" i="3"/>
  <c r="BX380" i="3"/>
  <c r="BB380" i="3"/>
  <c r="U380" i="3"/>
  <c r="T380" i="3"/>
  <c r="S380" i="3"/>
  <c r="C380" i="3"/>
  <c r="A380" i="3"/>
  <c r="BY379" i="3"/>
  <c r="BX379" i="3"/>
  <c r="BB379" i="3"/>
  <c r="U379" i="3"/>
  <c r="T379" i="3"/>
  <c r="S379" i="3"/>
  <c r="C379" i="3"/>
  <c r="A379" i="3"/>
  <c r="BY378" i="3"/>
  <c r="BX378" i="3"/>
  <c r="BB378" i="3"/>
  <c r="U378" i="3"/>
  <c r="T378" i="3"/>
  <c r="S378" i="3"/>
  <c r="C378" i="3"/>
  <c r="A378" i="3"/>
  <c r="BY377" i="3"/>
  <c r="BX377" i="3"/>
  <c r="BB377" i="3"/>
  <c r="U377" i="3"/>
  <c r="T377" i="3"/>
  <c r="S377" i="3"/>
  <c r="C377" i="3"/>
  <c r="A377" i="3"/>
  <c r="BY376" i="3"/>
  <c r="BX376" i="3"/>
  <c r="BB376" i="3"/>
  <c r="U376" i="3"/>
  <c r="T376" i="3"/>
  <c r="S376" i="3"/>
  <c r="C376" i="3"/>
  <c r="A376" i="3"/>
  <c r="BY375" i="3"/>
  <c r="BX375" i="3"/>
  <c r="BB375" i="3"/>
  <c r="U375" i="3"/>
  <c r="T375" i="3"/>
  <c r="S375" i="3"/>
  <c r="C375" i="3"/>
  <c r="A375" i="3"/>
  <c r="BY374" i="3"/>
  <c r="BX374" i="3"/>
  <c r="BB374" i="3"/>
  <c r="U374" i="3"/>
  <c r="T374" i="3"/>
  <c r="S374" i="3"/>
  <c r="C374" i="3"/>
  <c r="A374" i="3"/>
  <c r="BY373" i="3"/>
  <c r="BX373" i="3"/>
  <c r="BB373" i="3"/>
  <c r="U373" i="3"/>
  <c r="T373" i="3"/>
  <c r="S373" i="3"/>
  <c r="C373" i="3"/>
  <c r="A373" i="3"/>
  <c r="BY372" i="3"/>
  <c r="BX372" i="3"/>
  <c r="BB372" i="3"/>
  <c r="U372" i="3"/>
  <c r="T372" i="3"/>
  <c r="S372" i="3"/>
  <c r="C372" i="3"/>
  <c r="A372" i="3"/>
  <c r="BY371" i="3"/>
  <c r="BX371" i="3"/>
  <c r="BB371" i="3"/>
  <c r="U371" i="3"/>
  <c r="T371" i="3"/>
  <c r="S371" i="3"/>
  <c r="C371" i="3"/>
  <c r="A371" i="3"/>
  <c r="BY370" i="3"/>
  <c r="BX370" i="3"/>
  <c r="BB370" i="3"/>
  <c r="U370" i="3"/>
  <c r="T370" i="3"/>
  <c r="S370" i="3"/>
  <c r="C370" i="3"/>
  <c r="A370" i="3"/>
  <c r="BY369" i="3"/>
  <c r="BX369" i="3"/>
  <c r="BB369" i="3"/>
  <c r="U369" i="3"/>
  <c r="T369" i="3"/>
  <c r="S369" i="3"/>
  <c r="C369" i="3"/>
  <c r="A369" i="3"/>
  <c r="BY368" i="3"/>
  <c r="BX368" i="3"/>
  <c r="BB368" i="3"/>
  <c r="U368" i="3"/>
  <c r="T368" i="3"/>
  <c r="S368" i="3"/>
  <c r="C368" i="3"/>
  <c r="A368" i="3"/>
  <c r="BY367" i="3"/>
  <c r="BX367" i="3"/>
  <c r="BB367" i="3"/>
  <c r="U367" i="3"/>
  <c r="T367" i="3"/>
  <c r="S367" i="3"/>
  <c r="C367" i="3"/>
  <c r="A367" i="3"/>
  <c r="BY366" i="3"/>
  <c r="BX366" i="3"/>
  <c r="BB366" i="3"/>
  <c r="U366" i="3"/>
  <c r="T366" i="3"/>
  <c r="S366" i="3"/>
  <c r="C366" i="3"/>
  <c r="A366" i="3"/>
  <c r="BY365" i="3"/>
  <c r="BX365" i="3"/>
  <c r="BB365" i="3"/>
  <c r="U365" i="3"/>
  <c r="T365" i="3"/>
  <c r="S365" i="3"/>
  <c r="C365" i="3"/>
  <c r="A365" i="3"/>
  <c r="BY364" i="3"/>
  <c r="BX364" i="3"/>
  <c r="BB364" i="3"/>
  <c r="U364" i="3"/>
  <c r="T364" i="3"/>
  <c r="S364" i="3"/>
  <c r="C364" i="3"/>
  <c r="A364" i="3"/>
  <c r="BY363" i="3"/>
  <c r="BX363" i="3"/>
  <c r="BB363" i="3"/>
  <c r="U363" i="3"/>
  <c r="T363" i="3"/>
  <c r="S363" i="3"/>
  <c r="C363" i="3"/>
  <c r="A363" i="3"/>
  <c r="BY362" i="3"/>
  <c r="BX362" i="3"/>
  <c r="BB362" i="3"/>
  <c r="U362" i="3"/>
  <c r="T362" i="3"/>
  <c r="S362" i="3"/>
  <c r="C362" i="3"/>
  <c r="A362" i="3"/>
  <c r="BY361" i="3"/>
  <c r="BX361" i="3"/>
  <c r="BB361" i="3"/>
  <c r="U361" i="3"/>
  <c r="T361" i="3"/>
  <c r="S361" i="3"/>
  <c r="C361" i="3"/>
  <c r="A361" i="3"/>
  <c r="BY360" i="3"/>
  <c r="BX360" i="3"/>
  <c r="BB360" i="3"/>
  <c r="U360" i="3"/>
  <c r="T360" i="3"/>
  <c r="S360" i="3"/>
  <c r="C360" i="3"/>
  <c r="A360" i="3"/>
  <c r="BY359" i="3"/>
  <c r="BX359" i="3"/>
  <c r="BB359" i="3"/>
  <c r="U359" i="3"/>
  <c r="T359" i="3"/>
  <c r="S359" i="3"/>
  <c r="C359" i="3"/>
  <c r="A359" i="3"/>
  <c r="BY358" i="3"/>
  <c r="BX358" i="3"/>
  <c r="BB358" i="3"/>
  <c r="U358" i="3"/>
  <c r="T358" i="3"/>
  <c r="S358" i="3"/>
  <c r="C358" i="3"/>
  <c r="A358" i="3"/>
  <c r="BY357" i="3"/>
  <c r="BX357" i="3"/>
  <c r="BB357" i="3"/>
  <c r="U357" i="3"/>
  <c r="T357" i="3"/>
  <c r="S357" i="3"/>
  <c r="C357" i="3"/>
  <c r="A357" i="3"/>
  <c r="BY356" i="3"/>
  <c r="BX356" i="3"/>
  <c r="BB356" i="3"/>
  <c r="U356" i="3"/>
  <c r="T356" i="3"/>
  <c r="S356" i="3"/>
  <c r="C356" i="3"/>
  <c r="A356" i="3"/>
  <c r="BY355" i="3"/>
  <c r="BX355" i="3"/>
  <c r="BB355" i="3"/>
  <c r="U355" i="3"/>
  <c r="T355" i="3"/>
  <c r="S355" i="3"/>
  <c r="C355" i="3"/>
  <c r="A355" i="3"/>
  <c r="BY354" i="3"/>
  <c r="BX354" i="3"/>
  <c r="BB354" i="3"/>
  <c r="U354" i="3"/>
  <c r="T354" i="3"/>
  <c r="S354" i="3"/>
  <c r="C354" i="3"/>
  <c r="A354" i="3"/>
  <c r="BY353" i="3"/>
  <c r="BX353" i="3"/>
  <c r="BB353" i="3"/>
  <c r="U353" i="3"/>
  <c r="T353" i="3"/>
  <c r="S353" i="3"/>
  <c r="C353" i="3"/>
  <c r="A353" i="3"/>
  <c r="BY352" i="3"/>
  <c r="BX352" i="3"/>
  <c r="BB352" i="3"/>
  <c r="U352" i="3"/>
  <c r="T352" i="3"/>
  <c r="S352" i="3"/>
  <c r="C352" i="3"/>
  <c r="A352" i="3"/>
  <c r="BY351" i="3"/>
  <c r="BX351" i="3"/>
  <c r="BB351" i="3"/>
  <c r="U351" i="3"/>
  <c r="T351" i="3"/>
  <c r="S351" i="3"/>
  <c r="C351" i="3"/>
  <c r="A351" i="3"/>
  <c r="BY350" i="3"/>
  <c r="BX350" i="3"/>
  <c r="BB350" i="3"/>
  <c r="U350" i="3"/>
  <c r="T350" i="3"/>
  <c r="S350" i="3"/>
  <c r="C350" i="3"/>
  <c r="A350" i="3"/>
  <c r="BY349" i="3"/>
  <c r="BX349" i="3"/>
  <c r="BB349" i="3"/>
  <c r="U349" i="3"/>
  <c r="T349" i="3"/>
  <c r="S349" i="3"/>
  <c r="C349" i="3"/>
  <c r="A349" i="3"/>
  <c r="BY348" i="3"/>
  <c r="BX348" i="3"/>
  <c r="BB348" i="3"/>
  <c r="U348" i="3"/>
  <c r="T348" i="3"/>
  <c r="S348" i="3"/>
  <c r="C348" i="3"/>
  <c r="A348" i="3"/>
  <c r="BY347" i="3"/>
  <c r="BX347" i="3"/>
  <c r="BB347" i="3"/>
  <c r="U347" i="3"/>
  <c r="T347" i="3"/>
  <c r="S347" i="3"/>
  <c r="C347" i="3"/>
  <c r="A347" i="3"/>
  <c r="BY346" i="3"/>
  <c r="BX346" i="3"/>
  <c r="BB346" i="3"/>
  <c r="U346" i="3"/>
  <c r="T346" i="3"/>
  <c r="S346" i="3"/>
  <c r="C346" i="3"/>
  <c r="A346" i="3"/>
  <c r="BY345" i="3"/>
  <c r="BX345" i="3"/>
  <c r="BB345" i="3"/>
  <c r="U345" i="3"/>
  <c r="T345" i="3"/>
  <c r="S345" i="3"/>
  <c r="C345" i="3"/>
  <c r="A345" i="3"/>
  <c r="BY344" i="3"/>
  <c r="BX344" i="3"/>
  <c r="BB344" i="3"/>
  <c r="U344" i="3"/>
  <c r="T344" i="3"/>
  <c r="S344" i="3"/>
  <c r="C344" i="3"/>
  <c r="A344" i="3"/>
  <c r="BY343" i="3"/>
  <c r="BX343" i="3"/>
  <c r="BB343" i="3"/>
  <c r="U343" i="3"/>
  <c r="T343" i="3"/>
  <c r="S343" i="3"/>
  <c r="C343" i="3"/>
  <c r="A343" i="3"/>
  <c r="BY342" i="3"/>
  <c r="BX342" i="3"/>
  <c r="BB342" i="3"/>
  <c r="U342" i="3"/>
  <c r="T342" i="3"/>
  <c r="S342" i="3"/>
  <c r="C342" i="3"/>
  <c r="A342" i="3"/>
  <c r="BY341" i="3"/>
  <c r="BX341" i="3"/>
  <c r="BB341" i="3"/>
  <c r="U341" i="3"/>
  <c r="T341" i="3"/>
  <c r="S341" i="3"/>
  <c r="C341" i="3"/>
  <c r="A341" i="3"/>
  <c r="BY340" i="3"/>
  <c r="BX340" i="3"/>
  <c r="BB340" i="3"/>
  <c r="U340" i="3"/>
  <c r="T340" i="3"/>
  <c r="S340" i="3"/>
  <c r="C340" i="3"/>
  <c r="A340" i="3"/>
  <c r="BY339" i="3"/>
  <c r="BX339" i="3"/>
  <c r="BB339" i="3"/>
  <c r="U339" i="3"/>
  <c r="T339" i="3"/>
  <c r="S339" i="3"/>
  <c r="C339" i="3"/>
  <c r="A339" i="3"/>
  <c r="BY338" i="3"/>
  <c r="BX338" i="3"/>
  <c r="BB338" i="3"/>
  <c r="U338" i="3"/>
  <c r="T338" i="3"/>
  <c r="S338" i="3"/>
  <c r="C338" i="3"/>
  <c r="A338" i="3"/>
  <c r="BY337" i="3"/>
  <c r="BX337" i="3"/>
  <c r="BB337" i="3"/>
  <c r="U337" i="3"/>
  <c r="T337" i="3"/>
  <c r="S337" i="3"/>
  <c r="C337" i="3"/>
  <c r="A337" i="3"/>
  <c r="BY336" i="3"/>
  <c r="BX336" i="3"/>
  <c r="BB336" i="3"/>
  <c r="U336" i="3"/>
  <c r="T336" i="3"/>
  <c r="S336" i="3"/>
  <c r="C336" i="3"/>
  <c r="A336" i="3"/>
  <c r="BY335" i="3"/>
  <c r="BX335" i="3"/>
  <c r="BB335" i="3"/>
  <c r="U335" i="3"/>
  <c r="T335" i="3"/>
  <c r="S335" i="3"/>
  <c r="C335" i="3"/>
  <c r="A335" i="3"/>
  <c r="BY334" i="3"/>
  <c r="BX334" i="3"/>
  <c r="BB334" i="3"/>
  <c r="U334" i="3"/>
  <c r="T334" i="3"/>
  <c r="S334" i="3"/>
  <c r="C334" i="3"/>
  <c r="A334" i="3"/>
  <c r="BY333" i="3"/>
  <c r="BX333" i="3"/>
  <c r="BB333" i="3"/>
  <c r="U333" i="3"/>
  <c r="T333" i="3"/>
  <c r="S333" i="3"/>
  <c r="C333" i="3"/>
  <c r="A333" i="3"/>
  <c r="BY332" i="3"/>
  <c r="BX332" i="3"/>
  <c r="BB332" i="3"/>
  <c r="U332" i="3"/>
  <c r="T332" i="3"/>
  <c r="S332" i="3"/>
  <c r="C332" i="3"/>
  <c r="A332" i="3"/>
  <c r="BY331" i="3"/>
  <c r="BX331" i="3"/>
  <c r="BB331" i="3"/>
  <c r="U331" i="3"/>
  <c r="T331" i="3"/>
  <c r="S331" i="3"/>
  <c r="C331" i="3"/>
  <c r="A331" i="3"/>
  <c r="BY330" i="3"/>
  <c r="BX330" i="3"/>
  <c r="BB330" i="3"/>
  <c r="U330" i="3"/>
  <c r="T330" i="3"/>
  <c r="S330" i="3"/>
  <c r="C330" i="3"/>
  <c r="A330" i="3"/>
  <c r="BY329" i="3"/>
  <c r="BX329" i="3"/>
  <c r="BB329" i="3"/>
  <c r="U329" i="3"/>
  <c r="T329" i="3"/>
  <c r="S329" i="3"/>
  <c r="C329" i="3"/>
  <c r="A329" i="3"/>
  <c r="BY328" i="3"/>
  <c r="BX328" i="3"/>
  <c r="BB328" i="3"/>
  <c r="U328" i="3"/>
  <c r="T328" i="3"/>
  <c r="S328" i="3"/>
  <c r="C328" i="3"/>
  <c r="A328" i="3"/>
  <c r="BY327" i="3"/>
  <c r="BX327" i="3"/>
  <c r="BB327" i="3"/>
  <c r="U327" i="3"/>
  <c r="T327" i="3"/>
  <c r="S327" i="3"/>
  <c r="C327" i="3"/>
  <c r="A327" i="3"/>
  <c r="BY326" i="3"/>
  <c r="BX326" i="3"/>
  <c r="BB326" i="3"/>
  <c r="U326" i="3"/>
  <c r="T326" i="3"/>
  <c r="S326" i="3"/>
  <c r="C326" i="3"/>
  <c r="A326" i="3"/>
  <c r="BY325" i="3"/>
  <c r="BX325" i="3"/>
  <c r="BB325" i="3"/>
  <c r="U325" i="3"/>
  <c r="T325" i="3"/>
  <c r="S325" i="3"/>
  <c r="C325" i="3"/>
  <c r="A325" i="3"/>
  <c r="BY324" i="3"/>
  <c r="BX324" i="3"/>
  <c r="BB324" i="3"/>
  <c r="U324" i="3"/>
  <c r="T324" i="3"/>
  <c r="S324" i="3"/>
  <c r="C324" i="3"/>
  <c r="A324" i="3"/>
  <c r="BY323" i="3"/>
  <c r="BX323" i="3"/>
  <c r="BB323" i="3"/>
  <c r="U323" i="3"/>
  <c r="T323" i="3"/>
  <c r="S323" i="3"/>
  <c r="C323" i="3"/>
  <c r="A323" i="3"/>
  <c r="BY322" i="3"/>
  <c r="BX322" i="3"/>
  <c r="BB322" i="3"/>
  <c r="U322" i="3"/>
  <c r="T322" i="3"/>
  <c r="S322" i="3"/>
  <c r="C322" i="3"/>
  <c r="A322" i="3"/>
  <c r="BY321" i="3"/>
  <c r="BX321" i="3"/>
  <c r="BB321" i="3"/>
  <c r="U321" i="3"/>
  <c r="T321" i="3"/>
  <c r="S321" i="3"/>
  <c r="C321" i="3"/>
  <c r="A321" i="3"/>
  <c r="BY320" i="3"/>
  <c r="BX320" i="3"/>
  <c r="BB320" i="3"/>
  <c r="U320" i="3"/>
  <c r="T320" i="3"/>
  <c r="S320" i="3"/>
  <c r="C320" i="3"/>
  <c r="A320" i="3"/>
  <c r="BY319" i="3"/>
  <c r="BX319" i="3"/>
  <c r="BB319" i="3"/>
  <c r="U319" i="3"/>
  <c r="T319" i="3"/>
  <c r="S319" i="3"/>
  <c r="C319" i="3"/>
  <c r="A319" i="3"/>
  <c r="BY318" i="3"/>
  <c r="BX318" i="3"/>
  <c r="BB318" i="3"/>
  <c r="U318" i="3"/>
  <c r="T318" i="3"/>
  <c r="S318" i="3"/>
  <c r="C318" i="3"/>
  <c r="A318" i="3"/>
  <c r="BY317" i="3"/>
  <c r="BX317" i="3"/>
  <c r="BB317" i="3"/>
  <c r="U317" i="3"/>
  <c r="T317" i="3"/>
  <c r="S317" i="3"/>
  <c r="C317" i="3"/>
  <c r="A317" i="3"/>
  <c r="BY316" i="3"/>
  <c r="BX316" i="3"/>
  <c r="BB316" i="3"/>
  <c r="U316" i="3"/>
  <c r="T316" i="3"/>
  <c r="S316" i="3"/>
  <c r="C316" i="3"/>
  <c r="A316" i="3"/>
  <c r="BY315" i="3"/>
  <c r="BX315" i="3"/>
  <c r="BB315" i="3"/>
  <c r="U315" i="3"/>
  <c r="T315" i="3"/>
  <c r="S315" i="3"/>
  <c r="C315" i="3"/>
  <c r="A315" i="3"/>
  <c r="BY314" i="3"/>
  <c r="BX314" i="3"/>
  <c r="BB314" i="3"/>
  <c r="U314" i="3"/>
  <c r="T314" i="3"/>
  <c r="S314" i="3"/>
  <c r="C314" i="3"/>
  <c r="A314" i="3"/>
  <c r="BY313" i="3"/>
  <c r="BX313" i="3"/>
  <c r="BB313" i="3"/>
  <c r="U313" i="3"/>
  <c r="T313" i="3"/>
  <c r="S313" i="3"/>
  <c r="C313" i="3"/>
  <c r="A313" i="3"/>
  <c r="BY312" i="3"/>
  <c r="BX312" i="3"/>
  <c r="BB312" i="3"/>
  <c r="U312" i="3"/>
  <c r="T312" i="3"/>
  <c r="S312" i="3"/>
  <c r="C312" i="3"/>
  <c r="A312" i="3"/>
  <c r="BY311" i="3"/>
  <c r="BX311" i="3"/>
  <c r="BB311" i="3"/>
  <c r="U311" i="3"/>
  <c r="T311" i="3"/>
  <c r="S311" i="3"/>
  <c r="C311" i="3"/>
  <c r="A311" i="3"/>
  <c r="BY310" i="3"/>
  <c r="BX310" i="3"/>
  <c r="BB310" i="3"/>
  <c r="U310" i="3"/>
  <c r="T310" i="3"/>
  <c r="S310" i="3"/>
  <c r="C310" i="3"/>
  <c r="A310" i="3"/>
  <c r="BY309" i="3"/>
  <c r="BX309" i="3"/>
  <c r="BB309" i="3"/>
  <c r="U309" i="3"/>
  <c r="T309" i="3"/>
  <c r="S309" i="3"/>
  <c r="C309" i="3"/>
  <c r="A309" i="3"/>
  <c r="BY308" i="3"/>
  <c r="BX308" i="3"/>
  <c r="BB308" i="3"/>
  <c r="U308" i="3"/>
  <c r="T308" i="3"/>
  <c r="S308" i="3"/>
  <c r="C308" i="3"/>
  <c r="A308" i="3"/>
  <c r="BY307" i="3"/>
  <c r="BX307" i="3"/>
  <c r="BB307" i="3"/>
  <c r="U307" i="3"/>
  <c r="T307" i="3"/>
  <c r="S307" i="3"/>
  <c r="C307" i="3"/>
  <c r="A307" i="3"/>
  <c r="BY306" i="3"/>
  <c r="BX306" i="3"/>
  <c r="BB306" i="3"/>
  <c r="U306" i="3"/>
  <c r="T306" i="3"/>
  <c r="S306" i="3"/>
  <c r="C306" i="3"/>
  <c r="A306" i="3"/>
  <c r="BY305" i="3"/>
  <c r="BX305" i="3"/>
  <c r="BB305" i="3"/>
  <c r="U305" i="3"/>
  <c r="T305" i="3"/>
  <c r="S305" i="3"/>
  <c r="C305" i="3"/>
  <c r="A305" i="3"/>
  <c r="BY304" i="3"/>
  <c r="BX304" i="3"/>
  <c r="BB304" i="3"/>
  <c r="U304" i="3"/>
  <c r="T304" i="3"/>
  <c r="S304" i="3"/>
  <c r="C304" i="3"/>
  <c r="A304" i="3"/>
  <c r="BY303" i="3"/>
  <c r="BX303" i="3"/>
  <c r="BB303" i="3"/>
  <c r="U303" i="3"/>
  <c r="T303" i="3"/>
  <c r="S303" i="3"/>
  <c r="C303" i="3"/>
  <c r="A303" i="3"/>
  <c r="BY302" i="3"/>
  <c r="BX302" i="3"/>
  <c r="BB302" i="3"/>
  <c r="U302" i="3"/>
  <c r="T302" i="3"/>
  <c r="S302" i="3"/>
  <c r="C302" i="3"/>
  <c r="A302" i="3"/>
  <c r="BY301" i="3"/>
  <c r="BX301" i="3"/>
  <c r="BB301" i="3"/>
  <c r="U301" i="3"/>
  <c r="T301" i="3"/>
  <c r="S301" i="3"/>
  <c r="C301" i="3"/>
  <c r="A301" i="3"/>
  <c r="BY300" i="3"/>
  <c r="BX300" i="3"/>
  <c r="BB300" i="3"/>
  <c r="U300" i="3"/>
  <c r="T300" i="3"/>
  <c r="S300" i="3"/>
  <c r="C300" i="3"/>
  <c r="A300" i="3"/>
  <c r="BY299" i="3"/>
  <c r="BX299" i="3"/>
  <c r="BB299" i="3"/>
  <c r="U299" i="3"/>
  <c r="T299" i="3"/>
  <c r="S299" i="3"/>
  <c r="C299" i="3"/>
  <c r="A299" i="3"/>
  <c r="BY298" i="3"/>
  <c r="BX298" i="3"/>
  <c r="BB298" i="3"/>
  <c r="U298" i="3"/>
  <c r="T298" i="3"/>
  <c r="S298" i="3"/>
  <c r="C298" i="3"/>
  <c r="A298" i="3"/>
  <c r="BY297" i="3"/>
  <c r="BX297" i="3"/>
  <c r="BB297" i="3"/>
  <c r="U297" i="3"/>
  <c r="T297" i="3"/>
  <c r="S297" i="3"/>
  <c r="C297" i="3"/>
  <c r="A297" i="3"/>
  <c r="BY296" i="3"/>
  <c r="BX296" i="3"/>
  <c r="BB296" i="3"/>
  <c r="U296" i="3"/>
  <c r="T296" i="3"/>
  <c r="S296" i="3"/>
  <c r="C296" i="3"/>
  <c r="A296" i="3"/>
  <c r="BY295" i="3"/>
  <c r="BX295" i="3"/>
  <c r="BB295" i="3"/>
  <c r="U295" i="3"/>
  <c r="T295" i="3"/>
  <c r="S295" i="3"/>
  <c r="C295" i="3"/>
  <c r="A295" i="3"/>
  <c r="BY294" i="3"/>
  <c r="BX294" i="3"/>
  <c r="BB294" i="3"/>
  <c r="U294" i="3"/>
  <c r="T294" i="3"/>
  <c r="S294" i="3"/>
  <c r="C294" i="3"/>
  <c r="A294" i="3"/>
  <c r="BY293" i="3"/>
  <c r="BX293" i="3"/>
  <c r="BB293" i="3"/>
  <c r="U293" i="3"/>
  <c r="T293" i="3"/>
  <c r="S293" i="3"/>
  <c r="C293" i="3"/>
  <c r="A293" i="3"/>
  <c r="BY292" i="3"/>
  <c r="BX292" i="3"/>
  <c r="BB292" i="3"/>
  <c r="U292" i="3"/>
  <c r="T292" i="3"/>
  <c r="S292" i="3"/>
  <c r="C292" i="3"/>
  <c r="A292" i="3"/>
  <c r="BY291" i="3"/>
  <c r="BX291" i="3"/>
  <c r="BB291" i="3"/>
  <c r="U291" i="3"/>
  <c r="T291" i="3"/>
  <c r="S291" i="3"/>
  <c r="C291" i="3"/>
  <c r="A291" i="3"/>
  <c r="BY290" i="3"/>
  <c r="BX290" i="3"/>
  <c r="BB290" i="3"/>
  <c r="U290" i="3"/>
  <c r="T290" i="3"/>
  <c r="S290" i="3"/>
  <c r="C290" i="3"/>
  <c r="A290" i="3"/>
  <c r="BY289" i="3"/>
  <c r="BX289" i="3"/>
  <c r="BB289" i="3"/>
  <c r="U289" i="3"/>
  <c r="T289" i="3"/>
  <c r="S289" i="3"/>
  <c r="C289" i="3"/>
  <c r="A289" i="3"/>
  <c r="BY288" i="3"/>
  <c r="BX288" i="3"/>
  <c r="BB288" i="3"/>
  <c r="U288" i="3"/>
  <c r="T288" i="3"/>
  <c r="S288" i="3"/>
  <c r="C288" i="3"/>
  <c r="A288" i="3"/>
  <c r="BY287" i="3"/>
  <c r="BX287" i="3"/>
  <c r="BB287" i="3"/>
  <c r="U287" i="3"/>
  <c r="T287" i="3"/>
  <c r="S287" i="3"/>
  <c r="C287" i="3"/>
  <c r="A287" i="3"/>
  <c r="BY286" i="3"/>
  <c r="BX286" i="3"/>
  <c r="BB286" i="3"/>
  <c r="U286" i="3"/>
  <c r="T286" i="3"/>
  <c r="S286" i="3"/>
  <c r="C286" i="3"/>
  <c r="A286" i="3"/>
  <c r="BY285" i="3"/>
  <c r="BX285" i="3"/>
  <c r="BB285" i="3"/>
  <c r="U285" i="3"/>
  <c r="T285" i="3"/>
  <c r="S285" i="3"/>
  <c r="C285" i="3"/>
  <c r="A285" i="3"/>
  <c r="BY284" i="3"/>
  <c r="BX284" i="3"/>
  <c r="BB284" i="3"/>
  <c r="U284" i="3"/>
  <c r="T284" i="3"/>
  <c r="S284" i="3"/>
  <c r="C284" i="3"/>
  <c r="A284" i="3"/>
  <c r="BY283" i="3"/>
  <c r="BX283" i="3"/>
  <c r="BB283" i="3"/>
  <c r="U283" i="3"/>
  <c r="T283" i="3"/>
  <c r="S283" i="3"/>
  <c r="C283" i="3"/>
  <c r="A283" i="3"/>
  <c r="BY282" i="3"/>
  <c r="BX282" i="3"/>
  <c r="BB282" i="3"/>
  <c r="U282" i="3"/>
  <c r="T282" i="3"/>
  <c r="S282" i="3"/>
  <c r="C282" i="3"/>
  <c r="A282" i="3"/>
  <c r="BY281" i="3"/>
  <c r="BX281" i="3"/>
  <c r="BB281" i="3"/>
  <c r="U281" i="3"/>
  <c r="T281" i="3"/>
  <c r="S281" i="3"/>
  <c r="C281" i="3"/>
  <c r="A281" i="3"/>
  <c r="BY280" i="3"/>
  <c r="BX280" i="3"/>
  <c r="BB280" i="3"/>
  <c r="U280" i="3"/>
  <c r="T280" i="3"/>
  <c r="S280" i="3"/>
  <c r="C280" i="3"/>
  <c r="A280" i="3"/>
  <c r="BY279" i="3"/>
  <c r="BX279" i="3"/>
  <c r="BB279" i="3"/>
  <c r="U279" i="3"/>
  <c r="T279" i="3"/>
  <c r="S279" i="3"/>
  <c r="C279" i="3"/>
  <c r="A279" i="3"/>
  <c r="BY278" i="3"/>
  <c r="BX278" i="3"/>
  <c r="BB278" i="3"/>
  <c r="U278" i="3"/>
  <c r="T278" i="3"/>
  <c r="S278" i="3"/>
  <c r="C278" i="3"/>
  <c r="A278" i="3"/>
  <c r="BY277" i="3"/>
  <c r="BX277" i="3"/>
  <c r="BB277" i="3"/>
  <c r="U277" i="3"/>
  <c r="T277" i="3"/>
  <c r="S277" i="3"/>
  <c r="C277" i="3"/>
  <c r="A277" i="3"/>
  <c r="BY276" i="3"/>
  <c r="BX276" i="3"/>
  <c r="BB276" i="3"/>
  <c r="U276" i="3"/>
  <c r="T276" i="3"/>
  <c r="S276" i="3"/>
  <c r="C276" i="3"/>
  <c r="A276" i="3"/>
  <c r="BY275" i="3"/>
  <c r="BX275" i="3"/>
  <c r="BB275" i="3"/>
  <c r="U275" i="3"/>
  <c r="T275" i="3"/>
  <c r="S275" i="3"/>
  <c r="C275" i="3"/>
  <c r="A275" i="3"/>
  <c r="BY274" i="3"/>
  <c r="BX274" i="3"/>
  <c r="BB274" i="3"/>
  <c r="U274" i="3"/>
  <c r="T274" i="3"/>
  <c r="S274" i="3"/>
  <c r="C274" i="3"/>
  <c r="A274" i="3"/>
  <c r="BY273" i="3"/>
  <c r="BX273" i="3"/>
  <c r="BB273" i="3"/>
  <c r="U273" i="3"/>
  <c r="T273" i="3"/>
  <c r="S273" i="3"/>
  <c r="C273" i="3"/>
  <c r="A273" i="3"/>
  <c r="BY272" i="3"/>
  <c r="BX272" i="3"/>
  <c r="BB272" i="3"/>
  <c r="U272" i="3"/>
  <c r="T272" i="3"/>
  <c r="S272" i="3"/>
  <c r="C272" i="3"/>
  <c r="A272" i="3"/>
  <c r="BY271" i="3"/>
  <c r="BX271" i="3"/>
  <c r="BB271" i="3"/>
  <c r="U271" i="3"/>
  <c r="T271" i="3"/>
  <c r="S271" i="3"/>
  <c r="C271" i="3"/>
  <c r="A271" i="3"/>
  <c r="BY270" i="3"/>
  <c r="BX270" i="3"/>
  <c r="BB270" i="3"/>
  <c r="U270" i="3"/>
  <c r="T270" i="3"/>
  <c r="S270" i="3"/>
  <c r="C270" i="3"/>
  <c r="A270" i="3"/>
  <c r="BY269" i="3"/>
  <c r="BX269" i="3"/>
  <c r="BB269" i="3"/>
  <c r="U269" i="3"/>
  <c r="T269" i="3"/>
  <c r="S269" i="3"/>
  <c r="C269" i="3"/>
  <c r="A269" i="3"/>
  <c r="BY268" i="3"/>
  <c r="BX268" i="3"/>
  <c r="BB268" i="3"/>
  <c r="U268" i="3"/>
  <c r="T268" i="3"/>
  <c r="S268" i="3"/>
  <c r="C268" i="3"/>
  <c r="A268" i="3"/>
  <c r="BY267" i="3"/>
  <c r="BX267" i="3"/>
  <c r="BB267" i="3"/>
  <c r="U267" i="3"/>
  <c r="T267" i="3"/>
  <c r="S267" i="3"/>
  <c r="C267" i="3"/>
  <c r="A267" i="3"/>
  <c r="BY266" i="3"/>
  <c r="BX266" i="3"/>
  <c r="BB266" i="3"/>
  <c r="U266" i="3"/>
  <c r="T266" i="3"/>
  <c r="S266" i="3"/>
  <c r="C266" i="3"/>
  <c r="A266" i="3"/>
  <c r="BY265" i="3"/>
  <c r="BX265" i="3"/>
  <c r="BB265" i="3"/>
  <c r="U265" i="3"/>
  <c r="T265" i="3"/>
  <c r="S265" i="3"/>
  <c r="C265" i="3"/>
  <c r="A265" i="3"/>
  <c r="BY264" i="3"/>
  <c r="BX264" i="3"/>
  <c r="BB264" i="3"/>
  <c r="U264" i="3"/>
  <c r="T264" i="3"/>
  <c r="S264" i="3"/>
  <c r="C264" i="3"/>
  <c r="A264" i="3"/>
  <c r="BY263" i="3"/>
  <c r="BX263" i="3"/>
  <c r="BB263" i="3"/>
  <c r="U263" i="3"/>
  <c r="T263" i="3"/>
  <c r="S263" i="3"/>
  <c r="C263" i="3"/>
  <c r="A263" i="3"/>
  <c r="BY262" i="3"/>
  <c r="BX262" i="3"/>
  <c r="BB262" i="3"/>
  <c r="U262" i="3"/>
  <c r="T262" i="3"/>
  <c r="S262" i="3"/>
  <c r="C262" i="3"/>
  <c r="A262" i="3"/>
  <c r="BY261" i="3"/>
  <c r="BX261" i="3"/>
  <c r="BB261" i="3"/>
  <c r="U261" i="3"/>
  <c r="T261" i="3"/>
  <c r="S261" i="3"/>
  <c r="C261" i="3"/>
  <c r="A261" i="3"/>
  <c r="BY260" i="3"/>
  <c r="BX260" i="3"/>
  <c r="BB260" i="3"/>
  <c r="U260" i="3"/>
  <c r="T260" i="3"/>
  <c r="S260" i="3"/>
  <c r="C260" i="3"/>
  <c r="A260" i="3"/>
  <c r="BY259" i="3"/>
  <c r="BX259" i="3"/>
  <c r="BB259" i="3"/>
  <c r="U259" i="3"/>
  <c r="T259" i="3"/>
  <c r="S259" i="3"/>
  <c r="C259" i="3"/>
  <c r="A259" i="3"/>
  <c r="BY258" i="3"/>
  <c r="BX258" i="3"/>
  <c r="BB258" i="3"/>
  <c r="U258" i="3"/>
  <c r="T258" i="3"/>
  <c r="S258" i="3"/>
  <c r="C258" i="3"/>
  <c r="A258" i="3"/>
  <c r="BY257" i="3"/>
  <c r="BX257" i="3"/>
  <c r="BB257" i="3"/>
  <c r="U257" i="3"/>
  <c r="T257" i="3"/>
  <c r="S257" i="3"/>
  <c r="C257" i="3"/>
  <c r="A257" i="3"/>
  <c r="BY256" i="3"/>
  <c r="BX256" i="3"/>
  <c r="BB256" i="3"/>
  <c r="U256" i="3"/>
  <c r="T256" i="3"/>
  <c r="S256" i="3"/>
  <c r="C256" i="3"/>
  <c r="A256" i="3"/>
  <c r="BY255" i="3"/>
  <c r="BX255" i="3"/>
  <c r="BB255" i="3"/>
  <c r="U255" i="3"/>
  <c r="T255" i="3"/>
  <c r="S255" i="3"/>
  <c r="C255" i="3"/>
  <c r="A255" i="3"/>
  <c r="BY254" i="3"/>
  <c r="BX254" i="3"/>
  <c r="BB254" i="3"/>
  <c r="U254" i="3"/>
  <c r="T254" i="3"/>
  <c r="S254" i="3"/>
  <c r="C254" i="3"/>
  <c r="A254" i="3"/>
  <c r="BY253" i="3"/>
  <c r="BX253" i="3"/>
  <c r="BB253" i="3"/>
  <c r="U253" i="3"/>
  <c r="T253" i="3"/>
  <c r="S253" i="3"/>
  <c r="C253" i="3"/>
  <c r="A253" i="3"/>
  <c r="BY252" i="3"/>
  <c r="BX252" i="3"/>
  <c r="BB252" i="3"/>
  <c r="U252" i="3"/>
  <c r="T252" i="3"/>
  <c r="S252" i="3"/>
  <c r="C252" i="3"/>
  <c r="A252" i="3"/>
  <c r="BY251" i="3"/>
  <c r="BX251" i="3"/>
  <c r="BB251" i="3"/>
  <c r="U251" i="3"/>
  <c r="T251" i="3"/>
  <c r="S251" i="3"/>
  <c r="C251" i="3"/>
  <c r="A251" i="3"/>
  <c r="BY250" i="3"/>
  <c r="BX250" i="3"/>
  <c r="BB250" i="3"/>
  <c r="U250" i="3"/>
  <c r="T250" i="3"/>
  <c r="S250" i="3"/>
  <c r="C250" i="3"/>
  <c r="A250" i="3"/>
  <c r="BY249" i="3"/>
  <c r="BX249" i="3"/>
  <c r="BB249" i="3"/>
  <c r="U249" i="3"/>
  <c r="T249" i="3"/>
  <c r="S249" i="3"/>
  <c r="C249" i="3"/>
  <c r="A249" i="3"/>
  <c r="BY248" i="3"/>
  <c r="BX248" i="3"/>
  <c r="BB248" i="3"/>
  <c r="U248" i="3"/>
  <c r="T248" i="3"/>
  <c r="S248" i="3"/>
  <c r="C248" i="3"/>
  <c r="A248" i="3"/>
  <c r="BY247" i="3"/>
  <c r="BX247" i="3"/>
  <c r="BB247" i="3"/>
  <c r="U247" i="3"/>
  <c r="T247" i="3"/>
  <c r="S247" i="3"/>
  <c r="C247" i="3"/>
  <c r="A247" i="3"/>
  <c r="BY246" i="3"/>
  <c r="BX246" i="3"/>
  <c r="BB246" i="3"/>
  <c r="U246" i="3"/>
  <c r="T246" i="3"/>
  <c r="S246" i="3"/>
  <c r="C246" i="3"/>
  <c r="A246" i="3"/>
  <c r="BY245" i="3"/>
  <c r="BX245" i="3"/>
  <c r="BB245" i="3"/>
  <c r="U245" i="3"/>
  <c r="T245" i="3"/>
  <c r="S245" i="3"/>
  <c r="C245" i="3"/>
  <c r="A245" i="3"/>
  <c r="BY244" i="3"/>
  <c r="BX244" i="3"/>
  <c r="BB244" i="3"/>
  <c r="U244" i="3"/>
  <c r="T244" i="3"/>
  <c r="S244" i="3"/>
  <c r="C244" i="3"/>
  <c r="A244" i="3"/>
  <c r="BY243" i="3"/>
  <c r="BX243" i="3"/>
  <c r="BB243" i="3"/>
  <c r="U243" i="3"/>
  <c r="T243" i="3"/>
  <c r="S243" i="3"/>
  <c r="C243" i="3"/>
  <c r="A243" i="3"/>
  <c r="BY242" i="3"/>
  <c r="BX242" i="3"/>
  <c r="BB242" i="3"/>
  <c r="U242" i="3"/>
  <c r="T242" i="3"/>
  <c r="S242" i="3"/>
  <c r="C242" i="3"/>
  <c r="A242" i="3"/>
  <c r="BY241" i="3"/>
  <c r="BX241" i="3"/>
  <c r="BB241" i="3"/>
  <c r="U241" i="3"/>
  <c r="T241" i="3"/>
  <c r="S241" i="3"/>
  <c r="C241" i="3"/>
  <c r="A241" i="3"/>
  <c r="BY240" i="3"/>
  <c r="BX240" i="3"/>
  <c r="BB240" i="3"/>
  <c r="U240" i="3"/>
  <c r="T240" i="3"/>
  <c r="S240" i="3"/>
  <c r="C240" i="3"/>
  <c r="A240" i="3"/>
  <c r="BY239" i="3"/>
  <c r="BX239" i="3"/>
  <c r="BB239" i="3"/>
  <c r="U239" i="3"/>
  <c r="T239" i="3"/>
  <c r="S239" i="3"/>
  <c r="C239" i="3"/>
  <c r="A239" i="3"/>
  <c r="BY238" i="3"/>
  <c r="BX238" i="3"/>
  <c r="BB238" i="3"/>
  <c r="U238" i="3"/>
  <c r="T238" i="3"/>
  <c r="S238" i="3"/>
  <c r="C238" i="3"/>
  <c r="A238" i="3"/>
  <c r="BY237" i="3"/>
  <c r="BX237" i="3"/>
  <c r="BB237" i="3"/>
  <c r="U237" i="3"/>
  <c r="T237" i="3"/>
  <c r="S237" i="3"/>
  <c r="C237" i="3"/>
  <c r="A237" i="3"/>
  <c r="BY236" i="3"/>
  <c r="BX236" i="3"/>
  <c r="BB236" i="3"/>
  <c r="U236" i="3"/>
  <c r="T236" i="3"/>
  <c r="S236" i="3"/>
  <c r="C236" i="3"/>
  <c r="A236" i="3"/>
  <c r="BY235" i="3"/>
  <c r="BX235" i="3"/>
  <c r="BB235" i="3"/>
  <c r="U235" i="3"/>
  <c r="T235" i="3"/>
  <c r="S235" i="3"/>
  <c r="C235" i="3"/>
  <c r="A235" i="3"/>
  <c r="BY234" i="3"/>
  <c r="BX234" i="3"/>
  <c r="BB234" i="3"/>
  <c r="U234" i="3"/>
  <c r="T234" i="3"/>
  <c r="S234" i="3"/>
  <c r="C234" i="3"/>
  <c r="A234" i="3"/>
  <c r="BY233" i="3"/>
  <c r="BX233" i="3"/>
  <c r="BB233" i="3"/>
  <c r="U233" i="3"/>
  <c r="T233" i="3"/>
  <c r="S233" i="3"/>
  <c r="C233" i="3"/>
  <c r="A233" i="3"/>
  <c r="BY232" i="3"/>
  <c r="BX232" i="3"/>
  <c r="BB232" i="3"/>
  <c r="U232" i="3"/>
  <c r="T232" i="3"/>
  <c r="S232" i="3"/>
  <c r="C232" i="3"/>
  <c r="A232" i="3"/>
  <c r="BY231" i="3"/>
  <c r="BX231" i="3"/>
  <c r="BB231" i="3"/>
  <c r="U231" i="3"/>
  <c r="T231" i="3"/>
  <c r="S231" i="3"/>
  <c r="C231" i="3"/>
  <c r="A231" i="3"/>
  <c r="BY230" i="3"/>
  <c r="BX230" i="3"/>
  <c r="BB230" i="3"/>
  <c r="U230" i="3"/>
  <c r="T230" i="3"/>
  <c r="S230" i="3"/>
  <c r="C230" i="3"/>
  <c r="A230" i="3"/>
  <c r="BY229" i="3"/>
  <c r="BX229" i="3"/>
  <c r="BB229" i="3"/>
  <c r="U229" i="3"/>
  <c r="T229" i="3"/>
  <c r="S229" i="3"/>
  <c r="C229" i="3"/>
  <c r="A229" i="3"/>
  <c r="BY228" i="3"/>
  <c r="BX228" i="3"/>
  <c r="BB228" i="3"/>
  <c r="U228" i="3"/>
  <c r="T228" i="3"/>
  <c r="S228" i="3"/>
  <c r="C228" i="3"/>
  <c r="A228" i="3"/>
  <c r="BY227" i="3"/>
  <c r="BX227" i="3"/>
  <c r="BB227" i="3"/>
  <c r="U227" i="3"/>
  <c r="T227" i="3"/>
  <c r="S227" i="3"/>
  <c r="C227" i="3"/>
  <c r="A227" i="3"/>
  <c r="BY226" i="3"/>
  <c r="BX226" i="3"/>
  <c r="BB226" i="3"/>
  <c r="U226" i="3"/>
  <c r="T226" i="3"/>
  <c r="S226" i="3"/>
  <c r="C226" i="3"/>
  <c r="A226" i="3"/>
  <c r="BY225" i="3"/>
  <c r="BX225" i="3"/>
  <c r="BB225" i="3"/>
  <c r="U225" i="3"/>
  <c r="T225" i="3"/>
  <c r="S225" i="3"/>
  <c r="C225" i="3"/>
  <c r="A225" i="3"/>
  <c r="BY224" i="3"/>
  <c r="BX224" i="3"/>
  <c r="BB224" i="3"/>
  <c r="U224" i="3"/>
  <c r="T224" i="3"/>
  <c r="S224" i="3"/>
  <c r="C224" i="3"/>
  <c r="A224" i="3"/>
  <c r="BY223" i="3"/>
  <c r="BX223" i="3"/>
  <c r="BB223" i="3"/>
  <c r="U223" i="3"/>
  <c r="T223" i="3"/>
  <c r="S223" i="3"/>
  <c r="C223" i="3"/>
  <c r="A223" i="3"/>
  <c r="BY222" i="3"/>
  <c r="BX222" i="3"/>
  <c r="BB222" i="3"/>
  <c r="U222" i="3"/>
  <c r="T222" i="3"/>
  <c r="S222" i="3"/>
  <c r="C222" i="3"/>
  <c r="A222" i="3"/>
  <c r="BY221" i="3"/>
  <c r="BX221" i="3"/>
  <c r="BB221" i="3"/>
  <c r="U221" i="3"/>
  <c r="T221" i="3"/>
  <c r="S221" i="3"/>
  <c r="C221" i="3"/>
  <c r="A221" i="3"/>
  <c r="BY220" i="3"/>
  <c r="BX220" i="3"/>
  <c r="BB220" i="3"/>
  <c r="U220" i="3"/>
  <c r="T220" i="3"/>
  <c r="S220" i="3"/>
  <c r="C220" i="3"/>
  <c r="A220" i="3"/>
  <c r="BY219" i="3"/>
  <c r="BX219" i="3"/>
  <c r="BB219" i="3"/>
  <c r="U219" i="3"/>
  <c r="T219" i="3"/>
  <c r="S219" i="3"/>
  <c r="C219" i="3"/>
  <c r="A219" i="3"/>
  <c r="BY218" i="3"/>
  <c r="BX218" i="3"/>
  <c r="BB218" i="3"/>
  <c r="U218" i="3"/>
  <c r="T218" i="3"/>
  <c r="S218" i="3"/>
  <c r="C218" i="3"/>
  <c r="A218" i="3"/>
  <c r="BY217" i="3"/>
  <c r="BX217" i="3"/>
  <c r="BB217" i="3"/>
  <c r="U217" i="3"/>
  <c r="T217" i="3"/>
  <c r="S217" i="3"/>
  <c r="C217" i="3"/>
  <c r="A217" i="3"/>
  <c r="BY216" i="3"/>
  <c r="BX216" i="3"/>
  <c r="BB216" i="3"/>
  <c r="U216" i="3"/>
  <c r="T216" i="3"/>
  <c r="S216" i="3"/>
  <c r="C216" i="3"/>
  <c r="A216" i="3"/>
  <c r="BY215" i="3"/>
  <c r="BX215" i="3"/>
  <c r="BB215" i="3"/>
  <c r="U215" i="3"/>
  <c r="T215" i="3"/>
  <c r="S215" i="3"/>
  <c r="C215" i="3"/>
  <c r="A215" i="3"/>
  <c r="BY214" i="3"/>
  <c r="BX214" i="3"/>
  <c r="BB214" i="3"/>
  <c r="U214" i="3"/>
  <c r="T214" i="3"/>
  <c r="S214" i="3"/>
  <c r="C214" i="3"/>
  <c r="A214" i="3"/>
  <c r="BY213" i="3"/>
  <c r="BX213" i="3"/>
  <c r="BB213" i="3"/>
  <c r="U213" i="3"/>
  <c r="T213" i="3"/>
  <c r="S213" i="3"/>
  <c r="C213" i="3"/>
  <c r="A213" i="3"/>
  <c r="BY212" i="3"/>
  <c r="BX212" i="3"/>
  <c r="BB212" i="3"/>
  <c r="U212" i="3"/>
  <c r="T212" i="3"/>
  <c r="S212" i="3"/>
  <c r="C212" i="3"/>
  <c r="A212" i="3"/>
  <c r="BY211" i="3"/>
  <c r="BX211" i="3"/>
  <c r="BB211" i="3"/>
  <c r="U211" i="3"/>
  <c r="T211" i="3"/>
  <c r="S211" i="3"/>
  <c r="C211" i="3"/>
  <c r="A211" i="3"/>
  <c r="BY210" i="3"/>
  <c r="BX210" i="3"/>
  <c r="BB210" i="3"/>
  <c r="U210" i="3"/>
  <c r="T210" i="3"/>
  <c r="S210" i="3"/>
  <c r="C210" i="3"/>
  <c r="A210" i="3"/>
  <c r="BY209" i="3"/>
  <c r="BX209" i="3"/>
  <c r="BB209" i="3"/>
  <c r="U209" i="3"/>
  <c r="T209" i="3"/>
  <c r="S209" i="3"/>
  <c r="C209" i="3"/>
  <c r="A209" i="3"/>
  <c r="BY208" i="3"/>
  <c r="BX208" i="3"/>
  <c r="BB208" i="3"/>
  <c r="U208" i="3"/>
  <c r="T208" i="3"/>
  <c r="S208" i="3"/>
  <c r="C208" i="3"/>
  <c r="A208" i="3"/>
  <c r="BY207" i="3"/>
  <c r="BX207" i="3"/>
  <c r="BB207" i="3"/>
  <c r="U207" i="3"/>
  <c r="T207" i="3"/>
  <c r="S207" i="3"/>
  <c r="C207" i="3"/>
  <c r="A207" i="3"/>
  <c r="BY206" i="3"/>
  <c r="BX206" i="3"/>
  <c r="BB206" i="3"/>
  <c r="U206" i="3"/>
  <c r="T206" i="3"/>
  <c r="S206" i="3"/>
  <c r="C206" i="3"/>
  <c r="A206" i="3"/>
  <c r="BY205" i="3"/>
  <c r="BX205" i="3"/>
  <c r="BB205" i="3"/>
  <c r="U205" i="3"/>
  <c r="T205" i="3"/>
  <c r="S205" i="3"/>
  <c r="C205" i="3"/>
  <c r="A205" i="3"/>
  <c r="BY204" i="3"/>
  <c r="BX204" i="3"/>
  <c r="BB204" i="3"/>
  <c r="U204" i="3"/>
  <c r="T204" i="3"/>
  <c r="S204" i="3"/>
  <c r="C204" i="3"/>
  <c r="A204" i="3"/>
  <c r="BY203" i="3"/>
  <c r="BX203" i="3"/>
  <c r="BB203" i="3"/>
  <c r="U203" i="3"/>
  <c r="T203" i="3"/>
  <c r="S203" i="3"/>
  <c r="C203" i="3"/>
  <c r="A203" i="3"/>
  <c r="BY202" i="3"/>
  <c r="BX202" i="3"/>
  <c r="BB202" i="3"/>
  <c r="U202" i="3"/>
  <c r="T202" i="3"/>
  <c r="S202" i="3"/>
  <c r="C202" i="3"/>
  <c r="A202" i="3"/>
  <c r="BY201" i="3"/>
  <c r="BX201" i="3"/>
  <c r="BB201" i="3"/>
  <c r="U201" i="3"/>
  <c r="T201" i="3"/>
  <c r="S201" i="3"/>
  <c r="C201" i="3"/>
  <c r="A201" i="3"/>
  <c r="BY200" i="3"/>
  <c r="BX200" i="3"/>
  <c r="BB200" i="3"/>
  <c r="U200" i="3"/>
  <c r="T200" i="3"/>
  <c r="S200" i="3"/>
  <c r="C200" i="3"/>
  <c r="A200" i="3"/>
  <c r="BY199" i="3"/>
  <c r="BX199" i="3"/>
  <c r="BB199" i="3"/>
  <c r="U199" i="3"/>
  <c r="T199" i="3"/>
  <c r="S199" i="3"/>
  <c r="C199" i="3"/>
  <c r="A199" i="3"/>
  <c r="BY198" i="3"/>
  <c r="BX198" i="3"/>
  <c r="BB198" i="3"/>
  <c r="U198" i="3"/>
  <c r="T198" i="3"/>
  <c r="S198" i="3"/>
  <c r="C198" i="3"/>
  <c r="A198" i="3"/>
  <c r="BY197" i="3"/>
  <c r="BX197" i="3"/>
  <c r="BB197" i="3"/>
  <c r="U197" i="3"/>
  <c r="T197" i="3"/>
  <c r="S197" i="3"/>
  <c r="C197" i="3"/>
  <c r="A197" i="3"/>
  <c r="BY196" i="3"/>
  <c r="BX196" i="3"/>
  <c r="BB196" i="3"/>
  <c r="U196" i="3"/>
  <c r="T196" i="3"/>
  <c r="S196" i="3"/>
  <c r="C196" i="3"/>
  <c r="A196" i="3"/>
  <c r="BY195" i="3"/>
  <c r="BX195" i="3"/>
  <c r="BB195" i="3"/>
  <c r="U195" i="3"/>
  <c r="T195" i="3"/>
  <c r="S195" i="3"/>
  <c r="C195" i="3"/>
  <c r="A195" i="3"/>
  <c r="BY194" i="3"/>
  <c r="BX194" i="3"/>
  <c r="BB194" i="3"/>
  <c r="U194" i="3"/>
  <c r="T194" i="3"/>
  <c r="S194" i="3"/>
  <c r="C194" i="3"/>
  <c r="A194" i="3"/>
  <c r="BY193" i="3"/>
  <c r="BX193" i="3"/>
  <c r="BB193" i="3"/>
  <c r="U193" i="3"/>
  <c r="T193" i="3"/>
  <c r="S193" i="3"/>
  <c r="C193" i="3"/>
  <c r="A193" i="3"/>
  <c r="BY192" i="3"/>
  <c r="BX192" i="3"/>
  <c r="BB192" i="3"/>
  <c r="U192" i="3"/>
  <c r="T192" i="3"/>
  <c r="S192" i="3"/>
  <c r="C192" i="3"/>
  <c r="A192" i="3"/>
  <c r="BY191" i="3"/>
  <c r="BX191" i="3"/>
  <c r="BB191" i="3"/>
  <c r="U191" i="3"/>
  <c r="T191" i="3"/>
  <c r="S191" i="3"/>
  <c r="C191" i="3"/>
  <c r="A191" i="3"/>
  <c r="BY190" i="3"/>
  <c r="BX190" i="3"/>
  <c r="BB190" i="3"/>
  <c r="U190" i="3"/>
  <c r="T190" i="3"/>
  <c r="S190" i="3"/>
  <c r="C190" i="3"/>
  <c r="A190" i="3"/>
  <c r="BY189" i="3"/>
  <c r="BX189" i="3"/>
  <c r="BB189" i="3"/>
  <c r="U189" i="3"/>
  <c r="T189" i="3"/>
  <c r="S189" i="3"/>
  <c r="C189" i="3"/>
  <c r="A189" i="3"/>
  <c r="BY188" i="3"/>
  <c r="BX188" i="3"/>
  <c r="BB188" i="3"/>
  <c r="U188" i="3"/>
  <c r="T188" i="3"/>
  <c r="S188" i="3"/>
  <c r="C188" i="3"/>
  <c r="A188" i="3"/>
  <c r="BY187" i="3"/>
  <c r="BX187" i="3"/>
  <c r="BB187" i="3"/>
  <c r="U187" i="3"/>
  <c r="T187" i="3"/>
  <c r="S187" i="3"/>
  <c r="C187" i="3"/>
  <c r="A187" i="3"/>
  <c r="BY186" i="3"/>
  <c r="BX186" i="3"/>
  <c r="BB186" i="3"/>
  <c r="U186" i="3"/>
  <c r="T186" i="3"/>
  <c r="S186" i="3"/>
  <c r="C186" i="3"/>
  <c r="A186" i="3"/>
  <c r="BY185" i="3"/>
  <c r="BX185" i="3"/>
  <c r="BB185" i="3"/>
  <c r="U185" i="3"/>
  <c r="T185" i="3"/>
  <c r="S185" i="3"/>
  <c r="C185" i="3"/>
  <c r="A185" i="3"/>
  <c r="BY184" i="3"/>
  <c r="BX184" i="3"/>
  <c r="BB184" i="3"/>
  <c r="U184" i="3"/>
  <c r="T184" i="3"/>
  <c r="S184" i="3"/>
  <c r="C184" i="3"/>
  <c r="A184" i="3"/>
  <c r="BY183" i="3"/>
  <c r="BX183" i="3"/>
  <c r="BB183" i="3"/>
  <c r="U183" i="3"/>
  <c r="T183" i="3"/>
  <c r="S183" i="3"/>
  <c r="C183" i="3"/>
  <c r="A183" i="3"/>
  <c r="BY182" i="3"/>
  <c r="BX182" i="3"/>
  <c r="BB182" i="3"/>
  <c r="U182" i="3"/>
  <c r="T182" i="3"/>
  <c r="S182" i="3"/>
  <c r="C182" i="3"/>
  <c r="A182" i="3"/>
  <c r="BY181" i="3"/>
  <c r="BX181" i="3"/>
  <c r="BB181" i="3"/>
  <c r="U181" i="3"/>
  <c r="T181" i="3"/>
  <c r="S181" i="3"/>
  <c r="C181" i="3"/>
  <c r="A181" i="3"/>
  <c r="BY180" i="3"/>
  <c r="BX180" i="3"/>
  <c r="BB180" i="3"/>
  <c r="U180" i="3"/>
  <c r="T180" i="3"/>
  <c r="S180" i="3"/>
  <c r="C180" i="3"/>
  <c r="A180" i="3"/>
  <c r="BY179" i="3"/>
  <c r="BX179" i="3"/>
  <c r="BB179" i="3"/>
  <c r="U179" i="3"/>
  <c r="T179" i="3"/>
  <c r="S179" i="3"/>
  <c r="C179" i="3"/>
  <c r="A179" i="3"/>
  <c r="BY178" i="3"/>
  <c r="BX178" i="3"/>
  <c r="BB178" i="3"/>
  <c r="U178" i="3"/>
  <c r="T178" i="3"/>
  <c r="S178" i="3"/>
  <c r="C178" i="3"/>
  <c r="A178" i="3"/>
  <c r="BY177" i="3"/>
  <c r="BX177" i="3"/>
  <c r="BB177" i="3"/>
  <c r="U177" i="3"/>
  <c r="T177" i="3"/>
  <c r="S177" i="3"/>
  <c r="C177" i="3"/>
  <c r="A177" i="3"/>
  <c r="BY176" i="3"/>
  <c r="BX176" i="3"/>
  <c r="BB176" i="3"/>
  <c r="U176" i="3"/>
  <c r="T176" i="3"/>
  <c r="S176" i="3"/>
  <c r="C176" i="3"/>
  <c r="A176" i="3"/>
  <c r="BY175" i="3"/>
  <c r="BX175" i="3"/>
  <c r="BB175" i="3"/>
  <c r="U175" i="3"/>
  <c r="T175" i="3"/>
  <c r="S175" i="3"/>
  <c r="C175" i="3"/>
  <c r="A175" i="3"/>
  <c r="BY174" i="3"/>
  <c r="BX174" i="3"/>
  <c r="BB174" i="3"/>
  <c r="U174" i="3"/>
  <c r="T174" i="3"/>
  <c r="S174" i="3"/>
  <c r="C174" i="3"/>
  <c r="A174" i="3"/>
  <c r="BY173" i="3"/>
  <c r="BX173" i="3"/>
  <c r="BB173" i="3"/>
  <c r="U173" i="3"/>
  <c r="T173" i="3"/>
  <c r="S173" i="3"/>
  <c r="C173" i="3"/>
  <c r="A173" i="3"/>
  <c r="BY172" i="3"/>
  <c r="BX172" i="3"/>
  <c r="BB172" i="3"/>
  <c r="U172" i="3"/>
  <c r="T172" i="3"/>
  <c r="S172" i="3"/>
  <c r="C172" i="3"/>
  <c r="A172" i="3"/>
  <c r="BY171" i="3"/>
  <c r="BX171" i="3"/>
  <c r="BB171" i="3"/>
  <c r="U171" i="3"/>
  <c r="T171" i="3"/>
  <c r="S171" i="3"/>
  <c r="C171" i="3"/>
  <c r="A171" i="3"/>
  <c r="BY170" i="3"/>
  <c r="BX170" i="3"/>
  <c r="BB170" i="3"/>
  <c r="U170" i="3"/>
  <c r="T170" i="3"/>
  <c r="S170" i="3"/>
  <c r="C170" i="3"/>
  <c r="A170" i="3"/>
  <c r="BY169" i="3"/>
  <c r="BX169" i="3"/>
  <c r="BB169" i="3"/>
  <c r="U169" i="3"/>
  <c r="T169" i="3"/>
  <c r="S169" i="3"/>
  <c r="C169" i="3"/>
  <c r="A169" i="3"/>
  <c r="BY168" i="3"/>
  <c r="BX168" i="3"/>
  <c r="BB168" i="3"/>
  <c r="U168" i="3"/>
  <c r="T168" i="3"/>
  <c r="S168" i="3"/>
  <c r="C168" i="3"/>
  <c r="A168" i="3"/>
  <c r="BY167" i="3"/>
  <c r="BX167" i="3"/>
  <c r="BB167" i="3"/>
  <c r="U167" i="3"/>
  <c r="T167" i="3"/>
  <c r="S167" i="3"/>
  <c r="C167" i="3"/>
  <c r="A167" i="3"/>
  <c r="BY166" i="3"/>
  <c r="BX166" i="3"/>
  <c r="BB166" i="3"/>
  <c r="U166" i="3"/>
  <c r="T166" i="3"/>
  <c r="S166" i="3"/>
  <c r="C166" i="3"/>
  <c r="A166" i="3"/>
  <c r="BY165" i="3"/>
  <c r="BX165" i="3"/>
  <c r="BB165" i="3"/>
  <c r="U165" i="3"/>
  <c r="T165" i="3"/>
  <c r="S165" i="3"/>
  <c r="C165" i="3"/>
  <c r="A165" i="3"/>
  <c r="BY164" i="3"/>
  <c r="BX164" i="3"/>
  <c r="BB164" i="3"/>
  <c r="U164" i="3"/>
  <c r="T164" i="3"/>
  <c r="S164" i="3"/>
  <c r="C164" i="3"/>
  <c r="A164" i="3"/>
  <c r="BY163" i="3"/>
  <c r="BX163" i="3"/>
  <c r="BB163" i="3"/>
  <c r="U163" i="3"/>
  <c r="T163" i="3"/>
  <c r="S163" i="3"/>
  <c r="C163" i="3"/>
  <c r="A163" i="3"/>
  <c r="BY162" i="3"/>
  <c r="BX162" i="3"/>
  <c r="BB162" i="3"/>
  <c r="U162" i="3"/>
  <c r="T162" i="3"/>
  <c r="S162" i="3"/>
  <c r="C162" i="3"/>
  <c r="A162" i="3"/>
  <c r="BY161" i="3"/>
  <c r="BX161" i="3"/>
  <c r="BB161" i="3"/>
  <c r="U161" i="3"/>
  <c r="T161" i="3"/>
  <c r="S161" i="3"/>
  <c r="C161" i="3"/>
  <c r="A161" i="3"/>
  <c r="BY160" i="3"/>
  <c r="BX160" i="3"/>
  <c r="BB160" i="3"/>
  <c r="U160" i="3"/>
  <c r="T160" i="3"/>
  <c r="S160" i="3"/>
  <c r="C160" i="3"/>
  <c r="A160" i="3"/>
  <c r="BY159" i="3"/>
  <c r="BX159" i="3"/>
  <c r="BB159" i="3"/>
  <c r="U159" i="3"/>
  <c r="T159" i="3"/>
  <c r="S159" i="3"/>
  <c r="C159" i="3"/>
  <c r="A159" i="3"/>
  <c r="BY158" i="3"/>
  <c r="BX158" i="3"/>
  <c r="BB158" i="3"/>
  <c r="U158" i="3"/>
  <c r="T158" i="3"/>
  <c r="S158" i="3"/>
  <c r="C158" i="3"/>
  <c r="A158" i="3"/>
  <c r="BY157" i="3"/>
  <c r="BX157" i="3"/>
  <c r="BB157" i="3"/>
  <c r="U157" i="3"/>
  <c r="T157" i="3"/>
  <c r="S157" i="3"/>
  <c r="C157" i="3"/>
  <c r="A157" i="3"/>
  <c r="BY156" i="3"/>
  <c r="BX156" i="3"/>
  <c r="BB156" i="3"/>
  <c r="U156" i="3"/>
  <c r="T156" i="3"/>
  <c r="S156" i="3"/>
  <c r="C156" i="3"/>
  <c r="A156" i="3"/>
  <c r="BY155" i="3"/>
  <c r="BX155" i="3"/>
  <c r="BB155" i="3"/>
  <c r="U155" i="3"/>
  <c r="T155" i="3"/>
  <c r="S155" i="3"/>
  <c r="C155" i="3"/>
  <c r="A155" i="3"/>
  <c r="BY154" i="3"/>
  <c r="BX154" i="3"/>
  <c r="BB154" i="3"/>
  <c r="U154" i="3"/>
  <c r="T154" i="3"/>
  <c r="S154" i="3"/>
  <c r="C154" i="3"/>
  <c r="A154" i="3"/>
  <c r="BY153" i="3"/>
  <c r="BX153" i="3"/>
  <c r="BB153" i="3"/>
  <c r="U153" i="3"/>
  <c r="T153" i="3"/>
  <c r="S153" i="3"/>
  <c r="C153" i="3"/>
  <c r="A153" i="3"/>
  <c r="BY152" i="3"/>
  <c r="BX152" i="3"/>
  <c r="BB152" i="3"/>
  <c r="U152" i="3"/>
  <c r="T152" i="3"/>
  <c r="S152" i="3"/>
  <c r="C152" i="3"/>
  <c r="A152" i="3"/>
  <c r="BY151" i="3"/>
  <c r="BX151" i="3"/>
  <c r="BB151" i="3"/>
  <c r="U151" i="3"/>
  <c r="T151" i="3"/>
  <c r="S151" i="3"/>
  <c r="C151" i="3"/>
  <c r="A151" i="3"/>
  <c r="BY150" i="3"/>
  <c r="BX150" i="3"/>
  <c r="BB150" i="3"/>
  <c r="U150" i="3"/>
  <c r="T150" i="3"/>
  <c r="S150" i="3"/>
  <c r="C150" i="3"/>
  <c r="A150" i="3"/>
  <c r="BY149" i="3"/>
  <c r="BX149" i="3"/>
  <c r="BB149" i="3"/>
  <c r="U149" i="3"/>
  <c r="T149" i="3"/>
  <c r="S149" i="3"/>
  <c r="C149" i="3"/>
  <c r="A149" i="3"/>
  <c r="BY148" i="3"/>
  <c r="BX148" i="3"/>
  <c r="BB148" i="3"/>
  <c r="U148" i="3"/>
  <c r="T148" i="3"/>
  <c r="S148" i="3"/>
  <c r="C148" i="3"/>
  <c r="A148" i="3"/>
  <c r="BY147" i="3"/>
  <c r="BX147" i="3"/>
  <c r="BB147" i="3"/>
  <c r="U147" i="3"/>
  <c r="T147" i="3"/>
  <c r="S147" i="3"/>
  <c r="C147" i="3"/>
  <c r="A147" i="3"/>
  <c r="BY146" i="3"/>
  <c r="BX146" i="3"/>
  <c r="BB146" i="3"/>
  <c r="U146" i="3"/>
  <c r="T146" i="3"/>
  <c r="S146" i="3"/>
  <c r="C146" i="3"/>
  <c r="A146" i="3"/>
  <c r="BY145" i="3"/>
  <c r="BX145" i="3"/>
  <c r="BB145" i="3"/>
  <c r="U145" i="3"/>
  <c r="T145" i="3"/>
  <c r="S145" i="3"/>
  <c r="C145" i="3"/>
  <c r="A145" i="3"/>
  <c r="BY144" i="3"/>
  <c r="BX144" i="3"/>
  <c r="BB144" i="3"/>
  <c r="U144" i="3"/>
  <c r="T144" i="3"/>
  <c r="S144" i="3"/>
  <c r="C144" i="3"/>
  <c r="A144" i="3"/>
  <c r="BY143" i="3"/>
  <c r="BX143" i="3"/>
  <c r="BB143" i="3"/>
  <c r="U143" i="3"/>
  <c r="T143" i="3"/>
  <c r="S143" i="3"/>
  <c r="C143" i="3"/>
  <c r="A143" i="3"/>
  <c r="BY142" i="3"/>
  <c r="BX142" i="3"/>
  <c r="BB142" i="3"/>
  <c r="U142" i="3"/>
  <c r="T142" i="3"/>
  <c r="S142" i="3"/>
  <c r="C142" i="3"/>
  <c r="A142" i="3"/>
  <c r="BY141" i="3"/>
  <c r="BX141" i="3"/>
  <c r="BB141" i="3"/>
  <c r="U141" i="3"/>
  <c r="T141" i="3"/>
  <c r="S141" i="3"/>
  <c r="C141" i="3"/>
  <c r="A141" i="3"/>
  <c r="BY140" i="3"/>
  <c r="BX140" i="3"/>
  <c r="BB140" i="3"/>
  <c r="U140" i="3"/>
  <c r="T140" i="3"/>
  <c r="S140" i="3"/>
  <c r="C140" i="3"/>
  <c r="A140" i="3"/>
  <c r="BY139" i="3"/>
  <c r="BX139" i="3"/>
  <c r="BB139" i="3"/>
  <c r="U139" i="3"/>
  <c r="T139" i="3"/>
  <c r="S139" i="3"/>
  <c r="C139" i="3"/>
  <c r="A139" i="3"/>
  <c r="BY138" i="3"/>
  <c r="BX138" i="3"/>
  <c r="BB138" i="3"/>
  <c r="U138" i="3"/>
  <c r="T138" i="3"/>
  <c r="S138" i="3"/>
  <c r="C138" i="3"/>
  <c r="A138" i="3"/>
  <c r="BY137" i="3"/>
  <c r="BX137" i="3"/>
  <c r="BB137" i="3"/>
  <c r="U137" i="3"/>
  <c r="T137" i="3"/>
  <c r="S137" i="3"/>
  <c r="C137" i="3"/>
  <c r="A137" i="3"/>
  <c r="BY136" i="3"/>
  <c r="BX136" i="3"/>
  <c r="BB136" i="3"/>
  <c r="U136" i="3"/>
  <c r="T136" i="3"/>
  <c r="S136" i="3"/>
  <c r="C136" i="3"/>
  <c r="A136" i="3"/>
  <c r="BY135" i="3"/>
  <c r="BX135" i="3"/>
  <c r="BB135" i="3"/>
  <c r="U135" i="3"/>
  <c r="T135" i="3"/>
  <c r="S135" i="3"/>
  <c r="C135" i="3"/>
  <c r="A135" i="3"/>
  <c r="BY134" i="3"/>
  <c r="BX134" i="3"/>
  <c r="BB134" i="3"/>
  <c r="U134" i="3"/>
  <c r="T134" i="3"/>
  <c r="S134" i="3"/>
  <c r="C134" i="3"/>
  <c r="A134" i="3"/>
  <c r="BY133" i="3"/>
  <c r="BX133" i="3"/>
  <c r="BB133" i="3"/>
  <c r="U133" i="3"/>
  <c r="T133" i="3"/>
  <c r="S133" i="3"/>
  <c r="C133" i="3"/>
  <c r="A133" i="3"/>
  <c r="BY132" i="3"/>
  <c r="BX132" i="3"/>
  <c r="BB132" i="3"/>
  <c r="U132" i="3"/>
  <c r="T132" i="3"/>
  <c r="S132" i="3"/>
  <c r="C132" i="3"/>
  <c r="A132" i="3"/>
  <c r="BY131" i="3"/>
  <c r="BX131" i="3"/>
  <c r="BB131" i="3"/>
  <c r="U131" i="3"/>
  <c r="T131" i="3"/>
  <c r="S131" i="3"/>
  <c r="C131" i="3"/>
  <c r="A131" i="3"/>
  <c r="BY130" i="3"/>
  <c r="BX130" i="3"/>
  <c r="BB130" i="3"/>
  <c r="U130" i="3"/>
  <c r="T130" i="3"/>
  <c r="S130" i="3"/>
  <c r="C130" i="3"/>
  <c r="A130" i="3"/>
  <c r="BY129" i="3"/>
  <c r="BX129" i="3"/>
  <c r="BB129" i="3"/>
  <c r="U129" i="3"/>
  <c r="T129" i="3"/>
  <c r="S129" i="3"/>
  <c r="C129" i="3"/>
  <c r="A129" i="3"/>
  <c r="BY128" i="3"/>
  <c r="BX128" i="3"/>
  <c r="BB128" i="3"/>
  <c r="U128" i="3"/>
  <c r="T128" i="3"/>
  <c r="S128" i="3"/>
  <c r="C128" i="3"/>
  <c r="A128" i="3"/>
  <c r="BY127" i="3"/>
  <c r="BX127" i="3"/>
  <c r="BB127" i="3"/>
  <c r="U127" i="3"/>
  <c r="T127" i="3"/>
  <c r="S127" i="3"/>
  <c r="C127" i="3"/>
  <c r="A127" i="3"/>
  <c r="BY126" i="3"/>
  <c r="BX126" i="3"/>
  <c r="BB126" i="3"/>
  <c r="U126" i="3"/>
  <c r="T126" i="3"/>
  <c r="S126" i="3"/>
  <c r="C126" i="3"/>
  <c r="A126" i="3"/>
  <c r="BY125" i="3"/>
  <c r="BX125" i="3"/>
  <c r="BB125" i="3"/>
  <c r="U125" i="3"/>
  <c r="T125" i="3"/>
  <c r="S125" i="3"/>
  <c r="C125" i="3"/>
  <c r="A125" i="3"/>
  <c r="BY124" i="3"/>
  <c r="BX124" i="3"/>
  <c r="BB124" i="3"/>
  <c r="U124" i="3"/>
  <c r="T124" i="3"/>
  <c r="S124" i="3"/>
  <c r="C124" i="3"/>
  <c r="A124" i="3"/>
  <c r="BY123" i="3"/>
  <c r="BX123" i="3"/>
  <c r="BB123" i="3"/>
  <c r="U123" i="3"/>
  <c r="T123" i="3"/>
  <c r="S123" i="3"/>
  <c r="C123" i="3"/>
  <c r="A123" i="3"/>
  <c r="BY122" i="3"/>
  <c r="BX122" i="3"/>
  <c r="BB122" i="3"/>
  <c r="U122" i="3"/>
  <c r="T122" i="3"/>
  <c r="S122" i="3"/>
  <c r="C122" i="3"/>
  <c r="A122" i="3"/>
  <c r="BY121" i="3"/>
  <c r="BX121" i="3"/>
  <c r="BB121" i="3"/>
  <c r="U121" i="3"/>
  <c r="T121" i="3"/>
  <c r="S121" i="3"/>
  <c r="C121" i="3"/>
  <c r="A121" i="3"/>
  <c r="BY120" i="3"/>
  <c r="BX120" i="3"/>
  <c r="BB120" i="3"/>
  <c r="U120" i="3"/>
  <c r="T120" i="3"/>
  <c r="S120" i="3"/>
  <c r="C120" i="3"/>
  <c r="A120" i="3"/>
  <c r="BY119" i="3"/>
  <c r="BX119" i="3"/>
  <c r="BB119" i="3"/>
  <c r="U119" i="3"/>
  <c r="T119" i="3"/>
  <c r="S119" i="3"/>
  <c r="C119" i="3"/>
  <c r="A119" i="3"/>
  <c r="BY118" i="3"/>
  <c r="BX118" i="3"/>
  <c r="BB118" i="3"/>
  <c r="U118" i="3"/>
  <c r="T118" i="3"/>
  <c r="S118" i="3"/>
  <c r="C118" i="3"/>
  <c r="A118" i="3"/>
  <c r="BY117" i="3"/>
  <c r="BX117" i="3"/>
  <c r="BB117" i="3"/>
  <c r="U117" i="3"/>
  <c r="T117" i="3"/>
  <c r="S117" i="3"/>
  <c r="C117" i="3"/>
  <c r="A117" i="3"/>
  <c r="BY116" i="3"/>
  <c r="BX116" i="3"/>
  <c r="BB116" i="3"/>
  <c r="U116" i="3"/>
  <c r="T116" i="3"/>
  <c r="S116" i="3"/>
  <c r="C116" i="3"/>
  <c r="A116" i="3"/>
  <c r="BY115" i="3"/>
  <c r="BX115" i="3"/>
  <c r="BB115" i="3"/>
  <c r="U115" i="3"/>
  <c r="T115" i="3"/>
  <c r="S115" i="3"/>
  <c r="C115" i="3"/>
  <c r="A115" i="3"/>
  <c r="BY114" i="3"/>
  <c r="BX114" i="3"/>
  <c r="BB114" i="3"/>
  <c r="U114" i="3"/>
  <c r="T114" i="3"/>
  <c r="S114" i="3"/>
  <c r="C114" i="3"/>
  <c r="A114" i="3"/>
  <c r="BY113" i="3"/>
  <c r="BX113" i="3"/>
  <c r="BB113" i="3"/>
  <c r="U113" i="3"/>
  <c r="T113" i="3"/>
  <c r="S113" i="3"/>
  <c r="C113" i="3"/>
  <c r="A113" i="3"/>
  <c r="BY112" i="3"/>
  <c r="BX112" i="3"/>
  <c r="BB112" i="3"/>
  <c r="U112" i="3"/>
  <c r="T112" i="3"/>
  <c r="S112" i="3"/>
  <c r="C112" i="3"/>
  <c r="A112" i="3"/>
  <c r="BY111" i="3"/>
  <c r="BX111" i="3"/>
  <c r="BB111" i="3"/>
  <c r="U111" i="3"/>
  <c r="T111" i="3"/>
  <c r="S111" i="3"/>
  <c r="C111" i="3"/>
  <c r="A111" i="3"/>
  <c r="BY110" i="3"/>
  <c r="BX110" i="3"/>
  <c r="BB110" i="3"/>
  <c r="U110" i="3"/>
  <c r="T110" i="3"/>
  <c r="S110" i="3"/>
  <c r="C110" i="3"/>
  <c r="A110" i="3"/>
  <c r="BY109" i="3"/>
  <c r="BX109" i="3"/>
  <c r="BB109" i="3"/>
  <c r="U109" i="3"/>
  <c r="T109" i="3"/>
  <c r="S109" i="3"/>
  <c r="C109" i="3"/>
  <c r="A109" i="3"/>
  <c r="BY108" i="3"/>
  <c r="BX108" i="3"/>
  <c r="BB108" i="3"/>
  <c r="U108" i="3"/>
  <c r="T108" i="3"/>
  <c r="S108" i="3"/>
  <c r="C108" i="3"/>
  <c r="A108" i="3"/>
  <c r="BY107" i="3"/>
  <c r="BX107" i="3"/>
  <c r="BB107" i="3"/>
  <c r="U107" i="3"/>
  <c r="T107" i="3"/>
  <c r="S107" i="3"/>
  <c r="C107" i="3"/>
  <c r="A107" i="3"/>
  <c r="BY106" i="3"/>
  <c r="BX106" i="3"/>
  <c r="BB106" i="3"/>
  <c r="U106" i="3"/>
  <c r="T106" i="3"/>
  <c r="S106" i="3"/>
  <c r="C106" i="3"/>
  <c r="A106" i="3"/>
  <c r="BY105" i="3"/>
  <c r="BX105" i="3"/>
  <c r="BB105" i="3"/>
  <c r="U105" i="3"/>
  <c r="T105" i="3"/>
  <c r="S105" i="3"/>
  <c r="C105" i="3"/>
  <c r="A105" i="3"/>
  <c r="BY104" i="3"/>
  <c r="BX104" i="3"/>
  <c r="BB104" i="3"/>
  <c r="U104" i="3"/>
  <c r="T104" i="3"/>
  <c r="S104" i="3"/>
  <c r="C104" i="3"/>
  <c r="A104" i="3"/>
  <c r="BY103" i="3"/>
  <c r="BX103" i="3"/>
  <c r="BB103" i="3"/>
  <c r="U103" i="3"/>
  <c r="T103" i="3"/>
  <c r="S103" i="3"/>
  <c r="C103" i="3"/>
  <c r="A103" i="3"/>
  <c r="BY102" i="3"/>
  <c r="BX102" i="3"/>
  <c r="BB102" i="3"/>
  <c r="U102" i="3"/>
  <c r="T102" i="3"/>
  <c r="S102" i="3"/>
  <c r="C102" i="3"/>
  <c r="A102" i="3"/>
  <c r="BY101" i="3"/>
  <c r="BX101" i="3"/>
  <c r="BB101" i="3"/>
  <c r="U101" i="3"/>
  <c r="T101" i="3"/>
  <c r="S101" i="3"/>
  <c r="C101" i="3"/>
  <c r="A101" i="3"/>
  <c r="BY100" i="3"/>
  <c r="BX100" i="3"/>
  <c r="BB100" i="3"/>
  <c r="U100" i="3"/>
  <c r="T100" i="3"/>
  <c r="S100" i="3"/>
  <c r="C100" i="3"/>
  <c r="A100" i="3"/>
  <c r="BY99" i="3"/>
  <c r="BX99" i="3"/>
  <c r="BB99" i="3"/>
  <c r="U99" i="3"/>
  <c r="T99" i="3"/>
  <c r="S99" i="3"/>
  <c r="C99" i="3"/>
  <c r="A99" i="3"/>
  <c r="BY98" i="3"/>
  <c r="BX98" i="3"/>
  <c r="BB98" i="3"/>
  <c r="U98" i="3"/>
  <c r="T98" i="3"/>
  <c r="S98" i="3"/>
  <c r="C98" i="3"/>
  <c r="A98" i="3"/>
  <c r="BY97" i="3"/>
  <c r="BX97" i="3"/>
  <c r="BB97" i="3"/>
  <c r="U97" i="3"/>
  <c r="T97" i="3"/>
  <c r="S97" i="3"/>
  <c r="C97" i="3"/>
  <c r="A97" i="3"/>
  <c r="BY96" i="3"/>
  <c r="BX96" i="3"/>
  <c r="BB96" i="3"/>
  <c r="U96" i="3"/>
  <c r="T96" i="3"/>
  <c r="S96" i="3"/>
  <c r="C96" i="3"/>
  <c r="A96" i="3"/>
  <c r="BY95" i="3"/>
  <c r="BX95" i="3"/>
  <c r="BB95" i="3"/>
  <c r="U95" i="3"/>
  <c r="T95" i="3"/>
  <c r="S95" i="3"/>
  <c r="C95" i="3"/>
  <c r="A95" i="3"/>
  <c r="BY94" i="3"/>
  <c r="BX94" i="3"/>
  <c r="BB94" i="3"/>
  <c r="U94" i="3"/>
  <c r="T94" i="3"/>
  <c r="S94" i="3"/>
  <c r="C94" i="3"/>
  <c r="A94" i="3"/>
  <c r="BY93" i="3"/>
  <c r="BX93" i="3"/>
  <c r="BB93" i="3"/>
  <c r="U93" i="3"/>
  <c r="T93" i="3"/>
  <c r="S93" i="3"/>
  <c r="C93" i="3"/>
  <c r="A93" i="3"/>
  <c r="BY92" i="3"/>
  <c r="BX92" i="3"/>
  <c r="BB92" i="3"/>
  <c r="U92" i="3"/>
  <c r="T92" i="3"/>
  <c r="S92" i="3"/>
  <c r="C92" i="3"/>
  <c r="A92" i="3"/>
  <c r="BY91" i="3"/>
  <c r="BX91" i="3"/>
  <c r="BB91" i="3"/>
  <c r="U91" i="3"/>
  <c r="T91" i="3"/>
  <c r="S91" i="3"/>
  <c r="C91" i="3"/>
  <c r="A91" i="3"/>
  <c r="BY90" i="3"/>
  <c r="BX90" i="3"/>
  <c r="BB90" i="3"/>
  <c r="U90" i="3"/>
  <c r="T90" i="3"/>
  <c r="S90" i="3"/>
  <c r="C90" i="3"/>
  <c r="A90" i="3"/>
  <c r="BY89" i="3"/>
  <c r="BX89" i="3"/>
  <c r="BB89" i="3"/>
  <c r="U89" i="3"/>
  <c r="T89" i="3"/>
  <c r="S89" i="3"/>
  <c r="C89" i="3"/>
  <c r="A89" i="3"/>
  <c r="BY88" i="3"/>
  <c r="BX88" i="3"/>
  <c r="BB88" i="3"/>
  <c r="U88" i="3"/>
  <c r="T88" i="3"/>
  <c r="S88" i="3"/>
  <c r="C88" i="3"/>
  <c r="A88" i="3"/>
  <c r="BY87" i="3"/>
  <c r="BX87" i="3"/>
  <c r="BB87" i="3"/>
  <c r="U87" i="3"/>
  <c r="T87" i="3"/>
  <c r="S87" i="3"/>
  <c r="C87" i="3"/>
  <c r="A87" i="3"/>
  <c r="BY86" i="3"/>
  <c r="BX86" i="3"/>
  <c r="BB86" i="3"/>
  <c r="U86" i="3"/>
  <c r="T86" i="3"/>
  <c r="S86" i="3"/>
  <c r="C86" i="3"/>
  <c r="A86" i="3"/>
  <c r="BY85" i="3"/>
  <c r="BX85" i="3"/>
  <c r="BB85" i="3"/>
  <c r="U85" i="3"/>
  <c r="T85" i="3"/>
  <c r="S85" i="3"/>
  <c r="C85" i="3"/>
  <c r="A85" i="3"/>
  <c r="BY84" i="3"/>
  <c r="BX84" i="3"/>
  <c r="BB84" i="3"/>
  <c r="U84" i="3"/>
  <c r="T84" i="3"/>
  <c r="S84" i="3"/>
  <c r="C84" i="3"/>
  <c r="A84" i="3"/>
  <c r="BY83" i="3"/>
  <c r="BX83" i="3"/>
  <c r="BB83" i="3"/>
  <c r="U83" i="3"/>
  <c r="T83" i="3"/>
  <c r="S83" i="3"/>
  <c r="C83" i="3"/>
  <c r="A83" i="3"/>
  <c r="BY82" i="3"/>
  <c r="BX82" i="3"/>
  <c r="BB82" i="3"/>
  <c r="U82" i="3"/>
  <c r="T82" i="3"/>
  <c r="S82" i="3"/>
  <c r="C82" i="3"/>
  <c r="A82" i="3"/>
  <c r="BY81" i="3"/>
  <c r="BX81" i="3"/>
  <c r="BB81" i="3"/>
  <c r="U81" i="3"/>
  <c r="T81" i="3"/>
  <c r="S81" i="3"/>
  <c r="C81" i="3"/>
  <c r="A81" i="3"/>
  <c r="BY80" i="3"/>
  <c r="BX80" i="3"/>
  <c r="BB80" i="3"/>
  <c r="U80" i="3"/>
  <c r="T80" i="3"/>
  <c r="S80" i="3"/>
  <c r="C80" i="3"/>
  <c r="A80" i="3"/>
  <c r="BY79" i="3"/>
  <c r="BX79" i="3"/>
  <c r="BB79" i="3"/>
  <c r="U79" i="3"/>
  <c r="T79" i="3"/>
  <c r="S79" i="3"/>
  <c r="C79" i="3"/>
  <c r="A79" i="3"/>
  <c r="BY78" i="3"/>
  <c r="BX78" i="3"/>
  <c r="BB78" i="3"/>
  <c r="U78" i="3"/>
  <c r="T78" i="3"/>
  <c r="S78" i="3"/>
  <c r="C78" i="3"/>
  <c r="A78" i="3"/>
  <c r="BY77" i="3"/>
  <c r="BX77" i="3"/>
  <c r="BB77" i="3"/>
  <c r="U77" i="3"/>
  <c r="T77" i="3"/>
  <c r="S77" i="3"/>
  <c r="C77" i="3"/>
  <c r="A77" i="3"/>
  <c r="BY76" i="3"/>
  <c r="BX76" i="3"/>
  <c r="BB76" i="3"/>
  <c r="U76" i="3"/>
  <c r="T76" i="3"/>
  <c r="S76" i="3"/>
  <c r="C76" i="3"/>
  <c r="A76" i="3"/>
  <c r="BY75" i="3"/>
  <c r="BX75" i="3"/>
  <c r="BB75" i="3"/>
  <c r="U75" i="3"/>
  <c r="T75" i="3"/>
  <c r="S75" i="3"/>
  <c r="C75" i="3"/>
  <c r="A75" i="3"/>
  <c r="BY74" i="3"/>
  <c r="BX74" i="3"/>
  <c r="BB74" i="3"/>
  <c r="U74" i="3"/>
  <c r="T74" i="3"/>
  <c r="S74" i="3"/>
  <c r="C74" i="3"/>
  <c r="A74" i="3"/>
  <c r="BY73" i="3"/>
  <c r="BX73" i="3"/>
  <c r="BB73" i="3"/>
  <c r="U73" i="3"/>
  <c r="T73" i="3"/>
  <c r="S73" i="3"/>
  <c r="C73" i="3"/>
  <c r="A73" i="3"/>
  <c r="BY72" i="3"/>
  <c r="BX72" i="3"/>
  <c r="BB72" i="3"/>
  <c r="U72" i="3"/>
  <c r="T72" i="3"/>
  <c r="S72" i="3"/>
  <c r="C72" i="3"/>
  <c r="A72" i="3"/>
  <c r="BY71" i="3"/>
  <c r="BX71" i="3"/>
  <c r="BB71" i="3"/>
  <c r="U71" i="3"/>
  <c r="T71" i="3"/>
  <c r="S71" i="3"/>
  <c r="C71" i="3"/>
  <c r="A71" i="3"/>
  <c r="BY70" i="3"/>
  <c r="BX70" i="3"/>
  <c r="BB70" i="3"/>
  <c r="U70" i="3"/>
  <c r="T70" i="3"/>
  <c r="S70" i="3"/>
  <c r="C70" i="3"/>
  <c r="A70" i="3"/>
  <c r="BY69" i="3"/>
  <c r="BX69" i="3"/>
  <c r="BB69" i="3"/>
  <c r="U69" i="3"/>
  <c r="T69" i="3"/>
  <c r="S69" i="3"/>
  <c r="C69" i="3"/>
  <c r="A69" i="3"/>
  <c r="BY68" i="3"/>
  <c r="BX68" i="3"/>
  <c r="BB68" i="3"/>
  <c r="U68" i="3"/>
  <c r="T68" i="3"/>
  <c r="S68" i="3"/>
  <c r="C68" i="3"/>
  <c r="A68" i="3"/>
  <c r="BY67" i="3"/>
  <c r="BX67" i="3"/>
  <c r="BB67" i="3"/>
  <c r="U67" i="3"/>
  <c r="T67" i="3"/>
  <c r="S67" i="3"/>
  <c r="C67" i="3"/>
  <c r="A67" i="3"/>
  <c r="BY66" i="3"/>
  <c r="BX66" i="3"/>
  <c r="BB66" i="3"/>
  <c r="U66" i="3"/>
  <c r="T66" i="3"/>
  <c r="S66" i="3"/>
  <c r="C66" i="3"/>
  <c r="A66" i="3"/>
  <c r="BY65" i="3"/>
  <c r="BX65" i="3"/>
  <c r="BB65" i="3"/>
  <c r="U65" i="3"/>
  <c r="T65" i="3"/>
  <c r="S65" i="3"/>
  <c r="C65" i="3"/>
  <c r="A65" i="3"/>
  <c r="BY64" i="3"/>
  <c r="BX64" i="3"/>
  <c r="BB64" i="3"/>
  <c r="U64" i="3"/>
  <c r="T64" i="3"/>
  <c r="S64" i="3"/>
  <c r="C64" i="3"/>
  <c r="A64" i="3"/>
  <c r="BY63" i="3"/>
  <c r="BX63" i="3"/>
  <c r="BB63" i="3"/>
  <c r="U63" i="3"/>
  <c r="T63" i="3"/>
  <c r="S63" i="3"/>
  <c r="C63" i="3"/>
  <c r="A63" i="3"/>
  <c r="BY62" i="3"/>
  <c r="BX62" i="3"/>
  <c r="BB62" i="3"/>
  <c r="U62" i="3"/>
  <c r="T62" i="3"/>
  <c r="S62" i="3"/>
  <c r="C62" i="3"/>
  <c r="A62" i="3"/>
  <c r="BY61" i="3"/>
  <c r="BX61" i="3"/>
  <c r="BB61" i="3"/>
  <c r="U61" i="3"/>
  <c r="T61" i="3"/>
  <c r="S61" i="3"/>
  <c r="C61" i="3"/>
  <c r="A61" i="3"/>
  <c r="BY60" i="3"/>
  <c r="BX60" i="3"/>
  <c r="BB60" i="3"/>
  <c r="U60" i="3"/>
  <c r="T60" i="3"/>
  <c r="S60" i="3"/>
  <c r="C60" i="3"/>
  <c r="A60" i="3"/>
  <c r="BY59" i="3"/>
  <c r="BX59" i="3"/>
  <c r="BB59" i="3"/>
  <c r="U59" i="3"/>
  <c r="T59" i="3"/>
  <c r="S59" i="3"/>
  <c r="C59" i="3"/>
  <c r="A59" i="3"/>
  <c r="BY58" i="3"/>
  <c r="BX58" i="3"/>
  <c r="BB58" i="3"/>
  <c r="U58" i="3"/>
  <c r="T58" i="3"/>
  <c r="S58" i="3"/>
  <c r="C58" i="3"/>
  <c r="A58" i="3"/>
  <c r="BY57" i="3"/>
  <c r="BX57" i="3"/>
  <c r="BB57" i="3"/>
  <c r="U57" i="3"/>
  <c r="T57" i="3"/>
  <c r="S57" i="3"/>
  <c r="C57" i="3"/>
  <c r="A57" i="3"/>
  <c r="BY56" i="3"/>
  <c r="BX56" i="3"/>
  <c r="BB56" i="3"/>
  <c r="U56" i="3"/>
  <c r="T56" i="3"/>
  <c r="S56" i="3"/>
  <c r="C56" i="3"/>
  <c r="A56" i="3"/>
  <c r="BY55" i="3"/>
  <c r="BX55" i="3"/>
  <c r="BB55" i="3"/>
  <c r="U55" i="3"/>
  <c r="T55" i="3"/>
  <c r="S55" i="3"/>
  <c r="C55" i="3"/>
  <c r="A55" i="3"/>
  <c r="BY54" i="3"/>
  <c r="BX54" i="3"/>
  <c r="BB54" i="3"/>
  <c r="U54" i="3"/>
  <c r="T54" i="3"/>
  <c r="S54" i="3"/>
  <c r="C54" i="3"/>
  <c r="A54" i="3"/>
  <c r="BY53" i="3"/>
  <c r="BX53" i="3"/>
  <c r="BB53" i="3"/>
  <c r="U53" i="3"/>
  <c r="T53" i="3"/>
  <c r="S53" i="3"/>
  <c r="C53" i="3"/>
  <c r="A53" i="3"/>
  <c r="BY52" i="3"/>
  <c r="BX52" i="3"/>
  <c r="BB52" i="3"/>
  <c r="U52" i="3"/>
  <c r="T52" i="3"/>
  <c r="S52" i="3"/>
  <c r="C52" i="3"/>
  <c r="A52" i="3"/>
  <c r="BY51" i="3"/>
  <c r="BX51" i="3"/>
  <c r="BB51" i="3"/>
  <c r="U51" i="3"/>
  <c r="T51" i="3"/>
  <c r="S51" i="3"/>
  <c r="C51" i="3"/>
  <c r="A51" i="3"/>
  <c r="BY50" i="3"/>
  <c r="BX50" i="3"/>
  <c r="BB50" i="3"/>
  <c r="U50" i="3"/>
  <c r="T50" i="3"/>
  <c r="S50" i="3"/>
  <c r="C50" i="3"/>
  <c r="A50" i="3"/>
  <c r="BY49" i="3"/>
  <c r="BX49" i="3"/>
  <c r="BB49" i="3"/>
  <c r="U49" i="3"/>
  <c r="T49" i="3"/>
  <c r="S49" i="3"/>
  <c r="C49" i="3"/>
  <c r="A49" i="3"/>
  <c r="BY48" i="3"/>
  <c r="BX48" i="3"/>
  <c r="BB48" i="3"/>
  <c r="U48" i="3"/>
  <c r="T48" i="3"/>
  <c r="S48" i="3"/>
  <c r="C48" i="3"/>
  <c r="A48" i="3"/>
  <c r="BY47" i="3"/>
  <c r="BX47" i="3"/>
  <c r="BB47" i="3"/>
  <c r="U47" i="3"/>
  <c r="T47" i="3"/>
  <c r="S47" i="3"/>
  <c r="C47" i="3"/>
  <c r="A47" i="3"/>
  <c r="BY46" i="3"/>
  <c r="BX46" i="3"/>
  <c r="BB46" i="3"/>
  <c r="U46" i="3"/>
  <c r="T46" i="3"/>
  <c r="S46" i="3"/>
  <c r="C46" i="3"/>
  <c r="A46" i="3"/>
  <c r="BY45" i="3"/>
  <c r="BX45" i="3"/>
  <c r="BB45" i="3"/>
  <c r="U45" i="3"/>
  <c r="T45" i="3"/>
  <c r="S45" i="3"/>
  <c r="C45" i="3"/>
  <c r="A45" i="3"/>
  <c r="BY44" i="3"/>
  <c r="BX44" i="3"/>
  <c r="BB44" i="3"/>
  <c r="U44" i="3"/>
  <c r="T44" i="3"/>
  <c r="S44" i="3"/>
  <c r="C44" i="3"/>
  <c r="A44" i="3"/>
  <c r="BY43" i="3"/>
  <c r="BX43" i="3"/>
  <c r="BB43" i="3"/>
  <c r="U43" i="3"/>
  <c r="T43" i="3"/>
  <c r="S43" i="3"/>
  <c r="C43" i="3"/>
  <c r="A43" i="3"/>
  <c r="BY42" i="3"/>
  <c r="BX42" i="3"/>
  <c r="BB42" i="3"/>
  <c r="U42" i="3"/>
  <c r="T42" i="3"/>
  <c r="S42" i="3"/>
  <c r="C42" i="3"/>
  <c r="A42" i="3"/>
  <c r="BY41" i="3"/>
  <c r="BX41" i="3"/>
  <c r="BB41" i="3"/>
  <c r="U41" i="3"/>
  <c r="T41" i="3"/>
  <c r="S41" i="3"/>
  <c r="C41" i="3"/>
  <c r="A41" i="3"/>
  <c r="BY40" i="3"/>
  <c r="BX40" i="3"/>
  <c r="BB40" i="3"/>
  <c r="U40" i="3"/>
  <c r="T40" i="3"/>
  <c r="S40" i="3"/>
  <c r="C40" i="3"/>
  <c r="A40" i="3"/>
  <c r="BY39" i="3"/>
  <c r="BX39" i="3"/>
  <c r="BB39" i="3"/>
  <c r="U39" i="3"/>
  <c r="T39" i="3"/>
  <c r="S39" i="3"/>
  <c r="C39" i="3"/>
  <c r="A39" i="3"/>
  <c r="BY38" i="3"/>
  <c r="BX38" i="3"/>
  <c r="BB38" i="3"/>
  <c r="U38" i="3"/>
  <c r="T38" i="3"/>
  <c r="S38" i="3"/>
  <c r="C38" i="3"/>
  <c r="A38" i="3"/>
  <c r="BY37" i="3"/>
  <c r="BX37" i="3"/>
  <c r="BB37" i="3"/>
  <c r="U37" i="3"/>
  <c r="T37" i="3"/>
  <c r="S37" i="3"/>
  <c r="C37" i="3"/>
  <c r="A37" i="3"/>
  <c r="BY36" i="3"/>
  <c r="BX36" i="3"/>
  <c r="BB36" i="3"/>
  <c r="U36" i="3"/>
  <c r="T36" i="3"/>
  <c r="S36" i="3"/>
  <c r="C36" i="3"/>
  <c r="A36" i="3"/>
  <c r="BY35" i="3"/>
  <c r="BX35" i="3"/>
  <c r="BB35" i="3"/>
  <c r="U35" i="3"/>
  <c r="T35" i="3"/>
  <c r="S35" i="3"/>
  <c r="C35" i="3"/>
  <c r="A35" i="3"/>
  <c r="BY34" i="3"/>
  <c r="BX34" i="3"/>
  <c r="BB34" i="3"/>
  <c r="U34" i="3"/>
  <c r="T34" i="3"/>
  <c r="S34" i="3"/>
  <c r="C34" i="3"/>
  <c r="A34" i="3"/>
  <c r="BY33" i="3"/>
  <c r="BX33" i="3"/>
  <c r="BB33" i="3"/>
  <c r="U33" i="3"/>
  <c r="T33" i="3"/>
  <c r="S33" i="3"/>
  <c r="C33" i="3"/>
  <c r="A33" i="3"/>
  <c r="BY32" i="3"/>
  <c r="BX32" i="3"/>
  <c r="BB32" i="3"/>
  <c r="U32" i="3"/>
  <c r="T32" i="3"/>
  <c r="S32" i="3"/>
  <c r="C32" i="3"/>
  <c r="A32" i="3"/>
  <c r="BY31" i="3"/>
  <c r="BX31" i="3"/>
  <c r="BB31" i="3"/>
  <c r="U31" i="3"/>
  <c r="T31" i="3"/>
  <c r="S31" i="3"/>
  <c r="C31" i="3"/>
  <c r="A31" i="3"/>
  <c r="BY30" i="3"/>
  <c r="BX30" i="3"/>
  <c r="BB30" i="3"/>
  <c r="U30" i="3"/>
  <c r="T30" i="3"/>
  <c r="S30" i="3"/>
  <c r="C30" i="3"/>
  <c r="A30" i="3"/>
  <c r="BY29" i="3"/>
  <c r="BX29" i="3"/>
  <c r="BB29" i="3"/>
  <c r="U29" i="3"/>
  <c r="T29" i="3"/>
  <c r="S29" i="3"/>
  <c r="C29" i="3"/>
  <c r="A29" i="3"/>
  <c r="BY28" i="3"/>
  <c r="BX28" i="3"/>
  <c r="BB28" i="3"/>
  <c r="U28" i="3"/>
  <c r="T28" i="3"/>
  <c r="S28" i="3"/>
  <c r="C28" i="3"/>
  <c r="A28" i="3"/>
  <c r="BY27" i="3"/>
  <c r="BX27" i="3"/>
  <c r="BB27" i="3"/>
  <c r="U27" i="3"/>
  <c r="T27" i="3"/>
  <c r="S27" i="3"/>
  <c r="C27" i="3"/>
  <c r="A27" i="3"/>
  <c r="BY26" i="3"/>
  <c r="BX26" i="3"/>
  <c r="BB26" i="3"/>
  <c r="U26" i="3"/>
  <c r="T26" i="3"/>
  <c r="S26" i="3"/>
  <c r="C26" i="3"/>
  <c r="A26" i="3"/>
  <c r="BY25" i="3"/>
  <c r="BX25" i="3"/>
  <c r="BB25" i="3"/>
  <c r="U25" i="3"/>
  <c r="T25" i="3"/>
  <c r="S25" i="3"/>
  <c r="C25" i="3"/>
  <c r="A25" i="3"/>
  <c r="BY24" i="3"/>
  <c r="BX24" i="3"/>
  <c r="BB24" i="3"/>
  <c r="U24" i="3"/>
  <c r="T24" i="3"/>
  <c r="S24" i="3"/>
  <c r="C24" i="3"/>
  <c r="A24" i="3"/>
  <c r="BY23" i="3"/>
  <c r="BX23" i="3"/>
  <c r="BB23" i="3"/>
  <c r="U23" i="3"/>
  <c r="T23" i="3"/>
  <c r="S23" i="3"/>
  <c r="C23" i="3"/>
  <c r="A23" i="3"/>
  <c r="BY22" i="3"/>
  <c r="BX22" i="3"/>
  <c r="BB22" i="3"/>
  <c r="U22" i="3"/>
  <c r="T22" i="3"/>
  <c r="S22" i="3"/>
  <c r="C22" i="3"/>
  <c r="A22" i="3"/>
  <c r="BY21" i="3"/>
  <c r="BX21" i="3"/>
  <c r="BB21" i="3"/>
  <c r="U21" i="3"/>
  <c r="T21" i="3"/>
  <c r="S21" i="3"/>
  <c r="C21" i="3"/>
  <c r="A21" i="3"/>
  <c r="BY20" i="3"/>
  <c r="BX20" i="3"/>
  <c r="BB20" i="3"/>
  <c r="U20" i="3"/>
  <c r="T20" i="3"/>
  <c r="S20" i="3"/>
  <c r="C20" i="3"/>
  <c r="A20" i="3"/>
  <c r="BY19" i="3"/>
  <c r="BX19" i="3"/>
  <c r="BB19" i="3"/>
  <c r="U19" i="3"/>
  <c r="T19" i="3"/>
  <c r="S19" i="3"/>
  <c r="C19" i="3"/>
  <c r="A19" i="3"/>
  <c r="BY18" i="3"/>
  <c r="BX18" i="3"/>
  <c r="BB18" i="3"/>
  <c r="U18" i="3"/>
  <c r="T18" i="3"/>
  <c r="S18" i="3"/>
  <c r="C18" i="3"/>
  <c r="A18" i="3"/>
  <c r="BY17" i="3"/>
  <c r="BX17" i="3"/>
  <c r="BB17" i="3"/>
  <c r="U17" i="3"/>
  <c r="T17" i="3"/>
  <c r="S17" i="3"/>
  <c r="C17" i="3"/>
  <c r="A17" i="3"/>
  <c r="BY16" i="3"/>
  <c r="BX16" i="3"/>
  <c r="BB16" i="3"/>
  <c r="U16" i="3"/>
  <c r="T16" i="3"/>
  <c r="S16" i="3"/>
  <c r="C16" i="3"/>
  <c r="A16" i="3"/>
  <c r="BY15" i="3"/>
  <c r="BX15" i="3"/>
  <c r="BB15" i="3"/>
  <c r="U15" i="3"/>
  <c r="T15" i="3"/>
  <c r="S15" i="3"/>
  <c r="C15" i="3"/>
  <c r="A15" i="3"/>
  <c r="BY14" i="3"/>
  <c r="BX14" i="3"/>
  <c r="BB14" i="3"/>
  <c r="U14" i="3"/>
  <c r="T14" i="3"/>
  <c r="S14" i="3"/>
  <c r="C14" i="3"/>
  <c r="A14" i="3"/>
  <c r="BY13" i="3"/>
  <c r="BX13" i="3"/>
  <c r="BB13" i="3"/>
  <c r="U13" i="3"/>
  <c r="T13" i="3"/>
  <c r="S13" i="3"/>
  <c r="C13" i="3"/>
  <c r="A13" i="3"/>
  <c r="BY12" i="3"/>
  <c r="BX12" i="3"/>
  <c r="BB12" i="3"/>
  <c r="U12" i="3"/>
  <c r="T12" i="3"/>
  <c r="S12" i="3"/>
  <c r="C12" i="3"/>
  <c r="A12" i="3"/>
  <c r="BY11" i="3"/>
  <c r="BX11" i="3"/>
  <c r="BB11" i="3"/>
  <c r="U11" i="3"/>
  <c r="T11" i="3"/>
  <c r="S11" i="3"/>
  <c r="C11" i="3"/>
  <c r="A11" i="3"/>
  <c r="BY10" i="3"/>
  <c r="BX10" i="3"/>
  <c r="BB10" i="3"/>
  <c r="U10" i="3"/>
  <c r="T10" i="3"/>
  <c r="S10" i="3"/>
  <c r="C10" i="3"/>
  <c r="A10" i="3"/>
  <c r="BY9" i="3"/>
  <c r="BX9" i="3"/>
  <c r="U9" i="3"/>
  <c r="T9" i="3"/>
  <c r="S9" i="3"/>
  <c r="C9" i="3"/>
  <c r="A9" i="3"/>
  <c r="BY8" i="3"/>
  <c r="BX8" i="3"/>
  <c r="BB8" i="3"/>
  <c r="U8" i="3"/>
  <c r="T8" i="3"/>
  <c r="S8" i="3"/>
  <c r="C8" i="3"/>
  <c r="A8" i="3"/>
  <c r="BY7" i="3"/>
  <c r="BX7" i="3"/>
  <c r="BB7" i="3"/>
  <c r="U7" i="3"/>
  <c r="T7" i="3"/>
  <c r="S7" i="3"/>
  <c r="C7" i="3"/>
  <c r="A7" i="3"/>
  <c r="BY6" i="3"/>
  <c r="BX6" i="3"/>
  <c r="BB6" i="3"/>
  <c r="U6" i="3"/>
  <c r="T6" i="3"/>
  <c r="S6" i="3"/>
  <c r="C6" i="3"/>
  <c r="A6" i="3"/>
  <c r="BY5" i="3"/>
  <c r="BX5" i="3"/>
  <c r="U5" i="3"/>
  <c r="T5" i="3"/>
  <c r="S5" i="3"/>
  <c r="C5" i="3"/>
  <c r="A5" i="3"/>
  <c r="BY4" i="3"/>
  <c r="BX4" i="3"/>
  <c r="BB4" i="3"/>
  <c r="U4" i="3"/>
  <c r="T4" i="3"/>
  <c r="S4" i="3"/>
  <c r="C4" i="3"/>
  <c r="A4" i="3"/>
  <c r="BY3" i="3"/>
  <c r="BX3" i="3"/>
  <c r="U3" i="3"/>
  <c r="T3" i="3"/>
  <c r="S3" i="3"/>
  <c r="C3" i="3"/>
  <c r="A3" i="3"/>
  <c r="BY2" i="3"/>
  <c r="BX2" i="3"/>
  <c r="U2" i="3"/>
  <c r="T2" i="3"/>
  <c r="S2" i="3"/>
  <c r="C2" i="3"/>
  <c r="A2" i="3"/>
  <c r="K3" i="1" l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K2" i="1"/>
  <c r="J2" i="1"/>
  <c r="L3" i="1"/>
  <c r="M3" i="1" s="1"/>
  <c r="N3" i="1" s="1"/>
  <c r="L4" i="1"/>
  <c r="M4" i="1" s="1"/>
  <c r="N4" i="1" s="1"/>
  <c r="L5" i="1"/>
  <c r="M5" i="1" s="1"/>
  <c r="N5" i="1" s="1"/>
  <c r="L6" i="1"/>
  <c r="M6" i="1" s="1"/>
  <c r="N6" i="1" s="1"/>
  <c r="L7" i="1"/>
  <c r="M7" i="1" s="1"/>
  <c r="N7" i="1" s="1"/>
  <c r="L8" i="1"/>
  <c r="M8" i="1" s="1"/>
  <c r="N8" i="1" s="1"/>
  <c r="L9" i="1"/>
  <c r="M9" i="1" s="1"/>
  <c r="N9" i="1" s="1"/>
  <c r="L10" i="1"/>
  <c r="M10" i="1" s="1"/>
  <c r="N10" i="1" s="1"/>
  <c r="L11" i="1"/>
  <c r="M11" i="1" s="1"/>
  <c r="N11" i="1" s="1"/>
  <c r="L12" i="1"/>
  <c r="M12" i="1" s="1"/>
  <c r="N12" i="1" s="1"/>
  <c r="L13" i="1"/>
  <c r="M13" i="1" s="1"/>
  <c r="N13" i="1" s="1"/>
  <c r="L14" i="1"/>
  <c r="M14" i="1" s="1"/>
  <c r="N14" i="1" s="1"/>
  <c r="L15" i="1"/>
  <c r="M15" i="1" s="1"/>
  <c r="N15" i="1" s="1"/>
  <c r="L16" i="1"/>
  <c r="M16" i="1" s="1"/>
  <c r="N16" i="1" s="1"/>
  <c r="L17" i="1"/>
  <c r="M17" i="1" s="1"/>
  <c r="N17" i="1" s="1"/>
  <c r="L18" i="1"/>
  <c r="M18" i="1" s="1"/>
  <c r="N18" i="1" s="1"/>
  <c r="L19" i="1"/>
  <c r="M19" i="1" s="1"/>
  <c r="N19" i="1" s="1"/>
  <c r="L20" i="1"/>
  <c r="M20" i="1" s="1"/>
  <c r="N20" i="1" s="1"/>
  <c r="L21" i="1"/>
  <c r="M21" i="1" s="1"/>
  <c r="N21" i="1" s="1"/>
  <c r="L22" i="1"/>
  <c r="M22" i="1" s="1"/>
  <c r="N22" i="1" s="1"/>
  <c r="L23" i="1"/>
  <c r="M23" i="1" s="1"/>
  <c r="N23" i="1" s="1"/>
  <c r="L24" i="1"/>
  <c r="M24" i="1" s="1"/>
  <c r="N24" i="1" s="1"/>
  <c r="L25" i="1"/>
  <c r="M25" i="1" s="1"/>
  <c r="N25" i="1" s="1"/>
  <c r="L26" i="1"/>
  <c r="M26" i="1" s="1"/>
  <c r="N26" i="1" s="1"/>
  <c r="L27" i="1"/>
  <c r="M27" i="1" s="1"/>
  <c r="N27" i="1" s="1"/>
  <c r="L28" i="1"/>
  <c r="M28" i="1" s="1"/>
  <c r="N28" i="1" s="1"/>
  <c r="L29" i="1"/>
  <c r="M29" i="1" s="1"/>
  <c r="N29" i="1" s="1"/>
  <c r="L30" i="1"/>
  <c r="M30" i="1" s="1"/>
  <c r="N30" i="1" s="1"/>
  <c r="L31" i="1"/>
  <c r="M31" i="1" s="1"/>
  <c r="N31" i="1" s="1"/>
  <c r="L32" i="1"/>
  <c r="M32" i="1" s="1"/>
  <c r="N32" i="1" s="1"/>
  <c r="L33" i="1"/>
  <c r="M33" i="1" s="1"/>
  <c r="N33" i="1" s="1"/>
  <c r="L34" i="1"/>
  <c r="M34" i="1" s="1"/>
  <c r="N34" i="1" s="1"/>
  <c r="L35" i="1"/>
  <c r="M35" i="1" s="1"/>
  <c r="N35" i="1" s="1"/>
  <c r="L36" i="1"/>
  <c r="M36" i="1" s="1"/>
  <c r="N36" i="1" s="1"/>
  <c r="L37" i="1"/>
  <c r="M37" i="1" s="1"/>
  <c r="N37" i="1" s="1"/>
  <c r="L38" i="1"/>
  <c r="M38" i="1" s="1"/>
  <c r="N38" i="1" s="1"/>
  <c r="L39" i="1"/>
  <c r="M39" i="1" s="1"/>
  <c r="N39" i="1" s="1"/>
  <c r="L40" i="1"/>
  <c r="M40" i="1" s="1"/>
  <c r="N40" i="1" s="1"/>
  <c r="L41" i="1"/>
  <c r="M41" i="1" s="1"/>
  <c r="N41" i="1" s="1"/>
  <c r="L42" i="1"/>
  <c r="M42" i="1" s="1"/>
  <c r="N42" i="1" s="1"/>
  <c r="L43" i="1"/>
  <c r="M43" i="1" s="1"/>
  <c r="N43" i="1" s="1"/>
  <c r="L44" i="1"/>
  <c r="M44" i="1" s="1"/>
  <c r="N44" i="1" s="1"/>
  <c r="L45" i="1"/>
  <c r="M45" i="1" s="1"/>
  <c r="N45" i="1" s="1"/>
  <c r="L46" i="1"/>
  <c r="M46" i="1" s="1"/>
  <c r="N46" i="1" s="1"/>
  <c r="L47" i="1"/>
  <c r="M47" i="1" s="1"/>
  <c r="N47" i="1" s="1"/>
  <c r="L48" i="1"/>
  <c r="M48" i="1" s="1"/>
  <c r="N48" i="1" s="1"/>
  <c r="L49" i="1"/>
  <c r="M49" i="1" s="1"/>
  <c r="N49" i="1" s="1"/>
  <c r="L50" i="1"/>
  <c r="M50" i="1" s="1"/>
  <c r="N50" i="1" s="1"/>
  <c r="L51" i="1"/>
  <c r="M51" i="1" s="1"/>
  <c r="N51" i="1" s="1"/>
  <c r="L52" i="1"/>
  <c r="M52" i="1" s="1"/>
  <c r="N52" i="1" s="1"/>
  <c r="L53" i="1"/>
  <c r="M53" i="1" s="1"/>
  <c r="N53" i="1" s="1"/>
  <c r="L54" i="1"/>
  <c r="M54" i="1" s="1"/>
  <c r="N54" i="1" s="1"/>
  <c r="L55" i="1"/>
  <c r="M55" i="1" s="1"/>
  <c r="N55" i="1" s="1"/>
  <c r="L56" i="1"/>
  <c r="M56" i="1" s="1"/>
  <c r="N56" i="1" s="1"/>
  <c r="L57" i="1"/>
  <c r="M57" i="1" s="1"/>
  <c r="N57" i="1" s="1"/>
  <c r="L58" i="1"/>
  <c r="M58" i="1" s="1"/>
  <c r="N58" i="1" s="1"/>
  <c r="L59" i="1"/>
  <c r="M59" i="1" s="1"/>
  <c r="N59" i="1" s="1"/>
  <c r="L60" i="1"/>
  <c r="M60" i="1" s="1"/>
  <c r="N60" i="1" s="1"/>
  <c r="L61" i="1"/>
  <c r="M61" i="1" s="1"/>
  <c r="N61" i="1" s="1"/>
  <c r="L62" i="1"/>
  <c r="M62" i="1" s="1"/>
  <c r="N62" i="1" s="1"/>
  <c r="L63" i="1"/>
  <c r="M63" i="1" s="1"/>
  <c r="N63" i="1" s="1"/>
  <c r="L64" i="1"/>
  <c r="M64" i="1" s="1"/>
  <c r="N64" i="1" s="1"/>
  <c r="L65" i="1"/>
  <c r="M65" i="1" s="1"/>
  <c r="N65" i="1" s="1"/>
  <c r="L66" i="1"/>
  <c r="M66" i="1" s="1"/>
  <c r="N66" i="1" s="1"/>
  <c r="L67" i="1"/>
  <c r="M67" i="1" s="1"/>
  <c r="N67" i="1" s="1"/>
  <c r="L68" i="1"/>
  <c r="M68" i="1" s="1"/>
  <c r="N68" i="1" s="1"/>
  <c r="L69" i="1"/>
  <c r="M69" i="1" s="1"/>
  <c r="N69" i="1" s="1"/>
  <c r="L70" i="1"/>
  <c r="M70" i="1" s="1"/>
  <c r="N70" i="1" s="1"/>
  <c r="L71" i="1"/>
  <c r="M71" i="1" s="1"/>
  <c r="N71" i="1" s="1"/>
  <c r="L72" i="1"/>
  <c r="M72" i="1" s="1"/>
  <c r="N72" i="1" s="1"/>
  <c r="L73" i="1"/>
  <c r="M73" i="1" s="1"/>
  <c r="N73" i="1" s="1"/>
  <c r="L74" i="1"/>
  <c r="M74" i="1" s="1"/>
  <c r="N74" i="1" s="1"/>
  <c r="L75" i="1"/>
  <c r="M75" i="1" s="1"/>
  <c r="N75" i="1" s="1"/>
  <c r="L76" i="1"/>
  <c r="M76" i="1" s="1"/>
  <c r="N76" i="1" s="1"/>
  <c r="L77" i="1"/>
  <c r="M77" i="1" s="1"/>
  <c r="N77" i="1" s="1"/>
  <c r="L78" i="1"/>
  <c r="M78" i="1" s="1"/>
  <c r="N78" i="1" s="1"/>
  <c r="L79" i="1"/>
  <c r="M79" i="1" s="1"/>
  <c r="N79" i="1" s="1"/>
  <c r="L80" i="1"/>
  <c r="M80" i="1" s="1"/>
  <c r="N80" i="1" s="1"/>
  <c r="L81" i="1"/>
  <c r="M81" i="1" s="1"/>
  <c r="N81" i="1" s="1"/>
  <c r="L82" i="1"/>
  <c r="M82" i="1" s="1"/>
  <c r="N82" i="1" s="1"/>
  <c r="L83" i="1"/>
  <c r="M83" i="1" s="1"/>
  <c r="N83" i="1" s="1"/>
  <c r="L84" i="1"/>
  <c r="M84" i="1" s="1"/>
  <c r="N84" i="1" s="1"/>
  <c r="L85" i="1"/>
  <c r="M85" i="1" s="1"/>
  <c r="N85" i="1" s="1"/>
  <c r="L86" i="1"/>
  <c r="M86" i="1" s="1"/>
  <c r="N86" i="1" s="1"/>
  <c r="L87" i="1"/>
  <c r="M87" i="1" s="1"/>
  <c r="N87" i="1" s="1"/>
  <c r="L88" i="1"/>
  <c r="M88" i="1" s="1"/>
  <c r="N88" i="1" s="1"/>
  <c r="L89" i="1"/>
  <c r="M89" i="1" s="1"/>
  <c r="N89" i="1" s="1"/>
  <c r="L90" i="1"/>
  <c r="M90" i="1" s="1"/>
  <c r="N90" i="1" s="1"/>
  <c r="L91" i="1"/>
  <c r="M91" i="1" s="1"/>
  <c r="N91" i="1" s="1"/>
  <c r="L92" i="1"/>
  <c r="M92" i="1" s="1"/>
  <c r="N92" i="1" s="1"/>
  <c r="L93" i="1"/>
  <c r="M93" i="1" s="1"/>
  <c r="N93" i="1" s="1"/>
  <c r="L94" i="1"/>
  <c r="M94" i="1" s="1"/>
  <c r="N94" i="1" s="1"/>
  <c r="L95" i="1"/>
  <c r="M95" i="1" s="1"/>
  <c r="N95" i="1" s="1"/>
  <c r="L96" i="1"/>
  <c r="M96" i="1" s="1"/>
  <c r="N96" i="1" s="1"/>
  <c r="L97" i="1"/>
  <c r="M97" i="1" s="1"/>
  <c r="N97" i="1" s="1"/>
  <c r="L98" i="1"/>
  <c r="M98" i="1" s="1"/>
  <c r="N98" i="1" s="1"/>
  <c r="L99" i="1"/>
  <c r="M99" i="1" s="1"/>
  <c r="N99" i="1" s="1"/>
  <c r="L100" i="1"/>
  <c r="M100" i="1" s="1"/>
  <c r="N100" i="1" s="1"/>
  <c r="L101" i="1"/>
  <c r="M101" i="1" s="1"/>
  <c r="N101" i="1" s="1"/>
  <c r="L102" i="1"/>
  <c r="M102" i="1" s="1"/>
  <c r="N102" i="1" s="1"/>
  <c r="L103" i="1"/>
  <c r="M103" i="1" s="1"/>
  <c r="N103" i="1" s="1"/>
  <c r="L104" i="1"/>
  <c r="M104" i="1" s="1"/>
  <c r="N104" i="1" s="1"/>
  <c r="L105" i="1"/>
  <c r="M105" i="1" s="1"/>
  <c r="N105" i="1" s="1"/>
  <c r="L106" i="1"/>
  <c r="M106" i="1" s="1"/>
  <c r="N106" i="1" s="1"/>
  <c r="L107" i="1"/>
  <c r="M107" i="1" s="1"/>
  <c r="N107" i="1" s="1"/>
  <c r="L108" i="1"/>
  <c r="M108" i="1" s="1"/>
  <c r="N108" i="1" s="1"/>
  <c r="L109" i="1"/>
  <c r="M109" i="1" s="1"/>
  <c r="N109" i="1" s="1"/>
  <c r="L110" i="1"/>
  <c r="M110" i="1" s="1"/>
  <c r="N110" i="1" s="1"/>
  <c r="L111" i="1"/>
  <c r="M111" i="1" s="1"/>
  <c r="N111" i="1" s="1"/>
  <c r="L112" i="1"/>
  <c r="M112" i="1" s="1"/>
  <c r="N112" i="1" s="1"/>
  <c r="L113" i="1"/>
  <c r="M113" i="1" s="1"/>
  <c r="N113" i="1" s="1"/>
  <c r="L114" i="1"/>
  <c r="M114" i="1" s="1"/>
  <c r="N114" i="1" s="1"/>
  <c r="L115" i="1"/>
  <c r="M115" i="1" s="1"/>
  <c r="N115" i="1" s="1"/>
  <c r="L116" i="1"/>
  <c r="M116" i="1" s="1"/>
  <c r="N116" i="1" s="1"/>
  <c r="L117" i="1"/>
  <c r="M117" i="1" s="1"/>
  <c r="N117" i="1" s="1"/>
  <c r="L118" i="1"/>
  <c r="M118" i="1" s="1"/>
  <c r="N118" i="1" s="1"/>
  <c r="L119" i="1"/>
  <c r="M119" i="1" s="1"/>
  <c r="N119" i="1" s="1"/>
  <c r="L120" i="1"/>
  <c r="M120" i="1" s="1"/>
  <c r="N120" i="1" s="1"/>
  <c r="L121" i="1"/>
  <c r="M121" i="1" s="1"/>
  <c r="N121" i="1" s="1"/>
  <c r="L122" i="1"/>
  <c r="M122" i="1" s="1"/>
  <c r="N122" i="1" s="1"/>
  <c r="L123" i="1"/>
  <c r="M123" i="1" s="1"/>
  <c r="N123" i="1" s="1"/>
  <c r="L124" i="1"/>
  <c r="M124" i="1" s="1"/>
  <c r="N124" i="1" s="1"/>
  <c r="L125" i="1"/>
  <c r="M125" i="1" s="1"/>
  <c r="N125" i="1" s="1"/>
  <c r="L126" i="1"/>
  <c r="M126" i="1" s="1"/>
  <c r="N126" i="1" s="1"/>
  <c r="L127" i="1"/>
  <c r="M127" i="1" s="1"/>
  <c r="N127" i="1" s="1"/>
  <c r="L128" i="1"/>
  <c r="M128" i="1" s="1"/>
  <c r="N128" i="1" s="1"/>
  <c r="L129" i="1"/>
  <c r="M129" i="1" s="1"/>
  <c r="N129" i="1" s="1"/>
  <c r="L130" i="1"/>
  <c r="M130" i="1" s="1"/>
  <c r="N130" i="1" s="1"/>
  <c r="L131" i="1"/>
  <c r="M131" i="1" s="1"/>
  <c r="N131" i="1" s="1"/>
  <c r="L132" i="1"/>
  <c r="M132" i="1" s="1"/>
  <c r="N132" i="1" s="1"/>
  <c r="L133" i="1"/>
  <c r="M133" i="1" s="1"/>
  <c r="N133" i="1" s="1"/>
  <c r="L134" i="1"/>
  <c r="M134" i="1" s="1"/>
  <c r="N134" i="1" s="1"/>
  <c r="L135" i="1"/>
  <c r="M135" i="1" s="1"/>
  <c r="N135" i="1" s="1"/>
  <c r="L136" i="1"/>
  <c r="M136" i="1" s="1"/>
  <c r="N136" i="1" s="1"/>
  <c r="L137" i="1"/>
  <c r="M137" i="1" s="1"/>
  <c r="N137" i="1" s="1"/>
  <c r="L138" i="1"/>
  <c r="M138" i="1" s="1"/>
  <c r="N138" i="1" s="1"/>
  <c r="L139" i="1"/>
  <c r="M139" i="1" s="1"/>
  <c r="N139" i="1" s="1"/>
  <c r="L140" i="1"/>
  <c r="M140" i="1" s="1"/>
  <c r="N140" i="1" s="1"/>
  <c r="L141" i="1"/>
  <c r="M141" i="1" s="1"/>
  <c r="N141" i="1" s="1"/>
  <c r="L142" i="1"/>
  <c r="M142" i="1" s="1"/>
  <c r="N142" i="1" s="1"/>
  <c r="L143" i="1"/>
  <c r="M143" i="1" s="1"/>
  <c r="N143" i="1" s="1"/>
  <c r="L144" i="1"/>
  <c r="M144" i="1" s="1"/>
  <c r="N144" i="1" s="1"/>
  <c r="L145" i="1"/>
  <c r="M145" i="1" s="1"/>
  <c r="N145" i="1" s="1"/>
  <c r="L146" i="1"/>
  <c r="M146" i="1" s="1"/>
  <c r="N146" i="1" s="1"/>
  <c r="L147" i="1"/>
  <c r="M147" i="1" s="1"/>
  <c r="N147" i="1" s="1"/>
  <c r="L148" i="1"/>
  <c r="M148" i="1" s="1"/>
  <c r="N148" i="1" s="1"/>
  <c r="L149" i="1"/>
  <c r="M149" i="1" s="1"/>
  <c r="N149" i="1" s="1"/>
  <c r="L150" i="1"/>
  <c r="M150" i="1" s="1"/>
  <c r="N150" i="1" s="1"/>
  <c r="L151" i="1"/>
  <c r="M151" i="1" s="1"/>
  <c r="N151" i="1" s="1"/>
  <c r="L152" i="1"/>
  <c r="M152" i="1" s="1"/>
  <c r="N152" i="1" s="1"/>
  <c r="L153" i="1"/>
  <c r="M153" i="1" s="1"/>
  <c r="N153" i="1" s="1"/>
  <c r="L154" i="1"/>
  <c r="M154" i="1" s="1"/>
  <c r="N154" i="1" s="1"/>
  <c r="L155" i="1"/>
  <c r="M155" i="1" s="1"/>
  <c r="N155" i="1" s="1"/>
  <c r="L156" i="1"/>
  <c r="M156" i="1" s="1"/>
  <c r="N156" i="1" s="1"/>
  <c r="L157" i="1"/>
  <c r="M157" i="1" s="1"/>
  <c r="N157" i="1" s="1"/>
  <c r="L158" i="1"/>
  <c r="M158" i="1" s="1"/>
  <c r="N158" i="1" s="1"/>
  <c r="L159" i="1"/>
  <c r="M159" i="1" s="1"/>
  <c r="N159" i="1" s="1"/>
  <c r="L160" i="1"/>
  <c r="M160" i="1" s="1"/>
  <c r="N160" i="1" s="1"/>
  <c r="L161" i="1"/>
  <c r="M161" i="1" s="1"/>
  <c r="N161" i="1" s="1"/>
  <c r="L162" i="1"/>
  <c r="M162" i="1" s="1"/>
  <c r="N162" i="1" s="1"/>
  <c r="L163" i="1"/>
  <c r="M163" i="1" s="1"/>
  <c r="N163" i="1" s="1"/>
  <c r="L164" i="1"/>
  <c r="M164" i="1" s="1"/>
  <c r="N164" i="1" s="1"/>
  <c r="L165" i="1"/>
  <c r="M165" i="1" s="1"/>
  <c r="N165" i="1" s="1"/>
  <c r="L166" i="1"/>
  <c r="M166" i="1" s="1"/>
  <c r="N166" i="1" s="1"/>
  <c r="L167" i="1"/>
  <c r="M167" i="1" s="1"/>
  <c r="N167" i="1" s="1"/>
  <c r="L168" i="1"/>
  <c r="M168" i="1" s="1"/>
  <c r="N168" i="1" s="1"/>
  <c r="L169" i="1"/>
  <c r="M169" i="1" s="1"/>
  <c r="N169" i="1" s="1"/>
  <c r="L170" i="1"/>
  <c r="M170" i="1" s="1"/>
  <c r="N170" i="1" s="1"/>
  <c r="L171" i="1"/>
  <c r="M171" i="1" s="1"/>
  <c r="N171" i="1" s="1"/>
  <c r="L172" i="1"/>
  <c r="M172" i="1" s="1"/>
  <c r="N172" i="1" s="1"/>
  <c r="L173" i="1"/>
  <c r="M173" i="1" s="1"/>
  <c r="N173" i="1" s="1"/>
  <c r="L174" i="1"/>
  <c r="M174" i="1" s="1"/>
  <c r="N174" i="1" s="1"/>
  <c r="L175" i="1"/>
  <c r="M175" i="1" s="1"/>
  <c r="N175" i="1" s="1"/>
  <c r="L176" i="1"/>
  <c r="M176" i="1" s="1"/>
  <c r="N176" i="1" s="1"/>
  <c r="L177" i="1"/>
  <c r="M177" i="1" s="1"/>
  <c r="N177" i="1" s="1"/>
  <c r="L178" i="1"/>
  <c r="M178" i="1" s="1"/>
  <c r="N178" i="1" s="1"/>
  <c r="L179" i="1"/>
  <c r="M179" i="1" s="1"/>
  <c r="N179" i="1" s="1"/>
  <c r="L180" i="1"/>
  <c r="M180" i="1" s="1"/>
  <c r="N180" i="1" s="1"/>
  <c r="L181" i="1"/>
  <c r="M181" i="1" s="1"/>
  <c r="N181" i="1" s="1"/>
  <c r="L182" i="1"/>
  <c r="M182" i="1" s="1"/>
  <c r="N182" i="1" s="1"/>
  <c r="L183" i="1"/>
  <c r="M183" i="1" s="1"/>
  <c r="N183" i="1" s="1"/>
  <c r="L184" i="1"/>
  <c r="M184" i="1" s="1"/>
  <c r="N184" i="1" s="1"/>
  <c r="L185" i="1"/>
  <c r="M185" i="1" s="1"/>
  <c r="N185" i="1" s="1"/>
  <c r="L186" i="1"/>
  <c r="M186" i="1" s="1"/>
  <c r="N186" i="1" s="1"/>
  <c r="L187" i="1"/>
  <c r="M187" i="1" s="1"/>
  <c r="N187" i="1" s="1"/>
  <c r="L188" i="1"/>
  <c r="M188" i="1" s="1"/>
  <c r="N188" i="1" s="1"/>
  <c r="L189" i="1"/>
  <c r="M189" i="1" s="1"/>
  <c r="N189" i="1" s="1"/>
  <c r="L190" i="1"/>
  <c r="M190" i="1" s="1"/>
  <c r="N190" i="1" s="1"/>
  <c r="L191" i="1"/>
  <c r="M191" i="1" s="1"/>
  <c r="N191" i="1" s="1"/>
  <c r="L192" i="1"/>
  <c r="M192" i="1" s="1"/>
  <c r="N192" i="1" s="1"/>
  <c r="L193" i="1"/>
  <c r="M193" i="1" s="1"/>
  <c r="N193" i="1" s="1"/>
  <c r="L194" i="1"/>
  <c r="M194" i="1" s="1"/>
  <c r="N194" i="1" s="1"/>
  <c r="L195" i="1"/>
  <c r="M195" i="1" s="1"/>
  <c r="N195" i="1" s="1"/>
  <c r="L196" i="1"/>
  <c r="M196" i="1" s="1"/>
  <c r="N196" i="1" s="1"/>
  <c r="L197" i="1"/>
  <c r="M197" i="1" s="1"/>
  <c r="N197" i="1" s="1"/>
  <c r="L198" i="1"/>
  <c r="M198" i="1" s="1"/>
  <c r="N198" i="1" s="1"/>
  <c r="L199" i="1"/>
  <c r="M199" i="1" s="1"/>
  <c r="N199" i="1" s="1"/>
  <c r="L200" i="1"/>
  <c r="M200" i="1" s="1"/>
  <c r="N200" i="1" s="1"/>
  <c r="L201" i="1"/>
  <c r="M201" i="1" s="1"/>
  <c r="N201" i="1" s="1"/>
  <c r="L202" i="1"/>
  <c r="M202" i="1" s="1"/>
  <c r="N202" i="1" s="1"/>
  <c r="L203" i="1"/>
  <c r="M203" i="1" s="1"/>
  <c r="N203" i="1" s="1"/>
  <c r="L204" i="1"/>
  <c r="M204" i="1" s="1"/>
  <c r="N204" i="1" s="1"/>
  <c r="L205" i="1"/>
  <c r="M205" i="1" s="1"/>
  <c r="N205" i="1" s="1"/>
  <c r="L206" i="1"/>
  <c r="M206" i="1" s="1"/>
  <c r="N206" i="1" s="1"/>
  <c r="L207" i="1"/>
  <c r="M207" i="1" s="1"/>
  <c r="N207" i="1" s="1"/>
  <c r="L208" i="1"/>
  <c r="M208" i="1" s="1"/>
  <c r="N208" i="1" s="1"/>
  <c r="L209" i="1"/>
  <c r="M209" i="1" s="1"/>
  <c r="N209" i="1" s="1"/>
  <c r="L210" i="1"/>
  <c r="M210" i="1" s="1"/>
  <c r="N210" i="1" s="1"/>
  <c r="L211" i="1"/>
  <c r="M211" i="1" s="1"/>
  <c r="N211" i="1" s="1"/>
  <c r="L212" i="1"/>
  <c r="M212" i="1" s="1"/>
  <c r="N212" i="1" s="1"/>
  <c r="L213" i="1"/>
  <c r="M213" i="1" s="1"/>
  <c r="N213" i="1" s="1"/>
  <c r="L214" i="1"/>
  <c r="M214" i="1" s="1"/>
  <c r="N214" i="1" s="1"/>
  <c r="L215" i="1"/>
  <c r="M215" i="1" s="1"/>
  <c r="N215" i="1" s="1"/>
  <c r="L216" i="1"/>
  <c r="M216" i="1" s="1"/>
  <c r="N216" i="1" s="1"/>
  <c r="L217" i="1"/>
  <c r="M217" i="1" s="1"/>
  <c r="N217" i="1" s="1"/>
  <c r="L218" i="1"/>
  <c r="M218" i="1" s="1"/>
  <c r="N218" i="1" s="1"/>
  <c r="L219" i="1"/>
  <c r="M219" i="1" s="1"/>
  <c r="N219" i="1" s="1"/>
  <c r="L220" i="1"/>
  <c r="M220" i="1" s="1"/>
  <c r="N220" i="1" s="1"/>
  <c r="L221" i="1"/>
  <c r="M221" i="1" s="1"/>
  <c r="N221" i="1" s="1"/>
  <c r="L222" i="1"/>
  <c r="M222" i="1" s="1"/>
  <c r="N222" i="1" s="1"/>
  <c r="L223" i="1"/>
  <c r="M223" i="1" s="1"/>
  <c r="N223" i="1" s="1"/>
  <c r="L224" i="1"/>
  <c r="M224" i="1" s="1"/>
  <c r="N224" i="1" s="1"/>
  <c r="L225" i="1"/>
  <c r="M225" i="1" s="1"/>
  <c r="N225" i="1" s="1"/>
  <c r="L226" i="1"/>
  <c r="M226" i="1" s="1"/>
  <c r="N226" i="1" s="1"/>
  <c r="L227" i="1"/>
  <c r="M227" i="1" s="1"/>
  <c r="N227" i="1" s="1"/>
  <c r="L228" i="1"/>
  <c r="M228" i="1" s="1"/>
  <c r="N228" i="1" s="1"/>
  <c r="L229" i="1"/>
  <c r="M229" i="1" s="1"/>
  <c r="N229" i="1" s="1"/>
  <c r="L230" i="1"/>
  <c r="M230" i="1" s="1"/>
  <c r="N230" i="1" s="1"/>
  <c r="L231" i="1"/>
  <c r="M231" i="1" s="1"/>
  <c r="N231" i="1" s="1"/>
  <c r="L232" i="1"/>
  <c r="M232" i="1" s="1"/>
  <c r="N232" i="1" s="1"/>
  <c r="L233" i="1"/>
  <c r="M233" i="1" s="1"/>
  <c r="N233" i="1" s="1"/>
  <c r="L234" i="1"/>
  <c r="M234" i="1" s="1"/>
  <c r="N234" i="1" s="1"/>
  <c r="L235" i="1"/>
  <c r="M235" i="1" s="1"/>
  <c r="N235" i="1" s="1"/>
  <c r="L236" i="1"/>
  <c r="M236" i="1" s="1"/>
  <c r="N236" i="1" s="1"/>
  <c r="L237" i="1"/>
  <c r="M237" i="1" s="1"/>
  <c r="N237" i="1" s="1"/>
  <c r="L238" i="1"/>
  <c r="M238" i="1" s="1"/>
  <c r="N238" i="1" s="1"/>
  <c r="L239" i="1"/>
  <c r="M239" i="1" s="1"/>
  <c r="N239" i="1" s="1"/>
  <c r="L240" i="1"/>
  <c r="M240" i="1" s="1"/>
  <c r="N240" i="1" s="1"/>
  <c r="L241" i="1"/>
  <c r="M241" i="1" s="1"/>
  <c r="N241" i="1" s="1"/>
  <c r="L242" i="1"/>
  <c r="M242" i="1" s="1"/>
  <c r="N242" i="1" s="1"/>
  <c r="L243" i="1"/>
  <c r="M243" i="1" s="1"/>
  <c r="N243" i="1" s="1"/>
  <c r="L244" i="1"/>
  <c r="M244" i="1" s="1"/>
  <c r="N244" i="1" s="1"/>
  <c r="L245" i="1"/>
  <c r="M245" i="1" s="1"/>
  <c r="N245" i="1" s="1"/>
  <c r="L246" i="1"/>
  <c r="M246" i="1" s="1"/>
  <c r="N246" i="1" s="1"/>
  <c r="L247" i="1"/>
  <c r="M247" i="1" s="1"/>
  <c r="N247" i="1" s="1"/>
  <c r="L248" i="1"/>
  <c r="M248" i="1" s="1"/>
  <c r="N248" i="1" s="1"/>
  <c r="L249" i="1"/>
  <c r="M249" i="1" s="1"/>
  <c r="N249" i="1" s="1"/>
  <c r="L250" i="1"/>
  <c r="M250" i="1" s="1"/>
  <c r="N250" i="1" s="1"/>
  <c r="L251" i="1"/>
  <c r="M251" i="1" s="1"/>
  <c r="N251" i="1" s="1"/>
  <c r="L252" i="1"/>
  <c r="M252" i="1" s="1"/>
  <c r="N252" i="1" s="1"/>
  <c r="L253" i="1"/>
  <c r="M253" i="1" s="1"/>
  <c r="N253" i="1" s="1"/>
  <c r="L254" i="1"/>
  <c r="M254" i="1" s="1"/>
  <c r="N254" i="1" s="1"/>
  <c r="L255" i="1"/>
  <c r="M255" i="1" s="1"/>
  <c r="N255" i="1" s="1"/>
  <c r="L256" i="1"/>
  <c r="M256" i="1" s="1"/>
  <c r="N256" i="1" s="1"/>
  <c r="L257" i="1"/>
  <c r="M257" i="1" s="1"/>
  <c r="N257" i="1" s="1"/>
  <c r="L258" i="1"/>
  <c r="M258" i="1" s="1"/>
  <c r="N258" i="1" s="1"/>
  <c r="L259" i="1"/>
  <c r="M259" i="1" s="1"/>
  <c r="N259" i="1" s="1"/>
  <c r="L260" i="1"/>
  <c r="M260" i="1" s="1"/>
  <c r="N260" i="1" s="1"/>
  <c r="L261" i="1"/>
  <c r="M261" i="1" s="1"/>
  <c r="N261" i="1" s="1"/>
  <c r="L262" i="1"/>
  <c r="M262" i="1" s="1"/>
  <c r="N262" i="1" s="1"/>
  <c r="L263" i="1"/>
  <c r="M263" i="1" s="1"/>
  <c r="N263" i="1" s="1"/>
  <c r="L264" i="1"/>
  <c r="M264" i="1" s="1"/>
  <c r="N264" i="1" s="1"/>
  <c r="L265" i="1"/>
  <c r="M265" i="1" s="1"/>
  <c r="N265" i="1" s="1"/>
  <c r="L266" i="1"/>
  <c r="M266" i="1" s="1"/>
  <c r="N266" i="1" s="1"/>
  <c r="L267" i="1"/>
  <c r="M267" i="1" s="1"/>
  <c r="N267" i="1" s="1"/>
  <c r="L268" i="1"/>
  <c r="M268" i="1" s="1"/>
  <c r="N268" i="1" s="1"/>
  <c r="L269" i="1"/>
  <c r="M269" i="1" s="1"/>
  <c r="N269" i="1" s="1"/>
  <c r="L270" i="1"/>
  <c r="M270" i="1" s="1"/>
  <c r="N270" i="1" s="1"/>
  <c r="L271" i="1"/>
  <c r="M271" i="1" s="1"/>
  <c r="N271" i="1" s="1"/>
  <c r="L272" i="1"/>
  <c r="M272" i="1" s="1"/>
  <c r="N272" i="1" s="1"/>
  <c r="L273" i="1"/>
  <c r="M273" i="1" s="1"/>
  <c r="N273" i="1" s="1"/>
  <c r="L274" i="1"/>
  <c r="M274" i="1" s="1"/>
  <c r="N274" i="1" s="1"/>
  <c r="L275" i="1"/>
  <c r="M275" i="1" s="1"/>
  <c r="N275" i="1" s="1"/>
  <c r="L276" i="1"/>
  <c r="M276" i="1" s="1"/>
  <c r="N276" i="1" s="1"/>
  <c r="L277" i="1"/>
  <c r="M277" i="1" s="1"/>
  <c r="N277" i="1" s="1"/>
  <c r="L278" i="1"/>
  <c r="M278" i="1" s="1"/>
  <c r="N278" i="1" s="1"/>
  <c r="L279" i="1"/>
  <c r="M279" i="1" s="1"/>
  <c r="N279" i="1" s="1"/>
  <c r="L280" i="1"/>
  <c r="M280" i="1" s="1"/>
  <c r="N280" i="1" s="1"/>
  <c r="L281" i="1"/>
  <c r="M281" i="1" s="1"/>
  <c r="N281" i="1" s="1"/>
  <c r="L282" i="1"/>
  <c r="M282" i="1" s="1"/>
  <c r="N282" i="1" s="1"/>
  <c r="L283" i="1"/>
  <c r="M283" i="1" s="1"/>
  <c r="N283" i="1" s="1"/>
  <c r="L284" i="1"/>
  <c r="M284" i="1" s="1"/>
  <c r="N284" i="1" s="1"/>
  <c r="L285" i="1"/>
  <c r="M285" i="1" s="1"/>
  <c r="N285" i="1" s="1"/>
  <c r="L286" i="1"/>
  <c r="M286" i="1" s="1"/>
  <c r="N286" i="1" s="1"/>
  <c r="L287" i="1"/>
  <c r="M287" i="1" s="1"/>
  <c r="N287" i="1" s="1"/>
  <c r="L288" i="1"/>
  <c r="M288" i="1" s="1"/>
  <c r="N288" i="1" s="1"/>
  <c r="L289" i="1"/>
  <c r="M289" i="1" s="1"/>
  <c r="N289" i="1" s="1"/>
  <c r="L290" i="1"/>
  <c r="M290" i="1" s="1"/>
  <c r="N290" i="1" s="1"/>
  <c r="L291" i="1"/>
  <c r="M291" i="1" s="1"/>
  <c r="N291" i="1" s="1"/>
  <c r="L292" i="1"/>
  <c r="M292" i="1" s="1"/>
  <c r="N292" i="1" s="1"/>
  <c r="L293" i="1"/>
  <c r="M293" i="1" s="1"/>
  <c r="N293" i="1" s="1"/>
  <c r="L294" i="1"/>
  <c r="M294" i="1" s="1"/>
  <c r="N294" i="1" s="1"/>
  <c r="L295" i="1"/>
  <c r="M295" i="1" s="1"/>
  <c r="N295" i="1" s="1"/>
  <c r="L296" i="1"/>
  <c r="M296" i="1" s="1"/>
  <c r="N296" i="1" s="1"/>
  <c r="L297" i="1"/>
  <c r="M297" i="1" s="1"/>
  <c r="N297" i="1" s="1"/>
  <c r="L298" i="1"/>
  <c r="M298" i="1" s="1"/>
  <c r="N298" i="1" s="1"/>
  <c r="L299" i="1"/>
  <c r="M299" i="1" s="1"/>
  <c r="N299" i="1" s="1"/>
  <c r="L300" i="1"/>
  <c r="M300" i="1" s="1"/>
  <c r="N300" i="1" s="1"/>
  <c r="L301" i="1"/>
  <c r="M301" i="1" s="1"/>
  <c r="N301" i="1" s="1"/>
  <c r="L302" i="1"/>
  <c r="M302" i="1" s="1"/>
  <c r="N302" i="1" s="1"/>
  <c r="L303" i="1"/>
  <c r="M303" i="1" s="1"/>
  <c r="N303" i="1" s="1"/>
  <c r="L304" i="1"/>
  <c r="M304" i="1" s="1"/>
  <c r="N304" i="1" s="1"/>
  <c r="L305" i="1"/>
  <c r="M305" i="1" s="1"/>
  <c r="N305" i="1" s="1"/>
  <c r="L306" i="1"/>
  <c r="M306" i="1" s="1"/>
  <c r="N306" i="1" s="1"/>
  <c r="L307" i="1"/>
  <c r="M307" i="1" s="1"/>
  <c r="N307" i="1" s="1"/>
  <c r="L308" i="1"/>
  <c r="M308" i="1" s="1"/>
  <c r="N308" i="1" s="1"/>
  <c r="L309" i="1"/>
  <c r="M309" i="1" s="1"/>
  <c r="N309" i="1" s="1"/>
  <c r="L310" i="1"/>
  <c r="M310" i="1" s="1"/>
  <c r="N310" i="1" s="1"/>
  <c r="L311" i="1"/>
  <c r="M311" i="1" s="1"/>
  <c r="N311" i="1" s="1"/>
  <c r="L312" i="1"/>
  <c r="M312" i="1" s="1"/>
  <c r="N312" i="1" s="1"/>
  <c r="L313" i="1"/>
  <c r="M313" i="1" s="1"/>
  <c r="N313" i="1" s="1"/>
  <c r="L314" i="1"/>
  <c r="M314" i="1" s="1"/>
  <c r="N314" i="1" s="1"/>
  <c r="L315" i="1"/>
  <c r="M315" i="1" s="1"/>
  <c r="N315" i="1" s="1"/>
  <c r="L316" i="1"/>
  <c r="M316" i="1" s="1"/>
  <c r="N316" i="1" s="1"/>
  <c r="L317" i="1"/>
  <c r="M317" i="1" s="1"/>
  <c r="N317" i="1" s="1"/>
  <c r="L318" i="1"/>
  <c r="M318" i="1" s="1"/>
  <c r="N318" i="1" s="1"/>
  <c r="L319" i="1"/>
  <c r="M319" i="1" s="1"/>
  <c r="N319" i="1" s="1"/>
  <c r="L320" i="1"/>
  <c r="M320" i="1" s="1"/>
  <c r="N320" i="1" s="1"/>
  <c r="L321" i="1"/>
  <c r="M321" i="1" s="1"/>
  <c r="N321" i="1" s="1"/>
  <c r="L322" i="1"/>
  <c r="M322" i="1" s="1"/>
  <c r="N322" i="1" s="1"/>
  <c r="L323" i="1"/>
  <c r="M323" i="1" s="1"/>
  <c r="N323" i="1" s="1"/>
  <c r="L324" i="1"/>
  <c r="M324" i="1" s="1"/>
  <c r="N324" i="1" s="1"/>
  <c r="L325" i="1"/>
  <c r="M325" i="1" s="1"/>
  <c r="N325" i="1" s="1"/>
  <c r="L326" i="1"/>
  <c r="M326" i="1" s="1"/>
  <c r="N326" i="1" s="1"/>
  <c r="L327" i="1"/>
  <c r="M327" i="1" s="1"/>
  <c r="N327" i="1" s="1"/>
  <c r="L328" i="1"/>
  <c r="M328" i="1" s="1"/>
  <c r="N328" i="1" s="1"/>
  <c r="L329" i="1"/>
  <c r="M329" i="1" s="1"/>
  <c r="N329" i="1" s="1"/>
  <c r="L330" i="1"/>
  <c r="M330" i="1" s="1"/>
  <c r="N330" i="1" s="1"/>
  <c r="L331" i="1"/>
  <c r="M331" i="1" s="1"/>
  <c r="N331" i="1" s="1"/>
  <c r="L332" i="1"/>
  <c r="M332" i="1" s="1"/>
  <c r="N332" i="1" s="1"/>
  <c r="L333" i="1"/>
  <c r="M333" i="1" s="1"/>
  <c r="N333" i="1" s="1"/>
  <c r="L334" i="1"/>
  <c r="M334" i="1" s="1"/>
  <c r="N334" i="1" s="1"/>
  <c r="L335" i="1"/>
  <c r="M335" i="1" s="1"/>
  <c r="N335" i="1" s="1"/>
  <c r="L336" i="1"/>
  <c r="M336" i="1" s="1"/>
  <c r="N336" i="1" s="1"/>
  <c r="L337" i="1"/>
  <c r="M337" i="1" s="1"/>
  <c r="N337" i="1" s="1"/>
  <c r="L338" i="1"/>
  <c r="M338" i="1" s="1"/>
  <c r="N338" i="1" s="1"/>
  <c r="L339" i="1"/>
  <c r="M339" i="1" s="1"/>
  <c r="N339" i="1" s="1"/>
  <c r="L340" i="1"/>
  <c r="M340" i="1" s="1"/>
  <c r="N340" i="1" s="1"/>
  <c r="L341" i="1"/>
  <c r="M341" i="1" s="1"/>
  <c r="N341" i="1" s="1"/>
  <c r="L342" i="1"/>
  <c r="M342" i="1" s="1"/>
  <c r="N342" i="1" s="1"/>
  <c r="L343" i="1"/>
  <c r="M343" i="1" s="1"/>
  <c r="N343" i="1" s="1"/>
  <c r="L344" i="1"/>
  <c r="M344" i="1" s="1"/>
  <c r="N344" i="1" s="1"/>
  <c r="L345" i="1"/>
  <c r="M345" i="1" s="1"/>
  <c r="N345" i="1" s="1"/>
  <c r="L346" i="1"/>
  <c r="M346" i="1" s="1"/>
  <c r="N346" i="1" s="1"/>
  <c r="L347" i="1"/>
  <c r="M347" i="1" s="1"/>
  <c r="N347" i="1" s="1"/>
  <c r="L348" i="1"/>
  <c r="M348" i="1" s="1"/>
  <c r="N348" i="1" s="1"/>
  <c r="L349" i="1"/>
  <c r="M349" i="1" s="1"/>
  <c r="N349" i="1" s="1"/>
  <c r="L350" i="1"/>
  <c r="M350" i="1" s="1"/>
  <c r="N350" i="1" s="1"/>
  <c r="L351" i="1"/>
  <c r="M351" i="1" s="1"/>
  <c r="N351" i="1" s="1"/>
  <c r="L352" i="1"/>
  <c r="M352" i="1" s="1"/>
  <c r="N352" i="1" s="1"/>
  <c r="L353" i="1"/>
  <c r="M353" i="1" s="1"/>
  <c r="N353" i="1" s="1"/>
  <c r="L354" i="1"/>
  <c r="M354" i="1" s="1"/>
  <c r="N354" i="1" s="1"/>
  <c r="L355" i="1"/>
  <c r="M355" i="1" s="1"/>
  <c r="N355" i="1" s="1"/>
  <c r="L356" i="1"/>
  <c r="M356" i="1" s="1"/>
  <c r="N356" i="1" s="1"/>
  <c r="L357" i="1"/>
  <c r="M357" i="1" s="1"/>
  <c r="N357" i="1" s="1"/>
  <c r="L358" i="1"/>
  <c r="M358" i="1" s="1"/>
  <c r="N358" i="1" s="1"/>
  <c r="L359" i="1"/>
  <c r="M359" i="1" s="1"/>
  <c r="N359" i="1" s="1"/>
  <c r="L360" i="1"/>
  <c r="M360" i="1" s="1"/>
  <c r="N360" i="1" s="1"/>
  <c r="L361" i="1"/>
  <c r="M361" i="1" s="1"/>
  <c r="N361" i="1" s="1"/>
  <c r="L362" i="1"/>
  <c r="M362" i="1" s="1"/>
  <c r="N362" i="1" s="1"/>
  <c r="L363" i="1"/>
  <c r="M363" i="1" s="1"/>
  <c r="N363" i="1" s="1"/>
  <c r="L364" i="1"/>
  <c r="M364" i="1" s="1"/>
  <c r="N364" i="1" s="1"/>
  <c r="L365" i="1"/>
  <c r="M365" i="1" s="1"/>
  <c r="N365" i="1" s="1"/>
  <c r="L366" i="1"/>
  <c r="M366" i="1" s="1"/>
  <c r="N366" i="1" s="1"/>
  <c r="L367" i="1"/>
  <c r="M367" i="1" s="1"/>
  <c r="N367" i="1" s="1"/>
  <c r="L368" i="1"/>
  <c r="M368" i="1" s="1"/>
  <c r="N368" i="1" s="1"/>
  <c r="L369" i="1"/>
  <c r="M369" i="1" s="1"/>
  <c r="N369" i="1" s="1"/>
  <c r="L370" i="1"/>
  <c r="M370" i="1" s="1"/>
  <c r="N370" i="1" s="1"/>
  <c r="L371" i="1"/>
  <c r="M371" i="1" s="1"/>
  <c r="N371" i="1" s="1"/>
  <c r="L372" i="1"/>
  <c r="M372" i="1" s="1"/>
  <c r="N372" i="1" s="1"/>
  <c r="L373" i="1"/>
  <c r="M373" i="1" s="1"/>
  <c r="N373" i="1" s="1"/>
  <c r="L374" i="1"/>
  <c r="M374" i="1" s="1"/>
  <c r="N374" i="1" s="1"/>
  <c r="L375" i="1"/>
  <c r="M375" i="1" s="1"/>
  <c r="N375" i="1" s="1"/>
  <c r="L376" i="1"/>
  <c r="M376" i="1" s="1"/>
  <c r="N376" i="1" s="1"/>
  <c r="L377" i="1"/>
  <c r="M377" i="1" s="1"/>
  <c r="N377" i="1" s="1"/>
  <c r="L378" i="1"/>
  <c r="M378" i="1" s="1"/>
  <c r="N378" i="1" s="1"/>
  <c r="L379" i="1"/>
  <c r="M379" i="1" s="1"/>
  <c r="N379" i="1" s="1"/>
  <c r="L380" i="1"/>
  <c r="M380" i="1" s="1"/>
  <c r="N380" i="1" s="1"/>
  <c r="L381" i="1"/>
  <c r="M381" i="1" s="1"/>
  <c r="N381" i="1" s="1"/>
  <c r="L382" i="1"/>
  <c r="M382" i="1" s="1"/>
  <c r="N382" i="1" s="1"/>
  <c r="L383" i="1"/>
  <c r="M383" i="1" s="1"/>
  <c r="N383" i="1" s="1"/>
  <c r="L384" i="1"/>
  <c r="M384" i="1" s="1"/>
  <c r="N384" i="1" s="1"/>
  <c r="L385" i="1"/>
  <c r="M385" i="1" s="1"/>
  <c r="N385" i="1" s="1"/>
  <c r="L386" i="1"/>
  <c r="M386" i="1" s="1"/>
  <c r="N386" i="1" s="1"/>
  <c r="L387" i="1"/>
  <c r="M387" i="1" s="1"/>
  <c r="N387" i="1" s="1"/>
  <c r="L388" i="1"/>
  <c r="M388" i="1" s="1"/>
  <c r="N388" i="1" s="1"/>
  <c r="L389" i="1"/>
  <c r="M389" i="1" s="1"/>
  <c r="N389" i="1" s="1"/>
  <c r="L390" i="1"/>
  <c r="M390" i="1" s="1"/>
  <c r="N390" i="1" s="1"/>
  <c r="L391" i="1"/>
  <c r="M391" i="1" s="1"/>
  <c r="N391" i="1" s="1"/>
  <c r="L392" i="1"/>
  <c r="M392" i="1" s="1"/>
  <c r="N392" i="1" s="1"/>
  <c r="L393" i="1"/>
  <c r="M393" i="1" s="1"/>
  <c r="N393" i="1" s="1"/>
  <c r="L394" i="1"/>
  <c r="M394" i="1" s="1"/>
  <c r="N394" i="1" s="1"/>
  <c r="L395" i="1"/>
  <c r="M395" i="1" s="1"/>
  <c r="N395" i="1" s="1"/>
  <c r="L396" i="1"/>
  <c r="M396" i="1" s="1"/>
  <c r="N396" i="1" s="1"/>
  <c r="L397" i="1"/>
  <c r="M397" i="1" s="1"/>
  <c r="N397" i="1" s="1"/>
  <c r="L398" i="1"/>
  <c r="M398" i="1" s="1"/>
  <c r="N398" i="1" s="1"/>
  <c r="L399" i="1"/>
  <c r="M399" i="1" s="1"/>
  <c r="N399" i="1" s="1"/>
  <c r="L400" i="1"/>
  <c r="M400" i="1" s="1"/>
  <c r="N400" i="1" s="1"/>
  <c r="L401" i="1"/>
  <c r="M401" i="1" s="1"/>
  <c r="N401" i="1" s="1"/>
  <c r="L402" i="1"/>
  <c r="M402" i="1" s="1"/>
  <c r="N402" i="1" s="1"/>
  <c r="L403" i="1"/>
  <c r="M403" i="1" s="1"/>
  <c r="N403" i="1" s="1"/>
  <c r="L404" i="1"/>
  <c r="M404" i="1" s="1"/>
  <c r="N404" i="1" s="1"/>
  <c r="L405" i="1"/>
  <c r="M405" i="1" s="1"/>
  <c r="N405" i="1" s="1"/>
  <c r="L406" i="1"/>
  <c r="M406" i="1" s="1"/>
  <c r="N406" i="1" s="1"/>
  <c r="L407" i="1"/>
  <c r="M407" i="1" s="1"/>
  <c r="N407" i="1" s="1"/>
  <c r="L408" i="1"/>
  <c r="M408" i="1" s="1"/>
  <c r="N408" i="1" s="1"/>
  <c r="L409" i="1"/>
  <c r="M409" i="1" s="1"/>
  <c r="N409" i="1" s="1"/>
  <c r="L410" i="1"/>
  <c r="M410" i="1" s="1"/>
  <c r="N410" i="1" s="1"/>
  <c r="L411" i="1"/>
  <c r="M411" i="1" s="1"/>
  <c r="N411" i="1" s="1"/>
  <c r="L412" i="1"/>
  <c r="M412" i="1" s="1"/>
  <c r="N412" i="1" s="1"/>
  <c r="L413" i="1"/>
  <c r="M413" i="1" s="1"/>
  <c r="N413" i="1" s="1"/>
  <c r="L414" i="1"/>
  <c r="M414" i="1" s="1"/>
  <c r="N414" i="1" s="1"/>
  <c r="L415" i="1"/>
  <c r="M415" i="1" s="1"/>
  <c r="N415" i="1" s="1"/>
  <c r="L416" i="1"/>
  <c r="M416" i="1" s="1"/>
  <c r="N416" i="1" s="1"/>
  <c r="L417" i="1"/>
  <c r="M417" i="1" s="1"/>
  <c r="N417" i="1" s="1"/>
  <c r="L418" i="1"/>
  <c r="M418" i="1" s="1"/>
  <c r="N418" i="1" s="1"/>
  <c r="L419" i="1"/>
  <c r="M419" i="1" s="1"/>
  <c r="N419" i="1" s="1"/>
  <c r="L420" i="1"/>
  <c r="M420" i="1" s="1"/>
  <c r="N420" i="1" s="1"/>
  <c r="L421" i="1"/>
  <c r="M421" i="1" s="1"/>
  <c r="N421" i="1" s="1"/>
  <c r="L422" i="1"/>
  <c r="M422" i="1" s="1"/>
  <c r="N422" i="1" s="1"/>
  <c r="L423" i="1"/>
  <c r="M423" i="1" s="1"/>
  <c r="N423" i="1" s="1"/>
  <c r="L424" i="1"/>
  <c r="M424" i="1" s="1"/>
  <c r="N424" i="1" s="1"/>
  <c r="L425" i="1"/>
  <c r="M425" i="1" s="1"/>
  <c r="N425" i="1" s="1"/>
  <c r="L426" i="1"/>
  <c r="M426" i="1" s="1"/>
  <c r="N426" i="1" s="1"/>
  <c r="L427" i="1"/>
  <c r="M427" i="1" s="1"/>
  <c r="N427" i="1" s="1"/>
  <c r="L428" i="1"/>
  <c r="M428" i="1" s="1"/>
  <c r="N428" i="1" s="1"/>
  <c r="L429" i="1"/>
  <c r="M429" i="1" s="1"/>
  <c r="N429" i="1" s="1"/>
  <c r="L430" i="1"/>
  <c r="M430" i="1" s="1"/>
  <c r="N430" i="1" s="1"/>
  <c r="L431" i="1"/>
  <c r="M431" i="1" s="1"/>
  <c r="N431" i="1" s="1"/>
  <c r="L432" i="1"/>
  <c r="M432" i="1" s="1"/>
  <c r="N432" i="1" s="1"/>
  <c r="L433" i="1"/>
  <c r="M433" i="1" s="1"/>
  <c r="N433" i="1" s="1"/>
  <c r="L434" i="1"/>
  <c r="M434" i="1" s="1"/>
  <c r="N434" i="1" s="1"/>
  <c r="L435" i="1"/>
  <c r="M435" i="1" s="1"/>
  <c r="N435" i="1" s="1"/>
  <c r="L436" i="1"/>
  <c r="M436" i="1" s="1"/>
  <c r="N436" i="1" s="1"/>
  <c r="L437" i="1"/>
  <c r="M437" i="1" s="1"/>
  <c r="N437" i="1" s="1"/>
  <c r="L438" i="1"/>
  <c r="M438" i="1" s="1"/>
  <c r="N438" i="1" s="1"/>
  <c r="L439" i="1"/>
  <c r="M439" i="1" s="1"/>
  <c r="N439" i="1" s="1"/>
  <c r="L440" i="1"/>
  <c r="M440" i="1" s="1"/>
  <c r="N440" i="1" s="1"/>
  <c r="L441" i="1"/>
  <c r="M441" i="1" s="1"/>
  <c r="N441" i="1" s="1"/>
  <c r="L442" i="1"/>
  <c r="M442" i="1" s="1"/>
  <c r="N442" i="1" s="1"/>
  <c r="L443" i="1"/>
  <c r="M443" i="1" s="1"/>
  <c r="N443" i="1" s="1"/>
  <c r="L444" i="1"/>
  <c r="M444" i="1" s="1"/>
  <c r="N444" i="1" s="1"/>
  <c r="L445" i="1"/>
  <c r="M445" i="1" s="1"/>
  <c r="N445" i="1" s="1"/>
  <c r="L446" i="1"/>
  <c r="M446" i="1" s="1"/>
  <c r="N446" i="1" s="1"/>
  <c r="L447" i="1"/>
  <c r="M447" i="1" s="1"/>
  <c r="N447" i="1" s="1"/>
  <c r="L448" i="1"/>
  <c r="M448" i="1" s="1"/>
  <c r="N448" i="1" s="1"/>
  <c r="L449" i="1"/>
  <c r="M449" i="1" s="1"/>
  <c r="N449" i="1" s="1"/>
  <c r="L450" i="1"/>
  <c r="M450" i="1" s="1"/>
  <c r="N450" i="1" s="1"/>
  <c r="L451" i="1"/>
  <c r="M451" i="1" s="1"/>
  <c r="N451" i="1" s="1"/>
  <c r="L452" i="1"/>
  <c r="M452" i="1" s="1"/>
  <c r="N452" i="1" s="1"/>
  <c r="L453" i="1"/>
  <c r="M453" i="1" s="1"/>
  <c r="N453" i="1" s="1"/>
  <c r="L454" i="1"/>
  <c r="M454" i="1" s="1"/>
  <c r="N454" i="1" s="1"/>
  <c r="L455" i="1"/>
  <c r="M455" i="1" s="1"/>
  <c r="N455" i="1" s="1"/>
  <c r="L456" i="1"/>
  <c r="M456" i="1" s="1"/>
  <c r="N456" i="1" s="1"/>
  <c r="L457" i="1"/>
  <c r="M457" i="1" s="1"/>
  <c r="N457" i="1" s="1"/>
  <c r="L458" i="1"/>
  <c r="M458" i="1" s="1"/>
  <c r="N458" i="1" s="1"/>
  <c r="L459" i="1"/>
  <c r="M459" i="1" s="1"/>
  <c r="N459" i="1" s="1"/>
  <c r="L460" i="1"/>
  <c r="M460" i="1" s="1"/>
  <c r="N460" i="1" s="1"/>
  <c r="L461" i="1"/>
  <c r="M461" i="1" s="1"/>
  <c r="N461" i="1" s="1"/>
  <c r="L462" i="1"/>
  <c r="M462" i="1" s="1"/>
  <c r="N462" i="1" s="1"/>
  <c r="L463" i="1"/>
  <c r="M463" i="1" s="1"/>
  <c r="N463" i="1" s="1"/>
  <c r="L464" i="1"/>
  <c r="M464" i="1" s="1"/>
  <c r="N464" i="1" s="1"/>
  <c r="L465" i="1"/>
  <c r="M465" i="1" s="1"/>
  <c r="N465" i="1" s="1"/>
  <c r="L466" i="1"/>
  <c r="M466" i="1" s="1"/>
  <c r="N466" i="1" s="1"/>
  <c r="L467" i="1"/>
  <c r="M467" i="1" s="1"/>
  <c r="N467" i="1" s="1"/>
  <c r="L468" i="1"/>
  <c r="M468" i="1" s="1"/>
  <c r="N468" i="1" s="1"/>
  <c r="L469" i="1"/>
  <c r="M469" i="1" s="1"/>
  <c r="N469" i="1" s="1"/>
  <c r="L470" i="1"/>
  <c r="M470" i="1" s="1"/>
  <c r="N470" i="1" s="1"/>
  <c r="L471" i="1"/>
  <c r="M471" i="1" s="1"/>
  <c r="N471" i="1" s="1"/>
  <c r="L472" i="1"/>
  <c r="M472" i="1" s="1"/>
  <c r="N472" i="1" s="1"/>
  <c r="L473" i="1"/>
  <c r="M473" i="1" s="1"/>
  <c r="N473" i="1" s="1"/>
  <c r="L474" i="1"/>
  <c r="M474" i="1" s="1"/>
  <c r="N474" i="1" s="1"/>
  <c r="L475" i="1"/>
  <c r="M475" i="1" s="1"/>
  <c r="N475" i="1" s="1"/>
  <c r="L476" i="1"/>
  <c r="M476" i="1" s="1"/>
  <c r="N476" i="1" s="1"/>
  <c r="L477" i="1"/>
  <c r="M477" i="1" s="1"/>
  <c r="N477" i="1" s="1"/>
  <c r="L478" i="1"/>
  <c r="M478" i="1" s="1"/>
  <c r="N478" i="1" s="1"/>
  <c r="L479" i="1"/>
  <c r="M479" i="1" s="1"/>
  <c r="N479" i="1" s="1"/>
  <c r="L480" i="1"/>
  <c r="M480" i="1" s="1"/>
  <c r="N480" i="1" s="1"/>
  <c r="L481" i="1"/>
  <c r="M481" i="1" s="1"/>
  <c r="N481" i="1" s="1"/>
  <c r="L482" i="1"/>
  <c r="M482" i="1" s="1"/>
  <c r="N482" i="1" s="1"/>
  <c r="L483" i="1"/>
  <c r="M483" i="1" s="1"/>
  <c r="N483" i="1" s="1"/>
  <c r="L484" i="1"/>
  <c r="M484" i="1" s="1"/>
  <c r="N484" i="1" s="1"/>
  <c r="L485" i="1"/>
  <c r="M485" i="1" s="1"/>
  <c r="N485" i="1" s="1"/>
  <c r="L486" i="1"/>
  <c r="M486" i="1" s="1"/>
  <c r="N486" i="1" s="1"/>
  <c r="L487" i="1"/>
  <c r="M487" i="1" s="1"/>
  <c r="N487" i="1" s="1"/>
  <c r="L488" i="1"/>
  <c r="M488" i="1" s="1"/>
  <c r="N488" i="1" s="1"/>
  <c r="L489" i="1"/>
  <c r="M489" i="1" s="1"/>
  <c r="N489" i="1" s="1"/>
  <c r="L490" i="1"/>
  <c r="M490" i="1" s="1"/>
  <c r="N490" i="1" s="1"/>
  <c r="L491" i="1"/>
  <c r="M491" i="1" s="1"/>
  <c r="N491" i="1" s="1"/>
  <c r="L492" i="1"/>
  <c r="M492" i="1" s="1"/>
  <c r="N492" i="1" s="1"/>
  <c r="L493" i="1"/>
  <c r="M493" i="1" s="1"/>
  <c r="N493" i="1" s="1"/>
  <c r="L494" i="1"/>
  <c r="M494" i="1" s="1"/>
  <c r="N494" i="1" s="1"/>
  <c r="L495" i="1"/>
  <c r="M495" i="1" s="1"/>
  <c r="N495" i="1" s="1"/>
  <c r="L496" i="1"/>
  <c r="M496" i="1" s="1"/>
  <c r="N496" i="1" s="1"/>
  <c r="L497" i="1"/>
  <c r="M497" i="1" s="1"/>
  <c r="N497" i="1" s="1"/>
  <c r="L498" i="1"/>
  <c r="M498" i="1" s="1"/>
  <c r="N498" i="1" s="1"/>
  <c r="L499" i="1"/>
  <c r="M499" i="1" s="1"/>
  <c r="N499" i="1" s="1"/>
  <c r="L500" i="1"/>
  <c r="M500" i="1" s="1"/>
  <c r="N500" i="1" s="1"/>
  <c r="L501" i="1"/>
  <c r="M501" i="1" s="1"/>
  <c r="N501" i="1" s="1"/>
  <c r="L502" i="1"/>
  <c r="M502" i="1" s="1"/>
  <c r="N502" i="1" s="1"/>
  <c r="L503" i="1"/>
  <c r="M503" i="1" s="1"/>
  <c r="N503" i="1" s="1"/>
  <c r="L504" i="1"/>
  <c r="M504" i="1" s="1"/>
  <c r="N504" i="1" s="1"/>
  <c r="L505" i="1"/>
  <c r="M505" i="1" s="1"/>
  <c r="N505" i="1" s="1"/>
  <c r="L506" i="1"/>
  <c r="M506" i="1" s="1"/>
  <c r="N506" i="1" s="1"/>
  <c r="L507" i="1"/>
  <c r="M507" i="1" s="1"/>
  <c r="N507" i="1" s="1"/>
  <c r="L508" i="1"/>
  <c r="M508" i="1" s="1"/>
  <c r="N508" i="1" s="1"/>
  <c r="L509" i="1"/>
  <c r="M509" i="1" s="1"/>
  <c r="N509" i="1" s="1"/>
  <c r="L510" i="1"/>
  <c r="M510" i="1" s="1"/>
  <c r="N510" i="1" s="1"/>
  <c r="L511" i="1"/>
  <c r="M511" i="1" s="1"/>
  <c r="N511" i="1" s="1"/>
  <c r="L512" i="1"/>
  <c r="M512" i="1" s="1"/>
  <c r="N512" i="1" s="1"/>
  <c r="L513" i="1"/>
  <c r="M513" i="1" s="1"/>
  <c r="N513" i="1" s="1"/>
  <c r="L514" i="1"/>
  <c r="M514" i="1" s="1"/>
  <c r="N514" i="1" s="1"/>
  <c r="L515" i="1"/>
  <c r="M515" i="1" s="1"/>
  <c r="N515" i="1" s="1"/>
  <c r="L516" i="1"/>
  <c r="M516" i="1" s="1"/>
  <c r="N516" i="1" s="1"/>
  <c r="L517" i="1"/>
  <c r="M517" i="1" s="1"/>
  <c r="N517" i="1" s="1"/>
  <c r="L518" i="1"/>
  <c r="M518" i="1" s="1"/>
  <c r="N518" i="1" s="1"/>
  <c r="L519" i="1"/>
  <c r="M519" i="1" s="1"/>
  <c r="N519" i="1" s="1"/>
  <c r="L520" i="1"/>
  <c r="M520" i="1" s="1"/>
  <c r="N520" i="1" s="1"/>
  <c r="L521" i="1"/>
  <c r="M521" i="1" s="1"/>
  <c r="N521" i="1" s="1"/>
  <c r="L522" i="1"/>
  <c r="M522" i="1" s="1"/>
  <c r="N522" i="1" s="1"/>
  <c r="L523" i="1"/>
  <c r="M523" i="1" s="1"/>
  <c r="N523" i="1" s="1"/>
  <c r="L524" i="1"/>
  <c r="M524" i="1" s="1"/>
  <c r="N524" i="1" s="1"/>
  <c r="L525" i="1"/>
  <c r="M525" i="1" s="1"/>
  <c r="N525" i="1" s="1"/>
  <c r="L526" i="1"/>
  <c r="M526" i="1" s="1"/>
  <c r="N526" i="1" s="1"/>
  <c r="L527" i="1"/>
  <c r="M527" i="1" s="1"/>
  <c r="N527" i="1" s="1"/>
  <c r="L528" i="1"/>
  <c r="M528" i="1" s="1"/>
  <c r="N528" i="1" s="1"/>
  <c r="L529" i="1"/>
  <c r="M529" i="1" s="1"/>
  <c r="N529" i="1" s="1"/>
  <c r="L530" i="1"/>
  <c r="M530" i="1" s="1"/>
  <c r="N530" i="1" s="1"/>
  <c r="L531" i="1"/>
  <c r="M531" i="1" s="1"/>
  <c r="N531" i="1" s="1"/>
  <c r="L532" i="1"/>
  <c r="M532" i="1" s="1"/>
  <c r="N532" i="1" s="1"/>
  <c r="L533" i="1"/>
  <c r="M533" i="1" s="1"/>
  <c r="N533" i="1" s="1"/>
  <c r="L534" i="1"/>
  <c r="M534" i="1" s="1"/>
  <c r="N534" i="1" s="1"/>
  <c r="L535" i="1"/>
  <c r="M535" i="1" s="1"/>
  <c r="N535" i="1" s="1"/>
  <c r="L536" i="1"/>
  <c r="M536" i="1" s="1"/>
  <c r="N536" i="1" s="1"/>
  <c r="L537" i="1"/>
  <c r="M537" i="1" s="1"/>
  <c r="N537" i="1" s="1"/>
  <c r="L538" i="1"/>
  <c r="M538" i="1" s="1"/>
  <c r="N538" i="1" s="1"/>
  <c r="L539" i="1"/>
  <c r="M539" i="1" s="1"/>
  <c r="N539" i="1" s="1"/>
  <c r="L540" i="1"/>
  <c r="M540" i="1" s="1"/>
  <c r="N540" i="1" s="1"/>
  <c r="L541" i="1"/>
  <c r="M541" i="1" s="1"/>
  <c r="N541" i="1" s="1"/>
  <c r="L542" i="1"/>
  <c r="M542" i="1" s="1"/>
  <c r="N542" i="1" s="1"/>
  <c r="L543" i="1"/>
  <c r="M543" i="1" s="1"/>
  <c r="N543" i="1" s="1"/>
  <c r="L544" i="1"/>
  <c r="M544" i="1" s="1"/>
  <c r="N544" i="1" s="1"/>
  <c r="L545" i="1"/>
  <c r="M545" i="1" s="1"/>
  <c r="N545" i="1" s="1"/>
  <c r="L546" i="1"/>
  <c r="M546" i="1" s="1"/>
  <c r="N546" i="1" s="1"/>
  <c r="L547" i="1"/>
  <c r="M547" i="1" s="1"/>
  <c r="N547" i="1" s="1"/>
  <c r="L548" i="1"/>
  <c r="M548" i="1" s="1"/>
  <c r="N548" i="1" s="1"/>
  <c r="L549" i="1"/>
  <c r="M549" i="1" s="1"/>
  <c r="N549" i="1" s="1"/>
  <c r="L550" i="1"/>
  <c r="M550" i="1" s="1"/>
  <c r="N550" i="1" s="1"/>
  <c r="L551" i="1"/>
  <c r="M551" i="1" s="1"/>
  <c r="N551" i="1" s="1"/>
  <c r="L552" i="1"/>
  <c r="M552" i="1" s="1"/>
  <c r="N552" i="1" s="1"/>
  <c r="L553" i="1"/>
  <c r="M553" i="1" s="1"/>
  <c r="N553" i="1" s="1"/>
  <c r="L554" i="1"/>
  <c r="M554" i="1" s="1"/>
  <c r="N554" i="1" s="1"/>
  <c r="L555" i="1"/>
  <c r="M555" i="1" s="1"/>
  <c r="N555" i="1" s="1"/>
  <c r="L556" i="1"/>
  <c r="M556" i="1" s="1"/>
  <c r="N556" i="1" s="1"/>
  <c r="L557" i="1"/>
  <c r="M557" i="1" s="1"/>
  <c r="N557" i="1" s="1"/>
  <c r="L558" i="1"/>
  <c r="M558" i="1" s="1"/>
  <c r="N558" i="1" s="1"/>
  <c r="L559" i="1"/>
  <c r="M559" i="1" s="1"/>
  <c r="N559" i="1" s="1"/>
  <c r="L560" i="1"/>
  <c r="M560" i="1" s="1"/>
  <c r="N560" i="1" s="1"/>
  <c r="L561" i="1"/>
  <c r="M561" i="1" s="1"/>
  <c r="N561" i="1" s="1"/>
  <c r="L562" i="1"/>
  <c r="M562" i="1" s="1"/>
  <c r="N562" i="1" s="1"/>
  <c r="L563" i="1"/>
  <c r="M563" i="1" s="1"/>
  <c r="N563" i="1" s="1"/>
  <c r="L564" i="1"/>
  <c r="M564" i="1" s="1"/>
  <c r="N564" i="1" s="1"/>
  <c r="L565" i="1"/>
  <c r="M565" i="1" s="1"/>
  <c r="N565" i="1" s="1"/>
  <c r="L566" i="1"/>
  <c r="M566" i="1" s="1"/>
  <c r="N566" i="1" s="1"/>
  <c r="L567" i="1"/>
  <c r="M567" i="1" s="1"/>
  <c r="N567" i="1" s="1"/>
  <c r="L568" i="1"/>
  <c r="M568" i="1" s="1"/>
  <c r="N568" i="1" s="1"/>
  <c r="L569" i="1"/>
  <c r="M569" i="1" s="1"/>
  <c r="N569" i="1" s="1"/>
  <c r="L570" i="1"/>
  <c r="M570" i="1" s="1"/>
  <c r="N570" i="1" s="1"/>
  <c r="L571" i="1"/>
  <c r="M571" i="1" s="1"/>
  <c r="N571" i="1" s="1"/>
  <c r="L572" i="1"/>
  <c r="M572" i="1" s="1"/>
  <c r="N572" i="1" s="1"/>
  <c r="L573" i="1"/>
  <c r="M573" i="1" s="1"/>
  <c r="N573" i="1" s="1"/>
  <c r="L574" i="1"/>
  <c r="M574" i="1" s="1"/>
  <c r="N574" i="1" s="1"/>
  <c r="L575" i="1"/>
  <c r="M575" i="1" s="1"/>
  <c r="N575" i="1" s="1"/>
  <c r="L576" i="1"/>
  <c r="M576" i="1" s="1"/>
  <c r="N576" i="1" s="1"/>
  <c r="L577" i="1"/>
  <c r="M577" i="1" s="1"/>
  <c r="N577" i="1" s="1"/>
  <c r="L578" i="1"/>
  <c r="M578" i="1" s="1"/>
  <c r="N578" i="1" s="1"/>
  <c r="L579" i="1"/>
  <c r="M579" i="1" s="1"/>
  <c r="N579" i="1" s="1"/>
  <c r="L580" i="1"/>
  <c r="M580" i="1" s="1"/>
  <c r="N580" i="1" s="1"/>
  <c r="L581" i="1"/>
  <c r="M581" i="1" s="1"/>
  <c r="N581" i="1" s="1"/>
  <c r="L582" i="1"/>
  <c r="M582" i="1" s="1"/>
  <c r="N582" i="1" s="1"/>
  <c r="L583" i="1"/>
  <c r="M583" i="1" s="1"/>
  <c r="N583" i="1" s="1"/>
  <c r="L584" i="1"/>
  <c r="M584" i="1" s="1"/>
  <c r="N584" i="1" s="1"/>
  <c r="L585" i="1"/>
  <c r="M585" i="1" s="1"/>
  <c r="N585" i="1" s="1"/>
  <c r="L586" i="1"/>
  <c r="M586" i="1" s="1"/>
  <c r="N586" i="1" s="1"/>
  <c r="L587" i="1"/>
  <c r="M587" i="1" s="1"/>
  <c r="N587" i="1" s="1"/>
  <c r="L588" i="1"/>
  <c r="M588" i="1" s="1"/>
  <c r="N588" i="1" s="1"/>
  <c r="L589" i="1"/>
  <c r="M589" i="1" s="1"/>
  <c r="N589" i="1" s="1"/>
  <c r="L590" i="1"/>
  <c r="M590" i="1" s="1"/>
  <c r="N590" i="1" s="1"/>
  <c r="L591" i="1"/>
  <c r="M591" i="1" s="1"/>
  <c r="N591" i="1" s="1"/>
  <c r="L592" i="1"/>
  <c r="M592" i="1" s="1"/>
  <c r="N592" i="1" s="1"/>
  <c r="L593" i="1"/>
  <c r="M593" i="1" s="1"/>
  <c r="N593" i="1" s="1"/>
  <c r="L594" i="1"/>
  <c r="M594" i="1" s="1"/>
  <c r="N594" i="1" s="1"/>
  <c r="L595" i="1"/>
  <c r="M595" i="1" s="1"/>
  <c r="N595" i="1" s="1"/>
  <c r="L596" i="1"/>
  <c r="M596" i="1" s="1"/>
  <c r="N596" i="1" s="1"/>
  <c r="L597" i="1"/>
  <c r="M597" i="1" s="1"/>
  <c r="N597" i="1" s="1"/>
  <c r="L598" i="1"/>
  <c r="M598" i="1" s="1"/>
  <c r="N598" i="1" s="1"/>
  <c r="L599" i="1"/>
  <c r="M599" i="1" s="1"/>
  <c r="N599" i="1" s="1"/>
  <c r="L600" i="1"/>
  <c r="M600" i="1" s="1"/>
  <c r="N600" i="1" s="1"/>
  <c r="L601" i="1"/>
  <c r="M601" i="1" s="1"/>
  <c r="N601" i="1" s="1"/>
  <c r="L602" i="1"/>
  <c r="M602" i="1" s="1"/>
  <c r="N602" i="1" s="1"/>
  <c r="L603" i="1"/>
  <c r="M603" i="1" s="1"/>
  <c r="N603" i="1" s="1"/>
  <c r="L604" i="1"/>
  <c r="M604" i="1" s="1"/>
  <c r="N604" i="1" s="1"/>
  <c r="L605" i="1"/>
  <c r="M605" i="1" s="1"/>
  <c r="N605" i="1" s="1"/>
  <c r="L606" i="1"/>
  <c r="M606" i="1" s="1"/>
  <c r="N606" i="1" s="1"/>
  <c r="L607" i="1"/>
  <c r="M607" i="1" s="1"/>
  <c r="N607" i="1" s="1"/>
  <c r="L608" i="1"/>
  <c r="M608" i="1" s="1"/>
  <c r="N608" i="1" s="1"/>
  <c r="L609" i="1"/>
  <c r="M609" i="1" s="1"/>
  <c r="N609" i="1" s="1"/>
  <c r="L610" i="1"/>
  <c r="M610" i="1" s="1"/>
  <c r="N610" i="1" s="1"/>
  <c r="L611" i="1"/>
  <c r="M611" i="1" s="1"/>
  <c r="N611" i="1" s="1"/>
  <c r="L612" i="1"/>
  <c r="M612" i="1" s="1"/>
  <c r="N612" i="1" s="1"/>
  <c r="L613" i="1"/>
  <c r="M613" i="1" s="1"/>
  <c r="N613" i="1" s="1"/>
  <c r="L614" i="1"/>
  <c r="M614" i="1" s="1"/>
  <c r="N614" i="1" s="1"/>
  <c r="L615" i="1"/>
  <c r="M615" i="1" s="1"/>
  <c r="N615" i="1" s="1"/>
  <c r="L616" i="1"/>
  <c r="M616" i="1" s="1"/>
  <c r="N616" i="1" s="1"/>
  <c r="L617" i="1"/>
  <c r="M617" i="1" s="1"/>
  <c r="N617" i="1" s="1"/>
  <c r="L618" i="1"/>
  <c r="M618" i="1" s="1"/>
  <c r="N618" i="1" s="1"/>
  <c r="L619" i="1"/>
  <c r="M619" i="1" s="1"/>
  <c r="N619" i="1" s="1"/>
  <c r="L620" i="1"/>
  <c r="M620" i="1" s="1"/>
  <c r="N620" i="1" s="1"/>
  <c r="L621" i="1"/>
  <c r="M621" i="1" s="1"/>
  <c r="N621" i="1" s="1"/>
  <c r="L622" i="1"/>
  <c r="M622" i="1" s="1"/>
  <c r="N622" i="1" s="1"/>
  <c r="L623" i="1"/>
  <c r="M623" i="1" s="1"/>
  <c r="N623" i="1" s="1"/>
  <c r="L624" i="1"/>
  <c r="M624" i="1" s="1"/>
  <c r="N624" i="1" s="1"/>
  <c r="L625" i="1"/>
  <c r="M625" i="1" s="1"/>
  <c r="N625" i="1" s="1"/>
  <c r="L626" i="1"/>
  <c r="M626" i="1" s="1"/>
  <c r="N626" i="1" s="1"/>
  <c r="L627" i="1"/>
  <c r="M627" i="1" s="1"/>
  <c r="N627" i="1" s="1"/>
  <c r="L628" i="1"/>
  <c r="M628" i="1" s="1"/>
  <c r="N628" i="1" s="1"/>
  <c r="L629" i="1"/>
  <c r="M629" i="1" s="1"/>
  <c r="N629" i="1" s="1"/>
  <c r="L630" i="1"/>
  <c r="M630" i="1" s="1"/>
  <c r="N630" i="1" s="1"/>
  <c r="L631" i="1"/>
  <c r="M631" i="1" s="1"/>
  <c r="N631" i="1" s="1"/>
  <c r="L632" i="1"/>
  <c r="M632" i="1" s="1"/>
  <c r="N632" i="1" s="1"/>
  <c r="L633" i="1"/>
  <c r="M633" i="1" s="1"/>
  <c r="N633" i="1" s="1"/>
  <c r="L634" i="1"/>
  <c r="M634" i="1" s="1"/>
  <c r="N634" i="1" s="1"/>
  <c r="L635" i="1"/>
  <c r="M635" i="1" s="1"/>
  <c r="N635" i="1" s="1"/>
  <c r="L636" i="1"/>
  <c r="M636" i="1" s="1"/>
  <c r="N636" i="1" s="1"/>
  <c r="L637" i="1"/>
  <c r="M637" i="1" s="1"/>
  <c r="N637" i="1" s="1"/>
  <c r="L638" i="1"/>
  <c r="M638" i="1" s="1"/>
  <c r="N638" i="1" s="1"/>
  <c r="L639" i="1"/>
  <c r="M639" i="1" s="1"/>
  <c r="N639" i="1" s="1"/>
  <c r="L640" i="1"/>
  <c r="M640" i="1" s="1"/>
  <c r="N640" i="1" s="1"/>
  <c r="L641" i="1"/>
  <c r="M641" i="1" s="1"/>
  <c r="N641" i="1" s="1"/>
  <c r="L642" i="1"/>
  <c r="M642" i="1" s="1"/>
  <c r="N642" i="1" s="1"/>
  <c r="L643" i="1"/>
  <c r="M643" i="1" s="1"/>
  <c r="N643" i="1" s="1"/>
  <c r="L644" i="1"/>
  <c r="M644" i="1" s="1"/>
  <c r="N644" i="1" s="1"/>
  <c r="L645" i="1"/>
  <c r="M645" i="1" s="1"/>
  <c r="N645" i="1" s="1"/>
  <c r="L646" i="1"/>
  <c r="M646" i="1" s="1"/>
  <c r="N646" i="1" s="1"/>
  <c r="L647" i="1"/>
  <c r="M647" i="1" s="1"/>
  <c r="N647" i="1" s="1"/>
  <c r="L648" i="1"/>
  <c r="M648" i="1" s="1"/>
  <c r="N648" i="1" s="1"/>
  <c r="L649" i="1"/>
  <c r="M649" i="1" s="1"/>
  <c r="N649" i="1" s="1"/>
  <c r="L650" i="1"/>
  <c r="M650" i="1" s="1"/>
  <c r="N650" i="1" s="1"/>
  <c r="L651" i="1"/>
  <c r="M651" i="1" s="1"/>
  <c r="N651" i="1" s="1"/>
  <c r="L652" i="1"/>
  <c r="M652" i="1" s="1"/>
  <c r="N652" i="1" s="1"/>
  <c r="L653" i="1"/>
  <c r="M653" i="1" s="1"/>
  <c r="N653" i="1" s="1"/>
  <c r="L654" i="1"/>
  <c r="M654" i="1" s="1"/>
  <c r="N654" i="1" s="1"/>
  <c r="L655" i="1"/>
  <c r="M655" i="1" s="1"/>
  <c r="N655" i="1" s="1"/>
  <c r="L656" i="1"/>
  <c r="M656" i="1" s="1"/>
  <c r="N656" i="1" s="1"/>
  <c r="L657" i="1"/>
  <c r="M657" i="1" s="1"/>
  <c r="N657" i="1" s="1"/>
  <c r="L658" i="1"/>
  <c r="M658" i="1" s="1"/>
  <c r="N658" i="1" s="1"/>
  <c r="L659" i="1"/>
  <c r="M659" i="1" s="1"/>
  <c r="N659" i="1" s="1"/>
  <c r="L660" i="1"/>
  <c r="M660" i="1" s="1"/>
  <c r="N660" i="1" s="1"/>
  <c r="L661" i="1"/>
  <c r="M661" i="1" s="1"/>
  <c r="N661" i="1" s="1"/>
  <c r="L662" i="1"/>
  <c r="M662" i="1" s="1"/>
  <c r="N662" i="1" s="1"/>
  <c r="L663" i="1"/>
  <c r="M663" i="1" s="1"/>
  <c r="N663" i="1" s="1"/>
  <c r="L664" i="1"/>
  <c r="M664" i="1" s="1"/>
  <c r="N664" i="1" s="1"/>
  <c r="L665" i="1"/>
  <c r="M665" i="1" s="1"/>
  <c r="N665" i="1" s="1"/>
  <c r="L666" i="1"/>
  <c r="M666" i="1" s="1"/>
  <c r="N666" i="1" s="1"/>
  <c r="L667" i="1"/>
  <c r="M667" i="1" s="1"/>
  <c r="N667" i="1" s="1"/>
  <c r="L668" i="1"/>
  <c r="M668" i="1" s="1"/>
  <c r="N668" i="1" s="1"/>
  <c r="L669" i="1"/>
  <c r="M669" i="1" s="1"/>
  <c r="N669" i="1" s="1"/>
  <c r="L670" i="1"/>
  <c r="M670" i="1" s="1"/>
  <c r="N670" i="1" s="1"/>
  <c r="L671" i="1"/>
  <c r="M671" i="1" s="1"/>
  <c r="N671" i="1" s="1"/>
  <c r="L672" i="1"/>
  <c r="M672" i="1" s="1"/>
  <c r="N672" i="1" s="1"/>
  <c r="L673" i="1"/>
  <c r="M673" i="1" s="1"/>
  <c r="N673" i="1" s="1"/>
  <c r="L674" i="1"/>
  <c r="M674" i="1" s="1"/>
  <c r="N674" i="1" s="1"/>
  <c r="L675" i="1"/>
  <c r="M675" i="1" s="1"/>
  <c r="N675" i="1" s="1"/>
  <c r="L676" i="1"/>
  <c r="M676" i="1" s="1"/>
  <c r="N676" i="1" s="1"/>
  <c r="L677" i="1"/>
  <c r="M677" i="1" s="1"/>
  <c r="N677" i="1" s="1"/>
  <c r="L678" i="1"/>
  <c r="M678" i="1" s="1"/>
  <c r="N678" i="1" s="1"/>
  <c r="L679" i="1"/>
  <c r="M679" i="1" s="1"/>
  <c r="N679" i="1" s="1"/>
  <c r="L680" i="1"/>
  <c r="M680" i="1" s="1"/>
  <c r="N680" i="1" s="1"/>
  <c r="L681" i="1"/>
  <c r="M681" i="1" s="1"/>
  <c r="N681" i="1" s="1"/>
  <c r="L682" i="1"/>
  <c r="M682" i="1" s="1"/>
  <c r="N682" i="1" s="1"/>
  <c r="L683" i="1"/>
  <c r="M683" i="1" s="1"/>
  <c r="N683" i="1" s="1"/>
  <c r="L684" i="1"/>
  <c r="M684" i="1" s="1"/>
  <c r="N684" i="1" s="1"/>
  <c r="L685" i="1"/>
  <c r="M685" i="1" s="1"/>
  <c r="N685" i="1" s="1"/>
  <c r="L686" i="1"/>
  <c r="M686" i="1" s="1"/>
  <c r="N686" i="1" s="1"/>
  <c r="L687" i="1"/>
  <c r="M687" i="1" s="1"/>
  <c r="N687" i="1" s="1"/>
  <c r="L688" i="1"/>
  <c r="M688" i="1" s="1"/>
  <c r="N688" i="1" s="1"/>
  <c r="L689" i="1"/>
  <c r="M689" i="1" s="1"/>
  <c r="N689" i="1" s="1"/>
  <c r="L690" i="1"/>
  <c r="M690" i="1" s="1"/>
  <c r="N690" i="1" s="1"/>
  <c r="L691" i="1"/>
  <c r="M691" i="1" s="1"/>
  <c r="N691" i="1" s="1"/>
  <c r="L692" i="1"/>
  <c r="M692" i="1" s="1"/>
  <c r="N692" i="1" s="1"/>
  <c r="L693" i="1"/>
  <c r="M693" i="1" s="1"/>
  <c r="N693" i="1" s="1"/>
  <c r="L694" i="1"/>
  <c r="M694" i="1" s="1"/>
  <c r="N694" i="1" s="1"/>
  <c r="L695" i="1"/>
  <c r="M695" i="1" s="1"/>
  <c r="N695" i="1" s="1"/>
  <c r="L696" i="1"/>
  <c r="M696" i="1" s="1"/>
  <c r="N696" i="1" s="1"/>
  <c r="L697" i="1"/>
  <c r="M697" i="1" s="1"/>
  <c r="N697" i="1" s="1"/>
  <c r="L698" i="1"/>
  <c r="M698" i="1" s="1"/>
  <c r="N698" i="1" s="1"/>
  <c r="L699" i="1"/>
  <c r="M699" i="1" s="1"/>
  <c r="N699" i="1" s="1"/>
  <c r="L700" i="1"/>
  <c r="M700" i="1" s="1"/>
  <c r="N700" i="1" s="1"/>
  <c r="L701" i="1"/>
  <c r="M701" i="1" s="1"/>
  <c r="N701" i="1" s="1"/>
  <c r="L702" i="1"/>
  <c r="M702" i="1" s="1"/>
  <c r="N702" i="1" s="1"/>
  <c r="L703" i="1"/>
  <c r="M703" i="1" s="1"/>
  <c r="N703" i="1" s="1"/>
  <c r="L704" i="1"/>
  <c r="M704" i="1" s="1"/>
  <c r="N704" i="1" s="1"/>
  <c r="L705" i="1"/>
  <c r="M705" i="1" s="1"/>
  <c r="N705" i="1" s="1"/>
  <c r="L706" i="1"/>
  <c r="M706" i="1" s="1"/>
  <c r="N706" i="1" s="1"/>
  <c r="L707" i="1"/>
  <c r="M707" i="1" s="1"/>
  <c r="N707" i="1" s="1"/>
  <c r="L708" i="1"/>
  <c r="M708" i="1" s="1"/>
  <c r="N708" i="1" s="1"/>
  <c r="L709" i="1"/>
  <c r="M709" i="1" s="1"/>
  <c r="N709" i="1" s="1"/>
  <c r="L710" i="1"/>
  <c r="M710" i="1" s="1"/>
  <c r="N710" i="1" s="1"/>
  <c r="L711" i="1"/>
  <c r="M711" i="1" s="1"/>
  <c r="N711" i="1" s="1"/>
  <c r="L712" i="1"/>
  <c r="M712" i="1" s="1"/>
  <c r="N712" i="1" s="1"/>
  <c r="L713" i="1"/>
  <c r="M713" i="1" s="1"/>
  <c r="N713" i="1" s="1"/>
  <c r="L714" i="1"/>
  <c r="M714" i="1" s="1"/>
  <c r="N714" i="1" s="1"/>
  <c r="L715" i="1"/>
  <c r="M715" i="1" s="1"/>
  <c r="N715" i="1" s="1"/>
  <c r="L716" i="1"/>
  <c r="M716" i="1" s="1"/>
  <c r="N716" i="1" s="1"/>
  <c r="L717" i="1"/>
  <c r="M717" i="1" s="1"/>
  <c r="N717" i="1" s="1"/>
  <c r="L718" i="1"/>
  <c r="M718" i="1" s="1"/>
  <c r="N718" i="1" s="1"/>
  <c r="L719" i="1"/>
  <c r="M719" i="1" s="1"/>
  <c r="N719" i="1" s="1"/>
  <c r="L720" i="1"/>
  <c r="M720" i="1" s="1"/>
  <c r="N720" i="1" s="1"/>
  <c r="L721" i="1"/>
  <c r="M721" i="1" s="1"/>
  <c r="N721" i="1" s="1"/>
  <c r="L722" i="1"/>
  <c r="M722" i="1" s="1"/>
  <c r="N722" i="1" s="1"/>
  <c r="L723" i="1"/>
  <c r="M723" i="1" s="1"/>
  <c r="N723" i="1" s="1"/>
  <c r="L724" i="1"/>
  <c r="M724" i="1" s="1"/>
  <c r="N724" i="1" s="1"/>
  <c r="L725" i="1"/>
  <c r="M725" i="1" s="1"/>
  <c r="N725" i="1" s="1"/>
  <c r="L726" i="1"/>
  <c r="M726" i="1" s="1"/>
  <c r="N726" i="1" s="1"/>
  <c r="L727" i="1"/>
  <c r="M727" i="1" s="1"/>
  <c r="N727" i="1" s="1"/>
  <c r="L728" i="1"/>
  <c r="M728" i="1" s="1"/>
  <c r="N728" i="1" s="1"/>
  <c r="L729" i="1"/>
  <c r="M729" i="1" s="1"/>
  <c r="N729" i="1" s="1"/>
  <c r="L730" i="1"/>
  <c r="M730" i="1" s="1"/>
  <c r="N730" i="1" s="1"/>
  <c r="L731" i="1"/>
  <c r="M731" i="1" s="1"/>
  <c r="N731" i="1" s="1"/>
  <c r="L732" i="1"/>
  <c r="M732" i="1" s="1"/>
  <c r="N732" i="1" s="1"/>
  <c r="L733" i="1"/>
  <c r="M733" i="1" s="1"/>
  <c r="N733" i="1" s="1"/>
  <c r="L734" i="1"/>
  <c r="M734" i="1" s="1"/>
  <c r="N734" i="1" s="1"/>
  <c r="L735" i="1"/>
  <c r="M735" i="1" s="1"/>
  <c r="N735" i="1" s="1"/>
  <c r="L736" i="1"/>
  <c r="M736" i="1" s="1"/>
  <c r="N736" i="1" s="1"/>
  <c r="L737" i="1"/>
  <c r="M737" i="1" s="1"/>
  <c r="N737" i="1" s="1"/>
  <c r="L738" i="1"/>
  <c r="M738" i="1" s="1"/>
  <c r="N738" i="1" s="1"/>
  <c r="L739" i="1"/>
  <c r="M739" i="1" s="1"/>
  <c r="N739" i="1" s="1"/>
  <c r="L740" i="1"/>
  <c r="M740" i="1" s="1"/>
  <c r="N740" i="1" s="1"/>
  <c r="L741" i="1"/>
  <c r="M741" i="1" s="1"/>
  <c r="N741" i="1" s="1"/>
  <c r="L742" i="1"/>
  <c r="M742" i="1" s="1"/>
  <c r="N742" i="1" s="1"/>
  <c r="L743" i="1"/>
  <c r="M743" i="1" s="1"/>
  <c r="N743" i="1" s="1"/>
  <c r="L744" i="1"/>
  <c r="M744" i="1" s="1"/>
  <c r="N744" i="1" s="1"/>
  <c r="L745" i="1"/>
  <c r="M745" i="1" s="1"/>
  <c r="N745" i="1" s="1"/>
  <c r="L746" i="1"/>
  <c r="M746" i="1" s="1"/>
  <c r="N746" i="1" s="1"/>
  <c r="L747" i="1"/>
  <c r="M747" i="1" s="1"/>
  <c r="N747" i="1" s="1"/>
  <c r="L748" i="1"/>
  <c r="M748" i="1" s="1"/>
  <c r="N748" i="1" s="1"/>
  <c r="L749" i="1"/>
  <c r="M749" i="1" s="1"/>
  <c r="N749" i="1" s="1"/>
  <c r="L750" i="1"/>
  <c r="M750" i="1" s="1"/>
  <c r="N750" i="1" s="1"/>
  <c r="L751" i="1"/>
  <c r="M751" i="1" s="1"/>
  <c r="N751" i="1" s="1"/>
  <c r="L752" i="1"/>
  <c r="M752" i="1" s="1"/>
  <c r="N752" i="1" s="1"/>
  <c r="L753" i="1"/>
  <c r="M753" i="1" s="1"/>
  <c r="N753" i="1" s="1"/>
  <c r="L754" i="1"/>
  <c r="M754" i="1" s="1"/>
  <c r="N754" i="1" s="1"/>
  <c r="L755" i="1"/>
  <c r="M755" i="1" s="1"/>
  <c r="N755" i="1" s="1"/>
  <c r="L756" i="1"/>
  <c r="M756" i="1" s="1"/>
  <c r="N756" i="1" s="1"/>
  <c r="L757" i="1"/>
  <c r="M757" i="1" s="1"/>
  <c r="N757" i="1" s="1"/>
  <c r="L758" i="1"/>
  <c r="M758" i="1" s="1"/>
  <c r="N758" i="1" s="1"/>
  <c r="L759" i="1"/>
  <c r="M759" i="1" s="1"/>
  <c r="N759" i="1" s="1"/>
  <c r="L760" i="1"/>
  <c r="M760" i="1" s="1"/>
  <c r="N760" i="1" s="1"/>
  <c r="L761" i="1"/>
  <c r="M761" i="1" s="1"/>
  <c r="N761" i="1" s="1"/>
  <c r="L762" i="1"/>
  <c r="M762" i="1" s="1"/>
  <c r="N762" i="1" s="1"/>
  <c r="L763" i="1"/>
  <c r="M763" i="1" s="1"/>
  <c r="N763" i="1" s="1"/>
  <c r="L764" i="1"/>
  <c r="M764" i="1" s="1"/>
  <c r="N764" i="1" s="1"/>
  <c r="L765" i="1"/>
  <c r="M765" i="1" s="1"/>
  <c r="N765" i="1" s="1"/>
  <c r="L766" i="1"/>
  <c r="M766" i="1" s="1"/>
  <c r="N766" i="1" s="1"/>
  <c r="L767" i="1"/>
  <c r="M767" i="1" s="1"/>
  <c r="N767" i="1" s="1"/>
  <c r="L768" i="1"/>
  <c r="M768" i="1" s="1"/>
  <c r="N768" i="1" s="1"/>
  <c r="L769" i="1"/>
  <c r="M769" i="1" s="1"/>
  <c r="N769" i="1" s="1"/>
  <c r="L770" i="1"/>
  <c r="M770" i="1" s="1"/>
  <c r="N770" i="1" s="1"/>
  <c r="L771" i="1"/>
  <c r="M771" i="1" s="1"/>
  <c r="N771" i="1" s="1"/>
  <c r="L772" i="1"/>
  <c r="M772" i="1" s="1"/>
  <c r="N772" i="1" s="1"/>
  <c r="L773" i="1"/>
  <c r="M773" i="1" s="1"/>
  <c r="N773" i="1" s="1"/>
  <c r="L774" i="1"/>
  <c r="M774" i="1" s="1"/>
  <c r="N774" i="1" s="1"/>
  <c r="L775" i="1"/>
  <c r="M775" i="1" s="1"/>
  <c r="N775" i="1" s="1"/>
  <c r="L776" i="1"/>
  <c r="M776" i="1" s="1"/>
  <c r="N776" i="1" s="1"/>
  <c r="L777" i="1"/>
  <c r="M777" i="1" s="1"/>
  <c r="N777" i="1" s="1"/>
  <c r="L778" i="1"/>
  <c r="M778" i="1" s="1"/>
  <c r="N778" i="1" s="1"/>
  <c r="L779" i="1"/>
  <c r="M779" i="1" s="1"/>
  <c r="N779" i="1" s="1"/>
  <c r="L780" i="1"/>
  <c r="M780" i="1" s="1"/>
  <c r="N780" i="1" s="1"/>
  <c r="L781" i="1"/>
  <c r="M781" i="1" s="1"/>
  <c r="N781" i="1" s="1"/>
  <c r="L782" i="1"/>
  <c r="M782" i="1" s="1"/>
  <c r="N782" i="1" s="1"/>
  <c r="L783" i="1"/>
  <c r="M783" i="1" s="1"/>
  <c r="N783" i="1" s="1"/>
  <c r="L784" i="1"/>
  <c r="M784" i="1" s="1"/>
  <c r="N784" i="1" s="1"/>
  <c r="L785" i="1"/>
  <c r="M785" i="1" s="1"/>
  <c r="N785" i="1" s="1"/>
  <c r="L786" i="1"/>
  <c r="M786" i="1" s="1"/>
  <c r="N786" i="1" s="1"/>
  <c r="L787" i="1"/>
  <c r="M787" i="1" s="1"/>
  <c r="N787" i="1" s="1"/>
  <c r="L788" i="1"/>
  <c r="M788" i="1" s="1"/>
  <c r="N788" i="1" s="1"/>
  <c r="L789" i="1"/>
  <c r="M789" i="1" s="1"/>
  <c r="N789" i="1" s="1"/>
  <c r="L790" i="1"/>
  <c r="M790" i="1" s="1"/>
  <c r="N790" i="1" s="1"/>
  <c r="L791" i="1"/>
  <c r="M791" i="1" s="1"/>
  <c r="N791" i="1" s="1"/>
  <c r="L792" i="1"/>
  <c r="M792" i="1" s="1"/>
  <c r="N792" i="1" s="1"/>
  <c r="L793" i="1"/>
  <c r="M793" i="1" s="1"/>
  <c r="N793" i="1" s="1"/>
  <c r="L794" i="1"/>
  <c r="M794" i="1" s="1"/>
  <c r="N794" i="1" s="1"/>
  <c r="L795" i="1"/>
  <c r="M795" i="1" s="1"/>
  <c r="N795" i="1" s="1"/>
  <c r="L796" i="1"/>
  <c r="M796" i="1" s="1"/>
  <c r="N796" i="1" s="1"/>
  <c r="L797" i="1"/>
  <c r="M797" i="1" s="1"/>
  <c r="N797" i="1" s="1"/>
  <c r="L798" i="1"/>
  <c r="M798" i="1" s="1"/>
  <c r="N798" i="1" s="1"/>
  <c r="L799" i="1"/>
  <c r="M799" i="1" s="1"/>
  <c r="N799" i="1" s="1"/>
  <c r="L800" i="1"/>
  <c r="M800" i="1" s="1"/>
  <c r="N800" i="1" s="1"/>
  <c r="L801" i="1"/>
  <c r="M801" i="1" s="1"/>
  <c r="N801" i="1" s="1"/>
  <c r="L802" i="1"/>
  <c r="M802" i="1" s="1"/>
  <c r="N802" i="1" s="1"/>
  <c r="L803" i="1"/>
  <c r="M803" i="1" s="1"/>
  <c r="N803" i="1" s="1"/>
  <c r="L804" i="1"/>
  <c r="M804" i="1" s="1"/>
  <c r="N804" i="1" s="1"/>
  <c r="L805" i="1"/>
  <c r="M805" i="1" s="1"/>
  <c r="N805" i="1" s="1"/>
  <c r="L806" i="1"/>
  <c r="M806" i="1" s="1"/>
  <c r="N806" i="1" s="1"/>
  <c r="L807" i="1"/>
  <c r="M807" i="1" s="1"/>
  <c r="N807" i="1" s="1"/>
  <c r="L808" i="1"/>
  <c r="M808" i="1" s="1"/>
  <c r="N808" i="1" s="1"/>
  <c r="L809" i="1"/>
  <c r="M809" i="1" s="1"/>
  <c r="N809" i="1" s="1"/>
  <c r="L810" i="1"/>
  <c r="M810" i="1" s="1"/>
  <c r="N810" i="1" s="1"/>
  <c r="L811" i="1"/>
  <c r="M811" i="1" s="1"/>
  <c r="N811" i="1" s="1"/>
  <c r="L812" i="1"/>
  <c r="M812" i="1" s="1"/>
  <c r="N812" i="1" s="1"/>
  <c r="L813" i="1"/>
  <c r="M813" i="1" s="1"/>
  <c r="N813" i="1" s="1"/>
  <c r="L814" i="1"/>
  <c r="M814" i="1" s="1"/>
  <c r="N814" i="1" s="1"/>
  <c r="L815" i="1"/>
  <c r="M815" i="1" s="1"/>
  <c r="N815" i="1" s="1"/>
  <c r="L816" i="1"/>
  <c r="M816" i="1" s="1"/>
  <c r="N816" i="1" s="1"/>
  <c r="L817" i="1"/>
  <c r="M817" i="1" s="1"/>
  <c r="N817" i="1" s="1"/>
  <c r="L818" i="1"/>
  <c r="M818" i="1" s="1"/>
  <c r="N818" i="1" s="1"/>
  <c r="L819" i="1"/>
  <c r="M819" i="1" s="1"/>
  <c r="N819" i="1" s="1"/>
  <c r="L820" i="1"/>
  <c r="M820" i="1" s="1"/>
  <c r="N820" i="1" s="1"/>
  <c r="L821" i="1"/>
  <c r="M821" i="1" s="1"/>
  <c r="N821" i="1" s="1"/>
  <c r="L822" i="1"/>
  <c r="M822" i="1" s="1"/>
  <c r="N822" i="1" s="1"/>
  <c r="L823" i="1"/>
  <c r="M823" i="1" s="1"/>
  <c r="N823" i="1" s="1"/>
  <c r="L824" i="1"/>
  <c r="M824" i="1" s="1"/>
  <c r="N824" i="1" s="1"/>
  <c r="L825" i="1"/>
  <c r="M825" i="1" s="1"/>
  <c r="N825" i="1" s="1"/>
  <c r="L826" i="1"/>
  <c r="M826" i="1" s="1"/>
  <c r="N826" i="1" s="1"/>
  <c r="L827" i="1"/>
  <c r="M827" i="1" s="1"/>
  <c r="N827" i="1" s="1"/>
  <c r="L828" i="1"/>
  <c r="M828" i="1" s="1"/>
  <c r="N828" i="1" s="1"/>
  <c r="L829" i="1"/>
  <c r="M829" i="1" s="1"/>
  <c r="N829" i="1" s="1"/>
  <c r="L830" i="1"/>
  <c r="M830" i="1" s="1"/>
  <c r="N830" i="1" s="1"/>
  <c r="L831" i="1"/>
  <c r="M831" i="1" s="1"/>
  <c r="N831" i="1" s="1"/>
  <c r="L832" i="1"/>
  <c r="M832" i="1" s="1"/>
  <c r="N832" i="1" s="1"/>
  <c r="L833" i="1"/>
  <c r="M833" i="1" s="1"/>
  <c r="N833" i="1" s="1"/>
  <c r="L834" i="1"/>
  <c r="M834" i="1" s="1"/>
  <c r="N834" i="1" s="1"/>
  <c r="L835" i="1"/>
  <c r="M835" i="1" s="1"/>
  <c r="N835" i="1" s="1"/>
  <c r="L836" i="1"/>
  <c r="M836" i="1" s="1"/>
  <c r="N836" i="1" s="1"/>
  <c r="L837" i="1"/>
  <c r="M837" i="1" s="1"/>
  <c r="N837" i="1" s="1"/>
  <c r="L838" i="1"/>
  <c r="M838" i="1" s="1"/>
  <c r="N838" i="1" s="1"/>
  <c r="L839" i="1"/>
  <c r="M839" i="1" s="1"/>
  <c r="N839" i="1" s="1"/>
  <c r="L840" i="1"/>
  <c r="M840" i="1" s="1"/>
  <c r="N840" i="1" s="1"/>
  <c r="L841" i="1"/>
  <c r="M841" i="1" s="1"/>
  <c r="N841" i="1" s="1"/>
  <c r="L842" i="1"/>
  <c r="M842" i="1" s="1"/>
  <c r="N842" i="1" s="1"/>
  <c r="L843" i="1"/>
  <c r="M843" i="1" s="1"/>
  <c r="N843" i="1" s="1"/>
  <c r="L844" i="1"/>
  <c r="M844" i="1" s="1"/>
  <c r="N844" i="1" s="1"/>
  <c r="L845" i="1"/>
  <c r="M845" i="1" s="1"/>
  <c r="N845" i="1" s="1"/>
  <c r="L846" i="1"/>
  <c r="M846" i="1" s="1"/>
  <c r="N846" i="1" s="1"/>
  <c r="L847" i="1"/>
  <c r="M847" i="1" s="1"/>
  <c r="N847" i="1" s="1"/>
  <c r="L848" i="1"/>
  <c r="M848" i="1" s="1"/>
  <c r="N848" i="1" s="1"/>
  <c r="L849" i="1"/>
  <c r="M849" i="1" s="1"/>
  <c r="N849" i="1" s="1"/>
  <c r="L850" i="1"/>
  <c r="M850" i="1" s="1"/>
  <c r="N850" i="1" s="1"/>
  <c r="L851" i="1"/>
  <c r="M851" i="1" s="1"/>
  <c r="N851" i="1" s="1"/>
  <c r="L852" i="1"/>
  <c r="M852" i="1" s="1"/>
  <c r="N852" i="1" s="1"/>
  <c r="L853" i="1"/>
  <c r="M853" i="1" s="1"/>
  <c r="N853" i="1" s="1"/>
  <c r="L854" i="1"/>
  <c r="M854" i="1" s="1"/>
  <c r="N854" i="1" s="1"/>
  <c r="L855" i="1"/>
  <c r="M855" i="1" s="1"/>
  <c r="N855" i="1" s="1"/>
  <c r="L856" i="1"/>
  <c r="M856" i="1" s="1"/>
  <c r="N856" i="1" s="1"/>
  <c r="L857" i="1"/>
  <c r="M857" i="1" s="1"/>
  <c r="N857" i="1" s="1"/>
  <c r="L858" i="1"/>
  <c r="M858" i="1" s="1"/>
  <c r="N858" i="1" s="1"/>
  <c r="L859" i="1"/>
  <c r="M859" i="1" s="1"/>
  <c r="N859" i="1" s="1"/>
  <c r="L860" i="1"/>
  <c r="M860" i="1" s="1"/>
  <c r="N860" i="1" s="1"/>
  <c r="L861" i="1"/>
  <c r="M861" i="1" s="1"/>
  <c r="N861" i="1" s="1"/>
  <c r="L862" i="1"/>
  <c r="M862" i="1" s="1"/>
  <c r="N862" i="1" s="1"/>
  <c r="L863" i="1"/>
  <c r="M863" i="1" s="1"/>
  <c r="N863" i="1" s="1"/>
  <c r="L864" i="1"/>
  <c r="M864" i="1" s="1"/>
  <c r="N864" i="1" s="1"/>
  <c r="L865" i="1"/>
  <c r="M865" i="1" s="1"/>
  <c r="N865" i="1" s="1"/>
  <c r="L866" i="1"/>
  <c r="M866" i="1" s="1"/>
  <c r="N866" i="1" s="1"/>
  <c r="L867" i="1"/>
  <c r="M867" i="1" s="1"/>
  <c r="N867" i="1" s="1"/>
  <c r="L868" i="1"/>
  <c r="M868" i="1" s="1"/>
  <c r="N868" i="1" s="1"/>
  <c r="L869" i="1"/>
  <c r="M869" i="1" s="1"/>
  <c r="N869" i="1" s="1"/>
  <c r="L870" i="1"/>
  <c r="M870" i="1" s="1"/>
  <c r="N870" i="1" s="1"/>
  <c r="L871" i="1"/>
  <c r="M871" i="1" s="1"/>
  <c r="N871" i="1" s="1"/>
  <c r="L872" i="1"/>
  <c r="M872" i="1" s="1"/>
  <c r="N872" i="1" s="1"/>
  <c r="L873" i="1"/>
  <c r="M873" i="1" s="1"/>
  <c r="N873" i="1" s="1"/>
  <c r="L874" i="1"/>
  <c r="M874" i="1" s="1"/>
  <c r="N874" i="1" s="1"/>
  <c r="L875" i="1"/>
  <c r="M875" i="1" s="1"/>
  <c r="N875" i="1" s="1"/>
  <c r="L876" i="1"/>
  <c r="M876" i="1" s="1"/>
  <c r="N876" i="1" s="1"/>
  <c r="L877" i="1"/>
  <c r="M877" i="1" s="1"/>
  <c r="N877" i="1" s="1"/>
  <c r="L878" i="1"/>
  <c r="M878" i="1" s="1"/>
  <c r="N878" i="1" s="1"/>
  <c r="L879" i="1"/>
  <c r="M879" i="1" s="1"/>
  <c r="N879" i="1" s="1"/>
  <c r="L880" i="1"/>
  <c r="M880" i="1" s="1"/>
  <c r="N880" i="1" s="1"/>
  <c r="L881" i="1"/>
  <c r="M881" i="1" s="1"/>
  <c r="N881" i="1" s="1"/>
  <c r="L882" i="1"/>
  <c r="M882" i="1" s="1"/>
  <c r="N882" i="1" s="1"/>
  <c r="L883" i="1"/>
  <c r="M883" i="1" s="1"/>
  <c r="N883" i="1" s="1"/>
  <c r="L884" i="1"/>
  <c r="M884" i="1" s="1"/>
  <c r="N884" i="1" s="1"/>
  <c r="L885" i="1"/>
  <c r="M885" i="1" s="1"/>
  <c r="N885" i="1" s="1"/>
  <c r="L886" i="1"/>
  <c r="M886" i="1" s="1"/>
  <c r="N886" i="1" s="1"/>
  <c r="L887" i="1"/>
  <c r="M887" i="1" s="1"/>
  <c r="N887" i="1" s="1"/>
  <c r="L888" i="1"/>
  <c r="M888" i="1" s="1"/>
  <c r="N888" i="1" s="1"/>
  <c r="L889" i="1"/>
  <c r="M889" i="1" s="1"/>
  <c r="N889" i="1" s="1"/>
  <c r="L890" i="1"/>
  <c r="M890" i="1" s="1"/>
  <c r="N890" i="1" s="1"/>
  <c r="L891" i="1"/>
  <c r="M891" i="1" s="1"/>
  <c r="N891" i="1" s="1"/>
  <c r="L892" i="1"/>
  <c r="M892" i="1" s="1"/>
  <c r="N892" i="1" s="1"/>
  <c r="L893" i="1"/>
  <c r="M893" i="1" s="1"/>
  <c r="N893" i="1" s="1"/>
  <c r="L894" i="1"/>
  <c r="M894" i="1" s="1"/>
  <c r="N894" i="1" s="1"/>
  <c r="L895" i="1"/>
  <c r="M895" i="1" s="1"/>
  <c r="N895" i="1" s="1"/>
  <c r="L896" i="1"/>
  <c r="M896" i="1" s="1"/>
  <c r="N896" i="1" s="1"/>
  <c r="L897" i="1"/>
  <c r="M897" i="1" s="1"/>
  <c r="N897" i="1" s="1"/>
  <c r="L898" i="1"/>
  <c r="M898" i="1" s="1"/>
  <c r="N898" i="1" s="1"/>
  <c r="L899" i="1"/>
  <c r="M899" i="1" s="1"/>
  <c r="N899" i="1" s="1"/>
  <c r="L900" i="1"/>
  <c r="M900" i="1" s="1"/>
  <c r="N900" i="1" s="1"/>
  <c r="L901" i="1"/>
  <c r="M901" i="1" s="1"/>
  <c r="N901" i="1" s="1"/>
  <c r="L902" i="1"/>
  <c r="M902" i="1" s="1"/>
  <c r="N902" i="1" s="1"/>
  <c r="L903" i="1"/>
  <c r="M903" i="1" s="1"/>
  <c r="N903" i="1" s="1"/>
  <c r="L904" i="1"/>
  <c r="M904" i="1" s="1"/>
  <c r="N904" i="1" s="1"/>
  <c r="L905" i="1"/>
  <c r="M905" i="1" s="1"/>
  <c r="N905" i="1" s="1"/>
  <c r="L906" i="1"/>
  <c r="M906" i="1" s="1"/>
  <c r="N906" i="1" s="1"/>
  <c r="L907" i="1"/>
  <c r="M907" i="1" s="1"/>
  <c r="N907" i="1" s="1"/>
  <c r="L908" i="1"/>
  <c r="M908" i="1" s="1"/>
  <c r="N908" i="1" s="1"/>
  <c r="L909" i="1"/>
  <c r="M909" i="1" s="1"/>
  <c r="N909" i="1" s="1"/>
  <c r="L910" i="1"/>
  <c r="M910" i="1" s="1"/>
  <c r="N910" i="1" s="1"/>
  <c r="L911" i="1"/>
  <c r="M911" i="1" s="1"/>
  <c r="N911" i="1" s="1"/>
  <c r="L912" i="1"/>
  <c r="M912" i="1" s="1"/>
  <c r="N912" i="1" s="1"/>
  <c r="L913" i="1"/>
  <c r="M913" i="1" s="1"/>
  <c r="N913" i="1" s="1"/>
  <c r="L914" i="1"/>
  <c r="M914" i="1" s="1"/>
  <c r="N914" i="1" s="1"/>
  <c r="L915" i="1"/>
  <c r="M915" i="1" s="1"/>
  <c r="N915" i="1" s="1"/>
  <c r="L916" i="1"/>
  <c r="M916" i="1" s="1"/>
  <c r="N916" i="1" s="1"/>
  <c r="L917" i="1"/>
  <c r="M917" i="1" s="1"/>
  <c r="N917" i="1" s="1"/>
  <c r="L918" i="1"/>
  <c r="M918" i="1" s="1"/>
  <c r="N918" i="1" s="1"/>
  <c r="L919" i="1"/>
  <c r="M919" i="1" s="1"/>
  <c r="N919" i="1" s="1"/>
  <c r="L920" i="1"/>
  <c r="M920" i="1" s="1"/>
  <c r="N920" i="1" s="1"/>
  <c r="L921" i="1"/>
  <c r="M921" i="1" s="1"/>
  <c r="N921" i="1" s="1"/>
  <c r="L922" i="1"/>
  <c r="M922" i="1" s="1"/>
  <c r="N922" i="1" s="1"/>
  <c r="L923" i="1"/>
  <c r="M923" i="1" s="1"/>
  <c r="N923" i="1" s="1"/>
  <c r="L924" i="1"/>
  <c r="M924" i="1" s="1"/>
  <c r="N924" i="1" s="1"/>
  <c r="L925" i="1"/>
  <c r="M925" i="1" s="1"/>
  <c r="N925" i="1" s="1"/>
  <c r="L926" i="1"/>
  <c r="M926" i="1" s="1"/>
  <c r="N926" i="1" s="1"/>
  <c r="L927" i="1"/>
  <c r="M927" i="1" s="1"/>
  <c r="N927" i="1" s="1"/>
  <c r="L928" i="1"/>
  <c r="M928" i="1" s="1"/>
  <c r="N928" i="1" s="1"/>
  <c r="L929" i="1"/>
  <c r="M929" i="1" s="1"/>
  <c r="N929" i="1" s="1"/>
  <c r="L930" i="1"/>
  <c r="M930" i="1" s="1"/>
  <c r="N930" i="1" s="1"/>
  <c r="L931" i="1"/>
  <c r="M931" i="1" s="1"/>
  <c r="N931" i="1" s="1"/>
  <c r="L932" i="1"/>
  <c r="M932" i="1" s="1"/>
  <c r="N932" i="1" s="1"/>
  <c r="L933" i="1"/>
  <c r="M933" i="1" s="1"/>
  <c r="N933" i="1" s="1"/>
  <c r="L934" i="1"/>
  <c r="M934" i="1" s="1"/>
  <c r="N934" i="1" s="1"/>
  <c r="L935" i="1"/>
  <c r="M935" i="1" s="1"/>
  <c r="N935" i="1" s="1"/>
  <c r="L936" i="1"/>
  <c r="M936" i="1" s="1"/>
  <c r="N936" i="1" s="1"/>
  <c r="L937" i="1"/>
  <c r="M937" i="1" s="1"/>
  <c r="N937" i="1" s="1"/>
  <c r="L938" i="1"/>
  <c r="M938" i="1" s="1"/>
  <c r="N938" i="1" s="1"/>
  <c r="L939" i="1"/>
  <c r="M939" i="1" s="1"/>
  <c r="N939" i="1" s="1"/>
  <c r="L940" i="1"/>
  <c r="M940" i="1" s="1"/>
  <c r="N940" i="1" s="1"/>
  <c r="L941" i="1"/>
  <c r="M941" i="1" s="1"/>
  <c r="N941" i="1" s="1"/>
  <c r="L942" i="1"/>
  <c r="M942" i="1" s="1"/>
  <c r="N942" i="1" s="1"/>
  <c r="L943" i="1"/>
  <c r="M943" i="1" s="1"/>
  <c r="N943" i="1" s="1"/>
  <c r="L944" i="1"/>
  <c r="M944" i="1" s="1"/>
  <c r="N944" i="1" s="1"/>
  <c r="L945" i="1"/>
  <c r="M945" i="1" s="1"/>
  <c r="N945" i="1" s="1"/>
  <c r="L946" i="1"/>
  <c r="M946" i="1" s="1"/>
  <c r="N946" i="1" s="1"/>
  <c r="L947" i="1"/>
  <c r="M947" i="1" s="1"/>
  <c r="N947" i="1" s="1"/>
  <c r="L948" i="1"/>
  <c r="M948" i="1" s="1"/>
  <c r="N948" i="1" s="1"/>
  <c r="L949" i="1"/>
  <c r="M949" i="1" s="1"/>
  <c r="N949" i="1" s="1"/>
  <c r="L950" i="1"/>
  <c r="M950" i="1" s="1"/>
  <c r="N950" i="1" s="1"/>
  <c r="L951" i="1"/>
  <c r="M951" i="1" s="1"/>
  <c r="N951" i="1" s="1"/>
  <c r="L952" i="1"/>
  <c r="M952" i="1" s="1"/>
  <c r="N952" i="1" s="1"/>
  <c r="L953" i="1"/>
  <c r="M953" i="1" s="1"/>
  <c r="N953" i="1" s="1"/>
  <c r="L954" i="1"/>
  <c r="M954" i="1" s="1"/>
  <c r="N954" i="1" s="1"/>
  <c r="L955" i="1"/>
  <c r="M955" i="1" s="1"/>
  <c r="N955" i="1" s="1"/>
  <c r="L956" i="1"/>
  <c r="M956" i="1" s="1"/>
  <c r="N956" i="1" s="1"/>
  <c r="L957" i="1"/>
  <c r="M957" i="1" s="1"/>
  <c r="N957" i="1" s="1"/>
  <c r="L958" i="1"/>
  <c r="M958" i="1" s="1"/>
  <c r="N958" i="1" s="1"/>
  <c r="L959" i="1"/>
  <c r="M959" i="1" s="1"/>
  <c r="N959" i="1" s="1"/>
  <c r="L960" i="1"/>
  <c r="M960" i="1" s="1"/>
  <c r="N960" i="1" s="1"/>
  <c r="L961" i="1"/>
  <c r="M961" i="1" s="1"/>
  <c r="N961" i="1" s="1"/>
  <c r="L962" i="1"/>
  <c r="M962" i="1" s="1"/>
  <c r="N962" i="1" s="1"/>
  <c r="L963" i="1"/>
  <c r="M963" i="1" s="1"/>
  <c r="N963" i="1" s="1"/>
  <c r="L964" i="1"/>
  <c r="M964" i="1" s="1"/>
  <c r="N964" i="1" s="1"/>
  <c r="L965" i="1"/>
  <c r="M965" i="1" s="1"/>
  <c r="N965" i="1" s="1"/>
  <c r="L966" i="1"/>
  <c r="M966" i="1" s="1"/>
  <c r="N966" i="1" s="1"/>
  <c r="L967" i="1"/>
  <c r="M967" i="1" s="1"/>
  <c r="N967" i="1" s="1"/>
  <c r="L968" i="1"/>
  <c r="M968" i="1" s="1"/>
  <c r="N968" i="1" s="1"/>
  <c r="L969" i="1"/>
  <c r="M969" i="1" s="1"/>
  <c r="N969" i="1" s="1"/>
  <c r="L970" i="1"/>
  <c r="M970" i="1" s="1"/>
  <c r="N970" i="1" s="1"/>
  <c r="L971" i="1"/>
  <c r="M971" i="1" s="1"/>
  <c r="N971" i="1" s="1"/>
  <c r="L972" i="1"/>
  <c r="M972" i="1" s="1"/>
  <c r="N972" i="1" s="1"/>
  <c r="L973" i="1"/>
  <c r="M973" i="1" s="1"/>
  <c r="N973" i="1" s="1"/>
  <c r="L974" i="1"/>
  <c r="M974" i="1" s="1"/>
  <c r="N974" i="1" s="1"/>
  <c r="L975" i="1"/>
  <c r="M975" i="1" s="1"/>
  <c r="N975" i="1" s="1"/>
  <c r="L976" i="1"/>
  <c r="M976" i="1" s="1"/>
  <c r="N976" i="1" s="1"/>
  <c r="L977" i="1"/>
  <c r="M977" i="1" s="1"/>
  <c r="N977" i="1" s="1"/>
  <c r="L978" i="1"/>
  <c r="M978" i="1" s="1"/>
  <c r="N978" i="1" s="1"/>
  <c r="L979" i="1"/>
  <c r="M979" i="1" s="1"/>
  <c r="N979" i="1" s="1"/>
  <c r="L980" i="1"/>
  <c r="M980" i="1" s="1"/>
  <c r="N980" i="1" s="1"/>
  <c r="L981" i="1"/>
  <c r="M981" i="1" s="1"/>
  <c r="N981" i="1" s="1"/>
  <c r="L982" i="1"/>
  <c r="M982" i="1" s="1"/>
  <c r="N982" i="1" s="1"/>
  <c r="L983" i="1"/>
  <c r="M983" i="1" s="1"/>
  <c r="N983" i="1" s="1"/>
  <c r="L984" i="1"/>
  <c r="M984" i="1" s="1"/>
  <c r="N984" i="1" s="1"/>
  <c r="L985" i="1"/>
  <c r="M985" i="1" s="1"/>
  <c r="N985" i="1" s="1"/>
  <c r="L986" i="1"/>
  <c r="M986" i="1" s="1"/>
  <c r="N986" i="1" s="1"/>
  <c r="L987" i="1"/>
  <c r="M987" i="1" s="1"/>
  <c r="N987" i="1" s="1"/>
  <c r="L988" i="1"/>
  <c r="M988" i="1" s="1"/>
  <c r="N988" i="1" s="1"/>
  <c r="L989" i="1"/>
  <c r="M989" i="1" s="1"/>
  <c r="N989" i="1" s="1"/>
  <c r="L990" i="1"/>
  <c r="M990" i="1" s="1"/>
  <c r="N990" i="1" s="1"/>
  <c r="L991" i="1"/>
  <c r="M991" i="1" s="1"/>
  <c r="N991" i="1" s="1"/>
  <c r="L992" i="1"/>
  <c r="M992" i="1" s="1"/>
  <c r="N992" i="1" s="1"/>
  <c r="L993" i="1"/>
  <c r="M993" i="1" s="1"/>
  <c r="N993" i="1" s="1"/>
  <c r="L994" i="1"/>
  <c r="M994" i="1" s="1"/>
  <c r="N994" i="1" s="1"/>
  <c r="L995" i="1"/>
  <c r="M995" i="1" s="1"/>
  <c r="N995" i="1" s="1"/>
  <c r="L996" i="1"/>
  <c r="M996" i="1" s="1"/>
  <c r="N996" i="1" s="1"/>
  <c r="L997" i="1"/>
  <c r="M997" i="1" s="1"/>
  <c r="N997" i="1" s="1"/>
  <c r="L998" i="1"/>
  <c r="M998" i="1" s="1"/>
  <c r="N998" i="1" s="1"/>
  <c r="L999" i="1"/>
  <c r="M999" i="1" s="1"/>
  <c r="N999" i="1" s="1"/>
  <c r="L1000" i="1"/>
  <c r="M1000" i="1" s="1"/>
  <c r="N1000" i="1" s="1"/>
  <c r="L1001" i="1"/>
  <c r="M1001" i="1" s="1"/>
  <c r="N1001" i="1" s="1"/>
  <c r="L1002" i="1"/>
  <c r="M1002" i="1" s="1"/>
  <c r="N1002" i="1" s="1"/>
  <c r="L1003" i="1"/>
  <c r="M1003" i="1" s="1"/>
  <c r="N1003" i="1" s="1"/>
  <c r="L1004" i="1"/>
  <c r="M1004" i="1" s="1"/>
  <c r="N1004" i="1" s="1"/>
  <c r="L1005" i="1"/>
  <c r="M1005" i="1" s="1"/>
  <c r="N1005" i="1" s="1"/>
  <c r="L1006" i="1"/>
  <c r="M1006" i="1" s="1"/>
  <c r="N1006" i="1" s="1"/>
  <c r="L1007" i="1"/>
  <c r="M1007" i="1" s="1"/>
  <c r="N1007" i="1" s="1"/>
  <c r="L1008" i="1"/>
  <c r="M1008" i="1" s="1"/>
  <c r="N1008" i="1" s="1"/>
  <c r="L1009" i="1"/>
  <c r="M1009" i="1" s="1"/>
  <c r="N1009" i="1" s="1"/>
  <c r="L1010" i="1"/>
  <c r="M1010" i="1" s="1"/>
  <c r="N1010" i="1" s="1"/>
  <c r="L1011" i="1"/>
  <c r="M1011" i="1" s="1"/>
  <c r="N1011" i="1" s="1"/>
  <c r="L1012" i="1"/>
  <c r="M1012" i="1" s="1"/>
  <c r="N1012" i="1" s="1"/>
  <c r="L1013" i="1"/>
  <c r="M1013" i="1" s="1"/>
  <c r="N1013" i="1" s="1"/>
  <c r="L1014" i="1"/>
  <c r="M1014" i="1" s="1"/>
  <c r="N1014" i="1" s="1"/>
  <c r="L1015" i="1"/>
  <c r="M1015" i="1" s="1"/>
  <c r="N1015" i="1" s="1"/>
  <c r="L1016" i="1"/>
  <c r="M1016" i="1" s="1"/>
  <c r="N1016" i="1" s="1"/>
  <c r="L1017" i="1"/>
  <c r="M1017" i="1" s="1"/>
  <c r="N1017" i="1" s="1"/>
  <c r="L1018" i="1"/>
  <c r="M1018" i="1" s="1"/>
  <c r="N1018" i="1" s="1"/>
  <c r="L1019" i="1"/>
  <c r="M1019" i="1" s="1"/>
  <c r="N1019" i="1" s="1"/>
  <c r="L1020" i="1"/>
  <c r="M1020" i="1" s="1"/>
  <c r="N1020" i="1" s="1"/>
  <c r="L1021" i="1"/>
  <c r="M1021" i="1" s="1"/>
  <c r="N1021" i="1" s="1"/>
  <c r="L1022" i="1"/>
  <c r="M1022" i="1" s="1"/>
  <c r="N1022" i="1" s="1"/>
  <c r="L1023" i="1"/>
  <c r="M1023" i="1" s="1"/>
  <c r="N1023" i="1" s="1"/>
  <c r="L1024" i="1"/>
  <c r="M1024" i="1" s="1"/>
  <c r="N1024" i="1" s="1"/>
  <c r="L1025" i="1"/>
  <c r="M1025" i="1" s="1"/>
  <c r="N1025" i="1" s="1"/>
  <c r="L1026" i="1"/>
  <c r="M1026" i="1" s="1"/>
  <c r="N1026" i="1" s="1"/>
  <c r="L1027" i="1"/>
  <c r="M1027" i="1" s="1"/>
  <c r="N1027" i="1" s="1"/>
  <c r="L1028" i="1"/>
  <c r="M1028" i="1" s="1"/>
  <c r="N1028" i="1" s="1"/>
  <c r="L1029" i="1"/>
  <c r="M1029" i="1" s="1"/>
  <c r="N1029" i="1" s="1"/>
  <c r="L1030" i="1"/>
  <c r="M1030" i="1" s="1"/>
  <c r="N1030" i="1" s="1"/>
  <c r="L1031" i="1"/>
  <c r="M1031" i="1" s="1"/>
  <c r="N1031" i="1" s="1"/>
  <c r="L1032" i="1"/>
  <c r="M1032" i="1" s="1"/>
  <c r="N1032" i="1" s="1"/>
  <c r="L1033" i="1"/>
  <c r="M1033" i="1" s="1"/>
  <c r="N1033" i="1" s="1"/>
  <c r="L1034" i="1"/>
  <c r="M1034" i="1" s="1"/>
  <c r="N1034" i="1" s="1"/>
  <c r="L1035" i="1"/>
  <c r="M1035" i="1" s="1"/>
  <c r="N1035" i="1" s="1"/>
  <c r="L1036" i="1"/>
  <c r="M1036" i="1" s="1"/>
  <c r="N1036" i="1" s="1"/>
  <c r="L1037" i="1"/>
  <c r="M1037" i="1" s="1"/>
  <c r="N1037" i="1" s="1"/>
  <c r="L1038" i="1"/>
  <c r="M1038" i="1" s="1"/>
  <c r="N1038" i="1" s="1"/>
  <c r="L1039" i="1"/>
  <c r="M1039" i="1" s="1"/>
  <c r="N1039" i="1" s="1"/>
  <c r="L1040" i="1"/>
  <c r="M1040" i="1" s="1"/>
  <c r="N1040" i="1" s="1"/>
  <c r="L1041" i="1"/>
  <c r="M1041" i="1" s="1"/>
  <c r="N1041" i="1" s="1"/>
  <c r="L1042" i="1"/>
  <c r="M1042" i="1" s="1"/>
  <c r="N1042" i="1" s="1"/>
  <c r="L1043" i="1"/>
  <c r="M1043" i="1" s="1"/>
  <c r="N1043" i="1" s="1"/>
  <c r="L1044" i="1"/>
  <c r="M1044" i="1" s="1"/>
  <c r="N1044" i="1" s="1"/>
  <c r="L1045" i="1"/>
  <c r="M1045" i="1" s="1"/>
  <c r="N1045" i="1" s="1"/>
  <c r="L1046" i="1"/>
  <c r="M1046" i="1" s="1"/>
  <c r="N1046" i="1" s="1"/>
  <c r="L1047" i="1"/>
  <c r="M1047" i="1" s="1"/>
  <c r="N1047" i="1" s="1"/>
  <c r="L1048" i="1"/>
  <c r="M1048" i="1" s="1"/>
  <c r="N1048" i="1" s="1"/>
  <c r="L1049" i="1"/>
  <c r="M1049" i="1" s="1"/>
  <c r="N1049" i="1" s="1"/>
  <c r="L1050" i="1"/>
  <c r="M1050" i="1" s="1"/>
  <c r="N1050" i="1" s="1"/>
  <c r="L1051" i="1"/>
  <c r="M1051" i="1" s="1"/>
  <c r="N1051" i="1" s="1"/>
  <c r="L1052" i="1"/>
  <c r="M1052" i="1" s="1"/>
  <c r="N1052" i="1" s="1"/>
  <c r="L1053" i="1"/>
  <c r="M1053" i="1" s="1"/>
  <c r="N1053" i="1" s="1"/>
  <c r="L1054" i="1"/>
  <c r="M1054" i="1" s="1"/>
  <c r="N1054" i="1" s="1"/>
  <c r="L1055" i="1"/>
  <c r="M1055" i="1" s="1"/>
  <c r="N1055" i="1" s="1"/>
  <c r="L1056" i="1"/>
  <c r="M1056" i="1" s="1"/>
  <c r="N1056" i="1" s="1"/>
  <c r="L1057" i="1"/>
  <c r="M1057" i="1" s="1"/>
  <c r="N1057" i="1" s="1"/>
  <c r="L1058" i="1"/>
  <c r="M1058" i="1" s="1"/>
  <c r="N1058" i="1" s="1"/>
  <c r="L1059" i="1"/>
  <c r="M1059" i="1" s="1"/>
  <c r="N1059" i="1" s="1"/>
  <c r="L1060" i="1"/>
  <c r="M1060" i="1" s="1"/>
  <c r="N1060" i="1" s="1"/>
  <c r="L1061" i="1"/>
  <c r="M1061" i="1" s="1"/>
  <c r="N1061" i="1" s="1"/>
  <c r="L1062" i="1"/>
  <c r="M1062" i="1" s="1"/>
  <c r="N1062" i="1" s="1"/>
  <c r="L1063" i="1"/>
  <c r="M1063" i="1" s="1"/>
  <c r="N1063" i="1" s="1"/>
  <c r="L1064" i="1"/>
  <c r="M1064" i="1" s="1"/>
  <c r="N1064" i="1" s="1"/>
  <c r="L1065" i="1"/>
  <c r="M1065" i="1" s="1"/>
  <c r="N1065" i="1" s="1"/>
  <c r="L1066" i="1"/>
  <c r="M1066" i="1" s="1"/>
  <c r="N1066" i="1" s="1"/>
  <c r="L1067" i="1"/>
  <c r="M1067" i="1" s="1"/>
  <c r="N1067" i="1" s="1"/>
  <c r="L1068" i="1"/>
  <c r="M1068" i="1" s="1"/>
  <c r="N1068" i="1" s="1"/>
  <c r="L1069" i="1"/>
  <c r="M1069" i="1" s="1"/>
  <c r="N1069" i="1" s="1"/>
  <c r="L1070" i="1"/>
  <c r="M1070" i="1" s="1"/>
  <c r="N1070" i="1" s="1"/>
  <c r="L1071" i="1"/>
  <c r="M1071" i="1" s="1"/>
  <c r="N1071" i="1" s="1"/>
  <c r="L1072" i="1"/>
  <c r="M1072" i="1" s="1"/>
  <c r="N1072" i="1" s="1"/>
  <c r="L1073" i="1"/>
  <c r="M1073" i="1" s="1"/>
  <c r="N1073" i="1" s="1"/>
  <c r="L1074" i="1"/>
  <c r="M1074" i="1" s="1"/>
  <c r="N1074" i="1" s="1"/>
  <c r="L1075" i="1"/>
  <c r="M1075" i="1" s="1"/>
  <c r="N1075" i="1" s="1"/>
  <c r="L1076" i="1"/>
  <c r="M1076" i="1" s="1"/>
  <c r="N1076" i="1" s="1"/>
  <c r="L1077" i="1"/>
  <c r="M1077" i="1" s="1"/>
  <c r="N1077" i="1" s="1"/>
  <c r="L1078" i="1"/>
  <c r="M1078" i="1" s="1"/>
  <c r="N1078" i="1" s="1"/>
  <c r="L1079" i="1"/>
  <c r="M1079" i="1" s="1"/>
  <c r="N1079" i="1" s="1"/>
  <c r="L1080" i="1"/>
  <c r="M1080" i="1" s="1"/>
  <c r="N1080" i="1" s="1"/>
  <c r="L1081" i="1"/>
  <c r="M1081" i="1" s="1"/>
  <c r="N1081" i="1" s="1"/>
  <c r="L1082" i="1"/>
  <c r="M1082" i="1" s="1"/>
  <c r="N1082" i="1" s="1"/>
  <c r="L1083" i="1"/>
  <c r="M1083" i="1" s="1"/>
  <c r="N1083" i="1" s="1"/>
  <c r="L1084" i="1"/>
  <c r="M1084" i="1" s="1"/>
  <c r="N1084" i="1" s="1"/>
  <c r="L1085" i="1"/>
  <c r="M1085" i="1" s="1"/>
  <c r="N1085" i="1" s="1"/>
  <c r="L1086" i="1"/>
  <c r="M1086" i="1" s="1"/>
  <c r="N1086" i="1" s="1"/>
  <c r="L1087" i="1"/>
  <c r="M1087" i="1" s="1"/>
  <c r="N1087" i="1" s="1"/>
  <c r="L1088" i="1"/>
  <c r="M1088" i="1" s="1"/>
  <c r="N1088" i="1" s="1"/>
  <c r="L1089" i="1"/>
  <c r="M1089" i="1" s="1"/>
  <c r="N1089" i="1" s="1"/>
  <c r="L1090" i="1"/>
  <c r="M1090" i="1" s="1"/>
  <c r="N1090" i="1" s="1"/>
  <c r="L1091" i="1"/>
  <c r="M1091" i="1" s="1"/>
  <c r="N1091" i="1" s="1"/>
  <c r="L1092" i="1"/>
  <c r="M1092" i="1" s="1"/>
  <c r="N1092" i="1" s="1"/>
  <c r="L1093" i="1"/>
  <c r="M1093" i="1" s="1"/>
  <c r="N1093" i="1" s="1"/>
  <c r="L1094" i="1"/>
  <c r="M1094" i="1" s="1"/>
  <c r="N1094" i="1" s="1"/>
  <c r="L1095" i="1"/>
  <c r="M1095" i="1" s="1"/>
  <c r="N1095" i="1" s="1"/>
  <c r="L1096" i="1"/>
  <c r="M1096" i="1" s="1"/>
  <c r="N1096" i="1" s="1"/>
  <c r="L1097" i="1"/>
  <c r="M1097" i="1" s="1"/>
  <c r="N1097" i="1" s="1"/>
  <c r="L1098" i="1"/>
  <c r="M1098" i="1" s="1"/>
  <c r="N1098" i="1" s="1"/>
  <c r="L1099" i="1"/>
  <c r="M1099" i="1" s="1"/>
  <c r="N1099" i="1" s="1"/>
  <c r="L1100" i="1"/>
  <c r="M1100" i="1" s="1"/>
  <c r="N1100" i="1" s="1"/>
  <c r="L1101" i="1"/>
  <c r="M1101" i="1" s="1"/>
  <c r="N1101" i="1" s="1"/>
  <c r="L1102" i="1"/>
  <c r="M1102" i="1" s="1"/>
  <c r="N1102" i="1" s="1"/>
  <c r="L1103" i="1"/>
  <c r="M1103" i="1" s="1"/>
  <c r="N1103" i="1" s="1"/>
  <c r="L1104" i="1"/>
  <c r="M1104" i="1" s="1"/>
  <c r="N1104" i="1" s="1"/>
  <c r="L1105" i="1"/>
  <c r="M1105" i="1" s="1"/>
  <c r="N1105" i="1" s="1"/>
  <c r="L1106" i="1"/>
  <c r="M1106" i="1" s="1"/>
  <c r="N1106" i="1" s="1"/>
  <c r="L1107" i="1"/>
  <c r="M1107" i="1" s="1"/>
  <c r="N1107" i="1" s="1"/>
  <c r="L1108" i="1"/>
  <c r="M1108" i="1" s="1"/>
  <c r="N1108" i="1" s="1"/>
  <c r="L1109" i="1"/>
  <c r="M1109" i="1" s="1"/>
  <c r="N1109" i="1" s="1"/>
  <c r="L1110" i="1"/>
  <c r="M1110" i="1" s="1"/>
  <c r="N1110" i="1" s="1"/>
  <c r="L1111" i="1"/>
  <c r="M1111" i="1" s="1"/>
  <c r="N1111" i="1" s="1"/>
  <c r="L1112" i="1"/>
  <c r="M1112" i="1" s="1"/>
  <c r="N1112" i="1" s="1"/>
  <c r="L1113" i="1"/>
  <c r="M1113" i="1" s="1"/>
  <c r="N1113" i="1" s="1"/>
  <c r="L1114" i="1"/>
  <c r="M1114" i="1" s="1"/>
  <c r="N1114" i="1" s="1"/>
  <c r="L1115" i="1"/>
  <c r="M1115" i="1" s="1"/>
  <c r="N1115" i="1" s="1"/>
  <c r="L1116" i="1"/>
  <c r="M1116" i="1" s="1"/>
  <c r="N1116" i="1" s="1"/>
  <c r="L1117" i="1"/>
  <c r="M1117" i="1" s="1"/>
  <c r="N1117" i="1" s="1"/>
  <c r="L1118" i="1"/>
  <c r="M1118" i="1" s="1"/>
  <c r="N1118" i="1" s="1"/>
  <c r="L1119" i="1"/>
  <c r="M1119" i="1" s="1"/>
  <c r="N1119" i="1" s="1"/>
  <c r="L1120" i="1"/>
  <c r="M1120" i="1" s="1"/>
  <c r="N1120" i="1" s="1"/>
  <c r="L1121" i="1"/>
  <c r="M1121" i="1" s="1"/>
  <c r="N1121" i="1" s="1"/>
  <c r="L1122" i="1"/>
  <c r="M1122" i="1" s="1"/>
  <c r="N1122" i="1" s="1"/>
  <c r="L1123" i="1"/>
  <c r="M1123" i="1" s="1"/>
  <c r="N1123" i="1" s="1"/>
  <c r="L1124" i="1"/>
  <c r="M1124" i="1" s="1"/>
  <c r="N1124" i="1" s="1"/>
  <c r="L1125" i="1"/>
  <c r="M1125" i="1" s="1"/>
  <c r="N1125" i="1" s="1"/>
  <c r="L1126" i="1"/>
  <c r="M1126" i="1" s="1"/>
  <c r="N1126" i="1" s="1"/>
  <c r="L1127" i="1"/>
  <c r="M1127" i="1" s="1"/>
  <c r="N1127" i="1" s="1"/>
  <c r="L1128" i="1"/>
  <c r="M1128" i="1" s="1"/>
  <c r="N1128" i="1" s="1"/>
  <c r="L1129" i="1"/>
  <c r="M1129" i="1" s="1"/>
  <c r="N1129" i="1" s="1"/>
  <c r="L1130" i="1"/>
  <c r="M1130" i="1" s="1"/>
  <c r="N1130" i="1" s="1"/>
  <c r="L1131" i="1"/>
  <c r="M1131" i="1" s="1"/>
  <c r="N1131" i="1" s="1"/>
  <c r="L1132" i="1"/>
  <c r="M1132" i="1" s="1"/>
  <c r="N1132" i="1" s="1"/>
  <c r="L1133" i="1"/>
  <c r="M1133" i="1" s="1"/>
  <c r="N1133" i="1" s="1"/>
  <c r="L1134" i="1"/>
  <c r="M1134" i="1" s="1"/>
  <c r="N1134" i="1" s="1"/>
  <c r="L1135" i="1"/>
  <c r="M1135" i="1" s="1"/>
  <c r="N1135" i="1" s="1"/>
  <c r="L1136" i="1"/>
  <c r="M1136" i="1" s="1"/>
  <c r="N1136" i="1" s="1"/>
  <c r="L1137" i="1"/>
  <c r="M1137" i="1" s="1"/>
  <c r="N1137" i="1" s="1"/>
  <c r="L1138" i="1"/>
  <c r="M1138" i="1" s="1"/>
  <c r="N1138" i="1" s="1"/>
  <c r="L1139" i="1"/>
  <c r="M1139" i="1" s="1"/>
  <c r="N1139" i="1" s="1"/>
  <c r="L1140" i="1"/>
  <c r="M1140" i="1" s="1"/>
  <c r="N1140" i="1" s="1"/>
  <c r="L1141" i="1"/>
  <c r="M1141" i="1" s="1"/>
  <c r="N1141" i="1" s="1"/>
  <c r="L1142" i="1"/>
  <c r="M1142" i="1" s="1"/>
  <c r="N1142" i="1" s="1"/>
  <c r="L1143" i="1"/>
  <c r="M1143" i="1" s="1"/>
  <c r="N1143" i="1" s="1"/>
  <c r="L1144" i="1"/>
  <c r="M1144" i="1" s="1"/>
  <c r="N1144" i="1" s="1"/>
  <c r="L1145" i="1"/>
  <c r="M1145" i="1" s="1"/>
  <c r="N1145" i="1" s="1"/>
  <c r="L1146" i="1"/>
  <c r="M1146" i="1" s="1"/>
  <c r="N1146" i="1" s="1"/>
  <c r="L1147" i="1"/>
  <c r="M1147" i="1" s="1"/>
  <c r="N1147" i="1" s="1"/>
  <c r="L1148" i="1"/>
  <c r="M1148" i="1" s="1"/>
  <c r="N1148" i="1" s="1"/>
  <c r="L1149" i="1"/>
  <c r="M1149" i="1" s="1"/>
  <c r="N1149" i="1" s="1"/>
  <c r="L1150" i="1"/>
  <c r="M1150" i="1" s="1"/>
  <c r="N1150" i="1" s="1"/>
  <c r="L1151" i="1"/>
  <c r="M1151" i="1" s="1"/>
  <c r="N1151" i="1" s="1"/>
  <c r="L1152" i="1"/>
  <c r="M1152" i="1" s="1"/>
  <c r="N1152" i="1" s="1"/>
  <c r="L1153" i="1"/>
  <c r="M1153" i="1" s="1"/>
  <c r="N1153" i="1" s="1"/>
  <c r="L1154" i="1"/>
  <c r="M1154" i="1" s="1"/>
  <c r="N1154" i="1" s="1"/>
  <c r="L1155" i="1"/>
  <c r="M1155" i="1" s="1"/>
  <c r="N1155" i="1" s="1"/>
  <c r="L1156" i="1"/>
  <c r="M1156" i="1" s="1"/>
  <c r="N1156" i="1" s="1"/>
  <c r="L1157" i="1"/>
  <c r="M1157" i="1" s="1"/>
  <c r="N1157" i="1" s="1"/>
  <c r="L1158" i="1"/>
  <c r="M1158" i="1" s="1"/>
  <c r="N1158" i="1" s="1"/>
  <c r="L1159" i="1"/>
  <c r="M1159" i="1" s="1"/>
  <c r="N1159" i="1" s="1"/>
  <c r="L1160" i="1"/>
  <c r="M1160" i="1" s="1"/>
  <c r="N1160" i="1" s="1"/>
  <c r="L1161" i="1"/>
  <c r="M1161" i="1" s="1"/>
  <c r="N1161" i="1" s="1"/>
  <c r="L1162" i="1"/>
  <c r="M1162" i="1" s="1"/>
  <c r="N1162" i="1" s="1"/>
  <c r="L1163" i="1"/>
  <c r="M1163" i="1" s="1"/>
  <c r="N1163" i="1" s="1"/>
  <c r="L1164" i="1"/>
  <c r="M1164" i="1" s="1"/>
  <c r="N1164" i="1" s="1"/>
  <c r="L1165" i="1"/>
  <c r="M1165" i="1" s="1"/>
  <c r="N1165" i="1" s="1"/>
  <c r="L1166" i="1"/>
  <c r="M1166" i="1" s="1"/>
  <c r="N1166" i="1" s="1"/>
  <c r="L1167" i="1"/>
  <c r="M1167" i="1" s="1"/>
  <c r="N1167" i="1" s="1"/>
  <c r="L1168" i="1"/>
  <c r="M1168" i="1" s="1"/>
  <c r="N1168" i="1" s="1"/>
  <c r="L1169" i="1"/>
  <c r="M1169" i="1" s="1"/>
  <c r="N1169" i="1" s="1"/>
  <c r="L1170" i="1"/>
  <c r="M1170" i="1" s="1"/>
  <c r="N1170" i="1" s="1"/>
  <c r="L1171" i="1"/>
  <c r="M1171" i="1" s="1"/>
  <c r="N1171" i="1" s="1"/>
  <c r="L1172" i="1"/>
  <c r="M1172" i="1" s="1"/>
  <c r="N1172" i="1" s="1"/>
  <c r="L1173" i="1"/>
  <c r="M1173" i="1" s="1"/>
  <c r="N1173" i="1" s="1"/>
  <c r="L1174" i="1"/>
  <c r="M1174" i="1" s="1"/>
  <c r="N1174" i="1" s="1"/>
  <c r="L1175" i="1"/>
  <c r="M1175" i="1" s="1"/>
  <c r="N1175" i="1" s="1"/>
  <c r="L1176" i="1"/>
  <c r="M1176" i="1" s="1"/>
  <c r="N1176" i="1" s="1"/>
  <c r="L1177" i="1"/>
  <c r="M1177" i="1" s="1"/>
  <c r="N1177" i="1" s="1"/>
  <c r="L1178" i="1"/>
  <c r="M1178" i="1" s="1"/>
  <c r="N1178" i="1" s="1"/>
  <c r="L1179" i="1"/>
  <c r="M1179" i="1" s="1"/>
  <c r="N1179" i="1" s="1"/>
  <c r="L1180" i="1"/>
  <c r="M1180" i="1" s="1"/>
  <c r="N1180" i="1" s="1"/>
  <c r="L1181" i="1"/>
  <c r="M1181" i="1" s="1"/>
  <c r="N1181" i="1" s="1"/>
  <c r="L1182" i="1"/>
  <c r="M1182" i="1" s="1"/>
  <c r="N1182" i="1" s="1"/>
  <c r="L1183" i="1"/>
  <c r="M1183" i="1" s="1"/>
  <c r="N1183" i="1" s="1"/>
  <c r="L1184" i="1"/>
  <c r="M1184" i="1" s="1"/>
  <c r="N1184" i="1" s="1"/>
  <c r="L1185" i="1"/>
  <c r="M1185" i="1" s="1"/>
  <c r="N1185" i="1" s="1"/>
  <c r="L1186" i="1"/>
  <c r="M1186" i="1" s="1"/>
  <c r="N1186" i="1" s="1"/>
  <c r="L1187" i="1"/>
  <c r="M1187" i="1" s="1"/>
  <c r="N1187" i="1" s="1"/>
  <c r="L1188" i="1"/>
  <c r="M1188" i="1" s="1"/>
  <c r="N1188" i="1" s="1"/>
  <c r="L1189" i="1"/>
  <c r="M1189" i="1" s="1"/>
  <c r="N1189" i="1" s="1"/>
  <c r="L1190" i="1"/>
  <c r="M1190" i="1" s="1"/>
  <c r="N1190" i="1" s="1"/>
  <c r="L1191" i="1"/>
  <c r="M1191" i="1" s="1"/>
  <c r="N1191" i="1" s="1"/>
  <c r="L1192" i="1"/>
  <c r="M1192" i="1" s="1"/>
  <c r="N1192" i="1" s="1"/>
  <c r="L1193" i="1"/>
  <c r="M1193" i="1" s="1"/>
  <c r="N1193" i="1" s="1"/>
  <c r="L1194" i="1"/>
  <c r="M1194" i="1" s="1"/>
  <c r="N1194" i="1" s="1"/>
  <c r="L1195" i="1"/>
  <c r="M1195" i="1" s="1"/>
  <c r="N1195" i="1" s="1"/>
  <c r="L1196" i="1"/>
  <c r="M1196" i="1" s="1"/>
  <c r="N1196" i="1" s="1"/>
  <c r="L1197" i="1"/>
  <c r="M1197" i="1" s="1"/>
  <c r="N1197" i="1" s="1"/>
  <c r="L1198" i="1"/>
  <c r="M1198" i="1" s="1"/>
  <c r="N1198" i="1" s="1"/>
  <c r="L1199" i="1"/>
  <c r="M1199" i="1" s="1"/>
  <c r="N1199" i="1" s="1"/>
  <c r="L1200" i="1"/>
  <c r="M1200" i="1" s="1"/>
  <c r="N1200" i="1" s="1"/>
  <c r="L1201" i="1"/>
  <c r="M1201" i="1" s="1"/>
  <c r="N1201" i="1" s="1"/>
  <c r="L1202" i="1"/>
  <c r="M1202" i="1" s="1"/>
  <c r="N1202" i="1" s="1"/>
  <c r="L1203" i="1"/>
  <c r="M1203" i="1" s="1"/>
  <c r="N1203" i="1" s="1"/>
  <c r="L1204" i="1"/>
  <c r="M1204" i="1" s="1"/>
  <c r="N1204" i="1" s="1"/>
  <c r="L1205" i="1"/>
  <c r="M1205" i="1" s="1"/>
  <c r="N1205" i="1" s="1"/>
  <c r="L1206" i="1"/>
  <c r="M1206" i="1" s="1"/>
  <c r="N1206" i="1" s="1"/>
  <c r="L1207" i="1"/>
  <c r="M1207" i="1" s="1"/>
  <c r="N1207" i="1" s="1"/>
  <c r="L1208" i="1"/>
  <c r="M1208" i="1" s="1"/>
  <c r="N1208" i="1" s="1"/>
  <c r="L1209" i="1"/>
  <c r="M1209" i="1" s="1"/>
  <c r="N1209" i="1" s="1"/>
  <c r="L1210" i="1"/>
  <c r="M1210" i="1" s="1"/>
  <c r="N1210" i="1" s="1"/>
  <c r="L1211" i="1"/>
  <c r="M1211" i="1" s="1"/>
  <c r="N1211" i="1" s="1"/>
  <c r="L1212" i="1"/>
  <c r="M1212" i="1" s="1"/>
  <c r="N1212" i="1" s="1"/>
  <c r="L1213" i="1"/>
  <c r="M1213" i="1" s="1"/>
  <c r="N1213" i="1" s="1"/>
  <c r="L1214" i="1"/>
  <c r="M1214" i="1" s="1"/>
  <c r="N1214" i="1" s="1"/>
  <c r="L1215" i="1"/>
  <c r="M1215" i="1" s="1"/>
  <c r="N1215" i="1" s="1"/>
  <c r="L1216" i="1"/>
  <c r="M1216" i="1" s="1"/>
  <c r="N1216" i="1" s="1"/>
  <c r="L1217" i="1"/>
  <c r="M1217" i="1" s="1"/>
  <c r="N1217" i="1" s="1"/>
  <c r="L1218" i="1"/>
  <c r="M1218" i="1" s="1"/>
  <c r="N1218" i="1" s="1"/>
  <c r="L1219" i="1"/>
  <c r="M1219" i="1" s="1"/>
  <c r="N1219" i="1" s="1"/>
  <c r="L1220" i="1"/>
  <c r="M1220" i="1" s="1"/>
  <c r="N1220" i="1" s="1"/>
  <c r="L1221" i="1"/>
  <c r="M1221" i="1" s="1"/>
  <c r="N1221" i="1" s="1"/>
  <c r="L1222" i="1"/>
  <c r="M1222" i="1" s="1"/>
  <c r="N1222" i="1" s="1"/>
  <c r="L1223" i="1"/>
  <c r="M1223" i="1" s="1"/>
  <c r="N1223" i="1" s="1"/>
  <c r="L1224" i="1"/>
  <c r="M1224" i="1" s="1"/>
  <c r="N1224" i="1" s="1"/>
  <c r="L1225" i="1"/>
  <c r="M1225" i="1" s="1"/>
  <c r="N1225" i="1" s="1"/>
  <c r="L1226" i="1"/>
  <c r="M1226" i="1" s="1"/>
  <c r="N1226" i="1" s="1"/>
  <c r="L1227" i="1"/>
  <c r="M1227" i="1" s="1"/>
  <c r="N1227" i="1" s="1"/>
  <c r="L1228" i="1"/>
  <c r="M1228" i="1" s="1"/>
  <c r="N1228" i="1" s="1"/>
  <c r="L1229" i="1"/>
  <c r="M1229" i="1" s="1"/>
  <c r="N1229" i="1" s="1"/>
  <c r="L1230" i="1"/>
  <c r="M1230" i="1" s="1"/>
  <c r="N1230" i="1" s="1"/>
  <c r="L1231" i="1"/>
  <c r="M1231" i="1" s="1"/>
  <c r="N1231" i="1" s="1"/>
  <c r="L1232" i="1"/>
  <c r="M1232" i="1" s="1"/>
  <c r="N1232" i="1" s="1"/>
  <c r="L1233" i="1"/>
  <c r="M1233" i="1" s="1"/>
  <c r="N1233" i="1" s="1"/>
  <c r="L1234" i="1"/>
  <c r="M1234" i="1" s="1"/>
  <c r="N1234" i="1" s="1"/>
  <c r="L1235" i="1"/>
  <c r="M1235" i="1" s="1"/>
  <c r="N1235" i="1" s="1"/>
  <c r="L1236" i="1"/>
  <c r="M1236" i="1" s="1"/>
  <c r="N1236" i="1" s="1"/>
  <c r="L1237" i="1"/>
  <c r="M1237" i="1" s="1"/>
  <c r="N1237" i="1" s="1"/>
  <c r="L1238" i="1"/>
  <c r="M1238" i="1" s="1"/>
  <c r="N1238" i="1" s="1"/>
  <c r="L1239" i="1"/>
  <c r="M1239" i="1" s="1"/>
  <c r="N1239" i="1" s="1"/>
  <c r="L1240" i="1"/>
  <c r="M1240" i="1" s="1"/>
  <c r="N1240" i="1" s="1"/>
  <c r="L1241" i="1"/>
  <c r="M1241" i="1" s="1"/>
  <c r="N1241" i="1" s="1"/>
  <c r="L1242" i="1"/>
  <c r="M1242" i="1" s="1"/>
  <c r="N1242" i="1" s="1"/>
  <c r="L1243" i="1"/>
  <c r="M1243" i="1" s="1"/>
  <c r="N1243" i="1" s="1"/>
  <c r="L1244" i="1"/>
  <c r="M1244" i="1" s="1"/>
  <c r="N1244" i="1" s="1"/>
  <c r="L1245" i="1"/>
  <c r="M1245" i="1" s="1"/>
  <c r="N1245" i="1" s="1"/>
  <c r="L1246" i="1"/>
  <c r="M1246" i="1" s="1"/>
  <c r="N1246" i="1" s="1"/>
  <c r="L1247" i="1"/>
  <c r="M1247" i="1" s="1"/>
  <c r="N1247" i="1" s="1"/>
  <c r="L1248" i="1"/>
  <c r="M1248" i="1" s="1"/>
  <c r="N1248" i="1" s="1"/>
  <c r="L1249" i="1"/>
  <c r="M1249" i="1" s="1"/>
  <c r="N1249" i="1" s="1"/>
  <c r="L1250" i="1"/>
  <c r="M1250" i="1" s="1"/>
  <c r="N1250" i="1" s="1"/>
  <c r="L1251" i="1"/>
  <c r="M1251" i="1" s="1"/>
  <c r="N1251" i="1" s="1"/>
  <c r="L1252" i="1"/>
  <c r="M1252" i="1" s="1"/>
  <c r="N1252" i="1" s="1"/>
  <c r="L1253" i="1"/>
  <c r="M1253" i="1" s="1"/>
  <c r="N1253" i="1" s="1"/>
  <c r="L1254" i="1"/>
  <c r="M1254" i="1" s="1"/>
  <c r="N1254" i="1" s="1"/>
  <c r="L1255" i="1"/>
  <c r="M1255" i="1" s="1"/>
  <c r="N1255" i="1" s="1"/>
  <c r="L1256" i="1"/>
  <c r="M1256" i="1" s="1"/>
  <c r="N1256" i="1" s="1"/>
  <c r="L1257" i="1"/>
  <c r="M1257" i="1" s="1"/>
  <c r="N1257" i="1" s="1"/>
  <c r="L1258" i="1"/>
  <c r="M1258" i="1" s="1"/>
  <c r="N1258" i="1" s="1"/>
  <c r="L1259" i="1"/>
  <c r="M1259" i="1" s="1"/>
  <c r="N1259" i="1" s="1"/>
  <c r="L1260" i="1"/>
  <c r="M1260" i="1" s="1"/>
  <c r="N1260" i="1" s="1"/>
  <c r="L1261" i="1"/>
  <c r="M1261" i="1" s="1"/>
  <c r="N1261" i="1" s="1"/>
  <c r="L1262" i="1"/>
  <c r="M1262" i="1" s="1"/>
  <c r="N1262" i="1" s="1"/>
  <c r="L1263" i="1"/>
  <c r="M1263" i="1" s="1"/>
  <c r="N1263" i="1" s="1"/>
  <c r="L1264" i="1"/>
  <c r="M1264" i="1" s="1"/>
  <c r="N1264" i="1" s="1"/>
  <c r="L1265" i="1"/>
  <c r="M1265" i="1" s="1"/>
  <c r="N1265" i="1" s="1"/>
  <c r="L1266" i="1"/>
  <c r="M1266" i="1" s="1"/>
  <c r="N1266" i="1" s="1"/>
  <c r="L1267" i="1"/>
  <c r="M1267" i="1" s="1"/>
  <c r="N1267" i="1" s="1"/>
  <c r="L1268" i="1"/>
  <c r="M1268" i="1" s="1"/>
  <c r="N1268" i="1" s="1"/>
  <c r="L1269" i="1"/>
  <c r="M1269" i="1" s="1"/>
  <c r="N1269" i="1" s="1"/>
  <c r="L1270" i="1"/>
  <c r="M1270" i="1" s="1"/>
  <c r="N1270" i="1" s="1"/>
  <c r="L1271" i="1"/>
  <c r="M1271" i="1" s="1"/>
  <c r="N1271" i="1" s="1"/>
  <c r="L1272" i="1"/>
  <c r="M1272" i="1" s="1"/>
  <c r="N1272" i="1" s="1"/>
  <c r="L1273" i="1"/>
  <c r="M1273" i="1" s="1"/>
  <c r="N1273" i="1" s="1"/>
  <c r="L1274" i="1"/>
  <c r="M1274" i="1" s="1"/>
  <c r="N1274" i="1" s="1"/>
  <c r="L1275" i="1"/>
  <c r="M1275" i="1" s="1"/>
  <c r="N1275" i="1" s="1"/>
  <c r="L1276" i="1"/>
  <c r="M1276" i="1" s="1"/>
  <c r="N1276" i="1" s="1"/>
  <c r="L1277" i="1"/>
  <c r="M1277" i="1" s="1"/>
  <c r="N1277" i="1" s="1"/>
  <c r="L1278" i="1"/>
  <c r="M1278" i="1" s="1"/>
  <c r="N1278" i="1" s="1"/>
  <c r="L1279" i="1"/>
  <c r="M1279" i="1" s="1"/>
  <c r="N1279" i="1" s="1"/>
  <c r="L1280" i="1"/>
  <c r="M1280" i="1" s="1"/>
  <c r="N1280" i="1" s="1"/>
  <c r="L1281" i="1"/>
  <c r="M1281" i="1" s="1"/>
  <c r="N1281" i="1" s="1"/>
  <c r="L1282" i="1"/>
  <c r="M1282" i="1" s="1"/>
  <c r="N1282" i="1" s="1"/>
  <c r="L1283" i="1"/>
  <c r="M1283" i="1" s="1"/>
  <c r="N1283" i="1" s="1"/>
  <c r="L1284" i="1"/>
  <c r="M1284" i="1" s="1"/>
  <c r="N1284" i="1" s="1"/>
  <c r="L1285" i="1"/>
  <c r="M1285" i="1" s="1"/>
  <c r="N1285" i="1" s="1"/>
  <c r="L1286" i="1"/>
  <c r="M1286" i="1" s="1"/>
  <c r="N1286" i="1" s="1"/>
  <c r="L1287" i="1"/>
  <c r="M1287" i="1" s="1"/>
  <c r="N1287" i="1" s="1"/>
  <c r="L1288" i="1"/>
  <c r="M1288" i="1" s="1"/>
  <c r="N1288" i="1" s="1"/>
  <c r="L1289" i="1"/>
  <c r="M1289" i="1" s="1"/>
  <c r="N1289" i="1" s="1"/>
  <c r="L1290" i="1"/>
  <c r="M1290" i="1" s="1"/>
  <c r="N1290" i="1" s="1"/>
  <c r="L1291" i="1"/>
  <c r="M1291" i="1" s="1"/>
  <c r="N1291" i="1" s="1"/>
  <c r="L1292" i="1"/>
  <c r="M1292" i="1" s="1"/>
  <c r="N1292" i="1" s="1"/>
  <c r="L1293" i="1"/>
  <c r="M1293" i="1" s="1"/>
  <c r="N1293" i="1" s="1"/>
  <c r="L1294" i="1"/>
  <c r="M1294" i="1" s="1"/>
  <c r="N1294" i="1" s="1"/>
  <c r="L1295" i="1"/>
  <c r="M1295" i="1" s="1"/>
  <c r="N1295" i="1" s="1"/>
  <c r="L1296" i="1"/>
  <c r="M1296" i="1" s="1"/>
  <c r="N1296" i="1" s="1"/>
  <c r="L1297" i="1"/>
  <c r="M1297" i="1" s="1"/>
  <c r="N1297" i="1" s="1"/>
  <c r="L1298" i="1"/>
  <c r="M1298" i="1" s="1"/>
  <c r="N1298" i="1" s="1"/>
  <c r="L1299" i="1"/>
  <c r="M1299" i="1" s="1"/>
  <c r="N1299" i="1" s="1"/>
  <c r="L1300" i="1"/>
  <c r="M1300" i="1" s="1"/>
  <c r="N1300" i="1" s="1"/>
  <c r="L1301" i="1"/>
  <c r="M1301" i="1" s="1"/>
  <c r="N1301" i="1" s="1"/>
  <c r="L1302" i="1"/>
  <c r="M1302" i="1" s="1"/>
  <c r="N1302" i="1" s="1"/>
  <c r="L1303" i="1"/>
  <c r="M1303" i="1" s="1"/>
  <c r="N1303" i="1" s="1"/>
  <c r="L1304" i="1"/>
  <c r="M1304" i="1" s="1"/>
  <c r="N1304" i="1" s="1"/>
  <c r="L1305" i="1"/>
  <c r="M1305" i="1" s="1"/>
  <c r="N1305" i="1" s="1"/>
  <c r="L1306" i="1"/>
  <c r="M1306" i="1" s="1"/>
  <c r="N1306" i="1" s="1"/>
  <c r="L1307" i="1"/>
  <c r="M1307" i="1" s="1"/>
  <c r="N1307" i="1" s="1"/>
  <c r="L1308" i="1"/>
  <c r="M1308" i="1" s="1"/>
  <c r="N1308" i="1" s="1"/>
  <c r="L1309" i="1"/>
  <c r="M1309" i="1" s="1"/>
  <c r="N1309" i="1" s="1"/>
  <c r="L1310" i="1"/>
  <c r="M1310" i="1" s="1"/>
  <c r="N1310" i="1" s="1"/>
  <c r="L1311" i="1"/>
  <c r="M1311" i="1" s="1"/>
  <c r="N1311" i="1" s="1"/>
  <c r="L1312" i="1"/>
  <c r="M1312" i="1" s="1"/>
  <c r="N1312" i="1" s="1"/>
  <c r="L1313" i="1"/>
  <c r="M1313" i="1" s="1"/>
  <c r="N1313" i="1" s="1"/>
  <c r="L1314" i="1"/>
  <c r="M1314" i="1" s="1"/>
  <c r="N1314" i="1" s="1"/>
  <c r="L1315" i="1"/>
  <c r="M1315" i="1" s="1"/>
  <c r="N1315" i="1" s="1"/>
  <c r="L1316" i="1"/>
  <c r="M1316" i="1" s="1"/>
  <c r="N1316" i="1" s="1"/>
  <c r="L1317" i="1"/>
  <c r="M1317" i="1" s="1"/>
  <c r="N1317" i="1" s="1"/>
  <c r="L1318" i="1"/>
  <c r="M1318" i="1" s="1"/>
  <c r="N1318" i="1" s="1"/>
  <c r="L1319" i="1"/>
  <c r="M1319" i="1" s="1"/>
  <c r="N1319" i="1" s="1"/>
  <c r="L1320" i="1"/>
  <c r="M1320" i="1" s="1"/>
  <c r="N1320" i="1" s="1"/>
  <c r="L1321" i="1"/>
  <c r="M1321" i="1" s="1"/>
  <c r="N1321" i="1" s="1"/>
  <c r="L1322" i="1"/>
  <c r="M1322" i="1" s="1"/>
  <c r="N1322" i="1" s="1"/>
  <c r="L1323" i="1"/>
  <c r="M1323" i="1" s="1"/>
  <c r="N1323" i="1" s="1"/>
  <c r="L1324" i="1"/>
  <c r="M1324" i="1" s="1"/>
  <c r="N1324" i="1" s="1"/>
  <c r="L1325" i="1"/>
  <c r="M1325" i="1" s="1"/>
  <c r="N1325" i="1" s="1"/>
  <c r="L1326" i="1"/>
  <c r="M1326" i="1" s="1"/>
  <c r="N1326" i="1" s="1"/>
  <c r="L1327" i="1"/>
  <c r="M1327" i="1" s="1"/>
  <c r="N1327" i="1" s="1"/>
  <c r="L1328" i="1"/>
  <c r="M1328" i="1" s="1"/>
  <c r="N1328" i="1" s="1"/>
  <c r="L1329" i="1"/>
  <c r="M1329" i="1" s="1"/>
  <c r="N1329" i="1" s="1"/>
  <c r="L1330" i="1"/>
  <c r="M1330" i="1" s="1"/>
  <c r="N1330" i="1" s="1"/>
  <c r="L1331" i="1"/>
  <c r="M1331" i="1" s="1"/>
  <c r="N1331" i="1" s="1"/>
  <c r="L1332" i="1"/>
  <c r="M1332" i="1" s="1"/>
  <c r="N1332" i="1" s="1"/>
  <c r="L1333" i="1"/>
  <c r="M1333" i="1" s="1"/>
  <c r="N1333" i="1" s="1"/>
  <c r="L1334" i="1"/>
  <c r="M1334" i="1" s="1"/>
  <c r="N1334" i="1" s="1"/>
  <c r="L1335" i="1"/>
  <c r="M1335" i="1" s="1"/>
  <c r="N1335" i="1" s="1"/>
  <c r="L1336" i="1"/>
  <c r="M1336" i="1" s="1"/>
  <c r="N1336" i="1" s="1"/>
  <c r="L1337" i="1"/>
  <c r="M1337" i="1" s="1"/>
  <c r="N1337" i="1" s="1"/>
  <c r="L1338" i="1"/>
  <c r="M1338" i="1" s="1"/>
  <c r="N1338" i="1" s="1"/>
  <c r="L1339" i="1"/>
  <c r="M1339" i="1" s="1"/>
  <c r="N1339" i="1" s="1"/>
  <c r="L1340" i="1"/>
  <c r="M1340" i="1" s="1"/>
  <c r="N1340" i="1" s="1"/>
  <c r="L1341" i="1"/>
  <c r="M1341" i="1" s="1"/>
  <c r="N1341" i="1" s="1"/>
  <c r="L1342" i="1"/>
  <c r="M1342" i="1" s="1"/>
  <c r="N1342" i="1" s="1"/>
  <c r="L1343" i="1"/>
  <c r="M1343" i="1" s="1"/>
  <c r="N1343" i="1" s="1"/>
  <c r="L1344" i="1"/>
  <c r="M1344" i="1" s="1"/>
  <c r="N1344" i="1" s="1"/>
  <c r="L1345" i="1"/>
  <c r="M1345" i="1" s="1"/>
  <c r="N1345" i="1" s="1"/>
  <c r="L1346" i="1"/>
  <c r="M1346" i="1" s="1"/>
  <c r="N1346" i="1" s="1"/>
  <c r="L1347" i="1"/>
  <c r="M1347" i="1" s="1"/>
  <c r="N1347" i="1" s="1"/>
  <c r="L1348" i="1"/>
  <c r="M1348" i="1" s="1"/>
  <c r="N1348" i="1" s="1"/>
  <c r="L1349" i="1"/>
  <c r="M1349" i="1" s="1"/>
  <c r="N1349" i="1" s="1"/>
  <c r="L1350" i="1"/>
  <c r="M1350" i="1" s="1"/>
  <c r="N1350" i="1" s="1"/>
  <c r="L1351" i="1"/>
  <c r="M1351" i="1" s="1"/>
  <c r="N1351" i="1" s="1"/>
  <c r="L1352" i="1"/>
  <c r="M1352" i="1" s="1"/>
  <c r="N1352" i="1" s="1"/>
  <c r="L1353" i="1"/>
  <c r="M1353" i="1" s="1"/>
  <c r="N1353" i="1" s="1"/>
  <c r="L1354" i="1"/>
  <c r="M1354" i="1" s="1"/>
  <c r="N1354" i="1" s="1"/>
  <c r="L1355" i="1"/>
  <c r="M1355" i="1" s="1"/>
  <c r="N1355" i="1" s="1"/>
  <c r="L1356" i="1"/>
  <c r="M1356" i="1" s="1"/>
  <c r="N1356" i="1" s="1"/>
  <c r="L1357" i="1"/>
  <c r="M1357" i="1" s="1"/>
  <c r="N1357" i="1" s="1"/>
  <c r="L1358" i="1"/>
  <c r="M1358" i="1" s="1"/>
  <c r="N1358" i="1" s="1"/>
  <c r="L1359" i="1"/>
  <c r="M1359" i="1" s="1"/>
  <c r="N1359" i="1" s="1"/>
  <c r="L1360" i="1"/>
  <c r="M1360" i="1" s="1"/>
  <c r="N1360" i="1" s="1"/>
  <c r="L1361" i="1"/>
  <c r="M1361" i="1" s="1"/>
  <c r="N1361" i="1" s="1"/>
  <c r="L1362" i="1"/>
  <c r="M1362" i="1" s="1"/>
  <c r="N1362" i="1" s="1"/>
  <c r="L1363" i="1"/>
  <c r="M1363" i="1" s="1"/>
  <c r="N1363" i="1" s="1"/>
  <c r="L1364" i="1"/>
  <c r="M1364" i="1" s="1"/>
  <c r="N1364" i="1" s="1"/>
  <c r="L1365" i="1"/>
  <c r="M1365" i="1" s="1"/>
  <c r="N1365" i="1" s="1"/>
  <c r="L1366" i="1"/>
  <c r="M1366" i="1" s="1"/>
  <c r="N1366" i="1" s="1"/>
  <c r="L1367" i="1"/>
  <c r="M1367" i="1" s="1"/>
  <c r="N1367" i="1" s="1"/>
  <c r="L1368" i="1"/>
  <c r="M1368" i="1" s="1"/>
  <c r="N1368" i="1" s="1"/>
  <c r="L1369" i="1"/>
  <c r="M1369" i="1" s="1"/>
  <c r="N1369" i="1" s="1"/>
  <c r="L1370" i="1"/>
  <c r="M1370" i="1" s="1"/>
  <c r="N1370" i="1" s="1"/>
  <c r="L1371" i="1"/>
  <c r="M1371" i="1" s="1"/>
  <c r="N1371" i="1" s="1"/>
  <c r="L1372" i="1"/>
  <c r="M1372" i="1" s="1"/>
  <c r="N1372" i="1" s="1"/>
  <c r="L1373" i="1"/>
  <c r="M1373" i="1" s="1"/>
  <c r="N1373" i="1" s="1"/>
  <c r="L1374" i="1"/>
  <c r="M1374" i="1" s="1"/>
  <c r="N1374" i="1" s="1"/>
  <c r="L1375" i="1"/>
  <c r="M1375" i="1" s="1"/>
  <c r="N1375" i="1" s="1"/>
  <c r="L1376" i="1"/>
  <c r="M1376" i="1" s="1"/>
  <c r="N1376" i="1" s="1"/>
  <c r="L1377" i="1"/>
  <c r="M1377" i="1" s="1"/>
  <c r="N1377" i="1" s="1"/>
  <c r="L1378" i="1"/>
  <c r="M1378" i="1" s="1"/>
  <c r="N1378" i="1" s="1"/>
  <c r="L1379" i="1"/>
  <c r="M1379" i="1" s="1"/>
  <c r="N1379" i="1" s="1"/>
  <c r="L1380" i="1"/>
  <c r="M1380" i="1" s="1"/>
  <c r="N1380" i="1" s="1"/>
  <c r="L1381" i="1"/>
  <c r="M1381" i="1" s="1"/>
  <c r="N1381" i="1" s="1"/>
  <c r="L1382" i="1"/>
  <c r="M1382" i="1" s="1"/>
  <c r="N1382" i="1" s="1"/>
  <c r="L1383" i="1"/>
  <c r="M1383" i="1" s="1"/>
  <c r="N1383" i="1" s="1"/>
  <c r="L1384" i="1"/>
  <c r="M1384" i="1" s="1"/>
  <c r="N1384" i="1" s="1"/>
  <c r="L1385" i="1"/>
  <c r="M1385" i="1" s="1"/>
  <c r="N1385" i="1" s="1"/>
  <c r="L1386" i="1"/>
  <c r="M1386" i="1" s="1"/>
  <c r="N1386" i="1" s="1"/>
  <c r="L1387" i="1"/>
  <c r="M1387" i="1" s="1"/>
  <c r="N1387" i="1" s="1"/>
  <c r="L1388" i="1"/>
  <c r="M1388" i="1" s="1"/>
  <c r="N1388" i="1" s="1"/>
  <c r="L1389" i="1"/>
  <c r="M1389" i="1" s="1"/>
  <c r="N1389" i="1" s="1"/>
  <c r="L1390" i="1"/>
  <c r="M1390" i="1" s="1"/>
  <c r="N1390" i="1" s="1"/>
  <c r="L1391" i="1"/>
  <c r="M1391" i="1" s="1"/>
  <c r="N1391" i="1" s="1"/>
  <c r="L1392" i="1"/>
  <c r="M1392" i="1" s="1"/>
  <c r="N1392" i="1" s="1"/>
  <c r="L1393" i="1"/>
  <c r="M1393" i="1" s="1"/>
  <c r="N1393" i="1" s="1"/>
  <c r="L1394" i="1"/>
  <c r="M1394" i="1" s="1"/>
  <c r="N1394" i="1" s="1"/>
  <c r="L1395" i="1"/>
  <c r="M1395" i="1" s="1"/>
  <c r="N1395" i="1" s="1"/>
  <c r="L1396" i="1"/>
  <c r="M1396" i="1" s="1"/>
  <c r="N1396" i="1" s="1"/>
  <c r="L1397" i="1"/>
  <c r="M1397" i="1" s="1"/>
  <c r="N1397" i="1" s="1"/>
  <c r="L1398" i="1"/>
  <c r="M1398" i="1" s="1"/>
  <c r="N1398" i="1" s="1"/>
  <c r="L1399" i="1"/>
  <c r="M1399" i="1" s="1"/>
  <c r="N1399" i="1" s="1"/>
  <c r="L1400" i="1"/>
  <c r="M1400" i="1" s="1"/>
  <c r="N1400" i="1" s="1"/>
  <c r="L1401" i="1"/>
  <c r="M1401" i="1" s="1"/>
  <c r="N1401" i="1" s="1"/>
  <c r="L1402" i="1"/>
  <c r="M1402" i="1" s="1"/>
  <c r="N1402" i="1" s="1"/>
  <c r="L1403" i="1"/>
  <c r="M1403" i="1" s="1"/>
  <c r="N1403" i="1" s="1"/>
  <c r="L1404" i="1"/>
  <c r="M1404" i="1" s="1"/>
  <c r="N1404" i="1" s="1"/>
  <c r="L1405" i="1"/>
  <c r="M1405" i="1" s="1"/>
  <c r="N1405" i="1" s="1"/>
  <c r="L1406" i="1"/>
  <c r="M1406" i="1" s="1"/>
  <c r="N1406" i="1" s="1"/>
  <c r="L1407" i="1"/>
  <c r="M1407" i="1" s="1"/>
  <c r="N1407" i="1" s="1"/>
  <c r="L1408" i="1"/>
  <c r="M1408" i="1" s="1"/>
  <c r="N1408" i="1" s="1"/>
  <c r="L1409" i="1"/>
  <c r="M1409" i="1" s="1"/>
  <c r="N1409" i="1" s="1"/>
  <c r="L1410" i="1"/>
  <c r="M1410" i="1" s="1"/>
  <c r="N1410" i="1" s="1"/>
  <c r="L1411" i="1"/>
  <c r="M1411" i="1" s="1"/>
  <c r="N1411" i="1" s="1"/>
  <c r="L1412" i="1"/>
  <c r="M1412" i="1" s="1"/>
  <c r="N1412" i="1" s="1"/>
  <c r="L1413" i="1"/>
  <c r="M1413" i="1" s="1"/>
  <c r="N1413" i="1" s="1"/>
  <c r="L1414" i="1"/>
  <c r="M1414" i="1" s="1"/>
  <c r="N1414" i="1" s="1"/>
  <c r="L1415" i="1"/>
  <c r="M1415" i="1" s="1"/>
  <c r="N1415" i="1" s="1"/>
  <c r="L1416" i="1"/>
  <c r="M1416" i="1" s="1"/>
  <c r="N1416" i="1" s="1"/>
  <c r="L1417" i="1"/>
  <c r="M1417" i="1" s="1"/>
  <c r="N1417" i="1" s="1"/>
  <c r="L1418" i="1"/>
  <c r="M1418" i="1" s="1"/>
  <c r="N1418" i="1" s="1"/>
  <c r="L1419" i="1"/>
  <c r="M1419" i="1" s="1"/>
  <c r="N1419" i="1" s="1"/>
  <c r="L1420" i="1"/>
  <c r="M1420" i="1" s="1"/>
  <c r="N1420" i="1" s="1"/>
  <c r="L1421" i="1"/>
  <c r="M1421" i="1" s="1"/>
  <c r="N1421" i="1" s="1"/>
  <c r="L1422" i="1"/>
  <c r="M1422" i="1" s="1"/>
  <c r="N1422" i="1" s="1"/>
  <c r="L1423" i="1"/>
  <c r="M1423" i="1" s="1"/>
  <c r="N1423" i="1" s="1"/>
  <c r="L1424" i="1"/>
  <c r="M1424" i="1" s="1"/>
  <c r="N1424" i="1" s="1"/>
  <c r="L1425" i="1"/>
  <c r="M1425" i="1" s="1"/>
  <c r="N1425" i="1" s="1"/>
  <c r="L1426" i="1"/>
  <c r="M1426" i="1" s="1"/>
  <c r="N1426" i="1" s="1"/>
  <c r="L1427" i="1"/>
  <c r="M1427" i="1" s="1"/>
  <c r="N1427" i="1" s="1"/>
  <c r="L1428" i="1"/>
  <c r="M1428" i="1" s="1"/>
  <c r="N1428" i="1" s="1"/>
  <c r="L1429" i="1"/>
  <c r="M1429" i="1" s="1"/>
  <c r="N1429" i="1" s="1"/>
  <c r="L1430" i="1"/>
  <c r="M1430" i="1" s="1"/>
  <c r="N1430" i="1" s="1"/>
  <c r="L1431" i="1"/>
  <c r="M1431" i="1" s="1"/>
  <c r="N1431" i="1" s="1"/>
  <c r="L1432" i="1"/>
  <c r="M1432" i="1" s="1"/>
  <c r="N1432" i="1" s="1"/>
  <c r="L1433" i="1"/>
  <c r="M1433" i="1" s="1"/>
  <c r="N1433" i="1" s="1"/>
  <c r="L1434" i="1"/>
  <c r="M1434" i="1" s="1"/>
  <c r="N1434" i="1" s="1"/>
  <c r="L1435" i="1"/>
  <c r="M1435" i="1" s="1"/>
  <c r="N1435" i="1" s="1"/>
  <c r="L1436" i="1"/>
  <c r="M1436" i="1" s="1"/>
  <c r="N1436" i="1" s="1"/>
  <c r="L1437" i="1"/>
  <c r="M1437" i="1" s="1"/>
  <c r="N1437" i="1" s="1"/>
  <c r="L1438" i="1"/>
  <c r="M1438" i="1" s="1"/>
  <c r="N1438" i="1" s="1"/>
  <c r="L1439" i="1"/>
  <c r="M1439" i="1" s="1"/>
  <c r="N1439" i="1" s="1"/>
  <c r="L1440" i="1"/>
  <c r="M1440" i="1" s="1"/>
  <c r="N1440" i="1" s="1"/>
  <c r="L1441" i="1"/>
  <c r="M1441" i="1" s="1"/>
  <c r="N1441" i="1" s="1"/>
  <c r="L1442" i="1"/>
  <c r="M1442" i="1" s="1"/>
  <c r="N1442" i="1" s="1"/>
  <c r="L1443" i="1"/>
  <c r="M1443" i="1" s="1"/>
  <c r="N1443" i="1" s="1"/>
  <c r="L1444" i="1"/>
  <c r="M1444" i="1" s="1"/>
  <c r="N1444" i="1" s="1"/>
  <c r="L1445" i="1"/>
  <c r="M1445" i="1" s="1"/>
  <c r="N1445" i="1" s="1"/>
  <c r="L1446" i="1"/>
  <c r="M1446" i="1" s="1"/>
  <c r="N1446" i="1" s="1"/>
  <c r="L1447" i="1"/>
  <c r="M1447" i="1" s="1"/>
  <c r="N1447" i="1" s="1"/>
  <c r="L1448" i="1"/>
  <c r="M1448" i="1" s="1"/>
  <c r="N1448" i="1" s="1"/>
  <c r="L1449" i="1"/>
  <c r="M1449" i="1" s="1"/>
  <c r="N1449" i="1" s="1"/>
  <c r="L1450" i="1"/>
  <c r="M1450" i="1" s="1"/>
  <c r="N1450" i="1" s="1"/>
  <c r="L1451" i="1"/>
  <c r="M1451" i="1" s="1"/>
  <c r="N1451" i="1" s="1"/>
  <c r="L1452" i="1"/>
  <c r="M1452" i="1" s="1"/>
  <c r="N1452" i="1" s="1"/>
  <c r="L1453" i="1"/>
  <c r="M1453" i="1" s="1"/>
  <c r="N1453" i="1" s="1"/>
  <c r="L1454" i="1"/>
  <c r="M1454" i="1" s="1"/>
  <c r="N1454" i="1" s="1"/>
  <c r="L1455" i="1"/>
  <c r="M1455" i="1" s="1"/>
  <c r="N1455" i="1" s="1"/>
  <c r="L1456" i="1"/>
  <c r="M1456" i="1" s="1"/>
  <c r="N1456" i="1" s="1"/>
  <c r="L1457" i="1"/>
  <c r="M1457" i="1" s="1"/>
  <c r="N1457" i="1" s="1"/>
  <c r="L1458" i="1"/>
  <c r="M1458" i="1" s="1"/>
  <c r="N1458" i="1" s="1"/>
  <c r="L1459" i="1"/>
  <c r="M1459" i="1" s="1"/>
  <c r="N1459" i="1" s="1"/>
  <c r="L1460" i="1"/>
  <c r="M1460" i="1" s="1"/>
  <c r="N1460" i="1" s="1"/>
  <c r="L1461" i="1"/>
  <c r="M1461" i="1" s="1"/>
  <c r="N1461" i="1" s="1"/>
  <c r="L1462" i="1"/>
  <c r="M1462" i="1" s="1"/>
  <c r="N1462" i="1" s="1"/>
  <c r="L1463" i="1"/>
  <c r="M1463" i="1" s="1"/>
  <c r="N1463" i="1" s="1"/>
  <c r="L1464" i="1"/>
  <c r="M1464" i="1" s="1"/>
  <c r="N1464" i="1" s="1"/>
  <c r="L1465" i="1"/>
  <c r="M1465" i="1" s="1"/>
  <c r="N1465" i="1" s="1"/>
  <c r="L1466" i="1"/>
  <c r="M1466" i="1" s="1"/>
  <c r="N1466" i="1" s="1"/>
  <c r="L1467" i="1"/>
  <c r="M1467" i="1" s="1"/>
  <c r="N1467" i="1" s="1"/>
  <c r="L1468" i="1"/>
  <c r="M1468" i="1" s="1"/>
  <c r="N1468" i="1" s="1"/>
  <c r="L1469" i="1"/>
  <c r="M1469" i="1" s="1"/>
  <c r="N1469" i="1" s="1"/>
  <c r="L1470" i="1"/>
  <c r="M1470" i="1" s="1"/>
  <c r="N1470" i="1" s="1"/>
  <c r="L1471" i="1"/>
  <c r="M1471" i="1" s="1"/>
  <c r="N1471" i="1" s="1"/>
  <c r="L1472" i="1"/>
  <c r="M1472" i="1" s="1"/>
  <c r="N1472" i="1" s="1"/>
  <c r="L1473" i="1"/>
  <c r="M1473" i="1" s="1"/>
  <c r="N1473" i="1" s="1"/>
  <c r="L1474" i="1"/>
  <c r="M1474" i="1" s="1"/>
  <c r="N1474" i="1" s="1"/>
  <c r="L1475" i="1"/>
  <c r="M1475" i="1" s="1"/>
  <c r="N1475" i="1" s="1"/>
  <c r="L1476" i="1"/>
  <c r="M1476" i="1" s="1"/>
  <c r="N1476" i="1" s="1"/>
  <c r="L1477" i="1"/>
  <c r="M1477" i="1" s="1"/>
  <c r="N1477" i="1" s="1"/>
  <c r="L1478" i="1"/>
  <c r="M1478" i="1" s="1"/>
  <c r="N1478" i="1" s="1"/>
  <c r="L1479" i="1"/>
  <c r="M1479" i="1" s="1"/>
  <c r="N1479" i="1" s="1"/>
  <c r="L1480" i="1"/>
  <c r="M1480" i="1" s="1"/>
  <c r="N1480" i="1" s="1"/>
  <c r="L1481" i="1"/>
  <c r="M1481" i="1" s="1"/>
  <c r="N1481" i="1" s="1"/>
  <c r="L1482" i="1"/>
  <c r="M1482" i="1" s="1"/>
  <c r="N1482" i="1" s="1"/>
  <c r="L1483" i="1"/>
  <c r="M1483" i="1" s="1"/>
  <c r="N1483" i="1" s="1"/>
  <c r="L1484" i="1"/>
  <c r="M1484" i="1" s="1"/>
  <c r="N1484" i="1" s="1"/>
  <c r="L1485" i="1"/>
  <c r="M1485" i="1" s="1"/>
  <c r="N1485" i="1" s="1"/>
  <c r="L1486" i="1"/>
  <c r="M1486" i="1" s="1"/>
  <c r="N1486" i="1" s="1"/>
  <c r="L1487" i="1"/>
  <c r="M1487" i="1" s="1"/>
  <c r="N1487" i="1" s="1"/>
  <c r="L1488" i="1"/>
  <c r="M1488" i="1" s="1"/>
  <c r="N1488" i="1" s="1"/>
  <c r="L1489" i="1"/>
  <c r="M1489" i="1" s="1"/>
  <c r="N1489" i="1" s="1"/>
  <c r="L1490" i="1"/>
  <c r="M1490" i="1" s="1"/>
  <c r="N1490" i="1" s="1"/>
  <c r="L1491" i="1"/>
  <c r="M1491" i="1" s="1"/>
  <c r="N1491" i="1" s="1"/>
  <c r="L1492" i="1"/>
  <c r="M1492" i="1" s="1"/>
  <c r="N1492" i="1" s="1"/>
  <c r="L1493" i="1"/>
  <c r="M1493" i="1" s="1"/>
  <c r="N1493" i="1" s="1"/>
  <c r="L1494" i="1"/>
  <c r="M1494" i="1" s="1"/>
  <c r="N1494" i="1" s="1"/>
  <c r="L1495" i="1"/>
  <c r="M1495" i="1" s="1"/>
  <c r="N1495" i="1" s="1"/>
  <c r="L1496" i="1"/>
  <c r="M1496" i="1" s="1"/>
  <c r="N1496" i="1" s="1"/>
  <c r="L1497" i="1"/>
  <c r="M1497" i="1" s="1"/>
  <c r="N1497" i="1" s="1"/>
  <c r="L1498" i="1"/>
  <c r="M1498" i="1" s="1"/>
  <c r="N1498" i="1" s="1"/>
  <c r="L1499" i="1"/>
  <c r="M1499" i="1" s="1"/>
  <c r="N1499" i="1" s="1"/>
  <c r="L1500" i="1"/>
  <c r="M1500" i="1" s="1"/>
  <c r="N1500" i="1" s="1"/>
  <c r="L1501" i="1"/>
  <c r="M1501" i="1" s="1"/>
  <c r="N1501" i="1" s="1"/>
  <c r="L1502" i="1"/>
  <c r="M1502" i="1" s="1"/>
  <c r="N1502" i="1" s="1"/>
  <c r="L1503" i="1"/>
  <c r="M1503" i="1" s="1"/>
  <c r="N1503" i="1" s="1"/>
  <c r="L1504" i="1"/>
  <c r="M1504" i="1" s="1"/>
  <c r="N1504" i="1" s="1"/>
  <c r="L1505" i="1"/>
  <c r="M1505" i="1" s="1"/>
  <c r="N1505" i="1" s="1"/>
  <c r="L1506" i="1"/>
  <c r="M1506" i="1" s="1"/>
  <c r="N1506" i="1" s="1"/>
  <c r="L1507" i="1"/>
  <c r="M1507" i="1" s="1"/>
  <c r="N1507" i="1" s="1"/>
  <c r="L1508" i="1"/>
  <c r="M1508" i="1" s="1"/>
  <c r="N1508" i="1" s="1"/>
  <c r="L1509" i="1"/>
  <c r="M1509" i="1" s="1"/>
  <c r="N1509" i="1" s="1"/>
  <c r="L1510" i="1"/>
  <c r="M1510" i="1" s="1"/>
  <c r="N1510" i="1" s="1"/>
  <c r="L1511" i="1"/>
  <c r="M1511" i="1" s="1"/>
  <c r="N1511" i="1" s="1"/>
  <c r="L1512" i="1"/>
  <c r="M1512" i="1" s="1"/>
  <c r="N1512" i="1" s="1"/>
  <c r="L1513" i="1"/>
  <c r="M1513" i="1" s="1"/>
  <c r="N1513" i="1" s="1"/>
  <c r="L1514" i="1"/>
  <c r="M1514" i="1" s="1"/>
  <c r="N1514" i="1" s="1"/>
  <c r="L1515" i="1"/>
  <c r="M1515" i="1" s="1"/>
  <c r="N1515" i="1" s="1"/>
  <c r="L1516" i="1"/>
  <c r="M1516" i="1" s="1"/>
  <c r="N1516" i="1" s="1"/>
  <c r="L1517" i="1"/>
  <c r="M1517" i="1" s="1"/>
  <c r="N1517" i="1" s="1"/>
  <c r="L1518" i="1"/>
  <c r="M1518" i="1" s="1"/>
  <c r="N1518" i="1" s="1"/>
  <c r="L1519" i="1"/>
  <c r="M1519" i="1" s="1"/>
  <c r="N1519" i="1" s="1"/>
  <c r="L1520" i="1"/>
  <c r="M1520" i="1" s="1"/>
  <c r="N1520" i="1" s="1"/>
  <c r="L1521" i="1"/>
  <c r="M1521" i="1" s="1"/>
  <c r="N1521" i="1" s="1"/>
  <c r="L1522" i="1"/>
  <c r="M1522" i="1" s="1"/>
  <c r="N1522" i="1" s="1"/>
  <c r="L1523" i="1"/>
  <c r="M1523" i="1" s="1"/>
  <c r="N1523" i="1" s="1"/>
  <c r="L1524" i="1"/>
  <c r="M1524" i="1" s="1"/>
  <c r="N1524" i="1" s="1"/>
  <c r="L1525" i="1"/>
  <c r="M1525" i="1" s="1"/>
  <c r="N1525" i="1" s="1"/>
  <c r="L1526" i="1"/>
  <c r="M1526" i="1" s="1"/>
  <c r="N1526" i="1" s="1"/>
  <c r="L1527" i="1"/>
  <c r="M1527" i="1" s="1"/>
  <c r="N1527" i="1" s="1"/>
  <c r="L1528" i="1"/>
  <c r="M1528" i="1" s="1"/>
  <c r="N1528" i="1" s="1"/>
  <c r="L1529" i="1"/>
  <c r="M1529" i="1" s="1"/>
  <c r="N1529" i="1" s="1"/>
  <c r="L1530" i="1"/>
  <c r="M1530" i="1" s="1"/>
  <c r="N1530" i="1" s="1"/>
  <c r="L1531" i="1"/>
  <c r="M1531" i="1" s="1"/>
  <c r="N1531" i="1" s="1"/>
  <c r="L1532" i="1"/>
  <c r="M1532" i="1" s="1"/>
  <c r="N1532" i="1" s="1"/>
  <c r="L1533" i="1"/>
  <c r="M1533" i="1" s="1"/>
  <c r="N1533" i="1" s="1"/>
  <c r="L1534" i="1"/>
  <c r="M1534" i="1" s="1"/>
  <c r="N1534" i="1" s="1"/>
  <c r="L1535" i="1"/>
  <c r="M1535" i="1" s="1"/>
  <c r="N1535" i="1" s="1"/>
  <c r="L1536" i="1"/>
  <c r="M1536" i="1" s="1"/>
  <c r="N1536" i="1" s="1"/>
  <c r="L1537" i="1"/>
  <c r="M1537" i="1" s="1"/>
  <c r="N1537" i="1" s="1"/>
  <c r="L1538" i="1"/>
  <c r="M1538" i="1" s="1"/>
  <c r="N1538" i="1" s="1"/>
  <c r="L1539" i="1"/>
  <c r="M1539" i="1" s="1"/>
  <c r="N1539" i="1" s="1"/>
  <c r="L1540" i="1"/>
  <c r="M1540" i="1" s="1"/>
  <c r="N1540" i="1" s="1"/>
  <c r="L1541" i="1"/>
  <c r="M1541" i="1" s="1"/>
  <c r="N1541" i="1" s="1"/>
  <c r="L1542" i="1"/>
  <c r="M1542" i="1" s="1"/>
  <c r="N1542" i="1" s="1"/>
  <c r="L1543" i="1"/>
  <c r="M1543" i="1" s="1"/>
  <c r="N1543" i="1" s="1"/>
  <c r="L1544" i="1"/>
  <c r="M1544" i="1" s="1"/>
  <c r="N1544" i="1" s="1"/>
  <c r="L1545" i="1"/>
  <c r="M1545" i="1" s="1"/>
  <c r="N1545" i="1" s="1"/>
  <c r="L1546" i="1"/>
  <c r="M1546" i="1" s="1"/>
  <c r="N1546" i="1" s="1"/>
  <c r="L1547" i="1"/>
  <c r="M1547" i="1" s="1"/>
  <c r="N1547" i="1" s="1"/>
  <c r="L1548" i="1"/>
  <c r="M1548" i="1" s="1"/>
  <c r="N1548" i="1" s="1"/>
  <c r="L1549" i="1"/>
  <c r="M1549" i="1" s="1"/>
  <c r="N1549" i="1" s="1"/>
  <c r="L1550" i="1"/>
  <c r="M1550" i="1" s="1"/>
  <c r="N1550" i="1" s="1"/>
  <c r="L1551" i="1"/>
  <c r="M1551" i="1" s="1"/>
  <c r="N1551" i="1" s="1"/>
  <c r="L1552" i="1"/>
  <c r="M1552" i="1" s="1"/>
  <c r="N1552" i="1" s="1"/>
  <c r="L1553" i="1"/>
  <c r="M1553" i="1" s="1"/>
  <c r="N1553" i="1" s="1"/>
  <c r="L1554" i="1"/>
  <c r="M1554" i="1" s="1"/>
  <c r="N1554" i="1" s="1"/>
  <c r="L1555" i="1"/>
  <c r="M1555" i="1" s="1"/>
  <c r="N1555" i="1" s="1"/>
  <c r="L1556" i="1"/>
  <c r="M1556" i="1" s="1"/>
  <c r="N1556" i="1" s="1"/>
  <c r="L1557" i="1"/>
  <c r="M1557" i="1" s="1"/>
  <c r="N1557" i="1" s="1"/>
  <c r="L1558" i="1"/>
  <c r="M1558" i="1" s="1"/>
  <c r="N1558" i="1" s="1"/>
  <c r="L1559" i="1"/>
  <c r="M1559" i="1" s="1"/>
  <c r="N1559" i="1" s="1"/>
  <c r="L1560" i="1"/>
  <c r="M1560" i="1" s="1"/>
  <c r="N1560" i="1" s="1"/>
  <c r="L1561" i="1"/>
  <c r="M1561" i="1" s="1"/>
  <c r="N1561" i="1" s="1"/>
  <c r="L1562" i="1"/>
  <c r="M1562" i="1" s="1"/>
  <c r="N1562" i="1" s="1"/>
  <c r="L1563" i="1"/>
  <c r="M1563" i="1" s="1"/>
  <c r="N1563" i="1" s="1"/>
  <c r="L1564" i="1"/>
  <c r="M1564" i="1" s="1"/>
  <c r="N1564" i="1" s="1"/>
  <c r="L1565" i="1"/>
  <c r="M1565" i="1" s="1"/>
  <c r="N1565" i="1" s="1"/>
  <c r="L1566" i="1"/>
  <c r="M1566" i="1" s="1"/>
  <c r="N1566" i="1" s="1"/>
  <c r="L1567" i="1"/>
  <c r="M1567" i="1" s="1"/>
  <c r="N1567" i="1" s="1"/>
  <c r="L1568" i="1"/>
  <c r="M1568" i="1" s="1"/>
  <c r="N1568" i="1" s="1"/>
  <c r="L1569" i="1"/>
  <c r="M1569" i="1" s="1"/>
  <c r="N1569" i="1" s="1"/>
  <c r="L1570" i="1"/>
  <c r="M1570" i="1" s="1"/>
  <c r="N1570" i="1" s="1"/>
  <c r="L1571" i="1"/>
  <c r="M1571" i="1" s="1"/>
  <c r="N1571" i="1" s="1"/>
  <c r="L1572" i="1"/>
  <c r="M1572" i="1" s="1"/>
  <c r="N1572" i="1" s="1"/>
  <c r="L1573" i="1"/>
  <c r="M1573" i="1" s="1"/>
  <c r="N1573" i="1" s="1"/>
  <c r="L1574" i="1"/>
  <c r="M1574" i="1" s="1"/>
  <c r="N1574" i="1" s="1"/>
  <c r="L1575" i="1"/>
  <c r="M1575" i="1" s="1"/>
  <c r="N1575" i="1" s="1"/>
  <c r="L1576" i="1"/>
  <c r="M1576" i="1" s="1"/>
  <c r="N1576" i="1" s="1"/>
  <c r="L1577" i="1"/>
  <c r="M1577" i="1" s="1"/>
  <c r="N1577" i="1" s="1"/>
  <c r="L1578" i="1"/>
  <c r="M1578" i="1" s="1"/>
  <c r="N1578" i="1" s="1"/>
  <c r="L1579" i="1"/>
  <c r="M1579" i="1" s="1"/>
  <c r="N1579" i="1" s="1"/>
  <c r="L1580" i="1"/>
  <c r="M1580" i="1" s="1"/>
  <c r="N1580" i="1" s="1"/>
  <c r="L1581" i="1"/>
  <c r="M1581" i="1" s="1"/>
  <c r="N1581" i="1" s="1"/>
  <c r="L1582" i="1"/>
  <c r="M1582" i="1" s="1"/>
  <c r="N1582" i="1" s="1"/>
  <c r="L1583" i="1"/>
  <c r="M1583" i="1" s="1"/>
  <c r="N1583" i="1" s="1"/>
  <c r="L1584" i="1"/>
  <c r="M1584" i="1" s="1"/>
  <c r="N1584" i="1" s="1"/>
  <c r="L1585" i="1"/>
  <c r="M1585" i="1" s="1"/>
  <c r="N1585" i="1" s="1"/>
  <c r="L1586" i="1"/>
  <c r="M1586" i="1" s="1"/>
  <c r="N1586" i="1" s="1"/>
  <c r="L1587" i="1"/>
  <c r="M1587" i="1" s="1"/>
  <c r="N1587" i="1" s="1"/>
  <c r="L1588" i="1"/>
  <c r="M1588" i="1" s="1"/>
  <c r="N1588" i="1" s="1"/>
  <c r="L1589" i="1"/>
  <c r="M1589" i="1" s="1"/>
  <c r="N1589" i="1" s="1"/>
  <c r="L1590" i="1"/>
  <c r="M1590" i="1" s="1"/>
  <c r="N1590" i="1" s="1"/>
  <c r="L1591" i="1"/>
  <c r="M1591" i="1" s="1"/>
  <c r="N1591" i="1" s="1"/>
  <c r="L1592" i="1"/>
  <c r="M1592" i="1" s="1"/>
  <c r="N1592" i="1" s="1"/>
  <c r="L1593" i="1"/>
  <c r="M1593" i="1" s="1"/>
  <c r="N1593" i="1" s="1"/>
  <c r="L1594" i="1"/>
  <c r="M1594" i="1" s="1"/>
  <c r="N1594" i="1" s="1"/>
  <c r="L1595" i="1"/>
  <c r="M1595" i="1" s="1"/>
  <c r="N1595" i="1" s="1"/>
  <c r="L1596" i="1"/>
  <c r="M1596" i="1" s="1"/>
  <c r="N1596" i="1" s="1"/>
  <c r="L1597" i="1"/>
  <c r="M1597" i="1" s="1"/>
  <c r="N1597" i="1" s="1"/>
  <c r="L1598" i="1"/>
  <c r="M1598" i="1" s="1"/>
  <c r="N1598" i="1" s="1"/>
  <c r="L1599" i="1"/>
  <c r="M1599" i="1" s="1"/>
  <c r="N1599" i="1" s="1"/>
  <c r="L1600" i="1"/>
  <c r="M1600" i="1" s="1"/>
  <c r="N1600" i="1" s="1"/>
  <c r="L1601" i="1"/>
  <c r="M1601" i="1" s="1"/>
  <c r="N1601" i="1" s="1"/>
  <c r="L1602" i="1"/>
  <c r="M1602" i="1" s="1"/>
  <c r="N1602" i="1" s="1"/>
  <c r="L1603" i="1"/>
  <c r="M1603" i="1" s="1"/>
  <c r="N1603" i="1" s="1"/>
  <c r="L1604" i="1"/>
  <c r="M1604" i="1" s="1"/>
  <c r="N1604" i="1" s="1"/>
  <c r="L1605" i="1"/>
  <c r="M1605" i="1" s="1"/>
  <c r="N1605" i="1" s="1"/>
  <c r="L1606" i="1"/>
  <c r="M1606" i="1" s="1"/>
  <c r="N1606" i="1" s="1"/>
  <c r="L1607" i="1"/>
  <c r="M1607" i="1" s="1"/>
  <c r="N1607" i="1" s="1"/>
  <c r="L1608" i="1"/>
  <c r="M1608" i="1" s="1"/>
  <c r="N1608" i="1" s="1"/>
  <c r="L1609" i="1"/>
  <c r="M1609" i="1" s="1"/>
  <c r="N1609" i="1" s="1"/>
  <c r="L1610" i="1"/>
  <c r="M1610" i="1" s="1"/>
  <c r="N1610" i="1" s="1"/>
  <c r="L1611" i="1"/>
  <c r="M1611" i="1" s="1"/>
  <c r="N1611" i="1" s="1"/>
  <c r="L1612" i="1"/>
  <c r="M1612" i="1" s="1"/>
  <c r="N1612" i="1" s="1"/>
  <c r="L1613" i="1"/>
  <c r="M1613" i="1" s="1"/>
  <c r="N1613" i="1" s="1"/>
  <c r="L1614" i="1"/>
  <c r="M1614" i="1" s="1"/>
  <c r="N1614" i="1" s="1"/>
  <c r="L1615" i="1"/>
  <c r="M1615" i="1" s="1"/>
  <c r="N1615" i="1" s="1"/>
  <c r="L1616" i="1"/>
  <c r="M1616" i="1" s="1"/>
  <c r="N1616" i="1" s="1"/>
  <c r="L1617" i="1"/>
  <c r="M1617" i="1" s="1"/>
  <c r="N1617" i="1" s="1"/>
  <c r="L1618" i="1"/>
  <c r="M1618" i="1" s="1"/>
  <c r="N1618" i="1" s="1"/>
  <c r="L1619" i="1"/>
  <c r="M1619" i="1" s="1"/>
  <c r="N1619" i="1" s="1"/>
  <c r="L1620" i="1"/>
  <c r="M1620" i="1" s="1"/>
  <c r="N1620" i="1" s="1"/>
  <c r="L1621" i="1"/>
  <c r="M1621" i="1" s="1"/>
  <c r="N1621" i="1" s="1"/>
  <c r="L1622" i="1"/>
  <c r="M1622" i="1" s="1"/>
  <c r="N1622" i="1" s="1"/>
  <c r="L1623" i="1"/>
  <c r="M1623" i="1" s="1"/>
  <c r="N1623" i="1" s="1"/>
  <c r="L1624" i="1"/>
  <c r="M1624" i="1" s="1"/>
  <c r="N1624" i="1" s="1"/>
  <c r="L1625" i="1"/>
  <c r="M1625" i="1" s="1"/>
  <c r="N1625" i="1" s="1"/>
  <c r="L1626" i="1"/>
  <c r="M1626" i="1" s="1"/>
  <c r="N1626" i="1" s="1"/>
  <c r="L1627" i="1"/>
  <c r="M1627" i="1" s="1"/>
  <c r="N1627" i="1" s="1"/>
  <c r="L1628" i="1"/>
  <c r="M1628" i="1" s="1"/>
  <c r="N1628" i="1" s="1"/>
  <c r="L1629" i="1"/>
  <c r="M1629" i="1" s="1"/>
  <c r="N1629" i="1" s="1"/>
  <c r="L1630" i="1"/>
  <c r="M1630" i="1" s="1"/>
  <c r="N1630" i="1" s="1"/>
  <c r="L1631" i="1"/>
  <c r="M1631" i="1" s="1"/>
  <c r="N1631" i="1" s="1"/>
  <c r="L1632" i="1"/>
  <c r="M1632" i="1" s="1"/>
  <c r="N1632" i="1" s="1"/>
  <c r="L1633" i="1"/>
  <c r="M1633" i="1" s="1"/>
  <c r="N1633" i="1" s="1"/>
  <c r="L1634" i="1"/>
  <c r="M1634" i="1" s="1"/>
  <c r="N1634" i="1" s="1"/>
  <c r="L1635" i="1"/>
  <c r="M1635" i="1" s="1"/>
  <c r="N1635" i="1" s="1"/>
  <c r="L1636" i="1"/>
  <c r="M1636" i="1" s="1"/>
  <c r="N1636" i="1" s="1"/>
  <c r="L1637" i="1"/>
  <c r="M1637" i="1" s="1"/>
  <c r="N1637" i="1" s="1"/>
  <c r="L1638" i="1"/>
  <c r="M1638" i="1" s="1"/>
  <c r="N1638" i="1" s="1"/>
  <c r="L1639" i="1"/>
  <c r="M1639" i="1" s="1"/>
  <c r="N1639" i="1" s="1"/>
  <c r="L1640" i="1"/>
  <c r="M1640" i="1" s="1"/>
  <c r="N1640" i="1" s="1"/>
  <c r="L1641" i="1"/>
  <c r="M1641" i="1" s="1"/>
  <c r="N1641" i="1" s="1"/>
  <c r="L1642" i="1"/>
  <c r="M1642" i="1" s="1"/>
  <c r="N1642" i="1" s="1"/>
  <c r="L1643" i="1"/>
  <c r="M1643" i="1" s="1"/>
  <c r="N1643" i="1" s="1"/>
  <c r="L1644" i="1"/>
  <c r="M1644" i="1" s="1"/>
  <c r="N1644" i="1" s="1"/>
  <c r="L1645" i="1"/>
  <c r="M1645" i="1" s="1"/>
  <c r="N1645" i="1" s="1"/>
  <c r="L1646" i="1"/>
  <c r="M1646" i="1" s="1"/>
  <c r="N1646" i="1" s="1"/>
  <c r="L1647" i="1"/>
  <c r="M1647" i="1" s="1"/>
  <c r="N1647" i="1" s="1"/>
  <c r="L1648" i="1"/>
  <c r="M1648" i="1" s="1"/>
  <c r="N1648" i="1" s="1"/>
  <c r="L1649" i="1"/>
  <c r="M1649" i="1" s="1"/>
  <c r="N1649" i="1" s="1"/>
  <c r="L1650" i="1"/>
  <c r="M1650" i="1" s="1"/>
  <c r="N1650" i="1" s="1"/>
  <c r="L1651" i="1"/>
  <c r="M1651" i="1" s="1"/>
  <c r="N1651" i="1" s="1"/>
  <c r="L1652" i="1"/>
  <c r="M1652" i="1" s="1"/>
  <c r="N1652" i="1" s="1"/>
  <c r="L1653" i="1"/>
  <c r="M1653" i="1" s="1"/>
  <c r="N1653" i="1" s="1"/>
  <c r="L1654" i="1"/>
  <c r="M1654" i="1" s="1"/>
  <c r="N1654" i="1" s="1"/>
  <c r="L1655" i="1"/>
  <c r="M1655" i="1" s="1"/>
  <c r="N1655" i="1" s="1"/>
  <c r="L1656" i="1"/>
  <c r="M1656" i="1" s="1"/>
  <c r="N1656" i="1" s="1"/>
  <c r="L1657" i="1"/>
  <c r="M1657" i="1" s="1"/>
  <c r="N1657" i="1" s="1"/>
  <c r="L1658" i="1"/>
  <c r="M1658" i="1" s="1"/>
  <c r="N1658" i="1" s="1"/>
  <c r="L1659" i="1"/>
  <c r="M1659" i="1" s="1"/>
  <c r="N1659" i="1" s="1"/>
  <c r="L1660" i="1"/>
  <c r="M1660" i="1" s="1"/>
  <c r="N1660" i="1" s="1"/>
  <c r="L1661" i="1"/>
  <c r="M1661" i="1" s="1"/>
  <c r="N1661" i="1" s="1"/>
  <c r="L1662" i="1"/>
  <c r="M1662" i="1" s="1"/>
  <c r="N1662" i="1" s="1"/>
  <c r="L1663" i="1"/>
  <c r="M1663" i="1" s="1"/>
  <c r="N1663" i="1" s="1"/>
  <c r="L1664" i="1"/>
  <c r="M1664" i="1" s="1"/>
  <c r="N1664" i="1" s="1"/>
  <c r="L1665" i="1"/>
  <c r="M1665" i="1" s="1"/>
  <c r="N1665" i="1" s="1"/>
  <c r="L1666" i="1"/>
  <c r="M1666" i="1" s="1"/>
  <c r="N1666" i="1" s="1"/>
  <c r="L1667" i="1"/>
  <c r="M1667" i="1" s="1"/>
  <c r="N1667" i="1" s="1"/>
  <c r="L1668" i="1"/>
  <c r="M1668" i="1" s="1"/>
  <c r="N1668" i="1" s="1"/>
  <c r="L1669" i="1"/>
  <c r="M1669" i="1" s="1"/>
  <c r="N1669" i="1" s="1"/>
  <c r="L1670" i="1"/>
  <c r="M1670" i="1" s="1"/>
  <c r="N1670" i="1" s="1"/>
  <c r="L1671" i="1"/>
  <c r="M1671" i="1" s="1"/>
  <c r="N1671" i="1" s="1"/>
  <c r="L1672" i="1"/>
  <c r="M1672" i="1" s="1"/>
  <c r="N1672" i="1" s="1"/>
  <c r="L1673" i="1"/>
  <c r="M1673" i="1" s="1"/>
  <c r="N1673" i="1" s="1"/>
  <c r="L1674" i="1"/>
  <c r="M1674" i="1" s="1"/>
  <c r="N1674" i="1" s="1"/>
  <c r="L1675" i="1"/>
  <c r="M1675" i="1" s="1"/>
  <c r="N1675" i="1" s="1"/>
  <c r="L1676" i="1"/>
  <c r="M1676" i="1" s="1"/>
  <c r="N1676" i="1" s="1"/>
  <c r="L1677" i="1"/>
  <c r="M1677" i="1" s="1"/>
  <c r="N1677" i="1" s="1"/>
  <c r="L1678" i="1"/>
  <c r="M1678" i="1" s="1"/>
  <c r="N1678" i="1" s="1"/>
  <c r="L1679" i="1"/>
  <c r="M1679" i="1" s="1"/>
  <c r="N1679" i="1" s="1"/>
  <c r="L1680" i="1"/>
  <c r="M1680" i="1" s="1"/>
  <c r="N1680" i="1" s="1"/>
  <c r="L1681" i="1"/>
  <c r="M1681" i="1" s="1"/>
  <c r="N1681" i="1" s="1"/>
  <c r="L1682" i="1"/>
  <c r="M1682" i="1" s="1"/>
  <c r="N1682" i="1" s="1"/>
  <c r="L1683" i="1"/>
  <c r="M1683" i="1" s="1"/>
  <c r="N1683" i="1" s="1"/>
  <c r="L1684" i="1"/>
  <c r="M1684" i="1" s="1"/>
  <c r="N1684" i="1" s="1"/>
  <c r="L1685" i="1"/>
  <c r="M1685" i="1" s="1"/>
  <c r="N1685" i="1" s="1"/>
  <c r="L1686" i="1"/>
  <c r="M1686" i="1" s="1"/>
  <c r="N1686" i="1" s="1"/>
  <c r="L1687" i="1"/>
  <c r="M1687" i="1" s="1"/>
  <c r="N1687" i="1" s="1"/>
  <c r="L1688" i="1"/>
  <c r="M1688" i="1" s="1"/>
  <c r="N1688" i="1" s="1"/>
  <c r="L1689" i="1"/>
  <c r="M1689" i="1" s="1"/>
  <c r="N1689" i="1" s="1"/>
  <c r="L1690" i="1"/>
  <c r="M1690" i="1" s="1"/>
  <c r="N1690" i="1" s="1"/>
  <c r="L1691" i="1"/>
  <c r="M1691" i="1" s="1"/>
  <c r="N1691" i="1" s="1"/>
  <c r="L1692" i="1"/>
  <c r="M1692" i="1" s="1"/>
  <c r="N1692" i="1" s="1"/>
  <c r="L1693" i="1"/>
  <c r="M1693" i="1" s="1"/>
  <c r="N1693" i="1" s="1"/>
  <c r="L1694" i="1"/>
  <c r="M1694" i="1" s="1"/>
  <c r="N1694" i="1" s="1"/>
  <c r="L1695" i="1"/>
  <c r="M1695" i="1" s="1"/>
  <c r="N1695" i="1" s="1"/>
  <c r="L1696" i="1"/>
  <c r="M1696" i="1" s="1"/>
  <c r="N1696" i="1" s="1"/>
  <c r="L1697" i="1"/>
  <c r="M1697" i="1" s="1"/>
  <c r="N1697" i="1" s="1"/>
  <c r="L1698" i="1"/>
  <c r="M1698" i="1" s="1"/>
  <c r="N1698" i="1" s="1"/>
  <c r="L1699" i="1"/>
  <c r="M1699" i="1" s="1"/>
  <c r="N1699" i="1" s="1"/>
  <c r="L1700" i="1"/>
  <c r="M1700" i="1" s="1"/>
  <c r="N1700" i="1" s="1"/>
  <c r="L1701" i="1"/>
  <c r="M1701" i="1" s="1"/>
  <c r="N1701" i="1" s="1"/>
  <c r="L1702" i="1"/>
  <c r="M1702" i="1" s="1"/>
  <c r="N1702" i="1" s="1"/>
  <c r="L1703" i="1"/>
  <c r="M1703" i="1" s="1"/>
  <c r="N1703" i="1" s="1"/>
  <c r="L1704" i="1"/>
  <c r="M1704" i="1" s="1"/>
  <c r="N1704" i="1" s="1"/>
  <c r="L1705" i="1"/>
  <c r="M1705" i="1" s="1"/>
  <c r="N1705" i="1" s="1"/>
  <c r="L1706" i="1"/>
  <c r="M1706" i="1" s="1"/>
  <c r="N1706" i="1" s="1"/>
  <c r="L1707" i="1"/>
  <c r="M1707" i="1" s="1"/>
  <c r="N1707" i="1" s="1"/>
  <c r="L1708" i="1"/>
  <c r="M1708" i="1" s="1"/>
  <c r="N1708" i="1" s="1"/>
  <c r="L1709" i="1"/>
  <c r="M1709" i="1" s="1"/>
  <c r="N1709" i="1" s="1"/>
  <c r="L1710" i="1"/>
  <c r="M1710" i="1" s="1"/>
  <c r="N1710" i="1" s="1"/>
  <c r="L1711" i="1"/>
  <c r="M1711" i="1" s="1"/>
  <c r="N1711" i="1" s="1"/>
  <c r="L1712" i="1"/>
  <c r="M1712" i="1" s="1"/>
  <c r="N1712" i="1" s="1"/>
  <c r="L1713" i="1"/>
  <c r="M1713" i="1" s="1"/>
  <c r="N1713" i="1" s="1"/>
  <c r="L1714" i="1"/>
  <c r="M1714" i="1" s="1"/>
  <c r="N1714" i="1" s="1"/>
  <c r="L1715" i="1"/>
  <c r="M1715" i="1" s="1"/>
  <c r="N1715" i="1" s="1"/>
  <c r="L1716" i="1"/>
  <c r="M1716" i="1" s="1"/>
  <c r="N1716" i="1" s="1"/>
  <c r="L1717" i="1"/>
  <c r="M1717" i="1" s="1"/>
  <c r="N1717" i="1" s="1"/>
  <c r="L1718" i="1"/>
  <c r="M1718" i="1" s="1"/>
  <c r="N1718" i="1" s="1"/>
  <c r="L1719" i="1"/>
  <c r="M1719" i="1" s="1"/>
  <c r="N1719" i="1" s="1"/>
  <c r="L1720" i="1"/>
  <c r="M1720" i="1" s="1"/>
  <c r="N1720" i="1" s="1"/>
  <c r="L1721" i="1"/>
  <c r="M1721" i="1" s="1"/>
  <c r="N1721" i="1" s="1"/>
  <c r="L1722" i="1"/>
  <c r="M1722" i="1" s="1"/>
  <c r="N1722" i="1" s="1"/>
  <c r="L1723" i="1"/>
  <c r="M1723" i="1" s="1"/>
  <c r="N1723" i="1" s="1"/>
  <c r="L1724" i="1"/>
  <c r="M1724" i="1" s="1"/>
  <c r="N1724" i="1" s="1"/>
  <c r="L1725" i="1"/>
  <c r="M1725" i="1" s="1"/>
  <c r="N1725" i="1" s="1"/>
  <c r="L1726" i="1"/>
  <c r="M1726" i="1" s="1"/>
  <c r="N1726" i="1" s="1"/>
  <c r="L1727" i="1"/>
  <c r="M1727" i="1" s="1"/>
  <c r="N1727" i="1" s="1"/>
  <c r="L1728" i="1"/>
  <c r="M1728" i="1" s="1"/>
  <c r="N1728" i="1" s="1"/>
  <c r="L1729" i="1"/>
  <c r="M1729" i="1" s="1"/>
  <c r="N1729" i="1" s="1"/>
  <c r="L1730" i="1"/>
  <c r="M1730" i="1" s="1"/>
  <c r="N1730" i="1" s="1"/>
  <c r="L1731" i="1"/>
  <c r="M1731" i="1" s="1"/>
  <c r="N1731" i="1" s="1"/>
  <c r="L1732" i="1"/>
  <c r="M1732" i="1" s="1"/>
  <c r="N1732" i="1" s="1"/>
  <c r="L1733" i="1"/>
  <c r="M1733" i="1" s="1"/>
  <c r="N1733" i="1" s="1"/>
  <c r="L1734" i="1"/>
  <c r="M1734" i="1" s="1"/>
  <c r="N1734" i="1" s="1"/>
  <c r="L1735" i="1"/>
  <c r="M1735" i="1" s="1"/>
  <c r="N1735" i="1" s="1"/>
  <c r="L1736" i="1"/>
  <c r="M1736" i="1" s="1"/>
  <c r="N1736" i="1" s="1"/>
  <c r="L1737" i="1"/>
  <c r="M1737" i="1" s="1"/>
  <c r="N1737" i="1" s="1"/>
  <c r="L1738" i="1"/>
  <c r="M1738" i="1" s="1"/>
  <c r="N1738" i="1" s="1"/>
  <c r="L1739" i="1"/>
  <c r="M1739" i="1" s="1"/>
  <c r="N1739" i="1" s="1"/>
  <c r="L1740" i="1"/>
  <c r="M1740" i="1" s="1"/>
  <c r="N1740" i="1" s="1"/>
  <c r="L1741" i="1"/>
  <c r="M1741" i="1" s="1"/>
  <c r="N1741" i="1" s="1"/>
  <c r="L1742" i="1"/>
  <c r="M1742" i="1" s="1"/>
  <c r="N1742" i="1" s="1"/>
  <c r="L1743" i="1"/>
  <c r="M1743" i="1" s="1"/>
  <c r="N1743" i="1" s="1"/>
  <c r="L1744" i="1"/>
  <c r="M1744" i="1" s="1"/>
  <c r="N1744" i="1" s="1"/>
  <c r="L1745" i="1"/>
  <c r="M1745" i="1" s="1"/>
  <c r="N1745" i="1" s="1"/>
  <c r="L1746" i="1"/>
  <c r="M1746" i="1" s="1"/>
  <c r="N1746" i="1" s="1"/>
  <c r="L1747" i="1"/>
  <c r="M1747" i="1" s="1"/>
  <c r="N1747" i="1" s="1"/>
  <c r="L1748" i="1"/>
  <c r="M1748" i="1" s="1"/>
  <c r="N1748" i="1" s="1"/>
  <c r="L1749" i="1"/>
  <c r="M1749" i="1" s="1"/>
  <c r="N1749" i="1" s="1"/>
  <c r="L1750" i="1"/>
  <c r="M1750" i="1" s="1"/>
  <c r="N1750" i="1" s="1"/>
  <c r="L1751" i="1"/>
  <c r="M1751" i="1" s="1"/>
  <c r="N1751" i="1" s="1"/>
  <c r="L1752" i="1"/>
  <c r="M1752" i="1" s="1"/>
  <c r="N1752" i="1" s="1"/>
  <c r="L1753" i="1"/>
  <c r="M1753" i="1" s="1"/>
  <c r="N1753" i="1" s="1"/>
  <c r="L1754" i="1"/>
  <c r="M1754" i="1" s="1"/>
  <c r="N1754" i="1" s="1"/>
  <c r="L1755" i="1"/>
  <c r="M1755" i="1" s="1"/>
  <c r="N1755" i="1" s="1"/>
  <c r="L1756" i="1"/>
  <c r="M1756" i="1" s="1"/>
  <c r="N1756" i="1" s="1"/>
  <c r="L1757" i="1"/>
  <c r="M1757" i="1" s="1"/>
  <c r="N1757" i="1" s="1"/>
  <c r="L1758" i="1"/>
  <c r="M1758" i="1" s="1"/>
  <c r="N1758" i="1" s="1"/>
  <c r="L1759" i="1"/>
  <c r="M1759" i="1" s="1"/>
  <c r="N1759" i="1" s="1"/>
  <c r="L1760" i="1"/>
  <c r="M1760" i="1" s="1"/>
  <c r="N1760" i="1" s="1"/>
  <c r="L1761" i="1"/>
  <c r="M1761" i="1" s="1"/>
  <c r="N1761" i="1" s="1"/>
  <c r="L1762" i="1"/>
  <c r="M1762" i="1" s="1"/>
  <c r="N1762" i="1" s="1"/>
  <c r="L1763" i="1"/>
  <c r="M1763" i="1" s="1"/>
  <c r="N1763" i="1" s="1"/>
  <c r="L1764" i="1"/>
  <c r="M1764" i="1" s="1"/>
  <c r="N1764" i="1" s="1"/>
  <c r="L1765" i="1"/>
  <c r="M1765" i="1" s="1"/>
  <c r="N1765" i="1" s="1"/>
  <c r="L1766" i="1"/>
  <c r="M1766" i="1" s="1"/>
  <c r="N1766" i="1" s="1"/>
  <c r="L1767" i="1"/>
  <c r="M1767" i="1" s="1"/>
  <c r="N1767" i="1" s="1"/>
  <c r="L1768" i="1"/>
  <c r="M1768" i="1" s="1"/>
  <c r="N1768" i="1" s="1"/>
  <c r="L1769" i="1"/>
  <c r="M1769" i="1" s="1"/>
  <c r="N1769" i="1" s="1"/>
  <c r="L1770" i="1"/>
  <c r="M1770" i="1" s="1"/>
  <c r="N1770" i="1" s="1"/>
  <c r="L1771" i="1"/>
  <c r="M1771" i="1" s="1"/>
  <c r="N1771" i="1" s="1"/>
  <c r="L1772" i="1"/>
  <c r="M1772" i="1" s="1"/>
  <c r="N1772" i="1" s="1"/>
  <c r="L1773" i="1"/>
  <c r="M1773" i="1" s="1"/>
  <c r="N1773" i="1" s="1"/>
  <c r="L1774" i="1"/>
  <c r="M1774" i="1" s="1"/>
  <c r="N1774" i="1" s="1"/>
  <c r="L1775" i="1"/>
  <c r="M1775" i="1" s="1"/>
  <c r="N1775" i="1" s="1"/>
  <c r="L1776" i="1"/>
  <c r="M1776" i="1" s="1"/>
  <c r="N1776" i="1" s="1"/>
  <c r="L1777" i="1"/>
  <c r="M1777" i="1" s="1"/>
  <c r="N1777" i="1" s="1"/>
  <c r="L1778" i="1"/>
  <c r="M1778" i="1" s="1"/>
  <c r="N1778" i="1" s="1"/>
  <c r="L1779" i="1"/>
  <c r="M1779" i="1" s="1"/>
  <c r="N1779" i="1" s="1"/>
  <c r="L1780" i="1"/>
  <c r="M1780" i="1" s="1"/>
  <c r="N1780" i="1" s="1"/>
  <c r="L1781" i="1"/>
  <c r="M1781" i="1" s="1"/>
  <c r="N1781" i="1" s="1"/>
  <c r="L1782" i="1"/>
  <c r="M1782" i="1" s="1"/>
  <c r="N1782" i="1" s="1"/>
  <c r="L1783" i="1"/>
  <c r="M1783" i="1" s="1"/>
  <c r="N1783" i="1" s="1"/>
  <c r="L1784" i="1"/>
  <c r="M1784" i="1" s="1"/>
  <c r="N1784" i="1" s="1"/>
  <c r="L1785" i="1"/>
  <c r="M1785" i="1" s="1"/>
  <c r="N1785" i="1" s="1"/>
  <c r="L1786" i="1"/>
  <c r="M1786" i="1" s="1"/>
  <c r="N1786" i="1" s="1"/>
  <c r="L1787" i="1"/>
  <c r="M1787" i="1" s="1"/>
  <c r="N1787" i="1" s="1"/>
  <c r="L1788" i="1"/>
  <c r="M1788" i="1" s="1"/>
  <c r="N1788" i="1" s="1"/>
  <c r="L1789" i="1"/>
  <c r="M1789" i="1" s="1"/>
  <c r="N1789" i="1" s="1"/>
  <c r="L1790" i="1"/>
  <c r="M1790" i="1" s="1"/>
  <c r="N1790" i="1" s="1"/>
  <c r="L1791" i="1"/>
  <c r="M1791" i="1" s="1"/>
  <c r="N1791" i="1" s="1"/>
  <c r="L1792" i="1"/>
  <c r="M1792" i="1" s="1"/>
  <c r="N1792" i="1" s="1"/>
  <c r="L1793" i="1"/>
  <c r="M1793" i="1" s="1"/>
  <c r="N1793" i="1" s="1"/>
  <c r="L1794" i="1"/>
  <c r="M1794" i="1" s="1"/>
  <c r="N1794" i="1" s="1"/>
  <c r="L1795" i="1"/>
  <c r="M1795" i="1" s="1"/>
  <c r="N1795" i="1" s="1"/>
  <c r="L1796" i="1"/>
  <c r="M1796" i="1" s="1"/>
  <c r="N1796" i="1" s="1"/>
  <c r="L1797" i="1"/>
  <c r="M1797" i="1" s="1"/>
  <c r="N1797" i="1" s="1"/>
  <c r="L1798" i="1"/>
  <c r="M1798" i="1" s="1"/>
  <c r="N1798" i="1" s="1"/>
  <c r="L1799" i="1"/>
  <c r="M1799" i="1" s="1"/>
  <c r="N1799" i="1" s="1"/>
  <c r="L1800" i="1"/>
  <c r="M1800" i="1" s="1"/>
  <c r="N1800" i="1" s="1"/>
  <c r="L1801" i="1"/>
  <c r="M1801" i="1" s="1"/>
  <c r="N1801" i="1" s="1"/>
  <c r="L1802" i="1"/>
  <c r="M1802" i="1" s="1"/>
  <c r="N1802" i="1" s="1"/>
  <c r="L1803" i="1"/>
  <c r="M1803" i="1" s="1"/>
  <c r="N1803" i="1" s="1"/>
  <c r="L1804" i="1"/>
  <c r="M1804" i="1" s="1"/>
  <c r="N1804" i="1" s="1"/>
  <c r="L1805" i="1"/>
  <c r="M1805" i="1" s="1"/>
  <c r="N1805" i="1" s="1"/>
  <c r="L1806" i="1"/>
  <c r="M1806" i="1" s="1"/>
  <c r="N1806" i="1" s="1"/>
  <c r="L1807" i="1"/>
  <c r="M1807" i="1" s="1"/>
  <c r="N1807" i="1" s="1"/>
  <c r="L1808" i="1"/>
  <c r="M1808" i="1" s="1"/>
  <c r="N1808" i="1" s="1"/>
  <c r="L1809" i="1"/>
  <c r="M1809" i="1" s="1"/>
  <c r="N1809" i="1" s="1"/>
  <c r="L1810" i="1"/>
  <c r="M1810" i="1" s="1"/>
  <c r="N1810" i="1" s="1"/>
  <c r="L1811" i="1"/>
  <c r="M1811" i="1" s="1"/>
  <c r="N1811" i="1" s="1"/>
  <c r="L1812" i="1"/>
  <c r="M1812" i="1" s="1"/>
  <c r="N1812" i="1" s="1"/>
  <c r="L1813" i="1"/>
  <c r="M1813" i="1" s="1"/>
  <c r="N1813" i="1" s="1"/>
  <c r="L1814" i="1"/>
  <c r="M1814" i="1" s="1"/>
  <c r="N1814" i="1" s="1"/>
  <c r="L1815" i="1"/>
  <c r="M1815" i="1" s="1"/>
  <c r="N1815" i="1" s="1"/>
  <c r="L1816" i="1"/>
  <c r="M1816" i="1" s="1"/>
  <c r="N1816" i="1" s="1"/>
  <c r="L1817" i="1"/>
  <c r="M1817" i="1" s="1"/>
  <c r="N1817" i="1" s="1"/>
  <c r="L1818" i="1"/>
  <c r="M1818" i="1" s="1"/>
  <c r="N1818" i="1" s="1"/>
  <c r="L1819" i="1"/>
  <c r="M1819" i="1" s="1"/>
  <c r="N1819" i="1" s="1"/>
  <c r="L1820" i="1"/>
  <c r="M1820" i="1" s="1"/>
  <c r="N1820" i="1" s="1"/>
  <c r="L1821" i="1"/>
  <c r="M1821" i="1" s="1"/>
  <c r="N1821" i="1" s="1"/>
  <c r="L1822" i="1"/>
  <c r="M1822" i="1" s="1"/>
  <c r="N1822" i="1" s="1"/>
  <c r="L1823" i="1"/>
  <c r="M1823" i="1" s="1"/>
  <c r="N1823" i="1" s="1"/>
  <c r="L1824" i="1"/>
  <c r="M1824" i="1" s="1"/>
  <c r="N1824" i="1" s="1"/>
  <c r="L1825" i="1"/>
  <c r="M1825" i="1" s="1"/>
  <c r="N1825" i="1" s="1"/>
  <c r="L1826" i="1"/>
  <c r="M1826" i="1" s="1"/>
  <c r="N1826" i="1" s="1"/>
  <c r="L1827" i="1"/>
  <c r="M1827" i="1" s="1"/>
  <c r="N1827" i="1" s="1"/>
  <c r="L1828" i="1"/>
  <c r="M1828" i="1" s="1"/>
  <c r="N1828" i="1" s="1"/>
  <c r="L1829" i="1"/>
  <c r="M1829" i="1" s="1"/>
  <c r="N1829" i="1" s="1"/>
  <c r="L1830" i="1"/>
  <c r="M1830" i="1" s="1"/>
  <c r="N1830" i="1" s="1"/>
  <c r="L1831" i="1"/>
  <c r="M1831" i="1" s="1"/>
  <c r="N1831" i="1" s="1"/>
  <c r="L1832" i="1"/>
  <c r="M1832" i="1" s="1"/>
  <c r="N1832" i="1" s="1"/>
  <c r="L1833" i="1"/>
  <c r="M1833" i="1" s="1"/>
  <c r="N1833" i="1" s="1"/>
  <c r="L1834" i="1"/>
  <c r="M1834" i="1" s="1"/>
  <c r="N1834" i="1" s="1"/>
  <c r="L1835" i="1"/>
  <c r="M1835" i="1" s="1"/>
  <c r="N1835" i="1" s="1"/>
  <c r="L1836" i="1"/>
  <c r="M1836" i="1" s="1"/>
  <c r="N1836" i="1" s="1"/>
  <c r="L1837" i="1"/>
  <c r="M1837" i="1" s="1"/>
  <c r="N1837" i="1" s="1"/>
  <c r="L1838" i="1"/>
  <c r="M1838" i="1" s="1"/>
  <c r="N1838" i="1" s="1"/>
  <c r="L1839" i="1"/>
  <c r="M1839" i="1" s="1"/>
  <c r="N1839" i="1" s="1"/>
  <c r="L1840" i="1"/>
  <c r="M1840" i="1" s="1"/>
  <c r="N1840" i="1" s="1"/>
  <c r="L1841" i="1"/>
  <c r="M1841" i="1" s="1"/>
  <c r="N1841" i="1" s="1"/>
  <c r="L1842" i="1"/>
  <c r="M1842" i="1" s="1"/>
  <c r="N1842" i="1" s="1"/>
  <c r="L1843" i="1"/>
  <c r="M1843" i="1" s="1"/>
  <c r="N1843" i="1" s="1"/>
  <c r="L1844" i="1"/>
  <c r="M1844" i="1" s="1"/>
  <c r="N1844" i="1" s="1"/>
  <c r="L1845" i="1"/>
  <c r="M1845" i="1" s="1"/>
  <c r="N1845" i="1" s="1"/>
  <c r="L1846" i="1"/>
  <c r="M1846" i="1" s="1"/>
  <c r="N1846" i="1" s="1"/>
  <c r="L1847" i="1"/>
  <c r="M1847" i="1" s="1"/>
  <c r="N1847" i="1" s="1"/>
  <c r="L1848" i="1"/>
  <c r="M1848" i="1" s="1"/>
  <c r="N1848" i="1" s="1"/>
  <c r="L1849" i="1"/>
  <c r="M1849" i="1" s="1"/>
  <c r="N1849" i="1" s="1"/>
  <c r="L1850" i="1"/>
  <c r="M1850" i="1" s="1"/>
  <c r="N1850" i="1" s="1"/>
  <c r="L1851" i="1"/>
  <c r="M1851" i="1" s="1"/>
  <c r="N1851" i="1" s="1"/>
  <c r="L1852" i="1"/>
  <c r="M1852" i="1" s="1"/>
  <c r="N1852" i="1" s="1"/>
  <c r="L1853" i="1"/>
  <c r="M1853" i="1" s="1"/>
  <c r="N1853" i="1" s="1"/>
  <c r="L1854" i="1"/>
  <c r="M1854" i="1" s="1"/>
  <c r="N1854" i="1" s="1"/>
  <c r="L1855" i="1"/>
  <c r="M1855" i="1" s="1"/>
  <c r="N1855" i="1" s="1"/>
  <c r="L1856" i="1"/>
  <c r="M1856" i="1" s="1"/>
  <c r="N1856" i="1" s="1"/>
  <c r="L1857" i="1"/>
  <c r="M1857" i="1" s="1"/>
  <c r="N1857" i="1" s="1"/>
  <c r="L1858" i="1"/>
  <c r="M1858" i="1" s="1"/>
  <c r="N1858" i="1" s="1"/>
  <c r="L1859" i="1"/>
  <c r="M1859" i="1" s="1"/>
  <c r="N1859" i="1" s="1"/>
  <c r="L1860" i="1"/>
  <c r="M1860" i="1" s="1"/>
  <c r="N1860" i="1" s="1"/>
  <c r="L1861" i="1"/>
  <c r="M1861" i="1" s="1"/>
  <c r="N1861" i="1" s="1"/>
  <c r="L1862" i="1"/>
  <c r="M1862" i="1" s="1"/>
  <c r="N1862" i="1" s="1"/>
  <c r="L1863" i="1"/>
  <c r="M1863" i="1" s="1"/>
  <c r="N1863" i="1" s="1"/>
  <c r="L1864" i="1"/>
  <c r="M1864" i="1" s="1"/>
  <c r="N1864" i="1" s="1"/>
  <c r="L1865" i="1"/>
  <c r="M1865" i="1" s="1"/>
  <c r="N1865" i="1" s="1"/>
  <c r="L1866" i="1"/>
  <c r="M1866" i="1" s="1"/>
  <c r="N1866" i="1" s="1"/>
  <c r="L1867" i="1"/>
  <c r="M1867" i="1" s="1"/>
  <c r="N1867" i="1" s="1"/>
  <c r="L1868" i="1"/>
  <c r="M1868" i="1" s="1"/>
  <c r="N1868" i="1" s="1"/>
  <c r="L1869" i="1"/>
  <c r="M1869" i="1" s="1"/>
  <c r="N1869" i="1" s="1"/>
  <c r="L1870" i="1"/>
  <c r="M1870" i="1" s="1"/>
  <c r="N1870" i="1" s="1"/>
  <c r="L1871" i="1"/>
  <c r="M1871" i="1" s="1"/>
  <c r="N1871" i="1" s="1"/>
  <c r="L1872" i="1"/>
  <c r="M1872" i="1" s="1"/>
  <c r="N1872" i="1" s="1"/>
  <c r="L1873" i="1"/>
  <c r="M1873" i="1" s="1"/>
  <c r="N1873" i="1" s="1"/>
  <c r="L1874" i="1"/>
  <c r="M1874" i="1" s="1"/>
  <c r="N1874" i="1" s="1"/>
  <c r="L1875" i="1"/>
  <c r="M1875" i="1" s="1"/>
  <c r="N1875" i="1" s="1"/>
  <c r="L1876" i="1"/>
  <c r="M1876" i="1" s="1"/>
  <c r="N1876" i="1" s="1"/>
  <c r="L1877" i="1"/>
  <c r="M1877" i="1" s="1"/>
  <c r="N1877" i="1" s="1"/>
  <c r="L1878" i="1"/>
  <c r="M1878" i="1" s="1"/>
  <c r="N1878" i="1" s="1"/>
  <c r="L1879" i="1"/>
  <c r="M1879" i="1" s="1"/>
  <c r="N1879" i="1" s="1"/>
  <c r="L1880" i="1"/>
  <c r="M1880" i="1" s="1"/>
  <c r="N1880" i="1" s="1"/>
  <c r="L1881" i="1"/>
  <c r="M1881" i="1" s="1"/>
  <c r="N1881" i="1" s="1"/>
  <c r="L1882" i="1"/>
  <c r="M1882" i="1" s="1"/>
  <c r="N1882" i="1" s="1"/>
  <c r="L1883" i="1"/>
  <c r="M1883" i="1" s="1"/>
  <c r="N1883" i="1" s="1"/>
  <c r="L1884" i="1"/>
  <c r="M1884" i="1" s="1"/>
  <c r="N1884" i="1" s="1"/>
  <c r="L1885" i="1"/>
  <c r="M1885" i="1" s="1"/>
  <c r="N1885" i="1" s="1"/>
  <c r="L1886" i="1"/>
  <c r="M1886" i="1" s="1"/>
  <c r="N1886" i="1" s="1"/>
  <c r="L1887" i="1"/>
  <c r="M1887" i="1" s="1"/>
  <c r="N1887" i="1" s="1"/>
  <c r="L1888" i="1"/>
  <c r="M1888" i="1" s="1"/>
  <c r="N1888" i="1" s="1"/>
  <c r="L1889" i="1"/>
  <c r="M1889" i="1" s="1"/>
  <c r="N1889" i="1" s="1"/>
  <c r="L1890" i="1"/>
  <c r="M1890" i="1" s="1"/>
  <c r="N1890" i="1" s="1"/>
  <c r="L1891" i="1"/>
  <c r="M1891" i="1" s="1"/>
  <c r="N1891" i="1" s="1"/>
  <c r="L1892" i="1"/>
  <c r="M1892" i="1" s="1"/>
  <c r="N1892" i="1" s="1"/>
  <c r="L1893" i="1"/>
  <c r="M1893" i="1" s="1"/>
  <c r="N1893" i="1" s="1"/>
  <c r="L1894" i="1"/>
  <c r="M1894" i="1" s="1"/>
  <c r="N1894" i="1" s="1"/>
  <c r="L1895" i="1"/>
  <c r="M1895" i="1" s="1"/>
  <c r="N1895" i="1" s="1"/>
  <c r="L1896" i="1"/>
  <c r="M1896" i="1" s="1"/>
  <c r="N1896" i="1" s="1"/>
  <c r="L1897" i="1"/>
  <c r="M1897" i="1" s="1"/>
  <c r="N1897" i="1" s="1"/>
  <c r="L1898" i="1"/>
  <c r="M1898" i="1" s="1"/>
  <c r="N1898" i="1" s="1"/>
  <c r="L1899" i="1"/>
  <c r="M1899" i="1" s="1"/>
  <c r="N1899" i="1" s="1"/>
  <c r="L1900" i="1"/>
  <c r="M1900" i="1" s="1"/>
  <c r="N1900" i="1" s="1"/>
  <c r="L1901" i="1"/>
  <c r="M1901" i="1" s="1"/>
  <c r="N1901" i="1" s="1"/>
  <c r="L1902" i="1"/>
  <c r="M1902" i="1" s="1"/>
  <c r="N1902" i="1" s="1"/>
  <c r="L1903" i="1"/>
  <c r="M1903" i="1" s="1"/>
  <c r="N1903" i="1" s="1"/>
  <c r="L1904" i="1"/>
  <c r="M1904" i="1" s="1"/>
  <c r="N1904" i="1" s="1"/>
  <c r="L1905" i="1"/>
  <c r="M1905" i="1" s="1"/>
  <c r="N1905" i="1" s="1"/>
  <c r="L1906" i="1"/>
  <c r="M1906" i="1" s="1"/>
  <c r="N1906" i="1" s="1"/>
  <c r="L1907" i="1"/>
  <c r="M1907" i="1" s="1"/>
  <c r="N1907" i="1" s="1"/>
  <c r="L1908" i="1"/>
  <c r="M1908" i="1" s="1"/>
  <c r="N1908" i="1" s="1"/>
  <c r="L1909" i="1"/>
  <c r="M1909" i="1" s="1"/>
  <c r="N1909" i="1" s="1"/>
  <c r="L1910" i="1"/>
  <c r="M1910" i="1" s="1"/>
  <c r="N1910" i="1" s="1"/>
  <c r="L1911" i="1"/>
  <c r="M1911" i="1" s="1"/>
  <c r="N1911" i="1" s="1"/>
  <c r="L1912" i="1"/>
  <c r="M1912" i="1" s="1"/>
  <c r="N1912" i="1" s="1"/>
  <c r="L1913" i="1"/>
  <c r="M1913" i="1" s="1"/>
  <c r="N1913" i="1" s="1"/>
  <c r="L1914" i="1"/>
  <c r="M1914" i="1" s="1"/>
  <c r="N1914" i="1" s="1"/>
  <c r="L1915" i="1"/>
  <c r="M1915" i="1" s="1"/>
  <c r="N1915" i="1" s="1"/>
  <c r="L1916" i="1"/>
  <c r="M1916" i="1" s="1"/>
  <c r="N1916" i="1" s="1"/>
  <c r="L1917" i="1"/>
  <c r="M1917" i="1" s="1"/>
  <c r="N1917" i="1" s="1"/>
  <c r="L1918" i="1"/>
  <c r="M1918" i="1" s="1"/>
  <c r="N1918" i="1" s="1"/>
  <c r="L1919" i="1"/>
  <c r="M1919" i="1" s="1"/>
  <c r="N1919" i="1" s="1"/>
  <c r="L1920" i="1"/>
  <c r="M1920" i="1" s="1"/>
  <c r="N1920" i="1" s="1"/>
  <c r="L1921" i="1"/>
  <c r="M1921" i="1" s="1"/>
  <c r="N1921" i="1" s="1"/>
  <c r="L1922" i="1"/>
  <c r="M1922" i="1" s="1"/>
  <c r="N1922" i="1" s="1"/>
  <c r="L1923" i="1"/>
  <c r="M1923" i="1" s="1"/>
  <c r="N1923" i="1" s="1"/>
  <c r="L1924" i="1"/>
  <c r="M1924" i="1" s="1"/>
  <c r="N1924" i="1" s="1"/>
  <c r="L1925" i="1"/>
  <c r="M1925" i="1" s="1"/>
  <c r="N1925" i="1" s="1"/>
  <c r="L1926" i="1"/>
  <c r="M1926" i="1" s="1"/>
  <c r="N1926" i="1" s="1"/>
  <c r="L1927" i="1"/>
  <c r="M1927" i="1" s="1"/>
  <c r="N1927" i="1" s="1"/>
  <c r="L1928" i="1"/>
  <c r="M1928" i="1" s="1"/>
  <c r="N1928" i="1" s="1"/>
  <c r="L1929" i="1"/>
  <c r="M1929" i="1" s="1"/>
  <c r="N1929" i="1" s="1"/>
  <c r="L1930" i="1"/>
  <c r="M1930" i="1" s="1"/>
  <c r="N1930" i="1" s="1"/>
  <c r="L1931" i="1"/>
  <c r="M1931" i="1" s="1"/>
  <c r="N1931" i="1" s="1"/>
  <c r="L1932" i="1"/>
  <c r="M1932" i="1" s="1"/>
  <c r="N1932" i="1" s="1"/>
  <c r="L1933" i="1"/>
  <c r="M1933" i="1" s="1"/>
  <c r="N1933" i="1" s="1"/>
  <c r="L1934" i="1"/>
  <c r="M1934" i="1" s="1"/>
  <c r="N1934" i="1" s="1"/>
  <c r="L1935" i="1"/>
  <c r="M1935" i="1" s="1"/>
  <c r="N1935" i="1" s="1"/>
  <c r="L1936" i="1"/>
  <c r="M1936" i="1" s="1"/>
  <c r="N1936" i="1" s="1"/>
  <c r="L1937" i="1"/>
  <c r="M1937" i="1" s="1"/>
  <c r="N1937" i="1" s="1"/>
  <c r="L1938" i="1"/>
  <c r="M1938" i="1" s="1"/>
  <c r="N1938" i="1" s="1"/>
  <c r="L1939" i="1"/>
  <c r="M1939" i="1" s="1"/>
  <c r="N1939" i="1" s="1"/>
  <c r="L1940" i="1"/>
  <c r="M1940" i="1" s="1"/>
  <c r="N1940" i="1" s="1"/>
  <c r="L1941" i="1"/>
  <c r="M1941" i="1" s="1"/>
  <c r="N1941" i="1" s="1"/>
  <c r="L1942" i="1"/>
  <c r="M1942" i="1" s="1"/>
  <c r="N1942" i="1" s="1"/>
  <c r="L1943" i="1"/>
  <c r="M1943" i="1" s="1"/>
  <c r="N1943" i="1" s="1"/>
  <c r="L1944" i="1"/>
  <c r="M1944" i="1" s="1"/>
  <c r="N1944" i="1" s="1"/>
  <c r="L1945" i="1"/>
  <c r="M1945" i="1" s="1"/>
  <c r="N1945" i="1" s="1"/>
  <c r="L1946" i="1"/>
  <c r="M1946" i="1" s="1"/>
  <c r="N1946" i="1" s="1"/>
  <c r="L1947" i="1"/>
  <c r="M1947" i="1" s="1"/>
  <c r="N1947" i="1" s="1"/>
  <c r="L1948" i="1"/>
  <c r="M1948" i="1" s="1"/>
  <c r="N1948" i="1" s="1"/>
  <c r="L1949" i="1"/>
  <c r="M1949" i="1" s="1"/>
  <c r="N1949" i="1" s="1"/>
  <c r="L1950" i="1"/>
  <c r="M1950" i="1" s="1"/>
  <c r="N1950" i="1" s="1"/>
  <c r="L1951" i="1"/>
  <c r="M1951" i="1" s="1"/>
  <c r="N1951" i="1" s="1"/>
  <c r="L1952" i="1"/>
  <c r="M1952" i="1" s="1"/>
  <c r="N1952" i="1" s="1"/>
  <c r="L1953" i="1"/>
  <c r="M1953" i="1" s="1"/>
  <c r="N1953" i="1" s="1"/>
  <c r="L1954" i="1"/>
  <c r="M1954" i="1" s="1"/>
  <c r="N1954" i="1" s="1"/>
  <c r="L1955" i="1"/>
  <c r="M1955" i="1" s="1"/>
  <c r="N1955" i="1" s="1"/>
  <c r="L1956" i="1"/>
  <c r="M1956" i="1" s="1"/>
  <c r="N1956" i="1" s="1"/>
  <c r="L1957" i="1"/>
  <c r="M1957" i="1" s="1"/>
  <c r="N1957" i="1" s="1"/>
  <c r="L1958" i="1"/>
  <c r="M1958" i="1" s="1"/>
  <c r="N1958" i="1" s="1"/>
  <c r="L1959" i="1"/>
  <c r="M1959" i="1" s="1"/>
  <c r="N1959" i="1" s="1"/>
  <c r="L1960" i="1"/>
  <c r="M1960" i="1" s="1"/>
  <c r="N1960" i="1" s="1"/>
  <c r="L1961" i="1"/>
  <c r="M1961" i="1" s="1"/>
  <c r="N1961" i="1" s="1"/>
  <c r="L1962" i="1"/>
  <c r="M1962" i="1" s="1"/>
  <c r="N1962" i="1" s="1"/>
  <c r="L1963" i="1"/>
  <c r="M1963" i="1" s="1"/>
  <c r="N1963" i="1" s="1"/>
  <c r="L1964" i="1"/>
  <c r="M1964" i="1" s="1"/>
  <c r="N1964" i="1" s="1"/>
  <c r="L1965" i="1"/>
  <c r="M1965" i="1" s="1"/>
  <c r="N1965" i="1" s="1"/>
  <c r="L1966" i="1"/>
  <c r="M1966" i="1" s="1"/>
  <c r="N1966" i="1" s="1"/>
  <c r="L1967" i="1"/>
  <c r="M1967" i="1" s="1"/>
  <c r="N1967" i="1" s="1"/>
  <c r="L1968" i="1"/>
  <c r="M1968" i="1" s="1"/>
  <c r="N1968" i="1" s="1"/>
  <c r="L1969" i="1"/>
  <c r="M1969" i="1" s="1"/>
  <c r="N1969" i="1" s="1"/>
  <c r="L1970" i="1"/>
  <c r="M1970" i="1" s="1"/>
  <c r="N1970" i="1" s="1"/>
  <c r="L1971" i="1"/>
  <c r="M1971" i="1" s="1"/>
  <c r="N1971" i="1" s="1"/>
  <c r="L1972" i="1"/>
  <c r="M1972" i="1" s="1"/>
  <c r="N1972" i="1" s="1"/>
  <c r="L1973" i="1"/>
  <c r="M1973" i="1" s="1"/>
  <c r="N1973" i="1" s="1"/>
  <c r="L1974" i="1"/>
  <c r="M1974" i="1" s="1"/>
  <c r="N1974" i="1" s="1"/>
  <c r="L1975" i="1"/>
  <c r="M1975" i="1" s="1"/>
  <c r="N1975" i="1" s="1"/>
  <c r="L1976" i="1"/>
  <c r="M1976" i="1" s="1"/>
  <c r="N1976" i="1" s="1"/>
  <c r="L1977" i="1"/>
  <c r="M1977" i="1" s="1"/>
  <c r="N1977" i="1" s="1"/>
  <c r="L1978" i="1"/>
  <c r="M1978" i="1" s="1"/>
  <c r="N1978" i="1" s="1"/>
  <c r="L1979" i="1"/>
  <c r="M1979" i="1" s="1"/>
  <c r="N1979" i="1" s="1"/>
  <c r="L1980" i="1"/>
  <c r="M1980" i="1" s="1"/>
  <c r="N1980" i="1" s="1"/>
  <c r="L1981" i="1"/>
  <c r="M1981" i="1" s="1"/>
  <c r="N1981" i="1" s="1"/>
  <c r="L1982" i="1"/>
  <c r="M1982" i="1" s="1"/>
  <c r="N1982" i="1" s="1"/>
  <c r="L1983" i="1"/>
  <c r="M1983" i="1" s="1"/>
  <c r="N1983" i="1" s="1"/>
  <c r="L1984" i="1"/>
  <c r="M1984" i="1" s="1"/>
  <c r="N1984" i="1" s="1"/>
  <c r="L1985" i="1"/>
  <c r="M1985" i="1" s="1"/>
  <c r="N1985" i="1" s="1"/>
  <c r="L1986" i="1"/>
  <c r="M1986" i="1" s="1"/>
  <c r="N1986" i="1" s="1"/>
  <c r="L1987" i="1"/>
  <c r="M1987" i="1" s="1"/>
  <c r="N1987" i="1" s="1"/>
  <c r="L1988" i="1"/>
  <c r="M1988" i="1" s="1"/>
  <c r="N1988" i="1" s="1"/>
  <c r="L1989" i="1"/>
  <c r="M1989" i="1" s="1"/>
  <c r="N1989" i="1" s="1"/>
  <c r="L1990" i="1"/>
  <c r="M1990" i="1" s="1"/>
  <c r="N1990" i="1" s="1"/>
  <c r="L1991" i="1"/>
  <c r="M1991" i="1" s="1"/>
  <c r="N1991" i="1" s="1"/>
  <c r="L1992" i="1"/>
  <c r="M1992" i="1" s="1"/>
  <c r="N1992" i="1" s="1"/>
  <c r="L1993" i="1"/>
  <c r="M1993" i="1" s="1"/>
  <c r="N1993" i="1" s="1"/>
  <c r="L1994" i="1"/>
  <c r="M1994" i="1" s="1"/>
  <c r="N1994" i="1" s="1"/>
  <c r="L1995" i="1"/>
  <c r="M1995" i="1" s="1"/>
  <c r="N1995" i="1" s="1"/>
  <c r="L1996" i="1"/>
  <c r="M1996" i="1" s="1"/>
  <c r="N1996" i="1" s="1"/>
  <c r="L1997" i="1"/>
  <c r="M1997" i="1" s="1"/>
  <c r="N1997" i="1" s="1"/>
  <c r="L1998" i="1"/>
  <c r="M1998" i="1" s="1"/>
  <c r="N1998" i="1" s="1"/>
  <c r="L1999" i="1"/>
  <c r="M1999" i="1" s="1"/>
  <c r="N1999" i="1" s="1"/>
  <c r="L2000" i="1"/>
  <c r="M2000" i="1" s="1"/>
  <c r="N2000" i="1" s="1"/>
  <c r="L2001" i="1"/>
  <c r="M2001" i="1" s="1"/>
  <c r="N2001" i="1" s="1"/>
  <c r="L2002" i="1"/>
  <c r="M2002" i="1" s="1"/>
  <c r="N2002" i="1" s="1"/>
  <c r="L2003" i="1"/>
  <c r="M2003" i="1" s="1"/>
  <c r="N2003" i="1" s="1"/>
  <c r="L2004" i="1"/>
  <c r="M2004" i="1" s="1"/>
  <c r="N2004" i="1" s="1"/>
  <c r="L2005" i="1"/>
  <c r="M2005" i="1" s="1"/>
  <c r="N2005" i="1" s="1"/>
  <c r="L2006" i="1"/>
  <c r="M2006" i="1" s="1"/>
  <c r="N2006" i="1" s="1"/>
  <c r="L2007" i="1"/>
  <c r="M2007" i="1" s="1"/>
  <c r="N2007" i="1" s="1"/>
  <c r="L2008" i="1"/>
  <c r="M2008" i="1" s="1"/>
  <c r="N2008" i="1" s="1"/>
  <c r="L2009" i="1"/>
  <c r="M2009" i="1" s="1"/>
  <c r="N2009" i="1" s="1"/>
  <c r="L2010" i="1"/>
  <c r="M2010" i="1" s="1"/>
  <c r="N2010" i="1" s="1"/>
  <c r="L2011" i="1"/>
  <c r="M2011" i="1" s="1"/>
  <c r="N2011" i="1" s="1"/>
  <c r="L2012" i="1"/>
  <c r="M2012" i="1" s="1"/>
  <c r="N2012" i="1" s="1"/>
  <c r="L2013" i="1"/>
  <c r="M2013" i="1" s="1"/>
  <c r="N2013" i="1" s="1"/>
  <c r="L2014" i="1"/>
  <c r="M2014" i="1" s="1"/>
  <c r="N2014" i="1" s="1"/>
  <c r="L2015" i="1"/>
  <c r="M2015" i="1" s="1"/>
  <c r="N2015" i="1" s="1"/>
  <c r="L2016" i="1"/>
  <c r="M2016" i="1" s="1"/>
  <c r="N2016" i="1" s="1"/>
  <c r="L2017" i="1"/>
  <c r="M2017" i="1" s="1"/>
  <c r="N2017" i="1" s="1"/>
  <c r="L2018" i="1"/>
  <c r="M2018" i="1" s="1"/>
  <c r="N2018" i="1" s="1"/>
  <c r="L2019" i="1"/>
  <c r="M2019" i="1" s="1"/>
  <c r="N2019" i="1" s="1"/>
  <c r="L2020" i="1"/>
  <c r="M2020" i="1" s="1"/>
  <c r="N2020" i="1" s="1"/>
  <c r="L2021" i="1"/>
  <c r="M2021" i="1" s="1"/>
  <c r="N2021" i="1" s="1"/>
  <c r="L2022" i="1"/>
  <c r="M2022" i="1" s="1"/>
  <c r="N2022" i="1" s="1"/>
  <c r="L2023" i="1"/>
  <c r="M2023" i="1" s="1"/>
  <c r="N2023" i="1" s="1"/>
  <c r="L2024" i="1"/>
  <c r="M2024" i="1" s="1"/>
  <c r="N2024" i="1" s="1"/>
  <c r="L2025" i="1"/>
  <c r="M2025" i="1" s="1"/>
  <c r="N2025" i="1" s="1"/>
  <c r="L2026" i="1"/>
  <c r="M2026" i="1" s="1"/>
  <c r="N2026" i="1" s="1"/>
  <c r="L2027" i="1"/>
  <c r="M2027" i="1" s="1"/>
  <c r="N2027" i="1" s="1"/>
  <c r="L2028" i="1"/>
  <c r="M2028" i="1" s="1"/>
  <c r="N2028" i="1" s="1"/>
  <c r="L2029" i="1"/>
  <c r="M2029" i="1" s="1"/>
  <c r="N2029" i="1" s="1"/>
  <c r="L2030" i="1"/>
  <c r="M2030" i="1" s="1"/>
  <c r="N2030" i="1" s="1"/>
  <c r="L2031" i="1"/>
  <c r="M2031" i="1" s="1"/>
  <c r="N2031" i="1" s="1"/>
  <c r="L2032" i="1"/>
  <c r="M2032" i="1" s="1"/>
  <c r="N2032" i="1" s="1"/>
  <c r="L2033" i="1"/>
  <c r="M2033" i="1" s="1"/>
  <c r="N2033" i="1" s="1"/>
  <c r="L2034" i="1"/>
  <c r="M2034" i="1" s="1"/>
  <c r="N2034" i="1" s="1"/>
  <c r="L2035" i="1"/>
  <c r="M2035" i="1" s="1"/>
  <c r="N2035" i="1" s="1"/>
  <c r="L2036" i="1"/>
  <c r="M2036" i="1" s="1"/>
  <c r="N2036" i="1" s="1"/>
  <c r="L2037" i="1"/>
  <c r="M2037" i="1" s="1"/>
  <c r="N2037" i="1" s="1"/>
  <c r="L2038" i="1"/>
  <c r="M2038" i="1" s="1"/>
  <c r="N2038" i="1" s="1"/>
  <c r="L2039" i="1"/>
  <c r="M2039" i="1" s="1"/>
  <c r="N2039" i="1" s="1"/>
  <c r="L2040" i="1"/>
  <c r="M2040" i="1" s="1"/>
  <c r="N2040" i="1" s="1"/>
  <c r="L2041" i="1"/>
  <c r="M2041" i="1" s="1"/>
  <c r="N2041" i="1" s="1"/>
  <c r="L2042" i="1"/>
  <c r="M2042" i="1" s="1"/>
  <c r="N2042" i="1" s="1"/>
  <c r="L2043" i="1"/>
  <c r="M2043" i="1" s="1"/>
  <c r="N2043" i="1" s="1"/>
  <c r="L2044" i="1"/>
  <c r="M2044" i="1" s="1"/>
  <c r="N2044" i="1" s="1"/>
  <c r="L2045" i="1"/>
  <c r="M2045" i="1" s="1"/>
  <c r="N2045" i="1" s="1"/>
  <c r="L2046" i="1"/>
  <c r="M2046" i="1" s="1"/>
  <c r="N2046" i="1" s="1"/>
  <c r="L2047" i="1"/>
  <c r="M2047" i="1" s="1"/>
  <c r="N2047" i="1" s="1"/>
  <c r="L2048" i="1"/>
  <c r="M2048" i="1" s="1"/>
  <c r="N2048" i="1" s="1"/>
  <c r="L2049" i="1"/>
  <c r="M2049" i="1" s="1"/>
  <c r="N2049" i="1" s="1"/>
  <c r="L2050" i="1"/>
  <c r="M2050" i="1" s="1"/>
  <c r="N2050" i="1" s="1"/>
  <c r="L2051" i="1"/>
  <c r="M2051" i="1" s="1"/>
  <c r="N2051" i="1" s="1"/>
  <c r="L2052" i="1"/>
  <c r="M2052" i="1" s="1"/>
  <c r="N2052" i="1" s="1"/>
  <c r="L2053" i="1"/>
  <c r="M2053" i="1" s="1"/>
  <c r="N2053" i="1" s="1"/>
  <c r="L2054" i="1"/>
  <c r="M2054" i="1" s="1"/>
  <c r="N2054" i="1" s="1"/>
  <c r="L2055" i="1"/>
  <c r="M2055" i="1" s="1"/>
  <c r="N2055" i="1" s="1"/>
  <c r="L2056" i="1"/>
  <c r="M2056" i="1" s="1"/>
  <c r="N2056" i="1" s="1"/>
  <c r="L2057" i="1"/>
  <c r="M2057" i="1" s="1"/>
  <c r="N2057" i="1" s="1"/>
  <c r="L2058" i="1"/>
  <c r="M2058" i="1" s="1"/>
  <c r="N2058" i="1" s="1"/>
  <c r="L2059" i="1"/>
  <c r="M2059" i="1" s="1"/>
  <c r="N2059" i="1" s="1"/>
  <c r="L2060" i="1"/>
  <c r="M2060" i="1" s="1"/>
  <c r="N2060" i="1" s="1"/>
  <c r="L2061" i="1"/>
  <c r="M2061" i="1" s="1"/>
  <c r="N2061" i="1" s="1"/>
  <c r="L2062" i="1"/>
  <c r="M2062" i="1" s="1"/>
  <c r="N2062" i="1" s="1"/>
  <c r="L2063" i="1"/>
  <c r="M2063" i="1" s="1"/>
  <c r="N2063" i="1" s="1"/>
  <c r="L2064" i="1"/>
  <c r="M2064" i="1" s="1"/>
  <c r="N2064" i="1" s="1"/>
  <c r="L2065" i="1"/>
  <c r="M2065" i="1" s="1"/>
  <c r="N2065" i="1" s="1"/>
  <c r="L2066" i="1"/>
  <c r="M2066" i="1" s="1"/>
  <c r="N2066" i="1" s="1"/>
  <c r="L2067" i="1"/>
  <c r="M2067" i="1" s="1"/>
  <c r="N2067" i="1" s="1"/>
  <c r="L2068" i="1"/>
  <c r="M2068" i="1" s="1"/>
  <c r="N2068" i="1" s="1"/>
  <c r="L2069" i="1"/>
  <c r="M2069" i="1" s="1"/>
  <c r="N2069" i="1" s="1"/>
  <c r="L2070" i="1"/>
  <c r="M2070" i="1" s="1"/>
  <c r="N2070" i="1" s="1"/>
  <c r="L2071" i="1"/>
  <c r="M2071" i="1" s="1"/>
  <c r="N2071" i="1" s="1"/>
  <c r="L2072" i="1"/>
  <c r="M2072" i="1" s="1"/>
  <c r="N2072" i="1" s="1"/>
  <c r="L2073" i="1"/>
  <c r="M2073" i="1" s="1"/>
  <c r="N2073" i="1" s="1"/>
  <c r="L2074" i="1"/>
  <c r="M2074" i="1" s="1"/>
  <c r="N2074" i="1" s="1"/>
  <c r="L2075" i="1"/>
  <c r="M2075" i="1" s="1"/>
  <c r="N2075" i="1" s="1"/>
  <c r="L2076" i="1"/>
  <c r="M2076" i="1" s="1"/>
  <c r="N2076" i="1" s="1"/>
  <c r="L2077" i="1"/>
  <c r="M2077" i="1" s="1"/>
  <c r="N2077" i="1" s="1"/>
  <c r="L2078" i="1"/>
  <c r="M2078" i="1" s="1"/>
  <c r="N2078" i="1" s="1"/>
  <c r="L2079" i="1"/>
  <c r="M2079" i="1" s="1"/>
  <c r="N2079" i="1" s="1"/>
  <c r="L2080" i="1"/>
  <c r="M2080" i="1" s="1"/>
  <c r="N2080" i="1" s="1"/>
  <c r="L2081" i="1"/>
  <c r="M2081" i="1" s="1"/>
  <c r="N2081" i="1" s="1"/>
  <c r="L2082" i="1"/>
  <c r="M2082" i="1" s="1"/>
  <c r="N2082" i="1" s="1"/>
  <c r="L2083" i="1"/>
  <c r="M2083" i="1" s="1"/>
  <c r="N2083" i="1" s="1"/>
  <c r="L2084" i="1"/>
  <c r="M2084" i="1" s="1"/>
  <c r="N2084" i="1" s="1"/>
  <c r="L2085" i="1"/>
  <c r="M2085" i="1" s="1"/>
  <c r="N2085" i="1" s="1"/>
  <c r="L2086" i="1"/>
  <c r="M2086" i="1" s="1"/>
  <c r="N2086" i="1" s="1"/>
  <c r="L2087" i="1"/>
  <c r="M2087" i="1" s="1"/>
  <c r="N2087" i="1" s="1"/>
  <c r="L2088" i="1"/>
  <c r="M2088" i="1" s="1"/>
  <c r="N2088" i="1" s="1"/>
  <c r="L2089" i="1"/>
  <c r="M2089" i="1" s="1"/>
  <c r="N2089" i="1" s="1"/>
  <c r="L2090" i="1"/>
  <c r="M2090" i="1" s="1"/>
  <c r="N2090" i="1" s="1"/>
  <c r="L2091" i="1"/>
  <c r="M2091" i="1" s="1"/>
  <c r="N2091" i="1" s="1"/>
  <c r="L2092" i="1"/>
  <c r="M2092" i="1" s="1"/>
  <c r="N2092" i="1" s="1"/>
  <c r="L2093" i="1"/>
  <c r="M2093" i="1" s="1"/>
  <c r="N2093" i="1" s="1"/>
  <c r="L2094" i="1"/>
  <c r="M2094" i="1" s="1"/>
  <c r="N2094" i="1" s="1"/>
  <c r="L2095" i="1"/>
  <c r="M2095" i="1" s="1"/>
  <c r="N2095" i="1" s="1"/>
  <c r="L2096" i="1"/>
  <c r="M2096" i="1" s="1"/>
  <c r="N2096" i="1" s="1"/>
  <c r="L2097" i="1"/>
  <c r="M2097" i="1" s="1"/>
  <c r="N2097" i="1" s="1"/>
  <c r="L2098" i="1"/>
  <c r="M2098" i="1" s="1"/>
  <c r="N2098" i="1" s="1"/>
  <c r="L2099" i="1"/>
  <c r="M2099" i="1" s="1"/>
  <c r="N2099" i="1" s="1"/>
  <c r="L2100" i="1"/>
  <c r="M2100" i="1" s="1"/>
  <c r="N2100" i="1" s="1"/>
  <c r="L2101" i="1"/>
  <c r="M2101" i="1" s="1"/>
  <c r="N2101" i="1" s="1"/>
  <c r="L2102" i="1"/>
  <c r="M2102" i="1" s="1"/>
  <c r="N2102" i="1" s="1"/>
  <c r="L2103" i="1"/>
  <c r="M2103" i="1" s="1"/>
  <c r="N2103" i="1" s="1"/>
  <c r="L2104" i="1"/>
  <c r="M2104" i="1" s="1"/>
  <c r="N2104" i="1" s="1"/>
  <c r="L2105" i="1"/>
  <c r="M2105" i="1" s="1"/>
  <c r="N2105" i="1" s="1"/>
  <c r="L2106" i="1"/>
  <c r="M2106" i="1" s="1"/>
  <c r="N2106" i="1" s="1"/>
  <c r="L2107" i="1"/>
  <c r="M2107" i="1" s="1"/>
  <c r="N2107" i="1" s="1"/>
  <c r="L2108" i="1"/>
  <c r="M2108" i="1" s="1"/>
  <c r="N2108" i="1" s="1"/>
  <c r="L2109" i="1"/>
  <c r="M2109" i="1" s="1"/>
  <c r="N2109" i="1" s="1"/>
  <c r="L2110" i="1"/>
  <c r="M2110" i="1" s="1"/>
  <c r="N2110" i="1" s="1"/>
  <c r="L2111" i="1"/>
  <c r="M2111" i="1" s="1"/>
  <c r="N2111" i="1" s="1"/>
  <c r="L2112" i="1"/>
  <c r="M2112" i="1" s="1"/>
  <c r="N2112" i="1" s="1"/>
  <c r="L2113" i="1"/>
  <c r="M2113" i="1" s="1"/>
  <c r="N2113" i="1" s="1"/>
  <c r="L2114" i="1"/>
  <c r="M2114" i="1" s="1"/>
  <c r="N2114" i="1" s="1"/>
  <c r="L2115" i="1"/>
  <c r="M2115" i="1" s="1"/>
  <c r="N2115" i="1" s="1"/>
  <c r="L2116" i="1"/>
  <c r="M2116" i="1" s="1"/>
  <c r="N2116" i="1" s="1"/>
  <c r="L2117" i="1"/>
  <c r="M2117" i="1" s="1"/>
  <c r="N2117" i="1" s="1"/>
  <c r="L2118" i="1"/>
  <c r="M2118" i="1" s="1"/>
  <c r="N2118" i="1" s="1"/>
  <c r="L2119" i="1"/>
  <c r="M2119" i="1" s="1"/>
  <c r="N2119" i="1" s="1"/>
  <c r="L2120" i="1"/>
  <c r="M2120" i="1" s="1"/>
  <c r="N2120" i="1" s="1"/>
  <c r="L2121" i="1"/>
  <c r="M2121" i="1" s="1"/>
  <c r="N2121" i="1" s="1"/>
  <c r="L2122" i="1"/>
  <c r="M2122" i="1" s="1"/>
  <c r="N2122" i="1" s="1"/>
  <c r="L2123" i="1"/>
  <c r="M2123" i="1" s="1"/>
  <c r="N2123" i="1" s="1"/>
  <c r="L2124" i="1"/>
  <c r="M2124" i="1" s="1"/>
  <c r="N2124" i="1" s="1"/>
  <c r="L2125" i="1"/>
  <c r="M2125" i="1" s="1"/>
  <c r="N2125" i="1" s="1"/>
  <c r="L2126" i="1"/>
  <c r="M2126" i="1" s="1"/>
  <c r="N2126" i="1" s="1"/>
  <c r="L2127" i="1"/>
  <c r="M2127" i="1" s="1"/>
  <c r="N2127" i="1" s="1"/>
  <c r="L2128" i="1"/>
  <c r="M2128" i="1" s="1"/>
  <c r="N2128" i="1" s="1"/>
  <c r="L2129" i="1"/>
  <c r="M2129" i="1" s="1"/>
  <c r="N2129" i="1" s="1"/>
  <c r="L2130" i="1"/>
  <c r="M2130" i="1" s="1"/>
  <c r="N2130" i="1" s="1"/>
  <c r="L2131" i="1"/>
  <c r="M2131" i="1" s="1"/>
  <c r="N2131" i="1" s="1"/>
  <c r="L2132" i="1"/>
  <c r="M2132" i="1" s="1"/>
  <c r="N2132" i="1" s="1"/>
  <c r="L2133" i="1"/>
  <c r="M2133" i="1" s="1"/>
  <c r="N2133" i="1" s="1"/>
  <c r="L2134" i="1"/>
  <c r="M2134" i="1" s="1"/>
  <c r="N2134" i="1" s="1"/>
  <c r="L2135" i="1"/>
  <c r="M2135" i="1" s="1"/>
  <c r="N2135" i="1" s="1"/>
  <c r="L2136" i="1"/>
  <c r="M2136" i="1" s="1"/>
  <c r="N2136" i="1" s="1"/>
  <c r="L2137" i="1"/>
  <c r="M2137" i="1" s="1"/>
  <c r="N2137" i="1" s="1"/>
  <c r="L2138" i="1"/>
  <c r="M2138" i="1" s="1"/>
  <c r="N2138" i="1" s="1"/>
  <c r="L2139" i="1"/>
  <c r="M2139" i="1" s="1"/>
  <c r="N2139" i="1" s="1"/>
  <c r="L2140" i="1"/>
  <c r="M2140" i="1" s="1"/>
  <c r="N2140" i="1" s="1"/>
  <c r="L2141" i="1"/>
  <c r="M2141" i="1" s="1"/>
  <c r="N2141" i="1" s="1"/>
  <c r="L2142" i="1"/>
  <c r="M2142" i="1" s="1"/>
  <c r="N2142" i="1" s="1"/>
  <c r="L2143" i="1"/>
  <c r="M2143" i="1" s="1"/>
  <c r="N2143" i="1" s="1"/>
  <c r="L2144" i="1"/>
  <c r="M2144" i="1" s="1"/>
  <c r="N2144" i="1" s="1"/>
  <c r="L2145" i="1"/>
  <c r="M2145" i="1" s="1"/>
  <c r="N2145" i="1" s="1"/>
  <c r="L2146" i="1"/>
  <c r="M2146" i="1" s="1"/>
  <c r="N2146" i="1" s="1"/>
  <c r="L2147" i="1"/>
  <c r="M2147" i="1" s="1"/>
  <c r="N2147" i="1" s="1"/>
  <c r="L2148" i="1"/>
  <c r="M2148" i="1" s="1"/>
  <c r="N2148" i="1" s="1"/>
  <c r="L2149" i="1"/>
  <c r="M2149" i="1" s="1"/>
  <c r="N2149" i="1" s="1"/>
  <c r="L2150" i="1"/>
  <c r="M2150" i="1" s="1"/>
  <c r="N2150" i="1" s="1"/>
  <c r="L2151" i="1"/>
  <c r="M2151" i="1" s="1"/>
  <c r="N2151" i="1" s="1"/>
  <c r="L2152" i="1"/>
  <c r="M2152" i="1" s="1"/>
  <c r="N2152" i="1" s="1"/>
  <c r="L2153" i="1"/>
  <c r="M2153" i="1" s="1"/>
  <c r="N2153" i="1" s="1"/>
  <c r="L2154" i="1"/>
  <c r="M2154" i="1" s="1"/>
  <c r="N2154" i="1" s="1"/>
  <c r="L2155" i="1"/>
  <c r="M2155" i="1" s="1"/>
  <c r="N2155" i="1" s="1"/>
  <c r="L2156" i="1"/>
  <c r="M2156" i="1" s="1"/>
  <c r="N2156" i="1" s="1"/>
  <c r="L2157" i="1"/>
  <c r="M2157" i="1" s="1"/>
  <c r="N2157" i="1" s="1"/>
  <c r="L2158" i="1"/>
  <c r="M2158" i="1" s="1"/>
  <c r="N2158" i="1" s="1"/>
  <c r="L2159" i="1"/>
  <c r="M2159" i="1" s="1"/>
  <c r="N2159" i="1" s="1"/>
  <c r="L2160" i="1"/>
  <c r="M2160" i="1" s="1"/>
  <c r="N2160" i="1" s="1"/>
  <c r="L2161" i="1"/>
  <c r="M2161" i="1" s="1"/>
  <c r="N2161" i="1" s="1"/>
  <c r="L2162" i="1"/>
  <c r="M2162" i="1" s="1"/>
  <c r="N2162" i="1" s="1"/>
  <c r="L2163" i="1"/>
  <c r="M2163" i="1" s="1"/>
  <c r="N2163" i="1" s="1"/>
  <c r="L2164" i="1"/>
  <c r="M2164" i="1" s="1"/>
  <c r="N2164" i="1" s="1"/>
  <c r="L2165" i="1"/>
  <c r="M2165" i="1" s="1"/>
  <c r="N2165" i="1" s="1"/>
  <c r="L2166" i="1"/>
  <c r="M2166" i="1" s="1"/>
  <c r="N2166" i="1" s="1"/>
  <c r="L2167" i="1"/>
  <c r="M2167" i="1" s="1"/>
  <c r="N2167" i="1" s="1"/>
  <c r="L2168" i="1"/>
  <c r="M2168" i="1" s="1"/>
  <c r="N2168" i="1" s="1"/>
  <c r="L2169" i="1"/>
  <c r="M2169" i="1" s="1"/>
  <c r="N2169" i="1" s="1"/>
  <c r="L2170" i="1"/>
  <c r="M2170" i="1" s="1"/>
  <c r="N2170" i="1" s="1"/>
  <c r="L2171" i="1"/>
  <c r="M2171" i="1" s="1"/>
  <c r="N2171" i="1" s="1"/>
  <c r="L2172" i="1"/>
  <c r="M2172" i="1" s="1"/>
  <c r="N2172" i="1" s="1"/>
  <c r="L2173" i="1"/>
  <c r="M2173" i="1" s="1"/>
  <c r="N2173" i="1" s="1"/>
  <c r="L2174" i="1"/>
  <c r="M2174" i="1" s="1"/>
  <c r="N2174" i="1" s="1"/>
  <c r="L2175" i="1"/>
  <c r="M2175" i="1" s="1"/>
  <c r="N2175" i="1" s="1"/>
  <c r="L2176" i="1"/>
  <c r="M2176" i="1" s="1"/>
  <c r="N2176" i="1" s="1"/>
  <c r="L2177" i="1"/>
  <c r="M2177" i="1" s="1"/>
  <c r="N2177" i="1" s="1"/>
  <c r="L2178" i="1"/>
  <c r="M2178" i="1" s="1"/>
  <c r="N2178" i="1" s="1"/>
  <c r="L2179" i="1"/>
  <c r="M2179" i="1" s="1"/>
  <c r="N2179" i="1" s="1"/>
  <c r="L2180" i="1"/>
  <c r="M2180" i="1" s="1"/>
  <c r="N2180" i="1" s="1"/>
  <c r="L2181" i="1"/>
  <c r="M2181" i="1" s="1"/>
  <c r="N2181" i="1" s="1"/>
  <c r="L2182" i="1"/>
  <c r="M2182" i="1" s="1"/>
  <c r="N2182" i="1" s="1"/>
  <c r="L2183" i="1"/>
  <c r="M2183" i="1" s="1"/>
  <c r="N2183" i="1" s="1"/>
  <c r="L2184" i="1"/>
  <c r="M2184" i="1" s="1"/>
  <c r="N2184" i="1" s="1"/>
  <c r="L2185" i="1"/>
  <c r="M2185" i="1" s="1"/>
  <c r="N2185" i="1" s="1"/>
  <c r="L2186" i="1"/>
  <c r="M2186" i="1" s="1"/>
  <c r="N2186" i="1" s="1"/>
  <c r="L2187" i="1"/>
  <c r="M2187" i="1" s="1"/>
  <c r="N2187" i="1" s="1"/>
  <c r="L2188" i="1"/>
  <c r="M2188" i="1" s="1"/>
  <c r="N2188" i="1" s="1"/>
  <c r="L2189" i="1"/>
  <c r="M2189" i="1" s="1"/>
  <c r="N2189" i="1" s="1"/>
  <c r="L2190" i="1"/>
  <c r="M2190" i="1" s="1"/>
  <c r="N2190" i="1" s="1"/>
  <c r="L2191" i="1"/>
  <c r="M2191" i="1" s="1"/>
  <c r="N2191" i="1" s="1"/>
  <c r="L2192" i="1"/>
  <c r="M2192" i="1" s="1"/>
  <c r="N2192" i="1" s="1"/>
  <c r="L2193" i="1"/>
  <c r="M2193" i="1" s="1"/>
  <c r="N2193" i="1" s="1"/>
  <c r="L2194" i="1"/>
  <c r="M2194" i="1" s="1"/>
  <c r="N2194" i="1" s="1"/>
  <c r="L2195" i="1"/>
  <c r="M2195" i="1" s="1"/>
  <c r="N2195" i="1" s="1"/>
  <c r="L2196" i="1"/>
  <c r="M2196" i="1" s="1"/>
  <c r="N2196" i="1" s="1"/>
  <c r="L2197" i="1"/>
  <c r="M2197" i="1" s="1"/>
  <c r="N2197" i="1" s="1"/>
  <c r="L2198" i="1"/>
  <c r="M2198" i="1" s="1"/>
  <c r="N2198" i="1" s="1"/>
  <c r="L2199" i="1"/>
  <c r="M2199" i="1" s="1"/>
  <c r="N2199" i="1" s="1"/>
  <c r="L2200" i="1"/>
  <c r="M2200" i="1" s="1"/>
  <c r="N2200" i="1" s="1"/>
  <c r="L2201" i="1"/>
  <c r="M2201" i="1" s="1"/>
  <c r="N2201" i="1" s="1"/>
  <c r="L2202" i="1"/>
  <c r="M2202" i="1" s="1"/>
  <c r="N2202" i="1" s="1"/>
  <c r="L2203" i="1"/>
  <c r="M2203" i="1" s="1"/>
  <c r="N2203" i="1" s="1"/>
  <c r="L2204" i="1"/>
  <c r="M2204" i="1" s="1"/>
  <c r="N2204" i="1" s="1"/>
  <c r="L2205" i="1"/>
  <c r="M2205" i="1" s="1"/>
  <c r="N2205" i="1" s="1"/>
  <c r="L2206" i="1"/>
  <c r="M2206" i="1" s="1"/>
  <c r="N2206" i="1" s="1"/>
  <c r="L2207" i="1"/>
  <c r="M2207" i="1" s="1"/>
  <c r="N2207" i="1" s="1"/>
  <c r="L2208" i="1"/>
  <c r="M2208" i="1" s="1"/>
  <c r="N2208" i="1" s="1"/>
  <c r="L2209" i="1"/>
  <c r="M2209" i="1" s="1"/>
  <c r="N2209" i="1" s="1"/>
  <c r="L2210" i="1"/>
  <c r="M2210" i="1" s="1"/>
  <c r="N2210" i="1" s="1"/>
  <c r="L2211" i="1"/>
  <c r="M2211" i="1" s="1"/>
  <c r="N2211" i="1" s="1"/>
  <c r="L2212" i="1"/>
  <c r="M2212" i="1" s="1"/>
  <c r="N2212" i="1" s="1"/>
  <c r="L2213" i="1"/>
  <c r="M2213" i="1" s="1"/>
  <c r="N2213" i="1" s="1"/>
  <c r="L2214" i="1"/>
  <c r="M2214" i="1" s="1"/>
  <c r="N2214" i="1" s="1"/>
  <c r="L2215" i="1"/>
  <c r="M2215" i="1" s="1"/>
  <c r="N2215" i="1" s="1"/>
  <c r="L2216" i="1"/>
  <c r="M2216" i="1" s="1"/>
  <c r="N2216" i="1" s="1"/>
  <c r="L2217" i="1"/>
  <c r="M2217" i="1" s="1"/>
  <c r="N2217" i="1" s="1"/>
  <c r="L2218" i="1"/>
  <c r="M2218" i="1" s="1"/>
  <c r="N2218" i="1" s="1"/>
  <c r="L2219" i="1"/>
  <c r="M2219" i="1" s="1"/>
  <c r="N2219" i="1" s="1"/>
  <c r="L2220" i="1"/>
  <c r="M2220" i="1" s="1"/>
  <c r="N2220" i="1" s="1"/>
  <c r="L2221" i="1"/>
  <c r="M2221" i="1" s="1"/>
  <c r="N2221" i="1" s="1"/>
  <c r="L2222" i="1"/>
  <c r="M2222" i="1" s="1"/>
  <c r="N2222" i="1" s="1"/>
  <c r="L2223" i="1"/>
  <c r="M2223" i="1" s="1"/>
  <c r="N2223" i="1" s="1"/>
  <c r="L2224" i="1"/>
  <c r="M2224" i="1" s="1"/>
  <c r="N2224" i="1" s="1"/>
  <c r="L2225" i="1"/>
  <c r="M2225" i="1" s="1"/>
  <c r="N2225" i="1" s="1"/>
  <c r="L2226" i="1"/>
  <c r="M2226" i="1" s="1"/>
  <c r="N2226" i="1" s="1"/>
  <c r="L2227" i="1"/>
  <c r="M2227" i="1" s="1"/>
  <c r="N2227" i="1" s="1"/>
  <c r="L2228" i="1"/>
  <c r="M2228" i="1" s="1"/>
  <c r="N2228" i="1" s="1"/>
  <c r="L2229" i="1"/>
  <c r="M2229" i="1" s="1"/>
  <c r="N2229" i="1" s="1"/>
  <c r="L2230" i="1"/>
  <c r="M2230" i="1" s="1"/>
  <c r="N2230" i="1" s="1"/>
  <c r="L2231" i="1"/>
  <c r="M2231" i="1" s="1"/>
  <c r="N2231" i="1" s="1"/>
  <c r="L2232" i="1"/>
  <c r="M2232" i="1" s="1"/>
  <c r="N2232" i="1" s="1"/>
  <c r="L2233" i="1"/>
  <c r="M2233" i="1" s="1"/>
  <c r="N2233" i="1" s="1"/>
  <c r="L2234" i="1"/>
  <c r="M2234" i="1" s="1"/>
  <c r="N2234" i="1" s="1"/>
  <c r="L2235" i="1"/>
  <c r="M2235" i="1" s="1"/>
  <c r="N2235" i="1" s="1"/>
  <c r="L2236" i="1"/>
  <c r="M2236" i="1" s="1"/>
  <c r="N2236" i="1" s="1"/>
  <c r="L2237" i="1"/>
  <c r="M2237" i="1" s="1"/>
  <c r="N2237" i="1" s="1"/>
  <c r="L2238" i="1"/>
  <c r="M2238" i="1" s="1"/>
  <c r="N2238" i="1" s="1"/>
  <c r="L2239" i="1"/>
  <c r="M2239" i="1" s="1"/>
  <c r="N2239" i="1" s="1"/>
  <c r="L2240" i="1"/>
  <c r="M2240" i="1" s="1"/>
  <c r="N2240" i="1" s="1"/>
  <c r="L2241" i="1"/>
  <c r="M2241" i="1" s="1"/>
  <c r="N2241" i="1" s="1"/>
  <c r="L2242" i="1"/>
  <c r="M2242" i="1" s="1"/>
  <c r="N2242" i="1" s="1"/>
  <c r="L2243" i="1"/>
  <c r="M2243" i="1" s="1"/>
  <c r="N2243" i="1" s="1"/>
  <c r="L2244" i="1"/>
  <c r="M2244" i="1" s="1"/>
  <c r="N2244" i="1" s="1"/>
  <c r="L2245" i="1"/>
  <c r="M2245" i="1" s="1"/>
  <c r="N2245" i="1" s="1"/>
  <c r="L2246" i="1"/>
  <c r="M2246" i="1" s="1"/>
  <c r="N2246" i="1" s="1"/>
  <c r="L2247" i="1"/>
  <c r="M2247" i="1" s="1"/>
  <c r="N2247" i="1" s="1"/>
  <c r="L2248" i="1"/>
  <c r="M2248" i="1" s="1"/>
  <c r="N2248" i="1" s="1"/>
  <c r="L2249" i="1"/>
  <c r="M2249" i="1" s="1"/>
  <c r="N2249" i="1" s="1"/>
  <c r="L2250" i="1"/>
  <c r="M2250" i="1" s="1"/>
  <c r="N2250" i="1" s="1"/>
  <c r="L2251" i="1"/>
  <c r="M2251" i="1" s="1"/>
  <c r="N2251" i="1" s="1"/>
  <c r="L2252" i="1"/>
  <c r="M2252" i="1" s="1"/>
  <c r="N2252" i="1" s="1"/>
  <c r="L2253" i="1"/>
  <c r="M2253" i="1" s="1"/>
  <c r="N2253" i="1" s="1"/>
  <c r="L2254" i="1"/>
  <c r="M2254" i="1" s="1"/>
  <c r="N2254" i="1" s="1"/>
  <c r="L2255" i="1"/>
  <c r="M2255" i="1" s="1"/>
  <c r="N2255" i="1" s="1"/>
  <c r="L2256" i="1"/>
  <c r="M2256" i="1" s="1"/>
  <c r="N2256" i="1" s="1"/>
  <c r="L2257" i="1"/>
  <c r="M2257" i="1" s="1"/>
  <c r="N2257" i="1" s="1"/>
  <c r="L2258" i="1"/>
  <c r="M2258" i="1" s="1"/>
  <c r="N2258" i="1" s="1"/>
  <c r="L2259" i="1"/>
  <c r="M2259" i="1" s="1"/>
  <c r="N2259" i="1" s="1"/>
  <c r="L2260" i="1"/>
  <c r="M2260" i="1" s="1"/>
  <c r="N2260" i="1" s="1"/>
  <c r="L2261" i="1"/>
  <c r="M2261" i="1" s="1"/>
  <c r="N2261" i="1" s="1"/>
  <c r="L2262" i="1"/>
  <c r="M2262" i="1" s="1"/>
  <c r="N2262" i="1" s="1"/>
  <c r="L2263" i="1"/>
  <c r="M2263" i="1" s="1"/>
  <c r="N2263" i="1" s="1"/>
  <c r="L2264" i="1"/>
  <c r="M2264" i="1" s="1"/>
  <c r="N2264" i="1" s="1"/>
  <c r="L2265" i="1"/>
  <c r="M2265" i="1" s="1"/>
  <c r="N2265" i="1" s="1"/>
  <c r="L2266" i="1"/>
  <c r="M2266" i="1" s="1"/>
  <c r="N2266" i="1" s="1"/>
  <c r="L2267" i="1"/>
  <c r="M2267" i="1" s="1"/>
  <c r="N2267" i="1" s="1"/>
  <c r="L2268" i="1"/>
  <c r="M2268" i="1" s="1"/>
  <c r="N2268" i="1" s="1"/>
  <c r="L2269" i="1"/>
  <c r="M2269" i="1" s="1"/>
  <c r="N2269" i="1" s="1"/>
  <c r="L2270" i="1"/>
  <c r="M2270" i="1" s="1"/>
  <c r="N2270" i="1" s="1"/>
  <c r="L2271" i="1"/>
  <c r="M2271" i="1" s="1"/>
  <c r="N2271" i="1" s="1"/>
  <c r="L2272" i="1"/>
  <c r="M2272" i="1" s="1"/>
  <c r="N2272" i="1" s="1"/>
  <c r="L2273" i="1"/>
  <c r="M2273" i="1" s="1"/>
  <c r="N2273" i="1" s="1"/>
  <c r="L2274" i="1"/>
  <c r="M2274" i="1" s="1"/>
  <c r="N2274" i="1" s="1"/>
  <c r="L2275" i="1"/>
  <c r="M2275" i="1" s="1"/>
  <c r="N2275" i="1" s="1"/>
  <c r="L2276" i="1"/>
  <c r="M2276" i="1" s="1"/>
  <c r="N2276" i="1" s="1"/>
  <c r="L2277" i="1"/>
  <c r="M2277" i="1" s="1"/>
  <c r="N2277" i="1" s="1"/>
  <c r="L2278" i="1"/>
  <c r="M2278" i="1" s="1"/>
  <c r="N2278" i="1" s="1"/>
  <c r="L2279" i="1"/>
  <c r="M2279" i="1" s="1"/>
  <c r="N2279" i="1" s="1"/>
  <c r="L2280" i="1"/>
  <c r="M2280" i="1" s="1"/>
  <c r="N2280" i="1" s="1"/>
  <c r="L2281" i="1"/>
  <c r="M2281" i="1" s="1"/>
  <c r="N2281" i="1" s="1"/>
  <c r="L2282" i="1"/>
  <c r="M2282" i="1" s="1"/>
  <c r="N2282" i="1" s="1"/>
  <c r="L2283" i="1"/>
  <c r="M2283" i="1" s="1"/>
  <c r="N2283" i="1" s="1"/>
  <c r="L2284" i="1"/>
  <c r="M2284" i="1" s="1"/>
  <c r="N2284" i="1" s="1"/>
  <c r="L2285" i="1"/>
  <c r="M2285" i="1" s="1"/>
  <c r="N2285" i="1" s="1"/>
  <c r="L2286" i="1"/>
  <c r="M2286" i="1" s="1"/>
  <c r="N2286" i="1" s="1"/>
  <c r="L2287" i="1"/>
  <c r="M2287" i="1" s="1"/>
  <c r="N2287" i="1" s="1"/>
  <c r="L2288" i="1"/>
  <c r="M2288" i="1" s="1"/>
  <c r="N2288" i="1" s="1"/>
  <c r="L2289" i="1"/>
  <c r="M2289" i="1" s="1"/>
  <c r="N2289" i="1" s="1"/>
  <c r="L2290" i="1"/>
  <c r="M2290" i="1" s="1"/>
  <c r="N2290" i="1" s="1"/>
  <c r="L2291" i="1"/>
  <c r="M2291" i="1" s="1"/>
  <c r="N2291" i="1" s="1"/>
  <c r="L2292" i="1"/>
  <c r="M2292" i="1" s="1"/>
  <c r="N2292" i="1" s="1"/>
  <c r="L2293" i="1"/>
  <c r="M2293" i="1" s="1"/>
  <c r="N2293" i="1" s="1"/>
  <c r="L2294" i="1"/>
  <c r="M2294" i="1" s="1"/>
  <c r="N2294" i="1" s="1"/>
  <c r="L2295" i="1"/>
  <c r="M2295" i="1" s="1"/>
  <c r="N2295" i="1" s="1"/>
  <c r="L2296" i="1"/>
  <c r="M2296" i="1" s="1"/>
  <c r="N2296" i="1" s="1"/>
  <c r="L2297" i="1"/>
  <c r="M2297" i="1" s="1"/>
  <c r="N2297" i="1" s="1"/>
  <c r="L2298" i="1"/>
  <c r="M2298" i="1" s="1"/>
  <c r="N2298" i="1" s="1"/>
  <c r="L2299" i="1"/>
  <c r="M2299" i="1" s="1"/>
  <c r="N2299" i="1" s="1"/>
  <c r="L2300" i="1"/>
  <c r="M2300" i="1" s="1"/>
  <c r="N2300" i="1" s="1"/>
  <c r="L2301" i="1"/>
  <c r="M2301" i="1" s="1"/>
  <c r="N2301" i="1" s="1"/>
  <c r="L2302" i="1"/>
  <c r="M2302" i="1" s="1"/>
  <c r="N2302" i="1" s="1"/>
  <c r="L2303" i="1"/>
  <c r="M2303" i="1" s="1"/>
  <c r="N2303" i="1" s="1"/>
  <c r="L2304" i="1"/>
  <c r="M2304" i="1" s="1"/>
  <c r="N2304" i="1" s="1"/>
  <c r="L2305" i="1"/>
  <c r="M2305" i="1" s="1"/>
  <c r="N2305" i="1" s="1"/>
  <c r="L2306" i="1"/>
  <c r="M2306" i="1" s="1"/>
  <c r="N2306" i="1" s="1"/>
  <c r="L2307" i="1"/>
  <c r="M2307" i="1" s="1"/>
  <c r="N2307" i="1" s="1"/>
  <c r="L2308" i="1"/>
  <c r="M2308" i="1" s="1"/>
  <c r="N2308" i="1" s="1"/>
  <c r="L2309" i="1"/>
  <c r="M2309" i="1" s="1"/>
  <c r="N2309" i="1" s="1"/>
  <c r="L2310" i="1"/>
  <c r="M2310" i="1" s="1"/>
  <c r="N2310" i="1" s="1"/>
  <c r="L2311" i="1"/>
  <c r="M2311" i="1" s="1"/>
  <c r="N2311" i="1" s="1"/>
  <c r="L2312" i="1"/>
  <c r="M2312" i="1" s="1"/>
  <c r="N2312" i="1" s="1"/>
  <c r="L2313" i="1"/>
  <c r="M2313" i="1" s="1"/>
  <c r="N2313" i="1" s="1"/>
  <c r="L2314" i="1"/>
  <c r="M2314" i="1" s="1"/>
  <c r="N2314" i="1" s="1"/>
  <c r="L2315" i="1"/>
  <c r="M2315" i="1" s="1"/>
  <c r="N2315" i="1" s="1"/>
  <c r="L2316" i="1"/>
  <c r="M2316" i="1" s="1"/>
  <c r="N2316" i="1" s="1"/>
  <c r="L2317" i="1"/>
  <c r="M2317" i="1" s="1"/>
  <c r="N2317" i="1" s="1"/>
  <c r="L2318" i="1"/>
  <c r="M2318" i="1" s="1"/>
  <c r="N2318" i="1" s="1"/>
  <c r="L2319" i="1"/>
  <c r="M2319" i="1" s="1"/>
  <c r="N2319" i="1" s="1"/>
  <c r="L2320" i="1"/>
  <c r="M2320" i="1" s="1"/>
  <c r="N2320" i="1" s="1"/>
  <c r="L2321" i="1"/>
  <c r="M2321" i="1" s="1"/>
  <c r="N2321" i="1" s="1"/>
  <c r="L2322" i="1"/>
  <c r="M2322" i="1" s="1"/>
  <c r="N2322" i="1" s="1"/>
  <c r="L2323" i="1"/>
  <c r="M2323" i="1" s="1"/>
  <c r="N2323" i="1" s="1"/>
  <c r="L2324" i="1"/>
  <c r="M2324" i="1" s="1"/>
  <c r="N2324" i="1" s="1"/>
  <c r="L2325" i="1"/>
  <c r="M2325" i="1" s="1"/>
  <c r="N2325" i="1" s="1"/>
  <c r="L2326" i="1"/>
  <c r="M2326" i="1" s="1"/>
  <c r="N2326" i="1" s="1"/>
  <c r="L2327" i="1"/>
  <c r="M2327" i="1" s="1"/>
  <c r="N2327" i="1" s="1"/>
  <c r="L2328" i="1"/>
  <c r="M2328" i="1" s="1"/>
  <c r="N2328" i="1" s="1"/>
  <c r="L2329" i="1"/>
  <c r="M2329" i="1" s="1"/>
  <c r="N2329" i="1" s="1"/>
  <c r="L2330" i="1"/>
  <c r="M2330" i="1" s="1"/>
  <c r="N2330" i="1" s="1"/>
  <c r="L2331" i="1"/>
  <c r="M2331" i="1" s="1"/>
  <c r="N2331" i="1" s="1"/>
  <c r="L2332" i="1"/>
  <c r="M2332" i="1" s="1"/>
  <c r="N2332" i="1" s="1"/>
  <c r="L2333" i="1"/>
  <c r="M2333" i="1" s="1"/>
  <c r="N2333" i="1" s="1"/>
  <c r="L2334" i="1"/>
  <c r="M2334" i="1" s="1"/>
  <c r="N2334" i="1" s="1"/>
  <c r="L2335" i="1"/>
  <c r="M2335" i="1" s="1"/>
  <c r="N2335" i="1" s="1"/>
  <c r="L2336" i="1"/>
  <c r="M2336" i="1" s="1"/>
  <c r="N2336" i="1" s="1"/>
  <c r="L2337" i="1"/>
  <c r="M2337" i="1" s="1"/>
  <c r="N2337" i="1" s="1"/>
  <c r="L2338" i="1"/>
  <c r="M2338" i="1" s="1"/>
  <c r="N2338" i="1" s="1"/>
  <c r="L2339" i="1"/>
  <c r="M2339" i="1" s="1"/>
  <c r="N2339" i="1" s="1"/>
  <c r="L2340" i="1"/>
  <c r="M2340" i="1" s="1"/>
  <c r="N2340" i="1" s="1"/>
  <c r="L2341" i="1"/>
  <c r="M2341" i="1" s="1"/>
  <c r="N2341" i="1" s="1"/>
  <c r="L2342" i="1"/>
  <c r="M2342" i="1" s="1"/>
  <c r="N2342" i="1" s="1"/>
  <c r="L2343" i="1"/>
  <c r="M2343" i="1" s="1"/>
  <c r="N2343" i="1" s="1"/>
  <c r="L2344" i="1"/>
  <c r="M2344" i="1" s="1"/>
  <c r="N2344" i="1" s="1"/>
  <c r="L2345" i="1"/>
  <c r="M2345" i="1" s="1"/>
  <c r="N2345" i="1" s="1"/>
  <c r="L2346" i="1"/>
  <c r="M2346" i="1" s="1"/>
  <c r="N2346" i="1" s="1"/>
  <c r="L2347" i="1"/>
  <c r="M2347" i="1" s="1"/>
  <c r="N2347" i="1" s="1"/>
  <c r="L2348" i="1"/>
  <c r="M2348" i="1" s="1"/>
  <c r="N2348" i="1" s="1"/>
  <c r="L2349" i="1"/>
  <c r="M2349" i="1" s="1"/>
  <c r="N2349" i="1" s="1"/>
  <c r="L2350" i="1"/>
  <c r="M2350" i="1" s="1"/>
  <c r="N2350" i="1" s="1"/>
  <c r="L2351" i="1"/>
  <c r="M2351" i="1" s="1"/>
  <c r="N2351" i="1" s="1"/>
  <c r="L2352" i="1"/>
  <c r="M2352" i="1" s="1"/>
  <c r="N2352" i="1" s="1"/>
  <c r="L2353" i="1"/>
  <c r="M2353" i="1" s="1"/>
  <c r="N2353" i="1" s="1"/>
  <c r="L2354" i="1"/>
  <c r="M2354" i="1" s="1"/>
  <c r="N2354" i="1" s="1"/>
  <c r="L2355" i="1"/>
  <c r="M2355" i="1" s="1"/>
  <c r="N2355" i="1" s="1"/>
  <c r="L2356" i="1"/>
  <c r="M2356" i="1" s="1"/>
  <c r="N2356" i="1" s="1"/>
  <c r="L2357" i="1"/>
  <c r="M2357" i="1" s="1"/>
  <c r="N2357" i="1" s="1"/>
  <c r="L2358" i="1"/>
  <c r="M2358" i="1" s="1"/>
  <c r="N2358" i="1" s="1"/>
  <c r="L2359" i="1"/>
  <c r="M2359" i="1" s="1"/>
  <c r="N2359" i="1" s="1"/>
  <c r="L2360" i="1"/>
  <c r="M2360" i="1" s="1"/>
  <c r="N2360" i="1" s="1"/>
  <c r="L2361" i="1"/>
  <c r="M2361" i="1" s="1"/>
  <c r="N2361" i="1" s="1"/>
  <c r="L2362" i="1"/>
  <c r="M2362" i="1" s="1"/>
  <c r="N2362" i="1" s="1"/>
  <c r="L2363" i="1"/>
  <c r="M2363" i="1" s="1"/>
  <c r="N2363" i="1" s="1"/>
  <c r="L2364" i="1"/>
  <c r="M2364" i="1" s="1"/>
  <c r="N2364" i="1" s="1"/>
  <c r="L2365" i="1"/>
  <c r="M2365" i="1" s="1"/>
  <c r="N2365" i="1" s="1"/>
  <c r="L2366" i="1"/>
  <c r="M2366" i="1" s="1"/>
  <c r="N2366" i="1" s="1"/>
  <c r="L2367" i="1"/>
  <c r="M2367" i="1" s="1"/>
  <c r="N2367" i="1" s="1"/>
  <c r="L2368" i="1"/>
  <c r="M2368" i="1" s="1"/>
  <c r="N2368" i="1" s="1"/>
  <c r="L2369" i="1"/>
  <c r="M2369" i="1" s="1"/>
  <c r="N2369" i="1" s="1"/>
  <c r="L2370" i="1"/>
  <c r="M2370" i="1" s="1"/>
  <c r="N2370" i="1" s="1"/>
  <c r="L2371" i="1"/>
  <c r="M2371" i="1" s="1"/>
  <c r="N2371" i="1" s="1"/>
  <c r="L2372" i="1"/>
  <c r="M2372" i="1" s="1"/>
  <c r="N2372" i="1" s="1"/>
  <c r="L2373" i="1"/>
  <c r="M2373" i="1" s="1"/>
  <c r="N2373" i="1" s="1"/>
  <c r="L2374" i="1"/>
  <c r="M2374" i="1" s="1"/>
  <c r="N2374" i="1" s="1"/>
  <c r="L2375" i="1"/>
  <c r="M2375" i="1" s="1"/>
  <c r="N2375" i="1" s="1"/>
  <c r="L2376" i="1"/>
  <c r="M2376" i="1" s="1"/>
  <c r="N2376" i="1" s="1"/>
  <c r="L2377" i="1"/>
  <c r="M2377" i="1" s="1"/>
  <c r="N2377" i="1" s="1"/>
  <c r="L2378" i="1"/>
  <c r="M2378" i="1" s="1"/>
  <c r="N2378" i="1" s="1"/>
  <c r="L2379" i="1"/>
  <c r="M2379" i="1" s="1"/>
  <c r="N2379" i="1" s="1"/>
  <c r="L2380" i="1"/>
  <c r="M2380" i="1" s="1"/>
  <c r="N2380" i="1" s="1"/>
  <c r="L2381" i="1"/>
  <c r="M2381" i="1" s="1"/>
  <c r="N2381" i="1" s="1"/>
  <c r="L2382" i="1"/>
  <c r="M2382" i="1" s="1"/>
  <c r="N2382" i="1" s="1"/>
  <c r="L2383" i="1"/>
  <c r="M2383" i="1" s="1"/>
  <c r="N2383" i="1" s="1"/>
  <c r="L2384" i="1"/>
  <c r="M2384" i="1" s="1"/>
  <c r="N2384" i="1" s="1"/>
  <c r="L2385" i="1"/>
  <c r="M2385" i="1" s="1"/>
  <c r="N2385" i="1" s="1"/>
  <c r="L2386" i="1"/>
  <c r="M2386" i="1" s="1"/>
  <c r="N2386" i="1" s="1"/>
  <c r="L2387" i="1"/>
  <c r="M2387" i="1" s="1"/>
  <c r="N2387" i="1" s="1"/>
  <c r="L2388" i="1"/>
  <c r="M2388" i="1" s="1"/>
  <c r="N2388" i="1" s="1"/>
  <c r="L2389" i="1"/>
  <c r="M2389" i="1" s="1"/>
  <c r="N2389" i="1" s="1"/>
  <c r="L2390" i="1"/>
  <c r="M2390" i="1" s="1"/>
  <c r="N2390" i="1" s="1"/>
  <c r="L2391" i="1"/>
  <c r="M2391" i="1" s="1"/>
  <c r="N2391" i="1" s="1"/>
  <c r="L2392" i="1"/>
  <c r="M2392" i="1" s="1"/>
  <c r="N2392" i="1" s="1"/>
  <c r="L2393" i="1"/>
  <c r="M2393" i="1" s="1"/>
  <c r="N2393" i="1" s="1"/>
  <c r="L2394" i="1"/>
  <c r="M2394" i="1" s="1"/>
  <c r="N2394" i="1" s="1"/>
  <c r="L2395" i="1"/>
  <c r="M2395" i="1" s="1"/>
  <c r="N2395" i="1" s="1"/>
  <c r="L2396" i="1"/>
  <c r="M2396" i="1" s="1"/>
  <c r="N2396" i="1" s="1"/>
  <c r="L2397" i="1"/>
  <c r="M2397" i="1" s="1"/>
  <c r="N2397" i="1" s="1"/>
  <c r="L2398" i="1"/>
  <c r="M2398" i="1" s="1"/>
  <c r="N2398" i="1" s="1"/>
  <c r="L2399" i="1"/>
  <c r="M2399" i="1" s="1"/>
  <c r="N2399" i="1" s="1"/>
  <c r="L2400" i="1"/>
  <c r="M2400" i="1" s="1"/>
  <c r="N2400" i="1" s="1"/>
  <c r="L2401" i="1"/>
  <c r="M2401" i="1" s="1"/>
  <c r="N2401" i="1" s="1"/>
  <c r="L2402" i="1"/>
  <c r="M2402" i="1" s="1"/>
  <c r="N2402" i="1" s="1"/>
  <c r="L2403" i="1"/>
  <c r="M2403" i="1" s="1"/>
  <c r="N2403" i="1" s="1"/>
  <c r="L2404" i="1"/>
  <c r="M2404" i="1" s="1"/>
  <c r="N2404" i="1" s="1"/>
  <c r="L2405" i="1"/>
  <c r="M2405" i="1" s="1"/>
  <c r="N2405" i="1" s="1"/>
  <c r="L2406" i="1"/>
  <c r="M2406" i="1" s="1"/>
  <c r="N2406" i="1" s="1"/>
  <c r="L2407" i="1"/>
  <c r="M2407" i="1" s="1"/>
  <c r="N2407" i="1" s="1"/>
  <c r="L2408" i="1"/>
  <c r="M2408" i="1" s="1"/>
  <c r="N2408" i="1" s="1"/>
  <c r="L2409" i="1"/>
  <c r="M2409" i="1" s="1"/>
  <c r="N2409" i="1" s="1"/>
  <c r="L2410" i="1"/>
  <c r="M2410" i="1" s="1"/>
  <c r="N2410" i="1" s="1"/>
  <c r="L2411" i="1"/>
  <c r="M2411" i="1" s="1"/>
  <c r="N2411" i="1" s="1"/>
  <c r="L2412" i="1"/>
  <c r="M2412" i="1" s="1"/>
  <c r="N2412" i="1" s="1"/>
  <c r="L2413" i="1"/>
  <c r="M2413" i="1" s="1"/>
  <c r="N2413" i="1" s="1"/>
  <c r="L2414" i="1"/>
  <c r="M2414" i="1" s="1"/>
  <c r="N2414" i="1" s="1"/>
  <c r="L2415" i="1"/>
  <c r="M2415" i="1" s="1"/>
  <c r="N2415" i="1" s="1"/>
  <c r="L2416" i="1"/>
  <c r="M2416" i="1" s="1"/>
  <c r="N2416" i="1" s="1"/>
  <c r="L2417" i="1"/>
  <c r="M2417" i="1" s="1"/>
  <c r="N2417" i="1" s="1"/>
  <c r="L2418" i="1"/>
  <c r="M2418" i="1" s="1"/>
  <c r="N2418" i="1" s="1"/>
  <c r="L2419" i="1"/>
  <c r="M2419" i="1" s="1"/>
  <c r="N2419" i="1" s="1"/>
  <c r="L2420" i="1"/>
  <c r="M2420" i="1" s="1"/>
  <c r="N2420" i="1" s="1"/>
  <c r="L2421" i="1"/>
  <c r="M2421" i="1" s="1"/>
  <c r="N2421" i="1" s="1"/>
  <c r="L2422" i="1"/>
  <c r="M2422" i="1" s="1"/>
  <c r="N2422" i="1" s="1"/>
  <c r="L2423" i="1"/>
  <c r="M2423" i="1" s="1"/>
  <c r="N2423" i="1" s="1"/>
  <c r="L2424" i="1"/>
  <c r="M2424" i="1" s="1"/>
  <c r="N2424" i="1" s="1"/>
  <c r="L2425" i="1"/>
  <c r="M2425" i="1" s="1"/>
  <c r="N2425" i="1" s="1"/>
  <c r="L2426" i="1"/>
  <c r="M2426" i="1" s="1"/>
  <c r="N2426" i="1" s="1"/>
  <c r="L2427" i="1"/>
  <c r="M2427" i="1" s="1"/>
  <c r="N2427" i="1" s="1"/>
  <c r="L2428" i="1"/>
  <c r="M2428" i="1" s="1"/>
  <c r="N2428" i="1" s="1"/>
  <c r="L2429" i="1"/>
  <c r="M2429" i="1" s="1"/>
  <c r="N2429" i="1" s="1"/>
  <c r="L2430" i="1"/>
  <c r="M2430" i="1" s="1"/>
  <c r="N2430" i="1" s="1"/>
  <c r="L2431" i="1"/>
  <c r="M2431" i="1" s="1"/>
  <c r="N2431" i="1" s="1"/>
  <c r="L2432" i="1"/>
  <c r="M2432" i="1" s="1"/>
  <c r="N2432" i="1" s="1"/>
  <c r="L2433" i="1"/>
  <c r="M2433" i="1" s="1"/>
  <c r="N2433" i="1" s="1"/>
  <c r="L2434" i="1"/>
  <c r="M2434" i="1" s="1"/>
  <c r="N2434" i="1" s="1"/>
  <c r="L2435" i="1"/>
  <c r="M2435" i="1" s="1"/>
  <c r="N2435" i="1" s="1"/>
  <c r="L2436" i="1"/>
  <c r="M2436" i="1" s="1"/>
  <c r="N2436" i="1" s="1"/>
  <c r="L2437" i="1"/>
  <c r="M2437" i="1" s="1"/>
  <c r="N2437" i="1" s="1"/>
  <c r="L2438" i="1"/>
  <c r="M2438" i="1" s="1"/>
  <c r="N2438" i="1" s="1"/>
  <c r="L2439" i="1"/>
  <c r="M2439" i="1" s="1"/>
  <c r="N2439" i="1" s="1"/>
  <c r="L2440" i="1"/>
  <c r="M2440" i="1" s="1"/>
  <c r="N2440" i="1" s="1"/>
  <c r="L2441" i="1"/>
  <c r="M2441" i="1" s="1"/>
  <c r="N2441" i="1" s="1"/>
  <c r="L2442" i="1"/>
  <c r="M2442" i="1" s="1"/>
  <c r="N2442" i="1" s="1"/>
  <c r="L2443" i="1"/>
  <c r="M2443" i="1" s="1"/>
  <c r="N2443" i="1" s="1"/>
  <c r="L2444" i="1"/>
  <c r="M2444" i="1" s="1"/>
  <c r="N2444" i="1" s="1"/>
  <c r="L2445" i="1"/>
  <c r="M2445" i="1" s="1"/>
  <c r="N2445" i="1" s="1"/>
  <c r="L2446" i="1"/>
  <c r="M2446" i="1" s="1"/>
  <c r="N2446" i="1" s="1"/>
  <c r="L2447" i="1"/>
  <c r="M2447" i="1" s="1"/>
  <c r="N2447" i="1" s="1"/>
  <c r="L2448" i="1"/>
  <c r="M2448" i="1" s="1"/>
  <c r="N2448" i="1" s="1"/>
  <c r="L2449" i="1"/>
  <c r="M2449" i="1" s="1"/>
  <c r="N2449" i="1" s="1"/>
  <c r="L2450" i="1"/>
  <c r="M2450" i="1" s="1"/>
  <c r="N2450" i="1" s="1"/>
  <c r="L2451" i="1"/>
  <c r="M2451" i="1" s="1"/>
  <c r="N2451" i="1" s="1"/>
  <c r="L2452" i="1"/>
  <c r="M2452" i="1" s="1"/>
  <c r="N2452" i="1" s="1"/>
  <c r="L2453" i="1"/>
  <c r="M2453" i="1" s="1"/>
  <c r="N2453" i="1" s="1"/>
  <c r="L2454" i="1"/>
  <c r="M2454" i="1" s="1"/>
  <c r="N2454" i="1" s="1"/>
  <c r="L2455" i="1"/>
  <c r="M2455" i="1" s="1"/>
  <c r="N2455" i="1" s="1"/>
  <c r="L2456" i="1"/>
  <c r="M2456" i="1" s="1"/>
  <c r="N2456" i="1" s="1"/>
  <c r="L2457" i="1"/>
  <c r="M2457" i="1" s="1"/>
  <c r="N2457" i="1" s="1"/>
  <c r="L2458" i="1"/>
  <c r="M2458" i="1" s="1"/>
  <c r="N2458" i="1" s="1"/>
  <c r="L2459" i="1"/>
  <c r="M2459" i="1" s="1"/>
  <c r="N2459" i="1" s="1"/>
  <c r="L2460" i="1"/>
  <c r="M2460" i="1" s="1"/>
  <c r="N2460" i="1" s="1"/>
  <c r="L2461" i="1"/>
  <c r="M2461" i="1" s="1"/>
  <c r="N2461" i="1" s="1"/>
  <c r="L2462" i="1"/>
  <c r="M2462" i="1" s="1"/>
  <c r="N2462" i="1" s="1"/>
  <c r="L2463" i="1"/>
  <c r="M2463" i="1" s="1"/>
  <c r="N2463" i="1" s="1"/>
  <c r="L2464" i="1"/>
  <c r="M2464" i="1" s="1"/>
  <c r="N2464" i="1" s="1"/>
  <c r="L2465" i="1"/>
  <c r="M2465" i="1" s="1"/>
  <c r="N2465" i="1" s="1"/>
  <c r="L2466" i="1"/>
  <c r="M2466" i="1" s="1"/>
  <c r="N2466" i="1" s="1"/>
  <c r="L2467" i="1"/>
  <c r="M2467" i="1" s="1"/>
  <c r="N2467" i="1" s="1"/>
  <c r="L2468" i="1"/>
  <c r="M2468" i="1" s="1"/>
  <c r="N2468" i="1" s="1"/>
  <c r="L2469" i="1"/>
  <c r="M2469" i="1" s="1"/>
  <c r="N2469" i="1" s="1"/>
  <c r="L2470" i="1"/>
  <c r="M2470" i="1" s="1"/>
  <c r="N2470" i="1" s="1"/>
  <c r="L2471" i="1"/>
  <c r="M2471" i="1" s="1"/>
  <c r="N2471" i="1" s="1"/>
  <c r="L2472" i="1"/>
  <c r="M2472" i="1" s="1"/>
  <c r="N2472" i="1" s="1"/>
  <c r="L2473" i="1"/>
  <c r="M2473" i="1" s="1"/>
  <c r="N2473" i="1" s="1"/>
  <c r="L2474" i="1"/>
  <c r="M2474" i="1" s="1"/>
  <c r="N2474" i="1" s="1"/>
  <c r="L2475" i="1"/>
  <c r="M2475" i="1" s="1"/>
  <c r="N2475" i="1" s="1"/>
  <c r="L2476" i="1"/>
  <c r="M2476" i="1" s="1"/>
  <c r="N2476" i="1" s="1"/>
  <c r="L2477" i="1"/>
  <c r="M2477" i="1" s="1"/>
  <c r="N2477" i="1" s="1"/>
  <c r="L2478" i="1"/>
  <c r="M2478" i="1" s="1"/>
  <c r="N2478" i="1" s="1"/>
  <c r="L2479" i="1"/>
  <c r="M2479" i="1" s="1"/>
  <c r="N2479" i="1" s="1"/>
  <c r="L2480" i="1"/>
  <c r="M2480" i="1" s="1"/>
  <c r="N2480" i="1" s="1"/>
  <c r="L2481" i="1"/>
  <c r="M2481" i="1" s="1"/>
  <c r="N2481" i="1" s="1"/>
  <c r="L2482" i="1"/>
  <c r="M2482" i="1" s="1"/>
  <c r="N2482" i="1" s="1"/>
  <c r="L2483" i="1"/>
  <c r="M2483" i="1" s="1"/>
  <c r="N2483" i="1" s="1"/>
  <c r="L2484" i="1"/>
  <c r="M2484" i="1" s="1"/>
  <c r="N2484" i="1" s="1"/>
  <c r="L2485" i="1"/>
  <c r="M2485" i="1" s="1"/>
  <c r="N2485" i="1" s="1"/>
  <c r="L2486" i="1"/>
  <c r="M2486" i="1" s="1"/>
  <c r="N2486" i="1" s="1"/>
  <c r="L2487" i="1"/>
  <c r="M2487" i="1" s="1"/>
  <c r="N2487" i="1" s="1"/>
  <c r="L2488" i="1"/>
  <c r="M2488" i="1" s="1"/>
  <c r="N2488" i="1" s="1"/>
  <c r="L2489" i="1"/>
  <c r="M2489" i="1" s="1"/>
  <c r="N2489" i="1" s="1"/>
  <c r="L2490" i="1"/>
  <c r="M2490" i="1" s="1"/>
  <c r="N2490" i="1" s="1"/>
  <c r="L2491" i="1"/>
  <c r="M2491" i="1" s="1"/>
  <c r="N2491" i="1" s="1"/>
  <c r="L2492" i="1"/>
  <c r="M2492" i="1" s="1"/>
  <c r="N2492" i="1" s="1"/>
  <c r="L2493" i="1"/>
  <c r="M2493" i="1" s="1"/>
  <c r="N2493" i="1" s="1"/>
  <c r="L2494" i="1"/>
  <c r="M2494" i="1" s="1"/>
  <c r="N2494" i="1" s="1"/>
  <c r="L2495" i="1"/>
  <c r="M2495" i="1" s="1"/>
  <c r="N2495" i="1" s="1"/>
  <c r="L2496" i="1"/>
  <c r="M2496" i="1" s="1"/>
  <c r="N2496" i="1" s="1"/>
  <c r="L2497" i="1"/>
  <c r="M2497" i="1" s="1"/>
  <c r="N2497" i="1" s="1"/>
  <c r="L2498" i="1"/>
  <c r="M2498" i="1" s="1"/>
  <c r="N2498" i="1" s="1"/>
  <c r="L2499" i="1"/>
  <c r="M2499" i="1" s="1"/>
  <c r="N2499" i="1" s="1"/>
  <c r="L2500" i="1"/>
  <c r="M2500" i="1" s="1"/>
  <c r="N2500" i="1" s="1"/>
  <c r="L2501" i="1"/>
  <c r="M2501" i="1" s="1"/>
  <c r="N2501" i="1" s="1"/>
  <c r="L2502" i="1"/>
  <c r="M2502" i="1" s="1"/>
  <c r="N2502" i="1" s="1"/>
  <c r="L2503" i="1"/>
  <c r="M2503" i="1" s="1"/>
  <c r="N2503" i="1" s="1"/>
  <c r="L2504" i="1"/>
  <c r="M2504" i="1" s="1"/>
  <c r="N2504" i="1" s="1"/>
  <c r="L2505" i="1"/>
  <c r="M2505" i="1" s="1"/>
  <c r="N2505" i="1" s="1"/>
  <c r="L2506" i="1"/>
  <c r="M2506" i="1" s="1"/>
  <c r="N2506" i="1" s="1"/>
  <c r="L2507" i="1"/>
  <c r="M2507" i="1" s="1"/>
  <c r="N2507" i="1" s="1"/>
  <c r="L2508" i="1"/>
  <c r="M2508" i="1" s="1"/>
  <c r="N2508" i="1" s="1"/>
  <c r="L2509" i="1"/>
  <c r="M2509" i="1" s="1"/>
  <c r="N2509" i="1" s="1"/>
  <c r="L2510" i="1"/>
  <c r="M2510" i="1" s="1"/>
  <c r="N2510" i="1" s="1"/>
  <c r="L2511" i="1"/>
  <c r="M2511" i="1" s="1"/>
  <c r="N2511" i="1" s="1"/>
  <c r="L2512" i="1"/>
  <c r="M2512" i="1" s="1"/>
  <c r="N2512" i="1" s="1"/>
  <c r="L2513" i="1"/>
  <c r="M2513" i="1" s="1"/>
  <c r="N2513" i="1" s="1"/>
  <c r="L2514" i="1"/>
  <c r="M2514" i="1" s="1"/>
  <c r="N2514" i="1" s="1"/>
  <c r="L2515" i="1"/>
  <c r="M2515" i="1" s="1"/>
  <c r="N2515" i="1" s="1"/>
  <c r="L2516" i="1"/>
  <c r="M2516" i="1" s="1"/>
  <c r="N2516" i="1" s="1"/>
  <c r="L2517" i="1"/>
  <c r="M2517" i="1" s="1"/>
  <c r="N2517" i="1" s="1"/>
  <c r="L2518" i="1"/>
  <c r="M2518" i="1" s="1"/>
  <c r="N2518" i="1" s="1"/>
  <c r="L2519" i="1"/>
  <c r="M2519" i="1" s="1"/>
  <c r="N2519" i="1" s="1"/>
  <c r="L2520" i="1"/>
  <c r="M2520" i="1" s="1"/>
  <c r="N2520" i="1" s="1"/>
  <c r="L2521" i="1"/>
  <c r="M2521" i="1" s="1"/>
  <c r="N2521" i="1" s="1"/>
  <c r="L2522" i="1"/>
  <c r="M2522" i="1" s="1"/>
  <c r="N2522" i="1" s="1"/>
  <c r="L2523" i="1"/>
  <c r="M2523" i="1" s="1"/>
  <c r="N2523" i="1" s="1"/>
  <c r="L2524" i="1"/>
  <c r="M2524" i="1" s="1"/>
  <c r="N2524" i="1" s="1"/>
  <c r="L2525" i="1"/>
  <c r="M2525" i="1" s="1"/>
  <c r="N2525" i="1" s="1"/>
  <c r="L2526" i="1"/>
  <c r="M2526" i="1" s="1"/>
  <c r="N2526" i="1" s="1"/>
  <c r="L2527" i="1"/>
  <c r="M2527" i="1" s="1"/>
  <c r="N2527" i="1" s="1"/>
  <c r="L2528" i="1"/>
  <c r="M2528" i="1" s="1"/>
  <c r="N2528" i="1" s="1"/>
  <c r="L2529" i="1"/>
  <c r="M2529" i="1" s="1"/>
  <c r="N2529" i="1" s="1"/>
  <c r="L2530" i="1"/>
  <c r="M2530" i="1" s="1"/>
  <c r="N2530" i="1" s="1"/>
  <c r="L2531" i="1"/>
  <c r="M2531" i="1" s="1"/>
  <c r="N2531" i="1" s="1"/>
  <c r="L2532" i="1"/>
  <c r="M2532" i="1" s="1"/>
  <c r="N2532" i="1" s="1"/>
  <c r="L2533" i="1"/>
  <c r="M2533" i="1" s="1"/>
  <c r="N2533" i="1" s="1"/>
  <c r="L2534" i="1"/>
  <c r="M2534" i="1" s="1"/>
  <c r="N2534" i="1" s="1"/>
  <c r="L2535" i="1"/>
  <c r="M2535" i="1" s="1"/>
  <c r="N2535" i="1" s="1"/>
  <c r="L2536" i="1"/>
  <c r="M2536" i="1" s="1"/>
  <c r="N2536" i="1" s="1"/>
  <c r="L2537" i="1"/>
  <c r="M2537" i="1" s="1"/>
  <c r="N2537" i="1" s="1"/>
  <c r="L2538" i="1"/>
  <c r="M2538" i="1" s="1"/>
  <c r="N2538" i="1" s="1"/>
  <c r="L2539" i="1"/>
  <c r="M2539" i="1" s="1"/>
  <c r="N2539" i="1" s="1"/>
  <c r="L2540" i="1"/>
  <c r="M2540" i="1" s="1"/>
  <c r="N2540" i="1" s="1"/>
  <c r="L2541" i="1"/>
  <c r="M2541" i="1" s="1"/>
  <c r="N2541" i="1" s="1"/>
  <c r="L2542" i="1"/>
  <c r="M2542" i="1" s="1"/>
  <c r="N2542" i="1" s="1"/>
  <c r="L2543" i="1"/>
  <c r="M2543" i="1" s="1"/>
  <c r="N2543" i="1" s="1"/>
  <c r="L2544" i="1"/>
  <c r="M2544" i="1" s="1"/>
  <c r="N2544" i="1" s="1"/>
  <c r="L2545" i="1"/>
  <c r="M2545" i="1" s="1"/>
  <c r="N2545" i="1" s="1"/>
  <c r="L2546" i="1"/>
  <c r="M2546" i="1" s="1"/>
  <c r="N2546" i="1" s="1"/>
  <c r="L2547" i="1"/>
  <c r="M2547" i="1" s="1"/>
  <c r="N2547" i="1" s="1"/>
  <c r="L2548" i="1"/>
  <c r="M2548" i="1" s="1"/>
  <c r="N2548" i="1" s="1"/>
  <c r="L2549" i="1"/>
  <c r="M2549" i="1" s="1"/>
  <c r="N2549" i="1" s="1"/>
  <c r="L2550" i="1"/>
  <c r="M2550" i="1" s="1"/>
  <c r="N2550" i="1" s="1"/>
  <c r="L2551" i="1"/>
  <c r="M2551" i="1" s="1"/>
  <c r="N2551" i="1" s="1"/>
  <c r="L2552" i="1"/>
  <c r="M2552" i="1" s="1"/>
  <c r="N2552" i="1" s="1"/>
  <c r="L2553" i="1"/>
  <c r="M2553" i="1" s="1"/>
  <c r="N2553" i="1" s="1"/>
  <c r="L2554" i="1"/>
  <c r="M2554" i="1" s="1"/>
  <c r="N2554" i="1" s="1"/>
  <c r="L2555" i="1"/>
  <c r="M2555" i="1" s="1"/>
  <c r="N2555" i="1" s="1"/>
  <c r="L2556" i="1"/>
  <c r="M2556" i="1" s="1"/>
  <c r="N2556" i="1" s="1"/>
  <c r="L2557" i="1"/>
  <c r="M2557" i="1" s="1"/>
  <c r="N2557" i="1" s="1"/>
  <c r="L2558" i="1"/>
  <c r="M2558" i="1" s="1"/>
  <c r="N2558" i="1" s="1"/>
  <c r="L2559" i="1"/>
  <c r="M2559" i="1" s="1"/>
  <c r="N2559" i="1" s="1"/>
  <c r="L2560" i="1"/>
  <c r="M2560" i="1" s="1"/>
  <c r="N2560" i="1" s="1"/>
  <c r="L2561" i="1"/>
  <c r="M2561" i="1" s="1"/>
  <c r="N2561" i="1" s="1"/>
  <c r="L2562" i="1"/>
  <c r="M2562" i="1" s="1"/>
  <c r="N2562" i="1" s="1"/>
  <c r="L2563" i="1"/>
  <c r="M2563" i="1" s="1"/>
  <c r="N2563" i="1" s="1"/>
  <c r="L2564" i="1"/>
  <c r="M2564" i="1" s="1"/>
  <c r="N2564" i="1" s="1"/>
  <c r="L2565" i="1"/>
  <c r="M2565" i="1" s="1"/>
  <c r="N2565" i="1" s="1"/>
  <c r="L2566" i="1"/>
  <c r="M2566" i="1" s="1"/>
  <c r="N2566" i="1" s="1"/>
  <c r="L2567" i="1"/>
  <c r="M2567" i="1" s="1"/>
  <c r="N2567" i="1" s="1"/>
  <c r="L2568" i="1"/>
  <c r="M2568" i="1" s="1"/>
  <c r="N2568" i="1" s="1"/>
  <c r="L2569" i="1"/>
  <c r="M2569" i="1" s="1"/>
  <c r="N2569" i="1" s="1"/>
  <c r="L2570" i="1"/>
  <c r="M2570" i="1" s="1"/>
  <c r="N2570" i="1" s="1"/>
  <c r="L2571" i="1"/>
  <c r="M2571" i="1" s="1"/>
  <c r="N2571" i="1" s="1"/>
  <c r="L2572" i="1"/>
  <c r="M2572" i="1" s="1"/>
  <c r="N2572" i="1" s="1"/>
  <c r="L2573" i="1"/>
  <c r="M2573" i="1" s="1"/>
  <c r="N2573" i="1" s="1"/>
  <c r="L2574" i="1"/>
  <c r="M2574" i="1" s="1"/>
  <c r="N2574" i="1" s="1"/>
  <c r="L2575" i="1"/>
  <c r="M2575" i="1" s="1"/>
  <c r="N2575" i="1" s="1"/>
  <c r="L2576" i="1"/>
  <c r="M2576" i="1" s="1"/>
  <c r="N2576" i="1" s="1"/>
  <c r="L2577" i="1"/>
  <c r="M2577" i="1" s="1"/>
  <c r="N2577" i="1" s="1"/>
  <c r="L2578" i="1"/>
  <c r="M2578" i="1" s="1"/>
  <c r="N2578" i="1" s="1"/>
  <c r="L2579" i="1"/>
  <c r="M2579" i="1" s="1"/>
  <c r="N2579" i="1" s="1"/>
  <c r="L2580" i="1"/>
  <c r="M2580" i="1" s="1"/>
  <c r="N2580" i="1" s="1"/>
  <c r="L2581" i="1"/>
  <c r="M2581" i="1" s="1"/>
  <c r="N2581" i="1" s="1"/>
  <c r="L2582" i="1"/>
  <c r="M2582" i="1" s="1"/>
  <c r="N2582" i="1" s="1"/>
  <c r="L2583" i="1"/>
  <c r="M2583" i="1" s="1"/>
  <c r="N2583" i="1" s="1"/>
  <c r="L2584" i="1"/>
  <c r="M2584" i="1" s="1"/>
  <c r="N2584" i="1" s="1"/>
  <c r="L2585" i="1"/>
  <c r="M2585" i="1" s="1"/>
  <c r="N2585" i="1" s="1"/>
  <c r="L2586" i="1"/>
  <c r="M2586" i="1" s="1"/>
  <c r="N2586" i="1" s="1"/>
  <c r="L2587" i="1"/>
  <c r="M2587" i="1" s="1"/>
  <c r="N2587" i="1" s="1"/>
  <c r="L2588" i="1"/>
  <c r="M2588" i="1" s="1"/>
  <c r="N2588" i="1" s="1"/>
  <c r="L2589" i="1"/>
  <c r="M2589" i="1" s="1"/>
  <c r="N2589" i="1" s="1"/>
  <c r="L2590" i="1"/>
  <c r="M2590" i="1" s="1"/>
  <c r="N2590" i="1" s="1"/>
  <c r="L2591" i="1"/>
  <c r="M2591" i="1" s="1"/>
  <c r="N2591" i="1" s="1"/>
  <c r="L2592" i="1"/>
  <c r="M2592" i="1" s="1"/>
  <c r="N2592" i="1" s="1"/>
  <c r="L2593" i="1"/>
  <c r="M2593" i="1" s="1"/>
  <c r="N2593" i="1" s="1"/>
  <c r="L2594" i="1"/>
  <c r="M2594" i="1" s="1"/>
  <c r="N2594" i="1" s="1"/>
  <c r="L2595" i="1"/>
  <c r="M2595" i="1" s="1"/>
  <c r="N2595" i="1" s="1"/>
  <c r="L2596" i="1"/>
  <c r="M2596" i="1" s="1"/>
  <c r="N2596" i="1" s="1"/>
  <c r="L2597" i="1"/>
  <c r="M2597" i="1" s="1"/>
  <c r="N2597" i="1" s="1"/>
  <c r="L2598" i="1"/>
  <c r="M2598" i="1" s="1"/>
  <c r="N2598" i="1" s="1"/>
  <c r="L2599" i="1"/>
  <c r="M2599" i="1" s="1"/>
  <c r="N2599" i="1" s="1"/>
  <c r="L2600" i="1"/>
  <c r="M2600" i="1" s="1"/>
  <c r="N2600" i="1" s="1"/>
  <c r="L2601" i="1"/>
  <c r="M2601" i="1" s="1"/>
  <c r="N2601" i="1" s="1"/>
  <c r="L2602" i="1"/>
  <c r="M2602" i="1" s="1"/>
  <c r="N2602" i="1" s="1"/>
  <c r="L2603" i="1"/>
  <c r="M2603" i="1" s="1"/>
  <c r="N2603" i="1" s="1"/>
  <c r="L2604" i="1"/>
  <c r="M2604" i="1" s="1"/>
  <c r="N2604" i="1" s="1"/>
  <c r="L2605" i="1"/>
  <c r="M2605" i="1" s="1"/>
  <c r="N2605" i="1" s="1"/>
  <c r="L2606" i="1"/>
  <c r="M2606" i="1" s="1"/>
  <c r="N2606" i="1" s="1"/>
  <c r="L2607" i="1"/>
  <c r="M2607" i="1" s="1"/>
  <c r="N2607" i="1" s="1"/>
  <c r="L2608" i="1"/>
  <c r="M2608" i="1" s="1"/>
  <c r="N2608" i="1" s="1"/>
  <c r="L2609" i="1"/>
  <c r="M2609" i="1" s="1"/>
  <c r="N2609" i="1" s="1"/>
  <c r="L2610" i="1"/>
  <c r="M2610" i="1" s="1"/>
  <c r="N2610" i="1" s="1"/>
  <c r="L2611" i="1"/>
  <c r="M2611" i="1" s="1"/>
  <c r="N2611" i="1" s="1"/>
  <c r="L2612" i="1"/>
  <c r="M2612" i="1" s="1"/>
  <c r="N2612" i="1" s="1"/>
  <c r="L2613" i="1"/>
  <c r="M2613" i="1" s="1"/>
  <c r="N2613" i="1" s="1"/>
  <c r="L2614" i="1"/>
  <c r="M2614" i="1" s="1"/>
  <c r="N2614" i="1" s="1"/>
  <c r="L2615" i="1"/>
  <c r="M2615" i="1" s="1"/>
  <c r="N2615" i="1" s="1"/>
  <c r="L2616" i="1"/>
  <c r="M2616" i="1" s="1"/>
  <c r="N2616" i="1" s="1"/>
  <c r="L2617" i="1"/>
  <c r="M2617" i="1" s="1"/>
  <c r="N2617" i="1" s="1"/>
  <c r="L2618" i="1"/>
  <c r="M2618" i="1" s="1"/>
  <c r="N2618" i="1" s="1"/>
  <c r="L2619" i="1"/>
  <c r="M2619" i="1" s="1"/>
  <c r="N2619" i="1" s="1"/>
  <c r="L2620" i="1"/>
  <c r="M2620" i="1" s="1"/>
  <c r="N2620" i="1" s="1"/>
  <c r="L2621" i="1"/>
  <c r="M2621" i="1" s="1"/>
  <c r="N2621" i="1" s="1"/>
  <c r="L2622" i="1"/>
  <c r="M2622" i="1" s="1"/>
  <c r="N2622" i="1" s="1"/>
  <c r="L2623" i="1"/>
  <c r="M2623" i="1" s="1"/>
  <c r="N2623" i="1" s="1"/>
  <c r="L2624" i="1"/>
  <c r="M2624" i="1" s="1"/>
  <c r="N2624" i="1" s="1"/>
  <c r="L2625" i="1"/>
  <c r="M2625" i="1" s="1"/>
  <c r="N2625" i="1" s="1"/>
  <c r="L2626" i="1"/>
  <c r="M2626" i="1" s="1"/>
  <c r="N2626" i="1" s="1"/>
  <c r="L2627" i="1"/>
  <c r="M2627" i="1" s="1"/>
  <c r="N2627" i="1" s="1"/>
  <c r="L2628" i="1"/>
  <c r="M2628" i="1" s="1"/>
  <c r="N2628" i="1" s="1"/>
  <c r="L2629" i="1"/>
  <c r="M2629" i="1" s="1"/>
  <c r="N2629" i="1" s="1"/>
  <c r="L2630" i="1"/>
  <c r="M2630" i="1" s="1"/>
  <c r="N2630" i="1" s="1"/>
  <c r="L2631" i="1"/>
  <c r="M2631" i="1" s="1"/>
  <c r="N2631" i="1" s="1"/>
  <c r="L2632" i="1"/>
  <c r="M2632" i="1" s="1"/>
  <c r="N2632" i="1" s="1"/>
  <c r="L2633" i="1"/>
  <c r="M2633" i="1" s="1"/>
  <c r="N2633" i="1" s="1"/>
  <c r="L2634" i="1"/>
  <c r="M2634" i="1" s="1"/>
  <c r="N2634" i="1" s="1"/>
  <c r="L2635" i="1"/>
  <c r="M2635" i="1" s="1"/>
  <c r="N2635" i="1" s="1"/>
  <c r="L2636" i="1"/>
  <c r="M2636" i="1" s="1"/>
  <c r="N2636" i="1" s="1"/>
  <c r="L2637" i="1"/>
  <c r="M2637" i="1" s="1"/>
  <c r="N2637" i="1" s="1"/>
  <c r="L2638" i="1"/>
  <c r="M2638" i="1" s="1"/>
  <c r="N2638" i="1" s="1"/>
  <c r="L2639" i="1"/>
  <c r="M2639" i="1" s="1"/>
  <c r="N2639" i="1" s="1"/>
  <c r="L2640" i="1"/>
  <c r="M2640" i="1" s="1"/>
  <c r="N2640" i="1" s="1"/>
  <c r="L2641" i="1"/>
  <c r="M2641" i="1" s="1"/>
  <c r="N2641" i="1" s="1"/>
  <c r="L2642" i="1"/>
  <c r="M2642" i="1" s="1"/>
  <c r="N2642" i="1" s="1"/>
  <c r="L2643" i="1"/>
  <c r="M2643" i="1" s="1"/>
  <c r="N2643" i="1" s="1"/>
  <c r="L2644" i="1"/>
  <c r="M2644" i="1" s="1"/>
  <c r="N2644" i="1" s="1"/>
  <c r="L2645" i="1"/>
  <c r="M2645" i="1" s="1"/>
  <c r="N2645" i="1" s="1"/>
  <c r="L2646" i="1"/>
  <c r="M2646" i="1" s="1"/>
  <c r="N2646" i="1" s="1"/>
  <c r="L2647" i="1"/>
  <c r="M2647" i="1" s="1"/>
  <c r="N2647" i="1" s="1"/>
  <c r="L2648" i="1"/>
  <c r="M2648" i="1" s="1"/>
  <c r="N2648" i="1" s="1"/>
  <c r="L2649" i="1"/>
  <c r="M2649" i="1" s="1"/>
  <c r="N2649" i="1" s="1"/>
  <c r="L2650" i="1"/>
  <c r="M2650" i="1" s="1"/>
  <c r="N2650" i="1" s="1"/>
  <c r="L2651" i="1"/>
  <c r="M2651" i="1" s="1"/>
  <c r="N2651" i="1" s="1"/>
  <c r="L2652" i="1"/>
  <c r="M2652" i="1" s="1"/>
  <c r="N2652" i="1" s="1"/>
  <c r="L2653" i="1"/>
  <c r="M2653" i="1" s="1"/>
  <c r="N2653" i="1" s="1"/>
  <c r="L2654" i="1"/>
  <c r="M2654" i="1" s="1"/>
  <c r="N2654" i="1" s="1"/>
  <c r="L2655" i="1"/>
  <c r="M2655" i="1" s="1"/>
  <c r="N2655" i="1" s="1"/>
  <c r="L2656" i="1"/>
  <c r="M2656" i="1" s="1"/>
  <c r="N2656" i="1" s="1"/>
  <c r="L2657" i="1"/>
  <c r="M2657" i="1" s="1"/>
  <c r="N2657" i="1" s="1"/>
  <c r="L2658" i="1"/>
  <c r="M2658" i="1" s="1"/>
  <c r="N2658" i="1" s="1"/>
  <c r="L2659" i="1"/>
  <c r="M2659" i="1" s="1"/>
  <c r="N2659" i="1" s="1"/>
  <c r="L2660" i="1"/>
  <c r="M2660" i="1" s="1"/>
  <c r="N2660" i="1" s="1"/>
  <c r="L2661" i="1"/>
  <c r="M2661" i="1" s="1"/>
  <c r="N2661" i="1" s="1"/>
  <c r="L2662" i="1"/>
  <c r="M2662" i="1" s="1"/>
  <c r="N2662" i="1" s="1"/>
  <c r="L2663" i="1"/>
  <c r="M2663" i="1" s="1"/>
  <c r="N2663" i="1" s="1"/>
  <c r="L2664" i="1"/>
  <c r="M2664" i="1" s="1"/>
  <c r="N2664" i="1" s="1"/>
  <c r="L2665" i="1"/>
  <c r="M2665" i="1" s="1"/>
  <c r="N2665" i="1" s="1"/>
  <c r="L2666" i="1"/>
  <c r="M2666" i="1" s="1"/>
  <c r="N2666" i="1" s="1"/>
  <c r="L2667" i="1"/>
  <c r="M2667" i="1" s="1"/>
  <c r="N2667" i="1" s="1"/>
  <c r="L2668" i="1"/>
  <c r="M2668" i="1" s="1"/>
  <c r="N2668" i="1" s="1"/>
  <c r="L2669" i="1"/>
  <c r="M2669" i="1" s="1"/>
  <c r="N2669" i="1" s="1"/>
  <c r="L2670" i="1"/>
  <c r="M2670" i="1" s="1"/>
  <c r="N2670" i="1" s="1"/>
  <c r="L2671" i="1"/>
  <c r="M2671" i="1" s="1"/>
  <c r="N2671" i="1" s="1"/>
  <c r="L2672" i="1"/>
  <c r="M2672" i="1" s="1"/>
  <c r="N2672" i="1" s="1"/>
  <c r="L2673" i="1"/>
  <c r="M2673" i="1" s="1"/>
  <c r="N2673" i="1" s="1"/>
  <c r="L2674" i="1"/>
  <c r="M2674" i="1" s="1"/>
  <c r="N2674" i="1" s="1"/>
  <c r="L2675" i="1"/>
  <c r="M2675" i="1" s="1"/>
  <c r="N2675" i="1" s="1"/>
  <c r="L2676" i="1"/>
  <c r="M2676" i="1" s="1"/>
  <c r="N2676" i="1" s="1"/>
  <c r="L2677" i="1"/>
  <c r="M2677" i="1" s="1"/>
  <c r="N2677" i="1" s="1"/>
  <c r="L2678" i="1"/>
  <c r="M2678" i="1" s="1"/>
  <c r="N2678" i="1" s="1"/>
  <c r="L2679" i="1"/>
  <c r="M2679" i="1" s="1"/>
  <c r="N2679" i="1" s="1"/>
  <c r="L2680" i="1"/>
  <c r="M2680" i="1" s="1"/>
  <c r="N2680" i="1" s="1"/>
  <c r="L2681" i="1"/>
  <c r="M2681" i="1" s="1"/>
  <c r="N2681" i="1" s="1"/>
  <c r="L2682" i="1"/>
  <c r="M2682" i="1" s="1"/>
  <c r="N2682" i="1" s="1"/>
  <c r="L2683" i="1"/>
  <c r="M2683" i="1" s="1"/>
  <c r="N2683" i="1" s="1"/>
  <c r="L2684" i="1"/>
  <c r="M2684" i="1" s="1"/>
  <c r="N2684" i="1" s="1"/>
  <c r="L2685" i="1"/>
  <c r="M2685" i="1" s="1"/>
  <c r="N2685" i="1" s="1"/>
  <c r="L2686" i="1"/>
  <c r="M2686" i="1" s="1"/>
  <c r="N2686" i="1" s="1"/>
  <c r="L2687" i="1"/>
  <c r="M2687" i="1" s="1"/>
  <c r="N2687" i="1" s="1"/>
  <c r="L2688" i="1"/>
  <c r="M2688" i="1" s="1"/>
  <c r="N2688" i="1" s="1"/>
  <c r="L2689" i="1"/>
  <c r="M2689" i="1" s="1"/>
  <c r="N2689" i="1" s="1"/>
  <c r="L2690" i="1"/>
  <c r="M2690" i="1" s="1"/>
  <c r="N2690" i="1" s="1"/>
  <c r="L2691" i="1"/>
  <c r="M2691" i="1" s="1"/>
  <c r="N2691" i="1" s="1"/>
  <c r="L2692" i="1"/>
  <c r="M2692" i="1" s="1"/>
  <c r="N2692" i="1" s="1"/>
  <c r="L2693" i="1"/>
  <c r="M2693" i="1" s="1"/>
  <c r="N2693" i="1" s="1"/>
  <c r="L2694" i="1"/>
  <c r="M2694" i="1" s="1"/>
  <c r="N2694" i="1" s="1"/>
  <c r="L2695" i="1"/>
  <c r="M2695" i="1" s="1"/>
  <c r="N2695" i="1" s="1"/>
  <c r="L2696" i="1"/>
  <c r="M2696" i="1" s="1"/>
  <c r="N2696" i="1" s="1"/>
  <c r="L2697" i="1"/>
  <c r="M2697" i="1" s="1"/>
  <c r="N2697" i="1" s="1"/>
  <c r="L2698" i="1"/>
  <c r="M2698" i="1" s="1"/>
  <c r="N2698" i="1" s="1"/>
  <c r="L2699" i="1"/>
  <c r="M2699" i="1" s="1"/>
  <c r="N2699" i="1" s="1"/>
  <c r="L2700" i="1"/>
  <c r="M2700" i="1" s="1"/>
  <c r="N2700" i="1" s="1"/>
  <c r="L2701" i="1"/>
  <c r="M2701" i="1" s="1"/>
  <c r="N2701" i="1" s="1"/>
  <c r="L2702" i="1"/>
  <c r="M2702" i="1" s="1"/>
  <c r="N2702" i="1" s="1"/>
  <c r="L2703" i="1"/>
  <c r="M2703" i="1" s="1"/>
  <c r="N2703" i="1" s="1"/>
  <c r="L2704" i="1"/>
  <c r="M2704" i="1" s="1"/>
  <c r="N2704" i="1" s="1"/>
  <c r="L2705" i="1"/>
  <c r="M2705" i="1" s="1"/>
  <c r="N2705" i="1" s="1"/>
  <c r="L2706" i="1"/>
  <c r="M2706" i="1" s="1"/>
  <c r="N2706" i="1" s="1"/>
  <c r="L2707" i="1"/>
  <c r="M2707" i="1" s="1"/>
  <c r="N2707" i="1" s="1"/>
  <c r="L2708" i="1"/>
  <c r="M2708" i="1" s="1"/>
  <c r="N2708" i="1" s="1"/>
  <c r="L2709" i="1"/>
  <c r="M2709" i="1" s="1"/>
  <c r="N2709" i="1" s="1"/>
  <c r="L2710" i="1"/>
  <c r="M2710" i="1" s="1"/>
  <c r="N2710" i="1" s="1"/>
  <c r="L2711" i="1"/>
  <c r="M2711" i="1" s="1"/>
  <c r="N2711" i="1" s="1"/>
  <c r="L2712" i="1"/>
  <c r="M2712" i="1" s="1"/>
  <c r="N2712" i="1" s="1"/>
  <c r="L2713" i="1"/>
  <c r="M2713" i="1" s="1"/>
  <c r="N2713" i="1" s="1"/>
  <c r="L2714" i="1"/>
  <c r="M2714" i="1" s="1"/>
  <c r="N2714" i="1" s="1"/>
  <c r="L2715" i="1"/>
  <c r="M2715" i="1" s="1"/>
  <c r="N2715" i="1" s="1"/>
  <c r="L2716" i="1"/>
  <c r="M2716" i="1" s="1"/>
  <c r="N2716" i="1" s="1"/>
  <c r="L2717" i="1"/>
  <c r="M2717" i="1" s="1"/>
  <c r="N2717" i="1" s="1"/>
  <c r="L2718" i="1"/>
  <c r="M2718" i="1" s="1"/>
  <c r="N2718" i="1" s="1"/>
  <c r="L2719" i="1"/>
  <c r="M2719" i="1" s="1"/>
  <c r="N2719" i="1" s="1"/>
  <c r="L2720" i="1"/>
  <c r="M2720" i="1" s="1"/>
  <c r="N2720" i="1" s="1"/>
  <c r="L2721" i="1"/>
  <c r="M2721" i="1" s="1"/>
  <c r="N2721" i="1" s="1"/>
  <c r="L2722" i="1"/>
  <c r="M2722" i="1" s="1"/>
  <c r="N2722" i="1" s="1"/>
  <c r="L2723" i="1"/>
  <c r="M2723" i="1" s="1"/>
  <c r="N2723" i="1" s="1"/>
  <c r="L2724" i="1"/>
  <c r="M2724" i="1" s="1"/>
  <c r="N2724" i="1" s="1"/>
  <c r="L2725" i="1"/>
  <c r="M2725" i="1" s="1"/>
  <c r="N2725" i="1" s="1"/>
  <c r="L2726" i="1"/>
  <c r="M2726" i="1" s="1"/>
  <c r="N2726" i="1" s="1"/>
  <c r="L2727" i="1"/>
  <c r="M2727" i="1" s="1"/>
  <c r="N2727" i="1" s="1"/>
  <c r="L2728" i="1"/>
  <c r="M2728" i="1" s="1"/>
  <c r="N2728" i="1" s="1"/>
  <c r="L2729" i="1"/>
  <c r="M2729" i="1" s="1"/>
  <c r="N2729" i="1" s="1"/>
  <c r="L2730" i="1"/>
  <c r="M2730" i="1" s="1"/>
  <c r="N2730" i="1" s="1"/>
  <c r="L2731" i="1"/>
  <c r="M2731" i="1" s="1"/>
  <c r="N2731" i="1" s="1"/>
  <c r="L2732" i="1"/>
  <c r="M2732" i="1" s="1"/>
  <c r="N2732" i="1" s="1"/>
  <c r="L2733" i="1"/>
  <c r="M2733" i="1" s="1"/>
  <c r="N2733" i="1" s="1"/>
  <c r="L2734" i="1"/>
  <c r="M2734" i="1" s="1"/>
  <c r="N2734" i="1" s="1"/>
  <c r="L2735" i="1"/>
  <c r="M2735" i="1" s="1"/>
  <c r="N2735" i="1" s="1"/>
  <c r="L2736" i="1"/>
  <c r="M2736" i="1" s="1"/>
  <c r="N2736" i="1" s="1"/>
  <c r="L2737" i="1"/>
  <c r="M2737" i="1" s="1"/>
  <c r="N2737" i="1" s="1"/>
  <c r="L2738" i="1"/>
  <c r="M2738" i="1" s="1"/>
  <c r="N2738" i="1" s="1"/>
  <c r="L2739" i="1"/>
  <c r="M2739" i="1" s="1"/>
  <c r="N2739" i="1" s="1"/>
  <c r="L2740" i="1"/>
  <c r="M2740" i="1" s="1"/>
  <c r="N2740" i="1" s="1"/>
  <c r="L2741" i="1"/>
  <c r="M2741" i="1" s="1"/>
  <c r="N2741" i="1" s="1"/>
  <c r="L2742" i="1"/>
  <c r="M2742" i="1" s="1"/>
  <c r="N2742" i="1" s="1"/>
  <c r="L2743" i="1"/>
  <c r="M2743" i="1" s="1"/>
  <c r="N2743" i="1" s="1"/>
  <c r="L2744" i="1"/>
  <c r="M2744" i="1" s="1"/>
  <c r="N2744" i="1" s="1"/>
  <c r="L2745" i="1"/>
  <c r="M2745" i="1" s="1"/>
  <c r="N2745" i="1" s="1"/>
  <c r="L2746" i="1"/>
  <c r="M2746" i="1" s="1"/>
  <c r="N2746" i="1" s="1"/>
  <c r="L2747" i="1"/>
  <c r="M2747" i="1" s="1"/>
  <c r="N2747" i="1" s="1"/>
  <c r="L2748" i="1"/>
  <c r="M2748" i="1" s="1"/>
  <c r="N2748" i="1" s="1"/>
  <c r="L2749" i="1"/>
  <c r="M2749" i="1" s="1"/>
  <c r="N2749" i="1" s="1"/>
  <c r="L2750" i="1"/>
  <c r="M2750" i="1" s="1"/>
  <c r="N2750" i="1" s="1"/>
  <c r="L2751" i="1"/>
  <c r="M2751" i="1" s="1"/>
  <c r="N2751" i="1" s="1"/>
  <c r="L2752" i="1"/>
  <c r="M2752" i="1" s="1"/>
  <c r="N2752" i="1" s="1"/>
  <c r="L2753" i="1"/>
  <c r="M2753" i="1" s="1"/>
  <c r="N2753" i="1" s="1"/>
  <c r="L2754" i="1"/>
  <c r="M2754" i="1" s="1"/>
  <c r="N2754" i="1" s="1"/>
  <c r="L2755" i="1"/>
  <c r="M2755" i="1" s="1"/>
  <c r="N2755" i="1" s="1"/>
  <c r="L2756" i="1"/>
  <c r="M2756" i="1" s="1"/>
  <c r="N2756" i="1" s="1"/>
  <c r="L2757" i="1"/>
  <c r="M2757" i="1" s="1"/>
  <c r="N2757" i="1" s="1"/>
  <c r="L2758" i="1"/>
  <c r="M2758" i="1" s="1"/>
  <c r="N2758" i="1" s="1"/>
  <c r="L2759" i="1"/>
  <c r="M2759" i="1" s="1"/>
  <c r="N2759" i="1" s="1"/>
  <c r="L2760" i="1"/>
  <c r="M2760" i="1" s="1"/>
  <c r="N2760" i="1" s="1"/>
  <c r="L2761" i="1"/>
  <c r="M2761" i="1" s="1"/>
  <c r="N2761" i="1" s="1"/>
  <c r="L2762" i="1"/>
  <c r="M2762" i="1" s="1"/>
  <c r="N2762" i="1" s="1"/>
  <c r="L2763" i="1"/>
  <c r="M2763" i="1" s="1"/>
  <c r="N2763" i="1" s="1"/>
  <c r="L2764" i="1"/>
  <c r="M2764" i="1" s="1"/>
  <c r="N2764" i="1" s="1"/>
  <c r="L2765" i="1"/>
  <c r="M2765" i="1" s="1"/>
  <c r="N2765" i="1" s="1"/>
  <c r="L2766" i="1"/>
  <c r="M2766" i="1" s="1"/>
  <c r="N2766" i="1" s="1"/>
  <c r="L2767" i="1"/>
  <c r="M2767" i="1" s="1"/>
  <c r="N2767" i="1" s="1"/>
  <c r="L2768" i="1"/>
  <c r="M2768" i="1" s="1"/>
  <c r="N2768" i="1" s="1"/>
  <c r="L2769" i="1"/>
  <c r="M2769" i="1" s="1"/>
  <c r="N2769" i="1" s="1"/>
  <c r="L2770" i="1"/>
  <c r="M2770" i="1" s="1"/>
  <c r="N2770" i="1" s="1"/>
  <c r="L2771" i="1"/>
  <c r="M2771" i="1" s="1"/>
  <c r="N2771" i="1" s="1"/>
  <c r="L2772" i="1"/>
  <c r="M2772" i="1" s="1"/>
  <c r="N2772" i="1" s="1"/>
  <c r="L2773" i="1"/>
  <c r="M2773" i="1" s="1"/>
  <c r="N2773" i="1" s="1"/>
  <c r="L2774" i="1"/>
  <c r="M2774" i="1" s="1"/>
  <c r="N2774" i="1" s="1"/>
  <c r="L2775" i="1"/>
  <c r="M2775" i="1" s="1"/>
  <c r="N2775" i="1" s="1"/>
  <c r="L2776" i="1"/>
  <c r="M2776" i="1" s="1"/>
  <c r="N2776" i="1" s="1"/>
  <c r="L2777" i="1"/>
  <c r="M2777" i="1" s="1"/>
  <c r="N2777" i="1" s="1"/>
  <c r="L2778" i="1"/>
  <c r="M2778" i="1" s="1"/>
  <c r="N2778" i="1" s="1"/>
  <c r="L2779" i="1"/>
  <c r="M2779" i="1" s="1"/>
  <c r="N2779" i="1" s="1"/>
  <c r="L2780" i="1"/>
  <c r="M2780" i="1" s="1"/>
  <c r="N2780" i="1" s="1"/>
  <c r="L2781" i="1"/>
  <c r="M2781" i="1" s="1"/>
  <c r="N2781" i="1" s="1"/>
  <c r="L2782" i="1"/>
  <c r="M2782" i="1" s="1"/>
  <c r="N2782" i="1" s="1"/>
  <c r="L2783" i="1"/>
  <c r="M2783" i="1" s="1"/>
  <c r="N2783" i="1" s="1"/>
  <c r="L2784" i="1"/>
  <c r="M2784" i="1" s="1"/>
  <c r="N2784" i="1" s="1"/>
  <c r="L2785" i="1"/>
  <c r="M2785" i="1" s="1"/>
  <c r="N2785" i="1" s="1"/>
  <c r="L2786" i="1"/>
  <c r="M2786" i="1" s="1"/>
  <c r="N2786" i="1" s="1"/>
  <c r="L2787" i="1"/>
  <c r="M2787" i="1" s="1"/>
  <c r="N2787" i="1" s="1"/>
  <c r="L2788" i="1"/>
  <c r="M2788" i="1" s="1"/>
  <c r="N2788" i="1" s="1"/>
  <c r="L2789" i="1"/>
  <c r="M2789" i="1" s="1"/>
  <c r="N2789" i="1" s="1"/>
  <c r="L2790" i="1"/>
  <c r="M2790" i="1" s="1"/>
  <c r="N2790" i="1" s="1"/>
  <c r="L2791" i="1"/>
  <c r="M2791" i="1" s="1"/>
  <c r="N2791" i="1" s="1"/>
  <c r="L2792" i="1"/>
  <c r="M2792" i="1" s="1"/>
  <c r="N2792" i="1" s="1"/>
  <c r="L2793" i="1"/>
  <c r="M2793" i="1" s="1"/>
  <c r="N2793" i="1" s="1"/>
  <c r="L2794" i="1"/>
  <c r="M2794" i="1" s="1"/>
  <c r="N2794" i="1" s="1"/>
  <c r="L2795" i="1"/>
  <c r="M2795" i="1" s="1"/>
  <c r="N2795" i="1" s="1"/>
  <c r="L2796" i="1"/>
  <c r="M2796" i="1" s="1"/>
  <c r="N2796" i="1" s="1"/>
  <c r="L2797" i="1"/>
  <c r="M2797" i="1" s="1"/>
  <c r="N2797" i="1" s="1"/>
  <c r="L2798" i="1"/>
  <c r="M2798" i="1" s="1"/>
  <c r="N2798" i="1" s="1"/>
  <c r="L2799" i="1"/>
  <c r="M2799" i="1" s="1"/>
  <c r="N2799" i="1" s="1"/>
  <c r="L2800" i="1"/>
  <c r="M2800" i="1" s="1"/>
  <c r="N2800" i="1" s="1"/>
  <c r="L2801" i="1"/>
  <c r="M2801" i="1" s="1"/>
  <c r="N2801" i="1" s="1"/>
  <c r="L2802" i="1"/>
  <c r="M2802" i="1" s="1"/>
  <c r="N2802" i="1" s="1"/>
  <c r="L2803" i="1"/>
  <c r="M2803" i="1" s="1"/>
  <c r="N2803" i="1" s="1"/>
  <c r="L2804" i="1"/>
  <c r="M2804" i="1" s="1"/>
  <c r="N2804" i="1" s="1"/>
  <c r="L2805" i="1"/>
  <c r="M2805" i="1" s="1"/>
  <c r="N2805" i="1" s="1"/>
  <c r="L2806" i="1"/>
  <c r="M2806" i="1" s="1"/>
  <c r="N2806" i="1" s="1"/>
  <c r="L2807" i="1"/>
  <c r="M2807" i="1" s="1"/>
  <c r="N2807" i="1" s="1"/>
  <c r="L2808" i="1"/>
  <c r="M2808" i="1" s="1"/>
  <c r="N2808" i="1" s="1"/>
  <c r="L2809" i="1"/>
  <c r="M2809" i="1" s="1"/>
  <c r="N2809" i="1" s="1"/>
  <c r="L2810" i="1"/>
  <c r="M2810" i="1" s="1"/>
  <c r="N2810" i="1" s="1"/>
  <c r="L2811" i="1"/>
  <c r="M2811" i="1" s="1"/>
  <c r="N2811" i="1" s="1"/>
  <c r="L2812" i="1"/>
  <c r="M2812" i="1" s="1"/>
  <c r="N2812" i="1" s="1"/>
  <c r="L2813" i="1"/>
  <c r="M2813" i="1" s="1"/>
  <c r="N2813" i="1" s="1"/>
  <c r="L2814" i="1"/>
  <c r="M2814" i="1" s="1"/>
  <c r="N2814" i="1" s="1"/>
  <c r="L2815" i="1"/>
  <c r="M2815" i="1" s="1"/>
  <c r="N2815" i="1" s="1"/>
  <c r="L2816" i="1"/>
  <c r="M2816" i="1" s="1"/>
  <c r="N2816" i="1" s="1"/>
  <c r="L2817" i="1"/>
  <c r="M2817" i="1" s="1"/>
  <c r="N2817" i="1" s="1"/>
  <c r="L2818" i="1"/>
  <c r="M2818" i="1" s="1"/>
  <c r="N2818" i="1" s="1"/>
  <c r="L2819" i="1"/>
  <c r="M2819" i="1" s="1"/>
  <c r="N2819" i="1" s="1"/>
  <c r="L2820" i="1"/>
  <c r="M2820" i="1" s="1"/>
  <c r="N2820" i="1" s="1"/>
  <c r="L2821" i="1"/>
  <c r="M2821" i="1" s="1"/>
  <c r="N2821" i="1" s="1"/>
  <c r="L2822" i="1"/>
  <c r="M2822" i="1" s="1"/>
  <c r="N2822" i="1" s="1"/>
  <c r="L2823" i="1"/>
  <c r="M2823" i="1" s="1"/>
  <c r="N2823" i="1" s="1"/>
  <c r="L2824" i="1"/>
  <c r="M2824" i="1" s="1"/>
  <c r="N2824" i="1" s="1"/>
  <c r="L2825" i="1"/>
  <c r="M2825" i="1" s="1"/>
  <c r="N2825" i="1" s="1"/>
  <c r="L2826" i="1"/>
  <c r="M2826" i="1" s="1"/>
  <c r="N2826" i="1" s="1"/>
  <c r="L2827" i="1"/>
  <c r="M2827" i="1" s="1"/>
  <c r="N2827" i="1" s="1"/>
  <c r="L2828" i="1"/>
  <c r="M2828" i="1" s="1"/>
  <c r="N2828" i="1" s="1"/>
  <c r="L2829" i="1"/>
  <c r="M2829" i="1" s="1"/>
  <c r="N2829" i="1" s="1"/>
  <c r="L2830" i="1"/>
  <c r="M2830" i="1" s="1"/>
  <c r="N2830" i="1" s="1"/>
  <c r="L2831" i="1"/>
  <c r="M2831" i="1" s="1"/>
  <c r="N2831" i="1" s="1"/>
  <c r="L2832" i="1"/>
  <c r="M2832" i="1" s="1"/>
  <c r="N2832" i="1" s="1"/>
  <c r="L2833" i="1"/>
  <c r="M2833" i="1" s="1"/>
  <c r="N2833" i="1" s="1"/>
  <c r="L2834" i="1"/>
  <c r="M2834" i="1" s="1"/>
  <c r="N2834" i="1" s="1"/>
  <c r="L2835" i="1"/>
  <c r="M2835" i="1" s="1"/>
  <c r="N2835" i="1" s="1"/>
  <c r="L2836" i="1"/>
  <c r="M2836" i="1" s="1"/>
  <c r="N2836" i="1" s="1"/>
  <c r="L2837" i="1"/>
  <c r="M2837" i="1" s="1"/>
  <c r="N2837" i="1" s="1"/>
  <c r="L2838" i="1"/>
  <c r="M2838" i="1" s="1"/>
  <c r="N2838" i="1" s="1"/>
  <c r="L2839" i="1"/>
  <c r="M2839" i="1" s="1"/>
  <c r="N2839" i="1" s="1"/>
  <c r="L2840" i="1"/>
  <c r="M2840" i="1" s="1"/>
  <c r="N2840" i="1" s="1"/>
  <c r="L2841" i="1"/>
  <c r="M2841" i="1" s="1"/>
  <c r="N2841" i="1" s="1"/>
  <c r="L2842" i="1"/>
  <c r="M2842" i="1" s="1"/>
  <c r="N2842" i="1" s="1"/>
  <c r="L2843" i="1"/>
  <c r="M2843" i="1" s="1"/>
  <c r="N2843" i="1" s="1"/>
  <c r="L2844" i="1"/>
  <c r="M2844" i="1" s="1"/>
  <c r="N2844" i="1" s="1"/>
  <c r="L2845" i="1"/>
  <c r="M2845" i="1" s="1"/>
  <c r="N2845" i="1" s="1"/>
  <c r="L2846" i="1"/>
  <c r="M2846" i="1" s="1"/>
  <c r="N2846" i="1" s="1"/>
  <c r="L2847" i="1"/>
  <c r="M2847" i="1" s="1"/>
  <c r="N2847" i="1" s="1"/>
  <c r="L2848" i="1"/>
  <c r="M2848" i="1" s="1"/>
  <c r="N2848" i="1" s="1"/>
  <c r="L2849" i="1"/>
  <c r="M2849" i="1" s="1"/>
  <c r="N2849" i="1" s="1"/>
  <c r="L2850" i="1"/>
  <c r="M2850" i="1" s="1"/>
  <c r="N2850" i="1" s="1"/>
  <c r="L2851" i="1"/>
  <c r="M2851" i="1" s="1"/>
  <c r="N2851" i="1" s="1"/>
  <c r="L2852" i="1"/>
  <c r="M2852" i="1" s="1"/>
  <c r="N2852" i="1" s="1"/>
  <c r="L2853" i="1"/>
  <c r="M2853" i="1" s="1"/>
  <c r="N2853" i="1" s="1"/>
  <c r="L2854" i="1"/>
  <c r="M2854" i="1" s="1"/>
  <c r="N2854" i="1" s="1"/>
  <c r="L2855" i="1"/>
  <c r="M2855" i="1" s="1"/>
  <c r="N2855" i="1" s="1"/>
  <c r="L2856" i="1"/>
  <c r="M2856" i="1" s="1"/>
  <c r="N2856" i="1" s="1"/>
  <c r="L2857" i="1"/>
  <c r="M2857" i="1" s="1"/>
  <c r="N2857" i="1" s="1"/>
  <c r="L2858" i="1"/>
  <c r="M2858" i="1" s="1"/>
  <c r="N2858" i="1" s="1"/>
  <c r="L2859" i="1"/>
  <c r="M2859" i="1" s="1"/>
  <c r="N2859" i="1" s="1"/>
  <c r="L2860" i="1"/>
  <c r="M2860" i="1" s="1"/>
  <c r="N2860" i="1" s="1"/>
  <c r="L2861" i="1"/>
  <c r="M2861" i="1" s="1"/>
  <c r="N2861" i="1" s="1"/>
  <c r="L2862" i="1"/>
  <c r="M2862" i="1" s="1"/>
  <c r="N2862" i="1" s="1"/>
  <c r="L2863" i="1"/>
  <c r="M2863" i="1" s="1"/>
  <c r="N2863" i="1" s="1"/>
  <c r="L2864" i="1"/>
  <c r="M2864" i="1" s="1"/>
  <c r="N2864" i="1" s="1"/>
  <c r="L2865" i="1"/>
  <c r="M2865" i="1" s="1"/>
  <c r="N2865" i="1" s="1"/>
  <c r="L2866" i="1"/>
  <c r="M2866" i="1" s="1"/>
  <c r="N2866" i="1" s="1"/>
  <c r="L2867" i="1"/>
  <c r="M2867" i="1" s="1"/>
  <c r="N2867" i="1" s="1"/>
  <c r="L2868" i="1"/>
  <c r="M2868" i="1" s="1"/>
  <c r="N2868" i="1" s="1"/>
  <c r="L2869" i="1"/>
  <c r="M2869" i="1" s="1"/>
  <c r="N2869" i="1" s="1"/>
  <c r="L2870" i="1"/>
  <c r="M2870" i="1" s="1"/>
  <c r="N2870" i="1" s="1"/>
  <c r="L2871" i="1"/>
  <c r="M2871" i="1" s="1"/>
  <c r="N2871" i="1" s="1"/>
  <c r="L2872" i="1"/>
  <c r="M2872" i="1" s="1"/>
  <c r="N2872" i="1" s="1"/>
  <c r="L2873" i="1"/>
  <c r="M2873" i="1" s="1"/>
  <c r="N2873" i="1" s="1"/>
  <c r="L2874" i="1"/>
  <c r="M2874" i="1" s="1"/>
  <c r="N2874" i="1" s="1"/>
  <c r="L2875" i="1"/>
  <c r="M2875" i="1" s="1"/>
  <c r="N2875" i="1" s="1"/>
  <c r="L2876" i="1"/>
  <c r="M2876" i="1" s="1"/>
  <c r="N2876" i="1" s="1"/>
  <c r="L2877" i="1"/>
  <c r="M2877" i="1" s="1"/>
  <c r="N2877" i="1" s="1"/>
  <c r="L2878" i="1"/>
  <c r="M2878" i="1" s="1"/>
  <c r="N2878" i="1" s="1"/>
  <c r="L2879" i="1"/>
  <c r="M2879" i="1" s="1"/>
  <c r="N2879" i="1" s="1"/>
  <c r="L2880" i="1"/>
  <c r="M2880" i="1" s="1"/>
  <c r="N2880" i="1" s="1"/>
  <c r="L2881" i="1"/>
  <c r="M2881" i="1" s="1"/>
  <c r="N2881" i="1" s="1"/>
  <c r="L2882" i="1"/>
  <c r="M2882" i="1" s="1"/>
  <c r="N2882" i="1" s="1"/>
  <c r="L2883" i="1"/>
  <c r="M2883" i="1" s="1"/>
  <c r="N2883" i="1" s="1"/>
  <c r="L2884" i="1"/>
  <c r="M2884" i="1" s="1"/>
  <c r="N2884" i="1" s="1"/>
  <c r="L2885" i="1"/>
  <c r="M2885" i="1" s="1"/>
  <c r="N2885" i="1" s="1"/>
  <c r="L2886" i="1"/>
  <c r="M2886" i="1" s="1"/>
  <c r="N2886" i="1" s="1"/>
  <c r="L2887" i="1"/>
  <c r="M2887" i="1" s="1"/>
  <c r="N2887" i="1" s="1"/>
  <c r="L2888" i="1"/>
  <c r="M2888" i="1" s="1"/>
  <c r="N2888" i="1" s="1"/>
  <c r="L2889" i="1"/>
  <c r="M2889" i="1" s="1"/>
  <c r="N2889" i="1" s="1"/>
  <c r="L2890" i="1"/>
  <c r="M2890" i="1" s="1"/>
  <c r="N2890" i="1" s="1"/>
  <c r="L2891" i="1"/>
  <c r="M2891" i="1" s="1"/>
  <c r="N2891" i="1" s="1"/>
  <c r="L2892" i="1"/>
  <c r="M2892" i="1" s="1"/>
  <c r="N2892" i="1" s="1"/>
  <c r="L2893" i="1"/>
  <c r="M2893" i="1" s="1"/>
  <c r="N2893" i="1" s="1"/>
  <c r="L2894" i="1"/>
  <c r="M2894" i="1" s="1"/>
  <c r="N2894" i="1" s="1"/>
  <c r="L2895" i="1"/>
  <c r="M2895" i="1" s="1"/>
  <c r="N2895" i="1" s="1"/>
  <c r="L2896" i="1"/>
  <c r="M2896" i="1" s="1"/>
  <c r="N2896" i="1" s="1"/>
  <c r="L2897" i="1"/>
  <c r="M2897" i="1" s="1"/>
  <c r="N2897" i="1" s="1"/>
  <c r="L2898" i="1"/>
  <c r="M2898" i="1" s="1"/>
  <c r="N2898" i="1" s="1"/>
  <c r="L2899" i="1"/>
  <c r="M2899" i="1" s="1"/>
  <c r="N2899" i="1" s="1"/>
  <c r="L2900" i="1"/>
  <c r="M2900" i="1" s="1"/>
  <c r="N2900" i="1" s="1"/>
  <c r="L2901" i="1"/>
  <c r="M2901" i="1" s="1"/>
  <c r="N2901" i="1" s="1"/>
  <c r="L2902" i="1"/>
  <c r="M2902" i="1" s="1"/>
  <c r="N2902" i="1" s="1"/>
  <c r="L2903" i="1"/>
  <c r="M2903" i="1" s="1"/>
  <c r="N2903" i="1" s="1"/>
  <c r="L2904" i="1"/>
  <c r="M2904" i="1" s="1"/>
  <c r="N2904" i="1" s="1"/>
  <c r="L2905" i="1"/>
  <c r="M2905" i="1" s="1"/>
  <c r="N2905" i="1" s="1"/>
  <c r="L2906" i="1"/>
  <c r="M2906" i="1" s="1"/>
  <c r="N2906" i="1" s="1"/>
  <c r="L2907" i="1"/>
  <c r="M2907" i="1" s="1"/>
  <c r="N2907" i="1" s="1"/>
  <c r="L2908" i="1"/>
  <c r="M2908" i="1" s="1"/>
  <c r="N2908" i="1" s="1"/>
  <c r="L2909" i="1"/>
  <c r="M2909" i="1" s="1"/>
  <c r="N2909" i="1" s="1"/>
  <c r="L2910" i="1"/>
  <c r="M2910" i="1" s="1"/>
  <c r="N2910" i="1" s="1"/>
  <c r="L2911" i="1"/>
  <c r="M2911" i="1" s="1"/>
  <c r="N2911" i="1" s="1"/>
  <c r="L2912" i="1"/>
  <c r="M2912" i="1" s="1"/>
  <c r="N2912" i="1" s="1"/>
  <c r="L2913" i="1"/>
  <c r="M2913" i="1" s="1"/>
  <c r="N2913" i="1" s="1"/>
  <c r="L2914" i="1"/>
  <c r="M2914" i="1" s="1"/>
  <c r="N2914" i="1" s="1"/>
  <c r="L2915" i="1"/>
  <c r="M2915" i="1" s="1"/>
  <c r="N2915" i="1" s="1"/>
  <c r="L2916" i="1"/>
  <c r="M2916" i="1" s="1"/>
  <c r="N2916" i="1" s="1"/>
  <c r="L2917" i="1"/>
  <c r="M2917" i="1" s="1"/>
  <c r="N2917" i="1" s="1"/>
  <c r="L2918" i="1"/>
  <c r="M2918" i="1" s="1"/>
  <c r="N2918" i="1" s="1"/>
  <c r="L2919" i="1"/>
  <c r="M2919" i="1" s="1"/>
  <c r="N2919" i="1" s="1"/>
  <c r="L2920" i="1"/>
  <c r="M2920" i="1" s="1"/>
  <c r="N2920" i="1" s="1"/>
  <c r="L2921" i="1"/>
  <c r="M2921" i="1" s="1"/>
  <c r="N2921" i="1" s="1"/>
  <c r="L2922" i="1"/>
  <c r="M2922" i="1" s="1"/>
  <c r="N2922" i="1" s="1"/>
  <c r="L2923" i="1"/>
  <c r="M2923" i="1" s="1"/>
  <c r="N2923" i="1" s="1"/>
  <c r="L2924" i="1"/>
  <c r="M2924" i="1" s="1"/>
  <c r="N2924" i="1" s="1"/>
  <c r="L2925" i="1"/>
  <c r="M2925" i="1" s="1"/>
  <c r="N2925" i="1" s="1"/>
  <c r="L2926" i="1"/>
  <c r="M2926" i="1" s="1"/>
  <c r="N2926" i="1" s="1"/>
  <c r="L2927" i="1"/>
  <c r="M2927" i="1" s="1"/>
  <c r="N2927" i="1" s="1"/>
  <c r="L2928" i="1"/>
  <c r="M2928" i="1" s="1"/>
  <c r="N2928" i="1" s="1"/>
  <c r="L2929" i="1"/>
  <c r="M2929" i="1" s="1"/>
  <c r="N2929" i="1" s="1"/>
  <c r="L2930" i="1"/>
  <c r="M2930" i="1" s="1"/>
  <c r="N2930" i="1" s="1"/>
  <c r="L2931" i="1"/>
  <c r="M2931" i="1" s="1"/>
  <c r="N2931" i="1" s="1"/>
  <c r="L2932" i="1"/>
  <c r="M2932" i="1" s="1"/>
  <c r="N2932" i="1" s="1"/>
  <c r="L2933" i="1"/>
  <c r="M2933" i="1" s="1"/>
  <c r="N2933" i="1" s="1"/>
  <c r="L2934" i="1"/>
  <c r="M2934" i="1" s="1"/>
  <c r="N2934" i="1" s="1"/>
  <c r="L2935" i="1"/>
  <c r="M2935" i="1" s="1"/>
  <c r="N2935" i="1" s="1"/>
  <c r="L2936" i="1"/>
  <c r="M2936" i="1" s="1"/>
  <c r="N2936" i="1" s="1"/>
  <c r="L2937" i="1"/>
  <c r="M2937" i="1" s="1"/>
  <c r="N2937" i="1" s="1"/>
  <c r="L2938" i="1"/>
  <c r="M2938" i="1" s="1"/>
  <c r="N2938" i="1" s="1"/>
  <c r="L2939" i="1"/>
  <c r="M2939" i="1" s="1"/>
  <c r="N2939" i="1" s="1"/>
  <c r="L2940" i="1"/>
  <c r="M2940" i="1" s="1"/>
  <c r="N2940" i="1" s="1"/>
  <c r="L2941" i="1"/>
  <c r="M2941" i="1" s="1"/>
  <c r="N2941" i="1" s="1"/>
  <c r="L2942" i="1"/>
  <c r="M2942" i="1" s="1"/>
  <c r="N2942" i="1" s="1"/>
  <c r="L2943" i="1"/>
  <c r="M2943" i="1" s="1"/>
  <c r="N2943" i="1" s="1"/>
  <c r="L2944" i="1"/>
  <c r="M2944" i="1" s="1"/>
  <c r="N2944" i="1" s="1"/>
  <c r="L2945" i="1"/>
  <c r="M2945" i="1" s="1"/>
  <c r="N2945" i="1" s="1"/>
  <c r="L2946" i="1"/>
  <c r="M2946" i="1" s="1"/>
  <c r="N2946" i="1" s="1"/>
  <c r="L2947" i="1"/>
  <c r="M2947" i="1" s="1"/>
  <c r="N2947" i="1" s="1"/>
  <c r="L2948" i="1"/>
  <c r="M2948" i="1" s="1"/>
  <c r="N2948" i="1" s="1"/>
  <c r="L2949" i="1"/>
  <c r="M2949" i="1" s="1"/>
  <c r="N2949" i="1" s="1"/>
  <c r="L2950" i="1"/>
  <c r="M2950" i="1" s="1"/>
  <c r="N2950" i="1" s="1"/>
  <c r="L2951" i="1"/>
  <c r="M2951" i="1" s="1"/>
  <c r="N2951" i="1" s="1"/>
  <c r="L2952" i="1"/>
  <c r="M2952" i="1" s="1"/>
  <c r="N2952" i="1" s="1"/>
  <c r="L2953" i="1"/>
  <c r="M2953" i="1" s="1"/>
  <c r="N2953" i="1" s="1"/>
  <c r="L2954" i="1"/>
  <c r="M2954" i="1" s="1"/>
  <c r="N2954" i="1" s="1"/>
  <c r="L2955" i="1"/>
  <c r="M2955" i="1" s="1"/>
  <c r="N2955" i="1" s="1"/>
  <c r="L2956" i="1"/>
  <c r="M2956" i="1" s="1"/>
  <c r="N2956" i="1" s="1"/>
  <c r="L2957" i="1"/>
  <c r="M2957" i="1" s="1"/>
  <c r="N2957" i="1" s="1"/>
  <c r="L2958" i="1"/>
  <c r="M2958" i="1" s="1"/>
  <c r="N2958" i="1" s="1"/>
  <c r="L2959" i="1"/>
  <c r="M2959" i="1" s="1"/>
  <c r="N2959" i="1" s="1"/>
  <c r="L2960" i="1"/>
  <c r="M2960" i="1" s="1"/>
  <c r="N2960" i="1" s="1"/>
  <c r="L2961" i="1"/>
  <c r="M2961" i="1" s="1"/>
  <c r="N2961" i="1" s="1"/>
  <c r="L2962" i="1"/>
  <c r="M2962" i="1" s="1"/>
  <c r="N2962" i="1" s="1"/>
  <c r="L2963" i="1"/>
  <c r="M2963" i="1" s="1"/>
  <c r="N2963" i="1" s="1"/>
  <c r="L2964" i="1"/>
  <c r="M2964" i="1" s="1"/>
  <c r="N2964" i="1" s="1"/>
  <c r="L2965" i="1"/>
  <c r="M2965" i="1" s="1"/>
  <c r="N2965" i="1" s="1"/>
  <c r="L2966" i="1"/>
  <c r="M2966" i="1" s="1"/>
  <c r="N2966" i="1" s="1"/>
  <c r="L2967" i="1"/>
  <c r="M2967" i="1" s="1"/>
  <c r="N2967" i="1" s="1"/>
  <c r="L2968" i="1"/>
  <c r="M2968" i="1" s="1"/>
  <c r="N2968" i="1" s="1"/>
  <c r="L2969" i="1"/>
  <c r="M2969" i="1" s="1"/>
  <c r="N2969" i="1" s="1"/>
  <c r="L2970" i="1"/>
  <c r="M2970" i="1" s="1"/>
  <c r="N2970" i="1" s="1"/>
  <c r="L2971" i="1"/>
  <c r="M2971" i="1" s="1"/>
  <c r="N2971" i="1" s="1"/>
  <c r="L2972" i="1"/>
  <c r="M2972" i="1" s="1"/>
  <c r="N2972" i="1" s="1"/>
  <c r="L2973" i="1"/>
  <c r="M2973" i="1" s="1"/>
  <c r="N2973" i="1" s="1"/>
  <c r="L2974" i="1"/>
  <c r="M2974" i="1" s="1"/>
  <c r="N2974" i="1" s="1"/>
  <c r="L2975" i="1"/>
  <c r="M2975" i="1" s="1"/>
  <c r="N2975" i="1" s="1"/>
  <c r="L2976" i="1"/>
  <c r="M2976" i="1" s="1"/>
  <c r="N2976" i="1" s="1"/>
  <c r="L2977" i="1"/>
  <c r="M2977" i="1" s="1"/>
  <c r="N2977" i="1" s="1"/>
  <c r="L2978" i="1"/>
  <c r="M2978" i="1" s="1"/>
  <c r="N2978" i="1" s="1"/>
  <c r="L2979" i="1"/>
  <c r="M2979" i="1" s="1"/>
  <c r="N2979" i="1" s="1"/>
  <c r="L2980" i="1"/>
  <c r="M2980" i="1" s="1"/>
  <c r="N2980" i="1" s="1"/>
  <c r="L2981" i="1"/>
  <c r="M2981" i="1" s="1"/>
  <c r="N2981" i="1" s="1"/>
  <c r="L2982" i="1"/>
  <c r="M2982" i="1" s="1"/>
  <c r="N2982" i="1" s="1"/>
  <c r="L2983" i="1"/>
  <c r="M2983" i="1" s="1"/>
  <c r="N2983" i="1" s="1"/>
  <c r="L2984" i="1"/>
  <c r="M2984" i="1" s="1"/>
  <c r="N2984" i="1" s="1"/>
  <c r="L2985" i="1"/>
  <c r="M2985" i="1" s="1"/>
  <c r="N2985" i="1" s="1"/>
  <c r="L2986" i="1"/>
  <c r="M2986" i="1" s="1"/>
  <c r="N2986" i="1" s="1"/>
  <c r="L2987" i="1"/>
  <c r="M2987" i="1" s="1"/>
  <c r="N2987" i="1" s="1"/>
  <c r="L2988" i="1"/>
  <c r="M2988" i="1" s="1"/>
  <c r="N2988" i="1" s="1"/>
  <c r="L2989" i="1"/>
  <c r="M2989" i="1" s="1"/>
  <c r="N2989" i="1" s="1"/>
  <c r="L2990" i="1"/>
  <c r="M2990" i="1" s="1"/>
  <c r="N2990" i="1" s="1"/>
  <c r="L2991" i="1"/>
  <c r="M2991" i="1" s="1"/>
  <c r="N2991" i="1" s="1"/>
  <c r="L2992" i="1"/>
  <c r="M2992" i="1" s="1"/>
  <c r="N2992" i="1" s="1"/>
  <c r="L2993" i="1"/>
  <c r="M2993" i="1" s="1"/>
  <c r="N2993" i="1" s="1"/>
  <c r="L2994" i="1"/>
  <c r="M2994" i="1" s="1"/>
  <c r="N2994" i="1" s="1"/>
  <c r="L2995" i="1"/>
  <c r="M2995" i="1" s="1"/>
  <c r="N2995" i="1" s="1"/>
  <c r="L2996" i="1"/>
  <c r="M2996" i="1" s="1"/>
  <c r="N2996" i="1" s="1"/>
  <c r="L2997" i="1"/>
  <c r="M2997" i="1" s="1"/>
  <c r="N2997" i="1" s="1"/>
  <c r="L2998" i="1"/>
  <c r="M2998" i="1" s="1"/>
  <c r="N2998" i="1" s="1"/>
  <c r="L2999" i="1"/>
  <c r="M2999" i="1" s="1"/>
  <c r="N2999" i="1" s="1"/>
  <c r="L3000" i="1"/>
  <c r="M3000" i="1" s="1"/>
  <c r="N3000" i="1" s="1"/>
  <c r="L3001" i="1"/>
  <c r="M3001" i="1" s="1"/>
  <c r="N3001" i="1" s="1"/>
  <c r="L3002" i="1"/>
  <c r="M3002" i="1" s="1"/>
  <c r="N3002" i="1" s="1"/>
  <c r="L3003" i="1"/>
  <c r="M3003" i="1" s="1"/>
  <c r="N3003" i="1" s="1"/>
  <c r="L3004" i="1"/>
  <c r="M3004" i="1" s="1"/>
  <c r="N3004" i="1" s="1"/>
  <c r="L3005" i="1"/>
  <c r="M3005" i="1" s="1"/>
  <c r="N3005" i="1" s="1"/>
  <c r="L3006" i="1"/>
  <c r="M3006" i="1" s="1"/>
  <c r="N3006" i="1" s="1"/>
  <c r="L3007" i="1"/>
  <c r="M3007" i="1" s="1"/>
  <c r="N3007" i="1" s="1"/>
  <c r="L3008" i="1"/>
  <c r="M3008" i="1" s="1"/>
  <c r="N3008" i="1" s="1"/>
  <c r="L3009" i="1"/>
  <c r="M3009" i="1" s="1"/>
  <c r="N3009" i="1" s="1"/>
  <c r="L3010" i="1"/>
  <c r="M3010" i="1" s="1"/>
  <c r="N3010" i="1" s="1"/>
  <c r="L3011" i="1"/>
  <c r="M3011" i="1" s="1"/>
  <c r="N3011" i="1" s="1"/>
  <c r="L3012" i="1"/>
  <c r="M3012" i="1" s="1"/>
  <c r="N3012" i="1" s="1"/>
  <c r="L3013" i="1"/>
  <c r="M3013" i="1" s="1"/>
  <c r="N3013" i="1" s="1"/>
  <c r="L3014" i="1"/>
  <c r="M3014" i="1" s="1"/>
  <c r="N3014" i="1" s="1"/>
  <c r="L3015" i="1"/>
  <c r="M3015" i="1" s="1"/>
  <c r="N3015" i="1" s="1"/>
  <c r="L3016" i="1"/>
  <c r="M3016" i="1" s="1"/>
  <c r="N3016" i="1" s="1"/>
  <c r="L3017" i="1"/>
  <c r="M3017" i="1" s="1"/>
  <c r="N3017" i="1" s="1"/>
  <c r="L3018" i="1"/>
  <c r="M3018" i="1" s="1"/>
  <c r="N3018" i="1" s="1"/>
  <c r="L3019" i="1"/>
  <c r="M3019" i="1" s="1"/>
  <c r="N3019" i="1" s="1"/>
  <c r="L3020" i="1"/>
  <c r="M3020" i="1" s="1"/>
  <c r="N3020" i="1" s="1"/>
  <c r="L3021" i="1"/>
  <c r="M3021" i="1" s="1"/>
  <c r="N3021" i="1" s="1"/>
  <c r="L3022" i="1"/>
  <c r="M3022" i="1" s="1"/>
  <c r="N3022" i="1" s="1"/>
  <c r="L3023" i="1"/>
  <c r="M3023" i="1" s="1"/>
  <c r="N3023" i="1" s="1"/>
  <c r="L3024" i="1"/>
  <c r="M3024" i="1" s="1"/>
  <c r="N3024" i="1" s="1"/>
  <c r="L3025" i="1"/>
  <c r="M3025" i="1" s="1"/>
  <c r="N3025" i="1" s="1"/>
  <c r="L3026" i="1"/>
  <c r="M3026" i="1" s="1"/>
  <c r="N3026" i="1" s="1"/>
  <c r="L3027" i="1"/>
  <c r="M3027" i="1" s="1"/>
  <c r="N3027" i="1" s="1"/>
  <c r="L3028" i="1"/>
  <c r="M3028" i="1" s="1"/>
  <c r="N3028" i="1" s="1"/>
  <c r="L3029" i="1"/>
  <c r="M3029" i="1" s="1"/>
  <c r="N3029" i="1" s="1"/>
  <c r="L3030" i="1"/>
  <c r="M3030" i="1" s="1"/>
  <c r="N3030" i="1" s="1"/>
  <c r="L3031" i="1"/>
  <c r="M3031" i="1" s="1"/>
  <c r="N3031" i="1" s="1"/>
  <c r="L3032" i="1"/>
  <c r="M3032" i="1" s="1"/>
  <c r="N3032" i="1" s="1"/>
  <c r="L3033" i="1"/>
  <c r="M3033" i="1" s="1"/>
  <c r="N3033" i="1" s="1"/>
  <c r="L3034" i="1"/>
  <c r="M3034" i="1" s="1"/>
  <c r="N3034" i="1" s="1"/>
  <c r="L3035" i="1"/>
  <c r="M3035" i="1" s="1"/>
  <c r="N3035" i="1" s="1"/>
  <c r="L3036" i="1"/>
  <c r="M3036" i="1" s="1"/>
  <c r="N3036" i="1" s="1"/>
  <c r="L3037" i="1"/>
  <c r="M3037" i="1" s="1"/>
  <c r="N3037" i="1" s="1"/>
  <c r="L3038" i="1"/>
  <c r="M3038" i="1" s="1"/>
  <c r="N3038" i="1" s="1"/>
  <c r="L3039" i="1"/>
  <c r="M3039" i="1" s="1"/>
  <c r="N3039" i="1" s="1"/>
  <c r="L3040" i="1"/>
  <c r="M3040" i="1" s="1"/>
  <c r="N3040" i="1" s="1"/>
  <c r="L3041" i="1"/>
  <c r="M3041" i="1" s="1"/>
  <c r="N3041" i="1" s="1"/>
  <c r="L3042" i="1"/>
  <c r="M3042" i="1" s="1"/>
  <c r="N3042" i="1" s="1"/>
  <c r="L3043" i="1"/>
  <c r="M3043" i="1" s="1"/>
  <c r="N3043" i="1" s="1"/>
  <c r="L3044" i="1"/>
  <c r="M3044" i="1" s="1"/>
  <c r="N3044" i="1" s="1"/>
  <c r="L3045" i="1"/>
  <c r="M3045" i="1" s="1"/>
  <c r="N3045" i="1" s="1"/>
  <c r="L3046" i="1"/>
  <c r="M3046" i="1" s="1"/>
  <c r="N3046" i="1" s="1"/>
  <c r="L3047" i="1"/>
  <c r="M3047" i="1" s="1"/>
  <c r="N3047" i="1" s="1"/>
  <c r="L3048" i="1"/>
  <c r="M3048" i="1" s="1"/>
  <c r="N3048" i="1" s="1"/>
  <c r="L3049" i="1"/>
  <c r="M3049" i="1" s="1"/>
  <c r="N3049" i="1" s="1"/>
  <c r="L3050" i="1"/>
  <c r="M3050" i="1" s="1"/>
  <c r="N3050" i="1" s="1"/>
  <c r="L3051" i="1"/>
  <c r="M3051" i="1" s="1"/>
  <c r="N3051" i="1" s="1"/>
  <c r="L3052" i="1"/>
  <c r="M3052" i="1" s="1"/>
  <c r="N3052" i="1" s="1"/>
  <c r="L3053" i="1"/>
  <c r="M3053" i="1" s="1"/>
  <c r="N3053" i="1" s="1"/>
  <c r="L3054" i="1"/>
  <c r="M3054" i="1" s="1"/>
  <c r="N3054" i="1" s="1"/>
  <c r="L3055" i="1"/>
  <c r="M3055" i="1" s="1"/>
  <c r="N3055" i="1" s="1"/>
  <c r="L3056" i="1"/>
  <c r="M3056" i="1" s="1"/>
  <c r="N3056" i="1" s="1"/>
  <c r="L3057" i="1"/>
  <c r="M3057" i="1" s="1"/>
  <c r="N3057" i="1" s="1"/>
  <c r="L3058" i="1"/>
  <c r="M3058" i="1" s="1"/>
  <c r="N3058" i="1" s="1"/>
  <c r="L3059" i="1"/>
  <c r="M3059" i="1" s="1"/>
  <c r="N3059" i="1" s="1"/>
  <c r="L3060" i="1"/>
  <c r="M3060" i="1" s="1"/>
  <c r="N3060" i="1" s="1"/>
  <c r="L3061" i="1"/>
  <c r="M3061" i="1" s="1"/>
  <c r="N3061" i="1" s="1"/>
  <c r="L3062" i="1"/>
  <c r="M3062" i="1" s="1"/>
  <c r="N3062" i="1" s="1"/>
  <c r="L3063" i="1"/>
  <c r="M3063" i="1" s="1"/>
  <c r="N3063" i="1" s="1"/>
  <c r="L3064" i="1"/>
  <c r="M3064" i="1" s="1"/>
  <c r="N3064" i="1" s="1"/>
  <c r="L3065" i="1"/>
  <c r="M3065" i="1" s="1"/>
  <c r="N3065" i="1" s="1"/>
  <c r="L3066" i="1"/>
  <c r="M3066" i="1" s="1"/>
  <c r="N3066" i="1" s="1"/>
  <c r="L3067" i="1"/>
  <c r="M3067" i="1" s="1"/>
  <c r="N3067" i="1" s="1"/>
  <c r="L3068" i="1"/>
  <c r="M3068" i="1" s="1"/>
  <c r="N3068" i="1" s="1"/>
  <c r="L3069" i="1"/>
  <c r="M3069" i="1" s="1"/>
  <c r="N3069" i="1" s="1"/>
  <c r="L3070" i="1"/>
  <c r="M3070" i="1" s="1"/>
  <c r="N3070" i="1" s="1"/>
  <c r="L3071" i="1"/>
  <c r="M3071" i="1" s="1"/>
  <c r="N3071" i="1" s="1"/>
  <c r="L3072" i="1"/>
  <c r="M3072" i="1" s="1"/>
  <c r="N3072" i="1" s="1"/>
  <c r="L3073" i="1"/>
  <c r="M3073" i="1" s="1"/>
  <c r="N3073" i="1" s="1"/>
  <c r="L3074" i="1"/>
  <c r="M3074" i="1" s="1"/>
  <c r="N3074" i="1" s="1"/>
  <c r="L3075" i="1"/>
  <c r="M3075" i="1" s="1"/>
  <c r="N3075" i="1" s="1"/>
  <c r="L3076" i="1"/>
  <c r="M3076" i="1" s="1"/>
  <c r="N3076" i="1" s="1"/>
  <c r="L3077" i="1"/>
  <c r="M3077" i="1" s="1"/>
  <c r="N3077" i="1" s="1"/>
  <c r="L3078" i="1"/>
  <c r="M3078" i="1" s="1"/>
  <c r="N3078" i="1" s="1"/>
  <c r="L3079" i="1"/>
  <c r="M3079" i="1" s="1"/>
  <c r="N3079" i="1" s="1"/>
  <c r="L3080" i="1"/>
  <c r="M3080" i="1" s="1"/>
  <c r="N3080" i="1" s="1"/>
  <c r="L3081" i="1"/>
  <c r="M3081" i="1" s="1"/>
  <c r="N3081" i="1" s="1"/>
  <c r="L3082" i="1"/>
  <c r="M3082" i="1" s="1"/>
  <c r="N3082" i="1" s="1"/>
  <c r="L3083" i="1"/>
  <c r="M3083" i="1" s="1"/>
  <c r="N3083" i="1" s="1"/>
  <c r="L3084" i="1"/>
  <c r="M3084" i="1" s="1"/>
  <c r="N3084" i="1" s="1"/>
  <c r="L3085" i="1"/>
  <c r="M3085" i="1" s="1"/>
  <c r="N3085" i="1" s="1"/>
  <c r="L3086" i="1"/>
  <c r="M3086" i="1" s="1"/>
  <c r="N3086" i="1" s="1"/>
  <c r="L3087" i="1"/>
  <c r="M3087" i="1" s="1"/>
  <c r="N3087" i="1" s="1"/>
  <c r="L3088" i="1"/>
  <c r="M3088" i="1" s="1"/>
  <c r="N3088" i="1" s="1"/>
  <c r="L3089" i="1"/>
  <c r="M3089" i="1" s="1"/>
  <c r="N3089" i="1" s="1"/>
  <c r="L3090" i="1"/>
  <c r="M3090" i="1" s="1"/>
  <c r="N3090" i="1" s="1"/>
  <c r="L3091" i="1"/>
  <c r="M3091" i="1" s="1"/>
  <c r="N3091" i="1" s="1"/>
  <c r="L3092" i="1"/>
  <c r="M3092" i="1" s="1"/>
  <c r="N3092" i="1" s="1"/>
  <c r="L3093" i="1"/>
  <c r="M3093" i="1" s="1"/>
  <c r="N3093" i="1" s="1"/>
  <c r="L3094" i="1"/>
  <c r="M3094" i="1" s="1"/>
  <c r="N3094" i="1" s="1"/>
  <c r="L3095" i="1"/>
  <c r="M3095" i="1" s="1"/>
  <c r="N3095" i="1" s="1"/>
  <c r="L3096" i="1"/>
  <c r="M3096" i="1" s="1"/>
  <c r="N3096" i="1" s="1"/>
  <c r="L3097" i="1"/>
  <c r="M3097" i="1" s="1"/>
  <c r="N3097" i="1" s="1"/>
  <c r="L3098" i="1"/>
  <c r="M3098" i="1" s="1"/>
  <c r="N3098" i="1" s="1"/>
  <c r="L3099" i="1"/>
  <c r="M3099" i="1" s="1"/>
  <c r="N3099" i="1" s="1"/>
  <c r="L3100" i="1"/>
  <c r="M3100" i="1" s="1"/>
  <c r="N3100" i="1" s="1"/>
  <c r="L3101" i="1"/>
  <c r="M3101" i="1" s="1"/>
  <c r="N3101" i="1" s="1"/>
  <c r="L3102" i="1"/>
  <c r="M3102" i="1" s="1"/>
  <c r="N3102" i="1" s="1"/>
  <c r="L3103" i="1"/>
  <c r="M3103" i="1" s="1"/>
  <c r="N3103" i="1" s="1"/>
  <c r="L3104" i="1"/>
  <c r="M3104" i="1" s="1"/>
  <c r="N3104" i="1" s="1"/>
  <c r="L3105" i="1"/>
  <c r="M3105" i="1" s="1"/>
  <c r="N3105" i="1" s="1"/>
  <c r="L3106" i="1"/>
  <c r="M3106" i="1" s="1"/>
  <c r="N3106" i="1" s="1"/>
  <c r="L3107" i="1"/>
  <c r="M3107" i="1" s="1"/>
  <c r="N3107" i="1" s="1"/>
  <c r="L3108" i="1"/>
  <c r="M3108" i="1" s="1"/>
  <c r="N3108" i="1" s="1"/>
  <c r="L3109" i="1"/>
  <c r="M3109" i="1" s="1"/>
  <c r="N3109" i="1" s="1"/>
  <c r="L3110" i="1"/>
  <c r="M3110" i="1" s="1"/>
  <c r="N3110" i="1" s="1"/>
  <c r="L3111" i="1"/>
  <c r="M3111" i="1" s="1"/>
  <c r="N3111" i="1" s="1"/>
  <c r="L3112" i="1"/>
  <c r="M3112" i="1" s="1"/>
  <c r="N3112" i="1" s="1"/>
  <c r="L3113" i="1"/>
  <c r="M3113" i="1" s="1"/>
  <c r="N3113" i="1" s="1"/>
  <c r="L3114" i="1"/>
  <c r="M3114" i="1" s="1"/>
  <c r="N3114" i="1" s="1"/>
  <c r="L3115" i="1"/>
  <c r="M3115" i="1" s="1"/>
  <c r="N3115" i="1" s="1"/>
  <c r="L3116" i="1"/>
  <c r="M3116" i="1" s="1"/>
  <c r="N3116" i="1" s="1"/>
  <c r="L3117" i="1"/>
  <c r="M3117" i="1" s="1"/>
  <c r="N3117" i="1" s="1"/>
  <c r="L3118" i="1"/>
  <c r="M3118" i="1" s="1"/>
  <c r="N3118" i="1" s="1"/>
  <c r="L3119" i="1"/>
  <c r="M3119" i="1" s="1"/>
  <c r="N3119" i="1" s="1"/>
  <c r="L3120" i="1"/>
  <c r="M3120" i="1" s="1"/>
  <c r="N3120" i="1" s="1"/>
  <c r="L3121" i="1"/>
  <c r="M3121" i="1" s="1"/>
  <c r="N3121" i="1" s="1"/>
  <c r="L3122" i="1"/>
  <c r="M3122" i="1" s="1"/>
  <c r="N3122" i="1" s="1"/>
  <c r="L3123" i="1"/>
  <c r="M3123" i="1" s="1"/>
  <c r="N3123" i="1" s="1"/>
  <c r="L3124" i="1"/>
  <c r="M3124" i="1" s="1"/>
  <c r="N3124" i="1" s="1"/>
  <c r="L3125" i="1"/>
  <c r="M3125" i="1" s="1"/>
  <c r="N3125" i="1" s="1"/>
  <c r="L3126" i="1"/>
  <c r="M3126" i="1" s="1"/>
  <c r="N3126" i="1" s="1"/>
  <c r="L3127" i="1"/>
  <c r="M3127" i="1" s="1"/>
  <c r="N3127" i="1" s="1"/>
  <c r="L3128" i="1"/>
  <c r="M3128" i="1" s="1"/>
  <c r="N3128" i="1" s="1"/>
  <c r="L3129" i="1"/>
  <c r="M3129" i="1" s="1"/>
  <c r="N3129" i="1" s="1"/>
  <c r="L3130" i="1"/>
  <c r="M3130" i="1" s="1"/>
  <c r="N3130" i="1" s="1"/>
  <c r="L3131" i="1"/>
  <c r="M3131" i="1" s="1"/>
  <c r="N3131" i="1" s="1"/>
  <c r="L3132" i="1"/>
  <c r="M3132" i="1" s="1"/>
  <c r="N3132" i="1" s="1"/>
  <c r="L3133" i="1"/>
  <c r="M3133" i="1" s="1"/>
  <c r="N3133" i="1" s="1"/>
  <c r="L3134" i="1"/>
  <c r="M3134" i="1" s="1"/>
  <c r="N3134" i="1" s="1"/>
  <c r="L3135" i="1"/>
  <c r="M3135" i="1" s="1"/>
  <c r="N3135" i="1" s="1"/>
  <c r="L3136" i="1"/>
  <c r="M3136" i="1" s="1"/>
  <c r="N3136" i="1" s="1"/>
  <c r="L3137" i="1"/>
  <c r="M3137" i="1" s="1"/>
  <c r="N3137" i="1" s="1"/>
  <c r="L3138" i="1"/>
  <c r="M3138" i="1" s="1"/>
  <c r="N3138" i="1" s="1"/>
  <c r="L3139" i="1"/>
  <c r="M3139" i="1" s="1"/>
  <c r="N3139" i="1" s="1"/>
  <c r="L3140" i="1"/>
  <c r="M3140" i="1" s="1"/>
  <c r="N3140" i="1" s="1"/>
  <c r="L3141" i="1"/>
  <c r="M3141" i="1" s="1"/>
  <c r="N3141" i="1" s="1"/>
  <c r="L3142" i="1"/>
  <c r="M3142" i="1" s="1"/>
  <c r="N3142" i="1" s="1"/>
  <c r="L3143" i="1"/>
  <c r="M3143" i="1" s="1"/>
  <c r="N3143" i="1" s="1"/>
  <c r="L3144" i="1"/>
  <c r="M3144" i="1" s="1"/>
  <c r="N3144" i="1" s="1"/>
  <c r="L3145" i="1"/>
  <c r="M3145" i="1" s="1"/>
  <c r="N3145" i="1" s="1"/>
  <c r="L3146" i="1"/>
  <c r="M3146" i="1" s="1"/>
  <c r="N3146" i="1" s="1"/>
  <c r="L3147" i="1"/>
  <c r="M3147" i="1" s="1"/>
  <c r="N3147" i="1" s="1"/>
  <c r="L3148" i="1"/>
  <c r="M3148" i="1" s="1"/>
  <c r="N3148" i="1" s="1"/>
  <c r="L3149" i="1"/>
  <c r="M3149" i="1" s="1"/>
  <c r="N3149" i="1" s="1"/>
  <c r="L3150" i="1"/>
  <c r="M3150" i="1" s="1"/>
  <c r="N3150" i="1" s="1"/>
  <c r="L3151" i="1"/>
  <c r="M3151" i="1" s="1"/>
  <c r="N3151" i="1" s="1"/>
  <c r="L3152" i="1"/>
  <c r="M3152" i="1" s="1"/>
  <c r="N3152" i="1" s="1"/>
  <c r="L3153" i="1"/>
  <c r="M3153" i="1" s="1"/>
  <c r="N3153" i="1" s="1"/>
  <c r="L3154" i="1"/>
  <c r="M3154" i="1" s="1"/>
  <c r="N3154" i="1" s="1"/>
  <c r="L3155" i="1"/>
  <c r="M3155" i="1" s="1"/>
  <c r="N3155" i="1" s="1"/>
  <c r="L3156" i="1"/>
  <c r="M3156" i="1" s="1"/>
  <c r="N3156" i="1" s="1"/>
  <c r="L3157" i="1"/>
  <c r="M3157" i="1" s="1"/>
  <c r="N3157" i="1" s="1"/>
  <c r="L3158" i="1"/>
  <c r="M3158" i="1" s="1"/>
  <c r="N3158" i="1" s="1"/>
  <c r="L3159" i="1"/>
  <c r="M3159" i="1" s="1"/>
  <c r="N3159" i="1" s="1"/>
  <c r="L3160" i="1"/>
  <c r="M3160" i="1" s="1"/>
  <c r="N3160" i="1" s="1"/>
  <c r="L3161" i="1"/>
  <c r="M3161" i="1" s="1"/>
  <c r="N3161" i="1" s="1"/>
  <c r="L3162" i="1"/>
  <c r="M3162" i="1" s="1"/>
  <c r="N3162" i="1" s="1"/>
  <c r="L3163" i="1"/>
  <c r="M3163" i="1" s="1"/>
  <c r="N3163" i="1" s="1"/>
  <c r="L3164" i="1"/>
  <c r="M3164" i="1" s="1"/>
  <c r="N3164" i="1" s="1"/>
  <c r="L3165" i="1"/>
  <c r="M3165" i="1" s="1"/>
  <c r="N3165" i="1" s="1"/>
  <c r="L3166" i="1"/>
  <c r="M3166" i="1" s="1"/>
  <c r="N3166" i="1" s="1"/>
  <c r="L3167" i="1"/>
  <c r="M3167" i="1" s="1"/>
  <c r="N3167" i="1" s="1"/>
  <c r="L3168" i="1"/>
  <c r="M3168" i="1" s="1"/>
  <c r="N3168" i="1" s="1"/>
  <c r="L3169" i="1"/>
  <c r="M3169" i="1" s="1"/>
  <c r="N3169" i="1" s="1"/>
  <c r="L3170" i="1"/>
  <c r="M3170" i="1" s="1"/>
  <c r="N3170" i="1" s="1"/>
  <c r="L3171" i="1"/>
  <c r="M3171" i="1" s="1"/>
  <c r="N3171" i="1" s="1"/>
  <c r="L3172" i="1"/>
  <c r="M3172" i="1" s="1"/>
  <c r="N3172" i="1" s="1"/>
  <c r="L3173" i="1"/>
  <c r="M3173" i="1" s="1"/>
  <c r="N3173" i="1" s="1"/>
  <c r="L3174" i="1"/>
  <c r="M3174" i="1" s="1"/>
  <c r="N3174" i="1" s="1"/>
  <c r="L3175" i="1"/>
  <c r="M3175" i="1" s="1"/>
  <c r="N3175" i="1" s="1"/>
  <c r="L3176" i="1"/>
  <c r="M3176" i="1" s="1"/>
  <c r="N3176" i="1" s="1"/>
  <c r="L3177" i="1"/>
  <c r="M3177" i="1" s="1"/>
  <c r="N3177" i="1" s="1"/>
  <c r="L3178" i="1"/>
  <c r="M3178" i="1" s="1"/>
  <c r="N3178" i="1" s="1"/>
  <c r="L3179" i="1"/>
  <c r="M3179" i="1" s="1"/>
  <c r="N3179" i="1" s="1"/>
  <c r="L3180" i="1"/>
  <c r="M3180" i="1" s="1"/>
  <c r="N3180" i="1" s="1"/>
  <c r="L3181" i="1"/>
  <c r="M3181" i="1" s="1"/>
  <c r="N3181" i="1" s="1"/>
  <c r="L3182" i="1"/>
  <c r="M3182" i="1" s="1"/>
  <c r="N3182" i="1" s="1"/>
  <c r="L3183" i="1"/>
  <c r="M3183" i="1" s="1"/>
  <c r="N3183" i="1" s="1"/>
  <c r="L3184" i="1"/>
  <c r="M3184" i="1" s="1"/>
  <c r="N3184" i="1" s="1"/>
  <c r="L3185" i="1"/>
  <c r="M3185" i="1" s="1"/>
  <c r="N3185" i="1" s="1"/>
  <c r="L3186" i="1"/>
  <c r="M3186" i="1" s="1"/>
  <c r="N3186" i="1" s="1"/>
  <c r="L3187" i="1"/>
  <c r="M3187" i="1" s="1"/>
  <c r="N3187" i="1" s="1"/>
  <c r="L3188" i="1"/>
  <c r="M3188" i="1" s="1"/>
  <c r="N3188" i="1" s="1"/>
  <c r="L3189" i="1"/>
  <c r="M3189" i="1" s="1"/>
  <c r="N3189" i="1" s="1"/>
  <c r="L3190" i="1"/>
  <c r="M3190" i="1" s="1"/>
  <c r="N3190" i="1" s="1"/>
  <c r="L3191" i="1"/>
  <c r="M3191" i="1" s="1"/>
  <c r="N3191" i="1" s="1"/>
  <c r="L3192" i="1"/>
  <c r="M3192" i="1" s="1"/>
  <c r="N3192" i="1" s="1"/>
  <c r="L3193" i="1"/>
  <c r="M3193" i="1" s="1"/>
  <c r="N3193" i="1" s="1"/>
  <c r="L3194" i="1"/>
  <c r="M3194" i="1" s="1"/>
  <c r="N3194" i="1" s="1"/>
  <c r="L3195" i="1"/>
  <c r="M3195" i="1" s="1"/>
  <c r="N3195" i="1" s="1"/>
  <c r="L3196" i="1"/>
  <c r="M3196" i="1" s="1"/>
  <c r="N3196" i="1" s="1"/>
  <c r="L3197" i="1"/>
  <c r="M3197" i="1" s="1"/>
  <c r="N3197" i="1" s="1"/>
  <c r="L3198" i="1"/>
  <c r="M3198" i="1" s="1"/>
  <c r="N3198" i="1" s="1"/>
  <c r="L3199" i="1"/>
  <c r="M3199" i="1" s="1"/>
  <c r="N3199" i="1" s="1"/>
  <c r="L3200" i="1"/>
  <c r="M3200" i="1" s="1"/>
  <c r="N3200" i="1" s="1"/>
  <c r="L3201" i="1"/>
  <c r="M3201" i="1" s="1"/>
  <c r="N3201" i="1" s="1"/>
  <c r="L3202" i="1"/>
  <c r="M3202" i="1" s="1"/>
  <c r="N3202" i="1" s="1"/>
  <c r="L3203" i="1"/>
  <c r="M3203" i="1" s="1"/>
  <c r="N3203" i="1" s="1"/>
  <c r="L3204" i="1"/>
  <c r="M3204" i="1" s="1"/>
  <c r="N3204" i="1" s="1"/>
  <c r="L3205" i="1"/>
  <c r="M3205" i="1" s="1"/>
  <c r="N3205" i="1" s="1"/>
  <c r="L3206" i="1"/>
  <c r="M3206" i="1" s="1"/>
  <c r="N3206" i="1" s="1"/>
  <c r="L3207" i="1"/>
  <c r="M3207" i="1" s="1"/>
  <c r="N3207" i="1" s="1"/>
  <c r="L3208" i="1"/>
  <c r="M3208" i="1" s="1"/>
  <c r="N3208" i="1" s="1"/>
  <c r="L3209" i="1"/>
  <c r="M3209" i="1" s="1"/>
  <c r="N3209" i="1" s="1"/>
  <c r="L3210" i="1"/>
  <c r="M3210" i="1" s="1"/>
  <c r="N3210" i="1" s="1"/>
  <c r="L3211" i="1"/>
  <c r="M3211" i="1" s="1"/>
  <c r="N3211" i="1" s="1"/>
  <c r="L3212" i="1"/>
  <c r="M3212" i="1" s="1"/>
  <c r="N3212" i="1" s="1"/>
  <c r="L3213" i="1"/>
  <c r="M3213" i="1" s="1"/>
  <c r="N3213" i="1" s="1"/>
  <c r="L3214" i="1"/>
  <c r="M3214" i="1" s="1"/>
  <c r="N3214" i="1" s="1"/>
  <c r="L3215" i="1"/>
  <c r="M3215" i="1" s="1"/>
  <c r="N3215" i="1" s="1"/>
  <c r="L3216" i="1"/>
  <c r="M3216" i="1" s="1"/>
  <c r="N3216" i="1" s="1"/>
  <c r="L3217" i="1"/>
  <c r="M3217" i="1" s="1"/>
  <c r="N3217" i="1" s="1"/>
  <c r="L3218" i="1"/>
  <c r="M3218" i="1" s="1"/>
  <c r="N3218" i="1" s="1"/>
  <c r="L3219" i="1"/>
  <c r="M3219" i="1" s="1"/>
  <c r="N3219" i="1" s="1"/>
  <c r="L3220" i="1"/>
  <c r="M3220" i="1" s="1"/>
  <c r="N3220" i="1" s="1"/>
  <c r="L3221" i="1"/>
  <c r="M3221" i="1" s="1"/>
  <c r="N3221" i="1" s="1"/>
  <c r="L3222" i="1"/>
  <c r="M3222" i="1" s="1"/>
  <c r="N3222" i="1" s="1"/>
  <c r="L3223" i="1"/>
  <c r="M3223" i="1" s="1"/>
  <c r="N3223" i="1" s="1"/>
  <c r="L3224" i="1"/>
  <c r="M3224" i="1" s="1"/>
  <c r="N3224" i="1" s="1"/>
  <c r="L3225" i="1"/>
  <c r="M3225" i="1" s="1"/>
  <c r="N3225" i="1" s="1"/>
  <c r="L3226" i="1"/>
  <c r="M3226" i="1" s="1"/>
  <c r="N3226" i="1" s="1"/>
  <c r="L3227" i="1"/>
  <c r="M3227" i="1" s="1"/>
  <c r="N3227" i="1" s="1"/>
  <c r="L3228" i="1"/>
  <c r="M3228" i="1" s="1"/>
  <c r="N3228" i="1" s="1"/>
  <c r="L3229" i="1"/>
  <c r="M3229" i="1" s="1"/>
  <c r="N3229" i="1" s="1"/>
  <c r="L3230" i="1"/>
  <c r="M3230" i="1" s="1"/>
  <c r="N3230" i="1" s="1"/>
  <c r="L3231" i="1"/>
  <c r="M3231" i="1" s="1"/>
  <c r="N3231" i="1" s="1"/>
  <c r="L3232" i="1"/>
  <c r="M3232" i="1" s="1"/>
  <c r="N3232" i="1" s="1"/>
  <c r="L3233" i="1"/>
  <c r="M3233" i="1" s="1"/>
  <c r="N3233" i="1" s="1"/>
  <c r="L3234" i="1"/>
  <c r="M3234" i="1" s="1"/>
  <c r="N3234" i="1" s="1"/>
  <c r="L3235" i="1"/>
  <c r="M3235" i="1" s="1"/>
  <c r="N3235" i="1" s="1"/>
  <c r="L3236" i="1"/>
  <c r="M3236" i="1" s="1"/>
  <c r="N3236" i="1" s="1"/>
  <c r="L3237" i="1"/>
  <c r="M3237" i="1" s="1"/>
  <c r="N3237" i="1" s="1"/>
  <c r="L3238" i="1"/>
  <c r="M3238" i="1" s="1"/>
  <c r="N3238" i="1" s="1"/>
  <c r="L3239" i="1"/>
  <c r="M3239" i="1" s="1"/>
  <c r="N3239" i="1" s="1"/>
  <c r="L3240" i="1"/>
  <c r="M3240" i="1" s="1"/>
  <c r="N3240" i="1" s="1"/>
  <c r="L3241" i="1"/>
  <c r="M3241" i="1" s="1"/>
  <c r="N3241" i="1" s="1"/>
  <c r="L3242" i="1"/>
  <c r="M3242" i="1" s="1"/>
  <c r="N3242" i="1" s="1"/>
  <c r="L3243" i="1"/>
  <c r="M3243" i="1" s="1"/>
  <c r="N3243" i="1" s="1"/>
  <c r="L3244" i="1"/>
  <c r="M3244" i="1" s="1"/>
  <c r="N3244" i="1" s="1"/>
  <c r="L3245" i="1"/>
  <c r="M3245" i="1" s="1"/>
  <c r="N3245" i="1" s="1"/>
  <c r="L3246" i="1"/>
  <c r="M3246" i="1" s="1"/>
  <c r="N3246" i="1" s="1"/>
  <c r="L3247" i="1"/>
  <c r="M3247" i="1" s="1"/>
  <c r="N3247" i="1" s="1"/>
  <c r="L3248" i="1"/>
  <c r="M3248" i="1" s="1"/>
  <c r="N3248" i="1" s="1"/>
  <c r="L3249" i="1"/>
  <c r="M3249" i="1" s="1"/>
  <c r="N3249" i="1" s="1"/>
  <c r="L3250" i="1"/>
  <c r="M3250" i="1" s="1"/>
  <c r="N3250" i="1" s="1"/>
  <c r="L3251" i="1"/>
  <c r="M3251" i="1" s="1"/>
  <c r="N3251" i="1" s="1"/>
  <c r="L3252" i="1"/>
  <c r="M3252" i="1" s="1"/>
  <c r="N3252" i="1" s="1"/>
  <c r="L3253" i="1"/>
  <c r="M3253" i="1" s="1"/>
  <c r="N3253" i="1" s="1"/>
  <c r="L3254" i="1"/>
  <c r="M3254" i="1" s="1"/>
  <c r="N3254" i="1" s="1"/>
  <c r="L3255" i="1"/>
  <c r="M3255" i="1" s="1"/>
  <c r="N3255" i="1" s="1"/>
  <c r="L3256" i="1"/>
  <c r="M3256" i="1" s="1"/>
  <c r="N3256" i="1" s="1"/>
  <c r="L3257" i="1"/>
  <c r="M3257" i="1" s="1"/>
  <c r="N3257" i="1" s="1"/>
  <c r="L3258" i="1"/>
  <c r="M3258" i="1" s="1"/>
  <c r="N3258" i="1" s="1"/>
  <c r="L3259" i="1"/>
  <c r="M3259" i="1" s="1"/>
  <c r="N3259" i="1" s="1"/>
  <c r="L3260" i="1"/>
  <c r="M3260" i="1" s="1"/>
  <c r="N3260" i="1" s="1"/>
  <c r="L3261" i="1"/>
  <c r="M3261" i="1" s="1"/>
  <c r="N3261" i="1" s="1"/>
  <c r="L3262" i="1"/>
  <c r="M3262" i="1" s="1"/>
  <c r="N3262" i="1" s="1"/>
  <c r="L3263" i="1"/>
  <c r="M3263" i="1" s="1"/>
  <c r="N3263" i="1" s="1"/>
  <c r="L3264" i="1"/>
  <c r="M3264" i="1" s="1"/>
  <c r="N3264" i="1" s="1"/>
  <c r="L3265" i="1"/>
  <c r="M3265" i="1" s="1"/>
  <c r="N3265" i="1" s="1"/>
  <c r="L3266" i="1"/>
  <c r="M3266" i="1" s="1"/>
  <c r="N3266" i="1" s="1"/>
  <c r="L3267" i="1"/>
  <c r="M3267" i="1" s="1"/>
  <c r="N3267" i="1" s="1"/>
  <c r="L3268" i="1"/>
  <c r="M3268" i="1" s="1"/>
  <c r="N3268" i="1" s="1"/>
  <c r="L3269" i="1"/>
  <c r="M3269" i="1" s="1"/>
  <c r="N3269" i="1" s="1"/>
  <c r="L3270" i="1"/>
  <c r="M3270" i="1" s="1"/>
  <c r="N3270" i="1" s="1"/>
  <c r="L3271" i="1"/>
  <c r="M3271" i="1" s="1"/>
  <c r="N3271" i="1" s="1"/>
  <c r="L3272" i="1"/>
  <c r="M3272" i="1" s="1"/>
  <c r="N3272" i="1" s="1"/>
  <c r="L3273" i="1"/>
  <c r="M3273" i="1" s="1"/>
  <c r="N3273" i="1" s="1"/>
  <c r="L3274" i="1"/>
  <c r="M3274" i="1" s="1"/>
  <c r="N3274" i="1" s="1"/>
  <c r="L3275" i="1"/>
  <c r="M3275" i="1" s="1"/>
  <c r="N3275" i="1" s="1"/>
  <c r="L3276" i="1"/>
  <c r="M3276" i="1" s="1"/>
  <c r="N3276" i="1" s="1"/>
  <c r="L3277" i="1"/>
  <c r="M3277" i="1" s="1"/>
  <c r="N3277" i="1" s="1"/>
  <c r="L3278" i="1"/>
  <c r="M3278" i="1" s="1"/>
  <c r="N3278" i="1" s="1"/>
  <c r="L3279" i="1"/>
  <c r="M3279" i="1" s="1"/>
  <c r="N3279" i="1" s="1"/>
  <c r="L3280" i="1"/>
  <c r="M3280" i="1" s="1"/>
  <c r="N3280" i="1" s="1"/>
  <c r="L3281" i="1"/>
  <c r="M3281" i="1" s="1"/>
  <c r="N3281" i="1" s="1"/>
  <c r="L3282" i="1"/>
  <c r="M3282" i="1" s="1"/>
  <c r="N3282" i="1" s="1"/>
  <c r="L3283" i="1"/>
  <c r="M3283" i="1" s="1"/>
  <c r="N3283" i="1" s="1"/>
  <c r="L3284" i="1"/>
  <c r="M3284" i="1" s="1"/>
  <c r="N3284" i="1" s="1"/>
  <c r="L3285" i="1"/>
  <c r="M3285" i="1" s="1"/>
  <c r="N3285" i="1" s="1"/>
  <c r="L3286" i="1"/>
  <c r="M3286" i="1" s="1"/>
  <c r="N3286" i="1" s="1"/>
  <c r="L3287" i="1"/>
  <c r="M3287" i="1" s="1"/>
  <c r="N3287" i="1" s="1"/>
  <c r="L3288" i="1"/>
  <c r="M3288" i="1" s="1"/>
  <c r="N3288" i="1" s="1"/>
  <c r="L3289" i="1"/>
  <c r="M3289" i="1" s="1"/>
  <c r="N3289" i="1" s="1"/>
  <c r="L3290" i="1"/>
  <c r="M3290" i="1" s="1"/>
  <c r="N3290" i="1" s="1"/>
  <c r="L3291" i="1"/>
  <c r="M3291" i="1" s="1"/>
  <c r="N3291" i="1" s="1"/>
  <c r="L3292" i="1"/>
  <c r="M3292" i="1" s="1"/>
  <c r="N3292" i="1" s="1"/>
  <c r="L3293" i="1"/>
  <c r="M3293" i="1" s="1"/>
  <c r="N3293" i="1" s="1"/>
  <c r="L3294" i="1"/>
  <c r="M3294" i="1" s="1"/>
  <c r="N3294" i="1" s="1"/>
  <c r="L3295" i="1"/>
  <c r="M3295" i="1" s="1"/>
  <c r="N3295" i="1" s="1"/>
  <c r="L3296" i="1"/>
  <c r="M3296" i="1" s="1"/>
  <c r="N3296" i="1" s="1"/>
  <c r="L3297" i="1"/>
  <c r="M3297" i="1" s="1"/>
  <c r="N3297" i="1" s="1"/>
  <c r="L3298" i="1"/>
  <c r="M3298" i="1" s="1"/>
  <c r="N3298" i="1" s="1"/>
  <c r="L3299" i="1"/>
  <c r="M3299" i="1" s="1"/>
  <c r="N3299" i="1" s="1"/>
  <c r="L3300" i="1"/>
  <c r="M3300" i="1" s="1"/>
  <c r="N3300" i="1" s="1"/>
  <c r="L3301" i="1"/>
  <c r="M3301" i="1" s="1"/>
  <c r="N3301" i="1" s="1"/>
  <c r="L3302" i="1"/>
  <c r="M3302" i="1" s="1"/>
  <c r="N3302" i="1" s="1"/>
  <c r="L3303" i="1"/>
  <c r="M3303" i="1" s="1"/>
  <c r="N3303" i="1" s="1"/>
  <c r="L3304" i="1"/>
  <c r="M3304" i="1" s="1"/>
  <c r="N3304" i="1" s="1"/>
  <c r="L3305" i="1"/>
  <c r="M3305" i="1" s="1"/>
  <c r="N3305" i="1" s="1"/>
  <c r="L3306" i="1"/>
  <c r="M3306" i="1" s="1"/>
  <c r="N3306" i="1" s="1"/>
  <c r="L3307" i="1"/>
  <c r="M3307" i="1" s="1"/>
  <c r="N3307" i="1" s="1"/>
  <c r="L3308" i="1"/>
  <c r="M3308" i="1" s="1"/>
  <c r="N3308" i="1" s="1"/>
  <c r="L3309" i="1"/>
  <c r="M3309" i="1" s="1"/>
  <c r="N3309" i="1" s="1"/>
  <c r="L3310" i="1"/>
  <c r="M3310" i="1" s="1"/>
  <c r="N3310" i="1" s="1"/>
  <c r="L3311" i="1"/>
  <c r="M3311" i="1" s="1"/>
  <c r="N3311" i="1" s="1"/>
  <c r="L3312" i="1"/>
  <c r="M3312" i="1" s="1"/>
  <c r="N3312" i="1" s="1"/>
  <c r="L3313" i="1"/>
  <c r="M3313" i="1" s="1"/>
  <c r="N3313" i="1" s="1"/>
  <c r="L3314" i="1"/>
  <c r="M3314" i="1" s="1"/>
  <c r="N3314" i="1" s="1"/>
  <c r="L3315" i="1"/>
  <c r="M3315" i="1" s="1"/>
  <c r="N3315" i="1" s="1"/>
  <c r="L3316" i="1"/>
  <c r="M3316" i="1" s="1"/>
  <c r="N3316" i="1" s="1"/>
  <c r="L3317" i="1"/>
  <c r="M3317" i="1" s="1"/>
  <c r="N3317" i="1" s="1"/>
  <c r="L3318" i="1"/>
  <c r="M3318" i="1" s="1"/>
  <c r="N3318" i="1" s="1"/>
  <c r="L3319" i="1"/>
  <c r="M3319" i="1" s="1"/>
  <c r="N3319" i="1" s="1"/>
  <c r="L3320" i="1"/>
  <c r="M3320" i="1" s="1"/>
  <c r="N3320" i="1" s="1"/>
  <c r="L3321" i="1"/>
  <c r="M3321" i="1" s="1"/>
  <c r="N3321" i="1" s="1"/>
  <c r="L3322" i="1"/>
  <c r="M3322" i="1" s="1"/>
  <c r="N3322" i="1" s="1"/>
  <c r="L3323" i="1"/>
  <c r="M3323" i="1" s="1"/>
  <c r="N3323" i="1" s="1"/>
  <c r="L3324" i="1"/>
  <c r="M3324" i="1" s="1"/>
  <c r="N3324" i="1" s="1"/>
  <c r="L3325" i="1"/>
  <c r="M3325" i="1" s="1"/>
  <c r="N3325" i="1" s="1"/>
  <c r="L3326" i="1"/>
  <c r="M3326" i="1" s="1"/>
  <c r="N3326" i="1" s="1"/>
  <c r="L3327" i="1"/>
  <c r="M3327" i="1" s="1"/>
  <c r="N3327" i="1" s="1"/>
  <c r="L3328" i="1"/>
  <c r="M3328" i="1" s="1"/>
  <c r="N3328" i="1" s="1"/>
  <c r="L3329" i="1"/>
  <c r="M3329" i="1" s="1"/>
  <c r="N3329" i="1" s="1"/>
  <c r="L3330" i="1"/>
  <c r="M3330" i="1" s="1"/>
  <c r="N3330" i="1" s="1"/>
  <c r="L3331" i="1"/>
  <c r="M3331" i="1" s="1"/>
  <c r="N3331" i="1" s="1"/>
  <c r="L3332" i="1"/>
  <c r="M3332" i="1" s="1"/>
  <c r="N3332" i="1" s="1"/>
  <c r="L3333" i="1"/>
  <c r="M3333" i="1" s="1"/>
  <c r="N3333" i="1" s="1"/>
  <c r="L3334" i="1"/>
  <c r="M3334" i="1" s="1"/>
  <c r="N3334" i="1" s="1"/>
  <c r="L3335" i="1"/>
  <c r="M3335" i="1" s="1"/>
  <c r="N3335" i="1" s="1"/>
  <c r="L3336" i="1"/>
  <c r="M3336" i="1" s="1"/>
  <c r="N3336" i="1" s="1"/>
  <c r="L3337" i="1"/>
  <c r="M3337" i="1" s="1"/>
  <c r="N3337" i="1" s="1"/>
  <c r="L3338" i="1"/>
  <c r="M3338" i="1" s="1"/>
  <c r="N3338" i="1" s="1"/>
  <c r="L3339" i="1"/>
  <c r="M3339" i="1" s="1"/>
  <c r="N3339" i="1" s="1"/>
  <c r="L3340" i="1"/>
  <c r="M3340" i="1" s="1"/>
  <c r="N3340" i="1" s="1"/>
  <c r="L3341" i="1"/>
  <c r="M3341" i="1" s="1"/>
  <c r="N3341" i="1" s="1"/>
  <c r="L3342" i="1"/>
  <c r="M3342" i="1" s="1"/>
  <c r="N3342" i="1" s="1"/>
  <c r="L3343" i="1"/>
  <c r="M3343" i="1" s="1"/>
  <c r="N3343" i="1" s="1"/>
  <c r="L3344" i="1"/>
  <c r="M3344" i="1" s="1"/>
  <c r="N3344" i="1" s="1"/>
  <c r="L3345" i="1"/>
  <c r="M3345" i="1" s="1"/>
  <c r="N3345" i="1" s="1"/>
  <c r="L3346" i="1"/>
  <c r="M3346" i="1" s="1"/>
  <c r="N3346" i="1" s="1"/>
  <c r="L3347" i="1"/>
  <c r="M3347" i="1" s="1"/>
  <c r="N3347" i="1" s="1"/>
  <c r="L3348" i="1"/>
  <c r="M3348" i="1" s="1"/>
  <c r="N3348" i="1" s="1"/>
  <c r="L3349" i="1"/>
  <c r="M3349" i="1" s="1"/>
  <c r="N3349" i="1" s="1"/>
  <c r="L3350" i="1"/>
  <c r="M3350" i="1" s="1"/>
  <c r="N3350" i="1" s="1"/>
  <c r="L3351" i="1"/>
  <c r="M3351" i="1" s="1"/>
  <c r="N3351" i="1" s="1"/>
  <c r="L3352" i="1"/>
  <c r="M3352" i="1" s="1"/>
  <c r="N3352" i="1" s="1"/>
  <c r="L3353" i="1"/>
  <c r="M3353" i="1" s="1"/>
  <c r="N3353" i="1" s="1"/>
  <c r="L3354" i="1"/>
  <c r="M3354" i="1" s="1"/>
  <c r="N3354" i="1" s="1"/>
  <c r="L3355" i="1"/>
  <c r="M3355" i="1" s="1"/>
  <c r="N3355" i="1" s="1"/>
  <c r="L3356" i="1"/>
  <c r="M3356" i="1" s="1"/>
  <c r="N3356" i="1" s="1"/>
  <c r="L3357" i="1"/>
  <c r="M3357" i="1" s="1"/>
  <c r="N3357" i="1" s="1"/>
  <c r="L3358" i="1"/>
  <c r="M3358" i="1" s="1"/>
  <c r="N3358" i="1" s="1"/>
  <c r="L3359" i="1"/>
  <c r="M3359" i="1" s="1"/>
  <c r="N3359" i="1" s="1"/>
  <c r="L3360" i="1"/>
  <c r="M3360" i="1" s="1"/>
  <c r="N3360" i="1" s="1"/>
  <c r="L3361" i="1"/>
  <c r="M3361" i="1" s="1"/>
  <c r="N3361" i="1" s="1"/>
  <c r="L3362" i="1"/>
  <c r="M3362" i="1" s="1"/>
  <c r="N3362" i="1" s="1"/>
  <c r="L3363" i="1"/>
  <c r="M3363" i="1" s="1"/>
  <c r="N3363" i="1" s="1"/>
  <c r="L3364" i="1"/>
  <c r="M3364" i="1" s="1"/>
  <c r="N3364" i="1" s="1"/>
  <c r="L3365" i="1"/>
  <c r="M3365" i="1" s="1"/>
  <c r="N3365" i="1" s="1"/>
  <c r="L3366" i="1"/>
  <c r="M3366" i="1" s="1"/>
  <c r="N3366" i="1" s="1"/>
  <c r="L3367" i="1"/>
  <c r="M3367" i="1" s="1"/>
  <c r="N3367" i="1" s="1"/>
  <c r="L3368" i="1"/>
  <c r="M3368" i="1" s="1"/>
  <c r="N3368" i="1" s="1"/>
  <c r="L3369" i="1"/>
  <c r="M3369" i="1" s="1"/>
  <c r="N3369" i="1" s="1"/>
  <c r="L3370" i="1"/>
  <c r="M3370" i="1" s="1"/>
  <c r="N3370" i="1" s="1"/>
  <c r="L3371" i="1"/>
  <c r="M3371" i="1" s="1"/>
  <c r="N3371" i="1" s="1"/>
  <c r="L3372" i="1"/>
  <c r="M3372" i="1" s="1"/>
  <c r="N3372" i="1" s="1"/>
  <c r="L3373" i="1"/>
  <c r="M3373" i="1" s="1"/>
  <c r="N3373" i="1" s="1"/>
  <c r="L3374" i="1"/>
  <c r="M3374" i="1" s="1"/>
  <c r="N3374" i="1" s="1"/>
  <c r="L3375" i="1"/>
  <c r="M3375" i="1" s="1"/>
  <c r="N3375" i="1" s="1"/>
  <c r="L3376" i="1"/>
  <c r="M3376" i="1" s="1"/>
  <c r="N3376" i="1" s="1"/>
  <c r="L3377" i="1"/>
  <c r="M3377" i="1" s="1"/>
  <c r="N3377" i="1" s="1"/>
  <c r="L3378" i="1"/>
  <c r="M3378" i="1" s="1"/>
  <c r="N3378" i="1" s="1"/>
  <c r="L3379" i="1"/>
  <c r="M3379" i="1" s="1"/>
  <c r="N3379" i="1" s="1"/>
  <c r="L3380" i="1"/>
  <c r="M3380" i="1" s="1"/>
  <c r="N3380" i="1" s="1"/>
  <c r="L3381" i="1"/>
  <c r="M3381" i="1" s="1"/>
  <c r="N3381" i="1" s="1"/>
  <c r="L3382" i="1"/>
  <c r="M3382" i="1" s="1"/>
  <c r="N3382" i="1" s="1"/>
  <c r="L3383" i="1"/>
  <c r="M3383" i="1" s="1"/>
  <c r="N3383" i="1" s="1"/>
  <c r="L3384" i="1"/>
  <c r="M3384" i="1" s="1"/>
  <c r="N3384" i="1" s="1"/>
  <c r="L3385" i="1"/>
  <c r="M3385" i="1" s="1"/>
  <c r="N3385" i="1" s="1"/>
  <c r="L3386" i="1"/>
  <c r="M3386" i="1" s="1"/>
  <c r="N3386" i="1" s="1"/>
  <c r="L3387" i="1"/>
  <c r="M3387" i="1" s="1"/>
  <c r="N3387" i="1" s="1"/>
  <c r="L3388" i="1"/>
  <c r="M3388" i="1" s="1"/>
  <c r="N3388" i="1" s="1"/>
  <c r="L3389" i="1"/>
  <c r="M3389" i="1" s="1"/>
  <c r="N3389" i="1" s="1"/>
  <c r="L3390" i="1"/>
  <c r="M3390" i="1" s="1"/>
  <c r="N3390" i="1" s="1"/>
  <c r="L3391" i="1"/>
  <c r="M3391" i="1" s="1"/>
  <c r="N3391" i="1" s="1"/>
  <c r="L3392" i="1"/>
  <c r="M3392" i="1" s="1"/>
  <c r="N3392" i="1" s="1"/>
  <c r="L3393" i="1"/>
  <c r="M3393" i="1" s="1"/>
  <c r="N3393" i="1" s="1"/>
  <c r="L3394" i="1"/>
  <c r="M3394" i="1" s="1"/>
  <c r="N3394" i="1" s="1"/>
  <c r="L3395" i="1"/>
  <c r="M3395" i="1" s="1"/>
  <c r="N3395" i="1" s="1"/>
  <c r="L3396" i="1"/>
  <c r="M3396" i="1" s="1"/>
  <c r="N3396" i="1" s="1"/>
  <c r="L3397" i="1"/>
  <c r="M3397" i="1" s="1"/>
  <c r="N3397" i="1" s="1"/>
  <c r="L3398" i="1"/>
  <c r="M3398" i="1" s="1"/>
  <c r="N3398" i="1" s="1"/>
  <c r="L3399" i="1"/>
  <c r="M3399" i="1" s="1"/>
  <c r="N3399" i="1" s="1"/>
  <c r="L3400" i="1"/>
  <c r="M3400" i="1" s="1"/>
  <c r="N3400" i="1" s="1"/>
  <c r="L3401" i="1"/>
  <c r="M3401" i="1" s="1"/>
  <c r="N3401" i="1" s="1"/>
  <c r="L3402" i="1"/>
  <c r="M3402" i="1" s="1"/>
  <c r="N3402" i="1" s="1"/>
  <c r="L3403" i="1"/>
  <c r="M3403" i="1" s="1"/>
  <c r="N3403" i="1" s="1"/>
  <c r="L3404" i="1"/>
  <c r="M3404" i="1" s="1"/>
  <c r="N3404" i="1" s="1"/>
  <c r="L3405" i="1"/>
  <c r="M3405" i="1" s="1"/>
  <c r="N3405" i="1" s="1"/>
  <c r="L3406" i="1"/>
  <c r="M3406" i="1" s="1"/>
  <c r="N3406" i="1" s="1"/>
  <c r="L3407" i="1"/>
  <c r="M3407" i="1" s="1"/>
  <c r="N3407" i="1" s="1"/>
  <c r="L3408" i="1"/>
  <c r="M3408" i="1" s="1"/>
  <c r="N3408" i="1" s="1"/>
  <c r="L3409" i="1"/>
  <c r="M3409" i="1" s="1"/>
  <c r="N3409" i="1" s="1"/>
  <c r="L3410" i="1"/>
  <c r="M3410" i="1" s="1"/>
  <c r="N3410" i="1" s="1"/>
  <c r="L3411" i="1"/>
  <c r="M3411" i="1" s="1"/>
  <c r="N3411" i="1" s="1"/>
  <c r="L3412" i="1"/>
  <c r="M3412" i="1" s="1"/>
  <c r="N3412" i="1" s="1"/>
  <c r="L3413" i="1"/>
  <c r="M3413" i="1" s="1"/>
  <c r="N3413" i="1" s="1"/>
  <c r="L3414" i="1"/>
  <c r="M3414" i="1" s="1"/>
  <c r="N3414" i="1" s="1"/>
  <c r="L3415" i="1"/>
  <c r="M3415" i="1" s="1"/>
  <c r="N3415" i="1" s="1"/>
  <c r="L3416" i="1"/>
  <c r="M3416" i="1" s="1"/>
  <c r="N3416" i="1" s="1"/>
  <c r="L3417" i="1"/>
  <c r="M3417" i="1" s="1"/>
  <c r="N3417" i="1" s="1"/>
  <c r="L3418" i="1"/>
  <c r="M3418" i="1" s="1"/>
  <c r="N3418" i="1" s="1"/>
  <c r="L3419" i="1"/>
  <c r="M3419" i="1" s="1"/>
  <c r="N3419" i="1" s="1"/>
  <c r="L3420" i="1"/>
  <c r="M3420" i="1" s="1"/>
  <c r="N3420" i="1" s="1"/>
  <c r="L3421" i="1"/>
  <c r="M3421" i="1" s="1"/>
  <c r="N3421" i="1" s="1"/>
  <c r="L3422" i="1"/>
  <c r="M3422" i="1" s="1"/>
  <c r="N3422" i="1" s="1"/>
  <c r="L3423" i="1"/>
  <c r="M3423" i="1" s="1"/>
  <c r="N3423" i="1" s="1"/>
  <c r="L3424" i="1"/>
  <c r="M3424" i="1" s="1"/>
  <c r="N3424" i="1" s="1"/>
  <c r="L3425" i="1"/>
  <c r="M3425" i="1" s="1"/>
  <c r="N3425" i="1" s="1"/>
  <c r="L3426" i="1"/>
  <c r="M3426" i="1" s="1"/>
  <c r="N3426" i="1" s="1"/>
  <c r="L3427" i="1"/>
  <c r="M3427" i="1" s="1"/>
  <c r="N3427" i="1" s="1"/>
  <c r="L3428" i="1"/>
  <c r="M3428" i="1" s="1"/>
  <c r="N3428" i="1" s="1"/>
  <c r="L3429" i="1"/>
  <c r="M3429" i="1" s="1"/>
  <c r="N3429" i="1" s="1"/>
  <c r="L3430" i="1"/>
  <c r="M3430" i="1" s="1"/>
  <c r="N3430" i="1" s="1"/>
  <c r="L3431" i="1"/>
  <c r="M3431" i="1" s="1"/>
  <c r="N3431" i="1" s="1"/>
  <c r="L3432" i="1"/>
  <c r="M3432" i="1" s="1"/>
  <c r="N3432" i="1" s="1"/>
  <c r="L3433" i="1"/>
  <c r="M3433" i="1" s="1"/>
  <c r="N3433" i="1" s="1"/>
  <c r="L3434" i="1"/>
  <c r="M3434" i="1" s="1"/>
  <c r="N3434" i="1" s="1"/>
  <c r="L3435" i="1"/>
  <c r="M3435" i="1" s="1"/>
  <c r="N3435" i="1" s="1"/>
  <c r="L3436" i="1"/>
  <c r="M3436" i="1" s="1"/>
  <c r="N3436" i="1" s="1"/>
  <c r="L3437" i="1"/>
  <c r="M3437" i="1" s="1"/>
  <c r="N3437" i="1" s="1"/>
  <c r="L3438" i="1"/>
  <c r="M3438" i="1" s="1"/>
  <c r="N3438" i="1" s="1"/>
  <c r="L3439" i="1"/>
  <c r="M3439" i="1" s="1"/>
  <c r="N3439" i="1" s="1"/>
  <c r="L3440" i="1"/>
  <c r="M3440" i="1" s="1"/>
  <c r="N3440" i="1" s="1"/>
  <c r="L3441" i="1"/>
  <c r="M3441" i="1" s="1"/>
  <c r="N3441" i="1" s="1"/>
  <c r="L3442" i="1"/>
  <c r="M3442" i="1" s="1"/>
  <c r="N3442" i="1" s="1"/>
  <c r="L3443" i="1"/>
  <c r="M3443" i="1" s="1"/>
  <c r="N3443" i="1" s="1"/>
  <c r="L3444" i="1"/>
  <c r="M3444" i="1" s="1"/>
  <c r="N3444" i="1" s="1"/>
  <c r="L3445" i="1"/>
  <c r="M3445" i="1" s="1"/>
  <c r="N3445" i="1" s="1"/>
  <c r="L3446" i="1"/>
  <c r="M3446" i="1" s="1"/>
  <c r="N3446" i="1" s="1"/>
  <c r="L3447" i="1"/>
  <c r="M3447" i="1" s="1"/>
  <c r="N3447" i="1" s="1"/>
  <c r="L3448" i="1"/>
  <c r="M3448" i="1" s="1"/>
  <c r="N3448" i="1" s="1"/>
  <c r="L3449" i="1"/>
  <c r="M3449" i="1" s="1"/>
  <c r="N3449" i="1" s="1"/>
  <c r="L3450" i="1"/>
  <c r="M3450" i="1" s="1"/>
  <c r="N3450" i="1" s="1"/>
  <c r="L3451" i="1"/>
  <c r="M3451" i="1" s="1"/>
  <c r="N3451" i="1" s="1"/>
  <c r="L3452" i="1"/>
  <c r="M3452" i="1" s="1"/>
  <c r="N3452" i="1" s="1"/>
  <c r="L3453" i="1"/>
  <c r="M3453" i="1" s="1"/>
  <c r="N3453" i="1" s="1"/>
  <c r="L3454" i="1"/>
  <c r="M3454" i="1" s="1"/>
  <c r="N3454" i="1" s="1"/>
  <c r="L3455" i="1"/>
  <c r="M3455" i="1" s="1"/>
  <c r="N3455" i="1" s="1"/>
  <c r="L3456" i="1"/>
  <c r="M3456" i="1" s="1"/>
  <c r="N3456" i="1" s="1"/>
  <c r="L3457" i="1"/>
  <c r="M3457" i="1" s="1"/>
  <c r="N3457" i="1" s="1"/>
  <c r="L3458" i="1"/>
  <c r="M3458" i="1" s="1"/>
  <c r="N3458" i="1" s="1"/>
  <c r="L3459" i="1"/>
  <c r="M3459" i="1" s="1"/>
  <c r="N3459" i="1" s="1"/>
  <c r="L3460" i="1"/>
  <c r="M3460" i="1" s="1"/>
  <c r="N3460" i="1" s="1"/>
  <c r="L3461" i="1"/>
  <c r="M3461" i="1" s="1"/>
  <c r="N3461" i="1" s="1"/>
  <c r="L3462" i="1"/>
  <c r="M3462" i="1" s="1"/>
  <c r="N3462" i="1" s="1"/>
  <c r="L3463" i="1"/>
  <c r="M3463" i="1" s="1"/>
  <c r="N3463" i="1" s="1"/>
  <c r="L3464" i="1"/>
  <c r="M3464" i="1" s="1"/>
  <c r="N3464" i="1" s="1"/>
  <c r="L3465" i="1"/>
  <c r="M3465" i="1" s="1"/>
  <c r="N3465" i="1" s="1"/>
  <c r="L3466" i="1"/>
  <c r="M3466" i="1" s="1"/>
  <c r="N3466" i="1" s="1"/>
  <c r="L3467" i="1"/>
  <c r="M3467" i="1" s="1"/>
  <c r="N3467" i="1" s="1"/>
  <c r="L3468" i="1"/>
  <c r="M3468" i="1" s="1"/>
  <c r="N3468" i="1" s="1"/>
  <c r="L3469" i="1"/>
  <c r="M3469" i="1" s="1"/>
  <c r="N3469" i="1" s="1"/>
  <c r="L3470" i="1"/>
  <c r="M3470" i="1" s="1"/>
  <c r="N3470" i="1" s="1"/>
  <c r="L3471" i="1"/>
  <c r="M3471" i="1" s="1"/>
  <c r="N3471" i="1" s="1"/>
  <c r="L3472" i="1"/>
  <c r="M3472" i="1" s="1"/>
  <c r="N3472" i="1" s="1"/>
  <c r="L3473" i="1"/>
  <c r="M3473" i="1" s="1"/>
  <c r="N3473" i="1" s="1"/>
  <c r="L3474" i="1"/>
  <c r="M3474" i="1" s="1"/>
  <c r="N3474" i="1" s="1"/>
  <c r="L3475" i="1"/>
  <c r="M3475" i="1" s="1"/>
  <c r="N3475" i="1" s="1"/>
  <c r="L3476" i="1"/>
  <c r="M3476" i="1" s="1"/>
  <c r="N3476" i="1" s="1"/>
  <c r="L3477" i="1"/>
  <c r="M3477" i="1" s="1"/>
  <c r="N3477" i="1" s="1"/>
  <c r="L3478" i="1"/>
  <c r="M3478" i="1" s="1"/>
  <c r="N3478" i="1" s="1"/>
  <c r="L3479" i="1"/>
  <c r="M3479" i="1" s="1"/>
  <c r="N3479" i="1" s="1"/>
  <c r="L3480" i="1"/>
  <c r="M3480" i="1" s="1"/>
  <c r="N3480" i="1" s="1"/>
  <c r="L3481" i="1"/>
  <c r="M3481" i="1" s="1"/>
  <c r="N3481" i="1" s="1"/>
  <c r="L3482" i="1"/>
  <c r="M3482" i="1" s="1"/>
  <c r="N3482" i="1" s="1"/>
  <c r="L3483" i="1"/>
  <c r="M3483" i="1" s="1"/>
  <c r="N3483" i="1" s="1"/>
  <c r="L3484" i="1"/>
  <c r="M3484" i="1" s="1"/>
  <c r="N3484" i="1" s="1"/>
  <c r="L3485" i="1"/>
  <c r="M3485" i="1" s="1"/>
  <c r="N3485" i="1" s="1"/>
  <c r="L3486" i="1"/>
  <c r="M3486" i="1" s="1"/>
  <c r="N3486" i="1" s="1"/>
  <c r="L3487" i="1"/>
  <c r="M3487" i="1" s="1"/>
  <c r="N3487" i="1" s="1"/>
  <c r="L3488" i="1"/>
  <c r="M3488" i="1" s="1"/>
  <c r="N3488" i="1" s="1"/>
  <c r="L3489" i="1"/>
  <c r="M3489" i="1" s="1"/>
  <c r="N3489" i="1" s="1"/>
  <c r="L3490" i="1"/>
  <c r="M3490" i="1" s="1"/>
  <c r="N3490" i="1" s="1"/>
  <c r="L3491" i="1"/>
  <c r="M3491" i="1" s="1"/>
  <c r="N3491" i="1" s="1"/>
  <c r="L3492" i="1"/>
  <c r="M3492" i="1" s="1"/>
  <c r="N3492" i="1" s="1"/>
  <c r="L3493" i="1"/>
  <c r="M3493" i="1" s="1"/>
  <c r="N3493" i="1" s="1"/>
  <c r="L3494" i="1"/>
  <c r="M3494" i="1" s="1"/>
  <c r="N3494" i="1" s="1"/>
  <c r="L3495" i="1"/>
  <c r="M3495" i="1" s="1"/>
  <c r="N3495" i="1" s="1"/>
  <c r="L3496" i="1"/>
  <c r="M3496" i="1" s="1"/>
  <c r="N3496" i="1" s="1"/>
  <c r="L3497" i="1"/>
  <c r="M3497" i="1" s="1"/>
  <c r="N3497" i="1" s="1"/>
  <c r="L3498" i="1"/>
  <c r="M3498" i="1" s="1"/>
  <c r="N3498" i="1" s="1"/>
  <c r="L3499" i="1"/>
  <c r="M3499" i="1" s="1"/>
  <c r="N3499" i="1" s="1"/>
  <c r="L3500" i="1"/>
  <c r="M3500" i="1" s="1"/>
  <c r="N3500" i="1" s="1"/>
  <c r="L3501" i="1"/>
  <c r="M3501" i="1" s="1"/>
  <c r="N3501" i="1" s="1"/>
  <c r="L3502" i="1"/>
  <c r="M3502" i="1" s="1"/>
  <c r="N3502" i="1" s="1"/>
  <c r="L3503" i="1"/>
  <c r="M3503" i="1" s="1"/>
  <c r="N3503" i="1" s="1"/>
  <c r="L3504" i="1"/>
  <c r="M3504" i="1" s="1"/>
  <c r="N3504" i="1" s="1"/>
  <c r="L3505" i="1"/>
  <c r="M3505" i="1" s="1"/>
  <c r="N3505" i="1" s="1"/>
  <c r="L3506" i="1"/>
  <c r="M3506" i="1" s="1"/>
  <c r="N3506" i="1" s="1"/>
  <c r="L3507" i="1"/>
  <c r="M3507" i="1" s="1"/>
  <c r="N3507" i="1" s="1"/>
  <c r="L3508" i="1"/>
  <c r="M3508" i="1" s="1"/>
  <c r="N3508" i="1" s="1"/>
  <c r="L3509" i="1"/>
  <c r="M3509" i="1" s="1"/>
  <c r="N3509" i="1" s="1"/>
  <c r="L3510" i="1"/>
  <c r="M3510" i="1" s="1"/>
  <c r="N3510" i="1" s="1"/>
  <c r="L3511" i="1"/>
  <c r="M3511" i="1" s="1"/>
  <c r="N3511" i="1" s="1"/>
  <c r="L3512" i="1"/>
  <c r="M3512" i="1" s="1"/>
  <c r="N3512" i="1" s="1"/>
  <c r="L3513" i="1"/>
  <c r="M3513" i="1" s="1"/>
  <c r="N3513" i="1" s="1"/>
  <c r="L3514" i="1"/>
  <c r="M3514" i="1" s="1"/>
  <c r="N3514" i="1" s="1"/>
  <c r="L3515" i="1"/>
  <c r="M3515" i="1" s="1"/>
  <c r="N3515" i="1" s="1"/>
  <c r="L3516" i="1"/>
  <c r="M3516" i="1" s="1"/>
  <c r="N3516" i="1" s="1"/>
  <c r="L3517" i="1"/>
  <c r="M3517" i="1" s="1"/>
  <c r="N3517" i="1" s="1"/>
  <c r="L3518" i="1"/>
  <c r="M3518" i="1" s="1"/>
  <c r="N3518" i="1" s="1"/>
  <c r="L3519" i="1"/>
  <c r="M3519" i="1" s="1"/>
  <c r="N3519" i="1" s="1"/>
  <c r="L3520" i="1"/>
  <c r="M3520" i="1" s="1"/>
  <c r="N3520" i="1" s="1"/>
  <c r="L3521" i="1"/>
  <c r="M3521" i="1" s="1"/>
  <c r="N3521" i="1" s="1"/>
  <c r="L3522" i="1"/>
  <c r="M3522" i="1" s="1"/>
  <c r="N3522" i="1" s="1"/>
  <c r="L3523" i="1"/>
  <c r="M3523" i="1" s="1"/>
  <c r="N3523" i="1" s="1"/>
  <c r="L3524" i="1"/>
  <c r="M3524" i="1" s="1"/>
  <c r="N3524" i="1" s="1"/>
  <c r="L3525" i="1"/>
  <c r="M3525" i="1" s="1"/>
  <c r="N3525" i="1" s="1"/>
  <c r="L3526" i="1"/>
  <c r="M3526" i="1" s="1"/>
  <c r="N3526" i="1" s="1"/>
  <c r="L3527" i="1"/>
  <c r="M3527" i="1" s="1"/>
  <c r="N3527" i="1" s="1"/>
  <c r="L3528" i="1"/>
  <c r="M3528" i="1" s="1"/>
  <c r="N3528" i="1" s="1"/>
  <c r="L3529" i="1"/>
  <c r="M3529" i="1" s="1"/>
  <c r="N3529" i="1" s="1"/>
  <c r="L3530" i="1"/>
  <c r="M3530" i="1" s="1"/>
  <c r="N3530" i="1" s="1"/>
  <c r="L3531" i="1"/>
  <c r="M3531" i="1" s="1"/>
  <c r="N3531" i="1" s="1"/>
  <c r="L3532" i="1"/>
  <c r="M3532" i="1" s="1"/>
  <c r="N3532" i="1" s="1"/>
  <c r="L3533" i="1"/>
  <c r="M3533" i="1" s="1"/>
  <c r="N3533" i="1" s="1"/>
  <c r="L3534" i="1"/>
  <c r="M3534" i="1" s="1"/>
  <c r="N3534" i="1" s="1"/>
  <c r="L3535" i="1"/>
  <c r="M3535" i="1" s="1"/>
  <c r="N3535" i="1" s="1"/>
  <c r="L3536" i="1"/>
  <c r="M3536" i="1" s="1"/>
  <c r="N3536" i="1" s="1"/>
  <c r="L3537" i="1"/>
  <c r="M3537" i="1" s="1"/>
  <c r="N3537" i="1" s="1"/>
  <c r="L3538" i="1"/>
  <c r="M3538" i="1" s="1"/>
  <c r="N3538" i="1" s="1"/>
  <c r="L3539" i="1"/>
  <c r="M3539" i="1" s="1"/>
  <c r="N3539" i="1" s="1"/>
  <c r="L3540" i="1"/>
  <c r="M3540" i="1" s="1"/>
  <c r="N3540" i="1" s="1"/>
  <c r="L3541" i="1"/>
  <c r="M3541" i="1" s="1"/>
  <c r="N3541" i="1" s="1"/>
  <c r="L3542" i="1"/>
  <c r="M3542" i="1" s="1"/>
  <c r="N3542" i="1" s="1"/>
  <c r="L3543" i="1"/>
  <c r="M3543" i="1" s="1"/>
  <c r="N3543" i="1" s="1"/>
  <c r="L3544" i="1"/>
  <c r="M3544" i="1" s="1"/>
  <c r="N3544" i="1" s="1"/>
  <c r="L3545" i="1"/>
  <c r="M3545" i="1" s="1"/>
  <c r="N3545" i="1" s="1"/>
  <c r="L3546" i="1"/>
  <c r="M3546" i="1" s="1"/>
  <c r="N3546" i="1" s="1"/>
  <c r="L3547" i="1"/>
  <c r="M3547" i="1" s="1"/>
  <c r="N3547" i="1" s="1"/>
  <c r="L3548" i="1"/>
  <c r="M3548" i="1" s="1"/>
  <c r="N3548" i="1" s="1"/>
  <c r="L3549" i="1"/>
  <c r="M3549" i="1" s="1"/>
  <c r="N3549" i="1" s="1"/>
  <c r="L3550" i="1"/>
  <c r="M3550" i="1" s="1"/>
  <c r="N3550" i="1" s="1"/>
  <c r="L3551" i="1"/>
  <c r="M3551" i="1" s="1"/>
  <c r="N3551" i="1" s="1"/>
  <c r="L3552" i="1"/>
  <c r="M3552" i="1" s="1"/>
  <c r="N3552" i="1" s="1"/>
  <c r="L3553" i="1"/>
  <c r="M3553" i="1" s="1"/>
  <c r="N3553" i="1" s="1"/>
  <c r="L3554" i="1"/>
  <c r="M3554" i="1" s="1"/>
  <c r="N3554" i="1" s="1"/>
  <c r="L3555" i="1"/>
  <c r="M3555" i="1" s="1"/>
  <c r="N3555" i="1" s="1"/>
  <c r="L3556" i="1"/>
  <c r="M3556" i="1" s="1"/>
  <c r="N3556" i="1" s="1"/>
  <c r="L3557" i="1"/>
  <c r="M3557" i="1" s="1"/>
  <c r="N3557" i="1" s="1"/>
  <c r="L3558" i="1"/>
  <c r="M3558" i="1" s="1"/>
  <c r="N3558" i="1" s="1"/>
  <c r="L3559" i="1"/>
  <c r="M3559" i="1" s="1"/>
  <c r="N3559" i="1" s="1"/>
  <c r="L3560" i="1"/>
  <c r="M3560" i="1" s="1"/>
  <c r="N3560" i="1" s="1"/>
  <c r="L3561" i="1"/>
  <c r="M3561" i="1" s="1"/>
  <c r="N3561" i="1" s="1"/>
  <c r="L3562" i="1"/>
  <c r="M3562" i="1" s="1"/>
  <c r="N3562" i="1" s="1"/>
  <c r="L3563" i="1"/>
  <c r="M3563" i="1" s="1"/>
  <c r="N3563" i="1" s="1"/>
  <c r="L3564" i="1"/>
  <c r="M3564" i="1" s="1"/>
  <c r="N3564" i="1" s="1"/>
  <c r="L3565" i="1"/>
  <c r="M3565" i="1" s="1"/>
  <c r="N3565" i="1" s="1"/>
  <c r="L3566" i="1"/>
  <c r="M3566" i="1" s="1"/>
  <c r="N3566" i="1" s="1"/>
  <c r="L3567" i="1"/>
  <c r="M3567" i="1" s="1"/>
  <c r="N3567" i="1" s="1"/>
  <c r="L3568" i="1"/>
  <c r="M3568" i="1" s="1"/>
  <c r="N3568" i="1" s="1"/>
  <c r="L3569" i="1"/>
  <c r="M3569" i="1" s="1"/>
  <c r="N3569" i="1" s="1"/>
  <c r="L3570" i="1"/>
  <c r="M3570" i="1" s="1"/>
  <c r="N3570" i="1" s="1"/>
  <c r="L3571" i="1"/>
  <c r="M3571" i="1" s="1"/>
  <c r="N3571" i="1" s="1"/>
  <c r="L3572" i="1"/>
  <c r="M3572" i="1" s="1"/>
  <c r="N3572" i="1" s="1"/>
  <c r="L3573" i="1"/>
  <c r="M3573" i="1" s="1"/>
  <c r="N3573" i="1" s="1"/>
  <c r="L3574" i="1"/>
  <c r="M3574" i="1" s="1"/>
  <c r="N3574" i="1" s="1"/>
  <c r="L3575" i="1"/>
  <c r="M3575" i="1" s="1"/>
  <c r="N3575" i="1" s="1"/>
  <c r="L3576" i="1"/>
  <c r="M3576" i="1" s="1"/>
  <c r="N3576" i="1" s="1"/>
  <c r="L3577" i="1"/>
  <c r="M3577" i="1" s="1"/>
  <c r="N3577" i="1" s="1"/>
  <c r="L3578" i="1"/>
  <c r="M3578" i="1" s="1"/>
  <c r="N3578" i="1" s="1"/>
  <c r="L3579" i="1"/>
  <c r="M3579" i="1" s="1"/>
  <c r="N3579" i="1" s="1"/>
  <c r="L3580" i="1"/>
  <c r="M3580" i="1" s="1"/>
  <c r="N3580" i="1" s="1"/>
  <c r="L3581" i="1"/>
  <c r="M3581" i="1" s="1"/>
  <c r="N3581" i="1" s="1"/>
  <c r="L3582" i="1"/>
  <c r="M3582" i="1" s="1"/>
  <c r="N3582" i="1" s="1"/>
  <c r="L3583" i="1"/>
  <c r="M3583" i="1" s="1"/>
  <c r="N3583" i="1" s="1"/>
  <c r="L3584" i="1"/>
  <c r="M3584" i="1" s="1"/>
  <c r="N3584" i="1" s="1"/>
  <c r="L3585" i="1"/>
  <c r="M3585" i="1" s="1"/>
  <c r="N3585" i="1" s="1"/>
  <c r="L3586" i="1"/>
  <c r="M3586" i="1" s="1"/>
  <c r="N3586" i="1" s="1"/>
  <c r="L3587" i="1"/>
  <c r="M3587" i="1" s="1"/>
  <c r="N3587" i="1" s="1"/>
  <c r="L3588" i="1"/>
  <c r="M3588" i="1" s="1"/>
  <c r="N3588" i="1" s="1"/>
  <c r="L3589" i="1"/>
  <c r="M3589" i="1" s="1"/>
  <c r="N3589" i="1" s="1"/>
  <c r="L3590" i="1"/>
  <c r="M3590" i="1" s="1"/>
  <c r="N3590" i="1" s="1"/>
  <c r="L3591" i="1"/>
  <c r="M3591" i="1" s="1"/>
  <c r="N3591" i="1" s="1"/>
  <c r="L3592" i="1"/>
  <c r="M3592" i="1" s="1"/>
  <c r="N3592" i="1" s="1"/>
  <c r="L3593" i="1"/>
  <c r="M3593" i="1" s="1"/>
  <c r="N3593" i="1" s="1"/>
  <c r="L3594" i="1"/>
  <c r="M3594" i="1" s="1"/>
  <c r="N3594" i="1" s="1"/>
  <c r="L3595" i="1"/>
  <c r="M3595" i="1" s="1"/>
  <c r="N3595" i="1" s="1"/>
  <c r="L3596" i="1"/>
  <c r="M3596" i="1" s="1"/>
  <c r="N3596" i="1" s="1"/>
  <c r="L3597" i="1"/>
  <c r="M3597" i="1" s="1"/>
  <c r="N3597" i="1" s="1"/>
  <c r="L3598" i="1"/>
  <c r="M3598" i="1" s="1"/>
  <c r="N3598" i="1" s="1"/>
  <c r="L3599" i="1"/>
  <c r="M3599" i="1" s="1"/>
  <c r="N3599" i="1" s="1"/>
  <c r="L3600" i="1"/>
  <c r="M3600" i="1" s="1"/>
  <c r="N3600" i="1" s="1"/>
  <c r="L3601" i="1"/>
  <c r="M3601" i="1" s="1"/>
  <c r="N3601" i="1" s="1"/>
  <c r="L3602" i="1"/>
  <c r="M3602" i="1" s="1"/>
  <c r="N3602" i="1" s="1"/>
  <c r="L3603" i="1"/>
  <c r="M3603" i="1" s="1"/>
  <c r="N3603" i="1" s="1"/>
  <c r="L3604" i="1"/>
  <c r="M3604" i="1" s="1"/>
  <c r="N3604" i="1" s="1"/>
  <c r="L3605" i="1"/>
  <c r="M3605" i="1" s="1"/>
  <c r="N3605" i="1" s="1"/>
  <c r="L3606" i="1"/>
  <c r="M3606" i="1" s="1"/>
  <c r="N3606" i="1" s="1"/>
  <c r="L3607" i="1"/>
  <c r="M3607" i="1" s="1"/>
  <c r="N3607" i="1" s="1"/>
  <c r="L3608" i="1"/>
  <c r="M3608" i="1" s="1"/>
  <c r="N3608" i="1" s="1"/>
  <c r="L3609" i="1"/>
  <c r="M3609" i="1" s="1"/>
  <c r="N3609" i="1" s="1"/>
  <c r="L3610" i="1"/>
  <c r="M3610" i="1" s="1"/>
  <c r="N3610" i="1" s="1"/>
  <c r="L3611" i="1"/>
  <c r="M3611" i="1" s="1"/>
  <c r="N3611" i="1" s="1"/>
  <c r="L3612" i="1"/>
  <c r="M3612" i="1" s="1"/>
  <c r="N3612" i="1" s="1"/>
  <c r="L3613" i="1"/>
  <c r="M3613" i="1" s="1"/>
  <c r="N3613" i="1" s="1"/>
  <c r="L3614" i="1"/>
  <c r="M3614" i="1" s="1"/>
  <c r="N3614" i="1" s="1"/>
  <c r="L3615" i="1"/>
  <c r="M3615" i="1" s="1"/>
  <c r="N3615" i="1" s="1"/>
  <c r="L3616" i="1"/>
  <c r="M3616" i="1" s="1"/>
  <c r="N3616" i="1" s="1"/>
  <c r="L3617" i="1"/>
  <c r="M3617" i="1" s="1"/>
  <c r="N3617" i="1" s="1"/>
  <c r="L3618" i="1"/>
  <c r="M3618" i="1" s="1"/>
  <c r="N3618" i="1" s="1"/>
  <c r="L3619" i="1"/>
  <c r="M3619" i="1" s="1"/>
  <c r="N3619" i="1" s="1"/>
  <c r="L3620" i="1"/>
  <c r="M3620" i="1" s="1"/>
  <c r="N3620" i="1" s="1"/>
  <c r="L3621" i="1"/>
  <c r="M3621" i="1" s="1"/>
  <c r="N3621" i="1" s="1"/>
  <c r="L3622" i="1"/>
  <c r="M3622" i="1" s="1"/>
  <c r="N3622" i="1" s="1"/>
  <c r="L3623" i="1"/>
  <c r="M3623" i="1" s="1"/>
  <c r="N3623" i="1" s="1"/>
  <c r="L3624" i="1"/>
  <c r="M3624" i="1" s="1"/>
  <c r="N3624" i="1" s="1"/>
  <c r="L3625" i="1"/>
  <c r="M3625" i="1" s="1"/>
  <c r="N3625" i="1" s="1"/>
  <c r="L3626" i="1"/>
  <c r="M3626" i="1" s="1"/>
  <c r="N3626" i="1" s="1"/>
  <c r="L3627" i="1"/>
  <c r="M3627" i="1" s="1"/>
  <c r="N3627" i="1" s="1"/>
  <c r="L3628" i="1"/>
  <c r="M3628" i="1" s="1"/>
  <c r="N3628" i="1" s="1"/>
  <c r="L3629" i="1"/>
  <c r="M3629" i="1" s="1"/>
  <c r="N3629" i="1" s="1"/>
  <c r="L3630" i="1"/>
  <c r="M3630" i="1" s="1"/>
  <c r="N3630" i="1" s="1"/>
  <c r="L3631" i="1"/>
  <c r="M3631" i="1" s="1"/>
  <c r="N3631" i="1" s="1"/>
  <c r="L3632" i="1"/>
  <c r="M3632" i="1" s="1"/>
  <c r="N3632" i="1" s="1"/>
  <c r="L3633" i="1"/>
  <c r="M3633" i="1" s="1"/>
  <c r="N3633" i="1" s="1"/>
  <c r="L3634" i="1"/>
  <c r="M3634" i="1" s="1"/>
  <c r="N3634" i="1" s="1"/>
  <c r="L3635" i="1"/>
  <c r="M3635" i="1" s="1"/>
  <c r="N3635" i="1" s="1"/>
  <c r="L3636" i="1"/>
  <c r="M3636" i="1" s="1"/>
  <c r="N3636" i="1" s="1"/>
  <c r="L3637" i="1"/>
  <c r="M3637" i="1" s="1"/>
  <c r="N3637" i="1" s="1"/>
  <c r="L3638" i="1"/>
  <c r="M3638" i="1" s="1"/>
  <c r="N3638" i="1" s="1"/>
  <c r="L3639" i="1"/>
  <c r="M3639" i="1" s="1"/>
  <c r="N3639" i="1" s="1"/>
  <c r="L3640" i="1"/>
  <c r="M3640" i="1" s="1"/>
  <c r="N3640" i="1" s="1"/>
  <c r="L3641" i="1"/>
  <c r="M3641" i="1" s="1"/>
  <c r="N3641" i="1" s="1"/>
  <c r="L3642" i="1"/>
  <c r="M3642" i="1" s="1"/>
  <c r="N3642" i="1" s="1"/>
  <c r="L3643" i="1"/>
  <c r="M3643" i="1" s="1"/>
  <c r="N3643" i="1" s="1"/>
  <c r="L3644" i="1"/>
  <c r="M3644" i="1" s="1"/>
  <c r="N3644" i="1" s="1"/>
  <c r="L3645" i="1"/>
  <c r="M3645" i="1" s="1"/>
  <c r="N3645" i="1" s="1"/>
  <c r="L3646" i="1"/>
  <c r="M3646" i="1" s="1"/>
  <c r="N3646" i="1" s="1"/>
  <c r="L3647" i="1"/>
  <c r="M3647" i="1" s="1"/>
  <c r="N3647" i="1" s="1"/>
  <c r="L3648" i="1"/>
  <c r="M3648" i="1" s="1"/>
  <c r="N3648" i="1" s="1"/>
  <c r="L3649" i="1"/>
  <c r="M3649" i="1" s="1"/>
  <c r="N3649" i="1" s="1"/>
  <c r="L3650" i="1"/>
  <c r="M3650" i="1" s="1"/>
  <c r="N3650" i="1" s="1"/>
  <c r="L3651" i="1"/>
  <c r="M3651" i="1" s="1"/>
  <c r="N3651" i="1" s="1"/>
  <c r="L3652" i="1"/>
  <c r="M3652" i="1" s="1"/>
  <c r="N3652" i="1" s="1"/>
  <c r="L3653" i="1"/>
  <c r="M3653" i="1" s="1"/>
  <c r="N3653" i="1" s="1"/>
  <c r="L3654" i="1"/>
  <c r="M3654" i="1" s="1"/>
  <c r="N3654" i="1" s="1"/>
  <c r="L3655" i="1"/>
  <c r="M3655" i="1" s="1"/>
  <c r="N3655" i="1" s="1"/>
  <c r="L3656" i="1"/>
  <c r="M3656" i="1" s="1"/>
  <c r="N3656" i="1" s="1"/>
  <c r="L3657" i="1"/>
  <c r="M3657" i="1" s="1"/>
  <c r="N3657" i="1" s="1"/>
  <c r="L3658" i="1"/>
  <c r="M3658" i="1" s="1"/>
  <c r="N3658" i="1" s="1"/>
  <c r="L3659" i="1"/>
  <c r="M3659" i="1" s="1"/>
  <c r="N3659" i="1" s="1"/>
  <c r="L3660" i="1"/>
  <c r="M3660" i="1" s="1"/>
  <c r="N3660" i="1" s="1"/>
  <c r="L3661" i="1"/>
  <c r="M3661" i="1" s="1"/>
  <c r="N3661" i="1" s="1"/>
  <c r="L3662" i="1"/>
  <c r="M3662" i="1" s="1"/>
  <c r="N3662" i="1" s="1"/>
  <c r="L3663" i="1"/>
  <c r="M3663" i="1" s="1"/>
  <c r="N3663" i="1" s="1"/>
  <c r="L3664" i="1"/>
  <c r="M3664" i="1" s="1"/>
  <c r="N3664" i="1" s="1"/>
  <c r="L3665" i="1"/>
  <c r="M3665" i="1" s="1"/>
  <c r="N3665" i="1" s="1"/>
  <c r="L3666" i="1"/>
  <c r="M3666" i="1" s="1"/>
  <c r="N3666" i="1" s="1"/>
  <c r="L3667" i="1"/>
  <c r="M3667" i="1" s="1"/>
  <c r="N3667" i="1" s="1"/>
  <c r="L3668" i="1"/>
  <c r="M3668" i="1" s="1"/>
  <c r="N3668" i="1" s="1"/>
  <c r="L3669" i="1"/>
  <c r="M3669" i="1" s="1"/>
  <c r="N3669" i="1" s="1"/>
  <c r="L3670" i="1"/>
  <c r="M3670" i="1" s="1"/>
  <c r="N3670" i="1" s="1"/>
  <c r="L3671" i="1"/>
  <c r="M3671" i="1" s="1"/>
  <c r="N3671" i="1" s="1"/>
  <c r="L3672" i="1"/>
  <c r="M3672" i="1" s="1"/>
  <c r="N3672" i="1" s="1"/>
  <c r="L3673" i="1"/>
  <c r="M3673" i="1" s="1"/>
  <c r="N3673" i="1" s="1"/>
  <c r="L3674" i="1"/>
  <c r="M3674" i="1" s="1"/>
  <c r="N3674" i="1" s="1"/>
  <c r="L3675" i="1"/>
  <c r="M3675" i="1" s="1"/>
  <c r="N3675" i="1" s="1"/>
  <c r="L3676" i="1"/>
  <c r="M3676" i="1" s="1"/>
  <c r="N3676" i="1" s="1"/>
  <c r="L3677" i="1"/>
  <c r="M3677" i="1" s="1"/>
  <c r="N3677" i="1" s="1"/>
  <c r="L3678" i="1"/>
  <c r="M3678" i="1" s="1"/>
  <c r="N3678" i="1" s="1"/>
  <c r="L3679" i="1"/>
  <c r="M3679" i="1" s="1"/>
  <c r="N3679" i="1" s="1"/>
  <c r="L3680" i="1"/>
  <c r="M3680" i="1" s="1"/>
  <c r="N3680" i="1" s="1"/>
  <c r="L3681" i="1"/>
  <c r="M3681" i="1" s="1"/>
  <c r="N3681" i="1" s="1"/>
  <c r="L3682" i="1"/>
  <c r="M3682" i="1" s="1"/>
  <c r="N3682" i="1" s="1"/>
  <c r="L3683" i="1"/>
  <c r="M3683" i="1" s="1"/>
  <c r="N3683" i="1" s="1"/>
  <c r="L3684" i="1"/>
  <c r="M3684" i="1" s="1"/>
  <c r="N3684" i="1" s="1"/>
  <c r="L3685" i="1"/>
  <c r="M3685" i="1" s="1"/>
  <c r="N3685" i="1" s="1"/>
  <c r="L3686" i="1"/>
  <c r="M3686" i="1" s="1"/>
  <c r="N3686" i="1" s="1"/>
  <c r="L3687" i="1"/>
  <c r="M3687" i="1" s="1"/>
  <c r="N3687" i="1" s="1"/>
  <c r="L3688" i="1"/>
  <c r="M3688" i="1" s="1"/>
  <c r="N3688" i="1" s="1"/>
  <c r="L3689" i="1"/>
  <c r="M3689" i="1" s="1"/>
  <c r="N3689" i="1" s="1"/>
  <c r="L3690" i="1"/>
  <c r="M3690" i="1" s="1"/>
  <c r="N3690" i="1" s="1"/>
  <c r="L3691" i="1"/>
  <c r="M3691" i="1" s="1"/>
  <c r="N3691" i="1" s="1"/>
  <c r="L3692" i="1"/>
  <c r="M3692" i="1" s="1"/>
  <c r="N3692" i="1" s="1"/>
  <c r="L3693" i="1"/>
  <c r="M3693" i="1" s="1"/>
  <c r="N3693" i="1" s="1"/>
  <c r="L3694" i="1"/>
  <c r="M3694" i="1" s="1"/>
  <c r="N3694" i="1" s="1"/>
  <c r="L3695" i="1"/>
  <c r="M3695" i="1" s="1"/>
  <c r="N3695" i="1" s="1"/>
  <c r="L3696" i="1"/>
  <c r="M3696" i="1" s="1"/>
  <c r="N3696" i="1" s="1"/>
  <c r="L3697" i="1"/>
  <c r="M3697" i="1" s="1"/>
  <c r="N3697" i="1" s="1"/>
  <c r="L3698" i="1"/>
  <c r="M3698" i="1" s="1"/>
  <c r="N3698" i="1" s="1"/>
  <c r="L3699" i="1"/>
  <c r="M3699" i="1" s="1"/>
  <c r="N3699" i="1" s="1"/>
  <c r="L3700" i="1"/>
  <c r="M3700" i="1" s="1"/>
  <c r="N3700" i="1" s="1"/>
  <c r="L3701" i="1"/>
  <c r="M3701" i="1" s="1"/>
  <c r="N3701" i="1" s="1"/>
  <c r="L3702" i="1"/>
  <c r="M3702" i="1" s="1"/>
  <c r="N3702" i="1" s="1"/>
  <c r="L3703" i="1"/>
  <c r="M3703" i="1" s="1"/>
  <c r="N3703" i="1" s="1"/>
  <c r="L3704" i="1"/>
  <c r="M3704" i="1" s="1"/>
  <c r="N3704" i="1" s="1"/>
  <c r="L3705" i="1"/>
  <c r="M3705" i="1" s="1"/>
  <c r="N3705" i="1" s="1"/>
  <c r="L3706" i="1"/>
  <c r="M3706" i="1" s="1"/>
  <c r="N3706" i="1" s="1"/>
  <c r="L3707" i="1"/>
  <c r="M3707" i="1" s="1"/>
  <c r="N3707" i="1" s="1"/>
  <c r="L3708" i="1"/>
  <c r="M3708" i="1" s="1"/>
  <c r="N3708" i="1" s="1"/>
  <c r="L3709" i="1"/>
  <c r="M3709" i="1" s="1"/>
  <c r="N3709" i="1" s="1"/>
  <c r="L3710" i="1"/>
  <c r="M3710" i="1" s="1"/>
  <c r="N3710" i="1" s="1"/>
  <c r="L3711" i="1"/>
  <c r="M3711" i="1" s="1"/>
  <c r="N3711" i="1" s="1"/>
  <c r="L3712" i="1"/>
  <c r="M3712" i="1" s="1"/>
  <c r="N3712" i="1" s="1"/>
  <c r="L3713" i="1"/>
  <c r="M3713" i="1" s="1"/>
  <c r="N3713" i="1" s="1"/>
  <c r="L3714" i="1"/>
  <c r="M3714" i="1" s="1"/>
  <c r="N3714" i="1" s="1"/>
  <c r="L3715" i="1"/>
  <c r="M3715" i="1" s="1"/>
  <c r="N3715" i="1" s="1"/>
  <c r="L3716" i="1"/>
  <c r="M3716" i="1" s="1"/>
  <c r="N3716" i="1" s="1"/>
  <c r="L3717" i="1"/>
  <c r="M3717" i="1" s="1"/>
  <c r="N3717" i="1" s="1"/>
  <c r="L3718" i="1"/>
  <c r="M3718" i="1" s="1"/>
  <c r="N3718" i="1" s="1"/>
  <c r="L3719" i="1"/>
  <c r="M3719" i="1" s="1"/>
  <c r="N3719" i="1" s="1"/>
  <c r="L3720" i="1"/>
  <c r="M3720" i="1" s="1"/>
  <c r="N3720" i="1" s="1"/>
  <c r="L3721" i="1"/>
  <c r="M3721" i="1" s="1"/>
  <c r="N3721" i="1" s="1"/>
  <c r="L3722" i="1"/>
  <c r="M3722" i="1" s="1"/>
  <c r="N3722" i="1" s="1"/>
  <c r="L3723" i="1"/>
  <c r="M3723" i="1" s="1"/>
  <c r="N3723" i="1" s="1"/>
  <c r="L3724" i="1"/>
  <c r="M3724" i="1" s="1"/>
  <c r="N3724" i="1" s="1"/>
  <c r="L3725" i="1"/>
  <c r="M3725" i="1" s="1"/>
  <c r="N3725" i="1" s="1"/>
  <c r="L3726" i="1"/>
  <c r="M3726" i="1" s="1"/>
  <c r="N3726" i="1" s="1"/>
  <c r="L3727" i="1"/>
  <c r="M3727" i="1" s="1"/>
  <c r="N3727" i="1" s="1"/>
  <c r="L3728" i="1"/>
  <c r="M3728" i="1" s="1"/>
  <c r="N3728" i="1" s="1"/>
  <c r="L3729" i="1"/>
  <c r="M3729" i="1" s="1"/>
  <c r="N3729" i="1" s="1"/>
  <c r="L3730" i="1"/>
  <c r="M3730" i="1" s="1"/>
  <c r="N3730" i="1" s="1"/>
  <c r="L3731" i="1"/>
  <c r="M3731" i="1" s="1"/>
  <c r="N3731" i="1" s="1"/>
  <c r="L3732" i="1"/>
  <c r="M3732" i="1" s="1"/>
  <c r="N3732" i="1" s="1"/>
  <c r="L3733" i="1"/>
  <c r="M3733" i="1" s="1"/>
  <c r="N3733" i="1" s="1"/>
  <c r="L3734" i="1"/>
  <c r="M3734" i="1" s="1"/>
  <c r="N3734" i="1" s="1"/>
  <c r="L3735" i="1"/>
  <c r="M3735" i="1" s="1"/>
  <c r="N3735" i="1" s="1"/>
  <c r="L3736" i="1"/>
  <c r="M3736" i="1" s="1"/>
  <c r="N3736" i="1" s="1"/>
  <c r="L3737" i="1"/>
  <c r="M3737" i="1" s="1"/>
  <c r="N3737" i="1" s="1"/>
  <c r="L3738" i="1"/>
  <c r="M3738" i="1" s="1"/>
  <c r="N3738" i="1" s="1"/>
  <c r="L3739" i="1"/>
  <c r="M3739" i="1" s="1"/>
  <c r="N3739" i="1" s="1"/>
  <c r="L3740" i="1"/>
  <c r="M3740" i="1" s="1"/>
  <c r="N3740" i="1" s="1"/>
  <c r="L3741" i="1"/>
  <c r="M3741" i="1" s="1"/>
  <c r="N3741" i="1" s="1"/>
  <c r="L3742" i="1"/>
  <c r="M3742" i="1" s="1"/>
  <c r="N3742" i="1" s="1"/>
  <c r="L3743" i="1"/>
  <c r="M3743" i="1" s="1"/>
  <c r="N3743" i="1" s="1"/>
  <c r="L3744" i="1"/>
  <c r="M3744" i="1" s="1"/>
  <c r="N3744" i="1" s="1"/>
  <c r="L3745" i="1"/>
  <c r="M3745" i="1" s="1"/>
  <c r="N3745" i="1" s="1"/>
  <c r="L3746" i="1"/>
  <c r="M3746" i="1" s="1"/>
  <c r="N3746" i="1" s="1"/>
  <c r="L3747" i="1"/>
  <c r="M3747" i="1" s="1"/>
  <c r="N3747" i="1" s="1"/>
  <c r="L3748" i="1"/>
  <c r="M3748" i="1" s="1"/>
  <c r="N3748" i="1" s="1"/>
  <c r="L3749" i="1"/>
  <c r="M3749" i="1" s="1"/>
  <c r="N3749" i="1" s="1"/>
  <c r="L3750" i="1"/>
  <c r="M3750" i="1" s="1"/>
  <c r="N3750" i="1" s="1"/>
  <c r="L3751" i="1"/>
  <c r="M3751" i="1" s="1"/>
  <c r="N3751" i="1" s="1"/>
  <c r="L3752" i="1"/>
  <c r="M3752" i="1" s="1"/>
  <c r="N3752" i="1" s="1"/>
  <c r="L3753" i="1"/>
  <c r="M3753" i="1" s="1"/>
  <c r="N3753" i="1" s="1"/>
  <c r="L3754" i="1"/>
  <c r="M3754" i="1" s="1"/>
  <c r="N3754" i="1" s="1"/>
  <c r="L3755" i="1"/>
  <c r="M3755" i="1" s="1"/>
  <c r="N3755" i="1" s="1"/>
  <c r="L3756" i="1"/>
  <c r="M3756" i="1" s="1"/>
  <c r="N3756" i="1" s="1"/>
  <c r="L3757" i="1"/>
  <c r="M3757" i="1" s="1"/>
  <c r="N3757" i="1" s="1"/>
  <c r="L3758" i="1"/>
  <c r="M3758" i="1" s="1"/>
  <c r="N3758" i="1" s="1"/>
  <c r="L3759" i="1"/>
  <c r="M3759" i="1" s="1"/>
  <c r="N3759" i="1" s="1"/>
  <c r="L3760" i="1"/>
  <c r="M3760" i="1" s="1"/>
  <c r="N3760" i="1" s="1"/>
  <c r="L3761" i="1"/>
  <c r="M3761" i="1" s="1"/>
  <c r="N3761" i="1" s="1"/>
  <c r="L3762" i="1"/>
  <c r="M3762" i="1" s="1"/>
  <c r="N3762" i="1" s="1"/>
  <c r="L3763" i="1"/>
  <c r="M3763" i="1" s="1"/>
  <c r="N3763" i="1" s="1"/>
  <c r="L3764" i="1"/>
  <c r="M3764" i="1" s="1"/>
  <c r="N3764" i="1" s="1"/>
  <c r="L3765" i="1"/>
  <c r="M3765" i="1" s="1"/>
  <c r="N3765" i="1" s="1"/>
  <c r="L3766" i="1"/>
  <c r="M3766" i="1" s="1"/>
  <c r="N3766" i="1" s="1"/>
  <c r="L3767" i="1"/>
  <c r="M3767" i="1" s="1"/>
  <c r="N3767" i="1" s="1"/>
  <c r="L3768" i="1"/>
  <c r="M3768" i="1" s="1"/>
  <c r="N3768" i="1" s="1"/>
  <c r="L3769" i="1"/>
  <c r="M3769" i="1" s="1"/>
  <c r="N3769" i="1" s="1"/>
  <c r="L3770" i="1"/>
  <c r="M3770" i="1" s="1"/>
  <c r="N3770" i="1" s="1"/>
  <c r="L3771" i="1"/>
  <c r="M3771" i="1" s="1"/>
  <c r="N3771" i="1" s="1"/>
  <c r="L3772" i="1"/>
  <c r="M3772" i="1" s="1"/>
  <c r="N3772" i="1" s="1"/>
  <c r="L3773" i="1"/>
  <c r="M3773" i="1" s="1"/>
  <c r="N3773" i="1" s="1"/>
  <c r="L3774" i="1"/>
  <c r="M3774" i="1" s="1"/>
  <c r="N3774" i="1" s="1"/>
  <c r="L3775" i="1"/>
  <c r="M3775" i="1" s="1"/>
  <c r="N3775" i="1" s="1"/>
  <c r="L3776" i="1"/>
  <c r="M3776" i="1" s="1"/>
  <c r="N3776" i="1" s="1"/>
  <c r="L3777" i="1"/>
  <c r="M3777" i="1" s="1"/>
  <c r="N3777" i="1" s="1"/>
  <c r="L3778" i="1"/>
  <c r="M3778" i="1" s="1"/>
  <c r="N3778" i="1" s="1"/>
  <c r="L3779" i="1"/>
  <c r="M3779" i="1" s="1"/>
  <c r="N3779" i="1" s="1"/>
  <c r="L3780" i="1"/>
  <c r="M3780" i="1" s="1"/>
  <c r="N3780" i="1" s="1"/>
  <c r="L3781" i="1"/>
  <c r="M3781" i="1" s="1"/>
  <c r="N3781" i="1" s="1"/>
  <c r="L3782" i="1"/>
  <c r="M3782" i="1" s="1"/>
  <c r="N3782" i="1" s="1"/>
  <c r="L3783" i="1"/>
  <c r="M3783" i="1" s="1"/>
  <c r="N3783" i="1" s="1"/>
  <c r="L3784" i="1"/>
  <c r="M3784" i="1" s="1"/>
  <c r="N3784" i="1" s="1"/>
  <c r="L3785" i="1"/>
  <c r="M3785" i="1" s="1"/>
  <c r="N3785" i="1" s="1"/>
  <c r="L3786" i="1"/>
  <c r="M3786" i="1" s="1"/>
  <c r="N3786" i="1" s="1"/>
  <c r="L3787" i="1"/>
  <c r="M3787" i="1" s="1"/>
  <c r="N3787" i="1" s="1"/>
  <c r="L3788" i="1"/>
  <c r="M3788" i="1" s="1"/>
  <c r="N3788" i="1" s="1"/>
  <c r="L3789" i="1"/>
  <c r="M3789" i="1" s="1"/>
  <c r="N3789" i="1" s="1"/>
  <c r="L3790" i="1"/>
  <c r="M3790" i="1" s="1"/>
  <c r="N3790" i="1" s="1"/>
  <c r="L3791" i="1"/>
  <c r="M3791" i="1" s="1"/>
  <c r="N3791" i="1" s="1"/>
  <c r="L3792" i="1"/>
  <c r="M3792" i="1" s="1"/>
  <c r="N3792" i="1" s="1"/>
  <c r="L3793" i="1"/>
  <c r="M3793" i="1" s="1"/>
  <c r="N3793" i="1" s="1"/>
  <c r="L3794" i="1"/>
  <c r="M3794" i="1" s="1"/>
  <c r="N3794" i="1" s="1"/>
  <c r="L3795" i="1"/>
  <c r="M3795" i="1" s="1"/>
  <c r="N3795" i="1" s="1"/>
  <c r="L3796" i="1"/>
  <c r="M3796" i="1" s="1"/>
  <c r="N3796" i="1" s="1"/>
  <c r="L3797" i="1"/>
  <c r="M3797" i="1" s="1"/>
  <c r="N3797" i="1" s="1"/>
  <c r="L3798" i="1"/>
  <c r="M3798" i="1" s="1"/>
  <c r="N3798" i="1" s="1"/>
  <c r="L3799" i="1"/>
  <c r="M3799" i="1" s="1"/>
  <c r="N3799" i="1" s="1"/>
  <c r="L3800" i="1"/>
  <c r="M3800" i="1" s="1"/>
  <c r="N3800" i="1" s="1"/>
  <c r="L3801" i="1"/>
  <c r="M3801" i="1" s="1"/>
  <c r="N3801" i="1" s="1"/>
  <c r="L3802" i="1"/>
  <c r="M3802" i="1" s="1"/>
  <c r="N3802" i="1" s="1"/>
  <c r="L3803" i="1"/>
  <c r="M3803" i="1" s="1"/>
  <c r="N3803" i="1" s="1"/>
  <c r="L3804" i="1"/>
  <c r="M3804" i="1" s="1"/>
  <c r="N3804" i="1" s="1"/>
  <c r="L3805" i="1"/>
  <c r="M3805" i="1" s="1"/>
  <c r="N3805" i="1" s="1"/>
  <c r="L3806" i="1"/>
  <c r="M3806" i="1" s="1"/>
  <c r="N3806" i="1" s="1"/>
  <c r="L3807" i="1"/>
  <c r="M3807" i="1" s="1"/>
  <c r="N3807" i="1" s="1"/>
  <c r="L3808" i="1"/>
  <c r="M3808" i="1" s="1"/>
  <c r="N3808" i="1" s="1"/>
  <c r="L3809" i="1"/>
  <c r="M3809" i="1" s="1"/>
  <c r="N3809" i="1" s="1"/>
  <c r="L3810" i="1"/>
  <c r="M3810" i="1" s="1"/>
  <c r="N3810" i="1" s="1"/>
  <c r="L3811" i="1"/>
  <c r="M3811" i="1" s="1"/>
  <c r="N3811" i="1" s="1"/>
  <c r="L3812" i="1"/>
  <c r="M3812" i="1" s="1"/>
  <c r="N3812" i="1" s="1"/>
  <c r="L3813" i="1"/>
  <c r="M3813" i="1" s="1"/>
  <c r="N3813" i="1" s="1"/>
  <c r="L3814" i="1"/>
  <c r="M3814" i="1" s="1"/>
  <c r="N3814" i="1" s="1"/>
  <c r="L3815" i="1"/>
  <c r="M3815" i="1" s="1"/>
  <c r="N3815" i="1" s="1"/>
  <c r="L3816" i="1"/>
  <c r="M3816" i="1" s="1"/>
  <c r="N3816" i="1" s="1"/>
  <c r="L3817" i="1"/>
  <c r="M3817" i="1" s="1"/>
  <c r="N3817" i="1" s="1"/>
  <c r="L3818" i="1"/>
  <c r="M3818" i="1" s="1"/>
  <c r="N3818" i="1" s="1"/>
  <c r="L3819" i="1"/>
  <c r="M3819" i="1" s="1"/>
  <c r="N3819" i="1" s="1"/>
  <c r="L3820" i="1"/>
  <c r="M3820" i="1" s="1"/>
  <c r="N3820" i="1" s="1"/>
  <c r="L3821" i="1"/>
  <c r="M3821" i="1" s="1"/>
  <c r="N3821" i="1" s="1"/>
  <c r="L3822" i="1"/>
  <c r="M3822" i="1" s="1"/>
  <c r="N3822" i="1" s="1"/>
  <c r="L3823" i="1"/>
  <c r="M3823" i="1" s="1"/>
  <c r="N3823" i="1" s="1"/>
  <c r="L3824" i="1"/>
  <c r="M3824" i="1" s="1"/>
  <c r="N3824" i="1" s="1"/>
  <c r="L3825" i="1"/>
  <c r="M3825" i="1" s="1"/>
  <c r="N3825" i="1" s="1"/>
  <c r="L3826" i="1"/>
  <c r="M3826" i="1" s="1"/>
  <c r="N3826" i="1" s="1"/>
  <c r="L3827" i="1"/>
  <c r="M3827" i="1" s="1"/>
  <c r="N3827" i="1" s="1"/>
  <c r="L3828" i="1"/>
  <c r="M3828" i="1" s="1"/>
  <c r="N3828" i="1" s="1"/>
  <c r="L3829" i="1"/>
  <c r="M3829" i="1" s="1"/>
  <c r="N3829" i="1" s="1"/>
  <c r="L3830" i="1"/>
  <c r="M3830" i="1" s="1"/>
  <c r="N3830" i="1" s="1"/>
  <c r="L3831" i="1"/>
  <c r="M3831" i="1" s="1"/>
  <c r="N3831" i="1" s="1"/>
  <c r="L3832" i="1"/>
  <c r="M3832" i="1" s="1"/>
  <c r="N3832" i="1" s="1"/>
  <c r="L3833" i="1"/>
  <c r="M3833" i="1" s="1"/>
  <c r="N3833" i="1" s="1"/>
  <c r="L3834" i="1"/>
  <c r="M3834" i="1" s="1"/>
  <c r="N3834" i="1" s="1"/>
  <c r="L3835" i="1"/>
  <c r="M3835" i="1" s="1"/>
  <c r="N3835" i="1" s="1"/>
  <c r="L3836" i="1"/>
  <c r="M3836" i="1" s="1"/>
  <c r="N3836" i="1" s="1"/>
  <c r="L3837" i="1"/>
  <c r="M3837" i="1" s="1"/>
  <c r="N3837" i="1" s="1"/>
  <c r="L3838" i="1"/>
  <c r="M3838" i="1" s="1"/>
  <c r="N3838" i="1" s="1"/>
  <c r="L3839" i="1"/>
  <c r="M3839" i="1" s="1"/>
  <c r="N3839" i="1" s="1"/>
  <c r="L3840" i="1"/>
  <c r="M3840" i="1" s="1"/>
  <c r="N3840" i="1" s="1"/>
  <c r="L3841" i="1"/>
  <c r="M3841" i="1" s="1"/>
  <c r="N3841" i="1" s="1"/>
  <c r="L3842" i="1"/>
  <c r="M3842" i="1" s="1"/>
  <c r="N3842" i="1" s="1"/>
  <c r="L3843" i="1"/>
  <c r="M3843" i="1" s="1"/>
  <c r="N3843" i="1" s="1"/>
  <c r="L3844" i="1"/>
  <c r="M3844" i="1" s="1"/>
  <c r="N3844" i="1" s="1"/>
  <c r="L3845" i="1"/>
  <c r="M3845" i="1" s="1"/>
  <c r="N3845" i="1" s="1"/>
  <c r="L3846" i="1"/>
  <c r="M3846" i="1" s="1"/>
  <c r="N3846" i="1" s="1"/>
  <c r="L3847" i="1"/>
  <c r="M3847" i="1" s="1"/>
  <c r="N3847" i="1" s="1"/>
  <c r="L3848" i="1"/>
  <c r="M3848" i="1" s="1"/>
  <c r="N3848" i="1" s="1"/>
  <c r="L3849" i="1"/>
  <c r="M3849" i="1" s="1"/>
  <c r="N3849" i="1" s="1"/>
  <c r="L3850" i="1"/>
  <c r="M3850" i="1" s="1"/>
  <c r="N3850" i="1" s="1"/>
  <c r="L3851" i="1"/>
  <c r="M3851" i="1" s="1"/>
  <c r="N3851" i="1" s="1"/>
  <c r="L3852" i="1"/>
  <c r="M3852" i="1" s="1"/>
  <c r="N3852" i="1" s="1"/>
  <c r="L3853" i="1"/>
  <c r="M3853" i="1" s="1"/>
  <c r="N3853" i="1" s="1"/>
  <c r="L3854" i="1"/>
  <c r="M3854" i="1" s="1"/>
  <c r="N3854" i="1" s="1"/>
  <c r="L3855" i="1"/>
  <c r="M3855" i="1" s="1"/>
  <c r="N3855" i="1" s="1"/>
  <c r="L3856" i="1"/>
  <c r="M3856" i="1" s="1"/>
  <c r="N3856" i="1" s="1"/>
  <c r="L3857" i="1"/>
  <c r="M3857" i="1" s="1"/>
  <c r="N3857" i="1" s="1"/>
  <c r="L3858" i="1"/>
  <c r="M3858" i="1" s="1"/>
  <c r="N3858" i="1" s="1"/>
  <c r="L3859" i="1"/>
  <c r="M3859" i="1" s="1"/>
  <c r="N3859" i="1" s="1"/>
  <c r="L3860" i="1"/>
  <c r="M3860" i="1" s="1"/>
  <c r="N3860" i="1" s="1"/>
  <c r="L3861" i="1"/>
  <c r="M3861" i="1" s="1"/>
  <c r="N3861" i="1" s="1"/>
  <c r="L3862" i="1"/>
  <c r="M3862" i="1" s="1"/>
  <c r="N3862" i="1" s="1"/>
  <c r="L3863" i="1"/>
  <c r="M3863" i="1" s="1"/>
  <c r="N3863" i="1" s="1"/>
  <c r="L3864" i="1"/>
  <c r="M3864" i="1" s="1"/>
  <c r="N3864" i="1" s="1"/>
  <c r="L3865" i="1"/>
  <c r="M3865" i="1" s="1"/>
  <c r="N3865" i="1" s="1"/>
  <c r="L3866" i="1"/>
  <c r="M3866" i="1" s="1"/>
  <c r="N3866" i="1" s="1"/>
  <c r="L3867" i="1"/>
  <c r="M3867" i="1" s="1"/>
  <c r="N3867" i="1" s="1"/>
  <c r="L3868" i="1"/>
  <c r="M3868" i="1" s="1"/>
  <c r="N3868" i="1" s="1"/>
  <c r="L3869" i="1"/>
  <c r="M3869" i="1" s="1"/>
  <c r="N3869" i="1" s="1"/>
  <c r="L3870" i="1"/>
  <c r="M3870" i="1" s="1"/>
  <c r="N3870" i="1" s="1"/>
  <c r="L3871" i="1"/>
  <c r="M3871" i="1" s="1"/>
  <c r="N3871" i="1" s="1"/>
  <c r="L3872" i="1"/>
  <c r="M3872" i="1" s="1"/>
  <c r="N3872" i="1" s="1"/>
  <c r="L3873" i="1"/>
  <c r="M3873" i="1" s="1"/>
  <c r="N3873" i="1" s="1"/>
  <c r="L3874" i="1"/>
  <c r="M3874" i="1" s="1"/>
  <c r="N3874" i="1" s="1"/>
  <c r="L3875" i="1"/>
  <c r="M3875" i="1" s="1"/>
  <c r="N3875" i="1" s="1"/>
  <c r="L3876" i="1"/>
  <c r="M3876" i="1" s="1"/>
  <c r="N3876" i="1" s="1"/>
  <c r="L3877" i="1"/>
  <c r="M3877" i="1" s="1"/>
  <c r="N3877" i="1" s="1"/>
  <c r="L3878" i="1"/>
  <c r="M3878" i="1" s="1"/>
  <c r="N3878" i="1" s="1"/>
  <c r="L3879" i="1"/>
  <c r="M3879" i="1" s="1"/>
  <c r="N3879" i="1" s="1"/>
  <c r="L3880" i="1"/>
  <c r="M3880" i="1" s="1"/>
  <c r="N3880" i="1" s="1"/>
  <c r="L3881" i="1"/>
  <c r="M3881" i="1" s="1"/>
  <c r="N3881" i="1" s="1"/>
  <c r="L3882" i="1"/>
  <c r="M3882" i="1" s="1"/>
  <c r="N3882" i="1" s="1"/>
  <c r="L3883" i="1"/>
  <c r="M3883" i="1" s="1"/>
  <c r="N3883" i="1" s="1"/>
  <c r="L3884" i="1"/>
  <c r="M3884" i="1" s="1"/>
  <c r="N3884" i="1" s="1"/>
  <c r="L3885" i="1"/>
  <c r="M3885" i="1" s="1"/>
  <c r="N3885" i="1" s="1"/>
  <c r="L3886" i="1"/>
  <c r="M3886" i="1" s="1"/>
  <c r="N3886" i="1" s="1"/>
  <c r="L3887" i="1"/>
  <c r="M3887" i="1" s="1"/>
  <c r="N3887" i="1" s="1"/>
  <c r="L3888" i="1"/>
  <c r="M3888" i="1" s="1"/>
  <c r="N3888" i="1" s="1"/>
  <c r="L3889" i="1"/>
  <c r="M3889" i="1" s="1"/>
  <c r="N3889" i="1" s="1"/>
  <c r="L3890" i="1"/>
  <c r="M3890" i="1" s="1"/>
  <c r="N3890" i="1" s="1"/>
  <c r="L3891" i="1"/>
  <c r="M3891" i="1" s="1"/>
  <c r="N3891" i="1" s="1"/>
  <c r="L3892" i="1"/>
  <c r="M3892" i="1" s="1"/>
  <c r="N3892" i="1" s="1"/>
  <c r="L3893" i="1"/>
  <c r="M3893" i="1" s="1"/>
  <c r="N3893" i="1" s="1"/>
  <c r="L3894" i="1"/>
  <c r="M3894" i="1" s="1"/>
  <c r="N3894" i="1" s="1"/>
  <c r="L3895" i="1"/>
  <c r="M3895" i="1" s="1"/>
  <c r="N3895" i="1" s="1"/>
  <c r="L3896" i="1"/>
  <c r="M3896" i="1" s="1"/>
  <c r="N3896" i="1" s="1"/>
  <c r="L3897" i="1"/>
  <c r="M3897" i="1" s="1"/>
  <c r="N3897" i="1" s="1"/>
  <c r="L3898" i="1"/>
  <c r="M3898" i="1" s="1"/>
  <c r="N3898" i="1" s="1"/>
  <c r="L3899" i="1"/>
  <c r="M3899" i="1" s="1"/>
  <c r="N3899" i="1" s="1"/>
  <c r="L3900" i="1"/>
  <c r="M3900" i="1" s="1"/>
  <c r="N3900" i="1" s="1"/>
  <c r="L3901" i="1"/>
  <c r="M3901" i="1" s="1"/>
  <c r="N3901" i="1" s="1"/>
  <c r="L3902" i="1"/>
  <c r="M3902" i="1" s="1"/>
  <c r="N3902" i="1" s="1"/>
  <c r="L3903" i="1"/>
  <c r="M3903" i="1" s="1"/>
  <c r="N3903" i="1" s="1"/>
  <c r="L3904" i="1"/>
  <c r="M3904" i="1" s="1"/>
  <c r="N3904" i="1" s="1"/>
  <c r="L3905" i="1"/>
  <c r="M3905" i="1" s="1"/>
  <c r="N3905" i="1" s="1"/>
  <c r="L3906" i="1"/>
  <c r="M3906" i="1" s="1"/>
  <c r="N3906" i="1" s="1"/>
  <c r="L3907" i="1"/>
  <c r="M3907" i="1" s="1"/>
  <c r="N3907" i="1" s="1"/>
  <c r="L3908" i="1"/>
  <c r="M3908" i="1" s="1"/>
  <c r="N3908" i="1" s="1"/>
  <c r="L3909" i="1"/>
  <c r="M3909" i="1" s="1"/>
  <c r="N3909" i="1" s="1"/>
  <c r="L3910" i="1"/>
  <c r="M3910" i="1" s="1"/>
  <c r="N3910" i="1" s="1"/>
  <c r="L3911" i="1"/>
  <c r="M3911" i="1" s="1"/>
  <c r="N3911" i="1" s="1"/>
  <c r="L3912" i="1"/>
  <c r="M3912" i="1" s="1"/>
  <c r="N3912" i="1" s="1"/>
  <c r="L3913" i="1"/>
  <c r="M3913" i="1" s="1"/>
  <c r="N3913" i="1" s="1"/>
  <c r="L3914" i="1"/>
  <c r="M3914" i="1" s="1"/>
  <c r="N3914" i="1" s="1"/>
  <c r="L3915" i="1"/>
  <c r="M3915" i="1" s="1"/>
  <c r="N3915" i="1" s="1"/>
  <c r="L3916" i="1"/>
  <c r="M3916" i="1" s="1"/>
  <c r="N3916" i="1" s="1"/>
  <c r="L3917" i="1"/>
  <c r="M3917" i="1" s="1"/>
  <c r="N3917" i="1" s="1"/>
  <c r="L3918" i="1"/>
  <c r="M3918" i="1" s="1"/>
  <c r="N3918" i="1" s="1"/>
  <c r="L3919" i="1"/>
  <c r="M3919" i="1" s="1"/>
  <c r="N3919" i="1" s="1"/>
  <c r="L3920" i="1"/>
  <c r="M3920" i="1" s="1"/>
  <c r="N3920" i="1" s="1"/>
  <c r="L3921" i="1"/>
  <c r="M3921" i="1" s="1"/>
  <c r="N3921" i="1" s="1"/>
  <c r="L3922" i="1"/>
  <c r="M3922" i="1" s="1"/>
  <c r="N3922" i="1" s="1"/>
  <c r="L3923" i="1"/>
  <c r="M3923" i="1" s="1"/>
  <c r="N3923" i="1" s="1"/>
  <c r="L3924" i="1"/>
  <c r="M3924" i="1" s="1"/>
  <c r="N3924" i="1" s="1"/>
  <c r="L3925" i="1"/>
  <c r="M3925" i="1" s="1"/>
  <c r="N3925" i="1" s="1"/>
  <c r="L3926" i="1"/>
  <c r="M3926" i="1" s="1"/>
  <c r="N3926" i="1" s="1"/>
  <c r="L3927" i="1"/>
  <c r="M3927" i="1" s="1"/>
  <c r="N3927" i="1" s="1"/>
  <c r="L3928" i="1"/>
  <c r="M3928" i="1" s="1"/>
  <c r="N3928" i="1" s="1"/>
  <c r="L3929" i="1"/>
  <c r="M3929" i="1" s="1"/>
  <c r="N3929" i="1" s="1"/>
  <c r="L3930" i="1"/>
  <c r="M3930" i="1" s="1"/>
  <c r="N3930" i="1" s="1"/>
  <c r="L3931" i="1"/>
  <c r="M3931" i="1" s="1"/>
  <c r="N3931" i="1" s="1"/>
  <c r="L3932" i="1"/>
  <c r="M3932" i="1" s="1"/>
  <c r="N3932" i="1" s="1"/>
  <c r="L3933" i="1"/>
  <c r="M3933" i="1" s="1"/>
  <c r="N3933" i="1" s="1"/>
  <c r="L3934" i="1"/>
  <c r="M3934" i="1" s="1"/>
  <c r="N3934" i="1" s="1"/>
  <c r="L3935" i="1"/>
  <c r="M3935" i="1" s="1"/>
  <c r="N3935" i="1" s="1"/>
  <c r="L3936" i="1"/>
  <c r="M3936" i="1" s="1"/>
  <c r="N3936" i="1" s="1"/>
  <c r="L3937" i="1"/>
  <c r="M3937" i="1" s="1"/>
  <c r="N3937" i="1" s="1"/>
  <c r="L3938" i="1"/>
  <c r="M3938" i="1" s="1"/>
  <c r="N3938" i="1" s="1"/>
  <c r="L3939" i="1"/>
  <c r="M3939" i="1" s="1"/>
  <c r="N3939" i="1" s="1"/>
  <c r="L3940" i="1"/>
  <c r="M3940" i="1" s="1"/>
  <c r="N3940" i="1" s="1"/>
  <c r="L3941" i="1"/>
  <c r="M3941" i="1" s="1"/>
  <c r="N3941" i="1" s="1"/>
  <c r="L3942" i="1"/>
  <c r="M3942" i="1" s="1"/>
  <c r="N3942" i="1" s="1"/>
  <c r="L3943" i="1"/>
  <c r="M3943" i="1" s="1"/>
  <c r="N3943" i="1" s="1"/>
  <c r="L3944" i="1"/>
  <c r="M3944" i="1" s="1"/>
  <c r="N3944" i="1" s="1"/>
  <c r="L3945" i="1"/>
  <c r="M3945" i="1" s="1"/>
  <c r="N3945" i="1" s="1"/>
  <c r="L3946" i="1"/>
  <c r="M3946" i="1" s="1"/>
  <c r="N3946" i="1" s="1"/>
  <c r="L3947" i="1"/>
  <c r="M3947" i="1" s="1"/>
  <c r="N3947" i="1" s="1"/>
  <c r="L3948" i="1"/>
  <c r="M3948" i="1" s="1"/>
  <c r="N3948" i="1" s="1"/>
  <c r="L3949" i="1"/>
  <c r="M3949" i="1" s="1"/>
  <c r="N3949" i="1" s="1"/>
  <c r="L3950" i="1"/>
  <c r="M3950" i="1" s="1"/>
  <c r="N3950" i="1" s="1"/>
  <c r="L3951" i="1"/>
  <c r="M3951" i="1" s="1"/>
  <c r="N3951" i="1" s="1"/>
  <c r="L3952" i="1"/>
  <c r="M3952" i="1" s="1"/>
  <c r="N3952" i="1" s="1"/>
  <c r="L3953" i="1"/>
  <c r="M3953" i="1" s="1"/>
  <c r="N3953" i="1" s="1"/>
  <c r="L3954" i="1"/>
  <c r="M3954" i="1" s="1"/>
  <c r="N3954" i="1" s="1"/>
  <c r="L3955" i="1"/>
  <c r="M3955" i="1" s="1"/>
  <c r="N3955" i="1" s="1"/>
  <c r="L3956" i="1"/>
  <c r="M3956" i="1" s="1"/>
  <c r="N3956" i="1" s="1"/>
  <c r="L3957" i="1"/>
  <c r="M3957" i="1" s="1"/>
  <c r="N3957" i="1" s="1"/>
  <c r="L3958" i="1"/>
  <c r="M3958" i="1" s="1"/>
  <c r="N3958" i="1" s="1"/>
  <c r="L3959" i="1"/>
  <c r="M3959" i="1" s="1"/>
  <c r="N3959" i="1" s="1"/>
  <c r="L3960" i="1"/>
  <c r="M3960" i="1" s="1"/>
  <c r="N3960" i="1" s="1"/>
  <c r="L3961" i="1"/>
  <c r="M3961" i="1" s="1"/>
  <c r="N3961" i="1" s="1"/>
  <c r="L3962" i="1"/>
  <c r="M3962" i="1" s="1"/>
  <c r="N3962" i="1" s="1"/>
  <c r="L3963" i="1"/>
  <c r="M3963" i="1" s="1"/>
  <c r="N3963" i="1" s="1"/>
  <c r="L3964" i="1"/>
  <c r="M3964" i="1" s="1"/>
  <c r="N3964" i="1" s="1"/>
  <c r="L3965" i="1"/>
  <c r="M3965" i="1" s="1"/>
  <c r="N3965" i="1" s="1"/>
  <c r="L3966" i="1"/>
  <c r="M3966" i="1" s="1"/>
  <c r="N3966" i="1" s="1"/>
  <c r="L3967" i="1"/>
  <c r="M3967" i="1" s="1"/>
  <c r="N3967" i="1" s="1"/>
  <c r="L3968" i="1"/>
  <c r="M3968" i="1" s="1"/>
  <c r="N3968" i="1" s="1"/>
  <c r="L3969" i="1"/>
  <c r="M3969" i="1" s="1"/>
  <c r="N3969" i="1" s="1"/>
  <c r="L3970" i="1"/>
  <c r="M3970" i="1" s="1"/>
  <c r="N3970" i="1" s="1"/>
  <c r="L3971" i="1"/>
  <c r="M3971" i="1" s="1"/>
  <c r="N3971" i="1" s="1"/>
  <c r="L3972" i="1"/>
  <c r="M3972" i="1" s="1"/>
  <c r="N3972" i="1" s="1"/>
  <c r="L3973" i="1"/>
  <c r="M3973" i="1" s="1"/>
  <c r="N3973" i="1" s="1"/>
  <c r="L3974" i="1"/>
  <c r="M3974" i="1" s="1"/>
  <c r="N3974" i="1" s="1"/>
  <c r="L3975" i="1"/>
  <c r="M3975" i="1" s="1"/>
  <c r="N3975" i="1" s="1"/>
  <c r="L3976" i="1"/>
  <c r="M3976" i="1" s="1"/>
  <c r="N3976" i="1" s="1"/>
  <c r="L3977" i="1"/>
  <c r="M3977" i="1" s="1"/>
  <c r="N3977" i="1" s="1"/>
  <c r="L3978" i="1"/>
  <c r="M3978" i="1" s="1"/>
  <c r="N3978" i="1" s="1"/>
  <c r="L3979" i="1"/>
  <c r="M3979" i="1" s="1"/>
  <c r="N3979" i="1" s="1"/>
  <c r="L3980" i="1"/>
  <c r="M3980" i="1" s="1"/>
  <c r="N3980" i="1" s="1"/>
  <c r="L3981" i="1"/>
  <c r="M3981" i="1" s="1"/>
  <c r="N3981" i="1" s="1"/>
  <c r="L3982" i="1"/>
  <c r="M3982" i="1" s="1"/>
  <c r="N3982" i="1" s="1"/>
  <c r="L3983" i="1"/>
  <c r="M3983" i="1" s="1"/>
  <c r="N3983" i="1" s="1"/>
  <c r="L3984" i="1"/>
  <c r="M3984" i="1" s="1"/>
  <c r="N3984" i="1" s="1"/>
  <c r="L3985" i="1"/>
  <c r="M3985" i="1" s="1"/>
  <c r="N3985" i="1" s="1"/>
  <c r="L3986" i="1"/>
  <c r="M3986" i="1" s="1"/>
  <c r="N3986" i="1" s="1"/>
  <c r="L3987" i="1"/>
  <c r="M3987" i="1" s="1"/>
  <c r="N3987" i="1" s="1"/>
  <c r="L3988" i="1"/>
  <c r="M3988" i="1" s="1"/>
  <c r="N3988" i="1" s="1"/>
  <c r="L3989" i="1"/>
  <c r="M3989" i="1" s="1"/>
  <c r="N3989" i="1" s="1"/>
  <c r="L3990" i="1"/>
  <c r="M3990" i="1" s="1"/>
  <c r="N3990" i="1" s="1"/>
  <c r="L3991" i="1"/>
  <c r="M3991" i="1" s="1"/>
  <c r="N3991" i="1" s="1"/>
  <c r="L3992" i="1"/>
  <c r="M3992" i="1" s="1"/>
  <c r="N3992" i="1" s="1"/>
  <c r="L3993" i="1"/>
  <c r="M3993" i="1" s="1"/>
  <c r="N3993" i="1" s="1"/>
  <c r="L3994" i="1"/>
  <c r="M3994" i="1" s="1"/>
  <c r="N3994" i="1" s="1"/>
  <c r="L3995" i="1"/>
  <c r="M3995" i="1" s="1"/>
  <c r="N3995" i="1" s="1"/>
  <c r="L3996" i="1"/>
  <c r="M3996" i="1" s="1"/>
  <c r="N3996" i="1" s="1"/>
  <c r="L3997" i="1"/>
  <c r="M3997" i="1" s="1"/>
  <c r="N3997" i="1" s="1"/>
  <c r="L3998" i="1"/>
  <c r="M3998" i="1" s="1"/>
  <c r="N3998" i="1" s="1"/>
  <c r="L3999" i="1"/>
  <c r="M3999" i="1" s="1"/>
  <c r="N3999" i="1" s="1"/>
  <c r="L4000" i="1"/>
  <c r="M4000" i="1" s="1"/>
  <c r="N4000" i="1" s="1"/>
  <c r="L4001" i="1"/>
  <c r="M4001" i="1" s="1"/>
  <c r="N4001" i="1" s="1"/>
  <c r="L4002" i="1"/>
  <c r="M4002" i="1" s="1"/>
  <c r="N4002" i="1" s="1"/>
  <c r="L4003" i="1"/>
  <c r="M4003" i="1" s="1"/>
  <c r="N4003" i="1" s="1"/>
  <c r="L4004" i="1"/>
  <c r="M4004" i="1" s="1"/>
  <c r="N4004" i="1" s="1"/>
  <c r="L4005" i="1"/>
  <c r="M4005" i="1" s="1"/>
  <c r="N4005" i="1" s="1"/>
  <c r="L4006" i="1"/>
  <c r="M4006" i="1" s="1"/>
  <c r="N4006" i="1" s="1"/>
  <c r="L4007" i="1"/>
  <c r="M4007" i="1" s="1"/>
  <c r="N4007" i="1" s="1"/>
  <c r="L4008" i="1"/>
  <c r="M4008" i="1" s="1"/>
  <c r="N4008" i="1" s="1"/>
  <c r="L4009" i="1"/>
  <c r="M4009" i="1" s="1"/>
  <c r="N4009" i="1" s="1"/>
  <c r="L4010" i="1"/>
  <c r="M4010" i="1" s="1"/>
  <c r="N4010" i="1" s="1"/>
  <c r="L4011" i="1"/>
  <c r="M4011" i="1" s="1"/>
  <c r="N4011" i="1" s="1"/>
  <c r="L4012" i="1"/>
  <c r="M4012" i="1" s="1"/>
  <c r="N4012" i="1" s="1"/>
  <c r="L4013" i="1"/>
  <c r="M4013" i="1" s="1"/>
  <c r="N4013" i="1" s="1"/>
  <c r="L4014" i="1"/>
  <c r="M4014" i="1" s="1"/>
  <c r="N4014" i="1" s="1"/>
  <c r="L4015" i="1"/>
  <c r="M4015" i="1" s="1"/>
  <c r="N4015" i="1" s="1"/>
  <c r="L4016" i="1"/>
  <c r="M4016" i="1" s="1"/>
  <c r="N4016" i="1" s="1"/>
  <c r="L4017" i="1"/>
  <c r="M4017" i="1" s="1"/>
  <c r="N4017" i="1" s="1"/>
  <c r="L4018" i="1"/>
  <c r="M4018" i="1" s="1"/>
  <c r="N4018" i="1" s="1"/>
  <c r="L4019" i="1"/>
  <c r="M4019" i="1" s="1"/>
  <c r="N4019" i="1" s="1"/>
  <c r="L4020" i="1"/>
  <c r="M4020" i="1" s="1"/>
  <c r="N4020" i="1" s="1"/>
  <c r="L4021" i="1"/>
  <c r="M4021" i="1" s="1"/>
  <c r="N4021" i="1" s="1"/>
  <c r="L4022" i="1"/>
  <c r="M4022" i="1" s="1"/>
  <c r="N4022" i="1" s="1"/>
  <c r="L4023" i="1"/>
  <c r="M4023" i="1" s="1"/>
  <c r="N4023" i="1" s="1"/>
  <c r="L4024" i="1"/>
  <c r="M4024" i="1" s="1"/>
  <c r="N4024" i="1" s="1"/>
  <c r="L4025" i="1"/>
  <c r="M4025" i="1" s="1"/>
  <c r="N4025" i="1" s="1"/>
  <c r="L4026" i="1"/>
  <c r="M4026" i="1" s="1"/>
  <c r="N4026" i="1" s="1"/>
  <c r="L4027" i="1"/>
  <c r="M4027" i="1" s="1"/>
  <c r="N4027" i="1" s="1"/>
  <c r="L4028" i="1"/>
  <c r="M4028" i="1" s="1"/>
  <c r="N4028" i="1" s="1"/>
  <c r="L4029" i="1"/>
  <c r="M4029" i="1" s="1"/>
  <c r="N4029" i="1" s="1"/>
  <c r="L4030" i="1"/>
  <c r="M4030" i="1" s="1"/>
  <c r="N4030" i="1" s="1"/>
  <c r="L4031" i="1"/>
  <c r="M4031" i="1" s="1"/>
  <c r="N4031" i="1" s="1"/>
  <c r="L4032" i="1"/>
  <c r="M4032" i="1" s="1"/>
  <c r="N4032" i="1" s="1"/>
  <c r="L4033" i="1"/>
  <c r="M4033" i="1" s="1"/>
  <c r="N4033" i="1" s="1"/>
  <c r="L4034" i="1"/>
  <c r="M4034" i="1" s="1"/>
  <c r="N4034" i="1" s="1"/>
  <c r="L4035" i="1"/>
  <c r="M4035" i="1" s="1"/>
  <c r="N4035" i="1" s="1"/>
  <c r="L4036" i="1"/>
  <c r="M4036" i="1" s="1"/>
  <c r="N4036" i="1" s="1"/>
  <c r="L4037" i="1"/>
  <c r="M4037" i="1" s="1"/>
  <c r="N4037" i="1" s="1"/>
  <c r="L4038" i="1"/>
  <c r="M4038" i="1" s="1"/>
  <c r="N4038" i="1" s="1"/>
  <c r="L4039" i="1"/>
  <c r="M4039" i="1" s="1"/>
  <c r="N4039" i="1" s="1"/>
  <c r="L4040" i="1"/>
  <c r="M4040" i="1" s="1"/>
  <c r="N4040" i="1" s="1"/>
  <c r="L4041" i="1"/>
  <c r="M4041" i="1" s="1"/>
  <c r="N4041" i="1" s="1"/>
  <c r="L4042" i="1"/>
  <c r="M4042" i="1" s="1"/>
  <c r="N4042" i="1" s="1"/>
  <c r="L4043" i="1"/>
  <c r="M4043" i="1" s="1"/>
  <c r="N4043" i="1" s="1"/>
  <c r="L4044" i="1"/>
  <c r="M4044" i="1" s="1"/>
  <c r="N4044" i="1" s="1"/>
  <c r="L4045" i="1"/>
  <c r="M4045" i="1" s="1"/>
  <c r="N4045" i="1" s="1"/>
  <c r="L4046" i="1"/>
  <c r="M4046" i="1" s="1"/>
  <c r="N4046" i="1" s="1"/>
  <c r="L4047" i="1"/>
  <c r="M4047" i="1" s="1"/>
  <c r="N4047" i="1" s="1"/>
  <c r="L4048" i="1"/>
  <c r="M4048" i="1" s="1"/>
  <c r="N4048" i="1" s="1"/>
  <c r="L4049" i="1"/>
  <c r="M4049" i="1" s="1"/>
  <c r="N4049" i="1" s="1"/>
  <c r="L4050" i="1"/>
  <c r="M4050" i="1" s="1"/>
  <c r="N4050" i="1" s="1"/>
  <c r="L4051" i="1"/>
  <c r="M4051" i="1" s="1"/>
  <c r="N4051" i="1" s="1"/>
  <c r="L4052" i="1"/>
  <c r="M4052" i="1" s="1"/>
  <c r="N4052" i="1" s="1"/>
  <c r="L2" i="1"/>
  <c r="M2" i="1" s="1"/>
  <c r="N2" i="1" s="1"/>
  <c r="A4052" i="1"/>
  <c r="A4051" i="1"/>
  <c r="A4050" i="1"/>
  <c r="A4049" i="1"/>
  <c r="A4048" i="1"/>
  <c r="A4047" i="1"/>
  <c r="A4046" i="1"/>
  <c r="A4045" i="1"/>
  <c r="A4044" i="1"/>
  <c r="A4043" i="1"/>
  <c r="A4042" i="1"/>
  <c r="A4041" i="1"/>
  <c r="A4040" i="1"/>
  <c r="A4039" i="1"/>
  <c r="A4038" i="1"/>
  <c r="A4037" i="1"/>
  <c r="A4036" i="1"/>
  <c r="A4035" i="1"/>
  <c r="A4034" i="1"/>
  <c r="A4033" i="1"/>
  <c r="A4032" i="1"/>
  <c r="A4031" i="1"/>
  <c r="A4030" i="1"/>
  <c r="A4029" i="1"/>
  <c r="A4028" i="1"/>
  <c r="A4027" i="1"/>
  <c r="A4026" i="1"/>
  <c r="A4025" i="1"/>
  <c r="A4024" i="1"/>
  <c r="A4023" i="1"/>
  <c r="A4022" i="1"/>
  <c r="A4021" i="1"/>
  <c r="A4020" i="1"/>
  <c r="A4019" i="1"/>
  <c r="A4018" i="1"/>
  <c r="A4017" i="1"/>
  <c r="A4016" i="1"/>
  <c r="A4015" i="1"/>
  <c r="A4014" i="1"/>
  <c r="A4013" i="1"/>
  <c r="A4012" i="1"/>
  <c r="A4011" i="1"/>
  <c r="A4010" i="1"/>
  <c r="A4009" i="1"/>
  <c r="A4008" i="1"/>
  <c r="A4007" i="1"/>
  <c r="A4006" i="1"/>
  <c r="A4005" i="1"/>
  <c r="A4004" i="1"/>
  <c r="A4003" i="1"/>
  <c r="A4002" i="1"/>
  <c r="A4001" i="1"/>
  <c r="A4000" i="1"/>
  <c r="A3999" i="1"/>
  <c r="A3998" i="1"/>
  <c r="A3997" i="1"/>
  <c r="A3996" i="1"/>
  <c r="A3995" i="1"/>
  <c r="A3994" i="1"/>
  <c r="A3993" i="1"/>
  <c r="A3992" i="1"/>
  <c r="A3991" i="1"/>
  <c r="A3990" i="1"/>
  <c r="A3989" i="1"/>
  <c r="A3988" i="1"/>
  <c r="A3987" i="1"/>
  <c r="A3986" i="1"/>
  <c r="A3985" i="1"/>
  <c r="A3984" i="1"/>
  <c r="A3983" i="1"/>
  <c r="A3982" i="1"/>
  <c r="A3981" i="1"/>
  <c r="A3980" i="1"/>
  <c r="A3979" i="1"/>
  <c r="A3978" i="1"/>
  <c r="A3977" i="1"/>
  <c r="A3976" i="1"/>
  <c r="A3975" i="1"/>
  <c r="A3974" i="1"/>
  <c r="A3973" i="1"/>
  <c r="A3972" i="1"/>
  <c r="A3971" i="1"/>
  <c r="A3970" i="1"/>
  <c r="A3969" i="1"/>
  <c r="A3968" i="1"/>
  <c r="A3967" i="1"/>
  <c r="A3966" i="1"/>
  <c r="A3965" i="1"/>
  <c r="A3964" i="1"/>
  <c r="A3963" i="1"/>
  <c r="A3962" i="1"/>
  <c r="A3961" i="1"/>
  <c r="A3960" i="1"/>
  <c r="A3959" i="1"/>
  <c r="A3958" i="1"/>
  <c r="A3957" i="1"/>
  <c r="A3956" i="1"/>
  <c r="A3955" i="1"/>
  <c r="A3954" i="1"/>
  <c r="A3953" i="1"/>
  <c r="A3952" i="1"/>
  <c r="A3951" i="1"/>
  <c r="A3950" i="1"/>
  <c r="A3949" i="1"/>
  <c r="A3948" i="1"/>
  <c r="A3947" i="1"/>
  <c r="A3946" i="1"/>
  <c r="A3945" i="1"/>
  <c r="A3944" i="1"/>
  <c r="A3943" i="1"/>
  <c r="A3942" i="1"/>
  <c r="A3941" i="1"/>
  <c r="A3940" i="1"/>
  <c r="A3939" i="1"/>
  <c r="A3938" i="1"/>
  <c r="A3937" i="1"/>
  <c r="A3936" i="1"/>
  <c r="A3935" i="1"/>
  <c r="A3934" i="1"/>
  <c r="A3933" i="1"/>
  <c r="A3932" i="1"/>
  <c r="A3931" i="1"/>
  <c r="A3930" i="1"/>
  <c r="A3929" i="1"/>
  <c r="A3928" i="1"/>
  <c r="A3927" i="1"/>
  <c r="A3926" i="1"/>
  <c r="A3925" i="1"/>
  <c r="A3924" i="1"/>
  <c r="A3923" i="1"/>
  <c r="A3922" i="1"/>
  <c r="A3921" i="1"/>
  <c r="A3920" i="1"/>
  <c r="A3919" i="1"/>
  <c r="A3918" i="1"/>
  <c r="A3917" i="1"/>
  <c r="A3916" i="1"/>
  <c r="A3915" i="1"/>
  <c r="A3914" i="1"/>
  <c r="A3913" i="1"/>
  <c r="A3912" i="1"/>
  <c r="A3911" i="1"/>
  <c r="A3910" i="1"/>
  <c r="A3909" i="1"/>
  <c r="A3908" i="1"/>
  <c r="A3907" i="1"/>
  <c r="A3906" i="1"/>
  <c r="A3905" i="1"/>
  <c r="A3904" i="1"/>
  <c r="A3903" i="1"/>
  <c r="A3902" i="1"/>
  <c r="A3901" i="1"/>
  <c r="A3900" i="1"/>
  <c r="A3899" i="1"/>
  <c r="A3898" i="1"/>
  <c r="A3897" i="1"/>
  <c r="A3896" i="1"/>
  <c r="A3895" i="1"/>
  <c r="A3894" i="1"/>
  <c r="A3893" i="1"/>
  <c r="A3892" i="1"/>
  <c r="A3891" i="1"/>
  <c r="A3890" i="1"/>
  <c r="A3889" i="1"/>
  <c r="A3888" i="1"/>
  <c r="A3887" i="1"/>
  <c r="A3886" i="1"/>
  <c r="A3885" i="1"/>
  <c r="A3884" i="1"/>
  <c r="A3883" i="1"/>
  <c r="A3882" i="1"/>
  <c r="A3881" i="1"/>
  <c r="A3880" i="1"/>
  <c r="A3879" i="1"/>
  <c r="A3878" i="1"/>
  <c r="A3877" i="1"/>
  <c r="A3876" i="1"/>
  <c r="A3875" i="1"/>
  <c r="A3874" i="1"/>
  <c r="A3873" i="1"/>
  <c r="A3872" i="1"/>
  <c r="A3871" i="1"/>
  <c r="A3870" i="1"/>
  <c r="A3869" i="1"/>
  <c r="A3868" i="1"/>
  <c r="A3867" i="1"/>
  <c r="A3866" i="1"/>
  <c r="A3865" i="1"/>
  <c r="A3864" i="1"/>
  <c r="A3863" i="1"/>
  <c r="A3862" i="1"/>
  <c r="A3861" i="1"/>
  <c r="A3860" i="1"/>
  <c r="A3859" i="1"/>
  <c r="A3858" i="1"/>
  <c r="A3857" i="1"/>
  <c r="A3856" i="1"/>
  <c r="A3855" i="1"/>
  <c r="A3854" i="1"/>
  <c r="A3853" i="1"/>
  <c r="A3852" i="1"/>
  <c r="A3851" i="1"/>
  <c r="A3850" i="1"/>
  <c r="A3849" i="1"/>
  <c r="A3848" i="1"/>
  <c r="A3847" i="1"/>
  <c r="A3846" i="1"/>
  <c r="A3845" i="1"/>
  <c r="A3844" i="1"/>
  <c r="A3843" i="1"/>
  <c r="A3842" i="1"/>
  <c r="A3841" i="1"/>
  <c r="A3840" i="1"/>
  <c r="A3839" i="1"/>
  <c r="A3838" i="1"/>
  <c r="A3837" i="1"/>
  <c r="A3836" i="1"/>
  <c r="A3835" i="1"/>
  <c r="A3834" i="1"/>
  <c r="A3833" i="1"/>
  <c r="A3832" i="1"/>
  <c r="A3831" i="1"/>
  <c r="A3830" i="1"/>
  <c r="A3829" i="1"/>
  <c r="A3828" i="1"/>
  <c r="A3827" i="1"/>
  <c r="A3826" i="1"/>
  <c r="A3825" i="1"/>
  <c r="A3824" i="1"/>
  <c r="A3823" i="1"/>
  <c r="A3822" i="1"/>
  <c r="A3821" i="1"/>
  <c r="A3820" i="1"/>
  <c r="A3819" i="1"/>
  <c r="A3818" i="1"/>
  <c r="A3817" i="1"/>
  <c r="A3816" i="1"/>
  <c r="A3815" i="1"/>
  <c r="A3814" i="1"/>
  <c r="A3813" i="1"/>
  <c r="A3812" i="1"/>
  <c r="A3811" i="1"/>
  <c r="A3810" i="1"/>
  <c r="A3809" i="1"/>
  <c r="A3808" i="1"/>
  <c r="A3807" i="1"/>
  <c r="A3806" i="1"/>
  <c r="A3805" i="1"/>
  <c r="A3804" i="1"/>
  <c r="A3803" i="1"/>
  <c r="A3802" i="1"/>
  <c r="A3801" i="1"/>
  <c r="A3800" i="1"/>
  <c r="A3799" i="1"/>
  <c r="A3798" i="1"/>
  <c r="A3797" i="1"/>
  <c r="A3796" i="1"/>
  <c r="A3795" i="1"/>
  <c r="A3794" i="1"/>
  <c r="A3793" i="1"/>
  <c r="A3792" i="1"/>
  <c r="A3791" i="1"/>
  <c r="A3790" i="1"/>
  <c r="A3789" i="1"/>
  <c r="A3788" i="1"/>
  <c r="A3787" i="1"/>
  <c r="A3786" i="1"/>
  <c r="A3785" i="1"/>
  <c r="A3784" i="1"/>
  <c r="A3783" i="1"/>
  <c r="A3782" i="1"/>
  <c r="A3781" i="1"/>
  <c r="A3780" i="1"/>
  <c r="A3779" i="1"/>
  <c r="A3778" i="1"/>
  <c r="A3777" i="1"/>
  <c r="A3776" i="1"/>
  <c r="A3775" i="1"/>
  <c r="A3774" i="1"/>
  <c r="A3773" i="1"/>
  <c r="A3772" i="1"/>
  <c r="A3771" i="1"/>
  <c r="A3770" i="1"/>
  <c r="A3769" i="1"/>
  <c r="A3768" i="1"/>
  <c r="A3767" i="1"/>
  <c r="A3766" i="1"/>
  <c r="A3765" i="1"/>
  <c r="A3764" i="1"/>
  <c r="A3763" i="1"/>
  <c r="A3762" i="1"/>
  <c r="A3761" i="1"/>
  <c r="A3760" i="1"/>
  <c r="A3759" i="1"/>
  <c r="A3758" i="1"/>
  <c r="A3757" i="1"/>
  <c r="A3756" i="1"/>
  <c r="A3755" i="1"/>
  <c r="A3754" i="1"/>
  <c r="A3753" i="1"/>
  <c r="A3752" i="1"/>
  <c r="A3751" i="1"/>
  <c r="A3750" i="1"/>
  <c r="A3749" i="1"/>
  <c r="A3748" i="1"/>
  <c r="A3747" i="1"/>
  <c r="A3746" i="1"/>
  <c r="A3745" i="1"/>
  <c r="A3744" i="1"/>
  <c r="A3743" i="1"/>
  <c r="A3742" i="1"/>
  <c r="A3741" i="1"/>
  <c r="A3740" i="1"/>
  <c r="A3739" i="1"/>
  <c r="A3738" i="1"/>
  <c r="A3737" i="1"/>
  <c r="A3736" i="1"/>
  <c r="A3735" i="1"/>
  <c r="A3734" i="1"/>
  <c r="A3733" i="1"/>
  <c r="A3732" i="1"/>
  <c r="A3731" i="1"/>
  <c r="A3730" i="1"/>
  <c r="A3729" i="1"/>
  <c r="A3728" i="1"/>
  <c r="A3727" i="1"/>
  <c r="A3726" i="1"/>
  <c r="A3725" i="1"/>
  <c r="A3724" i="1"/>
  <c r="A3723" i="1"/>
  <c r="A3722" i="1"/>
  <c r="A3721" i="1"/>
  <c r="A3720" i="1"/>
  <c r="A3719" i="1"/>
  <c r="A3718" i="1"/>
  <c r="A3717" i="1"/>
  <c r="A3716" i="1"/>
  <c r="A3715" i="1"/>
  <c r="A3714" i="1"/>
  <c r="A3713" i="1"/>
  <c r="A3712" i="1"/>
  <c r="A3711" i="1"/>
  <c r="A3710" i="1"/>
  <c r="A3709" i="1"/>
  <c r="A3708" i="1"/>
  <c r="A3707" i="1"/>
  <c r="A3706" i="1"/>
  <c r="A3705" i="1"/>
  <c r="A3704" i="1"/>
  <c r="A3703" i="1"/>
  <c r="A3702" i="1"/>
  <c r="A3701" i="1"/>
  <c r="A3700" i="1"/>
  <c r="A3699" i="1"/>
  <c r="A3698" i="1"/>
  <c r="A3697" i="1"/>
  <c r="A3696" i="1"/>
  <c r="A3695" i="1"/>
  <c r="A3694" i="1"/>
  <c r="A3693" i="1"/>
  <c r="A3692" i="1"/>
  <c r="A3691" i="1"/>
  <c r="A3690" i="1"/>
  <c r="A3689" i="1"/>
  <c r="A3688" i="1"/>
  <c r="A3687" i="1"/>
  <c r="A3686" i="1"/>
  <c r="A3685" i="1"/>
  <c r="A3684" i="1"/>
  <c r="A3683" i="1"/>
  <c r="A3682" i="1"/>
  <c r="A3681" i="1"/>
  <c r="A3680" i="1"/>
  <c r="A3679" i="1"/>
  <c r="A3678" i="1"/>
  <c r="A3677" i="1"/>
  <c r="A3676" i="1"/>
  <c r="A3675" i="1"/>
  <c r="A3674" i="1"/>
  <c r="A3673" i="1"/>
  <c r="A3672" i="1"/>
  <c r="A3671" i="1"/>
  <c r="A3670" i="1"/>
  <c r="A3669" i="1"/>
  <c r="A3668" i="1"/>
  <c r="A3667" i="1"/>
  <c r="A3666" i="1"/>
  <c r="A3665" i="1"/>
  <c r="A3664" i="1"/>
  <c r="A3663" i="1"/>
  <c r="A3662" i="1"/>
  <c r="A3661" i="1"/>
  <c r="A3660" i="1"/>
  <c r="A3659" i="1"/>
  <c r="A3658" i="1"/>
  <c r="A3657" i="1"/>
  <c r="A3656" i="1"/>
  <c r="A3655" i="1"/>
  <c r="A3654" i="1"/>
  <c r="A3653" i="1"/>
  <c r="A3652" i="1"/>
  <c r="A3651" i="1"/>
  <c r="A3650" i="1"/>
  <c r="A3649" i="1"/>
  <c r="A3648" i="1"/>
  <c r="A3647" i="1"/>
  <c r="A3646" i="1"/>
  <c r="A3645" i="1"/>
  <c r="A3644" i="1"/>
  <c r="A3643" i="1"/>
  <c r="A3642" i="1"/>
  <c r="A3641" i="1"/>
  <c r="A3640" i="1"/>
  <c r="A3639" i="1"/>
  <c r="A3638" i="1"/>
  <c r="A3637" i="1"/>
  <c r="A3636" i="1"/>
  <c r="A3635" i="1"/>
  <c r="A3634" i="1"/>
  <c r="A3633" i="1"/>
  <c r="A3632" i="1"/>
  <c r="A3631" i="1"/>
  <c r="A3630" i="1"/>
  <c r="A3629" i="1"/>
  <c r="A3628" i="1"/>
  <c r="A3627" i="1"/>
  <c r="A3626" i="1"/>
  <c r="A3625" i="1"/>
  <c r="A3624" i="1"/>
  <c r="A3623" i="1"/>
  <c r="A3622" i="1"/>
  <c r="A3621" i="1"/>
  <c r="A3620" i="1"/>
  <c r="A3619" i="1"/>
  <c r="A3618" i="1"/>
  <c r="A3617" i="1"/>
  <c r="A3616" i="1"/>
  <c r="A3615" i="1"/>
  <c r="A3614" i="1"/>
  <c r="A3613" i="1"/>
  <c r="A3612" i="1"/>
  <c r="A3611" i="1"/>
  <c r="A3610" i="1"/>
  <c r="A3609" i="1"/>
  <c r="A3608" i="1"/>
  <c r="A3607" i="1"/>
  <c r="A3606" i="1"/>
  <c r="A3605" i="1"/>
  <c r="A3604" i="1"/>
  <c r="A3603" i="1"/>
  <c r="A3602" i="1"/>
  <c r="A3601" i="1"/>
  <c r="A3600" i="1"/>
  <c r="A3599" i="1"/>
  <c r="A3598" i="1"/>
  <c r="A3597" i="1"/>
  <c r="A3596" i="1"/>
  <c r="A3595" i="1"/>
  <c r="A3594" i="1"/>
  <c r="A3593" i="1"/>
  <c r="A3592" i="1"/>
  <c r="A3591" i="1"/>
  <c r="A3590" i="1"/>
  <c r="A3589" i="1"/>
  <c r="A3588" i="1"/>
  <c r="A3587" i="1"/>
  <c r="A3586" i="1"/>
  <c r="A3585" i="1"/>
  <c r="A3584" i="1"/>
  <c r="A3583" i="1"/>
  <c r="A3582" i="1"/>
  <c r="A3581" i="1"/>
  <c r="A3580" i="1"/>
  <c r="A3579" i="1"/>
  <c r="A3578" i="1"/>
  <c r="A3577" i="1"/>
  <c r="A3576" i="1"/>
  <c r="A3575" i="1"/>
  <c r="A3574" i="1"/>
  <c r="A3573" i="1"/>
  <c r="A3572" i="1"/>
  <c r="A3571" i="1"/>
  <c r="A3570" i="1"/>
  <c r="A3569" i="1"/>
  <c r="A3568" i="1"/>
  <c r="A3567" i="1"/>
  <c r="A3566" i="1"/>
  <c r="A3565" i="1"/>
  <c r="A3564" i="1"/>
  <c r="A3563" i="1"/>
  <c r="A3562" i="1"/>
  <c r="A3561" i="1"/>
  <c r="A3560" i="1"/>
  <c r="A3559" i="1"/>
  <c r="A3558" i="1"/>
  <c r="A3557" i="1"/>
  <c r="A3556" i="1"/>
  <c r="A3555" i="1"/>
  <c r="A3554" i="1"/>
  <c r="A3553" i="1"/>
  <c r="A3552" i="1"/>
  <c r="A3551" i="1"/>
  <c r="A3550" i="1"/>
  <c r="A3549" i="1"/>
  <c r="A3548" i="1"/>
  <c r="A3547" i="1"/>
  <c r="A3546" i="1"/>
  <c r="A3545" i="1"/>
  <c r="A3544" i="1"/>
  <c r="A3543" i="1"/>
  <c r="A3542" i="1"/>
  <c r="A3541" i="1"/>
  <c r="A3540" i="1"/>
  <c r="A3539" i="1"/>
  <c r="A3538" i="1"/>
  <c r="A3537" i="1"/>
  <c r="A3536" i="1"/>
  <c r="A3535" i="1"/>
  <c r="A3534" i="1"/>
  <c r="A3533" i="1"/>
  <c r="A3532" i="1"/>
  <c r="A3531" i="1"/>
  <c r="A3530" i="1"/>
  <c r="A3529" i="1"/>
  <c r="A3528" i="1"/>
  <c r="A3527" i="1"/>
  <c r="A3526" i="1"/>
  <c r="A3525" i="1"/>
  <c r="A3524" i="1"/>
  <c r="A3523" i="1"/>
  <c r="A3522" i="1"/>
  <c r="A3521" i="1"/>
  <c r="A3520" i="1"/>
  <c r="A3519" i="1"/>
  <c r="A3518" i="1"/>
  <c r="A3517" i="1"/>
  <c r="A3516" i="1"/>
  <c r="A3515" i="1"/>
  <c r="A3514" i="1"/>
  <c r="A3513" i="1"/>
  <c r="A3512" i="1"/>
  <c r="A3511" i="1"/>
  <c r="A3510" i="1"/>
  <c r="A3509" i="1"/>
  <c r="A3508" i="1"/>
  <c r="A3507" i="1"/>
  <c r="A3506" i="1"/>
  <c r="A3505" i="1"/>
  <c r="A3504" i="1"/>
  <c r="A3503" i="1"/>
  <c r="A3502" i="1"/>
  <c r="A3501" i="1"/>
  <c r="A3500" i="1"/>
  <c r="A3499" i="1"/>
  <c r="A3498" i="1"/>
  <c r="A3497" i="1"/>
  <c r="A3496" i="1"/>
  <c r="A3495" i="1"/>
  <c r="A3494" i="1"/>
  <c r="A3493" i="1"/>
  <c r="A3492" i="1"/>
  <c r="A3491" i="1"/>
  <c r="A3490" i="1"/>
  <c r="A3489" i="1"/>
  <c r="A3488" i="1"/>
  <c r="A3487" i="1"/>
  <c r="A3486" i="1"/>
  <c r="A3485" i="1"/>
  <c r="A3484" i="1"/>
  <c r="A3483" i="1"/>
  <c r="A3482" i="1"/>
  <c r="A3481" i="1"/>
  <c r="A3480" i="1"/>
  <c r="A3479" i="1"/>
  <c r="A3478" i="1"/>
  <c r="A3477" i="1"/>
  <c r="A3476" i="1"/>
  <c r="A3475" i="1"/>
  <c r="A3474" i="1"/>
  <c r="A3473" i="1"/>
  <c r="A3472" i="1"/>
  <c r="A3471" i="1"/>
  <c r="A3470" i="1"/>
  <c r="A3469" i="1"/>
  <c r="A3468" i="1"/>
  <c r="A3467" i="1"/>
  <c r="A3466" i="1"/>
  <c r="A3465" i="1"/>
  <c r="A3464" i="1"/>
  <c r="A3463" i="1"/>
  <c r="A3462" i="1"/>
  <c r="A3461" i="1"/>
  <c r="A3460" i="1"/>
  <c r="A3459" i="1"/>
  <c r="A3458" i="1"/>
  <c r="A3457" i="1"/>
  <c r="A3456" i="1"/>
  <c r="A3455" i="1"/>
  <c r="A3454" i="1"/>
  <c r="A3453" i="1"/>
  <c r="A3452" i="1"/>
  <c r="A3451" i="1"/>
  <c r="A3450" i="1"/>
  <c r="A3449" i="1"/>
  <c r="A3448" i="1"/>
  <c r="A3447" i="1"/>
  <c r="A3446" i="1"/>
  <c r="A3445" i="1"/>
  <c r="A3444" i="1"/>
  <c r="A3443" i="1"/>
  <c r="A3442" i="1"/>
  <c r="A3441" i="1"/>
  <c r="A3440" i="1"/>
  <c r="A3439" i="1"/>
  <c r="A3438" i="1"/>
  <c r="A3437" i="1"/>
  <c r="A3436" i="1"/>
  <c r="A3435" i="1"/>
  <c r="A3434" i="1"/>
  <c r="A3433" i="1"/>
  <c r="A3432" i="1"/>
  <c r="A3431" i="1"/>
  <c r="A3430" i="1"/>
  <c r="A3429" i="1"/>
  <c r="A3428" i="1"/>
  <c r="A3427" i="1"/>
  <c r="A3426" i="1"/>
  <c r="A3425" i="1"/>
  <c r="A3424" i="1"/>
  <c r="A3423" i="1"/>
  <c r="A3422" i="1"/>
  <c r="A3421" i="1"/>
  <c r="A3420" i="1"/>
  <c r="A3419" i="1"/>
  <c r="A3418" i="1"/>
  <c r="A3417" i="1"/>
  <c r="A3416" i="1"/>
  <c r="A3415" i="1"/>
  <c r="A3414" i="1"/>
  <c r="A3413" i="1"/>
  <c r="A3412" i="1"/>
  <c r="A3411" i="1"/>
  <c r="A3410" i="1"/>
  <c r="A3409" i="1"/>
  <c r="A3408" i="1"/>
  <c r="A3407" i="1"/>
  <c r="A3406" i="1"/>
  <c r="A3405" i="1"/>
  <c r="A3404" i="1"/>
  <c r="A3403" i="1"/>
  <c r="A3402" i="1"/>
  <c r="A3401" i="1"/>
  <c r="A3400" i="1"/>
  <c r="A3399" i="1"/>
  <c r="A3398" i="1"/>
  <c r="A3397" i="1"/>
  <c r="A3396" i="1"/>
  <c r="A3395" i="1"/>
  <c r="A3394" i="1"/>
  <c r="A3393" i="1"/>
  <c r="A3392" i="1"/>
  <c r="A3391" i="1"/>
  <c r="A3390" i="1"/>
  <c r="A3389" i="1"/>
  <c r="A3388" i="1"/>
  <c r="A3387" i="1"/>
  <c r="A3386" i="1"/>
  <c r="A3385" i="1"/>
  <c r="A3384" i="1"/>
  <c r="A3383" i="1"/>
  <c r="A3382" i="1"/>
  <c r="A3381" i="1"/>
  <c r="A3380" i="1"/>
  <c r="A3379" i="1"/>
  <c r="A3378" i="1"/>
  <c r="A3377" i="1"/>
  <c r="A3376" i="1"/>
  <c r="A3375" i="1"/>
  <c r="A3374" i="1"/>
  <c r="A3373" i="1"/>
  <c r="A3372" i="1"/>
  <c r="A3371" i="1"/>
  <c r="A3370" i="1"/>
  <c r="A3369" i="1"/>
  <c r="A3368" i="1"/>
  <c r="A3367" i="1"/>
  <c r="A3366" i="1"/>
  <c r="A3365" i="1"/>
  <c r="A3364" i="1"/>
  <c r="A3363" i="1"/>
  <c r="A3362" i="1"/>
  <c r="A3361" i="1"/>
  <c r="A3360" i="1"/>
  <c r="A3359" i="1"/>
  <c r="A3358" i="1"/>
  <c r="A3357" i="1"/>
  <c r="A3356" i="1"/>
  <c r="A3355" i="1"/>
  <c r="A3354" i="1"/>
  <c r="A3353" i="1"/>
  <c r="A3352" i="1"/>
  <c r="A3351" i="1"/>
  <c r="A3350" i="1"/>
  <c r="A3349" i="1"/>
  <c r="A3348" i="1"/>
  <c r="A3347" i="1"/>
  <c r="A3346" i="1"/>
  <c r="A3345" i="1"/>
  <c r="A3344" i="1"/>
  <c r="A3343" i="1"/>
  <c r="A3342" i="1"/>
  <c r="A3341" i="1"/>
  <c r="A3340" i="1"/>
  <c r="A3339" i="1"/>
  <c r="A3338" i="1"/>
  <c r="A3337" i="1"/>
  <c r="A3336" i="1"/>
  <c r="A3335" i="1"/>
  <c r="A3334" i="1"/>
  <c r="A3333" i="1"/>
  <c r="A3332" i="1"/>
  <c r="A3331" i="1"/>
  <c r="A3330" i="1"/>
  <c r="A3329" i="1"/>
  <c r="A3328" i="1"/>
  <c r="A3327" i="1"/>
  <c r="A3326" i="1"/>
  <c r="A3325" i="1"/>
  <c r="A3324" i="1"/>
  <c r="A3323" i="1"/>
  <c r="A3322" i="1"/>
  <c r="A3321" i="1"/>
  <c r="A3320" i="1"/>
  <c r="A3319" i="1"/>
  <c r="A3318" i="1"/>
  <c r="A3317" i="1"/>
  <c r="A3316" i="1"/>
  <c r="A3315" i="1"/>
  <c r="A3314" i="1"/>
  <c r="A3313" i="1"/>
  <c r="A3312" i="1"/>
  <c r="A3311" i="1"/>
  <c r="A3310" i="1"/>
  <c r="A3309" i="1"/>
  <c r="A3308" i="1"/>
  <c r="A3307" i="1"/>
  <c r="A3306" i="1"/>
  <c r="A3305" i="1"/>
  <c r="A3304" i="1"/>
  <c r="A3303" i="1"/>
  <c r="A3302" i="1"/>
  <c r="A3301" i="1"/>
  <c r="A3300" i="1"/>
  <c r="A3299" i="1"/>
  <c r="A3298" i="1"/>
  <c r="A3297" i="1"/>
  <c r="A3296" i="1"/>
  <c r="A3295" i="1"/>
  <c r="A3294" i="1"/>
  <c r="A3293" i="1"/>
  <c r="A3292" i="1"/>
  <c r="A3291" i="1"/>
  <c r="A3290" i="1"/>
  <c r="A3289" i="1"/>
  <c r="A3288" i="1"/>
  <c r="A3287" i="1"/>
  <c r="A3286" i="1"/>
  <c r="A3285" i="1"/>
  <c r="A3284" i="1"/>
  <c r="A3283" i="1"/>
  <c r="A3282" i="1"/>
  <c r="A3281" i="1"/>
  <c r="A3280" i="1"/>
  <c r="A3279" i="1"/>
  <c r="A3278" i="1"/>
  <c r="A3277" i="1"/>
  <c r="A3276" i="1"/>
  <c r="A3275" i="1"/>
  <c r="A3274" i="1"/>
  <c r="A3273" i="1"/>
  <c r="A3272" i="1"/>
  <c r="A3271" i="1"/>
  <c r="A3270" i="1"/>
  <c r="A3269" i="1"/>
  <c r="A3268" i="1"/>
  <c r="A3267" i="1"/>
  <c r="A3266" i="1"/>
  <c r="A3265" i="1"/>
  <c r="A3264" i="1"/>
  <c r="A3263" i="1"/>
  <c r="A3262" i="1"/>
  <c r="A3261" i="1"/>
  <c r="A3260" i="1"/>
  <c r="A3259" i="1"/>
  <c r="A3258" i="1"/>
  <c r="A3257" i="1"/>
  <c r="A3256" i="1"/>
  <c r="A3255" i="1"/>
  <c r="A3254" i="1"/>
  <c r="A3253" i="1"/>
  <c r="A3252" i="1"/>
  <c r="A3251" i="1"/>
  <c r="A3250" i="1"/>
  <c r="A3249" i="1"/>
  <c r="A3248" i="1"/>
  <c r="A3247" i="1"/>
  <c r="A3246" i="1"/>
  <c r="A3245" i="1"/>
  <c r="A3244" i="1"/>
  <c r="A3243" i="1"/>
  <c r="A3242" i="1"/>
  <c r="A3241" i="1"/>
  <c r="A3240" i="1"/>
  <c r="A3239" i="1"/>
  <c r="A3238" i="1"/>
  <c r="A3237" i="1"/>
  <c r="A3236" i="1"/>
  <c r="A3235" i="1"/>
  <c r="A3234" i="1"/>
  <c r="A3233" i="1"/>
  <c r="A3232" i="1"/>
  <c r="A3231" i="1"/>
  <c r="A3230" i="1"/>
  <c r="A3229" i="1"/>
  <c r="A3228" i="1"/>
  <c r="A3227" i="1"/>
  <c r="A3226" i="1"/>
  <c r="A3225" i="1"/>
  <c r="A3224" i="1"/>
  <c r="A3223" i="1"/>
  <c r="A3222" i="1"/>
  <c r="A3221" i="1"/>
  <c r="A3220" i="1"/>
  <c r="A3219" i="1"/>
  <c r="A3218" i="1"/>
  <c r="A3217" i="1"/>
  <c r="A3216" i="1"/>
  <c r="A3215" i="1"/>
  <c r="A3214" i="1"/>
  <c r="A3213" i="1"/>
  <c r="A3212" i="1"/>
  <c r="A3211" i="1"/>
  <c r="A3210" i="1"/>
  <c r="A3209" i="1"/>
  <c r="A3208" i="1"/>
  <c r="A3207" i="1"/>
  <c r="A3206" i="1"/>
  <c r="A3205" i="1"/>
  <c r="A3204" i="1"/>
  <c r="A3203" i="1"/>
  <c r="A3202" i="1"/>
  <c r="A3201" i="1"/>
  <c r="A3200" i="1"/>
  <c r="A3199" i="1"/>
  <c r="A3198" i="1"/>
  <c r="A3197" i="1"/>
  <c r="A3196" i="1"/>
  <c r="A3195" i="1"/>
  <c r="A3194" i="1"/>
  <c r="A3193" i="1"/>
  <c r="A3192" i="1"/>
  <c r="A3191" i="1"/>
  <c r="A3190" i="1"/>
  <c r="A3189" i="1"/>
  <c r="A3188" i="1"/>
  <c r="A3187" i="1"/>
  <c r="A3186" i="1"/>
  <c r="A3185" i="1"/>
  <c r="A3184" i="1"/>
  <c r="A3183" i="1"/>
  <c r="A3182" i="1"/>
  <c r="A3181" i="1"/>
  <c r="A3180" i="1"/>
  <c r="A3179" i="1"/>
  <c r="A3178" i="1"/>
  <c r="A3177" i="1"/>
  <c r="A3176" i="1"/>
  <c r="A3175" i="1"/>
  <c r="A3174" i="1"/>
  <c r="A3173" i="1"/>
  <c r="A3172" i="1"/>
  <c r="A3171" i="1"/>
  <c r="A3170" i="1"/>
  <c r="A3169" i="1"/>
  <c r="A3168" i="1"/>
  <c r="A3167" i="1"/>
  <c r="A3166" i="1"/>
  <c r="A3165" i="1"/>
  <c r="A3164" i="1"/>
  <c r="A3163" i="1"/>
  <c r="A3162" i="1"/>
  <c r="A3161" i="1"/>
  <c r="A3160" i="1"/>
  <c r="A3159" i="1"/>
  <c r="A3158" i="1"/>
  <c r="A3157" i="1"/>
  <c r="A3156" i="1"/>
  <c r="A3155" i="1"/>
  <c r="A3154" i="1"/>
  <c r="A3153" i="1"/>
  <c r="A3152" i="1"/>
  <c r="A3151" i="1"/>
  <c r="A3150" i="1"/>
  <c r="A3149" i="1"/>
  <c r="A3148" i="1"/>
  <c r="A3147" i="1"/>
  <c r="A3146" i="1"/>
  <c r="A3145" i="1"/>
  <c r="A3144" i="1"/>
  <c r="A3143" i="1"/>
  <c r="A3142" i="1"/>
  <c r="A3141" i="1"/>
  <c r="A3140" i="1"/>
  <c r="A3139" i="1"/>
  <c r="A3138" i="1"/>
  <c r="A3137" i="1"/>
  <c r="A3136" i="1"/>
  <c r="A3135" i="1"/>
  <c r="A3134" i="1"/>
  <c r="A3133" i="1"/>
  <c r="A3132" i="1"/>
  <c r="A3131" i="1"/>
  <c r="A3130" i="1"/>
  <c r="A3129" i="1"/>
  <c r="A3128" i="1"/>
  <c r="A3127" i="1"/>
  <c r="A3126" i="1"/>
  <c r="A3125" i="1"/>
  <c r="A3124" i="1"/>
  <c r="A3123" i="1"/>
  <c r="A3122" i="1"/>
  <c r="A3121" i="1"/>
  <c r="A3120" i="1"/>
  <c r="A3119" i="1"/>
  <c r="A3118" i="1"/>
  <c r="A3117" i="1"/>
  <c r="A3116" i="1"/>
  <c r="A3115" i="1"/>
  <c r="A3114" i="1"/>
  <c r="A3113" i="1"/>
  <c r="A3112" i="1"/>
  <c r="A3111" i="1"/>
  <c r="A3110" i="1"/>
  <c r="A3109" i="1"/>
  <c r="A3108" i="1"/>
  <c r="A3107" i="1"/>
  <c r="A3106" i="1"/>
  <c r="A3105" i="1"/>
  <c r="A3104" i="1"/>
  <c r="A3103" i="1"/>
  <c r="A3102" i="1"/>
  <c r="A3101" i="1"/>
  <c r="A3100" i="1"/>
  <c r="A3099" i="1"/>
  <c r="A3098" i="1"/>
  <c r="A3097" i="1"/>
  <c r="A3096" i="1"/>
  <c r="A3095" i="1"/>
  <c r="A3094" i="1"/>
  <c r="A3093" i="1"/>
  <c r="A3092" i="1"/>
  <c r="A3091" i="1"/>
  <c r="A3090" i="1"/>
  <c r="A3089" i="1"/>
  <c r="A3088" i="1"/>
  <c r="A3087" i="1"/>
  <c r="A3086" i="1"/>
  <c r="A3085" i="1"/>
  <c r="A3084" i="1"/>
  <c r="A3083" i="1"/>
  <c r="A3082" i="1"/>
  <c r="A3081" i="1"/>
  <c r="A3080" i="1"/>
  <c r="A3079" i="1"/>
  <c r="A3078" i="1"/>
  <c r="A3077" i="1"/>
  <c r="A3076" i="1"/>
  <c r="A3075" i="1"/>
  <c r="A3074" i="1"/>
  <c r="A3073" i="1"/>
  <c r="A3072" i="1"/>
  <c r="A3071" i="1"/>
  <c r="A3070" i="1"/>
  <c r="A3069" i="1"/>
  <c r="A3068" i="1"/>
  <c r="A3067" i="1"/>
  <c r="A3066" i="1"/>
  <c r="A3065" i="1"/>
  <c r="A3064" i="1"/>
  <c r="A3063" i="1"/>
  <c r="A3062" i="1"/>
  <c r="A3061" i="1"/>
  <c r="A3060" i="1"/>
  <c r="A3059" i="1"/>
  <c r="A3058" i="1"/>
  <c r="A3057" i="1"/>
  <c r="A3056" i="1"/>
  <c r="A3055" i="1"/>
  <c r="A3054" i="1"/>
  <c r="A3053" i="1"/>
  <c r="A3052" i="1"/>
  <c r="A3051" i="1"/>
  <c r="A3050" i="1"/>
  <c r="A3049" i="1"/>
  <c r="A3048" i="1"/>
  <c r="A3047" i="1"/>
  <c r="A3046" i="1"/>
  <c r="A3045" i="1"/>
  <c r="A3044" i="1"/>
  <c r="A3043" i="1"/>
  <c r="A3042" i="1"/>
  <c r="A3041" i="1"/>
  <c r="A3040" i="1"/>
  <c r="A3039" i="1"/>
  <c r="A3038" i="1"/>
  <c r="A3037" i="1"/>
  <c r="A3036" i="1"/>
  <c r="A3035" i="1"/>
  <c r="A3034" i="1"/>
  <c r="A3033" i="1"/>
  <c r="A3032" i="1"/>
  <c r="A3031" i="1"/>
  <c r="A3030" i="1"/>
  <c r="A3029" i="1"/>
  <c r="A3028" i="1"/>
  <c r="A3027" i="1"/>
  <c r="A3026" i="1"/>
  <c r="A3025" i="1"/>
  <c r="A3024" i="1"/>
  <c r="A3023" i="1"/>
  <c r="A3022" i="1"/>
  <c r="A3021" i="1"/>
  <c r="A3020" i="1"/>
  <c r="A3019" i="1"/>
  <c r="A3018" i="1"/>
  <c r="A3017" i="1"/>
  <c r="A3016" i="1"/>
  <c r="A3015" i="1"/>
  <c r="A3014" i="1"/>
  <c r="A3013" i="1"/>
  <c r="A3012" i="1"/>
  <c r="A3011" i="1"/>
  <c r="A3010" i="1"/>
  <c r="A3009" i="1"/>
  <c r="A3008" i="1"/>
  <c r="A3007" i="1"/>
  <c r="A3006" i="1"/>
  <c r="A3005" i="1"/>
  <c r="A3004" i="1"/>
  <c r="A3003" i="1"/>
  <c r="A3002" i="1"/>
  <c r="A3001" i="1"/>
  <c r="A3000" i="1"/>
  <c r="A2999" i="1"/>
  <c r="A2998" i="1"/>
  <c r="A2997" i="1"/>
  <c r="A2996" i="1"/>
  <c r="A2995" i="1"/>
  <c r="A2994" i="1"/>
  <c r="A2993" i="1"/>
  <c r="A2992" i="1"/>
  <c r="A2991" i="1"/>
  <c r="A2990" i="1"/>
  <c r="A2989" i="1"/>
  <c r="A2988" i="1"/>
  <c r="A2987" i="1"/>
  <c r="A2986" i="1"/>
  <c r="A2985" i="1"/>
  <c r="A2984" i="1"/>
  <c r="A2983" i="1"/>
  <c r="A2982" i="1"/>
  <c r="A2981" i="1"/>
  <c r="A2980" i="1"/>
  <c r="A2979" i="1"/>
  <c r="A2978" i="1"/>
  <c r="A2977" i="1"/>
  <c r="A2976" i="1"/>
  <c r="A2975" i="1"/>
  <c r="A2974" i="1"/>
  <c r="A2973" i="1"/>
  <c r="A2972" i="1"/>
  <c r="A2971" i="1"/>
  <c r="A2970" i="1"/>
  <c r="A2969" i="1"/>
  <c r="A2968" i="1"/>
  <c r="A2967" i="1"/>
  <c r="A2966" i="1"/>
  <c r="A2965" i="1"/>
  <c r="A2964" i="1"/>
  <c r="A2963" i="1"/>
  <c r="A2962" i="1"/>
  <c r="A2961" i="1"/>
  <c r="A2960" i="1"/>
  <c r="A2959" i="1"/>
  <c r="A2958" i="1"/>
  <c r="A2957" i="1"/>
  <c r="A2956" i="1"/>
  <c r="A2955" i="1"/>
  <c r="A2954" i="1"/>
  <c r="A2953" i="1"/>
  <c r="A2952" i="1"/>
  <c r="A2951" i="1"/>
  <c r="A2950" i="1"/>
  <c r="A2949" i="1"/>
  <c r="A2948" i="1"/>
  <c r="A2947" i="1"/>
  <c r="A2946" i="1"/>
  <c r="A2945" i="1"/>
  <c r="A2944" i="1"/>
  <c r="A2943" i="1"/>
  <c r="A2942" i="1"/>
  <c r="A2941" i="1"/>
  <c r="A2940" i="1"/>
  <c r="A2939" i="1"/>
  <c r="A2938" i="1"/>
  <c r="A2937" i="1"/>
  <c r="A2936" i="1"/>
  <c r="A2935" i="1"/>
  <c r="A2934" i="1"/>
  <c r="A2933" i="1"/>
  <c r="A2932" i="1"/>
  <c r="A2931" i="1"/>
  <c r="A2930" i="1"/>
  <c r="A2929" i="1"/>
  <c r="A2928" i="1"/>
  <c r="A2927" i="1"/>
  <c r="A2926" i="1"/>
  <c r="A2925" i="1"/>
  <c r="A2924" i="1"/>
  <c r="A2923" i="1"/>
  <c r="A2922" i="1"/>
  <c r="A2921" i="1"/>
  <c r="A2920" i="1"/>
  <c r="A2919" i="1"/>
  <c r="A2918" i="1"/>
  <c r="A2917" i="1"/>
  <c r="A2916" i="1"/>
  <c r="A2915" i="1"/>
  <c r="A2914" i="1"/>
  <c r="A2913" i="1"/>
  <c r="A2912" i="1"/>
  <c r="A2911" i="1"/>
  <c r="A2910" i="1"/>
  <c r="A2909" i="1"/>
  <c r="A2908" i="1"/>
  <c r="A2907" i="1"/>
  <c r="A2906" i="1"/>
  <c r="A2905" i="1"/>
  <c r="A2904" i="1"/>
  <c r="A2903" i="1"/>
  <c r="A2902" i="1"/>
  <c r="A2901" i="1"/>
  <c r="A2900" i="1"/>
  <c r="A2899" i="1"/>
  <c r="A2898" i="1"/>
  <c r="A2897" i="1"/>
  <c r="A2896" i="1"/>
  <c r="A2895" i="1"/>
  <c r="A2894" i="1"/>
  <c r="A2893" i="1"/>
  <c r="A2892" i="1"/>
  <c r="A2891" i="1"/>
  <c r="A2890" i="1"/>
  <c r="A2889" i="1"/>
  <c r="A2888" i="1"/>
  <c r="A2887" i="1"/>
  <c r="A2886" i="1"/>
  <c r="A2885" i="1"/>
  <c r="A2884" i="1"/>
  <c r="A2883" i="1"/>
  <c r="A2882" i="1"/>
  <c r="A2881" i="1"/>
  <c r="A2880" i="1"/>
  <c r="A2879" i="1"/>
  <c r="A2878" i="1"/>
  <c r="A2877" i="1"/>
  <c r="A2876" i="1"/>
  <c r="A2875" i="1"/>
  <c r="A2874" i="1"/>
  <c r="A2873" i="1"/>
  <c r="A2872" i="1"/>
  <c r="A2871" i="1"/>
  <c r="A2870" i="1"/>
  <c r="A2869" i="1"/>
  <c r="A2868" i="1"/>
  <c r="A2867" i="1"/>
  <c r="A2866" i="1"/>
  <c r="A2865" i="1"/>
  <c r="A2864" i="1"/>
  <c r="A2863" i="1"/>
  <c r="A2862" i="1"/>
  <c r="A2861" i="1"/>
  <c r="A2860" i="1"/>
  <c r="A2859" i="1"/>
  <c r="A2858" i="1"/>
  <c r="A2857" i="1"/>
  <c r="A2856" i="1"/>
  <c r="A2855" i="1"/>
  <c r="A2854" i="1"/>
  <c r="A2853" i="1"/>
  <c r="A2852" i="1"/>
  <c r="A2851" i="1"/>
  <c r="A2850" i="1"/>
  <c r="A2849" i="1"/>
  <c r="A2848" i="1"/>
  <c r="A2847" i="1"/>
  <c r="A2846" i="1"/>
  <c r="A2845" i="1"/>
  <c r="A2844" i="1"/>
  <c r="A2843" i="1"/>
  <c r="A2842" i="1"/>
  <c r="A2841" i="1"/>
  <c r="A2840" i="1"/>
  <c r="A2839" i="1"/>
  <c r="A2838" i="1"/>
  <c r="A2837" i="1"/>
  <c r="A2836" i="1"/>
  <c r="A2835" i="1"/>
  <c r="A2834" i="1"/>
  <c r="A2833" i="1"/>
  <c r="A2832" i="1"/>
  <c r="A2831" i="1"/>
  <c r="A2830" i="1"/>
  <c r="A2829" i="1"/>
  <c r="A2828" i="1"/>
  <c r="A2827" i="1"/>
  <c r="A2826" i="1"/>
  <c r="A2825" i="1"/>
  <c r="A2824" i="1"/>
  <c r="A2823" i="1"/>
  <c r="A2822" i="1"/>
  <c r="A2821" i="1"/>
  <c r="A2820" i="1"/>
  <c r="A2819" i="1"/>
  <c r="A2818" i="1"/>
  <c r="A2817" i="1"/>
  <c r="A2816" i="1"/>
  <c r="A2815" i="1"/>
  <c r="A2814" i="1"/>
  <c r="A2813" i="1"/>
  <c r="A2812" i="1"/>
  <c r="A2811" i="1"/>
  <c r="A2810" i="1"/>
  <c r="A2809" i="1"/>
  <c r="A2808" i="1"/>
  <c r="A2807" i="1"/>
  <c r="A2806" i="1"/>
  <c r="A2805" i="1"/>
  <c r="A2804" i="1"/>
  <c r="A2803" i="1"/>
  <c r="A2802" i="1"/>
  <c r="A2801" i="1"/>
  <c r="A2800" i="1"/>
  <c r="A2799" i="1"/>
  <c r="A2798" i="1"/>
  <c r="A2797" i="1"/>
  <c r="A2796" i="1"/>
  <c r="A2795" i="1"/>
  <c r="A2794" i="1"/>
  <c r="A2793" i="1"/>
  <c r="A2792" i="1"/>
  <c r="A2791" i="1"/>
  <c r="A2790" i="1"/>
  <c r="A2789" i="1"/>
  <c r="A2788" i="1"/>
  <c r="A2787" i="1"/>
  <c r="A2786" i="1"/>
  <c r="A2785" i="1"/>
  <c r="A2784" i="1"/>
  <c r="A2783" i="1"/>
  <c r="A2782" i="1"/>
  <c r="A2781" i="1"/>
  <c r="A2780" i="1"/>
  <c r="A2779" i="1"/>
  <c r="A2778" i="1"/>
  <c r="A2777" i="1"/>
  <c r="A2776" i="1"/>
  <c r="A2775" i="1"/>
  <c r="A2774" i="1"/>
  <c r="A2773" i="1"/>
  <c r="A2772" i="1"/>
  <c r="A2771" i="1"/>
  <c r="A2770" i="1"/>
  <c r="A2769" i="1"/>
  <c r="A2768" i="1"/>
  <c r="A2767" i="1"/>
  <c r="A2766" i="1"/>
  <c r="A2765" i="1"/>
  <c r="A2764" i="1"/>
  <c r="A2763" i="1"/>
  <c r="A2762" i="1"/>
  <c r="A2761" i="1"/>
  <c r="A2760" i="1"/>
  <c r="A2759" i="1"/>
  <c r="A2758" i="1"/>
  <c r="A2757" i="1"/>
  <c r="A2756" i="1"/>
  <c r="A2755" i="1"/>
  <c r="A2754" i="1"/>
  <c r="A2753" i="1"/>
  <c r="A2752" i="1"/>
  <c r="A2751" i="1"/>
  <c r="A2750" i="1"/>
  <c r="A2749" i="1"/>
  <c r="A2748" i="1"/>
  <c r="A2747" i="1"/>
  <c r="A2746" i="1"/>
  <c r="A2745" i="1"/>
  <c r="A2744" i="1"/>
  <c r="A2743" i="1"/>
  <c r="A2742" i="1"/>
  <c r="A2741" i="1"/>
  <c r="A2740" i="1"/>
  <c r="A2739" i="1"/>
  <c r="A2738" i="1"/>
  <c r="A2737" i="1"/>
  <c r="A2736" i="1"/>
  <c r="A2735" i="1"/>
  <c r="A2734" i="1"/>
  <c r="A2733" i="1"/>
  <c r="A2732" i="1"/>
  <c r="A2731" i="1"/>
  <c r="A2730" i="1"/>
  <c r="A2729" i="1"/>
  <c r="A2728" i="1"/>
  <c r="A2727" i="1"/>
  <c r="A2726" i="1"/>
  <c r="A2725" i="1"/>
  <c r="A2724" i="1"/>
  <c r="A2723" i="1"/>
  <c r="A2722" i="1"/>
  <c r="A2721" i="1"/>
  <c r="A2720" i="1"/>
  <c r="A2719" i="1"/>
  <c r="A2718" i="1"/>
  <c r="A2717" i="1"/>
  <c r="A2716" i="1"/>
  <c r="A2715" i="1"/>
  <c r="A2714" i="1"/>
  <c r="A2713" i="1"/>
  <c r="A2712" i="1"/>
  <c r="A2711" i="1"/>
  <c r="A2710" i="1"/>
  <c r="A2709" i="1"/>
  <c r="A2708" i="1"/>
  <c r="A2707" i="1"/>
  <c r="A2706" i="1"/>
  <c r="A2705" i="1"/>
  <c r="A2704" i="1"/>
  <c r="A2703" i="1"/>
  <c r="A2702" i="1"/>
  <c r="A2701" i="1"/>
  <c r="A2700" i="1"/>
  <c r="A2699" i="1"/>
  <c r="A2698" i="1"/>
  <c r="A2697" i="1"/>
  <c r="A2696" i="1"/>
  <c r="A2695" i="1"/>
  <c r="A2694" i="1"/>
  <c r="A2693" i="1"/>
  <c r="A2692" i="1"/>
  <c r="A2691" i="1"/>
  <c r="A2690" i="1"/>
  <c r="A2689" i="1"/>
  <c r="A2688" i="1"/>
  <c r="A2687" i="1"/>
  <c r="A2686" i="1"/>
  <c r="A2685" i="1"/>
  <c r="A2684" i="1"/>
  <c r="A2683" i="1"/>
  <c r="A2682" i="1"/>
  <c r="A2681" i="1"/>
  <c r="A2680" i="1"/>
  <c r="A2679" i="1"/>
  <c r="A2678" i="1"/>
  <c r="A2677" i="1"/>
  <c r="A2676" i="1"/>
  <c r="A2675" i="1"/>
  <c r="A2674" i="1"/>
  <c r="A2673" i="1"/>
  <c r="A2672" i="1"/>
  <c r="A2671" i="1"/>
  <c r="A2670" i="1"/>
  <c r="A2669" i="1"/>
  <c r="A2668" i="1"/>
  <c r="A2667" i="1"/>
  <c r="A2666" i="1"/>
  <c r="A2665" i="1"/>
  <c r="A2664" i="1"/>
  <c r="A2663" i="1"/>
  <c r="A2662" i="1"/>
  <c r="A2661" i="1"/>
  <c r="A2660" i="1"/>
  <c r="A2659" i="1"/>
  <c r="A2658" i="1"/>
  <c r="A2657" i="1"/>
  <c r="A2656" i="1"/>
  <c r="A2655" i="1"/>
  <c r="A2654" i="1"/>
  <c r="A2653" i="1"/>
  <c r="A2652" i="1"/>
  <c r="A2651" i="1"/>
  <c r="A2650" i="1"/>
  <c r="A2649" i="1"/>
  <c r="A2648" i="1"/>
  <c r="A2647" i="1"/>
  <c r="A2646" i="1"/>
  <c r="A2645" i="1"/>
  <c r="A2644" i="1"/>
  <c r="A2643" i="1"/>
  <c r="A2642" i="1"/>
  <c r="A2641" i="1"/>
  <c r="A2640" i="1"/>
  <c r="A2639" i="1"/>
  <c r="A2638" i="1"/>
  <c r="A2637" i="1"/>
  <c r="A2636" i="1"/>
  <c r="A2635" i="1"/>
  <c r="A2634" i="1"/>
  <c r="A2633" i="1"/>
  <c r="A2632" i="1"/>
  <c r="A2631" i="1"/>
  <c r="A2630" i="1"/>
  <c r="A2629" i="1"/>
  <c r="A2628" i="1"/>
  <c r="A2627" i="1"/>
  <c r="A2626" i="1"/>
  <c r="A2625" i="1"/>
  <c r="A2624" i="1"/>
  <c r="A2623" i="1"/>
  <c r="A2622" i="1"/>
  <c r="A2621" i="1"/>
  <c r="A2620" i="1"/>
  <c r="A2619" i="1"/>
  <c r="A2618" i="1"/>
  <c r="A2617" i="1"/>
  <c r="A2616" i="1"/>
  <c r="A2615" i="1"/>
  <c r="A2614" i="1"/>
  <c r="A2613" i="1"/>
  <c r="A2612" i="1"/>
  <c r="A2611" i="1"/>
  <c r="A2610" i="1"/>
  <c r="A2609" i="1"/>
  <c r="A2608" i="1"/>
  <c r="A2607" i="1"/>
  <c r="A2606" i="1"/>
  <c r="A2605" i="1"/>
  <c r="A2604" i="1"/>
  <c r="A2603" i="1"/>
  <c r="A2602" i="1"/>
  <c r="A2601" i="1"/>
  <c r="A2600" i="1"/>
  <c r="A2599" i="1"/>
  <c r="A2598" i="1"/>
  <c r="A2597" i="1"/>
  <c r="A2596" i="1"/>
  <c r="A2595" i="1"/>
  <c r="A2594" i="1"/>
  <c r="A2593" i="1"/>
  <c r="A2592" i="1"/>
  <c r="A2591" i="1"/>
  <c r="A2590" i="1"/>
  <c r="A2589" i="1"/>
  <c r="A2588" i="1"/>
  <c r="A2587" i="1"/>
  <c r="A2586" i="1"/>
  <c r="A2585" i="1"/>
  <c r="A2584" i="1"/>
  <c r="A2583" i="1"/>
  <c r="A2582" i="1"/>
  <c r="A2581" i="1"/>
  <c r="A2580" i="1"/>
  <c r="A2579" i="1"/>
  <c r="A2578" i="1"/>
  <c r="A2577" i="1"/>
  <c r="A2576" i="1"/>
  <c r="A2575" i="1"/>
  <c r="A2574" i="1"/>
  <c r="A2573" i="1"/>
  <c r="A2572" i="1"/>
  <c r="A2571" i="1"/>
  <c r="A2570" i="1"/>
  <c r="A2569" i="1"/>
  <c r="A2568" i="1"/>
  <c r="A2567" i="1"/>
  <c r="A2566" i="1"/>
  <c r="A2565" i="1"/>
  <c r="A2564" i="1"/>
  <c r="A2563" i="1"/>
  <c r="A2562" i="1"/>
  <c r="A2561" i="1"/>
  <c r="A2560" i="1"/>
  <c r="A2559" i="1"/>
  <c r="A2558" i="1"/>
  <c r="A2557" i="1"/>
  <c r="A2556" i="1"/>
  <c r="A2555" i="1"/>
  <c r="A2554" i="1"/>
  <c r="A2553" i="1"/>
  <c r="A2552" i="1"/>
  <c r="A2551" i="1"/>
  <c r="A2550" i="1"/>
  <c r="A2549" i="1"/>
  <c r="A2548" i="1"/>
  <c r="A2547" i="1"/>
  <c r="A2546" i="1"/>
  <c r="A2545" i="1"/>
  <c r="A2544" i="1"/>
  <c r="A2543" i="1"/>
  <c r="A2542" i="1"/>
  <c r="A2541" i="1"/>
  <c r="A2540" i="1"/>
  <c r="A2539" i="1"/>
  <c r="A2538" i="1"/>
  <c r="A2537" i="1"/>
  <c r="A2536" i="1"/>
  <c r="A2535" i="1"/>
  <c r="A2534" i="1"/>
  <c r="A2533" i="1"/>
  <c r="A2532" i="1"/>
  <c r="A2531" i="1"/>
  <c r="A2530" i="1"/>
  <c r="A2529" i="1"/>
  <c r="A2528" i="1"/>
  <c r="A2527" i="1"/>
  <c r="A2526" i="1"/>
  <c r="A2525" i="1"/>
  <c r="A2524" i="1"/>
  <c r="A2523" i="1"/>
  <c r="A2522" i="1"/>
  <c r="A2521" i="1"/>
  <c r="A2520" i="1"/>
  <c r="A2519" i="1"/>
  <c r="A2518" i="1"/>
  <c r="A2517" i="1"/>
  <c r="A2516" i="1"/>
  <c r="A2515" i="1"/>
  <c r="A2514" i="1"/>
  <c r="A2513" i="1"/>
  <c r="A2512" i="1"/>
  <c r="A2511" i="1"/>
  <c r="A2510" i="1"/>
  <c r="A2509" i="1"/>
  <c r="A2508" i="1"/>
  <c r="A2507" i="1"/>
  <c r="A2506" i="1"/>
  <c r="A2505" i="1"/>
  <c r="A2504" i="1"/>
  <c r="A2503" i="1"/>
  <c r="A2502" i="1"/>
  <c r="A2501" i="1"/>
  <c r="A2500" i="1"/>
  <c r="A2499" i="1"/>
  <c r="A2498" i="1"/>
  <c r="A2497" i="1"/>
  <c r="A2496" i="1"/>
  <c r="A2495" i="1"/>
  <c r="A2494" i="1"/>
  <c r="A2493" i="1"/>
  <c r="A2492" i="1"/>
  <c r="A2491" i="1"/>
  <c r="A2490" i="1"/>
  <c r="A2489" i="1"/>
  <c r="A2488" i="1"/>
  <c r="A2487" i="1"/>
  <c r="A2486" i="1"/>
  <c r="A2485" i="1"/>
  <c r="A2484" i="1"/>
  <c r="A2483" i="1"/>
  <c r="A2482" i="1"/>
  <c r="A2481" i="1"/>
  <c r="A2480" i="1"/>
  <c r="A2479" i="1"/>
  <c r="A2478" i="1"/>
  <c r="A2477" i="1"/>
  <c r="A2476" i="1"/>
  <c r="A2475" i="1"/>
  <c r="A2474" i="1"/>
  <c r="A2473" i="1"/>
  <c r="A2472" i="1"/>
  <c r="A2471" i="1"/>
  <c r="A2470" i="1"/>
  <c r="A2469" i="1"/>
  <c r="A2468" i="1"/>
  <c r="A2467" i="1"/>
  <c r="A2466" i="1"/>
  <c r="A2465" i="1"/>
  <c r="A2464" i="1"/>
  <c r="A2463" i="1"/>
  <c r="A2462" i="1"/>
  <c r="A2461" i="1"/>
  <c r="A2460" i="1"/>
  <c r="A2459" i="1"/>
  <c r="A2458" i="1"/>
  <c r="A2457" i="1"/>
  <c r="A2456" i="1"/>
  <c r="A2455" i="1"/>
  <c r="A2454" i="1"/>
  <c r="A2453" i="1"/>
  <c r="A2452" i="1"/>
  <c r="A2451" i="1"/>
  <c r="A2450" i="1"/>
  <c r="A2449" i="1"/>
  <c r="A2448" i="1"/>
  <c r="A2447" i="1"/>
  <c r="A2446" i="1"/>
  <c r="A2445" i="1"/>
  <c r="A2444" i="1"/>
  <c r="A2443" i="1"/>
  <c r="A2442" i="1"/>
  <c r="A2441" i="1"/>
  <c r="A2440" i="1"/>
  <c r="A2439" i="1"/>
  <c r="A2438" i="1"/>
  <c r="A2437" i="1"/>
  <c r="A2436" i="1"/>
  <c r="A2435" i="1"/>
  <c r="A2434" i="1"/>
  <c r="A2433" i="1"/>
  <c r="A2432" i="1"/>
  <c r="A2431" i="1"/>
  <c r="A2430" i="1"/>
  <c r="A2429" i="1"/>
  <c r="A2428" i="1"/>
  <c r="A2427" i="1"/>
  <c r="A2426" i="1"/>
  <c r="A2425" i="1"/>
  <c r="A2424" i="1"/>
  <c r="A2423" i="1"/>
  <c r="A2422" i="1"/>
  <c r="A2421" i="1"/>
  <c r="A2420" i="1"/>
  <c r="A2419" i="1"/>
  <c r="A2418" i="1"/>
  <c r="A2417" i="1"/>
  <c r="A2416" i="1"/>
  <c r="A2415" i="1"/>
  <c r="A2414" i="1"/>
  <c r="A2413" i="1"/>
  <c r="A2412" i="1"/>
  <c r="A2411" i="1"/>
  <c r="A2410" i="1"/>
  <c r="A2409" i="1"/>
  <c r="A2408" i="1"/>
  <c r="A2407" i="1"/>
  <c r="A2406" i="1"/>
  <c r="A2405" i="1"/>
  <c r="A2404" i="1"/>
  <c r="A2403" i="1"/>
  <c r="A2402" i="1"/>
  <c r="A2401" i="1"/>
  <c r="A2400" i="1"/>
  <c r="A2399" i="1"/>
  <c r="A2398" i="1"/>
  <c r="A2397" i="1"/>
  <c r="A2396" i="1"/>
  <c r="A2395" i="1"/>
  <c r="A2394" i="1"/>
  <c r="A2393" i="1"/>
  <c r="A2392" i="1"/>
  <c r="A2391" i="1"/>
  <c r="A2390" i="1"/>
  <c r="A2389" i="1"/>
  <c r="A2388" i="1"/>
  <c r="A2387" i="1"/>
  <c r="A2386" i="1"/>
  <c r="A2385" i="1"/>
  <c r="A2384" i="1"/>
  <c r="A2383" i="1"/>
  <c r="A2382" i="1"/>
  <c r="A2381" i="1"/>
  <c r="A2380" i="1"/>
  <c r="A2379" i="1"/>
  <c r="A2378" i="1"/>
  <c r="A2377" i="1"/>
  <c r="A2376" i="1"/>
  <c r="A2375" i="1"/>
  <c r="A2374" i="1"/>
  <c r="A2373" i="1"/>
  <c r="A2372" i="1"/>
  <c r="A2371" i="1"/>
  <c r="A2370" i="1"/>
  <c r="A2369" i="1"/>
  <c r="A2368" i="1"/>
  <c r="A2367" i="1"/>
  <c r="A2366" i="1"/>
  <c r="A2365" i="1"/>
  <c r="A2364" i="1"/>
  <c r="A2363" i="1"/>
  <c r="A2362" i="1"/>
  <c r="A2361" i="1"/>
  <c r="A2360" i="1"/>
  <c r="A2359" i="1"/>
  <c r="A2358" i="1"/>
  <c r="A2357" i="1"/>
  <c r="A2356" i="1"/>
  <c r="A2355" i="1"/>
  <c r="A2354" i="1"/>
  <c r="A2353" i="1"/>
  <c r="A2352" i="1"/>
  <c r="A2351" i="1"/>
  <c r="A2350" i="1"/>
  <c r="A2349" i="1"/>
  <c r="A2348" i="1"/>
  <c r="A2347" i="1"/>
  <c r="A2346" i="1"/>
  <c r="A2345" i="1"/>
  <c r="A2344" i="1"/>
  <c r="A2343" i="1"/>
  <c r="A2342" i="1"/>
  <c r="A2341" i="1"/>
  <c r="A2340" i="1"/>
  <c r="A2339" i="1"/>
  <c r="A2338" i="1"/>
  <c r="A2337" i="1"/>
  <c r="A2336" i="1"/>
  <c r="A2335" i="1"/>
  <c r="A2334" i="1"/>
  <c r="A2333" i="1"/>
  <c r="A2332" i="1"/>
  <c r="A2331" i="1"/>
  <c r="A2330" i="1"/>
  <c r="A2329" i="1"/>
  <c r="A2328" i="1"/>
  <c r="A2327" i="1"/>
  <c r="A2326" i="1"/>
  <c r="A2325" i="1"/>
  <c r="A2324" i="1"/>
  <c r="A2323" i="1"/>
  <c r="A2322" i="1"/>
  <c r="A2321" i="1"/>
  <c r="A2320" i="1"/>
  <c r="A2319" i="1"/>
  <c r="A2318" i="1"/>
  <c r="A2317" i="1"/>
  <c r="A2316" i="1"/>
  <c r="A2315" i="1"/>
  <c r="A2314" i="1"/>
  <c r="A2313" i="1"/>
  <c r="A2312" i="1"/>
  <c r="A2311" i="1"/>
  <c r="A2310" i="1"/>
  <c r="A2309" i="1"/>
  <c r="A2308" i="1"/>
  <c r="A2307" i="1"/>
  <c r="A2306" i="1"/>
  <c r="A2305" i="1"/>
  <c r="A2304" i="1"/>
  <c r="A2303" i="1"/>
  <c r="A2302" i="1"/>
  <c r="A2301" i="1"/>
  <c r="A2300" i="1"/>
  <c r="A2299" i="1"/>
  <c r="A2298" i="1"/>
  <c r="A2297" i="1"/>
  <c r="A2296" i="1"/>
  <c r="A2295" i="1"/>
  <c r="A2294" i="1"/>
  <c r="A2293" i="1"/>
  <c r="A2292" i="1"/>
  <c r="A2291" i="1"/>
  <c r="A2290" i="1"/>
  <c r="A2289" i="1"/>
  <c r="A2288" i="1"/>
  <c r="A2287" i="1"/>
  <c r="A2286" i="1"/>
  <c r="A2285" i="1"/>
  <c r="A2284" i="1"/>
  <c r="A2283" i="1"/>
  <c r="A2282" i="1"/>
  <c r="A2281" i="1"/>
  <c r="A2280" i="1"/>
  <c r="A2279" i="1"/>
  <c r="A2278" i="1"/>
  <c r="A2277" i="1"/>
  <c r="A2276" i="1"/>
  <c r="A2275" i="1"/>
  <c r="A2274" i="1"/>
  <c r="A2273" i="1"/>
  <c r="A2272" i="1"/>
  <c r="A2271" i="1"/>
  <c r="A2270" i="1"/>
  <c r="A2269" i="1"/>
  <c r="A2268" i="1"/>
  <c r="A2267" i="1"/>
  <c r="A2266" i="1"/>
  <c r="A2265" i="1"/>
  <c r="A2264" i="1"/>
  <c r="A2263" i="1"/>
  <c r="A2262" i="1"/>
  <c r="A2261" i="1"/>
  <c r="A2260" i="1"/>
  <c r="A2259" i="1"/>
  <c r="A2258" i="1"/>
  <c r="A2257" i="1"/>
  <c r="A2256" i="1"/>
  <c r="A2255" i="1"/>
  <c r="A2254" i="1"/>
  <c r="A2253" i="1"/>
  <c r="A2252" i="1"/>
  <c r="A2251" i="1"/>
  <c r="A2250" i="1"/>
  <c r="A2249" i="1"/>
  <c r="A2248" i="1"/>
  <c r="A2247" i="1"/>
  <c r="A2246" i="1"/>
  <c r="A2245" i="1"/>
  <c r="A2244" i="1"/>
  <c r="A2243" i="1"/>
  <c r="A2242" i="1"/>
  <c r="A2241" i="1"/>
  <c r="A2240" i="1"/>
  <c r="A2239" i="1"/>
  <c r="A2238" i="1"/>
  <c r="A2237" i="1"/>
  <c r="A2236" i="1"/>
  <c r="A2235" i="1"/>
  <c r="A2234" i="1"/>
  <c r="A2233" i="1"/>
  <c r="A2232" i="1"/>
  <c r="A2231" i="1"/>
  <c r="A2230" i="1"/>
  <c r="A2229" i="1"/>
  <c r="A2228" i="1"/>
  <c r="A2227" i="1"/>
  <c r="A2226" i="1"/>
  <c r="A2225" i="1"/>
  <c r="A2224" i="1"/>
  <c r="A2223" i="1"/>
  <c r="A2222" i="1"/>
  <c r="A2221" i="1"/>
  <c r="A2220" i="1"/>
  <c r="A2219" i="1"/>
  <c r="A2218" i="1"/>
  <c r="A2217" i="1"/>
  <c r="A2216" i="1"/>
  <c r="A2215" i="1"/>
  <c r="A2214" i="1"/>
  <c r="A2213" i="1"/>
  <c r="A2212" i="1"/>
  <c r="A2211" i="1"/>
  <c r="A2210" i="1"/>
  <c r="A2209" i="1"/>
  <c r="A2208" i="1"/>
  <c r="A2207" i="1"/>
  <c r="A2206" i="1"/>
  <c r="A2205" i="1"/>
  <c r="A2204" i="1"/>
  <c r="A2203" i="1"/>
  <c r="A2202" i="1"/>
  <c r="A2201" i="1"/>
  <c r="A2200" i="1"/>
  <c r="A2199" i="1"/>
  <c r="A2198" i="1"/>
  <c r="A2197" i="1"/>
  <c r="A2196" i="1"/>
  <c r="A2195" i="1"/>
  <c r="A2194" i="1"/>
  <c r="A2193" i="1"/>
  <c r="A2192" i="1"/>
  <c r="A2191" i="1"/>
  <c r="A2190" i="1"/>
  <c r="A2189" i="1"/>
  <c r="A2188" i="1"/>
  <c r="A2187" i="1"/>
  <c r="A2186" i="1"/>
  <c r="A2185" i="1"/>
  <c r="A2184" i="1"/>
  <c r="A2183" i="1"/>
  <c r="A2182" i="1"/>
  <c r="A2181" i="1"/>
  <c r="A2180" i="1"/>
  <c r="A2179" i="1"/>
  <c r="A2178" i="1"/>
  <c r="A2177" i="1"/>
  <c r="A2176" i="1"/>
  <c r="A2175" i="1"/>
  <c r="A2174" i="1"/>
  <c r="A2173" i="1"/>
  <c r="A2172" i="1"/>
  <c r="A2171" i="1"/>
  <c r="A2170" i="1"/>
  <c r="A2169" i="1"/>
  <c r="A2168" i="1"/>
  <c r="A2167" i="1"/>
  <c r="A2166" i="1"/>
  <c r="A2165" i="1"/>
  <c r="A2164" i="1"/>
  <c r="A2163" i="1"/>
  <c r="A2162" i="1"/>
  <c r="A2161" i="1"/>
  <c r="A2160" i="1"/>
  <c r="A2159" i="1"/>
  <c r="A2158" i="1"/>
  <c r="A2157" i="1"/>
  <c r="A2156" i="1"/>
  <c r="A2155" i="1"/>
  <c r="A2154" i="1"/>
  <c r="A2153" i="1"/>
  <c r="A2152" i="1"/>
  <c r="A2151" i="1"/>
  <c r="A2150" i="1"/>
  <c r="A2149" i="1"/>
  <c r="A2148" i="1"/>
  <c r="A2147" i="1"/>
  <c r="A2146" i="1"/>
  <c r="A2145" i="1"/>
  <c r="A2144" i="1"/>
  <c r="A2143" i="1"/>
  <c r="A2142" i="1"/>
  <c r="A2141" i="1"/>
  <c r="A2140" i="1"/>
  <c r="A2139" i="1"/>
  <c r="A2138" i="1"/>
  <c r="A2137" i="1"/>
  <c r="A2136" i="1"/>
  <c r="A2135" i="1"/>
  <c r="A2134" i="1"/>
  <c r="A2133" i="1"/>
  <c r="A2132" i="1"/>
  <c r="A2131" i="1"/>
  <c r="A2130" i="1"/>
  <c r="A2129" i="1"/>
  <c r="A2128" i="1"/>
  <c r="A2127" i="1"/>
  <c r="A2126" i="1"/>
  <c r="A2125" i="1"/>
  <c r="A2124" i="1"/>
  <c r="A2123" i="1"/>
  <c r="A2122" i="1"/>
  <c r="A2121" i="1"/>
  <c r="A2120" i="1"/>
  <c r="A2119" i="1"/>
  <c r="A2118" i="1"/>
  <c r="A2117" i="1"/>
  <c r="A2116" i="1"/>
  <c r="A2115" i="1"/>
  <c r="A2114" i="1"/>
  <c r="A2113" i="1"/>
  <c r="A2112" i="1"/>
  <c r="A2111" i="1"/>
  <c r="A2110" i="1"/>
  <c r="A2109" i="1"/>
  <c r="A2108" i="1"/>
  <c r="A2107" i="1"/>
  <c r="A2106" i="1"/>
  <c r="A2105" i="1"/>
  <c r="A2104" i="1"/>
  <c r="A2103" i="1"/>
  <c r="A2102" i="1"/>
  <c r="A2101" i="1"/>
  <c r="A2100" i="1"/>
  <c r="A2099" i="1"/>
  <c r="A2098" i="1"/>
  <c r="A2097" i="1"/>
  <c r="A2096" i="1"/>
  <c r="A2095" i="1"/>
  <c r="A2094" i="1"/>
  <c r="A2093" i="1"/>
  <c r="A2092" i="1"/>
  <c r="A2091" i="1"/>
  <c r="A2090" i="1"/>
  <c r="A2089" i="1"/>
  <c r="A2088" i="1"/>
  <c r="A2087" i="1"/>
  <c r="A2086" i="1"/>
  <c r="A2085" i="1"/>
  <c r="A2084" i="1"/>
  <c r="A2083" i="1"/>
  <c r="A2082" i="1"/>
  <c r="A2081" i="1"/>
  <c r="A2080" i="1"/>
  <c r="A2079" i="1"/>
  <c r="A2078" i="1"/>
  <c r="A2077" i="1"/>
  <c r="A2076" i="1"/>
  <c r="A2075" i="1"/>
  <c r="A2074" i="1"/>
  <c r="A2073" i="1"/>
  <c r="A2072" i="1"/>
  <c r="A2071" i="1"/>
  <c r="A2070" i="1"/>
  <c r="A2069" i="1"/>
  <c r="A2068" i="1"/>
  <c r="A2067" i="1"/>
  <c r="A2066" i="1"/>
  <c r="A2065" i="1"/>
  <c r="A2064" i="1"/>
  <c r="A2063" i="1"/>
  <c r="A2062" i="1"/>
  <c r="A2061" i="1"/>
  <c r="A2060" i="1"/>
  <c r="A2059" i="1"/>
  <c r="A2058" i="1"/>
  <c r="A2057" i="1"/>
  <c r="A2056" i="1"/>
  <c r="A2055" i="1"/>
  <c r="A2054" i="1"/>
  <c r="A2053" i="1"/>
  <c r="A2052" i="1"/>
  <c r="A2051" i="1"/>
  <c r="A2050" i="1"/>
  <c r="A2049" i="1"/>
  <c r="A2048" i="1"/>
  <c r="A2047" i="1"/>
  <c r="A2046" i="1"/>
  <c r="A2045" i="1"/>
  <c r="A2044" i="1"/>
  <c r="A2043" i="1"/>
  <c r="A2042" i="1"/>
  <c r="A2041" i="1"/>
  <c r="A2040" i="1"/>
  <c r="A2039" i="1"/>
  <c r="A2038" i="1"/>
  <c r="A2037" i="1"/>
  <c r="A2036" i="1"/>
  <c r="A2035" i="1"/>
  <c r="A2034" i="1"/>
  <c r="A2033" i="1"/>
  <c r="A2032" i="1"/>
  <c r="A2031" i="1"/>
  <c r="A2030" i="1"/>
  <c r="A2029" i="1"/>
  <c r="A2028" i="1"/>
  <c r="A2027" i="1"/>
  <c r="A2026" i="1"/>
  <c r="A2025" i="1"/>
  <c r="A2024" i="1"/>
  <c r="A2023" i="1"/>
  <c r="A2022" i="1"/>
  <c r="A2021" i="1"/>
  <c r="A2020" i="1"/>
  <c r="A2019" i="1"/>
  <c r="A2018" i="1"/>
  <c r="A2017" i="1"/>
  <c r="A2016" i="1"/>
  <c r="A2015" i="1"/>
  <c r="A2014" i="1"/>
  <c r="A2013" i="1"/>
  <c r="A2012" i="1"/>
  <c r="A2011" i="1"/>
  <c r="A2010" i="1"/>
  <c r="A2009" i="1"/>
  <c r="A2008" i="1"/>
  <c r="A2007" i="1"/>
  <c r="A2006" i="1"/>
  <c r="A2005" i="1"/>
  <c r="A2004" i="1"/>
  <c r="A2003" i="1"/>
  <c r="A2002" i="1"/>
  <c r="A2001" i="1"/>
  <c r="A2000" i="1"/>
  <c r="A1999" i="1"/>
  <c r="A1998" i="1"/>
  <c r="A1997" i="1"/>
  <c r="A1996" i="1"/>
  <c r="A1995" i="1"/>
  <c r="A1994" i="1"/>
  <c r="A1993" i="1"/>
  <c r="A1992" i="1"/>
  <c r="A1991" i="1"/>
  <c r="A1990" i="1"/>
  <c r="A1989" i="1"/>
  <c r="A1988" i="1"/>
  <c r="A1987" i="1"/>
  <c r="A1986" i="1"/>
  <c r="A1985" i="1"/>
  <c r="A1984" i="1"/>
  <c r="A1983" i="1"/>
  <c r="A1982" i="1"/>
  <c r="A1981" i="1"/>
  <c r="A1980" i="1"/>
  <c r="A1979" i="1"/>
  <c r="A1978" i="1"/>
  <c r="A1977" i="1"/>
  <c r="A1976" i="1"/>
  <c r="A1975" i="1"/>
  <c r="A1974" i="1"/>
  <c r="A1973" i="1"/>
  <c r="A1972" i="1"/>
  <c r="A1971" i="1"/>
  <c r="A1970" i="1"/>
  <c r="A1969" i="1"/>
  <c r="A1968" i="1"/>
  <c r="A1967" i="1"/>
  <c r="A1966" i="1"/>
  <c r="A1965" i="1"/>
  <c r="A1964" i="1"/>
  <c r="A1963" i="1"/>
  <c r="A1962" i="1"/>
  <c r="A1961" i="1"/>
  <c r="A1960" i="1"/>
  <c r="A1959" i="1"/>
  <c r="A1958" i="1"/>
  <c r="A1957" i="1"/>
  <c r="A1956" i="1"/>
  <c r="A1955" i="1"/>
  <c r="A1954" i="1"/>
  <c r="A1953" i="1"/>
  <c r="A1952" i="1"/>
  <c r="A1951" i="1"/>
  <c r="A1950" i="1"/>
  <c r="A1949" i="1"/>
  <c r="A1948" i="1"/>
  <c r="A1947" i="1"/>
  <c r="A1946" i="1"/>
  <c r="A1945" i="1"/>
  <c r="A1944" i="1"/>
  <c r="A1943" i="1"/>
  <c r="A1942" i="1"/>
  <c r="A1941" i="1"/>
  <c r="A1940" i="1"/>
  <c r="A1939" i="1"/>
  <c r="A1938" i="1"/>
  <c r="A1937" i="1"/>
  <c r="A1936" i="1"/>
  <c r="A1935" i="1"/>
  <c r="A1934" i="1"/>
  <c r="A1933" i="1"/>
  <c r="A1932" i="1"/>
  <c r="A1931" i="1"/>
  <c r="A1930" i="1"/>
  <c r="A1929" i="1"/>
  <c r="A1928" i="1"/>
  <c r="A1927" i="1"/>
  <c r="A1926" i="1"/>
  <c r="A1925" i="1"/>
  <c r="A1924" i="1"/>
  <c r="A1923" i="1"/>
  <c r="A1922" i="1"/>
  <c r="A1921" i="1"/>
  <c r="A1920" i="1"/>
  <c r="A1919" i="1"/>
  <c r="A1918" i="1"/>
  <c r="A1917" i="1"/>
  <c r="A1916" i="1"/>
  <c r="A1915" i="1"/>
  <c r="A1914" i="1"/>
  <c r="A1913" i="1"/>
  <c r="A1912" i="1"/>
  <c r="A1911" i="1"/>
  <c r="A1910" i="1"/>
  <c r="A1909" i="1"/>
  <c r="A1908" i="1"/>
  <c r="A1907" i="1"/>
  <c r="A1906" i="1"/>
  <c r="A1905" i="1"/>
  <c r="A1904" i="1"/>
  <c r="A1903" i="1"/>
  <c r="A1902" i="1"/>
  <c r="A1901" i="1"/>
  <c r="A1900" i="1"/>
  <c r="A1899" i="1"/>
  <c r="A1898" i="1"/>
  <c r="A1897" i="1"/>
  <c r="A1896" i="1"/>
  <c r="A1895" i="1"/>
  <c r="A1894" i="1"/>
  <c r="A1893" i="1"/>
  <c r="A1892" i="1"/>
  <c r="A1891" i="1"/>
  <c r="A1890" i="1"/>
  <c r="A1889" i="1"/>
  <c r="A1888" i="1"/>
  <c r="A1887" i="1"/>
  <c r="A1886" i="1"/>
  <c r="A1885" i="1"/>
  <c r="A1884" i="1"/>
  <c r="A1883" i="1"/>
  <c r="A1882" i="1"/>
  <c r="A1881" i="1"/>
  <c r="A1880" i="1"/>
  <c r="A1879" i="1"/>
  <c r="A1878" i="1"/>
  <c r="A1877" i="1"/>
  <c r="A1876" i="1"/>
  <c r="A1875" i="1"/>
  <c r="A1874" i="1"/>
  <c r="A1873" i="1"/>
  <c r="A1872" i="1"/>
  <c r="A1871" i="1"/>
  <c r="A1870" i="1"/>
  <c r="A1869" i="1"/>
  <c r="A1868" i="1"/>
  <c r="A1867" i="1"/>
  <c r="A1866" i="1"/>
  <c r="A1865" i="1"/>
  <c r="A1864" i="1"/>
  <c r="A1863" i="1"/>
  <c r="A1862" i="1"/>
  <c r="A1861" i="1"/>
  <c r="A1860" i="1"/>
  <c r="A1859" i="1"/>
  <c r="A1858" i="1"/>
  <c r="A1857" i="1"/>
  <c r="A1856" i="1"/>
  <c r="A1855" i="1"/>
  <c r="A1854" i="1"/>
  <c r="A1853" i="1"/>
  <c r="A1852" i="1"/>
  <c r="A1851" i="1"/>
  <c r="A1850" i="1"/>
  <c r="A1849" i="1"/>
  <c r="A1848" i="1"/>
  <c r="A1847" i="1"/>
  <c r="A1846" i="1"/>
  <c r="A1845" i="1"/>
  <c r="A1844" i="1"/>
  <c r="A1843" i="1"/>
  <c r="A1842" i="1"/>
  <c r="A1841" i="1"/>
  <c r="A1840" i="1"/>
  <c r="A1839" i="1"/>
  <c r="A1838" i="1"/>
  <c r="A1837" i="1"/>
  <c r="A1836" i="1"/>
  <c r="A1835" i="1"/>
  <c r="A1834" i="1"/>
  <c r="A1833" i="1"/>
  <c r="A1832" i="1"/>
  <c r="A1831" i="1"/>
  <c r="A1830" i="1"/>
  <c r="A1829" i="1"/>
  <c r="A1828" i="1"/>
  <c r="A1827" i="1"/>
  <c r="A1826" i="1"/>
  <c r="A1825" i="1"/>
  <c r="A1824" i="1"/>
  <c r="A1823" i="1"/>
  <c r="A1822" i="1"/>
  <c r="A1821" i="1"/>
  <c r="A1820" i="1"/>
  <c r="A1819" i="1"/>
  <c r="A1818" i="1"/>
  <c r="A1817" i="1"/>
  <c r="A1816" i="1"/>
  <c r="A1815" i="1"/>
  <c r="A1814" i="1"/>
  <c r="A1813" i="1"/>
  <c r="A1812" i="1"/>
  <c r="A1811" i="1"/>
  <c r="A1810" i="1"/>
  <c r="A1809" i="1"/>
  <c r="A1808" i="1"/>
  <c r="A1807" i="1"/>
  <c r="A1806" i="1"/>
  <c r="A1805" i="1"/>
  <c r="A1804" i="1"/>
  <c r="A1803" i="1"/>
  <c r="A1802" i="1"/>
  <c r="A1801" i="1"/>
  <c r="A1800" i="1"/>
  <c r="A1799" i="1"/>
  <c r="A1798" i="1"/>
  <c r="A1797" i="1"/>
  <c r="A1796" i="1"/>
  <c r="A1795" i="1"/>
  <c r="A1794" i="1"/>
  <c r="A1793" i="1"/>
  <c r="A1792" i="1"/>
  <c r="A1791" i="1"/>
  <c r="A1790" i="1"/>
  <c r="A1789" i="1"/>
  <c r="A1788" i="1"/>
  <c r="A1787" i="1"/>
  <c r="A1786" i="1"/>
  <c r="A1785" i="1"/>
  <c r="A1784" i="1"/>
  <c r="A1783" i="1"/>
  <c r="A1782" i="1"/>
  <c r="A1781" i="1"/>
  <c r="A1780" i="1"/>
  <c r="A1779" i="1"/>
  <c r="A1778" i="1"/>
  <c r="A1777" i="1"/>
  <c r="A1776" i="1"/>
  <c r="A1775" i="1"/>
  <c r="A1774" i="1"/>
  <c r="A1773" i="1"/>
  <c r="A1772" i="1"/>
  <c r="A1771" i="1"/>
  <c r="A1770" i="1"/>
  <c r="A1769" i="1"/>
  <c r="A1768" i="1"/>
  <c r="A1767" i="1"/>
  <c r="A1766" i="1"/>
  <c r="A1765" i="1"/>
  <c r="A1764" i="1"/>
  <c r="A1763" i="1"/>
  <c r="A1762" i="1"/>
  <c r="A1761" i="1"/>
  <c r="A1760" i="1"/>
  <c r="A1759" i="1"/>
  <c r="A1758" i="1"/>
  <c r="A1757" i="1"/>
  <c r="A1756" i="1"/>
  <c r="A1755" i="1"/>
  <c r="A1754" i="1"/>
  <c r="A1753" i="1"/>
  <c r="A1752" i="1"/>
  <c r="A1751" i="1"/>
  <c r="A1750" i="1"/>
  <c r="A1749" i="1"/>
  <c r="A1748" i="1"/>
  <c r="A1747" i="1"/>
  <c r="A1746" i="1"/>
  <c r="A1745" i="1"/>
  <c r="A1744" i="1"/>
  <c r="A1743" i="1"/>
  <c r="A1742" i="1"/>
  <c r="A1741" i="1"/>
  <c r="A1740" i="1"/>
  <c r="A1739" i="1"/>
  <c r="A1738" i="1"/>
  <c r="A1737" i="1"/>
  <c r="A1736" i="1"/>
  <c r="A1735" i="1"/>
  <c r="A1734" i="1"/>
  <c r="A1733" i="1"/>
  <c r="A1732" i="1"/>
  <c r="A1731" i="1"/>
  <c r="A1730" i="1"/>
  <c r="A1729" i="1"/>
  <c r="A1728" i="1"/>
  <c r="A1727" i="1"/>
  <c r="A1726" i="1"/>
  <c r="A1725" i="1"/>
  <c r="A1724" i="1"/>
  <c r="A1723" i="1"/>
  <c r="A1722" i="1"/>
  <c r="A1721" i="1"/>
  <c r="A1720" i="1"/>
  <c r="A1719" i="1"/>
  <c r="A1718" i="1"/>
  <c r="A1717" i="1"/>
  <c r="A1716" i="1"/>
  <c r="A1715" i="1"/>
  <c r="A1714" i="1"/>
  <c r="A1713" i="1"/>
  <c r="A1712" i="1"/>
  <c r="A1711" i="1"/>
  <c r="A1710" i="1"/>
  <c r="A1709" i="1"/>
  <c r="A1708" i="1"/>
  <c r="A1707" i="1"/>
  <c r="A1706" i="1"/>
  <c r="A1705" i="1"/>
  <c r="A1704" i="1"/>
  <c r="A1703" i="1"/>
  <c r="A1702" i="1"/>
  <c r="A1701" i="1"/>
  <c r="A1700" i="1"/>
  <c r="A1699" i="1"/>
  <c r="A1698" i="1"/>
  <c r="A1697" i="1"/>
  <c r="A1696" i="1"/>
  <c r="A1695" i="1"/>
  <c r="A1694" i="1"/>
  <c r="A1693" i="1"/>
  <c r="A1692" i="1"/>
  <c r="A1691" i="1"/>
  <c r="A1690" i="1"/>
  <c r="A1689" i="1"/>
  <c r="A1688" i="1"/>
  <c r="A1687" i="1"/>
  <c r="A1686" i="1"/>
  <c r="A1685" i="1"/>
  <c r="A1684" i="1"/>
  <c r="A1683" i="1"/>
  <c r="A1682" i="1"/>
  <c r="A1681" i="1"/>
  <c r="A1680" i="1"/>
  <c r="A1679" i="1"/>
  <c r="A1678" i="1"/>
  <c r="A1677" i="1"/>
  <c r="A1676" i="1"/>
  <c r="A1675" i="1"/>
  <c r="A1674" i="1"/>
  <c r="A1673" i="1"/>
  <c r="A1672" i="1"/>
  <c r="A1671" i="1"/>
  <c r="A1670" i="1"/>
  <c r="A1669" i="1"/>
  <c r="A1668" i="1"/>
  <c r="A1667" i="1"/>
  <c r="A1666" i="1"/>
  <c r="A1665" i="1"/>
  <c r="A1664" i="1"/>
  <c r="A1663" i="1"/>
  <c r="A1662" i="1"/>
  <c r="A1661" i="1"/>
  <c r="A1660" i="1"/>
  <c r="A1659" i="1"/>
  <c r="A1658" i="1"/>
  <c r="A1657" i="1"/>
  <c r="A1656" i="1"/>
  <c r="A1655" i="1"/>
  <c r="A1654" i="1"/>
  <c r="A1653" i="1"/>
  <c r="A1652" i="1"/>
  <c r="A1651" i="1"/>
  <c r="A1650" i="1"/>
  <c r="A1649" i="1"/>
  <c r="A1648" i="1"/>
  <c r="A1647" i="1"/>
  <c r="A1646" i="1"/>
  <c r="A1645" i="1"/>
  <c r="A1644" i="1"/>
  <c r="A1643" i="1"/>
  <c r="A1642" i="1"/>
  <c r="A1641" i="1"/>
  <c r="A1640" i="1"/>
  <c r="A1639" i="1"/>
  <c r="A1638" i="1"/>
  <c r="A1637" i="1"/>
  <c r="A1636" i="1"/>
  <c r="A1635" i="1"/>
  <c r="A1634" i="1"/>
  <c r="A1633" i="1"/>
  <c r="A1632" i="1"/>
  <c r="A1631" i="1"/>
  <c r="A1630" i="1"/>
  <c r="A1629" i="1"/>
  <c r="A1628" i="1"/>
  <c r="A1627" i="1"/>
  <c r="A1626" i="1"/>
  <c r="A1625" i="1"/>
  <c r="A1624" i="1"/>
  <c r="A1623" i="1"/>
  <c r="A1622" i="1"/>
  <c r="A1621" i="1"/>
  <c r="A1620" i="1"/>
  <c r="A1619" i="1"/>
  <c r="A1618" i="1"/>
  <c r="A1617" i="1"/>
  <c r="A1616" i="1"/>
  <c r="A1615" i="1"/>
  <c r="A1614" i="1"/>
  <c r="A1613" i="1"/>
  <c r="A1612" i="1"/>
  <c r="A1611" i="1"/>
  <c r="A1610" i="1"/>
  <c r="A1609" i="1"/>
  <c r="A1608" i="1"/>
  <c r="A1607" i="1"/>
  <c r="A1606" i="1"/>
  <c r="A1605" i="1"/>
  <c r="A1604" i="1"/>
  <c r="A1603" i="1"/>
  <c r="A1602" i="1"/>
  <c r="A1601" i="1"/>
  <c r="A1600" i="1"/>
  <c r="A1599" i="1"/>
  <c r="A1598" i="1"/>
  <c r="A1597" i="1"/>
  <c r="A1596" i="1"/>
  <c r="A1595" i="1"/>
  <c r="A1594" i="1"/>
  <c r="A1593" i="1"/>
  <c r="A1592" i="1"/>
  <c r="A1591" i="1"/>
  <c r="A1590" i="1"/>
  <c r="A1589" i="1"/>
  <c r="A1588" i="1"/>
  <c r="A1587" i="1"/>
  <c r="A1586" i="1"/>
  <c r="A1585" i="1"/>
  <c r="A1584" i="1"/>
  <c r="A1583" i="1"/>
  <c r="A1582" i="1"/>
  <c r="A1581" i="1"/>
  <c r="A1580" i="1"/>
  <c r="A1579" i="1"/>
  <c r="A1578" i="1"/>
  <c r="A1577" i="1"/>
  <c r="A1576" i="1"/>
  <c r="A1575" i="1"/>
  <c r="A1574" i="1"/>
  <c r="A1573" i="1"/>
  <c r="A1572" i="1"/>
  <c r="A1571" i="1"/>
  <c r="A1570" i="1"/>
  <c r="A1569" i="1"/>
  <c r="A1568" i="1"/>
  <c r="A1567" i="1"/>
  <c r="A1566" i="1"/>
  <c r="A1565" i="1"/>
  <c r="A1564" i="1"/>
  <c r="A1563" i="1"/>
  <c r="A1562" i="1"/>
  <c r="A1561" i="1"/>
  <c r="A1560" i="1"/>
  <c r="A1559" i="1"/>
  <c r="A1558" i="1"/>
  <c r="A1557" i="1"/>
  <c r="A1556" i="1"/>
  <c r="A1555" i="1"/>
  <c r="A1554" i="1"/>
  <c r="A1553" i="1"/>
  <c r="A1552" i="1"/>
  <c r="A1551" i="1"/>
  <c r="A1550" i="1"/>
  <c r="A1549" i="1"/>
  <c r="A1548" i="1"/>
  <c r="A1547" i="1"/>
  <c r="A1546" i="1"/>
  <c r="A1545" i="1"/>
  <c r="A1544" i="1"/>
  <c r="A1543" i="1"/>
  <c r="A1542" i="1"/>
  <c r="A1541" i="1"/>
  <c r="A1540" i="1"/>
  <c r="A1539" i="1"/>
  <c r="A1538" i="1"/>
  <c r="A1537" i="1"/>
  <c r="A1536" i="1"/>
  <c r="A1535" i="1"/>
  <c r="A1534" i="1"/>
  <c r="A1533" i="1"/>
  <c r="A1532" i="1"/>
  <c r="A1531" i="1"/>
  <c r="A1530" i="1"/>
  <c r="A1529" i="1"/>
  <c r="A1528" i="1"/>
  <c r="A1527" i="1"/>
  <c r="A1526" i="1"/>
  <c r="A1525" i="1"/>
  <c r="A1524" i="1"/>
  <c r="A1523" i="1"/>
  <c r="A1522" i="1"/>
  <c r="A1521" i="1"/>
  <c r="A1520" i="1"/>
  <c r="A1519" i="1"/>
  <c r="A1518" i="1"/>
  <c r="A1517" i="1"/>
  <c r="A1516" i="1"/>
  <c r="A1515" i="1"/>
  <c r="A1514" i="1"/>
  <c r="A1513" i="1"/>
  <c r="A1512" i="1"/>
  <c r="A1511" i="1"/>
  <c r="A1510" i="1"/>
  <c r="A1509" i="1"/>
  <c r="A1508" i="1"/>
  <c r="A1507" i="1"/>
  <c r="A1506" i="1"/>
  <c r="A1505" i="1"/>
  <c r="A1504" i="1"/>
  <c r="A1503" i="1"/>
  <c r="A1502" i="1"/>
  <c r="A1501" i="1"/>
  <c r="A1500" i="1"/>
  <c r="A1499" i="1"/>
  <c r="A1498" i="1"/>
  <c r="A1497" i="1"/>
  <c r="A1496" i="1"/>
  <c r="A1495" i="1"/>
  <c r="A1494" i="1"/>
  <c r="A1493" i="1"/>
  <c r="A1492" i="1"/>
  <c r="A1491" i="1"/>
  <c r="A1490" i="1"/>
  <c r="A1489" i="1"/>
  <c r="A1488" i="1"/>
  <c r="A1487" i="1"/>
  <c r="A1486" i="1"/>
  <c r="A1485" i="1"/>
  <c r="A1484" i="1"/>
  <c r="A1483" i="1"/>
  <c r="A1482" i="1"/>
  <c r="A1481" i="1"/>
  <c r="A1480" i="1"/>
  <c r="A1479" i="1"/>
  <c r="A1478" i="1"/>
  <c r="A1477" i="1"/>
  <c r="A1476" i="1"/>
  <c r="A1475" i="1"/>
  <c r="A1474" i="1"/>
  <c r="A1473" i="1"/>
  <c r="A1472" i="1"/>
  <c r="A1471" i="1"/>
  <c r="A1470" i="1"/>
  <c r="A1469" i="1"/>
  <c r="A1468" i="1"/>
  <c r="A1467" i="1"/>
  <c r="A1466" i="1"/>
  <c r="A1465" i="1"/>
  <c r="A1464" i="1"/>
  <c r="A1463" i="1"/>
  <c r="A1462" i="1"/>
  <c r="A1461" i="1"/>
  <c r="A1460" i="1"/>
  <c r="A1459" i="1"/>
  <c r="A1458" i="1"/>
  <c r="A1457" i="1"/>
  <c r="A1456" i="1"/>
  <c r="A1455" i="1"/>
  <c r="A1454" i="1"/>
  <c r="A1453" i="1"/>
  <c r="A1452" i="1"/>
  <c r="A1451" i="1"/>
  <c r="A1450" i="1"/>
  <c r="A1449" i="1"/>
  <c r="A1448" i="1"/>
  <c r="A1447" i="1"/>
  <c r="A1446" i="1"/>
  <c r="A1445" i="1"/>
  <c r="A1444" i="1"/>
  <c r="A1443" i="1"/>
  <c r="A1442" i="1"/>
  <c r="A1441" i="1"/>
  <c r="A1440" i="1"/>
  <c r="A1439" i="1"/>
  <c r="A1438" i="1"/>
  <c r="A1437" i="1"/>
  <c r="A1436" i="1"/>
  <c r="A1435" i="1"/>
  <c r="A1434" i="1"/>
  <c r="A1433" i="1"/>
  <c r="A1432" i="1"/>
  <c r="A1431" i="1"/>
  <c r="A1430" i="1"/>
  <c r="A1429" i="1"/>
  <c r="A1428" i="1"/>
  <c r="A1427" i="1"/>
  <c r="A1426" i="1"/>
  <c r="A1425" i="1"/>
  <c r="A1424" i="1"/>
  <c r="A1423" i="1"/>
  <c r="A1422" i="1"/>
  <c r="A1421" i="1"/>
  <c r="A1420" i="1"/>
  <c r="A1419" i="1"/>
  <c r="A1418" i="1"/>
  <c r="A1417" i="1"/>
  <c r="A1416" i="1"/>
  <c r="A1415" i="1"/>
  <c r="A1414" i="1"/>
  <c r="A1413" i="1"/>
  <c r="A1412" i="1"/>
  <c r="A1411" i="1"/>
  <c r="A1410" i="1"/>
  <c r="A1409" i="1"/>
  <c r="A1408" i="1"/>
  <c r="A1407" i="1"/>
  <c r="A1406" i="1"/>
  <c r="A1405" i="1"/>
  <c r="A1404" i="1"/>
  <c r="A1403" i="1"/>
  <c r="A1402" i="1"/>
  <c r="A1401" i="1"/>
  <c r="A1400" i="1"/>
  <c r="A1399" i="1"/>
  <c r="A1398" i="1"/>
  <c r="A1397" i="1"/>
  <c r="A1396" i="1"/>
  <c r="A1395" i="1"/>
  <c r="A1394" i="1"/>
  <c r="A1393" i="1"/>
  <c r="A1392" i="1"/>
  <c r="A1391" i="1"/>
  <c r="A1390" i="1"/>
  <c r="A1389" i="1"/>
  <c r="A1388" i="1"/>
  <c r="A1387" i="1"/>
  <c r="A1386" i="1"/>
  <c r="A1385" i="1"/>
  <c r="A1384" i="1"/>
  <c r="A1383" i="1"/>
  <c r="A1382" i="1"/>
  <c r="A1381" i="1"/>
  <c r="A1380" i="1"/>
  <c r="A1379" i="1"/>
  <c r="A1378" i="1"/>
  <c r="A1377" i="1"/>
  <c r="A1376" i="1"/>
  <c r="A1375" i="1"/>
  <c r="A1374" i="1"/>
  <c r="A1373" i="1"/>
  <c r="A1372" i="1"/>
  <c r="A1371" i="1"/>
  <c r="A1370" i="1"/>
  <c r="A1369" i="1"/>
  <c r="A1368" i="1"/>
  <c r="A1367" i="1"/>
  <c r="A1366" i="1"/>
  <c r="A1365" i="1"/>
  <c r="A1364" i="1"/>
  <c r="A1363" i="1"/>
  <c r="A1362" i="1"/>
  <c r="A1361" i="1"/>
  <c r="A1360" i="1"/>
  <c r="A1359" i="1"/>
  <c r="A1358" i="1"/>
  <c r="A1357" i="1"/>
  <c r="A1356" i="1"/>
  <c r="A1355" i="1"/>
  <c r="A1354" i="1"/>
  <c r="A1353" i="1"/>
  <c r="A1352" i="1"/>
  <c r="A1351" i="1"/>
  <c r="A1350" i="1"/>
  <c r="A1349" i="1"/>
  <c r="A1348" i="1"/>
  <c r="A1347" i="1"/>
  <c r="A1346" i="1"/>
  <c r="A1345" i="1"/>
  <c r="A1344" i="1"/>
  <c r="A1343" i="1"/>
  <c r="A1342" i="1"/>
  <c r="A1341" i="1"/>
  <c r="A1340" i="1"/>
  <c r="A1339" i="1"/>
  <c r="A1338" i="1"/>
  <c r="A1337" i="1"/>
  <c r="A1336" i="1"/>
  <c r="A1335" i="1"/>
  <c r="A1334" i="1"/>
  <c r="A1333" i="1"/>
  <c r="A1332" i="1"/>
  <c r="A1331" i="1"/>
  <c r="A1330" i="1"/>
  <c r="A1329" i="1"/>
  <c r="A1328" i="1"/>
  <c r="A1327" i="1"/>
  <c r="A1326" i="1"/>
  <c r="A1325" i="1"/>
  <c r="A1324" i="1"/>
  <c r="A1323" i="1"/>
  <c r="A1322" i="1"/>
  <c r="A1321" i="1"/>
  <c r="A1320" i="1"/>
  <c r="A1319" i="1"/>
  <c r="A1318" i="1"/>
  <c r="A1317" i="1"/>
  <c r="A1316" i="1"/>
  <c r="A1315" i="1"/>
  <c r="A1314" i="1"/>
  <c r="A1313" i="1"/>
  <c r="A1312" i="1"/>
  <c r="A1311" i="1"/>
  <c r="A1310" i="1"/>
  <c r="A1309" i="1"/>
  <c r="A1308" i="1"/>
  <c r="A1307" i="1"/>
  <c r="A1306" i="1"/>
  <c r="A1305" i="1"/>
  <c r="A1304" i="1"/>
  <c r="A1303" i="1"/>
  <c r="A1302" i="1"/>
  <c r="A1301" i="1"/>
  <c r="A1300" i="1"/>
  <c r="A1299" i="1"/>
  <c r="A1298" i="1"/>
  <c r="A1297" i="1"/>
  <c r="A1296" i="1"/>
  <c r="A1295" i="1"/>
  <c r="A1294" i="1"/>
  <c r="A1293" i="1"/>
  <c r="A1292" i="1"/>
  <c r="A1291" i="1"/>
  <c r="A1290" i="1"/>
  <c r="A1289" i="1"/>
  <c r="A1288" i="1"/>
  <c r="A1287" i="1"/>
  <c r="A1286" i="1"/>
  <c r="A1285" i="1"/>
  <c r="A1284" i="1"/>
  <c r="A1283" i="1"/>
  <c r="A1282" i="1"/>
  <c r="A1281" i="1"/>
  <c r="A1280" i="1"/>
  <c r="A1279" i="1"/>
  <c r="A1278" i="1"/>
  <c r="A1277" i="1"/>
  <c r="A1276" i="1"/>
  <c r="A1275" i="1"/>
  <c r="A1274" i="1"/>
  <c r="A1273" i="1"/>
  <c r="A1272" i="1"/>
  <c r="A1271" i="1"/>
  <c r="A1270" i="1"/>
  <c r="A1269" i="1"/>
  <c r="A1268" i="1"/>
  <c r="A1267" i="1"/>
  <c r="A1266" i="1"/>
  <c r="A1265" i="1"/>
  <c r="A1264" i="1"/>
  <c r="A1263" i="1"/>
  <c r="A1262" i="1"/>
  <c r="A1261" i="1"/>
  <c r="A1260" i="1"/>
  <c r="A1259" i="1"/>
  <c r="A1258" i="1"/>
  <c r="A1257" i="1"/>
  <c r="A1256" i="1"/>
  <c r="A1255" i="1"/>
  <c r="A1254" i="1"/>
  <c r="A1253" i="1"/>
  <c r="A1252" i="1"/>
  <c r="A1251" i="1"/>
  <c r="A1250" i="1"/>
  <c r="A1249" i="1"/>
  <c r="A1248" i="1"/>
  <c r="A1247" i="1"/>
  <c r="A1246" i="1"/>
  <c r="A1245" i="1"/>
  <c r="A1244" i="1"/>
  <c r="A1243" i="1"/>
  <c r="A1242" i="1"/>
  <c r="A1241" i="1"/>
  <c r="A1240" i="1"/>
  <c r="A1239" i="1"/>
  <c r="A1238" i="1"/>
  <c r="A1237" i="1"/>
  <c r="A1236" i="1"/>
  <c r="A1235" i="1"/>
  <c r="A1234" i="1"/>
  <c r="A1233" i="1"/>
  <c r="A1232" i="1"/>
  <c r="A1231" i="1"/>
  <c r="A1230" i="1"/>
  <c r="A1229" i="1"/>
  <c r="A1228" i="1"/>
  <c r="A1227" i="1"/>
  <c r="A1226" i="1"/>
  <c r="A1225" i="1"/>
  <c r="A1224" i="1"/>
  <c r="A1223" i="1"/>
  <c r="A1222" i="1"/>
  <c r="A1221" i="1"/>
  <c r="A1220" i="1"/>
  <c r="A1219" i="1"/>
  <c r="A1218" i="1"/>
  <c r="A1217" i="1"/>
  <c r="A1216" i="1"/>
  <c r="A1215" i="1"/>
  <c r="A1214" i="1"/>
  <c r="A1213" i="1"/>
  <c r="A1212" i="1"/>
  <c r="A1211" i="1"/>
  <c r="A1210" i="1"/>
  <c r="A1209" i="1"/>
  <c r="A1208" i="1"/>
  <c r="A1207" i="1"/>
  <c r="A1206" i="1"/>
  <c r="A1205" i="1"/>
  <c r="A1204" i="1"/>
  <c r="A1203" i="1"/>
  <c r="A1202" i="1"/>
  <c r="A1201" i="1"/>
  <c r="A1200" i="1"/>
  <c r="A1199" i="1"/>
  <c r="A1198" i="1"/>
  <c r="A1197" i="1"/>
  <c r="A1196" i="1"/>
  <c r="A1195" i="1"/>
  <c r="A1194" i="1"/>
  <c r="A1193" i="1"/>
  <c r="A1192" i="1"/>
  <c r="A1191" i="1"/>
  <c r="A1190" i="1"/>
  <c r="A1189" i="1"/>
  <c r="A1188" i="1"/>
  <c r="A1187" i="1"/>
  <c r="A1186" i="1"/>
  <c r="A1185" i="1"/>
  <c r="A1184" i="1"/>
  <c r="A1183" i="1"/>
  <c r="A1182" i="1"/>
  <c r="A1181" i="1"/>
  <c r="A1180" i="1"/>
  <c r="A1179" i="1"/>
  <c r="A1178" i="1"/>
  <c r="A1177" i="1"/>
  <c r="A1176" i="1"/>
  <c r="A1175" i="1"/>
  <c r="A1174" i="1"/>
  <c r="A1173" i="1"/>
  <c r="A1172" i="1"/>
  <c r="A1171" i="1"/>
  <c r="A1170" i="1"/>
  <c r="A1169" i="1"/>
  <c r="A1168" i="1"/>
  <c r="A1167" i="1"/>
  <c r="A1166" i="1"/>
  <c r="A1165" i="1"/>
  <c r="A1164" i="1"/>
  <c r="A1163" i="1"/>
  <c r="A1162" i="1"/>
  <c r="A1161" i="1"/>
  <c r="A1160" i="1"/>
  <c r="A1159" i="1"/>
  <c r="A1158" i="1"/>
  <c r="A1157" i="1"/>
  <c r="A1156" i="1"/>
  <c r="A1155" i="1"/>
  <c r="A1154" i="1"/>
  <c r="A1153" i="1"/>
  <c r="A1152" i="1"/>
  <c r="A1151" i="1"/>
  <c r="A1150" i="1"/>
  <c r="A1149" i="1"/>
  <c r="A1148" i="1"/>
  <c r="A1147" i="1"/>
  <c r="A1146" i="1"/>
  <c r="A1145" i="1"/>
  <c r="A1144" i="1"/>
  <c r="A1143" i="1"/>
  <c r="A1142" i="1"/>
  <c r="A1141" i="1"/>
  <c r="A1140" i="1"/>
  <c r="A1139" i="1"/>
  <c r="A1138" i="1"/>
  <c r="A1137" i="1"/>
  <c r="A1136" i="1"/>
  <c r="A1135" i="1"/>
  <c r="A1134" i="1"/>
  <c r="A1133" i="1"/>
  <c r="A1132" i="1"/>
  <c r="A1131" i="1"/>
  <c r="A1130" i="1"/>
  <c r="A1129" i="1"/>
  <c r="A1128" i="1"/>
  <c r="A1127" i="1"/>
  <c r="A1126" i="1"/>
  <c r="A1125" i="1"/>
  <c r="A1124" i="1"/>
  <c r="A1123" i="1"/>
  <c r="A1122" i="1"/>
  <c r="A1121" i="1"/>
  <c r="A1120" i="1"/>
  <c r="A1119" i="1"/>
  <c r="A1118" i="1"/>
  <c r="A1117" i="1"/>
  <c r="A1116" i="1"/>
  <c r="A1115" i="1"/>
  <c r="A1114" i="1"/>
  <c r="A1113" i="1"/>
  <c r="A1112" i="1"/>
  <c r="A1111" i="1"/>
  <c r="A1110" i="1"/>
  <c r="A1109" i="1"/>
  <c r="A1108" i="1"/>
  <c r="A1107" i="1"/>
  <c r="A1106" i="1"/>
  <c r="A1105" i="1"/>
  <c r="A1104" i="1"/>
  <c r="A1103" i="1"/>
  <c r="A1102" i="1"/>
  <c r="A1101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4" i="1"/>
  <c r="A3" i="1"/>
  <c r="A2" i="1"/>
</calcChain>
</file>

<file path=xl/sharedStrings.xml><?xml version="1.0" encoding="utf-8"?>
<sst xmlns="http://schemas.openxmlformats.org/spreadsheetml/2006/main" count="48987" uniqueCount="8412">
  <si>
    <t>LatDeg</t>
  </si>
  <si>
    <t>LonDeg</t>
  </si>
  <si>
    <t>PressAlt</t>
  </si>
  <si>
    <t>Vx</t>
  </si>
  <si>
    <t>Vy</t>
  </si>
  <si>
    <t>Vz</t>
  </si>
  <si>
    <t>Time</t>
  </si>
  <si>
    <t>VX^2</t>
  </si>
  <si>
    <t>VY^2</t>
  </si>
  <si>
    <t>sum</t>
  </si>
  <si>
    <t>root</t>
  </si>
  <si>
    <t>GeomAlt</t>
  </si>
  <si>
    <t>DeType</t>
  </si>
  <si>
    <t>FRNs</t>
  </si>
  <si>
    <t>SAC</t>
  </si>
  <si>
    <t>SIC</t>
  </si>
  <si>
    <t>CTVID</t>
  </si>
  <si>
    <t>CTVName</t>
  </si>
  <si>
    <t>SVID</t>
  </si>
  <si>
    <t>SVName</t>
  </si>
  <si>
    <t>SVType</t>
  </si>
  <si>
    <t>VersStat</t>
  </si>
  <si>
    <t>AstxVers</t>
  </si>
  <si>
    <t>UnkVers</t>
  </si>
  <si>
    <t>LinkVers</t>
  </si>
  <si>
    <t>1090ES</t>
  </si>
  <si>
    <t>UAT</t>
  </si>
  <si>
    <t>Non ADS-B</t>
  </si>
  <si>
    <t>TIS-B</t>
  </si>
  <si>
    <t>PosToa</t>
  </si>
  <si>
    <t>VelToa</t>
  </si>
  <si>
    <t>ModeSId</t>
  </si>
  <si>
    <t>Qual</t>
  </si>
  <si>
    <t>Dupl</t>
  </si>
  <si>
    <t>TgtSVType</t>
  </si>
  <si>
    <t>TrackNum</t>
  </si>
  <si>
    <t>UTC</t>
  </si>
  <si>
    <t>NIC</t>
  </si>
  <si>
    <t>SIL</t>
  </si>
  <si>
    <t>SIL-S</t>
  </si>
  <si>
    <t>NAC-P</t>
  </si>
  <si>
    <t>TestMode</t>
  </si>
  <si>
    <t>Valid</t>
  </si>
  <si>
    <t>NAC-V</t>
  </si>
  <si>
    <t>NIC-B</t>
  </si>
  <si>
    <t>Lat</t>
  </si>
  <si>
    <t>Lon</t>
  </si>
  <si>
    <t>Res</t>
  </si>
  <si>
    <t>VVSrc</t>
  </si>
  <si>
    <t>TrkOrHdgVal</t>
  </si>
  <si>
    <t>TrkOrHdgInd</t>
  </si>
  <si>
    <t>HRD</t>
  </si>
  <si>
    <t>Angle</t>
  </si>
  <si>
    <t>GrndSpd</t>
  </si>
  <si>
    <t>LWC</t>
  </si>
  <si>
    <t>POA</t>
  </si>
  <si>
    <t>Aid</t>
  </si>
  <si>
    <t>AidVal</t>
  </si>
  <si>
    <t>FlightId</t>
  </si>
  <si>
    <t>EmitCat</t>
  </si>
  <si>
    <t>RxAtc(FRN14)</t>
  </si>
  <si>
    <t>Ident(FRN14)</t>
  </si>
  <si>
    <t>SurvStat</t>
  </si>
  <si>
    <t>EmerPriStat</t>
  </si>
  <si>
    <t>DeltaAlt</t>
  </si>
  <si>
    <t>SAF</t>
  </si>
  <si>
    <t>UATInCap</t>
  </si>
  <si>
    <t>1090InCap</t>
  </si>
  <si>
    <t>TCAS</t>
  </si>
  <si>
    <t>CDTI</t>
  </si>
  <si>
    <t>RxAtc(FRN16)</t>
  </si>
  <si>
    <t>Ident(FRN16)</t>
  </si>
  <si>
    <t>TcasRa</t>
  </si>
  <si>
    <t>ARA</t>
  </si>
  <si>
    <t>RAC</t>
  </si>
  <si>
    <t>RAT</t>
  </si>
  <si>
    <t>MTE</t>
  </si>
  <si>
    <t>TTI</t>
  </si>
  <si>
    <t>TID</t>
  </si>
  <si>
    <t>TOMR</t>
  </si>
  <si>
    <t>TOMR(NSec)</t>
  </si>
  <si>
    <t>GPSLatOff</t>
  </si>
  <si>
    <t>GPSLonOff</t>
  </si>
  <si>
    <t>SelAltType</t>
  </si>
  <si>
    <t>SelAlt</t>
  </si>
  <si>
    <t>Baro</t>
  </si>
  <si>
    <t>SelHdg</t>
  </si>
  <si>
    <t>McpFcuSt</t>
  </si>
  <si>
    <t>AutoPilot</t>
  </si>
  <si>
    <t>VNav</t>
  </si>
  <si>
    <t>AltHold</t>
  </si>
  <si>
    <t>Approach</t>
  </si>
  <si>
    <t>LNav</t>
  </si>
  <si>
    <t>EnhVal</t>
  </si>
  <si>
    <t>GVA</t>
  </si>
  <si>
    <t>NIC6Supp</t>
  </si>
  <si>
    <t>SDA</t>
  </si>
  <si>
    <t>UATUpFdBk</t>
  </si>
  <si>
    <t>SQL</t>
  </si>
  <si>
    <t>EqType</t>
  </si>
  <si>
    <t>LocId</t>
  </si>
  <si>
    <t>Inst</t>
  </si>
  <si>
    <t>RSID</t>
  </si>
  <si>
    <t>DSName</t>
  </si>
  <si>
    <t>RadarName</t>
  </si>
  <si>
    <t>AsdeXName</t>
  </si>
  <si>
    <t>ReportId</t>
  </si>
  <si>
    <t>TimeOrig</t>
  </si>
  <si>
    <t>Best 1090 LV+</t>
  </si>
  <si>
    <t>c1</t>
  </si>
  <si>
    <t>Washington</t>
  </si>
  <si>
    <t>Enroute</t>
  </si>
  <si>
    <t>A</t>
  </si>
  <si>
    <t>039:05:09.24 N</t>
  </si>
  <si>
    <t>077:33:39.48 W</t>
  </si>
  <si>
    <t>GNSS</t>
  </si>
  <si>
    <t>RS - HP 1090 Multi Chl Radio</t>
  </si>
  <si>
    <t>171-03</t>
  </si>
  <si>
    <t>GAI</t>
  </si>
  <si>
    <t xml:space="preserve"> </t>
  </si>
  <si>
    <t>039:05:13.41 N</t>
  </si>
  <si>
    <t>077:33:41.41 W</t>
  </si>
  <si>
    <t>039:05:16.12 N</t>
  </si>
  <si>
    <t>077:33:42.57 W</t>
  </si>
  <si>
    <t>039:05:17.97 N</t>
  </si>
  <si>
    <t>077:33:43.49 W</t>
  </si>
  <si>
    <t>039:05:23.53 N</t>
  </si>
  <si>
    <t>077:33:46.12 W</t>
  </si>
  <si>
    <t>039:05:25.46 N</t>
  </si>
  <si>
    <t>077:33:47.05 W</t>
  </si>
  <si>
    <t>039:05:30.87 N</t>
  </si>
  <si>
    <t>077:33:49.60 W</t>
  </si>
  <si>
    <t>039:05:36.74 N</t>
  </si>
  <si>
    <t>077:33:52.22 W</t>
  </si>
  <si>
    <t>173-03</t>
  </si>
  <si>
    <t>HWY</t>
  </si>
  <si>
    <t>039:05:39.60 N</t>
  </si>
  <si>
    <t>077:33:53.54 W</t>
  </si>
  <si>
    <t>039:05:41.30 N</t>
  </si>
  <si>
    <t>077:33:54.31 W</t>
  </si>
  <si>
    <t>017-02</t>
  </si>
  <si>
    <t>FDK</t>
  </si>
  <si>
    <t>039:05:43.93 N</t>
  </si>
  <si>
    <t>077:33:55.62 W</t>
  </si>
  <si>
    <t>039:05:45.70 N</t>
  </si>
  <si>
    <t>077:33:56.24 W</t>
  </si>
  <si>
    <t>039:05:47.56 N</t>
  </si>
  <si>
    <t>077:33:57.09 W</t>
  </si>
  <si>
    <t>039:05:49.33 N</t>
  </si>
  <si>
    <t>077:33:57.94 W</t>
  </si>
  <si>
    <t>039:05:51.34 N</t>
  </si>
  <si>
    <t>077:33:58.87 W</t>
  </si>
  <si>
    <t>039:05:53.20 N</t>
  </si>
  <si>
    <t>077:33:59.72 W</t>
  </si>
  <si>
    <t>039:05:54.82 N</t>
  </si>
  <si>
    <t>077:34:00.33 W</t>
  </si>
  <si>
    <t>039:05:56.90 N</t>
  </si>
  <si>
    <t>077:34:01.26 W</t>
  </si>
  <si>
    <t>039:05:58.91 N</t>
  </si>
  <si>
    <t>077:34:02.27 W</t>
  </si>
  <si>
    <t>039:06:00.92 N</t>
  </si>
  <si>
    <t>077:34:02.88 W</t>
  </si>
  <si>
    <t>039:06:03.24 N</t>
  </si>
  <si>
    <t>077:34:03.97 W</t>
  </si>
  <si>
    <t>039:06:04.94 N</t>
  </si>
  <si>
    <t>077:34:04.58 W</t>
  </si>
  <si>
    <t>039:06:06.64 N</t>
  </si>
  <si>
    <t>077:34:05.28 W</t>
  </si>
  <si>
    <t>039:06:08.49 N</t>
  </si>
  <si>
    <t>077:34:06.13 W</t>
  </si>
  <si>
    <t>039:06:10.42 N</t>
  </si>
  <si>
    <t>077:34:06.98 W</t>
  </si>
  <si>
    <t>039:06:12.43 N</t>
  </si>
  <si>
    <t>077:34:07.67 W</t>
  </si>
  <si>
    <t>039:06:14.44 N</t>
  </si>
  <si>
    <t>077:34:08.52 W</t>
  </si>
  <si>
    <t>039:06:16.14 N</t>
  </si>
  <si>
    <t>077:34:09.14 W</t>
  </si>
  <si>
    <t>039:06:18.22 N</t>
  </si>
  <si>
    <t>077:34:09.99 W</t>
  </si>
  <si>
    <t>039:06:20.00 N</t>
  </si>
  <si>
    <t>077:34:10.69 W</t>
  </si>
  <si>
    <t>039:06:21.70 N</t>
  </si>
  <si>
    <t>077:34:11.54 W</t>
  </si>
  <si>
    <t>039:06:23.71 N</t>
  </si>
  <si>
    <t>077:34:12.69 W</t>
  </si>
  <si>
    <t>039:06:25.72 N</t>
  </si>
  <si>
    <t>077:34:14.24 W</t>
  </si>
  <si>
    <t>039:06:27.57 N</t>
  </si>
  <si>
    <t>077:34:15.78 W</t>
  </si>
  <si>
    <t>039:06:29.27 N</t>
  </si>
  <si>
    <t>077:34:17.33 W</t>
  </si>
  <si>
    <t>039:06:30.74 N</t>
  </si>
  <si>
    <t>077:34:19.26 W</t>
  </si>
  <si>
    <t>039:06:32.05 N</t>
  </si>
  <si>
    <t>077:34:20.96 W</t>
  </si>
  <si>
    <t>039:06:33.06 N</t>
  </si>
  <si>
    <t>077:34:22.81 W</t>
  </si>
  <si>
    <t>039:06:34.22 N</t>
  </si>
  <si>
    <t>077:34:24.82 W</t>
  </si>
  <si>
    <t>039:06:35.22 N</t>
  </si>
  <si>
    <t>077:34:27.22 W</t>
  </si>
  <si>
    <t>039:06:36.15 N</t>
  </si>
  <si>
    <t>077:34:29.77 W</t>
  </si>
  <si>
    <t>039:06:37.00 N</t>
  </si>
  <si>
    <t>077:34:32.39 W</t>
  </si>
  <si>
    <t>039:06:37.61 N</t>
  </si>
  <si>
    <t>077:34:34.71 W</t>
  </si>
  <si>
    <t>039:06:38.15 N</t>
  </si>
  <si>
    <t>077:34:37.34 W</t>
  </si>
  <si>
    <t>039:06:38.93 N</t>
  </si>
  <si>
    <t>077:34:41.04 W</t>
  </si>
  <si>
    <t>039:06:39.78 N</t>
  </si>
  <si>
    <t>077:34:45.91 W</t>
  </si>
  <si>
    <t>039:06:40.24 N</t>
  </si>
  <si>
    <t>077:34:48.31 W</t>
  </si>
  <si>
    <t>039:06:40.78 N</t>
  </si>
  <si>
    <t>077:34:51.09 W</t>
  </si>
  <si>
    <t>039:06:41.32 N</t>
  </si>
  <si>
    <t>077:34:53.09 W</t>
  </si>
  <si>
    <t>039:06:41.79 N</t>
  </si>
  <si>
    <t>077:34:55.57 W</t>
  </si>
  <si>
    <t>039:06:42.33 N</t>
  </si>
  <si>
    <t>077:34:57.96 W</t>
  </si>
  <si>
    <t>036-01</t>
  </si>
  <si>
    <t>2W5</t>
  </si>
  <si>
    <t>039:06:42.79 N</t>
  </si>
  <si>
    <t>077:35:00.36 W</t>
  </si>
  <si>
    <t>039:06:43.25 N</t>
  </si>
  <si>
    <t>077:35:02.44 W</t>
  </si>
  <si>
    <t>039:06:43.95 N</t>
  </si>
  <si>
    <t>077:35:05.22 W</t>
  </si>
  <si>
    <t>039:06:44.49 N</t>
  </si>
  <si>
    <t>077:35:07.39 W</t>
  </si>
  <si>
    <t>039:06:45.11 N</t>
  </si>
  <si>
    <t>077:35:09.63 W</t>
  </si>
  <si>
    <t>039:06:45.73 N</t>
  </si>
  <si>
    <t>077:35:12.33 W</t>
  </si>
  <si>
    <t>039:06:46.19 N</t>
  </si>
  <si>
    <t>077:35:14.49 W</t>
  </si>
  <si>
    <t>039:06:46.81 N</t>
  </si>
  <si>
    <t>077:35:16.66 W</t>
  </si>
  <si>
    <t>039:06:47.35 N</t>
  </si>
  <si>
    <t>077:35:19.20 W</t>
  </si>
  <si>
    <t>039:06:47.89 N</t>
  </si>
  <si>
    <t>077:35:21.60 W</t>
  </si>
  <si>
    <t>039:06:48.51 N</t>
  </si>
  <si>
    <t>077:35:23.84 W</t>
  </si>
  <si>
    <t>039:06:49.20 N</t>
  </si>
  <si>
    <t>077:35:26.31 W</t>
  </si>
  <si>
    <t>039:06:49.82 N</t>
  </si>
  <si>
    <t>077:35:28.94 W</t>
  </si>
  <si>
    <t>173-01</t>
  </si>
  <si>
    <t>OKV</t>
  </si>
  <si>
    <t>039:06:50.36 N</t>
  </si>
  <si>
    <t>077:35:31.25 W</t>
  </si>
  <si>
    <t>039:06:50.98 N</t>
  </si>
  <si>
    <t>077:35:33.73 W</t>
  </si>
  <si>
    <t>039:06:51.52 N</t>
  </si>
  <si>
    <t>077:35:35.97 W</t>
  </si>
  <si>
    <t>039:06:52.14 N</t>
  </si>
  <si>
    <t>077:35:38.36 W</t>
  </si>
  <si>
    <t>039:06:52.83 N</t>
  </si>
  <si>
    <t>077:35:40.76 W</t>
  </si>
  <si>
    <t>039:06:53.30 N</t>
  </si>
  <si>
    <t>077:35:43.07 W</t>
  </si>
  <si>
    <t>039:06:54.22 N</t>
  </si>
  <si>
    <t>077:35:45.85 W</t>
  </si>
  <si>
    <t>039:06:54.76 N</t>
  </si>
  <si>
    <t>077:35:47.79 W</t>
  </si>
  <si>
    <t>039:06:55.46 N</t>
  </si>
  <si>
    <t>077:35:50.18 W</t>
  </si>
  <si>
    <t>039:06:56.08 N</t>
  </si>
  <si>
    <t>077:35:52.58 W</t>
  </si>
  <si>
    <t>039:06:57.08 N</t>
  </si>
  <si>
    <t>077:35:55.36 W</t>
  </si>
  <si>
    <t>039:06:58.01 N</t>
  </si>
  <si>
    <t>077:35:57.75 W</t>
  </si>
  <si>
    <t>039:06:58.93 N</t>
  </si>
  <si>
    <t>077:35:59.84 W</t>
  </si>
  <si>
    <t>039:06:59.86 N</t>
  </si>
  <si>
    <t>077:36:02.31 W</t>
  </si>
  <si>
    <t>039:07:01.02 N</t>
  </si>
  <si>
    <t>077:36:04.55 W</t>
  </si>
  <si>
    <t>039:07:02.26 N</t>
  </si>
  <si>
    <t>077:36:06.94 W</t>
  </si>
  <si>
    <t>039:07:03.41 N</t>
  </si>
  <si>
    <t>077:36:08.95 W</t>
  </si>
  <si>
    <t>039:07:04.73 N</t>
  </si>
  <si>
    <t>077:36:10.88 W</t>
  </si>
  <si>
    <t>039:07:06.12 N</t>
  </si>
  <si>
    <t>077:36:12.89 W</t>
  </si>
  <si>
    <t>039:07:07.66 N</t>
  </si>
  <si>
    <t>077:36:14.90 W</t>
  </si>
  <si>
    <t>039:07:09.13 N</t>
  </si>
  <si>
    <t>077:36:16.60 W</t>
  </si>
  <si>
    <t>039:07:10.44 N</t>
  </si>
  <si>
    <t>077:36:18.14 W</t>
  </si>
  <si>
    <t>039:07:12.22 N</t>
  </si>
  <si>
    <t>077:36:20.08 W</t>
  </si>
  <si>
    <t>039:07:13.77 N</t>
  </si>
  <si>
    <t>077:36:21.54 W</t>
  </si>
  <si>
    <t>039:07:15.39 N</t>
  </si>
  <si>
    <t>077:36:23.09 W</t>
  </si>
  <si>
    <t>039:07:17.32 N</t>
  </si>
  <si>
    <t>077:36:24.71 W</t>
  </si>
  <si>
    <t>039:07:19.02 N</t>
  </si>
  <si>
    <t>077:36:26.26 W</t>
  </si>
  <si>
    <t>039:07:20.64 N</t>
  </si>
  <si>
    <t>077:36:27.57 W</t>
  </si>
  <si>
    <t>039:07:22.03 N</t>
  </si>
  <si>
    <t>077:36:28.73 W</t>
  </si>
  <si>
    <t>039:07:23.96 N</t>
  </si>
  <si>
    <t>077:36:29.96 W</t>
  </si>
  <si>
    <t>039:07:25.74 N</t>
  </si>
  <si>
    <t>077:36:31.20 W</t>
  </si>
  <si>
    <t>039:07:27.59 N</t>
  </si>
  <si>
    <t>077:36:32.28 W</t>
  </si>
  <si>
    <t>039:07:29.22 N</t>
  </si>
  <si>
    <t>077:36:33.28 W</t>
  </si>
  <si>
    <t>039:07:31.22 N</t>
  </si>
  <si>
    <t>077:36:34.44 W</t>
  </si>
  <si>
    <t>039:07:33.00 N</t>
  </si>
  <si>
    <t>077:36:35.52 W</t>
  </si>
  <si>
    <t>039:07:34.78 N</t>
  </si>
  <si>
    <t>077:36:36.37 W</t>
  </si>
  <si>
    <t>039:07:36.48 N</t>
  </si>
  <si>
    <t>077:36:37.22 W</t>
  </si>
  <si>
    <t>039:07:38.49 N</t>
  </si>
  <si>
    <t>077:36:38.07 W</t>
  </si>
  <si>
    <t>039:07:40.26 N</t>
  </si>
  <si>
    <t>077:36:38.77 W</t>
  </si>
  <si>
    <t>039:07:42.27 N</t>
  </si>
  <si>
    <t>077:36:39.39 W</t>
  </si>
  <si>
    <t>039:07:44.43 N</t>
  </si>
  <si>
    <t>077:36:40.16 W</t>
  </si>
  <si>
    <t>039:07:46.67 N</t>
  </si>
  <si>
    <t>077:36:40.78 W</t>
  </si>
  <si>
    <t>039:07:48.84 N</t>
  </si>
  <si>
    <t>077:36:41.24 W</t>
  </si>
  <si>
    <t>039:07:51.15 N</t>
  </si>
  <si>
    <t>077:36:41.55 W</t>
  </si>
  <si>
    <t>039:07:53.70 N</t>
  </si>
  <si>
    <t>077:36:41.86 W</t>
  </si>
  <si>
    <t>039:07:58.42 N</t>
  </si>
  <si>
    <t>077:36:42.17 W</t>
  </si>
  <si>
    <t>039:08:00.04 N</t>
  </si>
  <si>
    <t>077:36:42.40 W</t>
  </si>
  <si>
    <t>039:08:02.05 N</t>
  </si>
  <si>
    <t>077:36:42.32 W</t>
  </si>
  <si>
    <t>039:08:04.52 N</t>
  </si>
  <si>
    <t>039:08:06.60 N</t>
  </si>
  <si>
    <t>039:08:08.61 N</t>
  </si>
  <si>
    <t>039:08:10.62 N</t>
  </si>
  <si>
    <t>039:08:12.94 N</t>
  </si>
  <si>
    <t>077:36:40.70 W</t>
  </si>
  <si>
    <t>039:08:15.02 N</t>
  </si>
  <si>
    <t>077:36:40.24 W</t>
  </si>
  <si>
    <t>039:08:17.19 N</t>
  </si>
  <si>
    <t>077:36:39.62 W</t>
  </si>
  <si>
    <t>039:08:19.66 N</t>
  </si>
  <si>
    <t>039:08:21.67 N</t>
  </si>
  <si>
    <t>077:36:37.92 W</t>
  </si>
  <si>
    <t>039:08:23.60 N</t>
  </si>
  <si>
    <t>039:08:25.84 N</t>
  </si>
  <si>
    <t>077:36:36.14 W</t>
  </si>
  <si>
    <t>039:08:28.23 N</t>
  </si>
  <si>
    <t>077:36:34.91 W</t>
  </si>
  <si>
    <t>039:08:30.09 N</t>
  </si>
  <si>
    <t>077:36:33.98 W</t>
  </si>
  <si>
    <t>039:08:32.02 N</t>
  </si>
  <si>
    <t>077:36:32.98 W</t>
  </si>
  <si>
    <t>039:08:34.26 N</t>
  </si>
  <si>
    <t>077:36:31.59 W</t>
  </si>
  <si>
    <t>039:08:36.42 N</t>
  </si>
  <si>
    <t>077:36:30.27 W</t>
  </si>
  <si>
    <t>039:08:38.58 N</t>
  </si>
  <si>
    <t>077:36:29.11 W</t>
  </si>
  <si>
    <t>039:08:40.44 N</t>
  </si>
  <si>
    <t>077:36:28.03 W</t>
  </si>
  <si>
    <t>039:08:42.45 N</t>
  </si>
  <si>
    <t>077:36:27.18 W</t>
  </si>
  <si>
    <t>039:08:44.38 N</t>
  </si>
  <si>
    <t>077:36:26.10 W</t>
  </si>
  <si>
    <t>039:08:46.31 N</t>
  </si>
  <si>
    <t>077:36:25.41 W</t>
  </si>
  <si>
    <t>039:08:48.63 N</t>
  </si>
  <si>
    <t>077:36:24.56 W</t>
  </si>
  <si>
    <t>039:08:50.63 N</t>
  </si>
  <si>
    <t>077:36:23.94 W</t>
  </si>
  <si>
    <t>039:08:52.64 N</t>
  </si>
  <si>
    <t>077:36:23.17 W</t>
  </si>
  <si>
    <t>039:08:54.88 N</t>
  </si>
  <si>
    <t>077:36:22.78 W</t>
  </si>
  <si>
    <t>039:08:57.43 N</t>
  </si>
  <si>
    <t>077:36:22.24 W</t>
  </si>
  <si>
    <t>039:08:59.67 N</t>
  </si>
  <si>
    <t>077:36:21.77 W</t>
  </si>
  <si>
    <t>039:09:01.91 N</t>
  </si>
  <si>
    <t>077:36:21.47 W</t>
  </si>
  <si>
    <t>039:09:04.00 N</t>
  </si>
  <si>
    <t>077:36:21.31 W</t>
  </si>
  <si>
    <t>039:09:06.08 N</t>
  </si>
  <si>
    <t>077:36:21.23 W</t>
  </si>
  <si>
    <t>039:09:08.40 N</t>
  </si>
  <si>
    <t>077:36:21.00 W</t>
  </si>
  <si>
    <t>039:09:12.11 N</t>
  </si>
  <si>
    <t>077:36:20.77 W</t>
  </si>
  <si>
    <t>039:09:14.81 N</t>
  </si>
  <si>
    <t>039:09:16.82 N</t>
  </si>
  <si>
    <t>077:36:20.69 W</t>
  </si>
  <si>
    <t>039:09:19.14 N</t>
  </si>
  <si>
    <t>077:36:20.46 W</t>
  </si>
  <si>
    <t>039:09:21.77 N</t>
  </si>
  <si>
    <t>039:09:24.08 N</t>
  </si>
  <si>
    <t>039:09:26.25 N</t>
  </si>
  <si>
    <t>077:36:20.31 W</t>
  </si>
  <si>
    <t>039:09:28.41 N</t>
  </si>
  <si>
    <t>039:09:30.42 N</t>
  </si>
  <si>
    <t>077:36:20.15 W</t>
  </si>
  <si>
    <t>039:09:32.81 N</t>
  </si>
  <si>
    <t>039:09:34.74 N</t>
  </si>
  <si>
    <t>039:09:36.91 N</t>
  </si>
  <si>
    <t>039:09:38.76 N</t>
  </si>
  <si>
    <t>039:09:40.92 N</t>
  </si>
  <si>
    <t>039:09:43.24 N</t>
  </si>
  <si>
    <t>077:36:19.84 W</t>
  </si>
  <si>
    <t>039:09:45.33 N</t>
  </si>
  <si>
    <t>039:09:47.33 N</t>
  </si>
  <si>
    <t>077:36:19.69 W</t>
  </si>
  <si>
    <t>039:09:49.81 N</t>
  </si>
  <si>
    <t>077:36:19.38 W</t>
  </si>
  <si>
    <t>039:09:52.43 N</t>
  </si>
  <si>
    <t>077:36:19.23 W</t>
  </si>
  <si>
    <t>039:09:54.29 N</t>
  </si>
  <si>
    <t>077:36:18.99 W</t>
  </si>
  <si>
    <t>039:09:56.37 N</t>
  </si>
  <si>
    <t>077:36:18.76 W</t>
  </si>
  <si>
    <t>039:09:58.84 N</t>
  </si>
  <si>
    <t>077:36:18.38 W</t>
  </si>
  <si>
    <t>039:10:01.24 N</t>
  </si>
  <si>
    <t>039:10:03.56 N</t>
  </si>
  <si>
    <t>077:36:17.68 W</t>
  </si>
  <si>
    <t>039:10:05.64 N</t>
  </si>
  <si>
    <t>077:36:17.29 W</t>
  </si>
  <si>
    <t>039:10:07.96 N</t>
  </si>
  <si>
    <t>039:10:10.20 N</t>
  </si>
  <si>
    <t>077:36:15.98 W</t>
  </si>
  <si>
    <t>039:10:12.29 N</t>
  </si>
  <si>
    <t>077:36:15.29 W</t>
  </si>
  <si>
    <t>039:10:14.83 N</t>
  </si>
  <si>
    <t>077:36:14.28 W</t>
  </si>
  <si>
    <t>039:10:17.15 N</t>
  </si>
  <si>
    <t>077:36:13.20 W</t>
  </si>
  <si>
    <t>039:10:19.31 N</t>
  </si>
  <si>
    <t>077:36:12.12 W</t>
  </si>
  <si>
    <t>039:10:21.32 N</t>
  </si>
  <si>
    <t>039:10:23.02 N</t>
  </si>
  <si>
    <t>077:36:09.57 W</t>
  </si>
  <si>
    <t>039:10:25.42 N</t>
  </si>
  <si>
    <t>077:36:07.79 W</t>
  </si>
  <si>
    <t>039:10:27.19 N</t>
  </si>
  <si>
    <t>077:36:06.25 W</t>
  </si>
  <si>
    <t>039:10:29.05 N</t>
  </si>
  <si>
    <t>039:10:30.75 N</t>
  </si>
  <si>
    <t>077:36:02.54 W</t>
  </si>
  <si>
    <t>039:10:32.29 N</t>
  </si>
  <si>
    <t>077:36:00.69 W</t>
  </si>
  <si>
    <t>039:10:35.61 N</t>
  </si>
  <si>
    <t>077:35:56.21 W</t>
  </si>
  <si>
    <t>171-04</t>
  </si>
  <si>
    <t>CXY</t>
  </si>
  <si>
    <t>039:10:36.93 N</t>
  </si>
  <si>
    <t>077:35:53.73 W</t>
  </si>
  <si>
    <t>039:10:39.09 N</t>
  </si>
  <si>
    <t>077:35:49.95 W</t>
  </si>
  <si>
    <t>039:10:40.25 N</t>
  </si>
  <si>
    <t>077:35:47.63 W</t>
  </si>
  <si>
    <t>039:10:41.25 N</t>
  </si>
  <si>
    <t>077:35:45.01 W</t>
  </si>
  <si>
    <t>039:10:42.18 N</t>
  </si>
  <si>
    <t>077:35:42.22 W</t>
  </si>
  <si>
    <t>039:10:43.26 N</t>
  </si>
  <si>
    <t>077:35:39.06 W</t>
  </si>
  <si>
    <t>039:10:44.11 N</t>
  </si>
  <si>
    <t>077:35:36.20 W</t>
  </si>
  <si>
    <t>039:10:44.81 N</t>
  </si>
  <si>
    <t>077:35:32.80 W</t>
  </si>
  <si>
    <t>039:10:45.42 N</t>
  </si>
  <si>
    <t>077:35:28.24 W</t>
  </si>
  <si>
    <t>039:10:45.81 N</t>
  </si>
  <si>
    <t>077:35:25.69 W</t>
  </si>
  <si>
    <t>039:10:45.97 N</t>
  </si>
  <si>
    <t>077:35:22.68 W</t>
  </si>
  <si>
    <t>039:10:46.12 N</t>
  </si>
  <si>
    <t>077:35:19.28 W</t>
  </si>
  <si>
    <t>039:10:46.27 N</t>
  </si>
  <si>
    <t>077:35:16.42 W</t>
  </si>
  <si>
    <t>077:35:13.33 W</t>
  </si>
  <si>
    <t>077:35:10.01 W</t>
  </si>
  <si>
    <t>077:35:07.15 W</t>
  </si>
  <si>
    <t>077:35:03.91 W</t>
  </si>
  <si>
    <t>077:35:00.74 W</t>
  </si>
  <si>
    <t>039:10:44.27 N</t>
  </si>
  <si>
    <t>077:34:57.50 W</t>
  </si>
  <si>
    <t>039:10:43.80 N</t>
  </si>
  <si>
    <t>077:34:54.64 W</t>
  </si>
  <si>
    <t>039:10:43.11 N</t>
  </si>
  <si>
    <t>077:34:51.78 W</t>
  </si>
  <si>
    <t>039:10:42.72 N</t>
  </si>
  <si>
    <t>077:34:49.16 W</t>
  </si>
  <si>
    <t>039:10:42.10 N</t>
  </si>
  <si>
    <t>077:34:46.53 W</t>
  </si>
  <si>
    <t>039:10:41.56 N</t>
  </si>
  <si>
    <t>077:34:43.36 W</t>
  </si>
  <si>
    <t>039:10:41.02 N</t>
  </si>
  <si>
    <t>077:34:40.35 W</t>
  </si>
  <si>
    <t>039:10:40.40 N</t>
  </si>
  <si>
    <t>039:10:39.94 N</t>
  </si>
  <si>
    <t>077:34:34.01 W</t>
  </si>
  <si>
    <t>039:10:39.40 N</t>
  </si>
  <si>
    <t>077:34:31.31 W</t>
  </si>
  <si>
    <t>039:10:38.78 N</t>
  </si>
  <si>
    <t>077:34:28.07 W</t>
  </si>
  <si>
    <t>039:10:38.24 N</t>
  </si>
  <si>
    <t>077:34:24.98 W</t>
  </si>
  <si>
    <t>039:10:37.62 N</t>
  </si>
  <si>
    <t>077:34:21.65 W</t>
  </si>
  <si>
    <t>077:34:18.41 W</t>
  </si>
  <si>
    <t>039:10:36.23 N</t>
  </si>
  <si>
    <t>077:34:15.32 W</t>
  </si>
  <si>
    <t>039:10:35.77 N</t>
  </si>
  <si>
    <t>077:34:12.39 W</t>
  </si>
  <si>
    <t>039:10:35.31 N</t>
  </si>
  <si>
    <t>077:34:09.37 W</t>
  </si>
  <si>
    <t>039:10:34.92 N</t>
  </si>
  <si>
    <t>077:34:06.51 W</t>
  </si>
  <si>
    <t>039:10:34.61 N</t>
  </si>
  <si>
    <t>247-01</t>
  </si>
  <si>
    <t>CGE</t>
  </si>
  <si>
    <t>039:10:34.30 N</t>
  </si>
  <si>
    <t>077:33:59.87 W</t>
  </si>
  <si>
    <t>039:10:34.22 N</t>
  </si>
  <si>
    <t>077:33:53.46 W</t>
  </si>
  <si>
    <t>077:33:50.45 W</t>
  </si>
  <si>
    <t>039:10:34.38 N</t>
  </si>
  <si>
    <t>077:33:47.67 W</t>
  </si>
  <si>
    <t>039:10:34.76 N</t>
  </si>
  <si>
    <t>077:33:44.34 W</t>
  </si>
  <si>
    <t>039:10:35.15 N</t>
  </si>
  <si>
    <t>077:33:41.02 W</t>
  </si>
  <si>
    <t>039:10:35.54 N</t>
  </si>
  <si>
    <t>077:33:37.55 W</t>
  </si>
  <si>
    <t>077:33:33.76 W</t>
  </si>
  <si>
    <t>039:10:36.77 N</t>
  </si>
  <si>
    <t>077:33:31.13 W</t>
  </si>
  <si>
    <t>039:10:37.39 N</t>
  </si>
  <si>
    <t>077:33:27.66 W</t>
  </si>
  <si>
    <t>039:10:37.78 N</t>
  </si>
  <si>
    <t>077:33:25.19 W</t>
  </si>
  <si>
    <t>039:10:38.39 N</t>
  </si>
  <si>
    <t>077:33:22.48 W</t>
  </si>
  <si>
    <t>039:10:38.94 N</t>
  </si>
  <si>
    <t>077:33:19.32 W</t>
  </si>
  <si>
    <t>039:10:39.63 N</t>
  </si>
  <si>
    <t>077:33:16.23 W</t>
  </si>
  <si>
    <t>039:10:40.09 N</t>
  </si>
  <si>
    <t>077:33:13.14 W</t>
  </si>
  <si>
    <t>039:10:40.87 N</t>
  </si>
  <si>
    <t>077:33:10.05 W</t>
  </si>
  <si>
    <t>039:10:41.41 N</t>
  </si>
  <si>
    <t>077:33:07.19 W</t>
  </si>
  <si>
    <t>077:33:04.33 W</t>
  </si>
  <si>
    <t>039:10:42.88 N</t>
  </si>
  <si>
    <t>077:33:01.24 W</t>
  </si>
  <si>
    <t>039:10:43.49 N</t>
  </si>
  <si>
    <t>077:32:58.46 W</t>
  </si>
  <si>
    <t>077:32:55.99 W</t>
  </si>
  <si>
    <t>077:32:53.52 W</t>
  </si>
  <si>
    <t>039:10:45.50 N</t>
  </si>
  <si>
    <t>077:32:50.66 W</t>
  </si>
  <si>
    <t>039:10:46.35 N</t>
  </si>
  <si>
    <t>077:32:47.88 W</t>
  </si>
  <si>
    <t>039:10:46.97 N</t>
  </si>
  <si>
    <t>077:32:45.10 W</t>
  </si>
  <si>
    <t>039:10:47.66 N</t>
  </si>
  <si>
    <t>077:32:42.31 W</t>
  </si>
  <si>
    <t>039:10:48.13 N</t>
  </si>
  <si>
    <t>077:32:39.53 W</t>
  </si>
  <si>
    <t>039:10:48.82 N</t>
  </si>
  <si>
    <t>077:32:37.14 W</t>
  </si>
  <si>
    <t>039:10:49.29 N</t>
  </si>
  <si>
    <t>077:32:34.44 W</t>
  </si>
  <si>
    <t>039:10:49.98 N</t>
  </si>
  <si>
    <t>077:32:31.58 W</t>
  </si>
  <si>
    <t>039:10:50.75 N</t>
  </si>
  <si>
    <t>077:32:28.80 W</t>
  </si>
  <si>
    <t>039:10:51.53 N</t>
  </si>
  <si>
    <t>077:32:25.86 W</t>
  </si>
  <si>
    <t>039:10:52.07 N</t>
  </si>
  <si>
    <t>077:32:23.62 W</t>
  </si>
  <si>
    <t>039:10:52.92 N</t>
  </si>
  <si>
    <t>077:32:20.99 W</t>
  </si>
  <si>
    <t>039:10:53.69 N</t>
  </si>
  <si>
    <t>077:32:18.21 W</t>
  </si>
  <si>
    <t>039:10:54.54 N</t>
  </si>
  <si>
    <t>077:32:15.59 W</t>
  </si>
  <si>
    <t>039:10:55.39 N</t>
  </si>
  <si>
    <t>077:32:13.27 W</t>
  </si>
  <si>
    <t>039:10:56.16 N</t>
  </si>
  <si>
    <t>077:32:10.72 W</t>
  </si>
  <si>
    <t>039:10:57.17 N</t>
  </si>
  <si>
    <t>077:32:07.94 W</t>
  </si>
  <si>
    <t>039:10:58.02 N</t>
  </si>
  <si>
    <t>077:32:05.70 W</t>
  </si>
  <si>
    <t>039:10:59.17 N</t>
  </si>
  <si>
    <t>077:32:03.00 W</t>
  </si>
  <si>
    <t>039:11:00.02 N</t>
  </si>
  <si>
    <t>077:32:00.83 W</t>
  </si>
  <si>
    <t>039:11:00.80 N</t>
  </si>
  <si>
    <t>077:31:58.67 W</t>
  </si>
  <si>
    <t>039:11:01.88 N</t>
  </si>
  <si>
    <t>077:31:56.04 W</t>
  </si>
  <si>
    <t>039:11:02.88 N</t>
  </si>
  <si>
    <t>077:31:53.57 W</t>
  </si>
  <si>
    <t>039:11:03.81 N</t>
  </si>
  <si>
    <t>077:31:50.94 W</t>
  </si>
  <si>
    <t>039:11:04.74 N</t>
  </si>
  <si>
    <t>077:31:48.55 W</t>
  </si>
  <si>
    <t>039:11:05.59 N</t>
  </si>
  <si>
    <t>077:31:46.39 W</t>
  </si>
  <si>
    <t>039:11:06.59 N</t>
  </si>
  <si>
    <t>077:31:43.68 W</t>
  </si>
  <si>
    <t>039:11:07.59 N</t>
  </si>
  <si>
    <t>077:31:40.83 W</t>
  </si>
  <si>
    <t>039:11:08.60 N</t>
  </si>
  <si>
    <t>077:31:38.20 W</t>
  </si>
  <si>
    <t>039:11:09.45 N</t>
  </si>
  <si>
    <t>077:31:35.57 W</t>
  </si>
  <si>
    <t>039:11:10.38 N</t>
  </si>
  <si>
    <t>077:31:32.87 W</t>
  </si>
  <si>
    <t>039:11:11.46 N</t>
  </si>
  <si>
    <t>077:31:29.86 W</t>
  </si>
  <si>
    <t>039:11:12.38 N</t>
  </si>
  <si>
    <t>077:31:27.08 W</t>
  </si>
  <si>
    <t>039:11:13.16 N</t>
  </si>
  <si>
    <t>077:31:24.53 W</t>
  </si>
  <si>
    <t>039:11:13.93 N</t>
  </si>
  <si>
    <t>077:31:22.21 W</t>
  </si>
  <si>
    <t>039:11:15.01 N</t>
  </si>
  <si>
    <t>077:31:19.35 W</t>
  </si>
  <si>
    <t>039:11:16.01 N</t>
  </si>
  <si>
    <t>077:31:16.72 W</t>
  </si>
  <si>
    <t>039:11:16.79 N</t>
  </si>
  <si>
    <t>077:31:14.41 W</t>
  </si>
  <si>
    <t>039:11:17.79 N</t>
  </si>
  <si>
    <t>077:31:11.78 W</t>
  </si>
  <si>
    <t>039:11:18.95 N</t>
  </si>
  <si>
    <t>077:31:09.00 W</t>
  </si>
  <si>
    <t>039:11:19.95 N</t>
  </si>
  <si>
    <t>077:31:06.37 W</t>
  </si>
  <si>
    <t>039:11:20.96 N</t>
  </si>
  <si>
    <t>077:31:03.98 W</t>
  </si>
  <si>
    <t>039:11:21.96 N</t>
  </si>
  <si>
    <t>077:31:01.51 W</t>
  </si>
  <si>
    <t>039:11:23.04 N</t>
  </si>
  <si>
    <t>077:30:58.73 W</t>
  </si>
  <si>
    <t>039:11:23.82 N</t>
  </si>
  <si>
    <t>077:30:56.49 W</t>
  </si>
  <si>
    <t>039:11:24.74 N</t>
  </si>
  <si>
    <t>077:30:54.17 W</t>
  </si>
  <si>
    <t>039:11:25.52 N</t>
  </si>
  <si>
    <t>077:30:51.62 W</t>
  </si>
  <si>
    <t>039:11:26.67 N</t>
  </si>
  <si>
    <t>077:30:48.76 W</t>
  </si>
  <si>
    <t>039:11:27.37 N</t>
  </si>
  <si>
    <t>077:30:46.44 W</t>
  </si>
  <si>
    <t>039:11:28.22 N</t>
  </si>
  <si>
    <t>077:30:43.89 W</t>
  </si>
  <si>
    <t>039:11:29.22 N</t>
  </si>
  <si>
    <t>077:30:41.11 W</t>
  </si>
  <si>
    <t>039:11:29.84 N</t>
  </si>
  <si>
    <t>077:30:38.72 W</t>
  </si>
  <si>
    <t>039:11:30.69 N</t>
  </si>
  <si>
    <t>077:30:36.17 W</t>
  </si>
  <si>
    <t>039:11:31.23 N</t>
  </si>
  <si>
    <t>077:30:33.62 W</t>
  </si>
  <si>
    <t>039:11:32.08 N</t>
  </si>
  <si>
    <t>077:30:30.99 W</t>
  </si>
  <si>
    <t>039:11:32.62 N</t>
  </si>
  <si>
    <t>077:30:28.60 W</t>
  </si>
  <si>
    <t>039:11:33.24 N</t>
  </si>
  <si>
    <t>077:30:26.13 W</t>
  </si>
  <si>
    <t>039:11:33.70 N</t>
  </si>
  <si>
    <t>077:30:23.27 W</t>
  </si>
  <si>
    <t>039:11:34.48 N</t>
  </si>
  <si>
    <t>077:30:20.26 W</t>
  </si>
  <si>
    <t>039:11:35.09 N</t>
  </si>
  <si>
    <t>077:30:17.40 W</t>
  </si>
  <si>
    <t>039:11:35.87 N</t>
  </si>
  <si>
    <t>077:30:14.54 W</t>
  </si>
  <si>
    <t>039:11:36.56 N</t>
  </si>
  <si>
    <t>077:30:11.45 W</t>
  </si>
  <si>
    <t>039:11:37.26 N</t>
  </si>
  <si>
    <t>077:30:08.59 W</t>
  </si>
  <si>
    <t>039:11:37.88 N</t>
  </si>
  <si>
    <t>077:30:05.81 W</t>
  </si>
  <si>
    <t>039:11:38.57 N</t>
  </si>
  <si>
    <t>077:30:03.65 W</t>
  </si>
  <si>
    <t>039:11:39.19 N</t>
  </si>
  <si>
    <t>077:30:00.87 W</t>
  </si>
  <si>
    <t>039:11:40.12 N</t>
  </si>
  <si>
    <t>077:29:57.78 W</t>
  </si>
  <si>
    <t>039:11:40.73 N</t>
  </si>
  <si>
    <t>077:29:55.31 W</t>
  </si>
  <si>
    <t>039:11:41.43 N</t>
  </si>
  <si>
    <t>077:29:52.99 W</t>
  </si>
  <si>
    <t>039:11:42.05 N</t>
  </si>
  <si>
    <t>077:29:50.36 W</t>
  </si>
  <si>
    <t>039:11:42.74 N</t>
  </si>
  <si>
    <t>077:29:47.27 W</t>
  </si>
  <si>
    <t>039:11:43.59 N</t>
  </si>
  <si>
    <t>077:29:44.64 W</t>
  </si>
  <si>
    <t>039:11:44.29 N</t>
  </si>
  <si>
    <t>077:29:41.79 W</t>
  </si>
  <si>
    <t>039:11:44.98 N</t>
  </si>
  <si>
    <t>077:29:38.77 W</t>
  </si>
  <si>
    <t>039:11:45.68 N</t>
  </si>
  <si>
    <t>077:29:35.92 W</t>
  </si>
  <si>
    <t>039:11:46.30 N</t>
  </si>
  <si>
    <t>077:29:33.60 W</t>
  </si>
  <si>
    <t>039:11:46.99 N</t>
  </si>
  <si>
    <t>077:29:30.59 W</t>
  </si>
  <si>
    <t>039:11:47.45 N</t>
  </si>
  <si>
    <t>077:29:27.80 W</t>
  </si>
  <si>
    <t>039:11:48.15 N</t>
  </si>
  <si>
    <t>077:29:25.02 W</t>
  </si>
  <si>
    <t>039:11:48.61 N</t>
  </si>
  <si>
    <t>077:29:22.63 W</t>
  </si>
  <si>
    <t>039:11:49.31 N</t>
  </si>
  <si>
    <t>077:29:19.62 W</t>
  </si>
  <si>
    <t>039:11:49.85 N</t>
  </si>
  <si>
    <t>077:29:17.14 W</t>
  </si>
  <si>
    <t>039:11:50.62 N</t>
  </si>
  <si>
    <t>077:29:14.21 W</t>
  </si>
  <si>
    <t>039:11:51.16 N</t>
  </si>
  <si>
    <t>077:29:11.89 W</t>
  </si>
  <si>
    <t>039:11:51.93 N</t>
  </si>
  <si>
    <t>077:29:09.50 W</t>
  </si>
  <si>
    <t>039:11:52.55 N</t>
  </si>
  <si>
    <t>077:29:07.33 W</t>
  </si>
  <si>
    <t>039:11:53.33 N</t>
  </si>
  <si>
    <t>077:29:05.09 W</t>
  </si>
  <si>
    <t>039:11:54.33 N</t>
  </si>
  <si>
    <t>077:29:02.62 W</t>
  </si>
  <si>
    <t>039:11:55.18 N</t>
  </si>
  <si>
    <t>077:29:00.46 W</t>
  </si>
  <si>
    <t>039:11:56.03 N</t>
  </si>
  <si>
    <t>077:28:58.22 W</t>
  </si>
  <si>
    <t>039:11:57.03 N</t>
  </si>
  <si>
    <t>077:28:55.52 W</t>
  </si>
  <si>
    <t>039:11:58.19 N</t>
  </si>
  <si>
    <t>077:28:52.73 W</t>
  </si>
  <si>
    <t>039:11:59.04 N</t>
  </si>
  <si>
    <t>077:28:50.34 W</t>
  </si>
  <si>
    <t>039:12:00.00 N</t>
  </si>
  <si>
    <t>077:28:48.25 W</t>
  </si>
  <si>
    <t>039:12:00.90 N</t>
  </si>
  <si>
    <t>077:28:45.94 W</t>
  </si>
  <si>
    <t>039:12:01.67 N</t>
  </si>
  <si>
    <t>077:28:43.70 W</t>
  </si>
  <si>
    <t>039:12:02.59 N</t>
  </si>
  <si>
    <t>077:28:41.38 W</t>
  </si>
  <si>
    <t>039:12:03.91 N</t>
  </si>
  <si>
    <t>077:28:38.13 W</t>
  </si>
  <si>
    <t>039:12:04.76 N</t>
  </si>
  <si>
    <t>077:28:35.74 W</t>
  </si>
  <si>
    <t>039:12:05.76 N</t>
  </si>
  <si>
    <t>077:28:33.19 W</t>
  </si>
  <si>
    <t>039:12:06.61 N</t>
  </si>
  <si>
    <t>077:28:30.64 W</t>
  </si>
  <si>
    <t>039:12:07.62 N</t>
  </si>
  <si>
    <t>077:28:27.71 W</t>
  </si>
  <si>
    <t>039:12:08.54 N</t>
  </si>
  <si>
    <t>077:28:24.77 W</t>
  </si>
  <si>
    <t>039:12:09.39 N</t>
  </si>
  <si>
    <t>077:28:22.45 W</t>
  </si>
  <si>
    <t>039:12:10.24 N</t>
  </si>
  <si>
    <t>077:28:19.67 W</t>
  </si>
  <si>
    <t>039:12:10.94 N</t>
  </si>
  <si>
    <t>077:28:17.20 W</t>
  </si>
  <si>
    <t>039:12:11.86 N</t>
  </si>
  <si>
    <t>077:28:14.27 W</t>
  </si>
  <si>
    <t>039:12:12.41 N</t>
  </si>
  <si>
    <t>077:28:11.87 W</t>
  </si>
  <si>
    <t>039:12:13.26 N</t>
  </si>
  <si>
    <t>077:28:09.24 W</t>
  </si>
  <si>
    <t>039:12:13.80 N</t>
  </si>
  <si>
    <t>077:28:06.93 W</t>
  </si>
  <si>
    <t>039:12:14.41 N</t>
  </si>
  <si>
    <t>077:28:04.45 W</t>
  </si>
  <si>
    <t>039:12:15.11 N</t>
  </si>
  <si>
    <t>077:28:01.75 W</t>
  </si>
  <si>
    <t>039:12:15.80 N</t>
  </si>
  <si>
    <t>077:27:58.82 W</t>
  </si>
  <si>
    <t>039:12:16.81 N</t>
  </si>
  <si>
    <t>077:27:55.11 W</t>
  </si>
  <si>
    <t>039:12:17.50 N</t>
  </si>
  <si>
    <t>077:27:52.10 W</t>
  </si>
  <si>
    <t>039:12:18.12 N</t>
  </si>
  <si>
    <t>077:27:49.08 W</t>
  </si>
  <si>
    <t>039:12:18.66 N</t>
  </si>
  <si>
    <t>077:27:46.61 W</t>
  </si>
  <si>
    <t>039:12:19.13 N</t>
  </si>
  <si>
    <t>077:27:44.14 W</t>
  </si>
  <si>
    <t>039:12:19.74 N</t>
  </si>
  <si>
    <t>077:27:40.97 W</t>
  </si>
  <si>
    <t>039:12:20.44 N</t>
  </si>
  <si>
    <t>077:27:38.35 W</t>
  </si>
  <si>
    <t>039:12:20.98 N</t>
  </si>
  <si>
    <t>077:27:35.87 W</t>
  </si>
  <si>
    <t>039:12:21.83 N</t>
  </si>
  <si>
    <t>077:27:33.25 W</t>
  </si>
  <si>
    <t>039:12:22.52 N</t>
  </si>
  <si>
    <t>077:27:30.62 W</t>
  </si>
  <si>
    <t>039:12:23.30 N</t>
  </si>
  <si>
    <t>077:27:27.92 W</t>
  </si>
  <si>
    <t>039:12:24.22 N</t>
  </si>
  <si>
    <t>077:27:25.68 W</t>
  </si>
  <si>
    <t>039:12:25.31 N</t>
  </si>
  <si>
    <t>077:27:22.90 W</t>
  </si>
  <si>
    <t>039:12:26.16 N</t>
  </si>
  <si>
    <t>077:27:20.73 W</t>
  </si>
  <si>
    <t>039:12:27.31 N</t>
  </si>
  <si>
    <t>077:27:18.18 W</t>
  </si>
  <si>
    <t>039:12:28.16 N</t>
  </si>
  <si>
    <t>077:27:16.10 W</t>
  </si>
  <si>
    <t>039:12:29.17 N</t>
  </si>
  <si>
    <t>077:27:13.63 W</t>
  </si>
  <si>
    <t>039:12:30.40 N</t>
  </si>
  <si>
    <t>077:27:11.00 W</t>
  </si>
  <si>
    <t>039:12:31.33 N</t>
  </si>
  <si>
    <t>077:27:08.68 W</t>
  </si>
  <si>
    <t>039:12:32.18 N</t>
  </si>
  <si>
    <t>077:27:06.44 W</t>
  </si>
  <si>
    <t>039:12:33.11 N</t>
  </si>
  <si>
    <t>077:27:03.97 W</t>
  </si>
  <si>
    <t>039:12:33.96 N</t>
  </si>
  <si>
    <t>077:27:02.04 W</t>
  </si>
  <si>
    <t>039:12:34.96 N</t>
  </si>
  <si>
    <t>077:26:59.49 W</t>
  </si>
  <si>
    <t>039:12:36.20 N</t>
  </si>
  <si>
    <t>077:26:56.79 W</t>
  </si>
  <si>
    <t>039:12:37.05 N</t>
  </si>
  <si>
    <t>077:26:54.55 W</t>
  </si>
  <si>
    <t>039:12:37.90 N</t>
  </si>
  <si>
    <t>077:26:52.15 W</t>
  </si>
  <si>
    <t>039:12:39.21 N</t>
  </si>
  <si>
    <t>077:26:49.37 W</t>
  </si>
  <si>
    <t>039:12:40.06 N</t>
  </si>
  <si>
    <t>077:26:47.44 W</t>
  </si>
  <si>
    <t>039:12:40.91 N</t>
  </si>
  <si>
    <t>077:26:45.12 W</t>
  </si>
  <si>
    <t>039:12:41.99 N</t>
  </si>
  <si>
    <t>077:26:42.26 W</t>
  </si>
  <si>
    <t>039:12:43.30 N</t>
  </si>
  <si>
    <t>077:26:39.64 W</t>
  </si>
  <si>
    <t>039:12:44.31 N</t>
  </si>
  <si>
    <t>077:26:37.01 W</t>
  </si>
  <si>
    <t>039:12:45.47 N</t>
  </si>
  <si>
    <t>077:26:34.31 W</t>
  </si>
  <si>
    <t>039:12:46.32 N</t>
  </si>
  <si>
    <t>077:26:31.91 W</t>
  </si>
  <si>
    <t>039:12:47.48 N</t>
  </si>
  <si>
    <t>077:26:29.52 W</t>
  </si>
  <si>
    <t>039:12:48.25 N</t>
  </si>
  <si>
    <t>077:26:27.20 W</t>
  </si>
  <si>
    <t>017-01</t>
  </si>
  <si>
    <t>W29</t>
  </si>
  <si>
    <t>039:12:49.56 N</t>
  </si>
  <si>
    <t>077:26:24.19 W</t>
  </si>
  <si>
    <t>039:12:50.57 N</t>
  </si>
  <si>
    <t>077:26:21.64 W</t>
  </si>
  <si>
    <t>039:12:51.57 N</t>
  </si>
  <si>
    <t>077:26:19.09 W</t>
  </si>
  <si>
    <t>039:12:52.73 N</t>
  </si>
  <si>
    <t>077:26:16.46 W</t>
  </si>
  <si>
    <t>039:12:53.81 N</t>
  </si>
  <si>
    <t>077:26:13.45 W</t>
  </si>
  <si>
    <t>039:12:54.81 N</t>
  </si>
  <si>
    <t>077:26:10.82 W</t>
  </si>
  <si>
    <t>039:12:56.20 N</t>
  </si>
  <si>
    <t>077:26:07.50 W</t>
  </si>
  <si>
    <t>039:12:57.21 N</t>
  </si>
  <si>
    <t>077:26:04.64 W</t>
  </si>
  <si>
    <t>039:12:58.14 N</t>
  </si>
  <si>
    <t>077:26:01.86 W</t>
  </si>
  <si>
    <t>039:12:59.06 N</t>
  </si>
  <si>
    <t>077:25:59.39 W</t>
  </si>
  <si>
    <t>039:13:00.07 N</t>
  </si>
  <si>
    <t>077:25:56.76 W</t>
  </si>
  <si>
    <t>039:13:00.99 N</t>
  </si>
  <si>
    <t>077:25:54.37 W</t>
  </si>
  <si>
    <t>039:13:02.08 N</t>
  </si>
  <si>
    <t>077:25:51.28 W</t>
  </si>
  <si>
    <t>039:13:03.08 N</t>
  </si>
  <si>
    <t>077:25:48.42 W</t>
  </si>
  <si>
    <t>039:13:04.08 N</t>
  </si>
  <si>
    <t>077:25:45.80 W</t>
  </si>
  <si>
    <t>039:13:05.09 N</t>
  </si>
  <si>
    <t>077:25:42.71 W</t>
  </si>
  <si>
    <t>039:13:05.71 N</t>
  </si>
  <si>
    <t>077:25:40.54 W</t>
  </si>
  <si>
    <t>039:13:06.94 N</t>
  </si>
  <si>
    <t>077:25:37.45 W</t>
  </si>
  <si>
    <t>039:13:07.87 N</t>
  </si>
  <si>
    <t>077:25:34.36 W</t>
  </si>
  <si>
    <t>039:13:08.95 N</t>
  </si>
  <si>
    <t>077:25:31.50 W</t>
  </si>
  <si>
    <t>039:13:09.88 N</t>
  </si>
  <si>
    <t>077:25:28.34 W</t>
  </si>
  <si>
    <t>039:13:10.65 N</t>
  </si>
  <si>
    <t>077:25:25.71 W</t>
  </si>
  <si>
    <t>039:13:11.58 N</t>
  </si>
  <si>
    <t>077:25:23.16 W</t>
  </si>
  <si>
    <t>039:13:12.43 N</t>
  </si>
  <si>
    <t>077:25:20.54 W</t>
  </si>
  <si>
    <t>039:13:13.35 N</t>
  </si>
  <si>
    <t>077:25:17.99 W</t>
  </si>
  <si>
    <t>039:13:14.13 N</t>
  </si>
  <si>
    <t>077:25:15.05 W</t>
  </si>
  <si>
    <t>039:13:15.13 N</t>
  </si>
  <si>
    <t>077:25:12.35 W</t>
  </si>
  <si>
    <t>039:13:15.83 N</t>
  </si>
  <si>
    <t>077:25:10.03 W</t>
  </si>
  <si>
    <t>039:13:16.60 N</t>
  </si>
  <si>
    <t>077:25:07.25 W</t>
  </si>
  <si>
    <t>039:13:17.45 N</t>
  </si>
  <si>
    <t>077:25:04.47 W</t>
  </si>
  <si>
    <t>277-01</t>
  </si>
  <si>
    <t>THV</t>
  </si>
  <si>
    <t>039:13:18.30 N</t>
  </si>
  <si>
    <t>077:25:01.92 W</t>
  </si>
  <si>
    <t>039:13:18.99 N</t>
  </si>
  <si>
    <t>077:24:59.45 W</t>
  </si>
  <si>
    <t>039:13:20.00 N</t>
  </si>
  <si>
    <t>077:24:56.13 W</t>
  </si>
  <si>
    <t>039:13:20.92 N</t>
  </si>
  <si>
    <t>077:24:53.11 W</t>
  </si>
  <si>
    <t>039:13:21.62 N</t>
  </si>
  <si>
    <t>077:24:49.95 W</t>
  </si>
  <si>
    <t>039:13:22.31 N</t>
  </si>
  <si>
    <t>077:24:47.09 W</t>
  </si>
  <si>
    <t>039:13:23.24 N</t>
  </si>
  <si>
    <t>077:24:44.07 W</t>
  </si>
  <si>
    <t>039:13:23.70 N</t>
  </si>
  <si>
    <t>077:24:41.91 W</t>
  </si>
  <si>
    <t>039:13:24.32 N</t>
  </si>
  <si>
    <t>077:24:39.21 W</t>
  </si>
  <si>
    <t>039:13:25.02 N</t>
  </si>
  <si>
    <t>077:24:36.35 W</t>
  </si>
  <si>
    <t>039:13:25.87 N</t>
  </si>
  <si>
    <t>077:24:33.11 W</t>
  </si>
  <si>
    <t>039:13:26.49 N</t>
  </si>
  <si>
    <t>077:24:30.32 W</t>
  </si>
  <si>
    <t>039:13:27.18 N</t>
  </si>
  <si>
    <t>077:24:26.93 W</t>
  </si>
  <si>
    <t>039:13:27.64 N</t>
  </si>
  <si>
    <t>077:24:24.30 W</t>
  </si>
  <si>
    <t>039:13:28.34 N</t>
  </si>
  <si>
    <t>077:24:21.29 W</t>
  </si>
  <si>
    <t>039:13:28.96 N</t>
  </si>
  <si>
    <t>077:24:18.27 W</t>
  </si>
  <si>
    <t>039:13:29.73 N</t>
  </si>
  <si>
    <t>077:24:15.03 W</t>
  </si>
  <si>
    <t>039:13:30.35 N</t>
  </si>
  <si>
    <t>077:24:12.63 W</t>
  </si>
  <si>
    <t>039:13:30.97 N</t>
  </si>
  <si>
    <t>077:24:09.85 W</t>
  </si>
  <si>
    <t>039:13:31.74 N</t>
  </si>
  <si>
    <t>077:24:06.69 W</t>
  </si>
  <si>
    <t>039:13:32.51 N</t>
  </si>
  <si>
    <t>077:24:03.83 W</t>
  </si>
  <si>
    <t>039:13:33.28 N</t>
  </si>
  <si>
    <t>077:24:01.28 W</t>
  </si>
  <si>
    <t>039:13:34.21 N</t>
  </si>
  <si>
    <t>077:23:58.11 W</t>
  </si>
  <si>
    <t>039:13:35.06 N</t>
  </si>
  <si>
    <t>077:23:55.49 W</t>
  </si>
  <si>
    <t>039:13:35.91 N</t>
  </si>
  <si>
    <t>077:23:52.70 W</t>
  </si>
  <si>
    <t>039:13:36.91 N</t>
  </si>
  <si>
    <t>077:23:49.85 W</t>
  </si>
  <si>
    <t>039:13:37.84 N</t>
  </si>
  <si>
    <t>077:23:47.07 W</t>
  </si>
  <si>
    <t>039:13:38.92 N</t>
  </si>
  <si>
    <t>077:23:44.05 W</t>
  </si>
  <si>
    <t>039:13:39.93 N</t>
  </si>
  <si>
    <t>077:23:41.19 W</t>
  </si>
  <si>
    <t>039:13:40.93 N</t>
  </si>
  <si>
    <t>077:23:38.57 W</t>
  </si>
  <si>
    <t>039:13:41.78 N</t>
  </si>
  <si>
    <t>077:23:35.71 W</t>
  </si>
  <si>
    <t>039:13:42.78 N</t>
  </si>
  <si>
    <t>077:23:32.70 W</t>
  </si>
  <si>
    <t>039:13:43.63 N</t>
  </si>
  <si>
    <t>077:23:30.23 W</t>
  </si>
  <si>
    <t>039:13:44.41 N</t>
  </si>
  <si>
    <t>077:23:27.37 W</t>
  </si>
  <si>
    <t>039:13:45.49 N</t>
  </si>
  <si>
    <t>077:23:24.12 W</t>
  </si>
  <si>
    <t>039:13:46.26 N</t>
  </si>
  <si>
    <t>077:23:21.26 W</t>
  </si>
  <si>
    <t>039:13:47.11 N</t>
  </si>
  <si>
    <t>077:23:18.48 W</t>
  </si>
  <si>
    <t>288-01</t>
  </si>
  <si>
    <t>CHO</t>
  </si>
  <si>
    <t>039:13:48.12 N</t>
  </si>
  <si>
    <t>077:23:15.47 W</t>
  </si>
  <si>
    <t>039:13:48.81 N</t>
  </si>
  <si>
    <t>077:23:13.08 W</t>
  </si>
  <si>
    <t>039:13:49.66 N</t>
  </si>
  <si>
    <t>077:23:09.99 W</t>
  </si>
  <si>
    <t>039:13:50.43 N</t>
  </si>
  <si>
    <t>077:23:06.90 W</t>
  </si>
  <si>
    <t>039:13:51.20 N</t>
  </si>
  <si>
    <t>077:23:03.88 W</t>
  </si>
  <si>
    <t>039:13:52.05 N</t>
  </si>
  <si>
    <t>077:23:00.87 W</t>
  </si>
  <si>
    <t>039:13:52.90 N</t>
  </si>
  <si>
    <t>077:22:58.09 W</t>
  </si>
  <si>
    <t>039:13:53.68 N</t>
  </si>
  <si>
    <t>077:22:55.23 W</t>
  </si>
  <si>
    <t>039:13:54.37 N</t>
  </si>
  <si>
    <t>077:22:52.07 W</t>
  </si>
  <si>
    <t>039:13:55.14 N</t>
  </si>
  <si>
    <t>077:22:48.67 W</t>
  </si>
  <si>
    <t>039:13:55.99 N</t>
  </si>
  <si>
    <t>077:22:45.42 W</t>
  </si>
  <si>
    <t>039:13:56.69 N</t>
  </si>
  <si>
    <t>077:22:42.41 W</t>
  </si>
  <si>
    <t>039:13:57.54 N</t>
  </si>
  <si>
    <t>077:22:39.24 W</t>
  </si>
  <si>
    <t>039:13:58.16 N</t>
  </si>
  <si>
    <t>077:22:36.15 W</t>
  </si>
  <si>
    <t>039:13:59.01 N</t>
  </si>
  <si>
    <t>077:22:32.60 W</t>
  </si>
  <si>
    <t>039:13:59.62 N</t>
  </si>
  <si>
    <t>077:22:29.90 W</t>
  </si>
  <si>
    <t>039:14:00.32 N</t>
  </si>
  <si>
    <t>077:22:26.88 W</t>
  </si>
  <si>
    <t>039:14:01.02 N</t>
  </si>
  <si>
    <t>077:22:23.87 W</t>
  </si>
  <si>
    <t>039:14:01.71 N</t>
  </si>
  <si>
    <t>077:22:20.78 W</t>
  </si>
  <si>
    <t>039:14:02.56 N</t>
  </si>
  <si>
    <t>077:22:17.92 W</t>
  </si>
  <si>
    <t>039:14:03.18 N</t>
  </si>
  <si>
    <t>077:22:15.06 W</t>
  </si>
  <si>
    <t>039:14:03.95 N</t>
  </si>
  <si>
    <t>077:22:11.90 W</t>
  </si>
  <si>
    <t>039:14:04.72 N</t>
  </si>
  <si>
    <t>077:22:09.12 W</t>
  </si>
  <si>
    <t>039:14:05.57 N</t>
  </si>
  <si>
    <t>077:22:06.03 W</t>
  </si>
  <si>
    <t>039:14:06.19 N</t>
  </si>
  <si>
    <t>077:22:03.01 W</t>
  </si>
  <si>
    <t>039:14:07.04 N</t>
  </si>
  <si>
    <t>077:22:00.23 W</t>
  </si>
  <si>
    <t>039:14:07.74 N</t>
  </si>
  <si>
    <t>077:21:57.45 W</t>
  </si>
  <si>
    <t>039:14:08.43 N</t>
  </si>
  <si>
    <t>077:21:54.82 W</t>
  </si>
  <si>
    <t>039:14:09.28 N</t>
  </si>
  <si>
    <t>077:21:51.97 W</t>
  </si>
  <si>
    <t>039:14:09.90 N</t>
  </si>
  <si>
    <t>077:21:48.88 W</t>
  </si>
  <si>
    <t>039:14:10.75 N</t>
  </si>
  <si>
    <t>077:21:46.02 W</t>
  </si>
  <si>
    <t>039:14:11.60 N</t>
  </si>
  <si>
    <t>077:21:43.16 W</t>
  </si>
  <si>
    <t>039:14:12.29 N</t>
  </si>
  <si>
    <t>077:21:40.38 W</t>
  </si>
  <si>
    <t>039:14:13.07 N</t>
  </si>
  <si>
    <t>077:21:37.29 W</t>
  </si>
  <si>
    <t>039:14:13.84 N</t>
  </si>
  <si>
    <t>077:21:34.66 W</t>
  </si>
  <si>
    <t>039:14:14.61 N</t>
  </si>
  <si>
    <t>077:21:31.65 W</t>
  </si>
  <si>
    <t>039:14:15.46 N</t>
  </si>
  <si>
    <t>077:21:28.87 W</t>
  </si>
  <si>
    <t>039:14:16.31 N</t>
  </si>
  <si>
    <t>077:21:26.09 W</t>
  </si>
  <si>
    <t>039:14:16.93 N</t>
  </si>
  <si>
    <t>077:21:23.46 W</t>
  </si>
  <si>
    <t>039:14:17.78 N</t>
  </si>
  <si>
    <t>077:21:20.53 W</t>
  </si>
  <si>
    <t>039:14:18.78 N</t>
  </si>
  <si>
    <t>077:21:17.28 W</t>
  </si>
  <si>
    <t>039:14:19.63 N</t>
  </si>
  <si>
    <t>077:21:14.19 W</t>
  </si>
  <si>
    <t>039:14:20.56 N</t>
  </si>
  <si>
    <t>077:21:11.03 W</t>
  </si>
  <si>
    <t>039:14:21.49 N</t>
  </si>
  <si>
    <t>077:21:07.63 W</t>
  </si>
  <si>
    <t>039:14:22.34 N</t>
  </si>
  <si>
    <t>077:21:04.77 W</t>
  </si>
  <si>
    <t>039:14:23.34 N</t>
  </si>
  <si>
    <t>077:21:01.68 W</t>
  </si>
  <si>
    <t>039:14:23.96 N</t>
  </si>
  <si>
    <t>077:20:59.28 W</t>
  </si>
  <si>
    <t>039:14:24.96 N</t>
  </si>
  <si>
    <t>077:20:56.43 W</t>
  </si>
  <si>
    <t>039:14:26.20 N</t>
  </si>
  <si>
    <t>077:20:52.95 W</t>
  </si>
  <si>
    <t>039:14:27.20 N</t>
  </si>
  <si>
    <t>077:20:50.48 W</t>
  </si>
  <si>
    <t>039:14:28.13 N</t>
  </si>
  <si>
    <t>077:20:47.85 W</t>
  </si>
  <si>
    <t>039:14:29.06 N</t>
  </si>
  <si>
    <t>077:20:45.22 W</t>
  </si>
  <si>
    <t>039:14:30.29 N</t>
  </si>
  <si>
    <t>077:20:41.98 W</t>
  </si>
  <si>
    <t>039:14:31.30 N</t>
  </si>
  <si>
    <t>077:20:38.97 W</t>
  </si>
  <si>
    <t>039:14:32.22 N</t>
  </si>
  <si>
    <t>077:20:36.03 W</t>
  </si>
  <si>
    <t>039:14:33.38 N</t>
  </si>
  <si>
    <t>077:20:33.17 W</t>
  </si>
  <si>
    <t>039:14:34.39 N</t>
  </si>
  <si>
    <t>077:20:30.16 W</t>
  </si>
  <si>
    <t>039:14:35.24 N</t>
  </si>
  <si>
    <t>077:20:27.38 W</t>
  </si>
  <si>
    <t>039:14:36.39 N</t>
  </si>
  <si>
    <t>077:20:23.90 W</t>
  </si>
  <si>
    <t>039:14:37.40 N</t>
  </si>
  <si>
    <t>077:20:21.05 W</t>
  </si>
  <si>
    <t>039:14:38.40 N</t>
  </si>
  <si>
    <t>077:20:17.96 W</t>
  </si>
  <si>
    <t>039:14:39.33 N</t>
  </si>
  <si>
    <t>077:20:15.33 W</t>
  </si>
  <si>
    <t>039:14:40.41 N</t>
  </si>
  <si>
    <t>077:20:12.01 W</t>
  </si>
  <si>
    <t>039:14:41.34 N</t>
  </si>
  <si>
    <t>077:20:09.30 W</t>
  </si>
  <si>
    <t>039:14:42.11 N</t>
  </si>
  <si>
    <t>077:20:06.52 W</t>
  </si>
  <si>
    <t>039:14:43.12 N</t>
  </si>
  <si>
    <t>077:20:03.51 W</t>
  </si>
  <si>
    <t>039:14:43.97 N</t>
  </si>
  <si>
    <t>077:20:01.19 W</t>
  </si>
  <si>
    <t>039:14:44.74 N</t>
  </si>
  <si>
    <t>077:19:58.64 W</t>
  </si>
  <si>
    <t>039:14:45.59 N</t>
  </si>
  <si>
    <t>077:19:55.79 W</t>
  </si>
  <si>
    <t>039:14:46.59 N</t>
  </si>
  <si>
    <t>077:19:53.01 W</t>
  </si>
  <si>
    <t>039:14:47.44 N</t>
  </si>
  <si>
    <t>077:19:50.22 W</t>
  </si>
  <si>
    <t>039:14:48.45 N</t>
  </si>
  <si>
    <t>077:19:47.60 W</t>
  </si>
  <si>
    <t>039:14:49.45 N</t>
  </si>
  <si>
    <t>077:19:44.35 W</t>
  </si>
  <si>
    <t>039:14:50.30 N</t>
  </si>
  <si>
    <t>077:19:41.26 W</t>
  </si>
  <si>
    <t>039:14:51.38 N</t>
  </si>
  <si>
    <t>077:19:37.71 W</t>
  </si>
  <si>
    <t>039:14:52.31 N</t>
  </si>
  <si>
    <t>077:19:34.85 W</t>
  </si>
  <si>
    <t>039:14:53.16 N</t>
  </si>
  <si>
    <t>077:19:32.15 W</t>
  </si>
  <si>
    <t>039:14:54.01 N</t>
  </si>
  <si>
    <t>077:19:29.14 W</t>
  </si>
  <si>
    <t>039:14:55.01 N</t>
  </si>
  <si>
    <t>077:19:26.12 W</t>
  </si>
  <si>
    <t>039:14:56.17 N</t>
  </si>
  <si>
    <t>077:19:22.11 W</t>
  </si>
  <si>
    <t>039:14:57.17 N</t>
  </si>
  <si>
    <t>077:19:18.86 W</t>
  </si>
  <si>
    <t>039:14:58.18 N</t>
  </si>
  <si>
    <t>077:19:15.54 W</t>
  </si>
  <si>
    <t>039:14:59.18 N</t>
  </si>
  <si>
    <t>077:19:12.06 W</t>
  </si>
  <si>
    <t>039:15:00.19 N</t>
  </si>
  <si>
    <t>077:19:08.74 W</t>
  </si>
  <si>
    <t>039:15:01.35 N</t>
  </si>
  <si>
    <t>077:19:04.80 W</t>
  </si>
  <si>
    <t>039:15:02.27 N</t>
  </si>
  <si>
    <t>077:19:01.64 W</t>
  </si>
  <si>
    <t>039:15:03.20 N</t>
  </si>
  <si>
    <t>077:18:57.77 W</t>
  </si>
  <si>
    <t>039:15:04.05 N</t>
  </si>
  <si>
    <t>077:18:54.76 W</t>
  </si>
  <si>
    <t>039:15:05.05 N</t>
  </si>
  <si>
    <t>077:18:51.28 W</t>
  </si>
  <si>
    <t>039:15:06.06 N</t>
  </si>
  <si>
    <t>077:18:47.65 W</t>
  </si>
  <si>
    <t>039:15:06.75 N</t>
  </si>
  <si>
    <t>077:18:44.56 W</t>
  </si>
  <si>
    <t>039:15:07.76 N</t>
  </si>
  <si>
    <t>077:18:41.01 W</t>
  </si>
  <si>
    <t>039:15:08.53 N</t>
  </si>
  <si>
    <t>077:18:38.00 W</t>
  </si>
  <si>
    <t>039:15:09.53 N</t>
  </si>
  <si>
    <t>077:18:34.37 W</t>
  </si>
  <si>
    <t>039:15:10.31 N</t>
  </si>
  <si>
    <t>077:18:30.89 W</t>
  </si>
  <si>
    <t>039:15:11.31 N</t>
  </si>
  <si>
    <t>077:18:27.26 W</t>
  </si>
  <si>
    <t>039:15:12.24 N</t>
  </si>
  <si>
    <t>077:18:23.24 W</t>
  </si>
  <si>
    <t>039:15:13.24 N</t>
  </si>
  <si>
    <t>077:18:19.77 W</t>
  </si>
  <si>
    <t>039:15:14.09 N</t>
  </si>
  <si>
    <t>077:18:15.98 W</t>
  </si>
  <si>
    <t>039:15:14.94 N</t>
  </si>
  <si>
    <t>077:18:12.82 W</t>
  </si>
  <si>
    <t>039:15:16.10 N</t>
  </si>
  <si>
    <t>077:18:08.72 W</t>
  </si>
  <si>
    <t>039:15:17.10 N</t>
  </si>
  <si>
    <t>077:18:05.01 W</t>
  </si>
  <si>
    <t>039:15:18.26 N</t>
  </si>
  <si>
    <t>077:18:01.00 W</t>
  </si>
  <si>
    <t>039:15:19.04 N</t>
  </si>
  <si>
    <t>077:17:58.22 W</t>
  </si>
  <si>
    <t>039:15:20.50 N</t>
  </si>
  <si>
    <t>077:17:54.28 W</t>
  </si>
  <si>
    <t>039:15:21.51 N</t>
  </si>
  <si>
    <t>077:17:50.88 W</t>
  </si>
  <si>
    <t>039:15:22.67 N</t>
  </si>
  <si>
    <t>077:17:47.25 W</t>
  </si>
  <si>
    <t>039:15:23.82 N</t>
  </si>
  <si>
    <t>077:17:43.62 W</t>
  </si>
  <si>
    <t>039:15:25.37 N</t>
  </si>
  <si>
    <t>077:17:39.75 W</t>
  </si>
  <si>
    <t>039:15:26.30 N</t>
  </si>
  <si>
    <t>077:17:36.28 W</t>
  </si>
  <si>
    <t>039:15:27.61 N</t>
  </si>
  <si>
    <t>077:17:32.65 W</t>
  </si>
  <si>
    <t>039:15:28.61 N</t>
  </si>
  <si>
    <t>077:17:29.87 W</t>
  </si>
  <si>
    <t>039:15:29.77 N</t>
  </si>
  <si>
    <t>077:17:26.00 W</t>
  </si>
  <si>
    <t>039:15:31.09 N</t>
  </si>
  <si>
    <t>077:17:22.30 W</t>
  </si>
  <si>
    <t>039:15:32.40 N</t>
  </si>
  <si>
    <t>077:17:18.66 W</t>
  </si>
  <si>
    <t>039:15:33.40 N</t>
  </si>
  <si>
    <t>077:17:15.65 W</t>
  </si>
  <si>
    <t>039:15:34.41 N</t>
  </si>
  <si>
    <t>077:17:12.64 W</t>
  </si>
  <si>
    <t>039:15:35.72 N</t>
  </si>
  <si>
    <t>077:17:08.31 W</t>
  </si>
  <si>
    <t>039:15:36.88 N</t>
  </si>
  <si>
    <t>077:17:04.61 W</t>
  </si>
  <si>
    <t>039:15:38.04 N</t>
  </si>
  <si>
    <t>077:17:01.28 W</t>
  </si>
  <si>
    <t>039:15:39.20 N</t>
  </si>
  <si>
    <t>077:16:57.42 W</t>
  </si>
  <si>
    <t>039:15:40.51 N</t>
  </si>
  <si>
    <t>077:16:53.56 W</t>
  </si>
  <si>
    <t>039:15:41.59 N</t>
  </si>
  <si>
    <t>077:16:50.08 W</t>
  </si>
  <si>
    <t>039:15:42.44 N</t>
  </si>
  <si>
    <t>077:16:46.99 W</t>
  </si>
  <si>
    <t>039:15:43.75 N</t>
  </si>
  <si>
    <t>077:16:42.74 W</t>
  </si>
  <si>
    <t>039:15:45.15 N</t>
  </si>
  <si>
    <t>077:16:38.65 W</t>
  </si>
  <si>
    <t>039:15:46.30 N</t>
  </si>
  <si>
    <t>077:16:34.71 W</t>
  </si>
  <si>
    <t>039:15:47.31 N</t>
  </si>
  <si>
    <t>077:16:31.00 W</t>
  </si>
  <si>
    <t>039:15:48.54 N</t>
  </si>
  <si>
    <t>077:16:26.68 W</t>
  </si>
  <si>
    <t>039:15:49.47 N</t>
  </si>
  <si>
    <t>077:16:23.28 W</t>
  </si>
  <si>
    <t>039:15:50.63 N</t>
  </si>
  <si>
    <t>077:16:19.57 W</t>
  </si>
  <si>
    <t>039:15:51.63 N</t>
  </si>
  <si>
    <t>077:16:15.55 W</t>
  </si>
  <si>
    <t>039:15:52.72 N</t>
  </si>
  <si>
    <t>077:16:11.38 W</t>
  </si>
  <si>
    <t>039:15:53.49 N</t>
  </si>
  <si>
    <t>077:16:07.91 W</t>
  </si>
  <si>
    <t>039:15:54.49 N</t>
  </si>
  <si>
    <t>077:16:03.66 W</t>
  </si>
  <si>
    <t>039:15:55.34 N</t>
  </si>
  <si>
    <t>077:15:59.79 W</t>
  </si>
  <si>
    <t>039:15:56.50 N</t>
  </si>
  <si>
    <t>077:15:55.24 W</t>
  </si>
  <si>
    <t>039:15:57.27 N</t>
  </si>
  <si>
    <t>077:15:51.37 W</t>
  </si>
  <si>
    <t>039:15:58.20 N</t>
  </si>
  <si>
    <t>077:15:47.20 W</t>
  </si>
  <si>
    <t>039:15:59.20 N</t>
  </si>
  <si>
    <t>077:15:42.65 W</t>
  </si>
  <si>
    <t>039:15:59.82 N</t>
  </si>
  <si>
    <t>077:15:39.56 W</t>
  </si>
  <si>
    <t>039:16:00.67 N</t>
  </si>
  <si>
    <t>077:15:35.85 W</t>
  </si>
  <si>
    <t>039:16:01.44 N</t>
  </si>
  <si>
    <t>077:15:32.29 W</t>
  </si>
  <si>
    <t>039:16:02.22 N</t>
  </si>
  <si>
    <t>077:15:28.59 W</t>
  </si>
  <si>
    <t>039:16:03.22 N</t>
  </si>
  <si>
    <t>077:15:24.72 W</t>
  </si>
  <si>
    <t>039:16:04.07 N</t>
  </si>
  <si>
    <t>077:15:20.86 W</t>
  </si>
  <si>
    <t>039:16:05.08 N</t>
  </si>
  <si>
    <t>077:15:16.69 W</t>
  </si>
  <si>
    <t>039:16:06.08 N</t>
  </si>
  <si>
    <t>077:15:12.98 W</t>
  </si>
  <si>
    <t>039:16:06.85 N</t>
  </si>
  <si>
    <t>077:15:09.51 W</t>
  </si>
  <si>
    <t>039:16:07.93 N</t>
  </si>
  <si>
    <t>077:15:05.26 W</t>
  </si>
  <si>
    <t>039:16:09.01 N</t>
  </si>
  <si>
    <t>077:15:01.09 W</t>
  </si>
  <si>
    <t>039:16:10.02 N</t>
  </si>
  <si>
    <t>077:14:57.22 W</t>
  </si>
  <si>
    <t>039:16:11.10 N</t>
  </si>
  <si>
    <t>077:14:52.74 W</t>
  </si>
  <si>
    <t>039:16:11.95 N</t>
  </si>
  <si>
    <t>077:14:48.88 W</t>
  </si>
  <si>
    <t>039:16:12.80 N</t>
  </si>
  <si>
    <t>077:14:45.87 W</t>
  </si>
  <si>
    <t>039:16:13.80 N</t>
  </si>
  <si>
    <t>077:14:42.01 W</t>
  </si>
  <si>
    <t>039:16:14.73 N</t>
  </si>
  <si>
    <t>077:14:38.07 W</t>
  </si>
  <si>
    <t>039:16:15.89 N</t>
  </si>
  <si>
    <t>077:14:34.20 W</t>
  </si>
  <si>
    <t>039:16:17.05 N</t>
  </si>
  <si>
    <t>077:14:30.57 W</t>
  </si>
  <si>
    <t>039:16:18.28 N</t>
  </si>
  <si>
    <t>077:14:27.25 W</t>
  </si>
  <si>
    <t>039:16:19.83 N</t>
  </si>
  <si>
    <t>077:14:22.85 W</t>
  </si>
  <si>
    <t>039:16:20.99 N</t>
  </si>
  <si>
    <t>077:14:19.99 W</t>
  </si>
  <si>
    <t>039:16:22.30 N</t>
  </si>
  <si>
    <t>077:14:16.51 W</t>
  </si>
  <si>
    <t>039:16:24.00 N</t>
  </si>
  <si>
    <t>077:14:12.50 W</t>
  </si>
  <si>
    <t>039:16:25.70 N</t>
  </si>
  <si>
    <t>077:14:08.56 W</t>
  </si>
  <si>
    <t>039:16:27.32 N</t>
  </si>
  <si>
    <t>077:14:04.77 W</t>
  </si>
  <si>
    <t>039:16:28.79 N</t>
  </si>
  <si>
    <t>077:14:01.37 W</t>
  </si>
  <si>
    <t>039:16:30.49 N</t>
  </si>
  <si>
    <t>077:13:57.36 W</t>
  </si>
  <si>
    <t>039:16:32.73 N</t>
  </si>
  <si>
    <t>077:13:52.57 W</t>
  </si>
  <si>
    <t>039:16:34.04 N</t>
  </si>
  <si>
    <t>077:13:49.56 W</t>
  </si>
  <si>
    <t>039:16:35.51 N</t>
  </si>
  <si>
    <t>077:13:46.08 W</t>
  </si>
  <si>
    <t>039:16:37.21 N</t>
  </si>
  <si>
    <t>077:13:42.22 W</t>
  </si>
  <si>
    <t>039:16:38.76 N</t>
  </si>
  <si>
    <t>077:13:38.66 W</t>
  </si>
  <si>
    <t>039:16:40.45 N</t>
  </si>
  <si>
    <t>077:13:34.88 W</t>
  </si>
  <si>
    <t>039:16:41.77 N</t>
  </si>
  <si>
    <t>077:13:31.63 W</t>
  </si>
  <si>
    <t>039:16:43.24 N</t>
  </si>
  <si>
    <t>077:13:28.16 W</t>
  </si>
  <si>
    <t>039:16:44.78 N</t>
  </si>
  <si>
    <t>077:13:24.60 W</t>
  </si>
  <si>
    <t>039:16:46.40 N</t>
  </si>
  <si>
    <t>077:13:20.74 W</t>
  </si>
  <si>
    <t>039:16:47.56 N</t>
  </si>
  <si>
    <t>077:13:17.96 W</t>
  </si>
  <si>
    <t>039:16:48.80 N</t>
  </si>
  <si>
    <t>077:13:14.72 W</t>
  </si>
  <si>
    <t>039:16:50.50 N</t>
  </si>
  <si>
    <t>077:13:10.85 W</t>
  </si>
  <si>
    <t>039:16:51.81 N</t>
  </si>
  <si>
    <t>077:13:07.38 W</t>
  </si>
  <si>
    <t>039:16:53.12 N</t>
  </si>
  <si>
    <t>077:13:03.98 W</t>
  </si>
  <si>
    <t>039:16:54.67 N</t>
  </si>
  <si>
    <t>077:13:00.12 W</t>
  </si>
  <si>
    <t>039:16:55.98 N</t>
  </si>
  <si>
    <t>077:12:56.95 W</t>
  </si>
  <si>
    <t>039:16:57.37 N</t>
  </si>
  <si>
    <t>077:12:53.24 W</t>
  </si>
  <si>
    <t>039:16:58.68 N</t>
  </si>
  <si>
    <t>077:12:49.69 W</t>
  </si>
  <si>
    <t>039:17:00.00 N</t>
  </si>
  <si>
    <t>077:12:45.98 W</t>
  </si>
  <si>
    <t>039:17:01.39 N</t>
  </si>
  <si>
    <t>077:12:42.43 W</t>
  </si>
  <si>
    <t>039:17:02.70 N</t>
  </si>
  <si>
    <t>077:12:38.41 W</t>
  </si>
  <si>
    <t>039:17:04.02 N</t>
  </si>
  <si>
    <t>077:12:34.70 W</t>
  </si>
  <si>
    <t>039:17:05.33 N</t>
  </si>
  <si>
    <t>077:12:31.07 W</t>
  </si>
  <si>
    <t>039:17:06.64 N</t>
  </si>
  <si>
    <t>077:12:27.44 W</t>
  </si>
  <si>
    <t>039:17:07.95 N</t>
  </si>
  <si>
    <t>077:12:23.73 W</t>
  </si>
  <si>
    <t>039:17:09.35 N</t>
  </si>
  <si>
    <t>077:12:20.10 W</t>
  </si>
  <si>
    <t>039:17:10.43 N</t>
  </si>
  <si>
    <t>077:12:16.47 W</t>
  </si>
  <si>
    <t>039:17:11.89 N</t>
  </si>
  <si>
    <t>077:12:12.38 W</t>
  </si>
  <si>
    <t>039:17:13.28 N</t>
  </si>
  <si>
    <t>077:12:08.59 W</t>
  </si>
  <si>
    <t>039:17:14.44 N</t>
  </si>
  <si>
    <t>077:12:04.88 W</t>
  </si>
  <si>
    <t>039:17:15.60 N</t>
  </si>
  <si>
    <t>077:12:01.64 W</t>
  </si>
  <si>
    <t>039:17:16.92 N</t>
  </si>
  <si>
    <t>077:11:57.78 W</t>
  </si>
  <si>
    <t>039:17:18.07 N</t>
  </si>
  <si>
    <t>077:11:54.07 W</t>
  </si>
  <si>
    <t>039:17:19.39 N</t>
  </si>
  <si>
    <t>077:11:50.44 W</t>
  </si>
  <si>
    <t>039:17:20.62 N</t>
  </si>
  <si>
    <t>077:11:46.42 W</t>
  </si>
  <si>
    <t>039:17:21.78 N</t>
  </si>
  <si>
    <t>077:11:42.71 W</t>
  </si>
  <si>
    <t>039:17:23.02 N</t>
  </si>
  <si>
    <t>077:11:39.24 W</t>
  </si>
  <si>
    <t>039:17:24.33 N</t>
  </si>
  <si>
    <t>077:11:35.38 W</t>
  </si>
  <si>
    <t>039:17:25.80 N</t>
  </si>
  <si>
    <t>077:11:31.13 W</t>
  </si>
  <si>
    <t>039:17:27.03 N</t>
  </si>
  <si>
    <t>077:11:26.88 W</t>
  </si>
  <si>
    <t>039:17:28.35 N</t>
  </si>
  <si>
    <t>077:11:23.09 W</t>
  </si>
  <si>
    <t>039:17:29.51 N</t>
  </si>
  <si>
    <t>077:11:19.39 W</t>
  </si>
  <si>
    <t>039:17:30.90 N</t>
  </si>
  <si>
    <t>077:11:15.37 W</t>
  </si>
  <si>
    <t>039:17:32.21 N</t>
  </si>
  <si>
    <t>077:11:11.27 W</t>
  </si>
  <si>
    <t>039:17:33.52 N</t>
  </si>
  <si>
    <t>077:11:07.57 W</t>
  </si>
  <si>
    <t>039:17:34.68 N</t>
  </si>
  <si>
    <t>077:11:03.78 W</t>
  </si>
  <si>
    <t>039:17:35.92 N</t>
  </si>
  <si>
    <t>077:11:00.07 W</t>
  </si>
  <si>
    <t>039:17:37.31 N</t>
  </si>
  <si>
    <t>077:10:55.83 W</t>
  </si>
  <si>
    <t>039:17:38.47 N</t>
  </si>
  <si>
    <t>077:10:52.19 W</t>
  </si>
  <si>
    <t>039:17:39.55 N</t>
  </si>
  <si>
    <t>077:10:48.64 W</t>
  </si>
  <si>
    <t>039:17:40.94 N</t>
  </si>
  <si>
    <t>077:10:44.24 W</t>
  </si>
  <si>
    <t>039:17:42.10 N</t>
  </si>
  <si>
    <t>077:10:40.76 W</t>
  </si>
  <si>
    <t>039:17:43.41 N</t>
  </si>
  <si>
    <t>077:10:36.51 W</t>
  </si>
  <si>
    <t>039:17:44.57 N</t>
  </si>
  <si>
    <t>077:10:32.81 W</t>
  </si>
  <si>
    <t>039:17:45.81 N</t>
  </si>
  <si>
    <t>077:10:29.10 W</t>
  </si>
  <si>
    <t>039:17:46.96 N</t>
  </si>
  <si>
    <t>077:10:25.31 W</t>
  </si>
  <si>
    <t>039:17:47.89 N</t>
  </si>
  <si>
    <t>077:10:21.91 W</t>
  </si>
  <si>
    <t>039:17:49.05 N</t>
  </si>
  <si>
    <t>077:10:18.21 W</t>
  </si>
  <si>
    <t>039:17:50.21 N</t>
  </si>
  <si>
    <t>077:10:14.34 W</t>
  </si>
  <si>
    <t>039:17:51.37 N</t>
  </si>
  <si>
    <t>077:10:10.48 W</t>
  </si>
  <si>
    <t>039:17:52.45 N</t>
  </si>
  <si>
    <t>077:10:07.08 W</t>
  </si>
  <si>
    <t>039:17:53.61 N</t>
  </si>
  <si>
    <t>077:10:02.99 W</t>
  </si>
  <si>
    <t>039:17:54.77 N</t>
  </si>
  <si>
    <t>077:09:59.13 W</t>
  </si>
  <si>
    <t>039:17:55.85 N</t>
  </si>
  <si>
    <t>077:09:55.65 W</t>
  </si>
  <si>
    <t>039:17:56.93 N</t>
  </si>
  <si>
    <t>077:09:52.41 W</t>
  </si>
  <si>
    <t>039:17:57.93 N</t>
  </si>
  <si>
    <t>077:09:48.54 W</t>
  </si>
  <si>
    <t>039:17:59.02 N</t>
  </si>
  <si>
    <t>077:09:45.14 W</t>
  </si>
  <si>
    <t>039:18:00.17 N</t>
  </si>
  <si>
    <t>077:09:41.36 W</t>
  </si>
  <si>
    <t>039:18:01.33 N</t>
  </si>
  <si>
    <t>077:09:37.65 W</t>
  </si>
  <si>
    <t>039:18:02.49 N</t>
  </si>
  <si>
    <t>077:09:33.94 W</t>
  </si>
  <si>
    <t>039:18:03.73 N</t>
  </si>
  <si>
    <t>077:09:30.16 W</t>
  </si>
  <si>
    <t>039:18:05.04 N</t>
  </si>
  <si>
    <t>077:09:25.60 W</t>
  </si>
  <si>
    <t>039:18:06.35 N</t>
  </si>
  <si>
    <t>077:09:21.51 W</t>
  </si>
  <si>
    <t>039:18:07.51 N</t>
  </si>
  <si>
    <t>077:09:17.64 W</t>
  </si>
  <si>
    <t>039:18:08.83 N</t>
  </si>
  <si>
    <t>077:09:13.94 W</t>
  </si>
  <si>
    <t>039:18:09.60 N</t>
  </si>
  <si>
    <t>077:09:10.92 W</t>
  </si>
  <si>
    <t>039:18:10.91 N</t>
  </si>
  <si>
    <t>077:09:07.06 W</t>
  </si>
  <si>
    <t>039:18:12.22 N</t>
  </si>
  <si>
    <t>077:09:02.97 W</t>
  </si>
  <si>
    <t>039:18:13.23 N</t>
  </si>
  <si>
    <t>077:09:00.11 W</t>
  </si>
  <si>
    <t>039:18:14.46 N</t>
  </si>
  <si>
    <t>077:08:56.32 W</t>
  </si>
  <si>
    <t>039:18:15.39 N</t>
  </si>
  <si>
    <t>077:08:52.92 W</t>
  </si>
  <si>
    <t>039:18:16.71 N</t>
  </si>
  <si>
    <t>077:08:49.22 W</t>
  </si>
  <si>
    <t>039:18:17.94 N</t>
  </si>
  <si>
    <t>077:08:44.89 W</t>
  </si>
  <si>
    <t>039:18:19.25 N</t>
  </si>
  <si>
    <t>077:08:41.18 W</t>
  </si>
  <si>
    <t>039:18:20.49 N</t>
  </si>
  <si>
    <t>077:08:37.47 W</t>
  </si>
  <si>
    <t>039:18:21.65 N</t>
  </si>
  <si>
    <t>077:08:33.69 W</t>
  </si>
  <si>
    <t>039:18:22.81 N</t>
  </si>
  <si>
    <t>077:08:30.29 W</t>
  </si>
  <si>
    <t>039:18:24.12 N</t>
  </si>
  <si>
    <t>077:08:25.81 W</t>
  </si>
  <si>
    <t>039:18:25.43 N</t>
  </si>
  <si>
    <t>077:08:22.18 W</t>
  </si>
  <si>
    <t>039:18:26.59 N</t>
  </si>
  <si>
    <t>077:08:18.32 W</t>
  </si>
  <si>
    <t>039:18:27.60 N</t>
  </si>
  <si>
    <t>077:08:15.30 W</t>
  </si>
  <si>
    <t>039:18:28.83 N</t>
  </si>
  <si>
    <t>077:08:11.29 W</t>
  </si>
  <si>
    <t>039:18:29.99 N</t>
  </si>
  <si>
    <t>077:08:07.58 W</t>
  </si>
  <si>
    <t>039:18:31.15 N</t>
  </si>
  <si>
    <t>077:08:03.64 W</t>
  </si>
  <si>
    <t>039:18:32.23 N</t>
  </si>
  <si>
    <t>077:08:00.24 W</t>
  </si>
  <si>
    <t>039:18:33.39 N</t>
  </si>
  <si>
    <t>077:07:57.00 W</t>
  </si>
  <si>
    <t>039:18:34.32 N</t>
  </si>
  <si>
    <t>077:07:53.60 W</t>
  </si>
  <si>
    <t>039:18:35.40 N</t>
  </si>
  <si>
    <t>077:07:50.20 W</t>
  </si>
  <si>
    <t>039:18:36.56 N</t>
  </si>
  <si>
    <t>077:07:46.26 W</t>
  </si>
  <si>
    <t>039:18:37.64 N</t>
  </si>
  <si>
    <t>077:07:43.02 W</t>
  </si>
  <si>
    <t>039:18:38.57 N</t>
  </si>
  <si>
    <t>077:07:39.46 W</t>
  </si>
  <si>
    <t>039:18:39.80 N</t>
  </si>
  <si>
    <t>077:07:35.29 W</t>
  </si>
  <si>
    <t>039:18:40.96 N</t>
  </si>
  <si>
    <t>077:07:31.66 W</t>
  </si>
  <si>
    <t>039:18:42.12 N</t>
  </si>
  <si>
    <t>077:07:27.80 W</t>
  </si>
  <si>
    <t>039:18:43.28 N</t>
  </si>
  <si>
    <t>077:07:24.09 W</t>
  </si>
  <si>
    <t>039:18:44.13 N</t>
  </si>
  <si>
    <t>077:07:20.54 W</t>
  </si>
  <si>
    <t>039:18:45.13 N</t>
  </si>
  <si>
    <t>077:07:17.45 W</t>
  </si>
  <si>
    <t>039:18:46.21 N</t>
  </si>
  <si>
    <t>077:07:13.35 W</t>
  </si>
  <si>
    <t>039:18:47.45 N</t>
  </si>
  <si>
    <t>077:07:09.10 W</t>
  </si>
  <si>
    <t>039:18:48.61 N</t>
  </si>
  <si>
    <t>077:07:05.40 W</t>
  </si>
  <si>
    <t>039:18:49.77 N</t>
  </si>
  <si>
    <t>077:07:01.69 W</t>
  </si>
  <si>
    <t>039:18:51.00 N</t>
  </si>
  <si>
    <t>077:06:57.44 W</t>
  </si>
  <si>
    <t>039:18:52.01 N</t>
  </si>
  <si>
    <t>077:06:53.58 W</t>
  </si>
  <si>
    <t>039:18:53.47 N</t>
  </si>
  <si>
    <t>077:06:49.10 W</t>
  </si>
  <si>
    <t>039:18:54.25 N</t>
  </si>
  <si>
    <t>077:06:46.08 W</t>
  </si>
  <si>
    <t>039:18:55.64 N</t>
  </si>
  <si>
    <t>077:06:41.53 W</t>
  </si>
  <si>
    <t>039:18:56.64 N</t>
  </si>
  <si>
    <t>077:06:38.13 W</t>
  </si>
  <si>
    <t>039:18:57.80 N</t>
  </si>
  <si>
    <t>077:06:34.42 W</t>
  </si>
  <si>
    <t>039:18:58.88 N</t>
  </si>
  <si>
    <t>077:06:30.79 W</t>
  </si>
  <si>
    <t>039:19:00.04 N</t>
  </si>
  <si>
    <t>077:06:27.16 W</t>
  </si>
  <si>
    <t>039:19:01.05 N</t>
  </si>
  <si>
    <t>077:06:23.60 W</t>
  </si>
  <si>
    <t>039:19:02.20 N</t>
  </si>
  <si>
    <t>077:06:19.90 W</t>
  </si>
  <si>
    <t>039:19:03.21 N</t>
  </si>
  <si>
    <t>077:06:16.65 W</t>
  </si>
  <si>
    <t>039:19:04.52 N</t>
  </si>
  <si>
    <t>077:06:12.40 W</t>
  </si>
  <si>
    <t>039:19:05.68 N</t>
  </si>
  <si>
    <t>077:06:08.70 W</t>
  </si>
  <si>
    <t>039:19:06.99 N</t>
  </si>
  <si>
    <t>077:06:04.60 W</t>
  </si>
  <si>
    <t>039:19:08.31 N</t>
  </si>
  <si>
    <t>077:06:00.74 W</t>
  </si>
  <si>
    <t>039:19:09.47 N</t>
  </si>
  <si>
    <t>077:05:57.03 W</t>
  </si>
  <si>
    <t>039:19:10.55 N</t>
  </si>
  <si>
    <t>077:05:53.56 W</t>
  </si>
  <si>
    <t>039:19:11.94 N</t>
  </si>
  <si>
    <t>077:05:49.54 W</t>
  </si>
  <si>
    <t>039:19:13.10 N</t>
  </si>
  <si>
    <t>077:05:45.68 W</t>
  </si>
  <si>
    <t>039:19:14.41 N</t>
  </si>
  <si>
    <t>077:05:41.66 W</t>
  </si>
  <si>
    <t>039:19:15.26 N</t>
  </si>
  <si>
    <t>077:05:38.57 W</t>
  </si>
  <si>
    <t>039:19:16.49 N</t>
  </si>
  <si>
    <t>077:05:34.48 W</t>
  </si>
  <si>
    <t>039:19:17.58 N</t>
  </si>
  <si>
    <t>077:05:30.92 W</t>
  </si>
  <si>
    <t>039:19:18.81 N</t>
  </si>
  <si>
    <t>077:05:27.14 W</t>
  </si>
  <si>
    <t>039:19:19.97 N</t>
  </si>
  <si>
    <t>077:05:23.43 W</t>
  </si>
  <si>
    <t>039:19:21.13 N</t>
  </si>
  <si>
    <t>077:05:19.72 W</t>
  </si>
  <si>
    <t>039:19:22.29 N</t>
  </si>
  <si>
    <t>077:05:15.94 W</t>
  </si>
  <si>
    <t>039:19:23.29 N</t>
  </si>
  <si>
    <t>077:05:12.38 W</t>
  </si>
  <si>
    <t>039:19:24.30 N</t>
  </si>
  <si>
    <t>077:05:08.91 W</t>
  </si>
  <si>
    <t>039:19:25.46 N</t>
  </si>
  <si>
    <t>077:05:05.20 W</t>
  </si>
  <si>
    <t>039:19:26.69 N</t>
  </si>
  <si>
    <t>077:05:01.49 W</t>
  </si>
  <si>
    <t>039:19:27.54 N</t>
  </si>
  <si>
    <t>077:04:57.94 W</t>
  </si>
  <si>
    <t>039:19:28.70 N</t>
  </si>
  <si>
    <t>077:04:54.62 W</t>
  </si>
  <si>
    <t>039:19:29.47 N</t>
  </si>
  <si>
    <t>077:04:51.60 W</t>
  </si>
  <si>
    <t>039:19:30.71 N</t>
  </si>
  <si>
    <t>077:04:47.43 W</t>
  </si>
  <si>
    <t>039:19:31.87 N</t>
  </si>
  <si>
    <t>077:04:43.57 W</t>
  </si>
  <si>
    <t>039:19:32.87 N</t>
  </si>
  <si>
    <t>077:04:40.17 W</t>
  </si>
  <si>
    <t>039:19:34.03 N</t>
  </si>
  <si>
    <t>077:04:36.39 W</t>
  </si>
  <si>
    <t>039:19:35.03 N</t>
  </si>
  <si>
    <t>077:04:32.45 W</t>
  </si>
  <si>
    <t>039:19:36.12 N</t>
  </si>
  <si>
    <t>077:04:29.12 W</t>
  </si>
  <si>
    <t>039:19:36.97 N</t>
  </si>
  <si>
    <t>077:04:26.11 W</t>
  </si>
  <si>
    <t>039:19:38.12 N</t>
  </si>
  <si>
    <t>077:04:22.25 W</t>
  </si>
  <si>
    <t>039:19:39.36 N</t>
  </si>
  <si>
    <t>077:04:18.15 W</t>
  </si>
  <si>
    <t>039:19:40.60 N</t>
  </si>
  <si>
    <t>077:04:14.14 W</t>
  </si>
  <si>
    <t>039:19:41.75 N</t>
  </si>
  <si>
    <t>077:04:10.20 W</t>
  </si>
  <si>
    <t>039:19:42.91 N</t>
  </si>
  <si>
    <t>077:04:06.34 W</t>
  </si>
  <si>
    <t>039:19:44.07 N</t>
  </si>
  <si>
    <t>077:04:02.71 W</t>
  </si>
  <si>
    <t>039:19:45.23 N</t>
  </si>
  <si>
    <t>077:03:58.84 W</t>
  </si>
  <si>
    <t>039:19:46.39 N</t>
  </si>
  <si>
    <t>077:03:54.98 W</t>
  </si>
  <si>
    <t>039:19:47.63 N</t>
  </si>
  <si>
    <t>077:03:50.96 W</t>
  </si>
  <si>
    <t>039:19:48.63 N</t>
  </si>
  <si>
    <t>077:03:47.49 W</t>
  </si>
  <si>
    <t>039:19:49.79 N</t>
  </si>
  <si>
    <t>077:03:43.78 W</t>
  </si>
  <si>
    <t>039:19:51.10 N</t>
  </si>
  <si>
    <t>077:03:39.53 W</t>
  </si>
  <si>
    <t>039:19:52.49 N</t>
  </si>
  <si>
    <t>077:03:35.44 W</t>
  </si>
  <si>
    <t>039:19:53.65 N</t>
  </si>
  <si>
    <t>077:03:31.34 W</t>
  </si>
  <si>
    <t>039:19:54.96 N</t>
  </si>
  <si>
    <t>077:03:27.25 W</t>
  </si>
  <si>
    <t>039:19:56.35 N</t>
  </si>
  <si>
    <t>077:03:23.00 W</t>
  </si>
  <si>
    <t>039:19:57.44 N</t>
  </si>
  <si>
    <t>077:03:19.76 W</t>
  </si>
  <si>
    <t>039:19:58.52 N</t>
  </si>
  <si>
    <t>077:03:15.82 W</t>
  </si>
  <si>
    <t>039:19:59.83 N</t>
  </si>
  <si>
    <t>077:03:12.49 W</t>
  </si>
  <si>
    <t>039:20:01.14 N</t>
  </si>
  <si>
    <t>077:03:08.94 W</t>
  </si>
  <si>
    <t>039:20:02.53 N</t>
  </si>
  <si>
    <t>077:03:05.23 W</t>
  </si>
  <si>
    <t>039:20:04.00 N</t>
  </si>
  <si>
    <t>077:03:01.68 W</t>
  </si>
  <si>
    <t>039:20:05.78 N</t>
  </si>
  <si>
    <t>077:02:57.82 W</t>
  </si>
  <si>
    <t>039:20:07.48 N</t>
  </si>
  <si>
    <t>077:02:54.34 W</t>
  </si>
  <si>
    <t>039:20:09.02 N</t>
  </si>
  <si>
    <t>077:02:51.17 W</t>
  </si>
  <si>
    <t>039:20:11.11 N</t>
  </si>
  <si>
    <t>077:02:47.70 W</t>
  </si>
  <si>
    <t>039:20:13.27 N</t>
  </si>
  <si>
    <t>077:02:44.14 W</t>
  </si>
  <si>
    <t>039:20:15.28 N</t>
  </si>
  <si>
    <t>077:02:41.05 W</t>
  </si>
  <si>
    <t>039:20:17.75 N</t>
  </si>
  <si>
    <t>077:02:37.58 W</t>
  </si>
  <si>
    <t>039:20:19.84 N</t>
  </si>
  <si>
    <t>077:02:34.80 W</t>
  </si>
  <si>
    <t>039:20:21.77 N</t>
  </si>
  <si>
    <t>077:02:32.25 W</t>
  </si>
  <si>
    <t>039:20:24.16 N</t>
  </si>
  <si>
    <t>077:02:29.62 W</t>
  </si>
  <si>
    <t>039:20:26.48 N</t>
  </si>
  <si>
    <t>077:02:27.00 W</t>
  </si>
  <si>
    <t>039:20:28.80 N</t>
  </si>
  <si>
    <t>077:02:24.37 W</t>
  </si>
  <si>
    <t>039:20:31.04 N</t>
  </si>
  <si>
    <t>077:02:22.36 W</t>
  </si>
  <si>
    <t>039:20:33.51 N</t>
  </si>
  <si>
    <t>077:02:19.97 W</t>
  </si>
  <si>
    <t>039:20:36.21 N</t>
  </si>
  <si>
    <t>077:02:17.57 W</t>
  </si>
  <si>
    <t>039:20:38.61 N</t>
  </si>
  <si>
    <t>077:02:15.64 W</t>
  </si>
  <si>
    <t>039:20:40.93 N</t>
  </si>
  <si>
    <t>077:02:13.79 W</t>
  </si>
  <si>
    <t>039:20:43.86 N</t>
  </si>
  <si>
    <t>077:02:11.55 W</t>
  </si>
  <si>
    <t>039:20:46.80 N</t>
  </si>
  <si>
    <t>077:02:09.61 W</t>
  </si>
  <si>
    <t>039:20:50.12 N</t>
  </si>
  <si>
    <t>077:02:07.68 W</t>
  </si>
  <si>
    <t>039:20:52.98 N</t>
  </si>
  <si>
    <t>077:02:06.14 W</t>
  </si>
  <si>
    <t>039:20:55.91 N</t>
  </si>
  <si>
    <t>077:02:04.52 W</t>
  </si>
  <si>
    <t>039:20:58.46 N</t>
  </si>
  <si>
    <t>077:02:03.28 W</t>
  </si>
  <si>
    <t>039:21:01.01 N</t>
  </si>
  <si>
    <t>077:02:02.12 W</t>
  </si>
  <si>
    <t>039:21:03.71 N</t>
  </si>
  <si>
    <t>077:02:01.04 W</t>
  </si>
  <si>
    <t>039:21:06.80 N</t>
  </si>
  <si>
    <t>077:02:00.00 W</t>
  </si>
  <si>
    <t>039:21:10.05 N</t>
  </si>
  <si>
    <t>077:01:58.88 W</t>
  </si>
  <si>
    <t>039:21:12.91 N</t>
  </si>
  <si>
    <t>077:01:58.03 W</t>
  </si>
  <si>
    <t>039:21:15.77 N</t>
  </si>
  <si>
    <t>077:01:57.10 W</t>
  </si>
  <si>
    <t>039:21:18.78 N</t>
  </si>
  <si>
    <t>077:01:56.48 W</t>
  </si>
  <si>
    <t>039:21:21.25 N</t>
  </si>
  <si>
    <t>077:01:55.86 W</t>
  </si>
  <si>
    <t>039:21:24.73 N</t>
  </si>
  <si>
    <t>077:01:55.01 W</t>
  </si>
  <si>
    <t>039:21:27.51 N</t>
  </si>
  <si>
    <t>077:01:54.47 W</t>
  </si>
  <si>
    <t>039:21:29.82 N</t>
  </si>
  <si>
    <t>077:01:53.86 W</t>
  </si>
  <si>
    <t>039:21:32.68 N</t>
  </si>
  <si>
    <t>077:01:52.93 W</t>
  </si>
  <si>
    <t>039:21:35.93 N</t>
  </si>
  <si>
    <t>077:01:52.00 W</t>
  </si>
  <si>
    <t>039:21:38.24 N</t>
  </si>
  <si>
    <t>077:01:51.15 W</t>
  </si>
  <si>
    <t>039:21:41.41 N</t>
  </si>
  <si>
    <t>077:01:50.07 W</t>
  </si>
  <si>
    <t>039:21:44.27 N</t>
  </si>
  <si>
    <t>077:01:48.99 W</t>
  </si>
  <si>
    <t>039:21:46.82 N</t>
  </si>
  <si>
    <t>077:01:47.91 W</t>
  </si>
  <si>
    <t>039:21:50.14 N</t>
  </si>
  <si>
    <t>077:01:46.36 W</t>
  </si>
  <si>
    <t>039:21:53.00 N</t>
  </si>
  <si>
    <t>077:01:45.05 W</t>
  </si>
  <si>
    <t>039:21:55.62 N</t>
  </si>
  <si>
    <t>077:01:43.50 W</t>
  </si>
  <si>
    <t>039:21:58.48 N</t>
  </si>
  <si>
    <t>077:01:41.96 W</t>
  </si>
  <si>
    <t>039:22:01.88 N</t>
  </si>
  <si>
    <t>077:01:39.72 W</t>
  </si>
  <si>
    <t>039:22:04.28 N</t>
  </si>
  <si>
    <t>077:01:38.02 W</t>
  </si>
  <si>
    <t>039:22:06.90 N</t>
  </si>
  <si>
    <t>077:01:35.93 W</t>
  </si>
  <si>
    <t>039:22:09.53 N</t>
  </si>
  <si>
    <t>077:01:33.77 W</t>
  </si>
  <si>
    <t>039:22:12.23 N</t>
  </si>
  <si>
    <t>077:01:31.38 W</t>
  </si>
  <si>
    <t>039:22:14.70 N</t>
  </si>
  <si>
    <t>077:01:28.83 W</t>
  </si>
  <si>
    <t>039:22:17.41 N</t>
  </si>
  <si>
    <t>077:01:26.12 W</t>
  </si>
  <si>
    <t>039:22:19.80 N</t>
  </si>
  <si>
    <t>077:01:23.27 W</t>
  </si>
  <si>
    <t>039:22:21.73 N</t>
  </si>
  <si>
    <t>077:01:20.87 W</t>
  </si>
  <si>
    <t>039:22:24.13 N</t>
  </si>
  <si>
    <t>077:01:17.55 W</t>
  </si>
  <si>
    <t>039:22:25.83 N</t>
  </si>
  <si>
    <t>077:01:15.16 W</t>
  </si>
  <si>
    <t>039:22:28.22 N</t>
  </si>
  <si>
    <t>077:01:11.83 W</t>
  </si>
  <si>
    <t>039:22:29.85 N</t>
  </si>
  <si>
    <t>077:01:08.98 W</t>
  </si>
  <si>
    <t>039:22:32.16 N</t>
  </si>
  <si>
    <t>077:01:05.04 W</t>
  </si>
  <si>
    <t>039:22:33.86 N</t>
  </si>
  <si>
    <t>077:01:01.56 W</t>
  </si>
  <si>
    <t>039:22:35.41 N</t>
  </si>
  <si>
    <t>077:00:58.47 W</t>
  </si>
  <si>
    <t>039:22:37.11 N</t>
  </si>
  <si>
    <t>077:00:55.07 W</t>
  </si>
  <si>
    <t>039:22:38.88 N</t>
  </si>
  <si>
    <t>077:00:51.21 W</t>
  </si>
  <si>
    <t>039:22:40.58 N</t>
  </si>
  <si>
    <t>077:00:47.35 W</t>
  </si>
  <si>
    <t>039:22:42.21 N</t>
  </si>
  <si>
    <t>077:00:43.64 W</t>
  </si>
  <si>
    <t>039:22:43.67 N</t>
  </si>
  <si>
    <t>077:00:40.24 W</t>
  </si>
  <si>
    <t>039:22:45.45 N</t>
  </si>
  <si>
    <t>077:00:36.22 W</t>
  </si>
  <si>
    <t>039:22:46.99 N</t>
  </si>
  <si>
    <t>077:00:32.51 W</t>
  </si>
  <si>
    <t>039:22:48.62 N</t>
  </si>
  <si>
    <t>077:00:28.57 W</t>
  </si>
  <si>
    <t>039:22:50.08 N</t>
  </si>
  <si>
    <t>077:00:24.87 W</t>
  </si>
  <si>
    <t>039:22:51.63 N</t>
  </si>
  <si>
    <t>077:00:21.31 W</t>
  </si>
  <si>
    <t>039:22:53.10 N</t>
  </si>
  <si>
    <t>077:00:17.76 W</t>
  </si>
  <si>
    <t>039:22:54.64 N</t>
  </si>
  <si>
    <t>077:00:14.05 W</t>
  </si>
  <si>
    <t>039:22:56.11 N</t>
  </si>
  <si>
    <t>077:00:10.58 W</t>
  </si>
  <si>
    <t>039:22:57.89 N</t>
  </si>
  <si>
    <t>077:00:06.71 W</t>
  </si>
  <si>
    <t>039:22:59.35 N</t>
  </si>
  <si>
    <t>077:00:03.01 W</t>
  </si>
  <si>
    <t>039:23:00.82 N</t>
  </si>
  <si>
    <t>076:59:59.38 W</t>
  </si>
  <si>
    <t>039:23:02.37 N</t>
  </si>
  <si>
    <t>076:59:55.36 W</t>
  </si>
  <si>
    <t>039:23:03.83 N</t>
  </si>
  <si>
    <t>076:59:51.88 W</t>
  </si>
  <si>
    <t>039:23:05.30 N</t>
  </si>
  <si>
    <t>076:59:48.64 W</t>
  </si>
  <si>
    <t>039:23:06.77 N</t>
  </si>
  <si>
    <t>076:59:45.01 W</t>
  </si>
  <si>
    <t>039:23:08.01 N</t>
  </si>
  <si>
    <t>076:59:41.76 W</t>
  </si>
  <si>
    <t>039:23:09.55 N</t>
  </si>
  <si>
    <t>076:59:38.21 W</t>
  </si>
  <si>
    <t>039:23:11.17 N</t>
  </si>
  <si>
    <t>076:59:34.27 W</t>
  </si>
  <si>
    <t>039:23:12.56 N</t>
  </si>
  <si>
    <t>076:59:31.03 W</t>
  </si>
  <si>
    <t>039:23:14.19 N</t>
  </si>
  <si>
    <t>076:59:26.93 W</t>
  </si>
  <si>
    <t>039:23:15.65 N</t>
  </si>
  <si>
    <t>076:59:23.30 W</t>
  </si>
  <si>
    <t>039:23:17.12 N</t>
  </si>
  <si>
    <t>076:59:19.82 W</t>
  </si>
  <si>
    <t>039:23:18.28 N</t>
  </si>
  <si>
    <t>076:59:16.81 W</t>
  </si>
  <si>
    <t>039:23:19.75 N</t>
  </si>
  <si>
    <t>076:59:12.95 W</t>
  </si>
  <si>
    <t>039:23:21.06 N</t>
  </si>
  <si>
    <t>076:59:09.55 W</t>
  </si>
  <si>
    <t>039:23:22.45 N</t>
  </si>
  <si>
    <t>076:59:06.38 W</t>
  </si>
  <si>
    <t>039:23:23.69 N</t>
  </si>
  <si>
    <t>076:59:03.06 W</t>
  </si>
  <si>
    <t>039:23:25.23 N</t>
  </si>
  <si>
    <t>076:58:59.43 W</t>
  </si>
  <si>
    <t>039:23:26.78 N</t>
  </si>
  <si>
    <t>076:58:55.41 W</t>
  </si>
  <si>
    <t>039:23:28.32 N</t>
  </si>
  <si>
    <t>076:58:51.47 W</t>
  </si>
  <si>
    <t>039:23:29.64 N</t>
  </si>
  <si>
    <t>076:58:47.84 W</t>
  </si>
  <si>
    <t>039:23:31.33 N</t>
  </si>
  <si>
    <t>076:58:43.75 W</t>
  </si>
  <si>
    <t>039:23:32.65 N</t>
  </si>
  <si>
    <t>076:58:40.04 W</t>
  </si>
  <si>
    <t>039:23:34.04 N</t>
  </si>
  <si>
    <t>076:58:36.49 W</t>
  </si>
  <si>
    <t>039:23:35.20 N</t>
  </si>
  <si>
    <t>076:58:33.40 W</t>
  </si>
  <si>
    <t>039:23:36.74 N</t>
  </si>
  <si>
    <t>076:58:29.30 W</t>
  </si>
  <si>
    <t>039:23:38.06 N</t>
  </si>
  <si>
    <t>076:58:25.67 W</t>
  </si>
  <si>
    <t>039:23:39.37 N</t>
  </si>
  <si>
    <t>076:58:22.43 W</t>
  </si>
  <si>
    <t>039:23:40.53 N</t>
  </si>
  <si>
    <t>076:58:19.18 W</t>
  </si>
  <si>
    <t>039:23:41.92 N</t>
  </si>
  <si>
    <t>076:58:15.86 W</t>
  </si>
  <si>
    <t>039:23:43.31 N</t>
  </si>
  <si>
    <t>076:58:11.69 W</t>
  </si>
  <si>
    <t>039:23:44.93 N</t>
  </si>
  <si>
    <t>076:58:07.75 W</t>
  </si>
  <si>
    <t>039:23:46.24 N</t>
  </si>
  <si>
    <t>076:58:03.97 W</t>
  </si>
  <si>
    <t>039:23:47.48 N</t>
  </si>
  <si>
    <t>076:58:00.72 W</t>
  </si>
  <si>
    <t>039:23:48.95 N</t>
  </si>
  <si>
    <t>076:57:57.09 W</t>
  </si>
  <si>
    <t>039:23:50.41 N</t>
  </si>
  <si>
    <t>076:57:53.00 W</t>
  </si>
  <si>
    <t>039:23:52.04 N</t>
  </si>
  <si>
    <t>076:57:49.14 W</t>
  </si>
  <si>
    <t>039:23:53.58 N</t>
  </si>
  <si>
    <t>076:57:45.51 W</t>
  </si>
  <si>
    <t>039:23:54.82 N</t>
  </si>
  <si>
    <t>076:57:42.26 W</t>
  </si>
  <si>
    <t>039:23:56.29 N</t>
  </si>
  <si>
    <t>076:57:38.48 W</t>
  </si>
  <si>
    <t>039:23:57.68 N</t>
  </si>
  <si>
    <t>076:57:34.77 W</t>
  </si>
  <si>
    <t>039:23:59.14 N</t>
  </si>
  <si>
    <t>076:57:31.21 W</t>
  </si>
  <si>
    <t>039:24:00.69 N</t>
  </si>
  <si>
    <t>076:57:27.51 W</t>
  </si>
  <si>
    <t>039:24:01.85 N</t>
  </si>
  <si>
    <t>076:57:24.65 W</t>
  </si>
  <si>
    <t>039:24:03.08 N</t>
  </si>
  <si>
    <t>076:57:21.40 W</t>
  </si>
  <si>
    <t>039:24:04.32 N</t>
  </si>
  <si>
    <t>076:57:18.31 W</t>
  </si>
  <si>
    <t>039:24:05.71 N</t>
  </si>
  <si>
    <t>076:57:14.91 W</t>
  </si>
  <si>
    <t>039:24:07.25 N</t>
  </si>
  <si>
    <t>076:57:11.28 W</t>
  </si>
  <si>
    <t>039:24:08.57 N</t>
  </si>
  <si>
    <t>076:57:07.96 W</t>
  </si>
  <si>
    <t>039:24:10.04 N</t>
  </si>
  <si>
    <t>076:57:04.41 W</t>
  </si>
  <si>
    <t>039:24:11.66 N</t>
  </si>
  <si>
    <t>076:57:00.55 W</t>
  </si>
  <si>
    <t>039:24:13.43 N</t>
  </si>
  <si>
    <t>076:56:56.53 W</t>
  </si>
  <si>
    <t>039:24:14.59 N</t>
  </si>
  <si>
    <t>076:56:53.67 W</t>
  </si>
  <si>
    <t>039:24:15.91 N</t>
  </si>
  <si>
    <t>076:56:49.96 W</t>
  </si>
  <si>
    <t>039:24:17.30 N</t>
  </si>
  <si>
    <t>076:56:46.80 W</t>
  </si>
  <si>
    <t>039:24:18.76 N</t>
  </si>
  <si>
    <t>076:56:43.17 W</t>
  </si>
  <si>
    <t>039:24:20.23 N</t>
  </si>
  <si>
    <t>076:56:39.46 W</t>
  </si>
  <si>
    <t>039:24:21.70 N</t>
  </si>
  <si>
    <t>076:56:35.83 W</t>
  </si>
  <si>
    <t>039:24:23.55 N</t>
  </si>
  <si>
    <t>076:56:31.50 W</t>
  </si>
  <si>
    <t>039:24:24.94 N</t>
  </si>
  <si>
    <t>076:56:28.41 W</t>
  </si>
  <si>
    <t>039:24:26.49 N</t>
  </si>
  <si>
    <t>076:56:24.70 W</t>
  </si>
  <si>
    <t>039:24:27.96 N</t>
  </si>
  <si>
    <t>076:56:20.76 W</t>
  </si>
  <si>
    <t>039:24:29.66 N</t>
  </si>
  <si>
    <t>076:56:16.75 W</t>
  </si>
  <si>
    <t>039:24:31.20 N</t>
  </si>
  <si>
    <t>076:56:13.04 W</t>
  </si>
  <si>
    <t>039:24:32.67 N</t>
  </si>
  <si>
    <t>076:56:09.49 W</t>
  </si>
  <si>
    <t>039:24:33.91 N</t>
  </si>
  <si>
    <t>076:56:06.16 W</t>
  </si>
  <si>
    <t>039:24:35.53 N</t>
  </si>
  <si>
    <t>076:56:02.22 W</t>
  </si>
  <si>
    <t>039:24:36.92 N</t>
  </si>
  <si>
    <t>076:55:58.83 W</t>
  </si>
  <si>
    <t>039:24:38.39 N</t>
  </si>
  <si>
    <t>076:55:55.20 W</t>
  </si>
  <si>
    <t>039:24:39.70 N</t>
  </si>
  <si>
    <t>076:55:51.95 W</t>
  </si>
  <si>
    <t>039:24:41.09 N</t>
  </si>
  <si>
    <t>076:55:48.40 W</t>
  </si>
  <si>
    <t>039:24:42.56 N</t>
  </si>
  <si>
    <t>076:55:44.69 W</t>
  </si>
  <si>
    <t>039:24:44.10 N</t>
  </si>
  <si>
    <t>076:55:41.14 W</t>
  </si>
  <si>
    <t>039:24:45.26 N</t>
  </si>
  <si>
    <t>076:55:37.81 W</t>
  </si>
  <si>
    <t>039:24:46.88 N</t>
  </si>
  <si>
    <t>076:55:33.72 W</t>
  </si>
  <si>
    <t>039:24:48.43 N</t>
  </si>
  <si>
    <t>076:55:29.86 W</t>
  </si>
  <si>
    <t>039:24:49.74 N</t>
  </si>
  <si>
    <t>076:55:26.46 W</t>
  </si>
  <si>
    <t>039:24:51.29 N</t>
  </si>
  <si>
    <t>076:55:22.67 W</t>
  </si>
  <si>
    <t>039:24:52.91 N</t>
  </si>
  <si>
    <t>076:55:18.66 W</t>
  </si>
  <si>
    <t>039:24:54.22 N</t>
  </si>
  <si>
    <t>076:55:15.03 W</t>
  </si>
  <si>
    <t>039:24:55.69 N</t>
  </si>
  <si>
    <t>076:55:11.32 W</t>
  </si>
  <si>
    <t>039:24:57.00 N</t>
  </si>
  <si>
    <t>076:55:08.23 W</t>
  </si>
  <si>
    <t>039:24:58.47 N</t>
  </si>
  <si>
    <t>076:55:04.44 W</t>
  </si>
  <si>
    <t>039:24:59.86 N</t>
  </si>
  <si>
    <t>076:55:00.74 W</t>
  </si>
  <si>
    <t>039:25:01.10 N</t>
  </si>
  <si>
    <t>076:54:57.57 W</t>
  </si>
  <si>
    <t>039:25:02.87 N</t>
  </si>
  <si>
    <t>076:54:53.47 W</t>
  </si>
  <si>
    <t>039:25:04.11 N</t>
  </si>
  <si>
    <t>076:54:50.31 W</t>
  </si>
  <si>
    <t>039:25:05.65 N</t>
  </si>
  <si>
    <t>076:54:46.21 W</t>
  </si>
  <si>
    <t>039:25:06.89 N</t>
  </si>
  <si>
    <t>076:54:42.74 W</t>
  </si>
  <si>
    <t>039:25:08.05 N</t>
  </si>
  <si>
    <t>076:54:39.96 W</t>
  </si>
  <si>
    <t>039:25:09.75 N</t>
  </si>
  <si>
    <t>076:54:35.94 W</t>
  </si>
  <si>
    <t>039:25:10.98 N</t>
  </si>
  <si>
    <t>076:54:32.69 W</t>
  </si>
  <si>
    <t>039:25:12.37 N</t>
  </si>
  <si>
    <t>076:54:29.30 W</t>
  </si>
  <si>
    <t>039:25:13.61 N</t>
  </si>
  <si>
    <t>076:54:25.97 W</t>
  </si>
  <si>
    <t>039:25:15.08 N</t>
  </si>
  <si>
    <t>076:54:22.73 W</t>
  </si>
  <si>
    <t>039:25:16.39 N</t>
  </si>
  <si>
    <t>076:54:19.18 W</t>
  </si>
  <si>
    <t>039:25:17.94 N</t>
  </si>
  <si>
    <t>076:54:15.47 W</t>
  </si>
  <si>
    <t>039:25:19.25 N</t>
  </si>
  <si>
    <t>076:54:12.22 W</t>
  </si>
  <si>
    <t>039:25:20.72 N</t>
  </si>
  <si>
    <t>076:54:08.59 W</t>
  </si>
  <si>
    <t>039:25:22.34 N</t>
  </si>
  <si>
    <t>076:54:04.96 W</t>
  </si>
  <si>
    <t>039:25:23.65 N</t>
  </si>
  <si>
    <t>076:54:01.64 W</t>
  </si>
  <si>
    <t>039:25:24.81 N</t>
  </si>
  <si>
    <t>076:53:58.78 W</t>
  </si>
  <si>
    <t>039:25:26.51 N</t>
  </si>
  <si>
    <t>076:53:54.84 W</t>
  </si>
  <si>
    <t>039:25:28.13 N</t>
  </si>
  <si>
    <t>076:53:50.83 W</t>
  </si>
  <si>
    <t>039:25:29.76 N</t>
  </si>
  <si>
    <t>076:53:46.89 W</t>
  </si>
  <si>
    <t>039:25:31.30 N</t>
  </si>
  <si>
    <t>076:53:43.26 W</t>
  </si>
  <si>
    <t>039:25:32.92 N</t>
  </si>
  <si>
    <t>076:53:39.55 W</t>
  </si>
  <si>
    <t>039:25:34.16 N</t>
  </si>
  <si>
    <t>076:53:36.38 W</t>
  </si>
  <si>
    <t>039:25:35.70 N</t>
  </si>
  <si>
    <t>076:53:32.60 W</t>
  </si>
  <si>
    <t>039:25:37.40 N</t>
  </si>
  <si>
    <t>076:53:28.58 W</t>
  </si>
  <si>
    <t>039:25:39.02 N</t>
  </si>
  <si>
    <t>076:53:24.95 W</t>
  </si>
  <si>
    <t>039:25:40.49 N</t>
  </si>
  <si>
    <t>076:53:21.32 W</t>
  </si>
  <si>
    <t>039:25:42.19 N</t>
  </si>
  <si>
    <t>076:53:17.46 W</t>
  </si>
  <si>
    <t>039:25:43.74 N</t>
  </si>
  <si>
    <t>076:53:13.75 W</t>
  </si>
  <si>
    <t>039:25:45.28 N</t>
  </si>
  <si>
    <t>076:53:09.73 W</t>
  </si>
  <si>
    <t>039:25:46.90 N</t>
  </si>
  <si>
    <t>076:53:05.79 W</t>
  </si>
  <si>
    <t>039:25:48.60 N</t>
  </si>
  <si>
    <t>076:53:01.77 W</t>
  </si>
  <si>
    <t>039:25:50.23 N</t>
  </si>
  <si>
    <t>076:52:58.07 W</t>
  </si>
  <si>
    <t>039:25:51.69 N</t>
  </si>
  <si>
    <t>076:52:54.44 W</t>
  </si>
  <si>
    <t>039:25:52.93 N</t>
  </si>
  <si>
    <t>076:52:51.35 W</t>
  </si>
  <si>
    <t>039:25:54.32 N</t>
  </si>
  <si>
    <t>076:52:47.95 W</t>
  </si>
  <si>
    <t>039:25:55.94 N</t>
  </si>
  <si>
    <t>076:52:43.85 W</t>
  </si>
  <si>
    <t>039:25:57.49 N</t>
  </si>
  <si>
    <t>076:52:40.30 W</t>
  </si>
  <si>
    <t>039:25:58.95 N</t>
  </si>
  <si>
    <t>076:52:36.59 W</t>
  </si>
  <si>
    <t>039:26:00.58 N</t>
  </si>
  <si>
    <t>076:52:32.73 W</t>
  </si>
  <si>
    <t>039:26:01.81 N</t>
  </si>
  <si>
    <t>076:52:29.33 W</t>
  </si>
  <si>
    <t>039:26:03.59 N</t>
  </si>
  <si>
    <t>076:52:25.39 W</t>
  </si>
  <si>
    <t>039:26:04.90 N</t>
  </si>
  <si>
    <t>076:52:21.76 W</t>
  </si>
  <si>
    <t>039:26:06.53 N</t>
  </si>
  <si>
    <t>076:52:17.67 W</t>
  </si>
  <si>
    <t>039:26:08.22 N</t>
  </si>
  <si>
    <t>076:52:13.57 W</t>
  </si>
  <si>
    <t>039:26:09.69 N</t>
  </si>
  <si>
    <t>076:52:09.94 W</t>
  </si>
  <si>
    <t>039:26:11.08 N</t>
  </si>
  <si>
    <t>076:52:06.70 W</t>
  </si>
  <si>
    <t>039:26:12.40 N</t>
  </si>
  <si>
    <t>076:52:02.99 W</t>
  </si>
  <si>
    <t>039:26:13.63 N</t>
  </si>
  <si>
    <t>076:51:59.82 W</t>
  </si>
  <si>
    <t>039:26:15.25 N</t>
  </si>
  <si>
    <t>076:51:55.73 W</t>
  </si>
  <si>
    <t>039:26:16.72 N</t>
  </si>
  <si>
    <t>076:51:52.02 W</t>
  </si>
  <si>
    <t>039:26:18.11 N</t>
  </si>
  <si>
    <t>076:51:48.62 W</t>
  </si>
  <si>
    <t>039:26:19.58 N</t>
  </si>
  <si>
    <t>076:51:44.76 W</t>
  </si>
  <si>
    <t>039:26:21.05 N</t>
  </si>
  <si>
    <t>076:51:41.36 W</t>
  </si>
  <si>
    <t>039:26:22.36 N</t>
  </si>
  <si>
    <t>076:51:37.88 W</t>
  </si>
  <si>
    <t>039:26:23.83 N</t>
  </si>
  <si>
    <t>076:51:34.25 W</t>
  </si>
  <si>
    <t>039:26:25.45 N</t>
  </si>
  <si>
    <t>076:51:30.24 W</t>
  </si>
  <si>
    <t>039:26:27.15 N</t>
  </si>
  <si>
    <t>076:51:26.06 W</t>
  </si>
  <si>
    <t>039:26:28.77 N</t>
  </si>
  <si>
    <t>076:51:21.82 W</t>
  </si>
  <si>
    <t>039:26:30.16 N</t>
  </si>
  <si>
    <t>076:51:18.57 W</t>
  </si>
  <si>
    <t>039:26:31.79 N</t>
  </si>
  <si>
    <t>076:51:14.48 W</t>
  </si>
  <si>
    <t>039:26:32.94 N</t>
  </si>
  <si>
    <t>076:51:11.70 W</t>
  </si>
  <si>
    <t>039:26:34.33 N</t>
  </si>
  <si>
    <t>076:51:08.45 W</t>
  </si>
  <si>
    <t>039:26:35.88 N</t>
  </si>
  <si>
    <t>076:51:04.36 W</t>
  </si>
  <si>
    <t>039:26:37.35 N</t>
  </si>
  <si>
    <t>076:51:00.96 W</t>
  </si>
  <si>
    <t>039:26:38.81 N</t>
  </si>
  <si>
    <t>076:50:57.25 W</t>
  </si>
  <si>
    <t>039:26:40.51 N</t>
  </si>
  <si>
    <t>076:50:53.31 W</t>
  </si>
  <si>
    <t>039:26:41.98 N</t>
  </si>
  <si>
    <t>076:50:49.99 W</t>
  </si>
  <si>
    <t>039:26:43.45 N</t>
  </si>
  <si>
    <t>076:50:46.51 W</t>
  </si>
  <si>
    <t>039:26:44.92 N</t>
  </si>
  <si>
    <t>076:50:42.88 W</t>
  </si>
  <si>
    <t>039:26:46.54 N</t>
  </si>
  <si>
    <t>076:50:39.02 W</t>
  </si>
  <si>
    <t>039:26:47.93 N</t>
  </si>
  <si>
    <t>076:50:35.78 W</t>
  </si>
  <si>
    <t>039:26:49.40 N</t>
  </si>
  <si>
    <t>076:50:32.45 W</t>
  </si>
  <si>
    <t>039:26:50.94 N</t>
  </si>
  <si>
    <t>076:50:28.90 W</t>
  </si>
  <si>
    <t>039:26:52.41 N</t>
  </si>
  <si>
    <t>076:50:25.43 W</t>
  </si>
  <si>
    <t>039:26:53.96 N</t>
  </si>
  <si>
    <t>076:50:21.87 W</t>
  </si>
  <si>
    <t>039:26:55.42 N</t>
  </si>
  <si>
    <t>076:50:18.16 W</t>
  </si>
  <si>
    <t>039:26:56.97 N</t>
  </si>
  <si>
    <t>076:50:14.84 W</t>
  </si>
  <si>
    <t>039:26:58.28 N</t>
  </si>
  <si>
    <t>076:50:11.52 W</t>
  </si>
  <si>
    <t>039:26:59.90 N</t>
  </si>
  <si>
    <t>076:50:07.81 W</t>
  </si>
  <si>
    <t>039:27:01.45 N</t>
  </si>
  <si>
    <t>076:50:04.41 W</t>
  </si>
  <si>
    <t>039:27:03.15 N</t>
  </si>
  <si>
    <t>076:50:00.55 W</t>
  </si>
  <si>
    <t>039:27:04.85 N</t>
  </si>
  <si>
    <t>076:49:56.46 W</t>
  </si>
  <si>
    <t>039:27:06.16 N</t>
  </si>
  <si>
    <t>076:49:53.37 W</t>
  </si>
  <si>
    <t>039:27:07.71 N</t>
  </si>
  <si>
    <t>076:49:49.58 W</t>
  </si>
  <si>
    <t>039:27:09.33 N</t>
  </si>
  <si>
    <t>076:49:45.95 W</t>
  </si>
  <si>
    <t>039:27:10.95 N</t>
  </si>
  <si>
    <t>076:49:42.24 W</t>
  </si>
  <si>
    <t>039:27:12.19 N</t>
  </si>
  <si>
    <t>076:49:39.08 W</t>
  </si>
  <si>
    <t>039:27:13.96 N</t>
  </si>
  <si>
    <t>076:49:34.98 W</t>
  </si>
  <si>
    <t>039:27:15.43 N</t>
  </si>
  <si>
    <t>076:49:31.51 W</t>
  </si>
  <si>
    <t>039:27:16.90 N</t>
  </si>
  <si>
    <t>076:49:27.88 W</t>
  </si>
  <si>
    <t>039:27:18.60 N</t>
  </si>
  <si>
    <t>076:49:23.86 W</t>
  </si>
  <si>
    <t>039:27:19.91 N</t>
  </si>
  <si>
    <t>076:49:20.77 W</t>
  </si>
  <si>
    <t>039:27:21.30 N</t>
  </si>
  <si>
    <t>076:49:17.52 W</t>
  </si>
  <si>
    <t>039:27:22.85 N</t>
  </si>
  <si>
    <t>076:49:13.43 W</t>
  </si>
  <si>
    <t>039:27:24.31 N</t>
  </si>
  <si>
    <t>076:49:10.03 W</t>
  </si>
  <si>
    <t>039:27:25.94 N</t>
  </si>
  <si>
    <t>076:49:06.09 W</t>
  </si>
  <si>
    <t>039:27:27.33 N</t>
  </si>
  <si>
    <t>076:49:02.69 W</t>
  </si>
  <si>
    <t>039:27:28.48 N</t>
  </si>
  <si>
    <t>076:48:59.53 W</t>
  </si>
  <si>
    <t>039:27:30.11 N</t>
  </si>
  <si>
    <t>076:48:55.59 W</t>
  </si>
  <si>
    <t>039:27:31.65 N</t>
  </si>
  <si>
    <t>076:48:51.57 W</t>
  </si>
  <si>
    <t>039:27:33.20 N</t>
  </si>
  <si>
    <t>076:48:47.48 W</t>
  </si>
  <si>
    <t>039:27:34.74 N</t>
  </si>
  <si>
    <t>076:48:44.00 W</t>
  </si>
  <si>
    <t>039:27:36.36 N</t>
  </si>
  <si>
    <t>076:48:39.75 W</t>
  </si>
  <si>
    <t>039:27:37.83 N</t>
  </si>
  <si>
    <t>076:48:35.81 W</t>
  </si>
  <si>
    <t>039:27:39.38 N</t>
  </si>
  <si>
    <t>076:48:31.79 W</t>
  </si>
  <si>
    <t>039:27:40.84 N</t>
  </si>
  <si>
    <t>076:48:28.09 W</t>
  </si>
  <si>
    <t>039:27:42.16 N</t>
  </si>
  <si>
    <t>076:48:24.92 W</t>
  </si>
  <si>
    <t>039:27:43.55 N</t>
  </si>
  <si>
    <t>076:48:20.82 W</t>
  </si>
  <si>
    <t>039:27:45.09 N</t>
  </si>
  <si>
    <t>076:48:17.35 W</t>
  </si>
  <si>
    <t>039:27:46.41 N</t>
  </si>
  <si>
    <t>076:48:13.56 W</t>
  </si>
  <si>
    <t>039:27:47.95 N</t>
  </si>
  <si>
    <t>076:48:09.86 W</t>
  </si>
  <si>
    <t>039:27:49.34 N</t>
  </si>
  <si>
    <t>076:48:05.99 W</t>
  </si>
  <si>
    <t>039:27:50.89 N</t>
  </si>
  <si>
    <t>076:48:02.29 W</t>
  </si>
  <si>
    <t>039:27:52.20 N</t>
  </si>
  <si>
    <t>076:47:58.65 W</t>
  </si>
  <si>
    <t>039:27:53.67 N</t>
  </si>
  <si>
    <t>076:47:55.02 W</t>
  </si>
  <si>
    <t>039:27:55.14 N</t>
  </si>
  <si>
    <t>076:47:51.32 W</t>
  </si>
  <si>
    <t>028-02</t>
  </si>
  <si>
    <t>PHLB</t>
  </si>
  <si>
    <t>039:27:56.45 N</t>
  </si>
  <si>
    <t>076:47:47.69 W</t>
  </si>
  <si>
    <t>039:27:57.84 N</t>
  </si>
  <si>
    <t>076:47:44.60 W</t>
  </si>
  <si>
    <t>039:27:59.31 N</t>
  </si>
  <si>
    <t>076:47:40.81 W</t>
  </si>
  <si>
    <t>039:28:00.93 N</t>
  </si>
  <si>
    <t>076:47:36.95 W</t>
  </si>
  <si>
    <t>039:28:02.16 N</t>
  </si>
  <si>
    <t>076:47:33.63 W</t>
  </si>
  <si>
    <t>039:28:03.63 N</t>
  </si>
  <si>
    <t>076:47:30.07 W</t>
  </si>
  <si>
    <t>039:28:05.18 N</t>
  </si>
  <si>
    <t>076:47:25.98 W</t>
  </si>
  <si>
    <t>039:28:06.49 N</t>
  </si>
  <si>
    <t>076:47:22.81 W</t>
  </si>
  <si>
    <t>039:28:08.04 N</t>
  </si>
  <si>
    <t>076:47:19.34 W</t>
  </si>
  <si>
    <t>039:28:09.35 N</t>
  </si>
  <si>
    <t>076:47:16.09 W</t>
  </si>
  <si>
    <t>039:28:10.82 N</t>
  </si>
  <si>
    <t>076:47:12.46 W</t>
  </si>
  <si>
    <t>039:28:12.21 N</t>
  </si>
  <si>
    <t>076:47:09.22 W</t>
  </si>
  <si>
    <t>039:28:13.60 N</t>
  </si>
  <si>
    <t>076:47:05.97 W</t>
  </si>
  <si>
    <t>039:28:15.07 N</t>
  </si>
  <si>
    <t>076:47:02.57 W</t>
  </si>
  <si>
    <t>039:28:16.76 N</t>
  </si>
  <si>
    <t>076:46:58.40 W</t>
  </si>
  <si>
    <t>039:28:18.23 N</t>
  </si>
  <si>
    <t>076:46:54.93 W</t>
  </si>
  <si>
    <t>039:28:20.01 N</t>
  </si>
  <si>
    <t>076:46:50.99 W</t>
  </si>
  <si>
    <t>039:28:21.63 N</t>
  </si>
  <si>
    <t>076:46:46.97 W</t>
  </si>
  <si>
    <t>039:28:23.10 N</t>
  </si>
  <si>
    <t>076:46:43.49 W</t>
  </si>
  <si>
    <t>039:28:24.64 N</t>
  </si>
  <si>
    <t>076:46:39.94 W</t>
  </si>
  <si>
    <t>039:28:25.96 N</t>
  </si>
  <si>
    <t>076:46:37.08 W</t>
  </si>
  <si>
    <t>039:28:27.50 N</t>
  </si>
  <si>
    <t>076:46:33.61 W</t>
  </si>
  <si>
    <t>039:28:29.12 N</t>
  </si>
  <si>
    <t>076:46:29.67 W</t>
  </si>
  <si>
    <t>039:28:30.51 N</t>
  </si>
  <si>
    <t>076:46:26.34 W</t>
  </si>
  <si>
    <t>039:28:31.75 N</t>
  </si>
  <si>
    <t>076:46:23.25 W</t>
  </si>
  <si>
    <t>039:28:33.14 N</t>
  </si>
  <si>
    <t>076:46:20.01 W</t>
  </si>
  <si>
    <t>039:28:34.69 N</t>
  </si>
  <si>
    <t>076:46:16.15 W</t>
  </si>
  <si>
    <t>039:28:36.15 N</t>
  </si>
  <si>
    <t>076:46:12.44 W</t>
  </si>
  <si>
    <t>123-01</t>
  </si>
  <si>
    <t>RDG</t>
  </si>
  <si>
    <t>039:28:39.40 N</t>
  </si>
  <si>
    <t>076:46:04.79 W</t>
  </si>
  <si>
    <t>039:28:40.87 N</t>
  </si>
  <si>
    <t>076:46:01.32 W</t>
  </si>
  <si>
    <t>039:28:42.10 N</t>
  </si>
  <si>
    <t>076:45:58.07 W</t>
  </si>
  <si>
    <t>039:28:43.72 N</t>
  </si>
  <si>
    <t>076:45:54.05 W</t>
  </si>
  <si>
    <t>039:28:45.04 N</t>
  </si>
  <si>
    <t>076:45:50.35 W</t>
  </si>
  <si>
    <t>039:28:46.58 N</t>
  </si>
  <si>
    <t>076:45:46.79 W</t>
  </si>
  <si>
    <t>039:28:47.90 N</t>
  </si>
  <si>
    <t>076:45:43.70 W</t>
  </si>
  <si>
    <t>039:28:49.44 N</t>
  </si>
  <si>
    <t>076:45:39.53 W</t>
  </si>
  <si>
    <t>039:28:50.68 N</t>
  </si>
  <si>
    <t>076:45:36.36 W</t>
  </si>
  <si>
    <t>039:28:52.14 N</t>
  </si>
  <si>
    <t>076:45:32.73 W</t>
  </si>
  <si>
    <t>039:28:53.61 N</t>
  </si>
  <si>
    <t>076:45:29.03 W</t>
  </si>
  <si>
    <t>039:28:54.92 N</t>
  </si>
  <si>
    <t>076:45:25.70 W</t>
  </si>
  <si>
    <t>039:28:56.16 N</t>
  </si>
  <si>
    <t>076:45:22.85 W</t>
  </si>
  <si>
    <t>039:28:57.40 N</t>
  </si>
  <si>
    <t>076:45:19.60 W</t>
  </si>
  <si>
    <t>039:28:58.94 N</t>
  </si>
  <si>
    <t>076:45:15.97 W</t>
  </si>
  <si>
    <t>039:29:00.18 N</t>
  </si>
  <si>
    <t>076:45:12.73 W</t>
  </si>
  <si>
    <t>039:29:01.57 N</t>
  </si>
  <si>
    <t>076:45:09.48 W</t>
  </si>
  <si>
    <t>039:29:03.19 N</t>
  </si>
  <si>
    <t>076:45:05.47 W</t>
  </si>
  <si>
    <t>039:29:04.81 N</t>
  </si>
  <si>
    <t>076:45:01.53 W</t>
  </si>
  <si>
    <t>039:29:06.36 N</t>
  </si>
  <si>
    <t>076:44:57.90 W</t>
  </si>
  <si>
    <t>039:29:07.52 N</t>
  </si>
  <si>
    <t>076:44:54.73 W</t>
  </si>
  <si>
    <t>039:29:08.98 N</t>
  </si>
  <si>
    <t>076:44:51.41 W</t>
  </si>
  <si>
    <t>039:29:10.37 N</t>
  </si>
  <si>
    <t>076:44:48.16 W</t>
  </si>
  <si>
    <t>039:29:11.84 N</t>
  </si>
  <si>
    <t>076:44:44.61 W</t>
  </si>
  <si>
    <t>039:29:13.54 N</t>
  </si>
  <si>
    <t>076:44:40.21 W</t>
  </si>
  <si>
    <t>039:29:15.09 N</t>
  </si>
  <si>
    <t>076:44:36.73 W</t>
  </si>
  <si>
    <t>039:29:16.55 N</t>
  </si>
  <si>
    <t>076:44:33.18 W</t>
  </si>
  <si>
    <t>039:29:17.94 N</t>
  </si>
  <si>
    <t>076:44:29.47 W</t>
  </si>
  <si>
    <t>039:29:19.49 N</t>
  </si>
  <si>
    <t>076:44:25.45 W</t>
  </si>
  <si>
    <t>039:29:21.11 N</t>
  </si>
  <si>
    <t>076:44:21.51 W</t>
  </si>
  <si>
    <t>039:29:22.50 N</t>
  </si>
  <si>
    <t>076:44:18.34 W</t>
  </si>
  <si>
    <t>039:29:24.12 N</t>
  </si>
  <si>
    <t>076:44:14.33 W</t>
  </si>
  <si>
    <t>039:29:25.28 N</t>
  </si>
  <si>
    <t>076:44:11.01 W</t>
  </si>
  <si>
    <t>039:29:26.98 N</t>
  </si>
  <si>
    <t>076:44:07.07 W</t>
  </si>
  <si>
    <t>039:29:28.22 N</t>
  </si>
  <si>
    <t>076:44:03.74 W</t>
  </si>
  <si>
    <t>039:29:29.53 N</t>
  </si>
  <si>
    <t>076:44:00.04 W</t>
  </si>
  <si>
    <t>039:29:31.00 N</t>
  </si>
  <si>
    <t>076:43:56.95 W</t>
  </si>
  <si>
    <t>039:29:32.24 N</t>
  </si>
  <si>
    <t>076:43:53.39 W</t>
  </si>
  <si>
    <t>039:29:33.70 N</t>
  </si>
  <si>
    <t>076:43:49.76 W</t>
  </si>
  <si>
    <t>039:29:35.17 N</t>
  </si>
  <si>
    <t>076:43:45.98 W</t>
  </si>
  <si>
    <t>039:29:36.48 N</t>
  </si>
  <si>
    <t>076:43:42.66 W</t>
  </si>
  <si>
    <t>039:29:38.03 N</t>
  </si>
  <si>
    <t>076:43:38.72 W</t>
  </si>
  <si>
    <t>039:29:39.50 N</t>
  </si>
  <si>
    <t>076:43:34.93 W</t>
  </si>
  <si>
    <t>039:29:40.89 N</t>
  </si>
  <si>
    <t>076:43:31.46 W</t>
  </si>
  <si>
    <t>039:29:42.35 N</t>
  </si>
  <si>
    <t>076:43:27.75 W</t>
  </si>
  <si>
    <t>039:29:43.90 N</t>
  </si>
  <si>
    <t>076:43:24.19 W</t>
  </si>
  <si>
    <t>039:29:45.21 N</t>
  </si>
  <si>
    <t>076:43:20.72 W</t>
  </si>
  <si>
    <t>039:29:47.53 N</t>
  </si>
  <si>
    <t>076:43:15.16 W</t>
  </si>
  <si>
    <t>039:29:49.00 N</t>
  </si>
  <si>
    <t>076:43:11.68 W</t>
  </si>
  <si>
    <t>039:29:50.47 N</t>
  </si>
  <si>
    <t>076:43:08.05 W</t>
  </si>
  <si>
    <t>039:29:52.01 N</t>
  </si>
  <si>
    <t>076:43:04.42 W</t>
  </si>
  <si>
    <t>039:29:53.25 N</t>
  </si>
  <si>
    <t>076:43:01.10 W</t>
  </si>
  <si>
    <t>039:29:54.95 N</t>
  </si>
  <si>
    <t>076:42:57.31 W</t>
  </si>
  <si>
    <t>039:29:56.26 N</t>
  </si>
  <si>
    <t>076:42:54.07 W</t>
  </si>
  <si>
    <t>039:29:57.80 N</t>
  </si>
  <si>
    <t>076:42:50.59 W</t>
  </si>
  <si>
    <t>039:29:59.04 N</t>
  </si>
  <si>
    <t>076:42:47.19 W</t>
  </si>
  <si>
    <t>039:30:00.51 N</t>
  </si>
  <si>
    <t>076:42:44.18 W</t>
  </si>
  <si>
    <t>039:30:02.21 N</t>
  </si>
  <si>
    <t>076:42:40.09 W</t>
  </si>
  <si>
    <t>039:30:03.52 N</t>
  </si>
  <si>
    <t>076:42:37.00 W</t>
  </si>
  <si>
    <t>039:30:04.83 N</t>
  </si>
  <si>
    <t>076:42:33.91 W</t>
  </si>
  <si>
    <t>039:30:06.15 N</t>
  </si>
  <si>
    <t>076:42:30.58 W</t>
  </si>
  <si>
    <t>039:30:07.54 N</t>
  </si>
  <si>
    <t>076:42:27.73 W</t>
  </si>
  <si>
    <t>039:30:09.01 N</t>
  </si>
  <si>
    <t>076:42:24.02 W</t>
  </si>
  <si>
    <t>039:30:10.63 N</t>
  </si>
  <si>
    <t>076:42:20.08 W</t>
  </si>
  <si>
    <t>039:30:11.86 N</t>
  </si>
  <si>
    <t>076:42:16.99 W</t>
  </si>
  <si>
    <t>039:30:13.25 N</t>
  </si>
  <si>
    <t>076:42:13.67 W</t>
  </si>
  <si>
    <t>039:30:14.88 N</t>
  </si>
  <si>
    <t>076:42:09.96 W</t>
  </si>
  <si>
    <t>039:30:16.03 N</t>
  </si>
  <si>
    <t>076:42:07.10 W</t>
  </si>
  <si>
    <t>039:30:17.35 N</t>
  </si>
  <si>
    <t>076:42:03.78 W</t>
  </si>
  <si>
    <t>039:30:19.05 N</t>
  </si>
  <si>
    <t>076:41:59.84 W</t>
  </si>
  <si>
    <t>039:30:20.67 N</t>
  </si>
  <si>
    <t>076:41:55.82 W</t>
  </si>
  <si>
    <t>039:30:22.14 N</t>
  </si>
  <si>
    <t>076:41:52.19 W</t>
  </si>
  <si>
    <t>039:30:23.76 N</t>
  </si>
  <si>
    <t>076:41:48.41 W</t>
  </si>
  <si>
    <t>039:30:24.92 N</t>
  </si>
  <si>
    <t>076:41:45.09 W</t>
  </si>
  <si>
    <t>039:30:26.39 N</t>
  </si>
  <si>
    <t>076:41:41.45 W</t>
  </si>
  <si>
    <t>039:30:27.78 N</t>
  </si>
  <si>
    <t>076:41:38.29 W</t>
  </si>
  <si>
    <t>039:30:29.63 N</t>
  </si>
  <si>
    <t>076:41:33.88 W</t>
  </si>
  <si>
    <t>039:30:30.94 N</t>
  </si>
  <si>
    <t>076:41:30.18 W</t>
  </si>
  <si>
    <t>039:30:32.49 N</t>
  </si>
  <si>
    <t>076:41:26.62 W</t>
  </si>
  <si>
    <t>039:30:33.96 N</t>
  </si>
  <si>
    <t>076:41:23.15 W</t>
  </si>
  <si>
    <t>039:30:35.66 N</t>
  </si>
  <si>
    <t>076:41:19.05 W</t>
  </si>
  <si>
    <t>039:30:36.97 N</t>
  </si>
  <si>
    <t>076:41:15.65 W</t>
  </si>
  <si>
    <t>039:30:38.75 N</t>
  </si>
  <si>
    <t>076:41:11.33 W</t>
  </si>
  <si>
    <t>039:30:40.37 N</t>
  </si>
  <si>
    <t>076:41:07.54 W</t>
  </si>
  <si>
    <t>039:30:41.84 N</t>
  </si>
  <si>
    <t>076:41:03.76 W</t>
  </si>
  <si>
    <t>039:30:43.23 N</t>
  </si>
  <si>
    <t>076:41:00.59 W</t>
  </si>
  <si>
    <t>039:30:44.69 N</t>
  </si>
  <si>
    <t>076:40:57.11 W</t>
  </si>
  <si>
    <t>039:30:46.08 N</t>
  </si>
  <si>
    <t>076:40:53.87 W</t>
  </si>
  <si>
    <t>039:30:47.71 N</t>
  </si>
  <si>
    <t>076:40:50.09 W</t>
  </si>
  <si>
    <t>039:30:49.33 N</t>
  </si>
  <si>
    <t>076:40:46.38 W</t>
  </si>
  <si>
    <t>039:30:50.80 N</t>
  </si>
  <si>
    <t>076:40:42.75 W</t>
  </si>
  <si>
    <t>039:30:52.42 N</t>
  </si>
  <si>
    <t>076:40:38.96 W</t>
  </si>
  <si>
    <t>039:30:53.58 N</t>
  </si>
  <si>
    <t>076:40:36.10 W</t>
  </si>
  <si>
    <t>039:30:55.28 N</t>
  </si>
  <si>
    <t>076:40:32.01 W</t>
  </si>
  <si>
    <t>039:30:56.82 N</t>
  </si>
  <si>
    <t>076:40:28.22 W</t>
  </si>
  <si>
    <t>039:30:58.37 N</t>
  </si>
  <si>
    <t>076:40:24.28 W</t>
  </si>
  <si>
    <t>039:30:59.91 N</t>
  </si>
  <si>
    <t>076:40:20.58 W</t>
  </si>
  <si>
    <t>039:31:01.46 N</t>
  </si>
  <si>
    <t>076:40:16.79 W</t>
  </si>
  <si>
    <t>039:31:02.85 N</t>
  </si>
  <si>
    <t>076:40:13.55 W</t>
  </si>
  <si>
    <t>039:31:04.31 N</t>
  </si>
  <si>
    <t>076:40:09.84 W</t>
  </si>
  <si>
    <t>039:31:05.71 N</t>
  </si>
  <si>
    <t>076:40:06.67 W</t>
  </si>
  <si>
    <t>039:31:07.10 N</t>
  </si>
  <si>
    <t>076:40:02.58 W</t>
  </si>
  <si>
    <t>039:31:08.64 N</t>
  </si>
  <si>
    <t>076:39:59.10 W</t>
  </si>
  <si>
    <t>039:31:09.80 N</t>
  </si>
  <si>
    <t>076:39:56.09 W</t>
  </si>
  <si>
    <t>039:31:11.34 N</t>
  </si>
  <si>
    <t>076:39:52.15 W</t>
  </si>
  <si>
    <t>039:31:12.73 N</t>
  </si>
  <si>
    <t>076:39:48.67 W</t>
  </si>
  <si>
    <t>039:31:14.20 N</t>
  </si>
  <si>
    <t>076:39:44.89 W</t>
  </si>
  <si>
    <t>039:31:15.36 N</t>
  </si>
  <si>
    <t>076:39:41.72 W</t>
  </si>
  <si>
    <t>039:31:17.22 N</t>
  </si>
  <si>
    <t>076:39:37.40 W</t>
  </si>
  <si>
    <t>039:31:18.76 N</t>
  </si>
  <si>
    <t>076:39:33.30 W</t>
  </si>
  <si>
    <t>039:31:20.30 N</t>
  </si>
  <si>
    <t>076:39:29.21 W</t>
  </si>
  <si>
    <t>039:31:21.62 N</t>
  </si>
  <si>
    <t>076:39:25.81 W</t>
  </si>
  <si>
    <t>039:31:23.24 N</t>
  </si>
  <si>
    <t>076:39:21.64 W</t>
  </si>
  <si>
    <t>039:31:24.48 N</t>
  </si>
  <si>
    <t>076:39:18.78 W</t>
  </si>
  <si>
    <t>039:31:25.56 N</t>
  </si>
  <si>
    <t>076:39:15.46 W</t>
  </si>
  <si>
    <t>039:31:27.10 N</t>
  </si>
  <si>
    <t>076:39:11.83 W</t>
  </si>
  <si>
    <t>039:31:28.65 N</t>
  </si>
  <si>
    <t>076:39:07.96 W</t>
  </si>
  <si>
    <t>039:31:30.12 N</t>
  </si>
  <si>
    <t>076:39:04.26 W</t>
  </si>
  <si>
    <t>039:31:31.66 N</t>
  </si>
  <si>
    <t>076:39:00.39 W</t>
  </si>
  <si>
    <t>039:31:32.97 N</t>
  </si>
  <si>
    <t>076:38:56.99 W</t>
  </si>
  <si>
    <t>039:31:34.36 N</t>
  </si>
  <si>
    <t>076:38:53.52 W</t>
  </si>
  <si>
    <t>039:31:35.83 N</t>
  </si>
  <si>
    <t>076:38:49.73 W</t>
  </si>
  <si>
    <t>039:31:37.45 N</t>
  </si>
  <si>
    <t>076:38:45.79 W</t>
  </si>
  <si>
    <t>039:31:38.61 N</t>
  </si>
  <si>
    <t>076:38:43.01 W</t>
  </si>
  <si>
    <t>039:31:39.85 N</t>
  </si>
  <si>
    <t>076:38:39.69 W</t>
  </si>
  <si>
    <t>039:31:41.55 N</t>
  </si>
  <si>
    <t>076:38:35.67 W</t>
  </si>
  <si>
    <t>039:31:43.02 N</t>
  </si>
  <si>
    <t>076:38:32.28 W</t>
  </si>
  <si>
    <t>039:31:44.41 N</t>
  </si>
  <si>
    <t>076:38:28.88 W</t>
  </si>
  <si>
    <t>039:31:46.03 N</t>
  </si>
  <si>
    <t>076:38:24.94 W</t>
  </si>
  <si>
    <t>039:31:47.26 N</t>
  </si>
  <si>
    <t>076:38:21.85 W</t>
  </si>
  <si>
    <t>039:31:48.73 N</t>
  </si>
  <si>
    <t>076:38:18.14 W</t>
  </si>
  <si>
    <t>039:31:50.28 N</t>
  </si>
  <si>
    <t>076:38:14.59 W</t>
  </si>
  <si>
    <t>039:31:51.74 N</t>
  </si>
  <si>
    <t>076:38:11.11 W</t>
  </si>
  <si>
    <t>039:31:53.44 N</t>
  </si>
  <si>
    <t>076:38:07.09 W</t>
  </si>
  <si>
    <t>039:31:55.07 N</t>
  </si>
  <si>
    <t>076:38:03.46 W</t>
  </si>
  <si>
    <t>039:31:56.53 N</t>
  </si>
  <si>
    <t>076:37:59.83 W</t>
  </si>
  <si>
    <t>039:31:58.08 N</t>
  </si>
  <si>
    <t>076:37:56.36 W</t>
  </si>
  <si>
    <t>039:31:59.78 N</t>
  </si>
  <si>
    <t>076:37:52.42 W</t>
  </si>
  <si>
    <t>039:32:01.17 N</t>
  </si>
  <si>
    <t>076:37:49.25 W</t>
  </si>
  <si>
    <t>039:32:02.64 N</t>
  </si>
  <si>
    <t>076:37:45.62 W</t>
  </si>
  <si>
    <t>039:32:04.34 N</t>
  </si>
  <si>
    <t>076:37:41.68 W</t>
  </si>
  <si>
    <t>039:32:05.80 N</t>
  </si>
  <si>
    <t>076:37:38.12 W</t>
  </si>
  <si>
    <t>039:32:07.35 N</t>
  </si>
  <si>
    <t>076:37:34.65 W</t>
  </si>
  <si>
    <t>039:32:08.82 N</t>
  </si>
  <si>
    <t>076:37:30.86 W</t>
  </si>
  <si>
    <t>039:32:10.21 N</t>
  </si>
  <si>
    <t>076:37:27.77 W</t>
  </si>
  <si>
    <t>039:32:11.75 N</t>
  </si>
  <si>
    <t>076:37:24.14 W</t>
  </si>
  <si>
    <t>039:32:13.37 N</t>
  </si>
  <si>
    <t>076:37:20.13 W</t>
  </si>
  <si>
    <t>039:32:14.92 N</t>
  </si>
  <si>
    <t>076:37:16.57 W</t>
  </si>
  <si>
    <t>039:32:16.39 N</t>
  </si>
  <si>
    <t>076:37:13.10 W</t>
  </si>
  <si>
    <t>039:32:17.93 N</t>
  </si>
  <si>
    <t>076:37:09.31 W</t>
  </si>
  <si>
    <t>039:32:19.32 N</t>
  </si>
  <si>
    <t>076:37:06.07 W</t>
  </si>
  <si>
    <t>039:32:20.94 N</t>
  </si>
  <si>
    <t>076:37:02.13 W</t>
  </si>
  <si>
    <t>039:32:22.57 N</t>
  </si>
  <si>
    <t>076:36:58.11 W</t>
  </si>
  <si>
    <t>039:32:24.27 N</t>
  </si>
  <si>
    <t>076:36:54.17 W</t>
  </si>
  <si>
    <t>039:32:25.81 N</t>
  </si>
  <si>
    <t>076:36:50.46 W</t>
  </si>
  <si>
    <t>039:32:27.36 N</t>
  </si>
  <si>
    <t>076:36:46.52 W</t>
  </si>
  <si>
    <t>039:32:28.90 N</t>
  </si>
  <si>
    <t>076:36:42.89 W</t>
  </si>
  <si>
    <t>039:32:30.52 N</t>
  </si>
  <si>
    <t>076:36:38.57 W</t>
  </si>
  <si>
    <t>039:32:31.84 N</t>
  </si>
  <si>
    <t>076:36:35.32 W</t>
  </si>
  <si>
    <t>039:32:33.30 N</t>
  </si>
  <si>
    <t>076:36:31.77 W</t>
  </si>
  <si>
    <t>039:32:34.93 N</t>
  </si>
  <si>
    <t>076:36:27.60 W</t>
  </si>
  <si>
    <t>039:32:36.47 N</t>
  </si>
  <si>
    <t>076:36:23.97 W</t>
  </si>
  <si>
    <t>039:32:37.78 N</t>
  </si>
  <si>
    <t>076:36:20.49 W</t>
  </si>
  <si>
    <t>039:32:39.25 N</t>
  </si>
  <si>
    <t>076:36:16.63 W</t>
  </si>
  <si>
    <t>039:32:40.87 N</t>
  </si>
  <si>
    <t>076:36:12.69 W</t>
  </si>
  <si>
    <t>039:32:42.03 N</t>
  </si>
  <si>
    <t>076:36:09.52 W</t>
  </si>
  <si>
    <t>039:32:43.73 N</t>
  </si>
  <si>
    <t>076:36:05.43 W</t>
  </si>
  <si>
    <t>039:32:45.05 N</t>
  </si>
  <si>
    <t>076:36:01.87 W</t>
  </si>
  <si>
    <t>039:32:46.59 N</t>
  </si>
  <si>
    <t>076:35:58.17 W</t>
  </si>
  <si>
    <t>039:32:47.90 N</t>
  </si>
  <si>
    <t>076:35:54.38 W</t>
  </si>
  <si>
    <t>039:32:49.29 N</t>
  </si>
  <si>
    <t>076:35:51.06 W</t>
  </si>
  <si>
    <t>039:32:50.61 N</t>
  </si>
  <si>
    <t>076:35:47.43 W</t>
  </si>
  <si>
    <t>039:32:52.08 N</t>
  </si>
  <si>
    <t>076:35:43.72 W</t>
  </si>
  <si>
    <t>039:32:53.62 N</t>
  </si>
  <si>
    <t>076:35:40.09 W</t>
  </si>
  <si>
    <t>039:32:54.93 N</t>
  </si>
  <si>
    <t>076:35:36.46 W</t>
  </si>
  <si>
    <t>039:32:56.40 N</t>
  </si>
  <si>
    <t>076:35:32.75 W</t>
  </si>
  <si>
    <t>039:32:57.87 N</t>
  </si>
  <si>
    <t>076:35:29.12 W</t>
  </si>
  <si>
    <t>039:32:59.10 N</t>
  </si>
  <si>
    <t>076:35:25.88 W</t>
  </si>
  <si>
    <t>039:33:00.50 N</t>
  </si>
  <si>
    <t>076:35:22.09 W</t>
  </si>
  <si>
    <t>039:33:01.96 N</t>
  </si>
  <si>
    <t>076:35:18.62 W</t>
  </si>
  <si>
    <t>039:33:03.28 N</t>
  </si>
  <si>
    <t>076:35:15.37 W</t>
  </si>
  <si>
    <t>039:33:04.51 N</t>
  </si>
  <si>
    <t>076:35:12.05 W</t>
  </si>
  <si>
    <t>039:33:05.98 N</t>
  </si>
  <si>
    <t>076:35:08.26 W</t>
  </si>
  <si>
    <t>028-03</t>
  </si>
  <si>
    <t>03A</t>
  </si>
  <si>
    <t>039:33:07.60 N</t>
  </si>
  <si>
    <t>076:35:04.40 W</t>
  </si>
  <si>
    <t>039:33:09.07 N</t>
  </si>
  <si>
    <t>076:35:00.77 W</t>
  </si>
  <si>
    <t>039:33:10.69 N</t>
  </si>
  <si>
    <t>076:34:56.60 W</t>
  </si>
  <si>
    <t>039:33:12.24 N</t>
  </si>
  <si>
    <t>076:34:52.58 W</t>
  </si>
  <si>
    <t>039:33:13.70 N</t>
  </si>
  <si>
    <t>076:34:48.95 W</t>
  </si>
  <si>
    <t>039:33:15.17 N</t>
  </si>
  <si>
    <t>076:34:45.24 W</t>
  </si>
  <si>
    <t>039:33:16.33 N</t>
  </si>
  <si>
    <t>076:34:42.46 W</t>
  </si>
  <si>
    <t>039:33:17.80 N</t>
  </si>
  <si>
    <t>076:34:38.83 W</t>
  </si>
  <si>
    <t>039:33:19.42 N</t>
  </si>
  <si>
    <t>076:34:34.89 W</t>
  </si>
  <si>
    <t>039:33:20.81 N</t>
  </si>
  <si>
    <t>076:34:31.49 W</t>
  </si>
  <si>
    <t>039:33:22.28 N</t>
  </si>
  <si>
    <t>076:34:28.25 W</t>
  </si>
  <si>
    <t>039:33:23.59 N</t>
  </si>
  <si>
    <t>076:34:25.08 W</t>
  </si>
  <si>
    <t>039:33:25.14 N</t>
  </si>
  <si>
    <t>076:34:21.07 W</t>
  </si>
  <si>
    <t>039:33:26.60 N</t>
  </si>
  <si>
    <t>076:34:17.28 W</t>
  </si>
  <si>
    <t>039:33:28.15 N</t>
  </si>
  <si>
    <t>076:34:13.80 W</t>
  </si>
  <si>
    <t>039:33:29.62 N</t>
  </si>
  <si>
    <t>076:34:10.02 W</t>
  </si>
  <si>
    <t>039:33:31.16 N</t>
  </si>
  <si>
    <t>076:34:06.54 W</t>
  </si>
  <si>
    <t>039:33:32.48 N</t>
  </si>
  <si>
    <t>076:34:03.38 W</t>
  </si>
  <si>
    <t>039:33:34.25 N</t>
  </si>
  <si>
    <t>076:33:58.82 W</t>
  </si>
  <si>
    <t>039:33:35.80 N</t>
  </si>
  <si>
    <t>076:33:55.19 W</t>
  </si>
  <si>
    <t>039:33:37.26 N</t>
  </si>
  <si>
    <t>076:33:51.79 W</t>
  </si>
  <si>
    <t>039:33:38.50 N</t>
  </si>
  <si>
    <t>076:33:48.31 W</t>
  </si>
  <si>
    <t>039:33:40.20 N</t>
  </si>
  <si>
    <t>076:33:44.45 W</t>
  </si>
  <si>
    <t>039:33:41.51 N</t>
  </si>
  <si>
    <t>076:33:41.05 W</t>
  </si>
  <si>
    <t>039:33:43.06 N</t>
  </si>
  <si>
    <t>076:33:37.50 W</t>
  </si>
  <si>
    <t>039:33:44.53 N</t>
  </si>
  <si>
    <t>076:33:33.79 W</t>
  </si>
  <si>
    <t>039:33:45.68 N</t>
  </si>
  <si>
    <t>076:33:30.93 W</t>
  </si>
  <si>
    <t>039:33:47.00 N</t>
  </si>
  <si>
    <t>076:33:27.69 W</t>
  </si>
  <si>
    <t>039:33:48.39 N</t>
  </si>
  <si>
    <t>076:33:24.37 W</t>
  </si>
  <si>
    <t>039:33:49.93 N</t>
  </si>
  <si>
    <t>076:33:20.58 W</t>
  </si>
  <si>
    <t>039:33:51.09 N</t>
  </si>
  <si>
    <t>076:33:17.34 W</t>
  </si>
  <si>
    <t>039:33:52.41 N</t>
  </si>
  <si>
    <t>076:33:14.02 W</t>
  </si>
  <si>
    <t>039:33:54.03 N</t>
  </si>
  <si>
    <t>076:33:10.08 W</t>
  </si>
  <si>
    <t>039:33:55.57 N</t>
  </si>
  <si>
    <t>076:33:06.37 W</t>
  </si>
  <si>
    <t>039:33:57.12 N</t>
  </si>
  <si>
    <t>076:33:02.35 W</t>
  </si>
  <si>
    <t>039:33:59.13 N</t>
  </si>
  <si>
    <t>076:32:57.33 W</t>
  </si>
  <si>
    <t>039:34:00.52 N</t>
  </si>
  <si>
    <t>076:32:53.93 W</t>
  </si>
  <si>
    <t>039:34:01.83 N</t>
  </si>
  <si>
    <t>076:32:50.76 W</t>
  </si>
  <si>
    <t>039:34:03.45 N</t>
  </si>
  <si>
    <t>076:32:46.59 W</t>
  </si>
  <si>
    <t>039:34:04.77 N</t>
  </si>
  <si>
    <t>076:32:42.96 W</t>
  </si>
  <si>
    <t>039:34:06.46 N</t>
  </si>
  <si>
    <t>076:32:39.10 W</t>
  </si>
  <si>
    <t>039:34:07.78 N</t>
  </si>
  <si>
    <t>076:32:35.85 W</t>
  </si>
  <si>
    <t>039:34:09.32 N</t>
  </si>
  <si>
    <t>076:32:31.84 W</t>
  </si>
  <si>
    <t>039:34:11.02 N</t>
  </si>
  <si>
    <t>076:32:27.74 W</t>
  </si>
  <si>
    <t>039:34:12.57 N</t>
  </si>
  <si>
    <t>076:32:23.73 W</t>
  </si>
  <si>
    <t>039:34:14.03 N</t>
  </si>
  <si>
    <t>076:32:20.17 W</t>
  </si>
  <si>
    <t>039:34:15.50 N</t>
  </si>
  <si>
    <t>076:32:16.93 W</t>
  </si>
  <si>
    <t>039:34:16.74 N</t>
  </si>
  <si>
    <t>076:32:13.84 W</t>
  </si>
  <si>
    <t>039:34:18.59 N</t>
  </si>
  <si>
    <t>076:32:09.44 W</t>
  </si>
  <si>
    <t>039:34:19.91 N</t>
  </si>
  <si>
    <t>076:32:06.19 W</t>
  </si>
  <si>
    <t>039:34:21.37 N</t>
  </si>
  <si>
    <t>076:32:03.02 W</t>
  </si>
  <si>
    <t>039:34:22.92 N</t>
  </si>
  <si>
    <t>076:31:59.32 W</t>
  </si>
  <si>
    <t>039:34:24.23 N</t>
  </si>
  <si>
    <t>076:31:56.15 W</t>
  </si>
  <si>
    <t>039:34:25.70 N</t>
  </si>
  <si>
    <t>076:31:52.44 W</t>
  </si>
  <si>
    <t>039:34:27.32 N</t>
  </si>
  <si>
    <t>076:31:49.04 W</t>
  </si>
  <si>
    <t>039:34:28.87 N</t>
  </si>
  <si>
    <t>076:31:45.33 W</t>
  </si>
  <si>
    <t>039:34:30.49 N</t>
  </si>
  <si>
    <t>076:31:41.55 W</t>
  </si>
  <si>
    <t>039:34:32.11 N</t>
  </si>
  <si>
    <t>076:31:37.38 W</t>
  </si>
  <si>
    <t>039:34:33.42 N</t>
  </si>
  <si>
    <t>076:31:34.60 W</t>
  </si>
  <si>
    <t>039:34:34.97 N</t>
  </si>
  <si>
    <t>076:31:30.97 W</t>
  </si>
  <si>
    <t>039:34:36.75 N</t>
  </si>
  <si>
    <t>076:31:26.64 W</t>
  </si>
  <si>
    <t>039:34:38.14 N</t>
  </si>
  <si>
    <t>076:31:23.47 W</t>
  </si>
  <si>
    <t>039:34:39.53 N</t>
  </si>
  <si>
    <t>076:31:20.00 W</t>
  </si>
  <si>
    <t>039:34:40.99 N</t>
  </si>
  <si>
    <t>076:31:16.21 W</t>
  </si>
  <si>
    <t>039:34:42.38 N</t>
  </si>
  <si>
    <t>076:31:13.12 W</t>
  </si>
  <si>
    <t>039:34:43.85 N</t>
  </si>
  <si>
    <t>076:31:09.49 W</t>
  </si>
  <si>
    <t>039:34:45.24 N</t>
  </si>
  <si>
    <t>076:31:06.17 W</t>
  </si>
  <si>
    <t>039:34:46.87 N</t>
  </si>
  <si>
    <t>076:31:02.00 W</t>
  </si>
  <si>
    <t>039:34:48.10 N</t>
  </si>
  <si>
    <t>076:30:58.52 W</t>
  </si>
  <si>
    <t>039:34:49.57 N</t>
  </si>
  <si>
    <t>076:30:55.05 W</t>
  </si>
  <si>
    <t>039:34:50.88 N</t>
  </si>
  <si>
    <t>076:30:51.65 W</t>
  </si>
  <si>
    <t>039:34:52.27 N</t>
  </si>
  <si>
    <t>076:30:48.40 W</t>
  </si>
  <si>
    <t>039:34:53.74 N</t>
  </si>
  <si>
    <t>076:30:44.77 W</t>
  </si>
  <si>
    <t>039:34:55.21 N</t>
  </si>
  <si>
    <t>076:30:41.30 W</t>
  </si>
  <si>
    <t>039:34:56.44 N</t>
  </si>
  <si>
    <t>076:30:37.97 W</t>
  </si>
  <si>
    <t>039:34:57.60 N</t>
  </si>
  <si>
    <t>076:30:35.19 W</t>
  </si>
  <si>
    <t>039:34:58.84 N</t>
  </si>
  <si>
    <t>076:30:31.87 W</t>
  </si>
  <si>
    <t>039:35:00.31 N</t>
  </si>
  <si>
    <t>076:30:28.16 W</t>
  </si>
  <si>
    <t>039:35:01.77 N</t>
  </si>
  <si>
    <t>076:30:24.53 W</t>
  </si>
  <si>
    <t>039:35:03.09 N</t>
  </si>
  <si>
    <t>076:30:21.13 W</t>
  </si>
  <si>
    <t>039:35:04.48 N</t>
  </si>
  <si>
    <t>076:30:17.81 W</t>
  </si>
  <si>
    <t>039:35:06.10 N</t>
  </si>
  <si>
    <t>076:30:13.80 W</t>
  </si>
  <si>
    <t>039:35:07.26 N</t>
  </si>
  <si>
    <t>076:30:11.02 W</t>
  </si>
  <si>
    <t>039:35:08.49 N</t>
  </si>
  <si>
    <t>076:30:07.69 W</t>
  </si>
  <si>
    <t>039:35:10.04 N</t>
  </si>
  <si>
    <t>076:30:03.68 W</t>
  </si>
  <si>
    <t>039:35:11.66 N</t>
  </si>
  <si>
    <t>076:29:59.81 W</t>
  </si>
  <si>
    <t>039:35:13.05 N</t>
  </si>
  <si>
    <t>076:29:56.26 W</t>
  </si>
  <si>
    <t>039:35:14.67 N</t>
  </si>
  <si>
    <t>076:29:52.32 W</t>
  </si>
  <si>
    <t>039:35:16.06 N</t>
  </si>
  <si>
    <t>076:29:49.00 W</t>
  </si>
  <si>
    <t>039:35:17.38 N</t>
  </si>
  <si>
    <t>076:29:45.52 W</t>
  </si>
  <si>
    <t>039:35:18.77 N</t>
  </si>
  <si>
    <t>076:29:42.20 W</t>
  </si>
  <si>
    <t>039:35:20.39 N</t>
  </si>
  <si>
    <t>076:29:37.88 W</t>
  </si>
  <si>
    <t>039:35:21.94 N</t>
  </si>
  <si>
    <t>076:29:34.25 W</t>
  </si>
  <si>
    <t>039:35:23.25 N</t>
  </si>
  <si>
    <t>076:29:31.23 W</t>
  </si>
  <si>
    <t>039:35:24.87 N</t>
  </si>
  <si>
    <t>076:29:27.14 W</t>
  </si>
  <si>
    <t>039:35:26.42 N</t>
  </si>
  <si>
    <t>076:29:23.28 W</t>
  </si>
  <si>
    <t>039:35:27.96 N</t>
  </si>
  <si>
    <t>076:29:19.80 W</t>
  </si>
  <si>
    <t>039:35:29.51 N</t>
  </si>
  <si>
    <t>076:29:15.78 W</t>
  </si>
  <si>
    <t>039:35:31.28 N</t>
  </si>
  <si>
    <t>076:29:11.46 W</t>
  </si>
  <si>
    <t>039:35:32.75 N</t>
  </si>
  <si>
    <t>076:29:07.83 W</t>
  </si>
  <si>
    <t>039:35:34.14 N</t>
  </si>
  <si>
    <t>076:29:04.66 W</t>
  </si>
  <si>
    <t>039:35:35.45 N</t>
  </si>
  <si>
    <t>076:29:01.11 W</t>
  </si>
  <si>
    <t>039:35:36.92 N</t>
  </si>
  <si>
    <t>076:28:57.94 W</t>
  </si>
  <si>
    <t>039:35:38.39 N</t>
  </si>
  <si>
    <t>076:28:54.46 W</t>
  </si>
  <si>
    <t>039:35:40.01 N</t>
  </si>
  <si>
    <t>076:28:50.60 W</t>
  </si>
  <si>
    <t>039:35:41.32 N</t>
  </si>
  <si>
    <t>076:28:47.36 W</t>
  </si>
  <si>
    <t>039:35:43.18 N</t>
  </si>
  <si>
    <t>076:28:43.11 W</t>
  </si>
  <si>
    <t>039:35:44.34 N</t>
  </si>
  <si>
    <t>076:28:40.33 W</t>
  </si>
  <si>
    <t>039:35:46.04 N</t>
  </si>
  <si>
    <t>076:28:36.31 W</t>
  </si>
  <si>
    <t>039:35:47.58 N</t>
  </si>
  <si>
    <t>076:28:32.37 W</t>
  </si>
  <si>
    <t>039:35:49.13 N</t>
  </si>
  <si>
    <t>076:28:28.89 W</t>
  </si>
  <si>
    <t>039:35:50.75 N</t>
  </si>
  <si>
    <t>076:28:25.11 W</t>
  </si>
  <si>
    <t>039:35:52.37 N</t>
  </si>
  <si>
    <t>076:28:21.17 W</t>
  </si>
  <si>
    <t>039:35:53.76 N</t>
  </si>
  <si>
    <t>076:28:17.85 W</t>
  </si>
  <si>
    <t>039:35:55.23 N</t>
  </si>
  <si>
    <t>076:28:14.29 W</t>
  </si>
  <si>
    <t>039:35:56.54 N</t>
  </si>
  <si>
    <t>076:28:11.28 W</t>
  </si>
  <si>
    <t>039:35:58.01 N</t>
  </si>
  <si>
    <t>076:28:07.65 W</t>
  </si>
  <si>
    <t>039:35:59.48 N</t>
  </si>
  <si>
    <t>076:28:03.94 W</t>
  </si>
  <si>
    <t>039:36:00.79 N</t>
  </si>
  <si>
    <t>076:28:00.93 W</t>
  </si>
  <si>
    <t>039:36:02.41 N</t>
  </si>
  <si>
    <t>076:27:56.91 W</t>
  </si>
  <si>
    <t>039:36:03.96 N</t>
  </si>
  <si>
    <t>076:27:53.21 W</t>
  </si>
  <si>
    <t>039:36:05.43 N</t>
  </si>
  <si>
    <t>076:27:49.58 W</t>
  </si>
  <si>
    <t>039:36:06.66 N</t>
  </si>
  <si>
    <t>076:27:46.18 W</t>
  </si>
  <si>
    <t>039:36:08.21 N</t>
  </si>
  <si>
    <t>076:27:42.24 W</t>
  </si>
  <si>
    <t>039:36:09.98 N</t>
  </si>
  <si>
    <t>076:27:37.76 W</t>
  </si>
  <si>
    <t>039:36:11.53 N</t>
  </si>
  <si>
    <t>076:27:33.66 W</t>
  </si>
  <si>
    <t>039:36:12.84 N</t>
  </si>
  <si>
    <t>076:27:29.72 W</t>
  </si>
  <si>
    <t>039:36:14.39 N</t>
  </si>
  <si>
    <t>076:27:25.94 W</t>
  </si>
  <si>
    <t>039:36:15.62 N</t>
  </si>
  <si>
    <t>076:27:22.46 W</t>
  </si>
  <si>
    <t>039:36:16.86 N</t>
  </si>
  <si>
    <t>076:27:19.14 W</t>
  </si>
  <si>
    <t>039:36:18.25 N</t>
  </si>
  <si>
    <t>076:27:15.20 W</t>
  </si>
  <si>
    <t>039:36:19.72 N</t>
  </si>
  <si>
    <t>076:27:10.87 W</t>
  </si>
  <si>
    <t>039:36:21.26 N</t>
  </si>
  <si>
    <t>076:27:07.01 W</t>
  </si>
  <si>
    <t>039:36:22.73 N</t>
  </si>
  <si>
    <t>076:27:02.69 W</t>
  </si>
  <si>
    <t>039:36:24.04 N</t>
  </si>
  <si>
    <t>076:26:59.29 W</t>
  </si>
  <si>
    <t>039:36:25.51 N</t>
  </si>
  <si>
    <t>076:26:55.19 W</t>
  </si>
  <si>
    <t>039:36:26.98 N</t>
  </si>
  <si>
    <t>076:26:51.33 W</t>
  </si>
  <si>
    <t>039:36:28.45 N</t>
  </si>
  <si>
    <t>076:26:46.85 W</t>
  </si>
  <si>
    <t>039:36:29.60 N</t>
  </si>
  <si>
    <t>076:26:43.76 W</t>
  </si>
  <si>
    <t>039:36:30.92 N</t>
  </si>
  <si>
    <t>076:26:40.13 W</t>
  </si>
  <si>
    <t>039:36:32.62 N</t>
  </si>
  <si>
    <t>076:26:35.65 W</t>
  </si>
  <si>
    <t>039:36:34.01 N</t>
  </si>
  <si>
    <t>076:26:31.48 W</t>
  </si>
  <si>
    <t>039:36:35.40 N</t>
  </si>
  <si>
    <t>076:26:27.92 W</t>
  </si>
  <si>
    <t>039:36:37.02 N</t>
  </si>
  <si>
    <t>076:26:23.37 W</t>
  </si>
  <si>
    <t>039:36:38.33 N</t>
  </si>
  <si>
    <t>076:26:19.74 W</t>
  </si>
  <si>
    <t>039:36:39.65 N</t>
  </si>
  <si>
    <t>076:26:16.11 W</t>
  </si>
  <si>
    <t>039:36:41.35 N</t>
  </si>
  <si>
    <t>076:26:11.55 W</t>
  </si>
  <si>
    <t>039:36:42.81 N</t>
  </si>
  <si>
    <t>076:26:07.22 W</t>
  </si>
  <si>
    <t>039:36:44.28 N</t>
  </si>
  <si>
    <t>076:26:03.21 W</t>
  </si>
  <si>
    <t>039:36:46.06 N</t>
  </si>
  <si>
    <t>076:25:58.49 W</t>
  </si>
  <si>
    <t>039:36:47.53 N</t>
  </si>
  <si>
    <t>076:25:54.32 W</t>
  </si>
  <si>
    <t>039:36:49.07 N</t>
  </si>
  <si>
    <t>076:25:50.15 W</t>
  </si>
  <si>
    <t>039:36:50.54 N</t>
  </si>
  <si>
    <t>076:25:45.98 W</t>
  </si>
  <si>
    <t>039:36:52.08 N</t>
  </si>
  <si>
    <t>076:25:41.81 W</t>
  </si>
  <si>
    <t>039:36:53.78 N</t>
  </si>
  <si>
    <t>076:25:37.64 W</t>
  </si>
  <si>
    <t>039:36:55.25 N</t>
  </si>
  <si>
    <t>076:25:33.46 W</t>
  </si>
  <si>
    <t>039:36:56.95 N</t>
  </si>
  <si>
    <t>076:25:28.75 W</t>
  </si>
  <si>
    <t>039:36:58.65 N</t>
  </si>
  <si>
    <t>076:25:24.66 W</t>
  </si>
  <si>
    <t>039:37:00.27 N</t>
  </si>
  <si>
    <t>076:25:20.41 W</t>
  </si>
  <si>
    <t>039:37:01.66 N</t>
  </si>
  <si>
    <t>076:25:16.78 W</t>
  </si>
  <si>
    <t>039:37:03.28 N</t>
  </si>
  <si>
    <t>076:25:12.38 W</t>
  </si>
  <si>
    <t>039:37:04.98 N</t>
  </si>
  <si>
    <t>076:25:08.20 W</t>
  </si>
  <si>
    <t>039:37:06.45 N</t>
  </si>
  <si>
    <t>076:25:04.03 W</t>
  </si>
  <si>
    <t>039:37:08.38 N</t>
  </si>
  <si>
    <t>076:24:59.32 W</t>
  </si>
  <si>
    <t>039:37:10.00 N</t>
  </si>
  <si>
    <t>076:24:55.23 W</t>
  </si>
  <si>
    <t>039:37:11.32 N</t>
  </si>
  <si>
    <t>076:24:51.29 W</t>
  </si>
  <si>
    <t>039:37:13.02 N</t>
  </si>
  <si>
    <t>076:24:47.12 W</t>
  </si>
  <si>
    <t>039:37:15.03 N</t>
  </si>
  <si>
    <t>076:24:42.02 W</t>
  </si>
  <si>
    <t>039:37:16.96 N</t>
  </si>
  <si>
    <t>076:24:37.38 W</t>
  </si>
  <si>
    <t>039:37:18.58 N</t>
  </si>
  <si>
    <t>076:24:33.13 W</t>
  </si>
  <si>
    <t>039:37:20.20 N</t>
  </si>
  <si>
    <t>076:24:28.81 W</t>
  </si>
  <si>
    <t>039:37:22.06 N</t>
  </si>
  <si>
    <t>076:24:24.02 W</t>
  </si>
  <si>
    <t>039:37:23.99 N</t>
  </si>
  <si>
    <t>076:24:19.38 W</t>
  </si>
  <si>
    <t>039:37:25.69 N</t>
  </si>
  <si>
    <t>076:24:15.06 W</t>
  </si>
  <si>
    <t>039:37:27.31 N</t>
  </si>
  <si>
    <t>076:24:10.73 W</t>
  </si>
  <si>
    <t>039:37:28.93 N</t>
  </si>
  <si>
    <t>076:24:06.48 W</t>
  </si>
  <si>
    <t>039:37:30.78 N</t>
  </si>
  <si>
    <t>076:24:01.62 W</t>
  </si>
  <si>
    <t>039:37:32.48 N</t>
  </si>
  <si>
    <t>076:23:57.45 W</t>
  </si>
  <si>
    <t>039:37:34.03 N</t>
  </si>
  <si>
    <t>076:23:53.58 W</t>
  </si>
  <si>
    <t>039:37:35.96 N</t>
  </si>
  <si>
    <t>076:23:48.64 W</t>
  </si>
  <si>
    <t>039:37:37.66 N</t>
  </si>
  <si>
    <t>076:23:44.47 W</t>
  </si>
  <si>
    <t>039:37:39.51 N</t>
  </si>
  <si>
    <t>076:23:39.83 W</t>
  </si>
  <si>
    <t>039:37:41.14 N</t>
  </si>
  <si>
    <t>076:23:35.28 W</t>
  </si>
  <si>
    <t>039:37:42.99 N</t>
  </si>
  <si>
    <t>076:23:30.95 W</t>
  </si>
  <si>
    <t>039:37:44.61 N</t>
  </si>
  <si>
    <t>076:23:26.70 W</t>
  </si>
  <si>
    <t>039:37:45.93 N</t>
  </si>
  <si>
    <t>076:23:23.23 W</t>
  </si>
  <si>
    <t>039:37:47.86 N</t>
  </si>
  <si>
    <t>076:23:18.59 W</t>
  </si>
  <si>
    <t>039:37:49.56 N</t>
  </si>
  <si>
    <t>076:23:14.19 W</t>
  </si>
  <si>
    <t>039:37:51.26 N</t>
  </si>
  <si>
    <t>076:23:10.02 W</t>
  </si>
  <si>
    <t>039:37:52.88 N</t>
  </si>
  <si>
    <t>076:23:06.08 W</t>
  </si>
  <si>
    <t>039:37:54.73 N</t>
  </si>
  <si>
    <t>076:23:01.44 W</t>
  </si>
  <si>
    <t>039:37:56.43 N</t>
  </si>
  <si>
    <t>076:22:57.04 W</t>
  </si>
  <si>
    <t>039:37:57.98 N</t>
  </si>
  <si>
    <t>076:22:53.18 W</t>
  </si>
  <si>
    <t>039:37:59.60 N</t>
  </si>
  <si>
    <t>076:22:49.31 W</t>
  </si>
  <si>
    <t>039:38:01.30 N</t>
  </si>
  <si>
    <t>076:22:44.91 W</t>
  </si>
  <si>
    <t>039:38:02.77 N</t>
  </si>
  <si>
    <t>076:22:41.13 W</t>
  </si>
  <si>
    <t>039:38:04.54 N</t>
  </si>
  <si>
    <t>076:22:36.80 W</t>
  </si>
  <si>
    <t>039:38:06.16 N</t>
  </si>
  <si>
    <t>076:22:32.71 W</t>
  </si>
  <si>
    <t>039:38:08.02 N</t>
  </si>
  <si>
    <t>076:22:28.46 W</t>
  </si>
  <si>
    <t>039:38:09.64 N</t>
  </si>
  <si>
    <t>076:22:24.13 W</t>
  </si>
  <si>
    <t>039:38:11.80 N</t>
  </si>
  <si>
    <t>076:22:18.96 W</t>
  </si>
  <si>
    <t>039:38:13.43 N</t>
  </si>
  <si>
    <t>076:22:14.71 W</t>
  </si>
  <si>
    <t>039:38:15.36 N</t>
  </si>
  <si>
    <t>076:22:09.99 W</t>
  </si>
  <si>
    <t>039:38:17.06 N</t>
  </si>
  <si>
    <t>076:22:05.59 W</t>
  </si>
  <si>
    <t>039:38:18.37 N</t>
  </si>
  <si>
    <t>076:22:02.35 W</t>
  </si>
  <si>
    <t>039:38:20.22 N</t>
  </si>
  <si>
    <t>076:21:57.94 W</t>
  </si>
  <si>
    <t>039:38:22.00 N</t>
  </si>
  <si>
    <t>076:21:53.39 W</t>
  </si>
  <si>
    <t>039:38:23.31 N</t>
  </si>
  <si>
    <t>076:21:49.99 W</t>
  </si>
  <si>
    <t>039:38:24.94 N</t>
  </si>
  <si>
    <t>076:21:46.05 W</t>
  </si>
  <si>
    <t>039:38:26.56 N</t>
  </si>
  <si>
    <t>076:21:41.88 W</t>
  </si>
  <si>
    <t>039:38:28.26 N</t>
  </si>
  <si>
    <t>076:21:37.47 W</t>
  </si>
  <si>
    <t>039:38:30.27 N</t>
  </si>
  <si>
    <t>076:21:32.76 W</t>
  </si>
  <si>
    <t>039:38:31.89 N</t>
  </si>
  <si>
    <t>076:21:28.44 W</t>
  </si>
  <si>
    <t>039:38:33.59 N</t>
  </si>
  <si>
    <t>076:21:24.19 W</t>
  </si>
  <si>
    <t>039:38:35.21 N</t>
  </si>
  <si>
    <t>076:21:20.09 W</t>
  </si>
  <si>
    <t>039:38:36.83 N</t>
  </si>
  <si>
    <t>076:21:16.15 W</t>
  </si>
  <si>
    <t>039:38:38.84 N</t>
  </si>
  <si>
    <t>076:21:11.13 W</t>
  </si>
  <si>
    <t>039:38:40.54 N</t>
  </si>
  <si>
    <t>076:21:06.73 W</t>
  </si>
  <si>
    <t>039:38:42.16 N</t>
  </si>
  <si>
    <t>076:21:02.56 W</t>
  </si>
  <si>
    <t>039:38:43.55 N</t>
  </si>
  <si>
    <t>076:20:59.00 W</t>
  </si>
  <si>
    <t>039:38:45.25 N</t>
  </si>
  <si>
    <t>076:20:54.29 W</t>
  </si>
  <si>
    <t>039:38:46.87 N</t>
  </si>
  <si>
    <t>076:20:49.97 W</t>
  </si>
  <si>
    <t>039:38:48.57 N</t>
  </si>
  <si>
    <t>076:20:45.72 W</t>
  </si>
  <si>
    <t>039:38:50.04 N</t>
  </si>
  <si>
    <t>076:20:41.93 W</t>
  </si>
  <si>
    <t>039:38:51.51 N</t>
  </si>
  <si>
    <t>076:20:38.15 W</t>
  </si>
  <si>
    <t>039:38:53.05 N</t>
  </si>
  <si>
    <t>076:20:34.21 W</t>
  </si>
  <si>
    <t>039:38:54.68 N</t>
  </si>
  <si>
    <t>076:20:30.19 W</t>
  </si>
  <si>
    <t>039:38:56.30 N</t>
  </si>
  <si>
    <t>076:20:25.94 W</t>
  </si>
  <si>
    <t>039:38:57.77 N</t>
  </si>
  <si>
    <t>076:20:22.16 W</t>
  </si>
  <si>
    <t>039:38:59.23 N</t>
  </si>
  <si>
    <t>076:20:18.14 W</t>
  </si>
  <si>
    <t>039:39:01.09 N</t>
  </si>
  <si>
    <t>076:20:13.35 W</t>
  </si>
  <si>
    <t>039:39:02.79 N</t>
  </si>
  <si>
    <t>076:20:09.18 W</t>
  </si>
  <si>
    <t>039:39:04.49 N</t>
  </si>
  <si>
    <t>076:20:04.78 W</t>
  </si>
  <si>
    <t>039:39:06.11 N</t>
  </si>
  <si>
    <t>076:20:00.37 W</t>
  </si>
  <si>
    <t>039:39:07.50 N</t>
  </si>
  <si>
    <t>076:19:56.43 W</t>
  </si>
  <si>
    <t>039:39:08.97 N</t>
  </si>
  <si>
    <t>076:19:53.03 W</t>
  </si>
  <si>
    <t>039:39:10.82 N</t>
  </si>
  <si>
    <t>076:19:48.25 W</t>
  </si>
  <si>
    <t>039:39:12.60 N</t>
  </si>
  <si>
    <t>076:19:43.38 W</t>
  </si>
  <si>
    <t>039:39:14.30 N</t>
  </si>
  <si>
    <t>076:19:39.05 W</t>
  </si>
  <si>
    <t>039:39:15.92 N</t>
  </si>
  <si>
    <t>076:19:34.73 W</t>
  </si>
  <si>
    <t>039:39:17.85 N</t>
  </si>
  <si>
    <t>076:19:30.01 W</t>
  </si>
  <si>
    <t>039:39:19.55 N</t>
  </si>
  <si>
    <t>076:19:25.61 W</t>
  </si>
  <si>
    <t>039:39:21.56 N</t>
  </si>
  <si>
    <t>076:19:20.59 W</t>
  </si>
  <si>
    <t>039:39:22.87 N</t>
  </si>
  <si>
    <t>076:19:17.27 W</t>
  </si>
  <si>
    <t>039:39:24.88 N</t>
  </si>
  <si>
    <t>076:19:12.25 W</t>
  </si>
  <si>
    <t>039:39:26.42 N</t>
  </si>
  <si>
    <t>076:19:08.31 W</t>
  </si>
  <si>
    <t>039:39:28.12 N</t>
  </si>
  <si>
    <t>076:19:04.21 W</t>
  </si>
  <si>
    <t>039:39:29.59 N</t>
  </si>
  <si>
    <t>076:19:00.35 W</t>
  </si>
  <si>
    <t>039:39:31.29 N</t>
  </si>
  <si>
    <t>076:18:56.41 W</t>
  </si>
  <si>
    <t>039:39:32.91 N</t>
  </si>
  <si>
    <t>076:18:52.63 W</t>
  </si>
  <si>
    <t>039:39:34.54 N</t>
  </si>
  <si>
    <t>076:18:48.53 W</t>
  </si>
  <si>
    <t>039:39:36.16 N</t>
  </si>
  <si>
    <t>076:18:44.75 W</t>
  </si>
  <si>
    <t>039:39:38.01 N</t>
  </si>
  <si>
    <t>076:18:40.34 W</t>
  </si>
  <si>
    <t>039:39:39.48 N</t>
  </si>
  <si>
    <t>076:18:36.64 W</t>
  </si>
  <si>
    <t>039:39:41.49 N</t>
  </si>
  <si>
    <t>076:18:31.85 W</t>
  </si>
  <si>
    <t>039:39:43.34 N</t>
  </si>
  <si>
    <t>076:18:27.68 W</t>
  </si>
  <si>
    <t>039:39:45.04 N</t>
  </si>
  <si>
    <t>076:18:23.66 W</t>
  </si>
  <si>
    <t>039:39:46.59 N</t>
  </si>
  <si>
    <t>076:18:20.18 W</t>
  </si>
  <si>
    <t>039:39:48.52 N</t>
  </si>
  <si>
    <t>076:18:15.55 W</t>
  </si>
  <si>
    <t>039:39:50.22 N</t>
  </si>
  <si>
    <t>076:18:11.61 W</t>
  </si>
  <si>
    <t>039:39:52.15 N</t>
  </si>
  <si>
    <t>076:18:07.28 W</t>
  </si>
  <si>
    <t>039:39:53.46 N</t>
  </si>
  <si>
    <t>076:18:04.04 W</t>
  </si>
  <si>
    <t>039:39:55.24 N</t>
  </si>
  <si>
    <t>076:17:59.48 W</t>
  </si>
  <si>
    <t>039:39:56.78 N</t>
  </si>
  <si>
    <t>076:17:56.08 W</t>
  </si>
  <si>
    <t>039:39:58.56 N</t>
  </si>
  <si>
    <t>076:17:51.99 W</t>
  </si>
  <si>
    <t>039:40:00.26 N</t>
  </si>
  <si>
    <t>076:17:48.13 W</t>
  </si>
  <si>
    <t>039:40:01.88 N</t>
  </si>
  <si>
    <t>076:17:44.03 W</t>
  </si>
  <si>
    <t>039:40:03.50 N</t>
  </si>
  <si>
    <t>076:17:40.17 W</t>
  </si>
  <si>
    <t>039:40:04.97 N</t>
  </si>
  <si>
    <t>076:17:36.46 W</t>
  </si>
  <si>
    <t>039:40:06.52 N</t>
  </si>
  <si>
    <t>076:17:32.91 W</t>
  </si>
  <si>
    <t>039:40:08.14 N</t>
  </si>
  <si>
    <t>076:17:29.04 W</t>
  </si>
  <si>
    <t>039:40:09.76 N</t>
  </si>
  <si>
    <t>076:17:25.11 W</t>
  </si>
  <si>
    <t>039:40:11.15 N</t>
  </si>
  <si>
    <t>076:17:21.47 W</t>
  </si>
  <si>
    <t>039:40:12.62 N</t>
  </si>
  <si>
    <t>076:17:18.08 W</t>
  </si>
  <si>
    <t>039:40:13.93 N</t>
  </si>
  <si>
    <t>076:17:14.83 W</t>
  </si>
  <si>
    <t>039:40:15.71 N</t>
  </si>
  <si>
    <t>076:17:10.51 W</t>
  </si>
  <si>
    <t>039:40:17.18 N</t>
  </si>
  <si>
    <t>076:17:06.57 W</t>
  </si>
  <si>
    <t>039:40:18.72 N</t>
  </si>
  <si>
    <t>076:17:03.01 W</t>
  </si>
  <si>
    <t>039:40:20.03 N</t>
  </si>
  <si>
    <t>076:16:59.30 W</t>
  </si>
  <si>
    <t>039:40:21.81 N</t>
  </si>
  <si>
    <t>076:16:55.06 W</t>
  </si>
  <si>
    <t>039:40:23.20 N</t>
  </si>
  <si>
    <t>076:16:51.66 W</t>
  </si>
  <si>
    <t>039:40:25.06 N</t>
  </si>
  <si>
    <t>076:16:46.79 W</t>
  </si>
  <si>
    <t>039:40:26.75 N</t>
  </si>
  <si>
    <t>076:16:42.54 W</t>
  </si>
  <si>
    <t>039:40:28.76 N</t>
  </si>
  <si>
    <t>076:16:37.83 W</t>
  </si>
  <si>
    <t>039:40:30.23 N</t>
  </si>
  <si>
    <t>076:16:33.74 W</t>
  </si>
  <si>
    <t>039:40:31.70 N</t>
  </si>
  <si>
    <t>076:16:29.87 W</t>
  </si>
  <si>
    <t>039:40:33.40 N</t>
  </si>
  <si>
    <t>076:16:26.01 W</t>
  </si>
  <si>
    <t>039:40:34.87 N</t>
  </si>
  <si>
    <t>076:16:22.15 W</t>
  </si>
  <si>
    <t>039:40:36.33 N</t>
  </si>
  <si>
    <t>076:16:18.67 W</t>
  </si>
  <si>
    <t>039:40:38.19 N</t>
  </si>
  <si>
    <t>076:16:13.81 W</t>
  </si>
  <si>
    <t>039:40:39.65 N</t>
  </si>
  <si>
    <t>076:16:10.33 W</t>
  </si>
  <si>
    <t>039:40:41.12 N</t>
  </si>
  <si>
    <t>076:16:06.47 W</t>
  </si>
  <si>
    <t>039:40:42.82 N</t>
  </si>
  <si>
    <t>076:16:02.22 W</t>
  </si>
  <si>
    <t>039:40:44.52 N</t>
  </si>
  <si>
    <t>076:15:58.20 W</t>
  </si>
  <si>
    <t>039:40:46.22 N</t>
  </si>
  <si>
    <t>076:15:54.03 W</t>
  </si>
  <si>
    <t>039:40:47.84 N</t>
  </si>
  <si>
    <t>076:15:49.63 W</t>
  </si>
  <si>
    <t>039:40:49.70 N</t>
  </si>
  <si>
    <t>076:15:45.38 W</t>
  </si>
  <si>
    <t>039:40:51.40 N</t>
  </si>
  <si>
    <t>076:15:41.05 W</t>
  </si>
  <si>
    <t>039:40:52.63 N</t>
  </si>
  <si>
    <t>076:15:37.65 W</t>
  </si>
  <si>
    <t>039:40:54.10 N</t>
  </si>
  <si>
    <t>076:15:34.02 W</t>
  </si>
  <si>
    <t>039:40:55.41 N</t>
  </si>
  <si>
    <t>076:15:30.55 W</t>
  </si>
  <si>
    <t>039:40:57.11 N</t>
  </si>
  <si>
    <t>076:15:26.38 W</t>
  </si>
  <si>
    <t>039:40:58.74 N</t>
  </si>
  <si>
    <t>076:15:22.44 W</t>
  </si>
  <si>
    <t>039:41:00.28 N</t>
  </si>
  <si>
    <t>076:15:18.65 W</t>
  </si>
  <si>
    <t>039:41:01.90 N</t>
  </si>
  <si>
    <t>076:15:14.48 W</t>
  </si>
  <si>
    <t>039:41:03.29 N</t>
  </si>
  <si>
    <t>076:15:11.00 W</t>
  </si>
  <si>
    <t>039:41:04.84 N</t>
  </si>
  <si>
    <t>076:15:06.68 W</t>
  </si>
  <si>
    <t>039:41:06.46 N</t>
  </si>
  <si>
    <t>076:15:02.43 W</t>
  </si>
  <si>
    <t>039:41:08.00 N</t>
  </si>
  <si>
    <t>076:14:58.64 W</t>
  </si>
  <si>
    <t>039:41:09.63 N</t>
  </si>
  <si>
    <t>076:14:54.70 W</t>
  </si>
  <si>
    <t>039:41:11.09 N</t>
  </si>
  <si>
    <t>076:14:50.84 W</t>
  </si>
  <si>
    <t>039:41:12.49 N</t>
  </si>
  <si>
    <t>076:14:47.44 W</t>
  </si>
  <si>
    <t>039:41:14.03 N</t>
  </si>
  <si>
    <t>076:14:43.74 W</t>
  </si>
  <si>
    <t>039:41:15.50 N</t>
  </si>
  <si>
    <t>076:14:40.03 W</t>
  </si>
  <si>
    <t>039:41:16.89 N</t>
  </si>
  <si>
    <t>076:14:36.24 W</t>
  </si>
  <si>
    <t>039:41:18.36 N</t>
  </si>
  <si>
    <t>076:14:32.53 W</t>
  </si>
  <si>
    <t>039:41:19.67 N</t>
  </si>
  <si>
    <t>076:14:29.29 W</t>
  </si>
  <si>
    <t>039:41:21.37 N</t>
  </si>
  <si>
    <t>076:14:25.27 W</t>
  </si>
  <si>
    <t>039:41:22.91 N</t>
  </si>
  <si>
    <t>076:14:21.57 W</t>
  </si>
  <si>
    <t>039:41:24.15 N</t>
  </si>
  <si>
    <t>076:14:18.17 W</t>
  </si>
  <si>
    <t>039:41:25.62 N</t>
  </si>
  <si>
    <t>076:14:14.69 W</t>
  </si>
  <si>
    <t>039:41:27.24 N</t>
  </si>
  <si>
    <t>076:14:10.60 W</t>
  </si>
  <si>
    <t>039:41:28.86 N</t>
  </si>
  <si>
    <t>076:14:06.50 W</t>
  </si>
  <si>
    <t>039:41:30.72 N</t>
  </si>
  <si>
    <t>076:14:02.25 W</t>
  </si>
  <si>
    <t>039:41:31.95 N</t>
  </si>
  <si>
    <t>076:13:58.93 W</t>
  </si>
  <si>
    <t>039:41:33.65 N</t>
  </si>
  <si>
    <t>076:13:55.15 W</t>
  </si>
  <si>
    <t>039:41:34.81 N</t>
  </si>
  <si>
    <t>076:13:52.13 W</t>
  </si>
  <si>
    <t>039:41:36.28 N</t>
  </si>
  <si>
    <t>076:13:48.66 W</t>
  </si>
  <si>
    <t>039:41:37.82 N</t>
  </si>
  <si>
    <t>076:13:45.03 W</t>
  </si>
  <si>
    <t>039:41:39.29 N</t>
  </si>
  <si>
    <t>076:13:41.09 W</t>
  </si>
  <si>
    <t>039:41:40.76 N</t>
  </si>
  <si>
    <t>076:13:37.92 W</t>
  </si>
  <si>
    <t>039:41:42.38 N</t>
  </si>
  <si>
    <t>076:13:33.67 W</t>
  </si>
  <si>
    <t>039:41:43.85 N</t>
  </si>
  <si>
    <t>076:13:30.58 W</t>
  </si>
  <si>
    <t>039:41:45.16 N</t>
  </si>
  <si>
    <t>076:13:27.03 W</t>
  </si>
  <si>
    <t>039:41:46.71 N</t>
  </si>
  <si>
    <t>076:13:23.55 W</t>
  </si>
  <si>
    <t>039:41:48.33 N</t>
  </si>
  <si>
    <t>076:13:19.69 W</t>
  </si>
  <si>
    <t>039:41:49.49 N</t>
  </si>
  <si>
    <t>076:13:16.91 W</t>
  </si>
  <si>
    <t>039:41:50.88 N</t>
  </si>
  <si>
    <t>076:13:13.66 W</t>
  </si>
  <si>
    <t>039:41:52.50 N</t>
  </si>
  <si>
    <t>076:13:09.80 W</t>
  </si>
  <si>
    <t>039:41:53.74 N</t>
  </si>
  <si>
    <t>076:13:06.63 W</t>
  </si>
  <si>
    <t>039:41:55.20 N</t>
  </si>
  <si>
    <t>076:13:03.08 W</t>
  </si>
  <si>
    <t>039:41:56.59 N</t>
  </si>
  <si>
    <t>076:12:59.61 W</t>
  </si>
  <si>
    <t>039:41:58.06 N</t>
  </si>
  <si>
    <t>076:12:56.05 W</t>
  </si>
  <si>
    <t>039:41:59.37 N</t>
  </si>
  <si>
    <t>076:12:53.04 W</t>
  </si>
  <si>
    <t>039:42:00.69 N</t>
  </si>
  <si>
    <t>076:12:49.56 W</t>
  </si>
  <si>
    <t>039:42:02.31 N</t>
  </si>
  <si>
    <t>076:12:45.78 W</t>
  </si>
  <si>
    <t>039:42:03.78 N</t>
  </si>
  <si>
    <t>076:12:42.22 W</t>
  </si>
  <si>
    <t>039:42:05.32 N</t>
  </si>
  <si>
    <t>076:12:38.36 W</t>
  </si>
  <si>
    <t>039:42:06.64 N</t>
  </si>
  <si>
    <t>076:12:34.73 W</t>
  </si>
  <si>
    <t>039:42:07.95 N</t>
  </si>
  <si>
    <t>076:12:31.72 W</t>
  </si>
  <si>
    <t>039:42:09.42 N</t>
  </si>
  <si>
    <t>076:12:27.86 W</t>
  </si>
  <si>
    <t>039:42:10.88 N</t>
  </si>
  <si>
    <t>076:12:24.46 W</t>
  </si>
  <si>
    <t>039:42:12.20 N</t>
  </si>
  <si>
    <t>076:12:21.37 W</t>
  </si>
  <si>
    <t>039:42:13.74 N</t>
  </si>
  <si>
    <t>076:12:17.35 W</t>
  </si>
  <si>
    <t>039:42:15.21 N</t>
  </si>
  <si>
    <t>076:12:13.64 W</t>
  </si>
  <si>
    <t>039:42:16.52 N</t>
  </si>
  <si>
    <t>076:12:10.48 W</t>
  </si>
  <si>
    <t>039:42:18.07 N</t>
  </si>
  <si>
    <t>076:12:06.61 W</t>
  </si>
  <si>
    <t>039:42:19.15 N</t>
  </si>
  <si>
    <t>076:12:03.60 W</t>
  </si>
  <si>
    <t>039:42:20.62 N</t>
  </si>
  <si>
    <t>076:12:00.12 W</t>
  </si>
  <si>
    <t>039:42:21.93 N</t>
  </si>
  <si>
    <t>076:11:56.73 W</t>
  </si>
  <si>
    <t>039:42:23.24 N</t>
  </si>
  <si>
    <t>076:11:53.25 W</t>
  </si>
  <si>
    <t>039:42:24.87 N</t>
  </si>
  <si>
    <t>076:11:49.46 W</t>
  </si>
  <si>
    <t>039:42:26.10 N</t>
  </si>
  <si>
    <t>076:11:46.37 W</t>
  </si>
  <si>
    <t>039:42:27.42 N</t>
  </si>
  <si>
    <t>076:11:42.98 W</t>
  </si>
  <si>
    <t>039:42:28.88 N</t>
  </si>
  <si>
    <t>076:11:39.50 W</t>
  </si>
  <si>
    <t>039:42:30.51 N</t>
  </si>
  <si>
    <t>076:11:35.17 W</t>
  </si>
  <si>
    <t>039:42:32.13 N</t>
  </si>
  <si>
    <t>076:11:31.47 W</t>
  </si>
  <si>
    <t>039:42:33.36 N</t>
  </si>
  <si>
    <t>076:11:28.53 W</t>
  </si>
  <si>
    <t>039:42:34.75 N</t>
  </si>
  <si>
    <t>076:11:24.67 W</t>
  </si>
  <si>
    <t>039:42:36.30 N</t>
  </si>
  <si>
    <t>076:11:20.81 W</t>
  </si>
  <si>
    <t>039:42:37.84 N</t>
  </si>
  <si>
    <t>076:11:17.17 W</t>
  </si>
  <si>
    <t>039:42:39.31 N</t>
  </si>
  <si>
    <t>076:11:13.70 W</t>
  </si>
  <si>
    <t>039:42:40.62 N</t>
  </si>
  <si>
    <t>076:11:10.38 W</t>
  </si>
  <si>
    <t>039:42:42.02 N</t>
  </si>
  <si>
    <t>076:11:06.90 W</t>
  </si>
  <si>
    <t>039:42:43.56 N</t>
  </si>
  <si>
    <t>076:11:03.19 W</t>
  </si>
  <si>
    <t>039:42:44.87 N</t>
  </si>
  <si>
    <t>076:11:00.03 W</t>
  </si>
  <si>
    <t>039:42:46.34 N</t>
  </si>
  <si>
    <t>076:10:56.78 W</t>
  </si>
  <si>
    <t>039:42:47.81 N</t>
  </si>
  <si>
    <t>076:10:52.84 W</t>
  </si>
  <si>
    <t>039:42:49.12 N</t>
  </si>
  <si>
    <t>076:10:49.60 W</t>
  </si>
  <si>
    <t>039:42:50.67 N</t>
  </si>
  <si>
    <t>076:10:46.20 W</t>
  </si>
  <si>
    <t>039:42:52.21 N</t>
  </si>
  <si>
    <t>076:10:42.49 W</t>
  </si>
  <si>
    <t>039:42:53.53 N</t>
  </si>
  <si>
    <t>076:10:38.94 W</t>
  </si>
  <si>
    <t>039:42:54.76 N</t>
  </si>
  <si>
    <t>076:10:36.08 W</t>
  </si>
  <si>
    <t>039:42:56.07 N</t>
  </si>
  <si>
    <t>076:10:33.07 W</t>
  </si>
  <si>
    <t>039:42:57.54 N</t>
  </si>
  <si>
    <t>076:10:29.20 W</t>
  </si>
  <si>
    <t>039:42:59.01 N</t>
  </si>
  <si>
    <t>076:10:25.81 W</t>
  </si>
  <si>
    <t>039:43:00.32 N</t>
  </si>
  <si>
    <t>076:10:22.56 W</t>
  </si>
  <si>
    <t>039:43:01.64 N</t>
  </si>
  <si>
    <t>076:10:19.39 W</t>
  </si>
  <si>
    <t>039:43:03.18 N</t>
  </si>
  <si>
    <t>076:10:15.69 W</t>
  </si>
  <si>
    <t>039:43:04.49 N</t>
  </si>
  <si>
    <t>076:10:12.21 W</t>
  </si>
  <si>
    <t>039:43:05.81 N</t>
  </si>
  <si>
    <t>076:10:09.27 W</t>
  </si>
  <si>
    <t>039:43:06.97 N</t>
  </si>
  <si>
    <t>076:10:06.18 W</t>
  </si>
  <si>
    <t>039:43:08.43 N</t>
  </si>
  <si>
    <t>076:10:02.79 W</t>
  </si>
  <si>
    <t>039:43:09.67 N</t>
  </si>
  <si>
    <t>076:09:59.85 W</t>
  </si>
  <si>
    <t>039:43:10.91 N</t>
  </si>
  <si>
    <t>076:09:56.76 W</t>
  </si>
  <si>
    <t>039:43:12.30 N</t>
  </si>
  <si>
    <t>076:09:53.05 W</t>
  </si>
  <si>
    <t>039:43:13.69 N</t>
  </si>
  <si>
    <t>076:09:49.50 W</t>
  </si>
  <si>
    <t>039:43:15.00 N</t>
  </si>
  <si>
    <t>076:09:46.25 W</t>
  </si>
  <si>
    <t>039:43:16.54 N</t>
  </si>
  <si>
    <t>076:09:42.55 W</t>
  </si>
  <si>
    <t>039:43:18.01 N</t>
  </si>
  <si>
    <t>076:09:38.76 W</t>
  </si>
  <si>
    <t>039:43:19.40 N</t>
  </si>
  <si>
    <t>076:09:35.44 W</t>
  </si>
  <si>
    <t>039:43:20.79 N</t>
  </si>
  <si>
    <t>076:09:31.58 W</t>
  </si>
  <si>
    <t>039:43:21.95 N</t>
  </si>
  <si>
    <t>076:09:29.03 W</t>
  </si>
  <si>
    <t>039:43:23.19 N</t>
  </si>
  <si>
    <t>076:09:25.78 W</t>
  </si>
  <si>
    <t>039:43:24.58 N</t>
  </si>
  <si>
    <t>076:09:22.15 W</t>
  </si>
  <si>
    <t>039:43:25.89 N</t>
  </si>
  <si>
    <t>076:09:19.22 W</t>
  </si>
  <si>
    <t>039:43:27.05 N</t>
  </si>
  <si>
    <t>076:09:16.13 W</t>
  </si>
  <si>
    <t>039:43:28.29 N</t>
  </si>
  <si>
    <t>076:09:13.04 W</t>
  </si>
  <si>
    <t>039:43:29.83 N</t>
  </si>
  <si>
    <t>076:09:09.25 W</t>
  </si>
  <si>
    <t>039:43:31.14 N</t>
  </si>
  <si>
    <t>076:09:06.01 W</t>
  </si>
  <si>
    <t>039:43:32.46 N</t>
  </si>
  <si>
    <t>076:09:02.61 W</t>
  </si>
  <si>
    <t>039:43:33.93 N</t>
  </si>
  <si>
    <t>076:08:58.75 W</t>
  </si>
  <si>
    <t>039:43:35.47 N</t>
  </si>
  <si>
    <t>076:08:55.50 W</t>
  </si>
  <si>
    <t>039:43:36.63 N</t>
  </si>
  <si>
    <t>076:08:52.49 W</t>
  </si>
  <si>
    <t>039:43:38.17 N</t>
  </si>
  <si>
    <t>076:08:48.63 W</t>
  </si>
  <si>
    <t>039:43:39.72 N</t>
  </si>
  <si>
    <t>076:08:45.00 W</t>
  </si>
  <si>
    <t>039:43:40.96 N</t>
  </si>
  <si>
    <t>076:08:42.06 W</t>
  </si>
  <si>
    <t>039:43:42.19 N</t>
  </si>
  <si>
    <t>076:08:38.97 W</t>
  </si>
  <si>
    <t>039:43:43.66 N</t>
  </si>
  <si>
    <t>076:08:35.26 W</t>
  </si>
  <si>
    <t>039:43:45.20 N</t>
  </si>
  <si>
    <t>076:08:31.94 W</t>
  </si>
  <si>
    <t>039:43:46.52 N</t>
  </si>
  <si>
    <t>076:08:28.70 W</t>
  </si>
  <si>
    <t>039:43:47.83 N</t>
  </si>
  <si>
    <t>076:08:25.38 W</t>
  </si>
  <si>
    <t>039:43:49.07 N</t>
  </si>
  <si>
    <t>076:08:22.52 W</t>
  </si>
  <si>
    <t>039:43:50.30 N</t>
  </si>
  <si>
    <t>076:08:19.35 W</t>
  </si>
  <si>
    <t>039:43:51.54 N</t>
  </si>
  <si>
    <t>076:08:16.34 W</t>
  </si>
  <si>
    <t>039:43:52.85 N</t>
  </si>
  <si>
    <t>076:08:12.86 W</t>
  </si>
  <si>
    <t>039:43:54.09 N</t>
  </si>
  <si>
    <t>076:08:09.93 W</t>
  </si>
  <si>
    <t>039:43:55.40 N</t>
  </si>
  <si>
    <t>076:08:06.91 W</t>
  </si>
  <si>
    <t>039:43:56.71 N</t>
  </si>
  <si>
    <t>076:08:03.36 W</t>
  </si>
  <si>
    <t>039:43:58.18 N</t>
  </si>
  <si>
    <t>076:07:59.58 W</t>
  </si>
  <si>
    <t>039:43:59.49 N</t>
  </si>
  <si>
    <t>076:07:56.18 W</t>
  </si>
  <si>
    <t>039:44:00.73 N</t>
  </si>
  <si>
    <t>076:07:53.09 W</t>
  </si>
  <si>
    <t>039:44:01.97 N</t>
  </si>
  <si>
    <t>076:07:50.15 W</t>
  </si>
  <si>
    <t>039:44:03.28 N</t>
  </si>
  <si>
    <t>076:07:47.14 W</t>
  </si>
  <si>
    <t>039:44:04.59 N</t>
  </si>
  <si>
    <t>076:07:43.59 W</t>
  </si>
  <si>
    <t>039:44:06.14 N</t>
  </si>
  <si>
    <t>076:07:39.41 W</t>
  </si>
  <si>
    <t>039:44:07.45 N</t>
  </si>
  <si>
    <t>076:07:36.17 W</t>
  </si>
  <si>
    <t>039:44:08.84 N</t>
  </si>
  <si>
    <t>076:07:32.85 W</t>
  </si>
  <si>
    <t>039:44:10.15 N</t>
  </si>
  <si>
    <t>076:07:29.37 W</t>
  </si>
  <si>
    <t>039:44:11.70 N</t>
  </si>
  <si>
    <t>076:07:25.66 W</t>
  </si>
  <si>
    <t>039:44:13.17 N</t>
  </si>
  <si>
    <t>076:07:21.88 W</t>
  </si>
  <si>
    <t>039:44:14.33 N</t>
  </si>
  <si>
    <t>076:07:18.79 W</t>
  </si>
  <si>
    <t>039:44:15.87 N</t>
  </si>
  <si>
    <t>076:07:15.08 W</t>
  </si>
  <si>
    <t>039:44:17.18 N</t>
  </si>
  <si>
    <t>076:07:12.07 W</t>
  </si>
  <si>
    <t>039:44:18.50 N</t>
  </si>
  <si>
    <t>076:07:08.44 W</t>
  </si>
  <si>
    <t>039:44:19.81 N</t>
  </si>
  <si>
    <t>076:07:05.19 W</t>
  </si>
  <si>
    <t>039:44:21.12 N</t>
  </si>
  <si>
    <t>076:07:02.03 W</t>
  </si>
  <si>
    <t>039:44:22.36 N</t>
  </si>
  <si>
    <t>076:06:58.78 W</t>
  </si>
  <si>
    <t>039:44:23.75 N</t>
  </si>
  <si>
    <t>076:06:55.54 W</t>
  </si>
  <si>
    <t>039:44:24.91 N</t>
  </si>
  <si>
    <t>076:06:52.52 W</t>
  </si>
  <si>
    <t>039:44:26.38 N</t>
  </si>
  <si>
    <t>076:06:48.66 W</t>
  </si>
  <si>
    <t>039:44:27.69 N</t>
  </si>
  <si>
    <t>076:06:45.65 W</t>
  </si>
  <si>
    <t>039:44:29.08 N</t>
  </si>
  <si>
    <t>076:06:42.10 W</t>
  </si>
  <si>
    <t>039:44:30.70 N</t>
  </si>
  <si>
    <t>076:06:38.39 W</t>
  </si>
  <si>
    <t>039:44:32.02 N</t>
  </si>
  <si>
    <t>076:06:34.91 W</t>
  </si>
  <si>
    <t>039:44:33.25 N</t>
  </si>
  <si>
    <t>076:06:31.98 W</t>
  </si>
  <si>
    <t>039:44:34.64 N</t>
  </si>
  <si>
    <t>076:06:28.50 W</t>
  </si>
  <si>
    <t>039:44:35.96 N</t>
  </si>
  <si>
    <t>076:06:25.18 W</t>
  </si>
  <si>
    <t>039:44:37.42 N</t>
  </si>
  <si>
    <t>076:06:21.39 W</t>
  </si>
  <si>
    <t>039:44:38.66 N</t>
  </si>
  <si>
    <t>076:06:18.38 W</t>
  </si>
  <si>
    <t>039:44:40.05 N</t>
  </si>
  <si>
    <t>076:06:14.67 W</t>
  </si>
  <si>
    <t>039:44:41.29 N</t>
  </si>
  <si>
    <t>076:06:11.58 W</t>
  </si>
  <si>
    <t>039:44:42.68 N</t>
  </si>
  <si>
    <t>076:06:08.26 W</t>
  </si>
  <si>
    <t>039:44:43.83 N</t>
  </si>
  <si>
    <t>076:06:05.25 W</t>
  </si>
  <si>
    <t>039:44:45.38 N</t>
  </si>
  <si>
    <t>076:06:01.46 W</t>
  </si>
  <si>
    <t>039:44:46.46 N</t>
  </si>
  <si>
    <t>076:05:58.37 W</t>
  </si>
  <si>
    <t>039:44:48.01 N</t>
  </si>
  <si>
    <t>076:05:55.13 W</t>
  </si>
  <si>
    <t>039:44:49.16 N</t>
  </si>
  <si>
    <t>076:05:52.04 W</t>
  </si>
  <si>
    <t>039:44:50.56 N</t>
  </si>
  <si>
    <t>076:05:48.72 W</t>
  </si>
  <si>
    <t>039:44:51.87 N</t>
  </si>
  <si>
    <t>076:05:45.16 W</t>
  </si>
  <si>
    <t>039:44:53.10 N</t>
  </si>
  <si>
    <t>076:05:42.23 W</t>
  </si>
  <si>
    <t>039:44:54.19 N</t>
  </si>
  <si>
    <t>076:05:39.29 W</t>
  </si>
  <si>
    <t>039:44:55.27 N</t>
  </si>
  <si>
    <t>076:05:36.44 W</t>
  </si>
  <si>
    <t>039:44:56.74 N</t>
  </si>
  <si>
    <t>076:05:32.81 W</t>
  </si>
  <si>
    <t>039:44:58.20 N</t>
  </si>
  <si>
    <t>076:05:29.33 W</t>
  </si>
  <si>
    <t>039:44:59.28 N</t>
  </si>
  <si>
    <t>076:05:26.32 W</t>
  </si>
  <si>
    <t>039:45:00.52 N</t>
  </si>
  <si>
    <t>076:05:23.30 W</t>
  </si>
  <si>
    <t>039:45:01.83 N</t>
  </si>
  <si>
    <t>076:05:19.90 W</t>
  </si>
  <si>
    <t>039:45:03.07 N</t>
  </si>
  <si>
    <t>076:05:16.81 W</t>
  </si>
  <si>
    <t>039:45:04.31 N</t>
  </si>
  <si>
    <t>076:05:13.88 W</t>
  </si>
  <si>
    <t>039:45:05.62 N</t>
  </si>
  <si>
    <t>076:05:10.40 W</t>
  </si>
  <si>
    <t>039:45:07.16 N</t>
  </si>
  <si>
    <t>076:05:06.77 W</t>
  </si>
  <si>
    <t>039:45:08.48 N</t>
  </si>
  <si>
    <t>076:05:03.22 W</t>
  </si>
  <si>
    <t>039:45:09.79 N</t>
  </si>
  <si>
    <t>076:04:59.90 W</t>
  </si>
  <si>
    <t>039:45:11.18 N</t>
  </si>
  <si>
    <t>076:04:56.27 W</t>
  </si>
  <si>
    <t>039:45:12.49 N</t>
  </si>
  <si>
    <t>076:04:53.10 W</t>
  </si>
  <si>
    <t>039:45:13.81 N</t>
  </si>
  <si>
    <t>076:04:49.39 W</t>
  </si>
  <si>
    <t>039:45:15.20 N</t>
  </si>
  <si>
    <t>076:04:46.30 W</t>
  </si>
  <si>
    <t>039:45:16.66 N</t>
  </si>
  <si>
    <t>076:04:42.36 W</t>
  </si>
  <si>
    <t>039:45:17.82 N</t>
  </si>
  <si>
    <t>076:04:39.74 W</t>
  </si>
  <si>
    <t>039:45:19.29 N</t>
  </si>
  <si>
    <t>076:04:36.03 W</t>
  </si>
  <si>
    <t>039:45:20.60 N</t>
  </si>
  <si>
    <t>076:04:32.63 W</t>
  </si>
  <si>
    <t>039:45:22.23 N</t>
  </si>
  <si>
    <t>076:04:28.54 W</t>
  </si>
  <si>
    <t>039:45:23.69 N</t>
  </si>
  <si>
    <t>076:04:25.06 W</t>
  </si>
  <si>
    <t>039:45:25.24 N</t>
  </si>
  <si>
    <t>076:04:21.20 W</t>
  </si>
  <si>
    <t>039:45:26.71 N</t>
  </si>
  <si>
    <t>076:04:17.49 W</t>
  </si>
  <si>
    <t>039:45:28.02 N</t>
  </si>
  <si>
    <t>076:04:14.32 W</t>
  </si>
  <si>
    <t>039:45:29.33 N</t>
  </si>
  <si>
    <t>076:04:11.08 W</t>
  </si>
  <si>
    <t>039:45:30.49 N</t>
  </si>
  <si>
    <t>076:04:08.30 W</t>
  </si>
  <si>
    <t>039:45:31.96 N</t>
  </si>
  <si>
    <t>076:04:04.59 W</t>
  </si>
  <si>
    <t>039:45:33.27 N</t>
  </si>
  <si>
    <t>076:04:01.65 W</t>
  </si>
  <si>
    <t>039:45:34.82 N</t>
  </si>
  <si>
    <t>076:03:57.94 W</t>
  </si>
  <si>
    <t>039:45:36.13 N</t>
  </si>
  <si>
    <t>076:03:54.70 W</t>
  </si>
  <si>
    <t>039:45:37.60 N</t>
  </si>
  <si>
    <t>076:03:50.92 W</t>
  </si>
  <si>
    <t>039:45:38.83 N</t>
  </si>
  <si>
    <t>076:03:47.83 W</t>
  </si>
  <si>
    <t>039:45:40.38 N</t>
  </si>
  <si>
    <t>076:03:44.27 W</t>
  </si>
  <si>
    <t>039:45:41.85 N</t>
  </si>
  <si>
    <t>076:03:40.41 W</t>
  </si>
  <si>
    <t>039:45:43.32 N</t>
  </si>
  <si>
    <t>076:03:37.09 W</t>
  </si>
  <si>
    <t>039:45:44.86 N</t>
  </si>
  <si>
    <t>076:03:33.53 W</t>
  </si>
  <si>
    <t>039:45:46.17 N</t>
  </si>
  <si>
    <t>076:03:30.06 W</t>
  </si>
  <si>
    <t>039:45:47.33 N</t>
  </si>
  <si>
    <t>076:03:26.97 W</t>
  </si>
  <si>
    <t>039:45:48.65 N</t>
  </si>
  <si>
    <t>076:03:24.03 W</t>
  </si>
  <si>
    <t>039:45:49.96 N</t>
  </si>
  <si>
    <t>076:03:20.63 W</t>
  </si>
  <si>
    <t>039:45:51.27 N</t>
  </si>
  <si>
    <t>076:03:17.16 W</t>
  </si>
  <si>
    <t>157-11</t>
  </si>
  <si>
    <t>HZL</t>
  </si>
  <si>
    <t>039:45:52.59 N</t>
  </si>
  <si>
    <t>076:03:13.91 W</t>
  </si>
  <si>
    <t>039:45:54.05 N</t>
  </si>
  <si>
    <t>076:03:10.51 W</t>
  </si>
  <si>
    <t>039:45:55.37 N</t>
  </si>
  <si>
    <t>076:03:06.73 W</t>
  </si>
  <si>
    <t>039:45:56.68 N</t>
  </si>
  <si>
    <t>076:03:03.87 W</t>
  </si>
  <si>
    <t>039:45:57.92 N</t>
  </si>
  <si>
    <t>076:03:00.63 W</t>
  </si>
  <si>
    <t>039:45:59.31 N</t>
  </si>
  <si>
    <t>076:02:56.92 W</t>
  </si>
  <si>
    <t>039:46:00.77 N</t>
  </si>
  <si>
    <t>076:02:53.37 W</t>
  </si>
  <si>
    <t>039:46:02.40 N</t>
  </si>
  <si>
    <t>076:02:49.19 W</t>
  </si>
  <si>
    <t>039:46:03.79 N</t>
  </si>
  <si>
    <t>076:02:45.87 W</t>
  </si>
  <si>
    <t>039:46:05.25 N</t>
  </si>
  <si>
    <t>076:02:42.09 W</t>
  </si>
  <si>
    <t>039:46:06.26 N</t>
  </si>
  <si>
    <t>076:02:39.08 W</t>
  </si>
  <si>
    <t>039:46:07.49 N</t>
  </si>
  <si>
    <t>076:02:36.22 W</t>
  </si>
  <si>
    <t>039:46:08.81 N</t>
  </si>
  <si>
    <t>076:02:32.90 W</t>
  </si>
  <si>
    <t>039:46:10.20 N</t>
  </si>
  <si>
    <t>076:02:29.26 W</t>
  </si>
  <si>
    <t>039:46:11.67 N</t>
  </si>
  <si>
    <t>076:02:25.48 W</t>
  </si>
  <si>
    <t>039:46:12.82 N</t>
  </si>
  <si>
    <t>076:02:22.31 W</t>
  </si>
  <si>
    <t>039:46:14.37 N</t>
  </si>
  <si>
    <t>076:02:18.68 W</t>
  </si>
  <si>
    <t>039:46:15.68 N</t>
  </si>
  <si>
    <t>076:02:15.36 W</t>
  </si>
  <si>
    <t>039:46:16.76 N</t>
  </si>
  <si>
    <t>076:02:12.27 W</t>
  </si>
  <si>
    <t>039:46:18.39 N</t>
  </si>
  <si>
    <t>076:02:08.33 W</t>
  </si>
  <si>
    <t>039:46:19.54 N</t>
  </si>
  <si>
    <t>076:02:05.01 W</t>
  </si>
  <si>
    <t>039:46:20.70 N</t>
  </si>
  <si>
    <t>076:02:02.38 W</t>
  </si>
  <si>
    <t>039:46:22.02 N</t>
  </si>
  <si>
    <t>076:01:59.06 W</t>
  </si>
  <si>
    <t>039:46:23.41 N</t>
  </si>
  <si>
    <t>076:01:55.58 W</t>
  </si>
  <si>
    <t>039:46:24.57 N</t>
  </si>
  <si>
    <t>076:01:52.49 W</t>
  </si>
  <si>
    <t>039:46:25.88 N</t>
  </si>
  <si>
    <t>076:01:49.02 W</t>
  </si>
  <si>
    <t>039:46:27.27 N</t>
  </si>
  <si>
    <t>076:01:45.47 W</t>
  </si>
  <si>
    <t>039:46:28.51 N</t>
  </si>
  <si>
    <t>076:01:42.38 W</t>
  </si>
  <si>
    <t>039:46:29.82 N</t>
  </si>
  <si>
    <t>076:01:38.90 W</t>
  </si>
  <si>
    <t>039:46:31.13 N</t>
  </si>
  <si>
    <t>076:01:35.50 W</t>
  </si>
  <si>
    <t>039:46:32.60 N</t>
  </si>
  <si>
    <t>076:01:31.87 W</t>
  </si>
  <si>
    <t>039:46:33.91 N</t>
  </si>
  <si>
    <t>076:01:28.55 W</t>
  </si>
  <si>
    <t>039:46:35.38 N</t>
  </si>
  <si>
    <t>076:01:24.99 W</t>
  </si>
  <si>
    <t>039:46:36.77 N</t>
  </si>
  <si>
    <t>076:01:21.52 W</t>
  </si>
  <si>
    <t>039:46:38.08 N</t>
  </si>
  <si>
    <t>076:01:18.04 W</t>
  </si>
  <si>
    <t>039:46:39.40 N</t>
  </si>
  <si>
    <t>076:01:14.64 W</t>
  </si>
  <si>
    <t>039:46:40.63 N</t>
  </si>
  <si>
    <t>076:01:11.63 W</t>
  </si>
  <si>
    <t>039:46:41.95 N</t>
  </si>
  <si>
    <t>076:01:08.31 W</t>
  </si>
  <si>
    <t>039:46:43.49 N</t>
  </si>
  <si>
    <t>076:01:04.37 W</t>
  </si>
  <si>
    <t>039:46:44.80 N</t>
  </si>
  <si>
    <t>076:01:00.89 W</t>
  </si>
  <si>
    <t>039:46:46.12 N</t>
  </si>
  <si>
    <t>076:00:57.88 W</t>
  </si>
  <si>
    <t>039:46:47.43 N</t>
  </si>
  <si>
    <t>076:00:54.40 W</t>
  </si>
  <si>
    <t>039:46:48.67 N</t>
  </si>
  <si>
    <t>076:00:51.39 W</t>
  </si>
  <si>
    <t>039:46:50.06 N</t>
  </si>
  <si>
    <t>076:00:48.15 W</t>
  </si>
  <si>
    <t>039:46:51.37 N</t>
  </si>
  <si>
    <t>076:00:44.83 W</t>
  </si>
  <si>
    <t>039:46:53.07 N</t>
  </si>
  <si>
    <t>076:00:40.65 W</t>
  </si>
  <si>
    <t>039:46:54.38 N</t>
  </si>
  <si>
    <t>076:00:37.33 W</t>
  </si>
  <si>
    <t>039:46:55.54 N</t>
  </si>
  <si>
    <t>076:00:34.24 W</t>
  </si>
  <si>
    <t>039:46:56.70 N</t>
  </si>
  <si>
    <t>076:00:31.23 W</t>
  </si>
  <si>
    <t>039:46:58.40 N</t>
  </si>
  <si>
    <t>076:00:27.21 W</t>
  </si>
  <si>
    <t>039:46:59.79 N</t>
  </si>
  <si>
    <t>076:00:23.51 W</t>
  </si>
  <si>
    <t>039:47:01.26 N</t>
  </si>
  <si>
    <t>076:00:20.26 W</t>
  </si>
  <si>
    <t>039:47:02.57 N</t>
  </si>
  <si>
    <t>076:00:16.79 W</t>
  </si>
  <si>
    <t>039:47:04.12 N</t>
  </si>
  <si>
    <t>076:00:13.15 W</t>
  </si>
  <si>
    <t>039:47:05.58 N</t>
  </si>
  <si>
    <t>076:00:09.52 W</t>
  </si>
  <si>
    <t>039:47:07.13 N</t>
  </si>
  <si>
    <t>076:00:05.74 W</t>
  </si>
  <si>
    <t>039:47:08.44 N</t>
  </si>
  <si>
    <t>076:00:02.42 W</t>
  </si>
  <si>
    <t>039:47:09.83 N</t>
  </si>
  <si>
    <t>075:59:59.10 W</t>
  </si>
  <si>
    <t>039:47:11.15 N</t>
  </si>
  <si>
    <t>075:59:55.62 W</t>
  </si>
  <si>
    <t>039:47:12.46 N</t>
  </si>
  <si>
    <t>075:59:52.30 W</t>
  </si>
  <si>
    <t>039:47:13.85 N</t>
  </si>
  <si>
    <t>075:59:48.98 W</t>
  </si>
  <si>
    <t>039:47:15.16 N</t>
  </si>
  <si>
    <t>075:59:45.73 W</t>
  </si>
  <si>
    <t>039:47:16.48 N</t>
  </si>
  <si>
    <t>075:59:42.18 W</t>
  </si>
  <si>
    <t>039:47:18.02 N</t>
  </si>
  <si>
    <t>075:59:38.93 W</t>
  </si>
  <si>
    <t>039:47:19.49 N</t>
  </si>
  <si>
    <t>075:59:34.92 W</t>
  </si>
  <si>
    <t>039:47:20.88 N</t>
  </si>
  <si>
    <t>075:59:31.67 W</t>
  </si>
  <si>
    <t>039:47:22.04 N</t>
  </si>
  <si>
    <t>075:59:28.66 W</t>
  </si>
  <si>
    <t>039:47:23.35 N</t>
  </si>
  <si>
    <t>075:59:25.49 W</t>
  </si>
  <si>
    <t>039:47:24.74 N</t>
  </si>
  <si>
    <t>075:59:22.17 W</t>
  </si>
  <si>
    <t>039:47:26.05 N</t>
  </si>
  <si>
    <t>075:59:18.93 W</t>
  </si>
  <si>
    <t>039:47:27.52 N</t>
  </si>
  <si>
    <t>075:59:15.14 W</t>
  </si>
  <si>
    <t>039:47:28.76 N</t>
  </si>
  <si>
    <t>075:59:12.13 W</t>
  </si>
  <si>
    <t>039:47:30.30 N</t>
  </si>
  <si>
    <t>075:59:08.50 W</t>
  </si>
  <si>
    <t>039:47:31.62 N</t>
  </si>
  <si>
    <t>075:59:05.02 W</t>
  </si>
  <si>
    <t>039:47:32.78 N</t>
  </si>
  <si>
    <t>075:59:02.01 W</t>
  </si>
  <si>
    <t>039:47:33.93 N</t>
  </si>
  <si>
    <t>075:58:59.23 W</t>
  </si>
  <si>
    <t>039:47:35.48 N</t>
  </si>
  <si>
    <t>075:58:55.37 W</t>
  </si>
  <si>
    <t>039:47:36.48 N</t>
  </si>
  <si>
    <t>075:58:52.74 W</t>
  </si>
  <si>
    <t>039:47:37.80 N</t>
  </si>
  <si>
    <t>075:58:49.50 W</t>
  </si>
  <si>
    <t>039:47:39.03 N</t>
  </si>
  <si>
    <t>075:58:46.33 W</t>
  </si>
  <si>
    <t>039:47:40.35 N</t>
  </si>
  <si>
    <t>075:58:43.08 W</t>
  </si>
  <si>
    <t>039:47:41.81 N</t>
  </si>
  <si>
    <t>075:58:39.38 W</t>
  </si>
  <si>
    <t>039:47:43.28 N</t>
  </si>
  <si>
    <t>075:58:35.59 W</t>
  </si>
  <si>
    <t>039:47:44.59 N</t>
  </si>
  <si>
    <t>075:58:32.35 W</t>
  </si>
  <si>
    <t>039:47:45.98 N</t>
  </si>
  <si>
    <t>075:58:28.95 W</t>
  </si>
  <si>
    <t>039:47:47.53 N</t>
  </si>
  <si>
    <t>075:58:25.08 W</t>
  </si>
  <si>
    <t>039:47:48.61 N</t>
  </si>
  <si>
    <t>075:58:22.23 W</t>
  </si>
  <si>
    <t>039:47:49.85 N</t>
  </si>
  <si>
    <t>075:58:19.14 W</t>
  </si>
  <si>
    <t>039:47:51.24 N</t>
  </si>
  <si>
    <t>075:58:15.35 W</t>
  </si>
  <si>
    <t>039:47:52.55 N</t>
  </si>
  <si>
    <t>075:58:12.18 W</t>
  </si>
  <si>
    <t>039:47:53.71 N</t>
  </si>
  <si>
    <t>075:58:09.02 W</t>
  </si>
  <si>
    <t>039:47:55.02 N</t>
  </si>
  <si>
    <t>075:58:06.16 W</t>
  </si>
  <si>
    <t>039:47:56.26 N</t>
  </si>
  <si>
    <t>075:58:03.07 W</t>
  </si>
  <si>
    <t>039:47:57.65 N</t>
  </si>
  <si>
    <t>075:57:59.28 W</t>
  </si>
  <si>
    <t>039:47:59.04 N</t>
  </si>
  <si>
    <t>075:57:55.65 W</t>
  </si>
  <si>
    <t>039:48:00.43 N</t>
  </si>
  <si>
    <t>075:57:52.10 W</t>
  </si>
  <si>
    <t>039:48:01.59 N</t>
  </si>
  <si>
    <t>075:57:49.16 W</t>
  </si>
  <si>
    <t>039:48:02.90 N</t>
  </si>
  <si>
    <t>075:57:45.69 W</t>
  </si>
  <si>
    <t>039:48:04.21 N</t>
  </si>
  <si>
    <t>075:57:42.52 W</t>
  </si>
  <si>
    <t>039:48:05.76 N</t>
  </si>
  <si>
    <t>075:57:38.74 W</t>
  </si>
  <si>
    <t>039:48:07.15 N</t>
  </si>
  <si>
    <t>075:57:35.18 W</t>
  </si>
  <si>
    <t>039:48:08.46 N</t>
  </si>
  <si>
    <t>075:57:31.94 W</t>
  </si>
  <si>
    <t>039:48:09.70 N</t>
  </si>
  <si>
    <t>075:57:28.93 W</t>
  </si>
  <si>
    <t>039:48:11.17 N</t>
  </si>
  <si>
    <t>075:57:25.06 W</t>
  </si>
  <si>
    <t>039:48:12.48 N</t>
  </si>
  <si>
    <t>075:57:21.82 W</t>
  </si>
  <si>
    <t>039:48:13.79 N</t>
  </si>
  <si>
    <t>075:57:18.50 W</t>
  </si>
  <si>
    <t>039:48:14.80 N</t>
  </si>
  <si>
    <t>075:57:15.64 W</t>
  </si>
  <si>
    <t>039:48:16.11 N</t>
  </si>
  <si>
    <t>075:57:12.63 W</t>
  </si>
  <si>
    <t>039:48:17.35 N</t>
  </si>
  <si>
    <t>075:57:09.69 W</t>
  </si>
  <si>
    <t>039:48:18.58 N</t>
  </si>
  <si>
    <t>075:57:06.60 W</t>
  </si>
  <si>
    <t>039:48:19.90 N</t>
  </si>
  <si>
    <t>075:57:03.13 W</t>
  </si>
  <si>
    <t>039:48:21.05 N</t>
  </si>
  <si>
    <t>075:57:00.58 W</t>
  </si>
  <si>
    <t>039:48:22.52 N</t>
  </si>
  <si>
    <t>075:56:56.71 W</t>
  </si>
  <si>
    <t>039:48:23.99 N</t>
  </si>
  <si>
    <t>075:56:53.08 W</t>
  </si>
  <si>
    <t>039:48:25.30 N</t>
  </si>
  <si>
    <t>075:56:49.61 W</t>
  </si>
  <si>
    <t>039:48:26.54 N</t>
  </si>
  <si>
    <t>075:56:46.67 W</t>
  </si>
  <si>
    <t>039:48:28.08 N</t>
  </si>
  <si>
    <t>075:56:43.12 W</t>
  </si>
  <si>
    <t>039:48:29.32 N</t>
  </si>
  <si>
    <t>075:56:40.18 W</t>
  </si>
  <si>
    <t>039:48:30.63 N</t>
  </si>
  <si>
    <t>075:56:36.71 W</t>
  </si>
  <si>
    <t>039:48:32.10 N</t>
  </si>
  <si>
    <t>075:56:33.46 W</t>
  </si>
  <si>
    <t>039:48:33.41 N</t>
  </si>
  <si>
    <t>075:56:30.06 W</t>
  </si>
  <si>
    <t>039:48:34.96 N</t>
  </si>
  <si>
    <t>075:56:26.20 W</t>
  </si>
  <si>
    <t>039:48:36.20 N</t>
  </si>
  <si>
    <t>075:56:23.19 W</t>
  </si>
  <si>
    <t>039:48:37.82 N</t>
  </si>
  <si>
    <t>075:56:19.63 W</t>
  </si>
  <si>
    <t>039:48:39.21 N</t>
  </si>
  <si>
    <t>075:56:15.85 W</t>
  </si>
  <si>
    <t>039:48:40.83 N</t>
  </si>
  <si>
    <t>075:56:12.14 W</t>
  </si>
  <si>
    <t>039:48:42.14 N</t>
  </si>
  <si>
    <t>075:56:08.82 W</t>
  </si>
  <si>
    <t>039:48:43.46 N</t>
  </si>
  <si>
    <t>075:56:05.58 W</t>
  </si>
  <si>
    <t>039:48:44.77 N</t>
  </si>
  <si>
    <t>075:56:02.10 W</t>
  </si>
  <si>
    <t>039:48:46.16 N</t>
  </si>
  <si>
    <t>075:55:58.55 W</t>
  </si>
  <si>
    <t>039:48:47.55 N</t>
  </si>
  <si>
    <t>075:55:55.22 W</t>
  </si>
  <si>
    <t>039:48:48.86 N</t>
  </si>
  <si>
    <t>075:55:51.75 W</t>
  </si>
  <si>
    <t>039:48:50.02 N</t>
  </si>
  <si>
    <t>075:55:48.89 W</t>
  </si>
  <si>
    <t>039:48:51.34 N</t>
  </si>
  <si>
    <t>075:55:45.34 W</t>
  </si>
  <si>
    <t>039:48:52.73 N</t>
  </si>
  <si>
    <t>075:55:42.32 W</t>
  </si>
  <si>
    <t>039:48:54.19 N</t>
  </si>
  <si>
    <t>075:55:38.54 W</t>
  </si>
  <si>
    <t>039:48:55.35 N</t>
  </si>
  <si>
    <t>075:55:35.45 W</t>
  </si>
  <si>
    <t>039:48:56.74 N</t>
  </si>
  <si>
    <t>075:55:31.51 W</t>
  </si>
  <si>
    <t>039:48:58.29 N</t>
  </si>
  <si>
    <t>075:55:27.72 W</t>
  </si>
  <si>
    <t>039:48:59.37 N</t>
  </si>
  <si>
    <t>075:55:24.71 W</t>
  </si>
  <si>
    <t>039:49:00.61 N</t>
  </si>
  <si>
    <t>075:55:21.47 W</t>
  </si>
  <si>
    <t>039:49:02.23 N</t>
  </si>
  <si>
    <t>075:55:17.37 W</t>
  </si>
  <si>
    <t>039:49:03.54 N</t>
  </si>
  <si>
    <t>075:55:13.97 W</t>
  </si>
  <si>
    <t>039:49:04.78 N</t>
  </si>
  <si>
    <t>075:55:10.81 W</t>
  </si>
  <si>
    <t>039:49:06.09 N</t>
  </si>
  <si>
    <t>075:55:07.33 W</t>
  </si>
  <si>
    <t>039:49:07.48 N</t>
  </si>
  <si>
    <t>075:55:03.78 W</t>
  </si>
  <si>
    <t>039:49:08.79 N</t>
  </si>
  <si>
    <t>075:55:00.30 W</t>
  </si>
  <si>
    <t>039:49:10.03 N</t>
  </si>
  <si>
    <t>075:54:57.21 W</t>
  </si>
  <si>
    <t>039:49:11.50 N</t>
  </si>
  <si>
    <t>075:54:53.27 W</t>
  </si>
  <si>
    <t>039:49:12.66 N</t>
  </si>
  <si>
    <t>075:54:50.10 W</t>
  </si>
  <si>
    <t>039:49:13.97 N</t>
  </si>
  <si>
    <t>075:54:46.63 W</t>
  </si>
  <si>
    <t>039:49:15.13 N</t>
  </si>
  <si>
    <t>075:54:43.62 W</t>
  </si>
  <si>
    <t>039:49:16.29 N</t>
  </si>
  <si>
    <t>075:54:40.45 W</t>
  </si>
  <si>
    <t>039:49:17.83 N</t>
  </si>
  <si>
    <t>075:54:36.59 W</t>
  </si>
  <si>
    <t>039:49:18.91 N</t>
  </si>
  <si>
    <t>075:54:33.57 W</t>
  </si>
  <si>
    <t>039:49:20.15 N</t>
  </si>
  <si>
    <t>075:54:30.41 W</t>
  </si>
  <si>
    <t>039:49:21.39 N</t>
  </si>
  <si>
    <t>075:54:27.32 W</t>
  </si>
  <si>
    <t>039:49:22.39 N</t>
  </si>
  <si>
    <t>075:54:24.54 W</t>
  </si>
  <si>
    <t>039:49:23.86 N</t>
  </si>
  <si>
    <t>075:54:21.06 W</t>
  </si>
  <si>
    <t>039:49:25.25 N</t>
  </si>
  <si>
    <t>075:54:17.20 W</t>
  </si>
  <si>
    <t>039:49:26.48 N</t>
  </si>
  <si>
    <t>075:54:13.95 W</t>
  </si>
  <si>
    <t>039:49:27.72 N</t>
  </si>
  <si>
    <t>075:54:10.86 W</t>
  </si>
  <si>
    <t>039:49:29.11 N</t>
  </si>
  <si>
    <t>075:54:07.08 W</t>
  </si>
  <si>
    <t>039:49:30.27 N</t>
  </si>
  <si>
    <t>075:54:04.30 W</t>
  </si>
  <si>
    <t>039:49:31.58 N</t>
  </si>
  <si>
    <t>075:54:01.21 W</t>
  </si>
  <si>
    <t>039:49:33.05 N</t>
  </si>
  <si>
    <t>075:53:57.42 W</t>
  </si>
  <si>
    <t>039:49:34.59 N</t>
  </si>
  <si>
    <t>075:53:53.48 W</t>
  </si>
  <si>
    <t>039:49:35.91 N</t>
  </si>
  <si>
    <t>075:53:50.01 W</t>
  </si>
  <si>
    <t>039:49:37.38 N</t>
  </si>
  <si>
    <t>075:53:46.22 W</t>
  </si>
  <si>
    <t>039:49:38.61 N</t>
  </si>
  <si>
    <t>075:53:43.13 W</t>
  </si>
  <si>
    <t>039:49:39.92 N</t>
  </si>
  <si>
    <t>075:53:39.66 W</t>
  </si>
  <si>
    <t>039:49:41.32 N</t>
  </si>
  <si>
    <t>075:53:36.57 W</t>
  </si>
  <si>
    <t>039:49:42.94 N</t>
  </si>
  <si>
    <t>075:53:32.47 W</t>
  </si>
  <si>
    <t>039:49:44.25 N</t>
  </si>
  <si>
    <t>075:53:28.84 W</t>
  </si>
  <si>
    <t>039:49:45.72 N</t>
  </si>
  <si>
    <t>075:53:25.44 W</t>
  </si>
  <si>
    <t>039:49:47.11 N</t>
  </si>
  <si>
    <t>075:53:21.97 W</t>
  </si>
  <si>
    <t>039:49:48.65 N</t>
  </si>
  <si>
    <t>075:53:18.10 W</t>
  </si>
  <si>
    <t>039:49:50.04 N</t>
  </si>
  <si>
    <t>075:53:14.86 W</t>
  </si>
  <si>
    <t>039:49:51.67 N</t>
  </si>
  <si>
    <t>075:53:10.69 W</t>
  </si>
  <si>
    <t>039:49:53.13 N</t>
  </si>
  <si>
    <t>075:53:06.90 W</t>
  </si>
  <si>
    <t>039:49:54.68 N</t>
  </si>
  <si>
    <t>075:53:03.50 W</t>
  </si>
  <si>
    <t>039:49:55.92 N</t>
  </si>
  <si>
    <t>075:53:00.34 W</t>
  </si>
  <si>
    <t>039:49:57.38 N</t>
  </si>
  <si>
    <t>075:52:56.78 W</t>
  </si>
  <si>
    <t>039:49:58.62 N</t>
  </si>
  <si>
    <t>075:52:53.77 W</t>
  </si>
  <si>
    <t>039:50:00.09 N</t>
  </si>
  <si>
    <t>075:52:49.98 W</t>
  </si>
  <si>
    <t>039:50:01.55 N</t>
  </si>
  <si>
    <t>075:52:46.51 W</t>
  </si>
  <si>
    <t>039:50:02.94 N</t>
  </si>
  <si>
    <t>075:52:42.96 W</t>
  </si>
  <si>
    <t>039:50:04.57 N</t>
  </si>
  <si>
    <t>075:52:39.17 W</t>
  </si>
  <si>
    <t>039:50:05.73 N</t>
  </si>
  <si>
    <t>075:52:36.39 W</t>
  </si>
  <si>
    <t>039:50:07.12 N</t>
  </si>
  <si>
    <t>075:52:32.60 W</t>
  </si>
  <si>
    <t>039:50:08.66 N</t>
  </si>
  <si>
    <t>075:52:28.90 W</t>
  </si>
  <si>
    <t>039:50:10.28 N</t>
  </si>
  <si>
    <t>075:52:24.96 W</t>
  </si>
  <si>
    <t>039:50:11.67 N</t>
  </si>
  <si>
    <t>075:52:21.40 W</t>
  </si>
  <si>
    <t>039:50:13.14 N</t>
  </si>
  <si>
    <t>075:52:17.70 W</t>
  </si>
  <si>
    <t>039:50:14.45 N</t>
  </si>
  <si>
    <t>075:52:14.61 W</t>
  </si>
  <si>
    <t>039:50:15.84 N</t>
  </si>
  <si>
    <t>075:52:11.13 W</t>
  </si>
  <si>
    <t>039:50:17.08 N</t>
  </si>
  <si>
    <t>075:52:08.04 W</t>
  </si>
  <si>
    <t>039:50:18.70 N</t>
  </si>
  <si>
    <t>075:52:04.25 W</t>
  </si>
  <si>
    <t>039:50:20.02 N</t>
  </si>
  <si>
    <t>075:52:00.55 W</t>
  </si>
  <si>
    <t>039:50:21.18 N</t>
  </si>
  <si>
    <t>075:51:57.92 W</t>
  </si>
  <si>
    <t>039:50:22.64 N</t>
  </si>
  <si>
    <t>075:51:54.06 W</t>
  </si>
  <si>
    <t>039:50:23.96 N</t>
  </si>
  <si>
    <t>075:51:50.58 W</t>
  </si>
  <si>
    <t>039:50:25.50 N</t>
  </si>
  <si>
    <t>075:51:47.18 W</t>
  </si>
  <si>
    <t>039:50:26.74 N</t>
  </si>
  <si>
    <t>075:51:44.09 W</t>
  </si>
  <si>
    <t>039:50:28.36 N</t>
  </si>
  <si>
    <t>075:51:39.69 W</t>
  </si>
  <si>
    <t>039:50:29.90 N</t>
  </si>
  <si>
    <t>075:51:35.98 W</t>
  </si>
  <si>
    <t>039:50:31.45 N</t>
  </si>
  <si>
    <t>075:51:32.20 W</t>
  </si>
  <si>
    <t>039:50:32.76 N</t>
  </si>
  <si>
    <t>075:51:28.72 W</t>
  </si>
  <si>
    <t>039:50:34.23 N</t>
  </si>
  <si>
    <t>075:51:24.78 W</t>
  </si>
  <si>
    <t>039:50:35.39 N</t>
  </si>
  <si>
    <t>075:51:22.00 W</t>
  </si>
  <si>
    <t>039:50:36.62 N</t>
  </si>
  <si>
    <t>075:51:18.83 W</t>
  </si>
  <si>
    <t>039:50:37.94 N</t>
  </si>
  <si>
    <t>075:51:15.28 W</t>
  </si>
  <si>
    <t>039:50:39.48 N</t>
  </si>
  <si>
    <t>075:51:11.49 W</t>
  </si>
  <si>
    <t>039:50:40.80 N</t>
  </si>
  <si>
    <t>075:51:08.02 W</t>
  </si>
  <si>
    <t>039:50:42.34 N</t>
  </si>
  <si>
    <t>075:51:04.08 W</t>
  </si>
  <si>
    <t>039:50:43.58 N</t>
  </si>
  <si>
    <t>075:51:00.99 W</t>
  </si>
  <si>
    <t>039:50:44.89 N</t>
  </si>
  <si>
    <t>075:50:57.51 W</t>
  </si>
  <si>
    <t>039:50:46.20 N</t>
  </si>
  <si>
    <t>075:50:54.11 W</t>
  </si>
  <si>
    <t>039:50:47.67 N</t>
  </si>
  <si>
    <t>075:50:50.25 W</t>
  </si>
  <si>
    <t>039:50:48.83 N</t>
  </si>
  <si>
    <t>075:50:47.39 W</t>
  </si>
  <si>
    <t>039:50:49.99 N</t>
  </si>
  <si>
    <t>075:50:44.23 W</t>
  </si>
  <si>
    <t>039:50:51.53 N</t>
  </si>
  <si>
    <t>075:50:40.36 W</t>
  </si>
  <si>
    <t>039:50:52.85 N</t>
  </si>
  <si>
    <t>075:50:36.81 W</t>
  </si>
  <si>
    <t>039:50:54.01 N</t>
  </si>
  <si>
    <t>075:50:33.64 W</t>
  </si>
  <si>
    <t>039:50:55.55 N</t>
  </si>
  <si>
    <t>075:50:29.78 W</t>
  </si>
  <si>
    <t>039:50:56.79 N</t>
  </si>
  <si>
    <t>075:50:26.54 W</t>
  </si>
  <si>
    <t>039:50:58.10 N</t>
  </si>
  <si>
    <t>075:50:23.14 W</t>
  </si>
  <si>
    <t>039:50:59.41 N</t>
  </si>
  <si>
    <t>075:50:19.66 W</t>
  </si>
  <si>
    <t>039:51:00.73 N</t>
  </si>
  <si>
    <t>075:50:16.03 W</t>
  </si>
  <si>
    <t>039:51:02.27 N</t>
  </si>
  <si>
    <t>075:50:12.25 W</t>
  </si>
  <si>
    <t>039:51:03.58 N</t>
  </si>
  <si>
    <t>075:50:08.69 W</t>
  </si>
  <si>
    <t>039:51:04.90 N</t>
  </si>
  <si>
    <t>075:50:05.22 W</t>
  </si>
  <si>
    <t>039:51:06.29 N</t>
  </si>
  <si>
    <t>075:50:01.66 W</t>
  </si>
  <si>
    <t>039:51:07.83 N</t>
  </si>
  <si>
    <t>075:49:57.80 W</t>
  </si>
  <si>
    <t>039:51:08.91 N</t>
  </si>
  <si>
    <t>075:49:54.63 W</t>
  </si>
  <si>
    <t>039:51:10.30 N</t>
  </si>
  <si>
    <t>075:49:51.16 W</t>
  </si>
  <si>
    <t>039:51:11.77 N</t>
  </si>
  <si>
    <t>075:49:47.22 W</t>
  </si>
  <si>
    <t>039:51:13.24 N</t>
  </si>
  <si>
    <t>075:49:43.82 W</t>
  </si>
  <si>
    <t>039:51:14.55 N</t>
  </si>
  <si>
    <t>075:49:40.34 W</t>
  </si>
  <si>
    <t>039:51:15.87 N</t>
  </si>
  <si>
    <t>075:49:36.71 W</t>
  </si>
  <si>
    <t>039:51:17.18 N</t>
  </si>
  <si>
    <t>075:49:33.54 W</t>
  </si>
  <si>
    <t>039:51:18.49 N</t>
  </si>
  <si>
    <t>075:49:30.30 W</t>
  </si>
  <si>
    <t>039:51:20.04 N</t>
  </si>
  <si>
    <t>075:49:26.36 W</t>
  </si>
  <si>
    <t>039:51:21.20 N</t>
  </si>
  <si>
    <t>075:49:23.27 W</t>
  </si>
  <si>
    <t>039:51:22.82 N</t>
  </si>
  <si>
    <t>075:49:19.25 W</t>
  </si>
  <si>
    <t>039:51:24.13 N</t>
  </si>
  <si>
    <t>075:49:15.85 W</t>
  </si>
  <si>
    <t>039:51:25.37 N</t>
  </si>
  <si>
    <t>075:49:12.69 W</t>
  </si>
  <si>
    <t>039:51:26.91 N</t>
  </si>
  <si>
    <t>075:49:08.98 W</t>
  </si>
  <si>
    <t>039:51:28.38 N</t>
  </si>
  <si>
    <t>075:49:04.96 W</t>
  </si>
  <si>
    <t>039:51:29.93 N</t>
  </si>
  <si>
    <t>075:49:01.25 W</t>
  </si>
  <si>
    <t>039:51:31.39 N</t>
  </si>
  <si>
    <t>075:48:57.78 W</t>
  </si>
  <si>
    <t>039:51:32.94 N</t>
  </si>
  <si>
    <t>075:48:53.99 W</t>
  </si>
  <si>
    <t>039:51:34.25 N</t>
  </si>
  <si>
    <t>075:48:50.52 W</t>
  </si>
  <si>
    <t>039:51:35.95 N</t>
  </si>
  <si>
    <t>075:48:46.35 W</t>
  </si>
  <si>
    <t>039:51:37.19 N</t>
  </si>
  <si>
    <t>075:48:43.18 W</t>
  </si>
  <si>
    <t>039:51:38.65 N</t>
  </si>
  <si>
    <t>075:48:39.70 W</t>
  </si>
  <si>
    <t>039:51:40.12 N</t>
  </si>
  <si>
    <t>075:48:35.76 W</t>
  </si>
  <si>
    <t>039:51:41.44 N</t>
  </si>
  <si>
    <t>075:48:32.44 W</t>
  </si>
  <si>
    <t>039:51:42.98 N</t>
  </si>
  <si>
    <t>075:48:28.97 W</t>
  </si>
  <si>
    <t>039:51:44.29 N</t>
  </si>
  <si>
    <t>075:48:25.41 W</t>
  </si>
  <si>
    <t>039:51:45.92 N</t>
  </si>
  <si>
    <t>075:48:21.70 W</t>
  </si>
  <si>
    <t>039:51:47.15 N</t>
  </si>
  <si>
    <t>075:48:18.61 W</t>
  </si>
  <si>
    <t>039:51:48.70 N</t>
  </si>
  <si>
    <t>075:48:14.83 W</t>
  </si>
  <si>
    <t>039:51:50.01 N</t>
  </si>
  <si>
    <t>075:48:11.35 W</t>
  </si>
  <si>
    <t>039:51:51.48 N</t>
  </si>
  <si>
    <t>075:48:07.72 W</t>
  </si>
  <si>
    <t>039:51:52.79 N</t>
  </si>
  <si>
    <t>075:48:04.25 W</t>
  </si>
  <si>
    <t>039:51:54.03 N</t>
  </si>
  <si>
    <t>075:48:01.31 W</t>
  </si>
  <si>
    <t>039:51:55.57 N</t>
  </si>
  <si>
    <t>075:47:57.76 W</t>
  </si>
  <si>
    <t>039:51:56.88 N</t>
  </si>
  <si>
    <t>075:47:54.28 W</t>
  </si>
  <si>
    <t>039:51:58.20 N</t>
  </si>
  <si>
    <t>075:47:50.73 W</t>
  </si>
  <si>
    <t>039:51:59.59 N</t>
  </si>
  <si>
    <t>075:47:47.17 W</t>
  </si>
  <si>
    <t>039:52:01.06 N</t>
  </si>
  <si>
    <t>075:47:43.93 W</t>
  </si>
  <si>
    <t>039:52:02.45 N</t>
  </si>
  <si>
    <t>075:47:40.38 W</t>
  </si>
  <si>
    <t>039:52:03.68 N</t>
  </si>
  <si>
    <t>075:47:37.21 W</t>
  </si>
  <si>
    <t>039:52:05.00 N</t>
  </si>
  <si>
    <t>075:47:33.73 W</t>
  </si>
  <si>
    <t>039:52:06.31 N</t>
  </si>
  <si>
    <t>075:47:30.33 W</t>
  </si>
  <si>
    <t>039:52:07.62 N</t>
  </si>
  <si>
    <t>075:47:27.01 W</t>
  </si>
  <si>
    <t>039:52:08.78 N</t>
  </si>
  <si>
    <t>075:47:23.85 W</t>
  </si>
  <si>
    <t>039:52:10.25 N</t>
  </si>
  <si>
    <t>075:47:20.45 W</t>
  </si>
  <si>
    <t>039:52:11.79 N</t>
  </si>
  <si>
    <t>075:47:16.66 W</t>
  </si>
  <si>
    <t>039:52:12.95 N</t>
  </si>
  <si>
    <t>075:47:13.57 W</t>
  </si>
  <si>
    <t>039:52:14.57 N</t>
  </si>
  <si>
    <t>075:47:09.25 W</t>
  </si>
  <si>
    <t>039:52:16.12 N</t>
  </si>
  <si>
    <t>075:47:05.46 W</t>
  </si>
  <si>
    <t>039:52:17.51 N</t>
  </si>
  <si>
    <t>075:47:01.98 W</t>
  </si>
  <si>
    <t>039:52:18.82 N</t>
  </si>
  <si>
    <t>075:46:58.43 W</t>
  </si>
  <si>
    <t>039:52:19.98 N</t>
  </si>
  <si>
    <t>075:46:55.57 W</t>
  </si>
  <si>
    <t>039:52:21.37 N</t>
  </si>
  <si>
    <t>075:46:52.10 W</t>
  </si>
  <si>
    <t>039:52:22.84 N</t>
  </si>
  <si>
    <t>075:46:48.16 W</t>
  </si>
  <si>
    <t>039:52:24.00 N</t>
  </si>
  <si>
    <t>075:46:45.07 W</t>
  </si>
  <si>
    <t>039:52:25.31 N</t>
  </si>
  <si>
    <t>075:46:41.98 W</t>
  </si>
  <si>
    <t>039:52:26.55 N</t>
  </si>
  <si>
    <t>075:46:38.89 W</t>
  </si>
  <si>
    <t>039:52:27.94 N</t>
  </si>
  <si>
    <t>075:46:34.87 W</t>
  </si>
  <si>
    <t>039:52:29.41 N</t>
  </si>
  <si>
    <t>075:46:31.39 W</t>
  </si>
  <si>
    <t>039:52:30.72 N</t>
  </si>
  <si>
    <t>075:46:28.00 W</t>
  </si>
  <si>
    <t>039:52:32.03 N</t>
  </si>
  <si>
    <t>075:46:24.29 W</t>
  </si>
  <si>
    <t>039:52:33.35 N</t>
  </si>
  <si>
    <t>075:46:20.89 W</t>
  </si>
  <si>
    <t>039:52:34.58 N</t>
  </si>
  <si>
    <t>075:46:17.80 W</t>
  </si>
  <si>
    <t>039:52:36.28 N</t>
  </si>
  <si>
    <t>075:46:13.63 W</t>
  </si>
  <si>
    <t>039:52:37.59 N</t>
  </si>
  <si>
    <t>075:46:10.07 W</t>
  </si>
  <si>
    <t>039:52:38.91 N</t>
  </si>
  <si>
    <t>075:46:06.60 W</t>
  </si>
  <si>
    <t>039:52:40.30 N</t>
  </si>
  <si>
    <t>075:46:03.28 W</t>
  </si>
  <si>
    <t>039:52:41.61 N</t>
  </si>
  <si>
    <t>075:45:59.57 W</t>
  </si>
  <si>
    <t>039:52:42.92 N</t>
  </si>
  <si>
    <t>075:45:56.17 W</t>
  </si>
  <si>
    <t>039:52:44.24 N</t>
  </si>
  <si>
    <t>075:45:52.69 W</t>
  </si>
  <si>
    <t>039:52:45.55 N</t>
  </si>
  <si>
    <t>075:45:49.29 W</t>
  </si>
  <si>
    <t>039:52:46.71 N</t>
  </si>
  <si>
    <t>075:45:46.51 W</t>
  </si>
  <si>
    <t>039:52:48.02 N</t>
  </si>
  <si>
    <t>075:45:43.27 W</t>
  </si>
  <si>
    <t>039:52:49.18 N</t>
  </si>
  <si>
    <t>075:45:40.02 W</t>
  </si>
  <si>
    <t>039:52:50.49 N</t>
  </si>
  <si>
    <t>075:45:36.63 W</t>
  </si>
  <si>
    <t>039:52:51.65 N</t>
  </si>
  <si>
    <t>075:45:33.38 W</t>
  </si>
  <si>
    <t>039:52:52.97 N</t>
  </si>
  <si>
    <t>075:45:30.14 W</t>
  </si>
  <si>
    <t>039:52:54.51 N</t>
  </si>
  <si>
    <t>075:45:26.35 W</t>
  </si>
  <si>
    <t>039:52:55.90 N</t>
  </si>
  <si>
    <t>075:45:22.88 W</t>
  </si>
  <si>
    <t>039:52:57.22 N</t>
  </si>
  <si>
    <t>075:45:18.94 W</t>
  </si>
  <si>
    <t>039:52:58.53 N</t>
  </si>
  <si>
    <t>075:45:15.61 W</t>
  </si>
  <si>
    <t>039:52:59.69 N</t>
  </si>
  <si>
    <t>075:45:12.52 W</t>
  </si>
  <si>
    <t>039:53:00.92 N</t>
  </si>
  <si>
    <t>075:45:09.43 W</t>
  </si>
  <si>
    <t>039:53:02.39 N</t>
  </si>
  <si>
    <t>075:45:05.96 W</t>
  </si>
  <si>
    <t>039:53:03.86 N</t>
  </si>
  <si>
    <t>075:45:02.02 W</t>
  </si>
  <si>
    <t>039:53:05.17 N</t>
  </si>
  <si>
    <t>075:44:58.54 W</t>
  </si>
  <si>
    <t>039:53:06.79 N</t>
  </si>
  <si>
    <t>075:44:54.76 W</t>
  </si>
  <si>
    <t>039:53:08.11 N</t>
  </si>
  <si>
    <t>075:44:51.20 W</t>
  </si>
  <si>
    <t>039:53:09.42 N</t>
  </si>
  <si>
    <t>075:44:47.73 W</t>
  </si>
  <si>
    <t>039:53:11.12 N</t>
  </si>
  <si>
    <t>075:44:43.56 W</t>
  </si>
  <si>
    <t>039:53:12.28 N</t>
  </si>
  <si>
    <t>075:44:40.31 W</t>
  </si>
  <si>
    <t>039:53:13.82 N</t>
  </si>
  <si>
    <t>075:44:36.53 W</t>
  </si>
  <si>
    <t>039:53:15.06 N</t>
  </si>
  <si>
    <t>075:44:33.44 W</t>
  </si>
  <si>
    <t>039:53:16.37 N</t>
  </si>
  <si>
    <t>075:44:29.73 W</t>
  </si>
  <si>
    <t>039:53:17.69 N</t>
  </si>
  <si>
    <t>075:44:26.33 W</t>
  </si>
  <si>
    <t>039:53:19.00 N</t>
  </si>
  <si>
    <t>075:44:23.09 W</t>
  </si>
  <si>
    <t>039:53:20.31 N</t>
  </si>
  <si>
    <t>075:44:19.76 W</t>
  </si>
  <si>
    <t>039:53:21.63 N</t>
  </si>
  <si>
    <t>075:44:16.67 W</t>
  </si>
  <si>
    <t>039:53:23.09 N</t>
  </si>
  <si>
    <t>075:44:12.97 W</t>
  </si>
  <si>
    <t>039:53:24.41 N</t>
  </si>
  <si>
    <t>075:44:09.57 W</t>
  </si>
  <si>
    <t>039:53:25.72 N</t>
  </si>
  <si>
    <t>075:44:06.09 W</t>
  </si>
  <si>
    <t>039:53:27.34 N</t>
  </si>
  <si>
    <t>075:44:02.23 W</t>
  </si>
  <si>
    <t>039:53:28.73 N</t>
  </si>
  <si>
    <t>075:43:58.68 W</t>
  </si>
  <si>
    <t>039:53:30.20 N</t>
  </si>
  <si>
    <t>075:43:55.43 W</t>
  </si>
  <si>
    <t>039:53:31.36 N</t>
  </si>
  <si>
    <t>075:43:52.11 W</t>
  </si>
  <si>
    <t>039:53:32.90 N</t>
  </si>
  <si>
    <t>075:43:48.40 W</t>
  </si>
  <si>
    <t>039:53:34.45 N</t>
  </si>
  <si>
    <t>075:43:44.85 W</t>
  </si>
  <si>
    <t>039:53:35.99 N</t>
  </si>
  <si>
    <t>075:43:40.99 W</t>
  </si>
  <si>
    <t>039:53:37.15 N</t>
  </si>
  <si>
    <t>075:43:38.36 W</t>
  </si>
  <si>
    <t>039:53:38.62 N</t>
  </si>
  <si>
    <t>075:43:34.50 W</t>
  </si>
  <si>
    <t>039:53:39.93 N</t>
  </si>
  <si>
    <t>075:43:31.25 W</t>
  </si>
  <si>
    <t>039:53:41.25 N</t>
  </si>
  <si>
    <t>075:43:27.85 W</t>
  </si>
  <si>
    <t>039:53:42.71 N</t>
  </si>
  <si>
    <t>075:43:24.38 W</t>
  </si>
  <si>
    <t>039:53:44.34 N</t>
  </si>
  <si>
    <t>075:43:20.67 W</t>
  </si>
  <si>
    <t>039:53:45.49 N</t>
  </si>
  <si>
    <t>075:43:17.50 W</t>
  </si>
  <si>
    <t>039:53:46.89 N</t>
  </si>
  <si>
    <t>075:43:14.10 W</t>
  </si>
  <si>
    <t>039:53:47.97 N</t>
  </si>
  <si>
    <t>075:43:11.32 W</t>
  </si>
  <si>
    <t>039:53:49.36 N</t>
  </si>
  <si>
    <t>075:43:07.62 W</t>
  </si>
  <si>
    <t>039:53:50.83 N</t>
  </si>
  <si>
    <t>075:43:04.22 W</t>
  </si>
  <si>
    <t>039:53:52.14 N</t>
  </si>
  <si>
    <t>075:43:00.74 W</t>
  </si>
  <si>
    <t>039:53:53.30 N</t>
  </si>
  <si>
    <t>075:42:57.96 W</t>
  </si>
  <si>
    <t>039:53:54.46 N</t>
  </si>
  <si>
    <t>075:42:55.18 W</t>
  </si>
  <si>
    <t>039:53:55.85 N</t>
  </si>
  <si>
    <t>075:42:51.47 W</t>
  </si>
  <si>
    <t>039:53:57.39 N</t>
  </si>
  <si>
    <t>075:42:47.92 W</t>
  </si>
  <si>
    <t>039:53:58.55 N</t>
  </si>
  <si>
    <t>075:42:44.67 W</t>
  </si>
  <si>
    <t>039:53:59.86 N</t>
  </si>
  <si>
    <t>075:42:41.20 W</t>
  </si>
  <si>
    <t>039:54:01.33 N</t>
  </si>
  <si>
    <t>075:42:37.80 W</t>
  </si>
  <si>
    <t>039:54:02.57 N</t>
  </si>
  <si>
    <t>075:42:34.55 W</t>
  </si>
  <si>
    <t>039:54:03.57 N</t>
  </si>
  <si>
    <t>075:42:31.93 W</t>
  </si>
  <si>
    <t>039:54:05.12 N</t>
  </si>
  <si>
    <t>075:42:28.37 W</t>
  </si>
  <si>
    <t>039:54:06.43 N</t>
  </si>
  <si>
    <t>075:42:24.43 W</t>
  </si>
  <si>
    <t>039:54:08.13 N</t>
  </si>
  <si>
    <t>075:42:20.73 W</t>
  </si>
  <si>
    <t>039:54:09.44 N</t>
  </si>
  <si>
    <t>075:42:17.17 W</t>
  </si>
  <si>
    <t>039:54:10.91 N</t>
  </si>
  <si>
    <t>075:42:13.23 W</t>
  </si>
  <si>
    <t>039:54:12.15 N</t>
  </si>
  <si>
    <t>075:42:10.14 W</t>
  </si>
  <si>
    <t>039:54:13.61 N</t>
  </si>
  <si>
    <t>075:42:06.67 W</t>
  </si>
  <si>
    <t>039:54:15.00 N</t>
  </si>
  <si>
    <t>075:42:03.11 W</t>
  </si>
  <si>
    <t>039:54:16.55 N</t>
  </si>
  <si>
    <t>075:41:59.25 W</t>
  </si>
  <si>
    <t>039:54:17.63 N</t>
  </si>
  <si>
    <t>075:41:56.08 W</t>
  </si>
  <si>
    <t>039:54:19.17 N</t>
  </si>
  <si>
    <t>075:41:52.38 W</t>
  </si>
  <si>
    <t>039:54:20.64 N</t>
  </si>
  <si>
    <t>075:41:48.75 W</t>
  </si>
  <si>
    <t>039:54:22.26 N</t>
  </si>
  <si>
    <t>075:41:44.65 W</t>
  </si>
  <si>
    <t>039:54:23.58 N</t>
  </si>
  <si>
    <t>075:41:41.25 W</t>
  </si>
  <si>
    <t>039:54:25.05 N</t>
  </si>
  <si>
    <t>075:41:37.39 W</t>
  </si>
  <si>
    <t>039:54:26.59 N</t>
  </si>
  <si>
    <t>075:41:33.53 W</t>
  </si>
  <si>
    <t>039:54:27.90 N</t>
  </si>
  <si>
    <t>075:41:30.36 W</t>
  </si>
  <si>
    <t>039:54:29.22 N</t>
  </si>
  <si>
    <t>075:41:26.88 W</t>
  </si>
  <si>
    <t>039:54:30.53 N</t>
  </si>
  <si>
    <t>075:41:23.64 W</t>
  </si>
  <si>
    <t>039:54:31.84 N</t>
  </si>
  <si>
    <t>075:41:20.16 W</t>
  </si>
  <si>
    <t>039:54:33.16 N</t>
  </si>
  <si>
    <t>075:41:16.69 W</t>
  </si>
  <si>
    <t>039:54:34.62 N</t>
  </si>
  <si>
    <t>075:41:13.06 W</t>
  </si>
  <si>
    <t>039:54:36.09 N</t>
  </si>
  <si>
    <t>075:41:09.27 W</t>
  </si>
  <si>
    <t>039:54:37.41 N</t>
  </si>
  <si>
    <t>075:41:05.80 W</t>
  </si>
  <si>
    <t>039:54:38.80 N</t>
  </si>
  <si>
    <t>075:41:02.78 W</t>
  </si>
  <si>
    <t>039:54:40.26 N</t>
  </si>
  <si>
    <t>075:40:58.77 W</t>
  </si>
  <si>
    <t>039:54:41.73 N</t>
  </si>
  <si>
    <t>075:40:54.98 W</t>
  </si>
  <si>
    <t>039:54:43.20 N</t>
  </si>
  <si>
    <t>075:40:51.58 W</t>
  </si>
  <si>
    <t>039:54:44.82 N</t>
  </si>
  <si>
    <t>075:40:47.26 W</t>
  </si>
  <si>
    <t>039:54:45.98 N</t>
  </si>
  <si>
    <t>075:40:44.24 W</t>
  </si>
  <si>
    <t>039:54:47.29 N</t>
  </si>
  <si>
    <t>075:40:41.08 W</t>
  </si>
  <si>
    <t>039:54:48.68 N</t>
  </si>
  <si>
    <t>075:40:37.60 W</t>
  </si>
  <si>
    <t>039:54:50.15 N</t>
  </si>
  <si>
    <t>075:40:34.20 W</t>
  </si>
  <si>
    <t>039:54:51.46 N</t>
  </si>
  <si>
    <t>075:40:30.49 W</t>
  </si>
  <si>
    <t>039:54:52.93 N</t>
  </si>
  <si>
    <t>075:40:27.09 W</t>
  </si>
  <si>
    <t>039:54:54.17 N</t>
  </si>
  <si>
    <t>075:40:24.00 W</t>
  </si>
  <si>
    <t>039:54:56.02 N</t>
  </si>
  <si>
    <t>075:40:20.06 W</t>
  </si>
  <si>
    <t>039:54:57.18 N</t>
  </si>
  <si>
    <t>075:40:17.21 W</t>
  </si>
  <si>
    <t>039:54:58.88 N</t>
  </si>
  <si>
    <t>075:40:13.89 W</t>
  </si>
  <si>
    <t>039:55:00.81 N</t>
  </si>
  <si>
    <t>075:40:10.49 W</t>
  </si>
  <si>
    <t>039:55:02.74 N</t>
  </si>
  <si>
    <t>075:40:07.09 W</t>
  </si>
  <si>
    <t>028-04</t>
  </si>
  <si>
    <t>31E</t>
  </si>
  <si>
    <t>039:55:04.98 N</t>
  </si>
  <si>
    <t>075:40:03.61 W</t>
  </si>
  <si>
    <t>039:55:06.91 N</t>
  </si>
  <si>
    <t>075:40:00.83 W</t>
  </si>
  <si>
    <t>039:55:09.08 N</t>
  </si>
  <si>
    <t>075:39:57.66 W</t>
  </si>
  <si>
    <t>039:55:11.09 N</t>
  </si>
  <si>
    <t>075:39:55.27 W</t>
  </si>
  <si>
    <t>039:55:12.94 N</t>
  </si>
  <si>
    <t>075:39:52.80 W</t>
  </si>
  <si>
    <t>039:55:15.02 N</t>
  </si>
  <si>
    <t>075:39:50.56 W</t>
  </si>
  <si>
    <t>039:55:17.34 N</t>
  </si>
  <si>
    <t>075:39:47.54 W</t>
  </si>
  <si>
    <t>039:55:19.81 N</t>
  </si>
  <si>
    <t>075:39:44.92 W</t>
  </si>
  <si>
    <t>039:55:22.13 N</t>
  </si>
  <si>
    <t>075:39:42.29 W</t>
  </si>
  <si>
    <t>039:55:24.22 N</t>
  </si>
  <si>
    <t>075:39:39.90 W</t>
  </si>
  <si>
    <t>039:55:26.38 N</t>
  </si>
  <si>
    <t>075:39:37.19 W</t>
  </si>
  <si>
    <t>039:55:28.39 N</t>
  </si>
  <si>
    <t>075:39:34.80 W</t>
  </si>
  <si>
    <t>039:55:30.86 N</t>
  </si>
  <si>
    <t>075:39:31.63 W</t>
  </si>
  <si>
    <t>039:55:32.79 N</t>
  </si>
  <si>
    <t>075:39:29.31 W</t>
  </si>
  <si>
    <t>039:55:34.72 N</t>
  </si>
  <si>
    <t>075:39:26.92 W</t>
  </si>
  <si>
    <t>039:55:36.73 N</t>
  </si>
  <si>
    <t>075:39:24.45 W</t>
  </si>
  <si>
    <t>039:55:38.97 N</t>
  </si>
  <si>
    <t>075:39:21.51 W</t>
  </si>
  <si>
    <t>039:55:40.90 N</t>
  </si>
  <si>
    <t>075:39:18.96 W</t>
  </si>
  <si>
    <t>039:55:42.83 N</t>
  </si>
  <si>
    <t>075:39:16.10 W</t>
  </si>
  <si>
    <t>039:55:45.00 N</t>
  </si>
  <si>
    <t>075:39:13.48 W</t>
  </si>
  <si>
    <t>039:55:46.77 N</t>
  </si>
  <si>
    <t>075:39:10.93 W</t>
  </si>
  <si>
    <t>039:55:49.09 N</t>
  </si>
  <si>
    <t>075:39:07.76 W</t>
  </si>
  <si>
    <t>039:55:51.10 N</t>
  </si>
  <si>
    <t>075:39:04.90 W</t>
  </si>
  <si>
    <t>039:55:53.34 N</t>
  </si>
  <si>
    <t>075:39:01.74 W</t>
  </si>
  <si>
    <t>039:55:55.35 N</t>
  </si>
  <si>
    <t>075:38:58.80 W</t>
  </si>
  <si>
    <t>039:55:57.51 N</t>
  </si>
  <si>
    <t>075:38:55.71 W</t>
  </si>
  <si>
    <t>039:55:59.37 N</t>
  </si>
  <si>
    <t>075:38:53.16 W</t>
  </si>
  <si>
    <t>039:56:01.22 N</t>
  </si>
  <si>
    <t>075:38:50.30 W</t>
  </si>
  <si>
    <t>039:56:03.23 N</t>
  </si>
  <si>
    <t>075:38:47.37 W</t>
  </si>
  <si>
    <t>039:56:05.24 N</t>
  </si>
  <si>
    <t>075:38:44.43 W</t>
  </si>
  <si>
    <t>039:56:07.24 N</t>
  </si>
  <si>
    <t>075:38:41.50 W</t>
  </si>
  <si>
    <t>039:56:09.41 N</t>
  </si>
  <si>
    <t>075:38:38.33 W</t>
  </si>
  <si>
    <t>039:56:11.34 N</t>
  </si>
  <si>
    <t>075:38:35.24 W</t>
  </si>
  <si>
    <t>039:56:13.35 N</t>
  </si>
  <si>
    <t>075:38:32.38 W</t>
  </si>
  <si>
    <t>039:56:15.36 N</t>
  </si>
  <si>
    <t>075:38:29.52 W</t>
  </si>
  <si>
    <t>039:56:16.82 N</t>
  </si>
  <si>
    <t>075:38:27.13 W</t>
  </si>
  <si>
    <t>039:56:18.99 N</t>
  </si>
  <si>
    <t>075:38:23.96 W</t>
  </si>
  <si>
    <t>039:56:20.99 N</t>
  </si>
  <si>
    <t>075:38:21.03 W</t>
  </si>
  <si>
    <t>039:56:23.23 N</t>
  </si>
  <si>
    <t>075:38:17.94 W</t>
  </si>
  <si>
    <t>039:56:25.24 N</t>
  </si>
  <si>
    <t>075:38:14.85 W</t>
  </si>
  <si>
    <t>039:56:26.87 N</t>
  </si>
  <si>
    <t>075:38:12.30 W</t>
  </si>
  <si>
    <t>039:56:28.87 N</t>
  </si>
  <si>
    <t>075:38:09.36 W</t>
  </si>
  <si>
    <t>039:56:31.11 N</t>
  </si>
  <si>
    <t>075:38:06.27 W</t>
  </si>
  <si>
    <t>039:56:33.20 N</t>
  </si>
  <si>
    <t>075:38:03.10 W</t>
  </si>
  <si>
    <t>039:56:35.21 N</t>
  </si>
  <si>
    <t>075:38:00.17 W</t>
  </si>
  <si>
    <t>039:56:37.29 N</t>
  </si>
  <si>
    <t>075:37:57.23 W</t>
  </si>
  <si>
    <t>039:56:39.38 N</t>
  </si>
  <si>
    <t>075:37:53.91 W</t>
  </si>
  <si>
    <t>039:56:41.85 N</t>
  </si>
  <si>
    <t>075:37:50.67 W</t>
  </si>
  <si>
    <t>039:56:43.86 N</t>
  </si>
  <si>
    <t>075:37:47.81 W</t>
  </si>
  <si>
    <t>039:56:45.95 N</t>
  </si>
  <si>
    <t>075:37:44.95 W</t>
  </si>
  <si>
    <t>039:56:47.95 N</t>
  </si>
  <si>
    <t>075:37:42.09 W</t>
  </si>
  <si>
    <t>039:56:49.96 N</t>
  </si>
  <si>
    <t>075:37:39.24 W</t>
  </si>
  <si>
    <t>039:56:51.89 N</t>
  </si>
  <si>
    <t>075:37:36.15 W</t>
  </si>
  <si>
    <t>039:56:54.21 N</t>
  </si>
  <si>
    <t>075:37:33.21 W</t>
  </si>
  <si>
    <t>039:56:56.22 N</t>
  </si>
  <si>
    <t>075:37:30.27 W</t>
  </si>
  <si>
    <t>039:56:58.23 N</t>
  </si>
  <si>
    <t>075:37:27.34 W</t>
  </si>
  <si>
    <t>039:57:00.24 N</t>
  </si>
  <si>
    <t>075:37:24.64 W</t>
  </si>
  <si>
    <t>039:57:02.48 N</t>
  </si>
  <si>
    <t>075:37:21.47 W</t>
  </si>
  <si>
    <t>039:57:04.64 N</t>
  </si>
  <si>
    <t>075:37:18.61 W</t>
  </si>
  <si>
    <t>039:57:06.57 N</t>
  </si>
  <si>
    <t>075:37:15.75 W</t>
  </si>
  <si>
    <t>039:57:08.42 N</t>
  </si>
  <si>
    <t>075:37:13.20 W</t>
  </si>
  <si>
    <t>039:57:10.43 N</t>
  </si>
  <si>
    <t>075:37:10.27 W</t>
  </si>
  <si>
    <t>039:57:12.36 N</t>
  </si>
  <si>
    <t>075:37:07.80 W</t>
  </si>
  <si>
    <t>039:57:14.45 N</t>
  </si>
  <si>
    <t>075:37:04.63 W</t>
  </si>
  <si>
    <t>039:57:16.46 N</t>
  </si>
  <si>
    <t>075:37:01.77 W</t>
  </si>
  <si>
    <t>039:57:18.62 N</t>
  </si>
  <si>
    <t>075:36:58.83 W</t>
  </si>
  <si>
    <t>039:57:20.78 N</t>
  </si>
  <si>
    <t>075:36:55.74 W</t>
  </si>
  <si>
    <t>039:57:22.64 N</t>
  </si>
  <si>
    <t>075:36:53.20 W</t>
  </si>
  <si>
    <t>039:57:24.57 N</t>
  </si>
  <si>
    <t>075:36:50.65 W</t>
  </si>
  <si>
    <t>039:57:26.50 N</t>
  </si>
  <si>
    <t>075:36:47.79 W</t>
  </si>
  <si>
    <t>039:57:28.35 N</t>
  </si>
  <si>
    <t>075:36:45.32 W</t>
  </si>
  <si>
    <t>039:57:30.13 N</t>
  </si>
  <si>
    <t>075:36:42.77 W</t>
  </si>
  <si>
    <t>039:57:32.06 N</t>
  </si>
  <si>
    <t>075:36:40.14 W</t>
  </si>
  <si>
    <t>039:57:34.30 N</t>
  </si>
  <si>
    <t>075:36:37.05 W</t>
  </si>
  <si>
    <t>039:57:36.39 N</t>
  </si>
  <si>
    <t>075:36:34.19 W</t>
  </si>
  <si>
    <t>039:57:38.63 N</t>
  </si>
  <si>
    <t>075:36:31.18 W</t>
  </si>
  <si>
    <t>039:57:40.87 N</t>
  </si>
  <si>
    <t>075:36:28.01 W</t>
  </si>
  <si>
    <t>039:57:43.03 N</t>
  </si>
  <si>
    <t>075:36:25.15 W</t>
  </si>
  <si>
    <t>039:57:44.96 N</t>
  </si>
  <si>
    <t>075:36:22.30 W</t>
  </si>
  <si>
    <t>039:57:46.97 N</t>
  </si>
  <si>
    <t>075:36:19.67 W</t>
  </si>
  <si>
    <t>039:57:48.82 N</t>
  </si>
  <si>
    <t>075:36:17.04 W</t>
  </si>
  <si>
    <t>039:57:50.83 N</t>
  </si>
  <si>
    <t>075:36:14.34 W</t>
  </si>
  <si>
    <t>039:57:53.00 N</t>
  </si>
  <si>
    <t>075:36:11.40 W</t>
  </si>
  <si>
    <t>039:57:54.85 N</t>
  </si>
  <si>
    <t>075:36:08.93 W</t>
  </si>
  <si>
    <t>039:57:56.70 N</t>
  </si>
  <si>
    <t>075:36:06.23 W</t>
  </si>
  <si>
    <t>039:57:58.48 N</t>
  </si>
  <si>
    <t>075:36:03.68 W</t>
  </si>
  <si>
    <t>039:58:00.72 N</t>
  </si>
  <si>
    <t>075:36:00.59 W</t>
  </si>
  <si>
    <t>039:58:03.12 N</t>
  </si>
  <si>
    <t>075:35:57.50 W</t>
  </si>
  <si>
    <t>039:58:05.05 N</t>
  </si>
  <si>
    <t>075:35:54.64 W</t>
  </si>
  <si>
    <t>039:58:06.90 N</t>
  </si>
  <si>
    <t>075:35:52.09 W</t>
  </si>
  <si>
    <t>039:58:09.06 N</t>
  </si>
  <si>
    <t>075:35:49.39 W</t>
  </si>
  <si>
    <t>039:58:11.38 N</t>
  </si>
  <si>
    <t>075:35:46.30 W</t>
  </si>
  <si>
    <t>039:58:13.62 N</t>
  </si>
  <si>
    <t>075:35:43.05 W</t>
  </si>
  <si>
    <t>039:58:15.63 N</t>
  </si>
  <si>
    <t>075:35:40.35 W</t>
  </si>
  <si>
    <t>039:58:17.64 N</t>
  </si>
  <si>
    <t>075:35:37.72 W</t>
  </si>
  <si>
    <t>039:58:19.57 N</t>
  </si>
  <si>
    <t>075:35:34.87 W</t>
  </si>
  <si>
    <t>028-01</t>
  </si>
  <si>
    <t>TTN</t>
  </si>
  <si>
    <t>039:58:21.96 N</t>
  </si>
  <si>
    <t>075:35:31.85 W</t>
  </si>
  <si>
    <t>039:58:23.74 N</t>
  </si>
  <si>
    <t>075:35:29.38 W</t>
  </si>
  <si>
    <t>039:58:25.83 N</t>
  </si>
  <si>
    <t>075:35:26.52 W</t>
  </si>
  <si>
    <t>039:58:27.68 N</t>
  </si>
  <si>
    <t>075:35:23.97 W</t>
  </si>
  <si>
    <t>039:58:29.38 N</t>
  </si>
  <si>
    <t>075:35:21.73 W</t>
  </si>
  <si>
    <t>039:58:31.31 N</t>
  </si>
  <si>
    <t>075:35:19.03 W</t>
  </si>
  <si>
    <t>039:58:33.09 N</t>
  </si>
  <si>
    <t>075:35:16.56 W</t>
  </si>
  <si>
    <t>039:58:35.41 N</t>
  </si>
  <si>
    <t>075:35:13.55 W</t>
  </si>
  <si>
    <t>039:58:37.03 N</t>
  </si>
  <si>
    <t>075:35:11.15 W</t>
  </si>
  <si>
    <t>039:58:39.04 N</t>
  </si>
  <si>
    <t>075:35:08.53 W</t>
  </si>
  <si>
    <t>039:58:41.28 N</t>
  </si>
  <si>
    <t>075:35:05.36 W</t>
  </si>
  <si>
    <t>039:58:43.67 N</t>
  </si>
  <si>
    <t>075:35:02.11 W</t>
  </si>
  <si>
    <t>039:58:45.45 N</t>
  </si>
  <si>
    <t>075:34:59.72 W</t>
  </si>
  <si>
    <t>039:58:47.30 N</t>
  </si>
  <si>
    <t>075:34:57.09 W</t>
  </si>
  <si>
    <t>039:58:49.16 N</t>
  </si>
  <si>
    <t>075:34:54.54 W</t>
  </si>
  <si>
    <t>039:58:51.16 N</t>
  </si>
  <si>
    <t>075:34:51.61 W</t>
  </si>
  <si>
    <t>039:58:53.40 N</t>
  </si>
  <si>
    <t>075:34:48.52 W</t>
  </si>
  <si>
    <t>039:58:55.18 N</t>
  </si>
  <si>
    <t>075:34:45.97 W</t>
  </si>
  <si>
    <t>039:58:57.73 N</t>
  </si>
  <si>
    <t>075:34:42.65 W</t>
  </si>
  <si>
    <t>039:58:59.43 N</t>
  </si>
  <si>
    <t>075:34:39.94 W</t>
  </si>
  <si>
    <t>039:59:01.75 N</t>
  </si>
  <si>
    <t>075:34:36.78 W</t>
  </si>
  <si>
    <t>039:59:04.06 N</t>
  </si>
  <si>
    <t>075:34:33.76 W</t>
  </si>
  <si>
    <t>039:59:06.07 N</t>
  </si>
  <si>
    <t>075:34:30.91 W</t>
  </si>
  <si>
    <t>039:59:08.24 N</t>
  </si>
  <si>
    <t>075:34:28.05 W</t>
  </si>
  <si>
    <t>039:59:10.17 N</t>
  </si>
  <si>
    <t>075:34:25.19 W</t>
  </si>
  <si>
    <t>039:59:12.10 N</t>
  </si>
  <si>
    <t>075:34:22.64 W</t>
  </si>
  <si>
    <t>039:59:14.26 N</t>
  </si>
  <si>
    <t>075:34:19.47 W</t>
  </si>
  <si>
    <t>039:59:16.42 N</t>
  </si>
  <si>
    <t>075:34:16.61 W</t>
  </si>
  <si>
    <t>039:59:18.28 N</t>
  </si>
  <si>
    <t>075:34:14.07 W</t>
  </si>
  <si>
    <t>039:59:20.05 N</t>
  </si>
  <si>
    <t>075:34:11.59 W</t>
  </si>
  <si>
    <t>039:59:22.22 N</t>
  </si>
  <si>
    <t>075:34:08.74 W</t>
  </si>
  <si>
    <t>039:59:24.38 N</t>
  </si>
  <si>
    <t>075:34:05.88 W</t>
  </si>
  <si>
    <t>039:59:26.31 N</t>
  </si>
  <si>
    <t>075:34:03.02 W</t>
  </si>
  <si>
    <t>039:59:28.47 N</t>
  </si>
  <si>
    <t>075:34:00.16 W</t>
  </si>
  <si>
    <t>039:59:30.71 N</t>
  </si>
  <si>
    <t>075:33:56.99 W</t>
  </si>
  <si>
    <t>039:59:32.95 N</t>
  </si>
  <si>
    <t>075:33:53.98 W</t>
  </si>
  <si>
    <t>039:59:34.58 N</t>
  </si>
  <si>
    <t>075:33:51.59 W</t>
  </si>
  <si>
    <t>039:59:36.74 N</t>
  </si>
  <si>
    <t>075:33:48.73 W</t>
  </si>
  <si>
    <t>039:59:38.90 N</t>
  </si>
  <si>
    <t>075:33:45.79 W</t>
  </si>
  <si>
    <t>039:59:40.91 N</t>
  </si>
  <si>
    <t>075:33:42.86 W</t>
  </si>
  <si>
    <t>039:59:43.07 N</t>
  </si>
  <si>
    <t>075:33:39.92 W</t>
  </si>
  <si>
    <t>039:59:44.93 N</t>
  </si>
  <si>
    <t>075:33:37.30 W</t>
  </si>
  <si>
    <t>039:59:46.94 N</t>
  </si>
  <si>
    <t>075:33:34.44 W</t>
  </si>
  <si>
    <t>039:59:49.10 N</t>
  </si>
  <si>
    <t>075:33:31.58 W</t>
  </si>
  <si>
    <t>039:59:50.80 N</t>
  </si>
  <si>
    <t>075:33:29.18 W</t>
  </si>
  <si>
    <t>039:59:53.19 N</t>
  </si>
  <si>
    <t>075:33:25.86 W</t>
  </si>
  <si>
    <t>039:59:55.20 N</t>
  </si>
  <si>
    <t>075:33:23.01 W</t>
  </si>
  <si>
    <t>039:59:57.13 N</t>
  </si>
  <si>
    <t>075:33:20.15 W</t>
  </si>
  <si>
    <t>039:59:59.06 N</t>
  </si>
  <si>
    <t>075:33:17.44 W</t>
  </si>
  <si>
    <t>040:00:00.69 N</t>
  </si>
  <si>
    <t>075:33:15.20 W</t>
  </si>
  <si>
    <t>040:00:02.93 N</t>
  </si>
  <si>
    <t>075:33:12.04 W</t>
  </si>
  <si>
    <t>040:00:05.09 N</t>
  </si>
  <si>
    <t>075:33:09.18 W</t>
  </si>
  <si>
    <t>040:00:06.71 N</t>
  </si>
  <si>
    <t>075:33:06.78 W</t>
  </si>
  <si>
    <t>040:00:08.41 N</t>
  </si>
  <si>
    <t>075:33:04.23 W</t>
  </si>
  <si>
    <t>040:00:10.34 N</t>
  </si>
  <si>
    <t>075:33:01.68 W</t>
  </si>
  <si>
    <t>040:00:12.27 N</t>
  </si>
  <si>
    <t>075:32:58.83 W</t>
  </si>
  <si>
    <t>040:00:14.44 N</t>
  </si>
  <si>
    <t>075:32:55.97 W</t>
  </si>
  <si>
    <t>040:00:16.45 N</t>
  </si>
  <si>
    <t>075:32:53.11 W</t>
  </si>
  <si>
    <t>040:00:18.30 N</t>
  </si>
  <si>
    <t>075:32:50.48 W</t>
  </si>
  <si>
    <t>040:00:20.31 N</t>
  </si>
  <si>
    <t>075:32:47.78 W</t>
  </si>
  <si>
    <t>040:00:22.16 N</t>
  </si>
  <si>
    <t>075:32:45.23 W</t>
  </si>
  <si>
    <t>040:00:23.86 N</t>
  </si>
  <si>
    <t>075:32:42.84 W</t>
  </si>
  <si>
    <t>040:00:26.18 N</t>
  </si>
  <si>
    <t>075:32:39.75 W</t>
  </si>
  <si>
    <t>040:00:28.73 N</t>
  </si>
  <si>
    <t>075:32:36.35 W</t>
  </si>
  <si>
    <t>040:00:30.74 N</t>
  </si>
  <si>
    <t>075:32:33.41 W</t>
  </si>
  <si>
    <t>040:00:32.74 N</t>
  </si>
  <si>
    <t>075:32:30.71 W</t>
  </si>
  <si>
    <t>040:00:34.91 N</t>
  </si>
  <si>
    <t>075:32:27.77 W</t>
  </si>
  <si>
    <t>040:00:36.92 N</t>
  </si>
  <si>
    <t>075:32:24.91 W</t>
  </si>
  <si>
    <t>040:00:38.69 N</t>
  </si>
  <si>
    <t>075:32:22.37 W</t>
  </si>
  <si>
    <t>040:00:40.93 N</t>
  </si>
  <si>
    <t>075:32:19.28 W</t>
  </si>
  <si>
    <t>040:00:43.10 N</t>
  </si>
  <si>
    <t>075:32:16.34 W</t>
  </si>
  <si>
    <t>040:00:45.10 N</t>
  </si>
  <si>
    <t>075:32:13.40 W</t>
  </si>
  <si>
    <t>040:00:47.42 N</t>
  </si>
  <si>
    <t>075:32:10.32 W</t>
  </si>
  <si>
    <t>040:00:49.35 N</t>
  </si>
  <si>
    <t>075:32:07.46 W</t>
  </si>
  <si>
    <t>040:00:51.67 N</t>
  </si>
  <si>
    <t>075:32:04.44 W</t>
  </si>
  <si>
    <t>040:00:53.99 N</t>
  </si>
  <si>
    <t>075:32:01.28 W</t>
  </si>
  <si>
    <t>040:00:56.15 N</t>
  </si>
  <si>
    <t>075:31:58.11 W</t>
  </si>
  <si>
    <t>040:00:58.62 N</t>
  </si>
  <si>
    <t>075:31:55.17 W</t>
  </si>
  <si>
    <t>040:01:00.40 N</t>
  </si>
  <si>
    <t>075:31:52.55 W</t>
  </si>
  <si>
    <t>040:01:02.25 N</t>
  </si>
  <si>
    <t>075:31:50.08 W</t>
  </si>
  <si>
    <t>040:01:04.03 N</t>
  </si>
  <si>
    <t>075:31:47.37 W</t>
  </si>
  <si>
    <t>040:01:06.35 N</t>
  </si>
  <si>
    <t>075:31:44.36 W</t>
  </si>
  <si>
    <t>040:01:08.51 N</t>
  </si>
  <si>
    <t>075:31:41.50 W</t>
  </si>
  <si>
    <t>040:01:10.44 N</t>
  </si>
  <si>
    <t>075:31:38.64 W</t>
  </si>
  <si>
    <t>040:01:12.76 N</t>
  </si>
  <si>
    <t>075:31:35.48 W</t>
  </si>
  <si>
    <t>040:01:14.61 N</t>
  </si>
  <si>
    <t>075:31:32.93 W</t>
  </si>
  <si>
    <t>040:01:16.93 N</t>
  </si>
  <si>
    <t>075:31:29.84 W</t>
  </si>
  <si>
    <t>040:01:19.25 N</t>
  </si>
  <si>
    <t>075:31:26.82 W</t>
  </si>
  <si>
    <t>040:01:21.33 N</t>
  </si>
  <si>
    <t>075:31:23.97 W</t>
  </si>
  <si>
    <t>040:01:23.50 N</t>
  </si>
  <si>
    <t>075:31:20.80 W</t>
  </si>
  <si>
    <t>040:01:25.66 N</t>
  </si>
  <si>
    <t>075:31:17.94 W</t>
  </si>
  <si>
    <t>040:01:27.44 N</t>
  </si>
  <si>
    <t>075:31:15.39 W</t>
  </si>
  <si>
    <t>040:01:29.60 N</t>
  </si>
  <si>
    <t>075:31:12.53 W</t>
  </si>
  <si>
    <t>040:01:31.61 N</t>
  </si>
  <si>
    <t>075:31:09.68 W</t>
  </si>
  <si>
    <t>040:01:33.69 N</t>
  </si>
  <si>
    <t>075:31:06.82 W</t>
  </si>
  <si>
    <t>040:01:35.86 N</t>
  </si>
  <si>
    <t>075:31:04.19 W</t>
  </si>
  <si>
    <t>040:01:37.71 N</t>
  </si>
  <si>
    <t>075:31:01.49 W</t>
  </si>
  <si>
    <t>040:01:40.95 N</t>
  </si>
  <si>
    <t>075:30:57.01 W</t>
  </si>
  <si>
    <t>040:01:42.81 N</t>
  </si>
  <si>
    <t>075:30:54.46 W</t>
  </si>
  <si>
    <t>040:01:44.58 N</t>
  </si>
  <si>
    <t>075:30:51.83 W</t>
  </si>
  <si>
    <t>040:01:46.90 N</t>
  </si>
  <si>
    <t>075:30:48.74 W</t>
  </si>
  <si>
    <t>040:01:49.30 N</t>
  </si>
  <si>
    <t>075:30:45.57 W</t>
  </si>
  <si>
    <t>040:01:51.61 N</t>
  </si>
  <si>
    <t>075:30:42.18 W</t>
  </si>
  <si>
    <t>040:01:53.85 N</t>
  </si>
  <si>
    <t>075:30:39.24 W</t>
  </si>
  <si>
    <t>040:01:56.09 N</t>
  </si>
  <si>
    <t>075:30:36.07 W</t>
  </si>
  <si>
    <t>040:01:57.87 N</t>
  </si>
  <si>
    <t>075:30:33.68 W</t>
  </si>
  <si>
    <t>040:01:59.73 N</t>
  </si>
  <si>
    <t>075:30:30.97 W</t>
  </si>
  <si>
    <t>040:02:01.73 N</t>
  </si>
  <si>
    <t>075:30:28.50 W</t>
  </si>
  <si>
    <t>040:02:03.90 N</t>
  </si>
  <si>
    <t>075:30:25.26 W</t>
  </si>
  <si>
    <t>040:02:06.21 N</t>
  </si>
  <si>
    <t>075:30:22.17 W</t>
  </si>
  <si>
    <t>040:02:08.22 N</t>
  </si>
  <si>
    <t>075:30:19.23 W</t>
  </si>
  <si>
    <t>040:02:10.39 N</t>
  </si>
  <si>
    <t>075:30:16.37 W</t>
  </si>
  <si>
    <t>040:02:12.39 N</t>
  </si>
  <si>
    <t>075:30:13.67 W</t>
  </si>
  <si>
    <t>040:02:14.25 N</t>
  </si>
  <si>
    <t>075:30:10.97 W</t>
  </si>
  <si>
    <t>040:02:16.72 N</t>
  </si>
  <si>
    <t>075:30:07.72 W</t>
  </si>
  <si>
    <t>040:02:18.65 N</t>
  </si>
  <si>
    <t>075:30:05.10 W</t>
  </si>
  <si>
    <t>040:02:20.27 N</t>
  </si>
  <si>
    <t>075:30:02.86 W</t>
  </si>
  <si>
    <t>040:02:22.28 N</t>
  </si>
  <si>
    <t>075:29:59.92 W</t>
  </si>
  <si>
    <t>040:02:24.60 N</t>
  </si>
  <si>
    <t>075:29:56.68 W</t>
  </si>
  <si>
    <t>040:02:26.30 N</t>
  </si>
  <si>
    <t>075:29:54.51 W</t>
  </si>
  <si>
    <t>040:02:28.54 N</t>
  </si>
  <si>
    <t>075:29:51.42 W</t>
  </si>
  <si>
    <t>040:02:30.55 N</t>
  </si>
  <si>
    <t>075:29:48.49 W</t>
  </si>
  <si>
    <t>040:02:32.40 N</t>
  </si>
  <si>
    <t>075:29:45.94 W</t>
  </si>
  <si>
    <t>040:02:34.49 N</t>
  </si>
  <si>
    <t>075:29:42.85 W</t>
  </si>
  <si>
    <t>040:02:36.73 N</t>
  </si>
  <si>
    <t>075:29:39.68 W</t>
  </si>
  <si>
    <t>040:02:38.74 N</t>
  </si>
  <si>
    <t>075:29:36.98 W</t>
  </si>
  <si>
    <t>040:02:40.74 N</t>
  </si>
  <si>
    <t>075:29:34.12 W</t>
  </si>
  <si>
    <t>040:02:43.29 N</t>
  </si>
  <si>
    <t>075:29:30.72 W</t>
  </si>
  <si>
    <t>040:02:45.07 N</t>
  </si>
  <si>
    <t>075:29:28.17 W</t>
  </si>
  <si>
    <t>040:02:47.23 N</t>
  </si>
  <si>
    <t>075:29:25.31 W</t>
  </si>
  <si>
    <t>040:02:49.32 N</t>
  </si>
  <si>
    <t>075:29:22.46 W</t>
  </si>
  <si>
    <t>040:02:51.33 N</t>
  </si>
  <si>
    <t>075:29:19.60 W</t>
  </si>
  <si>
    <t>040:02:53.49 N</t>
  </si>
  <si>
    <t>075:29:16.74 W</t>
  </si>
  <si>
    <t>040:02:55.65 N</t>
  </si>
  <si>
    <t>075:29:13.42 W</t>
  </si>
  <si>
    <t>040:02:57.82 N</t>
  </si>
  <si>
    <t>075:29:10.71 W</t>
  </si>
  <si>
    <t>040:02:59.75 N</t>
  </si>
  <si>
    <t>075:29:08.17 W</t>
  </si>
  <si>
    <t>040:03:01.83 N</t>
  </si>
  <si>
    <t>075:29:04.84 W</t>
  </si>
  <si>
    <t>040:03:03.53 N</t>
  </si>
  <si>
    <t>075:29:02.60 W</t>
  </si>
  <si>
    <t>040:03:05.85 N</t>
  </si>
  <si>
    <t>075:28:59.36 W</t>
  </si>
  <si>
    <t>040:03:07.70 N</t>
  </si>
  <si>
    <t>075:28:56.81 W</t>
  </si>
  <si>
    <t>040:03:10.25 N</t>
  </si>
  <si>
    <t>075:28:53.41 W</t>
  </si>
  <si>
    <t>040:03:12.26 N</t>
  </si>
  <si>
    <t>075:28:50.48 W</t>
  </si>
  <si>
    <t>040:03:14.04 N</t>
  </si>
  <si>
    <t>075:28:47.93 W</t>
  </si>
  <si>
    <t>040:03:15.97 N</t>
  </si>
  <si>
    <t>075:28:45.30 W</t>
  </si>
  <si>
    <t>040:03:18.44 N</t>
  </si>
  <si>
    <t>075:28:41.98 W</t>
  </si>
  <si>
    <t>040:03:20.68 N</t>
  </si>
  <si>
    <t>075:28:38.73 W</t>
  </si>
  <si>
    <t>040:03:22.84 N</t>
  </si>
  <si>
    <t>075:28:35.88 W</t>
  </si>
  <si>
    <t>040:03:24.77 N</t>
  </si>
  <si>
    <t>075:28:33.02 W</t>
  </si>
  <si>
    <t>040:03:27.02 N</t>
  </si>
  <si>
    <t>075:28:29.85 W</t>
  </si>
  <si>
    <t>040:03:29.41 N</t>
  </si>
  <si>
    <t>075:28:26.61 W</t>
  </si>
  <si>
    <t>040:03:31.73 N</t>
  </si>
  <si>
    <t>075:28:23.52 W</t>
  </si>
  <si>
    <t>040:03:33.74 N</t>
  </si>
  <si>
    <t>075:28:20.58 W</t>
  </si>
  <si>
    <t>040:03:35.74 N</t>
  </si>
  <si>
    <t>075:28:17.72 W</t>
  </si>
  <si>
    <t>040:03:37.91 N</t>
  </si>
  <si>
    <t>075:28:14.79 W</t>
  </si>
  <si>
    <t>040:03:39.92 N</t>
  </si>
  <si>
    <t>075:28:12.08 W</t>
  </si>
  <si>
    <t>040:03:42.08 N</t>
  </si>
  <si>
    <t>075:28:09.15 W</t>
  </si>
  <si>
    <t>040:03:44.24 N</t>
  </si>
  <si>
    <t>075:28:05.98 W</t>
  </si>
  <si>
    <t>040:03:46.40 N</t>
  </si>
  <si>
    <t>075:28:03.12 W</t>
  </si>
  <si>
    <t>040:03:48.49 N</t>
  </si>
  <si>
    <t>075:28:00.26 W</t>
  </si>
  <si>
    <t>040:03:50.81 N</t>
  </si>
  <si>
    <t>075:27:57.25 W</t>
  </si>
  <si>
    <t>040:03:52.82 N</t>
  </si>
  <si>
    <t>075:27:54.32 W</t>
  </si>
  <si>
    <t>040:03:54.75 N</t>
  </si>
  <si>
    <t>075:27:51.69 W</t>
  </si>
  <si>
    <t>040:03:56.68 N</t>
  </si>
  <si>
    <t>075:27:49.14 W</t>
  </si>
  <si>
    <t>040:03:58.69 N</t>
  </si>
  <si>
    <t>075:27:46.21 W</t>
  </si>
  <si>
    <t>040:04:00.85 N</t>
  </si>
  <si>
    <t>075:27:43.50 W</t>
  </si>
  <si>
    <t>040:04:03.17 N</t>
  </si>
  <si>
    <t>075:27:40.26 W</t>
  </si>
  <si>
    <t>040:04:05.02 N</t>
  </si>
  <si>
    <t>075:27:37.71 W</t>
  </si>
  <si>
    <t>040:04:07.34 N</t>
  </si>
  <si>
    <t>075:27:34.54 W</t>
  </si>
  <si>
    <t>040:04:09.27 N</t>
  </si>
  <si>
    <t>075:27:31.68 W</t>
  </si>
  <si>
    <t>040:04:11.43 N</t>
  </si>
  <si>
    <t>075:27:28.82 W</t>
  </si>
  <si>
    <t>040:04:13.05 N</t>
  </si>
  <si>
    <t>075:27:26.43 W</t>
  </si>
  <si>
    <t>040:04:15.45 N</t>
  </si>
  <si>
    <t>075:27:23.34 W</t>
  </si>
  <si>
    <t>040:04:17.23 N</t>
  </si>
  <si>
    <t>075:27:20.71 W</t>
  </si>
  <si>
    <t>040:04:19.16 N</t>
  </si>
  <si>
    <t>075:27:18.16 W</t>
  </si>
  <si>
    <t>040:04:21.01 N</t>
  </si>
  <si>
    <t>075:27:15.46 W</t>
  </si>
  <si>
    <t>040:04:22.94 N</t>
  </si>
  <si>
    <t>075:27:12.60 W</t>
  </si>
  <si>
    <t>040:04:25.34 N</t>
  </si>
  <si>
    <t>075:27:09.36 W</t>
  </si>
  <si>
    <t>040:04:27.58 N</t>
  </si>
  <si>
    <t>075:27:06.19 W</t>
  </si>
  <si>
    <t>040:04:29.59 N</t>
  </si>
  <si>
    <t>075:27:03.33 W</t>
  </si>
  <si>
    <t>040:04:31.90 N</t>
  </si>
  <si>
    <t>075:27:00.17 W</t>
  </si>
  <si>
    <t>040:04:33.91 N</t>
  </si>
  <si>
    <t>075:26:57.23 W</t>
  </si>
  <si>
    <t>040:04:36.07 N</t>
  </si>
  <si>
    <t>075:26:54.30 W</t>
  </si>
  <si>
    <t>040:04:37.54 N</t>
  </si>
  <si>
    <t>075:26:52.05 W</t>
  </si>
  <si>
    <t>123-02</t>
  </si>
  <si>
    <t>N05</t>
  </si>
  <si>
    <t>040:04:39.94 N</t>
  </si>
  <si>
    <t>075:26:48.81 W</t>
  </si>
  <si>
    <t>040:04:41.95 N</t>
  </si>
  <si>
    <t>075:26:45.95 W</t>
  </si>
  <si>
    <t>040:04:43.80 N</t>
  </si>
  <si>
    <t>075:26:43.33 W</t>
  </si>
  <si>
    <t>040:04:45.73 N</t>
  </si>
  <si>
    <t>075:26:40.70 W</t>
  </si>
  <si>
    <t>040:04:47.43 N</t>
  </si>
  <si>
    <t>075:26:38.15 W</t>
  </si>
  <si>
    <t>040:04:49.82 N</t>
  </si>
  <si>
    <t>075:26:34.98 W</t>
  </si>
  <si>
    <t>040:04:52.14 N</t>
  </si>
  <si>
    <t>075:26:31.82 W</t>
  </si>
  <si>
    <t>040:04:54.15 N</t>
  </si>
  <si>
    <t>075:26:28.96 W</t>
  </si>
  <si>
    <t>040:04:55.93 N</t>
  </si>
  <si>
    <t>075:26:26.41 W</t>
  </si>
  <si>
    <t>040:04:58.09 N</t>
  </si>
  <si>
    <t>075:26:23.55 W</t>
  </si>
  <si>
    <t>040:05:00.33 N</t>
  </si>
  <si>
    <t>075:26:20.38 W</t>
  </si>
  <si>
    <t>040:05:02.65 N</t>
  </si>
  <si>
    <t>075:26:17.22 W</t>
  </si>
  <si>
    <t>040:05:04.35 N</t>
  </si>
  <si>
    <t>075:26:14.51 W</t>
  </si>
  <si>
    <t>040:05:06.59 N</t>
  </si>
  <si>
    <t>075:26:11.65 W</t>
  </si>
  <si>
    <t>040:05:08.60 N</t>
  </si>
  <si>
    <t>075:26:08.95 W</t>
  </si>
  <si>
    <t>040:05:10.76 N</t>
  </si>
  <si>
    <t>075:26:06.02 W</t>
  </si>
  <si>
    <t>040:05:12.77 N</t>
  </si>
  <si>
    <t>075:26:03.08 W</t>
  </si>
  <si>
    <t>040:05:14.78 N</t>
  </si>
  <si>
    <t>075:26:00.14 W</t>
  </si>
  <si>
    <t>040:05:16.47 N</t>
  </si>
  <si>
    <t>075:25:57.90 W</t>
  </si>
  <si>
    <t>040:05:18.33 N</t>
  </si>
  <si>
    <t>075:25:55.20 W</t>
  </si>
  <si>
    <t>040:05:20.11 N</t>
  </si>
  <si>
    <t>075:25:52.73 W</t>
  </si>
  <si>
    <t>040:05:21.96 N</t>
  </si>
  <si>
    <t>075:25:49.95 W</t>
  </si>
  <si>
    <t>040:05:24.12 N</t>
  </si>
  <si>
    <t>075:25:47.09 W</t>
  </si>
  <si>
    <t>040:05:25.98 N</t>
  </si>
  <si>
    <t>075:25:44.46 W</t>
  </si>
  <si>
    <t>040:05:27.98 N</t>
  </si>
  <si>
    <t>075:25:41.53 W</t>
  </si>
  <si>
    <t>040:05:30.22 N</t>
  </si>
  <si>
    <t>075:25:38.28 W</t>
  </si>
  <si>
    <t>040:05:32.54 N</t>
  </si>
  <si>
    <t>075:25:35.19 W</t>
  </si>
  <si>
    <t>040:05:34.24 N</t>
  </si>
  <si>
    <t>075:25:32.95 W</t>
  </si>
  <si>
    <t>040:05:36.25 N</t>
  </si>
  <si>
    <t>075:25:30.02 W</t>
  </si>
  <si>
    <t>040:05:38.10 N</t>
  </si>
  <si>
    <t>075:25:27.31 W</t>
  </si>
  <si>
    <t>040:05:40.11 N</t>
  </si>
  <si>
    <t>075:25:24.46 W</t>
  </si>
  <si>
    <t>040:05:42.20 N</t>
  </si>
  <si>
    <t>075:25:21.60 W</t>
  </si>
  <si>
    <t>040:05:44.21 N</t>
  </si>
  <si>
    <t>075:25:18.51 W</t>
  </si>
  <si>
    <t>040:05:46.68 N</t>
  </si>
  <si>
    <t>075:25:15.03 W</t>
  </si>
  <si>
    <t>040:05:48.61 N</t>
  </si>
  <si>
    <t>075:25:12.48 W</t>
  </si>
  <si>
    <t>040:05:50.62 N</t>
  </si>
  <si>
    <t>075:25:09.62 W</t>
  </si>
  <si>
    <t>040:05:52.94 N</t>
  </si>
  <si>
    <t>075:25:06.46 W</t>
  </si>
  <si>
    <t>040:05:55.18 N</t>
  </si>
  <si>
    <t>075:25:03.06 W</t>
  </si>
  <si>
    <t>040:05:57.18 N</t>
  </si>
  <si>
    <t>075:25:00.12 W</t>
  </si>
  <si>
    <t>040:05:59.35 N</t>
  </si>
  <si>
    <t>075:24:57.26 W</t>
  </si>
  <si>
    <t>040:06:01.20 N</t>
  </si>
  <si>
    <t>075:24:54.79 W</t>
  </si>
  <si>
    <t>040:06:04.21 N</t>
  </si>
  <si>
    <t>075:24:50.24 W</t>
  </si>
  <si>
    <t>RS - LP 1090 Single Chl Radio</t>
  </si>
  <si>
    <t>207-01</t>
  </si>
  <si>
    <t>PHL</t>
  </si>
  <si>
    <t>040:06:06.38 N</t>
  </si>
  <si>
    <t>075:24:47.61 W</t>
  </si>
  <si>
    <t>040:06:08.08 N</t>
  </si>
  <si>
    <t>075:24:44.91 W</t>
  </si>
  <si>
    <t>040:06:10.08 N</t>
  </si>
  <si>
    <t>075:24:42.20 W</t>
  </si>
  <si>
    <t>040:06:12.09 N</t>
  </si>
  <si>
    <t>075:24:39.27 W</t>
  </si>
  <si>
    <t>040:06:14.33 N</t>
  </si>
  <si>
    <t>075:24:36.10 W</t>
  </si>
  <si>
    <t>040:06:16.26 N</t>
  </si>
  <si>
    <t>075:24:33.63 W</t>
  </si>
  <si>
    <t>040:06:18.50 N</t>
  </si>
  <si>
    <t>075:24:30.38 W</t>
  </si>
  <si>
    <t>040:06:20.59 N</t>
  </si>
  <si>
    <t>075:24:27.52 W</t>
  </si>
  <si>
    <t>040:06:22.75 N</t>
  </si>
  <si>
    <t>075:24:24.67 W</t>
  </si>
  <si>
    <t>040:06:24.92 N</t>
  </si>
  <si>
    <t>075:24:21.65 W</t>
  </si>
  <si>
    <t>040:06:26.85 N</t>
  </si>
  <si>
    <t>075:24:18.80 W</t>
  </si>
  <si>
    <t>040:06:29.01 N</t>
  </si>
  <si>
    <t>075:24:15.94 W</t>
  </si>
  <si>
    <t>040:06:31.33 N</t>
  </si>
  <si>
    <t>075:24:12.77 W</t>
  </si>
  <si>
    <t>040:06:33.18 N</t>
  </si>
  <si>
    <t>075:24:10.22 W</t>
  </si>
  <si>
    <t>040:06:35.58 N</t>
  </si>
  <si>
    <t>075:24:07.13 W</t>
  </si>
  <si>
    <t>040:06:37.20 N</t>
  </si>
  <si>
    <t>075:24:04.66 W</t>
  </si>
  <si>
    <t>040:06:39.59 N</t>
  </si>
  <si>
    <t>075:24:01.65 W</t>
  </si>
  <si>
    <t>040:06:41.45 N</t>
  </si>
  <si>
    <t>075:23:59.02 W</t>
  </si>
  <si>
    <t>040:06:43.69 N</t>
  </si>
  <si>
    <t>075:23:55.93 W</t>
  </si>
  <si>
    <t>040:06:45.62 N</t>
  </si>
  <si>
    <t>075:23:53.23 W</t>
  </si>
  <si>
    <t>040:06:47.78 N</t>
  </si>
  <si>
    <t>075:23:50.29 W</t>
  </si>
  <si>
    <t>040:06:49.64 N</t>
  </si>
  <si>
    <t>075:23:47.82 W</t>
  </si>
  <si>
    <t>040:06:51.80 N</t>
  </si>
  <si>
    <t>075:23:44.96 W</t>
  </si>
  <si>
    <t>040:06:53.88 N</t>
  </si>
  <si>
    <t>075:23:42.10 W</t>
  </si>
  <si>
    <t>040:06:55.82 N</t>
  </si>
  <si>
    <t>075:23:39.48 W</t>
  </si>
  <si>
    <t>040:06:57.67 N</t>
  </si>
  <si>
    <t>075:23:36.77 W</t>
  </si>
  <si>
    <t>040:06:59.37 N</t>
  </si>
  <si>
    <t>075:23:34.61 W</t>
  </si>
  <si>
    <t>040:07:01.69 N</t>
  </si>
  <si>
    <t>075:23:31.37 W</t>
  </si>
  <si>
    <t>040:07:03.85 N</t>
  </si>
  <si>
    <t>075:23:28.51 W</t>
  </si>
  <si>
    <t>040:07:05.78 N</t>
  </si>
  <si>
    <t>075:23:26.04 W</t>
  </si>
  <si>
    <t>040:07:07.56 N</t>
  </si>
  <si>
    <t>075:23:23.33 W</t>
  </si>
  <si>
    <t>040:07:09.72 N</t>
  </si>
  <si>
    <t>075:23:20.40 W</t>
  </si>
  <si>
    <t>040:07:11.73 N</t>
  </si>
  <si>
    <t>075:23:17.92 W</t>
  </si>
  <si>
    <t>040:07:13.58 N</t>
  </si>
  <si>
    <t>075:23:15.22 W</t>
  </si>
  <si>
    <t>040:07:15.75 N</t>
  </si>
  <si>
    <t>075:23:12.29 W</t>
  </si>
  <si>
    <t>040:07:17.99 N</t>
  </si>
  <si>
    <t>075:23:09.12 W</t>
  </si>
  <si>
    <t>040:07:20.15 N</t>
  </si>
  <si>
    <t>075:23:06.26 W</t>
  </si>
  <si>
    <t>040:07:22.23 N</t>
  </si>
  <si>
    <t>075:23:03.17 W</t>
  </si>
  <si>
    <t>040:07:24.63 N</t>
  </si>
  <si>
    <t>075:22:59.93 W</t>
  </si>
  <si>
    <t>040:07:26.56 N</t>
  </si>
  <si>
    <t>075:22:57.22 W</t>
  </si>
  <si>
    <t>040:07:28.65 N</t>
  </si>
  <si>
    <t>075:22:54.36 W</t>
  </si>
  <si>
    <t>040:07:30.81 N</t>
  </si>
  <si>
    <t>075:22:51.35 W</t>
  </si>
  <si>
    <t>040:07:33.20 N</t>
  </si>
  <si>
    <t>075:22:48.03 W</t>
  </si>
  <si>
    <t>040:07:35.13 N</t>
  </si>
  <si>
    <t>075:22:45.40 W</t>
  </si>
  <si>
    <t>040:07:37.53 N</t>
  </si>
  <si>
    <t>075:22:41.93 W</t>
  </si>
  <si>
    <t>040:07:39.77 N</t>
  </si>
  <si>
    <t>075:22:39.07 W</t>
  </si>
  <si>
    <t>040:07:42.24 N</t>
  </si>
  <si>
    <t>075:22:35.44 W</t>
  </si>
  <si>
    <t>040:07:44.40 N</t>
  </si>
  <si>
    <t>075:22:32.27 W</t>
  </si>
  <si>
    <t>040:07:47.11 N</t>
  </si>
  <si>
    <t>075:22:28.72 W</t>
  </si>
  <si>
    <t>040:07:49.43 N</t>
  </si>
  <si>
    <t>075:22:25.16 W</t>
  </si>
  <si>
    <t>040:07:51.43 N</t>
  </si>
  <si>
    <t>075:22:22.38 W</t>
  </si>
  <si>
    <t>040:07:53.67 N</t>
  </si>
  <si>
    <t>075:22:19.29 W</t>
  </si>
  <si>
    <t>040:07:55.30 N</t>
  </si>
  <si>
    <t>075:22:16.82 W</t>
  </si>
  <si>
    <t>040:07:57.85 N</t>
  </si>
  <si>
    <t>075:22:13.27 W</t>
  </si>
  <si>
    <t>040:07:59.85 N</t>
  </si>
  <si>
    <t>075:22:10.49 W</t>
  </si>
  <si>
    <t>040:08:02.17 N</t>
  </si>
  <si>
    <t>075:22:07.17 W</t>
  </si>
  <si>
    <t>207-02</t>
  </si>
  <si>
    <t>PHLA</t>
  </si>
  <si>
    <t>040:08:04.41 N</t>
  </si>
  <si>
    <t>075:22:03.84 W</t>
  </si>
  <si>
    <t>040:08:06.88 N</t>
  </si>
  <si>
    <t>075:22:00.37 W</t>
  </si>
  <si>
    <t>040:08:08.74 N</t>
  </si>
  <si>
    <t>075:21:57.51 W</t>
  </si>
  <si>
    <t>040:08:11.21 N</t>
  </si>
  <si>
    <t>075:21:54.11 W</t>
  </si>
  <si>
    <t>040:08:13.68 N</t>
  </si>
  <si>
    <t>075:21:50.48 W</t>
  </si>
  <si>
    <t>040:08:15.84 N</t>
  </si>
  <si>
    <t>075:21:47.39 W</t>
  </si>
  <si>
    <t>040:08:18.24 N</t>
  </si>
  <si>
    <t>075:21:43.76 W</t>
  </si>
  <si>
    <t>040:08:20.63 N</t>
  </si>
  <si>
    <t>075:21:40.59 W</t>
  </si>
  <si>
    <t>040:08:22.56 N</t>
  </si>
  <si>
    <t>075:21:37.73 W</t>
  </si>
  <si>
    <t>040:08:24.65 N</t>
  </si>
  <si>
    <t>075:21:34.80 W</t>
  </si>
  <si>
    <t>040:08:26.81 N</t>
  </si>
  <si>
    <t>075:21:31.63 W</t>
  </si>
  <si>
    <t>040:08:28.98 N</t>
  </si>
  <si>
    <t>075:21:28.46 W</t>
  </si>
  <si>
    <t>040:08:31.37 N</t>
  </si>
  <si>
    <t>075:21:25.07 W</t>
  </si>
  <si>
    <t>040:08:33.53 N</t>
  </si>
  <si>
    <t>075:21:21.98 W</t>
  </si>
  <si>
    <t>040:08:36.08 N</t>
  </si>
  <si>
    <t>075:21:18.35 W</t>
  </si>
  <si>
    <t>040:08:38.01 N</t>
  </si>
  <si>
    <t>075:21:15.41 W</t>
  </si>
  <si>
    <t>040:08:40.02 N</t>
  </si>
  <si>
    <t>075:21:12.63 W</t>
  </si>
  <si>
    <t>040:08:42.57 N</t>
  </si>
  <si>
    <t>075:21:08.92 W</t>
  </si>
  <si>
    <t>040:08:44.97 N</t>
  </si>
  <si>
    <t>075:21:05.37 W</t>
  </si>
  <si>
    <t>040:08:47.75 N</t>
  </si>
  <si>
    <t>075:21:01.66 W</t>
  </si>
  <si>
    <t>040:08:50.06 N</t>
  </si>
  <si>
    <t>075:20:58.34 W</t>
  </si>
  <si>
    <t>040:08:52.61 N</t>
  </si>
  <si>
    <t>075:20:54.78 W</t>
  </si>
  <si>
    <t>040:08:54.54 N</t>
  </si>
  <si>
    <t>075:20:51.77 W</t>
  </si>
  <si>
    <t>040:08:56.32 N</t>
  </si>
  <si>
    <t>075:20:49.38 W</t>
  </si>
  <si>
    <t>040:08:58.64 N</t>
  </si>
  <si>
    <t>075:20:46.06 W</t>
  </si>
  <si>
    <t>040:09:01.19 N</t>
  </si>
  <si>
    <t>075:20:42.42 W</t>
  </si>
  <si>
    <t>040:09:03.74 N</t>
  </si>
  <si>
    <t>075:20:38.79 W</t>
  </si>
  <si>
    <t>040:09:05.67 N</t>
  </si>
  <si>
    <t>075:20:36.09 W</t>
  </si>
  <si>
    <t>040:09:08.37 N</t>
  </si>
  <si>
    <t>075:20:32.46 W</t>
  </si>
  <si>
    <t>040:09:10.69 N</t>
  </si>
  <si>
    <t>075:20:29.14 W</t>
  </si>
  <si>
    <t>040:09:12.78 N</t>
  </si>
  <si>
    <t>075:20:26.20 W</t>
  </si>
  <si>
    <t>040:09:15.32 N</t>
  </si>
  <si>
    <t>075:20:22.80 W</t>
  </si>
  <si>
    <t>040:09:17.64 N</t>
  </si>
  <si>
    <t>075:20:19.48 W</t>
  </si>
  <si>
    <t>040:09:19.42 N</t>
  </si>
  <si>
    <t>075:20:16.86 W</t>
  </si>
  <si>
    <t>040:09:21.58 N</t>
  </si>
  <si>
    <t>075:20:13.77 W</t>
  </si>
  <si>
    <t>040:09:24.05 N</t>
  </si>
  <si>
    <t>075:20:10.44 W</t>
  </si>
  <si>
    <t>040:09:25.98 N</t>
  </si>
  <si>
    <t>075:20:07.59 W</t>
  </si>
  <si>
    <t>040:09:28.30 N</t>
  </si>
  <si>
    <t>075:20:04.19 W</t>
  </si>
  <si>
    <t>040:09:30.62 N</t>
  </si>
  <si>
    <t>075:20:00.79 W</t>
  </si>
  <si>
    <t>040:09:32.86 N</t>
  </si>
  <si>
    <t>075:19:57.93 W</t>
  </si>
  <si>
    <t>040:09:35.02 N</t>
  </si>
  <si>
    <t>075:19:54.53 W</t>
  </si>
  <si>
    <t>040:09:37.34 N</t>
  </si>
  <si>
    <t>075:19:51.36 W</t>
  </si>
  <si>
    <t>040:09:39.89 N</t>
  </si>
  <si>
    <t>075:19:47.81 W</t>
  </si>
  <si>
    <t>040:09:41.97 N</t>
  </si>
  <si>
    <t>075:19:44.57 W</t>
  </si>
  <si>
    <t>040:09:44.60 N</t>
  </si>
  <si>
    <t>075:19:41.09 W</t>
  </si>
  <si>
    <t>040:09:46.76 N</t>
  </si>
  <si>
    <t>075:19:38.15 W</t>
  </si>
  <si>
    <t>040:09:48.93 N</t>
  </si>
  <si>
    <t>075:19:34.76 W</t>
  </si>
  <si>
    <t>040:09:51.09 N</t>
  </si>
  <si>
    <t>075:19:31.82 W</t>
  </si>
  <si>
    <t>040:09:53.18 N</t>
  </si>
  <si>
    <t>075:19:28.73 W</t>
  </si>
  <si>
    <t>040:09:55.49 N</t>
  </si>
  <si>
    <t>075:19:25.64 W</t>
  </si>
  <si>
    <t>040:09:58.12 N</t>
  </si>
  <si>
    <t>075:19:21.93 W</t>
  </si>
  <si>
    <t>040:10:00.44 N</t>
  </si>
  <si>
    <t>075:19:18.84 W</t>
  </si>
  <si>
    <t>040:10:02.52 N</t>
  </si>
  <si>
    <t>075:19:15.91 W</t>
  </si>
  <si>
    <t>040:10:04.69 N</t>
  </si>
  <si>
    <t>075:19:12.74 W</t>
  </si>
  <si>
    <t>040:10:06.69 N</t>
  </si>
  <si>
    <t>075:19:09.81 W</t>
  </si>
  <si>
    <t>040:10:08.86 N</t>
  </si>
  <si>
    <t>075:19:06.72 W</t>
  </si>
  <si>
    <t>040:10:11.02 N</t>
  </si>
  <si>
    <t>075:19:03.70 W</t>
  </si>
  <si>
    <t>040:10:13.65 N</t>
  </si>
  <si>
    <t>075:18:59.92 W</t>
  </si>
  <si>
    <t>040:10:15.96 N</t>
  </si>
  <si>
    <t>075:18:56.83 W</t>
  </si>
  <si>
    <t>040:10:17.74 N</t>
  </si>
  <si>
    <t>075:18:54.20 W</t>
  </si>
  <si>
    <t>040:10:19.90 N</t>
  </si>
  <si>
    <t>075:18:51.19 W</t>
  </si>
  <si>
    <t>040:10:22.53 N</t>
  </si>
  <si>
    <t>075:18:47.64 W</t>
  </si>
  <si>
    <t>040:10:25.00 N</t>
  </si>
  <si>
    <t>075:18:44.00 W</t>
  </si>
  <si>
    <t>040:10:27.16 N</t>
  </si>
  <si>
    <t>075:18:41.07 W</t>
  </si>
  <si>
    <t>040:10:29.33 N</t>
  </si>
  <si>
    <t>075:18:37.90 W</t>
  </si>
  <si>
    <t>040:10:31.80 N</t>
  </si>
  <si>
    <t>075:18:34.43 W</t>
  </si>
  <si>
    <t>040:10:34.19 N</t>
  </si>
  <si>
    <t>075:18:31.18 W</t>
  </si>
  <si>
    <t>040:10:36.51 N</t>
  </si>
  <si>
    <t>075:18:27.86 W</t>
  </si>
  <si>
    <t>040:10:38.67 N</t>
  </si>
  <si>
    <t>075:18:24.77 W</t>
  </si>
  <si>
    <t>040:10:40.99 N</t>
  </si>
  <si>
    <t>075:18:21.68 W</t>
  </si>
  <si>
    <t>040:10:43.16 N</t>
  </si>
  <si>
    <t>075:18:18.67 W</t>
  </si>
  <si>
    <t>040:10:45.32 N</t>
  </si>
  <si>
    <t>075:18:15.58 W</t>
  </si>
  <si>
    <t>040:10:47.40 N</t>
  </si>
  <si>
    <t>075:18:12.72 W</t>
  </si>
  <si>
    <t>040:10:49.57 N</t>
  </si>
  <si>
    <t>075:18:09.63 W</t>
  </si>
  <si>
    <t>040:10:51.88 N</t>
  </si>
  <si>
    <t>075:18:06.54 W</t>
  </si>
  <si>
    <t>040:10:54.05 N</t>
  </si>
  <si>
    <t>075:18:03.45 W</t>
  </si>
  <si>
    <t>040:10:56.52 N</t>
  </si>
  <si>
    <t>075:18:00.00 W</t>
  </si>
  <si>
    <t>040:10:58.60 N</t>
  </si>
  <si>
    <t>075:17:56.88 W</t>
  </si>
  <si>
    <t>040:11:00.69 N</t>
  </si>
  <si>
    <t>075:17:54.33 W</t>
  </si>
  <si>
    <t>040:11:02.62 N</t>
  </si>
  <si>
    <t>075:17:51.40 W</t>
  </si>
  <si>
    <t>040:11:04.71 N</t>
  </si>
  <si>
    <t>075:17:48.54 W</t>
  </si>
  <si>
    <t>040:11:06.87 N</t>
  </si>
  <si>
    <t>075:17:45.45 W</t>
  </si>
  <si>
    <t>040:11:09.19 N</t>
  </si>
  <si>
    <t>075:17:42.21 W</t>
  </si>
  <si>
    <t>040:11:11.35 N</t>
  </si>
  <si>
    <t>075:17:39.50 W</t>
  </si>
  <si>
    <t>040:11:13.59 N</t>
  </si>
  <si>
    <t>075:17:36.10 W</t>
  </si>
  <si>
    <t>040:11:15.75 N</t>
  </si>
  <si>
    <t>075:17:33.17 W</t>
  </si>
  <si>
    <t>040:11:17.76 N</t>
  </si>
  <si>
    <t>075:17:30.54 W</t>
  </si>
  <si>
    <t>040:11:19.62 N</t>
  </si>
  <si>
    <t>075:17:27.76 W</t>
  </si>
  <si>
    <t>040:11:22.01 N</t>
  </si>
  <si>
    <t>075:17:24.36 W</t>
  </si>
  <si>
    <t>040:11:23.71 N</t>
  </si>
  <si>
    <t>075:17:21.97 W</t>
  </si>
  <si>
    <t>040:11:25.80 N</t>
  </si>
  <si>
    <t>075:17:19.11 W</t>
  </si>
  <si>
    <t>040:11:27.80 N</t>
  </si>
  <si>
    <t>075:17:16.33 W</t>
  </si>
  <si>
    <t>040:11:29.97 N</t>
  </si>
  <si>
    <t>075:17:13.39 W</t>
  </si>
  <si>
    <t>040:11:32.28 N</t>
  </si>
  <si>
    <t>075:17:10.07 W</t>
  </si>
  <si>
    <t>040:11:34.68 N</t>
  </si>
  <si>
    <t>075:17:06.67 W</t>
  </si>
  <si>
    <t>040:11:36.69 N</t>
  </si>
  <si>
    <t>075:17:03.74 W</t>
  </si>
  <si>
    <t>040:11:38.85 N</t>
  </si>
  <si>
    <t>075:17:00.80 W</t>
  </si>
  <si>
    <t>040:11:41.09 N</t>
  </si>
  <si>
    <t>075:16:57.71 W</t>
  </si>
  <si>
    <t>040:11:43.25 N</t>
  </si>
  <si>
    <t>075:16:54.78 W</t>
  </si>
  <si>
    <t>040:11:45.11 N</t>
  </si>
  <si>
    <t>075:16:52.07 W</t>
  </si>
  <si>
    <t>040:11:47.43 N</t>
  </si>
  <si>
    <t>075:16:48.67 W</t>
  </si>
  <si>
    <t>040:11:49.59 N</t>
  </si>
  <si>
    <t>075:16:45.74 W</t>
  </si>
  <si>
    <t>040:11:51.52 N</t>
  </si>
  <si>
    <t>075:16:43.03 W</t>
  </si>
  <si>
    <t>040:11:53.45 N</t>
  </si>
  <si>
    <t>075:16:40.64 W</t>
  </si>
  <si>
    <t>040:11:55.30 N</t>
  </si>
  <si>
    <t>075:16:38.01 W</t>
  </si>
  <si>
    <t>040:11:57.62 N</t>
  </si>
  <si>
    <t>075:16:34.77 W</t>
  </si>
  <si>
    <t>040:11:59.94 N</t>
  </si>
  <si>
    <t>075:16:31.37 W</t>
  </si>
  <si>
    <t>040:12:02.10 N</t>
  </si>
  <si>
    <t>075:16:28.51 W</t>
  </si>
  <si>
    <t>040:12:04.03 N</t>
  </si>
  <si>
    <t>075:16:25.96 W</t>
  </si>
  <si>
    <t>040:12:06.20 N</t>
  </si>
  <si>
    <t>075:16:23.10 W</t>
  </si>
  <si>
    <t>040:12:08.20 N</t>
  </si>
  <si>
    <t>075:16:20.17 W</t>
  </si>
  <si>
    <t>040:12:10.44 N</t>
  </si>
  <si>
    <t>075:16:17.16 W</t>
  </si>
  <si>
    <t>040:12:12.61 N</t>
  </si>
  <si>
    <t>075:16:14.30 W</t>
  </si>
  <si>
    <t>040:12:14.77 N</t>
  </si>
  <si>
    <t>075:16:11.44 W</t>
  </si>
  <si>
    <t>040:12:16.62 N</t>
  </si>
  <si>
    <t>075:16:08.89 W</t>
  </si>
  <si>
    <t>040:12:19.02 N</t>
  </si>
  <si>
    <t>075:16:05.72 W</t>
  </si>
  <si>
    <t>040:12:21.03 N</t>
  </si>
  <si>
    <t>075:16:02.87 W</t>
  </si>
  <si>
    <t>040:12:23.19 N</t>
  </si>
  <si>
    <t>075:16:00.24 W</t>
  </si>
  <si>
    <t>040:12:24.81 N</t>
  </si>
  <si>
    <t>075:15:58.00 W</t>
  </si>
  <si>
    <t>040:12:26.67 N</t>
  </si>
  <si>
    <t>075:15:55.45 W</t>
  </si>
  <si>
    <t>040:12:28.44 N</t>
  </si>
  <si>
    <t>075:15:52.98 W</t>
  </si>
  <si>
    <t>040:12:30.30 N</t>
  </si>
  <si>
    <t>075:15:50.27 W</t>
  </si>
  <si>
    <t>040:12:32.54 N</t>
  </si>
  <si>
    <t>075:15:47.57 W</t>
  </si>
  <si>
    <t>040:12:34.16 N</t>
  </si>
  <si>
    <t>075:15:45.33 W</t>
  </si>
  <si>
    <t>040:12:36.32 N</t>
  </si>
  <si>
    <t>075:15:42.16 W</t>
  </si>
  <si>
    <t>040:12:38.72 N</t>
  </si>
  <si>
    <t>075:15:39.00 W</t>
  </si>
  <si>
    <t>040:12:40.73 N</t>
  </si>
  <si>
    <t>075:15:36.37 W</t>
  </si>
  <si>
    <t>040:12:42.58 N</t>
  </si>
  <si>
    <t>075:15:33.82 W</t>
  </si>
  <si>
    <t>040:12:44.59 N</t>
  </si>
  <si>
    <t>075:15:30.96 W</t>
  </si>
  <si>
    <t>040:12:46.44 N</t>
  </si>
  <si>
    <t>075:15:28.49 W</t>
  </si>
  <si>
    <t>040:12:48.61 N</t>
  </si>
  <si>
    <t>075:15:25.56 W</t>
  </si>
  <si>
    <t>040:12:50.61 N</t>
  </si>
  <si>
    <t>075:15:22.85 W</t>
  </si>
  <si>
    <t>040:12:52.62 N</t>
  </si>
  <si>
    <t>075:15:19.92 W</t>
  </si>
  <si>
    <t>040:12:54.94 N</t>
  </si>
  <si>
    <t>075:15:16.90 W</t>
  </si>
  <si>
    <t>040:12:56.79 N</t>
  </si>
  <si>
    <t>075:15:14.28 W</t>
  </si>
  <si>
    <t>040:12:58.96 N</t>
  </si>
  <si>
    <t>075:15:11.42 W</t>
  </si>
  <si>
    <t>040:13:01.20 N</t>
  </si>
  <si>
    <t>075:15:08.25 W</t>
  </si>
  <si>
    <t>040:13:03.36 N</t>
  </si>
  <si>
    <t>075:15:05.24 W</t>
  </si>
  <si>
    <t>040:13:05.37 N</t>
  </si>
  <si>
    <t>075:15:02.38 W</t>
  </si>
  <si>
    <t>040:13:07.22 N</t>
  </si>
  <si>
    <t>075:14:59.91 W</t>
  </si>
  <si>
    <t>040:13:09.38 N</t>
  </si>
  <si>
    <t>075:14:56.97 W</t>
  </si>
  <si>
    <t>040:13:11.47 N</t>
  </si>
  <si>
    <t>075:14:54.04 W</t>
  </si>
  <si>
    <t>040:13:13.40 N</t>
  </si>
  <si>
    <t>075:14:51.64 W</t>
  </si>
  <si>
    <t>040:13:15.41 N</t>
  </si>
  <si>
    <t>075:14:48.71 W</t>
  </si>
  <si>
    <t>040:13:17.19 N</t>
  </si>
  <si>
    <t>075:14:46.16 W</t>
  </si>
  <si>
    <t>040:13:19.20 N</t>
  </si>
  <si>
    <t>075:14:43.53 W</t>
  </si>
  <si>
    <t>040:13:21.13 N</t>
  </si>
  <si>
    <t>075:14:41.06 W</t>
  </si>
  <si>
    <t>040:13:23.29 N</t>
  </si>
  <si>
    <t>075:14:37.82 W</t>
  </si>
  <si>
    <t>040:13:25.14 N</t>
  </si>
  <si>
    <t>075:14:35.42 W</t>
  </si>
  <si>
    <t>040:13:27.46 N</t>
  </si>
  <si>
    <t>075:14:32.33 W</t>
  </si>
  <si>
    <t>040:13:29.62 N</t>
  </si>
  <si>
    <t>075:14:29.16 W</t>
  </si>
  <si>
    <t>040:13:31.40 N</t>
  </si>
  <si>
    <t>075:14:26.85 W</t>
  </si>
  <si>
    <t>040:13:33.33 N</t>
  </si>
  <si>
    <t>075:14:24.22 W</t>
  </si>
  <si>
    <t>040:13:35.73 N</t>
  </si>
  <si>
    <t>075:14:20.82 W</t>
  </si>
  <si>
    <t>040:13:37.73 N</t>
  </si>
  <si>
    <t>075:14:18.12 W</t>
  </si>
  <si>
    <t>040:13:39.43 N</t>
  </si>
  <si>
    <t>075:14:15.65 W</t>
  </si>
  <si>
    <t>040:13:41.44 N</t>
  </si>
  <si>
    <t>075:14:12.79 W</t>
  </si>
  <si>
    <t>040:13:43.61 N</t>
  </si>
  <si>
    <t>075:14:10.08 W</t>
  </si>
  <si>
    <t>040:13:45.38 N</t>
  </si>
  <si>
    <t>075:14:07.54 W</t>
  </si>
  <si>
    <t>040:13:47.24 N</t>
  </si>
  <si>
    <t>075:14:04.68 W</t>
  </si>
  <si>
    <t>040:13:49.55 N</t>
  </si>
  <si>
    <t>075:14:01.74 W</t>
  </si>
  <si>
    <t>040:13:51.25 N</t>
  </si>
  <si>
    <t>075:13:59.27 W</t>
  </si>
  <si>
    <t>040:13:53.26 N</t>
  </si>
  <si>
    <t>075:13:56.33 W</t>
  </si>
  <si>
    <t>040:13:55.12 N</t>
  </si>
  <si>
    <t>075:13:53.86 W</t>
  </si>
  <si>
    <t>040:13:56.97 N</t>
  </si>
  <si>
    <t>075:13:51.16 W</t>
  </si>
  <si>
    <t>040:13:59.21 N</t>
  </si>
  <si>
    <t>075:13:48.15 W</t>
  </si>
  <si>
    <t>040:14:00.99 N</t>
  </si>
  <si>
    <t>075:13:45.75 W</t>
  </si>
  <si>
    <t>040:14:02.84 N</t>
  </si>
  <si>
    <t>075:13:43.12 W</t>
  </si>
  <si>
    <t>040:14:04.69 N</t>
  </si>
  <si>
    <t>075:13:40.58 W</t>
  </si>
  <si>
    <t>040:14:06.16 N</t>
  </si>
  <si>
    <t>075:13:38.57 W</t>
  </si>
  <si>
    <t>040:14:08.17 N</t>
  </si>
  <si>
    <t>075:13:35.63 W</t>
  </si>
  <si>
    <t>040:14:10.49 N</t>
  </si>
  <si>
    <t>075:13:32.54 W</t>
  </si>
  <si>
    <t>040:14:12.19 N</t>
  </si>
  <si>
    <t>075:13:30.30 W</t>
  </si>
  <si>
    <t>040:14:14.04 N</t>
  </si>
  <si>
    <t>075:13:27.75 W</t>
  </si>
  <si>
    <t>040:14:16.28 N</t>
  </si>
  <si>
    <t>075:13:24.66 W</t>
  </si>
  <si>
    <t>040:14:17.90 N</t>
  </si>
  <si>
    <t>075:13:22.42 W</t>
  </si>
  <si>
    <t>040:14:19.68 N</t>
  </si>
  <si>
    <t>075:13:19.80 W</t>
  </si>
  <si>
    <t>040:14:21.92 N</t>
  </si>
  <si>
    <t>075:13:16.78 W</t>
  </si>
  <si>
    <t>040:14:24.16 N</t>
  </si>
  <si>
    <t>075:13:13.62 W</t>
  </si>
  <si>
    <t>040:14:26.25 N</t>
  </si>
  <si>
    <t>075:13:10.99 W</t>
  </si>
  <si>
    <t>040:14:28.49 N</t>
  </si>
  <si>
    <t>075:13:08.05 W</t>
  </si>
  <si>
    <t>040:14:30.26 N</t>
  </si>
  <si>
    <t>075:13:05.51 W</t>
  </si>
  <si>
    <t>040:14:32.19 N</t>
  </si>
  <si>
    <t>075:13:02.65 W</t>
  </si>
  <si>
    <t>040:14:33.97 N</t>
  </si>
  <si>
    <t>075:13:00.18 W</t>
  </si>
  <si>
    <t>040:14:36.52 N</t>
  </si>
  <si>
    <t>075:12:56.78 W</t>
  </si>
  <si>
    <t>040:14:38.53 N</t>
  </si>
  <si>
    <t>075:12:54.07 W</t>
  </si>
  <si>
    <t>040:14:40.38 N</t>
  </si>
  <si>
    <t>075:12:51.37 W</t>
  </si>
  <si>
    <t>040:14:42.39 N</t>
  </si>
  <si>
    <t>075:12:48.43 W</t>
  </si>
  <si>
    <t>040:14:44.55 N</t>
  </si>
  <si>
    <t>075:12:45.50 W</t>
  </si>
  <si>
    <t>040:14:46.72 N</t>
  </si>
  <si>
    <t>075:12:42.64 W</t>
  </si>
  <si>
    <t>040:14:49.03 N</t>
  </si>
  <si>
    <t>075:12:39.16 W</t>
  </si>
  <si>
    <t>040:14:51.27 N</t>
  </si>
  <si>
    <t>075:12:36.07 W</t>
  </si>
  <si>
    <t>040:14:53.28 N</t>
  </si>
  <si>
    <t>075:12:33.45 W</t>
  </si>
  <si>
    <t>040:14:55.14 N</t>
  </si>
  <si>
    <t>075:12:31.05 W</t>
  </si>
  <si>
    <t>040:14:57.07 N</t>
  </si>
  <si>
    <t>075:12:28.19 W</t>
  </si>
  <si>
    <t>040:14:58.84 N</t>
  </si>
  <si>
    <t>075:12:25.80 W</t>
  </si>
  <si>
    <t>040:15:01.01 N</t>
  </si>
  <si>
    <t>075:12:22.71 W</t>
  </si>
  <si>
    <t>040:15:03.17 N</t>
  </si>
  <si>
    <t>075:12:19.85 W</t>
  </si>
  <si>
    <t>040:15:05.18 N</t>
  </si>
  <si>
    <t>075:12:17.15 W</t>
  </si>
  <si>
    <t>040:15:07.34 N</t>
  </si>
  <si>
    <t>075:12:14.06 W</t>
  </si>
  <si>
    <t>040:15:08.89 N</t>
  </si>
  <si>
    <t>075:12:11.82 W</t>
  </si>
  <si>
    <t>040:15:11.13 N</t>
  </si>
  <si>
    <t>075:12:08.81 W</t>
  </si>
  <si>
    <t>040:15:13.21 N</t>
  </si>
  <si>
    <t>075:12:05.79 W</t>
  </si>
  <si>
    <t>040:15:15.53 N</t>
  </si>
  <si>
    <t>075:12:02.70 W</t>
  </si>
  <si>
    <t>040:15:17.54 N</t>
  </si>
  <si>
    <t>075:12:00.08 W</t>
  </si>
  <si>
    <t>040:15:19.78 N</t>
  </si>
  <si>
    <t>075:11:56.99 W</t>
  </si>
  <si>
    <t>040:15:21.63 N</t>
  </si>
  <si>
    <t>075:11:54.36 W</t>
  </si>
  <si>
    <t>040:15:23.64 N</t>
  </si>
  <si>
    <t>075:11:51.66 W</t>
  </si>
  <si>
    <t>040:15:25.26 N</t>
  </si>
  <si>
    <t>075:11:49.34 W</t>
  </si>
  <si>
    <t>040:15:27.58 N</t>
  </si>
  <si>
    <t>075:11:46.17 W</t>
  </si>
  <si>
    <t>040:15:29.59 N</t>
  </si>
  <si>
    <t>075:11:43.55 W</t>
  </si>
  <si>
    <t>040:15:31.06 N</t>
  </si>
  <si>
    <t>075:11:41.15 W</t>
  </si>
  <si>
    <t>040:15:33.30 N</t>
  </si>
  <si>
    <t>075:11:38.14 W</t>
  </si>
  <si>
    <t>040:15:35.15 N</t>
  </si>
  <si>
    <t>075:11:35.43 W</t>
  </si>
  <si>
    <t>040:15:37.16 N</t>
  </si>
  <si>
    <t>075:11:32.73 W</t>
  </si>
  <si>
    <t>040:15:38.94 N</t>
  </si>
  <si>
    <t>075:11:30.18 W</t>
  </si>
  <si>
    <t>040:15:41.41 N</t>
  </si>
  <si>
    <t>075:11:26.86 W</t>
  </si>
  <si>
    <t>040:15:43.57 N</t>
  </si>
  <si>
    <t>075:11:23.77 W</t>
  </si>
  <si>
    <t>040:15:45.73 N</t>
  </si>
  <si>
    <t>075:11:20.68 W</t>
  </si>
  <si>
    <t>040:15:47.67 N</t>
  </si>
  <si>
    <t>075:11:17.82 W</t>
  </si>
  <si>
    <t>040:15:49.91 N</t>
  </si>
  <si>
    <t>075:11:14.96 W</t>
  </si>
  <si>
    <t>040:15:51.60 N</t>
  </si>
  <si>
    <t>075:11:12.72 W</t>
  </si>
  <si>
    <t>040:15:53.30 N</t>
  </si>
  <si>
    <t>075:11:10.17 W</t>
  </si>
  <si>
    <t>040:15:55.24 N</t>
  </si>
  <si>
    <t>075:11:07.32 W</t>
  </si>
  <si>
    <t>040:15:57.48 N</t>
  </si>
  <si>
    <t>075:11:04.46 W</t>
  </si>
  <si>
    <t>040:15:59.48 N</t>
  </si>
  <si>
    <t>075:11:01.52 W</t>
  </si>
  <si>
    <t>040:16:01.49 N</t>
  </si>
  <si>
    <t>075:10:58.51 W</t>
  </si>
  <si>
    <t>040:16:03.35 N</t>
  </si>
  <si>
    <t>075:10:56.12 W</t>
  </si>
  <si>
    <t>040:16:05.35 N</t>
  </si>
  <si>
    <t>075:10:53.41 W</t>
  </si>
  <si>
    <t>040:16:07.36 N</t>
  </si>
  <si>
    <t>075:10:50.48 W</t>
  </si>
  <si>
    <t>040:16:09.60 N</t>
  </si>
  <si>
    <t>075:10:47.54 W</t>
  </si>
  <si>
    <t>040:16:11.23 N</t>
  </si>
  <si>
    <t>075:10:45.30 W</t>
  </si>
  <si>
    <t>040:16:13.08 N</t>
  </si>
  <si>
    <t>075:10:42.83 W</t>
  </si>
  <si>
    <t>040:16:15.17 N</t>
  </si>
  <si>
    <t>075:10:39.82 W</t>
  </si>
  <si>
    <t>040:16:17.17 N</t>
  </si>
  <si>
    <t>075:10:36.96 W</t>
  </si>
  <si>
    <t>040:16:19.10 N</t>
  </si>
  <si>
    <t>075:10:34.56 W</t>
  </si>
  <si>
    <t>040:16:21.11 N</t>
  </si>
  <si>
    <t>075:10:31.47 W</t>
  </si>
  <si>
    <t>040:16:22.97 N</t>
  </si>
  <si>
    <t>075:10:29.16 W</t>
  </si>
  <si>
    <t>040:16:24.98 N</t>
  </si>
  <si>
    <t>075:10:26.22 W</t>
  </si>
  <si>
    <t>040:16:26.98 N</t>
  </si>
  <si>
    <t>075:10:23.52 W</t>
  </si>
  <si>
    <t>040:16:28.99 N</t>
  </si>
  <si>
    <t>075:10:20.81 W</t>
  </si>
  <si>
    <t>040:16:31.16 N</t>
  </si>
  <si>
    <t>075:10:17.65 W</t>
  </si>
  <si>
    <t>040:16:33.16 N</t>
  </si>
  <si>
    <t>075:10:15.02 W</t>
  </si>
  <si>
    <t>040:16:35.17 N</t>
  </si>
  <si>
    <t>075:10:12.16 W</t>
  </si>
  <si>
    <t>040:16:37.10 N</t>
  </si>
  <si>
    <t>075:10:09.30 W</t>
  </si>
  <si>
    <t>040:16:39.34 N</t>
  </si>
  <si>
    <t>075:10:06.21 W</t>
  </si>
  <si>
    <t>040:16:41.04 N</t>
  </si>
  <si>
    <t>075:10:03.82 W</t>
  </si>
  <si>
    <t>040:16:43.05 N</t>
  </si>
  <si>
    <t>075:10:00.96 W</t>
  </si>
  <si>
    <t>040:16:45.21 N</t>
  </si>
  <si>
    <t>075:09:57.87 W</t>
  </si>
  <si>
    <t>040:16:47.22 N</t>
  </si>
  <si>
    <t>075:09:55.24 W</t>
  </si>
  <si>
    <t>040:16:49.23 N</t>
  </si>
  <si>
    <t>075:09:52.31 W</t>
  </si>
  <si>
    <t>040:16:51.09 N</t>
  </si>
  <si>
    <t>075:09:49.61 W</t>
  </si>
  <si>
    <t>040:16:52.94 N</t>
  </si>
  <si>
    <t>075:09:47.13 W</t>
  </si>
  <si>
    <t>040:16:54.95 N</t>
  </si>
  <si>
    <t>075:09:44.28 W</t>
  </si>
  <si>
    <t>040:16:57.11 N</t>
  </si>
  <si>
    <t>075:09:41.26 W</t>
  </si>
  <si>
    <t>040:16:58.89 N</t>
  </si>
  <si>
    <t>075:09:38.79 W</t>
  </si>
  <si>
    <t>040:17:01.13 N</t>
  </si>
  <si>
    <t>075:09:35.62 W</t>
  </si>
  <si>
    <t>040:17:02.98 N</t>
  </si>
  <si>
    <t>075:09:33.00 W</t>
  </si>
  <si>
    <t>040:17:04.84 N</t>
  </si>
  <si>
    <t>075:09:30.45 W</t>
  </si>
  <si>
    <t>040:17:07.00 N</t>
  </si>
  <si>
    <t>075:09:27.36 W</t>
  </si>
  <si>
    <t>040:17:09.24 N</t>
  </si>
  <si>
    <t>075:09:24.27 W</t>
  </si>
  <si>
    <t>040:17:11.40 N</t>
  </si>
  <si>
    <t>075:09:21.26 W</t>
  </si>
  <si>
    <t>040:17:13.41 N</t>
  </si>
  <si>
    <t>075:09:18.55 W</t>
  </si>
  <si>
    <t>040:17:15.65 N</t>
  </si>
  <si>
    <t>075:09:15.46 W</t>
  </si>
  <si>
    <t>040:17:17.66 N</t>
  </si>
  <si>
    <t>075:09:12.84 W</t>
  </si>
  <si>
    <t>040:17:19.98 N</t>
  </si>
  <si>
    <t>075:09:09.28 W</t>
  </si>
  <si>
    <t>040:17:21.75 N</t>
  </si>
  <si>
    <t>075:09:06.89 W</t>
  </si>
  <si>
    <t>040:17:23.76 N</t>
  </si>
  <si>
    <t>075:09:04.18 W</t>
  </si>
  <si>
    <t>040:17:26.08 N</t>
  </si>
  <si>
    <t>075:09:01.17 W</t>
  </si>
  <si>
    <t>040:17:28.01 N</t>
  </si>
  <si>
    <t>075:08:58.31 W</t>
  </si>
  <si>
    <t>040:17:30.02 N</t>
  </si>
  <si>
    <t>075:08:55.45 W</t>
  </si>
  <si>
    <t>040:17:31.80 N</t>
  </si>
  <si>
    <t>075:08:52.98 W</t>
  </si>
  <si>
    <t>040:17:34.19 N</t>
  </si>
  <si>
    <t>075:08:49.82 W</t>
  </si>
  <si>
    <t>040:17:35.97 N</t>
  </si>
  <si>
    <t>075:08:47.11 W</t>
  </si>
  <si>
    <t>040:17:38.21 N</t>
  </si>
  <si>
    <t>075:08:44.18 W</t>
  </si>
  <si>
    <t>040:17:40.21 N</t>
  </si>
  <si>
    <t>075:08:41.24 W</t>
  </si>
  <si>
    <t>040:17:42.07 N</t>
  </si>
  <si>
    <t>075:08:38.61 W</t>
  </si>
  <si>
    <t>040:17:44.08 N</t>
  </si>
  <si>
    <t>075:08:35.68 W</t>
  </si>
  <si>
    <t>040:17:45.85 N</t>
  </si>
  <si>
    <t>075:08:33.28 W</t>
  </si>
  <si>
    <t>040:17:47.79 N</t>
  </si>
  <si>
    <t>075:08:30.43 W</t>
  </si>
  <si>
    <t>040:17:49.79 N</t>
  </si>
  <si>
    <t>075:08:27.57 W</t>
  </si>
  <si>
    <t>040:17:51.80 N</t>
  </si>
  <si>
    <t>075:08:24.94 W</t>
  </si>
  <si>
    <t>040:17:53.58 N</t>
  </si>
  <si>
    <t>075:08:22.39 W</t>
  </si>
  <si>
    <t>040:17:55.74 N</t>
  </si>
  <si>
    <t>075:08:19.23 W</t>
  </si>
  <si>
    <t>040:17:57.67 N</t>
  </si>
  <si>
    <t>075:08:16.60 W</t>
  </si>
  <si>
    <t>040:17:59.45 N</t>
  </si>
  <si>
    <t>075:08:14.05 W</t>
  </si>
  <si>
    <t>040:18:01.46 N</t>
  </si>
  <si>
    <t>075:08:11.19 W</t>
  </si>
  <si>
    <t>040:18:03.47 N</t>
  </si>
  <si>
    <t>075:08:08.49 W</t>
  </si>
  <si>
    <t>040:18:05.17 N</t>
  </si>
  <si>
    <t>075:08:06.25 W</t>
  </si>
  <si>
    <t>040:18:07.17 N</t>
  </si>
  <si>
    <t>075:08:03.54 W</t>
  </si>
  <si>
    <t>040:18:09.18 N</t>
  </si>
  <si>
    <t>075:08:00.84 W</t>
  </si>
  <si>
    <t>040:18:11.35 N</t>
  </si>
  <si>
    <t>075:07:57.67 W</t>
  </si>
  <si>
    <t>040:18:13.20 N</t>
  </si>
  <si>
    <t>075:07:55.20 W</t>
  </si>
  <si>
    <t>040:18:15.59 N</t>
  </si>
  <si>
    <t>075:07:51.80 W</t>
  </si>
  <si>
    <t>040:18:17.83 N</t>
  </si>
  <si>
    <t>075:07:48.87 W</t>
  </si>
  <si>
    <t>040:18:19.77 N</t>
  </si>
  <si>
    <t>075:07:46.01 W</t>
  </si>
  <si>
    <t>040:18:21.77 N</t>
  </si>
  <si>
    <t>075:07:43.38 W</t>
  </si>
  <si>
    <t>040:18:23.40 N</t>
  </si>
  <si>
    <t>075:07:41.22 W</t>
  </si>
  <si>
    <t>040:18:25.56 N</t>
  </si>
  <si>
    <t>075:07:38.36 W</t>
  </si>
  <si>
    <t>040:18:27.65 N</t>
  </si>
  <si>
    <t>075:07:35.43 W</t>
  </si>
  <si>
    <t>040:18:29.50 N</t>
  </si>
  <si>
    <t>075:07:32.88 W</t>
  </si>
  <si>
    <t>040:18:31.28 N</t>
  </si>
  <si>
    <t>075:07:30.48 W</t>
  </si>
  <si>
    <t>040:18:33.13 N</t>
  </si>
  <si>
    <t>075:07:28.01 W</t>
  </si>
  <si>
    <t>040:18:35.37 N</t>
  </si>
  <si>
    <t>075:07:24.84 W</t>
  </si>
  <si>
    <t>040:18:37.38 N</t>
  </si>
  <si>
    <t>075:07:22.14 W</t>
  </si>
  <si>
    <t>040:18:39.39 N</t>
  </si>
  <si>
    <t>075:07:19.51 W</t>
  </si>
  <si>
    <t>040:18:41.40 N</t>
  </si>
  <si>
    <t>075:07:16.58 W</t>
  </si>
  <si>
    <t>040:18:43.40 N</t>
  </si>
  <si>
    <t>075:07:13.87 W</t>
  </si>
  <si>
    <t>040:18:45.33 N</t>
  </si>
  <si>
    <t>075:07:11.32 W</t>
  </si>
  <si>
    <t>040:18:47.65 N</t>
  </si>
  <si>
    <t>075:07:08.00 W</t>
  </si>
  <si>
    <t>040:18:49.58 N</t>
  </si>
  <si>
    <t>075:07:05.15 W</t>
  </si>
  <si>
    <t>040:18:51.59 N</t>
  </si>
  <si>
    <t>075:07:02.52 W</t>
  </si>
  <si>
    <t>040:18:53.45 N</t>
  </si>
  <si>
    <t>075:06:59.89 W</t>
  </si>
  <si>
    <t>040:18:55.69 N</t>
  </si>
  <si>
    <t>075:06:56.80 W</t>
  </si>
  <si>
    <t>040:18:57.46 N</t>
  </si>
  <si>
    <t>075:06:54.33 W</t>
  </si>
  <si>
    <t>040:18:59.47 N</t>
  </si>
  <si>
    <t>075:06:51.63 W</t>
  </si>
  <si>
    <t>040:19:01.48 N</t>
  </si>
  <si>
    <t>075:06:48.92 W</t>
  </si>
  <si>
    <t>040:19:03.02 N</t>
  </si>
  <si>
    <t>075:06:46.68 W</t>
  </si>
  <si>
    <t>040:19:04.80 N</t>
  </si>
  <si>
    <t>075:06:44.06 W</t>
  </si>
  <si>
    <t>040:19:06.50 N</t>
  </si>
  <si>
    <t>075:06:41.51 W</t>
  </si>
  <si>
    <t>040:19:08.51 N</t>
  </si>
  <si>
    <t>075:06:38.80 W</t>
  </si>
  <si>
    <t>040:19:10.36 N</t>
  </si>
  <si>
    <t>075:06:36.41 W</t>
  </si>
  <si>
    <t>040:19:12.22 N</t>
  </si>
  <si>
    <t>075:06:33.86 W</t>
  </si>
  <si>
    <t>040:19:14.30 N</t>
  </si>
  <si>
    <t>075:06:30.69 W</t>
  </si>
  <si>
    <t>040:19:16.31 N</t>
  </si>
  <si>
    <t>075:06:28.07 W</t>
  </si>
  <si>
    <t>040:19:18.55 N</t>
  </si>
  <si>
    <t>075:06:24.90 W</t>
  </si>
  <si>
    <t>040:19:20.25 N</t>
  </si>
  <si>
    <t>075:06:22.35 W</t>
  </si>
  <si>
    <t>040:19:22.10 N</t>
  </si>
  <si>
    <t>075:06:19.96 W</t>
  </si>
  <si>
    <t>040:19:23.88 N</t>
  </si>
  <si>
    <t>075:06:17.25 W</t>
  </si>
  <si>
    <t>040:19:25.89 N</t>
  </si>
  <si>
    <t>075:06:14.63 W</t>
  </si>
  <si>
    <t>040:19:27.98 N</t>
  </si>
  <si>
    <t>075:06:11.38 W</t>
  </si>
  <si>
    <t>040:19:29.98 N</t>
  </si>
  <si>
    <t>075:06:08.68 W</t>
  </si>
  <si>
    <t>040:19:32.15 N</t>
  </si>
  <si>
    <t>075:06:05.59 W</t>
  </si>
  <si>
    <t>040:19:34.31 N</t>
  </si>
  <si>
    <t>075:06:02.81 W</t>
  </si>
  <si>
    <t>040:19:36.24 N</t>
  </si>
  <si>
    <t>075:06:00.10 W</t>
  </si>
  <si>
    <t>040:19:38.56 N</t>
  </si>
  <si>
    <t>075:05:56.63 W</t>
  </si>
  <si>
    <t>040:19:40.34 N</t>
  </si>
  <si>
    <t>075:05:54.08 W</t>
  </si>
  <si>
    <t>040:19:42.50 N</t>
  </si>
  <si>
    <t>075:05:51.14 W</t>
  </si>
  <si>
    <t>040:19:44.35 N</t>
  </si>
  <si>
    <t>075:05:48.44 W</t>
  </si>
  <si>
    <t>040:19:46.36 N</t>
  </si>
  <si>
    <t>075:05:45.73 W</t>
  </si>
  <si>
    <t>040:19:48.21 N</t>
  </si>
  <si>
    <t>075:05:43.11 W</t>
  </si>
  <si>
    <t>040:19:50.07 N</t>
  </si>
  <si>
    <t>075:05:40.33 W</t>
  </si>
  <si>
    <t>040:19:51.92 N</t>
  </si>
  <si>
    <t>075:05:37.93 W</t>
  </si>
  <si>
    <t>040:19:53.78 N</t>
  </si>
  <si>
    <t>075:05:35.23 W</t>
  </si>
  <si>
    <t>040:19:55.78 N</t>
  </si>
  <si>
    <t>075:05:32.29 W</t>
  </si>
  <si>
    <t>040:19:57.79 N</t>
  </si>
  <si>
    <t>075:05:29.59 W</t>
  </si>
  <si>
    <t>040:19:59.80 N</t>
  </si>
  <si>
    <t>075:05:26.65 W</t>
  </si>
  <si>
    <t>040:20:01.96 N</t>
  </si>
  <si>
    <t>075:05:23.64 W</t>
  </si>
  <si>
    <t>040:20:03.97 N</t>
  </si>
  <si>
    <t>075:05:20.78 W</t>
  </si>
  <si>
    <t>040:20:05.90 N</t>
  </si>
  <si>
    <t>075:05:17.93 W</t>
  </si>
  <si>
    <t>040:20:07.68 N</t>
  </si>
  <si>
    <t>075:05:15.45 W</t>
  </si>
  <si>
    <t>040:20:09.84 N</t>
  </si>
  <si>
    <t>075:05:12.44 W</t>
  </si>
  <si>
    <t>040:20:11.85 N</t>
  </si>
  <si>
    <t>075:05:09.58 W</t>
  </si>
  <si>
    <t>040:20:14.02 N</t>
  </si>
  <si>
    <t>075:05:06.42 W</t>
  </si>
  <si>
    <t>040:20:15.56 N</t>
  </si>
  <si>
    <t>075:05:04.18 W</t>
  </si>
  <si>
    <t>040:20:17.80 N</t>
  </si>
  <si>
    <t>075:05:01.24 W</t>
  </si>
  <si>
    <t>040:20:19.58 N</t>
  </si>
  <si>
    <t>075:04:58.61 W</t>
  </si>
  <si>
    <t>040:20:21.59 N</t>
  </si>
  <si>
    <t>075:04:55.91 W</t>
  </si>
  <si>
    <t>040:20:23.59 N</t>
  </si>
  <si>
    <t>075:04:53.21 W</t>
  </si>
  <si>
    <t>040:20:25.83 N</t>
  </si>
  <si>
    <t>075:04:50.04 W</t>
  </si>
  <si>
    <t>040:20:27.61 N</t>
  </si>
  <si>
    <t>075:04:47.57 W</t>
  </si>
  <si>
    <t>040:20:29.62 N</t>
  </si>
  <si>
    <t>075:04:44.63 W</t>
  </si>
  <si>
    <t>040:20:31.16 N</t>
  </si>
  <si>
    <t>075:04:42.39 W</t>
  </si>
  <si>
    <t>040:20:33.17 N</t>
  </si>
  <si>
    <t>075:04:39.69 W</t>
  </si>
  <si>
    <t>040:20:35.18 N</t>
  </si>
  <si>
    <t>075:04:36.98 W</t>
  </si>
  <si>
    <t>040:20:37.03 N</t>
  </si>
  <si>
    <t>075:04:34.44 W</t>
  </si>
  <si>
    <t>040:20:38.81 N</t>
  </si>
  <si>
    <t>075:04:31.81 W</t>
  </si>
  <si>
    <t>040:20:40.36 N</t>
  </si>
  <si>
    <t>075:04:29.80 W</t>
  </si>
  <si>
    <t>040:20:42.67 N</t>
  </si>
  <si>
    <t>075:04:26.71 W</t>
  </si>
  <si>
    <t>040:20:44.61 N</t>
  </si>
  <si>
    <t>075:04:23.93 W</t>
  </si>
  <si>
    <t>040:20:46.54 N</t>
  </si>
  <si>
    <t>075:04:21.30 W</t>
  </si>
  <si>
    <t>040:20:48.54 N</t>
  </si>
  <si>
    <t>075:04:18.60 W</t>
  </si>
  <si>
    <t>040:20:50.55 N</t>
  </si>
  <si>
    <t>075:04:15.90 W</t>
  </si>
  <si>
    <t>040:20:52.41 N</t>
  </si>
  <si>
    <t>075:04:13.35 W</t>
  </si>
  <si>
    <t>040:20:54.03 N</t>
  </si>
  <si>
    <t>075:04:11.18 W</t>
  </si>
  <si>
    <t>040:20:56.04 N</t>
  </si>
  <si>
    <t>075:04:08.33 W</t>
  </si>
  <si>
    <t>040:20:58.12 N</t>
  </si>
  <si>
    <t>075:04:05.31 W</t>
  </si>
  <si>
    <t>040:21:00.44 N</t>
  </si>
  <si>
    <t>075:04:02.15 W</t>
  </si>
  <si>
    <t>040:21:02.45 N</t>
  </si>
  <si>
    <t>075:03:59.29 W</t>
  </si>
  <si>
    <t>040:21:04.38 N</t>
  </si>
  <si>
    <t>075:03:56.66 W</t>
  </si>
  <si>
    <t>040:21:06.39 N</t>
  </si>
  <si>
    <t>075:03:53.80 W</t>
  </si>
  <si>
    <t>040:21:08.40 N</t>
  </si>
  <si>
    <t>075:03:50.94 W</t>
  </si>
  <si>
    <t>040:21:10.48 N</t>
  </si>
  <si>
    <t>075:03:48.32 W</t>
  </si>
  <si>
    <t>040:21:12.72 N</t>
  </si>
  <si>
    <t>075:03:45.07 W</t>
  </si>
  <si>
    <t>040:21:14.50 N</t>
  </si>
  <si>
    <t>075:03:42.60 W</t>
  </si>
  <si>
    <t>040:21:16.74 N</t>
  </si>
  <si>
    <t>075:03:39.51 W</t>
  </si>
  <si>
    <t>040:21:18.75 N</t>
  </si>
  <si>
    <t>075:03:36.81 W</t>
  </si>
  <si>
    <t>040:21:21.07 N</t>
  </si>
  <si>
    <t>075:03:33.41 W</t>
  </si>
  <si>
    <t>040:21:23.07 N</t>
  </si>
  <si>
    <t>075:03:30.71 W</t>
  </si>
  <si>
    <t>040:21:25.31 N</t>
  </si>
  <si>
    <t>075:03:27.62 W</t>
  </si>
  <si>
    <t>040:21:27.48 N</t>
  </si>
  <si>
    <t>075:03:24.45 W</t>
  </si>
  <si>
    <t>040:21:29.33 N</t>
  </si>
  <si>
    <t>075:03:21.90 W</t>
  </si>
  <si>
    <t>040:21:31.26 N</t>
  </si>
  <si>
    <t>075:03:19.04 W</t>
  </si>
  <si>
    <t>040:21:32.96 N</t>
  </si>
  <si>
    <t>075:03:16.57 W</t>
  </si>
  <si>
    <t>040:21:34.97 N</t>
  </si>
  <si>
    <t>075:03:13.87 W</t>
  </si>
  <si>
    <t>040:21:36.98 N</t>
  </si>
  <si>
    <t>075:03:10.93 W</t>
  </si>
  <si>
    <t>040:21:38.99 N</t>
  </si>
  <si>
    <t>075:03:08.23 W</t>
  </si>
  <si>
    <t>040:21:41.15 N</t>
  </si>
  <si>
    <t>075:03:04.98 W</t>
  </si>
  <si>
    <t>040:21:43.16 N</t>
  </si>
  <si>
    <t>075:03:02.12 W</t>
  </si>
  <si>
    <t>040:21:45.01 N</t>
  </si>
  <si>
    <t>075:02:59.73 W</t>
  </si>
  <si>
    <t>040:21:47.25 N</t>
  </si>
  <si>
    <t>075:02:56.64 W</t>
  </si>
  <si>
    <t>040:21:49.42 N</t>
  </si>
  <si>
    <t>075:02:53.40 W</t>
  </si>
  <si>
    <t>040:21:51.42 N</t>
  </si>
  <si>
    <t>075:02:50.69 W</t>
  </si>
  <si>
    <t>040:21:53.74 N</t>
  </si>
  <si>
    <t>075:02:47.37 W</t>
  </si>
  <si>
    <t>040:21:55.67 N</t>
  </si>
  <si>
    <t>075:02:44.82 W</t>
  </si>
  <si>
    <t>040:21:57.45 N</t>
  </si>
  <si>
    <t>075:02:42.19 W</t>
  </si>
  <si>
    <t>040:21:59.46 N</t>
  </si>
  <si>
    <t>075:02:39.49 W</t>
  </si>
  <si>
    <t>040:22:01.47 N</t>
  </si>
  <si>
    <t>075:02:36.56 W</t>
  </si>
  <si>
    <t>040:22:03.47 N</t>
  </si>
  <si>
    <t>075:02:33.85 W</t>
  </si>
  <si>
    <t>040:22:05.33 N</t>
  </si>
  <si>
    <t>075:02:30.92 W</t>
  </si>
  <si>
    <t>040:22:07.18 N</t>
  </si>
  <si>
    <t>075:02:28.29 W</t>
  </si>
  <si>
    <t>040:22:09.65 N</t>
  </si>
  <si>
    <t>075:02:25.05 W</t>
  </si>
  <si>
    <t>040:22:11.12 N</t>
  </si>
  <si>
    <t>075:02:22.81 W</t>
  </si>
  <si>
    <t>040:22:13.13 N</t>
  </si>
  <si>
    <t>075:02:19.95 W</t>
  </si>
  <si>
    <t>040:22:15.37 N</t>
  </si>
  <si>
    <t>075:02:16.78 W</t>
  </si>
  <si>
    <t>040:22:17.61 N</t>
  </si>
  <si>
    <t>075:02:13.84 W</t>
  </si>
  <si>
    <t>040:22:19.77 N</t>
  </si>
  <si>
    <t>075:02:10.68 W</t>
  </si>
  <si>
    <t>040:22:21.78 N</t>
  </si>
  <si>
    <t>075:02:07.82 W</t>
  </si>
  <si>
    <t>040:22:24.02 N</t>
  </si>
  <si>
    <t>075:02:04.57 W</t>
  </si>
  <si>
    <t>040:22:25.80 N</t>
  </si>
  <si>
    <t>075:02:02.18 W</t>
  </si>
  <si>
    <t>040:22:27.65 N</t>
  </si>
  <si>
    <t>075:01:59.55 W</t>
  </si>
  <si>
    <t>040:22:29.43 N</t>
  </si>
  <si>
    <t>075:01:57.00 W</t>
  </si>
  <si>
    <t>040:22:31.59 N</t>
  </si>
  <si>
    <t>075:01:54.07 W</t>
  </si>
  <si>
    <t>040:22:33.83 N</t>
  </si>
  <si>
    <t>075:01:50.90 W</t>
  </si>
  <si>
    <t>040:22:35.84 N</t>
  </si>
  <si>
    <t>075:01:48.04 W</t>
  </si>
  <si>
    <t>040:22:37.85 N</t>
  </si>
  <si>
    <t>075:01:45.34 W</t>
  </si>
  <si>
    <t>040:22:39.86 N</t>
  </si>
  <si>
    <t>075:01:42.40 W</t>
  </si>
  <si>
    <t>040:22:41.64 N</t>
  </si>
  <si>
    <t>075:01:40.01 W</t>
  </si>
  <si>
    <t>040:22:44.11 N</t>
  </si>
  <si>
    <t>075:01:36.46 W</t>
  </si>
  <si>
    <t>040:22:45.88 N</t>
  </si>
  <si>
    <t>075:01:34.06 W</t>
  </si>
  <si>
    <t>040:22:47.74 N</t>
  </si>
  <si>
    <t>075:01:31.44 W</t>
  </si>
  <si>
    <t>040:22:49.59 N</t>
  </si>
  <si>
    <t>075:01:28.89 W</t>
  </si>
  <si>
    <t>040:22:51.68 N</t>
  </si>
  <si>
    <t>075:01:25.72 W</t>
  </si>
  <si>
    <t>040:22:53.45 N</t>
  </si>
  <si>
    <t>075:01:23.32 W</t>
  </si>
  <si>
    <t>040:22:55.46 N</t>
  </si>
  <si>
    <t>075:01:20.39 W</t>
  </si>
  <si>
    <t>040:22:57.47 N</t>
  </si>
  <si>
    <t>075:01:17.45 W</t>
  </si>
  <si>
    <t>040:22:59.25 N</t>
  </si>
  <si>
    <t>075:01:14.90 W</t>
  </si>
  <si>
    <t>040:23:01.49 N</t>
  </si>
  <si>
    <t>075:01:11.81 W</t>
  </si>
  <si>
    <t>040:23:03.50 N</t>
  </si>
  <si>
    <t>075:01:08.88 W</t>
  </si>
  <si>
    <t>040:23:05.74 N</t>
  </si>
  <si>
    <t>075:01:05.94 W</t>
  </si>
  <si>
    <t>040:23:07.67 N</t>
  </si>
  <si>
    <t>075:01:03.09 W</t>
  </si>
  <si>
    <t>040:23:09.83 N</t>
  </si>
  <si>
    <t>075:00:59.92 W</t>
  </si>
  <si>
    <t>040:23:11.61 N</t>
  </si>
  <si>
    <t>075:00:57.37 W</t>
  </si>
  <si>
    <t>040:23:13.62 N</t>
  </si>
  <si>
    <t>075:00:54.51 W</t>
  </si>
  <si>
    <t>040:23:15.78 N</t>
  </si>
  <si>
    <t>075:00:51.65 W</t>
  </si>
  <si>
    <t>040:23:17.71 N</t>
  </si>
  <si>
    <t>075:00:48.79 W</t>
  </si>
  <si>
    <t>040:23:19.72 N</t>
  </si>
  <si>
    <t>075:00:46.17 W</t>
  </si>
  <si>
    <t>040:23:21.88 N</t>
  </si>
  <si>
    <t>075:00:42.85 W</t>
  </si>
  <si>
    <t>040:23:23.89 N</t>
  </si>
  <si>
    <t>075:00:40.14 W</t>
  </si>
  <si>
    <t>040:23:25.90 N</t>
  </si>
  <si>
    <t>075:00:37.21 W</t>
  </si>
  <si>
    <t>040:23:27.91 N</t>
  </si>
  <si>
    <t>075:00:34.27 W</t>
  </si>
  <si>
    <t>040:23:29.61 N</t>
  </si>
  <si>
    <t>075:00:32.03 W</t>
  </si>
  <si>
    <t>040:23:31.77 N</t>
  </si>
  <si>
    <t>075:00:29.02 W</t>
  </si>
  <si>
    <t>040:23:33.85 N</t>
  </si>
  <si>
    <t>075:00:26.16 W</t>
  </si>
  <si>
    <t>040:23:36.02 N</t>
  </si>
  <si>
    <t>075:00:23.07 W</t>
  </si>
  <si>
    <t>040:23:38.03 N</t>
  </si>
  <si>
    <t>075:00:20.14 W</t>
  </si>
  <si>
    <t>040:23:39.80 N</t>
  </si>
  <si>
    <t>075:00:17.59 W</t>
  </si>
  <si>
    <t>040:23:41.81 N</t>
  </si>
  <si>
    <t>075:00:14.73 W</t>
  </si>
  <si>
    <t>040:23:44.05 N</t>
  </si>
  <si>
    <t>075:00:11.64 W</t>
  </si>
  <si>
    <t>040:23:46.21 N</t>
  </si>
  <si>
    <t>075:00:08.32 W</t>
  </si>
  <si>
    <t>040:23:48.22 N</t>
  </si>
  <si>
    <t>075:00:05.46 W</t>
  </si>
  <si>
    <t>040:23:50.23 N</t>
  </si>
  <si>
    <t>075:00:02.60 W</t>
  </si>
  <si>
    <t>040:23:52.39 N</t>
  </si>
  <si>
    <t>074:59:59.51 W</t>
  </si>
  <si>
    <t>040:23:54.94 N</t>
  </si>
  <si>
    <t>074:59:56.11 W</t>
  </si>
  <si>
    <t>040:23:56.95 N</t>
  </si>
  <si>
    <t>074:59:53.18 W</t>
  </si>
  <si>
    <t>040:23:58.96 N</t>
  </si>
  <si>
    <t>074:59:50.47 W</t>
  </si>
  <si>
    <t>040:24:00.81 N</t>
  </si>
  <si>
    <t>074:59:47.54 W</t>
  </si>
  <si>
    <t>040:24:02.82 N</t>
  </si>
  <si>
    <t>074:59:44.68 W</t>
  </si>
  <si>
    <t>040:24:04.83 N</t>
  </si>
  <si>
    <t>074:59:41.74 W</t>
  </si>
  <si>
    <t>040:24:06.99 N</t>
  </si>
  <si>
    <t>074:59:38.65 W</t>
  </si>
  <si>
    <t>040:24:09.00 N</t>
  </si>
  <si>
    <t>074:59:35.64 W</t>
  </si>
  <si>
    <t>040:24:10.93 N</t>
  </si>
  <si>
    <t>074:59:32.78 W</t>
  </si>
  <si>
    <t>040:24:12.79 N</t>
  </si>
  <si>
    <t>074:59:29.69 W</t>
  </si>
  <si>
    <t>040:24:14.72 N</t>
  </si>
  <si>
    <t>074:59:26.45 W</t>
  </si>
  <si>
    <t>040:24:16.34 N</t>
  </si>
  <si>
    <t>074:59:23.05 W</t>
  </si>
  <si>
    <t>040:24:17.89 N</t>
  </si>
  <si>
    <t>074:59:19.96 W</t>
  </si>
  <si>
    <t>040:24:19.20 N</t>
  </si>
  <si>
    <t>074:59:16.95 W</t>
  </si>
  <si>
    <t>040:24:20.67 N</t>
  </si>
  <si>
    <t>074:59:13.63 W</t>
  </si>
  <si>
    <t>040:24:21.75 N</t>
  </si>
  <si>
    <t>074:59:10.46 W</t>
  </si>
  <si>
    <t>040:24:23.14 N</t>
  </si>
  <si>
    <t>074:59:06.60 W</t>
  </si>
  <si>
    <t>040:24:24.14 N</t>
  </si>
  <si>
    <t>074:59:03.12 W</t>
  </si>
  <si>
    <t>040:24:25.15 N</t>
  </si>
  <si>
    <t>074:58:59.57 W</t>
  </si>
  <si>
    <t>040:24:25.92 N</t>
  </si>
  <si>
    <t>074:58:55.63 W</t>
  </si>
  <si>
    <t>040:24:26.61 N</t>
  </si>
  <si>
    <t>074:58:52.31 W</t>
  </si>
  <si>
    <t>040:24:27.08 N</t>
  </si>
  <si>
    <t>074:58:49.14 W</t>
  </si>
  <si>
    <t>040:24:27.62 N</t>
  </si>
  <si>
    <t>074:58:45.51 W</t>
  </si>
  <si>
    <t>040:24:27.93 N</t>
  </si>
  <si>
    <t>074:58:42.19 W</t>
  </si>
  <si>
    <t>040:24:28.08 N</t>
  </si>
  <si>
    <t>074:58:39.02 W</t>
  </si>
  <si>
    <t>040:24:28.24 N</t>
  </si>
  <si>
    <t>074:58:35.62 W</t>
  </si>
  <si>
    <t>040:24:28.47 N</t>
  </si>
  <si>
    <t>074:58:31.83 W</t>
  </si>
  <si>
    <t>074:58:28.05 W</t>
  </si>
  <si>
    <t>074:58:24.19 W</t>
  </si>
  <si>
    <t>074:58:20.17 W</t>
  </si>
  <si>
    <t>040:24:27.77 N</t>
  </si>
  <si>
    <t>074:58:16.54 W</t>
  </si>
  <si>
    <t>040:24:27.46 N</t>
  </si>
  <si>
    <t>074:58:13.22 W</t>
  </si>
  <si>
    <t>074:58:09.59 W</t>
  </si>
  <si>
    <t>040:24:26.77 N</t>
  </si>
  <si>
    <t>074:58:06.42 W</t>
  </si>
  <si>
    <t>040:24:26.31 N</t>
  </si>
  <si>
    <t>074:58:02.87 W</t>
  </si>
  <si>
    <t>040:24:26.00 N</t>
  </si>
  <si>
    <t>074:57:59.39 W</t>
  </si>
  <si>
    <t>040:24:25.46 N</t>
  </si>
  <si>
    <t>074:57:56.30 W</t>
  </si>
  <si>
    <t>074:57:52.98 W</t>
  </si>
  <si>
    <t>040:24:24.61 N</t>
  </si>
  <si>
    <t>074:57:50.04 W</t>
  </si>
  <si>
    <t>074:57:46.18 W</t>
  </si>
  <si>
    <t>040:24:23.60 N</t>
  </si>
  <si>
    <t>074:57:42.16 W</t>
  </si>
  <si>
    <t>040:24:23.06 N</t>
  </si>
  <si>
    <t>074:57:38.77 W</t>
  </si>
  <si>
    <t>040:24:22.52 N</t>
  </si>
  <si>
    <t>074:57:35.68 W</t>
  </si>
  <si>
    <t>040:24:21.98 N</t>
  </si>
  <si>
    <t>074:57:32.12 W</t>
  </si>
  <si>
    <t>040:24:21.44 N</t>
  </si>
  <si>
    <t>074:57:28.26 W</t>
  </si>
  <si>
    <t>040:24:20.82 N</t>
  </si>
  <si>
    <t>074:57:24.40 W</t>
  </si>
  <si>
    <t>040:24:20.36 N</t>
  </si>
  <si>
    <t>074:57:20.92 W</t>
  </si>
  <si>
    <t>040:24:19.89 N</t>
  </si>
  <si>
    <t>074:57:17.68 W</t>
  </si>
  <si>
    <t>040:24:19.43 N</t>
  </si>
  <si>
    <t>074:57:14.05 W</t>
  </si>
  <si>
    <t>040:24:18.74 N</t>
  </si>
  <si>
    <t>074:57:10.34 W</t>
  </si>
  <si>
    <t>040:24:18.43 N</t>
  </si>
  <si>
    <t>074:57:07.09 W</t>
  </si>
  <si>
    <t>074:57:03.54 W</t>
  </si>
  <si>
    <t>040:24:17.42 N</t>
  </si>
  <si>
    <t>074:57:00.45 W</t>
  </si>
  <si>
    <t>040:24:17.04 N</t>
  </si>
  <si>
    <t>074:56:57.59 W</t>
  </si>
  <si>
    <t>040:24:16.57 N</t>
  </si>
  <si>
    <t>074:56:54.50 W</t>
  </si>
  <si>
    <t>040:24:16.26 N</t>
  </si>
  <si>
    <t>074:56:51.26 W</t>
  </si>
  <si>
    <t>040:24:15.72 N</t>
  </si>
  <si>
    <t>074:56:47.32 W</t>
  </si>
  <si>
    <t>040:24:15.34 N</t>
  </si>
  <si>
    <t>074:56:44.62 W</t>
  </si>
  <si>
    <t>040:24:14.87 N</t>
  </si>
  <si>
    <t>074:56:41.06 W</t>
  </si>
  <si>
    <t>040:24:14.41 N</t>
  </si>
  <si>
    <t>074:56:37.20 W</t>
  </si>
  <si>
    <t>040:24:13.87 N</t>
  </si>
  <si>
    <t>074:56:33.18 W</t>
  </si>
  <si>
    <t>040:24:13.56 N</t>
  </si>
  <si>
    <t>074:56:30.48 W</t>
  </si>
  <si>
    <t>040:24:13.02 N</t>
  </si>
  <si>
    <t>074:56:26.93 W</t>
  </si>
  <si>
    <t>040:24:12.63 N</t>
  </si>
  <si>
    <t>074:56:23.76 W</t>
  </si>
  <si>
    <t>040:24:12.25 N</t>
  </si>
  <si>
    <t>074:56:20.05 W</t>
  </si>
  <si>
    <t>040:24:11.71 N</t>
  </si>
  <si>
    <t>074:56:16.34 W</t>
  </si>
  <si>
    <t>040:24:11.32 N</t>
  </si>
  <si>
    <t>074:56:13.02 W</t>
  </si>
  <si>
    <t>040:24:10.78 N</t>
  </si>
  <si>
    <t>074:56:08.85 W</t>
  </si>
  <si>
    <t>040:24:10.55 N</t>
  </si>
  <si>
    <t>074:56:05.53 W</t>
  </si>
  <si>
    <t>040:24:10.01 N</t>
  </si>
  <si>
    <t>074:56:01.82 W</t>
  </si>
  <si>
    <t>040:24:09.70 N</t>
  </si>
  <si>
    <t>074:55:57.88 W</t>
  </si>
  <si>
    <t>040:24:09.16 N</t>
  </si>
  <si>
    <t>074:55:54.33 W</t>
  </si>
  <si>
    <t>040:24:08.85 N</t>
  </si>
  <si>
    <t>074:55:50.70 W</t>
  </si>
  <si>
    <t>040:24:08.54 N</t>
  </si>
  <si>
    <t>074:55:47.14 W</t>
  </si>
  <si>
    <t>040:24:08.00 N</t>
  </si>
  <si>
    <t>074:55:44.05 W</t>
  </si>
  <si>
    <t>040:24:07.69 N</t>
  </si>
  <si>
    <t>074:55:40.11 W</t>
  </si>
  <si>
    <t>040:24:07.30 N</t>
  </si>
  <si>
    <t>074:55:36.56 W</t>
  </si>
  <si>
    <t>040:24:06.84 N</t>
  </si>
  <si>
    <t>074:55:33.24 W</t>
  </si>
  <si>
    <t>040:24:06.45 N</t>
  </si>
  <si>
    <t>074:55:30.07 W</t>
  </si>
  <si>
    <t>040:24:06.14 N</t>
  </si>
  <si>
    <t>074:55:26.44 W</t>
  </si>
  <si>
    <t>040:24:05.84 N</t>
  </si>
  <si>
    <t>074:55:23.04 W</t>
  </si>
  <si>
    <t>040:24:05.45 N</t>
  </si>
  <si>
    <t>074:55:19.49 W</t>
  </si>
  <si>
    <t>040:24:04.99 N</t>
  </si>
  <si>
    <t>074:55:15.86 W</t>
  </si>
  <si>
    <t>040:24:04.52 N</t>
  </si>
  <si>
    <t>074:55:11.92 W</t>
  </si>
  <si>
    <t>040:24:04.14 N</t>
  </si>
  <si>
    <t>074:55:07.98 W</t>
  </si>
  <si>
    <t>040:24:03.98 N</t>
  </si>
  <si>
    <t>074:55:05.12 W</t>
  </si>
  <si>
    <t>040:24:03.44 N</t>
  </si>
  <si>
    <t>074:55:01.49 W</t>
  </si>
  <si>
    <t>040:24:03.21 N</t>
  </si>
  <si>
    <t>074:54:57.63 W</t>
  </si>
  <si>
    <t>040:24:02.75 N</t>
  </si>
  <si>
    <t>074:54:54.15 W</t>
  </si>
  <si>
    <t>040:24:02.36 N</t>
  </si>
  <si>
    <t>074:54:50.44 W</t>
  </si>
  <si>
    <t>040:24:02.13 N</t>
  </si>
  <si>
    <t>074:54:47.35 W</t>
  </si>
  <si>
    <t>040:24:01.82 N</t>
  </si>
  <si>
    <t>074:54:43.72 W</t>
  </si>
  <si>
    <t>040:24:01.43 N</t>
  </si>
  <si>
    <t>074:54:40.17 W</t>
  </si>
  <si>
    <t>040:24:01.05 N</t>
  </si>
  <si>
    <t>074:54:37.00 W</t>
  </si>
  <si>
    <t>074:54:32.99 W</t>
  </si>
  <si>
    <t>040:24:00.43 N</t>
  </si>
  <si>
    <t>074:54:29.35 W</t>
  </si>
  <si>
    <t>040:24:00.12 N</t>
  </si>
  <si>
    <t>074:54:25.96 W</t>
  </si>
  <si>
    <t>040:23:59.73 N</t>
  </si>
  <si>
    <t>074:54:22.71 W</t>
  </si>
  <si>
    <t>040:23:59.42 N</t>
  </si>
  <si>
    <t>074:54:19.85 W</t>
  </si>
  <si>
    <t>040:23:59.11 N</t>
  </si>
  <si>
    <t>074:54:15.91 W</t>
  </si>
  <si>
    <t>040:23:58.81 N</t>
  </si>
  <si>
    <t>074:54:12.28 W</t>
  </si>
  <si>
    <t>040:23:58.42 N</t>
  </si>
  <si>
    <t>074:54:09.58 W</t>
  </si>
  <si>
    <t>040:23:58.26 N</t>
  </si>
  <si>
    <t>074:54:06.26 W</t>
  </si>
  <si>
    <t>040:23:57.96 N</t>
  </si>
  <si>
    <t>074:54:03.09 W</t>
  </si>
  <si>
    <t>040:23:57.57 N</t>
  </si>
  <si>
    <t>074:53:59.46 W</t>
  </si>
  <si>
    <t>040:23:57.26 N</t>
  </si>
  <si>
    <t>074:53:56.14 W</t>
  </si>
  <si>
    <t>074:53:52.51 W</t>
  </si>
  <si>
    <t>040:23:56.64 N</t>
  </si>
  <si>
    <t>074:53:49.34 W</t>
  </si>
  <si>
    <t>040:23:56.10 N</t>
  </si>
  <si>
    <t>074:53:45.56 W</t>
  </si>
  <si>
    <t>023-01</t>
  </si>
  <si>
    <t>3N6</t>
  </si>
  <si>
    <t>040:23:55.95 N</t>
  </si>
  <si>
    <t>074:53:42.39 W</t>
  </si>
  <si>
    <t>040:23:55.56 N</t>
  </si>
  <si>
    <t>074:53:39.68 W</t>
  </si>
  <si>
    <t>040:23:55.33 N</t>
  </si>
  <si>
    <t>074:53:35.67 W</t>
  </si>
  <si>
    <t>074:53:31.80 W</t>
  </si>
  <si>
    <t>040:23:54.48 N</t>
  </si>
  <si>
    <t>074:53:28.02 W</t>
  </si>
  <si>
    <t>040:23:54.17 N</t>
  </si>
  <si>
    <t>074:53:24.23 W</t>
  </si>
  <si>
    <t>040:23:53.86 N</t>
  </si>
  <si>
    <t>074:53:20.76 W</t>
  </si>
  <si>
    <t>040:23:53.40 N</t>
  </si>
  <si>
    <t>074:53:17.67 W</t>
  </si>
  <si>
    <t>040:23:53.09 N</t>
  </si>
  <si>
    <t>074:53:14.12 W</t>
  </si>
  <si>
    <t>040:23:52.70 N</t>
  </si>
  <si>
    <t>074:53:10.18 W</t>
  </si>
  <si>
    <t>040:23:52.32 N</t>
  </si>
  <si>
    <t>074:53:06.47 W</t>
  </si>
  <si>
    <t>040:23:52.01 N</t>
  </si>
  <si>
    <t>074:53:02.99 W</t>
  </si>
  <si>
    <t>040:23:51.54 N</t>
  </si>
  <si>
    <t>074:52:59.05 W</t>
  </si>
  <si>
    <t>040:23:51.24 N</t>
  </si>
  <si>
    <t>074:52:55.42 W</t>
  </si>
  <si>
    <t>040:23:50.85 N</t>
  </si>
  <si>
    <t>074:52:51.56 W</t>
  </si>
  <si>
    <t>040:23:50.39 N</t>
  </si>
  <si>
    <t>074:52:47.54 W</t>
  </si>
  <si>
    <t>040:23:50.00 N</t>
  </si>
  <si>
    <t>074:52:43.60 W</t>
  </si>
  <si>
    <t>040:23:49.77 N</t>
  </si>
  <si>
    <t>074:52:39.66 W</t>
  </si>
  <si>
    <t>040:23:49.38 N</t>
  </si>
  <si>
    <t>074:52:36.57 W</t>
  </si>
  <si>
    <t>040:23:49.07 N</t>
  </si>
  <si>
    <t>074:52:33.17 W</t>
  </si>
  <si>
    <t>040:23:48.69 N</t>
  </si>
  <si>
    <t>074:52:30.01 W</t>
  </si>
  <si>
    <t>040:23:48.38 N</t>
  </si>
  <si>
    <t>074:52:25.76 W</t>
  </si>
  <si>
    <t>040:23:48.07 N</t>
  </si>
  <si>
    <t>074:52:22.20 W</t>
  </si>
  <si>
    <t>040:23:47.68 N</t>
  </si>
  <si>
    <t>074:52:18.34 W</t>
  </si>
  <si>
    <t>040:23:47.37 N</t>
  </si>
  <si>
    <t>074:52:14.40 W</t>
  </si>
  <si>
    <t>040:23:47.22 N</t>
  </si>
  <si>
    <t>074:52:10.93 W</t>
  </si>
  <si>
    <t>040:23:46.91 N</t>
  </si>
  <si>
    <t>074:52:06.91 W</t>
  </si>
  <si>
    <t>040:23:46.52 N</t>
  </si>
  <si>
    <t>074:52:02.58 W</t>
  </si>
  <si>
    <t>040:23:46.37 N</t>
  </si>
  <si>
    <t>074:51:58.80 W</t>
  </si>
  <si>
    <t>040:23:46.06 N</t>
  </si>
  <si>
    <t>074:51:54.63 W</t>
  </si>
  <si>
    <t>040:23:45.75 N</t>
  </si>
  <si>
    <t>074:51:50.92 W</t>
  </si>
  <si>
    <t>040:23:45.52 N</t>
  </si>
  <si>
    <t>074:51:47.60 W</t>
  </si>
  <si>
    <t>040:23:45.21 N</t>
  </si>
  <si>
    <t>074:51:43.74 W</t>
  </si>
  <si>
    <t>040:23:45.06 N</t>
  </si>
  <si>
    <t>074:51:39.95 W</t>
  </si>
  <si>
    <t>040:23:44.67 N</t>
  </si>
  <si>
    <t>074:51:35.86 W</t>
  </si>
  <si>
    <t>040:23:44.36 N</t>
  </si>
  <si>
    <t>074:51:32.07 W</t>
  </si>
  <si>
    <t>040:23:44.13 N</t>
  </si>
  <si>
    <t>074:51:28.67 W</t>
  </si>
  <si>
    <t>040:23:43.67 N</t>
  </si>
  <si>
    <t>074:51:24.42 W</t>
  </si>
  <si>
    <t>040:23:43.36 N</t>
  </si>
  <si>
    <t>074:51:20.41 W</t>
  </si>
  <si>
    <t>040:23:43.12 N</t>
  </si>
  <si>
    <t>074:51:17.09 W</t>
  </si>
  <si>
    <t>040:23:42.82 N</t>
  </si>
  <si>
    <t>074:51:13.07 W</t>
  </si>
  <si>
    <t>040:23:42.35 N</t>
  </si>
  <si>
    <t>074:51:08.67 W</t>
  </si>
  <si>
    <t>040:23:42.12 N</t>
  </si>
  <si>
    <t>074:51:04.49 W</t>
  </si>
  <si>
    <t>040:23:41.66 N</t>
  </si>
  <si>
    <t>074:50:59.70 W</t>
  </si>
  <si>
    <t>040:23:41.35 N</t>
  </si>
  <si>
    <t>074:50:56.07 W</t>
  </si>
  <si>
    <t>040:23:40.96 N</t>
  </si>
  <si>
    <t>074:50:51.75 W</t>
  </si>
  <si>
    <t>040:23:40.65 N</t>
  </si>
  <si>
    <t>074:50:48.74 W</t>
  </si>
  <si>
    <t>040:23:40.34 N</t>
  </si>
  <si>
    <t>074:50:44.72 W</t>
  </si>
  <si>
    <t>040:23:39.96 N</t>
  </si>
  <si>
    <t>074:50:40.78 W</t>
  </si>
  <si>
    <t>040:23:39.65 N</t>
  </si>
  <si>
    <t>074:50:36.53 W</t>
  </si>
  <si>
    <t>040:23:39.34 N</t>
  </si>
  <si>
    <t>074:50:32.90 W</t>
  </si>
  <si>
    <t>040:23:39.03 N</t>
  </si>
  <si>
    <t>074:50:28.50 W</t>
  </si>
  <si>
    <t>040:23:38.80 N</t>
  </si>
  <si>
    <t>074:50:24.94 W</t>
  </si>
  <si>
    <t>040:23:38.49 N</t>
  </si>
  <si>
    <t>074:50:21.00 W</t>
  </si>
  <si>
    <t>040:23:38.18 N</t>
  </si>
  <si>
    <t>074:50:16.52 W</t>
  </si>
  <si>
    <t>040:23:37.79 N</t>
  </si>
  <si>
    <t>074:50:12.74 W</t>
  </si>
  <si>
    <t>040:23:37.49 N</t>
  </si>
  <si>
    <t>074:50:08.95 W</t>
  </si>
  <si>
    <t>040:23:37.18 N</t>
  </si>
  <si>
    <t>074:50:05.55 W</t>
  </si>
  <si>
    <t>040:23:37.02 N</t>
  </si>
  <si>
    <t>074:50:01.46 W</t>
  </si>
  <si>
    <t>040:23:36.64 N</t>
  </si>
  <si>
    <t>074:49:57.44 W</t>
  </si>
  <si>
    <t>040:23:36.33 N</t>
  </si>
  <si>
    <t>074:49:53.43 W</t>
  </si>
  <si>
    <t>074:49:49.33 W</t>
  </si>
  <si>
    <t>040:23:35.63 N</t>
  </si>
  <si>
    <t>074:49:45.31 W</t>
  </si>
  <si>
    <t>040:23:35.40 N</t>
  </si>
  <si>
    <t>074:49:41.68 W</t>
  </si>
  <si>
    <t>040:23:35.01 N</t>
  </si>
  <si>
    <t>074:49:37.74 W</t>
  </si>
  <si>
    <t>040:23:34.63 N</t>
  </si>
  <si>
    <t>074:49:33.19 W</t>
  </si>
  <si>
    <t>040:23:34.32 N</t>
  </si>
  <si>
    <t>074:49:29.17 W</t>
  </si>
  <si>
    <t>074:49:24.77 W</t>
  </si>
  <si>
    <t>040:23:33.55 N</t>
  </si>
  <si>
    <t>074:49:20.83 W</t>
  </si>
  <si>
    <t>040:23:33.31 N</t>
  </si>
  <si>
    <t>074:49:16.97 W</t>
  </si>
  <si>
    <t>040:23:32.93 N</t>
  </si>
  <si>
    <t>074:49:12.72 W</t>
  </si>
  <si>
    <t>040:23:32.54 N</t>
  </si>
  <si>
    <t>074:49:08.55 W</t>
  </si>
  <si>
    <t>040:23:32.16 N</t>
  </si>
  <si>
    <t>074:49:04.84 W</t>
  </si>
  <si>
    <t>074:49:00.59 W</t>
  </si>
  <si>
    <t>040:23:31.31 N</t>
  </si>
  <si>
    <t>074:48:56.11 W</t>
  </si>
  <si>
    <t>040:23:31.07 N</t>
  </si>
  <si>
    <t>074:48:52.48 W</t>
  </si>
  <si>
    <t>040:23:30.61 N</t>
  </si>
  <si>
    <t>074:48:48.00 W</t>
  </si>
  <si>
    <t>040:23:30.22 N</t>
  </si>
  <si>
    <t>074:48:44.37 W</t>
  </si>
  <si>
    <t>040:23:29.99 N</t>
  </si>
  <si>
    <t>074:48:40.58 W</t>
  </si>
  <si>
    <t>074:48:36.18 W</t>
  </si>
  <si>
    <t>040:23:29.30 N</t>
  </si>
  <si>
    <t>074:48:32.24 W</t>
  </si>
  <si>
    <t>040:23:28.76 N</t>
  </si>
  <si>
    <t>074:48:27.76 W</t>
  </si>
  <si>
    <t>040:23:28.45 N</t>
  </si>
  <si>
    <t>074:48:24.13 W</t>
  </si>
  <si>
    <t>040:23:28.14 N</t>
  </si>
  <si>
    <t>074:48:19.96 W</t>
  </si>
  <si>
    <t>040:23:27.75 N</t>
  </si>
  <si>
    <t>074:48:16.02 W</t>
  </si>
  <si>
    <t>040:23:27.29 N</t>
  </si>
  <si>
    <t>074:48:11.15 W</t>
  </si>
  <si>
    <t>040:23:26.90 N</t>
  </si>
  <si>
    <t>074:48:06.67 W</t>
  </si>
  <si>
    <t>040:23:26.67 N</t>
  </si>
  <si>
    <t>074:48:03.04 W</t>
  </si>
  <si>
    <t>040:23:26.28 N</t>
  </si>
  <si>
    <t>074:47:58.56 W</t>
  </si>
  <si>
    <t>040:23:25.82 N</t>
  </si>
  <si>
    <t>074:47:54.23 W</t>
  </si>
  <si>
    <t>040:23:25.43 N</t>
  </si>
  <si>
    <t>074:47:49.83 W</t>
  </si>
  <si>
    <t>040:23:25.13 N</t>
  </si>
  <si>
    <t>074:47:45.74 W</t>
  </si>
  <si>
    <t>040:23:24.74 N</t>
  </si>
  <si>
    <t>074:47:41.72 W</t>
  </si>
  <si>
    <t>040:23:24.43 N</t>
  </si>
  <si>
    <t>074:47:37.70 W</t>
  </si>
  <si>
    <t>040:23:24.12 N</t>
  </si>
  <si>
    <t>074:47:33.61 W</t>
  </si>
  <si>
    <t>040:23:23.58 N</t>
  </si>
  <si>
    <t>074:47:29.59 W</t>
  </si>
  <si>
    <t>040:23:23.27 N</t>
  </si>
  <si>
    <t>074:47:25.57 W</t>
  </si>
  <si>
    <t>040:23:22.81 N</t>
  </si>
  <si>
    <t>074:47:21.25 W</t>
  </si>
  <si>
    <t>040:23:22.50 N</t>
  </si>
  <si>
    <t>074:47:17.31 W</t>
  </si>
  <si>
    <t>040:23:22.19 N</t>
  </si>
  <si>
    <t>074:47:13.14 W</t>
  </si>
  <si>
    <t>074:47:08.89 W</t>
  </si>
  <si>
    <t>040:23:21.57 N</t>
  </si>
  <si>
    <t>074:47:04.87 W</t>
  </si>
  <si>
    <t>040:23:21.19 N</t>
  </si>
  <si>
    <t>074:47:01.32 W</t>
  </si>
  <si>
    <t>040:23:20.88 N</t>
  </si>
  <si>
    <t>074:46:57.69 W</t>
  </si>
  <si>
    <t>040:23:20.57 N</t>
  </si>
  <si>
    <t>074:46:53.36 W</t>
  </si>
  <si>
    <t>040:23:20.18 N</t>
  </si>
  <si>
    <t>074:46:49.42 W</t>
  </si>
  <si>
    <t>040:23:19.87 N</t>
  </si>
  <si>
    <t>074:46:45.48 W</t>
  </si>
  <si>
    <t>040:23:19.56 N</t>
  </si>
  <si>
    <t>074:46:41.93 W</t>
  </si>
  <si>
    <t>040:23:19.25 N</t>
  </si>
  <si>
    <t>074:46:37.53 W</t>
  </si>
  <si>
    <t>040:23:18.87 N</t>
  </si>
  <si>
    <t>074:46:33.82 W</t>
  </si>
  <si>
    <t>040:23:18.56 N</t>
  </si>
  <si>
    <t>074:46:30.03 W</t>
  </si>
  <si>
    <t>040:23:18.25 N</t>
  </si>
  <si>
    <t>074:46:26.33 W</t>
  </si>
  <si>
    <t>040:23:17.86 N</t>
  </si>
  <si>
    <t>074:46:22.39 W</t>
  </si>
  <si>
    <t>040:23:17.56 N</t>
  </si>
  <si>
    <t>074:46:18.99 W</t>
  </si>
  <si>
    <t>040:23:17.25 N</t>
  </si>
  <si>
    <t>074:46:15.36 W</t>
  </si>
  <si>
    <t>040:23:16.86 N</t>
  </si>
  <si>
    <t>074:46:11.18 W</t>
  </si>
  <si>
    <t>040:23:16.55 N</t>
  </si>
  <si>
    <t>074:46:07.09 W</t>
  </si>
  <si>
    <t>040:23:16.24 N</t>
  </si>
  <si>
    <t>074:46:03.07 W</t>
  </si>
  <si>
    <t>040:23:15.93 N</t>
  </si>
  <si>
    <t>074:45:58.90 W</t>
  </si>
  <si>
    <t>040:23:15.55 N</t>
  </si>
  <si>
    <t>074:45:54.50 W</t>
  </si>
  <si>
    <t>040:23:15.24 N</t>
  </si>
  <si>
    <t>074:45:50.48 W</t>
  </si>
  <si>
    <t>040:23:14.77 N</t>
  </si>
  <si>
    <t>074:45:46.16 W</t>
  </si>
  <si>
    <t>040:23:14.62 N</t>
  </si>
  <si>
    <t>074:45:43.30 W</t>
  </si>
  <si>
    <t>040:23:14.23 N</t>
  </si>
  <si>
    <t>074:45:39.44 W</t>
  </si>
  <si>
    <t>040:23:13.77 N</t>
  </si>
  <si>
    <t>074:45:35.34 W</t>
  </si>
  <si>
    <t>040:23:13.54 N</t>
  </si>
  <si>
    <t>074:45:31.87 W</t>
  </si>
  <si>
    <t>040:23:13.31 N</t>
  </si>
  <si>
    <t>074:45:28.16 W</t>
  </si>
  <si>
    <t>040:23:13.00 N</t>
  </si>
  <si>
    <t>074:45:24.84 W</t>
  </si>
  <si>
    <t>040:23:12.61 N</t>
  </si>
  <si>
    <t>074:45:20.43 W</t>
  </si>
  <si>
    <t>040:23:12.30 N</t>
  </si>
  <si>
    <t>074:45:16.72 W</t>
  </si>
  <si>
    <t>040:23:11.99 N</t>
  </si>
  <si>
    <t>074:45:12.55 W</t>
  </si>
  <si>
    <t>040:23:11.53 N</t>
  </si>
  <si>
    <t>074:45:08.23 W</t>
  </si>
  <si>
    <t>040:23:11.22 N</t>
  </si>
  <si>
    <t>074:45:04.44 W</t>
  </si>
  <si>
    <t>040:23:10.99 N</t>
  </si>
  <si>
    <t>074:45:00.89 W</t>
  </si>
  <si>
    <t>040:23:10.53 N</t>
  </si>
  <si>
    <t>074:44:56.80 W</t>
  </si>
  <si>
    <t>040:23:10.14 N</t>
  </si>
  <si>
    <t>074:44:52.31 W</t>
  </si>
  <si>
    <t>074:44:48.92 W</t>
  </si>
  <si>
    <t>040:23:09.68 N</t>
  </si>
  <si>
    <t>074:44:45.29 W</t>
  </si>
  <si>
    <t>040:23:09.21 N</t>
  </si>
  <si>
    <t>074:44:41.04 W</t>
  </si>
  <si>
    <t>040:23:08.83 N</t>
  </si>
  <si>
    <t>074:44:37.02 W</t>
  </si>
  <si>
    <t>040:23:08.52 N</t>
  </si>
  <si>
    <t>074:44:33.16 W</t>
  </si>
  <si>
    <t>040:23:08.21 N</t>
  </si>
  <si>
    <t>074:44:29.68 W</t>
  </si>
  <si>
    <t>040:23:07.82 N</t>
  </si>
  <si>
    <t>074:44:26.21 W</t>
  </si>
  <si>
    <t>040:23:07.51 N</t>
  </si>
  <si>
    <t>074:44:22.65 W</t>
  </si>
  <si>
    <t>040:23:07.36 N</t>
  </si>
  <si>
    <t>074:44:19.56 W</t>
  </si>
  <si>
    <t>040:23:06.97 N</t>
  </si>
  <si>
    <t>074:44:15.24 W</t>
  </si>
  <si>
    <t>040:23:06.66 N</t>
  </si>
  <si>
    <t>074:44:11.68 W</t>
  </si>
  <si>
    <t>040:23:06.35 N</t>
  </si>
  <si>
    <t>074:44:08.21 W</t>
  </si>
  <si>
    <t>040:23:05.97 N</t>
  </si>
  <si>
    <t>074:44:04.42 W</t>
  </si>
  <si>
    <t>040:23:05.50 N</t>
  </si>
  <si>
    <t>074:44:00.02 W</t>
  </si>
  <si>
    <t>040:23:05.20 N</t>
  </si>
  <si>
    <t>074:43:56.08 W</t>
  </si>
  <si>
    <t>040:23:04.81 N</t>
  </si>
  <si>
    <t>074:43:52.76 W</t>
  </si>
  <si>
    <t>040:23:04.58 N</t>
  </si>
  <si>
    <t>074:43:49.28 W</t>
  </si>
  <si>
    <t>040:23:04.35 N</t>
  </si>
  <si>
    <t>074:43:45.73 W</t>
  </si>
  <si>
    <t>040:23:03.96 N</t>
  </si>
  <si>
    <t>074:43:41.71 W</t>
  </si>
  <si>
    <t>074:43:37.23 W</t>
  </si>
  <si>
    <t>040:23:03.11 N</t>
  </si>
  <si>
    <t>074:43:33.37 W</t>
  </si>
  <si>
    <t>040:23:02.80 N</t>
  </si>
  <si>
    <t>074:43:29.58 W</t>
  </si>
  <si>
    <t>040:23:02.49 N</t>
  </si>
  <si>
    <t>074:43:25.57 W</t>
  </si>
  <si>
    <t>040:23:02.11 N</t>
  </si>
  <si>
    <t>074:43:21.32 W</t>
  </si>
  <si>
    <t>040:23:01.80 N</t>
  </si>
  <si>
    <t>074:43:17.22 W</t>
  </si>
  <si>
    <t>040:23:01.41 N</t>
  </si>
  <si>
    <t>074:43:13.67 W</t>
  </si>
  <si>
    <t>040:23:01.10 N</t>
  </si>
  <si>
    <t>074:43:09.58 W</t>
  </si>
  <si>
    <t>040:23:00.79 N</t>
  </si>
  <si>
    <t>074:43:05.94 W</t>
  </si>
  <si>
    <t>040:23:00.33 N</t>
  </si>
  <si>
    <t>074:43:01.93 W</t>
  </si>
  <si>
    <t>040:23:00.10 N</t>
  </si>
  <si>
    <t>074:42:58.30 W</t>
  </si>
  <si>
    <t>040:22:59.79 N</t>
  </si>
  <si>
    <t>074:42:54.51 W</t>
  </si>
  <si>
    <t>040:22:59.48 N</t>
  </si>
  <si>
    <t>074:42:51.19 W</t>
  </si>
  <si>
    <t>040:22:59.09 N</t>
  </si>
  <si>
    <t>074:42:47.48 W</t>
  </si>
  <si>
    <t>040:22:58.78 N</t>
  </si>
  <si>
    <t>074:42:43.77 W</t>
  </si>
  <si>
    <t>040:22:58.32 N</t>
  </si>
  <si>
    <t>074:42:37.59 W</t>
  </si>
  <si>
    <t>040:22:57.93 N</t>
  </si>
  <si>
    <t>074:42:34.27 W</t>
  </si>
  <si>
    <t>040:22:57.63 N</t>
  </si>
  <si>
    <t>074:42:30.18 W</t>
  </si>
  <si>
    <t>040:22:57.08 N</t>
  </si>
  <si>
    <t>074:42:26.01 W</t>
  </si>
  <si>
    <t>040:22:56.78 N</t>
  </si>
  <si>
    <t>074:42:22.45 W</t>
  </si>
  <si>
    <t>040:22:56.47 N</t>
  </si>
  <si>
    <t>074:42:18.75 W</t>
  </si>
  <si>
    <t>040:22:56.08 N</t>
  </si>
  <si>
    <t>074:42:14.73 W</t>
  </si>
  <si>
    <t>040:22:55.77 N</t>
  </si>
  <si>
    <t>074:42:10.71 W</t>
  </si>
  <si>
    <t>074:42:07.55 W</t>
  </si>
  <si>
    <t>040:22:55.15 N</t>
  </si>
  <si>
    <t>074:42:03.76 W</t>
  </si>
  <si>
    <t>040:22:54.84 N</t>
  </si>
  <si>
    <t>074:42:00.05 W</t>
  </si>
  <si>
    <t>040:22:54.69 N</t>
  </si>
  <si>
    <t>074:41:56.34 W</t>
  </si>
  <si>
    <t>040:22:54.23 N</t>
  </si>
  <si>
    <t>074:41:53.18 W</t>
  </si>
  <si>
    <t>040:22:53.99 N</t>
  </si>
  <si>
    <t>074:41:49.08 W</t>
  </si>
  <si>
    <t>040:22:53.76 N</t>
  </si>
  <si>
    <t>074:41:45.76 W</t>
  </si>
  <si>
    <t>040:22:53.38 N</t>
  </si>
  <si>
    <t>074:41:41.82 W</t>
  </si>
  <si>
    <t>040:22:53.07 N</t>
  </si>
  <si>
    <t>074:41:38.58 W</t>
  </si>
  <si>
    <t>040:22:52.91 N</t>
  </si>
  <si>
    <t>074:41:35.64 W</t>
  </si>
  <si>
    <t>040:22:52.53 N</t>
  </si>
  <si>
    <t>074:41:31.70 W</t>
  </si>
  <si>
    <t>040:22:52.22 N</t>
  </si>
  <si>
    <t>074:41:28.69 W</t>
  </si>
  <si>
    <t>040:22:52.06 N</t>
  </si>
  <si>
    <t>074:41:25.29 W</t>
  </si>
  <si>
    <t>040:22:51.75 N</t>
  </si>
  <si>
    <t>074:41:22.20 W</t>
  </si>
  <si>
    <t>040:22:51.52 N</t>
  </si>
  <si>
    <t>074:41:18.96 W</t>
  </si>
  <si>
    <t>040:22:51.21 N</t>
  </si>
  <si>
    <t>074:41:15.40 W</t>
  </si>
  <si>
    <t>040:22:51.06 N</t>
  </si>
  <si>
    <t>074:41:11.93 W</t>
  </si>
  <si>
    <t>040:22:50.75 N</t>
  </si>
  <si>
    <t>074:41:08.91 W</t>
  </si>
  <si>
    <t>040:22:50.44 N</t>
  </si>
  <si>
    <t>074:41:05.28 W</t>
  </si>
  <si>
    <t>040:22:50.21 N</t>
  </si>
  <si>
    <t>074:41:01.96 W</t>
  </si>
  <si>
    <t>040:22:49.90 N</t>
  </si>
  <si>
    <t>074:40:58.95 W</t>
  </si>
  <si>
    <t>040:22:49.75 N</t>
  </si>
  <si>
    <t>074:40:56.09 W</t>
  </si>
  <si>
    <t>040:22:49.21 N</t>
  </si>
  <si>
    <t>074:40:50.22 W</t>
  </si>
  <si>
    <t>040:22:48.90 N</t>
  </si>
  <si>
    <t>074:40:46.90 W</t>
  </si>
  <si>
    <t>040:22:48.59 N</t>
  </si>
  <si>
    <t>074:40:43.50 W</t>
  </si>
  <si>
    <t>040:22:48.43 N</t>
  </si>
  <si>
    <t>074:40:39.87 W</t>
  </si>
  <si>
    <t>040:22:48.05 N</t>
  </si>
  <si>
    <t>074:40:36.78 W</t>
  </si>
  <si>
    <t>074:40:33.38 W</t>
  </si>
  <si>
    <t>040:22:47.58 N</t>
  </si>
  <si>
    <t>074:40:30.06 W</t>
  </si>
  <si>
    <t>040:22:47.27 N</t>
  </si>
  <si>
    <t>074:40:26.20 W</t>
  </si>
  <si>
    <t>040:22:47.04 N</t>
  </si>
  <si>
    <t>074:40:23.26 W</t>
  </si>
  <si>
    <t>040:22:46.73 N</t>
  </si>
  <si>
    <t>074:40:19.40 W</t>
  </si>
  <si>
    <t>040:22:46.42 N</t>
  </si>
  <si>
    <t>074:40:16.08 W</t>
  </si>
  <si>
    <t>040:22:46.12 N</t>
  </si>
  <si>
    <t>074:40:12.14 W</t>
  </si>
  <si>
    <t>040:22:45.96 N</t>
  </si>
  <si>
    <t>074:40:08.89 W</t>
  </si>
  <si>
    <t>040:22:45.57 N</t>
  </si>
  <si>
    <t>074:40:04.88 W</t>
  </si>
  <si>
    <t>040:22:45.19 N</t>
  </si>
  <si>
    <t>074:40:01.01 W</t>
  </si>
  <si>
    <t>040:22:45.11 N</t>
  </si>
  <si>
    <t>074:39:58.31 W</t>
  </si>
  <si>
    <t>040:22:44.80 N</t>
  </si>
  <si>
    <t>074:39:54.99 W</t>
  </si>
  <si>
    <t>040:22:44.65 N</t>
  </si>
  <si>
    <t>074:39:52.36 W</t>
  </si>
  <si>
    <t>040:22:44.34 N</t>
  </si>
  <si>
    <t>074:39:48.65 W</t>
  </si>
  <si>
    <t>074:39:45.80 W</t>
  </si>
  <si>
    <t>040:22:43.88 N</t>
  </si>
  <si>
    <t>074:39:42.17 W</t>
  </si>
  <si>
    <t>040:22:43.72 N</t>
  </si>
  <si>
    <t>074:39:39.00 W</t>
  </si>
  <si>
    <t>040:22:43.26 N</t>
  </si>
  <si>
    <t>074:39:35.44 W</t>
  </si>
  <si>
    <t>040:22:43.18 N</t>
  </si>
  <si>
    <t>074:39:32.51 W</t>
  </si>
  <si>
    <t>040:22:42.95 N</t>
  </si>
  <si>
    <t>074:39:28.88 W</t>
  </si>
  <si>
    <t>040:22:42.72 N</t>
  </si>
  <si>
    <t>074:39:25.33 W</t>
  </si>
  <si>
    <t>040:22:42.33 N</t>
  </si>
  <si>
    <t>074:39:22.16 W</t>
  </si>
  <si>
    <t>040:22:42.18 N</t>
  </si>
  <si>
    <t>074:39:18.53 W</t>
  </si>
  <si>
    <t>040:22:41.79 N</t>
  </si>
  <si>
    <t>074:39:15.44 W</t>
  </si>
  <si>
    <t>040:22:41.71 N</t>
  </si>
  <si>
    <t>074:39:12.50 W</t>
  </si>
  <si>
    <t>040:22:41.48 N</t>
  </si>
  <si>
    <t>074:39:09.72 W</t>
  </si>
  <si>
    <t>040:22:41.17 N</t>
  </si>
  <si>
    <t>074:39:06.48 W</t>
  </si>
  <si>
    <t>040:22:41.02 N</t>
  </si>
  <si>
    <t>074:39:03.39 W</t>
  </si>
  <si>
    <t>040:22:40.63 N</t>
  </si>
  <si>
    <t>074:39:00.07 W</t>
  </si>
  <si>
    <t>040:22:40.48 N</t>
  </si>
  <si>
    <t>074:38:56.98 W</t>
  </si>
  <si>
    <t>040:22:40.17 N</t>
  </si>
  <si>
    <t>074:38:53.42 W</t>
  </si>
  <si>
    <t>040:22:40.01 N</t>
  </si>
  <si>
    <t>074:38:50.64 W</t>
  </si>
  <si>
    <t>040:22:39.70 N</t>
  </si>
  <si>
    <t>074:38:47.78 W</t>
  </si>
  <si>
    <t>040:22:39.47 N</t>
  </si>
  <si>
    <t>074:38:44.23 W</t>
  </si>
  <si>
    <t>040:22:39.16 N</t>
  </si>
  <si>
    <t>074:38:40.83 W</t>
  </si>
  <si>
    <t>040:22:38.85 N</t>
  </si>
  <si>
    <t>074:38:36.97 W</t>
  </si>
  <si>
    <t>040:22:38.70 N</t>
  </si>
  <si>
    <t>074:38:33.88 W</t>
  </si>
  <si>
    <t>040:22:38.31 N</t>
  </si>
  <si>
    <t>074:38:30.40 W</t>
  </si>
  <si>
    <t>040:22:38.16 N</t>
  </si>
  <si>
    <t>074:38:27.54 W</t>
  </si>
  <si>
    <t>040:22:38.00 N</t>
  </si>
  <si>
    <t>074:38:25.07 W</t>
  </si>
  <si>
    <t>040:22:37.70 N</t>
  </si>
  <si>
    <t>074:38:21.91 W</t>
  </si>
  <si>
    <t>040:22:37.54 N</t>
  </si>
  <si>
    <t>074:38:18.35 W</t>
  </si>
  <si>
    <t>040:22:37.15 N</t>
  </si>
  <si>
    <t>074:38:14.95 W</t>
  </si>
  <si>
    <t>040:22:37.00 N</t>
  </si>
  <si>
    <t>074:38:12.17 W</t>
  </si>
  <si>
    <t>040:22:36.69 N</t>
  </si>
  <si>
    <t>074:38:08.93 W</t>
  </si>
  <si>
    <t>040:22:36.46 N</t>
  </si>
  <si>
    <t>074:38:05.76 W</t>
  </si>
  <si>
    <t>040:22:36.23 N</t>
  </si>
  <si>
    <t>074:38:02.98 W</t>
  </si>
  <si>
    <t>040:22:36.00 N</t>
  </si>
  <si>
    <t>074:37:59.50 W</t>
  </si>
  <si>
    <t>040:22:35.69 N</t>
  </si>
  <si>
    <t>074:37:56.57 W</t>
  </si>
  <si>
    <t>040:22:35.46 N</t>
  </si>
  <si>
    <t>074:37:54.10 W</t>
  </si>
  <si>
    <t>040:22:35.15 N</t>
  </si>
  <si>
    <t>074:37:50.93 W</t>
  </si>
  <si>
    <t>040:22:34.84 N</t>
  </si>
  <si>
    <t>074:37:47.76 W</t>
  </si>
  <si>
    <t>040:22:34.76 N</t>
  </si>
  <si>
    <t>074:37:45.14 W</t>
  </si>
  <si>
    <t>040:22:34.37 N</t>
  </si>
  <si>
    <t>074:37:42.12 W</t>
  </si>
  <si>
    <t>040:22:34.14 N</t>
  </si>
  <si>
    <t>074:37:38.80 W</t>
  </si>
  <si>
    <t>040:22:33.91 N</t>
  </si>
  <si>
    <t>074:37:36.17 W</t>
  </si>
  <si>
    <t>040:22:33.76 N</t>
  </si>
  <si>
    <t>074:37:33.08 W</t>
  </si>
  <si>
    <t>040:22:33.37 N</t>
  </si>
  <si>
    <t>074:37:30.23 W</t>
  </si>
  <si>
    <t>040:22:33.14 N</t>
  </si>
  <si>
    <t>074:37:26.67 W</t>
  </si>
  <si>
    <t>040:22:32.98 N</t>
  </si>
  <si>
    <t>074:37:23.74 W</t>
  </si>
  <si>
    <t>040:22:32.75 N</t>
  </si>
  <si>
    <t>074:37:20.34 W</t>
  </si>
  <si>
    <t>040:22:32.44 N</t>
  </si>
  <si>
    <t>074:37:17.48 W</t>
  </si>
  <si>
    <t>040:22:32.29 N</t>
  </si>
  <si>
    <t>074:37:14.39 W</t>
  </si>
  <si>
    <t>040:22:31.98 N</t>
  </si>
  <si>
    <t>074:37:11.61 W</t>
  </si>
  <si>
    <t>040:22:31.82 N</t>
  </si>
  <si>
    <t>074:37:08.67 W</t>
  </si>
  <si>
    <t>040:22:31.67 N</t>
  </si>
  <si>
    <t>074:37:05.74 W</t>
  </si>
  <si>
    <t>040:22:31.28 N</t>
  </si>
  <si>
    <t>074:37:02.19 W</t>
  </si>
  <si>
    <t>040:22:31.13 N</t>
  </si>
  <si>
    <t>074:36:59.02 W</t>
  </si>
  <si>
    <t>040:22:30.90 N</t>
  </si>
  <si>
    <t>074:36:56.39 W</t>
  </si>
  <si>
    <t>040:22:30.74 N</t>
  </si>
  <si>
    <t>074:36:53.30 W</t>
  </si>
  <si>
    <t>040:22:30.43 N</t>
  </si>
  <si>
    <t>074:36:50.68 W</t>
  </si>
  <si>
    <t>040:22:30.28 N</t>
  </si>
  <si>
    <t>074:36:47.59 W</t>
  </si>
  <si>
    <t>040:22:30.13 N</t>
  </si>
  <si>
    <t>074:36:44.65 W</t>
  </si>
  <si>
    <t>040:22:29.82 N</t>
  </si>
  <si>
    <t>074:36:41.02 W</t>
  </si>
  <si>
    <t>040:22:29.66 N</t>
  </si>
  <si>
    <t>074:36:38.08 W</t>
  </si>
  <si>
    <t>074:36:35.61 W</t>
  </si>
  <si>
    <t>040:22:29.28 N</t>
  </si>
  <si>
    <t>074:36:32.75 W</t>
  </si>
  <si>
    <t>040:22:28.97 N</t>
  </si>
  <si>
    <t>074:36:29.12 W</t>
  </si>
  <si>
    <t>040:22:28.81 N</t>
  </si>
  <si>
    <t>074:36:25.80 W</t>
  </si>
  <si>
    <t>040:22:28.43 N</t>
  </si>
  <si>
    <t>074:36:23.02 W</t>
  </si>
  <si>
    <t>040:22:28.27 N</t>
  </si>
  <si>
    <t>074:36:19.93 W</t>
  </si>
  <si>
    <t>040:22:27.96 N</t>
  </si>
  <si>
    <t>074:36:16.76 W</t>
  </si>
  <si>
    <t>040:22:27.81 N</t>
  </si>
  <si>
    <t>074:36:13.52 W</t>
  </si>
  <si>
    <t>074:36:10.28 W</t>
  </si>
  <si>
    <t>074:36:07.11 W</t>
  </si>
  <si>
    <t>074:36:04.17 W</t>
  </si>
  <si>
    <t>074:36:01.24 W</t>
  </si>
  <si>
    <t>074:35:58.15 W</t>
  </si>
  <si>
    <t>040:22:28.58 N</t>
  </si>
  <si>
    <t>074:35:55.21 W</t>
  </si>
  <si>
    <t>040:22:29.12 N</t>
  </si>
  <si>
    <t>074:35:52.28 W</t>
  </si>
  <si>
    <t>074:35:49.34 W</t>
  </si>
  <si>
    <t>074:35:46.41 W</t>
  </si>
  <si>
    <t>074:35:43.32 W</t>
  </si>
  <si>
    <t>040:22:32.13 N</t>
  </si>
  <si>
    <t>074:35:40.61 W</t>
  </si>
  <si>
    <t>040:22:33.06 N</t>
  </si>
  <si>
    <t>074:35:38.14 W</t>
  </si>
  <si>
    <t>040:22:33.99 N</t>
  </si>
  <si>
    <t>074:35:35.90 W</t>
  </si>
  <si>
    <t>040:22:34.99 N</t>
  </si>
  <si>
    <t>074:35:33.20 W</t>
  </si>
  <si>
    <t>074:35:29.33 W</t>
  </si>
  <si>
    <t>074:35:26.94 W</t>
  </si>
  <si>
    <t>040:22:39.01 N</t>
  </si>
  <si>
    <t>074:35:24.31 W</t>
  </si>
  <si>
    <t>074:35:21.69 W</t>
  </si>
  <si>
    <t>074:35:19.45 W</t>
  </si>
  <si>
    <t>074:35:16.82 W</t>
  </si>
  <si>
    <t>040:22:43.33 N</t>
  </si>
  <si>
    <t>074:35:14.73 W</t>
  </si>
  <si>
    <t>074:35:12.26 W</t>
  </si>
  <si>
    <t>040:22:45.42 N</t>
  </si>
  <si>
    <t>074:35:10.02 W</t>
  </si>
  <si>
    <t>040:22:46.35 N</t>
  </si>
  <si>
    <t>074:35:07.78 W</t>
  </si>
  <si>
    <t>074:35:05.31 W</t>
  </si>
  <si>
    <t>040:22:48.74 N</t>
  </si>
  <si>
    <t>074:35:02.37 W</t>
  </si>
  <si>
    <t>074:34:59.90 W</t>
  </si>
  <si>
    <t>040:22:50.90 N</t>
  </si>
  <si>
    <t>074:34:56.97 W</t>
  </si>
  <si>
    <t>074:34:54.19 W</t>
  </si>
  <si>
    <t>040:22:53.15 N</t>
  </si>
  <si>
    <t>074:34:51.79 W</t>
  </si>
  <si>
    <t>040:22:54.15 N</t>
  </si>
  <si>
    <t>074:34:49.17 W</t>
  </si>
  <si>
    <t>040:22:55.00 N</t>
  </si>
  <si>
    <t>074:34:47.39 W</t>
  </si>
  <si>
    <t>040:22:56.00 N</t>
  </si>
  <si>
    <t>074:34:44.76 W</t>
  </si>
  <si>
    <t>074:34:41.90 W</t>
  </si>
  <si>
    <t>040:22:58.09 N</t>
  </si>
  <si>
    <t>074:34:39.74 W</t>
  </si>
  <si>
    <t>040:22:58.94 N</t>
  </si>
  <si>
    <t>074:34:37.66 W</t>
  </si>
  <si>
    <t>040:22:59.94 N</t>
  </si>
  <si>
    <t>074:34:35.34 W</t>
  </si>
  <si>
    <t>074:34:32.48 W</t>
  </si>
  <si>
    <t>074:34:30.01 W</t>
  </si>
  <si>
    <t>074:34:27.54 W</t>
  </si>
  <si>
    <t>040:23:04.11 N</t>
  </si>
  <si>
    <t>074:34:25.06 W</t>
  </si>
  <si>
    <t>040:23:05.12 N</t>
  </si>
  <si>
    <t>074:34:22.59 W</t>
  </si>
  <si>
    <t>040:23:06.12 N</t>
  </si>
  <si>
    <t>074:34:20.12 W</t>
  </si>
  <si>
    <t>074:34:17.26 W</t>
  </si>
  <si>
    <t>040:23:08.36 N</t>
  </si>
  <si>
    <t>074:34:14.87 W</t>
  </si>
  <si>
    <t>040:23:09.37 N</t>
  </si>
  <si>
    <t>074:34:12.47 W</t>
  </si>
  <si>
    <t>040:23:10.37 N</t>
  </si>
  <si>
    <t>074:34:10.23 W</t>
  </si>
  <si>
    <t>040:23:11.45 N</t>
  </si>
  <si>
    <t>074:34:07.61 W</t>
  </si>
  <si>
    <t>040:23:12.38 N</t>
  </si>
  <si>
    <t>074:34:05.29 W</t>
  </si>
  <si>
    <t>040:23:13.38 N</t>
  </si>
  <si>
    <t>074:34:03.05 W</t>
  </si>
  <si>
    <t>040:23:14.39 N</t>
  </si>
  <si>
    <t>074:34:00.58 W</t>
  </si>
  <si>
    <t>074:33:58.57 W</t>
  </si>
  <si>
    <t>040:23:16.09 N</t>
  </si>
  <si>
    <t>074:33:56.41 W</t>
  </si>
  <si>
    <t>040:23:17.01 N</t>
  </si>
  <si>
    <t>074:33:54.32 W</t>
  </si>
  <si>
    <t>040:23:18.02 N</t>
  </si>
  <si>
    <t>074:33:51.85 W</t>
  </si>
  <si>
    <t>074:33:49.61 W</t>
  </si>
  <si>
    <t>074:33:47.37 W</t>
  </si>
  <si>
    <t>040:23:21.03 N</t>
  </si>
  <si>
    <t>074:33:44.59 W</t>
  </si>
  <si>
    <t>040:23:22.11 N</t>
  </si>
  <si>
    <t>074:33:41.96 W</t>
  </si>
  <si>
    <t>040:23:23.12 N</t>
  </si>
  <si>
    <t>074:33:39.72 W</t>
  </si>
  <si>
    <t>040:23:23.97 N</t>
  </si>
  <si>
    <t>074:33:37.33 W</t>
  </si>
  <si>
    <t>040:23:24.89 N</t>
  </si>
  <si>
    <t>074:33:35.16 W</t>
  </si>
  <si>
    <t>074:33:32.92 W</t>
  </si>
  <si>
    <t>040:23:26.83 N</t>
  </si>
  <si>
    <t>074:33:30.68 W</t>
  </si>
  <si>
    <t>040:23:27.98 N</t>
  </si>
  <si>
    <t>074:33:27.67 W</t>
  </si>
  <si>
    <t>040:23:28.91 N</t>
  </si>
  <si>
    <t>074:33:25.20 W</t>
  </si>
  <si>
    <t>040:23:29.91 N</t>
  </si>
  <si>
    <t>074:33:23.03 W</t>
  </si>
  <si>
    <t>040:23:30.92 N</t>
  </si>
  <si>
    <t>074:33:20.41 W</t>
  </si>
  <si>
    <t>040:23:31.92 N</t>
  </si>
  <si>
    <t>074:33:18.17 W</t>
  </si>
  <si>
    <t>040:23:33.24 N</t>
  </si>
  <si>
    <t>074:33:15.31 W</t>
  </si>
  <si>
    <t>074:33:11.60 W</t>
  </si>
  <si>
    <t>040:23:35.55 N</t>
  </si>
  <si>
    <t>074:33:09.59 W</t>
  </si>
  <si>
    <t>040:23:36.56 N</t>
  </si>
  <si>
    <t>074:33:07.20 W</t>
  </si>
  <si>
    <t>040:23:37.64 N</t>
  </si>
  <si>
    <t>074:33:04.42 W</t>
  </si>
  <si>
    <t>074:33:02.41 W</t>
  </si>
  <si>
    <t>040:23:39.49 N</t>
  </si>
  <si>
    <t>074:32:59.94 W</t>
  </si>
  <si>
    <t>040:23:40.50 N</t>
  </si>
  <si>
    <t>074:32:57.93 W</t>
  </si>
  <si>
    <t>040:23:41.50 N</t>
  </si>
  <si>
    <t>074:32:55.46 W</t>
  </si>
  <si>
    <t>040:23:42.27 N</t>
  </si>
  <si>
    <t>074:32:53.37 W</t>
  </si>
  <si>
    <t>040:23:43.43 N</t>
  </si>
  <si>
    <t>074:32:50.98 W</t>
  </si>
  <si>
    <t>040:23:44.44 N</t>
  </si>
  <si>
    <t>074:32:48.74 W</t>
  </si>
  <si>
    <t>074:32:46.19 W</t>
  </si>
  <si>
    <t>040:23:46.60 N</t>
  </si>
  <si>
    <t>074:32:43.48 W</t>
  </si>
  <si>
    <t>074:32:41.47 W</t>
  </si>
  <si>
    <t>074:32:39.31 W</t>
  </si>
  <si>
    <t>074:32:36.45 W</t>
  </si>
  <si>
    <t>074:32:34.06 W</t>
  </si>
  <si>
    <t>040:23:50.93 N</t>
  </si>
  <si>
    <t>074:32:31.82 W</t>
  </si>
  <si>
    <t>040:23:51.78 N</t>
  </si>
  <si>
    <t>074:32:29.35 W</t>
  </si>
  <si>
    <t>040:23:52.78 N</t>
  </si>
  <si>
    <t>074:32:25.95 W</t>
  </si>
  <si>
    <t>074:32:23.32 W</t>
  </si>
  <si>
    <t>040:23:54.09 N</t>
  </si>
  <si>
    <t>074:32:20.85 W</t>
  </si>
  <si>
    <t>074:32:18.22 W</t>
  </si>
  <si>
    <t>074:32:15.91 W</t>
  </si>
  <si>
    <t>040:23:56.26 N</t>
  </si>
  <si>
    <t>074:32:13.43 W</t>
  </si>
  <si>
    <t>040:23:56.80 N</t>
  </si>
  <si>
    <t>074:32:11.19 W</t>
  </si>
  <si>
    <t>040:23:57.42 N</t>
  </si>
  <si>
    <t>074:32:08.72 W</t>
  </si>
  <si>
    <t>040:23:58.11 N</t>
  </si>
  <si>
    <t>074:32:06.40 W</t>
  </si>
  <si>
    <t>074:32:03.93 W</t>
  </si>
  <si>
    <t>157-13</t>
  </si>
  <si>
    <t>N07</t>
  </si>
  <si>
    <t>040:23:59.27 N</t>
  </si>
  <si>
    <t>074:32:01.92 W</t>
  </si>
  <si>
    <t>040:23:59.89 N</t>
  </si>
  <si>
    <t>074:31:59.76 W</t>
  </si>
  <si>
    <t>040:24:00.74 N</t>
  </si>
  <si>
    <t>074:31:57.37 W</t>
  </si>
  <si>
    <t>074:31:54.89 W</t>
  </si>
  <si>
    <t>040:24:02.28 N</t>
  </si>
  <si>
    <t>074:31:52.73 W</t>
  </si>
  <si>
    <t>040:24:03.13 N</t>
  </si>
  <si>
    <t>074:31:50.26 W</t>
  </si>
  <si>
    <t>074:31:47.79 W</t>
  </si>
  <si>
    <t>074:31:45.70 W</t>
  </si>
  <si>
    <t>074:31:43.54 W</t>
  </si>
  <si>
    <t>074:31:41.30 W</t>
  </si>
  <si>
    <t>040:24:07.84 N</t>
  </si>
  <si>
    <t>074:31:38.67 W</t>
  </si>
  <si>
    <t>074:31:36.43 W</t>
  </si>
  <si>
    <t>040:24:09.77 N</t>
  </si>
  <si>
    <t>074:31:34.04 W</t>
  </si>
  <si>
    <t>040:24:10.86 N</t>
  </si>
  <si>
    <t>074:31:31.57 W</t>
  </si>
  <si>
    <t>040:24:11.78 N</t>
  </si>
  <si>
    <t>074:31:29.40 W</t>
  </si>
  <si>
    <t>074:31:27.01 W</t>
  </si>
  <si>
    <t>040:24:13.64 N</t>
  </si>
  <si>
    <t>074:31:24.61 W</t>
  </si>
  <si>
    <t>074:31:22.14 W</t>
  </si>
  <si>
    <t>040:24:15.57 N</t>
  </si>
  <si>
    <t>074:31:19.98 W</t>
  </si>
  <si>
    <t>074:31:17.43 W</t>
  </si>
  <si>
    <t>040:24:17.58 N</t>
  </si>
  <si>
    <t>074:31:14.96 W</t>
  </si>
  <si>
    <t>074:31:12.25 W</t>
  </si>
  <si>
    <t>040:24:19.59 N</t>
  </si>
  <si>
    <t>074:31:10.01 W</t>
  </si>
  <si>
    <t>074:31:07.46 W</t>
  </si>
  <si>
    <t>040:24:21.83 N</t>
  </si>
  <si>
    <t>074:31:04.61 W</t>
  </si>
  <si>
    <t>040:24:22.60 N</t>
  </si>
  <si>
    <t>074:31:02.37 W</t>
  </si>
  <si>
    <t>040:24:23.52 N</t>
  </si>
  <si>
    <t>074:31:00.44 W</t>
  </si>
  <si>
    <t>040:24:24.45 N</t>
  </si>
  <si>
    <t>074:30:58.35 W</t>
  </si>
  <si>
    <t>074:30:56.11 W</t>
  </si>
  <si>
    <t>040:24:26.46 N</t>
  </si>
  <si>
    <t>074:30:53.64 W</t>
  </si>
  <si>
    <t>074:30:51.40 W</t>
  </si>
  <si>
    <t>074:30:48.77 W</t>
  </si>
  <si>
    <t>040:24:29.40 N</t>
  </si>
  <si>
    <t>074:30:46.61 W</t>
  </si>
  <si>
    <t>040:24:30.40 N</t>
  </si>
  <si>
    <t>074:30:44.14 W</t>
  </si>
  <si>
    <t>040:24:31.40 N</t>
  </si>
  <si>
    <t>074:30:41.97 W</t>
  </si>
  <si>
    <t>040:24:32.56 N</t>
  </si>
  <si>
    <t>074:30:39.11 W</t>
  </si>
  <si>
    <t>040:24:33.49 N</t>
  </si>
  <si>
    <t>074:30:37.18 W</t>
  </si>
  <si>
    <t>040:24:34.65 N</t>
  </si>
  <si>
    <t>074:30:34.33 W</t>
  </si>
  <si>
    <t>040:24:35.65 N</t>
  </si>
  <si>
    <t>074:30:32.09 W</t>
  </si>
  <si>
    <t>040:24:36.50 N</t>
  </si>
  <si>
    <t>074:30:30.23 W</t>
  </si>
  <si>
    <t>040:24:37.35 N</t>
  </si>
  <si>
    <t>074:30:27.99 W</t>
  </si>
  <si>
    <t>040:24:38.36 N</t>
  </si>
  <si>
    <t>074:30:25.75 W</t>
  </si>
  <si>
    <t>040:24:39.36 N</t>
  </si>
  <si>
    <t>074:30:23.28 W</t>
  </si>
  <si>
    <t>040:24:40.36 N</t>
  </si>
  <si>
    <t>074:30:21.04 W</t>
  </si>
  <si>
    <t>040:24:41.21 N</t>
  </si>
  <si>
    <t>074:30:18.80 W</t>
  </si>
  <si>
    <t>040:24:42.30 N</t>
  </si>
  <si>
    <t>074:30:16.25 W</t>
  </si>
  <si>
    <t>040:24:43.07 N</t>
  </si>
  <si>
    <t>074:30:14.32 W</t>
  </si>
  <si>
    <t>040:24:43.92 N</t>
  </si>
  <si>
    <t>074:30:12.08 W</t>
  </si>
  <si>
    <t>040:24:45.00 N</t>
  </si>
  <si>
    <t>074:30:09.61 W</t>
  </si>
  <si>
    <t>040:24:46.08 N</t>
  </si>
  <si>
    <t>074:30:07.06 W</t>
  </si>
  <si>
    <t>040:24:47.24 N</t>
  </si>
  <si>
    <t>074:30:04.43 W</t>
  </si>
  <si>
    <t>040:24:48.24 N</t>
  </si>
  <si>
    <t>074:30:01.96 W</t>
  </si>
  <si>
    <t>040:24:49.17 N</t>
  </si>
  <si>
    <t>074:29:59.56 W</t>
  </si>
  <si>
    <t>040:24:50.18 N</t>
  </si>
  <si>
    <t>074:29:57.40 W</t>
  </si>
  <si>
    <t>040:24:51.02 N</t>
  </si>
  <si>
    <t>074:29:55.62 W</t>
  </si>
  <si>
    <t>040:24:51.87 N</t>
  </si>
  <si>
    <t>074:29:53.38 W</t>
  </si>
  <si>
    <t>040:24:53.11 N</t>
  </si>
  <si>
    <t>074:29:50.68 W</t>
  </si>
  <si>
    <t>040:24:53.88 N</t>
  </si>
  <si>
    <t>074:29:48.44 W</t>
  </si>
  <si>
    <t>040:24:54.89 N</t>
  </si>
  <si>
    <t>074:29:46.20 W</t>
  </si>
  <si>
    <t>040:24:56.12 N</t>
  </si>
  <si>
    <t>074:29:43.50 W</t>
  </si>
  <si>
    <t>040:24:56.90 N</t>
  </si>
  <si>
    <t>074:29:41.49 W</t>
  </si>
  <si>
    <t>040:24:57.90 N</t>
  </si>
  <si>
    <t>074:29:39.56 W</t>
  </si>
  <si>
    <t>040:24:59.06 N</t>
  </si>
  <si>
    <t>074:29:36.93 W</t>
  </si>
  <si>
    <t>040:25:00.00 N</t>
  </si>
  <si>
    <t>074:29:34.77 W</t>
  </si>
  <si>
    <t>040:25:00.91 N</t>
  </si>
  <si>
    <t>074:29:32.76 W</t>
  </si>
  <si>
    <t>040:25:01.92 N</t>
  </si>
  <si>
    <t>074:29:30.52 W</t>
  </si>
  <si>
    <t>040:25:02.84 N</t>
  </si>
  <si>
    <t>074:29:28.12 W</t>
  </si>
  <si>
    <t>040:25:03.77 N</t>
  </si>
  <si>
    <t>074:29:26.19 W</t>
  </si>
  <si>
    <t>040:25:04.78 N</t>
  </si>
  <si>
    <t>074:29:23.95 W</t>
  </si>
  <si>
    <t>040:25:05.78 N</t>
  </si>
  <si>
    <t>074:29:21.71 W</t>
  </si>
  <si>
    <t>040:25:06.86 N</t>
  </si>
  <si>
    <t>074:29:19.55 W</t>
  </si>
  <si>
    <t>040:25:07.86 N</t>
  </si>
  <si>
    <t>074:29:17.23 W</t>
  </si>
  <si>
    <t>040:25:09.02 N</t>
  </si>
  <si>
    <t>074:29:14.99 W</t>
  </si>
  <si>
    <t>040:25:09.95 N</t>
  </si>
  <si>
    <t>074:29:12.29 W</t>
  </si>
  <si>
    <t>040:25:11.11 N</t>
  </si>
  <si>
    <t>074:29:10.13 W</t>
  </si>
  <si>
    <t>040:25:12.19 N</t>
  </si>
  <si>
    <t>074:29:07.58 W</t>
  </si>
  <si>
    <t>040:25:13.20 N</t>
  </si>
  <si>
    <t>074:29:05.34 W</t>
  </si>
  <si>
    <t>040:25:14.20 N</t>
  </si>
  <si>
    <t>074:29:03.10 W</t>
  </si>
  <si>
    <t>040:25:15.05 N</t>
  </si>
  <si>
    <t>074:29:00.86 W</t>
  </si>
  <si>
    <t>040:25:15.90 N</t>
  </si>
  <si>
    <t>074:28:58.69 W</t>
  </si>
  <si>
    <t>040:25:16.90 N</t>
  </si>
  <si>
    <t>074:28:56.53 W</t>
  </si>
  <si>
    <t>040:25:18.06 N</t>
  </si>
  <si>
    <t>074:28:53.67 W</t>
  </si>
  <si>
    <t>040:25:18.91 N</t>
  </si>
  <si>
    <t>074:28:51.59 W</t>
  </si>
  <si>
    <t>040:25:19.92 N</t>
  </si>
  <si>
    <t>074:28:49.11 W</t>
  </si>
  <si>
    <t>040:25:20.92 N</t>
  </si>
  <si>
    <t>074:28:46.87 W</t>
  </si>
  <si>
    <t>040:25:21.69 N</t>
  </si>
  <si>
    <t>074:28:44.87 W</t>
  </si>
  <si>
    <t>040:25:22.62 N</t>
  </si>
  <si>
    <t>074:28:42.47 W</t>
  </si>
  <si>
    <t>040:25:23.62 N</t>
  </si>
  <si>
    <t>074:28:40.23 W</t>
  </si>
  <si>
    <t>040:25:24.55 N</t>
  </si>
  <si>
    <t>074:28:37.68 W</t>
  </si>
  <si>
    <t>040:25:25.63 N</t>
  </si>
  <si>
    <t>074:28:34.98 W</t>
  </si>
  <si>
    <t>040:25:26.40 N</t>
  </si>
  <si>
    <t>074:28:33.20 W</t>
  </si>
  <si>
    <t>040:25:27.41 N</t>
  </si>
  <si>
    <t>074:28:30.81 W</t>
  </si>
  <si>
    <t>040:25:28.41 N</t>
  </si>
  <si>
    <t>074:28:28.26 W</t>
  </si>
  <si>
    <t>040:25:29.65 N</t>
  </si>
  <si>
    <t>074:28:25.55 W</t>
  </si>
  <si>
    <t>040:25:31.04 N</t>
  </si>
  <si>
    <t>074:28:22.00 W</t>
  </si>
  <si>
    <t>040:25:32.43 N</t>
  </si>
  <si>
    <t>074:28:18.60 W</t>
  </si>
  <si>
    <t>040:25:33.67 N</t>
  </si>
  <si>
    <t>074:28:15.90 W</t>
  </si>
  <si>
    <t>040:25:34.67 N</t>
  </si>
  <si>
    <t>074:28:13.66 W</t>
  </si>
  <si>
    <t>040:25:35.67 N</t>
  </si>
  <si>
    <t>074:28:11.19 W</t>
  </si>
  <si>
    <t>040:25:36.68 N</t>
  </si>
  <si>
    <t>074:28:08.87 W</t>
  </si>
  <si>
    <t>040:25:37.84 N</t>
  </si>
  <si>
    <t>074:28:06.40 W</t>
  </si>
  <si>
    <t>040:25:38.76 N</t>
  </si>
  <si>
    <t>074:28:04.23 W</t>
  </si>
  <si>
    <t>040:25:39.77 N</t>
  </si>
  <si>
    <t>074:28:01.76 W</t>
  </si>
  <si>
    <t>040:25:40.77 N</t>
  </si>
  <si>
    <t>074:27:59.60 W</t>
  </si>
  <si>
    <t>040:25:41.78 N</t>
  </si>
  <si>
    <t>074:27:57.20 W</t>
  </si>
  <si>
    <t>040:25:42.78 N</t>
  </si>
  <si>
    <t>074:27:54.96 W</t>
  </si>
  <si>
    <t>040:25:43.86 N</t>
  </si>
  <si>
    <t>074:27:52.26 W</t>
  </si>
  <si>
    <t>040:25:44.87 N</t>
  </si>
  <si>
    <t>074:27:50.02 W</t>
  </si>
  <si>
    <t>040:25:45.87 N</t>
  </si>
  <si>
    <t>074:27:47.78 W</t>
  </si>
  <si>
    <t>040:25:46.87 N</t>
  </si>
  <si>
    <t>074:27:45.77 W</t>
  </si>
  <si>
    <t>040:25:47.88 N</t>
  </si>
  <si>
    <t>074:27:43.30 W</t>
  </si>
  <si>
    <t>040:25:48.73 N</t>
  </si>
  <si>
    <t>074:27:41.29 W</t>
  </si>
  <si>
    <t>040:25:50.04 N</t>
  </si>
  <si>
    <t>074:27:38.59 W</t>
  </si>
  <si>
    <t>040:25:50.97 N</t>
  </si>
  <si>
    <t>074:27:36.50 W</t>
  </si>
  <si>
    <t>040:25:51.97 N</t>
  </si>
  <si>
    <t>074:27:34.34 W</t>
  </si>
  <si>
    <t>040:25:53.05 N</t>
  </si>
  <si>
    <t>074:27:31.79 W</t>
  </si>
  <si>
    <t>040:25:54.14 N</t>
  </si>
  <si>
    <t>074:27:29.70 W</t>
  </si>
  <si>
    <t>040:25:55.06 N</t>
  </si>
  <si>
    <t>074:27:27.77 W</t>
  </si>
  <si>
    <t>040:25:56.07 N</t>
  </si>
  <si>
    <t>074:27:25.53 W</t>
  </si>
  <si>
    <t>040:25:57.07 N</t>
  </si>
  <si>
    <t>074:27:23.37 W</t>
  </si>
  <si>
    <t>040:25:58.08 N</t>
  </si>
  <si>
    <t>074:27:21.13 W</t>
  </si>
  <si>
    <t>040:25:58.93 N</t>
  </si>
  <si>
    <t>074:27:19.35 W</t>
  </si>
  <si>
    <t>040:26:00.08 N</t>
  </si>
  <si>
    <t>074:27:16.80 W</t>
  </si>
  <si>
    <t>040:26:01.40 N</t>
  </si>
  <si>
    <t>074:27:14.33 W</t>
  </si>
  <si>
    <t>040:26:02.40 N</t>
  </si>
  <si>
    <t>074:27:12.09 W</t>
  </si>
  <si>
    <t>040:26:03.64 N</t>
  </si>
  <si>
    <t>074:27:09.54 W</t>
  </si>
  <si>
    <t>040:26:04.64 N</t>
  </si>
  <si>
    <t>074:27:07.30 W</t>
  </si>
  <si>
    <t>040:26:05.65 N</t>
  </si>
  <si>
    <t>074:27:05.06 W</t>
  </si>
  <si>
    <t>040:26:06.80 N</t>
  </si>
  <si>
    <t>074:27:02.82 W</t>
  </si>
  <si>
    <t>040:26:07.65 N</t>
  </si>
  <si>
    <t>074:27:00.74 W</t>
  </si>
  <si>
    <t>040:26:08.81 N</t>
  </si>
  <si>
    <t>074:26:58.50 W</t>
  </si>
  <si>
    <t>040:26:09.82 N</t>
  </si>
  <si>
    <t>074:26:56.10 W</t>
  </si>
  <si>
    <t>040:26:10.67 N</t>
  </si>
  <si>
    <t>074:26:54.09 W</t>
  </si>
  <si>
    <t>040:26:11.59 N</t>
  </si>
  <si>
    <t>074:26:51.93 W</t>
  </si>
  <si>
    <t>040:26:12.60 N</t>
  </si>
  <si>
    <t>074:26:49.69 W</t>
  </si>
  <si>
    <t>040:26:13.60 N</t>
  </si>
  <si>
    <t>074:26:47.29 W</t>
  </si>
  <si>
    <t>040:26:14.92 N</t>
  </si>
  <si>
    <t>074:26:44.67 W</t>
  </si>
  <si>
    <t>040:26:15.84 N</t>
  </si>
  <si>
    <t>074:26:42.27 W</t>
  </si>
  <si>
    <t>040:26:16.54 N</t>
  </si>
  <si>
    <t>074:26:40.50 W</t>
  </si>
  <si>
    <t>040:26:17.54 N</t>
  </si>
  <si>
    <t>074:26:38.10 W</t>
  </si>
  <si>
    <t>040:26:18.55 N</t>
  </si>
  <si>
    <t>074:26:35.63 W</t>
  </si>
  <si>
    <t>040:26:19.71 N</t>
  </si>
  <si>
    <t>074:26:33.00 W</t>
  </si>
  <si>
    <t>040:26:20.63 N</t>
  </si>
  <si>
    <t>074:26:30.84 W</t>
  </si>
  <si>
    <t>040:26:21.56 N</t>
  </si>
  <si>
    <t>074:26:28.68 W</t>
  </si>
  <si>
    <t>040:26:23.10 N</t>
  </si>
  <si>
    <t>074:26:24.89 W</t>
  </si>
  <si>
    <t>040:26:23.95 N</t>
  </si>
  <si>
    <t>074:26:22.88 W</t>
  </si>
  <si>
    <t>040:26:24.96 N</t>
  </si>
  <si>
    <t>074:26:20.49 W</t>
  </si>
  <si>
    <t>040:26:25.73 N</t>
  </si>
  <si>
    <t>074:26:18.10 W</t>
  </si>
  <si>
    <t>040:26:26.58 N</t>
  </si>
  <si>
    <t>074:26:16.32 W</t>
  </si>
  <si>
    <t>040:26:27.43 N</t>
  </si>
  <si>
    <t>074:26:14.31 W</t>
  </si>
  <si>
    <t>040:26:28.43 N</t>
  </si>
  <si>
    <t>074:26:12.15 W</t>
  </si>
  <si>
    <t>040:26:29.21 N</t>
  </si>
  <si>
    <t>074:26:09.98 W</t>
  </si>
  <si>
    <t>040:26:30.13 N</t>
  </si>
  <si>
    <t>074:26:07.74 W</t>
  </si>
  <si>
    <t>040:26:31.06 N</t>
  </si>
  <si>
    <t>074:26:05.74 W</t>
  </si>
  <si>
    <t>040:26:32.14 N</t>
  </si>
  <si>
    <t>074:26:03.26 W</t>
  </si>
  <si>
    <t>040:26:32.99 N</t>
  </si>
  <si>
    <t>074:26:01.02 W</t>
  </si>
  <si>
    <t>040:26:34.00 N</t>
  </si>
  <si>
    <t>074:25:58.55 W</t>
  </si>
  <si>
    <t>040:26:35.00 N</t>
  </si>
  <si>
    <t>074:25:56.54 W</t>
  </si>
  <si>
    <t>040:26:35.85 N</t>
  </si>
  <si>
    <t>074:25:54.53 W</t>
  </si>
  <si>
    <t>040:26:36.62 N</t>
  </si>
  <si>
    <t>074:25:52.53 W</t>
  </si>
  <si>
    <t>040:26:37.47 N</t>
  </si>
  <si>
    <t>074:25:50.29 W</t>
  </si>
  <si>
    <t>040:26:38.48 N</t>
  </si>
  <si>
    <t>074:25:47.74 W</t>
  </si>
  <si>
    <t>040:26:39.48 N</t>
  </si>
  <si>
    <t>074:25:45.57 W</t>
  </si>
  <si>
    <t>040:26:40.48 N</t>
  </si>
  <si>
    <t>074:25:43.02 W</t>
  </si>
  <si>
    <t>040:26:41.33 N</t>
  </si>
  <si>
    <t>074:25:40.78 W</t>
  </si>
  <si>
    <t>040:26:42.18 N</t>
  </si>
  <si>
    <t>074:25:38.54 W</t>
  </si>
  <si>
    <t>040:26:43.34 N</t>
  </si>
  <si>
    <t>074:25:35.84 W</t>
  </si>
  <si>
    <t>040:26:44.19 N</t>
  </si>
  <si>
    <t>074:25:33.91 W</t>
  </si>
  <si>
    <t>040:26:45.20 N</t>
  </si>
  <si>
    <t>074:25:31.36 W</t>
  </si>
  <si>
    <t>040:26:46.05 N</t>
  </si>
  <si>
    <t>074:25:29.51 W</t>
  </si>
  <si>
    <t>040:26:46.90 N</t>
  </si>
  <si>
    <t>074:25:27.11 W</t>
  </si>
  <si>
    <t>040:26:47.82 N</t>
  </si>
  <si>
    <t>074:25:24.87 W</t>
  </si>
  <si>
    <t>040:26:48.75 N</t>
  </si>
  <si>
    <t>074:25:23.09 W</t>
  </si>
  <si>
    <t>040:26:49.52 N</t>
  </si>
  <si>
    <t>074:25:20.93 W</t>
  </si>
  <si>
    <t>040:26:50.45 N</t>
  </si>
  <si>
    <t>074:25:18.77 W</t>
  </si>
  <si>
    <t>040:26:51.30 N</t>
  </si>
  <si>
    <t>074:25:16.76 W</t>
  </si>
  <si>
    <t>040:26:52.30 N</t>
  </si>
  <si>
    <t>074:25:14.60 W</t>
  </si>
  <si>
    <t>040:26:53.31 N</t>
  </si>
  <si>
    <t>074:25:12.36 W</t>
  </si>
  <si>
    <t>040:26:54.23 N</t>
  </si>
  <si>
    <t>074:25:10.04 W</t>
  </si>
  <si>
    <t>040:26:55.24 N</t>
  </si>
  <si>
    <t>074:25:07.80 W</t>
  </si>
  <si>
    <t>040:26:56.09 N</t>
  </si>
  <si>
    <t>074:25:05.56 W</t>
  </si>
  <si>
    <t>040:26:57.09 N</t>
  </si>
  <si>
    <t>074:25:03.55 W</t>
  </si>
  <si>
    <t>040:26:58.10 N</t>
  </si>
  <si>
    <t>074:25:01.23 W</t>
  </si>
  <si>
    <t>040:26:58.95 N</t>
  </si>
  <si>
    <t>074:24:59.23 W</t>
  </si>
  <si>
    <t>040:27:00.03 N</t>
  </si>
  <si>
    <t>074:24:56.75 W</t>
  </si>
  <si>
    <t>040:27:00.88 N</t>
  </si>
  <si>
    <t>074:24:55.05 W</t>
  </si>
  <si>
    <t>040:27:01.81 N</t>
  </si>
  <si>
    <t>074:24:52.74 W</t>
  </si>
  <si>
    <t>040:27:02.65 N</t>
  </si>
  <si>
    <t>074:24:50.88 W</t>
  </si>
  <si>
    <t>040:27:03.66 N</t>
  </si>
  <si>
    <t>074:24:48.64 W</t>
  </si>
  <si>
    <t>040:27:04.51 N</t>
  </si>
  <si>
    <t>074:24:46.48 W</t>
  </si>
  <si>
    <t>040:27:05.67 N</t>
  </si>
  <si>
    <t>074:24:44.16 W</t>
  </si>
  <si>
    <t>040:27:06.44 N</t>
  </si>
  <si>
    <t>074:24:42.31 W</t>
  </si>
  <si>
    <t>040:27:07.29 N</t>
  </si>
  <si>
    <t>074:24:40.07 W</t>
  </si>
  <si>
    <t>040:27:08.14 N</t>
  </si>
  <si>
    <t>074:24:38.52 W</t>
  </si>
  <si>
    <t>040:27:09.14 N</t>
  </si>
  <si>
    <t>074:24:36.36 W</t>
  </si>
  <si>
    <t>040:27:09.92 N</t>
  </si>
  <si>
    <t>074:24:34.12 W</t>
  </si>
  <si>
    <t>040:27:10.84 N</t>
  </si>
  <si>
    <t>074:24:32.27 W</t>
  </si>
  <si>
    <t>040:27:11.62 N</t>
  </si>
  <si>
    <t>074:24:30.41 W</t>
  </si>
  <si>
    <t>040:27:12.39 N</t>
  </si>
  <si>
    <t>074:24:28.64 W</t>
  </si>
  <si>
    <t>040:27:13.32 N</t>
  </si>
  <si>
    <t>074:24:26.39 W</t>
  </si>
  <si>
    <t>040:27:14.16 N</t>
  </si>
  <si>
    <t>074:24:24.15 W</t>
  </si>
  <si>
    <t>040:27:15.01 N</t>
  </si>
  <si>
    <t>074:24:22.53 W</t>
  </si>
  <si>
    <t>040:27:16.02 N</t>
  </si>
  <si>
    <t>074:24:20.29 W</t>
  </si>
  <si>
    <t>040:27:16.87 N</t>
  </si>
  <si>
    <t>074:24:18.13 W</t>
  </si>
  <si>
    <t>040:27:17.72 N</t>
  </si>
  <si>
    <t>074:24:16.35 W</t>
  </si>
  <si>
    <t>040:27:18.41 N</t>
  </si>
  <si>
    <t>074:24:14.50 W</t>
  </si>
  <si>
    <t>040:27:19.42 N</t>
  </si>
  <si>
    <t>074:24:12.49 W</t>
  </si>
  <si>
    <t>040:27:20.81 N</t>
  </si>
  <si>
    <t>074:24:08.86 W</t>
  </si>
  <si>
    <t>040:27:21.81 N</t>
  </si>
  <si>
    <t>074:24:06.93 W</t>
  </si>
  <si>
    <t>040:27:22.74 N</t>
  </si>
  <si>
    <t>074:24:04.61 W</t>
  </si>
  <si>
    <t>040:27:23.59 N</t>
  </si>
  <si>
    <t>074:24:02.76 W</t>
  </si>
  <si>
    <t>040:27:24.44 N</t>
  </si>
  <si>
    <t>074:24:00.52 W</t>
  </si>
  <si>
    <t>040:27:25.21 N</t>
  </si>
  <si>
    <t>074:23:58.82 W</t>
  </si>
  <si>
    <t>040:27:26.45 N</t>
  </si>
  <si>
    <t>074:23:56.35 W</t>
  </si>
  <si>
    <t>040:27:27.30 N</t>
  </si>
  <si>
    <t>074:23:54.11 W</t>
  </si>
  <si>
    <t>040:27:28.07 N</t>
  </si>
  <si>
    <t>074:23:52.41 W</t>
  </si>
  <si>
    <t>040:27:29.07 N</t>
  </si>
  <si>
    <t>074:23:50.01 W</t>
  </si>
  <si>
    <t>040:27:30.00 N</t>
  </si>
  <si>
    <t>074:23:47.77 W</t>
  </si>
  <si>
    <t>040:27:31.00 N</t>
  </si>
  <si>
    <t>074:23:45.84 W</t>
  </si>
  <si>
    <t>040:27:31.93 N</t>
  </si>
  <si>
    <t>074:23:43.52 W</t>
  </si>
  <si>
    <t>040:27:32.94 N</t>
  </si>
  <si>
    <t>074:23:41.05 W</t>
  </si>
  <si>
    <t>040:27:33.79 N</t>
  </si>
  <si>
    <t>074:23:39.04 W</t>
  </si>
  <si>
    <t>040:27:34.64 N</t>
  </si>
  <si>
    <t>074:23:37.03 W</t>
  </si>
  <si>
    <t>040:27:35.49 N</t>
  </si>
  <si>
    <t>074:23:35.03 W</t>
  </si>
  <si>
    <t>040:27:36.33 N</t>
  </si>
  <si>
    <t>074:23:33.25 W</t>
  </si>
  <si>
    <t>040:27:37.34 N</t>
  </si>
  <si>
    <t>074:23:31.16 W</t>
  </si>
  <si>
    <t>040:27:38.19 N</t>
  </si>
  <si>
    <t>074:23:29.15 W</t>
  </si>
  <si>
    <t>040:27:39.19 N</t>
  </si>
  <si>
    <t>074:23:27.07 W</t>
  </si>
  <si>
    <t>040:27:40.51 N</t>
  </si>
  <si>
    <t>074:23:24.60 W</t>
  </si>
  <si>
    <t>040:27:41.36 N</t>
  </si>
  <si>
    <t>074:23:23.28 W</t>
  </si>
  <si>
    <t>040:27:42.59 N</t>
  </si>
  <si>
    <t>074:23:21.20 W</t>
  </si>
  <si>
    <t>040:27:43.98 N</t>
  </si>
  <si>
    <t>074:23:19.27 W</t>
  </si>
  <si>
    <t>040:27:45.37 N</t>
  </si>
  <si>
    <t>074:23:17.64 W</t>
  </si>
  <si>
    <t>040:27:47.00 N</t>
  </si>
  <si>
    <t>074:23:15.95 W</t>
  </si>
  <si>
    <t>040:27:48.46 N</t>
  </si>
  <si>
    <t>074:23:14.63 W</t>
  </si>
  <si>
    <t>040:27:49.85 N</t>
  </si>
  <si>
    <t>074:23:13.16 W</t>
  </si>
  <si>
    <t>040:27:51.55 N</t>
  </si>
  <si>
    <t>074:23:12.08 W</t>
  </si>
  <si>
    <t>040:27:53.25 N</t>
  </si>
  <si>
    <t>074:23:10.92 W</t>
  </si>
  <si>
    <t>040:27:54.87 N</t>
  </si>
  <si>
    <t>074:23:09.77 W</t>
  </si>
  <si>
    <t>040:27:56.73 N</t>
  </si>
  <si>
    <t>074:23:08.68 W</t>
  </si>
  <si>
    <t>040:27:58.35 N</t>
  </si>
  <si>
    <t>074:23:07.99 W</t>
  </si>
  <si>
    <t>040:28:00.44 N</t>
  </si>
  <si>
    <t>074:23:06.91 W</t>
  </si>
  <si>
    <t>040:28:02.29 N</t>
  </si>
  <si>
    <t>074:23:06.21 W</t>
  </si>
  <si>
    <t>040:28:03.99 N</t>
  </si>
  <si>
    <t>074:23:05.36 W</t>
  </si>
  <si>
    <t>040:28:06.92 N</t>
  </si>
  <si>
    <t>074:23:04.05 W</t>
  </si>
  <si>
    <t>040:28:09.01 N</t>
  </si>
  <si>
    <t>074:23:03.04 W</t>
  </si>
  <si>
    <t>040:28:10.94 N</t>
  </si>
  <si>
    <t>074:23:02.12 W</t>
  </si>
  <si>
    <t>040:28:12.87 N</t>
  </si>
  <si>
    <t>074:23:00.96 W</t>
  </si>
  <si>
    <t>040:28:14.88 N</t>
  </si>
  <si>
    <t>074:22:59.72 W</t>
  </si>
  <si>
    <t>040:28:16.50 N</t>
  </si>
  <si>
    <t>074:22:58.80 W</t>
  </si>
  <si>
    <t>040:28:18.20 N</t>
  </si>
  <si>
    <t>074:22:57.64 W</t>
  </si>
  <si>
    <t>040:28:19.83 N</t>
  </si>
  <si>
    <t>074:22:56.56 W</t>
  </si>
  <si>
    <t>040:28:21.91 N</t>
  </si>
  <si>
    <t>074:22:55.17 W</t>
  </si>
  <si>
    <t>040:28:23.92 N</t>
  </si>
  <si>
    <t>074:22:53.70 W</t>
  </si>
  <si>
    <t>040:28:25.77 N</t>
  </si>
  <si>
    <t>074:22:52.38 W</t>
  </si>
  <si>
    <t>040:28:27.55 N</t>
  </si>
  <si>
    <t>074:22:51.07 W</t>
  </si>
  <si>
    <t>040:28:29.33 N</t>
  </si>
  <si>
    <t>074:22:49.76 W</t>
  </si>
  <si>
    <t>040:28:31.10 N</t>
  </si>
  <si>
    <t>074:22:48.45 W</t>
  </si>
  <si>
    <t>040:28:33.27 N</t>
  </si>
  <si>
    <t>074:22:46.90 W</t>
  </si>
  <si>
    <t>040:28:34.97 N</t>
  </si>
  <si>
    <t>074:22:45.59 W</t>
  </si>
  <si>
    <t>040:28:36.59 N</t>
  </si>
  <si>
    <t>074:22:44.51 W</t>
  </si>
  <si>
    <t>040:28:38.44 N</t>
  </si>
  <si>
    <t>074:22:43.19 W</t>
  </si>
  <si>
    <t>040:28:40.68 N</t>
  </si>
  <si>
    <t>074:22:41.72 W</t>
  </si>
  <si>
    <t>040:28:42.38 N</t>
  </si>
  <si>
    <t>074:22:40.57 W</t>
  </si>
  <si>
    <t>040:28:44.39 N</t>
  </si>
  <si>
    <t>074:22:39.25 W</t>
  </si>
  <si>
    <t>040:28:46.32 N</t>
  </si>
  <si>
    <t>074:22:37.94 W</t>
  </si>
  <si>
    <t>040:28:48.02 N</t>
  </si>
  <si>
    <t>074:22:36.78 W</t>
  </si>
  <si>
    <t>040:28:50.26 N</t>
  </si>
  <si>
    <t>074:22:35.24 W</t>
  </si>
  <si>
    <t>040:28:52.27 N</t>
  </si>
  <si>
    <t>074:22:33.92 W</t>
  </si>
  <si>
    <t>040:28:54.59 N</t>
  </si>
  <si>
    <t>074:22:32.69 W</t>
  </si>
  <si>
    <t>040:28:56.60 N</t>
  </si>
  <si>
    <t>074:22:31.37 W</t>
  </si>
  <si>
    <t>040:28:58.68 N</t>
  </si>
  <si>
    <t>074:22:29.98 W</t>
  </si>
  <si>
    <t>040:29:00.61 N</t>
  </si>
  <si>
    <t>074:22:28.90 W</t>
  </si>
  <si>
    <t>040:29:02.62 N</t>
  </si>
  <si>
    <t>074:22:27.59 W</t>
  </si>
  <si>
    <t>040:29:04.78 N</t>
  </si>
  <si>
    <t>074:22:26.20 W</t>
  </si>
  <si>
    <t>040:29:06.79 N</t>
  </si>
  <si>
    <t>074:22:25.12 W</t>
  </si>
  <si>
    <t>040:29:08.80 N</t>
  </si>
  <si>
    <t>074:22:23.73 W</t>
  </si>
  <si>
    <t>040:29:11.19 N</t>
  </si>
  <si>
    <t>074:22:22.34 W</t>
  </si>
  <si>
    <t>040:29:13.20 N</t>
  </si>
  <si>
    <t>074:22:21.02 W</t>
  </si>
  <si>
    <t>040:29:15.21 N</t>
  </si>
  <si>
    <t>074:22:19.94 W</t>
  </si>
  <si>
    <t>040:29:17.45 N</t>
  </si>
  <si>
    <t>074:22:18.55 W</t>
  </si>
  <si>
    <t>040:29:19.15 N</t>
  </si>
  <si>
    <t>074:22:17.47 W</t>
  </si>
  <si>
    <t>040:29:21.39 N</t>
  </si>
  <si>
    <t>074:22:16.08 W</t>
  </si>
  <si>
    <t>040:29:23.55 N</t>
  </si>
  <si>
    <t>074:22:14.77 W</t>
  </si>
  <si>
    <t>040:29:25.87 N</t>
  </si>
  <si>
    <t>074:22:13.30 W</t>
  </si>
  <si>
    <t>040:29:28.03 N</t>
  </si>
  <si>
    <t>074:22:11.98 W</t>
  </si>
  <si>
    <t>040:29:29.97 N</t>
  </si>
  <si>
    <t>074:22:10.90 W</t>
  </si>
  <si>
    <t>040:29:31.97 N</t>
  </si>
  <si>
    <t>074:22:09.59 W</t>
  </si>
  <si>
    <t>040:29:34.29 N</t>
  </si>
  <si>
    <t>074:22:08.04 W</t>
  </si>
  <si>
    <t>040:29:37.85 N</t>
  </si>
  <si>
    <t>074:22:05.96 W</t>
  </si>
  <si>
    <t>040:29:39.70 N</t>
  </si>
  <si>
    <t>074:22:04.72 W</t>
  </si>
  <si>
    <t>040:29:42.17 N</t>
  </si>
  <si>
    <t>074:22:03.26 W</t>
  </si>
  <si>
    <t>040:29:44.33 N</t>
  </si>
  <si>
    <t>074:22:01.86 W</t>
  </si>
  <si>
    <t>040:29:46.73 N</t>
  </si>
  <si>
    <t>074:22:00.40 W</t>
  </si>
  <si>
    <t>040:29:48.89 N</t>
  </si>
  <si>
    <t>074:21:59.01 W</t>
  </si>
  <si>
    <t>040:29:50.90 N</t>
  </si>
  <si>
    <t>074:21:57.69 W</t>
  </si>
  <si>
    <t>040:29:53.06 N</t>
  </si>
  <si>
    <t>074:21:56.53 W</t>
  </si>
  <si>
    <t>040:29:55.38 N</t>
  </si>
  <si>
    <t>074:21:55.07 W</t>
  </si>
  <si>
    <t>040:29:57.39 N</t>
  </si>
  <si>
    <t>074:21:53.75 W</t>
  </si>
  <si>
    <t>040:29:59.24 N</t>
  </si>
  <si>
    <t>074:21:52.52 W</t>
  </si>
  <si>
    <t>040:30:01.64 N</t>
  </si>
  <si>
    <t>074:21:51.13 W</t>
  </si>
  <si>
    <t>040:30:03.65 N</t>
  </si>
  <si>
    <t>074:21:49.81 W</t>
  </si>
  <si>
    <t>040:30:05.73 N</t>
  </si>
  <si>
    <t>074:21:48.50 W</t>
  </si>
  <si>
    <t>040:30:07.97 N</t>
  </si>
  <si>
    <t>074:21:46.88 W</t>
  </si>
  <si>
    <t>040:30:09.98 N</t>
  </si>
  <si>
    <t>074:21:45.72 W</t>
  </si>
  <si>
    <t>040:30:11.99 N</t>
  </si>
  <si>
    <t>074:21:44.41 W</t>
  </si>
  <si>
    <t>040:30:13.69 N</t>
  </si>
  <si>
    <t>074:21:43.48 W</t>
  </si>
  <si>
    <t>040:30:15.85 N</t>
  </si>
  <si>
    <t>074:21:42.09 W</t>
  </si>
  <si>
    <t>040:30:17.78 N</t>
  </si>
  <si>
    <t>074:21:41.01 W</t>
  </si>
  <si>
    <t>040:30:19.64 N</t>
  </si>
  <si>
    <t>074:21:39.69 W</t>
  </si>
  <si>
    <t>040:30:21.41 N</t>
  </si>
  <si>
    <t>074:21:38.77 W</t>
  </si>
  <si>
    <t>040:30:23.58 N</t>
  </si>
  <si>
    <t>074:21:37.45 W</t>
  </si>
  <si>
    <t>040:30:25.35 N</t>
  </si>
  <si>
    <t>074:21:36.37 W</t>
  </si>
  <si>
    <t>040:30:27.05 N</t>
  </si>
  <si>
    <t>074:21:35.21 W</t>
  </si>
  <si>
    <t>040:30:28.83 N</t>
  </si>
  <si>
    <t>074:21:34.21 W</t>
  </si>
  <si>
    <t>040:30:30.68 N</t>
  </si>
  <si>
    <t>074:21:33.13 W</t>
  </si>
  <si>
    <t>040:30:32.30 N</t>
  </si>
  <si>
    <t>074:21:32.05 W</t>
  </si>
  <si>
    <t>040:30:34.16 N</t>
  </si>
  <si>
    <t>074:21:31.12 W</t>
  </si>
  <si>
    <t>040:30:35.94 N</t>
  </si>
  <si>
    <t>074:21:30.04 W</t>
  </si>
  <si>
    <t>040:30:37.64 N</t>
  </si>
  <si>
    <t>074:21:28.88 W</t>
  </si>
  <si>
    <t>040:30:39.49 N</t>
  </si>
  <si>
    <t>074:21:27.80 W</t>
  </si>
  <si>
    <t>040:30:41.65 N</t>
  </si>
  <si>
    <t>074:21:26.41 W</t>
  </si>
  <si>
    <t>040:30:43.35 N</t>
  </si>
  <si>
    <t>074:21:25.56 W</t>
  </si>
  <si>
    <t>040:30:45.21 N</t>
  </si>
  <si>
    <t>074:21:24.40 W</t>
  </si>
  <si>
    <t>040:30:46.98 N</t>
  </si>
  <si>
    <t>074:21:23.24 W</t>
  </si>
  <si>
    <t>040:30:48.45 N</t>
  </si>
  <si>
    <t>074:21:22.31 W</t>
  </si>
  <si>
    <t>040:30:49.84 N</t>
  </si>
  <si>
    <t>074:21:21.23 W</t>
  </si>
  <si>
    <t>040:30:52.08 N</t>
  </si>
  <si>
    <t>074:21:19.92 W</t>
  </si>
  <si>
    <t>040:30:55.56 N</t>
  </si>
  <si>
    <t>074:21:17.45 W</t>
  </si>
  <si>
    <t>040:30:57.18 N</t>
  </si>
  <si>
    <t>074:21:16.60 W</t>
  </si>
  <si>
    <t>040:30:58.96 N</t>
  </si>
  <si>
    <t>074:21:15.44 W</t>
  </si>
  <si>
    <t>040:31:00.81 N</t>
  </si>
  <si>
    <t>074:21:14.20 W</t>
  </si>
  <si>
    <t>040:31:02.43 N</t>
  </si>
  <si>
    <t>074:21:13.12 W</t>
  </si>
  <si>
    <t>040:31:03.98 N</t>
  </si>
  <si>
    <t>074:21:12.04 W</t>
  </si>
  <si>
    <t>040:31:05.44 N</t>
  </si>
  <si>
    <t>074:21:10.96 W</t>
  </si>
  <si>
    <t>040:31:07.38 N</t>
  </si>
  <si>
    <t>074:21:09.80 W</t>
  </si>
  <si>
    <t>040:31:09.15 N</t>
  </si>
  <si>
    <t>074:21:08.64 W</t>
  </si>
  <si>
    <t>040:31:10.85 N</t>
  </si>
  <si>
    <t>074:21:07.56 W</t>
  </si>
  <si>
    <t>040:31:12.16 N</t>
  </si>
  <si>
    <t>074:21:06.71 W</t>
  </si>
  <si>
    <t>040:31:13.86 N</t>
  </si>
  <si>
    <t>074:21:05.63 W</t>
  </si>
  <si>
    <t>040:31:15.49 N</t>
  </si>
  <si>
    <t>074:21:04.62 W</t>
  </si>
  <si>
    <t>040:31:16.95 N</t>
  </si>
  <si>
    <t>074:21:03.62 W</t>
  </si>
  <si>
    <t>040:31:18.58 N</t>
  </si>
  <si>
    <t>074:21:02.77 W</t>
  </si>
  <si>
    <t>040:31:19.89 N</t>
  </si>
  <si>
    <t>074:21:01.92 W</t>
  </si>
  <si>
    <t>040:31:21.36 N</t>
  </si>
  <si>
    <t>074:21:01.07 W</t>
  </si>
  <si>
    <t>040:31:22.75 N</t>
  </si>
  <si>
    <t>074:21:00.14 W</t>
  </si>
  <si>
    <t>040:31:24.22 N</t>
  </si>
  <si>
    <t>074:20:59.45 W</t>
  </si>
  <si>
    <t>040:31:25.99 N</t>
  </si>
  <si>
    <t>074:20:58.37 W</t>
  </si>
  <si>
    <t>040:31:27.31 N</t>
  </si>
  <si>
    <t>074:20:57.52 W</t>
  </si>
  <si>
    <t>040:31:28.85 N</t>
  </si>
  <si>
    <t>074:20:56.59 W</t>
  </si>
  <si>
    <t>040:31:30.63 N</t>
  </si>
  <si>
    <t>074:20:55.66 W</t>
  </si>
  <si>
    <t>040:31:32.25 N</t>
  </si>
  <si>
    <t>074:20:54.66 W</t>
  </si>
  <si>
    <t>040:31:33.64 N</t>
  </si>
  <si>
    <t>074:20:53.73 W</t>
  </si>
  <si>
    <t>040:31:35.11 N</t>
  </si>
  <si>
    <t>074:20:52.88 W</t>
  </si>
  <si>
    <t>040:31:36.50 N</t>
  </si>
  <si>
    <t>074:20:52.03 W</t>
  </si>
  <si>
    <t>040:31:38.12 N</t>
  </si>
  <si>
    <t>074:20:50.95 W</t>
  </si>
  <si>
    <t>040:31:39.66 N</t>
  </si>
  <si>
    <t>074:20:50.02 W</t>
  </si>
  <si>
    <t>040:31:41.13 N</t>
  </si>
  <si>
    <t>074:20:49.10 W</t>
  </si>
  <si>
    <t>040:31:42.99 N</t>
  </si>
  <si>
    <t>074:20:47.78 W</t>
  </si>
  <si>
    <t>040:31:44.30 N</t>
  </si>
  <si>
    <t>074:20:46.93 W</t>
  </si>
  <si>
    <t>040:31:46.00 N</t>
  </si>
  <si>
    <t>074:20:45.78 W</t>
  </si>
  <si>
    <t>040:31:48.63 N</t>
  </si>
  <si>
    <t>074:20:44.08 W</t>
  </si>
  <si>
    <t>040:31:49.94 N</t>
  </si>
  <si>
    <t>074:20:43.46 W</t>
  </si>
  <si>
    <t>040:31:51.72 N</t>
  </si>
  <si>
    <t>074:20:42.15 W</t>
  </si>
  <si>
    <t>040:31:53.03 N</t>
  </si>
  <si>
    <t>074:20:41.30 W</t>
  </si>
  <si>
    <t>040:31:54.57 N</t>
  </si>
  <si>
    <t>074:20:40.37 W</t>
  </si>
  <si>
    <t>040:31:56.04 N</t>
  </si>
  <si>
    <t>074:20:39.44 W</t>
  </si>
  <si>
    <t>040:31:57.51 N</t>
  </si>
  <si>
    <t>074:20:38.59 W</t>
  </si>
  <si>
    <t>040:31:58.90 N</t>
  </si>
  <si>
    <t>074:20:37.66 W</t>
  </si>
  <si>
    <t>040:32:00.44 N</t>
  </si>
  <si>
    <t>074:20:36.74 W</t>
  </si>
  <si>
    <t>040:32:01.91 N</t>
  </si>
  <si>
    <t>074:20:35.73 W</t>
  </si>
  <si>
    <t>040:32:03.61 N</t>
  </si>
  <si>
    <t>074:20:34.73 W</t>
  </si>
  <si>
    <t>040:32:05.08 N</t>
  </si>
  <si>
    <t>074:20:33.80 W</t>
  </si>
  <si>
    <t>040:32:06.86 N</t>
  </si>
  <si>
    <t>074:20:32.41 W</t>
  </si>
  <si>
    <t>040:32:08.56 N</t>
  </si>
  <si>
    <t>074:20:31.33 W</t>
  </si>
  <si>
    <t>040:32:10.18 N</t>
  </si>
  <si>
    <t>074:20:30.48 W</t>
  </si>
  <si>
    <t>040:32:11.65 N</t>
  </si>
  <si>
    <t>074:20:29.55 W</t>
  </si>
  <si>
    <t>040:32:13.34 N</t>
  </si>
  <si>
    <t>074:20:28.24 W</t>
  </si>
  <si>
    <t>040:32:14.97 N</t>
  </si>
  <si>
    <t>074:20:27.16 W</t>
  </si>
  <si>
    <t>040:32:16.82 N</t>
  </si>
  <si>
    <t>074:20:26.00 W</t>
  </si>
  <si>
    <t>040:32:18.06 N</t>
  </si>
  <si>
    <t>074:20:25.07 W</t>
  </si>
  <si>
    <t>040:32:19.91 N</t>
  </si>
  <si>
    <t>074:20:23.91 W</t>
  </si>
  <si>
    <t>040:32:21.38 N</t>
  </si>
  <si>
    <t>074:20:23.06 W</t>
  </si>
  <si>
    <t>040:32:23.08 N</t>
  </si>
  <si>
    <t>074:20:21.91 W</t>
  </si>
  <si>
    <t>040:32:24.55 N</t>
  </si>
  <si>
    <t>074:20:20.82 W</t>
  </si>
  <si>
    <t>040:32:26.25 N</t>
  </si>
  <si>
    <t>074:20:19.67 W</t>
  </si>
  <si>
    <t>040:32:27.94 N</t>
  </si>
  <si>
    <t>074:20:18.58 W</t>
  </si>
  <si>
    <t>040:32:29.34 N</t>
  </si>
  <si>
    <t>074:20:17.50 W</t>
  </si>
  <si>
    <t>040:32:30.73 N</t>
  </si>
  <si>
    <t>074:20:16.58 W</t>
  </si>
  <si>
    <t>040:32:32.43 N</t>
  </si>
  <si>
    <t>074:20:15.42 W</t>
  </si>
  <si>
    <t>040:32:34.12 N</t>
  </si>
  <si>
    <t>074:20:14.26 W</t>
  </si>
  <si>
    <t>040:32:35.75 N</t>
  </si>
  <si>
    <t>074:20:13.33 W</t>
  </si>
  <si>
    <t>040:32:37.14 N</t>
  </si>
  <si>
    <t>074:20:12.25 W</t>
  </si>
  <si>
    <t>040:32:39.38 N</t>
  </si>
  <si>
    <t>074:20:10.94 W</t>
  </si>
  <si>
    <t>040:32:41.15 N</t>
  </si>
  <si>
    <t>074:20:09.78 W</t>
  </si>
  <si>
    <t>040:32:43.70 N</t>
  </si>
  <si>
    <t>074:20:08.00 W</t>
  </si>
  <si>
    <t>040:32:45.33 N</t>
  </si>
  <si>
    <t>074:20:07.15 W</t>
  </si>
  <si>
    <t>040:32:47.10 N</t>
  </si>
  <si>
    <t>074:20:06.07 W</t>
  </si>
  <si>
    <t>040:32:48.72 N</t>
  </si>
  <si>
    <t>074:20:05.07 W</t>
  </si>
  <si>
    <t>040:32:50.27 N</t>
  </si>
  <si>
    <t>074:20:04.14 W</t>
  </si>
  <si>
    <t>040:32:51.89 N</t>
  </si>
  <si>
    <t>074:20:03.21 W</t>
  </si>
  <si>
    <t>040:32:53.90 N</t>
  </si>
  <si>
    <t>074:20:02.13 W</t>
  </si>
  <si>
    <t>040:32:55.60 N</t>
  </si>
  <si>
    <t>074:20:01.05 W</t>
  </si>
  <si>
    <t>040:32:57.45 N</t>
  </si>
  <si>
    <t>074:19:59.89 W</t>
  </si>
  <si>
    <t>040:33:00.93 N</t>
  </si>
  <si>
    <t>074:19:58.11 W</t>
  </si>
  <si>
    <t>040:33:02.78 N</t>
  </si>
  <si>
    <t>074:19:57.03 W</t>
  </si>
  <si>
    <t>040:33:04.56 N</t>
  </si>
  <si>
    <t>074:19:55.95 W</t>
  </si>
  <si>
    <t>040:33:06.49 N</t>
  </si>
  <si>
    <t>074:19:54.95 W</t>
  </si>
  <si>
    <t>040:33:07.88 N</t>
  </si>
  <si>
    <t>074:19:54.02 W</t>
  </si>
  <si>
    <t>040:33:09.66 N</t>
  </si>
  <si>
    <t>074:19:52.86 W</t>
  </si>
  <si>
    <t>040:33:11.51 N</t>
  </si>
  <si>
    <t>074:19:51.86 W</t>
  </si>
  <si>
    <t>040:33:13.29 N</t>
  </si>
  <si>
    <t>074:19:50.70 W</t>
  </si>
  <si>
    <t>040:33:14.99 N</t>
  </si>
  <si>
    <t>074:19:49.85 W</t>
  </si>
  <si>
    <t>040:33:16.92 N</t>
  </si>
  <si>
    <t>074:19:48.69 W</t>
  </si>
  <si>
    <t>040:33:18.70 N</t>
  </si>
  <si>
    <t>074:19:47.53 W</t>
  </si>
  <si>
    <t>040:33:20.09 N</t>
  </si>
  <si>
    <t>074:19:46.76 W</t>
  </si>
  <si>
    <t>040:33:21.71 N</t>
  </si>
  <si>
    <t>074:19:45.68 W</t>
  </si>
  <si>
    <t>040:33:23.72 N</t>
  </si>
  <si>
    <t>074:19:44.44 W</t>
  </si>
  <si>
    <t>040:33:25.34 N</t>
  </si>
  <si>
    <t>074:19:43.44 W</t>
  </si>
  <si>
    <t>040:33:26.96 N</t>
  </si>
  <si>
    <t>074:19:42.36 W</t>
  </si>
  <si>
    <t>040:33:28.43 N</t>
  </si>
  <si>
    <t>074:19:41.51 W</t>
  </si>
  <si>
    <t>040:33:30.05 N</t>
  </si>
  <si>
    <t>074:19:40.35 W</t>
  </si>
  <si>
    <t>040:33:31.44 N</t>
  </si>
  <si>
    <t>074:19:39.50 W</t>
  </si>
  <si>
    <t>040:33:32.91 N</t>
  </si>
  <si>
    <t>074:19:38.34 W</t>
  </si>
  <si>
    <t>040:33:35.30 N</t>
  </si>
  <si>
    <t>074:19:36.79 W</t>
  </si>
  <si>
    <t>040:33:36.77 N</t>
  </si>
  <si>
    <t>074:19:35.87 W</t>
  </si>
  <si>
    <t>040:33:38.47 N</t>
  </si>
  <si>
    <t>074:19:34.71 W</t>
  </si>
  <si>
    <t>040:33:39.71 N</t>
  </si>
  <si>
    <t>074:19:34.01 W</t>
  </si>
  <si>
    <t>040:33:40.94 N</t>
  </si>
  <si>
    <t>074:19:33.16 W</t>
  </si>
  <si>
    <t>040:33:42.33 N</t>
  </si>
  <si>
    <t>074:19:32.24 W</t>
  </si>
  <si>
    <t>040:33:43.65 N</t>
  </si>
  <si>
    <t>074:19:31.39 W</t>
  </si>
  <si>
    <t>040:33:44.96 N</t>
  </si>
  <si>
    <t>074:19:30.69 W</t>
  </si>
  <si>
    <t>040:33:46.27 N</t>
  </si>
  <si>
    <t>074:19:29.84 W</t>
  </si>
  <si>
    <t>040:33:47.59 N</t>
  </si>
  <si>
    <t>074:19:28.91 W</t>
  </si>
  <si>
    <t>040:33:49.05 N</t>
  </si>
  <si>
    <t>074:19:27.99 W</t>
  </si>
  <si>
    <t>040:33:50.21 N</t>
  </si>
  <si>
    <t>074:19:27.21 W</t>
  </si>
  <si>
    <t>040:33:51.37 N</t>
  </si>
  <si>
    <t>074:19:26.67 W</t>
  </si>
  <si>
    <t>040:33:52.84 N</t>
  </si>
  <si>
    <t>074:19:25.67 W</t>
  </si>
  <si>
    <t>040:33:54.38 N</t>
  </si>
  <si>
    <t>074:19:24.82 W</t>
  </si>
  <si>
    <t>040:33:55.93 N</t>
  </si>
  <si>
    <t>074:19:23.74 W</t>
  </si>
  <si>
    <t>040:33:57.24 N</t>
  </si>
  <si>
    <t>074:19:23.04 W</t>
  </si>
  <si>
    <t>040:33:58.63 N</t>
  </si>
  <si>
    <t>074:19:22.12 W</t>
  </si>
  <si>
    <t>040:33:59.71 N</t>
  </si>
  <si>
    <t>074:19:21.27 W</t>
  </si>
  <si>
    <t>040:34:00.72 N</t>
  </si>
  <si>
    <t>074:19:20.57 W</t>
  </si>
  <si>
    <t>040:34:02.11 N</t>
  </si>
  <si>
    <t>074:19:19.88 W</t>
  </si>
  <si>
    <t>040:34:03.58 N</t>
  </si>
  <si>
    <t>074:19:19.03 W</t>
  </si>
  <si>
    <t>040:34:04.97 N</t>
  </si>
  <si>
    <t>074:19:18.10 W</t>
  </si>
  <si>
    <t>040:34:06.28 N</t>
  </si>
  <si>
    <t>074:19:17.25 W</t>
  </si>
  <si>
    <t>040:34:07.44 N</t>
  </si>
  <si>
    <t>074:19:16.55 W</t>
  </si>
  <si>
    <t>040:34:08.83 N</t>
  </si>
  <si>
    <t>074:19:15.86 W</t>
  </si>
  <si>
    <t>040:34:09.83 N</t>
  </si>
  <si>
    <t>074:19:15.09 W</t>
  </si>
  <si>
    <t>040:34:11.30 N</t>
  </si>
  <si>
    <t>074:19:14.31 W</t>
  </si>
  <si>
    <t>040:34:13.00 N</t>
  </si>
  <si>
    <t>074:19:13.16 W</t>
  </si>
  <si>
    <t>040:34:14.08 N</t>
  </si>
  <si>
    <t>074:19:12.46 W</t>
  </si>
  <si>
    <t>040:34:15.24 N</t>
  </si>
  <si>
    <t>074:19:11.84 W</t>
  </si>
  <si>
    <t>040:34:16.55 N</t>
  </si>
  <si>
    <t>074:19:10.92 W</t>
  </si>
  <si>
    <t>040:34:17.87 N</t>
  </si>
  <si>
    <t>074:19:10.30 W</t>
  </si>
  <si>
    <t>040:34:19.03 N</t>
  </si>
  <si>
    <t>074:19:09.37 W</t>
  </si>
  <si>
    <t>040:34:20.34 N</t>
  </si>
  <si>
    <t>074:19:08.75 W</t>
  </si>
  <si>
    <t>040:34:21.58 N</t>
  </si>
  <si>
    <t>074:19:07.98 W</t>
  </si>
  <si>
    <t>040:34:22.73 N</t>
  </si>
  <si>
    <t>074:19:07.13 W</t>
  </si>
  <si>
    <t>040:34:24.05 N</t>
  </si>
  <si>
    <t>074:19:06.20 W</t>
  </si>
  <si>
    <t>040:34:27.06 N</t>
  </si>
  <si>
    <t>074:19:04.20 W</t>
  </si>
  <si>
    <t>040:34:28.37 N</t>
  </si>
  <si>
    <t>074:19:03.27 W</t>
  </si>
  <si>
    <t>040:34:29.61 N</t>
  </si>
  <si>
    <t>074:19:02.34 W</t>
  </si>
  <si>
    <t>040:34:30.92 N</t>
  </si>
  <si>
    <t>074:19:01.49 W</t>
  </si>
  <si>
    <t>040:34:32.24 N</t>
  </si>
  <si>
    <t>074:19:00.33 W</t>
  </si>
  <si>
    <t>040:34:33.55 N</t>
  </si>
  <si>
    <t>074:18:59.48 W</t>
  </si>
  <si>
    <t>040:34:34.94 N</t>
  </si>
  <si>
    <t>074:18:58.56 W</t>
  </si>
  <si>
    <t>040:34:36.33 N</t>
  </si>
  <si>
    <t>074:18:57.55 W</t>
  </si>
  <si>
    <t>040:34:37.49 N</t>
  </si>
  <si>
    <t>074:18:56.55 W</t>
  </si>
  <si>
    <t>040:34:39.03 N</t>
  </si>
  <si>
    <t>074:18:55.78 W</t>
  </si>
  <si>
    <t>040:34:40.12 N</t>
  </si>
  <si>
    <t>074:18:55.00 W</t>
  </si>
  <si>
    <t>040:34:41.12 N</t>
  </si>
  <si>
    <t>074:18:54.00 W</t>
  </si>
  <si>
    <t>040:34:42.51 N</t>
  </si>
  <si>
    <t>074:18:53.15 W</t>
  </si>
  <si>
    <t>040:34:44.52 N</t>
  </si>
  <si>
    <t>074:18:51.84 W</t>
  </si>
  <si>
    <t>040:34:45.83 N</t>
  </si>
  <si>
    <t>074:18:50.91 W</t>
  </si>
  <si>
    <t>040:34:46.91 N</t>
  </si>
  <si>
    <t>074:18:50.29 W</t>
  </si>
  <si>
    <t>040:34:47.99 N</t>
  </si>
  <si>
    <t>074:18:49.60 W</t>
  </si>
  <si>
    <t>040:34:49.54 N</t>
  </si>
  <si>
    <t>074:18:48.67 W</t>
  </si>
  <si>
    <t>040:34:50.85 N</t>
  </si>
  <si>
    <t>074:18:47.82 W</t>
  </si>
  <si>
    <t>040:34:52.17 N</t>
  </si>
  <si>
    <t>074:18:47.20 W</t>
  </si>
  <si>
    <t>040:34:54.17 N</t>
  </si>
  <si>
    <t>074:18:46.12 W</t>
  </si>
  <si>
    <t>040:34:55.41 N</t>
  </si>
  <si>
    <t>074:18:45.27 W</t>
  </si>
  <si>
    <t>040:34:57.96 N</t>
  </si>
  <si>
    <t>074:18:43.88 W</t>
  </si>
  <si>
    <t>040:34:59.12 N</t>
  </si>
  <si>
    <t>074:18:43.26 W</t>
  </si>
  <si>
    <t>040:35:00.28 N</t>
  </si>
  <si>
    <t>074:18:42.57 W</t>
  </si>
  <si>
    <t>040:35:01.44 N</t>
  </si>
  <si>
    <t>074:18:41.95 W</t>
  </si>
  <si>
    <t>040:35:02.59 N</t>
  </si>
  <si>
    <t>074:18:41.25 W</t>
  </si>
  <si>
    <t>040:35:03.75 N</t>
  </si>
  <si>
    <t>074:18:40.63 W</t>
  </si>
  <si>
    <t>040:35:04.76 N</t>
  </si>
  <si>
    <t>074:18:39.94 W</t>
  </si>
  <si>
    <t>040:35:05.92 N</t>
  </si>
  <si>
    <t>074:18:39.24 W</t>
  </si>
  <si>
    <t>040:35:06.92 N</t>
  </si>
  <si>
    <t>074:18:38.55 W</t>
  </si>
  <si>
    <t>040:35:08.16 N</t>
  </si>
  <si>
    <t>074:18:37.93 W</t>
  </si>
  <si>
    <t>040:35:10.16 N</t>
  </si>
  <si>
    <t>074:18:36.77 W</t>
  </si>
  <si>
    <t>040:35:11.17 N</t>
  </si>
  <si>
    <t>074:18:36.23 W</t>
  </si>
  <si>
    <t>040:35:12.17 N</t>
  </si>
  <si>
    <t>074:18:35.61 W</t>
  </si>
  <si>
    <t>040:35:13.18 N</t>
  </si>
  <si>
    <t>074:18:35.00 W</t>
  </si>
  <si>
    <t>040:35:14.65 N</t>
  </si>
  <si>
    <t>074:18:34.07 W</t>
  </si>
  <si>
    <t>040:35:15.73 N</t>
  </si>
  <si>
    <t>074:18:33.61 W</t>
  </si>
  <si>
    <t>040:35:16.73 N</t>
  </si>
  <si>
    <t>074:18:33.14 W</t>
  </si>
  <si>
    <t>040:35:17.89 N</t>
  </si>
  <si>
    <t>074:18:32.68 W</t>
  </si>
  <si>
    <t>040:35:19.36 N</t>
  </si>
  <si>
    <t>074:18:32.76 W</t>
  </si>
  <si>
    <t>040:35:20.36 N</t>
  </si>
  <si>
    <t>040:35:21.52 N</t>
  </si>
  <si>
    <t>040:35:22.99 N</t>
  </si>
  <si>
    <t>074:18:35.15 W</t>
  </si>
  <si>
    <t>040:35:23.99 N</t>
  </si>
  <si>
    <t>074:18:36.46 W</t>
  </si>
  <si>
    <t>Time (UTC)</t>
  </si>
  <si>
    <r>
      <t xml:space="preserve">Groundspeed </t>
    </r>
    <r>
      <rPr>
        <i/>
        <sz val="11"/>
        <color theme="1"/>
        <rFont val="Calibri"/>
        <family val="2"/>
        <scheme val="minor"/>
      </rPr>
      <t>(Knots)</t>
    </r>
  </si>
  <si>
    <t>Geometric Altitude</t>
  </si>
  <si>
    <t>Local Time</t>
  </si>
  <si>
    <t>Calculated Groundspeed (Knots)</t>
  </si>
  <si>
    <t>14:37:39, 3700, 4000T,"3614",40:16:52.01N,75:09:47.99W,EWR</t>
  </si>
  <si>
    <t>14:37:44, 3700, 4000T,"3614",40:17:03.01N,75:09:36.01W,EWR</t>
  </si>
  <si>
    <t>14:37:48, 3700, 4000T,"3614",40:17:08.99N,75:09:20.99W,EWR</t>
  </si>
  <si>
    <t>14:37:53, 3700, 4000T,"3614",40:17:19.00N,75:09:10.00W,EWR</t>
  </si>
  <si>
    <t>14:37:57, 3700, 4000T,"3614",40:17:36.99N,75:09:03.00W,EWR</t>
  </si>
  <si>
    <t>14:38:02, 3700, 4000T,"3614",40:17:30.99N,75:08:38.99W,EWR</t>
  </si>
  <si>
    <t>14:38:07, 3700, 4000T,"3614",40:17:45.00N,75:08:30.01W,EWR</t>
  </si>
  <si>
    <t>14:38:11, 3700, 4000T,"3614",40:18:03.00N,75:08:23.01W,EWR</t>
  </si>
  <si>
    <t>14:38:16, 3700, 4000T,"3614",40:18:01.00N,75:08:02.99W,EWR</t>
  </si>
  <si>
    <t>14:38:20, 3700, 4000T,"3614",40:18:19.00N,75:07:56.01W,EWR</t>
  </si>
  <si>
    <t>14:38:25, 3700, 4000T,"3614",40:18:20.99N,75:07:37.99W,EWR</t>
  </si>
  <si>
    <t>14:38:30, 3700, 4000T,"3614",40:18:31.01N,75:07:25.99W,EWR</t>
  </si>
  <si>
    <t>14:38:34, 3700, 4000T,"3614",40:18:44.00N,75:07:17.01W,EWR</t>
  </si>
  <si>
    <t>14:38:39, 3700, 4000T,"3614",40:18:55.00N,75:07:03.00W,EWR</t>
  </si>
  <si>
    <t>14:38:43, 3700, 4000T,"3614",40:19:04.01N,75:06:51.99W,EWR</t>
  </si>
  <si>
    <t>14:38:48, 3700, 4000T,"3614",40:19:14.00N,75:06:39.00W,EWR</t>
  </si>
  <si>
    <t>14:38:53, 3700, 4000T,"3614",40:19:16.00N,75:06:21.01W,EWR</t>
  </si>
  <si>
    <t>14:38:57, 3700, 4000T,"3614",40:19:37.01N,75:06:16.01W,EWR</t>
  </si>
  <si>
    <t>14:39:02, 3700, 4000T,"3614",40:19:47.00N,75:06:02.99W,EWR</t>
  </si>
  <si>
    <t>14:39:07, 3700, 4000T,"3614",40:19:53.01N,75:05:47.00W,EWR</t>
  </si>
  <si>
    <t>14:40:02, 3700, 4000T,"3614",40:21:42.00N,75:03:12.01W,EWR</t>
  </si>
  <si>
    <t>14:40:07, 3700, 4000T,"3614",40:21:47.00N,75:02:58.01W,EWR</t>
  </si>
  <si>
    <t>14:40:11, 3700, 4000T,"3614",40:21:48.99N,75:02:39.99W,EWR</t>
  </si>
  <si>
    <t>14:40:16, 3700, 4000T,"3614",40:22:02.00N,75:02:29.00W,EWR</t>
  </si>
  <si>
    <t>14:40:20, 3700, 4000T,"3614",40:22:21.99N,75:02:22.00W,EWR</t>
  </si>
  <si>
    <t>14:40:22, 3700, 4000T,"3614",41:23:16.99N,74:26:13.00W,EWR</t>
  </si>
  <si>
    <t>14:40:25, 3700, 4000T,"3614",40:22:24.00N,75:02:04.01W,EWR</t>
  </si>
  <si>
    <t>14:40:30, 3700, 4000T,"3614",40:22:32.99N,75:01:52.01W,EWR</t>
  </si>
  <si>
    <t>14:40:34, 3700, 4000T,"3614",40:22:35.00N,75:01:33.99W,EWR</t>
  </si>
  <si>
    <t>14:40:39, 3700, 4000T,"3614",40:23:02.00N,75:01:30.99W,EWR</t>
  </si>
  <si>
    <t>14:40:44, 3700, 4000T,"3614",40:22:57.00N,75:01:10.01W,EWR</t>
  </si>
  <si>
    <t>14:40:48, 3700, 4000T,"3614",40:23:12.00N,75:01:00.01W,EWR</t>
  </si>
  <si>
    <t>14:40:53, 3700, 4000T,"3614",40:23:18.00N,75:00:46.01W,EWR</t>
  </si>
  <si>
    <t>14:40:57, 3700, 4000T,"3614",40:23:37.00N,75:00:39.00W,EWR</t>
  </si>
  <si>
    <t>14:41:02, 3700, 4000T,"3614",40:23:38.99N,75:00:20.00W,EWR</t>
  </si>
  <si>
    <t>14:41:07, 3700, 4000T,"3614",40:23:51.00N,75:00:09.01W,EWR</t>
  </si>
  <si>
    <t>14:41:11, 3700, 4000T,"3614",40:23:53.00N,74:59:52.01W,EWR</t>
  </si>
  <si>
    <t>14:41:16, 3700, 4000T,"3614",40:24:09.00N,74:59:42.01W,EWR</t>
  </si>
  <si>
    <t>14:41:20, 3700, 4000T,"3614",40:24:14.00N,74:59:26.00W,EWR</t>
  </si>
  <si>
    <t>14:41:25, 3600, 3900T,"3614",40:24:19.00N,74:59:10.01W,EWR</t>
  </si>
  <si>
    <t>14:41:30, 3600, 3900T,"3614",40:24:25.00N,74:58:54.99W,EWR</t>
  </si>
  <si>
    <t>14:41:34, 3700, 4000T,"3614",40:24:30.00N,74:58:39.00W,EWR</t>
  </si>
  <si>
    <t>14:41:39, 3700, 4000T,"3614",40:24:25.00N,74:58:20.00W,EWR</t>
  </si>
  <si>
    <t>14:41:44, 3700, 4000T,"3614",40:24:26.00N,74:58:04.01W,EWR</t>
  </si>
  <si>
    <t>14:41:48, 3700, 4000T,"3614",40:24:30.00N,74:57:52.01W,EWR</t>
  </si>
  <si>
    <t>14:41:53, 3700, 4000T,"3614",40:24:25.00N,74:57:33.99W,EWR</t>
  </si>
  <si>
    <t>14:41:57, 3700, 4000T,"3614",40:24:26.00N,74:57:20.01W,EWR</t>
  </si>
  <si>
    <t>14:42:02, 3700, 4000T,"3614",40:24:17.01N,74:56:59.99W,EWR</t>
  </si>
  <si>
    <t>14:42:07, 3700, 4000T,"3614",40:24:18.00N,74:56:46.01W,EWR</t>
  </si>
  <si>
    <t>14:42:11, 3700, 4000T,"3614",40:24:13.00N,74:56:27.00W,EWR</t>
  </si>
  <si>
    <t>14:42:16, 3700, 4000T,"3614",40:24:11.01N,74:56:10.99W,EWR</t>
  </si>
  <si>
    <t>14:42:21, 3700, 4000T,"3614",40:24:06.01N,74:55:53.00W,EWR</t>
  </si>
  <si>
    <t>14:42:34, 3700, 4000T,"3614",40:24:11.01N,74:55:09.99W,EWR</t>
  </si>
  <si>
    <t>14:42:44, 3700, 4000T,"3614",40:24:02.00N,74:54:34.01W,EWR</t>
  </si>
  <si>
    <t>14:42:48, 3700, 4000T,"3614",40:24:00.01N,74:54:18.00W,EWR</t>
  </si>
  <si>
    <t>14:42:53, 3700, 4000T,"3614",40:23:59.00N,74:54:00.99W,EWR</t>
  </si>
  <si>
    <t>14:42:57, 3700, 4000T,"3614",40:23:55.01N,74:53:41.99W,EWR</t>
  </si>
  <si>
    <t>14:43:02, 3700, 4000T,"3614",40:23:57.00N,74:53:29.00W,EWR</t>
  </si>
  <si>
    <t>14:43:07, 3700, 4000T,"3614",40:23:53.00N,74:53:09.99W,EWR</t>
  </si>
  <si>
    <t>14:43:11, 3700, 4000T,"3614",40:23:51.00N,74:52:54.01W,EWR</t>
  </si>
  <si>
    <t>14:43:16, 3600, 3900T,"3614",40:23:56.00N,74:52:42.99W,EWR</t>
  </si>
  <si>
    <t>14:43:20, 3500, 3800T,"3614",40:23:49.99N,74:52:22.01W,EWR</t>
  </si>
  <si>
    <t>14:43:25, 3500, 3800T,"3614",40:23:49.01N,74:52:05.99W,EWR</t>
  </si>
  <si>
    <t>14:43:30, 3400, 3700T,"3614",40:23:49.01N,74:51:48.99W,EWR</t>
  </si>
  <si>
    <t>14:43:34, 3400, 3700T,"3614",40:23:46.00N,74:51:29.99W,EWR</t>
  </si>
  <si>
    <t>14:43:39, 3300, 3600T,"3614",40:23:43.00N,74:51:11.01W,EWR</t>
  </si>
  <si>
    <t>14:43:43, 3200, 3500T,"3614",40:23:38.99N,74:50:52.00W,EWR</t>
  </si>
  <si>
    <t>14:43:48, 3200, 3500T,"3614",40:23:42.00N,74:50:37.01W,EWR</t>
  </si>
  <si>
    <t>14:43:53, 3100, 3400T,"3614",40:23:37.00N,74:50:15.01W,EWR</t>
  </si>
  <si>
    <t>14:43:57, 3000, 3300T,"3614",40:23:40.00N,74:50:00.01W,EWR</t>
  </si>
  <si>
    <t>14:44:02, 3000, 3300T,"3614",40:23:35.00N,74:49:39.00W,EWR</t>
  </si>
  <si>
    <t>14:44:07, 2900, 3200T,"3614",40:23:35.00N,74:49:21.01W,EWR</t>
  </si>
  <si>
    <t>14:44:11, 2800, 3100T,"3614",40:23:33.01N,74:49:02.00W,EWR</t>
  </si>
  <si>
    <t>14:44:16, 2700, 3000T,"3614",40:23:31.00N,74:48:44.01W,EWR</t>
  </si>
  <si>
    <t>14:44:20, 2700, 3000T,"3614",40:23:27.01N,74:48:22.01W,EWR</t>
  </si>
  <si>
    <t>14:44:25, 2600, 2900T,"3614",40:23:25.00N,74:48:03.00W,EWR</t>
  </si>
  <si>
    <t>14:44:30, 2600, 2900T,"3614",40:23:25.00N,74:47:46.00W,EWR</t>
  </si>
  <si>
    <t>14:44:34, 2500, 2800T,"3614",40:23:26.00N,74:47:29.99W,EWR</t>
  </si>
  <si>
    <t>14:44:39, 2500, 2800T,"3614",40:23:24.00N,74:47:12.00W,EWR</t>
  </si>
  <si>
    <t>14:44:44, 2400, 2700T,"3614",40:23:20.00N,74:46:50.99W,EWR</t>
  </si>
  <si>
    <t>14:44:48, 2400, 2700T,"3614",40:23:21.00N,74:46:35.00W,EWR</t>
  </si>
  <si>
    <t>14:44:53, 2300, 2600T,"3614",40:23:19.00N,74:46:16.99W,EWR</t>
  </si>
  <si>
    <t>14:44:57, 2300, 2600T,"3614",40:23:18.00N,74:45:59.00W,EWR</t>
  </si>
  <si>
    <t>14:45:02, 2300, 2600T,"3614",40:23:16.99N,74:45:39.99W,EWR</t>
  </si>
  <si>
    <t>14:45:07, 2300, 2600T,"3614",40:23:13.00N,74:45:21.01W,EWR</t>
  </si>
  <si>
    <t>14:45:11, 2100, 2400T,"3614",40:23:11.01N,74:45:02.99W,EWR</t>
  </si>
  <si>
    <t>14:45:16, 2100, 2400T,"3614",40:23:10.00N,74:44:45.99W,EWR</t>
  </si>
  <si>
    <t>14:45:20, 2000, 2300T,"3614",40:23:07.00N,74:44:25.01W,EWR</t>
  </si>
  <si>
    <t>14:45:25, 2000, 2300T,"3614",40:23:08.00N,74:44:10.01W,EWR</t>
  </si>
  <si>
    <t>14:45:30, 1900, 2200T,"3614",40:23:07.00N,74:43:53.01W,EWR</t>
  </si>
  <si>
    <t>14:45:34, 1800, 2100T,"3614",40:23:04.00N,74:43:32.99W,EWR</t>
  </si>
  <si>
    <t>14:45:39, 1800, 2100T,"3614",40:23:03.00N,74:43:15.99W,EWR</t>
  </si>
  <si>
    <t>14:45:43, 1800, 2100T,"3614",40:23:02.00N,74:42:59.01W,EWR</t>
  </si>
  <si>
    <t>14:45:48, 1700, 2000T,"3614",40:22:59.00N,74:42:40.01W,EWR</t>
  </si>
  <si>
    <t>14:45:53, 1600, 1900T,"3614",40:23:00.01N,74:42:26.00W,EWR</t>
  </si>
  <si>
    <t>14:45:57, 1600, 1900T,"3614",40:22:54.99N,74:42:04.99W,EWR</t>
  </si>
  <si>
    <t>14:46:02, 1600, 1900T,"3614",40:22:54.99N,74:41:47.99W,EWR</t>
  </si>
  <si>
    <t>14:46:06, 1600, 1900T,"3614",40:22:52.00N,74:41:30.00W,EWR</t>
  </si>
  <si>
    <t>14:46:11, 1600, 1900T,"3614",40:22:54.99N,74:41:17.99W,EWR</t>
  </si>
  <si>
    <t>14:46:16, 1600, 1900T,"3614",40:22:52.00N,74:41:00.99W,EWR</t>
  </si>
  <si>
    <t>14:46:20, 1600, 1900T,"3614",40:22:47.00N,74:40:41.00W,EWR</t>
  </si>
  <si>
    <t>14:46:25, 1600, 1900T,"3614",40:22:50.00N,74:40:30.01W,EWR</t>
  </si>
  <si>
    <t>14:46:30, 1600, 1900T,"3614",40:22:43.99N,74:40:09.00W,EWR</t>
  </si>
  <si>
    <t>14:46:34, 1600, 1900T,"3614",40:22:43.01N,74:39:54.00W,EWR</t>
  </si>
  <si>
    <t>14:46:39, 1700, 2000T,"3614",40:22:43.99N,74:39:41.01W,EWR</t>
  </si>
  <si>
    <t>14:46:43, 1700, 2000T,"3614",40:22:43.01N,74:39:27.00W,EWR</t>
  </si>
  <si>
    <t>14:46:48, 1700, 2000T,"3614",40:22:46.00N,74:39:15.99W,EWR</t>
  </si>
  <si>
    <t>14:46:53, 1700, 2000T,"3614",40:22:39.00N,74:38:56.00W,EWR</t>
  </si>
  <si>
    <t>14:46:57, 1700, 2000T,"3614",40:22:43.01N,74:38:45.01W,EWR</t>
  </si>
  <si>
    <t>14:47:02, 1700, 2000T,"3614",40:22:36.00N,74:38:24.99W,EWR</t>
  </si>
  <si>
    <t>14:47:07, 1700, 2000T,"3614",40:22:39.00N,74:38:14.99W,EWR</t>
  </si>
  <si>
    <t>14:47:11, 1700, 2000T,"3614",40:22:37.00N,74:37:59.00W,EWR</t>
  </si>
  <si>
    <t>14:47:16, 1700, 2000T,"3614",40:22:36.00N,74:37:45.00W,EWR</t>
  </si>
  <si>
    <t>14:47:20, 1700, 2000T,"3614",40:22:35.00N,74:37:32.99W,EWR</t>
  </si>
  <si>
    <t>14:47:25, 1700, 2000T,"3614",40:22:32.01N,74:37:17.01W,EWR</t>
  </si>
  <si>
    <t>14:47:30, 1700, 2000T,"3614",40:22:30.00N,74:37:01.00W,EWR</t>
  </si>
  <si>
    <t>14:47:34, 1700, 2000T,"3614",40:22:32.99N,74:36:51.99W,EWR</t>
  </si>
  <si>
    <t>14:47:39, 1700, 2000T,"3614",40:22:30.00N,74:36:36.00W,EWR</t>
  </si>
  <si>
    <t>14:47:43, 1700, 2000T,"3614",40:22:28.00N,74:36:21.01W,EWR</t>
  </si>
  <si>
    <t>14:47:53, 1600, 1900T,"3614",40:22:27.01N,74:35:51.01W,EWR</t>
  </si>
  <si>
    <t>14:47:57, 1600, 1900T,"3614",40:22:35.00N,74:35:44.01W,EWR</t>
  </si>
  <si>
    <t>14:48:02, 1700, 2000T,"3614",40:22:38.01N,74:35:30.99W,EWR</t>
  </si>
  <si>
    <t>14:48:07, 1700, 2000T,"3614",40:22:43.01N,74:35:18.99W,EWR</t>
  </si>
  <si>
    <t>14:48:11, 1700, 2000T,"3614",40:22:47.00N,74:35:06.00W,EWR</t>
  </si>
  <si>
    <t>14:48:16, 1700, 2000T,"3614",40:22:52.00N,74:34:55.01W,EWR</t>
  </si>
  <si>
    <t>14:48:20, 1700, 2000T,"3614",40:22:58.00N,74:34:46.00W,EWR</t>
  </si>
  <si>
    <t>14:48:25, 1700, 2000T,"3614",40:23:00.01N,74:34:29.99W,EWR</t>
  </si>
  <si>
    <t>14:48:30, 1700, 2000T,"3614",40:23:05.99N,74:34:19.00W,EWR</t>
  </si>
  <si>
    <t>14:48:34, 1700, 2000T,"3614",40:23:12.00N,74:34:09.99W,EWR</t>
  </si>
  <si>
    <t>14:48:39, 1700, 2000T,"3614",40:23:16.01N,74:33:57.00W,EWR</t>
  </si>
  <si>
    <t>14:48:43, 1700, 2000T,"3614",40:23:19.00N,74:33:44.01W,EWR</t>
  </si>
  <si>
    <t>14:48:48, 1700, 2000T,"3614",40:23:26.00N,74:33:35.99W,EWR</t>
  </si>
  <si>
    <t>14:48:53, 1700, 2000T,"3614",40:23:29.00N,74:33:23.00W,EWR</t>
  </si>
  <si>
    <t>14:48:57, 1700, 2000T,"3614",40:23:33.01N,74:33:10.01W,EWR</t>
  </si>
  <si>
    <t>14:49:02, 1700, 2000T,"3614",40:23:38.99N,74:33:01.00W,EWR</t>
  </si>
  <si>
    <t>14:49:06, 1700, 2000T,"3614",40:23:42.00N,74:32:50.01W,EWR</t>
  </si>
  <si>
    <t>14:49:11, 1700, 2000T,"3614",40:23:46.00N,74:32:36.99W,EWR</t>
  </si>
  <si>
    <t>14:49:16, 1700, 2000T,"3614",40:23:49.99N,74:32:27.00W,EWR</t>
  </si>
  <si>
    <t>14:49:20, 1700, 2000T,"3614",40:23:54.00N,74:32:16.01W,EWR</t>
  </si>
  <si>
    <t>14:49:25, 1700, 2000T,"3614",40:23:58.00N,74:32:06.01W,EWR</t>
  </si>
  <si>
    <t>14:49:30, 1700, 2000T,"3614",40:24:00.99N,74:31:54.01W,EWR</t>
  </si>
  <si>
    <t>14:49:34, 1700, 2000T,"3614",40:24:05.00N,74:31:42.01W,EWR</t>
  </si>
  <si>
    <t>14:49:39, 1700, 2000T,"3614",40:24:10.00N,74:31:32.01W,EWR</t>
  </si>
  <si>
    <t>14:49:43, 1700, 2000T,"3614",40:24:15.00N,74:31:22.01W,EWR</t>
  </si>
  <si>
    <t>14:49:48, 1700, 2000T,"3614",40:24:17.01N,74:31:08.99W,EWR</t>
  </si>
  <si>
    <t>14:49:53, 1700, 2000T,"3614",40:24:22.01N,74:30:59.00W,EWR</t>
  </si>
  <si>
    <t>14:49:57, 1700, 2000T,"3614",40:24:27.00N,74:30:49.00W,EWR</t>
  </si>
  <si>
    <t>14:50:02, 1700, 2000T,"3614",40:24:31.00N,74:30:36.01W,EWR</t>
  </si>
  <si>
    <t>14:50:06, 1700, 2000T,"3614",40:24:38.00N,74:30:29.00W,EWR</t>
  </si>
  <si>
    <t>14:50:11, 1700, 2000T,"3614",40:24:41.00N,74:30:17.99W,EWR</t>
  </si>
  <si>
    <t>14:50:16, 1700, 2000T,"3614",40:24:46.00N,74:30:07.99W,EWR</t>
  </si>
  <si>
    <t>14:50:20, 1700, 2000T,"3614",40:24:52.00N,74:29:58.00W,EWR</t>
  </si>
  <si>
    <t>14:50:25, 1700, 2000T,"3614",40:24:55.99N,74:29:45.99W,EWR</t>
  </si>
  <si>
    <t>14:50:30, 1700, 2000T,"3614",40:24:58.00N,74:29:33.00W,EWR</t>
  </si>
  <si>
    <t>14:50:34, 1700, 2000T,"3614",40:25:04.00N,74:29:25.01W,EWR</t>
  </si>
  <si>
    <t>14:50:39, 1700, 2000T,"3614",40:25:09.00N,74:29:13.99W,EWR</t>
  </si>
  <si>
    <t>14:50:43, 1700, 2000T,"3614",40:25:15.00N,74:29:06.00W,EWR</t>
  </si>
  <si>
    <t>14:50:48, 1700, 2000T,"3614",40:25:17.99N,74:28:53.01W,EWR</t>
  </si>
  <si>
    <t>14:50:53, 1700, 2000T,"3614",40:25:21.00N,74:28:39.99W,EWR</t>
  </si>
  <si>
    <t>14:50:57, 1700, 2000T,"3614",40:25:26.00N,74:28:29.99W,EWR</t>
  </si>
  <si>
    <t>14:51:02, 1700, 2000T,"3614",40:25:32.00N,74:28:22.99W,EWR</t>
  </si>
  <si>
    <t>14:51:07, 1700, 2000T,"3614",40:25:36.00N,74:28:12.99W,EWR</t>
  </si>
  <si>
    <t>14:51:11, 1700, 2000T,"3614",40:25:39.99N,74:27:59.01W,EWR</t>
  </si>
  <si>
    <t>14:51:16, 1700, 2000T,"3614",40:25:44.99N,74:27:50.00W,EWR</t>
  </si>
  <si>
    <t>14:51:20, 1700, 2000T,"3614",40:25:50.01N,74:27:38.99W,EWR</t>
  </si>
  <si>
    <t>14:51:25, 1700, 2000T,"3614",40:25:54.00N,74:27:28.00W,EWR</t>
  </si>
  <si>
    <t>14:51:30, 1700, 2000T,"3614",40:25:59.00N,74:27:16.00W,EWR</t>
  </si>
  <si>
    <t>14:51:34, 1700, 2000T,"3614",40:26:05.00N,74:27:09.00W,EWR</t>
  </si>
  <si>
    <t>14:51:39, 1700, 2000T,"3614",40:26:10.00N,74:26:58.01W,EWR</t>
  </si>
  <si>
    <t>14:51:43, 1700, 2000T,"3614",40:26:15.00N,74:26:49.00W,EWR</t>
  </si>
  <si>
    <t>14:51:48, 1700, 2000T,"3614",40:26:19.00N,74:26:37.00W,EWR</t>
  </si>
  <si>
    <t>14:51:53, 1700, 2000T,"3614",40:26:22.00N,74:26:22.00W,EWR</t>
  </si>
  <si>
    <t>14:51:57, 1700, 2000T,"3614",40:26:28.01N,74:26:15.00W,EWR</t>
  </si>
  <si>
    <t>14:52:02, 1700, 2000T,"3614",40:26:33.00N,74:26:05.00W,EWR</t>
  </si>
  <si>
    <t>14:52:06, 1700, 2000T,"3614",40:26:37.00N,74:25:53.99W,EWR</t>
  </si>
  <si>
    <t>14:52:11, 1700, 2000T,"3614",40:26:41.00N,74:25:43.99W,EWR</t>
  </si>
  <si>
    <t>14:52:16, 1700, 2000T,"3614",40:26:44.00N,74:25:31.00W,EWR</t>
  </si>
  <si>
    <t>14:52:20, 1700, 2000T,"3614",40:26:49.00N,74:25:23.01W,EWR</t>
  </si>
  <si>
    <t>14:52:25, 1700, 2000T,"3614",40:26:54.00N,74:25:13.01W,EWR</t>
  </si>
  <si>
    <t>14:52:30, 1700, 2000T,"3614",40:26:57.00N,74:25:02.00W,EWR</t>
  </si>
  <si>
    <t>14:52:34, 1700, 2000T,"3614",40:27:01.99N,74:24:52.99W,EWR</t>
  </si>
  <si>
    <t>14:52:39, 1700, 2000T,"3614",40:27:07.01N,74:24:42.99W,EWR</t>
  </si>
  <si>
    <t>14:52:43, 1700, 2000T,"3614",40:27:11.00N,74:24:34.01W,EWR</t>
  </si>
  <si>
    <t>14:52:48, 1700, 2000T,"3614",40:27:14.00N,74:24:22.99W,EWR</t>
  </si>
  <si>
    <t>14:52:53, 1700, 2000T,"3614",40:27:20.00N,74:24:15.00W,EWR</t>
  </si>
  <si>
    <t>14:52:57, 1700, 2000T,"3614",40:27:23.01N,74:24:03.99W,EWR</t>
  </si>
  <si>
    <t>14:53:02, 1700, 2000T,"3614",40:27:27.00N,74:23:55.01W,EWR</t>
  </si>
  <si>
    <t>14:53:06, 1700, 2000T,"3614",40:27:31.00N,74:23:43.99W,EWR</t>
  </si>
  <si>
    <t>14:53:11, 1700, 2000T,"3614",40:27:36.00N,74:23:35.01W,EWR</t>
  </si>
  <si>
    <t>14:53:16, 1700, 2000T,"3614",40:27:40.01N,74:23:26.00W,EWR</t>
  </si>
  <si>
    <t>14:53:20, 1700, 2000T,"3614",40:27:45.01N,74:23:16.99W,EWR</t>
  </si>
  <si>
    <t>14:53:25, 1700, 2000T,"3614",40:27:53.00N,74:23:11.01W,EWR</t>
  </si>
  <si>
    <t>14:53:29, 1600, 1900T,"3614",40:28:00.00N,74:23:06.01W,EWR</t>
  </si>
  <si>
    <t>14:53:34, 1600, 1900T,"3614",40:28:09.00N,74:23:02.99W,EWR</t>
  </si>
  <si>
    <t>14:53:39, 1600, 1900T,"3614",40:28:18.01N,74:22:59.00W,EWR</t>
  </si>
  <si>
    <t>14:53:43, 1500, 1800T,"3614",40:28:26.00N,74:22:51.01W,EWR</t>
  </si>
  <si>
    <t>14:53:48, 1500, 1800T,"3614",40:28:34.00N,74:22:42.99W,EWR</t>
  </si>
  <si>
    <t>14:53:53, 1400, 1700T,"3614",40:28:45.00N,74:22:40.99W,EWR</t>
  </si>
  <si>
    <t>14:53:57, 1400, 1700T,"3614",40:28:53.00N,74:22:32.99W,EWR</t>
  </si>
  <si>
    <t>14:54:02, 1300, 1600T,"3614",40:29:01.00N,74:22:25.00W,EWR</t>
  </si>
  <si>
    <t>14:54:06, 1200, 1500T,"3614",40:29:13.01N,74:22:22.01W,EWR</t>
  </si>
  <si>
    <t>14:54:11, 1200, 1500T,"3614",40:29:21.00N,74:22:15.99W,EWR</t>
  </si>
  <si>
    <t>14:54:16, 1200, 1500T,"3614",40:29:29.99N,74:22:08.99W,EWR</t>
  </si>
  <si>
    <t>14:54:20, 1100, 1400T,"3614",40:29:42.00N,74:22:03.99W,EWR</t>
  </si>
  <si>
    <t>14:54:25, 1100, 1400T,"3614",40:29:51.00N,74:21:58.00W,EWR</t>
  </si>
  <si>
    <t>14:54:30, 1000, 1300T,"3614",40:30:00.00N,74:21:51.00W,EWR</t>
  </si>
  <si>
    <t>14:54:34, 1000, 1300T,"3614",40:30:10.00N,74:21:45.01W,EWR</t>
  </si>
  <si>
    <t>14:54:39, 1000, 1300T,"3614",40:30:20.00N,74:21:40.01W,EWR</t>
  </si>
  <si>
    <t>14:54:43, 1000, 1300T,"3614",40:30:28.00N,74:21:36.00W,EWR</t>
  </si>
  <si>
    <t>14:54:48, 1000, 1300T,"3614",40:30:35.01N,74:21:28.01W,EWR</t>
  </si>
  <si>
    <t>14:54:53, 1000, 1300T,"3614",40:30:44.00N,74:21:24.99W,EWR</t>
  </si>
  <si>
    <t>14:54:57, 1000, 1300T,"3614",40:30:53.00N,74:21:19.00W,EWR</t>
  </si>
  <si>
    <t>14:55:02, 1000, 1300T,"3614",40:31:01.00N,74:21:14.99W,EWR</t>
  </si>
  <si>
    <t>14:55:07, 1000, 1300T,"3614",40:31:07.00N,74:21:09.99W,EWR</t>
  </si>
  <si>
    <t>14:55:11, 1000, 1300T,"3614",40:31:15.00N,74:21:04.99W,EWR</t>
  </si>
  <si>
    <t>14:55:16, 1000, 1300T,"3614",40:31:23.00N,74:21:01.01W,EWR</t>
  </si>
  <si>
    <t>14:55:20, 1000, 1300T,"3614",40:31:30.99N,74:20:56.01W,EWR</t>
  </si>
  <si>
    <t>14:55:25, 1000, 1300T,"3614",40:31:35.00N,74:20:47.99W,EWR</t>
  </si>
  <si>
    <t>14:55:30, 1000, 1300T,"3614",40:31:44.00N,74:20:45.99W,EWR</t>
  </si>
  <si>
    <t>14:55:34, 1000, 1300T,"3614",40:31:52.01N,74:20:42.99W,EWR</t>
  </si>
  <si>
    <t>14:55:39, 1000, 1300T,"3614",40:31:59.00N,74:20:37.99W,EWR</t>
  </si>
  <si>
    <t>14:55:43, 1000, 1300T,"3614",40:32:05.00N,74:20:32.01W,EWR</t>
  </si>
  <si>
    <t>14:55:48, 900, 1200T,"3614",40:32:13.00N,74:20:28.00W,EWR</t>
  </si>
  <si>
    <t>14:55:53, 800, 1100T,"3614",40:32:19.99N,74:20:23.00W,EWR</t>
  </si>
  <si>
    <t>14:55:57, 800, 1100T,"3614",40:32:29.00N,74:20:18.00W,EWR</t>
  </si>
  <si>
    <t>14:56:02, 700, 1000T,"3614",40:32:36.01N,74:20:13.00W,EWR</t>
  </si>
  <si>
    <t>14:56:07, 600, 900T,"3614",40:32:44.00N,74:20:08.00W,EWR</t>
  </si>
  <si>
    <t>14:56:11, 500, 800T,"3614",40:32:52.00N,74:20:01.99W,EWR</t>
  </si>
  <si>
    <t>14:56:16, 500, 800T,"3614",40:32:60.00N,74:19:58.00W,EWR</t>
  </si>
  <si>
    <t>14:56:20, 400, 700T,"3614",40:33:08.00N,74:19:53.01W,EWR</t>
  </si>
  <si>
    <t>14:56:25, 400, 700T,"3614",40:33:16.00N,74:19:49.00W,EWR</t>
  </si>
  <si>
    <t>14:56:30, 400, 700T,"3614",40:33:23.00N,74:19:45.01W,EWR</t>
  </si>
  <si>
    <t>14:56:34, 400, 700T,"3614",40:33:29.00N,74:19:39.00W,EWR</t>
  </si>
  <si>
    <t>14:56:39, 300, 600T,"3614",40:33:36.00N,74:19:34.99W,EWR</t>
  </si>
  <si>
    <t>14:56:44, 300, 600T,"3614",40:33:43.00N,74:19:31.99W,EWR</t>
  </si>
  <si>
    <t>14:56:48, 400, 700T,"3614",40:33:49.00N,74:19:28.01W,EWR</t>
  </si>
  <si>
    <t>14:56:53, 300, 600T,"3614",40:33:55.00N,74:19:24.00W,EWR</t>
  </si>
  <si>
    <t>14:56:57, 300, 600T,"3614",40:34:01.00N,74:19:19.00W,EWR</t>
  </si>
  <si>
    <t>14:57:02, 300, 600T,"3614",40:34:08.00N,74:19:16.01W,EWR</t>
  </si>
  <si>
    <t>14:57:07, 300, 600T,"3614",40:34:13.00N,74:19:12.99W,EWR</t>
  </si>
  <si>
    <t>14:57:11, 300, 600T,"3614",40:34:18.00N,74:19:07.99W,EWR</t>
  </si>
  <si>
    <t>14:57:16, 300, 600T,"3614",40:34:25.00N,74:19:05.00W,EWR</t>
  </si>
  <si>
    <t>14:57:21, 300, 600T,"3614",40:34:31.01N,74:19:01.01W,EWR</t>
  </si>
  <si>
    <t>14:57:25, 300, 600T,"3614",40:34:37.01N,74:18:55.99W,EWR</t>
  </si>
  <si>
    <t>14:57:30, 300, 600T,"3614",40:34:42.99N,74:18:52.99W,EWR</t>
  </si>
  <si>
    <t>14:57:34, 300, 600T,"3614",40:34:48.01N,74:18:49.01W,EWR</t>
  </si>
  <si>
    <t>14:57:39, 300, 600T,"3614",40:34:53.99N,74:18:45.00W,EWR</t>
  </si>
  <si>
    <t>14:57:44, 300, 600T,"3614",40:34:60.00N,74:18:43.00W,EWR</t>
  </si>
  <si>
    <t>14:57:48, 300, 600T,"3614",40:35:04.99N,74:18:39.01W,EWR</t>
  </si>
  <si>
    <t>14:57:53, 300, 600T,"3614",40:35:10.01N,74:18:37.01W,EWR</t>
  </si>
  <si>
    <t>14:57:57, 300, 600T,"3614",40:35:15.01N,74:18:34.01W,EWR</t>
  </si>
  <si>
    <t>14:58:02, 300, 600T,"3614",40:35:20.00N,74:18:32.01W,EWR</t>
  </si>
  <si>
    <t>14:58:07,-100, 200T,"3614",40:35:24.00N,74:18:35.99W,EWR</t>
  </si>
  <si>
    <t>Raw NEWARK (EWR) Radar Data</t>
  </si>
  <si>
    <t>Time, ModeC Altitude, Radar Altitude, Code, Latitude, Longitude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</si>
</sst>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1"/>
      <color theme="9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1" fillId="0" borderId="0" xfId="0" applyFont="1"/>
    <xf numFmtId="1" fontId="1" fillId="0" borderId="0" xfId="0" applyNumberFormat="1" applyFont="1"/>
    <xf numFmtId="0" fontId="0" fillId="2" borderId="0" xfId="0" applyFill="1"/>
    <xf numFmtId="0" fontId="1" fillId="2" borderId="0" xfId="0" applyFont="1" applyFill="1"/>
    <xf numFmtId="0" fontId="0" fillId="0" borderId="1" xfId="0" applyBorder="1"/>
    <xf numFmtId="0" fontId="0" fillId="3" borderId="0" xfId="0" applyFill="1"/>
    <xf numFmtId="1" fontId="4" fillId="0" borderId="1" xfId="0" applyNumberFormat="1" applyFont="1" applyBorder="1" applyAlignment="1">
      <alignment horizontal="center" vertical="center"/>
    </xf>
    <xf numFmtId="1" fontId="4" fillId="2" borderId="1" xfId="0" applyNumberFormat="1" applyFont="1" applyFill="1" applyBorder="1" applyAlignment="1">
      <alignment horizontal="center" vertical="center"/>
    </xf>
    <xf numFmtId="0" fontId="0" fillId="0" borderId="3" xfId="0" applyBorder="1"/>
    <xf numFmtId="0" fontId="0" fillId="0" borderId="4" xfId="0" applyBorder="1"/>
    <xf numFmtId="0" fontId="3" fillId="0" borderId="2" xfId="0" applyFont="1" applyBorder="1" applyAlignment="1">
      <alignment horizontal="center" vertical="center"/>
    </xf>
    <xf numFmtId="0" fontId="0" fillId="0" borderId="5" xfId="0" applyFill="1" applyBorder="1"/>
    <xf numFmtId="0" fontId="0" fillId="0" borderId="0" xfId="0" applyFill="1" applyBorder="1"/>
    <xf numFmtId="1" fontId="0" fillId="0" borderId="6" xfId="0" applyNumberFormat="1" applyFill="1" applyBorder="1"/>
    <xf numFmtId="0" fontId="0" fillId="0" borderId="5" xfId="0" applyBorder="1"/>
    <xf numFmtId="0" fontId="0" fillId="0" borderId="0" xfId="0" applyBorder="1"/>
    <xf numFmtId="1" fontId="0" fillId="0" borderId="6" xfId="0" applyNumberFormat="1" applyBorder="1"/>
    <xf numFmtId="0" fontId="0" fillId="0" borderId="7" xfId="0" applyBorder="1"/>
    <xf numFmtId="0" fontId="0" fillId="0" borderId="8" xfId="0" applyBorder="1"/>
    <xf numFmtId="1" fontId="0" fillId="0" borderId="9" xfId="0" applyNumberForma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cked"/>
        <c:varyColors val="0"/>
        <c:ser>
          <c:idx val="1"/>
          <c:order val="1"/>
          <c:tx>
            <c:strRef>
              <c:f>'Chart of ADS-B Data_GPS-A APR'!$C$1</c:f>
              <c:strCache>
                <c:ptCount val="1"/>
                <c:pt idx="0">
                  <c:v>Groundspeed (Knots)</c:v>
                </c:pt>
              </c:strCache>
            </c:strRef>
          </c:tx>
          <c:spPr>
            <a:ln w="381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Lbl>
              <c:idx val="59"/>
              <c:layout>
                <c:manualLayout>
                  <c:x val="-2.7150153173895662E-2"/>
                  <c:y val="-3.9735107625824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66-4B27-A500-86199D00A574}"/>
                </c:ext>
              </c:extLst>
            </c:dLbl>
            <c:dLbl>
              <c:idx val="86"/>
              <c:layout>
                <c:manualLayout>
                  <c:x val="1.779652503176642E-2"/>
                  <c:y val="-3.85911216400257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66-4B27-A500-86199D00A574}"/>
                </c:ext>
              </c:extLst>
            </c:dLbl>
            <c:dLbl>
              <c:idx val="124"/>
              <c:layout>
                <c:manualLayout>
                  <c:x val="-2.4387383460248154E-2"/>
                  <c:y val="-4.69367591792462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66-4B27-A500-86199D00A574}"/>
                </c:ext>
              </c:extLst>
            </c:dLbl>
            <c:dLbl>
              <c:idx val="166"/>
              <c:layout>
                <c:manualLayout>
                  <c:x val="-2.111678580191885E-2"/>
                  <c:y val="-5.3642395294862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66-4B27-A500-86199D00A574}"/>
                </c:ext>
              </c:extLst>
            </c:dLbl>
            <c:dLbl>
              <c:idx val="222"/>
              <c:layout>
                <c:manualLayout>
                  <c:x val="-1.8100102115930553E-2"/>
                  <c:y val="4.768212915098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66-4B27-A500-86199D00A574}"/>
                </c:ext>
              </c:extLst>
            </c:dLbl>
            <c:dLbl>
              <c:idx val="235"/>
              <c:layout>
                <c:manualLayout>
                  <c:x val="-1.0558392900959425E-2"/>
                  <c:y val="-5.96026614387363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66-4B27-A500-86199D00A574}"/>
                </c:ext>
              </c:extLst>
            </c:dLbl>
            <c:dLbl>
              <c:idx val="269"/>
              <c:layout>
                <c:manualLayout>
                  <c:x val="-2.111678580191885E-2"/>
                  <c:y val="2.98013307193681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66-4B27-A500-86199D00A574}"/>
                </c:ext>
              </c:extLst>
            </c:dLbl>
            <c:dLbl>
              <c:idx val="274"/>
              <c:layout>
                <c:manualLayout>
                  <c:x val="-2.111678580191885E-2"/>
                  <c:y val="-4.17218630071154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66-4B27-A500-86199D00A5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'Chart of ADS-B Data_GPS-A APR'!$A$2:$A$276</c:f>
              <c:strCache>
                <c:ptCount val="275"/>
                <c:pt idx="0">
                  <c:v>10:53:21.086</c:v>
                </c:pt>
                <c:pt idx="1">
                  <c:v>10:53:22.148</c:v>
                </c:pt>
                <c:pt idx="2">
                  <c:v>10:53:23.211</c:v>
                </c:pt>
                <c:pt idx="3">
                  <c:v>10:53:24.117</c:v>
                </c:pt>
                <c:pt idx="4">
                  <c:v>10:53:25.125</c:v>
                </c:pt>
                <c:pt idx="5">
                  <c:v>10:53:26.039</c:v>
                </c:pt>
                <c:pt idx="6">
                  <c:v>10:53:27.094</c:v>
                </c:pt>
                <c:pt idx="7">
                  <c:v>10:53:28.055</c:v>
                </c:pt>
                <c:pt idx="8">
                  <c:v>10:53:28.969</c:v>
                </c:pt>
                <c:pt idx="9">
                  <c:v>10:53:30.023</c:v>
                </c:pt>
                <c:pt idx="10">
                  <c:v>10:53:31.031</c:v>
                </c:pt>
                <c:pt idx="11">
                  <c:v>10:53:31.992</c:v>
                </c:pt>
                <c:pt idx="12">
                  <c:v>10:53:33.508</c:v>
                </c:pt>
                <c:pt idx="13">
                  <c:v>10:53:34.617</c:v>
                </c:pt>
                <c:pt idx="14">
                  <c:v>10:53:35.781</c:v>
                </c:pt>
                <c:pt idx="15">
                  <c:v>10:53:36.789</c:v>
                </c:pt>
                <c:pt idx="16">
                  <c:v>10:53:37.852</c:v>
                </c:pt>
                <c:pt idx="17">
                  <c:v>10:53:38.813</c:v>
                </c:pt>
                <c:pt idx="18">
                  <c:v>10:53:39.617</c:v>
                </c:pt>
                <c:pt idx="19">
                  <c:v>10:53:40.633</c:v>
                </c:pt>
                <c:pt idx="20">
                  <c:v>10:53:41.688</c:v>
                </c:pt>
                <c:pt idx="21">
                  <c:v>10:53:42.805</c:v>
                </c:pt>
                <c:pt idx="22">
                  <c:v>10:53:43.758</c:v>
                </c:pt>
                <c:pt idx="23">
                  <c:v>10:53:44.820</c:v>
                </c:pt>
                <c:pt idx="24">
                  <c:v>10:53:45.781</c:v>
                </c:pt>
                <c:pt idx="25">
                  <c:v>10:53:46.641</c:v>
                </c:pt>
                <c:pt idx="26">
                  <c:v>10:53:47.797</c:v>
                </c:pt>
                <c:pt idx="27">
                  <c:v>10:53:48.758</c:v>
                </c:pt>
                <c:pt idx="28">
                  <c:v>10:53:49.617</c:v>
                </c:pt>
                <c:pt idx="29">
                  <c:v>10:53:50.578</c:v>
                </c:pt>
                <c:pt idx="30">
                  <c:v>10:53:51.641</c:v>
                </c:pt>
                <c:pt idx="31">
                  <c:v>10:53:52.500</c:v>
                </c:pt>
                <c:pt idx="32">
                  <c:v>10:53:53.563</c:v>
                </c:pt>
                <c:pt idx="33">
                  <c:v>10:53:54.570</c:v>
                </c:pt>
                <c:pt idx="34">
                  <c:v>10:53:55.477</c:v>
                </c:pt>
                <c:pt idx="35">
                  <c:v>10:53:56.539</c:v>
                </c:pt>
                <c:pt idx="36">
                  <c:v>10:53:57.547</c:v>
                </c:pt>
                <c:pt idx="37">
                  <c:v>10:53:58.609</c:v>
                </c:pt>
                <c:pt idx="38">
                  <c:v>10:53:59.664</c:v>
                </c:pt>
                <c:pt idx="39">
                  <c:v>10:54:00.727</c:v>
                </c:pt>
                <c:pt idx="40">
                  <c:v>10:54:01.734</c:v>
                </c:pt>
                <c:pt idx="41">
                  <c:v>10:54:02.695</c:v>
                </c:pt>
                <c:pt idx="42">
                  <c:v>10:54:03.656</c:v>
                </c:pt>
                <c:pt idx="43">
                  <c:v>10:54:04.617</c:v>
                </c:pt>
                <c:pt idx="44">
                  <c:v>10:54:05.625</c:v>
                </c:pt>
                <c:pt idx="45">
                  <c:v>10:54:06.789</c:v>
                </c:pt>
                <c:pt idx="46">
                  <c:v>10:54:07.797</c:v>
                </c:pt>
                <c:pt idx="47">
                  <c:v>10:54:08.711</c:v>
                </c:pt>
                <c:pt idx="48">
                  <c:v>10:54:09.766</c:v>
                </c:pt>
                <c:pt idx="49">
                  <c:v>10:54:10.578</c:v>
                </c:pt>
                <c:pt idx="50">
                  <c:v>10:54:11.641</c:v>
                </c:pt>
                <c:pt idx="51">
                  <c:v>10:54:12.648</c:v>
                </c:pt>
                <c:pt idx="52">
                  <c:v>10:54:13.813</c:v>
                </c:pt>
                <c:pt idx="53">
                  <c:v>10:54:14.820</c:v>
                </c:pt>
                <c:pt idx="54">
                  <c:v>10:54:15.680</c:v>
                </c:pt>
                <c:pt idx="55">
                  <c:v>10:54:16.641</c:v>
                </c:pt>
                <c:pt idx="56">
                  <c:v>10:54:17.750</c:v>
                </c:pt>
                <c:pt idx="57">
                  <c:v>10:54:19.422</c:v>
                </c:pt>
                <c:pt idx="58">
                  <c:v>10:54:20.430</c:v>
                </c:pt>
                <c:pt idx="59">
                  <c:v>10:54:21.484</c:v>
                </c:pt>
                <c:pt idx="60">
                  <c:v>10:54:22.602</c:v>
                </c:pt>
                <c:pt idx="61">
                  <c:v>10:54:23.711</c:v>
                </c:pt>
                <c:pt idx="62">
                  <c:v>10:54:24.672</c:v>
                </c:pt>
                <c:pt idx="63">
                  <c:v>10:54:25.680</c:v>
                </c:pt>
                <c:pt idx="64">
                  <c:v>10:54:26.688</c:v>
                </c:pt>
                <c:pt idx="65">
                  <c:v>10:54:27.695</c:v>
                </c:pt>
                <c:pt idx="66">
                  <c:v>10:54:28.711</c:v>
                </c:pt>
                <c:pt idx="67">
                  <c:v>10:54:29.672</c:v>
                </c:pt>
                <c:pt idx="68">
                  <c:v>10:54:30.781</c:v>
                </c:pt>
                <c:pt idx="69">
                  <c:v>10:54:31.797</c:v>
                </c:pt>
                <c:pt idx="70">
                  <c:v>10:54:32.805</c:v>
                </c:pt>
                <c:pt idx="71">
                  <c:v>10:54:33.813</c:v>
                </c:pt>
                <c:pt idx="72">
                  <c:v>10:54:34.875</c:v>
                </c:pt>
                <c:pt idx="73">
                  <c:v>10:54:35.836</c:v>
                </c:pt>
                <c:pt idx="74">
                  <c:v>10:54:36.688</c:v>
                </c:pt>
                <c:pt idx="75">
                  <c:v>10:54:37.750</c:v>
                </c:pt>
                <c:pt idx="76">
                  <c:v>10:54:38.758</c:v>
                </c:pt>
                <c:pt idx="77">
                  <c:v>10:54:39.719</c:v>
                </c:pt>
                <c:pt idx="78">
                  <c:v>10:54:40.680</c:v>
                </c:pt>
                <c:pt idx="79">
                  <c:v>10:54:41.742</c:v>
                </c:pt>
                <c:pt idx="80">
                  <c:v>10:54:42.750</c:v>
                </c:pt>
                <c:pt idx="81">
                  <c:v>10:54:43.664</c:v>
                </c:pt>
                <c:pt idx="82">
                  <c:v>10:54:44.570</c:v>
                </c:pt>
                <c:pt idx="83">
                  <c:v>10:54:45.578</c:v>
                </c:pt>
                <c:pt idx="84">
                  <c:v>10:54:46.492</c:v>
                </c:pt>
                <c:pt idx="85">
                  <c:v>10:54:47.398</c:v>
                </c:pt>
                <c:pt idx="86">
                  <c:v>10:54:48.461</c:v>
                </c:pt>
                <c:pt idx="87">
                  <c:v>10:54:49.469</c:v>
                </c:pt>
                <c:pt idx="88">
                  <c:v>10:54:50.477</c:v>
                </c:pt>
                <c:pt idx="89">
                  <c:v>10:54:51.641</c:v>
                </c:pt>
                <c:pt idx="90">
                  <c:v>10:54:52.703</c:v>
                </c:pt>
                <c:pt idx="91">
                  <c:v>10:54:53.711</c:v>
                </c:pt>
                <c:pt idx="92">
                  <c:v>10:54:54.719</c:v>
                </c:pt>
                <c:pt idx="93">
                  <c:v>10:54:55.531</c:v>
                </c:pt>
                <c:pt idx="94">
                  <c:v>10:54:56.492</c:v>
                </c:pt>
                <c:pt idx="95">
                  <c:v>10:54:57.602</c:v>
                </c:pt>
                <c:pt idx="96">
                  <c:v>10:54:59.875</c:v>
                </c:pt>
                <c:pt idx="97">
                  <c:v>10:55:00.836</c:v>
                </c:pt>
                <c:pt idx="98">
                  <c:v>10:55:01.891</c:v>
                </c:pt>
                <c:pt idx="99">
                  <c:v>10:55:03.008</c:v>
                </c:pt>
                <c:pt idx="100">
                  <c:v>10:55:03.961</c:v>
                </c:pt>
                <c:pt idx="101">
                  <c:v>10:55:04.875</c:v>
                </c:pt>
                <c:pt idx="102">
                  <c:v>10:55:05.883</c:v>
                </c:pt>
                <c:pt idx="103">
                  <c:v>10:55:06.945</c:v>
                </c:pt>
                <c:pt idx="104">
                  <c:v>10:55:08.000</c:v>
                </c:pt>
                <c:pt idx="105">
                  <c:v>10:55:09.063</c:v>
                </c:pt>
                <c:pt idx="106">
                  <c:v>10:55:09.977</c:v>
                </c:pt>
                <c:pt idx="107">
                  <c:v>10:55:10.930</c:v>
                </c:pt>
                <c:pt idx="108">
                  <c:v>10:55:12.047</c:v>
                </c:pt>
                <c:pt idx="109">
                  <c:v>10:55:13.000</c:v>
                </c:pt>
                <c:pt idx="110">
                  <c:v>10:55:13.961</c:v>
                </c:pt>
                <c:pt idx="111">
                  <c:v>10:55:14.820</c:v>
                </c:pt>
                <c:pt idx="112">
                  <c:v>10:55:15.680</c:v>
                </c:pt>
                <c:pt idx="113">
                  <c:v>10:55:16.586</c:v>
                </c:pt>
                <c:pt idx="114">
                  <c:v>10:55:17.500</c:v>
                </c:pt>
                <c:pt idx="115">
                  <c:v>10:55:18.508</c:v>
                </c:pt>
                <c:pt idx="116">
                  <c:v>10:55:19.367</c:v>
                </c:pt>
                <c:pt idx="117">
                  <c:v>10:55:20.375</c:v>
                </c:pt>
                <c:pt idx="118">
                  <c:v>10:55:21.484</c:v>
                </c:pt>
                <c:pt idx="119">
                  <c:v>10:55:22.500</c:v>
                </c:pt>
                <c:pt idx="120">
                  <c:v>10:55:23.406</c:v>
                </c:pt>
                <c:pt idx="121">
                  <c:v>10:55:24.367</c:v>
                </c:pt>
                <c:pt idx="122">
                  <c:v>10:55:25.273</c:v>
                </c:pt>
                <c:pt idx="123">
                  <c:v>10:55:26.289</c:v>
                </c:pt>
                <c:pt idx="124">
                  <c:v>10:55:27.297</c:v>
                </c:pt>
                <c:pt idx="125">
                  <c:v>10:55:28.305</c:v>
                </c:pt>
                <c:pt idx="126">
                  <c:v>10:55:29.414</c:v>
                </c:pt>
                <c:pt idx="127">
                  <c:v>10:55:30.328</c:v>
                </c:pt>
                <c:pt idx="128">
                  <c:v>10:55:31.438</c:v>
                </c:pt>
                <c:pt idx="129">
                  <c:v>10:55:33.102</c:v>
                </c:pt>
                <c:pt idx="130">
                  <c:v>10:55:34.016</c:v>
                </c:pt>
                <c:pt idx="131">
                  <c:v>10:55:35.125</c:v>
                </c:pt>
                <c:pt idx="132">
                  <c:v>10:55:36.031</c:v>
                </c:pt>
                <c:pt idx="133">
                  <c:v>10:55:37.047</c:v>
                </c:pt>
                <c:pt idx="134">
                  <c:v>10:55:38.000</c:v>
                </c:pt>
                <c:pt idx="135">
                  <c:v>10:55:39.016</c:v>
                </c:pt>
                <c:pt idx="136">
                  <c:v>10:55:39.875</c:v>
                </c:pt>
                <c:pt idx="137">
                  <c:v>10:55:40.828</c:v>
                </c:pt>
                <c:pt idx="138">
                  <c:v>10:55:41.789</c:v>
                </c:pt>
                <c:pt idx="139">
                  <c:v>10:55:42.898</c:v>
                </c:pt>
                <c:pt idx="140">
                  <c:v>10:55:43.813</c:v>
                </c:pt>
                <c:pt idx="141">
                  <c:v>10:55:44.922</c:v>
                </c:pt>
                <c:pt idx="142">
                  <c:v>10:55:45.930</c:v>
                </c:pt>
                <c:pt idx="143">
                  <c:v>10:55:46.945</c:v>
                </c:pt>
                <c:pt idx="144">
                  <c:v>10:55:47.852</c:v>
                </c:pt>
                <c:pt idx="145">
                  <c:v>10:55:48.914</c:v>
                </c:pt>
                <c:pt idx="146">
                  <c:v>10:55:49.922</c:v>
                </c:pt>
                <c:pt idx="147">
                  <c:v>10:55:51.031</c:v>
                </c:pt>
                <c:pt idx="148">
                  <c:v>10:55:51.844</c:v>
                </c:pt>
                <c:pt idx="149">
                  <c:v>10:55:52.953</c:v>
                </c:pt>
                <c:pt idx="150">
                  <c:v>10:55:53.813</c:v>
                </c:pt>
                <c:pt idx="151">
                  <c:v>10:55:54.875</c:v>
                </c:pt>
                <c:pt idx="152">
                  <c:v>10:55:55.836</c:v>
                </c:pt>
                <c:pt idx="153">
                  <c:v>10:55:56.891</c:v>
                </c:pt>
                <c:pt idx="154">
                  <c:v>10:55:57.852</c:v>
                </c:pt>
                <c:pt idx="155">
                  <c:v>10:55:58.766</c:v>
                </c:pt>
                <c:pt idx="156">
                  <c:v>10:55:59.672</c:v>
                </c:pt>
                <c:pt idx="157">
                  <c:v>10:56:00.680</c:v>
                </c:pt>
                <c:pt idx="158">
                  <c:v>10:56:01.641</c:v>
                </c:pt>
                <c:pt idx="159">
                  <c:v>10:56:02.547</c:v>
                </c:pt>
                <c:pt idx="160">
                  <c:v>10:56:03.461</c:v>
                </c:pt>
                <c:pt idx="161">
                  <c:v>10:56:04.773</c:v>
                </c:pt>
                <c:pt idx="162">
                  <c:v>10:56:05.781</c:v>
                </c:pt>
                <c:pt idx="163">
                  <c:v>10:56:07.297</c:v>
                </c:pt>
                <c:pt idx="164">
                  <c:v>10:56:08.203</c:v>
                </c:pt>
                <c:pt idx="165">
                  <c:v>10:56:09.219</c:v>
                </c:pt>
                <c:pt idx="166">
                  <c:v>10:56:10.125</c:v>
                </c:pt>
                <c:pt idx="167">
                  <c:v>10:56:10.984</c:v>
                </c:pt>
                <c:pt idx="168">
                  <c:v>10:56:11.992</c:v>
                </c:pt>
                <c:pt idx="169">
                  <c:v>10:56:13.055</c:v>
                </c:pt>
                <c:pt idx="170">
                  <c:v>10:56:14.117</c:v>
                </c:pt>
                <c:pt idx="171">
                  <c:v>10:56:15.125</c:v>
                </c:pt>
                <c:pt idx="172">
                  <c:v>10:56:17.094</c:v>
                </c:pt>
                <c:pt idx="173">
                  <c:v>10:56:18.156</c:v>
                </c:pt>
                <c:pt idx="174">
                  <c:v>10:56:19.117</c:v>
                </c:pt>
                <c:pt idx="175">
                  <c:v>10:56:20.227</c:v>
                </c:pt>
                <c:pt idx="176">
                  <c:v>10:56:21.133</c:v>
                </c:pt>
                <c:pt idx="177">
                  <c:v>10:56:22.195</c:v>
                </c:pt>
                <c:pt idx="178">
                  <c:v>10:56:23.258</c:v>
                </c:pt>
                <c:pt idx="179">
                  <c:v>10:56:24.414</c:v>
                </c:pt>
                <c:pt idx="180">
                  <c:v>10:56:25.375</c:v>
                </c:pt>
                <c:pt idx="181">
                  <c:v>10:56:26.539</c:v>
                </c:pt>
                <c:pt idx="182">
                  <c:v>10:56:27.648</c:v>
                </c:pt>
                <c:pt idx="183">
                  <c:v>10:56:28.555</c:v>
                </c:pt>
                <c:pt idx="184">
                  <c:v>10:56:29.570</c:v>
                </c:pt>
                <c:pt idx="185">
                  <c:v>10:56:30.883</c:v>
                </c:pt>
                <c:pt idx="186">
                  <c:v>10:56:31.992</c:v>
                </c:pt>
                <c:pt idx="187">
                  <c:v>10:56:33.000</c:v>
                </c:pt>
                <c:pt idx="188">
                  <c:v>10:56:33.961</c:v>
                </c:pt>
                <c:pt idx="189">
                  <c:v>10:56:35.070</c:v>
                </c:pt>
                <c:pt idx="190">
                  <c:v>10:56:35.930</c:v>
                </c:pt>
                <c:pt idx="191">
                  <c:v>10:56:37.039</c:v>
                </c:pt>
                <c:pt idx="192">
                  <c:v>10:56:38.656</c:v>
                </c:pt>
                <c:pt idx="193">
                  <c:v>10:56:39.664</c:v>
                </c:pt>
                <c:pt idx="194">
                  <c:v>10:56:40.828</c:v>
                </c:pt>
                <c:pt idx="195">
                  <c:v>10:56:41.789</c:v>
                </c:pt>
                <c:pt idx="196">
                  <c:v>10:56:42.648</c:v>
                </c:pt>
                <c:pt idx="197">
                  <c:v>10:56:43.602</c:v>
                </c:pt>
                <c:pt idx="198">
                  <c:v>10:56:44.617</c:v>
                </c:pt>
                <c:pt idx="199">
                  <c:v>10:56:45.625</c:v>
                </c:pt>
                <c:pt idx="200">
                  <c:v>10:56:46.586</c:v>
                </c:pt>
                <c:pt idx="201">
                  <c:v>10:56:47.547</c:v>
                </c:pt>
                <c:pt idx="202">
                  <c:v>10:56:48.703</c:v>
                </c:pt>
                <c:pt idx="203">
                  <c:v>10:56:49.563</c:v>
                </c:pt>
                <c:pt idx="204">
                  <c:v>10:56:50.469</c:v>
                </c:pt>
                <c:pt idx="205">
                  <c:v>10:56:51.586</c:v>
                </c:pt>
                <c:pt idx="206">
                  <c:v>10:56:52.695</c:v>
                </c:pt>
                <c:pt idx="207">
                  <c:v>10:56:53.859</c:v>
                </c:pt>
                <c:pt idx="208">
                  <c:v>10:56:54.867</c:v>
                </c:pt>
                <c:pt idx="209">
                  <c:v>10:56:55.977</c:v>
                </c:pt>
                <c:pt idx="210">
                  <c:v>10:56:56.891</c:v>
                </c:pt>
                <c:pt idx="211">
                  <c:v>10:56:57.742</c:v>
                </c:pt>
                <c:pt idx="212">
                  <c:v>10:56:58.656</c:v>
                </c:pt>
                <c:pt idx="213">
                  <c:v>10:56:59.766</c:v>
                </c:pt>
                <c:pt idx="214">
                  <c:v>10:57:00.828</c:v>
                </c:pt>
                <c:pt idx="215">
                  <c:v>10:57:01.836</c:v>
                </c:pt>
                <c:pt idx="216">
                  <c:v>10:57:02.844</c:v>
                </c:pt>
                <c:pt idx="217">
                  <c:v>10:57:03.859</c:v>
                </c:pt>
                <c:pt idx="218">
                  <c:v>10:57:04.766</c:v>
                </c:pt>
                <c:pt idx="219">
                  <c:v>10:57:05.930</c:v>
                </c:pt>
                <c:pt idx="220">
                  <c:v>10:57:07.242</c:v>
                </c:pt>
                <c:pt idx="221">
                  <c:v>10:57:08.195</c:v>
                </c:pt>
                <c:pt idx="222">
                  <c:v>10:57:09.258</c:v>
                </c:pt>
                <c:pt idx="223">
                  <c:v>10:57:10.219</c:v>
                </c:pt>
                <c:pt idx="224">
                  <c:v>10:57:11.125</c:v>
                </c:pt>
                <c:pt idx="225">
                  <c:v>10:57:12.188</c:v>
                </c:pt>
                <c:pt idx="226">
                  <c:v>10:57:13.148</c:v>
                </c:pt>
                <c:pt idx="227">
                  <c:v>10:57:14.102</c:v>
                </c:pt>
                <c:pt idx="228">
                  <c:v>10:57:15.117</c:v>
                </c:pt>
                <c:pt idx="229">
                  <c:v>10:57:16.125</c:v>
                </c:pt>
                <c:pt idx="230">
                  <c:v>10:57:18.297</c:v>
                </c:pt>
                <c:pt idx="231">
                  <c:v>10:57:19.258</c:v>
                </c:pt>
                <c:pt idx="232">
                  <c:v>10:57:20.219</c:v>
                </c:pt>
                <c:pt idx="233">
                  <c:v>10:57:21.273</c:v>
                </c:pt>
                <c:pt idx="234">
                  <c:v>10:57:22.234</c:v>
                </c:pt>
                <c:pt idx="235">
                  <c:v>10:57:23.195</c:v>
                </c:pt>
                <c:pt idx="236">
                  <c:v>10:57:24.258</c:v>
                </c:pt>
                <c:pt idx="237">
                  <c:v>10:57:25.313</c:v>
                </c:pt>
                <c:pt idx="238">
                  <c:v>10:57:26.281</c:v>
                </c:pt>
                <c:pt idx="239">
                  <c:v>10:57:27.336</c:v>
                </c:pt>
                <c:pt idx="240">
                  <c:v>10:57:28.242</c:v>
                </c:pt>
                <c:pt idx="241">
                  <c:v>10:57:29.258</c:v>
                </c:pt>
                <c:pt idx="242">
                  <c:v>10:57:30.266</c:v>
                </c:pt>
                <c:pt idx="243">
                  <c:v>10:57:31.828</c:v>
                </c:pt>
                <c:pt idx="244">
                  <c:v>10:57:32.891</c:v>
                </c:pt>
                <c:pt idx="245">
                  <c:v>10:57:33.695</c:v>
                </c:pt>
                <c:pt idx="246">
                  <c:v>10:57:34.711</c:v>
                </c:pt>
                <c:pt idx="247">
                  <c:v>10:57:35.867</c:v>
                </c:pt>
                <c:pt idx="248">
                  <c:v>10:57:36.977</c:v>
                </c:pt>
                <c:pt idx="249">
                  <c:v>10:57:37.992</c:v>
                </c:pt>
                <c:pt idx="250">
                  <c:v>10:57:39.555</c:v>
                </c:pt>
                <c:pt idx="251">
                  <c:v>10:57:40.617</c:v>
                </c:pt>
                <c:pt idx="252">
                  <c:v>10:57:42.734</c:v>
                </c:pt>
                <c:pt idx="253">
                  <c:v>10:57:43.750</c:v>
                </c:pt>
                <c:pt idx="254">
                  <c:v>10:57:44.805</c:v>
                </c:pt>
                <c:pt idx="255">
                  <c:v>10:57:45.820</c:v>
                </c:pt>
                <c:pt idx="256">
                  <c:v>10:57:46.828</c:v>
                </c:pt>
                <c:pt idx="257">
                  <c:v>10:57:47.789</c:v>
                </c:pt>
                <c:pt idx="258">
                  <c:v>10:57:48.898</c:v>
                </c:pt>
                <c:pt idx="259">
                  <c:v>10:57:49.859</c:v>
                </c:pt>
                <c:pt idx="260">
                  <c:v>10:57:50.867</c:v>
                </c:pt>
                <c:pt idx="261">
                  <c:v>10:57:51.930</c:v>
                </c:pt>
                <c:pt idx="262">
                  <c:v>10:57:53.898</c:v>
                </c:pt>
                <c:pt idx="263">
                  <c:v>10:57:54.805</c:v>
                </c:pt>
                <c:pt idx="264">
                  <c:v>10:57:55.813</c:v>
                </c:pt>
                <c:pt idx="265">
                  <c:v>10:57:56.820</c:v>
                </c:pt>
                <c:pt idx="266">
                  <c:v>10:57:58.336</c:v>
                </c:pt>
                <c:pt idx="267">
                  <c:v>10:57:59.352</c:v>
                </c:pt>
                <c:pt idx="268">
                  <c:v>10:58:00.406</c:v>
                </c:pt>
                <c:pt idx="269">
                  <c:v>10:58:01.320</c:v>
                </c:pt>
                <c:pt idx="270">
                  <c:v>10:58:02.680</c:v>
                </c:pt>
                <c:pt idx="271">
                  <c:v>10:58:03.641</c:v>
                </c:pt>
                <c:pt idx="272">
                  <c:v>10:58:04.547</c:v>
                </c:pt>
                <c:pt idx="273">
                  <c:v>10:58:05.961</c:v>
                </c:pt>
                <c:pt idx="274">
                  <c:v>10:58:07</c:v>
                </c:pt>
              </c:strCache>
            </c:strRef>
          </c:cat>
          <c:val>
            <c:numRef>
              <c:f>'Chart of ADS-B Data_GPS-A APR'!$C$2:$C$276</c:f>
              <c:numCache>
                <c:formatCode>0</c:formatCode>
                <c:ptCount val="275"/>
                <c:pt idx="0">
                  <c:v>111.03603018840326</c:v>
                </c:pt>
                <c:pt idx="1">
                  <c:v>112.04463396343441</c:v>
                </c:pt>
                <c:pt idx="2">
                  <c:v>111.40017953306898</c:v>
                </c:pt>
                <c:pt idx="3">
                  <c:v>112.32987136109433</c:v>
                </c:pt>
                <c:pt idx="4">
                  <c:v>113.20777358467925</c:v>
                </c:pt>
                <c:pt idx="5">
                  <c:v>113.25193155085701</c:v>
                </c:pt>
                <c:pt idx="6">
                  <c:v>114.93476410555685</c:v>
                </c:pt>
                <c:pt idx="7">
                  <c:v>115.95257651298655</c:v>
                </c:pt>
                <c:pt idx="8">
                  <c:v>116.24543001770004</c:v>
                </c:pt>
                <c:pt idx="9">
                  <c:v>117.04699910719626</c:v>
                </c:pt>
                <c:pt idx="10">
                  <c:v>118.27087553578015</c:v>
                </c:pt>
                <c:pt idx="11">
                  <c:v>118.27087553578015</c:v>
                </c:pt>
                <c:pt idx="12">
                  <c:v>118.59595271340417</c:v>
                </c:pt>
                <c:pt idx="13">
                  <c:v>118.33004690272035</c:v>
                </c:pt>
                <c:pt idx="14">
                  <c:v>119.03780911962384</c:v>
                </c:pt>
                <c:pt idx="15">
                  <c:v>118.84864324004712</c:v>
                </c:pt>
                <c:pt idx="16">
                  <c:v>120.01666550941998</c:v>
                </c:pt>
                <c:pt idx="17">
                  <c:v>121.24768039018313</c:v>
                </c:pt>
                <c:pt idx="18">
                  <c:v>122.10241602851272</c:v>
                </c:pt>
                <c:pt idx="19">
                  <c:v>122.98373876248843</c:v>
                </c:pt>
                <c:pt idx="20">
                  <c:v>123.43419299367578</c:v>
                </c:pt>
                <c:pt idx="21">
                  <c:v>124.82387592123551</c:v>
                </c:pt>
                <c:pt idx="22">
                  <c:v>125.29964086141668</c:v>
                </c:pt>
                <c:pt idx="23">
                  <c:v>127.1416532848303</c:v>
                </c:pt>
                <c:pt idx="24">
                  <c:v>128.01562404644207</c:v>
                </c:pt>
                <c:pt idx="25">
                  <c:v>128.50291825480073</c:v>
                </c:pt>
                <c:pt idx="26">
                  <c:v>129.37542270462347</c:v>
                </c:pt>
                <c:pt idx="27">
                  <c:v>129.37542270462347</c:v>
                </c:pt>
                <c:pt idx="28">
                  <c:v>130.24976007655445</c:v>
                </c:pt>
                <c:pt idx="29">
                  <c:v>130.64838307457157</c:v>
                </c:pt>
                <c:pt idx="30">
                  <c:v>131.52946437965906</c:v>
                </c:pt>
                <c:pt idx="31">
                  <c:v>131.06105447462264</c:v>
                </c:pt>
                <c:pt idx="32">
                  <c:v>131.94695904036593</c:v>
                </c:pt>
                <c:pt idx="33">
                  <c:v>132.3782459469833</c:v>
                </c:pt>
                <c:pt idx="34">
                  <c:v>133.27040181525678</c:v>
                </c:pt>
                <c:pt idx="35">
                  <c:v>133.27040181525678</c:v>
                </c:pt>
                <c:pt idx="36">
                  <c:v>133.71985641631537</c:v>
                </c:pt>
                <c:pt idx="37">
                  <c:v>134.18271125595876</c:v>
                </c:pt>
                <c:pt idx="38">
                  <c:v>135.08515832614626</c:v>
                </c:pt>
                <c:pt idx="39">
                  <c:v>135.08515832614626</c:v>
                </c:pt>
                <c:pt idx="40">
                  <c:v>135.988970140964</c:v>
                </c:pt>
                <c:pt idx="41">
                  <c:v>135.988970140964</c:v>
                </c:pt>
                <c:pt idx="42">
                  <c:v>135.988970140964</c:v>
                </c:pt>
                <c:pt idx="43">
                  <c:v>136.89411966918081</c:v>
                </c:pt>
                <c:pt idx="44">
                  <c:v>136.89411966918081</c:v>
                </c:pt>
                <c:pt idx="45">
                  <c:v>137.80058055030102</c:v>
                </c:pt>
                <c:pt idx="46">
                  <c:v>138.2244551445221</c:v>
                </c:pt>
                <c:pt idx="47">
                  <c:v>138.2244551445221</c:v>
                </c:pt>
                <c:pt idx="48">
                  <c:v>139.12943613772032</c:v>
                </c:pt>
                <c:pt idx="49">
                  <c:v>139.12943613772032</c:v>
                </c:pt>
                <c:pt idx="50">
                  <c:v>139.12943613772032</c:v>
                </c:pt>
                <c:pt idx="51">
                  <c:v>139.55644019535609</c:v>
                </c:pt>
                <c:pt idx="52">
                  <c:v>139.55644019535609</c:v>
                </c:pt>
                <c:pt idx="53">
                  <c:v>139.55644019535609</c:v>
                </c:pt>
                <c:pt idx="54">
                  <c:v>140.03570973148243</c:v>
                </c:pt>
                <c:pt idx="55">
                  <c:v>140.03570973148243</c:v>
                </c:pt>
                <c:pt idx="56">
                  <c:v>140.03570973148243</c:v>
                </c:pt>
                <c:pt idx="57">
                  <c:v>140.03570973148243</c:v>
                </c:pt>
                <c:pt idx="58">
                  <c:v>140.45995870709916</c:v>
                </c:pt>
                <c:pt idx="59">
                  <c:v>139.55644019535609</c:v>
                </c:pt>
                <c:pt idx="60">
                  <c:v>139.55644019535609</c:v>
                </c:pt>
                <c:pt idx="61">
                  <c:v>139.55644019535609</c:v>
                </c:pt>
                <c:pt idx="62">
                  <c:v>139.55644019535609</c:v>
                </c:pt>
                <c:pt idx="63">
                  <c:v>139.98928530426892</c:v>
                </c:pt>
                <c:pt idx="64">
                  <c:v>139.98928530426892</c:v>
                </c:pt>
                <c:pt idx="65">
                  <c:v>139.98928530426892</c:v>
                </c:pt>
                <c:pt idx="66">
                  <c:v>139.98928530426892</c:v>
                </c:pt>
                <c:pt idx="67">
                  <c:v>139.08989898623119</c:v>
                </c:pt>
                <c:pt idx="68">
                  <c:v>139.08989898623119</c:v>
                </c:pt>
                <c:pt idx="69">
                  <c:v>138.65424623862049</c:v>
                </c:pt>
                <c:pt idx="70">
                  <c:v>137.7534028617805</c:v>
                </c:pt>
                <c:pt idx="71">
                  <c:v>136.41847382227965</c:v>
                </c:pt>
                <c:pt idx="72">
                  <c:v>135.08515832614626</c:v>
                </c:pt>
                <c:pt idx="73">
                  <c:v>132.84953895290718</c:v>
                </c:pt>
                <c:pt idx="74">
                  <c:v>131.94695904036593</c:v>
                </c:pt>
                <c:pt idx="75">
                  <c:v>130.61393493804556</c:v>
                </c:pt>
                <c:pt idx="76">
                  <c:v>130.18832512940628</c:v>
                </c:pt>
                <c:pt idx="77">
                  <c:v>128.86038956948718</c:v>
                </c:pt>
                <c:pt idx="78">
                  <c:v>127.9531164137865</c:v>
                </c:pt>
                <c:pt idx="79">
                  <c:v>127.04723531033645</c:v>
                </c:pt>
                <c:pt idx="80">
                  <c:v>125.7179382586272</c:v>
                </c:pt>
                <c:pt idx="81">
                  <c:v>124.39051410778879</c:v>
                </c:pt>
                <c:pt idx="82">
                  <c:v>123.48279232346505</c:v>
                </c:pt>
                <c:pt idx="83">
                  <c:v>123.06502346320826</c:v>
                </c:pt>
                <c:pt idx="84">
                  <c:v>122.15563842901399</c:v>
                </c:pt>
                <c:pt idx="85">
                  <c:v>120.83045973594572</c:v>
                </c:pt>
                <c:pt idx="86">
                  <c:v>119.92080720208649</c:v>
                </c:pt>
                <c:pt idx="87">
                  <c:v>118.59595271340417</c:v>
                </c:pt>
                <c:pt idx="88">
                  <c:v>117.6860229593982</c:v>
                </c:pt>
                <c:pt idx="89">
                  <c:v>117.2006825918689</c:v>
                </c:pt>
                <c:pt idx="90">
                  <c:v>117.2006825918689</c:v>
                </c:pt>
                <c:pt idx="91">
                  <c:v>116.29703349613007</c:v>
                </c:pt>
                <c:pt idx="92">
                  <c:v>115.39497389401325</c:v>
                </c:pt>
                <c:pt idx="93">
                  <c:v>114.49454135459908</c:v>
                </c:pt>
                <c:pt idx="94">
                  <c:v>113.59577456930342</c:v>
                </c:pt>
                <c:pt idx="95">
                  <c:v>113.59577456930342</c:v>
                </c:pt>
                <c:pt idx="96">
                  <c:v>112.25417586887359</c:v>
                </c:pt>
                <c:pt idx="97">
                  <c:v>111.80339887498948</c:v>
                </c:pt>
                <c:pt idx="98">
                  <c:v>110.90987332063814</c:v>
                </c:pt>
                <c:pt idx="99">
                  <c:v>110.46266337545913</c:v>
                </c:pt>
                <c:pt idx="100">
                  <c:v>110.46266337545913</c:v>
                </c:pt>
                <c:pt idx="101">
                  <c:v>110.46266337545913</c:v>
                </c:pt>
                <c:pt idx="102">
                  <c:v>109.5673308974897</c:v>
                </c:pt>
                <c:pt idx="103">
                  <c:v>109.5673308974897</c:v>
                </c:pt>
                <c:pt idx="104">
                  <c:v>109.12378292562992</c:v>
                </c:pt>
                <c:pt idx="105">
                  <c:v>108.22661410207751</c:v>
                </c:pt>
                <c:pt idx="106">
                  <c:v>109.5673308974897</c:v>
                </c:pt>
                <c:pt idx="107">
                  <c:v>107.35455276791944</c:v>
                </c:pt>
                <c:pt idx="108">
                  <c:v>107.35455276791944</c:v>
                </c:pt>
                <c:pt idx="109">
                  <c:v>106.45186705737011</c:v>
                </c:pt>
                <c:pt idx="110">
                  <c:v>106.45186705737011</c:v>
                </c:pt>
                <c:pt idx="111">
                  <c:v>106.02358228243375</c:v>
                </c:pt>
                <c:pt idx="112">
                  <c:v>106.02358228243375</c:v>
                </c:pt>
                <c:pt idx="113">
                  <c:v>105.60303025955268</c:v>
                </c:pt>
                <c:pt idx="114">
                  <c:v>105.19030373565806</c:v>
                </c:pt>
                <c:pt idx="115">
                  <c:v>105.19030373565806</c:v>
                </c:pt>
                <c:pt idx="116">
                  <c:v>105.19030373565806</c:v>
                </c:pt>
                <c:pt idx="117">
                  <c:v>104.27847332982968</c:v>
                </c:pt>
                <c:pt idx="118">
                  <c:v>104.27847332982968</c:v>
                </c:pt>
                <c:pt idx="119">
                  <c:v>104.27847332982968</c:v>
                </c:pt>
                <c:pt idx="120">
                  <c:v>103.36827366266692</c:v>
                </c:pt>
                <c:pt idx="121">
                  <c:v>103.78824596263297</c:v>
                </c:pt>
                <c:pt idx="122">
                  <c:v>102.88342918079665</c:v>
                </c:pt>
                <c:pt idx="123">
                  <c:v>102.88342918079665</c:v>
                </c:pt>
                <c:pt idx="124">
                  <c:v>103.31505214633539</c:v>
                </c:pt>
                <c:pt idx="125">
                  <c:v>102.41581909060729</c:v>
                </c:pt>
                <c:pt idx="126">
                  <c:v>102.85912696499032</c:v>
                </c:pt>
                <c:pt idx="127">
                  <c:v>102.85912696499032</c:v>
                </c:pt>
                <c:pt idx="128">
                  <c:v>102.85912696499032</c:v>
                </c:pt>
                <c:pt idx="129">
                  <c:v>102.41581909060729</c:v>
                </c:pt>
                <c:pt idx="130">
                  <c:v>102.41581909060729</c:v>
                </c:pt>
                <c:pt idx="131">
                  <c:v>101.51847122568385</c:v>
                </c:pt>
                <c:pt idx="132">
                  <c:v>101.07917688624102</c:v>
                </c:pt>
                <c:pt idx="133">
                  <c:v>101.9803902718557</c:v>
                </c:pt>
                <c:pt idx="134">
                  <c:v>101.9803902718557</c:v>
                </c:pt>
                <c:pt idx="135">
                  <c:v>101.9803902718557</c:v>
                </c:pt>
                <c:pt idx="136">
                  <c:v>102.88342918079665</c:v>
                </c:pt>
                <c:pt idx="137">
                  <c:v>103.31505214633539</c:v>
                </c:pt>
                <c:pt idx="138">
                  <c:v>104.65180361560904</c:v>
                </c:pt>
                <c:pt idx="139">
                  <c:v>104.65180361560904</c:v>
                </c:pt>
                <c:pt idx="140">
                  <c:v>105.99056561788883</c:v>
                </c:pt>
                <c:pt idx="141">
                  <c:v>105.99056561788883</c:v>
                </c:pt>
                <c:pt idx="142">
                  <c:v>106.88779163215975</c:v>
                </c:pt>
                <c:pt idx="143">
                  <c:v>107.33126291998991</c:v>
                </c:pt>
                <c:pt idx="144">
                  <c:v>107.33126291998991</c:v>
                </c:pt>
                <c:pt idx="145">
                  <c:v>108.22661410207751</c:v>
                </c:pt>
                <c:pt idx="146">
                  <c:v>108.67382389517726</c:v>
                </c:pt>
                <c:pt idx="147">
                  <c:v>108.67382389517726</c:v>
                </c:pt>
                <c:pt idx="148">
                  <c:v>109.12836478203089</c:v>
                </c:pt>
                <c:pt idx="149">
                  <c:v>110.01818031580054</c:v>
                </c:pt>
                <c:pt idx="150">
                  <c:v>110.01818031580054</c:v>
                </c:pt>
                <c:pt idx="151">
                  <c:v>110.47624178980746</c:v>
                </c:pt>
                <c:pt idx="152">
                  <c:v>110.47624178980746</c:v>
                </c:pt>
                <c:pt idx="153">
                  <c:v>110.47624178980746</c:v>
                </c:pt>
                <c:pt idx="154">
                  <c:v>110.01818031580054</c:v>
                </c:pt>
                <c:pt idx="155">
                  <c:v>111.36426715962351</c:v>
                </c:pt>
                <c:pt idx="156">
                  <c:v>111.36426715962351</c:v>
                </c:pt>
                <c:pt idx="157">
                  <c:v>111.36426715962351</c:v>
                </c:pt>
                <c:pt idx="158">
                  <c:v>112.25417586887359</c:v>
                </c:pt>
                <c:pt idx="159">
                  <c:v>112.71202242884297</c:v>
                </c:pt>
                <c:pt idx="160">
                  <c:v>113.6001760562016</c:v>
                </c:pt>
                <c:pt idx="161">
                  <c:v>114.03946685248927</c:v>
                </c:pt>
                <c:pt idx="162">
                  <c:v>114.49454135459908</c:v>
                </c:pt>
                <c:pt idx="163">
                  <c:v>115.39497389401325</c:v>
                </c:pt>
                <c:pt idx="164">
                  <c:v>115.87061750072795</c:v>
                </c:pt>
                <c:pt idx="165">
                  <c:v>115.87061750072795</c:v>
                </c:pt>
                <c:pt idx="166">
                  <c:v>115.45128842936315</c:v>
                </c:pt>
                <c:pt idx="167">
                  <c:v>115.45128842936315</c:v>
                </c:pt>
                <c:pt idx="168">
                  <c:v>115.03912377969506</c:v>
                </c:pt>
                <c:pt idx="169">
                  <c:v>114.63420083029322</c:v>
                </c:pt>
                <c:pt idx="170">
                  <c:v>114.63420083029322</c:v>
                </c:pt>
                <c:pt idx="171">
                  <c:v>114.63420083029322</c:v>
                </c:pt>
                <c:pt idx="172">
                  <c:v>113.3181362359971</c:v>
                </c:pt>
                <c:pt idx="173">
                  <c:v>113.3181362359971</c:v>
                </c:pt>
                <c:pt idx="174">
                  <c:v>113.3181362359971</c:v>
                </c:pt>
                <c:pt idx="175">
                  <c:v>112.40106761058811</c:v>
                </c:pt>
                <c:pt idx="176">
                  <c:v>111.89280584559492</c:v>
                </c:pt>
                <c:pt idx="177">
                  <c:v>111.89280584559492</c:v>
                </c:pt>
                <c:pt idx="178">
                  <c:v>111.89280584559492</c:v>
                </c:pt>
                <c:pt idx="179">
                  <c:v>109.65856099730654</c:v>
                </c:pt>
                <c:pt idx="180">
                  <c:v>109.65856099730654</c:v>
                </c:pt>
                <c:pt idx="181">
                  <c:v>107.83784122468327</c:v>
                </c:pt>
                <c:pt idx="182">
                  <c:v>106.92988356862641</c:v>
                </c:pt>
                <c:pt idx="183">
                  <c:v>105.11898020814318</c:v>
                </c:pt>
                <c:pt idx="184">
                  <c:v>105.11898020814318</c:v>
                </c:pt>
                <c:pt idx="185">
                  <c:v>104.21612159354233</c:v>
                </c:pt>
                <c:pt idx="186">
                  <c:v>103.31505214633539</c:v>
                </c:pt>
                <c:pt idx="187">
                  <c:v>102.41581909060729</c:v>
                </c:pt>
                <c:pt idx="188">
                  <c:v>101.51847122568385</c:v>
                </c:pt>
                <c:pt idx="189">
                  <c:v>100.62305898749054</c:v>
                </c:pt>
                <c:pt idx="190">
                  <c:v>99.729634512515887</c:v>
                </c:pt>
                <c:pt idx="191">
                  <c:v>98.838251704489394</c:v>
                </c:pt>
                <c:pt idx="192">
                  <c:v>97.49358953285082</c:v>
                </c:pt>
                <c:pt idx="193">
                  <c:v>96.150923032490951</c:v>
                </c:pt>
                <c:pt idx="194">
                  <c:v>94.810336989170125</c:v>
                </c:pt>
                <c:pt idx="195">
                  <c:v>93.914855054991165</c:v>
                </c:pt>
                <c:pt idx="196">
                  <c:v>93.471920917460551</c:v>
                </c:pt>
                <c:pt idx="197">
                  <c:v>92.135769384099675</c:v>
                </c:pt>
                <c:pt idx="198">
                  <c:v>90.801982357215081</c:v>
                </c:pt>
                <c:pt idx="199">
                  <c:v>90.801982357215081</c:v>
                </c:pt>
                <c:pt idx="200">
                  <c:v>89.899944382630181</c:v>
                </c:pt>
                <c:pt idx="201">
                  <c:v>89</c:v>
                </c:pt>
                <c:pt idx="202">
                  <c:v>89</c:v>
                </c:pt>
                <c:pt idx="203">
                  <c:v>87.235313950257549</c:v>
                </c:pt>
                <c:pt idx="204">
                  <c:v>87.235313950257549</c:v>
                </c:pt>
                <c:pt idx="205">
                  <c:v>87.235313950257549</c:v>
                </c:pt>
                <c:pt idx="206">
                  <c:v>87.235313950257549</c:v>
                </c:pt>
                <c:pt idx="207">
                  <c:v>87.235313950257549</c:v>
                </c:pt>
                <c:pt idx="208">
                  <c:v>86.330759292386631</c:v>
                </c:pt>
                <c:pt idx="209">
                  <c:v>86.764047853935452</c:v>
                </c:pt>
                <c:pt idx="210">
                  <c:v>86.764047853935452</c:v>
                </c:pt>
                <c:pt idx="211">
                  <c:v>86.764047853935452</c:v>
                </c:pt>
                <c:pt idx="212">
                  <c:v>85.428332536694171</c:v>
                </c:pt>
                <c:pt idx="213">
                  <c:v>85.428332536694171</c:v>
                </c:pt>
                <c:pt idx="214">
                  <c:v>85.428332536694171</c:v>
                </c:pt>
                <c:pt idx="215">
                  <c:v>85</c:v>
                </c:pt>
                <c:pt idx="216">
                  <c:v>84.095184166514557</c:v>
                </c:pt>
                <c:pt idx="217">
                  <c:v>82.764726786234249</c:v>
                </c:pt>
                <c:pt idx="218">
                  <c:v>82.764726786234249</c:v>
                </c:pt>
                <c:pt idx="219">
                  <c:v>82.764726786234249</c:v>
                </c:pt>
                <c:pt idx="220">
                  <c:v>82.764726786234249</c:v>
                </c:pt>
                <c:pt idx="221">
                  <c:v>82.346827504160714</c:v>
                </c:pt>
                <c:pt idx="222">
                  <c:v>82.346827504160714</c:v>
                </c:pt>
                <c:pt idx="223">
                  <c:v>82.764726786234249</c:v>
                </c:pt>
                <c:pt idx="224">
                  <c:v>81.859635963031252</c:v>
                </c:pt>
                <c:pt idx="225">
                  <c:v>82.292162445763935</c:v>
                </c:pt>
                <c:pt idx="226">
                  <c:v>83.192547743172284</c:v>
                </c:pt>
                <c:pt idx="227">
                  <c:v>84.528101836016646</c:v>
                </c:pt>
                <c:pt idx="228">
                  <c:v>85.866174946832231</c:v>
                </c:pt>
                <c:pt idx="229">
                  <c:v>87.206651122491792</c:v>
                </c:pt>
                <c:pt idx="230">
                  <c:v>90.354855984612144</c:v>
                </c:pt>
                <c:pt idx="231">
                  <c:v>90.824005637276315</c:v>
                </c:pt>
                <c:pt idx="232">
                  <c:v>90.824005637276315</c:v>
                </c:pt>
                <c:pt idx="233">
                  <c:v>91.301697684106614</c:v>
                </c:pt>
                <c:pt idx="234">
                  <c:v>90.426765949026404</c:v>
                </c:pt>
                <c:pt idx="235">
                  <c:v>90.426765949026404</c:v>
                </c:pt>
                <c:pt idx="236">
                  <c:v>90.426765949026404</c:v>
                </c:pt>
                <c:pt idx="237">
                  <c:v>89.067390216621931</c:v>
                </c:pt>
                <c:pt idx="238">
                  <c:v>87.709748602991681</c:v>
                </c:pt>
                <c:pt idx="239">
                  <c:v>87.235313950257549</c:v>
                </c:pt>
                <c:pt idx="240">
                  <c:v>86.353922898731128</c:v>
                </c:pt>
                <c:pt idx="241">
                  <c:v>85.475142585432408</c:v>
                </c:pt>
                <c:pt idx="242">
                  <c:v>85</c:v>
                </c:pt>
                <c:pt idx="243">
                  <c:v>84.534016821632221</c:v>
                </c:pt>
                <c:pt idx="244">
                  <c:v>84.077345343439575</c:v>
                </c:pt>
                <c:pt idx="245">
                  <c:v>83.192547743172284</c:v>
                </c:pt>
                <c:pt idx="246">
                  <c:v>84.077345343439575</c:v>
                </c:pt>
                <c:pt idx="247">
                  <c:v>82.346827504160714</c:v>
                </c:pt>
                <c:pt idx="248">
                  <c:v>81.939001702485982</c:v>
                </c:pt>
                <c:pt idx="249">
                  <c:v>81.024687595818591</c:v>
                </c:pt>
                <c:pt idx="250">
                  <c:v>79.705708703956702</c:v>
                </c:pt>
                <c:pt idx="251">
                  <c:v>78.390050389064044</c:v>
                </c:pt>
                <c:pt idx="252">
                  <c:v>77.077882690172544</c:v>
                </c:pt>
                <c:pt idx="253">
                  <c:v>76.157731058639087</c:v>
                </c:pt>
                <c:pt idx="254">
                  <c:v>76.157731058639087</c:v>
                </c:pt>
                <c:pt idx="255">
                  <c:v>75.23961722390672</c:v>
                </c:pt>
                <c:pt idx="256">
                  <c:v>74.323616704248181</c:v>
                </c:pt>
                <c:pt idx="257">
                  <c:v>74.323616704248181</c:v>
                </c:pt>
                <c:pt idx="258">
                  <c:v>72.498275841567434</c:v>
                </c:pt>
                <c:pt idx="259">
                  <c:v>71.589105316381762</c:v>
                </c:pt>
                <c:pt idx="260">
                  <c:v>70.263788682364691</c:v>
                </c:pt>
                <c:pt idx="261">
                  <c:v>70.263788682364691</c:v>
                </c:pt>
                <c:pt idx="262">
                  <c:v>68.942004612572731</c:v>
                </c:pt>
                <c:pt idx="263">
                  <c:v>68.029405406779802</c:v>
                </c:pt>
                <c:pt idx="264">
                  <c:v>67.119296778199342</c:v>
                </c:pt>
                <c:pt idx="265">
                  <c:v>67.119296778199342</c:v>
                </c:pt>
                <c:pt idx="266">
                  <c:v>65.79513659838392</c:v>
                </c:pt>
                <c:pt idx="267">
                  <c:v>65.391130897087265</c:v>
                </c:pt>
                <c:pt idx="268">
                  <c:v>65.787536813594102</c:v>
                </c:pt>
                <c:pt idx="269">
                  <c:v>65.253352404301808</c:v>
                </c:pt>
                <c:pt idx="270">
                  <c:v>66.272166103123567</c:v>
                </c:pt>
                <c:pt idx="271">
                  <c:v>69.050706006528273</c:v>
                </c:pt>
                <c:pt idx="272">
                  <c:v>72.73238618387272</c:v>
                </c:pt>
                <c:pt idx="273">
                  <c:v>76.53757247260981</c:v>
                </c:pt>
                <c:pt idx="274">
                  <c:v>81.835200250259064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66-4B27-A500-86199D00A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1708808"/>
        <c:axId val="471709792"/>
      </c:lineChart>
      <c:lineChart>
        <c:grouping val="stacked"/>
        <c:varyColors val="0"/>
        <c:ser>
          <c:idx val="0"/>
          <c:order val="0"/>
          <c:tx>
            <c:strRef>
              <c:f>'Chart of ADS-B Data_GPS-A APR'!$B$1</c:f>
              <c:strCache>
                <c:ptCount val="1"/>
                <c:pt idx="0">
                  <c:v>Geometric Altitude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'Chart of ADS-B Data_GPS-A APR'!$A$2:$A$276</c:f>
              <c:strCache>
                <c:ptCount val="275"/>
                <c:pt idx="0">
                  <c:v>10:53:21.086</c:v>
                </c:pt>
                <c:pt idx="1">
                  <c:v>10:53:22.148</c:v>
                </c:pt>
                <c:pt idx="2">
                  <c:v>10:53:23.211</c:v>
                </c:pt>
                <c:pt idx="3">
                  <c:v>10:53:24.117</c:v>
                </c:pt>
                <c:pt idx="4">
                  <c:v>10:53:25.125</c:v>
                </c:pt>
                <c:pt idx="5">
                  <c:v>10:53:26.039</c:v>
                </c:pt>
                <c:pt idx="6">
                  <c:v>10:53:27.094</c:v>
                </c:pt>
                <c:pt idx="7">
                  <c:v>10:53:28.055</c:v>
                </c:pt>
                <c:pt idx="8">
                  <c:v>10:53:28.969</c:v>
                </c:pt>
                <c:pt idx="9">
                  <c:v>10:53:30.023</c:v>
                </c:pt>
                <c:pt idx="10">
                  <c:v>10:53:31.031</c:v>
                </c:pt>
                <c:pt idx="11">
                  <c:v>10:53:31.992</c:v>
                </c:pt>
                <c:pt idx="12">
                  <c:v>10:53:33.508</c:v>
                </c:pt>
                <c:pt idx="13">
                  <c:v>10:53:34.617</c:v>
                </c:pt>
                <c:pt idx="14">
                  <c:v>10:53:35.781</c:v>
                </c:pt>
                <c:pt idx="15">
                  <c:v>10:53:36.789</c:v>
                </c:pt>
                <c:pt idx="16">
                  <c:v>10:53:37.852</c:v>
                </c:pt>
                <c:pt idx="17">
                  <c:v>10:53:38.813</c:v>
                </c:pt>
                <c:pt idx="18">
                  <c:v>10:53:39.617</c:v>
                </c:pt>
                <c:pt idx="19">
                  <c:v>10:53:40.633</c:v>
                </c:pt>
                <c:pt idx="20">
                  <c:v>10:53:41.688</c:v>
                </c:pt>
                <c:pt idx="21">
                  <c:v>10:53:42.805</c:v>
                </c:pt>
                <c:pt idx="22">
                  <c:v>10:53:43.758</c:v>
                </c:pt>
                <c:pt idx="23">
                  <c:v>10:53:44.820</c:v>
                </c:pt>
                <c:pt idx="24">
                  <c:v>10:53:45.781</c:v>
                </c:pt>
                <c:pt idx="25">
                  <c:v>10:53:46.641</c:v>
                </c:pt>
                <c:pt idx="26">
                  <c:v>10:53:47.797</c:v>
                </c:pt>
                <c:pt idx="27">
                  <c:v>10:53:48.758</c:v>
                </c:pt>
                <c:pt idx="28">
                  <c:v>10:53:49.617</c:v>
                </c:pt>
                <c:pt idx="29">
                  <c:v>10:53:50.578</c:v>
                </c:pt>
                <c:pt idx="30">
                  <c:v>10:53:51.641</c:v>
                </c:pt>
                <c:pt idx="31">
                  <c:v>10:53:52.500</c:v>
                </c:pt>
                <c:pt idx="32">
                  <c:v>10:53:53.563</c:v>
                </c:pt>
                <c:pt idx="33">
                  <c:v>10:53:54.570</c:v>
                </c:pt>
                <c:pt idx="34">
                  <c:v>10:53:55.477</c:v>
                </c:pt>
                <c:pt idx="35">
                  <c:v>10:53:56.539</c:v>
                </c:pt>
                <c:pt idx="36">
                  <c:v>10:53:57.547</c:v>
                </c:pt>
                <c:pt idx="37">
                  <c:v>10:53:58.609</c:v>
                </c:pt>
                <c:pt idx="38">
                  <c:v>10:53:59.664</c:v>
                </c:pt>
                <c:pt idx="39">
                  <c:v>10:54:00.727</c:v>
                </c:pt>
                <c:pt idx="40">
                  <c:v>10:54:01.734</c:v>
                </c:pt>
                <c:pt idx="41">
                  <c:v>10:54:02.695</c:v>
                </c:pt>
                <c:pt idx="42">
                  <c:v>10:54:03.656</c:v>
                </c:pt>
                <c:pt idx="43">
                  <c:v>10:54:04.617</c:v>
                </c:pt>
                <c:pt idx="44">
                  <c:v>10:54:05.625</c:v>
                </c:pt>
                <c:pt idx="45">
                  <c:v>10:54:06.789</c:v>
                </c:pt>
                <c:pt idx="46">
                  <c:v>10:54:07.797</c:v>
                </c:pt>
                <c:pt idx="47">
                  <c:v>10:54:08.711</c:v>
                </c:pt>
                <c:pt idx="48">
                  <c:v>10:54:09.766</c:v>
                </c:pt>
                <c:pt idx="49">
                  <c:v>10:54:10.578</c:v>
                </c:pt>
                <c:pt idx="50">
                  <c:v>10:54:11.641</c:v>
                </c:pt>
                <c:pt idx="51">
                  <c:v>10:54:12.648</c:v>
                </c:pt>
                <c:pt idx="52">
                  <c:v>10:54:13.813</c:v>
                </c:pt>
                <c:pt idx="53">
                  <c:v>10:54:14.820</c:v>
                </c:pt>
                <c:pt idx="54">
                  <c:v>10:54:15.680</c:v>
                </c:pt>
                <c:pt idx="55">
                  <c:v>10:54:16.641</c:v>
                </c:pt>
                <c:pt idx="56">
                  <c:v>10:54:17.750</c:v>
                </c:pt>
                <c:pt idx="57">
                  <c:v>10:54:19.422</c:v>
                </c:pt>
                <c:pt idx="58">
                  <c:v>10:54:20.430</c:v>
                </c:pt>
                <c:pt idx="59">
                  <c:v>10:54:21.484</c:v>
                </c:pt>
                <c:pt idx="60">
                  <c:v>10:54:22.602</c:v>
                </c:pt>
                <c:pt idx="61">
                  <c:v>10:54:23.711</c:v>
                </c:pt>
                <c:pt idx="62">
                  <c:v>10:54:24.672</c:v>
                </c:pt>
                <c:pt idx="63">
                  <c:v>10:54:25.680</c:v>
                </c:pt>
                <c:pt idx="64">
                  <c:v>10:54:26.688</c:v>
                </c:pt>
                <c:pt idx="65">
                  <c:v>10:54:27.695</c:v>
                </c:pt>
                <c:pt idx="66">
                  <c:v>10:54:28.711</c:v>
                </c:pt>
                <c:pt idx="67">
                  <c:v>10:54:29.672</c:v>
                </c:pt>
                <c:pt idx="68">
                  <c:v>10:54:30.781</c:v>
                </c:pt>
                <c:pt idx="69">
                  <c:v>10:54:31.797</c:v>
                </c:pt>
                <c:pt idx="70">
                  <c:v>10:54:32.805</c:v>
                </c:pt>
                <c:pt idx="71">
                  <c:v>10:54:33.813</c:v>
                </c:pt>
                <c:pt idx="72">
                  <c:v>10:54:34.875</c:v>
                </c:pt>
                <c:pt idx="73">
                  <c:v>10:54:35.836</c:v>
                </c:pt>
                <c:pt idx="74">
                  <c:v>10:54:36.688</c:v>
                </c:pt>
                <c:pt idx="75">
                  <c:v>10:54:37.750</c:v>
                </c:pt>
                <c:pt idx="76">
                  <c:v>10:54:38.758</c:v>
                </c:pt>
                <c:pt idx="77">
                  <c:v>10:54:39.719</c:v>
                </c:pt>
                <c:pt idx="78">
                  <c:v>10:54:40.680</c:v>
                </c:pt>
                <c:pt idx="79">
                  <c:v>10:54:41.742</c:v>
                </c:pt>
                <c:pt idx="80">
                  <c:v>10:54:42.750</c:v>
                </c:pt>
                <c:pt idx="81">
                  <c:v>10:54:43.664</c:v>
                </c:pt>
                <c:pt idx="82">
                  <c:v>10:54:44.570</c:v>
                </c:pt>
                <c:pt idx="83">
                  <c:v>10:54:45.578</c:v>
                </c:pt>
                <c:pt idx="84">
                  <c:v>10:54:46.492</c:v>
                </c:pt>
                <c:pt idx="85">
                  <c:v>10:54:47.398</c:v>
                </c:pt>
                <c:pt idx="86">
                  <c:v>10:54:48.461</c:v>
                </c:pt>
                <c:pt idx="87">
                  <c:v>10:54:49.469</c:v>
                </c:pt>
                <c:pt idx="88">
                  <c:v>10:54:50.477</c:v>
                </c:pt>
                <c:pt idx="89">
                  <c:v>10:54:51.641</c:v>
                </c:pt>
                <c:pt idx="90">
                  <c:v>10:54:52.703</c:v>
                </c:pt>
                <c:pt idx="91">
                  <c:v>10:54:53.711</c:v>
                </c:pt>
                <c:pt idx="92">
                  <c:v>10:54:54.719</c:v>
                </c:pt>
                <c:pt idx="93">
                  <c:v>10:54:55.531</c:v>
                </c:pt>
                <c:pt idx="94">
                  <c:v>10:54:56.492</c:v>
                </c:pt>
                <c:pt idx="95">
                  <c:v>10:54:57.602</c:v>
                </c:pt>
                <c:pt idx="96">
                  <c:v>10:54:59.875</c:v>
                </c:pt>
                <c:pt idx="97">
                  <c:v>10:55:00.836</c:v>
                </c:pt>
                <c:pt idx="98">
                  <c:v>10:55:01.891</c:v>
                </c:pt>
                <c:pt idx="99">
                  <c:v>10:55:03.008</c:v>
                </c:pt>
                <c:pt idx="100">
                  <c:v>10:55:03.961</c:v>
                </c:pt>
                <c:pt idx="101">
                  <c:v>10:55:04.875</c:v>
                </c:pt>
                <c:pt idx="102">
                  <c:v>10:55:05.883</c:v>
                </c:pt>
                <c:pt idx="103">
                  <c:v>10:55:06.945</c:v>
                </c:pt>
                <c:pt idx="104">
                  <c:v>10:55:08.000</c:v>
                </c:pt>
                <c:pt idx="105">
                  <c:v>10:55:09.063</c:v>
                </c:pt>
                <c:pt idx="106">
                  <c:v>10:55:09.977</c:v>
                </c:pt>
                <c:pt idx="107">
                  <c:v>10:55:10.930</c:v>
                </c:pt>
                <c:pt idx="108">
                  <c:v>10:55:12.047</c:v>
                </c:pt>
                <c:pt idx="109">
                  <c:v>10:55:13.000</c:v>
                </c:pt>
                <c:pt idx="110">
                  <c:v>10:55:13.961</c:v>
                </c:pt>
                <c:pt idx="111">
                  <c:v>10:55:14.820</c:v>
                </c:pt>
                <c:pt idx="112">
                  <c:v>10:55:15.680</c:v>
                </c:pt>
                <c:pt idx="113">
                  <c:v>10:55:16.586</c:v>
                </c:pt>
                <c:pt idx="114">
                  <c:v>10:55:17.500</c:v>
                </c:pt>
                <c:pt idx="115">
                  <c:v>10:55:18.508</c:v>
                </c:pt>
                <c:pt idx="116">
                  <c:v>10:55:19.367</c:v>
                </c:pt>
                <c:pt idx="117">
                  <c:v>10:55:20.375</c:v>
                </c:pt>
                <c:pt idx="118">
                  <c:v>10:55:21.484</c:v>
                </c:pt>
                <c:pt idx="119">
                  <c:v>10:55:22.500</c:v>
                </c:pt>
                <c:pt idx="120">
                  <c:v>10:55:23.406</c:v>
                </c:pt>
                <c:pt idx="121">
                  <c:v>10:55:24.367</c:v>
                </c:pt>
                <c:pt idx="122">
                  <c:v>10:55:25.273</c:v>
                </c:pt>
                <c:pt idx="123">
                  <c:v>10:55:26.289</c:v>
                </c:pt>
                <c:pt idx="124">
                  <c:v>10:55:27.297</c:v>
                </c:pt>
                <c:pt idx="125">
                  <c:v>10:55:28.305</c:v>
                </c:pt>
                <c:pt idx="126">
                  <c:v>10:55:29.414</c:v>
                </c:pt>
                <c:pt idx="127">
                  <c:v>10:55:30.328</c:v>
                </c:pt>
                <c:pt idx="128">
                  <c:v>10:55:31.438</c:v>
                </c:pt>
                <c:pt idx="129">
                  <c:v>10:55:33.102</c:v>
                </c:pt>
                <c:pt idx="130">
                  <c:v>10:55:34.016</c:v>
                </c:pt>
                <c:pt idx="131">
                  <c:v>10:55:35.125</c:v>
                </c:pt>
                <c:pt idx="132">
                  <c:v>10:55:36.031</c:v>
                </c:pt>
                <c:pt idx="133">
                  <c:v>10:55:37.047</c:v>
                </c:pt>
                <c:pt idx="134">
                  <c:v>10:55:38.000</c:v>
                </c:pt>
                <c:pt idx="135">
                  <c:v>10:55:39.016</c:v>
                </c:pt>
                <c:pt idx="136">
                  <c:v>10:55:39.875</c:v>
                </c:pt>
                <c:pt idx="137">
                  <c:v>10:55:40.828</c:v>
                </c:pt>
                <c:pt idx="138">
                  <c:v>10:55:41.789</c:v>
                </c:pt>
                <c:pt idx="139">
                  <c:v>10:55:42.898</c:v>
                </c:pt>
                <c:pt idx="140">
                  <c:v>10:55:43.813</c:v>
                </c:pt>
                <c:pt idx="141">
                  <c:v>10:55:44.922</c:v>
                </c:pt>
                <c:pt idx="142">
                  <c:v>10:55:45.930</c:v>
                </c:pt>
                <c:pt idx="143">
                  <c:v>10:55:46.945</c:v>
                </c:pt>
                <c:pt idx="144">
                  <c:v>10:55:47.852</c:v>
                </c:pt>
                <c:pt idx="145">
                  <c:v>10:55:48.914</c:v>
                </c:pt>
                <c:pt idx="146">
                  <c:v>10:55:49.922</c:v>
                </c:pt>
                <c:pt idx="147">
                  <c:v>10:55:51.031</c:v>
                </c:pt>
                <c:pt idx="148">
                  <c:v>10:55:51.844</c:v>
                </c:pt>
                <c:pt idx="149">
                  <c:v>10:55:52.953</c:v>
                </c:pt>
                <c:pt idx="150">
                  <c:v>10:55:53.813</c:v>
                </c:pt>
                <c:pt idx="151">
                  <c:v>10:55:54.875</c:v>
                </c:pt>
                <c:pt idx="152">
                  <c:v>10:55:55.836</c:v>
                </c:pt>
                <c:pt idx="153">
                  <c:v>10:55:56.891</c:v>
                </c:pt>
                <c:pt idx="154">
                  <c:v>10:55:57.852</c:v>
                </c:pt>
                <c:pt idx="155">
                  <c:v>10:55:58.766</c:v>
                </c:pt>
                <c:pt idx="156">
                  <c:v>10:55:59.672</c:v>
                </c:pt>
                <c:pt idx="157">
                  <c:v>10:56:00.680</c:v>
                </c:pt>
                <c:pt idx="158">
                  <c:v>10:56:01.641</c:v>
                </c:pt>
                <c:pt idx="159">
                  <c:v>10:56:02.547</c:v>
                </c:pt>
                <c:pt idx="160">
                  <c:v>10:56:03.461</c:v>
                </c:pt>
                <c:pt idx="161">
                  <c:v>10:56:04.773</c:v>
                </c:pt>
                <c:pt idx="162">
                  <c:v>10:56:05.781</c:v>
                </c:pt>
                <c:pt idx="163">
                  <c:v>10:56:07.297</c:v>
                </c:pt>
                <c:pt idx="164">
                  <c:v>10:56:08.203</c:v>
                </c:pt>
                <c:pt idx="165">
                  <c:v>10:56:09.219</c:v>
                </c:pt>
                <c:pt idx="166">
                  <c:v>10:56:10.125</c:v>
                </c:pt>
                <c:pt idx="167">
                  <c:v>10:56:10.984</c:v>
                </c:pt>
                <c:pt idx="168">
                  <c:v>10:56:11.992</c:v>
                </c:pt>
                <c:pt idx="169">
                  <c:v>10:56:13.055</c:v>
                </c:pt>
                <c:pt idx="170">
                  <c:v>10:56:14.117</c:v>
                </c:pt>
                <c:pt idx="171">
                  <c:v>10:56:15.125</c:v>
                </c:pt>
                <c:pt idx="172">
                  <c:v>10:56:17.094</c:v>
                </c:pt>
                <c:pt idx="173">
                  <c:v>10:56:18.156</c:v>
                </c:pt>
                <c:pt idx="174">
                  <c:v>10:56:19.117</c:v>
                </c:pt>
                <c:pt idx="175">
                  <c:v>10:56:20.227</c:v>
                </c:pt>
                <c:pt idx="176">
                  <c:v>10:56:21.133</c:v>
                </c:pt>
                <c:pt idx="177">
                  <c:v>10:56:22.195</c:v>
                </c:pt>
                <c:pt idx="178">
                  <c:v>10:56:23.258</c:v>
                </c:pt>
                <c:pt idx="179">
                  <c:v>10:56:24.414</c:v>
                </c:pt>
                <c:pt idx="180">
                  <c:v>10:56:25.375</c:v>
                </c:pt>
                <c:pt idx="181">
                  <c:v>10:56:26.539</c:v>
                </c:pt>
                <c:pt idx="182">
                  <c:v>10:56:27.648</c:v>
                </c:pt>
                <c:pt idx="183">
                  <c:v>10:56:28.555</c:v>
                </c:pt>
                <c:pt idx="184">
                  <c:v>10:56:29.570</c:v>
                </c:pt>
                <c:pt idx="185">
                  <c:v>10:56:30.883</c:v>
                </c:pt>
                <c:pt idx="186">
                  <c:v>10:56:31.992</c:v>
                </c:pt>
                <c:pt idx="187">
                  <c:v>10:56:33.000</c:v>
                </c:pt>
                <c:pt idx="188">
                  <c:v>10:56:33.961</c:v>
                </c:pt>
                <c:pt idx="189">
                  <c:v>10:56:35.070</c:v>
                </c:pt>
                <c:pt idx="190">
                  <c:v>10:56:35.930</c:v>
                </c:pt>
                <c:pt idx="191">
                  <c:v>10:56:37.039</c:v>
                </c:pt>
                <c:pt idx="192">
                  <c:v>10:56:38.656</c:v>
                </c:pt>
                <c:pt idx="193">
                  <c:v>10:56:39.664</c:v>
                </c:pt>
                <c:pt idx="194">
                  <c:v>10:56:40.828</c:v>
                </c:pt>
                <c:pt idx="195">
                  <c:v>10:56:41.789</c:v>
                </c:pt>
                <c:pt idx="196">
                  <c:v>10:56:42.648</c:v>
                </c:pt>
                <c:pt idx="197">
                  <c:v>10:56:43.602</c:v>
                </c:pt>
                <c:pt idx="198">
                  <c:v>10:56:44.617</c:v>
                </c:pt>
                <c:pt idx="199">
                  <c:v>10:56:45.625</c:v>
                </c:pt>
                <c:pt idx="200">
                  <c:v>10:56:46.586</c:v>
                </c:pt>
                <c:pt idx="201">
                  <c:v>10:56:47.547</c:v>
                </c:pt>
                <c:pt idx="202">
                  <c:v>10:56:48.703</c:v>
                </c:pt>
                <c:pt idx="203">
                  <c:v>10:56:49.563</c:v>
                </c:pt>
                <c:pt idx="204">
                  <c:v>10:56:50.469</c:v>
                </c:pt>
                <c:pt idx="205">
                  <c:v>10:56:51.586</c:v>
                </c:pt>
                <c:pt idx="206">
                  <c:v>10:56:52.695</c:v>
                </c:pt>
                <c:pt idx="207">
                  <c:v>10:56:53.859</c:v>
                </c:pt>
                <c:pt idx="208">
                  <c:v>10:56:54.867</c:v>
                </c:pt>
                <c:pt idx="209">
                  <c:v>10:56:55.977</c:v>
                </c:pt>
                <c:pt idx="210">
                  <c:v>10:56:56.891</c:v>
                </c:pt>
                <c:pt idx="211">
                  <c:v>10:56:57.742</c:v>
                </c:pt>
                <c:pt idx="212">
                  <c:v>10:56:58.656</c:v>
                </c:pt>
                <c:pt idx="213">
                  <c:v>10:56:59.766</c:v>
                </c:pt>
                <c:pt idx="214">
                  <c:v>10:57:00.828</c:v>
                </c:pt>
                <c:pt idx="215">
                  <c:v>10:57:01.836</c:v>
                </c:pt>
                <c:pt idx="216">
                  <c:v>10:57:02.844</c:v>
                </c:pt>
                <c:pt idx="217">
                  <c:v>10:57:03.859</c:v>
                </c:pt>
                <c:pt idx="218">
                  <c:v>10:57:04.766</c:v>
                </c:pt>
                <c:pt idx="219">
                  <c:v>10:57:05.930</c:v>
                </c:pt>
                <c:pt idx="220">
                  <c:v>10:57:07.242</c:v>
                </c:pt>
                <c:pt idx="221">
                  <c:v>10:57:08.195</c:v>
                </c:pt>
                <c:pt idx="222">
                  <c:v>10:57:09.258</c:v>
                </c:pt>
                <c:pt idx="223">
                  <c:v>10:57:10.219</c:v>
                </c:pt>
                <c:pt idx="224">
                  <c:v>10:57:11.125</c:v>
                </c:pt>
                <c:pt idx="225">
                  <c:v>10:57:12.188</c:v>
                </c:pt>
                <c:pt idx="226">
                  <c:v>10:57:13.148</c:v>
                </c:pt>
                <c:pt idx="227">
                  <c:v>10:57:14.102</c:v>
                </c:pt>
                <c:pt idx="228">
                  <c:v>10:57:15.117</c:v>
                </c:pt>
                <c:pt idx="229">
                  <c:v>10:57:16.125</c:v>
                </c:pt>
                <c:pt idx="230">
                  <c:v>10:57:18.297</c:v>
                </c:pt>
                <c:pt idx="231">
                  <c:v>10:57:19.258</c:v>
                </c:pt>
                <c:pt idx="232">
                  <c:v>10:57:20.219</c:v>
                </c:pt>
                <c:pt idx="233">
                  <c:v>10:57:21.273</c:v>
                </c:pt>
                <c:pt idx="234">
                  <c:v>10:57:22.234</c:v>
                </c:pt>
                <c:pt idx="235">
                  <c:v>10:57:23.195</c:v>
                </c:pt>
                <c:pt idx="236">
                  <c:v>10:57:24.258</c:v>
                </c:pt>
                <c:pt idx="237">
                  <c:v>10:57:25.313</c:v>
                </c:pt>
                <c:pt idx="238">
                  <c:v>10:57:26.281</c:v>
                </c:pt>
                <c:pt idx="239">
                  <c:v>10:57:27.336</c:v>
                </c:pt>
                <c:pt idx="240">
                  <c:v>10:57:28.242</c:v>
                </c:pt>
                <c:pt idx="241">
                  <c:v>10:57:29.258</c:v>
                </c:pt>
                <c:pt idx="242">
                  <c:v>10:57:30.266</c:v>
                </c:pt>
                <c:pt idx="243">
                  <c:v>10:57:31.828</c:v>
                </c:pt>
                <c:pt idx="244">
                  <c:v>10:57:32.891</c:v>
                </c:pt>
                <c:pt idx="245">
                  <c:v>10:57:33.695</c:v>
                </c:pt>
                <c:pt idx="246">
                  <c:v>10:57:34.711</c:v>
                </c:pt>
                <c:pt idx="247">
                  <c:v>10:57:35.867</c:v>
                </c:pt>
                <c:pt idx="248">
                  <c:v>10:57:36.977</c:v>
                </c:pt>
                <c:pt idx="249">
                  <c:v>10:57:37.992</c:v>
                </c:pt>
                <c:pt idx="250">
                  <c:v>10:57:39.555</c:v>
                </c:pt>
                <c:pt idx="251">
                  <c:v>10:57:40.617</c:v>
                </c:pt>
                <c:pt idx="252">
                  <c:v>10:57:42.734</c:v>
                </c:pt>
                <c:pt idx="253">
                  <c:v>10:57:43.750</c:v>
                </c:pt>
                <c:pt idx="254">
                  <c:v>10:57:44.805</c:v>
                </c:pt>
                <c:pt idx="255">
                  <c:v>10:57:45.820</c:v>
                </c:pt>
                <c:pt idx="256">
                  <c:v>10:57:46.828</c:v>
                </c:pt>
                <c:pt idx="257">
                  <c:v>10:57:47.789</c:v>
                </c:pt>
                <c:pt idx="258">
                  <c:v>10:57:48.898</c:v>
                </c:pt>
                <c:pt idx="259">
                  <c:v>10:57:49.859</c:v>
                </c:pt>
                <c:pt idx="260">
                  <c:v>10:57:50.867</c:v>
                </c:pt>
                <c:pt idx="261">
                  <c:v>10:57:51.930</c:v>
                </c:pt>
                <c:pt idx="262">
                  <c:v>10:57:53.898</c:v>
                </c:pt>
                <c:pt idx="263">
                  <c:v>10:57:54.805</c:v>
                </c:pt>
                <c:pt idx="264">
                  <c:v>10:57:55.813</c:v>
                </c:pt>
                <c:pt idx="265">
                  <c:v>10:57:56.820</c:v>
                </c:pt>
                <c:pt idx="266">
                  <c:v>10:57:58.336</c:v>
                </c:pt>
                <c:pt idx="267">
                  <c:v>10:57:59.352</c:v>
                </c:pt>
                <c:pt idx="268">
                  <c:v>10:58:00.406</c:v>
                </c:pt>
                <c:pt idx="269">
                  <c:v>10:58:01.320</c:v>
                </c:pt>
                <c:pt idx="270">
                  <c:v>10:58:02.680</c:v>
                </c:pt>
                <c:pt idx="271">
                  <c:v>10:58:03.641</c:v>
                </c:pt>
                <c:pt idx="272">
                  <c:v>10:58:04.547</c:v>
                </c:pt>
                <c:pt idx="273">
                  <c:v>10:58:05.961</c:v>
                </c:pt>
                <c:pt idx="274">
                  <c:v>10:58:07</c:v>
                </c:pt>
              </c:strCache>
            </c:strRef>
          </c:cat>
          <c:val>
            <c:numRef>
              <c:f>'Chart of ADS-B Data_GPS-A APR'!$B$2:$B$276</c:f>
              <c:numCache>
                <c:formatCode>General</c:formatCode>
                <c:ptCount val="275"/>
                <c:pt idx="0">
                  <c:v>1900</c:v>
                </c:pt>
                <c:pt idx="1">
                  <c:v>1900</c:v>
                </c:pt>
                <c:pt idx="2">
                  <c:v>1900</c:v>
                </c:pt>
                <c:pt idx="3">
                  <c:v>1900</c:v>
                </c:pt>
                <c:pt idx="4">
                  <c:v>1900</c:v>
                </c:pt>
                <c:pt idx="5">
                  <c:v>1900</c:v>
                </c:pt>
                <c:pt idx="6">
                  <c:v>1900</c:v>
                </c:pt>
                <c:pt idx="7">
                  <c:v>1875</c:v>
                </c:pt>
                <c:pt idx="8">
                  <c:v>1875</c:v>
                </c:pt>
                <c:pt idx="9">
                  <c:v>1875</c:v>
                </c:pt>
                <c:pt idx="10">
                  <c:v>1875</c:v>
                </c:pt>
                <c:pt idx="11">
                  <c:v>1875</c:v>
                </c:pt>
                <c:pt idx="12">
                  <c:v>1875</c:v>
                </c:pt>
                <c:pt idx="13">
                  <c:v>1875</c:v>
                </c:pt>
                <c:pt idx="14">
                  <c:v>1850</c:v>
                </c:pt>
                <c:pt idx="15">
                  <c:v>1850</c:v>
                </c:pt>
                <c:pt idx="16">
                  <c:v>1850</c:v>
                </c:pt>
                <c:pt idx="17">
                  <c:v>1825</c:v>
                </c:pt>
                <c:pt idx="18">
                  <c:v>1900</c:v>
                </c:pt>
                <c:pt idx="19">
                  <c:v>1800</c:v>
                </c:pt>
                <c:pt idx="20">
                  <c:v>1800</c:v>
                </c:pt>
                <c:pt idx="21">
                  <c:v>1775</c:v>
                </c:pt>
                <c:pt idx="22">
                  <c:v>1750</c:v>
                </c:pt>
                <c:pt idx="23">
                  <c:v>1725</c:v>
                </c:pt>
                <c:pt idx="24">
                  <c:v>1725</c:v>
                </c:pt>
                <c:pt idx="25">
                  <c:v>1700</c:v>
                </c:pt>
                <c:pt idx="26">
                  <c:v>1700</c:v>
                </c:pt>
                <c:pt idx="27">
                  <c:v>1700</c:v>
                </c:pt>
                <c:pt idx="28">
                  <c:v>1775</c:v>
                </c:pt>
                <c:pt idx="29">
                  <c:v>1675</c:v>
                </c:pt>
                <c:pt idx="30">
                  <c:v>1675</c:v>
                </c:pt>
                <c:pt idx="31">
                  <c:v>1650</c:v>
                </c:pt>
                <c:pt idx="32">
                  <c:v>1650</c:v>
                </c:pt>
                <c:pt idx="33">
                  <c:v>1625</c:v>
                </c:pt>
                <c:pt idx="34">
                  <c:v>1625</c:v>
                </c:pt>
                <c:pt idx="35">
                  <c:v>1625</c:v>
                </c:pt>
                <c:pt idx="36">
                  <c:v>1600</c:v>
                </c:pt>
                <c:pt idx="37">
                  <c:v>1600</c:v>
                </c:pt>
                <c:pt idx="38">
                  <c:v>1575</c:v>
                </c:pt>
                <c:pt idx="39">
                  <c:v>1575</c:v>
                </c:pt>
                <c:pt idx="40">
                  <c:v>1550</c:v>
                </c:pt>
                <c:pt idx="41">
                  <c:v>1550</c:v>
                </c:pt>
                <c:pt idx="42">
                  <c:v>1525</c:v>
                </c:pt>
                <c:pt idx="43">
                  <c:v>1525</c:v>
                </c:pt>
                <c:pt idx="44">
                  <c:v>1500</c:v>
                </c:pt>
                <c:pt idx="45">
                  <c:v>1500</c:v>
                </c:pt>
                <c:pt idx="46">
                  <c:v>1475</c:v>
                </c:pt>
                <c:pt idx="47">
                  <c:v>1475</c:v>
                </c:pt>
                <c:pt idx="48">
                  <c:v>1450</c:v>
                </c:pt>
                <c:pt idx="49">
                  <c:v>1450</c:v>
                </c:pt>
                <c:pt idx="50">
                  <c:v>1450</c:v>
                </c:pt>
                <c:pt idx="51">
                  <c:v>1425</c:v>
                </c:pt>
                <c:pt idx="52">
                  <c:v>1425</c:v>
                </c:pt>
                <c:pt idx="53">
                  <c:v>1400</c:v>
                </c:pt>
                <c:pt idx="54">
                  <c:v>1400</c:v>
                </c:pt>
                <c:pt idx="55">
                  <c:v>1400</c:v>
                </c:pt>
                <c:pt idx="56">
                  <c:v>1375</c:v>
                </c:pt>
                <c:pt idx="57">
                  <c:v>1450</c:v>
                </c:pt>
                <c:pt idx="58">
                  <c:v>1350</c:v>
                </c:pt>
                <c:pt idx="59">
                  <c:v>1350</c:v>
                </c:pt>
                <c:pt idx="60">
                  <c:v>1325</c:v>
                </c:pt>
                <c:pt idx="61">
                  <c:v>1325</c:v>
                </c:pt>
                <c:pt idx="62">
                  <c:v>1300</c:v>
                </c:pt>
                <c:pt idx="63">
                  <c:v>1300</c:v>
                </c:pt>
                <c:pt idx="64">
                  <c:v>1300</c:v>
                </c:pt>
                <c:pt idx="65">
                  <c:v>1275</c:v>
                </c:pt>
                <c:pt idx="66">
                  <c:v>1275</c:v>
                </c:pt>
                <c:pt idx="67">
                  <c:v>1275</c:v>
                </c:pt>
                <c:pt idx="68">
                  <c:v>1250</c:v>
                </c:pt>
                <c:pt idx="69">
                  <c:v>1250</c:v>
                </c:pt>
                <c:pt idx="70">
                  <c:v>1250</c:v>
                </c:pt>
                <c:pt idx="71">
                  <c:v>1250</c:v>
                </c:pt>
                <c:pt idx="72">
                  <c:v>1250</c:v>
                </c:pt>
                <c:pt idx="73">
                  <c:v>1250</c:v>
                </c:pt>
                <c:pt idx="74">
                  <c:v>1250</c:v>
                </c:pt>
                <c:pt idx="75">
                  <c:v>1250</c:v>
                </c:pt>
                <c:pt idx="76">
                  <c:v>1250</c:v>
                </c:pt>
                <c:pt idx="77">
                  <c:v>1250</c:v>
                </c:pt>
                <c:pt idx="78">
                  <c:v>1250</c:v>
                </c:pt>
                <c:pt idx="79">
                  <c:v>1250</c:v>
                </c:pt>
                <c:pt idx="80">
                  <c:v>1250</c:v>
                </c:pt>
                <c:pt idx="81">
                  <c:v>1250</c:v>
                </c:pt>
                <c:pt idx="82">
                  <c:v>1275</c:v>
                </c:pt>
                <c:pt idx="83">
                  <c:v>1275</c:v>
                </c:pt>
                <c:pt idx="84">
                  <c:v>1275</c:v>
                </c:pt>
                <c:pt idx="85">
                  <c:v>1275</c:v>
                </c:pt>
                <c:pt idx="86">
                  <c:v>1275</c:v>
                </c:pt>
                <c:pt idx="87">
                  <c:v>1275</c:v>
                </c:pt>
                <c:pt idx="88">
                  <c:v>1275</c:v>
                </c:pt>
                <c:pt idx="89">
                  <c:v>1275</c:v>
                </c:pt>
                <c:pt idx="90">
                  <c:v>1275</c:v>
                </c:pt>
                <c:pt idx="91">
                  <c:v>1275</c:v>
                </c:pt>
                <c:pt idx="92">
                  <c:v>1275</c:v>
                </c:pt>
                <c:pt idx="93">
                  <c:v>1275</c:v>
                </c:pt>
                <c:pt idx="94">
                  <c:v>1275</c:v>
                </c:pt>
                <c:pt idx="95">
                  <c:v>1275</c:v>
                </c:pt>
                <c:pt idx="96">
                  <c:v>1300</c:v>
                </c:pt>
                <c:pt idx="97">
                  <c:v>1300</c:v>
                </c:pt>
                <c:pt idx="98">
                  <c:v>1300</c:v>
                </c:pt>
                <c:pt idx="99">
                  <c:v>1300</c:v>
                </c:pt>
                <c:pt idx="100">
                  <c:v>1300</c:v>
                </c:pt>
                <c:pt idx="101">
                  <c:v>1275</c:v>
                </c:pt>
                <c:pt idx="102">
                  <c:v>1275</c:v>
                </c:pt>
                <c:pt idx="103">
                  <c:v>1275</c:v>
                </c:pt>
                <c:pt idx="104">
                  <c:v>1300</c:v>
                </c:pt>
                <c:pt idx="105">
                  <c:v>1300</c:v>
                </c:pt>
                <c:pt idx="106">
                  <c:v>1275</c:v>
                </c:pt>
                <c:pt idx="107">
                  <c:v>1300</c:v>
                </c:pt>
                <c:pt idx="108">
                  <c:v>1300</c:v>
                </c:pt>
                <c:pt idx="109">
                  <c:v>1300</c:v>
                </c:pt>
                <c:pt idx="110">
                  <c:v>1300</c:v>
                </c:pt>
                <c:pt idx="111">
                  <c:v>1300</c:v>
                </c:pt>
                <c:pt idx="112">
                  <c:v>1300</c:v>
                </c:pt>
                <c:pt idx="113">
                  <c:v>1300</c:v>
                </c:pt>
                <c:pt idx="114">
                  <c:v>1300</c:v>
                </c:pt>
                <c:pt idx="115">
                  <c:v>1300</c:v>
                </c:pt>
                <c:pt idx="116">
                  <c:v>1300</c:v>
                </c:pt>
                <c:pt idx="117">
                  <c:v>1300</c:v>
                </c:pt>
                <c:pt idx="118">
                  <c:v>1300</c:v>
                </c:pt>
                <c:pt idx="119">
                  <c:v>1300</c:v>
                </c:pt>
                <c:pt idx="120">
                  <c:v>1300</c:v>
                </c:pt>
                <c:pt idx="121">
                  <c:v>1300</c:v>
                </c:pt>
                <c:pt idx="122">
                  <c:v>1300</c:v>
                </c:pt>
                <c:pt idx="123">
                  <c:v>1300</c:v>
                </c:pt>
                <c:pt idx="124">
                  <c:v>1300</c:v>
                </c:pt>
                <c:pt idx="125">
                  <c:v>1300</c:v>
                </c:pt>
                <c:pt idx="126">
                  <c:v>1300</c:v>
                </c:pt>
                <c:pt idx="127">
                  <c:v>1300</c:v>
                </c:pt>
                <c:pt idx="128">
                  <c:v>1275</c:v>
                </c:pt>
                <c:pt idx="129">
                  <c:v>1275</c:v>
                </c:pt>
                <c:pt idx="130">
                  <c:v>1275</c:v>
                </c:pt>
                <c:pt idx="131">
                  <c:v>1275</c:v>
                </c:pt>
                <c:pt idx="132">
                  <c:v>1275</c:v>
                </c:pt>
                <c:pt idx="133">
                  <c:v>1275</c:v>
                </c:pt>
                <c:pt idx="134">
                  <c:v>1275</c:v>
                </c:pt>
                <c:pt idx="135">
                  <c:v>1250</c:v>
                </c:pt>
                <c:pt idx="136">
                  <c:v>1250</c:v>
                </c:pt>
                <c:pt idx="137">
                  <c:v>1225</c:v>
                </c:pt>
                <c:pt idx="138">
                  <c:v>1225</c:v>
                </c:pt>
                <c:pt idx="139">
                  <c:v>1200</c:v>
                </c:pt>
                <c:pt idx="140">
                  <c:v>1200</c:v>
                </c:pt>
                <c:pt idx="141">
                  <c:v>1175</c:v>
                </c:pt>
                <c:pt idx="142">
                  <c:v>1175</c:v>
                </c:pt>
                <c:pt idx="143">
                  <c:v>1150</c:v>
                </c:pt>
                <c:pt idx="144">
                  <c:v>1150</c:v>
                </c:pt>
                <c:pt idx="145">
                  <c:v>1125</c:v>
                </c:pt>
                <c:pt idx="146">
                  <c:v>1100</c:v>
                </c:pt>
                <c:pt idx="147">
                  <c:v>1200</c:v>
                </c:pt>
                <c:pt idx="148">
                  <c:v>1075</c:v>
                </c:pt>
                <c:pt idx="149">
                  <c:v>1075</c:v>
                </c:pt>
                <c:pt idx="150">
                  <c:v>1075</c:v>
                </c:pt>
                <c:pt idx="151">
                  <c:v>1050</c:v>
                </c:pt>
                <c:pt idx="152">
                  <c:v>1025</c:v>
                </c:pt>
                <c:pt idx="153">
                  <c:v>1025</c:v>
                </c:pt>
                <c:pt idx="154">
                  <c:v>1000</c:v>
                </c:pt>
                <c:pt idx="155">
                  <c:v>975</c:v>
                </c:pt>
                <c:pt idx="156">
                  <c:v>1075</c:v>
                </c:pt>
                <c:pt idx="157">
                  <c:v>950</c:v>
                </c:pt>
                <c:pt idx="158">
                  <c:v>925</c:v>
                </c:pt>
                <c:pt idx="159">
                  <c:v>925</c:v>
                </c:pt>
                <c:pt idx="160">
                  <c:v>900</c:v>
                </c:pt>
                <c:pt idx="161">
                  <c:v>875</c:v>
                </c:pt>
                <c:pt idx="162">
                  <c:v>850</c:v>
                </c:pt>
                <c:pt idx="163">
                  <c:v>825</c:v>
                </c:pt>
                <c:pt idx="164">
                  <c:v>800</c:v>
                </c:pt>
                <c:pt idx="165">
                  <c:v>800</c:v>
                </c:pt>
                <c:pt idx="166">
                  <c:v>775</c:v>
                </c:pt>
                <c:pt idx="167">
                  <c:v>775</c:v>
                </c:pt>
                <c:pt idx="168">
                  <c:v>775</c:v>
                </c:pt>
                <c:pt idx="169">
                  <c:v>750</c:v>
                </c:pt>
                <c:pt idx="170">
                  <c:v>750</c:v>
                </c:pt>
                <c:pt idx="171">
                  <c:v>725</c:v>
                </c:pt>
                <c:pt idx="172">
                  <c:v>700</c:v>
                </c:pt>
                <c:pt idx="173">
                  <c:v>700</c:v>
                </c:pt>
                <c:pt idx="174">
                  <c:v>675</c:v>
                </c:pt>
                <c:pt idx="175">
                  <c:v>675</c:v>
                </c:pt>
                <c:pt idx="176">
                  <c:v>650</c:v>
                </c:pt>
                <c:pt idx="177">
                  <c:v>650</c:v>
                </c:pt>
                <c:pt idx="178">
                  <c:v>650</c:v>
                </c:pt>
                <c:pt idx="179">
                  <c:v>650</c:v>
                </c:pt>
                <c:pt idx="180">
                  <c:v>650</c:v>
                </c:pt>
                <c:pt idx="181">
                  <c:v>650</c:v>
                </c:pt>
                <c:pt idx="182">
                  <c:v>650</c:v>
                </c:pt>
                <c:pt idx="183">
                  <c:v>625</c:v>
                </c:pt>
                <c:pt idx="184">
                  <c:v>625</c:v>
                </c:pt>
                <c:pt idx="185">
                  <c:v>625</c:v>
                </c:pt>
                <c:pt idx="186">
                  <c:v>625</c:v>
                </c:pt>
                <c:pt idx="187">
                  <c:v>625</c:v>
                </c:pt>
                <c:pt idx="188">
                  <c:v>625</c:v>
                </c:pt>
                <c:pt idx="189">
                  <c:v>625</c:v>
                </c:pt>
                <c:pt idx="190">
                  <c:v>625</c:v>
                </c:pt>
                <c:pt idx="191">
                  <c:v>600</c:v>
                </c:pt>
                <c:pt idx="192">
                  <c:v>600</c:v>
                </c:pt>
                <c:pt idx="193">
                  <c:v>600</c:v>
                </c:pt>
                <c:pt idx="194">
                  <c:v>600</c:v>
                </c:pt>
                <c:pt idx="195">
                  <c:v>625</c:v>
                </c:pt>
                <c:pt idx="196">
                  <c:v>625</c:v>
                </c:pt>
                <c:pt idx="197">
                  <c:v>625</c:v>
                </c:pt>
                <c:pt idx="198">
                  <c:v>625</c:v>
                </c:pt>
                <c:pt idx="199">
                  <c:v>625</c:v>
                </c:pt>
                <c:pt idx="200">
                  <c:v>625</c:v>
                </c:pt>
                <c:pt idx="201">
                  <c:v>625</c:v>
                </c:pt>
                <c:pt idx="202">
                  <c:v>625</c:v>
                </c:pt>
                <c:pt idx="203">
                  <c:v>625</c:v>
                </c:pt>
                <c:pt idx="204">
                  <c:v>625</c:v>
                </c:pt>
                <c:pt idx="205">
                  <c:v>625</c:v>
                </c:pt>
                <c:pt idx="206">
                  <c:v>600</c:v>
                </c:pt>
                <c:pt idx="207">
                  <c:v>600</c:v>
                </c:pt>
                <c:pt idx="208">
                  <c:v>600</c:v>
                </c:pt>
                <c:pt idx="209">
                  <c:v>600</c:v>
                </c:pt>
                <c:pt idx="210">
                  <c:v>600</c:v>
                </c:pt>
                <c:pt idx="211">
                  <c:v>575</c:v>
                </c:pt>
                <c:pt idx="212">
                  <c:v>575</c:v>
                </c:pt>
                <c:pt idx="213">
                  <c:v>575</c:v>
                </c:pt>
                <c:pt idx="214">
                  <c:v>575</c:v>
                </c:pt>
                <c:pt idx="215">
                  <c:v>575</c:v>
                </c:pt>
                <c:pt idx="216">
                  <c:v>575</c:v>
                </c:pt>
                <c:pt idx="217">
                  <c:v>575</c:v>
                </c:pt>
                <c:pt idx="218">
                  <c:v>575</c:v>
                </c:pt>
                <c:pt idx="219">
                  <c:v>575</c:v>
                </c:pt>
                <c:pt idx="220">
                  <c:v>575</c:v>
                </c:pt>
                <c:pt idx="221">
                  <c:v>575</c:v>
                </c:pt>
                <c:pt idx="222">
                  <c:v>575</c:v>
                </c:pt>
                <c:pt idx="223">
                  <c:v>550</c:v>
                </c:pt>
                <c:pt idx="224">
                  <c:v>550</c:v>
                </c:pt>
                <c:pt idx="225">
                  <c:v>550</c:v>
                </c:pt>
                <c:pt idx="226">
                  <c:v>525</c:v>
                </c:pt>
                <c:pt idx="227">
                  <c:v>525</c:v>
                </c:pt>
                <c:pt idx="228">
                  <c:v>500</c:v>
                </c:pt>
                <c:pt idx="229">
                  <c:v>475</c:v>
                </c:pt>
                <c:pt idx="230">
                  <c:v>450</c:v>
                </c:pt>
                <c:pt idx="231">
                  <c:v>450</c:v>
                </c:pt>
                <c:pt idx="232">
                  <c:v>425</c:v>
                </c:pt>
                <c:pt idx="233">
                  <c:v>425</c:v>
                </c:pt>
                <c:pt idx="234">
                  <c:v>400</c:v>
                </c:pt>
                <c:pt idx="235">
                  <c:v>400</c:v>
                </c:pt>
                <c:pt idx="236">
                  <c:v>400</c:v>
                </c:pt>
                <c:pt idx="237">
                  <c:v>400</c:v>
                </c:pt>
                <c:pt idx="238">
                  <c:v>400</c:v>
                </c:pt>
                <c:pt idx="239">
                  <c:v>400</c:v>
                </c:pt>
                <c:pt idx="240">
                  <c:v>400</c:v>
                </c:pt>
                <c:pt idx="241">
                  <c:v>400</c:v>
                </c:pt>
                <c:pt idx="242">
                  <c:v>400</c:v>
                </c:pt>
                <c:pt idx="243">
                  <c:v>400</c:v>
                </c:pt>
                <c:pt idx="244">
                  <c:v>400</c:v>
                </c:pt>
                <c:pt idx="245">
                  <c:v>400</c:v>
                </c:pt>
                <c:pt idx="246">
                  <c:v>400</c:v>
                </c:pt>
                <c:pt idx="247">
                  <c:v>400</c:v>
                </c:pt>
                <c:pt idx="248">
                  <c:v>400</c:v>
                </c:pt>
                <c:pt idx="249">
                  <c:v>400</c:v>
                </c:pt>
                <c:pt idx="250">
                  <c:v>400</c:v>
                </c:pt>
                <c:pt idx="251">
                  <c:v>400</c:v>
                </c:pt>
                <c:pt idx="252">
                  <c:v>425</c:v>
                </c:pt>
                <c:pt idx="253">
                  <c:v>425</c:v>
                </c:pt>
                <c:pt idx="254">
                  <c:v>425</c:v>
                </c:pt>
                <c:pt idx="255">
                  <c:v>400</c:v>
                </c:pt>
                <c:pt idx="256">
                  <c:v>400</c:v>
                </c:pt>
                <c:pt idx="257">
                  <c:v>400</c:v>
                </c:pt>
                <c:pt idx="258">
                  <c:v>400</c:v>
                </c:pt>
                <c:pt idx="259">
                  <c:v>425</c:v>
                </c:pt>
                <c:pt idx="260">
                  <c:v>425</c:v>
                </c:pt>
                <c:pt idx="261">
                  <c:v>425</c:v>
                </c:pt>
                <c:pt idx="262">
                  <c:v>425</c:v>
                </c:pt>
                <c:pt idx="263">
                  <c:v>425</c:v>
                </c:pt>
                <c:pt idx="264">
                  <c:v>425</c:v>
                </c:pt>
                <c:pt idx="265">
                  <c:v>425</c:v>
                </c:pt>
                <c:pt idx="266">
                  <c:v>425</c:v>
                </c:pt>
                <c:pt idx="267">
                  <c:v>425</c:v>
                </c:pt>
                <c:pt idx="268">
                  <c:v>425</c:v>
                </c:pt>
                <c:pt idx="269">
                  <c:v>400</c:v>
                </c:pt>
                <c:pt idx="270">
                  <c:v>375</c:v>
                </c:pt>
                <c:pt idx="271">
                  <c:v>325</c:v>
                </c:pt>
                <c:pt idx="272">
                  <c:v>275</c:v>
                </c:pt>
                <c:pt idx="273">
                  <c:v>225</c:v>
                </c:pt>
                <c:pt idx="274">
                  <c:v>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66-4B27-A500-86199D00A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1721928"/>
        <c:axId val="471721600"/>
      </c:lineChart>
      <c:catAx>
        <c:axId val="471708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1709792"/>
        <c:crosses val="autoZero"/>
        <c:auto val="1"/>
        <c:lblAlgn val="ctr"/>
        <c:lblOffset val="100"/>
        <c:noMultiLvlLbl val="0"/>
      </c:catAx>
      <c:valAx>
        <c:axId val="471709792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600" b="1">
                    <a:latin typeface="Arial" panose="020B0604020202020204" pitchFamily="34" charset="0"/>
                    <a:cs typeface="Arial" panose="020B0604020202020204" pitchFamily="34" charset="0"/>
                  </a:rPr>
                  <a:t>groundspeed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1708808"/>
        <c:crosses val="autoZero"/>
        <c:crossBetween val="between"/>
      </c:valAx>
      <c:valAx>
        <c:axId val="471721600"/>
        <c:scaling>
          <c:orientation val="minMax"/>
          <c:min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600" b="1">
                    <a:latin typeface="Arial" panose="020B0604020202020204" pitchFamily="34" charset="0"/>
                    <a:cs typeface="Arial" panose="020B0604020202020204" pitchFamily="34" charset="0"/>
                  </a:rPr>
                  <a:t> altitude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1721928"/>
        <c:crosses val="max"/>
        <c:crossBetween val="between"/>
      </c:valAx>
      <c:catAx>
        <c:axId val="471721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7172160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9864942591924278"/>
          <c:y val="1.9718514882831741E-2"/>
          <c:w val="0.604772918065273"/>
          <c:h val="4.76120676332920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491325</xdr:colOff>
      <xdr:row>2</xdr:row>
      <xdr:rowOff>84668</xdr:rowOff>
    </xdr:from>
    <xdr:to>
      <xdr:col>18</xdr:col>
      <xdr:colOff>560917</xdr:colOff>
      <xdr:row>38</xdr:row>
      <xdr:rowOff>137584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9E5459D-8837-4179-952C-63FBD736E5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484715</xdr:colOff>
      <xdr:row>2</xdr:row>
      <xdr:rowOff>124883</xdr:rowOff>
    </xdr:from>
    <xdr:to>
      <xdr:col>7</xdr:col>
      <xdr:colOff>328083</xdr:colOff>
      <xdr:row>4</xdr:row>
      <xdr:rowOff>137583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DFF68C3D-FEB6-4939-8AB7-9D768DD42BDC}"/>
            </a:ext>
          </a:extLst>
        </xdr:cNvPr>
        <xdr:cNvSpPr txBox="1"/>
      </xdr:nvSpPr>
      <xdr:spPr>
        <a:xfrm>
          <a:off x="5998632" y="505883"/>
          <a:ext cx="2298701" cy="393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 baseline="0">
              <a:solidFill>
                <a:srgbClr val="FF0000"/>
              </a:solidFill>
            </a:rPr>
            <a:t>Colonia, NJ |N959MJ</a:t>
          </a:r>
        </a:p>
      </xdr:txBody>
    </xdr:sp>
    <xdr:clientData/>
  </xdr:twoCellAnchor>
  <xdr:twoCellAnchor>
    <xdr:from>
      <xdr:col>11</xdr:col>
      <xdr:colOff>433917</xdr:colOff>
      <xdr:row>8</xdr:row>
      <xdr:rowOff>116418</xdr:rowOff>
    </xdr:from>
    <xdr:to>
      <xdr:col>13</xdr:col>
      <xdr:colOff>328084</xdr:colOff>
      <xdr:row>11</xdr:row>
      <xdr:rowOff>21168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4394AE9E-63E1-4D3F-8FF8-3CEBA7CB9002}"/>
            </a:ext>
          </a:extLst>
        </xdr:cNvPr>
        <xdr:cNvSpPr txBox="1"/>
      </xdr:nvSpPr>
      <xdr:spPr>
        <a:xfrm>
          <a:off x="10858500" y="1640418"/>
          <a:ext cx="1121834" cy="476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>
              <a:solidFill>
                <a:schemeClr val="bg1"/>
              </a:solidFill>
              <a:latin typeface="Georgia" panose="02040502050405020303" pitchFamily="18" charset="0"/>
            </a:rPr>
            <a:t>N959MJ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140B4A-9BD1-4AA7-BD74-0F6B5E1B09BC}">
  <dimension ref="A1:CZ4052"/>
  <sheetViews>
    <sheetView tabSelected="1" topLeftCell="AL1" workbookViewId="0"/>
  </sheetViews>
  <sheetFormatPr defaultRowHeight="15" x14ac:dyDescent="0.25"/>
  <sheetData>
    <row r="1" spans="1:104" x14ac:dyDescent="0.25">
      <c r="A1" t="s">
        <v>6</v>
      </c>
      <c r="B1" t="s">
        <v>12</v>
      </c>
      <c r="C1" t="s">
        <v>13</v>
      </c>
      <c r="D1" t="s">
        <v>14</v>
      </c>
      <c r="E1" t="s">
        <v>15</v>
      </c>
      <c r="F1" t="s">
        <v>16</v>
      </c>
      <c r="G1" t="s">
        <v>17</v>
      </c>
      <c r="H1" t="s">
        <v>18</v>
      </c>
      <c r="I1" t="s">
        <v>19</v>
      </c>
      <c r="J1" t="s">
        <v>20</v>
      </c>
      <c r="K1" t="s">
        <v>21</v>
      </c>
      <c r="L1" t="s">
        <v>22</v>
      </c>
      <c r="M1" t="s">
        <v>23</v>
      </c>
      <c r="N1" t="s">
        <v>24</v>
      </c>
      <c r="O1" t="s">
        <v>25</v>
      </c>
      <c r="P1" t="s">
        <v>26</v>
      </c>
      <c r="Q1" t="s">
        <v>27</v>
      </c>
      <c r="R1" t="s">
        <v>28</v>
      </c>
      <c r="S1" t="s">
        <v>29</v>
      </c>
      <c r="T1" t="s">
        <v>30</v>
      </c>
      <c r="U1" t="s">
        <v>31</v>
      </c>
      <c r="V1" t="s">
        <v>32</v>
      </c>
      <c r="W1" t="s">
        <v>33</v>
      </c>
      <c r="X1" t="s">
        <v>34</v>
      </c>
      <c r="Y1" t="s">
        <v>35</v>
      </c>
      <c r="Z1" t="s">
        <v>36</v>
      </c>
      <c r="AA1" t="s">
        <v>37</v>
      </c>
      <c r="AB1" t="s">
        <v>38</v>
      </c>
      <c r="AC1" t="s">
        <v>39</v>
      </c>
      <c r="AD1" t="s">
        <v>40</v>
      </c>
      <c r="AE1" t="s">
        <v>41</v>
      </c>
      <c r="AF1" t="s">
        <v>42</v>
      </c>
      <c r="AG1" t="s">
        <v>43</v>
      </c>
      <c r="AH1" t="s">
        <v>44</v>
      </c>
      <c r="AI1" t="s">
        <v>45</v>
      </c>
      <c r="AJ1" t="s">
        <v>0</v>
      </c>
      <c r="AK1" t="s">
        <v>46</v>
      </c>
      <c r="AL1" t="s">
        <v>1</v>
      </c>
      <c r="AM1" t="s">
        <v>47</v>
      </c>
      <c r="AN1" t="s">
        <v>2</v>
      </c>
      <c r="AO1" t="s">
        <v>48</v>
      </c>
      <c r="AP1" t="s">
        <v>3</v>
      </c>
      <c r="AQ1" t="s">
        <v>4</v>
      </c>
      <c r="AR1" t="s">
        <v>5</v>
      </c>
      <c r="AS1" t="s">
        <v>49</v>
      </c>
      <c r="AT1" t="s">
        <v>50</v>
      </c>
      <c r="AU1" t="s">
        <v>51</v>
      </c>
      <c r="AV1" t="s">
        <v>52</v>
      </c>
      <c r="AW1" t="s">
        <v>53</v>
      </c>
      <c r="AX1" t="s">
        <v>54</v>
      </c>
      <c r="AY1" t="s">
        <v>55</v>
      </c>
      <c r="AZ1" t="s">
        <v>56</v>
      </c>
      <c r="BA1" t="s">
        <v>57</v>
      </c>
      <c r="BB1" t="s">
        <v>58</v>
      </c>
      <c r="BC1" t="s">
        <v>59</v>
      </c>
      <c r="BD1" t="s">
        <v>60</v>
      </c>
      <c r="BE1" t="s">
        <v>61</v>
      </c>
      <c r="BF1" t="s">
        <v>62</v>
      </c>
      <c r="BG1" t="s">
        <v>63</v>
      </c>
      <c r="BH1" t="s">
        <v>11</v>
      </c>
      <c r="BI1" t="s">
        <v>64</v>
      </c>
      <c r="BJ1" t="s">
        <v>65</v>
      </c>
      <c r="BK1" t="s">
        <v>66</v>
      </c>
      <c r="BL1" t="s">
        <v>67</v>
      </c>
      <c r="BM1" t="s">
        <v>68</v>
      </c>
      <c r="BN1" t="s">
        <v>69</v>
      </c>
      <c r="BO1" t="s">
        <v>70</v>
      </c>
      <c r="BP1" t="s">
        <v>71</v>
      </c>
      <c r="BQ1" t="s">
        <v>72</v>
      </c>
      <c r="BR1" t="s">
        <v>73</v>
      </c>
      <c r="BS1" t="s">
        <v>74</v>
      </c>
      <c r="BT1" t="s">
        <v>75</v>
      </c>
      <c r="BU1" t="s">
        <v>76</v>
      </c>
      <c r="BV1" t="s">
        <v>77</v>
      </c>
      <c r="BW1" t="s">
        <v>78</v>
      </c>
      <c r="BX1" t="s">
        <v>79</v>
      </c>
      <c r="BY1" t="s">
        <v>80</v>
      </c>
      <c r="BZ1" t="s">
        <v>81</v>
      </c>
      <c r="CA1" t="s">
        <v>82</v>
      </c>
      <c r="CB1" t="s">
        <v>83</v>
      </c>
      <c r="CC1" t="s">
        <v>84</v>
      </c>
      <c r="CD1" t="s">
        <v>85</v>
      </c>
      <c r="CE1" t="s">
        <v>86</v>
      </c>
      <c r="CF1" t="s">
        <v>87</v>
      </c>
      <c r="CG1" t="s">
        <v>88</v>
      </c>
      <c r="CH1" t="s">
        <v>89</v>
      </c>
      <c r="CI1" t="s">
        <v>90</v>
      </c>
      <c r="CJ1" t="s">
        <v>91</v>
      </c>
      <c r="CK1" t="s">
        <v>92</v>
      </c>
      <c r="CL1" t="s">
        <v>93</v>
      </c>
      <c r="CM1" t="s">
        <v>94</v>
      </c>
      <c r="CN1" t="s">
        <v>95</v>
      </c>
      <c r="CO1" t="s">
        <v>96</v>
      </c>
      <c r="CP1" t="s">
        <v>97</v>
      </c>
      <c r="CQ1" t="s">
        <v>98</v>
      </c>
      <c r="CR1" t="s">
        <v>99</v>
      </c>
      <c r="CS1" t="s">
        <v>100</v>
      </c>
      <c r="CT1" t="s">
        <v>101</v>
      </c>
      <c r="CU1" t="s">
        <v>102</v>
      </c>
      <c r="CV1" t="s">
        <v>103</v>
      </c>
      <c r="CW1" t="s">
        <v>104</v>
      </c>
      <c r="CX1" t="s">
        <v>105</v>
      </c>
      <c r="CY1" t="s">
        <v>106</v>
      </c>
      <c r="CZ1" t="s">
        <v>107</v>
      </c>
    </row>
    <row r="2" spans="1:104" x14ac:dyDescent="0.25">
      <c r="A2" t="str">
        <f>"13:50:10.102"</f>
        <v>13:50:10.102</v>
      </c>
      <c r="B2" t="s">
        <v>108</v>
      </c>
      <c r="C2" t="str">
        <f>"ffd3d3c0"</f>
        <v>ffd3d3c0</v>
      </c>
      <c r="D2" t="s">
        <v>109</v>
      </c>
      <c r="E2">
        <v>4</v>
      </c>
      <c r="F2">
        <v>1004</v>
      </c>
      <c r="G2" t="s">
        <v>110</v>
      </c>
      <c r="J2" t="s">
        <v>111</v>
      </c>
      <c r="K2">
        <v>0</v>
      </c>
      <c r="L2">
        <v>3</v>
      </c>
      <c r="M2">
        <v>0</v>
      </c>
      <c r="N2">
        <v>2</v>
      </c>
      <c r="O2">
        <v>1</v>
      </c>
      <c r="P2">
        <v>0</v>
      </c>
      <c r="Q2">
        <v>0</v>
      </c>
      <c r="R2" t="s">
        <v>112</v>
      </c>
      <c r="S2" t="str">
        <f>"13:50:09.648"</f>
        <v>13:50:09.648</v>
      </c>
      <c r="T2" t="str">
        <f>"13:50:08.445"</f>
        <v>13:50:08.445</v>
      </c>
      <c r="U2" t="str">
        <f t="shared" ref="U2:U65" si="0">"ad5732"</f>
        <v>ad5732</v>
      </c>
      <c r="V2">
        <v>0</v>
      </c>
      <c r="W2">
        <v>0</v>
      </c>
      <c r="X2">
        <v>1</v>
      </c>
      <c r="Z2">
        <v>0</v>
      </c>
      <c r="AA2">
        <v>9</v>
      </c>
      <c r="AB2">
        <v>3</v>
      </c>
      <c r="AC2">
        <v>0</v>
      </c>
      <c r="AD2">
        <v>10</v>
      </c>
      <c r="AE2">
        <v>0</v>
      </c>
      <c r="AF2">
        <v>0</v>
      </c>
      <c r="AG2">
        <v>2</v>
      </c>
      <c r="AH2">
        <v>0</v>
      </c>
      <c r="AI2" t="s">
        <v>113</v>
      </c>
      <c r="AJ2">
        <v>39.085901</v>
      </c>
      <c r="AK2" t="s">
        <v>114</v>
      </c>
      <c r="AL2">
        <v>-77.560965999999993</v>
      </c>
      <c r="AM2">
        <v>100</v>
      </c>
      <c r="AN2">
        <v>300</v>
      </c>
      <c r="AO2" t="s">
        <v>115</v>
      </c>
      <c r="AP2">
        <v>-38</v>
      </c>
      <c r="AQ2">
        <v>110</v>
      </c>
      <c r="AR2">
        <v>1344</v>
      </c>
      <c r="AZ2">
        <v>3614</v>
      </c>
      <c r="BA2">
        <v>1</v>
      </c>
      <c r="BE2">
        <v>0</v>
      </c>
      <c r="BF2">
        <v>0</v>
      </c>
      <c r="BG2">
        <v>0</v>
      </c>
      <c r="BH2">
        <v>475</v>
      </c>
      <c r="BI2">
        <v>175</v>
      </c>
      <c r="BJ2">
        <v>1</v>
      </c>
      <c r="BK2">
        <v>1</v>
      </c>
      <c r="BL2">
        <v>1</v>
      </c>
      <c r="BM2">
        <v>0</v>
      </c>
      <c r="BP2">
        <v>0</v>
      </c>
      <c r="BQ2">
        <v>0</v>
      </c>
      <c r="BX2" t="str">
        <f>"13:50:09.648"</f>
        <v>13:50:09.648</v>
      </c>
      <c r="BY2" t="str">
        <f>"652089379"</f>
        <v>652089379</v>
      </c>
      <c r="CL2">
        <v>2</v>
      </c>
      <c r="CM2">
        <v>2</v>
      </c>
      <c r="CN2">
        <v>0</v>
      </c>
      <c r="CO2">
        <v>2</v>
      </c>
      <c r="CP2">
        <v>0</v>
      </c>
      <c r="CQ2">
        <v>4</v>
      </c>
      <c r="CR2" t="s">
        <v>116</v>
      </c>
      <c r="CS2">
        <v>147</v>
      </c>
      <c r="CT2">
        <v>2</v>
      </c>
      <c r="CU2" t="s">
        <v>117</v>
      </c>
      <c r="CV2" t="s">
        <v>118</v>
      </c>
      <c r="CY2">
        <v>15437283</v>
      </c>
      <c r="CZ2" t="s">
        <v>119</v>
      </c>
    </row>
    <row r="3" spans="1:104" x14ac:dyDescent="0.25">
      <c r="A3" t="str">
        <f>"13:50:12.375"</f>
        <v>13:50:12.375</v>
      </c>
      <c r="B3" t="s">
        <v>108</v>
      </c>
      <c r="C3" t="str">
        <f>"ffd3d3c0"</f>
        <v>ffd3d3c0</v>
      </c>
      <c r="D3" t="s">
        <v>109</v>
      </c>
      <c r="E3">
        <v>4</v>
      </c>
      <c r="F3">
        <v>1004</v>
      </c>
      <c r="G3" t="s">
        <v>110</v>
      </c>
      <c r="J3" t="s">
        <v>111</v>
      </c>
      <c r="K3">
        <v>0</v>
      </c>
      <c r="L3">
        <v>3</v>
      </c>
      <c r="M3">
        <v>0</v>
      </c>
      <c r="N3">
        <v>2</v>
      </c>
      <c r="O3">
        <v>1</v>
      </c>
      <c r="P3">
        <v>0</v>
      </c>
      <c r="Q3">
        <v>0</v>
      </c>
      <c r="R3" t="s">
        <v>112</v>
      </c>
      <c r="S3" t="str">
        <f>"13:50:11.875"</f>
        <v>13:50:11.875</v>
      </c>
      <c r="T3" t="str">
        <f>"13:50:11.375"</f>
        <v>13:50:11.375</v>
      </c>
      <c r="U3" t="str">
        <f t="shared" si="0"/>
        <v>ad5732</v>
      </c>
      <c r="V3">
        <v>0</v>
      </c>
      <c r="W3">
        <v>0</v>
      </c>
      <c r="X3">
        <v>1</v>
      </c>
      <c r="Z3">
        <v>0</v>
      </c>
      <c r="AA3">
        <v>9</v>
      </c>
      <c r="AB3">
        <v>3</v>
      </c>
      <c r="AC3">
        <v>0</v>
      </c>
      <c r="AD3">
        <v>10</v>
      </c>
      <c r="AE3">
        <v>0</v>
      </c>
      <c r="AF3">
        <v>0</v>
      </c>
      <c r="AG3">
        <v>2</v>
      </c>
      <c r="AH3">
        <v>0</v>
      </c>
      <c r="AI3" t="s">
        <v>120</v>
      </c>
      <c r="AJ3">
        <v>39.087059000000004</v>
      </c>
      <c r="AK3" t="s">
        <v>121</v>
      </c>
      <c r="AL3">
        <v>-77.561502000000004</v>
      </c>
      <c r="AM3">
        <v>100</v>
      </c>
      <c r="AN3">
        <v>300</v>
      </c>
      <c r="AO3" t="s">
        <v>115</v>
      </c>
      <c r="AP3">
        <v>-38</v>
      </c>
      <c r="AQ3">
        <v>109</v>
      </c>
      <c r="AR3">
        <v>1600</v>
      </c>
      <c r="AZ3">
        <v>3614</v>
      </c>
      <c r="BA3">
        <v>1</v>
      </c>
      <c r="BE3">
        <v>0</v>
      </c>
      <c r="BF3">
        <v>0</v>
      </c>
      <c r="BG3">
        <v>0</v>
      </c>
      <c r="BH3">
        <v>550</v>
      </c>
      <c r="BI3">
        <v>250</v>
      </c>
      <c r="BJ3">
        <v>1</v>
      </c>
      <c r="BK3">
        <v>1</v>
      </c>
      <c r="BL3">
        <v>1</v>
      </c>
      <c r="BM3">
        <v>0</v>
      </c>
      <c r="BP3">
        <v>0</v>
      </c>
      <c r="BQ3">
        <v>0</v>
      </c>
      <c r="BX3" t="str">
        <f>"13:50:11.875"</f>
        <v>13:50:11.875</v>
      </c>
      <c r="BY3" t="str">
        <f>"875432648"</f>
        <v>875432648</v>
      </c>
      <c r="CL3">
        <v>2</v>
      </c>
      <c r="CM3">
        <v>2</v>
      </c>
      <c r="CN3">
        <v>0</v>
      </c>
      <c r="CO3">
        <v>2</v>
      </c>
      <c r="CP3">
        <v>0</v>
      </c>
      <c r="CQ3">
        <v>5</v>
      </c>
      <c r="CR3" t="s">
        <v>116</v>
      </c>
      <c r="CS3">
        <v>147</v>
      </c>
      <c r="CT3">
        <v>3</v>
      </c>
      <c r="CU3" t="s">
        <v>117</v>
      </c>
      <c r="CV3" t="s">
        <v>118</v>
      </c>
      <c r="CY3">
        <v>15768289</v>
      </c>
      <c r="CZ3" t="s">
        <v>119</v>
      </c>
    </row>
    <row r="4" spans="1:104" x14ac:dyDescent="0.25">
      <c r="A4" t="str">
        <f>"13:50:13.891"</f>
        <v>13:50:13.891</v>
      </c>
      <c r="B4" t="s">
        <v>108</v>
      </c>
      <c r="C4" t="str">
        <f>"ffdfd3c0"</f>
        <v>ffdfd3c0</v>
      </c>
      <c r="D4" t="s">
        <v>109</v>
      </c>
      <c r="E4">
        <v>4</v>
      </c>
      <c r="F4">
        <v>1004</v>
      </c>
      <c r="G4" t="s">
        <v>110</v>
      </c>
      <c r="J4" t="s">
        <v>111</v>
      </c>
      <c r="K4">
        <v>0</v>
      </c>
      <c r="L4">
        <v>3</v>
      </c>
      <c r="M4">
        <v>0</v>
      </c>
      <c r="N4">
        <v>2</v>
      </c>
      <c r="O4">
        <v>1</v>
      </c>
      <c r="P4">
        <v>0</v>
      </c>
      <c r="Q4">
        <v>0</v>
      </c>
      <c r="R4" t="s">
        <v>112</v>
      </c>
      <c r="S4" t="str">
        <f>"13:50:13.391"</f>
        <v>13:50:13.391</v>
      </c>
      <c r="T4" t="str">
        <f>"13:50:12.992"</f>
        <v>13:50:12.992</v>
      </c>
      <c r="U4" t="str">
        <f t="shared" si="0"/>
        <v>ad5732</v>
      </c>
      <c r="V4">
        <v>0</v>
      </c>
      <c r="W4">
        <v>0</v>
      </c>
      <c r="X4">
        <v>1</v>
      </c>
      <c r="Z4">
        <v>0</v>
      </c>
      <c r="AA4">
        <v>9</v>
      </c>
      <c r="AB4">
        <v>3</v>
      </c>
      <c r="AC4">
        <v>0</v>
      </c>
      <c r="AD4">
        <v>10</v>
      </c>
      <c r="AE4">
        <v>0</v>
      </c>
      <c r="AF4">
        <v>0</v>
      </c>
      <c r="AG4">
        <v>2</v>
      </c>
      <c r="AH4">
        <v>0</v>
      </c>
      <c r="AI4" t="s">
        <v>122</v>
      </c>
      <c r="AJ4">
        <v>39.087811000000002</v>
      </c>
      <c r="AK4" t="s">
        <v>123</v>
      </c>
      <c r="AL4">
        <v>-77.561824000000001</v>
      </c>
      <c r="AM4">
        <v>100</v>
      </c>
      <c r="AN4">
        <v>400</v>
      </c>
      <c r="AO4" t="s">
        <v>115</v>
      </c>
      <c r="AP4">
        <v>-39</v>
      </c>
      <c r="AQ4">
        <v>109</v>
      </c>
      <c r="AR4">
        <v>1408</v>
      </c>
      <c r="AZ4">
        <v>3614</v>
      </c>
      <c r="BA4">
        <v>1</v>
      </c>
      <c r="BB4" t="str">
        <f>"N959MJ  "</f>
        <v xml:space="preserve">N959MJ  </v>
      </c>
      <c r="BC4">
        <v>1</v>
      </c>
      <c r="BE4">
        <v>0</v>
      </c>
      <c r="BF4">
        <v>0</v>
      </c>
      <c r="BG4">
        <v>0</v>
      </c>
      <c r="BH4">
        <v>600</v>
      </c>
      <c r="BI4">
        <v>200</v>
      </c>
      <c r="BJ4">
        <v>1</v>
      </c>
      <c r="BK4">
        <v>1</v>
      </c>
      <c r="BL4">
        <v>1</v>
      </c>
      <c r="BM4">
        <v>0</v>
      </c>
      <c r="BP4">
        <v>0</v>
      </c>
      <c r="BQ4">
        <v>0</v>
      </c>
      <c r="BX4" t="str">
        <f>"13:50:13.398"</f>
        <v>13:50:13.398</v>
      </c>
      <c r="BY4" t="str">
        <f>"395891537"</f>
        <v>395891537</v>
      </c>
      <c r="CL4">
        <v>2</v>
      </c>
      <c r="CM4">
        <v>2</v>
      </c>
      <c r="CN4">
        <v>0</v>
      </c>
      <c r="CO4">
        <v>2</v>
      </c>
      <c r="CP4">
        <v>0</v>
      </c>
      <c r="CQ4">
        <v>4</v>
      </c>
      <c r="CR4" t="s">
        <v>116</v>
      </c>
      <c r="CS4">
        <v>147</v>
      </c>
      <c r="CT4">
        <v>2</v>
      </c>
      <c r="CU4" t="s">
        <v>117</v>
      </c>
      <c r="CV4" t="s">
        <v>118</v>
      </c>
      <c r="CY4">
        <v>15443069</v>
      </c>
      <c r="CZ4" t="s">
        <v>119</v>
      </c>
    </row>
    <row r="5" spans="1:104" x14ac:dyDescent="0.25">
      <c r="A5" t="str">
        <f>"13:50:14.648"</f>
        <v>13:50:14.648</v>
      </c>
      <c r="B5" t="s">
        <v>108</v>
      </c>
      <c r="C5" t="str">
        <f>"ffd3d3c0"</f>
        <v>ffd3d3c0</v>
      </c>
      <c r="D5" t="s">
        <v>109</v>
      </c>
      <c r="E5">
        <v>4</v>
      </c>
      <c r="F5">
        <v>1004</v>
      </c>
      <c r="G5" t="s">
        <v>110</v>
      </c>
      <c r="J5" t="s">
        <v>111</v>
      </c>
      <c r="K5">
        <v>0</v>
      </c>
      <c r="L5">
        <v>3</v>
      </c>
      <c r="M5">
        <v>0</v>
      </c>
      <c r="N5">
        <v>2</v>
      </c>
      <c r="O5">
        <v>1</v>
      </c>
      <c r="P5">
        <v>0</v>
      </c>
      <c r="Q5">
        <v>0</v>
      </c>
      <c r="R5" t="s">
        <v>112</v>
      </c>
      <c r="S5" t="str">
        <f>"13:50:14.445"</f>
        <v>13:50:14.445</v>
      </c>
      <c r="T5" t="str">
        <f>"13:50:14.047"</f>
        <v>13:50:14.047</v>
      </c>
      <c r="U5" t="str">
        <f t="shared" si="0"/>
        <v>ad5732</v>
      </c>
      <c r="V5">
        <v>0</v>
      </c>
      <c r="W5">
        <v>0</v>
      </c>
      <c r="X5">
        <v>1</v>
      </c>
      <c r="Z5">
        <v>0</v>
      </c>
      <c r="AA5">
        <v>9</v>
      </c>
      <c r="AB5">
        <v>3</v>
      </c>
      <c r="AC5">
        <v>0</v>
      </c>
      <c r="AD5">
        <v>10</v>
      </c>
      <c r="AE5">
        <v>0</v>
      </c>
      <c r="AF5">
        <v>0</v>
      </c>
      <c r="AG5">
        <v>2</v>
      </c>
      <c r="AH5">
        <v>0</v>
      </c>
      <c r="AI5" t="s">
        <v>124</v>
      </c>
      <c r="AJ5">
        <v>39.088326000000002</v>
      </c>
      <c r="AK5" t="s">
        <v>125</v>
      </c>
      <c r="AL5">
        <v>-77.562082000000004</v>
      </c>
      <c r="AM5">
        <v>100</v>
      </c>
      <c r="AN5">
        <v>400</v>
      </c>
      <c r="AO5" t="s">
        <v>115</v>
      </c>
      <c r="AP5">
        <v>-39</v>
      </c>
      <c r="AQ5">
        <v>109</v>
      </c>
      <c r="AR5">
        <v>1408</v>
      </c>
      <c r="AZ5">
        <v>3614</v>
      </c>
      <c r="BA5">
        <v>1</v>
      </c>
      <c r="BE5">
        <v>0</v>
      </c>
      <c r="BF5">
        <v>0</v>
      </c>
      <c r="BG5">
        <v>0</v>
      </c>
      <c r="BH5">
        <v>525</v>
      </c>
      <c r="BI5">
        <v>125</v>
      </c>
      <c r="BJ5">
        <v>1</v>
      </c>
      <c r="BK5">
        <v>1</v>
      </c>
      <c r="BL5">
        <v>1</v>
      </c>
      <c r="BM5">
        <v>0</v>
      </c>
      <c r="BP5">
        <v>0</v>
      </c>
      <c r="BQ5">
        <v>0</v>
      </c>
      <c r="BX5" t="str">
        <f>"13:50:14.453"</f>
        <v>13:50:14.453</v>
      </c>
      <c r="BY5" t="str">
        <f>"449398983"</f>
        <v>449398983</v>
      </c>
      <c r="CL5">
        <v>2</v>
      </c>
      <c r="CM5">
        <v>2</v>
      </c>
      <c r="CN5">
        <v>0</v>
      </c>
      <c r="CO5">
        <v>2</v>
      </c>
      <c r="CP5">
        <v>0</v>
      </c>
      <c r="CQ5">
        <v>5</v>
      </c>
      <c r="CR5" t="s">
        <v>116</v>
      </c>
      <c r="CS5">
        <v>147</v>
      </c>
      <c r="CT5">
        <v>3</v>
      </c>
      <c r="CU5" t="s">
        <v>117</v>
      </c>
      <c r="CV5" t="s">
        <v>118</v>
      </c>
      <c r="CY5">
        <v>15772488</v>
      </c>
      <c r="CZ5" t="s">
        <v>119</v>
      </c>
    </row>
    <row r="6" spans="1:104" x14ac:dyDescent="0.25">
      <c r="A6" t="str">
        <f>"13:50:17.570"</f>
        <v>13:50:17.570</v>
      </c>
      <c r="B6" t="s">
        <v>108</v>
      </c>
      <c r="C6" t="str">
        <f>"ffdfd3c0"</f>
        <v>ffdfd3c0</v>
      </c>
      <c r="D6" t="s">
        <v>109</v>
      </c>
      <c r="E6">
        <v>4</v>
      </c>
      <c r="F6">
        <v>1004</v>
      </c>
      <c r="G6" t="s">
        <v>110</v>
      </c>
      <c r="J6" t="s">
        <v>111</v>
      </c>
      <c r="K6">
        <v>0</v>
      </c>
      <c r="L6">
        <v>3</v>
      </c>
      <c r="M6">
        <v>0</v>
      </c>
      <c r="N6">
        <v>2</v>
      </c>
      <c r="O6">
        <v>1</v>
      </c>
      <c r="P6">
        <v>0</v>
      </c>
      <c r="Q6">
        <v>0</v>
      </c>
      <c r="R6" t="s">
        <v>112</v>
      </c>
      <c r="S6" t="str">
        <f>"13:50:17.383"</f>
        <v>13:50:17.383</v>
      </c>
      <c r="T6" t="str">
        <f>"13:50:16.883"</f>
        <v>13:50:16.883</v>
      </c>
      <c r="U6" t="str">
        <f t="shared" si="0"/>
        <v>ad5732</v>
      </c>
      <c r="V6">
        <v>0</v>
      </c>
      <c r="W6">
        <v>0</v>
      </c>
      <c r="X6">
        <v>1</v>
      </c>
      <c r="Z6">
        <v>0</v>
      </c>
      <c r="AA6">
        <v>9</v>
      </c>
      <c r="AB6">
        <v>3</v>
      </c>
      <c r="AC6">
        <v>0</v>
      </c>
      <c r="AD6">
        <v>10</v>
      </c>
      <c r="AE6">
        <v>0</v>
      </c>
      <c r="AF6">
        <v>0</v>
      </c>
      <c r="AG6">
        <v>2</v>
      </c>
      <c r="AH6">
        <v>0</v>
      </c>
      <c r="AI6" t="s">
        <v>126</v>
      </c>
      <c r="AJ6">
        <v>39.089869999999998</v>
      </c>
      <c r="AK6" t="s">
        <v>127</v>
      </c>
      <c r="AL6">
        <v>-77.562810999999996</v>
      </c>
      <c r="AM6">
        <v>100</v>
      </c>
      <c r="AN6">
        <v>500</v>
      </c>
      <c r="AO6" t="s">
        <v>115</v>
      </c>
      <c r="AP6">
        <v>-40</v>
      </c>
      <c r="AQ6">
        <v>109</v>
      </c>
      <c r="AR6">
        <v>1344</v>
      </c>
      <c r="AZ6">
        <v>3614</v>
      </c>
      <c r="BA6">
        <v>1</v>
      </c>
      <c r="BB6" t="str">
        <f>"N959MJ  "</f>
        <v xml:space="preserve">N959MJ  </v>
      </c>
      <c r="BC6">
        <v>1</v>
      </c>
      <c r="BE6">
        <v>0</v>
      </c>
      <c r="BF6">
        <v>0</v>
      </c>
      <c r="BG6">
        <v>0</v>
      </c>
      <c r="BH6">
        <v>675</v>
      </c>
      <c r="BI6">
        <v>175</v>
      </c>
      <c r="BJ6">
        <v>1</v>
      </c>
      <c r="BK6">
        <v>1</v>
      </c>
      <c r="BL6">
        <v>1</v>
      </c>
      <c r="BM6">
        <v>0</v>
      </c>
      <c r="BP6">
        <v>0</v>
      </c>
      <c r="BQ6">
        <v>0</v>
      </c>
      <c r="BX6" t="str">
        <f>"13:50:17.391"</f>
        <v>13:50:17.391</v>
      </c>
      <c r="BY6" t="str">
        <f>"387095874"</f>
        <v>387095874</v>
      </c>
      <c r="CL6">
        <v>2</v>
      </c>
      <c r="CM6">
        <v>2</v>
      </c>
      <c r="CN6">
        <v>0</v>
      </c>
      <c r="CO6">
        <v>2</v>
      </c>
      <c r="CP6">
        <v>0</v>
      </c>
      <c r="CQ6">
        <v>5</v>
      </c>
      <c r="CR6" t="s">
        <v>116</v>
      </c>
      <c r="CS6">
        <v>147</v>
      </c>
      <c r="CT6">
        <v>3</v>
      </c>
      <c r="CU6" t="s">
        <v>117</v>
      </c>
      <c r="CV6" t="s">
        <v>118</v>
      </c>
      <c r="CY6">
        <v>15777392</v>
      </c>
      <c r="CZ6" t="s">
        <v>119</v>
      </c>
    </row>
    <row r="7" spans="1:104" x14ac:dyDescent="0.25">
      <c r="A7" t="str">
        <f>"13:50:18.688"</f>
        <v>13:50:18.688</v>
      </c>
      <c r="B7" t="s">
        <v>108</v>
      </c>
      <c r="C7" t="str">
        <f>"ffdfd3c0"</f>
        <v>ffdfd3c0</v>
      </c>
      <c r="D7" t="s">
        <v>109</v>
      </c>
      <c r="E7">
        <v>4</v>
      </c>
      <c r="F7">
        <v>1004</v>
      </c>
      <c r="G7" t="s">
        <v>110</v>
      </c>
      <c r="J7" t="s">
        <v>111</v>
      </c>
      <c r="K7">
        <v>0</v>
      </c>
      <c r="L7">
        <v>3</v>
      </c>
      <c r="M7">
        <v>0</v>
      </c>
      <c r="N7">
        <v>2</v>
      </c>
      <c r="O7">
        <v>1</v>
      </c>
      <c r="P7">
        <v>0</v>
      </c>
      <c r="Q7">
        <v>0</v>
      </c>
      <c r="R7" t="s">
        <v>112</v>
      </c>
      <c r="S7" t="str">
        <f>"13:50:18.492"</f>
        <v>13:50:18.492</v>
      </c>
      <c r="T7" t="str">
        <f>"13:50:17.992"</f>
        <v>13:50:17.992</v>
      </c>
      <c r="U7" t="str">
        <f t="shared" si="0"/>
        <v>ad5732</v>
      </c>
      <c r="V7">
        <v>0</v>
      </c>
      <c r="W7">
        <v>0</v>
      </c>
      <c r="X7">
        <v>1</v>
      </c>
      <c r="Z7">
        <v>0</v>
      </c>
      <c r="AA7">
        <v>9</v>
      </c>
      <c r="AB7">
        <v>3</v>
      </c>
      <c r="AC7">
        <v>0</v>
      </c>
      <c r="AD7">
        <v>10</v>
      </c>
      <c r="AE7">
        <v>0</v>
      </c>
      <c r="AF7">
        <v>0</v>
      </c>
      <c r="AG7">
        <v>2</v>
      </c>
      <c r="AH7">
        <v>0</v>
      </c>
      <c r="AI7" t="s">
        <v>128</v>
      </c>
      <c r="AJ7">
        <v>39.090406999999999</v>
      </c>
      <c r="AK7" t="s">
        <v>129</v>
      </c>
      <c r="AL7">
        <v>-77.563068999999999</v>
      </c>
      <c r="AM7">
        <v>100</v>
      </c>
      <c r="AN7">
        <v>500</v>
      </c>
      <c r="AO7" t="s">
        <v>115</v>
      </c>
      <c r="AP7">
        <v>-40</v>
      </c>
      <c r="AQ7">
        <v>108</v>
      </c>
      <c r="AR7">
        <v>1472</v>
      </c>
      <c r="AZ7">
        <v>3614</v>
      </c>
      <c r="BA7">
        <v>1</v>
      </c>
      <c r="BB7" t="str">
        <f>"N959MJ  "</f>
        <v xml:space="preserve">N959MJ  </v>
      </c>
      <c r="BC7">
        <v>1</v>
      </c>
      <c r="BE7">
        <v>0</v>
      </c>
      <c r="BF7">
        <v>0</v>
      </c>
      <c r="BG7">
        <v>0</v>
      </c>
      <c r="BH7">
        <v>700</v>
      </c>
      <c r="BI7">
        <v>200</v>
      </c>
      <c r="BJ7">
        <v>1</v>
      </c>
      <c r="BK7">
        <v>1</v>
      </c>
      <c r="BL7">
        <v>1</v>
      </c>
      <c r="BM7">
        <v>0</v>
      </c>
      <c r="BP7">
        <v>0</v>
      </c>
      <c r="BQ7">
        <v>0</v>
      </c>
      <c r="BX7" t="str">
        <f>"13:50:18.500"</f>
        <v>13:50:18.500</v>
      </c>
      <c r="BY7" t="str">
        <f>"497948290"</f>
        <v>497948290</v>
      </c>
      <c r="CL7">
        <v>2</v>
      </c>
      <c r="CM7">
        <v>2</v>
      </c>
      <c r="CN7">
        <v>0</v>
      </c>
      <c r="CO7">
        <v>2</v>
      </c>
      <c r="CP7">
        <v>0</v>
      </c>
      <c r="CQ7">
        <v>5</v>
      </c>
      <c r="CR7" t="s">
        <v>116</v>
      </c>
      <c r="CS7">
        <v>147</v>
      </c>
      <c r="CT7">
        <v>2</v>
      </c>
      <c r="CU7" t="s">
        <v>117</v>
      </c>
      <c r="CV7" t="s">
        <v>118</v>
      </c>
      <c r="CY7">
        <v>15451024</v>
      </c>
      <c r="CZ7" t="s">
        <v>119</v>
      </c>
    </row>
    <row r="8" spans="1:104" x14ac:dyDescent="0.25">
      <c r="A8" t="str">
        <f>"13:50:21.711"</f>
        <v>13:50:21.711</v>
      </c>
      <c r="B8" t="s">
        <v>108</v>
      </c>
      <c r="C8" t="str">
        <f>"ffdfd3c0"</f>
        <v>ffdfd3c0</v>
      </c>
      <c r="D8" t="s">
        <v>109</v>
      </c>
      <c r="E8">
        <v>4</v>
      </c>
      <c r="F8">
        <v>1004</v>
      </c>
      <c r="G8" t="s">
        <v>110</v>
      </c>
      <c r="J8" t="s">
        <v>111</v>
      </c>
      <c r="K8">
        <v>0</v>
      </c>
      <c r="L8">
        <v>3</v>
      </c>
      <c r="M8">
        <v>0</v>
      </c>
      <c r="N8">
        <v>2</v>
      </c>
      <c r="O8">
        <v>1</v>
      </c>
      <c r="P8">
        <v>0</v>
      </c>
      <c r="Q8">
        <v>0</v>
      </c>
      <c r="R8" t="s">
        <v>112</v>
      </c>
      <c r="S8" t="str">
        <f>"13:50:21.477"</f>
        <v>13:50:21.477</v>
      </c>
      <c r="T8" t="str">
        <f>"13:50:21.078"</f>
        <v>13:50:21.078</v>
      </c>
      <c r="U8" t="str">
        <f t="shared" si="0"/>
        <v>ad5732</v>
      </c>
      <c r="V8">
        <v>0</v>
      </c>
      <c r="W8">
        <v>0</v>
      </c>
      <c r="X8">
        <v>1</v>
      </c>
      <c r="Z8">
        <v>0</v>
      </c>
      <c r="AA8">
        <v>9</v>
      </c>
      <c r="AB8">
        <v>3</v>
      </c>
      <c r="AC8">
        <v>0</v>
      </c>
      <c r="AD8">
        <v>10</v>
      </c>
      <c r="AE8">
        <v>0</v>
      </c>
      <c r="AF8">
        <v>3</v>
      </c>
      <c r="AG8">
        <v>2</v>
      </c>
      <c r="AH8">
        <v>0</v>
      </c>
      <c r="AI8" t="s">
        <v>130</v>
      </c>
      <c r="AJ8">
        <v>39.091909000000001</v>
      </c>
      <c r="AK8" t="s">
        <v>131</v>
      </c>
      <c r="AL8">
        <v>-77.563777000000002</v>
      </c>
      <c r="AM8">
        <v>100</v>
      </c>
      <c r="AN8">
        <v>600</v>
      </c>
      <c r="AO8" t="s">
        <v>115</v>
      </c>
      <c r="AP8">
        <v>-40</v>
      </c>
      <c r="AQ8">
        <v>108</v>
      </c>
      <c r="AR8">
        <v>1408</v>
      </c>
      <c r="AZ8">
        <v>3614</v>
      </c>
      <c r="BA8">
        <v>1</v>
      </c>
      <c r="BB8" t="str">
        <f>"N959MJ  "</f>
        <v xml:space="preserve">N959MJ  </v>
      </c>
      <c r="BC8">
        <v>1</v>
      </c>
      <c r="BE8">
        <v>0</v>
      </c>
      <c r="BF8">
        <v>0</v>
      </c>
      <c r="BG8">
        <v>0</v>
      </c>
      <c r="BH8">
        <v>675</v>
      </c>
      <c r="BI8">
        <v>75</v>
      </c>
      <c r="BJ8">
        <v>1</v>
      </c>
      <c r="BK8">
        <v>1</v>
      </c>
      <c r="BL8">
        <v>1</v>
      </c>
      <c r="BM8">
        <v>0</v>
      </c>
      <c r="BP8">
        <v>0</v>
      </c>
      <c r="BQ8">
        <v>0</v>
      </c>
      <c r="BX8" t="str">
        <f>"13:50:21.477"</f>
        <v>13:50:21.477</v>
      </c>
      <c r="BY8" t="str">
        <f>"479882642"</f>
        <v>479882642</v>
      </c>
      <c r="CL8">
        <v>3</v>
      </c>
      <c r="CM8">
        <v>2</v>
      </c>
      <c r="CN8">
        <v>0</v>
      </c>
      <c r="CO8">
        <v>2</v>
      </c>
      <c r="CP8">
        <v>0</v>
      </c>
      <c r="CQ8">
        <v>6</v>
      </c>
      <c r="CR8" t="s">
        <v>116</v>
      </c>
      <c r="CS8">
        <v>147</v>
      </c>
      <c r="CT8">
        <v>3</v>
      </c>
      <c r="CU8" t="s">
        <v>117</v>
      </c>
      <c r="CV8" t="s">
        <v>118</v>
      </c>
      <c r="CY8">
        <v>15784194</v>
      </c>
      <c r="CZ8" t="s">
        <v>119</v>
      </c>
    </row>
    <row r="9" spans="1:104" x14ac:dyDescent="0.25">
      <c r="A9" t="str">
        <f>"13:50:24.992"</f>
        <v>13:50:24.992</v>
      </c>
      <c r="B9" t="s">
        <v>108</v>
      </c>
      <c r="C9" t="str">
        <f>"ffd3d3c0"</f>
        <v>ffd3d3c0</v>
      </c>
      <c r="D9" t="s">
        <v>109</v>
      </c>
      <c r="E9">
        <v>4</v>
      </c>
      <c r="F9">
        <v>1004</v>
      </c>
      <c r="G9" t="s">
        <v>110</v>
      </c>
      <c r="J9" t="s">
        <v>111</v>
      </c>
      <c r="K9">
        <v>0</v>
      </c>
      <c r="L9">
        <v>3</v>
      </c>
      <c r="M9">
        <v>0</v>
      </c>
      <c r="N9">
        <v>2</v>
      </c>
      <c r="O9">
        <v>1</v>
      </c>
      <c r="P9">
        <v>0</v>
      </c>
      <c r="Q9">
        <v>0</v>
      </c>
      <c r="R9" t="s">
        <v>112</v>
      </c>
      <c r="S9" t="str">
        <f>"13:50:24.813"</f>
        <v>13:50:24.813</v>
      </c>
      <c r="T9" t="str">
        <f>"13:50:24.313"</f>
        <v>13:50:24.313</v>
      </c>
      <c r="U9" t="str">
        <f t="shared" si="0"/>
        <v>ad5732</v>
      </c>
      <c r="V9">
        <v>0</v>
      </c>
      <c r="W9">
        <v>0</v>
      </c>
      <c r="X9">
        <v>1</v>
      </c>
      <c r="Z9">
        <v>0</v>
      </c>
      <c r="AA9">
        <v>9</v>
      </c>
      <c r="AB9">
        <v>3</v>
      </c>
      <c r="AC9">
        <v>0</v>
      </c>
      <c r="AD9">
        <v>10</v>
      </c>
      <c r="AE9">
        <v>0</v>
      </c>
      <c r="AF9">
        <v>3</v>
      </c>
      <c r="AG9">
        <v>2</v>
      </c>
      <c r="AH9">
        <v>0</v>
      </c>
      <c r="AI9" t="s">
        <v>132</v>
      </c>
      <c r="AJ9">
        <v>39.093539999999997</v>
      </c>
      <c r="AK9" t="s">
        <v>133</v>
      </c>
      <c r="AL9">
        <v>-77.564507000000006</v>
      </c>
      <c r="AM9">
        <v>100</v>
      </c>
      <c r="AN9">
        <v>700</v>
      </c>
      <c r="AO9" t="s">
        <v>115</v>
      </c>
      <c r="AP9">
        <v>-39</v>
      </c>
      <c r="AQ9">
        <v>108</v>
      </c>
      <c r="AR9">
        <v>1152</v>
      </c>
      <c r="AZ9">
        <v>3614</v>
      </c>
      <c r="BA9">
        <v>1</v>
      </c>
      <c r="BE9">
        <v>0</v>
      </c>
      <c r="BF9">
        <v>0</v>
      </c>
      <c r="BG9">
        <v>0</v>
      </c>
      <c r="BH9">
        <v>850</v>
      </c>
      <c r="BI9">
        <v>150</v>
      </c>
      <c r="BJ9">
        <v>1</v>
      </c>
      <c r="BK9">
        <v>1</v>
      </c>
      <c r="BL9">
        <v>1</v>
      </c>
      <c r="BM9">
        <v>0</v>
      </c>
      <c r="BP9">
        <v>0</v>
      </c>
      <c r="BQ9">
        <v>0</v>
      </c>
      <c r="BX9" t="str">
        <f>"13:50:24.813"</f>
        <v>13:50:24.813</v>
      </c>
      <c r="BY9" t="str">
        <f>"812531412"</f>
        <v>812531412</v>
      </c>
      <c r="CL9">
        <v>3</v>
      </c>
      <c r="CM9">
        <v>2</v>
      </c>
      <c r="CN9">
        <v>0</v>
      </c>
      <c r="CO9">
        <v>2</v>
      </c>
      <c r="CP9">
        <v>0</v>
      </c>
      <c r="CQ9">
        <v>4</v>
      </c>
      <c r="CR9" t="s">
        <v>116</v>
      </c>
      <c r="CS9">
        <v>152</v>
      </c>
      <c r="CT9">
        <v>0</v>
      </c>
      <c r="CU9" t="s">
        <v>134</v>
      </c>
      <c r="CV9" t="s">
        <v>135</v>
      </c>
      <c r="CY9">
        <v>15602788</v>
      </c>
      <c r="CZ9" t="s">
        <v>119</v>
      </c>
    </row>
    <row r="10" spans="1:104" x14ac:dyDescent="0.25">
      <c r="A10" t="str">
        <f>"13:50:26.555"</f>
        <v>13:50:26.555</v>
      </c>
      <c r="B10" t="s">
        <v>108</v>
      </c>
      <c r="C10" t="str">
        <f t="shared" ref="C10:C73" si="1">"ffdfd3c0"</f>
        <v>ffdfd3c0</v>
      </c>
      <c r="D10" t="s">
        <v>109</v>
      </c>
      <c r="E10">
        <v>4</v>
      </c>
      <c r="F10">
        <v>1004</v>
      </c>
      <c r="G10" t="s">
        <v>110</v>
      </c>
      <c r="J10" t="s">
        <v>111</v>
      </c>
      <c r="K10">
        <v>0</v>
      </c>
      <c r="L10">
        <v>3</v>
      </c>
      <c r="M10">
        <v>0</v>
      </c>
      <c r="N10">
        <v>2</v>
      </c>
      <c r="O10">
        <v>1</v>
      </c>
      <c r="P10">
        <v>0</v>
      </c>
      <c r="Q10">
        <v>0</v>
      </c>
      <c r="R10" t="s">
        <v>112</v>
      </c>
      <c r="S10" t="str">
        <f>"13:50:26.391"</f>
        <v>13:50:26.391</v>
      </c>
      <c r="T10" t="str">
        <f>"13:50:25.992"</f>
        <v>13:50:25.992</v>
      </c>
      <c r="U10" t="str">
        <f t="shared" si="0"/>
        <v>ad5732</v>
      </c>
      <c r="V10">
        <v>0</v>
      </c>
      <c r="W10">
        <v>0</v>
      </c>
      <c r="X10">
        <v>1</v>
      </c>
      <c r="Z10">
        <v>0</v>
      </c>
      <c r="AA10">
        <v>9</v>
      </c>
      <c r="AB10">
        <v>3</v>
      </c>
      <c r="AC10">
        <v>0</v>
      </c>
      <c r="AD10">
        <v>10</v>
      </c>
      <c r="AE10">
        <v>0</v>
      </c>
      <c r="AF10">
        <v>3</v>
      </c>
      <c r="AG10">
        <v>2</v>
      </c>
      <c r="AH10">
        <v>0</v>
      </c>
      <c r="AI10" t="s">
        <v>136</v>
      </c>
      <c r="AJ10">
        <v>39.094334000000003</v>
      </c>
      <c r="AK10" t="s">
        <v>137</v>
      </c>
      <c r="AL10">
        <v>-77.564870999999997</v>
      </c>
      <c r="AM10">
        <v>100</v>
      </c>
      <c r="AN10">
        <v>700</v>
      </c>
      <c r="AO10" t="s">
        <v>115</v>
      </c>
      <c r="AP10">
        <v>-38</v>
      </c>
      <c r="AQ10">
        <v>108</v>
      </c>
      <c r="AR10">
        <v>1088</v>
      </c>
      <c r="AZ10">
        <v>3614</v>
      </c>
      <c r="BA10">
        <v>1</v>
      </c>
      <c r="BB10" t="str">
        <f t="shared" ref="BB10:BB73" si="2">"N959MJ  "</f>
        <v xml:space="preserve">N959MJ  </v>
      </c>
      <c r="BC10">
        <v>1</v>
      </c>
      <c r="BE10">
        <v>0</v>
      </c>
      <c r="BF10">
        <v>0</v>
      </c>
      <c r="BG10">
        <v>0</v>
      </c>
      <c r="BH10">
        <v>875</v>
      </c>
      <c r="BI10">
        <v>175</v>
      </c>
      <c r="BJ10">
        <v>1</v>
      </c>
      <c r="BK10">
        <v>1</v>
      </c>
      <c r="BL10">
        <v>1</v>
      </c>
      <c r="BM10">
        <v>0</v>
      </c>
      <c r="BP10">
        <v>0</v>
      </c>
      <c r="BQ10">
        <v>0</v>
      </c>
      <c r="BX10" t="str">
        <f>"13:50:26.391"</f>
        <v>13:50:26.391</v>
      </c>
      <c r="BY10" t="str">
        <f>"391882269"</f>
        <v>391882269</v>
      </c>
      <c r="CL10">
        <v>3</v>
      </c>
      <c r="CM10">
        <v>2</v>
      </c>
      <c r="CN10">
        <v>0</v>
      </c>
      <c r="CO10">
        <v>2</v>
      </c>
      <c r="CP10">
        <v>0</v>
      </c>
      <c r="CQ10">
        <v>6</v>
      </c>
      <c r="CR10" t="s">
        <v>116</v>
      </c>
      <c r="CS10">
        <v>147</v>
      </c>
      <c r="CT10">
        <v>3</v>
      </c>
      <c r="CU10" t="s">
        <v>117</v>
      </c>
      <c r="CV10" t="s">
        <v>118</v>
      </c>
      <c r="CY10">
        <v>15792287</v>
      </c>
      <c r="CZ10" t="s">
        <v>119</v>
      </c>
    </row>
    <row r="11" spans="1:104" x14ac:dyDescent="0.25">
      <c r="A11" t="str">
        <f>"13:50:27.820"</f>
        <v>13:50:27.820</v>
      </c>
      <c r="B11" t="s">
        <v>108</v>
      </c>
      <c r="C11" t="str">
        <f t="shared" si="1"/>
        <v>ffdfd3c0</v>
      </c>
      <c r="D11" t="s">
        <v>109</v>
      </c>
      <c r="E11">
        <v>4</v>
      </c>
      <c r="F11">
        <v>1004</v>
      </c>
      <c r="G11" t="s">
        <v>110</v>
      </c>
      <c r="J11" t="s">
        <v>111</v>
      </c>
      <c r="K11">
        <v>0</v>
      </c>
      <c r="L11">
        <v>3</v>
      </c>
      <c r="M11">
        <v>0</v>
      </c>
      <c r="N11">
        <v>2</v>
      </c>
      <c r="O11">
        <v>1</v>
      </c>
      <c r="P11">
        <v>0</v>
      </c>
      <c r="Q11">
        <v>0</v>
      </c>
      <c r="R11" t="s">
        <v>112</v>
      </c>
      <c r="S11" t="str">
        <f>"13:50:27.313"</f>
        <v>13:50:27.313</v>
      </c>
      <c r="T11" t="str">
        <f>"13:50:26.414"</f>
        <v>13:50:26.414</v>
      </c>
      <c r="U11" t="str">
        <f t="shared" si="0"/>
        <v>ad5732</v>
      </c>
      <c r="V11">
        <v>0</v>
      </c>
      <c r="W11">
        <v>0</v>
      </c>
      <c r="X11">
        <v>1</v>
      </c>
      <c r="Z11">
        <v>0</v>
      </c>
      <c r="AA11">
        <v>9</v>
      </c>
      <c r="AB11">
        <v>3</v>
      </c>
      <c r="AC11">
        <v>0</v>
      </c>
      <c r="AD11">
        <v>10</v>
      </c>
      <c r="AE11">
        <v>0</v>
      </c>
      <c r="AF11">
        <v>3</v>
      </c>
      <c r="AG11">
        <v>2</v>
      </c>
      <c r="AH11">
        <v>0</v>
      </c>
      <c r="AI11" t="s">
        <v>138</v>
      </c>
      <c r="AJ11">
        <v>39.094805999999998</v>
      </c>
      <c r="AK11" t="s">
        <v>139</v>
      </c>
      <c r="AL11">
        <v>-77.565085999999994</v>
      </c>
      <c r="AM11">
        <v>100</v>
      </c>
      <c r="AN11">
        <v>700</v>
      </c>
      <c r="AO11" t="s">
        <v>115</v>
      </c>
      <c r="AP11">
        <v>-38</v>
      </c>
      <c r="AQ11">
        <v>108</v>
      </c>
      <c r="AR11">
        <v>1024</v>
      </c>
      <c r="AZ11">
        <v>3614</v>
      </c>
      <c r="BA11">
        <v>1</v>
      </c>
      <c r="BB11" t="str">
        <f t="shared" si="2"/>
        <v xml:space="preserve">N959MJ  </v>
      </c>
      <c r="BC11">
        <v>1</v>
      </c>
      <c r="BE11">
        <v>0</v>
      </c>
      <c r="BF11">
        <v>0</v>
      </c>
      <c r="BG11">
        <v>0</v>
      </c>
      <c r="BH11">
        <v>900</v>
      </c>
      <c r="BI11">
        <v>200</v>
      </c>
      <c r="BJ11">
        <v>1</v>
      </c>
      <c r="BK11">
        <v>1</v>
      </c>
      <c r="BL11">
        <v>1</v>
      </c>
      <c r="BM11">
        <v>0</v>
      </c>
      <c r="BP11">
        <v>0</v>
      </c>
      <c r="BQ11">
        <v>0</v>
      </c>
      <c r="BX11" t="str">
        <f>"13:50:27.313"</f>
        <v>13:50:27.313</v>
      </c>
      <c r="BY11" t="str">
        <f>"315965391"</f>
        <v>315965391</v>
      </c>
      <c r="CL11">
        <v>3</v>
      </c>
      <c r="CM11">
        <v>2</v>
      </c>
      <c r="CN11">
        <v>0</v>
      </c>
      <c r="CO11">
        <v>2</v>
      </c>
      <c r="CP11">
        <v>0</v>
      </c>
      <c r="CQ11">
        <v>1</v>
      </c>
      <c r="CR11" t="s">
        <v>116</v>
      </c>
      <c r="CS11">
        <v>525</v>
      </c>
      <c r="CT11">
        <v>2</v>
      </c>
      <c r="CU11" t="s">
        <v>140</v>
      </c>
      <c r="CV11" t="s">
        <v>141</v>
      </c>
      <c r="CY11">
        <v>13585675</v>
      </c>
      <c r="CZ11" t="s">
        <v>119</v>
      </c>
    </row>
    <row r="12" spans="1:104" x14ac:dyDescent="0.25">
      <c r="A12" t="str">
        <f>"13:50:28.875"</f>
        <v>13:50:28.875</v>
      </c>
      <c r="B12" t="s">
        <v>108</v>
      </c>
      <c r="C12" t="str">
        <f t="shared" si="1"/>
        <v>ffdfd3c0</v>
      </c>
      <c r="D12" t="s">
        <v>109</v>
      </c>
      <c r="E12">
        <v>4</v>
      </c>
      <c r="F12">
        <v>1004</v>
      </c>
      <c r="G12" t="s">
        <v>110</v>
      </c>
      <c r="J12" t="s">
        <v>111</v>
      </c>
      <c r="K12">
        <v>0</v>
      </c>
      <c r="L12">
        <v>3</v>
      </c>
      <c r="M12">
        <v>0</v>
      </c>
      <c r="N12">
        <v>2</v>
      </c>
      <c r="O12">
        <v>1</v>
      </c>
      <c r="P12">
        <v>0</v>
      </c>
      <c r="Q12">
        <v>0</v>
      </c>
      <c r="R12" t="s">
        <v>112</v>
      </c>
      <c r="S12" t="str">
        <f>"13:50:28.688"</f>
        <v>13:50:28.688</v>
      </c>
      <c r="T12" t="str">
        <f>"13:50:28.289"</f>
        <v>13:50:28.289</v>
      </c>
      <c r="U12" t="str">
        <f t="shared" si="0"/>
        <v>ad5732</v>
      </c>
      <c r="V12">
        <v>0</v>
      </c>
      <c r="W12">
        <v>0</v>
      </c>
      <c r="X12">
        <v>1</v>
      </c>
      <c r="Z12">
        <v>0</v>
      </c>
      <c r="AA12">
        <v>9</v>
      </c>
      <c r="AB12">
        <v>3</v>
      </c>
      <c r="AC12">
        <v>0</v>
      </c>
      <c r="AD12">
        <v>10</v>
      </c>
      <c r="AE12">
        <v>0</v>
      </c>
      <c r="AF12">
        <v>3</v>
      </c>
      <c r="AG12">
        <v>2</v>
      </c>
      <c r="AH12">
        <v>0</v>
      </c>
      <c r="AI12" t="s">
        <v>142</v>
      </c>
      <c r="AJ12">
        <v>39.095534999999998</v>
      </c>
      <c r="AK12" t="s">
        <v>143</v>
      </c>
      <c r="AL12">
        <v>-77.565450999999996</v>
      </c>
      <c r="AM12">
        <v>100</v>
      </c>
      <c r="AN12">
        <v>700</v>
      </c>
      <c r="AO12" t="s">
        <v>115</v>
      </c>
      <c r="AP12">
        <v>-38</v>
      </c>
      <c r="AQ12">
        <v>109</v>
      </c>
      <c r="AR12">
        <v>1088</v>
      </c>
      <c r="AZ12">
        <v>3614</v>
      </c>
      <c r="BA12">
        <v>1</v>
      </c>
      <c r="BB12" t="str">
        <f t="shared" si="2"/>
        <v xml:space="preserve">N959MJ  </v>
      </c>
      <c r="BC12">
        <v>1</v>
      </c>
      <c r="BE12">
        <v>0</v>
      </c>
      <c r="BF12">
        <v>0</v>
      </c>
      <c r="BG12">
        <v>0</v>
      </c>
      <c r="BH12">
        <v>925</v>
      </c>
      <c r="BI12">
        <v>225</v>
      </c>
      <c r="BJ12">
        <v>1</v>
      </c>
      <c r="BK12">
        <v>1</v>
      </c>
      <c r="BL12">
        <v>1</v>
      </c>
      <c r="BM12">
        <v>0</v>
      </c>
      <c r="BP12">
        <v>0</v>
      </c>
      <c r="BQ12">
        <v>0</v>
      </c>
      <c r="BX12" t="str">
        <f>"13:50:28.695"</f>
        <v>13:50:28.695</v>
      </c>
      <c r="BY12" t="str">
        <f>"692231639"</f>
        <v>692231639</v>
      </c>
      <c r="CL12">
        <v>3</v>
      </c>
      <c r="CM12">
        <v>2</v>
      </c>
      <c r="CN12">
        <v>0</v>
      </c>
      <c r="CO12">
        <v>2</v>
      </c>
      <c r="CP12">
        <v>0</v>
      </c>
      <c r="CQ12">
        <v>6</v>
      </c>
      <c r="CR12" t="s">
        <v>116</v>
      </c>
      <c r="CS12">
        <v>147</v>
      </c>
      <c r="CT12">
        <v>3</v>
      </c>
      <c r="CU12" t="s">
        <v>117</v>
      </c>
      <c r="CV12" t="s">
        <v>118</v>
      </c>
      <c r="CY12">
        <v>15796161</v>
      </c>
      <c r="CZ12" t="s">
        <v>119</v>
      </c>
    </row>
    <row r="13" spans="1:104" x14ac:dyDescent="0.25">
      <c r="A13" t="str">
        <f>"13:50:29.891"</f>
        <v>13:50:29.891</v>
      </c>
      <c r="B13" t="s">
        <v>108</v>
      </c>
      <c r="C13" t="str">
        <f t="shared" si="1"/>
        <v>ffdfd3c0</v>
      </c>
      <c r="D13" t="s">
        <v>109</v>
      </c>
      <c r="E13">
        <v>4</v>
      </c>
      <c r="F13">
        <v>1004</v>
      </c>
      <c r="G13" t="s">
        <v>110</v>
      </c>
      <c r="J13" t="s">
        <v>111</v>
      </c>
      <c r="K13">
        <v>0</v>
      </c>
      <c r="L13">
        <v>3</v>
      </c>
      <c r="M13">
        <v>0</v>
      </c>
      <c r="N13">
        <v>2</v>
      </c>
      <c r="O13">
        <v>1</v>
      </c>
      <c r="P13">
        <v>0</v>
      </c>
      <c r="Q13">
        <v>0</v>
      </c>
      <c r="R13" t="s">
        <v>112</v>
      </c>
      <c r="S13" t="str">
        <f>"13:50:29.711"</f>
        <v>13:50:29.711</v>
      </c>
      <c r="T13" t="str">
        <f>"13:50:29.211"</f>
        <v>13:50:29.211</v>
      </c>
      <c r="U13" t="str">
        <f t="shared" si="0"/>
        <v>ad5732</v>
      </c>
      <c r="V13">
        <v>0</v>
      </c>
      <c r="W13">
        <v>0</v>
      </c>
      <c r="X13">
        <v>1</v>
      </c>
      <c r="Z13">
        <v>0</v>
      </c>
      <c r="AA13">
        <v>9</v>
      </c>
      <c r="AB13">
        <v>3</v>
      </c>
      <c r="AC13">
        <v>0</v>
      </c>
      <c r="AD13">
        <v>10</v>
      </c>
      <c r="AE13">
        <v>0</v>
      </c>
      <c r="AF13">
        <v>3</v>
      </c>
      <c r="AG13">
        <v>2</v>
      </c>
      <c r="AH13">
        <v>0</v>
      </c>
      <c r="AI13" t="s">
        <v>144</v>
      </c>
      <c r="AJ13">
        <v>39.096029000000001</v>
      </c>
      <c r="AK13" t="s">
        <v>145</v>
      </c>
      <c r="AL13">
        <v>-77.565622000000005</v>
      </c>
      <c r="AM13">
        <v>100</v>
      </c>
      <c r="AN13">
        <v>700</v>
      </c>
      <c r="AO13" t="s">
        <v>115</v>
      </c>
      <c r="AP13">
        <v>-38</v>
      </c>
      <c r="AQ13">
        <v>109</v>
      </c>
      <c r="AR13">
        <v>960</v>
      </c>
      <c r="AZ13">
        <v>3614</v>
      </c>
      <c r="BA13">
        <v>1</v>
      </c>
      <c r="BB13" t="str">
        <f t="shared" si="2"/>
        <v xml:space="preserve">N959MJ  </v>
      </c>
      <c r="BC13">
        <v>1</v>
      </c>
      <c r="BE13">
        <v>0</v>
      </c>
      <c r="BF13">
        <v>0</v>
      </c>
      <c r="BG13">
        <v>0</v>
      </c>
      <c r="BH13">
        <v>950</v>
      </c>
      <c r="BI13">
        <v>250</v>
      </c>
      <c r="BJ13">
        <v>1</v>
      </c>
      <c r="BK13">
        <v>1</v>
      </c>
      <c r="BL13">
        <v>1</v>
      </c>
      <c r="BM13">
        <v>0</v>
      </c>
      <c r="BP13">
        <v>0</v>
      </c>
      <c r="BQ13">
        <v>0</v>
      </c>
      <c r="BX13" t="str">
        <f>"13:50:29.711"</f>
        <v>13:50:29.711</v>
      </c>
      <c r="BY13" t="str">
        <f>"712970667"</f>
        <v>712970667</v>
      </c>
      <c r="CL13">
        <v>3</v>
      </c>
      <c r="CM13">
        <v>2</v>
      </c>
      <c r="CN13">
        <v>0</v>
      </c>
      <c r="CO13">
        <v>2</v>
      </c>
      <c r="CP13">
        <v>0</v>
      </c>
      <c r="CQ13">
        <v>6</v>
      </c>
      <c r="CR13" t="s">
        <v>116</v>
      </c>
      <c r="CS13">
        <v>147</v>
      </c>
      <c r="CT13">
        <v>3</v>
      </c>
      <c r="CU13" t="s">
        <v>117</v>
      </c>
      <c r="CV13" t="s">
        <v>118</v>
      </c>
      <c r="CY13">
        <v>15797840</v>
      </c>
      <c r="CZ13" t="s">
        <v>119</v>
      </c>
    </row>
    <row r="14" spans="1:104" x14ac:dyDescent="0.25">
      <c r="A14" t="str">
        <f>"13:50:30.844"</f>
        <v>13:50:30.844</v>
      </c>
      <c r="B14" t="s">
        <v>108</v>
      </c>
      <c r="C14" t="str">
        <f t="shared" si="1"/>
        <v>ffdfd3c0</v>
      </c>
      <c r="D14" t="s">
        <v>109</v>
      </c>
      <c r="E14">
        <v>4</v>
      </c>
      <c r="F14">
        <v>1004</v>
      </c>
      <c r="G14" t="s">
        <v>110</v>
      </c>
      <c r="J14" t="s">
        <v>111</v>
      </c>
      <c r="K14">
        <v>0</v>
      </c>
      <c r="L14">
        <v>3</v>
      </c>
      <c r="M14">
        <v>0</v>
      </c>
      <c r="N14">
        <v>2</v>
      </c>
      <c r="O14">
        <v>1</v>
      </c>
      <c r="P14">
        <v>0</v>
      </c>
      <c r="Q14">
        <v>0</v>
      </c>
      <c r="R14" t="s">
        <v>112</v>
      </c>
      <c r="S14" t="str">
        <f>"13:50:30.672"</f>
        <v>13:50:30.672</v>
      </c>
      <c r="T14" t="str">
        <f>"13:50:30.273"</f>
        <v>13:50:30.273</v>
      </c>
      <c r="U14" t="str">
        <f t="shared" si="0"/>
        <v>ad5732</v>
      </c>
      <c r="V14">
        <v>0</v>
      </c>
      <c r="W14">
        <v>0</v>
      </c>
      <c r="X14">
        <v>1</v>
      </c>
      <c r="Z14">
        <v>0</v>
      </c>
      <c r="AA14">
        <v>9</v>
      </c>
      <c r="AB14">
        <v>3</v>
      </c>
      <c r="AC14">
        <v>0</v>
      </c>
      <c r="AD14">
        <v>10</v>
      </c>
      <c r="AE14">
        <v>0</v>
      </c>
      <c r="AF14">
        <v>3</v>
      </c>
      <c r="AG14">
        <v>2</v>
      </c>
      <c r="AH14">
        <v>0</v>
      </c>
      <c r="AI14" t="s">
        <v>146</v>
      </c>
      <c r="AJ14">
        <v>39.096544000000002</v>
      </c>
      <c r="AK14" t="s">
        <v>147</v>
      </c>
      <c r="AL14">
        <v>-77.565858000000006</v>
      </c>
      <c r="AM14">
        <v>100</v>
      </c>
      <c r="AN14">
        <v>700</v>
      </c>
      <c r="AO14" t="s">
        <v>115</v>
      </c>
      <c r="AP14">
        <v>-38</v>
      </c>
      <c r="AQ14">
        <v>109</v>
      </c>
      <c r="AR14">
        <v>832</v>
      </c>
      <c r="AZ14">
        <v>3614</v>
      </c>
      <c r="BA14">
        <v>1</v>
      </c>
      <c r="BB14" t="str">
        <f t="shared" si="2"/>
        <v xml:space="preserve">N959MJ  </v>
      </c>
      <c r="BC14">
        <v>1</v>
      </c>
      <c r="BE14">
        <v>0</v>
      </c>
      <c r="BF14">
        <v>0</v>
      </c>
      <c r="BG14">
        <v>0</v>
      </c>
      <c r="BH14">
        <v>950</v>
      </c>
      <c r="BI14">
        <v>250</v>
      </c>
      <c r="BJ14">
        <v>1</v>
      </c>
      <c r="BK14">
        <v>1</v>
      </c>
      <c r="BL14">
        <v>1</v>
      </c>
      <c r="BM14">
        <v>0</v>
      </c>
      <c r="BP14">
        <v>0</v>
      </c>
      <c r="BQ14">
        <v>0</v>
      </c>
      <c r="BX14" t="str">
        <f>"13:50:30.680"</f>
        <v>13:50:30.680</v>
      </c>
      <c r="BY14" t="str">
        <f>"679641705"</f>
        <v>679641705</v>
      </c>
      <c r="CL14">
        <v>3</v>
      </c>
      <c r="CM14">
        <v>2</v>
      </c>
      <c r="CN14">
        <v>0</v>
      </c>
      <c r="CO14">
        <v>2</v>
      </c>
      <c r="CP14">
        <v>0</v>
      </c>
      <c r="CQ14">
        <v>6</v>
      </c>
      <c r="CR14" t="s">
        <v>116</v>
      </c>
      <c r="CS14">
        <v>147</v>
      </c>
      <c r="CT14">
        <v>3</v>
      </c>
      <c r="CU14" t="s">
        <v>117</v>
      </c>
      <c r="CV14" t="s">
        <v>118</v>
      </c>
      <c r="CY14">
        <v>15799444</v>
      </c>
      <c r="CZ14" t="s">
        <v>119</v>
      </c>
    </row>
    <row r="15" spans="1:104" x14ac:dyDescent="0.25">
      <c r="A15" t="str">
        <f>"13:50:31.906"</f>
        <v>13:50:31.906</v>
      </c>
      <c r="B15" t="s">
        <v>108</v>
      </c>
      <c r="C15" t="str">
        <f t="shared" si="1"/>
        <v>ffdfd3c0</v>
      </c>
      <c r="D15" t="s">
        <v>109</v>
      </c>
      <c r="E15">
        <v>4</v>
      </c>
      <c r="F15">
        <v>1004</v>
      </c>
      <c r="G15" t="s">
        <v>110</v>
      </c>
      <c r="J15" t="s">
        <v>111</v>
      </c>
      <c r="K15">
        <v>0</v>
      </c>
      <c r="L15">
        <v>3</v>
      </c>
      <c r="M15">
        <v>0</v>
      </c>
      <c r="N15">
        <v>2</v>
      </c>
      <c r="O15">
        <v>1</v>
      </c>
      <c r="P15">
        <v>0</v>
      </c>
      <c r="Q15">
        <v>0</v>
      </c>
      <c r="R15" t="s">
        <v>112</v>
      </c>
      <c r="S15" t="str">
        <f>"13:50:31.703"</f>
        <v>13:50:31.703</v>
      </c>
      <c r="T15" t="str">
        <f>"13:50:31.305"</f>
        <v>13:50:31.305</v>
      </c>
      <c r="U15" t="str">
        <f t="shared" si="0"/>
        <v>ad5732</v>
      </c>
      <c r="V15">
        <v>0</v>
      </c>
      <c r="W15">
        <v>0</v>
      </c>
      <c r="X15">
        <v>1</v>
      </c>
      <c r="Z15">
        <v>0</v>
      </c>
      <c r="AA15">
        <v>9</v>
      </c>
      <c r="AB15">
        <v>3</v>
      </c>
      <c r="AC15">
        <v>0</v>
      </c>
      <c r="AD15">
        <v>10</v>
      </c>
      <c r="AE15">
        <v>0</v>
      </c>
      <c r="AF15">
        <v>3</v>
      </c>
      <c r="AG15">
        <v>2</v>
      </c>
      <c r="AH15">
        <v>0</v>
      </c>
      <c r="AI15" t="s">
        <v>148</v>
      </c>
      <c r="AJ15">
        <v>39.097037</v>
      </c>
      <c r="AK15" t="s">
        <v>149</v>
      </c>
      <c r="AL15">
        <v>-77.566094000000007</v>
      </c>
      <c r="AM15">
        <v>100</v>
      </c>
      <c r="AN15">
        <v>700</v>
      </c>
      <c r="AO15" t="s">
        <v>115</v>
      </c>
      <c r="AP15">
        <v>-38</v>
      </c>
      <c r="AQ15">
        <v>110</v>
      </c>
      <c r="AR15">
        <v>704</v>
      </c>
      <c r="AZ15">
        <v>3614</v>
      </c>
      <c r="BA15">
        <v>1</v>
      </c>
      <c r="BB15" t="str">
        <f t="shared" si="2"/>
        <v xml:space="preserve">N959MJ  </v>
      </c>
      <c r="BC15">
        <v>1</v>
      </c>
      <c r="BE15">
        <v>0</v>
      </c>
      <c r="BF15">
        <v>0</v>
      </c>
      <c r="BG15">
        <v>0</v>
      </c>
      <c r="BH15">
        <v>975</v>
      </c>
      <c r="BI15">
        <v>275</v>
      </c>
      <c r="BJ15">
        <v>1</v>
      </c>
      <c r="BK15">
        <v>1</v>
      </c>
      <c r="BL15">
        <v>1</v>
      </c>
      <c r="BM15">
        <v>0</v>
      </c>
      <c r="BP15">
        <v>0</v>
      </c>
      <c r="BQ15">
        <v>0</v>
      </c>
      <c r="BX15" t="str">
        <f>"13:50:31.703"</f>
        <v>13:50:31.703</v>
      </c>
      <c r="BY15" t="str">
        <f>"703657647"</f>
        <v>703657647</v>
      </c>
      <c r="CL15">
        <v>3</v>
      </c>
      <c r="CM15">
        <v>2</v>
      </c>
      <c r="CN15">
        <v>0</v>
      </c>
      <c r="CO15">
        <v>2</v>
      </c>
      <c r="CP15">
        <v>0</v>
      </c>
      <c r="CQ15">
        <v>6</v>
      </c>
      <c r="CR15" t="s">
        <v>116</v>
      </c>
      <c r="CS15">
        <v>147</v>
      </c>
      <c r="CT15">
        <v>3</v>
      </c>
      <c r="CU15" t="s">
        <v>117</v>
      </c>
      <c r="CV15" t="s">
        <v>118</v>
      </c>
      <c r="CY15">
        <v>15801096</v>
      </c>
      <c r="CZ15" t="s">
        <v>119</v>
      </c>
    </row>
    <row r="16" spans="1:104" x14ac:dyDescent="0.25">
      <c r="A16" t="str">
        <f>"13:50:32.969"</f>
        <v>13:50:32.969</v>
      </c>
      <c r="B16" t="s">
        <v>108</v>
      </c>
      <c r="C16" t="str">
        <f t="shared" si="1"/>
        <v>ffdfd3c0</v>
      </c>
      <c r="D16" t="s">
        <v>109</v>
      </c>
      <c r="E16">
        <v>4</v>
      </c>
      <c r="F16">
        <v>1004</v>
      </c>
      <c r="G16" t="s">
        <v>110</v>
      </c>
      <c r="J16" t="s">
        <v>111</v>
      </c>
      <c r="K16">
        <v>0</v>
      </c>
      <c r="L16">
        <v>3</v>
      </c>
      <c r="M16">
        <v>0</v>
      </c>
      <c r="N16">
        <v>2</v>
      </c>
      <c r="O16">
        <v>1</v>
      </c>
      <c r="P16">
        <v>0</v>
      </c>
      <c r="Q16">
        <v>0</v>
      </c>
      <c r="R16" t="s">
        <v>112</v>
      </c>
      <c r="S16" t="str">
        <f>"13:50:32.766"</f>
        <v>13:50:32.766</v>
      </c>
      <c r="T16" t="str">
        <f>"13:50:32.266"</f>
        <v>13:50:32.266</v>
      </c>
      <c r="U16" t="str">
        <f t="shared" si="0"/>
        <v>ad5732</v>
      </c>
      <c r="V16">
        <v>0</v>
      </c>
      <c r="W16">
        <v>0</v>
      </c>
      <c r="X16">
        <v>1</v>
      </c>
      <c r="Z16">
        <v>0</v>
      </c>
      <c r="AA16">
        <v>9</v>
      </c>
      <c r="AB16">
        <v>3</v>
      </c>
      <c r="AC16">
        <v>0</v>
      </c>
      <c r="AD16">
        <v>10</v>
      </c>
      <c r="AE16">
        <v>0</v>
      </c>
      <c r="AF16">
        <v>3</v>
      </c>
      <c r="AG16">
        <v>2</v>
      </c>
      <c r="AH16">
        <v>0</v>
      </c>
      <c r="AI16" t="s">
        <v>150</v>
      </c>
      <c r="AJ16">
        <v>39.097594999999998</v>
      </c>
      <c r="AK16" t="s">
        <v>151</v>
      </c>
      <c r="AL16">
        <v>-77.566351999999995</v>
      </c>
      <c r="AM16">
        <v>100</v>
      </c>
      <c r="AN16">
        <v>800</v>
      </c>
      <c r="AO16" t="s">
        <v>115</v>
      </c>
      <c r="AP16">
        <v>-38</v>
      </c>
      <c r="AQ16">
        <v>110</v>
      </c>
      <c r="AR16">
        <v>768</v>
      </c>
      <c r="AZ16">
        <v>3614</v>
      </c>
      <c r="BA16">
        <v>1</v>
      </c>
      <c r="BB16" t="str">
        <f t="shared" si="2"/>
        <v xml:space="preserve">N959MJ  </v>
      </c>
      <c r="BC16">
        <v>1</v>
      </c>
      <c r="BE16">
        <v>0</v>
      </c>
      <c r="BF16">
        <v>0</v>
      </c>
      <c r="BG16">
        <v>0</v>
      </c>
      <c r="BH16">
        <v>975</v>
      </c>
      <c r="BI16">
        <v>175</v>
      </c>
      <c r="BJ16">
        <v>1</v>
      </c>
      <c r="BK16">
        <v>1</v>
      </c>
      <c r="BL16">
        <v>1</v>
      </c>
      <c r="BM16">
        <v>0</v>
      </c>
      <c r="BP16">
        <v>0</v>
      </c>
      <c r="BQ16">
        <v>0</v>
      </c>
      <c r="BX16" t="str">
        <f>"13:50:32.773"</f>
        <v>13:50:32.773</v>
      </c>
      <c r="BY16" t="str">
        <f>"770272629"</f>
        <v>770272629</v>
      </c>
      <c r="CL16">
        <v>3</v>
      </c>
      <c r="CM16">
        <v>2</v>
      </c>
      <c r="CN16">
        <v>0</v>
      </c>
      <c r="CO16">
        <v>2</v>
      </c>
      <c r="CP16">
        <v>0</v>
      </c>
      <c r="CQ16">
        <v>6</v>
      </c>
      <c r="CR16" t="s">
        <v>116</v>
      </c>
      <c r="CS16">
        <v>147</v>
      </c>
      <c r="CT16">
        <v>3</v>
      </c>
      <c r="CU16" t="s">
        <v>117</v>
      </c>
      <c r="CV16" t="s">
        <v>118</v>
      </c>
      <c r="CY16">
        <v>15802909</v>
      </c>
      <c r="CZ16" t="s">
        <v>119</v>
      </c>
    </row>
    <row r="17" spans="1:104" x14ac:dyDescent="0.25">
      <c r="A17" t="str">
        <f>"13:50:34.023"</f>
        <v>13:50:34.023</v>
      </c>
      <c r="B17" t="s">
        <v>108</v>
      </c>
      <c r="C17" t="str">
        <f t="shared" si="1"/>
        <v>ffdfd3c0</v>
      </c>
      <c r="D17" t="s">
        <v>109</v>
      </c>
      <c r="E17">
        <v>4</v>
      </c>
      <c r="F17">
        <v>1004</v>
      </c>
      <c r="G17" t="s">
        <v>110</v>
      </c>
      <c r="J17" t="s">
        <v>111</v>
      </c>
      <c r="K17">
        <v>0</v>
      </c>
      <c r="L17">
        <v>3</v>
      </c>
      <c r="M17">
        <v>0</v>
      </c>
      <c r="N17">
        <v>2</v>
      </c>
      <c r="O17">
        <v>1</v>
      </c>
      <c r="P17">
        <v>0</v>
      </c>
      <c r="Q17">
        <v>0</v>
      </c>
      <c r="R17" t="s">
        <v>112</v>
      </c>
      <c r="S17" t="str">
        <f>"13:50:33.805"</f>
        <v>13:50:33.805</v>
      </c>
      <c r="T17" t="str">
        <f>"13:50:33.406"</f>
        <v>13:50:33.406</v>
      </c>
      <c r="U17" t="str">
        <f t="shared" si="0"/>
        <v>ad5732</v>
      </c>
      <c r="V17">
        <v>0</v>
      </c>
      <c r="W17">
        <v>0</v>
      </c>
      <c r="X17">
        <v>1</v>
      </c>
      <c r="Z17">
        <v>0</v>
      </c>
      <c r="AA17">
        <v>9</v>
      </c>
      <c r="AB17">
        <v>3</v>
      </c>
      <c r="AC17">
        <v>0</v>
      </c>
      <c r="AD17">
        <v>10</v>
      </c>
      <c r="AE17">
        <v>0</v>
      </c>
      <c r="AF17">
        <v>3</v>
      </c>
      <c r="AG17">
        <v>2</v>
      </c>
      <c r="AH17">
        <v>0</v>
      </c>
      <c r="AI17" t="s">
        <v>152</v>
      </c>
      <c r="AJ17">
        <v>39.098109999999998</v>
      </c>
      <c r="AK17" t="s">
        <v>153</v>
      </c>
      <c r="AL17">
        <v>-77.566587999999996</v>
      </c>
      <c r="AM17">
        <v>100</v>
      </c>
      <c r="AN17">
        <v>800</v>
      </c>
      <c r="AO17" t="s">
        <v>115</v>
      </c>
      <c r="AP17">
        <v>-38</v>
      </c>
      <c r="AQ17">
        <v>111</v>
      </c>
      <c r="AR17">
        <v>704</v>
      </c>
      <c r="AZ17">
        <v>3614</v>
      </c>
      <c r="BA17">
        <v>1</v>
      </c>
      <c r="BB17" t="str">
        <f t="shared" si="2"/>
        <v xml:space="preserve">N959MJ  </v>
      </c>
      <c r="BC17">
        <v>1</v>
      </c>
      <c r="BE17">
        <v>0</v>
      </c>
      <c r="BF17">
        <v>0</v>
      </c>
      <c r="BG17">
        <v>0</v>
      </c>
      <c r="BH17">
        <v>1000</v>
      </c>
      <c r="BI17">
        <v>200</v>
      </c>
      <c r="BJ17">
        <v>1</v>
      </c>
      <c r="BK17">
        <v>1</v>
      </c>
      <c r="BL17">
        <v>1</v>
      </c>
      <c r="BM17">
        <v>0</v>
      </c>
      <c r="BP17">
        <v>0</v>
      </c>
      <c r="BQ17">
        <v>0</v>
      </c>
      <c r="BX17" t="str">
        <f>"13:50:33.805"</f>
        <v>13:50:33.805</v>
      </c>
      <c r="BY17" t="str">
        <f>"807395974"</f>
        <v>807395974</v>
      </c>
      <c r="CL17">
        <v>3</v>
      </c>
      <c r="CM17">
        <v>2</v>
      </c>
      <c r="CN17">
        <v>0</v>
      </c>
      <c r="CO17">
        <v>2</v>
      </c>
      <c r="CP17">
        <v>0</v>
      </c>
      <c r="CQ17">
        <v>6</v>
      </c>
      <c r="CR17" t="s">
        <v>116</v>
      </c>
      <c r="CS17">
        <v>147</v>
      </c>
      <c r="CT17">
        <v>3</v>
      </c>
      <c r="CU17" t="s">
        <v>117</v>
      </c>
      <c r="CV17" t="s">
        <v>118</v>
      </c>
      <c r="CY17">
        <v>15804607</v>
      </c>
      <c r="CZ17" t="s">
        <v>119</v>
      </c>
    </row>
    <row r="18" spans="1:104" x14ac:dyDescent="0.25">
      <c r="A18" t="str">
        <f>"13:50:34.938"</f>
        <v>13:50:34.938</v>
      </c>
      <c r="B18" t="s">
        <v>108</v>
      </c>
      <c r="C18" t="str">
        <f t="shared" si="1"/>
        <v>ffdfd3c0</v>
      </c>
      <c r="D18" t="s">
        <v>109</v>
      </c>
      <c r="E18">
        <v>4</v>
      </c>
      <c r="F18">
        <v>1004</v>
      </c>
      <c r="G18" t="s">
        <v>110</v>
      </c>
      <c r="J18" t="s">
        <v>111</v>
      </c>
      <c r="K18">
        <v>0</v>
      </c>
      <c r="L18">
        <v>3</v>
      </c>
      <c r="M18">
        <v>0</v>
      </c>
      <c r="N18">
        <v>2</v>
      </c>
      <c r="O18">
        <v>1</v>
      </c>
      <c r="P18">
        <v>0</v>
      </c>
      <c r="Q18">
        <v>0</v>
      </c>
      <c r="R18" t="s">
        <v>112</v>
      </c>
      <c r="S18" t="str">
        <f>"13:50:34.727"</f>
        <v>13:50:34.727</v>
      </c>
      <c r="T18" t="str">
        <f>"13:50:34.227"</f>
        <v>13:50:34.227</v>
      </c>
      <c r="U18" t="str">
        <f t="shared" si="0"/>
        <v>ad5732</v>
      </c>
      <c r="V18">
        <v>0</v>
      </c>
      <c r="W18">
        <v>0</v>
      </c>
      <c r="X18">
        <v>1</v>
      </c>
      <c r="Z18">
        <v>0</v>
      </c>
      <c r="AA18">
        <v>9</v>
      </c>
      <c r="AB18">
        <v>3</v>
      </c>
      <c r="AC18">
        <v>0</v>
      </c>
      <c r="AD18">
        <v>10</v>
      </c>
      <c r="AE18">
        <v>0</v>
      </c>
      <c r="AF18">
        <v>3</v>
      </c>
      <c r="AG18">
        <v>2</v>
      </c>
      <c r="AH18">
        <v>0</v>
      </c>
      <c r="AI18" t="s">
        <v>154</v>
      </c>
      <c r="AJ18">
        <v>39.098560999999997</v>
      </c>
      <c r="AK18" t="s">
        <v>155</v>
      </c>
      <c r="AL18">
        <v>-77.566760000000002</v>
      </c>
      <c r="AM18">
        <v>100</v>
      </c>
      <c r="AN18">
        <v>800</v>
      </c>
      <c r="AO18" t="s">
        <v>115</v>
      </c>
      <c r="AP18">
        <v>-38</v>
      </c>
      <c r="AQ18">
        <v>111</v>
      </c>
      <c r="AR18">
        <v>640</v>
      </c>
      <c r="AZ18">
        <v>3614</v>
      </c>
      <c r="BA18">
        <v>1</v>
      </c>
      <c r="BB18" t="str">
        <f t="shared" si="2"/>
        <v xml:space="preserve">N959MJ  </v>
      </c>
      <c r="BC18">
        <v>1</v>
      </c>
      <c r="BE18">
        <v>0</v>
      </c>
      <c r="BF18">
        <v>0</v>
      </c>
      <c r="BG18">
        <v>0</v>
      </c>
      <c r="BH18">
        <v>1000</v>
      </c>
      <c r="BI18">
        <v>200</v>
      </c>
      <c r="BJ18">
        <v>1</v>
      </c>
      <c r="BK18">
        <v>1</v>
      </c>
      <c r="BL18">
        <v>1</v>
      </c>
      <c r="BM18">
        <v>0</v>
      </c>
      <c r="BP18">
        <v>0</v>
      </c>
      <c r="BQ18">
        <v>0</v>
      </c>
      <c r="BX18" t="str">
        <f>"13:50:34.734"</f>
        <v>13:50:34.734</v>
      </c>
      <c r="BY18" t="str">
        <f>"733106384"</f>
        <v>733106384</v>
      </c>
      <c r="CL18">
        <v>3</v>
      </c>
      <c r="CM18">
        <v>2</v>
      </c>
      <c r="CN18">
        <v>0</v>
      </c>
      <c r="CO18">
        <v>2</v>
      </c>
      <c r="CP18">
        <v>0</v>
      </c>
      <c r="CQ18">
        <v>6</v>
      </c>
      <c r="CR18" t="s">
        <v>116</v>
      </c>
      <c r="CS18">
        <v>147</v>
      </c>
      <c r="CT18">
        <v>3</v>
      </c>
      <c r="CU18" t="s">
        <v>117</v>
      </c>
      <c r="CV18" t="s">
        <v>118</v>
      </c>
      <c r="CY18">
        <v>15806033</v>
      </c>
      <c r="CZ18" t="s">
        <v>119</v>
      </c>
    </row>
    <row r="19" spans="1:104" x14ac:dyDescent="0.25">
      <c r="A19" t="str">
        <f>"13:50:35.992"</f>
        <v>13:50:35.992</v>
      </c>
      <c r="B19" t="s">
        <v>108</v>
      </c>
      <c r="C19" t="str">
        <f t="shared" si="1"/>
        <v>ffdfd3c0</v>
      </c>
      <c r="D19" t="s">
        <v>109</v>
      </c>
      <c r="E19">
        <v>4</v>
      </c>
      <c r="F19">
        <v>1004</v>
      </c>
      <c r="G19" t="s">
        <v>110</v>
      </c>
      <c r="J19" t="s">
        <v>111</v>
      </c>
      <c r="K19">
        <v>0</v>
      </c>
      <c r="L19">
        <v>3</v>
      </c>
      <c r="M19">
        <v>0</v>
      </c>
      <c r="N19">
        <v>2</v>
      </c>
      <c r="O19">
        <v>1</v>
      </c>
      <c r="P19">
        <v>0</v>
      </c>
      <c r="Q19">
        <v>0</v>
      </c>
      <c r="R19" t="s">
        <v>112</v>
      </c>
      <c r="S19" t="str">
        <f>"13:50:35.820"</f>
        <v>13:50:35.820</v>
      </c>
      <c r="T19" t="str">
        <f>"13:50:35.320"</f>
        <v>13:50:35.320</v>
      </c>
      <c r="U19" t="str">
        <f t="shared" si="0"/>
        <v>ad5732</v>
      </c>
      <c r="V19">
        <v>0</v>
      </c>
      <c r="W19">
        <v>0</v>
      </c>
      <c r="X19">
        <v>1</v>
      </c>
      <c r="Z19">
        <v>0</v>
      </c>
      <c r="AA19">
        <v>9</v>
      </c>
      <c r="AB19">
        <v>3</v>
      </c>
      <c r="AC19">
        <v>0</v>
      </c>
      <c r="AD19">
        <v>10</v>
      </c>
      <c r="AE19">
        <v>0</v>
      </c>
      <c r="AF19">
        <v>3</v>
      </c>
      <c r="AG19">
        <v>2</v>
      </c>
      <c r="AH19">
        <v>0</v>
      </c>
      <c r="AI19" t="s">
        <v>156</v>
      </c>
      <c r="AJ19">
        <v>39.099139999999998</v>
      </c>
      <c r="AK19" t="s">
        <v>157</v>
      </c>
      <c r="AL19">
        <v>-77.567017000000007</v>
      </c>
      <c r="AM19">
        <v>100</v>
      </c>
      <c r="AN19">
        <v>800</v>
      </c>
      <c r="AO19" t="s">
        <v>115</v>
      </c>
      <c r="AP19">
        <v>-38</v>
      </c>
      <c r="AQ19">
        <v>112</v>
      </c>
      <c r="AR19">
        <v>640</v>
      </c>
      <c r="AZ19">
        <v>3614</v>
      </c>
      <c r="BA19">
        <v>1</v>
      </c>
      <c r="BB19" t="str">
        <f t="shared" si="2"/>
        <v xml:space="preserve">N959MJ  </v>
      </c>
      <c r="BC19">
        <v>1</v>
      </c>
      <c r="BE19">
        <v>0</v>
      </c>
      <c r="BF19">
        <v>0</v>
      </c>
      <c r="BG19">
        <v>0</v>
      </c>
      <c r="BH19">
        <v>1025</v>
      </c>
      <c r="BI19">
        <v>225</v>
      </c>
      <c r="BJ19">
        <v>1</v>
      </c>
      <c r="BK19">
        <v>1</v>
      </c>
      <c r="BL19">
        <v>1</v>
      </c>
      <c r="BM19">
        <v>0</v>
      </c>
      <c r="BP19">
        <v>0</v>
      </c>
      <c r="BQ19">
        <v>0</v>
      </c>
      <c r="BX19" t="str">
        <f>"13:50:35.820"</f>
        <v>13:50:35.820</v>
      </c>
      <c r="BY19" t="str">
        <f>"821020911"</f>
        <v>821020911</v>
      </c>
      <c r="CL19">
        <v>3</v>
      </c>
      <c r="CM19">
        <v>2</v>
      </c>
      <c r="CN19">
        <v>0</v>
      </c>
      <c r="CO19">
        <v>2</v>
      </c>
      <c r="CP19">
        <v>0</v>
      </c>
      <c r="CQ19">
        <v>6</v>
      </c>
      <c r="CR19" t="s">
        <v>116</v>
      </c>
      <c r="CS19">
        <v>147</v>
      </c>
      <c r="CT19">
        <v>3</v>
      </c>
      <c r="CU19" t="s">
        <v>117</v>
      </c>
      <c r="CV19" t="s">
        <v>118</v>
      </c>
      <c r="CY19">
        <v>15807729</v>
      </c>
      <c r="CZ19" t="s">
        <v>119</v>
      </c>
    </row>
    <row r="20" spans="1:104" x14ac:dyDescent="0.25">
      <c r="A20" t="str">
        <f>"13:50:37.109"</f>
        <v>13:50:37.109</v>
      </c>
      <c r="B20" t="s">
        <v>108</v>
      </c>
      <c r="C20" t="str">
        <f t="shared" si="1"/>
        <v>ffdfd3c0</v>
      </c>
      <c r="D20" t="s">
        <v>109</v>
      </c>
      <c r="E20">
        <v>4</v>
      </c>
      <c r="F20">
        <v>1004</v>
      </c>
      <c r="G20" t="s">
        <v>110</v>
      </c>
      <c r="J20" t="s">
        <v>111</v>
      </c>
      <c r="K20">
        <v>0</v>
      </c>
      <c r="L20">
        <v>3</v>
      </c>
      <c r="M20">
        <v>0</v>
      </c>
      <c r="N20">
        <v>2</v>
      </c>
      <c r="O20">
        <v>1</v>
      </c>
      <c r="P20">
        <v>0</v>
      </c>
      <c r="Q20">
        <v>0</v>
      </c>
      <c r="R20" t="s">
        <v>112</v>
      </c>
      <c r="S20" t="str">
        <f>"13:50:36.938"</f>
        <v>13:50:36.938</v>
      </c>
      <c r="T20" t="str">
        <f>"13:50:36.438"</f>
        <v>13:50:36.438</v>
      </c>
      <c r="U20" t="str">
        <f t="shared" si="0"/>
        <v>ad5732</v>
      </c>
      <c r="V20">
        <v>0</v>
      </c>
      <c r="W20">
        <v>0</v>
      </c>
      <c r="X20">
        <v>1</v>
      </c>
      <c r="Z20">
        <v>0</v>
      </c>
      <c r="AA20">
        <v>9</v>
      </c>
      <c r="AB20">
        <v>3</v>
      </c>
      <c r="AC20">
        <v>0</v>
      </c>
      <c r="AD20">
        <v>10</v>
      </c>
      <c r="AE20">
        <v>0</v>
      </c>
      <c r="AF20">
        <v>3</v>
      </c>
      <c r="AG20">
        <v>2</v>
      </c>
      <c r="AH20">
        <v>0</v>
      </c>
      <c r="AI20" t="s">
        <v>158</v>
      </c>
      <c r="AJ20">
        <v>39.099697999999997</v>
      </c>
      <c r="AK20" t="s">
        <v>159</v>
      </c>
      <c r="AL20">
        <v>-77.567295999999999</v>
      </c>
      <c r="AM20">
        <v>100</v>
      </c>
      <c r="AN20">
        <v>800</v>
      </c>
      <c r="AO20" t="s">
        <v>115</v>
      </c>
      <c r="AP20">
        <v>-38</v>
      </c>
      <c r="AQ20">
        <v>113</v>
      </c>
      <c r="AR20">
        <v>576</v>
      </c>
      <c r="AZ20">
        <v>3614</v>
      </c>
      <c r="BA20">
        <v>1</v>
      </c>
      <c r="BB20" t="str">
        <f t="shared" si="2"/>
        <v xml:space="preserve">N959MJ  </v>
      </c>
      <c r="BC20">
        <v>1</v>
      </c>
      <c r="BE20">
        <v>0</v>
      </c>
      <c r="BF20">
        <v>0</v>
      </c>
      <c r="BG20">
        <v>0</v>
      </c>
      <c r="BH20">
        <v>1025</v>
      </c>
      <c r="BI20">
        <v>225</v>
      </c>
      <c r="BJ20">
        <v>1</v>
      </c>
      <c r="BK20">
        <v>1</v>
      </c>
      <c r="BL20">
        <v>1</v>
      </c>
      <c r="BM20">
        <v>0</v>
      </c>
      <c r="BP20">
        <v>0</v>
      </c>
      <c r="BQ20">
        <v>0</v>
      </c>
      <c r="BX20" t="str">
        <f>"13:50:36.938"</f>
        <v>13:50:36.938</v>
      </c>
      <c r="BY20" t="str">
        <f>"940065523"</f>
        <v>940065523</v>
      </c>
      <c r="CL20">
        <v>3</v>
      </c>
      <c r="CM20">
        <v>2</v>
      </c>
      <c r="CN20">
        <v>0</v>
      </c>
      <c r="CO20">
        <v>2</v>
      </c>
      <c r="CP20">
        <v>0</v>
      </c>
      <c r="CQ20">
        <v>6</v>
      </c>
      <c r="CR20" t="s">
        <v>116</v>
      </c>
      <c r="CS20">
        <v>147</v>
      </c>
      <c r="CT20">
        <v>3</v>
      </c>
      <c r="CU20" t="s">
        <v>117</v>
      </c>
      <c r="CV20" t="s">
        <v>118</v>
      </c>
      <c r="CY20">
        <v>15809556</v>
      </c>
      <c r="CZ20" t="s">
        <v>119</v>
      </c>
    </row>
    <row r="21" spans="1:104" x14ac:dyDescent="0.25">
      <c r="A21" t="str">
        <f>"13:50:38.117"</f>
        <v>13:50:38.117</v>
      </c>
      <c r="B21" t="s">
        <v>108</v>
      </c>
      <c r="C21" t="str">
        <f t="shared" si="1"/>
        <v>ffdfd3c0</v>
      </c>
      <c r="D21" t="s">
        <v>109</v>
      </c>
      <c r="E21">
        <v>4</v>
      </c>
      <c r="F21">
        <v>1004</v>
      </c>
      <c r="G21" t="s">
        <v>110</v>
      </c>
      <c r="J21" t="s">
        <v>111</v>
      </c>
      <c r="K21">
        <v>0</v>
      </c>
      <c r="L21">
        <v>3</v>
      </c>
      <c r="M21">
        <v>0</v>
      </c>
      <c r="N21">
        <v>2</v>
      </c>
      <c r="O21">
        <v>1</v>
      </c>
      <c r="P21">
        <v>0</v>
      </c>
      <c r="Q21">
        <v>0</v>
      </c>
      <c r="R21" t="s">
        <v>112</v>
      </c>
      <c r="S21" t="str">
        <f>"13:50:37.922"</f>
        <v>13:50:37.922</v>
      </c>
      <c r="T21" t="str">
        <f>"13:50:37.523"</f>
        <v>13:50:37.523</v>
      </c>
      <c r="U21" t="str">
        <f t="shared" si="0"/>
        <v>ad5732</v>
      </c>
      <c r="V21">
        <v>0</v>
      </c>
      <c r="W21">
        <v>0</v>
      </c>
      <c r="X21">
        <v>1</v>
      </c>
      <c r="Z21">
        <v>0</v>
      </c>
      <c r="AA21">
        <v>9</v>
      </c>
      <c r="AB21">
        <v>3</v>
      </c>
      <c r="AC21">
        <v>0</v>
      </c>
      <c r="AD21">
        <v>10</v>
      </c>
      <c r="AE21">
        <v>0</v>
      </c>
      <c r="AF21">
        <v>3</v>
      </c>
      <c r="AG21">
        <v>2</v>
      </c>
      <c r="AH21">
        <v>0</v>
      </c>
      <c r="AI21" t="s">
        <v>160</v>
      </c>
      <c r="AJ21">
        <v>39.100256000000002</v>
      </c>
      <c r="AK21" t="s">
        <v>161</v>
      </c>
      <c r="AL21">
        <v>-77.567468000000005</v>
      </c>
      <c r="AM21">
        <v>100</v>
      </c>
      <c r="AN21">
        <v>800</v>
      </c>
      <c r="AO21" t="s">
        <v>115</v>
      </c>
      <c r="AP21">
        <v>-37</v>
      </c>
      <c r="AQ21">
        <v>114</v>
      </c>
      <c r="AR21">
        <v>640</v>
      </c>
      <c r="AZ21">
        <v>3614</v>
      </c>
      <c r="BA21">
        <v>1</v>
      </c>
      <c r="BB21" t="str">
        <f t="shared" si="2"/>
        <v xml:space="preserve">N959MJ  </v>
      </c>
      <c r="BC21">
        <v>1</v>
      </c>
      <c r="BE21">
        <v>0</v>
      </c>
      <c r="BF21">
        <v>0</v>
      </c>
      <c r="BG21">
        <v>0</v>
      </c>
      <c r="BH21">
        <v>1050</v>
      </c>
      <c r="BI21">
        <v>250</v>
      </c>
      <c r="BJ21">
        <v>1</v>
      </c>
      <c r="BK21">
        <v>1</v>
      </c>
      <c r="BL21">
        <v>1</v>
      </c>
      <c r="BM21">
        <v>0</v>
      </c>
      <c r="BP21">
        <v>0</v>
      </c>
      <c r="BQ21">
        <v>0</v>
      </c>
      <c r="BX21" t="str">
        <f>"13:50:37.922"</f>
        <v>13:50:37.922</v>
      </c>
      <c r="BY21" t="str">
        <f>"923120831"</f>
        <v>923120831</v>
      </c>
      <c r="CL21">
        <v>3</v>
      </c>
      <c r="CM21">
        <v>2</v>
      </c>
      <c r="CN21">
        <v>0</v>
      </c>
      <c r="CO21">
        <v>2</v>
      </c>
      <c r="CP21">
        <v>0</v>
      </c>
      <c r="CQ21">
        <v>6</v>
      </c>
      <c r="CR21" t="s">
        <v>116</v>
      </c>
      <c r="CS21">
        <v>147</v>
      </c>
      <c r="CT21">
        <v>3</v>
      </c>
      <c r="CU21" t="s">
        <v>117</v>
      </c>
      <c r="CV21" t="s">
        <v>118</v>
      </c>
      <c r="CY21">
        <v>15811237</v>
      </c>
      <c r="CZ21" t="s">
        <v>119</v>
      </c>
    </row>
    <row r="22" spans="1:104" x14ac:dyDescent="0.25">
      <c r="A22" t="str">
        <f>"13:50:39.273"</f>
        <v>13:50:39.273</v>
      </c>
      <c r="B22" t="s">
        <v>108</v>
      </c>
      <c r="C22" t="str">
        <f t="shared" si="1"/>
        <v>ffdfd3c0</v>
      </c>
      <c r="D22" t="s">
        <v>109</v>
      </c>
      <c r="E22">
        <v>4</v>
      </c>
      <c r="F22">
        <v>1004</v>
      </c>
      <c r="G22" t="s">
        <v>110</v>
      </c>
      <c r="J22" t="s">
        <v>111</v>
      </c>
      <c r="K22">
        <v>0</v>
      </c>
      <c r="L22">
        <v>3</v>
      </c>
      <c r="M22">
        <v>0</v>
      </c>
      <c r="N22">
        <v>2</v>
      </c>
      <c r="O22">
        <v>1</v>
      </c>
      <c r="P22">
        <v>0</v>
      </c>
      <c r="Q22">
        <v>0</v>
      </c>
      <c r="R22" t="s">
        <v>112</v>
      </c>
      <c r="S22" t="str">
        <f>"13:50:39.086"</f>
        <v>13:50:39.086</v>
      </c>
      <c r="T22" t="str">
        <f>"13:50:38.586"</f>
        <v>13:50:38.586</v>
      </c>
      <c r="U22" t="str">
        <f t="shared" si="0"/>
        <v>ad5732</v>
      </c>
      <c r="V22">
        <v>0</v>
      </c>
      <c r="W22">
        <v>0</v>
      </c>
      <c r="X22">
        <v>1</v>
      </c>
      <c r="Z22">
        <v>0</v>
      </c>
      <c r="AA22">
        <v>9</v>
      </c>
      <c r="AB22">
        <v>3</v>
      </c>
      <c r="AC22">
        <v>0</v>
      </c>
      <c r="AD22">
        <v>10</v>
      </c>
      <c r="AE22">
        <v>0</v>
      </c>
      <c r="AF22">
        <v>3</v>
      </c>
      <c r="AG22">
        <v>2</v>
      </c>
      <c r="AH22">
        <v>0</v>
      </c>
      <c r="AI22" t="s">
        <v>162</v>
      </c>
      <c r="AJ22">
        <v>39.100900000000003</v>
      </c>
      <c r="AK22" t="s">
        <v>163</v>
      </c>
      <c r="AL22">
        <v>-77.567768000000001</v>
      </c>
      <c r="AM22">
        <v>100</v>
      </c>
      <c r="AN22">
        <v>800</v>
      </c>
      <c r="AO22" t="s">
        <v>115</v>
      </c>
      <c r="AP22">
        <v>-37</v>
      </c>
      <c r="AQ22">
        <v>114</v>
      </c>
      <c r="AR22">
        <v>704</v>
      </c>
      <c r="AZ22">
        <v>3614</v>
      </c>
      <c r="BA22">
        <v>1</v>
      </c>
      <c r="BB22" t="str">
        <f t="shared" si="2"/>
        <v xml:space="preserve">N959MJ  </v>
      </c>
      <c r="BC22">
        <v>1</v>
      </c>
      <c r="BE22">
        <v>0</v>
      </c>
      <c r="BF22">
        <v>0</v>
      </c>
      <c r="BG22">
        <v>0</v>
      </c>
      <c r="BH22">
        <v>1050</v>
      </c>
      <c r="BI22">
        <v>250</v>
      </c>
      <c r="BJ22">
        <v>1</v>
      </c>
      <c r="BK22">
        <v>1</v>
      </c>
      <c r="BL22">
        <v>1</v>
      </c>
      <c r="BM22">
        <v>0</v>
      </c>
      <c r="BP22">
        <v>0</v>
      </c>
      <c r="BQ22">
        <v>0</v>
      </c>
      <c r="BX22" t="str">
        <f>"13:50:39.094"</f>
        <v>13:50:39.094</v>
      </c>
      <c r="BY22" t="str">
        <f>"091318239"</f>
        <v>091318239</v>
      </c>
      <c r="CL22">
        <v>3</v>
      </c>
      <c r="CM22">
        <v>2</v>
      </c>
      <c r="CN22">
        <v>0</v>
      </c>
      <c r="CO22">
        <v>2</v>
      </c>
      <c r="CP22">
        <v>0</v>
      </c>
      <c r="CQ22">
        <v>6</v>
      </c>
      <c r="CR22" t="s">
        <v>116</v>
      </c>
      <c r="CS22">
        <v>147</v>
      </c>
      <c r="CT22">
        <v>3</v>
      </c>
      <c r="CU22" t="s">
        <v>117</v>
      </c>
      <c r="CV22" t="s">
        <v>118</v>
      </c>
      <c r="CY22">
        <v>15813125</v>
      </c>
      <c r="CZ22" t="s">
        <v>119</v>
      </c>
    </row>
    <row r="23" spans="1:104" x14ac:dyDescent="0.25">
      <c r="A23" t="str">
        <f>"13:50:40.234"</f>
        <v>13:50:40.234</v>
      </c>
      <c r="B23" t="s">
        <v>108</v>
      </c>
      <c r="C23" t="str">
        <f t="shared" si="1"/>
        <v>ffdfd3c0</v>
      </c>
      <c r="D23" t="s">
        <v>109</v>
      </c>
      <c r="E23">
        <v>4</v>
      </c>
      <c r="F23">
        <v>1004</v>
      </c>
      <c r="G23" t="s">
        <v>110</v>
      </c>
      <c r="J23" t="s">
        <v>111</v>
      </c>
      <c r="K23">
        <v>0</v>
      </c>
      <c r="L23">
        <v>3</v>
      </c>
      <c r="M23">
        <v>0</v>
      </c>
      <c r="N23">
        <v>2</v>
      </c>
      <c r="O23">
        <v>1</v>
      </c>
      <c r="P23">
        <v>0</v>
      </c>
      <c r="Q23">
        <v>0</v>
      </c>
      <c r="R23" t="s">
        <v>112</v>
      </c>
      <c r="S23" t="str">
        <f>"13:50:40.039"</f>
        <v>13:50:40.039</v>
      </c>
      <c r="T23" t="str">
        <f>"13:50:39.641"</f>
        <v>13:50:39.641</v>
      </c>
      <c r="U23" t="str">
        <f t="shared" si="0"/>
        <v>ad5732</v>
      </c>
      <c r="V23">
        <v>0</v>
      </c>
      <c r="W23">
        <v>0</v>
      </c>
      <c r="X23">
        <v>1</v>
      </c>
      <c r="Z23">
        <v>0</v>
      </c>
      <c r="AA23">
        <v>9</v>
      </c>
      <c r="AB23">
        <v>3</v>
      </c>
      <c r="AC23">
        <v>0</v>
      </c>
      <c r="AD23">
        <v>10</v>
      </c>
      <c r="AE23">
        <v>0</v>
      </c>
      <c r="AF23">
        <v>3</v>
      </c>
      <c r="AG23">
        <v>2</v>
      </c>
      <c r="AH23">
        <v>0</v>
      </c>
      <c r="AI23" t="s">
        <v>164</v>
      </c>
      <c r="AJ23">
        <v>39.101371999999998</v>
      </c>
      <c r="AK23" t="s">
        <v>165</v>
      </c>
      <c r="AL23">
        <v>-77.567939999999993</v>
      </c>
      <c r="AM23">
        <v>100</v>
      </c>
      <c r="AN23">
        <v>800</v>
      </c>
      <c r="AO23" t="s">
        <v>115</v>
      </c>
      <c r="AP23">
        <v>-37</v>
      </c>
      <c r="AQ23">
        <v>115</v>
      </c>
      <c r="AR23">
        <v>768</v>
      </c>
      <c r="AZ23">
        <v>3614</v>
      </c>
      <c r="BA23">
        <v>1</v>
      </c>
      <c r="BB23" t="str">
        <f t="shared" si="2"/>
        <v xml:space="preserve">N959MJ  </v>
      </c>
      <c r="BC23">
        <v>1</v>
      </c>
      <c r="BE23">
        <v>0</v>
      </c>
      <c r="BF23">
        <v>0</v>
      </c>
      <c r="BG23">
        <v>0</v>
      </c>
      <c r="BH23">
        <v>1075</v>
      </c>
      <c r="BI23">
        <v>275</v>
      </c>
      <c r="BJ23">
        <v>1</v>
      </c>
      <c r="BK23">
        <v>1</v>
      </c>
      <c r="BL23">
        <v>1</v>
      </c>
      <c r="BM23">
        <v>0</v>
      </c>
      <c r="BP23">
        <v>0</v>
      </c>
      <c r="BQ23">
        <v>0</v>
      </c>
      <c r="BX23" t="str">
        <f>"13:50:40.047"</f>
        <v>13:50:40.047</v>
      </c>
      <c r="BY23" t="str">
        <f>"044881863"</f>
        <v>044881863</v>
      </c>
      <c r="CL23">
        <v>3</v>
      </c>
      <c r="CM23">
        <v>2</v>
      </c>
      <c r="CN23">
        <v>0</v>
      </c>
      <c r="CO23">
        <v>2</v>
      </c>
      <c r="CP23">
        <v>0</v>
      </c>
      <c r="CQ23">
        <v>7</v>
      </c>
      <c r="CR23" t="s">
        <v>116</v>
      </c>
      <c r="CS23">
        <v>147</v>
      </c>
      <c r="CT23">
        <v>3</v>
      </c>
      <c r="CU23" t="s">
        <v>117</v>
      </c>
      <c r="CV23" t="s">
        <v>118</v>
      </c>
      <c r="CY23">
        <v>15814607</v>
      </c>
      <c r="CZ23" t="s">
        <v>119</v>
      </c>
    </row>
    <row r="24" spans="1:104" x14ac:dyDescent="0.25">
      <c r="A24" t="str">
        <f>"13:50:41.094"</f>
        <v>13:50:41.094</v>
      </c>
      <c r="B24" t="s">
        <v>108</v>
      </c>
      <c r="C24" t="str">
        <f t="shared" si="1"/>
        <v>ffdfd3c0</v>
      </c>
      <c r="D24" t="s">
        <v>109</v>
      </c>
      <c r="E24">
        <v>4</v>
      </c>
      <c r="F24">
        <v>1004</v>
      </c>
      <c r="G24" t="s">
        <v>110</v>
      </c>
      <c r="J24" t="s">
        <v>111</v>
      </c>
      <c r="K24">
        <v>0</v>
      </c>
      <c r="L24">
        <v>3</v>
      </c>
      <c r="M24">
        <v>0</v>
      </c>
      <c r="N24">
        <v>2</v>
      </c>
      <c r="O24">
        <v>1</v>
      </c>
      <c r="P24">
        <v>0</v>
      </c>
      <c r="Q24">
        <v>0</v>
      </c>
      <c r="R24" t="s">
        <v>112</v>
      </c>
      <c r="S24" t="str">
        <f>"13:50:40.906"</f>
        <v>13:50:40.906</v>
      </c>
      <c r="T24" t="str">
        <f>"13:50:40.508"</f>
        <v>13:50:40.508</v>
      </c>
      <c r="U24" t="str">
        <f t="shared" si="0"/>
        <v>ad5732</v>
      </c>
      <c r="V24">
        <v>0</v>
      </c>
      <c r="W24">
        <v>0</v>
      </c>
      <c r="X24">
        <v>1</v>
      </c>
      <c r="Z24">
        <v>0</v>
      </c>
      <c r="AA24">
        <v>9</v>
      </c>
      <c r="AB24">
        <v>3</v>
      </c>
      <c r="AC24">
        <v>0</v>
      </c>
      <c r="AD24">
        <v>10</v>
      </c>
      <c r="AE24">
        <v>0</v>
      </c>
      <c r="AF24">
        <v>3</v>
      </c>
      <c r="AG24">
        <v>2</v>
      </c>
      <c r="AH24">
        <v>0</v>
      </c>
      <c r="AI24" t="s">
        <v>166</v>
      </c>
      <c r="AJ24">
        <v>39.101844</v>
      </c>
      <c r="AK24" t="s">
        <v>167</v>
      </c>
      <c r="AL24">
        <v>-77.568133000000003</v>
      </c>
      <c r="AM24">
        <v>100</v>
      </c>
      <c r="AN24">
        <v>800</v>
      </c>
      <c r="AO24" t="s">
        <v>115</v>
      </c>
      <c r="AP24">
        <v>-37</v>
      </c>
      <c r="AQ24">
        <v>115</v>
      </c>
      <c r="AR24">
        <v>768</v>
      </c>
      <c r="AZ24">
        <v>3614</v>
      </c>
      <c r="BA24">
        <v>1</v>
      </c>
      <c r="BB24" t="str">
        <f t="shared" si="2"/>
        <v xml:space="preserve">N959MJ  </v>
      </c>
      <c r="BC24">
        <v>1</v>
      </c>
      <c r="BE24">
        <v>0</v>
      </c>
      <c r="BF24">
        <v>0</v>
      </c>
      <c r="BG24">
        <v>0</v>
      </c>
      <c r="BH24">
        <v>1075</v>
      </c>
      <c r="BI24">
        <v>275</v>
      </c>
      <c r="BJ24">
        <v>1</v>
      </c>
      <c r="BK24">
        <v>1</v>
      </c>
      <c r="BL24">
        <v>1</v>
      </c>
      <c r="BM24">
        <v>0</v>
      </c>
      <c r="BP24">
        <v>0</v>
      </c>
      <c r="BQ24">
        <v>0</v>
      </c>
      <c r="BX24" t="str">
        <f>"13:50:40.906"</f>
        <v>13:50:40.906</v>
      </c>
      <c r="BY24" t="str">
        <f>"906693654"</f>
        <v>906693654</v>
      </c>
      <c r="CL24">
        <v>3</v>
      </c>
      <c r="CM24">
        <v>2</v>
      </c>
      <c r="CN24">
        <v>0</v>
      </c>
      <c r="CO24">
        <v>2</v>
      </c>
      <c r="CP24">
        <v>0</v>
      </c>
      <c r="CQ24">
        <v>6</v>
      </c>
      <c r="CR24" t="s">
        <v>116</v>
      </c>
      <c r="CS24">
        <v>147</v>
      </c>
      <c r="CT24">
        <v>3</v>
      </c>
      <c r="CU24" t="s">
        <v>117</v>
      </c>
      <c r="CV24" t="s">
        <v>118</v>
      </c>
      <c r="CY24">
        <v>15815970</v>
      </c>
      <c r="CZ24" t="s">
        <v>119</v>
      </c>
    </row>
    <row r="25" spans="1:104" x14ac:dyDescent="0.25">
      <c r="A25" t="str">
        <f>"13:50:42.055"</f>
        <v>13:50:42.055</v>
      </c>
      <c r="B25" t="s">
        <v>108</v>
      </c>
      <c r="C25" t="str">
        <f t="shared" si="1"/>
        <v>ffdfd3c0</v>
      </c>
      <c r="D25" t="s">
        <v>109</v>
      </c>
      <c r="E25">
        <v>4</v>
      </c>
      <c r="F25">
        <v>1004</v>
      </c>
      <c r="G25" t="s">
        <v>110</v>
      </c>
      <c r="J25" t="s">
        <v>111</v>
      </c>
      <c r="K25">
        <v>0</v>
      </c>
      <c r="L25">
        <v>3</v>
      </c>
      <c r="M25">
        <v>0</v>
      </c>
      <c r="N25">
        <v>2</v>
      </c>
      <c r="O25">
        <v>1</v>
      </c>
      <c r="P25">
        <v>0</v>
      </c>
      <c r="Q25">
        <v>0</v>
      </c>
      <c r="R25" t="s">
        <v>112</v>
      </c>
      <c r="S25" t="str">
        <f>"13:50:41.891"</f>
        <v>13:50:41.891</v>
      </c>
      <c r="T25" t="str">
        <f>"13:50:41.492"</f>
        <v>13:50:41.492</v>
      </c>
      <c r="U25" t="str">
        <f t="shared" si="0"/>
        <v>ad5732</v>
      </c>
      <c r="V25">
        <v>0</v>
      </c>
      <c r="W25">
        <v>0</v>
      </c>
      <c r="X25">
        <v>1</v>
      </c>
      <c r="Z25">
        <v>0</v>
      </c>
      <c r="AA25">
        <v>9</v>
      </c>
      <c r="AB25">
        <v>3</v>
      </c>
      <c r="AC25">
        <v>0</v>
      </c>
      <c r="AD25">
        <v>10</v>
      </c>
      <c r="AE25">
        <v>0</v>
      </c>
      <c r="AF25">
        <v>3</v>
      </c>
      <c r="AG25">
        <v>2</v>
      </c>
      <c r="AH25">
        <v>0</v>
      </c>
      <c r="AI25" t="s">
        <v>168</v>
      </c>
      <c r="AJ25">
        <v>39.102359</v>
      </c>
      <c r="AK25" t="s">
        <v>169</v>
      </c>
      <c r="AL25">
        <v>-77.568369000000004</v>
      </c>
      <c r="AM25">
        <v>100</v>
      </c>
      <c r="AN25">
        <v>900</v>
      </c>
      <c r="AO25" t="s">
        <v>115</v>
      </c>
      <c r="AP25">
        <v>-37</v>
      </c>
      <c r="AQ25">
        <v>115</v>
      </c>
      <c r="AR25">
        <v>832</v>
      </c>
      <c r="AZ25">
        <v>3614</v>
      </c>
      <c r="BA25">
        <v>1</v>
      </c>
      <c r="BB25" t="str">
        <f t="shared" si="2"/>
        <v xml:space="preserve">N959MJ  </v>
      </c>
      <c r="BC25">
        <v>1</v>
      </c>
      <c r="BE25">
        <v>0</v>
      </c>
      <c r="BF25">
        <v>0</v>
      </c>
      <c r="BG25">
        <v>0</v>
      </c>
      <c r="BH25">
        <v>1100</v>
      </c>
      <c r="BI25">
        <v>200</v>
      </c>
      <c r="BJ25">
        <v>1</v>
      </c>
      <c r="BK25">
        <v>1</v>
      </c>
      <c r="BL25">
        <v>1</v>
      </c>
      <c r="BM25">
        <v>0</v>
      </c>
      <c r="BP25">
        <v>0</v>
      </c>
      <c r="BQ25">
        <v>0</v>
      </c>
      <c r="BX25" t="str">
        <f>"13:50:41.891"</f>
        <v>13:50:41.891</v>
      </c>
      <c r="BY25" t="str">
        <f>"891387454"</f>
        <v>891387454</v>
      </c>
      <c r="CL25">
        <v>3</v>
      </c>
      <c r="CM25">
        <v>2</v>
      </c>
      <c r="CN25">
        <v>0</v>
      </c>
      <c r="CO25">
        <v>2</v>
      </c>
      <c r="CP25">
        <v>0</v>
      </c>
      <c r="CQ25">
        <v>6</v>
      </c>
      <c r="CR25" t="s">
        <v>116</v>
      </c>
      <c r="CS25">
        <v>147</v>
      </c>
      <c r="CT25">
        <v>3</v>
      </c>
      <c r="CU25" t="s">
        <v>117</v>
      </c>
      <c r="CV25" t="s">
        <v>118</v>
      </c>
      <c r="CY25">
        <v>15817652</v>
      </c>
      <c r="CZ25" t="s">
        <v>119</v>
      </c>
    </row>
    <row r="26" spans="1:104" x14ac:dyDescent="0.25">
      <c r="A26" t="str">
        <f>"13:50:43.063"</f>
        <v>13:50:43.063</v>
      </c>
      <c r="B26" t="s">
        <v>108</v>
      </c>
      <c r="C26" t="str">
        <f t="shared" si="1"/>
        <v>ffdfd3c0</v>
      </c>
      <c r="D26" t="s">
        <v>109</v>
      </c>
      <c r="E26">
        <v>4</v>
      </c>
      <c r="F26">
        <v>1004</v>
      </c>
      <c r="G26" t="s">
        <v>110</v>
      </c>
      <c r="J26" t="s">
        <v>111</v>
      </c>
      <c r="K26">
        <v>0</v>
      </c>
      <c r="L26">
        <v>3</v>
      </c>
      <c r="M26">
        <v>0</v>
      </c>
      <c r="N26">
        <v>2</v>
      </c>
      <c r="O26">
        <v>1</v>
      </c>
      <c r="P26">
        <v>0</v>
      </c>
      <c r="Q26">
        <v>0</v>
      </c>
      <c r="R26" t="s">
        <v>112</v>
      </c>
      <c r="S26" t="str">
        <f>"13:50:42.883"</f>
        <v>13:50:42.883</v>
      </c>
      <c r="T26" t="str">
        <f>"13:50:42.383"</f>
        <v>13:50:42.383</v>
      </c>
      <c r="U26" t="str">
        <f t="shared" si="0"/>
        <v>ad5732</v>
      </c>
      <c r="V26">
        <v>0</v>
      </c>
      <c r="W26">
        <v>0</v>
      </c>
      <c r="X26">
        <v>1</v>
      </c>
      <c r="Z26">
        <v>0</v>
      </c>
      <c r="AA26">
        <v>9</v>
      </c>
      <c r="AB26">
        <v>3</v>
      </c>
      <c r="AC26">
        <v>0</v>
      </c>
      <c r="AD26">
        <v>10</v>
      </c>
      <c r="AE26">
        <v>0</v>
      </c>
      <c r="AF26">
        <v>3</v>
      </c>
      <c r="AG26">
        <v>2</v>
      </c>
      <c r="AH26">
        <v>0</v>
      </c>
      <c r="AI26" t="s">
        <v>170</v>
      </c>
      <c r="AJ26">
        <v>39.102894999999997</v>
      </c>
      <c r="AK26" t="s">
        <v>171</v>
      </c>
      <c r="AL26">
        <v>-77.568605000000005</v>
      </c>
      <c r="AM26">
        <v>100</v>
      </c>
      <c r="AN26">
        <v>900</v>
      </c>
      <c r="AO26" t="s">
        <v>115</v>
      </c>
      <c r="AP26">
        <v>-37</v>
      </c>
      <c r="AQ26">
        <v>116</v>
      </c>
      <c r="AR26">
        <v>832</v>
      </c>
      <c r="AZ26">
        <v>3614</v>
      </c>
      <c r="BA26">
        <v>1</v>
      </c>
      <c r="BB26" t="str">
        <f t="shared" si="2"/>
        <v xml:space="preserve">N959MJ  </v>
      </c>
      <c r="BC26">
        <v>1</v>
      </c>
      <c r="BE26">
        <v>0</v>
      </c>
      <c r="BF26">
        <v>0</v>
      </c>
      <c r="BG26">
        <v>0</v>
      </c>
      <c r="BH26">
        <v>1100</v>
      </c>
      <c r="BI26">
        <v>200</v>
      </c>
      <c r="BJ26">
        <v>1</v>
      </c>
      <c r="BK26">
        <v>1</v>
      </c>
      <c r="BL26">
        <v>1</v>
      </c>
      <c r="BM26">
        <v>0</v>
      </c>
      <c r="BP26">
        <v>0</v>
      </c>
      <c r="BQ26">
        <v>0</v>
      </c>
      <c r="BX26" t="str">
        <f>"13:50:42.883"</f>
        <v>13:50:42.883</v>
      </c>
      <c r="BY26" t="str">
        <f>"884273257"</f>
        <v>884273257</v>
      </c>
      <c r="CL26">
        <v>3</v>
      </c>
      <c r="CM26">
        <v>2</v>
      </c>
      <c r="CN26">
        <v>0</v>
      </c>
      <c r="CO26">
        <v>2</v>
      </c>
      <c r="CP26">
        <v>0</v>
      </c>
      <c r="CQ26">
        <v>6</v>
      </c>
      <c r="CR26" t="s">
        <v>116</v>
      </c>
      <c r="CS26">
        <v>147</v>
      </c>
      <c r="CT26">
        <v>3</v>
      </c>
      <c r="CU26" t="s">
        <v>117</v>
      </c>
      <c r="CV26" t="s">
        <v>118</v>
      </c>
      <c r="CY26">
        <v>15819336</v>
      </c>
      <c r="CZ26" t="s">
        <v>119</v>
      </c>
    </row>
    <row r="27" spans="1:104" x14ac:dyDescent="0.25">
      <c r="A27" t="str">
        <f>"13:50:44.070"</f>
        <v>13:50:44.070</v>
      </c>
      <c r="B27" t="s">
        <v>108</v>
      </c>
      <c r="C27" t="str">
        <f t="shared" si="1"/>
        <v>ffdfd3c0</v>
      </c>
      <c r="D27" t="s">
        <v>109</v>
      </c>
      <c r="E27">
        <v>4</v>
      </c>
      <c r="F27">
        <v>1004</v>
      </c>
      <c r="G27" t="s">
        <v>110</v>
      </c>
      <c r="J27" t="s">
        <v>111</v>
      </c>
      <c r="K27">
        <v>0</v>
      </c>
      <c r="L27">
        <v>3</v>
      </c>
      <c r="M27">
        <v>0</v>
      </c>
      <c r="N27">
        <v>2</v>
      </c>
      <c r="O27">
        <v>1</v>
      </c>
      <c r="P27">
        <v>0</v>
      </c>
      <c r="Q27">
        <v>0</v>
      </c>
      <c r="R27" t="s">
        <v>112</v>
      </c>
      <c r="S27" t="str">
        <f>"13:50:43.875"</f>
        <v>13:50:43.875</v>
      </c>
      <c r="T27" t="str">
        <f>"13:50:43.477"</f>
        <v>13:50:43.477</v>
      </c>
      <c r="U27" t="str">
        <f t="shared" si="0"/>
        <v>ad5732</v>
      </c>
      <c r="V27">
        <v>0</v>
      </c>
      <c r="W27">
        <v>0</v>
      </c>
      <c r="X27">
        <v>1</v>
      </c>
      <c r="Z27">
        <v>0</v>
      </c>
      <c r="AA27">
        <v>9</v>
      </c>
      <c r="AB27">
        <v>3</v>
      </c>
      <c r="AC27">
        <v>0</v>
      </c>
      <c r="AD27">
        <v>10</v>
      </c>
      <c r="AE27">
        <v>0</v>
      </c>
      <c r="AF27">
        <v>3</v>
      </c>
      <c r="AG27">
        <v>2</v>
      </c>
      <c r="AH27">
        <v>0</v>
      </c>
      <c r="AI27" t="s">
        <v>172</v>
      </c>
      <c r="AJ27">
        <v>39.103453000000002</v>
      </c>
      <c r="AK27" t="s">
        <v>173</v>
      </c>
      <c r="AL27">
        <v>-77.568798000000001</v>
      </c>
      <c r="AM27">
        <v>100</v>
      </c>
      <c r="AN27">
        <v>900</v>
      </c>
      <c r="AO27" t="s">
        <v>115</v>
      </c>
      <c r="AP27">
        <v>-36</v>
      </c>
      <c r="AQ27">
        <v>116</v>
      </c>
      <c r="AR27">
        <v>896</v>
      </c>
      <c r="AZ27">
        <v>3614</v>
      </c>
      <c r="BA27">
        <v>1</v>
      </c>
      <c r="BB27" t="str">
        <f t="shared" si="2"/>
        <v xml:space="preserve">N959MJ  </v>
      </c>
      <c r="BC27">
        <v>1</v>
      </c>
      <c r="BE27">
        <v>0</v>
      </c>
      <c r="BF27">
        <v>0</v>
      </c>
      <c r="BG27">
        <v>0</v>
      </c>
      <c r="BH27">
        <v>1125</v>
      </c>
      <c r="BI27">
        <v>225</v>
      </c>
      <c r="BJ27">
        <v>1</v>
      </c>
      <c r="BK27">
        <v>1</v>
      </c>
      <c r="BL27">
        <v>1</v>
      </c>
      <c r="BM27">
        <v>0</v>
      </c>
      <c r="BP27">
        <v>0</v>
      </c>
      <c r="BQ27">
        <v>0</v>
      </c>
      <c r="BX27" t="str">
        <f>"13:50:43.875"</f>
        <v>13:50:43.875</v>
      </c>
      <c r="BY27" t="str">
        <f>"878797544"</f>
        <v>878797544</v>
      </c>
      <c r="CL27">
        <v>3</v>
      </c>
      <c r="CM27">
        <v>2</v>
      </c>
      <c r="CN27">
        <v>0</v>
      </c>
      <c r="CO27">
        <v>2</v>
      </c>
      <c r="CP27">
        <v>0</v>
      </c>
      <c r="CQ27">
        <v>6</v>
      </c>
      <c r="CR27" t="s">
        <v>116</v>
      </c>
      <c r="CS27">
        <v>147</v>
      </c>
      <c r="CT27">
        <v>3</v>
      </c>
      <c r="CU27" t="s">
        <v>117</v>
      </c>
      <c r="CV27" t="s">
        <v>118</v>
      </c>
      <c r="CY27">
        <v>15820920</v>
      </c>
      <c r="CZ27" t="s">
        <v>119</v>
      </c>
    </row>
    <row r="28" spans="1:104" x14ac:dyDescent="0.25">
      <c r="A28" t="str">
        <f>"13:50:45.078"</f>
        <v>13:50:45.078</v>
      </c>
      <c r="B28" t="s">
        <v>108</v>
      </c>
      <c r="C28" t="str">
        <f t="shared" si="1"/>
        <v>ffdfd3c0</v>
      </c>
      <c r="D28" t="s">
        <v>109</v>
      </c>
      <c r="E28">
        <v>4</v>
      </c>
      <c r="F28">
        <v>1004</v>
      </c>
      <c r="G28" t="s">
        <v>110</v>
      </c>
      <c r="J28" t="s">
        <v>111</v>
      </c>
      <c r="K28">
        <v>0</v>
      </c>
      <c r="L28">
        <v>3</v>
      </c>
      <c r="M28">
        <v>0</v>
      </c>
      <c r="N28">
        <v>2</v>
      </c>
      <c r="O28">
        <v>1</v>
      </c>
      <c r="P28">
        <v>0</v>
      </c>
      <c r="Q28">
        <v>0</v>
      </c>
      <c r="R28" t="s">
        <v>112</v>
      </c>
      <c r="S28" t="str">
        <f>"13:50:44.859"</f>
        <v>13:50:44.859</v>
      </c>
      <c r="T28" t="str">
        <f>"13:50:44.461"</f>
        <v>13:50:44.461</v>
      </c>
      <c r="U28" t="str">
        <f t="shared" si="0"/>
        <v>ad5732</v>
      </c>
      <c r="V28">
        <v>0</v>
      </c>
      <c r="W28">
        <v>0</v>
      </c>
      <c r="X28">
        <v>1</v>
      </c>
      <c r="Z28">
        <v>0</v>
      </c>
      <c r="AA28">
        <v>9</v>
      </c>
      <c r="AB28">
        <v>3</v>
      </c>
      <c r="AC28">
        <v>0</v>
      </c>
      <c r="AD28">
        <v>10</v>
      </c>
      <c r="AE28">
        <v>0</v>
      </c>
      <c r="AF28">
        <v>3</v>
      </c>
      <c r="AG28">
        <v>2</v>
      </c>
      <c r="AH28">
        <v>0</v>
      </c>
      <c r="AI28" t="s">
        <v>174</v>
      </c>
      <c r="AJ28">
        <v>39.104011</v>
      </c>
      <c r="AK28" t="s">
        <v>175</v>
      </c>
      <c r="AL28">
        <v>-77.569034000000002</v>
      </c>
      <c r="AM28">
        <v>100</v>
      </c>
      <c r="AN28">
        <v>900</v>
      </c>
      <c r="AO28" t="s">
        <v>115</v>
      </c>
      <c r="AP28">
        <v>-35</v>
      </c>
      <c r="AQ28">
        <v>116</v>
      </c>
      <c r="AR28">
        <v>960</v>
      </c>
      <c r="AZ28">
        <v>3614</v>
      </c>
      <c r="BA28">
        <v>1</v>
      </c>
      <c r="BB28" t="str">
        <f t="shared" si="2"/>
        <v xml:space="preserve">N959MJ  </v>
      </c>
      <c r="BC28">
        <v>1</v>
      </c>
      <c r="BE28">
        <v>0</v>
      </c>
      <c r="BF28">
        <v>0</v>
      </c>
      <c r="BG28">
        <v>0</v>
      </c>
      <c r="BH28">
        <v>1125</v>
      </c>
      <c r="BI28">
        <v>225</v>
      </c>
      <c r="BJ28">
        <v>1</v>
      </c>
      <c r="BK28">
        <v>1</v>
      </c>
      <c r="BL28">
        <v>1</v>
      </c>
      <c r="BM28">
        <v>0</v>
      </c>
      <c r="BP28">
        <v>0</v>
      </c>
      <c r="BQ28">
        <v>0</v>
      </c>
      <c r="BX28" t="str">
        <f>"13:50:44.867"</f>
        <v>13:50:44.867</v>
      </c>
      <c r="BY28" t="str">
        <f>"866768128"</f>
        <v>866768128</v>
      </c>
      <c r="CL28">
        <v>3</v>
      </c>
      <c r="CM28">
        <v>2</v>
      </c>
      <c r="CN28">
        <v>0</v>
      </c>
      <c r="CO28">
        <v>2</v>
      </c>
      <c r="CP28">
        <v>0</v>
      </c>
      <c r="CQ28">
        <v>6</v>
      </c>
      <c r="CR28" t="s">
        <v>116</v>
      </c>
      <c r="CS28">
        <v>147</v>
      </c>
      <c r="CT28">
        <v>3</v>
      </c>
      <c r="CU28" t="s">
        <v>117</v>
      </c>
      <c r="CV28" t="s">
        <v>118</v>
      </c>
      <c r="CY28">
        <v>15822513</v>
      </c>
      <c r="CZ28" t="s">
        <v>119</v>
      </c>
    </row>
    <row r="29" spans="1:104" x14ac:dyDescent="0.25">
      <c r="A29" t="str">
        <f>"13:50:45.992"</f>
        <v>13:50:45.992</v>
      </c>
      <c r="B29" t="s">
        <v>108</v>
      </c>
      <c r="C29" t="str">
        <f t="shared" si="1"/>
        <v>ffdfd3c0</v>
      </c>
      <c r="D29" t="s">
        <v>109</v>
      </c>
      <c r="E29">
        <v>4</v>
      </c>
      <c r="F29">
        <v>1004</v>
      </c>
      <c r="G29" t="s">
        <v>110</v>
      </c>
      <c r="J29" t="s">
        <v>111</v>
      </c>
      <c r="K29">
        <v>0</v>
      </c>
      <c r="L29">
        <v>3</v>
      </c>
      <c r="M29">
        <v>0</v>
      </c>
      <c r="N29">
        <v>2</v>
      </c>
      <c r="O29">
        <v>1</v>
      </c>
      <c r="P29">
        <v>0</v>
      </c>
      <c r="Q29">
        <v>0</v>
      </c>
      <c r="R29" t="s">
        <v>112</v>
      </c>
      <c r="S29" t="str">
        <f>"13:50:45.828"</f>
        <v>13:50:45.828</v>
      </c>
      <c r="T29" t="str">
        <f>"13:50:44.930"</f>
        <v>13:50:44.930</v>
      </c>
      <c r="U29" t="str">
        <f t="shared" si="0"/>
        <v>ad5732</v>
      </c>
      <c r="V29">
        <v>0</v>
      </c>
      <c r="W29">
        <v>0</v>
      </c>
      <c r="X29">
        <v>1</v>
      </c>
      <c r="Z29">
        <v>0</v>
      </c>
      <c r="AA29">
        <v>9</v>
      </c>
      <c r="AB29">
        <v>3</v>
      </c>
      <c r="AC29">
        <v>0</v>
      </c>
      <c r="AD29">
        <v>10</v>
      </c>
      <c r="AE29">
        <v>0</v>
      </c>
      <c r="AF29">
        <v>3</v>
      </c>
      <c r="AG29">
        <v>2</v>
      </c>
      <c r="AH29">
        <v>0</v>
      </c>
      <c r="AI29" t="s">
        <v>176</v>
      </c>
      <c r="AJ29">
        <v>39.104483000000002</v>
      </c>
      <c r="AK29" t="s">
        <v>177</v>
      </c>
      <c r="AL29">
        <v>-77.569205999999994</v>
      </c>
      <c r="AM29">
        <v>100</v>
      </c>
      <c r="AN29">
        <v>900</v>
      </c>
      <c r="AO29" t="s">
        <v>115</v>
      </c>
      <c r="AP29">
        <v>-35</v>
      </c>
      <c r="AQ29">
        <v>116</v>
      </c>
      <c r="AR29">
        <v>960</v>
      </c>
      <c r="AZ29">
        <v>3614</v>
      </c>
      <c r="BA29">
        <v>1</v>
      </c>
      <c r="BB29" t="str">
        <f t="shared" si="2"/>
        <v xml:space="preserve">N959MJ  </v>
      </c>
      <c r="BC29">
        <v>1</v>
      </c>
      <c r="BE29">
        <v>0</v>
      </c>
      <c r="BF29">
        <v>0</v>
      </c>
      <c r="BG29">
        <v>0</v>
      </c>
      <c r="BH29">
        <v>1150</v>
      </c>
      <c r="BI29">
        <v>250</v>
      </c>
      <c r="BJ29">
        <v>1</v>
      </c>
      <c r="BK29">
        <v>1</v>
      </c>
      <c r="BL29">
        <v>1</v>
      </c>
      <c r="BM29">
        <v>0</v>
      </c>
      <c r="BP29">
        <v>0</v>
      </c>
      <c r="BQ29">
        <v>0</v>
      </c>
      <c r="BX29" t="str">
        <f>"13:50:45.836"</f>
        <v>13:50:45.836</v>
      </c>
      <c r="BY29" t="str">
        <f>"835077635"</f>
        <v>835077635</v>
      </c>
      <c r="CL29">
        <v>3</v>
      </c>
      <c r="CM29">
        <v>2</v>
      </c>
      <c r="CN29">
        <v>0</v>
      </c>
      <c r="CO29">
        <v>2</v>
      </c>
      <c r="CP29">
        <v>0</v>
      </c>
      <c r="CQ29">
        <v>6</v>
      </c>
      <c r="CR29" t="s">
        <v>116</v>
      </c>
      <c r="CS29">
        <v>147</v>
      </c>
      <c r="CT29">
        <v>3</v>
      </c>
      <c r="CU29" t="s">
        <v>117</v>
      </c>
      <c r="CV29" t="s">
        <v>118</v>
      </c>
      <c r="CY29">
        <v>15824072</v>
      </c>
      <c r="CZ29" t="s">
        <v>119</v>
      </c>
    </row>
    <row r="30" spans="1:104" x14ac:dyDescent="0.25">
      <c r="A30" t="str">
        <f>"13:50:47.148"</f>
        <v>13:50:47.148</v>
      </c>
      <c r="B30" t="s">
        <v>108</v>
      </c>
      <c r="C30" t="str">
        <f t="shared" si="1"/>
        <v>ffdfd3c0</v>
      </c>
      <c r="D30" t="s">
        <v>109</v>
      </c>
      <c r="E30">
        <v>4</v>
      </c>
      <c r="F30">
        <v>1004</v>
      </c>
      <c r="G30" t="s">
        <v>110</v>
      </c>
      <c r="J30" t="s">
        <v>111</v>
      </c>
      <c r="K30">
        <v>0</v>
      </c>
      <c r="L30">
        <v>3</v>
      </c>
      <c r="M30">
        <v>0</v>
      </c>
      <c r="N30">
        <v>2</v>
      </c>
      <c r="O30">
        <v>1</v>
      </c>
      <c r="P30">
        <v>0</v>
      </c>
      <c r="Q30">
        <v>0</v>
      </c>
      <c r="R30" t="s">
        <v>112</v>
      </c>
      <c r="S30" t="str">
        <f>"13:50:46.961"</f>
        <v>13:50:46.961</v>
      </c>
      <c r="T30" t="str">
        <f>"13:50:46.461"</f>
        <v>13:50:46.461</v>
      </c>
      <c r="U30" t="str">
        <f t="shared" si="0"/>
        <v>ad5732</v>
      </c>
      <c r="V30">
        <v>0</v>
      </c>
      <c r="W30">
        <v>0</v>
      </c>
      <c r="X30">
        <v>1</v>
      </c>
      <c r="Z30">
        <v>0</v>
      </c>
      <c r="AA30">
        <v>9</v>
      </c>
      <c r="AB30">
        <v>3</v>
      </c>
      <c r="AC30">
        <v>0</v>
      </c>
      <c r="AD30">
        <v>10</v>
      </c>
      <c r="AE30">
        <v>0</v>
      </c>
      <c r="AF30">
        <v>3</v>
      </c>
      <c r="AG30">
        <v>2</v>
      </c>
      <c r="AH30">
        <v>0</v>
      </c>
      <c r="AI30" t="s">
        <v>178</v>
      </c>
      <c r="AJ30">
        <v>39.105061999999997</v>
      </c>
      <c r="AK30" t="s">
        <v>179</v>
      </c>
      <c r="AL30">
        <v>-77.569441999999995</v>
      </c>
      <c r="AM30">
        <v>100</v>
      </c>
      <c r="AN30">
        <v>1000</v>
      </c>
      <c r="AO30" t="s">
        <v>115</v>
      </c>
      <c r="AP30">
        <v>-36</v>
      </c>
      <c r="AQ30">
        <v>116</v>
      </c>
      <c r="AR30">
        <v>1088</v>
      </c>
      <c r="AZ30">
        <v>3614</v>
      </c>
      <c r="BA30">
        <v>1</v>
      </c>
      <c r="BB30" t="str">
        <f t="shared" si="2"/>
        <v xml:space="preserve">N959MJ  </v>
      </c>
      <c r="BC30">
        <v>1</v>
      </c>
      <c r="BE30">
        <v>0</v>
      </c>
      <c r="BF30">
        <v>0</v>
      </c>
      <c r="BG30">
        <v>0</v>
      </c>
      <c r="BH30">
        <v>1175</v>
      </c>
      <c r="BI30">
        <v>175</v>
      </c>
      <c r="BJ30">
        <v>1</v>
      </c>
      <c r="BK30">
        <v>1</v>
      </c>
      <c r="BL30">
        <v>1</v>
      </c>
      <c r="BM30">
        <v>0</v>
      </c>
      <c r="BP30">
        <v>0</v>
      </c>
      <c r="BQ30">
        <v>0</v>
      </c>
      <c r="BX30" t="str">
        <f>"13:50:46.961"</f>
        <v>13:50:46.961</v>
      </c>
      <c r="BY30" t="str">
        <f>"962314388"</f>
        <v>962314388</v>
      </c>
      <c r="CL30">
        <v>3</v>
      </c>
      <c r="CM30">
        <v>2</v>
      </c>
      <c r="CN30">
        <v>0</v>
      </c>
      <c r="CO30">
        <v>2</v>
      </c>
      <c r="CP30">
        <v>0</v>
      </c>
      <c r="CQ30">
        <v>6</v>
      </c>
      <c r="CR30" t="s">
        <v>116</v>
      </c>
      <c r="CS30">
        <v>147</v>
      </c>
      <c r="CT30">
        <v>2</v>
      </c>
      <c r="CU30" t="s">
        <v>117</v>
      </c>
      <c r="CV30" t="s">
        <v>118</v>
      </c>
      <c r="CY30">
        <v>15496133</v>
      </c>
      <c r="CZ30" t="s">
        <v>119</v>
      </c>
    </row>
    <row r="31" spans="1:104" x14ac:dyDescent="0.25">
      <c r="A31" t="str">
        <f>"13:50:48.008"</f>
        <v>13:50:48.008</v>
      </c>
      <c r="B31" t="s">
        <v>108</v>
      </c>
      <c r="C31" t="str">
        <f t="shared" si="1"/>
        <v>ffdfd3c0</v>
      </c>
      <c r="D31" t="s">
        <v>109</v>
      </c>
      <c r="E31">
        <v>4</v>
      </c>
      <c r="F31">
        <v>1004</v>
      </c>
      <c r="G31" t="s">
        <v>110</v>
      </c>
      <c r="J31" t="s">
        <v>111</v>
      </c>
      <c r="K31">
        <v>0</v>
      </c>
      <c r="L31">
        <v>3</v>
      </c>
      <c r="M31">
        <v>0</v>
      </c>
      <c r="N31">
        <v>2</v>
      </c>
      <c r="O31">
        <v>1</v>
      </c>
      <c r="P31">
        <v>0</v>
      </c>
      <c r="Q31">
        <v>0</v>
      </c>
      <c r="R31" t="s">
        <v>112</v>
      </c>
      <c r="S31" t="str">
        <f>"13:50:47.813"</f>
        <v>13:50:47.813</v>
      </c>
      <c r="T31" t="str">
        <f>"13:50:47.414"</f>
        <v>13:50:47.414</v>
      </c>
      <c r="U31" t="str">
        <f t="shared" si="0"/>
        <v>ad5732</v>
      </c>
      <c r="V31">
        <v>0</v>
      </c>
      <c r="W31">
        <v>0</v>
      </c>
      <c r="X31">
        <v>1</v>
      </c>
      <c r="Z31">
        <v>0</v>
      </c>
      <c r="AA31">
        <v>9</v>
      </c>
      <c r="AB31">
        <v>3</v>
      </c>
      <c r="AC31">
        <v>0</v>
      </c>
      <c r="AD31">
        <v>10</v>
      </c>
      <c r="AE31">
        <v>0</v>
      </c>
      <c r="AF31">
        <v>3</v>
      </c>
      <c r="AG31">
        <v>2</v>
      </c>
      <c r="AH31">
        <v>0</v>
      </c>
      <c r="AI31" t="s">
        <v>180</v>
      </c>
      <c r="AJ31">
        <v>39.105556</v>
      </c>
      <c r="AK31" t="s">
        <v>181</v>
      </c>
      <c r="AL31">
        <v>-77.569635000000005</v>
      </c>
      <c r="AM31">
        <v>100</v>
      </c>
      <c r="AN31">
        <v>1000</v>
      </c>
      <c r="AO31" t="s">
        <v>115</v>
      </c>
      <c r="AP31">
        <v>-39</v>
      </c>
      <c r="AQ31">
        <v>115</v>
      </c>
      <c r="AR31">
        <v>1216</v>
      </c>
      <c r="AZ31">
        <v>3614</v>
      </c>
      <c r="BA31">
        <v>1</v>
      </c>
      <c r="BB31" t="str">
        <f t="shared" si="2"/>
        <v xml:space="preserve">N959MJ  </v>
      </c>
      <c r="BC31">
        <v>1</v>
      </c>
      <c r="BE31">
        <v>0</v>
      </c>
      <c r="BF31">
        <v>0</v>
      </c>
      <c r="BG31">
        <v>0</v>
      </c>
      <c r="BH31">
        <v>1175</v>
      </c>
      <c r="BI31">
        <v>175</v>
      </c>
      <c r="BJ31">
        <v>1</v>
      </c>
      <c r="BK31">
        <v>1</v>
      </c>
      <c r="BL31">
        <v>1</v>
      </c>
      <c r="BM31">
        <v>0</v>
      </c>
      <c r="BP31">
        <v>0</v>
      </c>
      <c r="BQ31">
        <v>0</v>
      </c>
      <c r="BX31" t="str">
        <f>"13:50:47.813"</f>
        <v>13:50:47.813</v>
      </c>
      <c r="BY31" t="str">
        <f>"812657259"</f>
        <v>812657259</v>
      </c>
      <c r="CL31">
        <v>3</v>
      </c>
      <c r="CM31">
        <v>2</v>
      </c>
      <c r="CN31">
        <v>0</v>
      </c>
      <c r="CO31">
        <v>2</v>
      </c>
      <c r="CP31">
        <v>0</v>
      </c>
      <c r="CQ31">
        <v>7</v>
      </c>
      <c r="CR31" t="s">
        <v>116</v>
      </c>
      <c r="CS31">
        <v>147</v>
      </c>
      <c r="CT31">
        <v>3</v>
      </c>
      <c r="CU31" t="s">
        <v>117</v>
      </c>
      <c r="CV31" t="s">
        <v>118</v>
      </c>
      <c r="CY31">
        <v>15827336</v>
      </c>
      <c r="CZ31" t="s">
        <v>119</v>
      </c>
    </row>
    <row r="32" spans="1:104" x14ac:dyDescent="0.25">
      <c r="A32" t="str">
        <f>"13:50:48.914"</f>
        <v>13:50:48.914</v>
      </c>
      <c r="B32" t="s">
        <v>108</v>
      </c>
      <c r="C32" t="str">
        <f t="shared" si="1"/>
        <v>ffdfd3c0</v>
      </c>
      <c r="D32" t="s">
        <v>109</v>
      </c>
      <c r="E32">
        <v>4</v>
      </c>
      <c r="F32">
        <v>1004</v>
      </c>
      <c r="G32" t="s">
        <v>110</v>
      </c>
      <c r="J32" t="s">
        <v>111</v>
      </c>
      <c r="K32">
        <v>0</v>
      </c>
      <c r="L32">
        <v>3</v>
      </c>
      <c r="M32">
        <v>0</v>
      </c>
      <c r="N32">
        <v>2</v>
      </c>
      <c r="O32">
        <v>1</v>
      </c>
      <c r="P32">
        <v>0</v>
      </c>
      <c r="Q32">
        <v>0</v>
      </c>
      <c r="R32" t="s">
        <v>112</v>
      </c>
      <c r="S32" t="str">
        <f>"13:50:48.758"</f>
        <v>13:50:48.758</v>
      </c>
      <c r="T32" t="str">
        <f>"13:50:48.359"</f>
        <v>13:50:48.359</v>
      </c>
      <c r="U32" t="str">
        <f t="shared" si="0"/>
        <v>ad5732</v>
      </c>
      <c r="V32">
        <v>0</v>
      </c>
      <c r="W32">
        <v>0</v>
      </c>
      <c r="X32">
        <v>1</v>
      </c>
      <c r="Z32">
        <v>0</v>
      </c>
      <c r="AA32">
        <v>9</v>
      </c>
      <c r="AB32">
        <v>3</v>
      </c>
      <c r="AC32">
        <v>0</v>
      </c>
      <c r="AD32">
        <v>10</v>
      </c>
      <c r="AE32">
        <v>0</v>
      </c>
      <c r="AF32">
        <v>3</v>
      </c>
      <c r="AG32">
        <v>2</v>
      </c>
      <c r="AH32">
        <v>0</v>
      </c>
      <c r="AI32" t="s">
        <v>182</v>
      </c>
      <c r="AJ32">
        <v>39.106028000000002</v>
      </c>
      <c r="AK32" t="s">
        <v>183</v>
      </c>
      <c r="AL32">
        <v>-77.569871000000006</v>
      </c>
      <c r="AM32">
        <v>100</v>
      </c>
      <c r="AN32">
        <v>1000</v>
      </c>
      <c r="AO32" t="s">
        <v>115</v>
      </c>
      <c r="AP32">
        <v>-42</v>
      </c>
      <c r="AQ32">
        <v>113</v>
      </c>
      <c r="AR32">
        <v>1280</v>
      </c>
      <c r="AZ32">
        <v>3614</v>
      </c>
      <c r="BA32">
        <v>1</v>
      </c>
      <c r="BB32" t="str">
        <f t="shared" si="2"/>
        <v xml:space="preserve">N959MJ  </v>
      </c>
      <c r="BC32">
        <v>1</v>
      </c>
      <c r="BE32">
        <v>0</v>
      </c>
      <c r="BF32">
        <v>0</v>
      </c>
      <c r="BG32">
        <v>0</v>
      </c>
      <c r="BH32">
        <v>1200</v>
      </c>
      <c r="BI32">
        <v>200</v>
      </c>
      <c r="BJ32">
        <v>1</v>
      </c>
      <c r="BK32">
        <v>1</v>
      </c>
      <c r="BL32">
        <v>1</v>
      </c>
      <c r="BM32">
        <v>0</v>
      </c>
      <c r="BP32">
        <v>0</v>
      </c>
      <c r="BQ32">
        <v>0</v>
      </c>
      <c r="BX32" t="str">
        <f>"13:50:48.758"</f>
        <v>13:50:48.758</v>
      </c>
      <c r="BY32" t="str">
        <f>"759667286"</f>
        <v>759667286</v>
      </c>
      <c r="CL32">
        <v>3</v>
      </c>
      <c r="CM32">
        <v>2</v>
      </c>
      <c r="CN32">
        <v>0</v>
      </c>
      <c r="CO32">
        <v>2</v>
      </c>
      <c r="CP32">
        <v>0</v>
      </c>
      <c r="CQ32">
        <v>7</v>
      </c>
      <c r="CR32" t="s">
        <v>116</v>
      </c>
      <c r="CS32">
        <v>147</v>
      </c>
      <c r="CT32">
        <v>3</v>
      </c>
      <c r="CU32" t="s">
        <v>117</v>
      </c>
      <c r="CV32" t="s">
        <v>118</v>
      </c>
      <c r="CY32">
        <v>15828862</v>
      </c>
      <c r="CZ32" t="s">
        <v>119</v>
      </c>
    </row>
    <row r="33" spans="1:104" x14ac:dyDescent="0.25">
      <c r="A33" t="str">
        <f>"13:50:50.023"</f>
        <v>13:50:50.023</v>
      </c>
      <c r="B33" t="s">
        <v>108</v>
      </c>
      <c r="C33" t="str">
        <f t="shared" si="1"/>
        <v>ffdfd3c0</v>
      </c>
      <c r="D33" t="s">
        <v>109</v>
      </c>
      <c r="E33">
        <v>4</v>
      </c>
      <c r="F33">
        <v>1004</v>
      </c>
      <c r="G33" t="s">
        <v>110</v>
      </c>
      <c r="J33" t="s">
        <v>111</v>
      </c>
      <c r="K33">
        <v>0</v>
      </c>
      <c r="L33">
        <v>3</v>
      </c>
      <c r="M33">
        <v>0</v>
      </c>
      <c r="N33">
        <v>2</v>
      </c>
      <c r="O33">
        <v>1</v>
      </c>
      <c r="P33">
        <v>0</v>
      </c>
      <c r="Q33">
        <v>0</v>
      </c>
      <c r="R33" t="s">
        <v>112</v>
      </c>
      <c r="S33" t="str">
        <f>"13:50:49.852"</f>
        <v>13:50:49.852</v>
      </c>
      <c r="T33" t="str">
        <f>"13:50:49.352"</f>
        <v>13:50:49.352</v>
      </c>
      <c r="U33" t="str">
        <f t="shared" si="0"/>
        <v>ad5732</v>
      </c>
      <c r="V33">
        <v>0</v>
      </c>
      <c r="W33">
        <v>0</v>
      </c>
      <c r="X33">
        <v>1</v>
      </c>
      <c r="Z33">
        <v>0</v>
      </c>
      <c r="AA33">
        <v>9</v>
      </c>
      <c r="AB33">
        <v>3</v>
      </c>
      <c r="AC33">
        <v>0</v>
      </c>
      <c r="AD33">
        <v>10</v>
      </c>
      <c r="AE33">
        <v>0</v>
      </c>
      <c r="AF33">
        <v>3</v>
      </c>
      <c r="AG33">
        <v>2</v>
      </c>
      <c r="AH33">
        <v>0</v>
      </c>
      <c r="AI33" t="s">
        <v>184</v>
      </c>
      <c r="AJ33">
        <v>39.106586</v>
      </c>
      <c r="AK33" t="s">
        <v>185</v>
      </c>
      <c r="AL33">
        <v>-77.570193000000003</v>
      </c>
      <c r="AM33">
        <v>100</v>
      </c>
      <c r="AN33">
        <v>1000</v>
      </c>
      <c r="AO33" t="s">
        <v>115</v>
      </c>
      <c r="AP33">
        <v>-48</v>
      </c>
      <c r="AQ33">
        <v>111</v>
      </c>
      <c r="AR33">
        <v>1280</v>
      </c>
      <c r="AZ33">
        <v>3614</v>
      </c>
      <c r="BA33">
        <v>1</v>
      </c>
      <c r="BB33" t="str">
        <f t="shared" si="2"/>
        <v xml:space="preserve">N959MJ  </v>
      </c>
      <c r="BC33">
        <v>1</v>
      </c>
      <c r="BE33">
        <v>0</v>
      </c>
      <c r="BF33">
        <v>0</v>
      </c>
      <c r="BG33">
        <v>0</v>
      </c>
      <c r="BH33">
        <v>1225</v>
      </c>
      <c r="BI33">
        <v>225</v>
      </c>
      <c r="BJ33">
        <v>1</v>
      </c>
      <c r="BK33">
        <v>1</v>
      </c>
      <c r="BL33">
        <v>1</v>
      </c>
      <c r="BM33">
        <v>0</v>
      </c>
      <c r="BP33">
        <v>0</v>
      </c>
      <c r="BQ33">
        <v>0</v>
      </c>
      <c r="BX33" t="str">
        <f>"13:50:49.859"</f>
        <v>13:50:49.859</v>
      </c>
      <c r="BY33" t="str">
        <f>"855773895"</f>
        <v>855773895</v>
      </c>
      <c r="CL33">
        <v>3</v>
      </c>
      <c r="CM33">
        <v>2</v>
      </c>
      <c r="CN33">
        <v>0</v>
      </c>
      <c r="CO33">
        <v>2</v>
      </c>
      <c r="CP33">
        <v>0</v>
      </c>
      <c r="CQ33">
        <v>7</v>
      </c>
      <c r="CR33" t="s">
        <v>116</v>
      </c>
      <c r="CS33">
        <v>147</v>
      </c>
      <c r="CT33">
        <v>3</v>
      </c>
      <c r="CU33" t="s">
        <v>117</v>
      </c>
      <c r="CV33" t="s">
        <v>118</v>
      </c>
      <c r="CY33">
        <v>15830553</v>
      </c>
      <c r="CZ33" t="s">
        <v>119</v>
      </c>
    </row>
    <row r="34" spans="1:104" x14ac:dyDescent="0.25">
      <c r="A34" t="str">
        <f>"13:50:51.133"</f>
        <v>13:50:51.133</v>
      </c>
      <c r="B34" t="s">
        <v>108</v>
      </c>
      <c r="C34" t="str">
        <f t="shared" si="1"/>
        <v>ffdfd3c0</v>
      </c>
      <c r="D34" t="s">
        <v>109</v>
      </c>
      <c r="E34">
        <v>4</v>
      </c>
      <c r="F34">
        <v>1004</v>
      </c>
      <c r="G34" t="s">
        <v>110</v>
      </c>
      <c r="J34" t="s">
        <v>111</v>
      </c>
      <c r="K34">
        <v>0</v>
      </c>
      <c r="L34">
        <v>3</v>
      </c>
      <c r="M34">
        <v>0</v>
      </c>
      <c r="N34">
        <v>2</v>
      </c>
      <c r="O34">
        <v>1</v>
      </c>
      <c r="P34">
        <v>0</v>
      </c>
      <c r="Q34">
        <v>0</v>
      </c>
      <c r="R34" t="s">
        <v>112</v>
      </c>
      <c r="S34" t="str">
        <f>"13:50:50.961"</f>
        <v>13:50:50.961</v>
      </c>
      <c r="T34" t="str">
        <f>"13:50:50.461"</f>
        <v>13:50:50.461</v>
      </c>
      <c r="U34" t="str">
        <f t="shared" si="0"/>
        <v>ad5732</v>
      </c>
      <c r="V34">
        <v>0</v>
      </c>
      <c r="W34">
        <v>0</v>
      </c>
      <c r="X34">
        <v>1</v>
      </c>
      <c r="Z34">
        <v>0</v>
      </c>
      <c r="AA34">
        <v>9</v>
      </c>
      <c r="AB34">
        <v>3</v>
      </c>
      <c r="AC34">
        <v>0</v>
      </c>
      <c r="AD34">
        <v>10</v>
      </c>
      <c r="AE34">
        <v>0</v>
      </c>
      <c r="AF34">
        <v>3</v>
      </c>
      <c r="AG34">
        <v>2</v>
      </c>
      <c r="AH34">
        <v>0</v>
      </c>
      <c r="AI34" t="s">
        <v>186</v>
      </c>
      <c r="AJ34">
        <v>39.107143999999998</v>
      </c>
      <c r="AK34" t="s">
        <v>187</v>
      </c>
      <c r="AL34">
        <v>-77.570622</v>
      </c>
      <c r="AM34">
        <v>100</v>
      </c>
      <c r="AN34">
        <v>1000</v>
      </c>
      <c r="AO34" t="s">
        <v>115</v>
      </c>
      <c r="AP34">
        <v>-56</v>
      </c>
      <c r="AQ34">
        <v>106</v>
      </c>
      <c r="AR34">
        <v>1280</v>
      </c>
      <c r="AZ34">
        <v>3614</v>
      </c>
      <c r="BA34">
        <v>1</v>
      </c>
      <c r="BB34" t="str">
        <f t="shared" si="2"/>
        <v xml:space="preserve">N959MJ  </v>
      </c>
      <c r="BC34">
        <v>1</v>
      </c>
      <c r="BE34">
        <v>0</v>
      </c>
      <c r="BF34">
        <v>0</v>
      </c>
      <c r="BG34">
        <v>0</v>
      </c>
      <c r="BH34">
        <v>1250</v>
      </c>
      <c r="BI34">
        <v>250</v>
      </c>
      <c r="BJ34">
        <v>1</v>
      </c>
      <c r="BK34">
        <v>1</v>
      </c>
      <c r="BL34">
        <v>1</v>
      </c>
      <c r="BM34">
        <v>0</v>
      </c>
      <c r="BP34">
        <v>0</v>
      </c>
      <c r="BQ34">
        <v>0</v>
      </c>
      <c r="BX34" t="str">
        <f>"13:50:50.969"</f>
        <v>13:50:50.969</v>
      </c>
      <c r="BY34" t="str">
        <f>"968264905"</f>
        <v>968264905</v>
      </c>
      <c r="CL34">
        <v>3</v>
      </c>
      <c r="CM34">
        <v>2</v>
      </c>
      <c r="CN34">
        <v>0</v>
      </c>
      <c r="CO34">
        <v>2</v>
      </c>
      <c r="CP34">
        <v>0</v>
      </c>
      <c r="CQ34">
        <v>6</v>
      </c>
      <c r="CR34" t="s">
        <v>116</v>
      </c>
      <c r="CS34">
        <v>147</v>
      </c>
      <c r="CT34">
        <v>3</v>
      </c>
      <c r="CU34" t="s">
        <v>117</v>
      </c>
      <c r="CV34" t="s">
        <v>118</v>
      </c>
      <c r="CY34">
        <v>15832452</v>
      </c>
      <c r="CZ34" t="s">
        <v>119</v>
      </c>
    </row>
    <row r="35" spans="1:104" x14ac:dyDescent="0.25">
      <c r="A35" t="str">
        <f>"13:50:52.297"</f>
        <v>13:50:52.297</v>
      </c>
      <c r="B35" t="s">
        <v>108</v>
      </c>
      <c r="C35" t="str">
        <f t="shared" si="1"/>
        <v>ffdfd3c0</v>
      </c>
      <c r="D35" t="s">
        <v>109</v>
      </c>
      <c r="E35">
        <v>4</v>
      </c>
      <c r="F35">
        <v>1004</v>
      </c>
      <c r="G35" t="s">
        <v>110</v>
      </c>
      <c r="J35" t="s">
        <v>111</v>
      </c>
      <c r="K35">
        <v>0</v>
      </c>
      <c r="L35">
        <v>3</v>
      </c>
      <c r="M35">
        <v>0</v>
      </c>
      <c r="N35">
        <v>2</v>
      </c>
      <c r="O35">
        <v>1</v>
      </c>
      <c r="P35">
        <v>0</v>
      </c>
      <c r="Q35">
        <v>0</v>
      </c>
      <c r="R35" t="s">
        <v>112</v>
      </c>
      <c r="S35" t="str">
        <f>"13:50:52.117"</f>
        <v>13:50:52.117</v>
      </c>
      <c r="T35" t="str">
        <f>"13:50:51.617"</f>
        <v>13:50:51.617</v>
      </c>
      <c r="U35" t="str">
        <f t="shared" si="0"/>
        <v>ad5732</v>
      </c>
      <c r="V35">
        <v>0</v>
      </c>
      <c r="W35">
        <v>0</v>
      </c>
      <c r="X35">
        <v>1</v>
      </c>
      <c r="Z35">
        <v>0</v>
      </c>
      <c r="AA35">
        <v>9</v>
      </c>
      <c r="AB35">
        <v>3</v>
      </c>
      <c r="AC35">
        <v>0</v>
      </c>
      <c r="AD35">
        <v>10</v>
      </c>
      <c r="AE35">
        <v>0</v>
      </c>
      <c r="AF35">
        <v>3</v>
      </c>
      <c r="AG35">
        <v>2</v>
      </c>
      <c r="AH35">
        <v>0</v>
      </c>
      <c r="AI35" t="s">
        <v>188</v>
      </c>
      <c r="AJ35">
        <v>39.107658999999998</v>
      </c>
      <c r="AK35" t="s">
        <v>189</v>
      </c>
      <c r="AL35">
        <v>-77.571050999999997</v>
      </c>
      <c r="AM35">
        <v>100</v>
      </c>
      <c r="AN35">
        <v>1000</v>
      </c>
      <c r="AO35" t="s">
        <v>115</v>
      </c>
      <c r="AP35">
        <v>-64</v>
      </c>
      <c r="AQ35">
        <v>102</v>
      </c>
      <c r="AR35">
        <v>1216</v>
      </c>
      <c r="AZ35">
        <v>3614</v>
      </c>
      <c r="BA35">
        <v>1</v>
      </c>
      <c r="BB35" t="str">
        <f t="shared" si="2"/>
        <v xml:space="preserve">N959MJ  </v>
      </c>
      <c r="BC35">
        <v>1</v>
      </c>
      <c r="BE35">
        <v>0</v>
      </c>
      <c r="BF35">
        <v>0</v>
      </c>
      <c r="BG35">
        <v>0</v>
      </c>
      <c r="BH35">
        <v>1275</v>
      </c>
      <c r="BI35">
        <v>275</v>
      </c>
      <c r="BJ35">
        <v>1</v>
      </c>
      <c r="BK35">
        <v>1</v>
      </c>
      <c r="BL35">
        <v>1</v>
      </c>
      <c r="BM35">
        <v>0</v>
      </c>
      <c r="BP35">
        <v>0</v>
      </c>
      <c r="BQ35">
        <v>0</v>
      </c>
      <c r="BX35" t="str">
        <f>"13:50:52.117"</f>
        <v>13:50:52.117</v>
      </c>
      <c r="BY35" t="str">
        <f>"118439640"</f>
        <v>118439640</v>
      </c>
      <c r="CL35">
        <v>3</v>
      </c>
      <c r="CM35">
        <v>2</v>
      </c>
      <c r="CN35">
        <v>0</v>
      </c>
      <c r="CO35">
        <v>2</v>
      </c>
      <c r="CP35">
        <v>0</v>
      </c>
      <c r="CQ35">
        <v>6</v>
      </c>
      <c r="CR35" t="s">
        <v>116</v>
      </c>
      <c r="CS35">
        <v>147</v>
      </c>
      <c r="CT35">
        <v>3</v>
      </c>
      <c r="CU35" t="s">
        <v>117</v>
      </c>
      <c r="CV35" t="s">
        <v>118</v>
      </c>
      <c r="CY35">
        <v>15834462</v>
      </c>
      <c r="CZ35" t="s">
        <v>119</v>
      </c>
    </row>
    <row r="36" spans="1:104" x14ac:dyDescent="0.25">
      <c r="A36" t="str">
        <f>"13:50:53.305"</f>
        <v>13:50:53.305</v>
      </c>
      <c r="B36" t="s">
        <v>108</v>
      </c>
      <c r="C36" t="str">
        <f t="shared" si="1"/>
        <v>ffdfd3c0</v>
      </c>
      <c r="D36" t="s">
        <v>109</v>
      </c>
      <c r="E36">
        <v>4</v>
      </c>
      <c r="F36">
        <v>1004</v>
      </c>
      <c r="G36" t="s">
        <v>110</v>
      </c>
      <c r="J36" t="s">
        <v>111</v>
      </c>
      <c r="K36">
        <v>0</v>
      </c>
      <c r="L36">
        <v>3</v>
      </c>
      <c r="M36">
        <v>0</v>
      </c>
      <c r="N36">
        <v>2</v>
      </c>
      <c r="O36">
        <v>1</v>
      </c>
      <c r="P36">
        <v>0</v>
      </c>
      <c r="Q36">
        <v>0</v>
      </c>
      <c r="R36" t="s">
        <v>112</v>
      </c>
      <c r="S36" t="str">
        <f>"13:50:53.133"</f>
        <v>13:50:53.133</v>
      </c>
      <c r="T36" t="str">
        <f>"13:50:52.734"</f>
        <v>13:50:52.734</v>
      </c>
      <c r="U36" t="str">
        <f t="shared" si="0"/>
        <v>ad5732</v>
      </c>
      <c r="V36">
        <v>0</v>
      </c>
      <c r="W36">
        <v>0</v>
      </c>
      <c r="X36">
        <v>1</v>
      </c>
      <c r="Z36">
        <v>0</v>
      </c>
      <c r="AA36">
        <v>9</v>
      </c>
      <c r="AB36">
        <v>3</v>
      </c>
      <c r="AC36">
        <v>0</v>
      </c>
      <c r="AD36">
        <v>10</v>
      </c>
      <c r="AE36">
        <v>0</v>
      </c>
      <c r="AF36">
        <v>3</v>
      </c>
      <c r="AG36">
        <v>2</v>
      </c>
      <c r="AH36">
        <v>0</v>
      </c>
      <c r="AI36" t="s">
        <v>190</v>
      </c>
      <c r="AJ36">
        <v>39.108131</v>
      </c>
      <c r="AK36" t="s">
        <v>191</v>
      </c>
      <c r="AL36">
        <v>-77.571479999999994</v>
      </c>
      <c r="AM36">
        <v>100</v>
      </c>
      <c r="AN36">
        <v>1100</v>
      </c>
      <c r="AO36" t="s">
        <v>115</v>
      </c>
      <c r="AP36">
        <v>-73</v>
      </c>
      <c r="AQ36">
        <v>95</v>
      </c>
      <c r="AR36">
        <v>1024</v>
      </c>
      <c r="AZ36">
        <v>3614</v>
      </c>
      <c r="BA36">
        <v>1</v>
      </c>
      <c r="BB36" t="str">
        <f t="shared" si="2"/>
        <v xml:space="preserve">N959MJ  </v>
      </c>
      <c r="BC36">
        <v>1</v>
      </c>
      <c r="BE36">
        <v>0</v>
      </c>
      <c r="BF36">
        <v>0</v>
      </c>
      <c r="BG36">
        <v>0</v>
      </c>
      <c r="BH36">
        <v>1200</v>
      </c>
      <c r="BI36">
        <v>100</v>
      </c>
      <c r="BJ36">
        <v>1</v>
      </c>
      <c r="BK36">
        <v>1</v>
      </c>
      <c r="BL36">
        <v>1</v>
      </c>
      <c r="BM36">
        <v>0</v>
      </c>
      <c r="BP36">
        <v>0</v>
      </c>
      <c r="BQ36">
        <v>0</v>
      </c>
      <c r="BX36" t="str">
        <f>"13:50:53.133"</f>
        <v>13:50:53.133</v>
      </c>
      <c r="BY36" t="str">
        <f>"134263536"</f>
        <v>134263536</v>
      </c>
      <c r="CL36">
        <v>3</v>
      </c>
      <c r="CM36">
        <v>2</v>
      </c>
      <c r="CN36">
        <v>0</v>
      </c>
      <c r="CO36">
        <v>2</v>
      </c>
      <c r="CP36">
        <v>0</v>
      </c>
      <c r="CQ36">
        <v>6</v>
      </c>
      <c r="CR36" t="s">
        <v>116</v>
      </c>
      <c r="CS36">
        <v>147</v>
      </c>
      <c r="CT36">
        <v>2</v>
      </c>
      <c r="CU36" t="s">
        <v>117</v>
      </c>
      <c r="CV36" t="s">
        <v>118</v>
      </c>
      <c r="CY36">
        <v>15506111</v>
      </c>
      <c r="CZ36" t="s">
        <v>119</v>
      </c>
    </row>
    <row r="37" spans="1:104" x14ac:dyDescent="0.25">
      <c r="A37" t="str">
        <f>"13:50:54.367"</f>
        <v>13:50:54.367</v>
      </c>
      <c r="B37" t="s">
        <v>108</v>
      </c>
      <c r="C37" t="str">
        <f t="shared" si="1"/>
        <v>ffdfd3c0</v>
      </c>
      <c r="D37" t="s">
        <v>109</v>
      </c>
      <c r="E37">
        <v>4</v>
      </c>
      <c r="F37">
        <v>1004</v>
      </c>
      <c r="G37" t="s">
        <v>110</v>
      </c>
      <c r="J37" t="s">
        <v>111</v>
      </c>
      <c r="K37">
        <v>0</v>
      </c>
      <c r="L37">
        <v>3</v>
      </c>
      <c r="M37">
        <v>0</v>
      </c>
      <c r="N37">
        <v>2</v>
      </c>
      <c r="O37">
        <v>1</v>
      </c>
      <c r="P37">
        <v>0</v>
      </c>
      <c r="Q37">
        <v>0</v>
      </c>
      <c r="R37" t="s">
        <v>112</v>
      </c>
      <c r="S37" t="str">
        <f>"13:50:54.203"</f>
        <v>13:50:54.203</v>
      </c>
      <c r="T37" t="str">
        <f>"13:50:53.703"</f>
        <v>13:50:53.703</v>
      </c>
      <c r="U37" t="str">
        <f t="shared" si="0"/>
        <v>ad5732</v>
      </c>
      <c r="V37">
        <v>0</v>
      </c>
      <c r="W37">
        <v>0</v>
      </c>
      <c r="X37">
        <v>1</v>
      </c>
      <c r="Z37">
        <v>0</v>
      </c>
      <c r="AA37">
        <v>9</v>
      </c>
      <c r="AB37">
        <v>3</v>
      </c>
      <c r="AC37">
        <v>0</v>
      </c>
      <c r="AD37">
        <v>10</v>
      </c>
      <c r="AE37">
        <v>0</v>
      </c>
      <c r="AF37">
        <v>3</v>
      </c>
      <c r="AG37">
        <v>2</v>
      </c>
      <c r="AH37">
        <v>0</v>
      </c>
      <c r="AI37" t="s">
        <v>192</v>
      </c>
      <c r="AJ37">
        <v>39.108539</v>
      </c>
      <c r="AK37" t="s">
        <v>193</v>
      </c>
      <c r="AL37">
        <v>-77.572017000000002</v>
      </c>
      <c r="AM37">
        <v>100</v>
      </c>
      <c r="AN37">
        <v>1100</v>
      </c>
      <c r="AO37" t="s">
        <v>115</v>
      </c>
      <c r="AP37">
        <v>-80</v>
      </c>
      <c r="AQ37">
        <v>89</v>
      </c>
      <c r="AR37">
        <v>896</v>
      </c>
      <c r="AZ37">
        <v>3614</v>
      </c>
      <c r="BA37">
        <v>1</v>
      </c>
      <c r="BB37" t="str">
        <f t="shared" si="2"/>
        <v xml:space="preserve">N959MJ  </v>
      </c>
      <c r="BC37">
        <v>1</v>
      </c>
      <c r="BE37">
        <v>0</v>
      </c>
      <c r="BF37">
        <v>0</v>
      </c>
      <c r="BG37">
        <v>0</v>
      </c>
      <c r="BH37">
        <v>1300</v>
      </c>
      <c r="BI37">
        <v>200</v>
      </c>
      <c r="BJ37">
        <v>1</v>
      </c>
      <c r="BK37">
        <v>1</v>
      </c>
      <c r="BL37">
        <v>1</v>
      </c>
      <c r="BM37">
        <v>0</v>
      </c>
      <c r="BP37">
        <v>0</v>
      </c>
      <c r="BQ37">
        <v>0</v>
      </c>
      <c r="BX37" t="str">
        <f>"13:50:54.203"</f>
        <v>13:50:54.203</v>
      </c>
      <c r="BY37" t="str">
        <f>"204155504"</f>
        <v>204155504</v>
      </c>
      <c r="CL37">
        <v>3</v>
      </c>
      <c r="CM37">
        <v>2</v>
      </c>
      <c r="CN37">
        <v>0</v>
      </c>
      <c r="CO37">
        <v>2</v>
      </c>
      <c r="CP37">
        <v>0</v>
      </c>
      <c r="CQ37">
        <v>6</v>
      </c>
      <c r="CR37" t="s">
        <v>116</v>
      </c>
      <c r="CS37">
        <v>147</v>
      </c>
      <c r="CT37">
        <v>3</v>
      </c>
      <c r="CU37" t="s">
        <v>117</v>
      </c>
      <c r="CV37" t="s">
        <v>118</v>
      </c>
      <c r="CY37">
        <v>15837805</v>
      </c>
      <c r="CZ37" t="s">
        <v>119</v>
      </c>
    </row>
    <row r="38" spans="1:104" x14ac:dyDescent="0.25">
      <c r="A38" t="str">
        <f>"13:50:55.328"</f>
        <v>13:50:55.328</v>
      </c>
      <c r="B38" t="s">
        <v>108</v>
      </c>
      <c r="C38" t="str">
        <f t="shared" si="1"/>
        <v>ffdfd3c0</v>
      </c>
      <c r="D38" t="s">
        <v>109</v>
      </c>
      <c r="E38">
        <v>4</v>
      </c>
      <c r="F38">
        <v>1004</v>
      </c>
      <c r="G38" t="s">
        <v>110</v>
      </c>
      <c r="J38" t="s">
        <v>111</v>
      </c>
      <c r="K38">
        <v>0</v>
      </c>
      <c r="L38">
        <v>3</v>
      </c>
      <c r="M38">
        <v>0</v>
      </c>
      <c r="N38">
        <v>2</v>
      </c>
      <c r="O38">
        <v>1</v>
      </c>
      <c r="P38">
        <v>0</v>
      </c>
      <c r="Q38">
        <v>0</v>
      </c>
      <c r="R38" t="s">
        <v>112</v>
      </c>
      <c r="S38" t="str">
        <f>"13:50:55.141"</f>
        <v>13:50:55.141</v>
      </c>
      <c r="T38" t="str">
        <f>"13:50:54.742"</f>
        <v>13:50:54.742</v>
      </c>
      <c r="U38" t="str">
        <f t="shared" si="0"/>
        <v>ad5732</v>
      </c>
      <c r="V38">
        <v>0</v>
      </c>
      <c r="W38">
        <v>0</v>
      </c>
      <c r="X38">
        <v>1</v>
      </c>
      <c r="Z38">
        <v>0</v>
      </c>
      <c r="AA38">
        <v>9</v>
      </c>
      <c r="AB38">
        <v>3</v>
      </c>
      <c r="AC38">
        <v>0</v>
      </c>
      <c r="AD38">
        <v>10</v>
      </c>
      <c r="AE38">
        <v>0</v>
      </c>
      <c r="AF38">
        <v>3</v>
      </c>
      <c r="AG38">
        <v>2</v>
      </c>
      <c r="AH38">
        <v>0</v>
      </c>
      <c r="AI38" t="s">
        <v>194</v>
      </c>
      <c r="AJ38">
        <v>39.108902999999998</v>
      </c>
      <c r="AK38" t="s">
        <v>195</v>
      </c>
      <c r="AL38">
        <v>-77.572489000000004</v>
      </c>
      <c r="AM38">
        <v>100</v>
      </c>
      <c r="AN38">
        <v>1100</v>
      </c>
      <c r="AO38" t="s">
        <v>115</v>
      </c>
      <c r="AP38">
        <v>-87</v>
      </c>
      <c r="AQ38">
        <v>83</v>
      </c>
      <c r="AR38">
        <v>768</v>
      </c>
      <c r="AZ38">
        <v>3614</v>
      </c>
      <c r="BA38">
        <v>1</v>
      </c>
      <c r="BB38" t="str">
        <f t="shared" si="2"/>
        <v xml:space="preserve">N959MJ  </v>
      </c>
      <c r="BC38">
        <v>1</v>
      </c>
      <c r="BE38">
        <v>0</v>
      </c>
      <c r="BF38">
        <v>0</v>
      </c>
      <c r="BG38">
        <v>0</v>
      </c>
      <c r="BH38">
        <v>1325</v>
      </c>
      <c r="BI38">
        <v>225</v>
      </c>
      <c r="BJ38">
        <v>1</v>
      </c>
      <c r="BK38">
        <v>1</v>
      </c>
      <c r="BL38">
        <v>1</v>
      </c>
      <c r="BM38">
        <v>0</v>
      </c>
      <c r="BP38">
        <v>0</v>
      </c>
      <c r="BQ38">
        <v>0</v>
      </c>
      <c r="BX38" t="str">
        <f>"13:50:55.148"</f>
        <v>13:50:55.148</v>
      </c>
      <c r="BY38" t="str">
        <f>"144611851"</f>
        <v>144611851</v>
      </c>
      <c r="CL38">
        <v>3</v>
      </c>
      <c r="CM38">
        <v>2</v>
      </c>
      <c r="CN38">
        <v>0</v>
      </c>
      <c r="CO38">
        <v>2</v>
      </c>
      <c r="CP38">
        <v>0</v>
      </c>
      <c r="CQ38">
        <v>6</v>
      </c>
      <c r="CR38" t="s">
        <v>116</v>
      </c>
      <c r="CS38">
        <v>147</v>
      </c>
      <c r="CT38">
        <v>3</v>
      </c>
      <c r="CU38" t="s">
        <v>117</v>
      </c>
      <c r="CV38" t="s">
        <v>118</v>
      </c>
      <c r="CY38">
        <v>15839314</v>
      </c>
      <c r="CZ38" t="s">
        <v>119</v>
      </c>
    </row>
    <row r="39" spans="1:104" x14ac:dyDescent="0.25">
      <c r="A39" t="str">
        <f>"13:50:56.180"</f>
        <v>13:50:56.180</v>
      </c>
      <c r="B39" t="s">
        <v>108</v>
      </c>
      <c r="C39" t="str">
        <f t="shared" si="1"/>
        <v>ffdfd3c0</v>
      </c>
      <c r="D39" t="s">
        <v>109</v>
      </c>
      <c r="E39">
        <v>4</v>
      </c>
      <c r="F39">
        <v>1004</v>
      </c>
      <c r="G39" t="s">
        <v>110</v>
      </c>
      <c r="J39" t="s">
        <v>111</v>
      </c>
      <c r="K39">
        <v>0</v>
      </c>
      <c r="L39">
        <v>3</v>
      </c>
      <c r="M39">
        <v>0</v>
      </c>
      <c r="N39">
        <v>2</v>
      </c>
      <c r="O39">
        <v>1</v>
      </c>
      <c r="P39">
        <v>0</v>
      </c>
      <c r="Q39">
        <v>0</v>
      </c>
      <c r="R39" t="s">
        <v>112</v>
      </c>
      <c r="S39" t="str">
        <f>"13:50:55.977"</f>
        <v>13:50:55.977</v>
      </c>
      <c r="T39" t="str">
        <f>"13:50:55.578"</f>
        <v>13:50:55.578</v>
      </c>
      <c r="U39" t="str">
        <f t="shared" si="0"/>
        <v>ad5732</v>
      </c>
      <c r="V39">
        <v>0</v>
      </c>
      <c r="W39">
        <v>0</v>
      </c>
      <c r="X39">
        <v>1</v>
      </c>
      <c r="Z39">
        <v>0</v>
      </c>
      <c r="AA39">
        <v>9</v>
      </c>
      <c r="AB39">
        <v>3</v>
      </c>
      <c r="AC39">
        <v>0</v>
      </c>
      <c r="AD39">
        <v>10</v>
      </c>
      <c r="AE39">
        <v>0</v>
      </c>
      <c r="AF39">
        <v>3</v>
      </c>
      <c r="AG39">
        <v>2</v>
      </c>
      <c r="AH39">
        <v>0</v>
      </c>
      <c r="AI39" t="s">
        <v>196</v>
      </c>
      <c r="AJ39">
        <v>39.109181999999997</v>
      </c>
      <c r="AK39" t="s">
        <v>197</v>
      </c>
      <c r="AL39">
        <v>-77.573003999999997</v>
      </c>
      <c r="AM39">
        <v>100</v>
      </c>
      <c r="AN39">
        <v>1100</v>
      </c>
      <c r="AO39" t="s">
        <v>115</v>
      </c>
      <c r="AP39">
        <v>-93</v>
      </c>
      <c r="AQ39">
        <v>77</v>
      </c>
      <c r="AR39">
        <v>640</v>
      </c>
      <c r="AZ39">
        <v>3614</v>
      </c>
      <c r="BA39">
        <v>1</v>
      </c>
      <c r="BB39" t="str">
        <f t="shared" si="2"/>
        <v xml:space="preserve">N959MJ  </v>
      </c>
      <c r="BC39">
        <v>1</v>
      </c>
      <c r="BE39">
        <v>0</v>
      </c>
      <c r="BF39">
        <v>0</v>
      </c>
      <c r="BG39">
        <v>0</v>
      </c>
      <c r="BH39">
        <v>1325</v>
      </c>
      <c r="BI39">
        <v>225</v>
      </c>
      <c r="BJ39">
        <v>1</v>
      </c>
      <c r="BK39">
        <v>1</v>
      </c>
      <c r="BL39">
        <v>1</v>
      </c>
      <c r="BM39">
        <v>0</v>
      </c>
      <c r="BP39">
        <v>0</v>
      </c>
      <c r="BQ39">
        <v>0</v>
      </c>
      <c r="BX39" t="str">
        <f>"13:50:55.977"</f>
        <v>13:50:55.977</v>
      </c>
      <c r="BY39" t="str">
        <f>"976932216"</f>
        <v>976932216</v>
      </c>
      <c r="CL39">
        <v>3</v>
      </c>
      <c r="CM39">
        <v>2</v>
      </c>
      <c r="CN39">
        <v>0</v>
      </c>
      <c r="CO39">
        <v>2</v>
      </c>
      <c r="CP39">
        <v>0</v>
      </c>
      <c r="CQ39">
        <v>5</v>
      </c>
      <c r="CR39" t="s">
        <v>116</v>
      </c>
      <c r="CS39">
        <v>147</v>
      </c>
      <c r="CT39">
        <v>2</v>
      </c>
      <c r="CU39" t="s">
        <v>117</v>
      </c>
      <c r="CV39" t="s">
        <v>118</v>
      </c>
      <c r="CY39">
        <v>15510734</v>
      </c>
      <c r="CZ39" t="s">
        <v>119</v>
      </c>
    </row>
    <row r="40" spans="1:104" x14ac:dyDescent="0.25">
      <c r="A40" t="str">
        <f>"13:50:57.094"</f>
        <v>13:50:57.094</v>
      </c>
      <c r="B40" t="s">
        <v>108</v>
      </c>
      <c r="C40" t="str">
        <f t="shared" si="1"/>
        <v>ffdfd3c0</v>
      </c>
      <c r="D40" t="s">
        <v>109</v>
      </c>
      <c r="E40">
        <v>4</v>
      </c>
      <c r="F40">
        <v>1004</v>
      </c>
      <c r="G40" t="s">
        <v>110</v>
      </c>
      <c r="J40" t="s">
        <v>111</v>
      </c>
      <c r="K40">
        <v>0</v>
      </c>
      <c r="L40">
        <v>3</v>
      </c>
      <c r="M40">
        <v>0</v>
      </c>
      <c r="N40">
        <v>2</v>
      </c>
      <c r="O40">
        <v>1</v>
      </c>
      <c r="P40">
        <v>0</v>
      </c>
      <c r="Q40">
        <v>0</v>
      </c>
      <c r="R40" t="s">
        <v>112</v>
      </c>
      <c r="S40" t="str">
        <f>"13:50:56.914"</f>
        <v>13:50:56.914</v>
      </c>
      <c r="T40" t="str">
        <f>"13:50:56.516"</f>
        <v>13:50:56.516</v>
      </c>
      <c r="U40" t="str">
        <f t="shared" si="0"/>
        <v>ad5732</v>
      </c>
      <c r="V40">
        <v>0</v>
      </c>
      <c r="W40">
        <v>0</v>
      </c>
      <c r="X40">
        <v>1</v>
      </c>
      <c r="Z40">
        <v>0</v>
      </c>
      <c r="AA40">
        <v>9</v>
      </c>
      <c r="AB40">
        <v>3</v>
      </c>
      <c r="AC40">
        <v>0</v>
      </c>
      <c r="AD40">
        <v>10</v>
      </c>
      <c r="AE40">
        <v>0</v>
      </c>
      <c r="AF40">
        <v>3</v>
      </c>
      <c r="AG40">
        <v>2</v>
      </c>
      <c r="AH40">
        <v>0</v>
      </c>
      <c r="AI40" t="s">
        <v>198</v>
      </c>
      <c r="AJ40">
        <v>39.109504000000001</v>
      </c>
      <c r="AK40" t="s">
        <v>199</v>
      </c>
      <c r="AL40">
        <v>-77.573561999999995</v>
      </c>
      <c r="AM40">
        <v>100</v>
      </c>
      <c r="AN40">
        <v>1100</v>
      </c>
      <c r="AO40" t="s">
        <v>115</v>
      </c>
      <c r="AP40">
        <v>-99</v>
      </c>
      <c r="AQ40">
        <v>70</v>
      </c>
      <c r="AR40">
        <v>576</v>
      </c>
      <c r="AZ40">
        <v>3614</v>
      </c>
      <c r="BA40">
        <v>1</v>
      </c>
      <c r="BB40" t="str">
        <f t="shared" si="2"/>
        <v xml:space="preserve">N959MJ  </v>
      </c>
      <c r="BC40">
        <v>1</v>
      </c>
      <c r="BE40">
        <v>0</v>
      </c>
      <c r="BF40">
        <v>0</v>
      </c>
      <c r="BG40">
        <v>0</v>
      </c>
      <c r="BH40">
        <v>1350</v>
      </c>
      <c r="BI40">
        <v>250</v>
      </c>
      <c r="BJ40">
        <v>1</v>
      </c>
      <c r="BK40">
        <v>1</v>
      </c>
      <c r="BL40">
        <v>1</v>
      </c>
      <c r="BM40">
        <v>0</v>
      </c>
      <c r="BP40">
        <v>0</v>
      </c>
      <c r="BQ40">
        <v>0</v>
      </c>
      <c r="BX40" t="str">
        <f>"13:50:56.914"</f>
        <v>13:50:56.914</v>
      </c>
      <c r="BY40" t="str">
        <f>"915750035"</f>
        <v>915750035</v>
      </c>
      <c r="CL40">
        <v>3</v>
      </c>
      <c r="CM40">
        <v>2</v>
      </c>
      <c r="CN40">
        <v>0</v>
      </c>
      <c r="CO40">
        <v>2</v>
      </c>
      <c r="CP40">
        <v>0</v>
      </c>
      <c r="CQ40">
        <v>6</v>
      </c>
      <c r="CR40" t="s">
        <v>116</v>
      </c>
      <c r="CS40">
        <v>147</v>
      </c>
      <c r="CT40">
        <v>3</v>
      </c>
      <c r="CU40" t="s">
        <v>117</v>
      </c>
      <c r="CV40" t="s">
        <v>118</v>
      </c>
      <c r="CY40">
        <v>15842455</v>
      </c>
      <c r="CZ40" t="s">
        <v>119</v>
      </c>
    </row>
    <row r="41" spans="1:104" x14ac:dyDescent="0.25">
      <c r="A41" t="str">
        <f>"13:50:58.250"</f>
        <v>13:50:58.250</v>
      </c>
      <c r="B41" t="s">
        <v>108</v>
      </c>
      <c r="C41" t="str">
        <f t="shared" si="1"/>
        <v>ffdfd3c0</v>
      </c>
      <c r="D41" t="s">
        <v>109</v>
      </c>
      <c r="E41">
        <v>4</v>
      </c>
      <c r="F41">
        <v>1004</v>
      </c>
      <c r="G41" t="s">
        <v>110</v>
      </c>
      <c r="J41" t="s">
        <v>111</v>
      </c>
      <c r="K41">
        <v>0</v>
      </c>
      <c r="L41">
        <v>3</v>
      </c>
      <c r="M41">
        <v>0</v>
      </c>
      <c r="N41">
        <v>2</v>
      </c>
      <c r="O41">
        <v>1</v>
      </c>
      <c r="P41">
        <v>0</v>
      </c>
      <c r="Q41">
        <v>0</v>
      </c>
      <c r="R41" t="s">
        <v>112</v>
      </c>
      <c r="S41" t="str">
        <f>"13:50:58.039"</f>
        <v>13:50:58.039</v>
      </c>
      <c r="T41" t="str">
        <f>"13:50:57.539"</f>
        <v>13:50:57.539</v>
      </c>
      <c r="U41" t="str">
        <f t="shared" si="0"/>
        <v>ad5732</v>
      </c>
      <c r="V41">
        <v>0</v>
      </c>
      <c r="W41">
        <v>0</v>
      </c>
      <c r="X41">
        <v>1</v>
      </c>
      <c r="Z41">
        <v>0</v>
      </c>
      <c r="AA41">
        <v>9</v>
      </c>
      <c r="AB41">
        <v>3</v>
      </c>
      <c r="AC41">
        <v>0</v>
      </c>
      <c r="AD41">
        <v>10</v>
      </c>
      <c r="AE41">
        <v>0</v>
      </c>
      <c r="AF41">
        <v>3</v>
      </c>
      <c r="AG41">
        <v>2</v>
      </c>
      <c r="AH41">
        <v>0</v>
      </c>
      <c r="AI41" t="s">
        <v>200</v>
      </c>
      <c r="AJ41">
        <v>39.109783</v>
      </c>
      <c r="AK41" t="s">
        <v>201</v>
      </c>
      <c r="AL41">
        <v>-77.574226999999993</v>
      </c>
      <c r="AM41">
        <v>100</v>
      </c>
      <c r="AN41">
        <v>1100</v>
      </c>
      <c r="AO41" t="s">
        <v>115</v>
      </c>
      <c r="AP41">
        <v>-104</v>
      </c>
      <c r="AQ41">
        <v>62</v>
      </c>
      <c r="AR41">
        <v>512</v>
      </c>
      <c r="AZ41">
        <v>3614</v>
      </c>
      <c r="BA41">
        <v>1</v>
      </c>
      <c r="BB41" t="str">
        <f t="shared" si="2"/>
        <v xml:space="preserve">N959MJ  </v>
      </c>
      <c r="BC41">
        <v>1</v>
      </c>
      <c r="BE41">
        <v>0</v>
      </c>
      <c r="BF41">
        <v>0</v>
      </c>
      <c r="BG41">
        <v>0</v>
      </c>
      <c r="BH41">
        <v>1350</v>
      </c>
      <c r="BI41">
        <v>250</v>
      </c>
      <c r="BJ41">
        <v>1</v>
      </c>
      <c r="BK41">
        <v>1</v>
      </c>
      <c r="BL41">
        <v>1</v>
      </c>
      <c r="BM41">
        <v>0</v>
      </c>
      <c r="BP41">
        <v>0</v>
      </c>
      <c r="BQ41">
        <v>0</v>
      </c>
      <c r="BX41" t="str">
        <f>"13:50:58.047"</f>
        <v>13:50:58.047</v>
      </c>
      <c r="BY41" t="str">
        <f>"046263900"</f>
        <v>046263900</v>
      </c>
      <c r="CL41">
        <v>3</v>
      </c>
      <c r="CM41">
        <v>2</v>
      </c>
      <c r="CN41">
        <v>0</v>
      </c>
      <c r="CO41">
        <v>2</v>
      </c>
      <c r="CP41">
        <v>0</v>
      </c>
      <c r="CQ41">
        <v>6</v>
      </c>
      <c r="CR41" t="s">
        <v>116</v>
      </c>
      <c r="CS41">
        <v>147</v>
      </c>
      <c r="CT41">
        <v>3</v>
      </c>
      <c r="CU41" t="s">
        <v>117</v>
      </c>
      <c r="CV41" t="s">
        <v>118</v>
      </c>
      <c r="CY41">
        <v>15844252</v>
      </c>
      <c r="CZ41" t="s">
        <v>119</v>
      </c>
    </row>
    <row r="42" spans="1:104" x14ac:dyDescent="0.25">
      <c r="A42" t="str">
        <f>"13:50:59.313"</f>
        <v>13:50:59.313</v>
      </c>
      <c r="B42" t="s">
        <v>108</v>
      </c>
      <c r="C42" t="str">
        <f t="shared" si="1"/>
        <v>ffdfd3c0</v>
      </c>
      <c r="D42" t="s">
        <v>109</v>
      </c>
      <c r="E42">
        <v>4</v>
      </c>
      <c r="F42">
        <v>1004</v>
      </c>
      <c r="G42" t="s">
        <v>110</v>
      </c>
      <c r="J42" t="s">
        <v>111</v>
      </c>
      <c r="K42">
        <v>0</v>
      </c>
      <c r="L42">
        <v>3</v>
      </c>
      <c r="M42">
        <v>0</v>
      </c>
      <c r="N42">
        <v>2</v>
      </c>
      <c r="O42">
        <v>1</v>
      </c>
      <c r="P42">
        <v>0</v>
      </c>
      <c r="Q42">
        <v>0</v>
      </c>
      <c r="R42" t="s">
        <v>112</v>
      </c>
      <c r="S42" t="str">
        <f>"13:50:59.117"</f>
        <v>13:50:59.117</v>
      </c>
      <c r="T42" t="str">
        <f>"13:50:58.117"</f>
        <v>13:50:58.117</v>
      </c>
      <c r="U42" t="str">
        <f t="shared" si="0"/>
        <v>ad5732</v>
      </c>
      <c r="V42">
        <v>0</v>
      </c>
      <c r="W42">
        <v>0</v>
      </c>
      <c r="X42">
        <v>1</v>
      </c>
      <c r="Z42">
        <v>0</v>
      </c>
      <c r="AA42">
        <v>9</v>
      </c>
      <c r="AB42">
        <v>3</v>
      </c>
      <c r="AC42">
        <v>0</v>
      </c>
      <c r="AD42">
        <v>10</v>
      </c>
      <c r="AE42">
        <v>0</v>
      </c>
      <c r="AF42">
        <v>3</v>
      </c>
      <c r="AG42">
        <v>2</v>
      </c>
      <c r="AH42">
        <v>0</v>
      </c>
      <c r="AI42" t="s">
        <v>202</v>
      </c>
      <c r="AJ42">
        <v>39.110041000000002</v>
      </c>
      <c r="AK42" t="s">
        <v>203</v>
      </c>
      <c r="AL42">
        <v>-77.574934999999996</v>
      </c>
      <c r="AM42">
        <v>100</v>
      </c>
      <c r="AN42">
        <v>1200</v>
      </c>
      <c r="AO42" t="s">
        <v>115</v>
      </c>
      <c r="AP42">
        <v>-107</v>
      </c>
      <c r="AQ42">
        <v>57</v>
      </c>
      <c r="AR42">
        <v>512</v>
      </c>
      <c r="AZ42">
        <v>3614</v>
      </c>
      <c r="BA42">
        <v>1</v>
      </c>
      <c r="BB42" t="str">
        <f t="shared" si="2"/>
        <v xml:space="preserve">N959MJ  </v>
      </c>
      <c r="BC42">
        <v>1</v>
      </c>
      <c r="BE42">
        <v>0</v>
      </c>
      <c r="BF42">
        <v>0</v>
      </c>
      <c r="BG42">
        <v>0</v>
      </c>
      <c r="BH42">
        <v>1350</v>
      </c>
      <c r="BI42">
        <v>150</v>
      </c>
      <c r="BJ42">
        <v>1</v>
      </c>
      <c r="BK42">
        <v>1</v>
      </c>
      <c r="BL42">
        <v>1</v>
      </c>
      <c r="BM42">
        <v>0</v>
      </c>
      <c r="BP42">
        <v>0</v>
      </c>
      <c r="BQ42">
        <v>0</v>
      </c>
      <c r="BX42" t="str">
        <f>"13:50:59.117"</f>
        <v>13:50:59.117</v>
      </c>
      <c r="BY42" t="str">
        <f>"121071096"</f>
        <v>121071096</v>
      </c>
      <c r="CL42">
        <v>3</v>
      </c>
      <c r="CM42">
        <v>2</v>
      </c>
      <c r="CN42">
        <v>0</v>
      </c>
      <c r="CO42">
        <v>2</v>
      </c>
      <c r="CP42">
        <v>0</v>
      </c>
      <c r="CQ42">
        <v>6</v>
      </c>
      <c r="CR42" t="s">
        <v>116</v>
      </c>
      <c r="CS42">
        <v>147</v>
      </c>
      <c r="CT42">
        <v>3</v>
      </c>
      <c r="CU42" t="s">
        <v>117</v>
      </c>
      <c r="CV42" t="s">
        <v>118</v>
      </c>
      <c r="CY42">
        <v>15845955</v>
      </c>
      <c r="CZ42" t="s">
        <v>119</v>
      </c>
    </row>
    <row r="43" spans="1:104" x14ac:dyDescent="0.25">
      <c r="A43" t="str">
        <f>"13:51:00.273"</f>
        <v>13:51:00.273</v>
      </c>
      <c r="B43" t="s">
        <v>108</v>
      </c>
      <c r="C43" t="str">
        <f t="shared" si="1"/>
        <v>ffdfd3c0</v>
      </c>
      <c r="D43" t="s">
        <v>109</v>
      </c>
      <c r="E43">
        <v>4</v>
      </c>
      <c r="F43">
        <v>1004</v>
      </c>
      <c r="G43" t="s">
        <v>110</v>
      </c>
      <c r="J43" t="s">
        <v>111</v>
      </c>
      <c r="K43">
        <v>0</v>
      </c>
      <c r="L43">
        <v>3</v>
      </c>
      <c r="M43">
        <v>0</v>
      </c>
      <c r="N43">
        <v>2</v>
      </c>
      <c r="O43">
        <v>1</v>
      </c>
      <c r="P43">
        <v>0</v>
      </c>
      <c r="Q43">
        <v>0</v>
      </c>
      <c r="R43" t="s">
        <v>112</v>
      </c>
      <c r="S43" t="str">
        <f>"13:51:00.094"</f>
        <v>13:51:00.094</v>
      </c>
      <c r="T43" t="str">
        <f>"13:50:59.594"</f>
        <v>13:50:59.594</v>
      </c>
      <c r="U43" t="str">
        <f t="shared" si="0"/>
        <v>ad5732</v>
      </c>
      <c r="V43">
        <v>0</v>
      </c>
      <c r="W43">
        <v>0</v>
      </c>
      <c r="X43">
        <v>1</v>
      </c>
      <c r="Z43">
        <v>0</v>
      </c>
      <c r="AA43">
        <v>9</v>
      </c>
      <c r="AB43">
        <v>3</v>
      </c>
      <c r="AC43">
        <v>0</v>
      </c>
      <c r="AD43">
        <v>10</v>
      </c>
      <c r="AE43">
        <v>0</v>
      </c>
      <c r="AF43">
        <v>3</v>
      </c>
      <c r="AG43">
        <v>2</v>
      </c>
      <c r="AH43">
        <v>0</v>
      </c>
      <c r="AI43" t="s">
        <v>204</v>
      </c>
      <c r="AJ43">
        <v>39.110277000000004</v>
      </c>
      <c r="AK43" t="s">
        <v>205</v>
      </c>
      <c r="AL43">
        <v>-77.575665000000001</v>
      </c>
      <c r="AM43">
        <v>100</v>
      </c>
      <c r="AN43">
        <v>1200</v>
      </c>
      <c r="AO43" t="s">
        <v>115</v>
      </c>
      <c r="AP43">
        <v>-113</v>
      </c>
      <c r="AQ43">
        <v>46</v>
      </c>
      <c r="AR43">
        <v>576</v>
      </c>
      <c r="AZ43">
        <v>3614</v>
      </c>
      <c r="BA43">
        <v>1</v>
      </c>
      <c r="BB43" t="str">
        <f t="shared" si="2"/>
        <v xml:space="preserve">N959MJ  </v>
      </c>
      <c r="BC43">
        <v>1</v>
      </c>
      <c r="BE43">
        <v>0</v>
      </c>
      <c r="BF43">
        <v>0</v>
      </c>
      <c r="BG43">
        <v>0</v>
      </c>
      <c r="BH43">
        <v>1375</v>
      </c>
      <c r="BI43">
        <v>175</v>
      </c>
      <c r="BJ43">
        <v>1</v>
      </c>
      <c r="BK43">
        <v>1</v>
      </c>
      <c r="BL43">
        <v>1</v>
      </c>
      <c r="BM43">
        <v>0</v>
      </c>
      <c r="BP43">
        <v>0</v>
      </c>
      <c r="BQ43">
        <v>0</v>
      </c>
      <c r="BX43" t="str">
        <f>"13:51:00.094"</f>
        <v>13:51:00.094</v>
      </c>
      <c r="BY43" t="str">
        <f>"094295951"</f>
        <v>094295951</v>
      </c>
      <c r="CL43">
        <v>3</v>
      </c>
      <c r="CM43">
        <v>2</v>
      </c>
      <c r="CN43">
        <v>0</v>
      </c>
      <c r="CO43">
        <v>2</v>
      </c>
      <c r="CP43">
        <v>0</v>
      </c>
      <c r="CQ43">
        <v>6</v>
      </c>
      <c r="CR43" t="s">
        <v>116</v>
      </c>
      <c r="CS43">
        <v>147</v>
      </c>
      <c r="CT43">
        <v>3</v>
      </c>
      <c r="CU43" t="s">
        <v>117</v>
      </c>
      <c r="CV43" t="s">
        <v>118</v>
      </c>
      <c r="CY43">
        <v>15847516</v>
      </c>
      <c r="CZ43" t="s">
        <v>119</v>
      </c>
    </row>
    <row r="44" spans="1:104" x14ac:dyDescent="0.25">
      <c r="A44" t="str">
        <f>"13:51:01.328"</f>
        <v>13:51:01.328</v>
      </c>
      <c r="B44" t="s">
        <v>108</v>
      </c>
      <c r="C44" t="str">
        <f t="shared" si="1"/>
        <v>ffdfd3c0</v>
      </c>
      <c r="D44" t="s">
        <v>109</v>
      </c>
      <c r="E44">
        <v>4</v>
      </c>
      <c r="F44">
        <v>1004</v>
      </c>
      <c r="G44" t="s">
        <v>110</v>
      </c>
      <c r="J44" t="s">
        <v>111</v>
      </c>
      <c r="K44">
        <v>0</v>
      </c>
      <c r="L44">
        <v>3</v>
      </c>
      <c r="M44">
        <v>0</v>
      </c>
      <c r="N44">
        <v>2</v>
      </c>
      <c r="O44">
        <v>1</v>
      </c>
      <c r="P44">
        <v>0</v>
      </c>
      <c r="Q44">
        <v>0</v>
      </c>
      <c r="R44" t="s">
        <v>112</v>
      </c>
      <c r="S44" t="str">
        <f>"13:51:01.133"</f>
        <v>13:51:01.133</v>
      </c>
      <c r="T44" t="str">
        <f>"13:51:00.734"</f>
        <v>13:51:00.734</v>
      </c>
      <c r="U44" t="str">
        <f t="shared" si="0"/>
        <v>ad5732</v>
      </c>
      <c r="V44">
        <v>0</v>
      </c>
      <c r="W44">
        <v>0</v>
      </c>
      <c r="X44">
        <v>1</v>
      </c>
      <c r="Z44">
        <v>0</v>
      </c>
      <c r="AA44">
        <v>9</v>
      </c>
      <c r="AB44">
        <v>3</v>
      </c>
      <c r="AC44">
        <v>0</v>
      </c>
      <c r="AD44">
        <v>10</v>
      </c>
      <c r="AE44">
        <v>0</v>
      </c>
      <c r="AF44">
        <v>3</v>
      </c>
      <c r="AG44">
        <v>2</v>
      </c>
      <c r="AH44">
        <v>0</v>
      </c>
      <c r="AI44" t="s">
        <v>206</v>
      </c>
      <c r="AJ44">
        <v>39.110447999999998</v>
      </c>
      <c r="AK44" t="s">
        <v>207</v>
      </c>
      <c r="AL44">
        <v>-77.576307999999997</v>
      </c>
      <c r="AM44">
        <v>100</v>
      </c>
      <c r="AN44">
        <v>1200</v>
      </c>
      <c r="AO44" t="s">
        <v>115</v>
      </c>
      <c r="AP44">
        <v>-116</v>
      </c>
      <c r="AQ44">
        <v>39</v>
      </c>
      <c r="AR44">
        <v>640</v>
      </c>
      <c r="AZ44">
        <v>3614</v>
      </c>
      <c r="BA44">
        <v>1</v>
      </c>
      <c r="BB44" t="str">
        <f t="shared" si="2"/>
        <v xml:space="preserve">N959MJ  </v>
      </c>
      <c r="BC44">
        <v>1</v>
      </c>
      <c r="BE44">
        <v>0</v>
      </c>
      <c r="BF44">
        <v>0</v>
      </c>
      <c r="BG44">
        <v>0</v>
      </c>
      <c r="BH44">
        <v>1375</v>
      </c>
      <c r="BI44">
        <v>175</v>
      </c>
      <c r="BJ44">
        <v>1</v>
      </c>
      <c r="BK44">
        <v>1</v>
      </c>
      <c r="BL44">
        <v>1</v>
      </c>
      <c r="BM44">
        <v>0</v>
      </c>
      <c r="BP44">
        <v>0</v>
      </c>
      <c r="BQ44">
        <v>0</v>
      </c>
      <c r="BX44" t="str">
        <f>"13:51:01.141"</f>
        <v>13:51:01.141</v>
      </c>
      <c r="BY44" t="str">
        <f>"139615877"</f>
        <v>139615877</v>
      </c>
      <c r="CL44">
        <v>3</v>
      </c>
      <c r="CM44">
        <v>2</v>
      </c>
      <c r="CN44">
        <v>0</v>
      </c>
      <c r="CO44">
        <v>2</v>
      </c>
      <c r="CP44">
        <v>0</v>
      </c>
      <c r="CQ44">
        <v>5</v>
      </c>
      <c r="CR44" t="s">
        <v>116</v>
      </c>
      <c r="CS44">
        <v>525</v>
      </c>
      <c r="CT44">
        <v>2</v>
      </c>
      <c r="CU44" t="s">
        <v>140</v>
      </c>
      <c r="CV44" t="s">
        <v>141</v>
      </c>
      <c r="CY44">
        <v>13636096</v>
      </c>
      <c r="CZ44" t="s">
        <v>119</v>
      </c>
    </row>
    <row r="45" spans="1:104" x14ac:dyDescent="0.25">
      <c r="A45" t="str">
        <f>"13:51:02.594"</f>
        <v>13:51:02.594</v>
      </c>
      <c r="B45" t="s">
        <v>108</v>
      </c>
      <c r="C45" t="str">
        <f t="shared" si="1"/>
        <v>ffdfd3c0</v>
      </c>
      <c r="D45" t="s">
        <v>109</v>
      </c>
      <c r="E45">
        <v>4</v>
      </c>
      <c r="F45">
        <v>1004</v>
      </c>
      <c r="G45" t="s">
        <v>110</v>
      </c>
      <c r="J45" t="s">
        <v>111</v>
      </c>
      <c r="K45">
        <v>0</v>
      </c>
      <c r="L45">
        <v>3</v>
      </c>
      <c r="M45">
        <v>0</v>
      </c>
      <c r="N45">
        <v>2</v>
      </c>
      <c r="O45">
        <v>1</v>
      </c>
      <c r="P45">
        <v>0</v>
      </c>
      <c r="Q45">
        <v>0</v>
      </c>
      <c r="R45" t="s">
        <v>112</v>
      </c>
      <c r="S45" t="str">
        <f>"13:51:02.109"</f>
        <v>13:51:02.109</v>
      </c>
      <c r="T45" t="str">
        <f>"13:50:54.813"</f>
        <v>13:50:54.813</v>
      </c>
      <c r="U45" t="str">
        <f t="shared" si="0"/>
        <v>ad5732</v>
      </c>
      <c r="V45">
        <v>0</v>
      </c>
      <c r="W45">
        <v>0</v>
      </c>
      <c r="X45">
        <v>1</v>
      </c>
      <c r="Z45">
        <v>0</v>
      </c>
      <c r="AA45">
        <v>9</v>
      </c>
      <c r="AB45">
        <v>3</v>
      </c>
      <c r="AC45">
        <v>0</v>
      </c>
      <c r="AD45">
        <v>10</v>
      </c>
      <c r="AE45">
        <v>0</v>
      </c>
      <c r="AF45">
        <v>3</v>
      </c>
      <c r="AG45">
        <v>2</v>
      </c>
      <c r="AH45">
        <v>0</v>
      </c>
      <c r="AI45" t="s">
        <v>208</v>
      </c>
      <c r="AJ45">
        <v>39.110599000000001</v>
      </c>
      <c r="AK45" t="s">
        <v>209</v>
      </c>
      <c r="AL45">
        <v>-77.577038000000002</v>
      </c>
      <c r="AM45">
        <v>100</v>
      </c>
      <c r="AN45">
        <v>1200</v>
      </c>
      <c r="AO45" t="s">
        <v>115</v>
      </c>
      <c r="AP45">
        <v>-87</v>
      </c>
      <c r="AQ45">
        <v>83</v>
      </c>
      <c r="AR45">
        <v>768</v>
      </c>
      <c r="AZ45">
        <v>3614</v>
      </c>
      <c r="BA45">
        <v>1</v>
      </c>
      <c r="BB45" t="str">
        <f t="shared" si="2"/>
        <v xml:space="preserve">N959MJ  </v>
      </c>
      <c r="BC45">
        <v>1</v>
      </c>
      <c r="BE45">
        <v>0</v>
      </c>
      <c r="BF45">
        <v>0</v>
      </c>
      <c r="BG45">
        <v>0</v>
      </c>
      <c r="BH45">
        <v>1325</v>
      </c>
      <c r="BI45">
        <v>125</v>
      </c>
      <c r="BJ45">
        <v>1</v>
      </c>
      <c r="BK45">
        <v>1</v>
      </c>
      <c r="BL45">
        <v>1</v>
      </c>
      <c r="BM45">
        <v>0</v>
      </c>
      <c r="BP45">
        <v>0</v>
      </c>
      <c r="BQ45">
        <v>0</v>
      </c>
      <c r="BX45" t="str">
        <f>"13:51:02.117"</f>
        <v>13:51:02.117</v>
      </c>
      <c r="BY45" t="str">
        <f>"116207015"</f>
        <v>116207015</v>
      </c>
      <c r="CL45">
        <v>3</v>
      </c>
      <c r="CM45">
        <v>2</v>
      </c>
      <c r="CN45">
        <v>0</v>
      </c>
      <c r="CO45">
        <v>2</v>
      </c>
      <c r="CP45">
        <v>0</v>
      </c>
      <c r="CQ45">
        <v>1</v>
      </c>
      <c r="CR45" t="s">
        <v>116</v>
      </c>
      <c r="CS45">
        <v>152</v>
      </c>
      <c r="CT45">
        <v>3</v>
      </c>
      <c r="CU45" t="s">
        <v>134</v>
      </c>
      <c r="CV45" t="s">
        <v>135</v>
      </c>
      <c r="CY45">
        <v>11639981</v>
      </c>
      <c r="CZ45" t="s">
        <v>119</v>
      </c>
    </row>
    <row r="46" spans="1:104" x14ac:dyDescent="0.25">
      <c r="A46" t="str">
        <f>"13:51:03.750"</f>
        <v>13:51:03.750</v>
      </c>
      <c r="B46" t="s">
        <v>108</v>
      </c>
      <c r="C46" t="str">
        <f t="shared" si="1"/>
        <v>ffdfd3c0</v>
      </c>
      <c r="D46" t="s">
        <v>109</v>
      </c>
      <c r="E46">
        <v>4</v>
      </c>
      <c r="F46">
        <v>1004</v>
      </c>
      <c r="G46" t="s">
        <v>110</v>
      </c>
      <c r="J46" t="s">
        <v>111</v>
      </c>
      <c r="K46">
        <v>0</v>
      </c>
      <c r="L46">
        <v>3</v>
      </c>
      <c r="M46">
        <v>0</v>
      </c>
      <c r="N46">
        <v>2</v>
      </c>
      <c r="O46">
        <v>1</v>
      </c>
      <c r="P46">
        <v>0</v>
      </c>
      <c r="Q46">
        <v>0</v>
      </c>
      <c r="R46" t="s">
        <v>112</v>
      </c>
      <c r="S46" t="str">
        <f>"13:51:03.594"</f>
        <v>13:51:03.594</v>
      </c>
      <c r="T46" t="str">
        <f>"13:51:02.594"</f>
        <v>13:51:02.594</v>
      </c>
      <c r="U46" t="str">
        <f t="shared" si="0"/>
        <v>ad5732</v>
      </c>
      <c r="V46">
        <v>0</v>
      </c>
      <c r="W46">
        <v>0</v>
      </c>
      <c r="X46">
        <v>1</v>
      </c>
      <c r="Z46">
        <v>0</v>
      </c>
      <c r="AA46">
        <v>9</v>
      </c>
      <c r="AB46">
        <v>3</v>
      </c>
      <c r="AC46">
        <v>0</v>
      </c>
      <c r="AD46">
        <v>10</v>
      </c>
      <c r="AE46">
        <v>0</v>
      </c>
      <c r="AF46">
        <v>3</v>
      </c>
      <c r="AG46">
        <v>2</v>
      </c>
      <c r="AH46">
        <v>0</v>
      </c>
      <c r="AI46" t="s">
        <v>210</v>
      </c>
      <c r="AJ46">
        <v>39.110813</v>
      </c>
      <c r="AK46" t="s">
        <v>211</v>
      </c>
      <c r="AL46">
        <v>-77.578068000000002</v>
      </c>
      <c r="AM46">
        <v>100</v>
      </c>
      <c r="AN46">
        <v>1200</v>
      </c>
      <c r="AO46" t="s">
        <v>115</v>
      </c>
      <c r="AP46">
        <v>-118</v>
      </c>
      <c r="AQ46">
        <v>31</v>
      </c>
      <c r="AR46">
        <v>896</v>
      </c>
      <c r="AZ46">
        <v>3614</v>
      </c>
      <c r="BA46">
        <v>1</v>
      </c>
      <c r="BB46" t="str">
        <f t="shared" si="2"/>
        <v xml:space="preserve">N959MJ  </v>
      </c>
      <c r="BC46">
        <v>1</v>
      </c>
      <c r="BE46">
        <v>0</v>
      </c>
      <c r="BF46">
        <v>0</v>
      </c>
      <c r="BG46">
        <v>0</v>
      </c>
      <c r="BH46">
        <v>1400</v>
      </c>
      <c r="BI46">
        <v>200</v>
      </c>
      <c r="BJ46">
        <v>1</v>
      </c>
      <c r="BK46">
        <v>1</v>
      </c>
      <c r="BL46">
        <v>1</v>
      </c>
      <c r="BM46">
        <v>0</v>
      </c>
      <c r="BP46">
        <v>0</v>
      </c>
      <c r="BQ46">
        <v>0</v>
      </c>
      <c r="BX46" t="str">
        <f>"13:51:03.594"</f>
        <v>13:51:03.594</v>
      </c>
      <c r="BY46" t="str">
        <f>"594066782"</f>
        <v>594066782</v>
      </c>
      <c r="CL46">
        <v>3</v>
      </c>
      <c r="CM46">
        <v>2</v>
      </c>
      <c r="CN46">
        <v>0</v>
      </c>
      <c r="CO46">
        <v>2</v>
      </c>
      <c r="CP46">
        <v>0</v>
      </c>
      <c r="CQ46">
        <v>5</v>
      </c>
      <c r="CR46" t="s">
        <v>116</v>
      </c>
      <c r="CS46">
        <v>152</v>
      </c>
      <c r="CT46">
        <v>0</v>
      </c>
      <c r="CU46" t="s">
        <v>134</v>
      </c>
      <c r="CV46" t="s">
        <v>135</v>
      </c>
      <c r="CY46">
        <v>15669911</v>
      </c>
      <c r="CZ46" t="s">
        <v>119</v>
      </c>
    </row>
    <row r="47" spans="1:104" x14ac:dyDescent="0.25">
      <c r="A47" t="str">
        <f>"13:51:05.672"</f>
        <v>13:51:05.672</v>
      </c>
      <c r="B47" t="s">
        <v>108</v>
      </c>
      <c r="C47" t="str">
        <f t="shared" si="1"/>
        <v>ffdfd3c0</v>
      </c>
      <c r="D47" t="s">
        <v>109</v>
      </c>
      <c r="E47">
        <v>4</v>
      </c>
      <c r="F47">
        <v>1004</v>
      </c>
      <c r="G47" t="s">
        <v>110</v>
      </c>
      <c r="J47" t="s">
        <v>111</v>
      </c>
      <c r="K47">
        <v>0</v>
      </c>
      <c r="L47">
        <v>3</v>
      </c>
      <c r="M47">
        <v>0</v>
      </c>
      <c r="N47">
        <v>2</v>
      </c>
      <c r="O47">
        <v>1</v>
      </c>
      <c r="P47">
        <v>0</v>
      </c>
      <c r="Q47">
        <v>0</v>
      </c>
      <c r="R47" t="s">
        <v>112</v>
      </c>
      <c r="S47" t="str">
        <f>"13:51:05.508"</f>
        <v>13:51:05.508</v>
      </c>
      <c r="T47" t="str">
        <f>"13:51:05.109"</f>
        <v>13:51:05.109</v>
      </c>
      <c r="U47" t="str">
        <f t="shared" si="0"/>
        <v>ad5732</v>
      </c>
      <c r="V47">
        <v>0</v>
      </c>
      <c r="W47">
        <v>0</v>
      </c>
      <c r="X47">
        <v>1</v>
      </c>
      <c r="Z47">
        <v>0</v>
      </c>
      <c r="AA47">
        <v>9</v>
      </c>
      <c r="AB47">
        <v>3</v>
      </c>
      <c r="AC47">
        <v>0</v>
      </c>
      <c r="AD47">
        <v>10</v>
      </c>
      <c r="AE47">
        <v>0</v>
      </c>
      <c r="AF47">
        <v>3</v>
      </c>
      <c r="AG47">
        <v>2</v>
      </c>
      <c r="AH47">
        <v>0</v>
      </c>
      <c r="AI47" t="s">
        <v>212</v>
      </c>
      <c r="AJ47">
        <v>39.111049000000001</v>
      </c>
      <c r="AK47" t="s">
        <v>213</v>
      </c>
      <c r="AL47">
        <v>-77.579419999999999</v>
      </c>
      <c r="AM47">
        <v>100</v>
      </c>
      <c r="AN47">
        <v>1200</v>
      </c>
      <c r="AO47" t="s">
        <v>115</v>
      </c>
      <c r="AP47">
        <v>-119</v>
      </c>
      <c r="AQ47">
        <v>28</v>
      </c>
      <c r="AR47">
        <v>1152</v>
      </c>
      <c r="AZ47">
        <v>3614</v>
      </c>
      <c r="BA47">
        <v>1</v>
      </c>
      <c r="BB47" t="str">
        <f t="shared" si="2"/>
        <v xml:space="preserve">N959MJ  </v>
      </c>
      <c r="BC47">
        <v>1</v>
      </c>
      <c r="BE47">
        <v>0</v>
      </c>
      <c r="BF47">
        <v>0</v>
      </c>
      <c r="BG47">
        <v>0</v>
      </c>
      <c r="BH47">
        <v>1450</v>
      </c>
      <c r="BI47">
        <v>250</v>
      </c>
      <c r="BJ47">
        <v>1</v>
      </c>
      <c r="BK47">
        <v>1</v>
      </c>
      <c r="BL47">
        <v>1</v>
      </c>
      <c r="BM47">
        <v>0</v>
      </c>
      <c r="BP47">
        <v>0</v>
      </c>
      <c r="BQ47">
        <v>0</v>
      </c>
      <c r="BX47" t="str">
        <f>"13:51:05.516"</f>
        <v>13:51:05.516</v>
      </c>
      <c r="BY47" t="str">
        <f>"512663029"</f>
        <v>512663029</v>
      </c>
      <c r="CL47">
        <v>3</v>
      </c>
      <c r="CM47">
        <v>2</v>
      </c>
      <c r="CN47">
        <v>0</v>
      </c>
      <c r="CO47">
        <v>2</v>
      </c>
      <c r="CP47">
        <v>0</v>
      </c>
      <c r="CQ47">
        <v>5</v>
      </c>
      <c r="CR47" t="s">
        <v>116</v>
      </c>
      <c r="CS47">
        <v>152</v>
      </c>
      <c r="CT47">
        <v>0</v>
      </c>
      <c r="CU47" t="s">
        <v>134</v>
      </c>
      <c r="CV47" t="s">
        <v>135</v>
      </c>
      <c r="CY47">
        <v>15673340</v>
      </c>
      <c r="CZ47" t="s">
        <v>119</v>
      </c>
    </row>
    <row r="48" spans="1:104" x14ac:dyDescent="0.25">
      <c r="A48" t="str">
        <f>"13:51:06.578"</f>
        <v>13:51:06.578</v>
      </c>
      <c r="B48" t="s">
        <v>108</v>
      </c>
      <c r="C48" t="str">
        <f t="shared" si="1"/>
        <v>ffdfd3c0</v>
      </c>
      <c r="D48" t="s">
        <v>109</v>
      </c>
      <c r="E48">
        <v>4</v>
      </c>
      <c r="F48">
        <v>1004</v>
      </c>
      <c r="G48" t="s">
        <v>110</v>
      </c>
      <c r="J48" t="s">
        <v>111</v>
      </c>
      <c r="K48">
        <v>0</v>
      </c>
      <c r="L48">
        <v>3</v>
      </c>
      <c r="M48">
        <v>0</v>
      </c>
      <c r="N48">
        <v>2</v>
      </c>
      <c r="O48">
        <v>1</v>
      </c>
      <c r="P48">
        <v>0</v>
      </c>
      <c r="Q48">
        <v>0</v>
      </c>
      <c r="R48" t="s">
        <v>112</v>
      </c>
      <c r="S48" t="str">
        <f>"13:51:06.406"</f>
        <v>13:51:06.406</v>
      </c>
      <c r="T48" t="str">
        <f>"13:51:06.008"</f>
        <v>13:51:06.008</v>
      </c>
      <c r="U48" t="str">
        <f t="shared" si="0"/>
        <v>ad5732</v>
      </c>
      <c r="V48">
        <v>0</v>
      </c>
      <c r="W48">
        <v>0</v>
      </c>
      <c r="X48">
        <v>1</v>
      </c>
      <c r="Z48">
        <v>0</v>
      </c>
      <c r="AA48">
        <v>9</v>
      </c>
      <c r="AB48">
        <v>3</v>
      </c>
      <c r="AC48">
        <v>0</v>
      </c>
      <c r="AD48">
        <v>10</v>
      </c>
      <c r="AE48">
        <v>0</v>
      </c>
      <c r="AF48">
        <v>3</v>
      </c>
      <c r="AG48">
        <v>2</v>
      </c>
      <c r="AH48">
        <v>0</v>
      </c>
      <c r="AI48" t="s">
        <v>214</v>
      </c>
      <c r="AJ48">
        <v>39.111178000000002</v>
      </c>
      <c r="AK48" t="s">
        <v>215</v>
      </c>
      <c r="AL48">
        <v>-77.580084999999997</v>
      </c>
      <c r="AM48">
        <v>100</v>
      </c>
      <c r="AN48">
        <v>1200</v>
      </c>
      <c r="AO48" t="s">
        <v>115</v>
      </c>
      <c r="AP48">
        <v>-118</v>
      </c>
      <c r="AQ48">
        <v>28</v>
      </c>
      <c r="AR48">
        <v>1280</v>
      </c>
      <c r="AZ48">
        <v>3614</v>
      </c>
      <c r="BA48">
        <v>1</v>
      </c>
      <c r="BB48" t="str">
        <f t="shared" si="2"/>
        <v xml:space="preserve">N959MJ  </v>
      </c>
      <c r="BC48">
        <v>1</v>
      </c>
      <c r="BE48">
        <v>0</v>
      </c>
      <c r="BF48">
        <v>0</v>
      </c>
      <c r="BG48">
        <v>0</v>
      </c>
      <c r="BH48">
        <v>1475</v>
      </c>
      <c r="BI48">
        <v>275</v>
      </c>
      <c r="BJ48">
        <v>1</v>
      </c>
      <c r="BK48">
        <v>1</v>
      </c>
      <c r="BL48">
        <v>1</v>
      </c>
      <c r="BM48">
        <v>0</v>
      </c>
      <c r="BP48">
        <v>0</v>
      </c>
      <c r="BQ48">
        <v>0</v>
      </c>
      <c r="BX48" t="str">
        <f>"13:51:06.414"</f>
        <v>13:51:06.414</v>
      </c>
      <c r="BY48" t="str">
        <f>"412158691"</f>
        <v>412158691</v>
      </c>
      <c r="CL48">
        <v>3</v>
      </c>
      <c r="CM48">
        <v>2</v>
      </c>
      <c r="CN48">
        <v>0</v>
      </c>
      <c r="CO48">
        <v>2</v>
      </c>
      <c r="CP48">
        <v>0</v>
      </c>
      <c r="CQ48">
        <v>5</v>
      </c>
      <c r="CR48" t="s">
        <v>116</v>
      </c>
      <c r="CS48">
        <v>152</v>
      </c>
      <c r="CT48">
        <v>0</v>
      </c>
      <c r="CU48" t="s">
        <v>134</v>
      </c>
      <c r="CV48" t="s">
        <v>135</v>
      </c>
      <c r="CY48">
        <v>15674913</v>
      </c>
      <c r="CZ48" t="s">
        <v>119</v>
      </c>
    </row>
    <row r="49" spans="1:104" x14ac:dyDescent="0.25">
      <c r="A49" t="str">
        <f>"13:51:07.641"</f>
        <v>13:51:07.641</v>
      </c>
      <c r="B49" t="s">
        <v>108</v>
      </c>
      <c r="C49" t="str">
        <f t="shared" si="1"/>
        <v>ffdfd3c0</v>
      </c>
      <c r="D49" t="s">
        <v>109</v>
      </c>
      <c r="E49">
        <v>4</v>
      </c>
      <c r="F49">
        <v>1004</v>
      </c>
      <c r="G49" t="s">
        <v>110</v>
      </c>
      <c r="J49" t="s">
        <v>111</v>
      </c>
      <c r="K49">
        <v>0</v>
      </c>
      <c r="L49">
        <v>3</v>
      </c>
      <c r="M49">
        <v>0</v>
      </c>
      <c r="N49">
        <v>2</v>
      </c>
      <c r="O49">
        <v>1</v>
      </c>
      <c r="P49">
        <v>0</v>
      </c>
      <c r="Q49">
        <v>0</v>
      </c>
      <c r="R49" t="s">
        <v>112</v>
      </c>
      <c r="S49" t="str">
        <f>"13:51:07.469"</f>
        <v>13:51:07.469</v>
      </c>
      <c r="T49" t="str">
        <f>"13:51:06.969"</f>
        <v>13:51:06.969</v>
      </c>
      <c r="U49" t="str">
        <f t="shared" si="0"/>
        <v>ad5732</v>
      </c>
      <c r="V49">
        <v>0</v>
      </c>
      <c r="W49">
        <v>0</v>
      </c>
      <c r="X49">
        <v>1</v>
      </c>
      <c r="Z49">
        <v>0</v>
      </c>
      <c r="AA49">
        <v>9</v>
      </c>
      <c r="AB49">
        <v>3</v>
      </c>
      <c r="AC49">
        <v>0</v>
      </c>
      <c r="AD49">
        <v>10</v>
      </c>
      <c r="AE49">
        <v>0</v>
      </c>
      <c r="AF49">
        <v>3</v>
      </c>
      <c r="AG49">
        <v>2</v>
      </c>
      <c r="AH49">
        <v>0</v>
      </c>
      <c r="AI49" t="s">
        <v>216</v>
      </c>
      <c r="AJ49">
        <v>39.111328</v>
      </c>
      <c r="AK49" t="s">
        <v>217</v>
      </c>
      <c r="AL49">
        <v>-77.580856999999995</v>
      </c>
      <c r="AM49">
        <v>100</v>
      </c>
      <c r="AN49">
        <v>1200</v>
      </c>
      <c r="AO49" t="s">
        <v>115</v>
      </c>
      <c r="AP49">
        <v>-117</v>
      </c>
      <c r="AQ49">
        <v>29</v>
      </c>
      <c r="AR49">
        <v>1408</v>
      </c>
      <c r="AZ49">
        <v>3614</v>
      </c>
      <c r="BA49">
        <v>1</v>
      </c>
      <c r="BB49" t="str">
        <f t="shared" si="2"/>
        <v xml:space="preserve">N959MJ  </v>
      </c>
      <c r="BC49">
        <v>1</v>
      </c>
      <c r="BE49">
        <v>0</v>
      </c>
      <c r="BF49">
        <v>0</v>
      </c>
      <c r="BG49">
        <v>0</v>
      </c>
      <c r="BH49">
        <v>1475</v>
      </c>
      <c r="BI49">
        <v>275</v>
      </c>
      <c r="BJ49">
        <v>1</v>
      </c>
      <c r="BK49">
        <v>1</v>
      </c>
      <c r="BL49">
        <v>1</v>
      </c>
      <c r="BM49">
        <v>0</v>
      </c>
      <c r="BP49">
        <v>0</v>
      </c>
      <c r="BQ49">
        <v>0</v>
      </c>
      <c r="BX49" t="str">
        <f>"13:51:07.469"</f>
        <v>13:51:07.469</v>
      </c>
      <c r="BY49" t="str">
        <f>"472219939"</f>
        <v>472219939</v>
      </c>
      <c r="CL49">
        <v>3</v>
      </c>
      <c r="CM49">
        <v>2</v>
      </c>
      <c r="CN49">
        <v>0</v>
      </c>
      <c r="CO49">
        <v>2</v>
      </c>
      <c r="CP49">
        <v>0</v>
      </c>
      <c r="CQ49">
        <v>6</v>
      </c>
      <c r="CR49" t="s">
        <v>116</v>
      </c>
      <c r="CS49">
        <v>152</v>
      </c>
      <c r="CT49">
        <v>0</v>
      </c>
      <c r="CU49" t="s">
        <v>134</v>
      </c>
      <c r="CV49" t="s">
        <v>135</v>
      </c>
      <c r="CY49">
        <v>15676662</v>
      </c>
      <c r="CZ49" t="s">
        <v>119</v>
      </c>
    </row>
    <row r="50" spans="1:104" x14ac:dyDescent="0.25">
      <c r="A50" t="str">
        <f>"13:51:08.648"</f>
        <v>13:51:08.648</v>
      </c>
      <c r="B50" t="s">
        <v>108</v>
      </c>
      <c r="C50" t="str">
        <f t="shared" si="1"/>
        <v>ffdfd3c0</v>
      </c>
      <c r="D50" t="s">
        <v>109</v>
      </c>
      <c r="E50">
        <v>4</v>
      </c>
      <c r="F50">
        <v>1004</v>
      </c>
      <c r="G50" t="s">
        <v>110</v>
      </c>
      <c r="J50" t="s">
        <v>111</v>
      </c>
      <c r="K50">
        <v>0</v>
      </c>
      <c r="L50">
        <v>3</v>
      </c>
      <c r="M50">
        <v>0</v>
      </c>
      <c r="N50">
        <v>2</v>
      </c>
      <c r="O50">
        <v>1</v>
      </c>
      <c r="P50">
        <v>0</v>
      </c>
      <c r="Q50">
        <v>0</v>
      </c>
      <c r="R50" t="s">
        <v>112</v>
      </c>
      <c r="S50" t="str">
        <f>"13:51:08.445"</f>
        <v>13:51:08.445</v>
      </c>
      <c r="T50" t="str">
        <f>"13:51:08.047"</f>
        <v>13:51:08.047</v>
      </c>
      <c r="U50" t="str">
        <f t="shared" si="0"/>
        <v>ad5732</v>
      </c>
      <c r="V50">
        <v>0</v>
      </c>
      <c r="W50">
        <v>0</v>
      </c>
      <c r="X50">
        <v>1</v>
      </c>
      <c r="Z50">
        <v>0</v>
      </c>
      <c r="AA50">
        <v>9</v>
      </c>
      <c r="AB50">
        <v>3</v>
      </c>
      <c r="AC50">
        <v>0</v>
      </c>
      <c r="AD50">
        <v>10</v>
      </c>
      <c r="AE50">
        <v>0</v>
      </c>
      <c r="AF50">
        <v>3</v>
      </c>
      <c r="AG50">
        <v>2</v>
      </c>
      <c r="AH50">
        <v>0</v>
      </c>
      <c r="AI50" t="s">
        <v>218</v>
      </c>
      <c r="AJ50">
        <v>39.111477999999998</v>
      </c>
      <c r="AK50" t="s">
        <v>219</v>
      </c>
      <c r="AL50">
        <v>-77.581415000000007</v>
      </c>
      <c r="AM50">
        <v>100</v>
      </c>
      <c r="AN50">
        <v>1200</v>
      </c>
      <c r="AO50" t="s">
        <v>115</v>
      </c>
      <c r="AP50">
        <v>-116</v>
      </c>
      <c r="AQ50">
        <v>31</v>
      </c>
      <c r="AR50">
        <v>1536</v>
      </c>
      <c r="AZ50">
        <v>3614</v>
      </c>
      <c r="BA50">
        <v>1</v>
      </c>
      <c r="BB50" t="str">
        <f t="shared" si="2"/>
        <v xml:space="preserve">N959MJ  </v>
      </c>
      <c r="BC50">
        <v>1</v>
      </c>
      <c r="BE50">
        <v>0</v>
      </c>
      <c r="BF50">
        <v>0</v>
      </c>
      <c r="BG50">
        <v>0</v>
      </c>
      <c r="BH50">
        <v>1525</v>
      </c>
      <c r="BI50">
        <v>325</v>
      </c>
      <c r="BJ50">
        <v>1</v>
      </c>
      <c r="BK50">
        <v>1</v>
      </c>
      <c r="BL50">
        <v>1</v>
      </c>
      <c r="BM50">
        <v>0</v>
      </c>
      <c r="BP50">
        <v>0</v>
      </c>
      <c r="BQ50">
        <v>0</v>
      </c>
      <c r="BX50" t="str">
        <f>"13:51:08.453"</f>
        <v>13:51:08.453</v>
      </c>
      <c r="BY50" t="str">
        <f>"451998395"</f>
        <v>451998395</v>
      </c>
      <c r="CL50">
        <v>3</v>
      </c>
      <c r="CM50">
        <v>2</v>
      </c>
      <c r="CN50">
        <v>0</v>
      </c>
      <c r="CO50">
        <v>2</v>
      </c>
      <c r="CP50">
        <v>0</v>
      </c>
      <c r="CQ50">
        <v>6</v>
      </c>
      <c r="CR50" t="s">
        <v>116</v>
      </c>
      <c r="CS50">
        <v>152</v>
      </c>
      <c r="CT50">
        <v>0</v>
      </c>
      <c r="CU50" t="s">
        <v>134</v>
      </c>
      <c r="CV50" t="s">
        <v>135</v>
      </c>
      <c r="CY50">
        <v>15678402</v>
      </c>
      <c r="CZ50" t="s">
        <v>119</v>
      </c>
    </row>
    <row r="51" spans="1:104" x14ac:dyDescent="0.25">
      <c r="A51" t="str">
        <f>"13:51:09.609"</f>
        <v>13:51:09.609</v>
      </c>
      <c r="B51" t="s">
        <v>108</v>
      </c>
      <c r="C51" t="str">
        <f t="shared" si="1"/>
        <v>ffdfd3c0</v>
      </c>
      <c r="D51" t="s">
        <v>109</v>
      </c>
      <c r="E51">
        <v>4</v>
      </c>
      <c r="F51">
        <v>1004</v>
      </c>
      <c r="G51" t="s">
        <v>110</v>
      </c>
      <c r="J51" t="s">
        <v>111</v>
      </c>
      <c r="K51">
        <v>0</v>
      </c>
      <c r="L51">
        <v>3</v>
      </c>
      <c r="M51">
        <v>0</v>
      </c>
      <c r="N51">
        <v>2</v>
      </c>
      <c r="O51">
        <v>1</v>
      </c>
      <c r="P51">
        <v>0</v>
      </c>
      <c r="Q51">
        <v>0</v>
      </c>
      <c r="R51" t="s">
        <v>112</v>
      </c>
      <c r="S51" t="str">
        <f>"13:51:09.398"</f>
        <v>13:51:09.398</v>
      </c>
      <c r="T51" t="str">
        <f>"13:51:08.898"</f>
        <v>13:51:08.898</v>
      </c>
      <c r="U51" t="str">
        <f t="shared" si="0"/>
        <v>ad5732</v>
      </c>
      <c r="V51">
        <v>0</v>
      </c>
      <c r="W51">
        <v>0</v>
      </c>
      <c r="X51">
        <v>1</v>
      </c>
      <c r="Z51">
        <v>0</v>
      </c>
      <c r="AA51">
        <v>9</v>
      </c>
      <c r="AB51">
        <v>3</v>
      </c>
      <c r="AC51">
        <v>0</v>
      </c>
      <c r="AD51">
        <v>10</v>
      </c>
      <c r="AE51">
        <v>0</v>
      </c>
      <c r="AF51">
        <v>3</v>
      </c>
      <c r="AG51">
        <v>2</v>
      </c>
      <c r="AH51">
        <v>0</v>
      </c>
      <c r="AI51" t="s">
        <v>220</v>
      </c>
      <c r="AJ51">
        <v>39.111606999999999</v>
      </c>
      <c r="AK51" t="s">
        <v>221</v>
      </c>
      <c r="AL51">
        <v>-77.582102000000006</v>
      </c>
      <c r="AM51">
        <v>100</v>
      </c>
      <c r="AN51">
        <v>1300</v>
      </c>
      <c r="AO51" t="s">
        <v>115</v>
      </c>
      <c r="AP51">
        <v>-115</v>
      </c>
      <c r="AQ51">
        <v>31</v>
      </c>
      <c r="AR51">
        <v>1600</v>
      </c>
      <c r="AZ51">
        <v>3614</v>
      </c>
      <c r="BA51">
        <v>1</v>
      </c>
      <c r="BB51" t="str">
        <f t="shared" si="2"/>
        <v xml:space="preserve">N959MJ  </v>
      </c>
      <c r="BC51">
        <v>1</v>
      </c>
      <c r="BE51">
        <v>0</v>
      </c>
      <c r="BF51">
        <v>0</v>
      </c>
      <c r="BG51">
        <v>0</v>
      </c>
      <c r="BH51">
        <v>1525</v>
      </c>
      <c r="BI51">
        <v>225</v>
      </c>
      <c r="BJ51">
        <v>1</v>
      </c>
      <c r="BK51">
        <v>1</v>
      </c>
      <c r="BL51">
        <v>1</v>
      </c>
      <c r="BM51">
        <v>0</v>
      </c>
      <c r="BP51">
        <v>0</v>
      </c>
      <c r="BQ51">
        <v>0</v>
      </c>
      <c r="BX51" t="str">
        <f>"13:51:09.406"</f>
        <v>13:51:09.406</v>
      </c>
      <c r="BY51" t="str">
        <f>"403923673"</f>
        <v>403923673</v>
      </c>
      <c r="CL51">
        <v>3</v>
      </c>
      <c r="CM51">
        <v>2</v>
      </c>
      <c r="CN51">
        <v>0</v>
      </c>
      <c r="CO51">
        <v>2</v>
      </c>
      <c r="CP51">
        <v>0</v>
      </c>
      <c r="CQ51">
        <v>6</v>
      </c>
      <c r="CR51" t="s">
        <v>116</v>
      </c>
      <c r="CS51">
        <v>152</v>
      </c>
      <c r="CT51">
        <v>0</v>
      </c>
      <c r="CU51" t="s">
        <v>134</v>
      </c>
      <c r="CV51" t="s">
        <v>135</v>
      </c>
      <c r="CY51">
        <v>15680026</v>
      </c>
      <c r="CZ51" t="s">
        <v>119</v>
      </c>
    </row>
    <row r="52" spans="1:104" x14ac:dyDescent="0.25">
      <c r="A52" t="str">
        <f>"13:51:10.672"</f>
        <v>13:51:10.672</v>
      </c>
      <c r="B52" t="s">
        <v>108</v>
      </c>
      <c r="C52" t="str">
        <f t="shared" si="1"/>
        <v>ffdfd3c0</v>
      </c>
      <c r="D52" t="s">
        <v>109</v>
      </c>
      <c r="E52">
        <v>4</v>
      </c>
      <c r="F52">
        <v>1004</v>
      </c>
      <c r="G52" t="s">
        <v>110</v>
      </c>
      <c r="J52" t="s">
        <v>111</v>
      </c>
      <c r="K52">
        <v>0</v>
      </c>
      <c r="L52">
        <v>3</v>
      </c>
      <c r="M52">
        <v>0</v>
      </c>
      <c r="N52">
        <v>2</v>
      </c>
      <c r="O52">
        <v>1</v>
      </c>
      <c r="P52">
        <v>0</v>
      </c>
      <c r="Q52">
        <v>0</v>
      </c>
      <c r="R52" t="s">
        <v>112</v>
      </c>
      <c r="S52" t="str">
        <f>"13:51:10.461"</f>
        <v>13:51:10.461</v>
      </c>
      <c r="T52" t="str">
        <f>"13:51:09.961"</f>
        <v>13:51:09.961</v>
      </c>
      <c r="U52" t="str">
        <f t="shared" si="0"/>
        <v>ad5732</v>
      </c>
      <c r="V52">
        <v>0</v>
      </c>
      <c r="W52">
        <v>0</v>
      </c>
      <c r="X52">
        <v>1</v>
      </c>
      <c r="Z52">
        <v>0</v>
      </c>
      <c r="AA52">
        <v>9</v>
      </c>
      <c r="AB52">
        <v>3</v>
      </c>
      <c r="AC52">
        <v>0</v>
      </c>
      <c r="AD52">
        <v>10</v>
      </c>
      <c r="AE52">
        <v>0</v>
      </c>
      <c r="AF52">
        <v>3</v>
      </c>
      <c r="AG52">
        <v>2</v>
      </c>
      <c r="AH52">
        <v>0</v>
      </c>
      <c r="AI52" t="s">
        <v>222</v>
      </c>
      <c r="AJ52">
        <v>39.111756999999997</v>
      </c>
      <c r="AK52" t="s">
        <v>223</v>
      </c>
      <c r="AL52">
        <v>-77.582767000000004</v>
      </c>
      <c r="AM52">
        <v>100</v>
      </c>
      <c r="AN52">
        <v>1300</v>
      </c>
      <c r="AO52" t="s">
        <v>115</v>
      </c>
      <c r="AP52">
        <v>-113</v>
      </c>
      <c r="AQ52">
        <v>32</v>
      </c>
      <c r="AR52">
        <v>1728</v>
      </c>
      <c r="AZ52">
        <v>3614</v>
      </c>
      <c r="BA52">
        <v>1</v>
      </c>
      <c r="BB52" t="str">
        <f t="shared" si="2"/>
        <v xml:space="preserve">N959MJ  </v>
      </c>
      <c r="BC52">
        <v>1</v>
      </c>
      <c r="BE52">
        <v>0</v>
      </c>
      <c r="BF52">
        <v>3</v>
      </c>
      <c r="BG52">
        <v>0</v>
      </c>
      <c r="BH52">
        <v>1575</v>
      </c>
      <c r="BI52">
        <v>275</v>
      </c>
      <c r="BJ52">
        <v>1</v>
      </c>
      <c r="BK52">
        <v>1</v>
      </c>
      <c r="BL52">
        <v>1</v>
      </c>
      <c r="BM52">
        <v>0</v>
      </c>
      <c r="BP52">
        <v>0</v>
      </c>
      <c r="BQ52">
        <v>0</v>
      </c>
      <c r="BX52" t="str">
        <f>"13:51:10.461"</f>
        <v>13:51:10.461</v>
      </c>
      <c r="BY52" t="str">
        <f>"464046611"</f>
        <v>464046611</v>
      </c>
      <c r="CL52">
        <v>3</v>
      </c>
      <c r="CM52">
        <v>2</v>
      </c>
      <c r="CN52">
        <v>0</v>
      </c>
      <c r="CO52">
        <v>2</v>
      </c>
      <c r="CP52">
        <v>0</v>
      </c>
      <c r="CQ52">
        <v>4</v>
      </c>
      <c r="CR52" t="s">
        <v>116</v>
      </c>
      <c r="CS52">
        <v>373</v>
      </c>
      <c r="CT52">
        <v>3</v>
      </c>
      <c r="CU52" t="s">
        <v>224</v>
      </c>
      <c r="CV52" t="s">
        <v>225</v>
      </c>
      <c r="CY52">
        <v>1413101</v>
      </c>
      <c r="CZ52" t="s">
        <v>119</v>
      </c>
    </row>
    <row r="53" spans="1:104" x14ac:dyDescent="0.25">
      <c r="A53" t="str">
        <f>"13:51:11.578"</f>
        <v>13:51:11.578</v>
      </c>
      <c r="B53" t="s">
        <v>108</v>
      </c>
      <c r="C53" t="str">
        <f t="shared" si="1"/>
        <v>ffdfd3c0</v>
      </c>
      <c r="D53" t="s">
        <v>109</v>
      </c>
      <c r="E53">
        <v>4</v>
      </c>
      <c r="F53">
        <v>1004</v>
      </c>
      <c r="G53" t="s">
        <v>110</v>
      </c>
      <c r="J53" t="s">
        <v>111</v>
      </c>
      <c r="K53">
        <v>0</v>
      </c>
      <c r="L53">
        <v>3</v>
      </c>
      <c r="M53">
        <v>0</v>
      </c>
      <c r="N53">
        <v>2</v>
      </c>
      <c r="O53">
        <v>1</v>
      </c>
      <c r="P53">
        <v>0</v>
      </c>
      <c r="Q53">
        <v>0</v>
      </c>
      <c r="R53" t="s">
        <v>112</v>
      </c>
      <c r="S53" t="str">
        <f>"13:51:11.406"</f>
        <v>13:51:11.406</v>
      </c>
      <c r="T53" t="str">
        <f>"13:51:11.008"</f>
        <v>13:51:11.008</v>
      </c>
      <c r="U53" t="str">
        <f t="shared" si="0"/>
        <v>ad5732</v>
      </c>
      <c r="V53">
        <v>0</v>
      </c>
      <c r="W53">
        <v>0</v>
      </c>
      <c r="X53">
        <v>1</v>
      </c>
      <c r="Z53">
        <v>0</v>
      </c>
      <c r="AA53">
        <v>9</v>
      </c>
      <c r="AB53">
        <v>3</v>
      </c>
      <c r="AC53">
        <v>0</v>
      </c>
      <c r="AD53">
        <v>10</v>
      </c>
      <c r="AE53">
        <v>0</v>
      </c>
      <c r="AF53">
        <v>3</v>
      </c>
      <c r="AG53">
        <v>2</v>
      </c>
      <c r="AH53">
        <v>0</v>
      </c>
      <c r="AI53" t="s">
        <v>226</v>
      </c>
      <c r="AJ53">
        <v>39.111885999999998</v>
      </c>
      <c r="AK53" t="s">
        <v>227</v>
      </c>
      <c r="AL53">
        <v>-77.583432000000002</v>
      </c>
      <c r="AM53">
        <v>100</v>
      </c>
      <c r="AN53">
        <v>1400</v>
      </c>
      <c r="AO53" t="s">
        <v>115</v>
      </c>
      <c r="AP53">
        <v>-112</v>
      </c>
      <c r="AQ53">
        <v>33</v>
      </c>
      <c r="AR53">
        <v>1792</v>
      </c>
      <c r="AZ53">
        <v>3614</v>
      </c>
      <c r="BA53">
        <v>1</v>
      </c>
      <c r="BB53" t="str">
        <f t="shared" si="2"/>
        <v xml:space="preserve">N959MJ  </v>
      </c>
      <c r="BC53">
        <v>1</v>
      </c>
      <c r="BE53">
        <v>1</v>
      </c>
      <c r="BF53">
        <v>3</v>
      </c>
      <c r="BG53">
        <v>0</v>
      </c>
      <c r="BH53">
        <v>1600</v>
      </c>
      <c r="BI53">
        <v>200</v>
      </c>
      <c r="BJ53">
        <v>1</v>
      </c>
      <c r="BK53">
        <v>1</v>
      </c>
      <c r="BL53">
        <v>1</v>
      </c>
      <c r="BM53">
        <v>0</v>
      </c>
      <c r="BP53">
        <v>1</v>
      </c>
      <c r="BQ53">
        <v>0</v>
      </c>
      <c r="BX53" t="str">
        <f>"13:51:11.406"</f>
        <v>13:51:11.406</v>
      </c>
      <c r="BY53" t="str">
        <f>"407718034"</f>
        <v>407718034</v>
      </c>
      <c r="CL53">
        <v>3</v>
      </c>
      <c r="CM53">
        <v>2</v>
      </c>
      <c r="CN53">
        <v>0</v>
      </c>
      <c r="CO53">
        <v>2</v>
      </c>
      <c r="CP53">
        <v>0</v>
      </c>
      <c r="CQ53">
        <v>6</v>
      </c>
      <c r="CR53" t="s">
        <v>116</v>
      </c>
      <c r="CS53">
        <v>152</v>
      </c>
      <c r="CT53">
        <v>0</v>
      </c>
      <c r="CU53" t="s">
        <v>134</v>
      </c>
      <c r="CV53" t="s">
        <v>135</v>
      </c>
      <c r="CY53">
        <v>15683543</v>
      </c>
      <c r="CZ53" t="s">
        <v>119</v>
      </c>
    </row>
    <row r="54" spans="1:104" x14ac:dyDescent="0.25">
      <c r="A54" t="str">
        <f>"13:51:12.539"</f>
        <v>13:51:12.539</v>
      </c>
      <c r="B54" t="s">
        <v>108</v>
      </c>
      <c r="C54" t="str">
        <f t="shared" si="1"/>
        <v>ffdfd3c0</v>
      </c>
      <c r="D54" t="s">
        <v>109</v>
      </c>
      <c r="E54">
        <v>4</v>
      </c>
      <c r="F54">
        <v>1004</v>
      </c>
      <c r="G54" t="s">
        <v>110</v>
      </c>
      <c r="J54" t="s">
        <v>111</v>
      </c>
      <c r="K54">
        <v>0</v>
      </c>
      <c r="L54">
        <v>3</v>
      </c>
      <c r="M54">
        <v>0</v>
      </c>
      <c r="N54">
        <v>2</v>
      </c>
      <c r="O54">
        <v>1</v>
      </c>
      <c r="P54">
        <v>0</v>
      </c>
      <c r="Q54">
        <v>0</v>
      </c>
      <c r="R54" t="s">
        <v>112</v>
      </c>
      <c r="S54" t="str">
        <f>"13:51:12.344"</f>
        <v>13:51:12.344</v>
      </c>
      <c r="T54" t="str">
        <f>"13:51:11.844"</f>
        <v>13:51:11.844</v>
      </c>
      <c r="U54" t="str">
        <f t="shared" si="0"/>
        <v>ad5732</v>
      </c>
      <c r="V54">
        <v>0</v>
      </c>
      <c r="W54">
        <v>0</v>
      </c>
      <c r="X54">
        <v>1</v>
      </c>
      <c r="Z54">
        <v>0</v>
      </c>
      <c r="AA54">
        <v>9</v>
      </c>
      <c r="AB54">
        <v>3</v>
      </c>
      <c r="AC54">
        <v>0</v>
      </c>
      <c r="AD54">
        <v>10</v>
      </c>
      <c r="AE54">
        <v>0</v>
      </c>
      <c r="AF54">
        <v>3</v>
      </c>
      <c r="AG54">
        <v>2</v>
      </c>
      <c r="AH54">
        <v>0</v>
      </c>
      <c r="AI54" t="s">
        <v>228</v>
      </c>
      <c r="AJ54">
        <v>39.112015</v>
      </c>
      <c r="AK54" t="s">
        <v>229</v>
      </c>
      <c r="AL54">
        <v>-77.584012000000001</v>
      </c>
      <c r="AM54">
        <v>100</v>
      </c>
      <c r="AN54">
        <v>1400</v>
      </c>
      <c r="AO54" t="s">
        <v>115</v>
      </c>
      <c r="AP54">
        <v>-110</v>
      </c>
      <c r="AQ54">
        <v>33</v>
      </c>
      <c r="AR54">
        <v>1856</v>
      </c>
      <c r="AZ54">
        <v>3614</v>
      </c>
      <c r="BA54">
        <v>1</v>
      </c>
      <c r="BB54" t="str">
        <f t="shared" si="2"/>
        <v xml:space="preserve">N959MJ  </v>
      </c>
      <c r="BC54">
        <v>1</v>
      </c>
      <c r="BE54">
        <v>1</v>
      </c>
      <c r="BF54">
        <v>3</v>
      </c>
      <c r="BG54">
        <v>0</v>
      </c>
      <c r="BH54">
        <v>1625</v>
      </c>
      <c r="BI54">
        <v>225</v>
      </c>
      <c r="BJ54">
        <v>1</v>
      </c>
      <c r="BK54">
        <v>1</v>
      </c>
      <c r="BL54">
        <v>1</v>
      </c>
      <c r="BM54">
        <v>0</v>
      </c>
      <c r="BP54">
        <v>1</v>
      </c>
      <c r="BQ54">
        <v>0</v>
      </c>
      <c r="BX54" t="str">
        <f>"13:51:12.344"</f>
        <v>13:51:12.344</v>
      </c>
      <c r="BY54" t="str">
        <f>"344897439"</f>
        <v>344897439</v>
      </c>
      <c r="CL54">
        <v>3</v>
      </c>
      <c r="CM54">
        <v>2</v>
      </c>
      <c r="CN54">
        <v>0</v>
      </c>
      <c r="CO54">
        <v>2</v>
      </c>
      <c r="CP54">
        <v>0</v>
      </c>
      <c r="CQ54">
        <v>6</v>
      </c>
      <c r="CR54" t="s">
        <v>116</v>
      </c>
      <c r="CS54">
        <v>152</v>
      </c>
      <c r="CT54">
        <v>0</v>
      </c>
      <c r="CU54" t="s">
        <v>134</v>
      </c>
      <c r="CV54" t="s">
        <v>135</v>
      </c>
      <c r="CY54">
        <v>15685179</v>
      </c>
      <c r="CZ54" t="s">
        <v>119</v>
      </c>
    </row>
    <row r="55" spans="1:104" x14ac:dyDescent="0.25">
      <c r="A55" t="str">
        <f>"13:51:13.547"</f>
        <v>13:51:13.547</v>
      </c>
      <c r="B55" t="s">
        <v>108</v>
      </c>
      <c r="C55" t="str">
        <f t="shared" si="1"/>
        <v>ffdfd3c0</v>
      </c>
      <c r="D55" t="s">
        <v>109</v>
      </c>
      <c r="E55">
        <v>4</v>
      </c>
      <c r="F55">
        <v>1004</v>
      </c>
      <c r="G55" t="s">
        <v>110</v>
      </c>
      <c r="J55" t="s">
        <v>111</v>
      </c>
      <c r="K55">
        <v>0</v>
      </c>
      <c r="L55">
        <v>3</v>
      </c>
      <c r="M55">
        <v>0</v>
      </c>
      <c r="N55">
        <v>2</v>
      </c>
      <c r="O55">
        <v>1</v>
      </c>
      <c r="P55">
        <v>0</v>
      </c>
      <c r="Q55">
        <v>0</v>
      </c>
      <c r="R55" t="s">
        <v>112</v>
      </c>
      <c r="S55" t="str">
        <f>"13:51:13.359"</f>
        <v>13:51:13.359</v>
      </c>
      <c r="T55" t="str">
        <f>"13:51:12.961"</f>
        <v>13:51:12.961</v>
      </c>
      <c r="U55" t="str">
        <f t="shared" si="0"/>
        <v>ad5732</v>
      </c>
      <c r="V55">
        <v>0</v>
      </c>
      <c r="W55">
        <v>0</v>
      </c>
      <c r="X55">
        <v>1</v>
      </c>
      <c r="Z55">
        <v>0</v>
      </c>
      <c r="AA55">
        <v>9</v>
      </c>
      <c r="AB55">
        <v>3</v>
      </c>
      <c r="AC55">
        <v>0</v>
      </c>
      <c r="AD55">
        <v>10</v>
      </c>
      <c r="AE55">
        <v>0</v>
      </c>
      <c r="AF55">
        <v>3</v>
      </c>
      <c r="AG55">
        <v>2</v>
      </c>
      <c r="AH55">
        <v>0</v>
      </c>
      <c r="AI55" t="s">
        <v>230</v>
      </c>
      <c r="AJ55">
        <v>39.112208000000003</v>
      </c>
      <c r="AK55" t="s">
        <v>231</v>
      </c>
      <c r="AL55">
        <v>-77.584783999999999</v>
      </c>
      <c r="AM55">
        <v>100</v>
      </c>
      <c r="AN55">
        <v>1400</v>
      </c>
      <c r="AO55" t="s">
        <v>115</v>
      </c>
      <c r="AP55">
        <v>-109</v>
      </c>
      <c r="AQ55">
        <v>33</v>
      </c>
      <c r="AR55">
        <v>1728</v>
      </c>
      <c r="AZ55">
        <v>3614</v>
      </c>
      <c r="BA55">
        <v>1</v>
      </c>
      <c r="BB55" t="str">
        <f t="shared" si="2"/>
        <v xml:space="preserve">N959MJ  </v>
      </c>
      <c r="BC55">
        <v>1</v>
      </c>
      <c r="BE55">
        <v>1</v>
      </c>
      <c r="BF55">
        <v>3</v>
      </c>
      <c r="BG55">
        <v>0</v>
      </c>
      <c r="BH55">
        <v>1650</v>
      </c>
      <c r="BI55">
        <v>250</v>
      </c>
      <c r="BJ55">
        <v>1</v>
      </c>
      <c r="BK55">
        <v>1</v>
      </c>
      <c r="BL55">
        <v>1</v>
      </c>
      <c r="BM55">
        <v>0</v>
      </c>
      <c r="BP55">
        <v>1</v>
      </c>
      <c r="BQ55">
        <v>0</v>
      </c>
      <c r="BX55" t="str">
        <f>"13:51:13.367"</f>
        <v>13:51:13.367</v>
      </c>
      <c r="BY55" t="str">
        <f>"367185283"</f>
        <v>367185283</v>
      </c>
      <c r="CL55">
        <v>3</v>
      </c>
      <c r="CM55">
        <v>2</v>
      </c>
      <c r="CN55">
        <v>0</v>
      </c>
      <c r="CO55">
        <v>2</v>
      </c>
      <c r="CP55">
        <v>0</v>
      </c>
      <c r="CQ55">
        <v>6</v>
      </c>
      <c r="CR55" t="s">
        <v>116</v>
      </c>
      <c r="CS55">
        <v>147</v>
      </c>
      <c r="CT55">
        <v>3</v>
      </c>
      <c r="CU55" t="s">
        <v>117</v>
      </c>
      <c r="CV55" t="s">
        <v>118</v>
      </c>
      <c r="CY55">
        <v>15869343</v>
      </c>
      <c r="CZ55" t="s">
        <v>119</v>
      </c>
    </row>
    <row r="56" spans="1:104" x14ac:dyDescent="0.25">
      <c r="A56" t="str">
        <f>"13:51:14.555"</f>
        <v>13:51:14.555</v>
      </c>
      <c r="B56" t="s">
        <v>108</v>
      </c>
      <c r="C56" t="str">
        <f t="shared" si="1"/>
        <v>ffdfd3c0</v>
      </c>
      <c r="D56" t="s">
        <v>109</v>
      </c>
      <c r="E56">
        <v>4</v>
      </c>
      <c r="F56">
        <v>1004</v>
      </c>
      <c r="G56" t="s">
        <v>110</v>
      </c>
      <c r="J56" t="s">
        <v>111</v>
      </c>
      <c r="K56">
        <v>0</v>
      </c>
      <c r="L56">
        <v>3</v>
      </c>
      <c r="M56">
        <v>0</v>
      </c>
      <c r="N56">
        <v>2</v>
      </c>
      <c r="O56">
        <v>1</v>
      </c>
      <c r="P56">
        <v>0</v>
      </c>
      <c r="Q56">
        <v>0</v>
      </c>
      <c r="R56" t="s">
        <v>112</v>
      </c>
      <c r="S56" t="str">
        <f>"13:51:14.375"</f>
        <v>13:51:14.375</v>
      </c>
      <c r="T56" t="str">
        <f>"13:51:13.875"</f>
        <v>13:51:13.875</v>
      </c>
      <c r="U56" t="str">
        <f t="shared" si="0"/>
        <v>ad5732</v>
      </c>
      <c r="V56">
        <v>0</v>
      </c>
      <c r="W56">
        <v>0</v>
      </c>
      <c r="X56">
        <v>1</v>
      </c>
      <c r="Z56">
        <v>0</v>
      </c>
      <c r="AA56">
        <v>9</v>
      </c>
      <c r="AB56">
        <v>3</v>
      </c>
      <c r="AC56">
        <v>0</v>
      </c>
      <c r="AD56">
        <v>10</v>
      </c>
      <c r="AE56">
        <v>0</v>
      </c>
      <c r="AF56">
        <v>3</v>
      </c>
      <c r="AG56">
        <v>2</v>
      </c>
      <c r="AH56">
        <v>0</v>
      </c>
      <c r="AI56" t="s">
        <v>232</v>
      </c>
      <c r="AJ56">
        <v>39.112358</v>
      </c>
      <c r="AK56" t="s">
        <v>233</v>
      </c>
      <c r="AL56">
        <v>-77.585385000000002</v>
      </c>
      <c r="AM56">
        <v>100</v>
      </c>
      <c r="AN56">
        <v>1500</v>
      </c>
      <c r="AO56" t="s">
        <v>115</v>
      </c>
      <c r="AP56">
        <v>-108</v>
      </c>
      <c r="AQ56">
        <v>33</v>
      </c>
      <c r="AR56">
        <v>1664</v>
      </c>
      <c r="AZ56">
        <v>3614</v>
      </c>
      <c r="BA56">
        <v>1</v>
      </c>
      <c r="BB56" t="str">
        <f t="shared" si="2"/>
        <v xml:space="preserve">N959MJ  </v>
      </c>
      <c r="BC56">
        <v>1</v>
      </c>
      <c r="BE56">
        <v>0</v>
      </c>
      <c r="BF56">
        <v>3</v>
      </c>
      <c r="BG56">
        <v>0</v>
      </c>
      <c r="BH56">
        <v>1575</v>
      </c>
      <c r="BI56">
        <v>75</v>
      </c>
      <c r="BJ56">
        <v>1</v>
      </c>
      <c r="BK56">
        <v>1</v>
      </c>
      <c r="BL56">
        <v>1</v>
      </c>
      <c r="BM56">
        <v>0</v>
      </c>
      <c r="BP56">
        <v>0</v>
      </c>
      <c r="BQ56">
        <v>0</v>
      </c>
      <c r="BX56" t="str">
        <f>"13:51:14.383"</f>
        <v>13:51:14.383</v>
      </c>
      <c r="BY56" t="str">
        <f>"379732603"</f>
        <v>379732603</v>
      </c>
      <c r="CL56">
        <v>3</v>
      </c>
      <c r="CM56">
        <v>2</v>
      </c>
      <c r="CN56">
        <v>0</v>
      </c>
      <c r="CO56">
        <v>2</v>
      </c>
      <c r="CP56">
        <v>0</v>
      </c>
      <c r="CQ56">
        <v>5</v>
      </c>
      <c r="CR56" t="s">
        <v>116</v>
      </c>
      <c r="CS56">
        <v>525</v>
      </c>
      <c r="CT56">
        <v>2</v>
      </c>
      <c r="CU56" t="s">
        <v>140</v>
      </c>
      <c r="CV56" t="s">
        <v>141</v>
      </c>
      <c r="CY56">
        <v>13656087</v>
      </c>
      <c r="CZ56" t="s">
        <v>119</v>
      </c>
    </row>
    <row r="57" spans="1:104" x14ac:dyDescent="0.25">
      <c r="A57" t="str">
        <f>"13:51:15.617"</f>
        <v>13:51:15.617</v>
      </c>
      <c r="B57" t="s">
        <v>108</v>
      </c>
      <c r="C57" t="str">
        <f t="shared" si="1"/>
        <v>ffdfd3c0</v>
      </c>
      <c r="D57" t="s">
        <v>109</v>
      </c>
      <c r="E57">
        <v>4</v>
      </c>
      <c r="F57">
        <v>1004</v>
      </c>
      <c r="G57" t="s">
        <v>110</v>
      </c>
      <c r="J57" t="s">
        <v>111</v>
      </c>
      <c r="K57">
        <v>0</v>
      </c>
      <c r="L57">
        <v>3</v>
      </c>
      <c r="M57">
        <v>0</v>
      </c>
      <c r="N57">
        <v>2</v>
      </c>
      <c r="O57">
        <v>1</v>
      </c>
      <c r="P57">
        <v>0</v>
      </c>
      <c r="Q57">
        <v>0</v>
      </c>
      <c r="R57" t="s">
        <v>112</v>
      </c>
      <c r="S57" t="str">
        <f>"13:51:15.438"</f>
        <v>13:51:15.438</v>
      </c>
      <c r="T57" t="str">
        <f>"13:51:15.039"</f>
        <v>13:51:15.039</v>
      </c>
      <c r="U57" t="str">
        <f t="shared" si="0"/>
        <v>ad5732</v>
      </c>
      <c r="V57">
        <v>0</v>
      </c>
      <c r="W57">
        <v>0</v>
      </c>
      <c r="X57">
        <v>1</v>
      </c>
      <c r="Z57">
        <v>0</v>
      </c>
      <c r="AA57">
        <v>9</v>
      </c>
      <c r="AB57">
        <v>3</v>
      </c>
      <c r="AC57">
        <v>0</v>
      </c>
      <c r="AD57">
        <v>10</v>
      </c>
      <c r="AE57">
        <v>0</v>
      </c>
      <c r="AF57">
        <v>3</v>
      </c>
      <c r="AG57">
        <v>2</v>
      </c>
      <c r="AH57">
        <v>0</v>
      </c>
      <c r="AI57" t="s">
        <v>234</v>
      </c>
      <c r="AJ57">
        <v>39.11253</v>
      </c>
      <c r="AK57" t="s">
        <v>235</v>
      </c>
      <c r="AL57">
        <v>-77.586006999999995</v>
      </c>
      <c r="AM57">
        <v>100</v>
      </c>
      <c r="AN57">
        <v>1500</v>
      </c>
      <c r="AO57" t="s">
        <v>115</v>
      </c>
      <c r="AP57">
        <v>-107</v>
      </c>
      <c r="AQ57">
        <v>34</v>
      </c>
      <c r="AR57">
        <v>1344</v>
      </c>
      <c r="AZ57">
        <v>3614</v>
      </c>
      <c r="BA57">
        <v>1</v>
      </c>
      <c r="BB57" t="str">
        <f t="shared" si="2"/>
        <v xml:space="preserve">N959MJ  </v>
      </c>
      <c r="BC57">
        <v>1</v>
      </c>
      <c r="BE57">
        <v>1</v>
      </c>
      <c r="BF57">
        <v>3</v>
      </c>
      <c r="BG57">
        <v>0</v>
      </c>
      <c r="BH57">
        <v>1700</v>
      </c>
      <c r="BI57">
        <v>200</v>
      </c>
      <c r="BJ57">
        <v>1</v>
      </c>
      <c r="BK57">
        <v>1</v>
      </c>
      <c r="BL57">
        <v>1</v>
      </c>
      <c r="BM57">
        <v>0</v>
      </c>
      <c r="BP57">
        <v>1</v>
      </c>
      <c r="BQ57">
        <v>0</v>
      </c>
      <c r="BX57" t="str">
        <f>"13:51:15.445"</f>
        <v>13:51:15.445</v>
      </c>
      <c r="BY57" t="str">
        <f>"441430287"</f>
        <v>441430287</v>
      </c>
      <c r="CL57">
        <v>3</v>
      </c>
      <c r="CM57">
        <v>2</v>
      </c>
      <c r="CN57">
        <v>0</v>
      </c>
      <c r="CO57">
        <v>2</v>
      </c>
      <c r="CP57">
        <v>0</v>
      </c>
      <c r="CQ57">
        <v>6</v>
      </c>
      <c r="CR57" t="s">
        <v>116</v>
      </c>
      <c r="CS57">
        <v>147</v>
      </c>
      <c r="CT57">
        <v>3</v>
      </c>
      <c r="CU57" t="s">
        <v>117</v>
      </c>
      <c r="CV57" t="s">
        <v>118</v>
      </c>
      <c r="CY57">
        <v>15872771</v>
      </c>
      <c r="CZ57" t="s">
        <v>119</v>
      </c>
    </row>
    <row r="58" spans="1:104" x14ac:dyDescent="0.25">
      <c r="A58" t="str">
        <f>"13:51:16.727"</f>
        <v>13:51:16.727</v>
      </c>
      <c r="B58" t="s">
        <v>108</v>
      </c>
      <c r="C58" t="str">
        <f t="shared" si="1"/>
        <v>ffdfd3c0</v>
      </c>
      <c r="D58" t="s">
        <v>109</v>
      </c>
      <c r="E58">
        <v>4</v>
      </c>
      <c r="F58">
        <v>1004</v>
      </c>
      <c r="G58" t="s">
        <v>110</v>
      </c>
      <c r="J58" t="s">
        <v>111</v>
      </c>
      <c r="K58">
        <v>0</v>
      </c>
      <c r="L58">
        <v>3</v>
      </c>
      <c r="M58">
        <v>0</v>
      </c>
      <c r="N58">
        <v>2</v>
      </c>
      <c r="O58">
        <v>1</v>
      </c>
      <c r="P58">
        <v>0</v>
      </c>
      <c r="Q58">
        <v>0</v>
      </c>
      <c r="R58" t="s">
        <v>112</v>
      </c>
      <c r="S58" t="str">
        <f>"13:51:16.500"</f>
        <v>13:51:16.500</v>
      </c>
      <c r="T58" t="str">
        <f>"13:51:16.000"</f>
        <v>13:51:16.000</v>
      </c>
      <c r="U58" t="str">
        <f t="shared" si="0"/>
        <v>ad5732</v>
      </c>
      <c r="V58">
        <v>0</v>
      </c>
      <c r="W58">
        <v>0</v>
      </c>
      <c r="X58">
        <v>1</v>
      </c>
      <c r="Z58">
        <v>0</v>
      </c>
      <c r="AA58">
        <v>9</v>
      </c>
      <c r="AB58">
        <v>3</v>
      </c>
      <c r="AC58">
        <v>0</v>
      </c>
      <c r="AD58">
        <v>10</v>
      </c>
      <c r="AE58">
        <v>0</v>
      </c>
      <c r="AF58">
        <v>3</v>
      </c>
      <c r="AG58">
        <v>2</v>
      </c>
      <c r="AH58">
        <v>0</v>
      </c>
      <c r="AI58" t="s">
        <v>236</v>
      </c>
      <c r="AJ58">
        <v>39.112701000000001</v>
      </c>
      <c r="AK58" t="s">
        <v>237</v>
      </c>
      <c r="AL58">
        <v>-77.586758000000003</v>
      </c>
      <c r="AM58">
        <v>100</v>
      </c>
      <c r="AN58">
        <v>1500</v>
      </c>
      <c r="AO58" t="s">
        <v>115</v>
      </c>
      <c r="AP58">
        <v>-108</v>
      </c>
      <c r="AQ58">
        <v>34</v>
      </c>
      <c r="AR58">
        <v>960</v>
      </c>
      <c r="AZ58">
        <v>3614</v>
      </c>
      <c r="BA58">
        <v>1</v>
      </c>
      <c r="BB58" t="str">
        <f t="shared" si="2"/>
        <v xml:space="preserve">N959MJ  </v>
      </c>
      <c r="BC58">
        <v>1</v>
      </c>
      <c r="BE58">
        <v>1</v>
      </c>
      <c r="BF58">
        <v>3</v>
      </c>
      <c r="BG58">
        <v>0</v>
      </c>
      <c r="BH58">
        <v>1725</v>
      </c>
      <c r="BI58">
        <v>225</v>
      </c>
      <c r="BJ58">
        <v>1</v>
      </c>
      <c r="BK58">
        <v>1</v>
      </c>
      <c r="BL58">
        <v>1</v>
      </c>
      <c r="BM58">
        <v>0</v>
      </c>
      <c r="BP58">
        <v>1</v>
      </c>
      <c r="BQ58">
        <v>0</v>
      </c>
      <c r="BX58" t="str">
        <f>"13:51:16.508"</f>
        <v>13:51:16.508</v>
      </c>
      <c r="BY58" t="str">
        <f>"506407057"</f>
        <v>506407057</v>
      </c>
      <c r="CL58">
        <v>3</v>
      </c>
      <c r="CM58">
        <v>2</v>
      </c>
      <c r="CN58">
        <v>0</v>
      </c>
      <c r="CO58">
        <v>2</v>
      </c>
      <c r="CP58">
        <v>0</v>
      </c>
      <c r="CQ58">
        <v>5</v>
      </c>
      <c r="CR58" t="s">
        <v>116</v>
      </c>
      <c r="CS58">
        <v>147</v>
      </c>
      <c r="CT58">
        <v>2</v>
      </c>
      <c r="CU58" t="s">
        <v>117</v>
      </c>
      <c r="CV58" t="s">
        <v>118</v>
      </c>
      <c r="CY58">
        <v>15543065</v>
      </c>
      <c r="CZ58" t="s">
        <v>119</v>
      </c>
    </row>
    <row r="59" spans="1:104" x14ac:dyDescent="0.25">
      <c r="A59" t="str">
        <f>"13:51:17.688"</f>
        <v>13:51:17.688</v>
      </c>
      <c r="B59" t="s">
        <v>108</v>
      </c>
      <c r="C59" t="str">
        <f t="shared" si="1"/>
        <v>ffdfd3c0</v>
      </c>
      <c r="D59" t="s">
        <v>109</v>
      </c>
      <c r="E59">
        <v>4</v>
      </c>
      <c r="F59">
        <v>1004</v>
      </c>
      <c r="G59" t="s">
        <v>110</v>
      </c>
      <c r="J59" t="s">
        <v>111</v>
      </c>
      <c r="K59">
        <v>0</v>
      </c>
      <c r="L59">
        <v>3</v>
      </c>
      <c r="M59">
        <v>0</v>
      </c>
      <c r="N59">
        <v>2</v>
      </c>
      <c r="O59">
        <v>1</v>
      </c>
      <c r="P59">
        <v>0</v>
      </c>
      <c r="Q59">
        <v>0</v>
      </c>
      <c r="R59" t="s">
        <v>112</v>
      </c>
      <c r="S59" t="str">
        <f>"13:51:17.492"</f>
        <v>13:51:17.492</v>
      </c>
      <c r="T59" t="str">
        <f>"13:51:17.094"</f>
        <v>13:51:17.094</v>
      </c>
      <c r="U59" t="str">
        <f t="shared" si="0"/>
        <v>ad5732</v>
      </c>
      <c r="V59">
        <v>0</v>
      </c>
      <c r="W59">
        <v>0</v>
      </c>
      <c r="X59">
        <v>1</v>
      </c>
      <c r="Z59">
        <v>0</v>
      </c>
      <c r="AA59">
        <v>9</v>
      </c>
      <c r="AB59">
        <v>3</v>
      </c>
      <c r="AC59">
        <v>0</v>
      </c>
      <c r="AD59">
        <v>10</v>
      </c>
      <c r="AE59">
        <v>0</v>
      </c>
      <c r="AF59">
        <v>3</v>
      </c>
      <c r="AG59">
        <v>2</v>
      </c>
      <c r="AH59">
        <v>0</v>
      </c>
      <c r="AI59" t="s">
        <v>238</v>
      </c>
      <c r="AJ59">
        <v>39.112830000000002</v>
      </c>
      <c r="AK59" t="s">
        <v>239</v>
      </c>
      <c r="AL59">
        <v>-77.587359000000006</v>
      </c>
      <c r="AM59">
        <v>100</v>
      </c>
      <c r="AN59">
        <v>1500</v>
      </c>
      <c r="AO59" t="s">
        <v>115</v>
      </c>
      <c r="AP59">
        <v>-109</v>
      </c>
      <c r="AQ59">
        <v>34</v>
      </c>
      <c r="AR59">
        <v>640</v>
      </c>
      <c r="AZ59">
        <v>3614</v>
      </c>
      <c r="BA59">
        <v>1</v>
      </c>
      <c r="BB59" t="str">
        <f t="shared" si="2"/>
        <v xml:space="preserve">N959MJ  </v>
      </c>
      <c r="BC59">
        <v>1</v>
      </c>
      <c r="BE59">
        <v>1</v>
      </c>
      <c r="BF59">
        <v>3</v>
      </c>
      <c r="BG59">
        <v>0</v>
      </c>
      <c r="BH59">
        <v>1750</v>
      </c>
      <c r="BI59">
        <v>250</v>
      </c>
      <c r="BJ59">
        <v>1</v>
      </c>
      <c r="BK59">
        <v>1</v>
      </c>
      <c r="BL59">
        <v>1</v>
      </c>
      <c r="BM59">
        <v>0</v>
      </c>
      <c r="BP59">
        <v>1</v>
      </c>
      <c r="BQ59">
        <v>0</v>
      </c>
      <c r="BX59" t="str">
        <f>"13:51:17.492"</f>
        <v>13:51:17.492</v>
      </c>
      <c r="BY59" t="str">
        <f>"492830478"</f>
        <v>492830478</v>
      </c>
      <c r="CL59">
        <v>3</v>
      </c>
      <c r="CM59">
        <v>2</v>
      </c>
      <c r="CN59">
        <v>0</v>
      </c>
      <c r="CO59">
        <v>2</v>
      </c>
      <c r="CP59">
        <v>0</v>
      </c>
      <c r="CQ59">
        <v>5</v>
      </c>
      <c r="CR59" t="s">
        <v>116</v>
      </c>
      <c r="CS59">
        <v>152</v>
      </c>
      <c r="CT59">
        <v>0</v>
      </c>
      <c r="CU59" t="s">
        <v>134</v>
      </c>
      <c r="CV59" t="s">
        <v>135</v>
      </c>
      <c r="CY59">
        <v>15694170</v>
      </c>
      <c r="CZ59" t="s">
        <v>119</v>
      </c>
    </row>
    <row r="60" spans="1:104" x14ac:dyDescent="0.25">
      <c r="A60" t="str">
        <f>"13:51:18.695"</f>
        <v>13:51:18.695</v>
      </c>
      <c r="B60" t="s">
        <v>108</v>
      </c>
      <c r="C60" t="str">
        <f t="shared" si="1"/>
        <v>ffdfd3c0</v>
      </c>
      <c r="D60" t="s">
        <v>109</v>
      </c>
      <c r="E60">
        <v>4</v>
      </c>
      <c r="F60">
        <v>1004</v>
      </c>
      <c r="G60" t="s">
        <v>110</v>
      </c>
      <c r="J60" t="s">
        <v>111</v>
      </c>
      <c r="K60">
        <v>0</v>
      </c>
      <c r="L60">
        <v>3</v>
      </c>
      <c r="M60">
        <v>0</v>
      </c>
      <c r="N60">
        <v>2</v>
      </c>
      <c r="O60">
        <v>1</v>
      </c>
      <c r="P60">
        <v>0</v>
      </c>
      <c r="Q60">
        <v>0</v>
      </c>
      <c r="R60" t="s">
        <v>112</v>
      </c>
      <c r="S60" t="str">
        <f>"13:51:18.461"</f>
        <v>13:51:18.461</v>
      </c>
      <c r="T60" t="str">
        <f>"13:51:18.063"</f>
        <v>13:51:18.063</v>
      </c>
      <c r="U60" t="str">
        <f t="shared" si="0"/>
        <v>ad5732</v>
      </c>
      <c r="V60">
        <v>0</v>
      </c>
      <c r="W60">
        <v>0</v>
      </c>
      <c r="X60">
        <v>1</v>
      </c>
      <c r="Z60">
        <v>0</v>
      </c>
      <c r="AA60">
        <v>9</v>
      </c>
      <c r="AB60">
        <v>3</v>
      </c>
      <c r="AC60">
        <v>0</v>
      </c>
      <c r="AD60">
        <v>10</v>
      </c>
      <c r="AE60">
        <v>0</v>
      </c>
      <c r="AF60">
        <v>3</v>
      </c>
      <c r="AG60">
        <v>2</v>
      </c>
      <c r="AH60">
        <v>0</v>
      </c>
      <c r="AI60" t="s">
        <v>240</v>
      </c>
      <c r="AJ60">
        <v>39.113002000000002</v>
      </c>
      <c r="AK60" t="s">
        <v>241</v>
      </c>
      <c r="AL60">
        <v>-77.587959999999995</v>
      </c>
      <c r="AM60">
        <v>100</v>
      </c>
      <c r="AN60">
        <v>1500</v>
      </c>
      <c r="AO60" t="s">
        <v>115</v>
      </c>
      <c r="AP60">
        <v>-109</v>
      </c>
      <c r="AQ60">
        <v>33</v>
      </c>
      <c r="AR60">
        <v>640</v>
      </c>
      <c r="AZ60">
        <v>3614</v>
      </c>
      <c r="BA60">
        <v>1</v>
      </c>
      <c r="BB60" t="str">
        <f t="shared" si="2"/>
        <v xml:space="preserve">N959MJ  </v>
      </c>
      <c r="BC60">
        <v>1</v>
      </c>
      <c r="BE60">
        <v>1</v>
      </c>
      <c r="BF60">
        <v>3</v>
      </c>
      <c r="BG60">
        <v>0</v>
      </c>
      <c r="BH60">
        <v>1750</v>
      </c>
      <c r="BI60">
        <v>250</v>
      </c>
      <c r="BJ60">
        <v>1</v>
      </c>
      <c r="BK60">
        <v>1</v>
      </c>
      <c r="BL60">
        <v>1</v>
      </c>
      <c r="BM60">
        <v>0</v>
      </c>
      <c r="BP60">
        <v>1</v>
      </c>
      <c r="BQ60">
        <v>0</v>
      </c>
      <c r="BX60" t="str">
        <f>"13:51:18.469"</f>
        <v>13:51:18.469</v>
      </c>
      <c r="BY60" t="str">
        <f>"465964336"</f>
        <v>465964336</v>
      </c>
      <c r="CL60">
        <v>3</v>
      </c>
      <c r="CM60">
        <v>2</v>
      </c>
      <c r="CN60">
        <v>0</v>
      </c>
      <c r="CO60">
        <v>2</v>
      </c>
      <c r="CP60">
        <v>0</v>
      </c>
      <c r="CQ60">
        <v>6</v>
      </c>
      <c r="CR60" t="s">
        <v>116</v>
      </c>
      <c r="CS60">
        <v>147</v>
      </c>
      <c r="CT60">
        <v>3</v>
      </c>
      <c r="CU60" t="s">
        <v>117</v>
      </c>
      <c r="CV60" t="s">
        <v>118</v>
      </c>
      <c r="CY60">
        <v>15877660</v>
      </c>
      <c r="CZ60" t="s">
        <v>119</v>
      </c>
    </row>
    <row r="61" spans="1:104" x14ac:dyDescent="0.25">
      <c r="A61" t="str">
        <f>"13:51:19.750"</f>
        <v>13:51:19.750</v>
      </c>
      <c r="B61" t="s">
        <v>108</v>
      </c>
      <c r="C61" t="str">
        <f t="shared" si="1"/>
        <v>ffdfd3c0</v>
      </c>
      <c r="D61" t="s">
        <v>109</v>
      </c>
      <c r="E61">
        <v>4</v>
      </c>
      <c r="F61">
        <v>1004</v>
      </c>
      <c r="G61" t="s">
        <v>110</v>
      </c>
      <c r="J61" t="s">
        <v>111</v>
      </c>
      <c r="K61">
        <v>0</v>
      </c>
      <c r="L61">
        <v>3</v>
      </c>
      <c r="M61">
        <v>0</v>
      </c>
      <c r="N61">
        <v>2</v>
      </c>
      <c r="O61">
        <v>1</v>
      </c>
      <c r="P61">
        <v>0</v>
      </c>
      <c r="Q61">
        <v>0</v>
      </c>
      <c r="R61" t="s">
        <v>112</v>
      </c>
      <c r="S61" t="str">
        <f>"13:51:19.531"</f>
        <v>13:51:19.531</v>
      </c>
      <c r="T61" t="str">
        <f>"13:51:19.031"</f>
        <v>13:51:19.031</v>
      </c>
      <c r="U61" t="str">
        <f t="shared" si="0"/>
        <v>ad5732</v>
      </c>
      <c r="V61">
        <v>0</v>
      </c>
      <c r="W61">
        <v>0</v>
      </c>
      <c r="X61">
        <v>1</v>
      </c>
      <c r="Z61">
        <v>0</v>
      </c>
      <c r="AA61">
        <v>9</v>
      </c>
      <c r="AB61">
        <v>3</v>
      </c>
      <c r="AC61">
        <v>0</v>
      </c>
      <c r="AD61">
        <v>10</v>
      </c>
      <c r="AE61">
        <v>0</v>
      </c>
      <c r="AF61">
        <v>3</v>
      </c>
      <c r="AG61">
        <v>2</v>
      </c>
      <c r="AH61">
        <v>0</v>
      </c>
      <c r="AI61" t="s">
        <v>242</v>
      </c>
      <c r="AJ61">
        <v>39.113151999999999</v>
      </c>
      <c r="AK61" t="s">
        <v>243</v>
      </c>
      <c r="AL61">
        <v>-77.588667999999998</v>
      </c>
      <c r="AM61">
        <v>100</v>
      </c>
      <c r="AN61">
        <v>1500</v>
      </c>
      <c r="AO61" t="s">
        <v>115</v>
      </c>
      <c r="AP61">
        <v>-110</v>
      </c>
      <c r="AQ61">
        <v>34</v>
      </c>
      <c r="AR61">
        <v>704</v>
      </c>
      <c r="AZ61">
        <v>3614</v>
      </c>
      <c r="BA61">
        <v>1</v>
      </c>
      <c r="BB61" t="str">
        <f t="shared" si="2"/>
        <v xml:space="preserve">N959MJ  </v>
      </c>
      <c r="BC61">
        <v>1</v>
      </c>
      <c r="BE61">
        <v>1</v>
      </c>
      <c r="BF61">
        <v>3</v>
      </c>
      <c r="BG61">
        <v>0</v>
      </c>
      <c r="BH61">
        <v>1775</v>
      </c>
      <c r="BI61">
        <v>275</v>
      </c>
      <c r="BJ61">
        <v>1</v>
      </c>
      <c r="BK61">
        <v>1</v>
      </c>
      <c r="BL61">
        <v>1</v>
      </c>
      <c r="BM61">
        <v>0</v>
      </c>
      <c r="BP61">
        <v>1</v>
      </c>
      <c r="BQ61">
        <v>0</v>
      </c>
      <c r="BX61" t="str">
        <f>"13:51:19.539"</f>
        <v>13:51:19.539</v>
      </c>
      <c r="BY61" t="str">
        <f>"537494736"</f>
        <v>537494736</v>
      </c>
      <c r="CL61">
        <v>3</v>
      </c>
      <c r="CM61">
        <v>2</v>
      </c>
      <c r="CN61">
        <v>0</v>
      </c>
      <c r="CO61">
        <v>2</v>
      </c>
      <c r="CP61">
        <v>0</v>
      </c>
      <c r="CQ61">
        <v>5</v>
      </c>
      <c r="CR61" t="s">
        <v>116</v>
      </c>
      <c r="CS61">
        <v>147</v>
      </c>
      <c r="CT61">
        <v>2</v>
      </c>
      <c r="CU61" t="s">
        <v>117</v>
      </c>
      <c r="CV61" t="s">
        <v>118</v>
      </c>
      <c r="CY61">
        <v>15547863</v>
      </c>
      <c r="CZ61" t="s">
        <v>119</v>
      </c>
    </row>
    <row r="62" spans="1:104" x14ac:dyDescent="0.25">
      <c r="A62" t="str">
        <f>"13:51:20.711"</f>
        <v>13:51:20.711</v>
      </c>
      <c r="B62" t="s">
        <v>108</v>
      </c>
      <c r="C62" t="str">
        <f t="shared" si="1"/>
        <v>ffdfd3c0</v>
      </c>
      <c r="D62" t="s">
        <v>109</v>
      </c>
      <c r="E62">
        <v>4</v>
      </c>
      <c r="F62">
        <v>1004</v>
      </c>
      <c r="G62" t="s">
        <v>110</v>
      </c>
      <c r="J62" t="s">
        <v>111</v>
      </c>
      <c r="K62">
        <v>0</v>
      </c>
      <c r="L62">
        <v>3</v>
      </c>
      <c r="M62">
        <v>0</v>
      </c>
      <c r="N62">
        <v>2</v>
      </c>
      <c r="O62">
        <v>1</v>
      </c>
      <c r="P62">
        <v>0</v>
      </c>
      <c r="Q62">
        <v>0</v>
      </c>
      <c r="R62" t="s">
        <v>112</v>
      </c>
      <c r="S62" t="str">
        <f>"13:51:20.508"</f>
        <v>13:51:20.508</v>
      </c>
      <c r="T62" t="str">
        <f>"13:51:20.008"</f>
        <v>13:51:20.008</v>
      </c>
      <c r="U62" t="str">
        <f t="shared" si="0"/>
        <v>ad5732</v>
      </c>
      <c r="V62">
        <v>0</v>
      </c>
      <c r="W62">
        <v>0</v>
      </c>
      <c r="X62">
        <v>1</v>
      </c>
      <c r="Z62">
        <v>0</v>
      </c>
      <c r="AA62">
        <v>9</v>
      </c>
      <c r="AB62">
        <v>3</v>
      </c>
      <c r="AC62">
        <v>0</v>
      </c>
      <c r="AD62">
        <v>10</v>
      </c>
      <c r="AE62">
        <v>0</v>
      </c>
      <c r="AF62">
        <v>3</v>
      </c>
      <c r="AG62">
        <v>2</v>
      </c>
      <c r="AH62">
        <v>0</v>
      </c>
      <c r="AI62" t="s">
        <v>244</v>
      </c>
      <c r="AJ62">
        <v>39.113301999999997</v>
      </c>
      <c r="AK62" t="s">
        <v>245</v>
      </c>
      <c r="AL62">
        <v>-77.589332999999996</v>
      </c>
      <c r="AM62">
        <v>100</v>
      </c>
      <c r="AN62">
        <v>1500</v>
      </c>
      <c r="AO62" t="s">
        <v>115</v>
      </c>
      <c r="AP62">
        <v>-110</v>
      </c>
      <c r="AQ62">
        <v>34</v>
      </c>
      <c r="AR62">
        <v>704</v>
      </c>
      <c r="AZ62">
        <v>3614</v>
      </c>
      <c r="BA62">
        <v>1</v>
      </c>
      <c r="BB62" t="str">
        <f t="shared" si="2"/>
        <v xml:space="preserve">N959MJ  </v>
      </c>
      <c r="BC62">
        <v>1</v>
      </c>
      <c r="BE62">
        <v>1</v>
      </c>
      <c r="BF62">
        <v>3</v>
      </c>
      <c r="BG62">
        <v>0</v>
      </c>
      <c r="BH62">
        <v>1775</v>
      </c>
      <c r="BI62">
        <v>275</v>
      </c>
      <c r="BJ62">
        <v>1</v>
      </c>
      <c r="BK62">
        <v>1</v>
      </c>
      <c r="BL62">
        <v>1</v>
      </c>
      <c r="BM62">
        <v>0</v>
      </c>
      <c r="BP62">
        <v>1</v>
      </c>
      <c r="BQ62">
        <v>0</v>
      </c>
      <c r="BX62" t="str">
        <f>"13:51:20.508"</f>
        <v>13:51:20.508</v>
      </c>
      <c r="BY62" t="str">
        <f>"509081270"</f>
        <v>509081270</v>
      </c>
      <c r="CL62">
        <v>3</v>
      </c>
      <c r="CM62">
        <v>2</v>
      </c>
      <c r="CN62">
        <v>0</v>
      </c>
      <c r="CO62">
        <v>2</v>
      </c>
      <c r="CP62">
        <v>0</v>
      </c>
      <c r="CQ62">
        <v>6</v>
      </c>
      <c r="CR62" t="s">
        <v>116</v>
      </c>
      <c r="CS62">
        <v>147</v>
      </c>
      <c r="CT62">
        <v>3</v>
      </c>
      <c r="CU62" t="s">
        <v>117</v>
      </c>
      <c r="CV62" t="s">
        <v>118</v>
      </c>
      <c r="CY62">
        <v>15881058</v>
      </c>
      <c r="CZ62" t="s">
        <v>119</v>
      </c>
    </row>
    <row r="63" spans="1:104" x14ac:dyDescent="0.25">
      <c r="A63" t="str">
        <f>"13:51:21.625"</f>
        <v>13:51:21.625</v>
      </c>
      <c r="B63" t="s">
        <v>108</v>
      </c>
      <c r="C63" t="str">
        <f t="shared" si="1"/>
        <v>ffdfd3c0</v>
      </c>
      <c r="D63" t="s">
        <v>109</v>
      </c>
      <c r="E63">
        <v>4</v>
      </c>
      <c r="F63">
        <v>1004</v>
      </c>
      <c r="G63" t="s">
        <v>110</v>
      </c>
      <c r="J63" t="s">
        <v>111</v>
      </c>
      <c r="K63">
        <v>0</v>
      </c>
      <c r="L63">
        <v>3</v>
      </c>
      <c r="M63">
        <v>0</v>
      </c>
      <c r="N63">
        <v>2</v>
      </c>
      <c r="O63">
        <v>1</v>
      </c>
      <c r="P63">
        <v>0</v>
      </c>
      <c r="Q63">
        <v>0</v>
      </c>
      <c r="R63" t="s">
        <v>112</v>
      </c>
      <c r="S63" t="str">
        <f>"13:51:21.445"</f>
        <v>13:51:21.445</v>
      </c>
      <c r="T63" t="str">
        <f>"13:51:21.047"</f>
        <v>13:51:21.047</v>
      </c>
      <c r="U63" t="str">
        <f t="shared" si="0"/>
        <v>ad5732</v>
      </c>
      <c r="V63">
        <v>0</v>
      </c>
      <c r="W63">
        <v>0</v>
      </c>
      <c r="X63">
        <v>1</v>
      </c>
      <c r="Z63">
        <v>0</v>
      </c>
      <c r="AA63">
        <v>9</v>
      </c>
      <c r="AB63">
        <v>3</v>
      </c>
      <c r="AC63">
        <v>0</v>
      </c>
      <c r="AD63">
        <v>10</v>
      </c>
      <c r="AE63">
        <v>0</v>
      </c>
      <c r="AF63">
        <v>3</v>
      </c>
      <c r="AG63">
        <v>2</v>
      </c>
      <c r="AH63">
        <v>0</v>
      </c>
      <c r="AI63" t="s">
        <v>246</v>
      </c>
      <c r="AJ63">
        <v>39.113473999999997</v>
      </c>
      <c r="AK63" t="s">
        <v>247</v>
      </c>
      <c r="AL63">
        <v>-77.589955000000003</v>
      </c>
      <c r="AM63">
        <v>100</v>
      </c>
      <c r="AN63">
        <v>1500</v>
      </c>
      <c r="AO63" t="s">
        <v>115</v>
      </c>
      <c r="AP63">
        <v>-111</v>
      </c>
      <c r="AQ63">
        <v>35</v>
      </c>
      <c r="AR63">
        <v>704</v>
      </c>
      <c r="AZ63">
        <v>3614</v>
      </c>
      <c r="BA63">
        <v>1</v>
      </c>
      <c r="BB63" t="str">
        <f t="shared" si="2"/>
        <v xml:space="preserve">N959MJ  </v>
      </c>
      <c r="BC63">
        <v>1</v>
      </c>
      <c r="BE63">
        <v>1</v>
      </c>
      <c r="BF63">
        <v>3</v>
      </c>
      <c r="BG63">
        <v>0</v>
      </c>
      <c r="BH63">
        <v>1775</v>
      </c>
      <c r="BI63">
        <v>275</v>
      </c>
      <c r="BJ63">
        <v>1</v>
      </c>
      <c r="BK63">
        <v>1</v>
      </c>
      <c r="BL63">
        <v>1</v>
      </c>
      <c r="BM63">
        <v>0</v>
      </c>
      <c r="BP63">
        <v>1</v>
      </c>
      <c r="BQ63">
        <v>0</v>
      </c>
      <c r="BX63" t="str">
        <f>"13:51:21.445"</f>
        <v>13:51:21.445</v>
      </c>
      <c r="BY63" t="str">
        <f>"447989733"</f>
        <v>447989733</v>
      </c>
      <c r="CL63">
        <v>3</v>
      </c>
      <c r="CM63">
        <v>2</v>
      </c>
      <c r="CN63">
        <v>0</v>
      </c>
      <c r="CO63">
        <v>2</v>
      </c>
      <c r="CP63">
        <v>0</v>
      </c>
      <c r="CQ63">
        <v>5</v>
      </c>
      <c r="CR63" t="s">
        <v>116</v>
      </c>
      <c r="CS63">
        <v>152</v>
      </c>
      <c r="CT63">
        <v>0</v>
      </c>
      <c r="CU63" t="s">
        <v>134</v>
      </c>
      <c r="CV63" t="s">
        <v>135</v>
      </c>
      <c r="CY63">
        <v>15701191</v>
      </c>
      <c r="CZ63" t="s">
        <v>119</v>
      </c>
    </row>
    <row r="64" spans="1:104" x14ac:dyDescent="0.25">
      <c r="A64" t="str">
        <f>"13:51:22.734"</f>
        <v>13:51:22.734</v>
      </c>
      <c r="B64" t="s">
        <v>108</v>
      </c>
      <c r="C64" t="str">
        <f t="shared" si="1"/>
        <v>ffdfd3c0</v>
      </c>
      <c r="D64" t="s">
        <v>109</v>
      </c>
      <c r="E64">
        <v>4</v>
      </c>
      <c r="F64">
        <v>1004</v>
      </c>
      <c r="G64" t="s">
        <v>110</v>
      </c>
      <c r="J64" t="s">
        <v>111</v>
      </c>
      <c r="K64">
        <v>0</v>
      </c>
      <c r="L64">
        <v>3</v>
      </c>
      <c r="M64">
        <v>0</v>
      </c>
      <c r="N64">
        <v>2</v>
      </c>
      <c r="O64">
        <v>1</v>
      </c>
      <c r="P64">
        <v>0</v>
      </c>
      <c r="Q64">
        <v>0</v>
      </c>
      <c r="R64" t="s">
        <v>112</v>
      </c>
      <c r="S64" t="str">
        <f>"13:51:22.539"</f>
        <v>13:51:22.539</v>
      </c>
      <c r="T64" t="str">
        <f>"13:51:22.039"</f>
        <v>13:51:22.039</v>
      </c>
      <c r="U64" t="str">
        <f t="shared" si="0"/>
        <v>ad5732</v>
      </c>
      <c r="V64">
        <v>0</v>
      </c>
      <c r="W64">
        <v>0</v>
      </c>
      <c r="X64">
        <v>1</v>
      </c>
      <c r="Z64">
        <v>0</v>
      </c>
      <c r="AA64">
        <v>9</v>
      </c>
      <c r="AB64">
        <v>3</v>
      </c>
      <c r="AC64">
        <v>0</v>
      </c>
      <c r="AD64">
        <v>10</v>
      </c>
      <c r="AE64">
        <v>0</v>
      </c>
      <c r="AF64">
        <v>3</v>
      </c>
      <c r="AG64">
        <v>2</v>
      </c>
      <c r="AH64">
        <v>0</v>
      </c>
      <c r="AI64" t="s">
        <v>248</v>
      </c>
      <c r="AJ64">
        <v>39.113667</v>
      </c>
      <c r="AK64" t="s">
        <v>249</v>
      </c>
      <c r="AL64">
        <v>-77.590642000000003</v>
      </c>
      <c r="AM64">
        <v>100</v>
      </c>
      <c r="AN64">
        <v>1600</v>
      </c>
      <c r="AO64" t="s">
        <v>115</v>
      </c>
      <c r="AP64">
        <v>-111</v>
      </c>
      <c r="AQ64">
        <v>36</v>
      </c>
      <c r="AR64">
        <v>768</v>
      </c>
      <c r="AZ64">
        <v>3614</v>
      </c>
      <c r="BA64">
        <v>1</v>
      </c>
      <c r="BB64" t="str">
        <f t="shared" si="2"/>
        <v xml:space="preserve">N959MJ  </v>
      </c>
      <c r="BC64">
        <v>1</v>
      </c>
      <c r="BE64">
        <v>1</v>
      </c>
      <c r="BF64">
        <v>3</v>
      </c>
      <c r="BG64">
        <v>0</v>
      </c>
      <c r="BH64">
        <v>1800</v>
      </c>
      <c r="BI64">
        <v>200</v>
      </c>
      <c r="BJ64">
        <v>1</v>
      </c>
      <c r="BK64">
        <v>1</v>
      </c>
      <c r="BL64">
        <v>1</v>
      </c>
      <c r="BM64">
        <v>0</v>
      </c>
      <c r="BP64">
        <v>1</v>
      </c>
      <c r="BQ64">
        <v>0</v>
      </c>
      <c r="BX64" t="str">
        <f>"13:51:22.539"</f>
        <v>13:51:22.539</v>
      </c>
      <c r="BY64" t="str">
        <f>"540730291"</f>
        <v>540730291</v>
      </c>
      <c r="CL64">
        <v>3</v>
      </c>
      <c r="CM64">
        <v>2</v>
      </c>
      <c r="CN64">
        <v>0</v>
      </c>
      <c r="CO64">
        <v>2</v>
      </c>
      <c r="CP64">
        <v>0</v>
      </c>
      <c r="CQ64">
        <v>5</v>
      </c>
      <c r="CR64" t="s">
        <v>116</v>
      </c>
      <c r="CS64">
        <v>525</v>
      </c>
      <c r="CT64">
        <v>2</v>
      </c>
      <c r="CU64" t="s">
        <v>140</v>
      </c>
      <c r="CV64" t="s">
        <v>141</v>
      </c>
      <c r="CY64">
        <v>13668453</v>
      </c>
      <c r="CZ64" t="s">
        <v>119</v>
      </c>
    </row>
    <row r="65" spans="1:104" x14ac:dyDescent="0.25">
      <c r="A65" t="str">
        <f>"13:51:23.789"</f>
        <v>13:51:23.789</v>
      </c>
      <c r="B65" t="s">
        <v>108</v>
      </c>
      <c r="C65" t="str">
        <f t="shared" si="1"/>
        <v>ffdfd3c0</v>
      </c>
      <c r="D65" t="s">
        <v>109</v>
      </c>
      <c r="E65">
        <v>4</v>
      </c>
      <c r="F65">
        <v>1004</v>
      </c>
      <c r="G65" t="s">
        <v>110</v>
      </c>
      <c r="J65" t="s">
        <v>111</v>
      </c>
      <c r="K65">
        <v>0</v>
      </c>
      <c r="L65">
        <v>3</v>
      </c>
      <c r="M65">
        <v>0</v>
      </c>
      <c r="N65">
        <v>2</v>
      </c>
      <c r="O65">
        <v>1</v>
      </c>
      <c r="P65">
        <v>0</v>
      </c>
      <c r="Q65">
        <v>0</v>
      </c>
      <c r="R65" t="s">
        <v>112</v>
      </c>
      <c r="S65" t="str">
        <f>"13:51:23.594"</f>
        <v>13:51:23.594</v>
      </c>
      <c r="T65" t="str">
        <f>"13:51:23.195"</f>
        <v>13:51:23.195</v>
      </c>
      <c r="U65" t="str">
        <f t="shared" si="0"/>
        <v>ad5732</v>
      </c>
      <c r="V65">
        <v>0</v>
      </c>
      <c r="W65">
        <v>0</v>
      </c>
      <c r="X65">
        <v>1</v>
      </c>
      <c r="Z65">
        <v>0</v>
      </c>
      <c r="AA65">
        <v>9</v>
      </c>
      <c r="AB65">
        <v>3</v>
      </c>
      <c r="AC65">
        <v>0</v>
      </c>
      <c r="AD65">
        <v>10</v>
      </c>
      <c r="AE65">
        <v>0</v>
      </c>
      <c r="AF65">
        <v>3</v>
      </c>
      <c r="AG65">
        <v>2</v>
      </c>
      <c r="AH65">
        <v>0</v>
      </c>
      <c r="AI65" t="s">
        <v>250</v>
      </c>
      <c r="AJ65">
        <v>39.113838999999999</v>
      </c>
      <c r="AK65" t="s">
        <v>251</v>
      </c>
      <c r="AL65">
        <v>-77.591372000000007</v>
      </c>
      <c r="AM65">
        <v>100</v>
      </c>
      <c r="AN65">
        <v>1600</v>
      </c>
      <c r="AO65" t="s">
        <v>115</v>
      </c>
      <c r="AP65">
        <v>-111</v>
      </c>
      <c r="AQ65">
        <v>36</v>
      </c>
      <c r="AR65">
        <v>768</v>
      </c>
      <c r="AZ65">
        <v>3614</v>
      </c>
      <c r="BA65">
        <v>1</v>
      </c>
      <c r="BB65" t="str">
        <f t="shared" si="2"/>
        <v xml:space="preserve">N959MJ  </v>
      </c>
      <c r="BC65">
        <v>1</v>
      </c>
      <c r="BE65">
        <v>1</v>
      </c>
      <c r="BF65">
        <v>3</v>
      </c>
      <c r="BG65">
        <v>0</v>
      </c>
      <c r="BH65">
        <v>1800</v>
      </c>
      <c r="BI65">
        <v>200</v>
      </c>
      <c r="BJ65">
        <v>1</v>
      </c>
      <c r="BK65">
        <v>1</v>
      </c>
      <c r="BL65">
        <v>1</v>
      </c>
      <c r="BM65">
        <v>0</v>
      </c>
      <c r="BP65">
        <v>1</v>
      </c>
      <c r="BQ65">
        <v>0</v>
      </c>
      <c r="BX65" t="str">
        <f>"13:51:23.594"</f>
        <v>13:51:23.594</v>
      </c>
      <c r="BY65" t="str">
        <f>"594342388"</f>
        <v>594342388</v>
      </c>
      <c r="CL65">
        <v>3</v>
      </c>
      <c r="CM65">
        <v>2</v>
      </c>
      <c r="CN65">
        <v>0</v>
      </c>
      <c r="CO65">
        <v>2</v>
      </c>
      <c r="CP65">
        <v>0</v>
      </c>
      <c r="CQ65">
        <v>5</v>
      </c>
      <c r="CR65" t="s">
        <v>116</v>
      </c>
      <c r="CS65">
        <v>150</v>
      </c>
      <c r="CT65">
        <v>1</v>
      </c>
      <c r="CU65" t="s">
        <v>252</v>
      </c>
      <c r="CV65" t="s">
        <v>253</v>
      </c>
      <c r="CY65">
        <v>3869997</v>
      </c>
      <c r="CZ65" t="s">
        <v>119</v>
      </c>
    </row>
    <row r="66" spans="1:104" x14ac:dyDescent="0.25">
      <c r="A66" t="str">
        <f>"13:51:24.750"</f>
        <v>13:51:24.750</v>
      </c>
      <c r="B66" t="s">
        <v>108</v>
      </c>
      <c r="C66" t="str">
        <f t="shared" si="1"/>
        <v>ffdfd3c0</v>
      </c>
      <c r="D66" t="s">
        <v>109</v>
      </c>
      <c r="E66">
        <v>4</v>
      </c>
      <c r="F66">
        <v>1004</v>
      </c>
      <c r="G66" t="s">
        <v>110</v>
      </c>
      <c r="J66" t="s">
        <v>111</v>
      </c>
      <c r="K66">
        <v>0</v>
      </c>
      <c r="L66">
        <v>3</v>
      </c>
      <c r="M66">
        <v>0</v>
      </c>
      <c r="N66">
        <v>2</v>
      </c>
      <c r="O66">
        <v>1</v>
      </c>
      <c r="P66">
        <v>0</v>
      </c>
      <c r="Q66">
        <v>0</v>
      </c>
      <c r="R66" t="s">
        <v>112</v>
      </c>
      <c r="S66" t="str">
        <f>"13:51:24.547"</f>
        <v>13:51:24.547</v>
      </c>
      <c r="T66" t="str">
        <f>"13:51:24.148"</f>
        <v>13:51:24.148</v>
      </c>
      <c r="U66" t="str">
        <f t="shared" ref="U66:U129" si="3">"ad5732"</f>
        <v>ad5732</v>
      </c>
      <c r="V66">
        <v>0</v>
      </c>
      <c r="W66">
        <v>0</v>
      </c>
      <c r="X66">
        <v>1</v>
      </c>
      <c r="Z66">
        <v>0</v>
      </c>
      <c r="AA66">
        <v>9</v>
      </c>
      <c r="AB66">
        <v>3</v>
      </c>
      <c r="AC66">
        <v>0</v>
      </c>
      <c r="AD66">
        <v>10</v>
      </c>
      <c r="AE66">
        <v>0</v>
      </c>
      <c r="AF66">
        <v>3</v>
      </c>
      <c r="AG66">
        <v>2</v>
      </c>
      <c r="AH66">
        <v>0</v>
      </c>
      <c r="AI66" t="s">
        <v>254</v>
      </c>
      <c r="AJ66">
        <v>39.113988999999997</v>
      </c>
      <c r="AK66" t="s">
        <v>255</v>
      </c>
      <c r="AL66">
        <v>-77.592015000000004</v>
      </c>
      <c r="AM66">
        <v>100</v>
      </c>
      <c r="AN66">
        <v>1600</v>
      </c>
      <c r="AO66" t="s">
        <v>115</v>
      </c>
      <c r="AP66">
        <v>-112</v>
      </c>
      <c r="AQ66">
        <v>36</v>
      </c>
      <c r="AR66">
        <v>768</v>
      </c>
      <c r="AZ66">
        <v>3614</v>
      </c>
      <c r="BA66">
        <v>1</v>
      </c>
      <c r="BB66" t="str">
        <f t="shared" si="2"/>
        <v xml:space="preserve">N959MJ  </v>
      </c>
      <c r="BC66">
        <v>1</v>
      </c>
      <c r="BE66">
        <v>1</v>
      </c>
      <c r="BF66">
        <v>3</v>
      </c>
      <c r="BG66">
        <v>0</v>
      </c>
      <c r="BH66">
        <v>1825</v>
      </c>
      <c r="BI66">
        <v>225</v>
      </c>
      <c r="BJ66">
        <v>1</v>
      </c>
      <c r="BK66">
        <v>1</v>
      </c>
      <c r="BL66">
        <v>1</v>
      </c>
      <c r="BM66">
        <v>0</v>
      </c>
      <c r="BP66">
        <v>1</v>
      </c>
      <c r="BQ66">
        <v>0</v>
      </c>
      <c r="BX66" t="str">
        <f>"13:51:24.555"</f>
        <v>13:51:24.555</v>
      </c>
      <c r="BY66" t="str">
        <f>"554355234"</f>
        <v>554355234</v>
      </c>
      <c r="CL66">
        <v>3</v>
      </c>
      <c r="CM66">
        <v>2</v>
      </c>
      <c r="CN66">
        <v>0</v>
      </c>
      <c r="CO66">
        <v>2</v>
      </c>
      <c r="CP66">
        <v>0</v>
      </c>
      <c r="CQ66">
        <v>5</v>
      </c>
      <c r="CR66" t="s">
        <v>116</v>
      </c>
      <c r="CS66">
        <v>525</v>
      </c>
      <c r="CT66">
        <v>3</v>
      </c>
      <c r="CU66" t="s">
        <v>140</v>
      </c>
      <c r="CV66" t="s">
        <v>141</v>
      </c>
      <c r="CY66">
        <v>93704</v>
      </c>
      <c r="CZ66" t="s">
        <v>119</v>
      </c>
    </row>
    <row r="67" spans="1:104" x14ac:dyDescent="0.25">
      <c r="A67" t="str">
        <f>"13:51:25.813"</f>
        <v>13:51:25.813</v>
      </c>
      <c r="B67" t="s">
        <v>108</v>
      </c>
      <c r="C67" t="str">
        <f t="shared" si="1"/>
        <v>ffdfd3c0</v>
      </c>
      <c r="D67" t="s">
        <v>109</v>
      </c>
      <c r="E67">
        <v>4</v>
      </c>
      <c r="F67">
        <v>1004</v>
      </c>
      <c r="G67" t="s">
        <v>110</v>
      </c>
      <c r="J67" t="s">
        <v>111</v>
      </c>
      <c r="K67">
        <v>0</v>
      </c>
      <c r="L67">
        <v>3</v>
      </c>
      <c r="M67">
        <v>0</v>
      </c>
      <c r="N67">
        <v>2</v>
      </c>
      <c r="O67">
        <v>1</v>
      </c>
      <c r="P67">
        <v>0</v>
      </c>
      <c r="Q67">
        <v>0</v>
      </c>
      <c r="R67" t="s">
        <v>112</v>
      </c>
      <c r="S67" t="str">
        <f>"13:51:25.594"</f>
        <v>13:51:25.594</v>
      </c>
      <c r="T67" t="str">
        <f>"13:51:25.094"</f>
        <v>13:51:25.094</v>
      </c>
      <c r="U67" t="str">
        <f t="shared" si="3"/>
        <v>ad5732</v>
      </c>
      <c r="V67">
        <v>0</v>
      </c>
      <c r="W67">
        <v>0</v>
      </c>
      <c r="X67">
        <v>1</v>
      </c>
      <c r="Z67">
        <v>0</v>
      </c>
      <c r="AA67">
        <v>9</v>
      </c>
      <c r="AB67">
        <v>3</v>
      </c>
      <c r="AC67">
        <v>0</v>
      </c>
      <c r="AD67">
        <v>10</v>
      </c>
      <c r="AE67">
        <v>0</v>
      </c>
      <c r="AF67">
        <v>3</v>
      </c>
      <c r="AG67">
        <v>2</v>
      </c>
      <c r="AH67">
        <v>0</v>
      </c>
      <c r="AI67" t="s">
        <v>256</v>
      </c>
      <c r="AJ67">
        <v>39.114161000000003</v>
      </c>
      <c r="AK67" t="s">
        <v>257</v>
      </c>
      <c r="AL67">
        <v>-77.592702000000003</v>
      </c>
      <c r="AM67">
        <v>100</v>
      </c>
      <c r="AN67">
        <v>1600</v>
      </c>
      <c r="AO67" t="s">
        <v>115</v>
      </c>
      <c r="AP67">
        <v>-112</v>
      </c>
      <c r="AQ67">
        <v>36</v>
      </c>
      <c r="AR67">
        <v>832</v>
      </c>
      <c r="AZ67">
        <v>3614</v>
      </c>
      <c r="BA67">
        <v>1</v>
      </c>
      <c r="BB67" t="str">
        <f t="shared" si="2"/>
        <v xml:space="preserve">N959MJ  </v>
      </c>
      <c r="BC67">
        <v>1</v>
      </c>
      <c r="BE67">
        <v>1</v>
      </c>
      <c r="BF67">
        <v>3</v>
      </c>
      <c r="BG67">
        <v>0</v>
      </c>
      <c r="BH67">
        <v>1825</v>
      </c>
      <c r="BI67">
        <v>225</v>
      </c>
      <c r="BJ67">
        <v>1</v>
      </c>
      <c r="BK67">
        <v>1</v>
      </c>
      <c r="BL67">
        <v>1</v>
      </c>
      <c r="BM67">
        <v>0</v>
      </c>
      <c r="BP67">
        <v>1</v>
      </c>
      <c r="BQ67">
        <v>0</v>
      </c>
      <c r="BX67" t="str">
        <f>"13:51:25.594"</f>
        <v>13:51:25.594</v>
      </c>
      <c r="BY67" t="str">
        <f>"596483266"</f>
        <v>596483266</v>
      </c>
      <c r="CL67">
        <v>3</v>
      </c>
      <c r="CM67">
        <v>2</v>
      </c>
      <c r="CN67">
        <v>0</v>
      </c>
      <c r="CO67">
        <v>2</v>
      </c>
      <c r="CP67">
        <v>0</v>
      </c>
      <c r="CQ67">
        <v>4</v>
      </c>
      <c r="CR67" t="s">
        <v>116</v>
      </c>
      <c r="CS67">
        <v>152</v>
      </c>
      <c r="CT67">
        <v>3</v>
      </c>
      <c r="CU67" t="s">
        <v>134</v>
      </c>
      <c r="CV67" t="s">
        <v>135</v>
      </c>
      <c r="CY67">
        <v>11679485</v>
      </c>
      <c r="CZ67" t="s">
        <v>119</v>
      </c>
    </row>
    <row r="68" spans="1:104" x14ac:dyDescent="0.25">
      <c r="A68" t="str">
        <f>"13:51:26.719"</f>
        <v>13:51:26.719</v>
      </c>
      <c r="B68" t="s">
        <v>108</v>
      </c>
      <c r="C68" t="str">
        <f t="shared" si="1"/>
        <v>ffdfd3c0</v>
      </c>
      <c r="D68" t="s">
        <v>109</v>
      </c>
      <c r="E68">
        <v>4</v>
      </c>
      <c r="F68">
        <v>1004</v>
      </c>
      <c r="G68" t="s">
        <v>110</v>
      </c>
      <c r="J68" t="s">
        <v>111</v>
      </c>
      <c r="K68">
        <v>0</v>
      </c>
      <c r="L68">
        <v>3</v>
      </c>
      <c r="M68">
        <v>0</v>
      </c>
      <c r="N68">
        <v>2</v>
      </c>
      <c r="O68">
        <v>1</v>
      </c>
      <c r="P68">
        <v>0</v>
      </c>
      <c r="Q68">
        <v>0</v>
      </c>
      <c r="R68" t="s">
        <v>112</v>
      </c>
      <c r="S68" t="str">
        <f>"13:51:26.508"</f>
        <v>13:51:26.508</v>
      </c>
      <c r="T68" t="str">
        <f>"13:51:26.109"</f>
        <v>13:51:26.109</v>
      </c>
      <c r="U68" t="str">
        <f t="shared" si="3"/>
        <v>ad5732</v>
      </c>
      <c r="V68">
        <v>0</v>
      </c>
      <c r="W68">
        <v>0</v>
      </c>
      <c r="X68">
        <v>1</v>
      </c>
      <c r="Z68">
        <v>0</v>
      </c>
      <c r="AA68">
        <v>9</v>
      </c>
      <c r="AB68">
        <v>3</v>
      </c>
      <c r="AC68">
        <v>0</v>
      </c>
      <c r="AD68">
        <v>10</v>
      </c>
      <c r="AE68">
        <v>0</v>
      </c>
      <c r="AF68">
        <v>3</v>
      </c>
      <c r="AG68">
        <v>2</v>
      </c>
      <c r="AH68">
        <v>0</v>
      </c>
      <c r="AI68" t="s">
        <v>258</v>
      </c>
      <c r="AJ68">
        <v>39.114311000000001</v>
      </c>
      <c r="AK68" t="s">
        <v>259</v>
      </c>
      <c r="AL68">
        <v>-77.593323999999996</v>
      </c>
      <c r="AM68">
        <v>100</v>
      </c>
      <c r="AN68">
        <v>1600</v>
      </c>
      <c r="AO68" t="s">
        <v>115</v>
      </c>
      <c r="AP68">
        <v>-112</v>
      </c>
      <c r="AQ68">
        <v>36</v>
      </c>
      <c r="AR68">
        <v>896</v>
      </c>
      <c r="AZ68">
        <v>3614</v>
      </c>
      <c r="BA68">
        <v>1</v>
      </c>
      <c r="BB68" t="str">
        <f t="shared" si="2"/>
        <v xml:space="preserve">N959MJ  </v>
      </c>
      <c r="BC68">
        <v>1</v>
      </c>
      <c r="BE68">
        <v>1</v>
      </c>
      <c r="BF68">
        <v>3</v>
      </c>
      <c r="BG68">
        <v>0</v>
      </c>
      <c r="BH68">
        <v>1850</v>
      </c>
      <c r="BI68">
        <v>250</v>
      </c>
      <c r="BJ68">
        <v>1</v>
      </c>
      <c r="BK68">
        <v>1</v>
      </c>
      <c r="BL68">
        <v>1</v>
      </c>
      <c r="BM68">
        <v>0</v>
      </c>
      <c r="BP68">
        <v>1</v>
      </c>
      <c r="BQ68">
        <v>0</v>
      </c>
      <c r="BX68" t="str">
        <f>"13:51:26.516"</f>
        <v>13:51:26.516</v>
      </c>
      <c r="BY68" t="str">
        <f>"512273779"</f>
        <v>512273779</v>
      </c>
      <c r="CL68">
        <v>3</v>
      </c>
      <c r="CM68">
        <v>2</v>
      </c>
      <c r="CN68">
        <v>0</v>
      </c>
      <c r="CO68">
        <v>2</v>
      </c>
      <c r="CP68">
        <v>0</v>
      </c>
      <c r="CQ68">
        <v>6</v>
      </c>
      <c r="CR68" t="s">
        <v>116</v>
      </c>
      <c r="CS68">
        <v>525</v>
      </c>
      <c r="CT68">
        <v>2</v>
      </c>
      <c r="CU68" t="s">
        <v>140</v>
      </c>
      <c r="CV68" t="s">
        <v>141</v>
      </c>
      <c r="CY68">
        <v>13674560</v>
      </c>
      <c r="CZ68" t="s">
        <v>119</v>
      </c>
    </row>
    <row r="69" spans="1:104" x14ac:dyDescent="0.25">
      <c r="A69" t="str">
        <f>"13:51:27.625"</f>
        <v>13:51:27.625</v>
      </c>
      <c r="B69" t="s">
        <v>108</v>
      </c>
      <c r="C69" t="str">
        <f t="shared" si="1"/>
        <v>ffdfd3c0</v>
      </c>
      <c r="D69" t="s">
        <v>109</v>
      </c>
      <c r="E69">
        <v>4</v>
      </c>
      <c r="F69">
        <v>1004</v>
      </c>
      <c r="G69" t="s">
        <v>110</v>
      </c>
      <c r="J69" t="s">
        <v>111</v>
      </c>
      <c r="K69">
        <v>0</v>
      </c>
      <c r="L69">
        <v>3</v>
      </c>
      <c r="M69">
        <v>0</v>
      </c>
      <c r="N69">
        <v>2</v>
      </c>
      <c r="O69">
        <v>1</v>
      </c>
      <c r="P69">
        <v>0</v>
      </c>
      <c r="Q69">
        <v>0</v>
      </c>
      <c r="R69" t="s">
        <v>112</v>
      </c>
      <c r="S69" t="str">
        <f>"13:51:27.477"</f>
        <v>13:51:27.477</v>
      </c>
      <c r="T69" t="str">
        <f>"13:51:26.977"</f>
        <v>13:51:26.977</v>
      </c>
      <c r="U69" t="str">
        <f t="shared" si="3"/>
        <v>ad5732</v>
      </c>
      <c r="V69">
        <v>0</v>
      </c>
      <c r="W69">
        <v>0</v>
      </c>
      <c r="X69">
        <v>1</v>
      </c>
      <c r="Z69">
        <v>0</v>
      </c>
      <c r="AA69">
        <v>9</v>
      </c>
      <c r="AB69">
        <v>3</v>
      </c>
      <c r="AC69">
        <v>0</v>
      </c>
      <c r="AD69">
        <v>10</v>
      </c>
      <c r="AE69">
        <v>0</v>
      </c>
      <c r="AF69">
        <v>3</v>
      </c>
      <c r="AG69">
        <v>2</v>
      </c>
      <c r="AH69">
        <v>0</v>
      </c>
      <c r="AI69" t="s">
        <v>260</v>
      </c>
      <c r="AJ69">
        <v>39.114482000000002</v>
      </c>
      <c r="AK69" t="s">
        <v>261</v>
      </c>
      <c r="AL69">
        <v>-77.593988999999993</v>
      </c>
      <c r="AM69">
        <v>100</v>
      </c>
      <c r="AN69">
        <v>1700</v>
      </c>
      <c r="AO69" t="s">
        <v>115</v>
      </c>
      <c r="AP69">
        <v>-112</v>
      </c>
      <c r="AQ69">
        <v>36</v>
      </c>
      <c r="AR69">
        <v>960</v>
      </c>
      <c r="AZ69">
        <v>3614</v>
      </c>
      <c r="BA69">
        <v>1</v>
      </c>
      <c r="BB69" t="str">
        <f t="shared" si="2"/>
        <v xml:space="preserve">N959MJ  </v>
      </c>
      <c r="BC69">
        <v>1</v>
      </c>
      <c r="BE69">
        <v>1</v>
      </c>
      <c r="BF69">
        <v>3</v>
      </c>
      <c r="BG69">
        <v>0</v>
      </c>
      <c r="BH69">
        <v>1875</v>
      </c>
      <c r="BI69">
        <v>175</v>
      </c>
      <c r="BJ69">
        <v>1</v>
      </c>
      <c r="BK69">
        <v>1</v>
      </c>
      <c r="BL69">
        <v>1</v>
      </c>
      <c r="BM69">
        <v>0</v>
      </c>
      <c r="BP69">
        <v>1</v>
      </c>
      <c r="BQ69">
        <v>0</v>
      </c>
      <c r="BX69" t="str">
        <f>"13:51:27.477"</f>
        <v>13:51:27.477</v>
      </c>
      <c r="BY69" t="str">
        <f>"477395814"</f>
        <v>477395814</v>
      </c>
      <c r="CL69">
        <v>3</v>
      </c>
      <c r="CM69">
        <v>2</v>
      </c>
      <c r="CN69">
        <v>0</v>
      </c>
      <c r="CO69">
        <v>2</v>
      </c>
      <c r="CP69">
        <v>0</v>
      </c>
      <c r="CQ69">
        <v>6</v>
      </c>
      <c r="CR69" t="s">
        <v>116</v>
      </c>
      <c r="CS69">
        <v>152</v>
      </c>
      <c r="CT69">
        <v>0</v>
      </c>
      <c r="CU69" t="s">
        <v>134</v>
      </c>
      <c r="CV69" t="s">
        <v>135</v>
      </c>
      <c r="CY69">
        <v>15711897</v>
      </c>
      <c r="CZ69" t="s">
        <v>119</v>
      </c>
    </row>
    <row r="70" spans="1:104" x14ac:dyDescent="0.25">
      <c r="A70" t="str">
        <f>"13:51:28.742"</f>
        <v>13:51:28.742</v>
      </c>
      <c r="B70" t="s">
        <v>108</v>
      </c>
      <c r="C70" t="str">
        <f t="shared" si="1"/>
        <v>ffdfd3c0</v>
      </c>
      <c r="D70" t="s">
        <v>109</v>
      </c>
      <c r="E70">
        <v>4</v>
      </c>
      <c r="F70">
        <v>1004</v>
      </c>
      <c r="G70" t="s">
        <v>110</v>
      </c>
      <c r="J70" t="s">
        <v>111</v>
      </c>
      <c r="K70">
        <v>0</v>
      </c>
      <c r="L70">
        <v>3</v>
      </c>
      <c r="M70">
        <v>0</v>
      </c>
      <c r="N70">
        <v>2</v>
      </c>
      <c r="O70">
        <v>1</v>
      </c>
      <c r="P70">
        <v>0</v>
      </c>
      <c r="Q70">
        <v>0</v>
      </c>
      <c r="R70" t="s">
        <v>112</v>
      </c>
      <c r="S70" t="str">
        <f>"13:51:28.539"</f>
        <v>13:51:28.539</v>
      </c>
      <c r="T70" t="str">
        <f>"13:51:28.039"</f>
        <v>13:51:28.039</v>
      </c>
      <c r="U70" t="str">
        <f t="shared" si="3"/>
        <v>ad5732</v>
      </c>
      <c r="V70">
        <v>0</v>
      </c>
      <c r="W70">
        <v>0</v>
      </c>
      <c r="X70">
        <v>1</v>
      </c>
      <c r="Z70">
        <v>0</v>
      </c>
      <c r="AA70">
        <v>9</v>
      </c>
      <c r="AB70">
        <v>3</v>
      </c>
      <c r="AC70">
        <v>0</v>
      </c>
      <c r="AD70">
        <v>10</v>
      </c>
      <c r="AE70">
        <v>0</v>
      </c>
      <c r="AF70">
        <v>3</v>
      </c>
      <c r="AG70">
        <v>2</v>
      </c>
      <c r="AH70">
        <v>0</v>
      </c>
      <c r="AI70" t="s">
        <v>262</v>
      </c>
      <c r="AJ70">
        <v>39.114676000000003</v>
      </c>
      <c r="AK70" t="s">
        <v>263</v>
      </c>
      <c r="AL70">
        <v>-77.594655000000003</v>
      </c>
      <c r="AM70">
        <v>100</v>
      </c>
      <c r="AN70">
        <v>1700</v>
      </c>
      <c r="AO70" t="s">
        <v>115</v>
      </c>
      <c r="AP70">
        <v>-112</v>
      </c>
      <c r="AQ70">
        <v>37</v>
      </c>
      <c r="AR70">
        <v>1024</v>
      </c>
      <c r="AZ70">
        <v>3614</v>
      </c>
      <c r="BA70">
        <v>1</v>
      </c>
      <c r="BB70" t="str">
        <f t="shared" si="2"/>
        <v xml:space="preserve">N959MJ  </v>
      </c>
      <c r="BC70">
        <v>1</v>
      </c>
      <c r="BE70">
        <v>1</v>
      </c>
      <c r="BF70">
        <v>0</v>
      </c>
      <c r="BG70">
        <v>0</v>
      </c>
      <c r="BH70">
        <v>1775</v>
      </c>
      <c r="BI70">
        <v>75</v>
      </c>
      <c r="BJ70">
        <v>1</v>
      </c>
      <c r="BK70">
        <v>1</v>
      </c>
      <c r="BL70">
        <v>1</v>
      </c>
      <c r="BM70">
        <v>0</v>
      </c>
      <c r="BP70">
        <v>1</v>
      </c>
      <c r="BQ70">
        <v>0</v>
      </c>
      <c r="BX70" t="str">
        <f>"13:51:28.539"</f>
        <v>13:51:28.539</v>
      </c>
      <c r="BY70" t="str">
        <f>"540798037"</f>
        <v>540798037</v>
      </c>
      <c r="CL70">
        <v>3</v>
      </c>
      <c r="CM70">
        <v>2</v>
      </c>
      <c r="CN70">
        <v>0</v>
      </c>
      <c r="CO70">
        <v>2</v>
      </c>
      <c r="CP70">
        <v>0</v>
      </c>
      <c r="CQ70">
        <v>5</v>
      </c>
      <c r="CR70" t="s">
        <v>116</v>
      </c>
      <c r="CS70">
        <v>373</v>
      </c>
      <c r="CT70">
        <v>3</v>
      </c>
      <c r="CU70" t="s">
        <v>224</v>
      </c>
      <c r="CV70" t="s">
        <v>225</v>
      </c>
      <c r="CY70">
        <v>1446293</v>
      </c>
      <c r="CZ70" t="s">
        <v>119</v>
      </c>
    </row>
    <row r="71" spans="1:104" x14ac:dyDescent="0.25">
      <c r="A71" t="str">
        <f>"13:51:29.695"</f>
        <v>13:51:29.695</v>
      </c>
      <c r="B71" t="s">
        <v>108</v>
      </c>
      <c r="C71" t="str">
        <f t="shared" si="1"/>
        <v>ffdfd3c0</v>
      </c>
      <c r="D71" t="s">
        <v>109</v>
      </c>
      <c r="E71">
        <v>4</v>
      </c>
      <c r="F71">
        <v>1004</v>
      </c>
      <c r="G71" t="s">
        <v>110</v>
      </c>
      <c r="J71" t="s">
        <v>111</v>
      </c>
      <c r="K71">
        <v>0</v>
      </c>
      <c r="L71">
        <v>3</v>
      </c>
      <c r="M71">
        <v>0</v>
      </c>
      <c r="N71">
        <v>2</v>
      </c>
      <c r="O71">
        <v>1</v>
      </c>
      <c r="P71">
        <v>0</v>
      </c>
      <c r="Q71">
        <v>0</v>
      </c>
      <c r="R71" t="s">
        <v>112</v>
      </c>
      <c r="S71" t="str">
        <f>"13:51:29.516"</f>
        <v>13:51:29.516</v>
      </c>
      <c r="T71" t="str">
        <f>"13:51:29.016"</f>
        <v>13:51:29.016</v>
      </c>
      <c r="U71" t="str">
        <f t="shared" si="3"/>
        <v>ad5732</v>
      </c>
      <c r="V71">
        <v>0</v>
      </c>
      <c r="W71">
        <v>0</v>
      </c>
      <c r="X71">
        <v>1</v>
      </c>
      <c r="Z71">
        <v>0</v>
      </c>
      <c r="AA71">
        <v>9</v>
      </c>
      <c r="AB71">
        <v>3</v>
      </c>
      <c r="AC71">
        <v>0</v>
      </c>
      <c r="AD71">
        <v>10</v>
      </c>
      <c r="AE71">
        <v>0</v>
      </c>
      <c r="AF71">
        <v>3</v>
      </c>
      <c r="AG71">
        <v>2</v>
      </c>
      <c r="AH71">
        <v>0</v>
      </c>
      <c r="AI71" t="s">
        <v>264</v>
      </c>
      <c r="AJ71">
        <v>39.114803999999999</v>
      </c>
      <c r="AK71" t="s">
        <v>265</v>
      </c>
      <c r="AL71">
        <v>-77.595298</v>
      </c>
      <c r="AM71">
        <v>100</v>
      </c>
      <c r="AN71">
        <v>1700</v>
      </c>
      <c r="AO71" t="s">
        <v>115</v>
      </c>
      <c r="AP71">
        <v>-111</v>
      </c>
      <c r="AQ71">
        <v>38</v>
      </c>
      <c r="AR71">
        <v>1088</v>
      </c>
      <c r="AZ71">
        <v>3614</v>
      </c>
      <c r="BA71">
        <v>1</v>
      </c>
      <c r="BB71" t="str">
        <f t="shared" si="2"/>
        <v xml:space="preserve">N959MJ  </v>
      </c>
      <c r="BC71">
        <v>1</v>
      </c>
      <c r="BE71">
        <v>0</v>
      </c>
      <c r="BF71">
        <v>0</v>
      </c>
      <c r="BG71">
        <v>0</v>
      </c>
      <c r="BH71">
        <v>1900</v>
      </c>
      <c r="BI71">
        <v>200</v>
      </c>
      <c r="BJ71">
        <v>1</v>
      </c>
      <c r="BK71">
        <v>1</v>
      </c>
      <c r="BL71">
        <v>1</v>
      </c>
      <c r="BM71">
        <v>0</v>
      </c>
      <c r="BP71">
        <v>0</v>
      </c>
      <c r="BQ71">
        <v>0</v>
      </c>
      <c r="BX71" t="str">
        <f>"13:51:29.523"</f>
        <v>13:51:29.523</v>
      </c>
      <c r="BY71" t="str">
        <f>"522150929"</f>
        <v>522150929</v>
      </c>
      <c r="CL71">
        <v>3</v>
      </c>
      <c r="CM71">
        <v>2</v>
      </c>
      <c r="CN71">
        <v>0</v>
      </c>
      <c r="CO71">
        <v>2</v>
      </c>
      <c r="CP71">
        <v>0</v>
      </c>
      <c r="CQ71">
        <v>6</v>
      </c>
      <c r="CR71" t="s">
        <v>116</v>
      </c>
      <c r="CS71">
        <v>152</v>
      </c>
      <c r="CT71">
        <v>0</v>
      </c>
      <c r="CU71" t="s">
        <v>134</v>
      </c>
      <c r="CV71" t="s">
        <v>135</v>
      </c>
      <c r="CY71">
        <v>15715499</v>
      </c>
      <c r="CZ71" t="s">
        <v>119</v>
      </c>
    </row>
    <row r="72" spans="1:104" x14ac:dyDescent="0.25">
      <c r="A72" t="str">
        <f>"13:51:30.813"</f>
        <v>13:51:30.813</v>
      </c>
      <c r="B72" t="s">
        <v>108</v>
      </c>
      <c r="C72" t="str">
        <f t="shared" si="1"/>
        <v>ffdfd3c0</v>
      </c>
      <c r="D72" t="s">
        <v>109</v>
      </c>
      <c r="E72">
        <v>4</v>
      </c>
      <c r="F72">
        <v>1004</v>
      </c>
      <c r="G72" t="s">
        <v>110</v>
      </c>
      <c r="J72" t="s">
        <v>111</v>
      </c>
      <c r="K72">
        <v>0</v>
      </c>
      <c r="L72">
        <v>3</v>
      </c>
      <c r="M72">
        <v>0</v>
      </c>
      <c r="N72">
        <v>2</v>
      </c>
      <c r="O72">
        <v>1</v>
      </c>
      <c r="P72">
        <v>0</v>
      </c>
      <c r="Q72">
        <v>0</v>
      </c>
      <c r="R72" t="s">
        <v>112</v>
      </c>
      <c r="S72" t="str">
        <f>"13:51:30.594"</f>
        <v>13:51:30.594</v>
      </c>
      <c r="T72" t="str">
        <f>"13:51:30.195"</f>
        <v>13:51:30.195</v>
      </c>
      <c r="U72" t="str">
        <f t="shared" si="3"/>
        <v>ad5732</v>
      </c>
      <c r="V72">
        <v>0</v>
      </c>
      <c r="W72">
        <v>0</v>
      </c>
      <c r="X72">
        <v>1</v>
      </c>
      <c r="Z72">
        <v>0</v>
      </c>
      <c r="AA72">
        <v>9</v>
      </c>
      <c r="AB72">
        <v>3</v>
      </c>
      <c r="AC72">
        <v>0</v>
      </c>
      <c r="AD72">
        <v>10</v>
      </c>
      <c r="AE72">
        <v>0</v>
      </c>
      <c r="AF72">
        <v>3</v>
      </c>
      <c r="AG72">
        <v>2</v>
      </c>
      <c r="AH72">
        <v>0</v>
      </c>
      <c r="AI72" t="s">
        <v>266</v>
      </c>
      <c r="AJ72">
        <v>39.115062000000002</v>
      </c>
      <c r="AK72" t="s">
        <v>267</v>
      </c>
      <c r="AL72">
        <v>-77.596070999999995</v>
      </c>
      <c r="AM72">
        <v>100</v>
      </c>
      <c r="AN72">
        <v>1700</v>
      </c>
      <c r="AO72" t="s">
        <v>115</v>
      </c>
      <c r="AP72">
        <v>-111</v>
      </c>
      <c r="AQ72">
        <v>39</v>
      </c>
      <c r="AR72">
        <v>1152</v>
      </c>
      <c r="AZ72">
        <v>3614</v>
      </c>
      <c r="BA72">
        <v>1</v>
      </c>
      <c r="BB72" t="str">
        <f t="shared" si="2"/>
        <v xml:space="preserve">N959MJ  </v>
      </c>
      <c r="BC72">
        <v>1</v>
      </c>
      <c r="BE72">
        <v>0</v>
      </c>
      <c r="BF72">
        <v>0</v>
      </c>
      <c r="BG72">
        <v>0</v>
      </c>
      <c r="BH72">
        <v>1925</v>
      </c>
      <c r="BI72">
        <v>225</v>
      </c>
      <c r="BJ72">
        <v>1</v>
      </c>
      <c r="BK72">
        <v>1</v>
      </c>
      <c r="BL72">
        <v>1</v>
      </c>
      <c r="BM72">
        <v>0</v>
      </c>
      <c r="BP72">
        <v>0</v>
      </c>
      <c r="BQ72">
        <v>0</v>
      </c>
      <c r="BX72" t="str">
        <f>"13:51:30.602"</f>
        <v>13:51:30.602</v>
      </c>
      <c r="BY72" t="str">
        <f>"598596588"</f>
        <v>598596588</v>
      </c>
      <c r="CL72">
        <v>3</v>
      </c>
      <c r="CM72">
        <v>2</v>
      </c>
      <c r="CN72">
        <v>0</v>
      </c>
      <c r="CO72">
        <v>2</v>
      </c>
      <c r="CP72">
        <v>0</v>
      </c>
      <c r="CQ72">
        <v>6</v>
      </c>
      <c r="CR72" t="s">
        <v>116</v>
      </c>
      <c r="CS72">
        <v>152</v>
      </c>
      <c r="CT72">
        <v>0</v>
      </c>
      <c r="CU72" t="s">
        <v>134</v>
      </c>
      <c r="CV72" t="s">
        <v>135</v>
      </c>
      <c r="CY72">
        <v>15717390</v>
      </c>
      <c r="CZ72" t="s">
        <v>119</v>
      </c>
    </row>
    <row r="73" spans="1:104" x14ac:dyDescent="0.25">
      <c r="A73" t="str">
        <f>"13:51:31.766"</f>
        <v>13:51:31.766</v>
      </c>
      <c r="B73" t="s">
        <v>108</v>
      </c>
      <c r="C73" t="str">
        <f t="shared" si="1"/>
        <v>ffdfd3c0</v>
      </c>
      <c r="D73" t="s">
        <v>109</v>
      </c>
      <c r="E73">
        <v>4</v>
      </c>
      <c r="F73">
        <v>1004</v>
      </c>
      <c r="G73" t="s">
        <v>110</v>
      </c>
      <c r="J73" t="s">
        <v>111</v>
      </c>
      <c r="K73">
        <v>0</v>
      </c>
      <c r="L73">
        <v>3</v>
      </c>
      <c r="M73">
        <v>0</v>
      </c>
      <c r="N73">
        <v>2</v>
      </c>
      <c r="O73">
        <v>1</v>
      </c>
      <c r="P73">
        <v>0</v>
      </c>
      <c r="Q73">
        <v>0</v>
      </c>
      <c r="R73" t="s">
        <v>112</v>
      </c>
      <c r="S73" t="str">
        <f>"13:51:31.555"</f>
        <v>13:51:31.555</v>
      </c>
      <c r="T73" t="str">
        <f>"13:51:31.156"</f>
        <v>13:51:31.156</v>
      </c>
      <c r="U73" t="str">
        <f t="shared" si="3"/>
        <v>ad5732</v>
      </c>
      <c r="V73">
        <v>0</v>
      </c>
      <c r="W73">
        <v>0</v>
      </c>
      <c r="X73">
        <v>1</v>
      </c>
      <c r="Z73">
        <v>0</v>
      </c>
      <c r="AA73">
        <v>9</v>
      </c>
      <c r="AB73">
        <v>3</v>
      </c>
      <c r="AC73">
        <v>0</v>
      </c>
      <c r="AD73">
        <v>10</v>
      </c>
      <c r="AE73">
        <v>0</v>
      </c>
      <c r="AF73">
        <v>3</v>
      </c>
      <c r="AG73">
        <v>2</v>
      </c>
      <c r="AH73">
        <v>0</v>
      </c>
      <c r="AI73" t="s">
        <v>268</v>
      </c>
      <c r="AJ73">
        <v>39.115212</v>
      </c>
      <c r="AK73" t="s">
        <v>269</v>
      </c>
      <c r="AL73">
        <v>-77.596607000000006</v>
      </c>
      <c r="AM73">
        <v>100</v>
      </c>
      <c r="AN73">
        <v>1700</v>
      </c>
      <c r="AO73" t="s">
        <v>115</v>
      </c>
      <c r="AP73">
        <v>-110</v>
      </c>
      <c r="AQ73">
        <v>40</v>
      </c>
      <c r="AR73">
        <v>1152</v>
      </c>
      <c r="AZ73">
        <v>3614</v>
      </c>
      <c r="BA73">
        <v>1</v>
      </c>
      <c r="BB73" t="str">
        <f t="shared" si="2"/>
        <v xml:space="preserve">N959MJ  </v>
      </c>
      <c r="BC73">
        <v>1</v>
      </c>
      <c r="BE73">
        <v>0</v>
      </c>
      <c r="BF73">
        <v>0</v>
      </c>
      <c r="BG73">
        <v>0</v>
      </c>
      <c r="BH73">
        <v>1950</v>
      </c>
      <c r="BI73">
        <v>250</v>
      </c>
      <c r="BJ73">
        <v>1</v>
      </c>
      <c r="BK73">
        <v>1</v>
      </c>
      <c r="BL73">
        <v>1</v>
      </c>
      <c r="BM73">
        <v>0</v>
      </c>
      <c r="BP73">
        <v>0</v>
      </c>
      <c r="BQ73">
        <v>0</v>
      </c>
      <c r="BX73" t="str">
        <f>"13:51:31.563"</f>
        <v>13:51:31.563</v>
      </c>
      <c r="BY73" t="str">
        <f>"560352365"</f>
        <v>560352365</v>
      </c>
      <c r="CL73">
        <v>3</v>
      </c>
      <c r="CM73">
        <v>2</v>
      </c>
      <c r="CN73">
        <v>0</v>
      </c>
      <c r="CO73">
        <v>2</v>
      </c>
      <c r="CP73">
        <v>0</v>
      </c>
      <c r="CQ73">
        <v>6</v>
      </c>
      <c r="CR73" t="s">
        <v>116</v>
      </c>
      <c r="CS73">
        <v>152</v>
      </c>
      <c r="CT73">
        <v>0</v>
      </c>
      <c r="CU73" t="s">
        <v>134</v>
      </c>
      <c r="CV73" t="s">
        <v>135</v>
      </c>
      <c r="CY73">
        <v>15719045</v>
      </c>
      <c r="CZ73" t="s">
        <v>119</v>
      </c>
    </row>
    <row r="74" spans="1:104" x14ac:dyDescent="0.25">
      <c r="A74" t="str">
        <f>"13:51:32.680"</f>
        <v>13:51:32.680</v>
      </c>
      <c r="B74" t="s">
        <v>108</v>
      </c>
      <c r="C74" t="str">
        <f t="shared" ref="C74:C137" si="4">"ffdfd3c0"</f>
        <v>ffdfd3c0</v>
      </c>
      <c r="D74" t="s">
        <v>109</v>
      </c>
      <c r="E74">
        <v>4</v>
      </c>
      <c r="F74">
        <v>1004</v>
      </c>
      <c r="G74" t="s">
        <v>110</v>
      </c>
      <c r="J74" t="s">
        <v>111</v>
      </c>
      <c r="K74">
        <v>0</v>
      </c>
      <c r="L74">
        <v>3</v>
      </c>
      <c r="M74">
        <v>0</v>
      </c>
      <c r="N74">
        <v>2</v>
      </c>
      <c r="O74">
        <v>1</v>
      </c>
      <c r="P74">
        <v>0</v>
      </c>
      <c r="Q74">
        <v>0</v>
      </c>
      <c r="R74" t="s">
        <v>112</v>
      </c>
      <c r="S74" t="str">
        <f>"13:51:32.477"</f>
        <v>13:51:32.477</v>
      </c>
      <c r="T74" t="str">
        <f>"13:51:32.078"</f>
        <v>13:51:32.078</v>
      </c>
      <c r="U74" t="str">
        <f t="shared" si="3"/>
        <v>ad5732</v>
      </c>
      <c r="V74">
        <v>0</v>
      </c>
      <c r="W74">
        <v>0</v>
      </c>
      <c r="X74">
        <v>1</v>
      </c>
      <c r="Z74">
        <v>0</v>
      </c>
      <c r="AA74">
        <v>9</v>
      </c>
      <c r="AB74">
        <v>3</v>
      </c>
      <c r="AC74">
        <v>0</v>
      </c>
      <c r="AD74">
        <v>10</v>
      </c>
      <c r="AE74">
        <v>0</v>
      </c>
      <c r="AF74">
        <v>3</v>
      </c>
      <c r="AG74">
        <v>2</v>
      </c>
      <c r="AH74">
        <v>0</v>
      </c>
      <c r="AI74" t="s">
        <v>270</v>
      </c>
      <c r="AJ74">
        <v>39.115405000000003</v>
      </c>
      <c r="AK74" t="s">
        <v>271</v>
      </c>
      <c r="AL74">
        <v>-77.597272000000004</v>
      </c>
      <c r="AM74">
        <v>100</v>
      </c>
      <c r="AN74">
        <v>1700</v>
      </c>
      <c r="AO74" t="s">
        <v>115</v>
      </c>
      <c r="AP74">
        <v>-110</v>
      </c>
      <c r="AQ74">
        <v>42</v>
      </c>
      <c r="AR74">
        <v>1088</v>
      </c>
      <c r="AZ74">
        <v>3614</v>
      </c>
      <c r="BA74">
        <v>1</v>
      </c>
      <c r="BB74" t="str">
        <f t="shared" ref="BB74:BB137" si="5">"N959MJ  "</f>
        <v xml:space="preserve">N959MJ  </v>
      </c>
      <c r="BC74">
        <v>1</v>
      </c>
      <c r="BE74">
        <v>0</v>
      </c>
      <c r="BF74">
        <v>0</v>
      </c>
      <c r="BG74">
        <v>0</v>
      </c>
      <c r="BH74">
        <v>1950</v>
      </c>
      <c r="BI74">
        <v>250</v>
      </c>
      <c r="BJ74">
        <v>1</v>
      </c>
      <c r="BK74">
        <v>1</v>
      </c>
      <c r="BL74">
        <v>1</v>
      </c>
      <c r="BM74">
        <v>0</v>
      </c>
      <c r="BP74">
        <v>0</v>
      </c>
      <c r="BQ74">
        <v>0</v>
      </c>
      <c r="BX74" t="str">
        <f>"13:51:32.484"</f>
        <v>13:51:32.484</v>
      </c>
      <c r="BY74" t="str">
        <f>"484335395"</f>
        <v>484335395</v>
      </c>
      <c r="CL74">
        <v>3</v>
      </c>
      <c r="CM74">
        <v>2</v>
      </c>
      <c r="CN74">
        <v>0</v>
      </c>
      <c r="CO74">
        <v>2</v>
      </c>
      <c r="CP74">
        <v>0</v>
      </c>
      <c r="CQ74">
        <v>5</v>
      </c>
      <c r="CR74" t="s">
        <v>116</v>
      </c>
      <c r="CS74">
        <v>147</v>
      </c>
      <c r="CT74">
        <v>3</v>
      </c>
      <c r="CU74" t="s">
        <v>117</v>
      </c>
      <c r="CV74" t="s">
        <v>118</v>
      </c>
      <c r="CY74">
        <v>15900646</v>
      </c>
      <c r="CZ74" t="s">
        <v>119</v>
      </c>
    </row>
    <row r="75" spans="1:104" x14ac:dyDescent="0.25">
      <c r="A75" t="str">
        <f>"13:51:33.688"</f>
        <v>13:51:33.688</v>
      </c>
      <c r="B75" t="s">
        <v>108</v>
      </c>
      <c r="C75" t="str">
        <f t="shared" si="4"/>
        <v>ffdfd3c0</v>
      </c>
      <c r="D75" t="s">
        <v>109</v>
      </c>
      <c r="E75">
        <v>4</v>
      </c>
      <c r="F75">
        <v>1004</v>
      </c>
      <c r="G75" t="s">
        <v>110</v>
      </c>
      <c r="J75" t="s">
        <v>111</v>
      </c>
      <c r="K75">
        <v>0</v>
      </c>
      <c r="L75">
        <v>3</v>
      </c>
      <c r="M75">
        <v>0</v>
      </c>
      <c r="N75">
        <v>2</v>
      </c>
      <c r="O75">
        <v>1</v>
      </c>
      <c r="P75">
        <v>0</v>
      </c>
      <c r="Q75">
        <v>0</v>
      </c>
      <c r="R75" t="s">
        <v>112</v>
      </c>
      <c r="S75" t="str">
        <f>"13:51:33.523"</f>
        <v>13:51:33.523</v>
      </c>
      <c r="T75" t="str">
        <f>"13:51:33.023"</f>
        <v>13:51:33.023</v>
      </c>
      <c r="U75" t="str">
        <f t="shared" si="3"/>
        <v>ad5732</v>
      </c>
      <c r="V75">
        <v>0</v>
      </c>
      <c r="W75">
        <v>0</v>
      </c>
      <c r="X75">
        <v>1</v>
      </c>
      <c r="Z75">
        <v>0</v>
      </c>
      <c r="AA75">
        <v>9</v>
      </c>
      <c r="AB75">
        <v>3</v>
      </c>
      <c r="AC75">
        <v>0</v>
      </c>
      <c r="AD75">
        <v>10</v>
      </c>
      <c r="AE75">
        <v>0</v>
      </c>
      <c r="AF75">
        <v>3</v>
      </c>
      <c r="AG75">
        <v>2</v>
      </c>
      <c r="AH75">
        <v>0</v>
      </c>
      <c r="AI75" t="s">
        <v>272</v>
      </c>
      <c r="AJ75">
        <v>39.115577000000002</v>
      </c>
      <c r="AK75" t="s">
        <v>273</v>
      </c>
      <c r="AL75">
        <v>-77.597937999999999</v>
      </c>
      <c r="AM75">
        <v>100</v>
      </c>
      <c r="AN75">
        <v>1800</v>
      </c>
      <c r="AO75" t="s">
        <v>115</v>
      </c>
      <c r="AP75">
        <v>-109</v>
      </c>
      <c r="AQ75">
        <v>44</v>
      </c>
      <c r="AR75">
        <v>1088</v>
      </c>
      <c r="AZ75">
        <v>3614</v>
      </c>
      <c r="BA75">
        <v>1</v>
      </c>
      <c r="BB75" t="str">
        <f t="shared" si="5"/>
        <v xml:space="preserve">N959MJ  </v>
      </c>
      <c r="BC75">
        <v>1</v>
      </c>
      <c r="BE75">
        <v>0</v>
      </c>
      <c r="BF75">
        <v>0</v>
      </c>
      <c r="BG75">
        <v>0</v>
      </c>
      <c r="BH75">
        <v>1975</v>
      </c>
      <c r="BI75">
        <v>175</v>
      </c>
      <c r="BJ75">
        <v>1</v>
      </c>
      <c r="BK75">
        <v>1</v>
      </c>
      <c r="BL75">
        <v>1</v>
      </c>
      <c r="BM75">
        <v>0</v>
      </c>
      <c r="BP75">
        <v>0</v>
      </c>
      <c r="BQ75">
        <v>0</v>
      </c>
      <c r="BX75" t="str">
        <f>"13:51:33.531"</f>
        <v>13:51:33.531</v>
      </c>
      <c r="BY75" t="str">
        <f>"529804623"</f>
        <v>529804623</v>
      </c>
      <c r="CL75">
        <v>3</v>
      </c>
      <c r="CM75">
        <v>2</v>
      </c>
      <c r="CN75">
        <v>0</v>
      </c>
      <c r="CO75">
        <v>2</v>
      </c>
      <c r="CP75">
        <v>0</v>
      </c>
      <c r="CQ75">
        <v>5</v>
      </c>
      <c r="CR75" t="s">
        <v>116</v>
      </c>
      <c r="CS75">
        <v>373</v>
      </c>
      <c r="CT75">
        <v>3</v>
      </c>
      <c r="CU75" t="s">
        <v>224</v>
      </c>
      <c r="CV75" t="s">
        <v>225</v>
      </c>
      <c r="CY75">
        <v>1455524</v>
      </c>
      <c r="CZ75" t="s">
        <v>119</v>
      </c>
    </row>
    <row r="76" spans="1:104" x14ac:dyDescent="0.25">
      <c r="A76" t="str">
        <f>"13:51:34.898"</f>
        <v>13:51:34.898</v>
      </c>
      <c r="B76" t="s">
        <v>108</v>
      </c>
      <c r="C76" t="str">
        <f t="shared" si="4"/>
        <v>ffdfd3c0</v>
      </c>
      <c r="D76" t="s">
        <v>109</v>
      </c>
      <c r="E76">
        <v>4</v>
      </c>
      <c r="F76">
        <v>1004</v>
      </c>
      <c r="G76" t="s">
        <v>110</v>
      </c>
      <c r="J76" t="s">
        <v>111</v>
      </c>
      <c r="K76">
        <v>0</v>
      </c>
      <c r="L76">
        <v>3</v>
      </c>
      <c r="M76">
        <v>0</v>
      </c>
      <c r="N76">
        <v>2</v>
      </c>
      <c r="O76">
        <v>1</v>
      </c>
      <c r="P76">
        <v>0</v>
      </c>
      <c r="Q76">
        <v>0</v>
      </c>
      <c r="R76" t="s">
        <v>112</v>
      </c>
      <c r="S76" t="str">
        <f>"13:51:34.688"</f>
        <v>13:51:34.688</v>
      </c>
      <c r="T76" t="str">
        <f>"13:51:34.188"</f>
        <v>13:51:34.188</v>
      </c>
      <c r="U76" t="str">
        <f t="shared" si="3"/>
        <v>ad5732</v>
      </c>
      <c r="V76">
        <v>0</v>
      </c>
      <c r="W76">
        <v>0</v>
      </c>
      <c r="X76">
        <v>1</v>
      </c>
      <c r="Z76">
        <v>0</v>
      </c>
      <c r="AA76">
        <v>9</v>
      </c>
      <c r="AB76">
        <v>3</v>
      </c>
      <c r="AC76">
        <v>0</v>
      </c>
      <c r="AD76">
        <v>10</v>
      </c>
      <c r="AE76">
        <v>0</v>
      </c>
      <c r="AF76">
        <v>3</v>
      </c>
      <c r="AG76">
        <v>2</v>
      </c>
      <c r="AH76">
        <v>0</v>
      </c>
      <c r="AI76" t="s">
        <v>274</v>
      </c>
      <c r="AJ76">
        <v>39.115856000000001</v>
      </c>
      <c r="AK76" t="s">
        <v>275</v>
      </c>
      <c r="AL76">
        <v>-77.598709999999997</v>
      </c>
      <c r="AM76">
        <v>100</v>
      </c>
      <c r="AN76">
        <v>1800</v>
      </c>
      <c r="AO76" t="s">
        <v>115</v>
      </c>
      <c r="AP76">
        <v>-108</v>
      </c>
      <c r="AQ76">
        <v>46</v>
      </c>
      <c r="AR76">
        <v>1088</v>
      </c>
      <c r="AZ76">
        <v>3614</v>
      </c>
      <c r="BA76">
        <v>1</v>
      </c>
      <c r="BB76" t="str">
        <f t="shared" si="5"/>
        <v xml:space="preserve">N959MJ  </v>
      </c>
      <c r="BC76">
        <v>1</v>
      </c>
      <c r="BE76">
        <v>0</v>
      </c>
      <c r="BF76">
        <v>0</v>
      </c>
      <c r="BG76">
        <v>0</v>
      </c>
      <c r="BH76">
        <v>2000</v>
      </c>
      <c r="BI76">
        <v>200</v>
      </c>
      <c r="BJ76">
        <v>1</v>
      </c>
      <c r="BK76">
        <v>1</v>
      </c>
      <c r="BL76">
        <v>1</v>
      </c>
      <c r="BM76">
        <v>0</v>
      </c>
      <c r="BP76">
        <v>0</v>
      </c>
      <c r="BQ76">
        <v>0</v>
      </c>
      <c r="BX76" t="str">
        <f>"13:51:34.688"</f>
        <v>13:51:34.688</v>
      </c>
      <c r="BY76" t="str">
        <f>"691383697"</f>
        <v>691383697</v>
      </c>
      <c r="CL76">
        <v>3</v>
      </c>
      <c r="CM76">
        <v>2</v>
      </c>
      <c r="CN76">
        <v>0</v>
      </c>
      <c r="CO76">
        <v>2</v>
      </c>
      <c r="CP76">
        <v>0</v>
      </c>
      <c r="CQ76">
        <v>6</v>
      </c>
      <c r="CR76" t="s">
        <v>116</v>
      </c>
      <c r="CS76">
        <v>152</v>
      </c>
      <c r="CT76">
        <v>0</v>
      </c>
      <c r="CU76" t="s">
        <v>134</v>
      </c>
      <c r="CV76" t="s">
        <v>135</v>
      </c>
      <c r="CY76">
        <v>15724488</v>
      </c>
      <c r="CZ76" t="s">
        <v>119</v>
      </c>
    </row>
    <row r="77" spans="1:104" x14ac:dyDescent="0.25">
      <c r="A77" t="str">
        <f>"13:51:35.961"</f>
        <v>13:51:35.961</v>
      </c>
      <c r="B77" t="s">
        <v>108</v>
      </c>
      <c r="C77" t="str">
        <f t="shared" si="4"/>
        <v>ffdfd3c0</v>
      </c>
      <c r="D77" t="s">
        <v>109</v>
      </c>
      <c r="E77">
        <v>4</v>
      </c>
      <c r="F77">
        <v>1004</v>
      </c>
      <c r="G77" t="s">
        <v>110</v>
      </c>
      <c r="J77" t="s">
        <v>111</v>
      </c>
      <c r="K77">
        <v>0</v>
      </c>
      <c r="L77">
        <v>3</v>
      </c>
      <c r="M77">
        <v>0</v>
      </c>
      <c r="N77">
        <v>2</v>
      </c>
      <c r="O77">
        <v>1</v>
      </c>
      <c r="P77">
        <v>0</v>
      </c>
      <c r="Q77">
        <v>0</v>
      </c>
      <c r="R77" t="s">
        <v>112</v>
      </c>
      <c r="S77" t="str">
        <f>"13:51:35.789"</f>
        <v>13:51:35.789</v>
      </c>
      <c r="T77" t="str">
        <f>"13:51:35.289"</f>
        <v>13:51:35.289</v>
      </c>
      <c r="U77" t="str">
        <f t="shared" si="3"/>
        <v>ad5732</v>
      </c>
      <c r="V77">
        <v>0</v>
      </c>
      <c r="W77">
        <v>0</v>
      </c>
      <c r="X77">
        <v>1</v>
      </c>
      <c r="Z77">
        <v>0</v>
      </c>
      <c r="AA77">
        <v>9</v>
      </c>
      <c r="AB77">
        <v>3</v>
      </c>
      <c r="AC77">
        <v>0</v>
      </c>
      <c r="AD77">
        <v>10</v>
      </c>
      <c r="AE77">
        <v>0</v>
      </c>
      <c r="AF77">
        <v>3</v>
      </c>
      <c r="AG77">
        <v>2</v>
      </c>
      <c r="AH77">
        <v>0</v>
      </c>
      <c r="AI77" t="s">
        <v>276</v>
      </c>
      <c r="AJ77">
        <v>39.116112999999999</v>
      </c>
      <c r="AK77" t="s">
        <v>277</v>
      </c>
      <c r="AL77">
        <v>-77.599374999999995</v>
      </c>
      <c r="AM77">
        <v>100</v>
      </c>
      <c r="AN77">
        <v>1800</v>
      </c>
      <c r="AO77" t="s">
        <v>115</v>
      </c>
      <c r="AP77">
        <v>-107</v>
      </c>
      <c r="AQ77">
        <v>49</v>
      </c>
      <c r="AR77">
        <v>1088</v>
      </c>
      <c r="AZ77">
        <v>3614</v>
      </c>
      <c r="BA77">
        <v>1</v>
      </c>
      <c r="BB77" t="str">
        <f t="shared" si="5"/>
        <v xml:space="preserve">N959MJ  </v>
      </c>
      <c r="BC77">
        <v>1</v>
      </c>
      <c r="BE77">
        <v>0</v>
      </c>
      <c r="BF77">
        <v>0</v>
      </c>
      <c r="BG77">
        <v>0</v>
      </c>
      <c r="BH77">
        <v>2025</v>
      </c>
      <c r="BI77">
        <v>225</v>
      </c>
      <c r="BJ77">
        <v>1</v>
      </c>
      <c r="BK77">
        <v>1</v>
      </c>
      <c r="BL77">
        <v>1</v>
      </c>
      <c r="BM77">
        <v>0</v>
      </c>
      <c r="BP77">
        <v>0</v>
      </c>
      <c r="BQ77">
        <v>0</v>
      </c>
      <c r="BX77" t="str">
        <f>"13:51:35.789"</f>
        <v>13:51:35.789</v>
      </c>
      <c r="BY77" t="str">
        <f>"790767341"</f>
        <v>790767341</v>
      </c>
      <c r="CL77">
        <v>3</v>
      </c>
      <c r="CM77">
        <v>2</v>
      </c>
      <c r="CN77">
        <v>0</v>
      </c>
      <c r="CO77">
        <v>2</v>
      </c>
      <c r="CP77">
        <v>0</v>
      </c>
      <c r="CQ77">
        <v>6</v>
      </c>
      <c r="CR77" t="s">
        <v>116</v>
      </c>
      <c r="CS77">
        <v>152</v>
      </c>
      <c r="CT77">
        <v>0</v>
      </c>
      <c r="CU77" t="s">
        <v>134</v>
      </c>
      <c r="CV77" t="s">
        <v>135</v>
      </c>
      <c r="CY77">
        <v>15726418</v>
      </c>
      <c r="CZ77" t="s">
        <v>119</v>
      </c>
    </row>
    <row r="78" spans="1:104" x14ac:dyDescent="0.25">
      <c r="A78" t="str">
        <f>"13:51:36.914"</f>
        <v>13:51:36.914</v>
      </c>
      <c r="B78" t="s">
        <v>108</v>
      </c>
      <c r="C78" t="str">
        <f t="shared" si="4"/>
        <v>ffdfd3c0</v>
      </c>
      <c r="D78" t="s">
        <v>109</v>
      </c>
      <c r="E78">
        <v>4</v>
      </c>
      <c r="F78">
        <v>1004</v>
      </c>
      <c r="G78" t="s">
        <v>110</v>
      </c>
      <c r="J78" t="s">
        <v>111</v>
      </c>
      <c r="K78">
        <v>0</v>
      </c>
      <c r="L78">
        <v>3</v>
      </c>
      <c r="M78">
        <v>0</v>
      </c>
      <c r="N78">
        <v>2</v>
      </c>
      <c r="O78">
        <v>1</v>
      </c>
      <c r="P78">
        <v>0</v>
      </c>
      <c r="Q78">
        <v>0</v>
      </c>
      <c r="R78" t="s">
        <v>112</v>
      </c>
      <c r="S78" t="str">
        <f>"13:51:36.742"</f>
        <v>13:51:36.742</v>
      </c>
      <c r="T78" t="str">
        <f>"13:51:36.242"</f>
        <v>13:51:36.242</v>
      </c>
      <c r="U78" t="str">
        <f t="shared" si="3"/>
        <v>ad5732</v>
      </c>
      <c r="V78">
        <v>0</v>
      </c>
      <c r="W78">
        <v>0</v>
      </c>
      <c r="X78">
        <v>1</v>
      </c>
      <c r="Z78">
        <v>0</v>
      </c>
      <c r="AA78">
        <v>9</v>
      </c>
      <c r="AB78">
        <v>3</v>
      </c>
      <c r="AC78">
        <v>0</v>
      </c>
      <c r="AD78">
        <v>10</v>
      </c>
      <c r="AE78">
        <v>0</v>
      </c>
      <c r="AF78">
        <v>3</v>
      </c>
      <c r="AG78">
        <v>2</v>
      </c>
      <c r="AH78">
        <v>0</v>
      </c>
      <c r="AI78" t="s">
        <v>278</v>
      </c>
      <c r="AJ78">
        <v>39.116371000000001</v>
      </c>
      <c r="AK78" t="s">
        <v>279</v>
      </c>
      <c r="AL78">
        <v>-77.599954999999994</v>
      </c>
      <c r="AM78">
        <v>100</v>
      </c>
      <c r="AN78">
        <v>1800</v>
      </c>
      <c r="AO78" t="s">
        <v>115</v>
      </c>
      <c r="AP78">
        <v>-105</v>
      </c>
      <c r="AQ78">
        <v>53</v>
      </c>
      <c r="AR78">
        <v>1088</v>
      </c>
      <c r="AZ78">
        <v>3614</v>
      </c>
      <c r="BA78">
        <v>1</v>
      </c>
      <c r="BB78" t="str">
        <f t="shared" si="5"/>
        <v xml:space="preserve">N959MJ  </v>
      </c>
      <c r="BC78">
        <v>1</v>
      </c>
      <c r="BE78">
        <v>0</v>
      </c>
      <c r="BF78">
        <v>0</v>
      </c>
      <c r="BG78">
        <v>0</v>
      </c>
      <c r="BH78">
        <v>2025</v>
      </c>
      <c r="BI78">
        <v>225</v>
      </c>
      <c r="BJ78">
        <v>1</v>
      </c>
      <c r="BK78">
        <v>1</v>
      </c>
      <c r="BL78">
        <v>1</v>
      </c>
      <c r="BM78">
        <v>0</v>
      </c>
      <c r="BP78">
        <v>0</v>
      </c>
      <c r="BQ78">
        <v>0</v>
      </c>
      <c r="BX78" t="str">
        <f>"13:51:36.750"</f>
        <v>13:51:36.750</v>
      </c>
      <c r="BY78" t="str">
        <f>"747607864"</f>
        <v>747607864</v>
      </c>
      <c r="CL78">
        <v>3</v>
      </c>
      <c r="CM78">
        <v>2</v>
      </c>
      <c r="CN78">
        <v>0</v>
      </c>
      <c r="CO78">
        <v>2</v>
      </c>
      <c r="CP78">
        <v>0</v>
      </c>
      <c r="CQ78">
        <v>6</v>
      </c>
      <c r="CR78" t="s">
        <v>116</v>
      </c>
      <c r="CS78">
        <v>152</v>
      </c>
      <c r="CT78">
        <v>0</v>
      </c>
      <c r="CU78" t="s">
        <v>134</v>
      </c>
      <c r="CV78" t="s">
        <v>135</v>
      </c>
      <c r="CY78">
        <v>15728159</v>
      </c>
      <c r="CZ78" t="s">
        <v>119</v>
      </c>
    </row>
    <row r="79" spans="1:104" x14ac:dyDescent="0.25">
      <c r="A79" t="str">
        <f>"13:51:38.031"</f>
        <v>13:51:38.031</v>
      </c>
      <c r="B79" t="s">
        <v>108</v>
      </c>
      <c r="C79" t="str">
        <f t="shared" si="4"/>
        <v>ffdfd3c0</v>
      </c>
      <c r="D79" t="s">
        <v>109</v>
      </c>
      <c r="E79">
        <v>4</v>
      </c>
      <c r="F79">
        <v>1004</v>
      </c>
      <c r="G79" t="s">
        <v>110</v>
      </c>
      <c r="J79" t="s">
        <v>111</v>
      </c>
      <c r="K79">
        <v>0</v>
      </c>
      <c r="L79">
        <v>3</v>
      </c>
      <c r="M79">
        <v>0</v>
      </c>
      <c r="N79">
        <v>2</v>
      </c>
      <c r="O79">
        <v>1</v>
      </c>
      <c r="P79">
        <v>0</v>
      </c>
      <c r="Q79">
        <v>0</v>
      </c>
      <c r="R79" t="s">
        <v>112</v>
      </c>
      <c r="S79" t="str">
        <f>"13:51:37.828"</f>
        <v>13:51:37.828</v>
      </c>
      <c r="T79" t="str">
        <f>"13:51:37.328"</f>
        <v>13:51:37.328</v>
      </c>
      <c r="U79" t="str">
        <f t="shared" si="3"/>
        <v>ad5732</v>
      </c>
      <c r="V79">
        <v>0</v>
      </c>
      <c r="W79">
        <v>0</v>
      </c>
      <c r="X79">
        <v>1</v>
      </c>
      <c r="Z79">
        <v>0</v>
      </c>
      <c r="AA79">
        <v>9</v>
      </c>
      <c r="AB79">
        <v>3</v>
      </c>
      <c r="AC79">
        <v>0</v>
      </c>
      <c r="AD79">
        <v>10</v>
      </c>
      <c r="AE79">
        <v>0</v>
      </c>
      <c r="AF79">
        <v>3</v>
      </c>
      <c r="AG79">
        <v>2</v>
      </c>
      <c r="AH79">
        <v>0</v>
      </c>
      <c r="AI79" t="s">
        <v>280</v>
      </c>
      <c r="AJ79">
        <v>39.116627999999999</v>
      </c>
      <c r="AK79" t="s">
        <v>281</v>
      </c>
      <c r="AL79">
        <v>-77.600640999999996</v>
      </c>
      <c r="AM79">
        <v>100</v>
      </c>
      <c r="AN79">
        <v>1800</v>
      </c>
      <c r="AO79" t="s">
        <v>115</v>
      </c>
      <c r="AP79">
        <v>-104</v>
      </c>
      <c r="AQ79">
        <v>56</v>
      </c>
      <c r="AR79">
        <v>1024</v>
      </c>
      <c r="AZ79">
        <v>3614</v>
      </c>
      <c r="BA79">
        <v>1</v>
      </c>
      <c r="BB79" t="str">
        <f t="shared" si="5"/>
        <v xml:space="preserve">N959MJ  </v>
      </c>
      <c r="BC79">
        <v>1</v>
      </c>
      <c r="BE79">
        <v>0</v>
      </c>
      <c r="BF79">
        <v>0</v>
      </c>
      <c r="BG79">
        <v>0</v>
      </c>
      <c r="BH79">
        <v>2050</v>
      </c>
      <c r="BI79">
        <v>250</v>
      </c>
      <c r="BJ79">
        <v>1</v>
      </c>
      <c r="BK79">
        <v>1</v>
      </c>
      <c r="BL79">
        <v>1</v>
      </c>
      <c r="BM79">
        <v>0</v>
      </c>
      <c r="BP79">
        <v>0</v>
      </c>
      <c r="BQ79">
        <v>0</v>
      </c>
      <c r="BX79" t="str">
        <f>"13:51:37.836"</f>
        <v>13:51:37.836</v>
      </c>
      <c r="BY79" t="str">
        <f>"833795706"</f>
        <v>833795706</v>
      </c>
      <c r="CL79">
        <v>3</v>
      </c>
      <c r="CM79">
        <v>2</v>
      </c>
      <c r="CN79">
        <v>0</v>
      </c>
      <c r="CO79">
        <v>2</v>
      </c>
      <c r="CP79">
        <v>0</v>
      </c>
      <c r="CQ79">
        <v>5</v>
      </c>
      <c r="CR79" t="s">
        <v>116</v>
      </c>
      <c r="CS79">
        <v>147</v>
      </c>
      <c r="CT79">
        <v>3</v>
      </c>
      <c r="CU79" t="s">
        <v>117</v>
      </c>
      <c r="CV79" t="s">
        <v>118</v>
      </c>
      <c r="CY79">
        <v>15909458</v>
      </c>
      <c r="CZ79" t="s">
        <v>119</v>
      </c>
    </row>
    <row r="80" spans="1:104" x14ac:dyDescent="0.25">
      <c r="A80" t="str">
        <f>"13:51:39.086"</f>
        <v>13:51:39.086</v>
      </c>
      <c r="B80" t="s">
        <v>108</v>
      </c>
      <c r="C80" t="str">
        <f t="shared" si="4"/>
        <v>ffdfd3c0</v>
      </c>
      <c r="D80" t="s">
        <v>109</v>
      </c>
      <c r="E80">
        <v>4</v>
      </c>
      <c r="F80">
        <v>1004</v>
      </c>
      <c r="G80" t="s">
        <v>110</v>
      </c>
      <c r="J80" t="s">
        <v>111</v>
      </c>
      <c r="K80">
        <v>0</v>
      </c>
      <c r="L80">
        <v>3</v>
      </c>
      <c r="M80">
        <v>0</v>
      </c>
      <c r="N80">
        <v>2</v>
      </c>
      <c r="O80">
        <v>1</v>
      </c>
      <c r="P80">
        <v>0</v>
      </c>
      <c r="Q80">
        <v>0</v>
      </c>
      <c r="R80" t="s">
        <v>112</v>
      </c>
      <c r="S80" t="str">
        <f>"13:51:38.906"</f>
        <v>13:51:38.906</v>
      </c>
      <c r="T80" t="str">
        <f>"13:51:38.406"</f>
        <v>13:51:38.406</v>
      </c>
      <c r="U80" t="str">
        <f t="shared" si="3"/>
        <v>ad5732</v>
      </c>
      <c r="V80">
        <v>0</v>
      </c>
      <c r="W80">
        <v>0</v>
      </c>
      <c r="X80">
        <v>1</v>
      </c>
      <c r="Z80">
        <v>0</v>
      </c>
      <c r="AA80">
        <v>9</v>
      </c>
      <c r="AB80">
        <v>3</v>
      </c>
      <c r="AC80">
        <v>0</v>
      </c>
      <c r="AD80">
        <v>10</v>
      </c>
      <c r="AE80">
        <v>0</v>
      </c>
      <c r="AF80">
        <v>3</v>
      </c>
      <c r="AG80">
        <v>2</v>
      </c>
      <c r="AH80">
        <v>0</v>
      </c>
      <c r="AI80" t="s">
        <v>282</v>
      </c>
      <c r="AJ80">
        <v>39.116950000000003</v>
      </c>
      <c r="AK80" t="s">
        <v>283</v>
      </c>
      <c r="AL80">
        <v>-77.601264</v>
      </c>
      <c r="AM80">
        <v>100</v>
      </c>
      <c r="AN80">
        <v>1800</v>
      </c>
      <c r="AO80" t="s">
        <v>115</v>
      </c>
      <c r="AP80">
        <v>-102</v>
      </c>
      <c r="AQ80">
        <v>60</v>
      </c>
      <c r="AR80">
        <v>1024</v>
      </c>
      <c r="AZ80">
        <v>3614</v>
      </c>
      <c r="BA80">
        <v>1</v>
      </c>
      <c r="BB80" t="str">
        <f t="shared" si="5"/>
        <v xml:space="preserve">N959MJ  </v>
      </c>
      <c r="BC80">
        <v>1</v>
      </c>
      <c r="BE80">
        <v>0</v>
      </c>
      <c r="BF80">
        <v>0</v>
      </c>
      <c r="BG80">
        <v>0</v>
      </c>
      <c r="BH80">
        <v>2075</v>
      </c>
      <c r="BI80">
        <v>275</v>
      </c>
      <c r="BJ80">
        <v>1</v>
      </c>
      <c r="BK80">
        <v>1</v>
      </c>
      <c r="BL80">
        <v>1</v>
      </c>
      <c r="BM80">
        <v>0</v>
      </c>
      <c r="BP80">
        <v>0</v>
      </c>
      <c r="BQ80">
        <v>0</v>
      </c>
      <c r="BX80" t="str">
        <f>"13:51:38.906"</f>
        <v>13:51:38.906</v>
      </c>
      <c r="BY80" t="str">
        <f>"908691319"</f>
        <v>908691319</v>
      </c>
      <c r="CL80">
        <v>3</v>
      </c>
      <c r="CM80">
        <v>2</v>
      </c>
      <c r="CN80">
        <v>0</v>
      </c>
      <c r="CO80">
        <v>2</v>
      </c>
      <c r="CP80">
        <v>0</v>
      </c>
      <c r="CQ80">
        <v>6</v>
      </c>
      <c r="CR80" t="s">
        <v>116</v>
      </c>
      <c r="CS80">
        <v>152</v>
      </c>
      <c r="CT80">
        <v>0</v>
      </c>
      <c r="CU80" t="s">
        <v>134</v>
      </c>
      <c r="CV80" t="s">
        <v>135</v>
      </c>
      <c r="CY80">
        <v>15731942</v>
      </c>
      <c r="CZ80" t="s">
        <v>119</v>
      </c>
    </row>
    <row r="81" spans="1:104" x14ac:dyDescent="0.25">
      <c r="A81" t="str">
        <f>"13:51:40.195"</f>
        <v>13:51:40.195</v>
      </c>
      <c r="B81" t="s">
        <v>108</v>
      </c>
      <c r="C81" t="str">
        <f t="shared" si="4"/>
        <v>ffdfd3c0</v>
      </c>
      <c r="D81" t="s">
        <v>109</v>
      </c>
      <c r="E81">
        <v>4</v>
      </c>
      <c r="F81">
        <v>1004</v>
      </c>
      <c r="G81" t="s">
        <v>110</v>
      </c>
      <c r="J81" t="s">
        <v>111</v>
      </c>
      <c r="K81">
        <v>0</v>
      </c>
      <c r="L81">
        <v>3</v>
      </c>
      <c r="M81">
        <v>0</v>
      </c>
      <c r="N81">
        <v>2</v>
      </c>
      <c r="O81">
        <v>1</v>
      </c>
      <c r="P81">
        <v>0</v>
      </c>
      <c r="Q81">
        <v>0</v>
      </c>
      <c r="R81" t="s">
        <v>112</v>
      </c>
      <c r="S81" t="str">
        <f>"13:51:40.031"</f>
        <v>13:51:40.031</v>
      </c>
      <c r="T81" t="str">
        <f>"13:51:39.531"</f>
        <v>13:51:39.531</v>
      </c>
      <c r="U81" t="str">
        <f t="shared" si="3"/>
        <v>ad5732</v>
      </c>
      <c r="V81">
        <v>0</v>
      </c>
      <c r="W81">
        <v>0</v>
      </c>
      <c r="X81">
        <v>1</v>
      </c>
      <c r="Z81">
        <v>0</v>
      </c>
      <c r="AA81">
        <v>9</v>
      </c>
      <c r="AB81">
        <v>3</v>
      </c>
      <c r="AC81">
        <v>0</v>
      </c>
      <c r="AD81">
        <v>10</v>
      </c>
      <c r="AE81">
        <v>0</v>
      </c>
      <c r="AF81">
        <v>3</v>
      </c>
      <c r="AG81">
        <v>2</v>
      </c>
      <c r="AH81">
        <v>0</v>
      </c>
      <c r="AI81" t="s">
        <v>284</v>
      </c>
      <c r="AJ81">
        <v>39.117292999999997</v>
      </c>
      <c r="AK81" t="s">
        <v>285</v>
      </c>
      <c r="AL81">
        <v>-77.601928999999998</v>
      </c>
      <c r="AM81">
        <v>100</v>
      </c>
      <c r="AN81">
        <v>1800</v>
      </c>
      <c r="AO81" t="s">
        <v>115</v>
      </c>
      <c r="AP81">
        <v>-99</v>
      </c>
      <c r="AQ81">
        <v>66</v>
      </c>
      <c r="AR81">
        <v>960</v>
      </c>
      <c r="AZ81">
        <v>3614</v>
      </c>
      <c r="BA81">
        <v>1</v>
      </c>
      <c r="BB81" t="str">
        <f t="shared" si="5"/>
        <v xml:space="preserve">N959MJ  </v>
      </c>
      <c r="BC81">
        <v>1</v>
      </c>
      <c r="BE81">
        <v>0</v>
      </c>
      <c r="BF81">
        <v>0</v>
      </c>
      <c r="BG81">
        <v>0</v>
      </c>
      <c r="BH81">
        <v>2100</v>
      </c>
      <c r="BI81">
        <v>300</v>
      </c>
      <c r="BJ81">
        <v>1</v>
      </c>
      <c r="BK81">
        <v>1</v>
      </c>
      <c r="BL81">
        <v>1</v>
      </c>
      <c r="BM81">
        <v>0</v>
      </c>
      <c r="BP81">
        <v>0</v>
      </c>
      <c r="BQ81">
        <v>0</v>
      </c>
      <c r="BX81" t="str">
        <f>"13:51:40.031"</f>
        <v>13:51:40.031</v>
      </c>
      <c r="BY81" t="str">
        <f>"034289764"</f>
        <v>034289764</v>
      </c>
      <c r="CL81">
        <v>3</v>
      </c>
      <c r="CM81">
        <v>2</v>
      </c>
      <c r="CN81">
        <v>0</v>
      </c>
      <c r="CO81">
        <v>2</v>
      </c>
      <c r="CP81">
        <v>0</v>
      </c>
      <c r="CQ81">
        <v>6</v>
      </c>
      <c r="CR81" t="s">
        <v>116</v>
      </c>
      <c r="CS81">
        <v>152</v>
      </c>
      <c r="CT81">
        <v>0</v>
      </c>
      <c r="CU81" t="s">
        <v>134</v>
      </c>
      <c r="CV81" t="s">
        <v>135</v>
      </c>
      <c r="CY81">
        <v>15733894</v>
      </c>
      <c r="CZ81" t="s">
        <v>119</v>
      </c>
    </row>
    <row r="82" spans="1:104" x14ac:dyDescent="0.25">
      <c r="A82" t="str">
        <f>"13:51:41.211"</f>
        <v>13:51:41.211</v>
      </c>
      <c r="B82" t="s">
        <v>108</v>
      </c>
      <c r="C82" t="str">
        <f t="shared" si="4"/>
        <v>ffdfd3c0</v>
      </c>
      <c r="D82" t="s">
        <v>109</v>
      </c>
      <c r="E82">
        <v>4</v>
      </c>
      <c r="F82">
        <v>1004</v>
      </c>
      <c r="G82" t="s">
        <v>110</v>
      </c>
      <c r="J82" t="s">
        <v>111</v>
      </c>
      <c r="K82">
        <v>0</v>
      </c>
      <c r="L82">
        <v>3</v>
      </c>
      <c r="M82">
        <v>0</v>
      </c>
      <c r="N82">
        <v>2</v>
      </c>
      <c r="O82">
        <v>1</v>
      </c>
      <c r="P82">
        <v>0</v>
      </c>
      <c r="Q82">
        <v>0</v>
      </c>
      <c r="R82" t="s">
        <v>112</v>
      </c>
      <c r="S82" t="str">
        <f>"13:51:41.000"</f>
        <v>13:51:41.000</v>
      </c>
      <c r="T82" t="str">
        <f>"13:51:40.602"</f>
        <v>13:51:40.602</v>
      </c>
      <c r="U82" t="str">
        <f t="shared" si="3"/>
        <v>ad5732</v>
      </c>
      <c r="V82">
        <v>0</v>
      </c>
      <c r="W82">
        <v>0</v>
      </c>
      <c r="X82">
        <v>1</v>
      </c>
      <c r="Z82">
        <v>0</v>
      </c>
      <c r="AA82">
        <v>9</v>
      </c>
      <c r="AB82">
        <v>3</v>
      </c>
      <c r="AC82">
        <v>0</v>
      </c>
      <c r="AD82">
        <v>10</v>
      </c>
      <c r="AE82">
        <v>0</v>
      </c>
      <c r="AF82">
        <v>3</v>
      </c>
      <c r="AG82">
        <v>2</v>
      </c>
      <c r="AH82">
        <v>0</v>
      </c>
      <c r="AI82" t="s">
        <v>286</v>
      </c>
      <c r="AJ82">
        <v>39.117615000000001</v>
      </c>
      <c r="AK82" t="s">
        <v>287</v>
      </c>
      <c r="AL82">
        <v>-77.602486999999996</v>
      </c>
      <c r="AM82">
        <v>100</v>
      </c>
      <c r="AN82">
        <v>1900</v>
      </c>
      <c r="AO82" t="s">
        <v>115</v>
      </c>
      <c r="AP82">
        <v>-97</v>
      </c>
      <c r="AQ82">
        <v>71</v>
      </c>
      <c r="AR82">
        <v>960</v>
      </c>
      <c r="AZ82">
        <v>3614</v>
      </c>
      <c r="BA82">
        <v>1</v>
      </c>
      <c r="BB82" t="str">
        <f t="shared" si="5"/>
        <v xml:space="preserve">N959MJ  </v>
      </c>
      <c r="BC82">
        <v>1</v>
      </c>
      <c r="BE82">
        <v>0</v>
      </c>
      <c r="BF82">
        <v>0</v>
      </c>
      <c r="BG82">
        <v>0</v>
      </c>
      <c r="BH82">
        <v>2100</v>
      </c>
      <c r="BI82">
        <v>200</v>
      </c>
      <c r="BJ82">
        <v>1</v>
      </c>
      <c r="BK82">
        <v>1</v>
      </c>
      <c r="BL82">
        <v>1</v>
      </c>
      <c r="BM82">
        <v>0</v>
      </c>
      <c r="BP82">
        <v>0</v>
      </c>
      <c r="BQ82">
        <v>0</v>
      </c>
      <c r="BX82" t="str">
        <f>"13:51:41.000"</f>
        <v>13:51:41.000</v>
      </c>
      <c r="BY82" t="str">
        <f>"002511198"</f>
        <v>002511198</v>
      </c>
      <c r="CL82">
        <v>3</v>
      </c>
      <c r="CM82">
        <v>2</v>
      </c>
      <c r="CN82">
        <v>0</v>
      </c>
      <c r="CO82">
        <v>2</v>
      </c>
      <c r="CP82">
        <v>0</v>
      </c>
      <c r="CQ82">
        <v>5</v>
      </c>
      <c r="CR82" t="s">
        <v>116</v>
      </c>
      <c r="CS82">
        <v>147</v>
      </c>
      <c r="CT82">
        <v>3</v>
      </c>
      <c r="CU82" t="s">
        <v>117</v>
      </c>
      <c r="CV82" t="s">
        <v>118</v>
      </c>
      <c r="CY82">
        <v>15914755</v>
      </c>
      <c r="CZ82" t="s">
        <v>119</v>
      </c>
    </row>
    <row r="83" spans="1:104" x14ac:dyDescent="0.25">
      <c r="A83" t="str">
        <f>"13:51:42.164"</f>
        <v>13:51:42.164</v>
      </c>
      <c r="B83" t="s">
        <v>108</v>
      </c>
      <c r="C83" t="str">
        <f t="shared" si="4"/>
        <v>ffdfd3c0</v>
      </c>
      <c r="D83" t="s">
        <v>109</v>
      </c>
      <c r="E83">
        <v>4</v>
      </c>
      <c r="F83">
        <v>1004</v>
      </c>
      <c r="G83" t="s">
        <v>110</v>
      </c>
      <c r="J83" t="s">
        <v>111</v>
      </c>
      <c r="K83">
        <v>0</v>
      </c>
      <c r="L83">
        <v>3</v>
      </c>
      <c r="M83">
        <v>0</v>
      </c>
      <c r="N83">
        <v>2</v>
      </c>
      <c r="O83">
        <v>1</v>
      </c>
      <c r="P83">
        <v>0</v>
      </c>
      <c r="Q83">
        <v>0</v>
      </c>
      <c r="R83" t="s">
        <v>112</v>
      </c>
      <c r="S83" t="str">
        <f>"13:51:41.984"</f>
        <v>13:51:41.984</v>
      </c>
      <c r="T83" t="str">
        <f>"13:51:41.586"</f>
        <v>13:51:41.586</v>
      </c>
      <c r="U83" t="str">
        <f t="shared" si="3"/>
        <v>ad5732</v>
      </c>
      <c r="V83">
        <v>0</v>
      </c>
      <c r="W83">
        <v>0</v>
      </c>
      <c r="X83">
        <v>1</v>
      </c>
      <c r="Z83">
        <v>0</v>
      </c>
      <c r="AA83">
        <v>9</v>
      </c>
      <c r="AB83">
        <v>3</v>
      </c>
      <c r="AC83">
        <v>0</v>
      </c>
      <c r="AD83">
        <v>10</v>
      </c>
      <c r="AE83">
        <v>0</v>
      </c>
      <c r="AF83">
        <v>3</v>
      </c>
      <c r="AG83">
        <v>2</v>
      </c>
      <c r="AH83">
        <v>0</v>
      </c>
      <c r="AI83" t="s">
        <v>288</v>
      </c>
      <c r="AJ83">
        <v>39.117980000000003</v>
      </c>
      <c r="AK83" t="s">
        <v>289</v>
      </c>
      <c r="AL83">
        <v>-77.603022999999993</v>
      </c>
      <c r="AM83">
        <v>100</v>
      </c>
      <c r="AN83">
        <v>1900</v>
      </c>
      <c r="AO83" t="s">
        <v>115</v>
      </c>
      <c r="AP83">
        <v>-93</v>
      </c>
      <c r="AQ83">
        <v>76</v>
      </c>
      <c r="AR83">
        <v>1024</v>
      </c>
      <c r="AZ83">
        <v>3614</v>
      </c>
      <c r="BA83">
        <v>1</v>
      </c>
      <c r="BB83" t="str">
        <f t="shared" si="5"/>
        <v xml:space="preserve">N959MJ  </v>
      </c>
      <c r="BC83">
        <v>1</v>
      </c>
      <c r="BE83">
        <v>0</v>
      </c>
      <c r="BF83">
        <v>0</v>
      </c>
      <c r="BG83">
        <v>0</v>
      </c>
      <c r="BH83">
        <v>2125</v>
      </c>
      <c r="BI83">
        <v>225</v>
      </c>
      <c r="BJ83">
        <v>1</v>
      </c>
      <c r="BK83">
        <v>1</v>
      </c>
      <c r="BL83">
        <v>1</v>
      </c>
      <c r="BM83">
        <v>0</v>
      </c>
      <c r="BP83">
        <v>0</v>
      </c>
      <c r="BQ83">
        <v>0</v>
      </c>
      <c r="BX83" t="str">
        <f>"13:51:41.984"</f>
        <v>13:51:41.984</v>
      </c>
      <c r="BY83" t="str">
        <f>"987205097"</f>
        <v>987205097</v>
      </c>
      <c r="CL83">
        <v>3</v>
      </c>
      <c r="CM83">
        <v>2</v>
      </c>
      <c r="CN83">
        <v>0</v>
      </c>
      <c r="CO83">
        <v>2</v>
      </c>
      <c r="CP83">
        <v>0</v>
      </c>
      <c r="CQ83">
        <v>5</v>
      </c>
      <c r="CR83" t="s">
        <v>116</v>
      </c>
      <c r="CS83">
        <v>147</v>
      </c>
      <c r="CT83">
        <v>3</v>
      </c>
      <c r="CU83" t="s">
        <v>117</v>
      </c>
      <c r="CV83" t="s">
        <v>118</v>
      </c>
      <c r="CY83">
        <v>15916397</v>
      </c>
      <c r="CZ83" t="s">
        <v>119</v>
      </c>
    </row>
    <row r="84" spans="1:104" x14ac:dyDescent="0.25">
      <c r="A84" t="str">
        <f>"13:51:43.227"</f>
        <v>13:51:43.227</v>
      </c>
      <c r="B84" t="s">
        <v>108</v>
      </c>
      <c r="C84" t="str">
        <f t="shared" si="4"/>
        <v>ffdfd3c0</v>
      </c>
      <c r="D84" t="s">
        <v>109</v>
      </c>
      <c r="E84">
        <v>4</v>
      </c>
      <c r="F84">
        <v>1004</v>
      </c>
      <c r="G84" t="s">
        <v>110</v>
      </c>
      <c r="J84" t="s">
        <v>111</v>
      </c>
      <c r="K84">
        <v>0</v>
      </c>
      <c r="L84">
        <v>3</v>
      </c>
      <c r="M84">
        <v>0</v>
      </c>
      <c r="N84">
        <v>2</v>
      </c>
      <c r="O84">
        <v>1</v>
      </c>
      <c r="P84">
        <v>0</v>
      </c>
      <c r="Q84">
        <v>0</v>
      </c>
      <c r="R84" t="s">
        <v>112</v>
      </c>
      <c r="S84" t="str">
        <f>"13:51:43.039"</f>
        <v>13:51:43.039</v>
      </c>
      <c r="T84" t="str">
        <f>"13:51:42.039"</f>
        <v>13:51:42.039</v>
      </c>
      <c r="U84" t="str">
        <f t="shared" si="3"/>
        <v>ad5732</v>
      </c>
      <c r="V84">
        <v>0</v>
      </c>
      <c r="W84">
        <v>0</v>
      </c>
      <c r="X84">
        <v>1</v>
      </c>
      <c r="Z84">
        <v>0</v>
      </c>
      <c r="AA84">
        <v>9</v>
      </c>
      <c r="AB84">
        <v>3</v>
      </c>
      <c r="AC84">
        <v>0</v>
      </c>
      <c r="AD84">
        <v>10</v>
      </c>
      <c r="AE84">
        <v>0</v>
      </c>
      <c r="AF84">
        <v>3</v>
      </c>
      <c r="AG84">
        <v>2</v>
      </c>
      <c r="AH84">
        <v>0</v>
      </c>
      <c r="AI84" t="s">
        <v>290</v>
      </c>
      <c r="AJ84">
        <v>39.118366000000002</v>
      </c>
      <c r="AK84" t="s">
        <v>291</v>
      </c>
      <c r="AL84">
        <v>-77.603581000000005</v>
      </c>
      <c r="AM84">
        <v>100</v>
      </c>
      <c r="AN84">
        <v>1900</v>
      </c>
      <c r="AO84" t="s">
        <v>115</v>
      </c>
      <c r="AP84">
        <v>-91</v>
      </c>
      <c r="AQ84">
        <v>79</v>
      </c>
      <c r="AR84">
        <v>1024</v>
      </c>
      <c r="AZ84">
        <v>3614</v>
      </c>
      <c r="BA84">
        <v>1</v>
      </c>
      <c r="BB84" t="str">
        <f t="shared" si="5"/>
        <v xml:space="preserve">N959MJ  </v>
      </c>
      <c r="BC84">
        <v>1</v>
      </c>
      <c r="BE84">
        <v>0</v>
      </c>
      <c r="BF84">
        <v>0</v>
      </c>
      <c r="BG84">
        <v>0</v>
      </c>
      <c r="BH84">
        <v>2125</v>
      </c>
      <c r="BI84">
        <v>225</v>
      </c>
      <c r="BJ84">
        <v>1</v>
      </c>
      <c r="BK84">
        <v>1</v>
      </c>
      <c r="BL84">
        <v>1</v>
      </c>
      <c r="BM84">
        <v>0</v>
      </c>
      <c r="BP84">
        <v>0</v>
      </c>
      <c r="BQ84">
        <v>0</v>
      </c>
      <c r="BX84" t="str">
        <f>"13:51:43.039"</f>
        <v>13:51:43.039</v>
      </c>
      <c r="BY84" t="str">
        <f>"039162533"</f>
        <v>039162533</v>
      </c>
      <c r="CL84">
        <v>3</v>
      </c>
      <c r="CM84">
        <v>2</v>
      </c>
      <c r="CN84">
        <v>0</v>
      </c>
      <c r="CO84">
        <v>2</v>
      </c>
      <c r="CP84">
        <v>0</v>
      </c>
      <c r="CQ84">
        <v>5</v>
      </c>
      <c r="CR84" t="s">
        <v>116</v>
      </c>
      <c r="CS84">
        <v>152</v>
      </c>
      <c r="CT84">
        <v>0</v>
      </c>
      <c r="CU84" t="s">
        <v>134</v>
      </c>
      <c r="CV84" t="s">
        <v>135</v>
      </c>
      <c r="CY84">
        <v>15739197</v>
      </c>
      <c r="CZ84" t="s">
        <v>119</v>
      </c>
    </row>
    <row r="85" spans="1:104" x14ac:dyDescent="0.25">
      <c r="A85" t="str">
        <f>"13:51:44.289"</f>
        <v>13:51:44.289</v>
      </c>
      <c r="B85" t="s">
        <v>108</v>
      </c>
      <c r="C85" t="str">
        <f t="shared" si="4"/>
        <v>ffdfd3c0</v>
      </c>
      <c r="D85" t="s">
        <v>109</v>
      </c>
      <c r="E85">
        <v>4</v>
      </c>
      <c r="F85">
        <v>1004</v>
      </c>
      <c r="G85" t="s">
        <v>110</v>
      </c>
      <c r="J85" t="s">
        <v>111</v>
      </c>
      <c r="K85">
        <v>0</v>
      </c>
      <c r="L85">
        <v>3</v>
      </c>
      <c r="M85">
        <v>0</v>
      </c>
      <c r="N85">
        <v>2</v>
      </c>
      <c r="O85">
        <v>1</v>
      </c>
      <c r="P85">
        <v>0</v>
      </c>
      <c r="Q85">
        <v>0</v>
      </c>
      <c r="R85" t="s">
        <v>112</v>
      </c>
      <c r="S85" t="str">
        <f>"13:51:44.070"</f>
        <v>13:51:44.070</v>
      </c>
      <c r="T85" t="str">
        <f>"13:51:43.570"</f>
        <v>13:51:43.570</v>
      </c>
      <c r="U85" t="str">
        <f t="shared" si="3"/>
        <v>ad5732</v>
      </c>
      <c r="V85">
        <v>0</v>
      </c>
      <c r="W85">
        <v>0</v>
      </c>
      <c r="X85">
        <v>1</v>
      </c>
      <c r="Z85">
        <v>0</v>
      </c>
      <c r="AA85">
        <v>9</v>
      </c>
      <c r="AB85">
        <v>3</v>
      </c>
      <c r="AC85">
        <v>0</v>
      </c>
      <c r="AD85">
        <v>10</v>
      </c>
      <c r="AE85">
        <v>0</v>
      </c>
      <c r="AF85">
        <v>3</v>
      </c>
      <c r="AG85">
        <v>2</v>
      </c>
      <c r="AH85">
        <v>0</v>
      </c>
      <c r="AI85" t="s">
        <v>292</v>
      </c>
      <c r="AJ85">
        <v>39.118794999999999</v>
      </c>
      <c r="AK85" t="s">
        <v>293</v>
      </c>
      <c r="AL85">
        <v>-77.604139000000004</v>
      </c>
      <c r="AM85">
        <v>100</v>
      </c>
      <c r="AN85">
        <v>2000</v>
      </c>
      <c r="AO85" t="s">
        <v>115</v>
      </c>
      <c r="AP85">
        <v>-87</v>
      </c>
      <c r="AQ85">
        <v>84</v>
      </c>
      <c r="AR85">
        <v>1088</v>
      </c>
      <c r="AZ85">
        <v>3614</v>
      </c>
      <c r="BA85">
        <v>1</v>
      </c>
      <c r="BB85" t="str">
        <f t="shared" si="5"/>
        <v xml:space="preserve">N959MJ  </v>
      </c>
      <c r="BC85">
        <v>1</v>
      </c>
      <c r="BE85">
        <v>0</v>
      </c>
      <c r="BF85">
        <v>0</v>
      </c>
      <c r="BG85">
        <v>0</v>
      </c>
      <c r="BH85">
        <v>2150</v>
      </c>
      <c r="BI85">
        <v>150</v>
      </c>
      <c r="BJ85">
        <v>1</v>
      </c>
      <c r="BK85">
        <v>1</v>
      </c>
      <c r="BL85">
        <v>1</v>
      </c>
      <c r="BM85">
        <v>0</v>
      </c>
      <c r="BP85">
        <v>0</v>
      </c>
      <c r="BQ85">
        <v>0</v>
      </c>
      <c r="BX85" t="str">
        <f>"13:51:44.078"</f>
        <v>13:51:44.078</v>
      </c>
      <c r="BY85" t="str">
        <f>"076195388"</f>
        <v>076195388</v>
      </c>
      <c r="CL85">
        <v>3</v>
      </c>
      <c r="CM85">
        <v>2</v>
      </c>
      <c r="CN85">
        <v>0</v>
      </c>
      <c r="CO85">
        <v>2</v>
      </c>
      <c r="CP85">
        <v>0</v>
      </c>
      <c r="CQ85">
        <v>4</v>
      </c>
      <c r="CR85" t="s">
        <v>116</v>
      </c>
      <c r="CS85">
        <v>525</v>
      </c>
      <c r="CT85">
        <v>2</v>
      </c>
      <c r="CU85" t="s">
        <v>140</v>
      </c>
      <c r="CV85" t="s">
        <v>141</v>
      </c>
      <c r="CY85">
        <v>13701201</v>
      </c>
      <c r="CZ85" t="s">
        <v>119</v>
      </c>
    </row>
    <row r="86" spans="1:104" x14ac:dyDescent="0.25">
      <c r="A86" t="str">
        <f>"13:51:45.250"</f>
        <v>13:51:45.250</v>
      </c>
      <c r="B86" t="s">
        <v>108</v>
      </c>
      <c r="C86" t="str">
        <f t="shared" si="4"/>
        <v>ffdfd3c0</v>
      </c>
      <c r="D86" t="s">
        <v>109</v>
      </c>
      <c r="E86">
        <v>4</v>
      </c>
      <c r="F86">
        <v>1004</v>
      </c>
      <c r="G86" t="s">
        <v>110</v>
      </c>
      <c r="J86" t="s">
        <v>111</v>
      </c>
      <c r="K86">
        <v>0</v>
      </c>
      <c r="L86">
        <v>3</v>
      </c>
      <c r="M86">
        <v>0</v>
      </c>
      <c r="N86">
        <v>2</v>
      </c>
      <c r="O86">
        <v>1</v>
      </c>
      <c r="P86">
        <v>0</v>
      </c>
      <c r="Q86">
        <v>0</v>
      </c>
      <c r="R86" t="s">
        <v>112</v>
      </c>
      <c r="S86" t="str">
        <f>"13:51:45.063"</f>
        <v>13:51:45.063</v>
      </c>
      <c r="T86" t="str">
        <f>"13:51:44.563"</f>
        <v>13:51:44.563</v>
      </c>
      <c r="U86" t="str">
        <f t="shared" si="3"/>
        <v>ad5732</v>
      </c>
      <c r="V86">
        <v>0</v>
      </c>
      <c r="W86">
        <v>0</v>
      </c>
      <c r="X86">
        <v>1</v>
      </c>
      <c r="Z86">
        <v>0</v>
      </c>
      <c r="AA86">
        <v>9</v>
      </c>
      <c r="AB86">
        <v>3</v>
      </c>
      <c r="AC86">
        <v>0</v>
      </c>
      <c r="AD86">
        <v>10</v>
      </c>
      <c r="AE86">
        <v>0</v>
      </c>
      <c r="AF86">
        <v>3</v>
      </c>
      <c r="AG86">
        <v>2</v>
      </c>
      <c r="AH86">
        <v>0</v>
      </c>
      <c r="AI86" t="s">
        <v>294</v>
      </c>
      <c r="AJ86">
        <v>39.119202999999999</v>
      </c>
      <c r="AK86" t="s">
        <v>295</v>
      </c>
      <c r="AL86">
        <v>-77.604611000000006</v>
      </c>
      <c r="AM86">
        <v>100</v>
      </c>
      <c r="AN86">
        <v>2000</v>
      </c>
      <c r="AO86" t="s">
        <v>115</v>
      </c>
      <c r="AP86">
        <v>-84</v>
      </c>
      <c r="AQ86">
        <v>87</v>
      </c>
      <c r="AR86">
        <v>1088</v>
      </c>
      <c r="AZ86">
        <v>3614</v>
      </c>
      <c r="BA86">
        <v>1</v>
      </c>
      <c r="BB86" t="str">
        <f t="shared" si="5"/>
        <v xml:space="preserve">N959MJ  </v>
      </c>
      <c r="BC86">
        <v>1</v>
      </c>
      <c r="BE86">
        <v>0</v>
      </c>
      <c r="BF86">
        <v>0</v>
      </c>
      <c r="BG86">
        <v>0</v>
      </c>
      <c r="BH86">
        <v>2175</v>
      </c>
      <c r="BI86">
        <v>175</v>
      </c>
      <c r="BJ86">
        <v>1</v>
      </c>
      <c r="BK86">
        <v>1</v>
      </c>
      <c r="BL86">
        <v>1</v>
      </c>
      <c r="BM86">
        <v>0</v>
      </c>
      <c r="BP86">
        <v>0</v>
      </c>
      <c r="BQ86">
        <v>0</v>
      </c>
      <c r="BX86" t="str">
        <f>"13:51:45.070"</f>
        <v>13:51:45.070</v>
      </c>
      <c r="BY86" t="str">
        <f>"069172015"</f>
        <v>069172015</v>
      </c>
      <c r="CL86">
        <v>3</v>
      </c>
      <c r="CM86">
        <v>2</v>
      </c>
      <c r="CN86">
        <v>0</v>
      </c>
      <c r="CO86">
        <v>2</v>
      </c>
      <c r="CP86">
        <v>0</v>
      </c>
      <c r="CQ86">
        <v>5</v>
      </c>
      <c r="CR86" t="s">
        <v>116</v>
      </c>
      <c r="CS86">
        <v>152</v>
      </c>
      <c r="CT86">
        <v>0</v>
      </c>
      <c r="CU86" t="s">
        <v>134</v>
      </c>
      <c r="CV86" t="s">
        <v>135</v>
      </c>
      <c r="CY86">
        <v>15742709</v>
      </c>
      <c r="CZ86" t="s">
        <v>119</v>
      </c>
    </row>
    <row r="87" spans="1:104" x14ac:dyDescent="0.25">
      <c r="A87" t="str">
        <f>"13:51:46.203"</f>
        <v>13:51:46.203</v>
      </c>
      <c r="B87" t="s">
        <v>108</v>
      </c>
      <c r="C87" t="str">
        <f t="shared" si="4"/>
        <v>ffdfd3c0</v>
      </c>
      <c r="D87" t="s">
        <v>109</v>
      </c>
      <c r="E87">
        <v>4</v>
      </c>
      <c r="F87">
        <v>1004</v>
      </c>
      <c r="G87" t="s">
        <v>110</v>
      </c>
      <c r="J87" t="s">
        <v>111</v>
      </c>
      <c r="K87">
        <v>0</v>
      </c>
      <c r="L87">
        <v>3</v>
      </c>
      <c r="M87">
        <v>0</v>
      </c>
      <c r="N87">
        <v>2</v>
      </c>
      <c r="O87">
        <v>1</v>
      </c>
      <c r="P87">
        <v>0</v>
      </c>
      <c r="Q87">
        <v>0</v>
      </c>
      <c r="R87" t="s">
        <v>112</v>
      </c>
      <c r="S87" t="str">
        <f>"13:51:46.023"</f>
        <v>13:51:46.023</v>
      </c>
      <c r="T87" t="str">
        <f>"13:51:45.625"</f>
        <v>13:51:45.625</v>
      </c>
      <c r="U87" t="str">
        <f t="shared" si="3"/>
        <v>ad5732</v>
      </c>
      <c r="V87">
        <v>0</v>
      </c>
      <c r="W87">
        <v>0</v>
      </c>
      <c r="X87">
        <v>1</v>
      </c>
      <c r="Z87">
        <v>0</v>
      </c>
      <c r="AA87">
        <v>9</v>
      </c>
      <c r="AB87">
        <v>3</v>
      </c>
      <c r="AC87">
        <v>0</v>
      </c>
      <c r="AD87">
        <v>10</v>
      </c>
      <c r="AE87">
        <v>0</v>
      </c>
      <c r="AF87">
        <v>3</v>
      </c>
      <c r="AG87">
        <v>2</v>
      </c>
      <c r="AH87">
        <v>0</v>
      </c>
      <c r="AI87" t="s">
        <v>296</v>
      </c>
      <c r="AJ87">
        <v>39.119568000000001</v>
      </c>
      <c r="AK87" t="s">
        <v>297</v>
      </c>
      <c r="AL87">
        <v>-77.605040000000002</v>
      </c>
      <c r="AM87">
        <v>100</v>
      </c>
      <c r="AN87">
        <v>2000</v>
      </c>
      <c r="AO87" t="s">
        <v>115</v>
      </c>
      <c r="AP87">
        <v>-81</v>
      </c>
      <c r="AQ87">
        <v>90</v>
      </c>
      <c r="AR87">
        <v>1088</v>
      </c>
      <c r="AZ87">
        <v>3614</v>
      </c>
      <c r="BA87">
        <v>1</v>
      </c>
      <c r="BB87" t="str">
        <f t="shared" si="5"/>
        <v xml:space="preserve">N959MJ  </v>
      </c>
      <c r="BC87">
        <v>1</v>
      </c>
      <c r="BE87">
        <v>0</v>
      </c>
      <c r="BF87">
        <v>0</v>
      </c>
      <c r="BG87">
        <v>0</v>
      </c>
      <c r="BH87">
        <v>2200</v>
      </c>
      <c r="BI87">
        <v>200</v>
      </c>
      <c r="BJ87">
        <v>1</v>
      </c>
      <c r="BK87">
        <v>1</v>
      </c>
      <c r="BL87">
        <v>1</v>
      </c>
      <c r="BM87">
        <v>0</v>
      </c>
      <c r="BP87">
        <v>0</v>
      </c>
      <c r="BQ87">
        <v>0</v>
      </c>
      <c r="BX87" t="str">
        <f>"13:51:46.023"</f>
        <v>13:51:46.023</v>
      </c>
      <c r="BY87" t="str">
        <f>"024439929"</f>
        <v>024439929</v>
      </c>
      <c r="CL87">
        <v>3</v>
      </c>
      <c r="CM87">
        <v>2</v>
      </c>
      <c r="CN87">
        <v>0</v>
      </c>
      <c r="CO87">
        <v>2</v>
      </c>
      <c r="CP87">
        <v>0</v>
      </c>
      <c r="CQ87">
        <v>5</v>
      </c>
      <c r="CR87" t="s">
        <v>116</v>
      </c>
      <c r="CS87">
        <v>373</v>
      </c>
      <c r="CT87">
        <v>3</v>
      </c>
      <c r="CU87" t="s">
        <v>224</v>
      </c>
      <c r="CV87" t="s">
        <v>225</v>
      </c>
      <c r="CY87">
        <v>1478673</v>
      </c>
      <c r="CZ87" t="s">
        <v>119</v>
      </c>
    </row>
    <row r="88" spans="1:104" x14ac:dyDescent="0.25">
      <c r="A88" t="str">
        <f>"13:51:47.313"</f>
        <v>13:51:47.313</v>
      </c>
      <c r="B88" t="s">
        <v>108</v>
      </c>
      <c r="C88" t="str">
        <f t="shared" si="4"/>
        <v>ffdfd3c0</v>
      </c>
      <c r="D88" t="s">
        <v>109</v>
      </c>
      <c r="E88">
        <v>4</v>
      </c>
      <c r="F88">
        <v>1004</v>
      </c>
      <c r="G88" t="s">
        <v>110</v>
      </c>
      <c r="J88" t="s">
        <v>111</v>
      </c>
      <c r="K88">
        <v>0</v>
      </c>
      <c r="L88">
        <v>3</v>
      </c>
      <c r="M88">
        <v>0</v>
      </c>
      <c r="N88">
        <v>2</v>
      </c>
      <c r="O88">
        <v>1</v>
      </c>
      <c r="P88">
        <v>0</v>
      </c>
      <c r="Q88">
        <v>0</v>
      </c>
      <c r="R88" t="s">
        <v>112</v>
      </c>
      <c r="S88" t="str">
        <f>"13:51:47.141"</f>
        <v>13:51:47.141</v>
      </c>
      <c r="T88" t="str">
        <f>"13:51:46.641"</f>
        <v>13:51:46.641</v>
      </c>
      <c r="U88" t="str">
        <f t="shared" si="3"/>
        <v>ad5732</v>
      </c>
      <c r="V88">
        <v>0</v>
      </c>
      <c r="W88">
        <v>0</v>
      </c>
      <c r="X88">
        <v>1</v>
      </c>
      <c r="Z88">
        <v>0</v>
      </c>
      <c r="AA88">
        <v>9</v>
      </c>
      <c r="AB88">
        <v>3</v>
      </c>
      <c r="AC88">
        <v>0</v>
      </c>
      <c r="AD88">
        <v>10</v>
      </c>
      <c r="AE88">
        <v>0</v>
      </c>
      <c r="AF88">
        <v>3</v>
      </c>
      <c r="AG88">
        <v>2</v>
      </c>
      <c r="AH88">
        <v>0</v>
      </c>
      <c r="AI88" t="s">
        <v>298</v>
      </c>
      <c r="AJ88">
        <v>39.120061</v>
      </c>
      <c r="AK88" t="s">
        <v>299</v>
      </c>
      <c r="AL88">
        <v>-77.605576999999997</v>
      </c>
      <c r="AM88">
        <v>100</v>
      </c>
      <c r="AN88">
        <v>2000</v>
      </c>
      <c r="AO88" t="s">
        <v>115</v>
      </c>
      <c r="AP88">
        <v>-77</v>
      </c>
      <c r="AQ88">
        <v>93</v>
      </c>
      <c r="AR88">
        <v>1088</v>
      </c>
      <c r="AZ88">
        <v>3614</v>
      </c>
      <c r="BA88">
        <v>1</v>
      </c>
      <c r="BB88" t="str">
        <f t="shared" si="5"/>
        <v xml:space="preserve">N959MJ  </v>
      </c>
      <c r="BC88">
        <v>1</v>
      </c>
      <c r="BE88">
        <v>0</v>
      </c>
      <c r="BF88">
        <v>0</v>
      </c>
      <c r="BG88">
        <v>0</v>
      </c>
      <c r="BH88">
        <v>2225</v>
      </c>
      <c r="BI88">
        <v>225</v>
      </c>
      <c r="BJ88">
        <v>1</v>
      </c>
      <c r="BK88">
        <v>1</v>
      </c>
      <c r="BL88">
        <v>1</v>
      </c>
      <c r="BM88">
        <v>0</v>
      </c>
      <c r="BP88">
        <v>0</v>
      </c>
      <c r="BQ88">
        <v>0</v>
      </c>
      <c r="BX88" t="str">
        <f>"13:51:47.148"</f>
        <v>13:51:47.148</v>
      </c>
      <c r="BY88" t="str">
        <f>"146761682"</f>
        <v>146761682</v>
      </c>
      <c r="CL88">
        <v>3</v>
      </c>
      <c r="CM88">
        <v>2</v>
      </c>
      <c r="CN88">
        <v>0</v>
      </c>
      <c r="CO88">
        <v>2</v>
      </c>
      <c r="CP88">
        <v>0</v>
      </c>
      <c r="CQ88">
        <v>5</v>
      </c>
      <c r="CR88" t="s">
        <v>116</v>
      </c>
      <c r="CS88">
        <v>373</v>
      </c>
      <c r="CT88">
        <v>3</v>
      </c>
      <c r="CU88" t="s">
        <v>224</v>
      </c>
      <c r="CV88" t="s">
        <v>225</v>
      </c>
      <c r="CY88">
        <v>1480835</v>
      </c>
      <c r="CZ88" t="s">
        <v>119</v>
      </c>
    </row>
    <row r="89" spans="1:104" x14ac:dyDescent="0.25">
      <c r="A89" t="str">
        <f>"13:51:48.273"</f>
        <v>13:51:48.273</v>
      </c>
      <c r="B89" t="s">
        <v>108</v>
      </c>
      <c r="C89" t="str">
        <f t="shared" si="4"/>
        <v>ffdfd3c0</v>
      </c>
      <c r="D89" t="s">
        <v>109</v>
      </c>
      <c r="E89">
        <v>4</v>
      </c>
      <c r="F89">
        <v>1004</v>
      </c>
      <c r="G89" t="s">
        <v>110</v>
      </c>
      <c r="J89" t="s">
        <v>111</v>
      </c>
      <c r="K89">
        <v>0</v>
      </c>
      <c r="L89">
        <v>3</v>
      </c>
      <c r="M89">
        <v>0</v>
      </c>
      <c r="N89">
        <v>2</v>
      </c>
      <c r="O89">
        <v>1</v>
      </c>
      <c r="P89">
        <v>0</v>
      </c>
      <c r="Q89">
        <v>0</v>
      </c>
      <c r="R89" t="s">
        <v>112</v>
      </c>
      <c r="S89" t="str">
        <f>"13:51:48.109"</f>
        <v>13:51:48.109</v>
      </c>
      <c r="T89" t="str">
        <f>"13:51:47.609"</f>
        <v>13:51:47.609</v>
      </c>
      <c r="U89" t="str">
        <f t="shared" si="3"/>
        <v>ad5732</v>
      </c>
      <c r="V89">
        <v>0</v>
      </c>
      <c r="W89">
        <v>0</v>
      </c>
      <c r="X89">
        <v>1</v>
      </c>
      <c r="Z89">
        <v>0</v>
      </c>
      <c r="AA89">
        <v>9</v>
      </c>
      <c r="AB89">
        <v>3</v>
      </c>
      <c r="AC89">
        <v>0</v>
      </c>
      <c r="AD89">
        <v>10</v>
      </c>
      <c r="AE89">
        <v>0</v>
      </c>
      <c r="AF89">
        <v>3</v>
      </c>
      <c r="AG89">
        <v>2</v>
      </c>
      <c r="AH89">
        <v>0</v>
      </c>
      <c r="AI89" t="s">
        <v>300</v>
      </c>
      <c r="AJ89">
        <v>39.120491000000001</v>
      </c>
      <c r="AK89" t="s">
        <v>301</v>
      </c>
      <c r="AL89">
        <v>-77.605984000000007</v>
      </c>
      <c r="AM89">
        <v>100</v>
      </c>
      <c r="AN89">
        <v>2000</v>
      </c>
      <c r="AO89" t="s">
        <v>115</v>
      </c>
      <c r="AP89">
        <v>-75</v>
      </c>
      <c r="AQ89">
        <v>95</v>
      </c>
      <c r="AR89">
        <v>1152</v>
      </c>
      <c r="AZ89">
        <v>3614</v>
      </c>
      <c r="BA89">
        <v>1</v>
      </c>
      <c r="BB89" t="str">
        <f t="shared" si="5"/>
        <v xml:space="preserve">N959MJ  </v>
      </c>
      <c r="BC89">
        <v>1</v>
      </c>
      <c r="BE89">
        <v>0</v>
      </c>
      <c r="BF89">
        <v>0</v>
      </c>
      <c r="BG89">
        <v>0</v>
      </c>
      <c r="BH89">
        <v>2225</v>
      </c>
      <c r="BI89">
        <v>225</v>
      </c>
      <c r="BJ89">
        <v>1</v>
      </c>
      <c r="BK89">
        <v>1</v>
      </c>
      <c r="BL89">
        <v>1</v>
      </c>
      <c r="BM89">
        <v>0</v>
      </c>
      <c r="BP89">
        <v>0</v>
      </c>
      <c r="BQ89">
        <v>0</v>
      </c>
      <c r="BX89" t="str">
        <f>"13:51:48.117"</f>
        <v>13:51:48.117</v>
      </c>
      <c r="BY89" t="str">
        <f>"113367091"</f>
        <v>113367091</v>
      </c>
      <c r="CL89">
        <v>3</v>
      </c>
      <c r="CM89">
        <v>2</v>
      </c>
      <c r="CN89">
        <v>0</v>
      </c>
      <c r="CO89">
        <v>2</v>
      </c>
      <c r="CP89">
        <v>0</v>
      </c>
      <c r="CQ89">
        <v>5</v>
      </c>
      <c r="CR89" t="s">
        <v>116</v>
      </c>
      <c r="CS89">
        <v>152</v>
      </c>
      <c r="CT89">
        <v>0</v>
      </c>
      <c r="CU89" t="s">
        <v>134</v>
      </c>
      <c r="CV89" t="s">
        <v>135</v>
      </c>
      <c r="CY89">
        <v>15748074</v>
      </c>
      <c r="CZ89" t="s">
        <v>119</v>
      </c>
    </row>
    <row r="90" spans="1:104" x14ac:dyDescent="0.25">
      <c r="A90" t="str">
        <f>"13:51:49.336"</f>
        <v>13:51:49.336</v>
      </c>
      <c r="B90" t="s">
        <v>108</v>
      </c>
      <c r="C90" t="str">
        <f t="shared" si="4"/>
        <v>ffdfd3c0</v>
      </c>
      <c r="D90" t="s">
        <v>109</v>
      </c>
      <c r="E90">
        <v>4</v>
      </c>
      <c r="F90">
        <v>1004</v>
      </c>
      <c r="G90" t="s">
        <v>110</v>
      </c>
      <c r="J90" t="s">
        <v>111</v>
      </c>
      <c r="K90">
        <v>0</v>
      </c>
      <c r="L90">
        <v>3</v>
      </c>
      <c r="M90">
        <v>0</v>
      </c>
      <c r="N90">
        <v>2</v>
      </c>
      <c r="O90">
        <v>1</v>
      </c>
      <c r="P90">
        <v>0</v>
      </c>
      <c r="Q90">
        <v>0</v>
      </c>
      <c r="R90" t="s">
        <v>112</v>
      </c>
      <c r="S90" t="str">
        <f>"13:51:49.148"</f>
        <v>13:51:49.148</v>
      </c>
      <c r="T90" t="str">
        <f>"13:51:48.648"</f>
        <v>13:51:48.648</v>
      </c>
      <c r="U90" t="str">
        <f t="shared" si="3"/>
        <v>ad5732</v>
      </c>
      <c r="V90">
        <v>0</v>
      </c>
      <c r="W90">
        <v>0</v>
      </c>
      <c r="X90">
        <v>1</v>
      </c>
      <c r="Z90">
        <v>0</v>
      </c>
      <c r="AA90">
        <v>9</v>
      </c>
      <c r="AB90">
        <v>3</v>
      </c>
      <c r="AC90">
        <v>0</v>
      </c>
      <c r="AD90">
        <v>10</v>
      </c>
      <c r="AE90">
        <v>0</v>
      </c>
      <c r="AF90">
        <v>3</v>
      </c>
      <c r="AG90">
        <v>2</v>
      </c>
      <c r="AH90">
        <v>0</v>
      </c>
      <c r="AI90" t="s">
        <v>302</v>
      </c>
      <c r="AJ90">
        <v>39.120941000000002</v>
      </c>
      <c r="AK90" t="s">
        <v>303</v>
      </c>
      <c r="AL90">
        <v>-77.606413000000003</v>
      </c>
      <c r="AM90">
        <v>100</v>
      </c>
      <c r="AN90">
        <v>2000</v>
      </c>
      <c r="AO90" t="s">
        <v>115</v>
      </c>
      <c r="AP90">
        <v>-72</v>
      </c>
      <c r="AQ90">
        <v>97</v>
      </c>
      <c r="AR90">
        <v>1152</v>
      </c>
      <c r="AZ90">
        <v>3614</v>
      </c>
      <c r="BA90">
        <v>1</v>
      </c>
      <c r="BB90" t="str">
        <f t="shared" si="5"/>
        <v xml:space="preserve">N959MJ  </v>
      </c>
      <c r="BC90">
        <v>1</v>
      </c>
      <c r="BE90">
        <v>0</v>
      </c>
      <c r="BF90">
        <v>0</v>
      </c>
      <c r="BG90">
        <v>0</v>
      </c>
      <c r="BH90">
        <v>2250</v>
      </c>
      <c r="BI90">
        <v>250</v>
      </c>
      <c r="BJ90">
        <v>1</v>
      </c>
      <c r="BK90">
        <v>1</v>
      </c>
      <c r="BL90">
        <v>1</v>
      </c>
      <c r="BM90">
        <v>0</v>
      </c>
      <c r="BP90">
        <v>0</v>
      </c>
      <c r="BQ90">
        <v>0</v>
      </c>
      <c r="BX90" t="str">
        <f>"13:51:49.148"</f>
        <v>13:51:49.148</v>
      </c>
      <c r="BY90" t="str">
        <f>"150556510"</f>
        <v>150556510</v>
      </c>
      <c r="CL90">
        <v>3</v>
      </c>
      <c r="CM90">
        <v>2</v>
      </c>
      <c r="CN90">
        <v>0</v>
      </c>
      <c r="CO90">
        <v>2</v>
      </c>
      <c r="CP90">
        <v>0</v>
      </c>
      <c r="CQ90">
        <v>5</v>
      </c>
      <c r="CR90" t="s">
        <v>116</v>
      </c>
      <c r="CS90">
        <v>373</v>
      </c>
      <c r="CT90">
        <v>3</v>
      </c>
      <c r="CU90" t="s">
        <v>224</v>
      </c>
      <c r="CV90" t="s">
        <v>225</v>
      </c>
      <c r="CY90">
        <v>1484459</v>
      </c>
      <c r="CZ90" t="s">
        <v>119</v>
      </c>
    </row>
    <row r="91" spans="1:104" x14ac:dyDescent="0.25">
      <c r="A91" t="str">
        <f>"13:51:50.391"</f>
        <v>13:51:50.391</v>
      </c>
      <c r="B91" t="s">
        <v>108</v>
      </c>
      <c r="C91" t="str">
        <f t="shared" si="4"/>
        <v>ffdfd3c0</v>
      </c>
      <c r="D91" t="s">
        <v>109</v>
      </c>
      <c r="E91">
        <v>4</v>
      </c>
      <c r="F91">
        <v>1004</v>
      </c>
      <c r="G91" t="s">
        <v>110</v>
      </c>
      <c r="J91" t="s">
        <v>111</v>
      </c>
      <c r="K91">
        <v>0</v>
      </c>
      <c r="L91">
        <v>3</v>
      </c>
      <c r="M91">
        <v>0</v>
      </c>
      <c r="N91">
        <v>2</v>
      </c>
      <c r="O91">
        <v>1</v>
      </c>
      <c r="P91">
        <v>0</v>
      </c>
      <c r="Q91">
        <v>0</v>
      </c>
      <c r="R91" t="s">
        <v>112</v>
      </c>
      <c r="S91" t="str">
        <f>"13:51:50.180"</f>
        <v>13:51:50.180</v>
      </c>
      <c r="T91" t="str">
        <f>"13:51:48.680"</f>
        <v>13:51:48.680</v>
      </c>
      <c r="U91" t="str">
        <f t="shared" si="3"/>
        <v>ad5732</v>
      </c>
      <c r="V91">
        <v>0</v>
      </c>
      <c r="W91">
        <v>0</v>
      </c>
      <c r="X91">
        <v>1</v>
      </c>
      <c r="Z91">
        <v>0</v>
      </c>
      <c r="AA91">
        <v>9</v>
      </c>
      <c r="AB91">
        <v>3</v>
      </c>
      <c r="AC91">
        <v>0</v>
      </c>
      <c r="AD91">
        <v>10</v>
      </c>
      <c r="AE91">
        <v>0</v>
      </c>
      <c r="AF91">
        <v>3</v>
      </c>
      <c r="AG91">
        <v>2</v>
      </c>
      <c r="AH91">
        <v>0</v>
      </c>
      <c r="AI91" t="s">
        <v>304</v>
      </c>
      <c r="AJ91">
        <v>39.121478000000003</v>
      </c>
      <c r="AK91" t="s">
        <v>305</v>
      </c>
      <c r="AL91">
        <v>-77.606864000000002</v>
      </c>
      <c r="AM91">
        <v>100</v>
      </c>
      <c r="AN91">
        <v>2000</v>
      </c>
      <c r="AO91" t="s">
        <v>115</v>
      </c>
      <c r="AP91">
        <v>-72</v>
      </c>
      <c r="AQ91">
        <v>97</v>
      </c>
      <c r="AR91">
        <v>1152</v>
      </c>
      <c r="AZ91">
        <v>3614</v>
      </c>
      <c r="BA91">
        <v>1</v>
      </c>
      <c r="BB91" t="str">
        <f t="shared" si="5"/>
        <v xml:space="preserve">N959MJ  </v>
      </c>
      <c r="BC91">
        <v>1</v>
      </c>
      <c r="BE91">
        <v>0</v>
      </c>
      <c r="BF91">
        <v>0</v>
      </c>
      <c r="BG91">
        <v>0</v>
      </c>
      <c r="BH91">
        <v>2250</v>
      </c>
      <c r="BI91">
        <v>250</v>
      </c>
      <c r="BJ91">
        <v>1</v>
      </c>
      <c r="BK91">
        <v>1</v>
      </c>
      <c r="BL91">
        <v>1</v>
      </c>
      <c r="BM91">
        <v>0</v>
      </c>
      <c r="BP91">
        <v>0</v>
      </c>
      <c r="BQ91">
        <v>0</v>
      </c>
      <c r="BX91" t="str">
        <f>"13:51:50.180"</f>
        <v>13:51:50.180</v>
      </c>
      <c r="BY91" t="str">
        <f>"182606808"</f>
        <v>182606808</v>
      </c>
      <c r="CL91">
        <v>3</v>
      </c>
      <c r="CM91">
        <v>2</v>
      </c>
      <c r="CN91">
        <v>0</v>
      </c>
      <c r="CO91">
        <v>2</v>
      </c>
      <c r="CP91">
        <v>0</v>
      </c>
      <c r="CQ91">
        <v>6</v>
      </c>
      <c r="CR91" t="s">
        <v>116</v>
      </c>
      <c r="CS91">
        <v>525</v>
      </c>
      <c r="CT91">
        <v>2</v>
      </c>
      <c r="CU91" t="s">
        <v>140</v>
      </c>
      <c r="CV91" t="s">
        <v>141</v>
      </c>
      <c r="CY91">
        <v>13710243</v>
      </c>
      <c r="CZ91" t="s">
        <v>119</v>
      </c>
    </row>
    <row r="92" spans="1:104" x14ac:dyDescent="0.25">
      <c r="A92" t="str">
        <f>"13:51:51.352"</f>
        <v>13:51:51.352</v>
      </c>
      <c r="B92" t="s">
        <v>108</v>
      </c>
      <c r="C92" t="str">
        <f t="shared" si="4"/>
        <v>ffdfd3c0</v>
      </c>
      <c r="D92" t="s">
        <v>109</v>
      </c>
      <c r="E92">
        <v>4</v>
      </c>
      <c r="F92">
        <v>1004</v>
      </c>
      <c r="G92" t="s">
        <v>110</v>
      </c>
      <c r="J92" t="s">
        <v>111</v>
      </c>
      <c r="K92">
        <v>0</v>
      </c>
      <c r="L92">
        <v>3</v>
      </c>
      <c r="M92">
        <v>0</v>
      </c>
      <c r="N92">
        <v>2</v>
      </c>
      <c r="O92">
        <v>1</v>
      </c>
      <c r="P92">
        <v>0</v>
      </c>
      <c r="Q92">
        <v>0</v>
      </c>
      <c r="R92" t="s">
        <v>112</v>
      </c>
      <c r="S92" t="str">
        <f>"13:51:51.188"</f>
        <v>13:51:51.188</v>
      </c>
      <c r="T92" t="str">
        <f>"13:51:50.789"</f>
        <v>13:51:50.789</v>
      </c>
      <c r="U92" t="str">
        <f t="shared" si="3"/>
        <v>ad5732</v>
      </c>
      <c r="V92">
        <v>0</v>
      </c>
      <c r="W92">
        <v>0</v>
      </c>
      <c r="X92">
        <v>1</v>
      </c>
      <c r="Z92">
        <v>0</v>
      </c>
      <c r="AA92">
        <v>9</v>
      </c>
      <c r="AB92">
        <v>3</v>
      </c>
      <c r="AC92">
        <v>0</v>
      </c>
      <c r="AD92">
        <v>10</v>
      </c>
      <c r="AE92">
        <v>0</v>
      </c>
      <c r="AF92">
        <v>3</v>
      </c>
      <c r="AG92">
        <v>2</v>
      </c>
      <c r="AH92">
        <v>0</v>
      </c>
      <c r="AI92" t="s">
        <v>306</v>
      </c>
      <c r="AJ92">
        <v>39.121949999999998</v>
      </c>
      <c r="AK92" t="s">
        <v>307</v>
      </c>
      <c r="AL92">
        <v>-77.607292999999999</v>
      </c>
      <c r="AM92">
        <v>100</v>
      </c>
      <c r="AN92">
        <v>2100</v>
      </c>
      <c r="AO92" t="s">
        <v>115</v>
      </c>
      <c r="AP92">
        <v>-67</v>
      </c>
      <c r="AQ92">
        <v>101</v>
      </c>
      <c r="AR92">
        <v>1216</v>
      </c>
      <c r="AZ92">
        <v>3614</v>
      </c>
      <c r="BA92">
        <v>1</v>
      </c>
      <c r="BB92" t="str">
        <f t="shared" si="5"/>
        <v xml:space="preserve">N959MJ  </v>
      </c>
      <c r="BC92">
        <v>1</v>
      </c>
      <c r="BE92">
        <v>0</v>
      </c>
      <c r="BF92">
        <v>0</v>
      </c>
      <c r="BG92">
        <v>0</v>
      </c>
      <c r="BH92">
        <v>2300</v>
      </c>
      <c r="BI92">
        <v>200</v>
      </c>
      <c r="BJ92">
        <v>1</v>
      </c>
      <c r="BK92">
        <v>1</v>
      </c>
      <c r="BL92">
        <v>1</v>
      </c>
      <c r="BM92">
        <v>0</v>
      </c>
      <c r="BP92">
        <v>0</v>
      </c>
      <c r="BQ92">
        <v>0</v>
      </c>
      <c r="BX92" t="str">
        <f>"13:51:51.195"</f>
        <v>13:51:51.195</v>
      </c>
      <c r="BY92" t="str">
        <f>"193515354"</f>
        <v>193515354</v>
      </c>
      <c r="CL92">
        <v>3</v>
      </c>
      <c r="CM92">
        <v>2</v>
      </c>
      <c r="CN92">
        <v>0</v>
      </c>
      <c r="CO92">
        <v>2</v>
      </c>
      <c r="CP92">
        <v>0</v>
      </c>
      <c r="CQ92">
        <v>6</v>
      </c>
      <c r="CR92" t="s">
        <v>116</v>
      </c>
      <c r="CS92">
        <v>525</v>
      </c>
      <c r="CT92">
        <v>2</v>
      </c>
      <c r="CU92" t="s">
        <v>140</v>
      </c>
      <c r="CV92" t="s">
        <v>141</v>
      </c>
      <c r="CY92">
        <v>13711849</v>
      </c>
      <c r="CZ92" t="s">
        <v>119</v>
      </c>
    </row>
    <row r="93" spans="1:104" x14ac:dyDescent="0.25">
      <c r="A93" t="str">
        <f>"13:51:52.367"</f>
        <v>13:51:52.367</v>
      </c>
      <c r="B93" t="s">
        <v>108</v>
      </c>
      <c r="C93" t="str">
        <f t="shared" si="4"/>
        <v>ffdfd3c0</v>
      </c>
      <c r="D93" t="s">
        <v>109</v>
      </c>
      <c r="E93">
        <v>4</v>
      </c>
      <c r="F93">
        <v>1004</v>
      </c>
      <c r="G93" t="s">
        <v>110</v>
      </c>
      <c r="J93" t="s">
        <v>111</v>
      </c>
      <c r="K93">
        <v>0</v>
      </c>
      <c r="L93">
        <v>3</v>
      </c>
      <c r="M93">
        <v>0</v>
      </c>
      <c r="N93">
        <v>2</v>
      </c>
      <c r="O93">
        <v>1</v>
      </c>
      <c r="P93">
        <v>0</v>
      </c>
      <c r="Q93">
        <v>0</v>
      </c>
      <c r="R93" t="s">
        <v>112</v>
      </c>
      <c r="S93" t="str">
        <f>"13:51:52.164"</f>
        <v>13:51:52.164</v>
      </c>
      <c r="T93" t="str">
        <f>"13:51:51.664"</f>
        <v>13:51:51.664</v>
      </c>
      <c r="U93" t="str">
        <f t="shared" si="3"/>
        <v>ad5732</v>
      </c>
      <c r="V93">
        <v>0</v>
      </c>
      <c r="W93">
        <v>0</v>
      </c>
      <c r="X93">
        <v>1</v>
      </c>
      <c r="Z93">
        <v>0</v>
      </c>
      <c r="AA93">
        <v>9</v>
      </c>
      <c r="AB93">
        <v>3</v>
      </c>
      <c r="AC93">
        <v>0</v>
      </c>
      <c r="AD93">
        <v>10</v>
      </c>
      <c r="AE93">
        <v>0</v>
      </c>
      <c r="AF93">
        <v>3</v>
      </c>
      <c r="AG93">
        <v>2</v>
      </c>
      <c r="AH93">
        <v>0</v>
      </c>
      <c r="AI93" t="s">
        <v>308</v>
      </c>
      <c r="AJ93">
        <v>39.122399999999999</v>
      </c>
      <c r="AK93" t="s">
        <v>309</v>
      </c>
      <c r="AL93">
        <v>-77.607658000000001</v>
      </c>
      <c r="AM93">
        <v>100</v>
      </c>
      <c r="AN93">
        <v>2100</v>
      </c>
      <c r="AO93" t="s">
        <v>115</v>
      </c>
      <c r="AP93">
        <v>-64</v>
      </c>
      <c r="AQ93">
        <v>102</v>
      </c>
      <c r="AR93">
        <v>1344</v>
      </c>
      <c r="AZ93">
        <v>3614</v>
      </c>
      <c r="BA93">
        <v>1</v>
      </c>
      <c r="BB93" t="str">
        <f t="shared" si="5"/>
        <v xml:space="preserve">N959MJ  </v>
      </c>
      <c r="BC93">
        <v>1</v>
      </c>
      <c r="BE93">
        <v>0</v>
      </c>
      <c r="BF93">
        <v>0</v>
      </c>
      <c r="BG93">
        <v>0</v>
      </c>
      <c r="BH93">
        <v>2325</v>
      </c>
      <c r="BI93">
        <v>225</v>
      </c>
      <c r="BJ93">
        <v>1</v>
      </c>
      <c r="BK93">
        <v>1</v>
      </c>
      <c r="BL93">
        <v>1</v>
      </c>
      <c r="BM93">
        <v>0</v>
      </c>
      <c r="BP93">
        <v>0</v>
      </c>
      <c r="BQ93">
        <v>0</v>
      </c>
      <c r="BX93" t="str">
        <f>"13:51:52.172"</f>
        <v>13:51:52.172</v>
      </c>
      <c r="BY93" t="str">
        <f>"171655228"</f>
        <v>171655228</v>
      </c>
      <c r="CL93">
        <v>3</v>
      </c>
      <c r="CM93">
        <v>2</v>
      </c>
      <c r="CN93">
        <v>0</v>
      </c>
      <c r="CO93">
        <v>2</v>
      </c>
      <c r="CP93">
        <v>0</v>
      </c>
      <c r="CQ93">
        <v>6</v>
      </c>
      <c r="CR93" t="s">
        <v>116</v>
      </c>
      <c r="CS93">
        <v>525</v>
      </c>
      <c r="CT93">
        <v>2</v>
      </c>
      <c r="CU93" t="s">
        <v>140</v>
      </c>
      <c r="CV93" t="s">
        <v>141</v>
      </c>
      <c r="CY93">
        <v>13713361</v>
      </c>
      <c r="CZ93" t="s">
        <v>119</v>
      </c>
    </row>
    <row r="94" spans="1:104" x14ac:dyDescent="0.25">
      <c r="A94" t="str">
        <f>"13:51:53.219"</f>
        <v>13:51:53.219</v>
      </c>
      <c r="B94" t="s">
        <v>108</v>
      </c>
      <c r="C94" t="str">
        <f t="shared" si="4"/>
        <v>ffdfd3c0</v>
      </c>
      <c r="D94" t="s">
        <v>109</v>
      </c>
      <c r="E94">
        <v>4</v>
      </c>
      <c r="F94">
        <v>1004</v>
      </c>
      <c r="G94" t="s">
        <v>110</v>
      </c>
      <c r="J94" t="s">
        <v>111</v>
      </c>
      <c r="K94">
        <v>0</v>
      </c>
      <c r="L94">
        <v>3</v>
      </c>
      <c r="M94">
        <v>0</v>
      </c>
      <c r="N94">
        <v>2</v>
      </c>
      <c r="O94">
        <v>1</v>
      </c>
      <c r="P94">
        <v>0</v>
      </c>
      <c r="Q94">
        <v>0</v>
      </c>
      <c r="R94" t="s">
        <v>112</v>
      </c>
      <c r="S94" t="str">
        <f>"13:51:53.039"</f>
        <v>13:51:53.039</v>
      </c>
      <c r="T94" t="str">
        <f>"13:51:52.641"</f>
        <v>13:51:52.641</v>
      </c>
      <c r="U94" t="str">
        <f t="shared" si="3"/>
        <v>ad5732</v>
      </c>
      <c r="V94">
        <v>0</v>
      </c>
      <c r="W94">
        <v>0</v>
      </c>
      <c r="X94">
        <v>1</v>
      </c>
      <c r="Z94">
        <v>0</v>
      </c>
      <c r="AA94">
        <v>9</v>
      </c>
      <c r="AB94">
        <v>3</v>
      </c>
      <c r="AC94">
        <v>0</v>
      </c>
      <c r="AD94">
        <v>10</v>
      </c>
      <c r="AE94">
        <v>0</v>
      </c>
      <c r="AF94">
        <v>3</v>
      </c>
      <c r="AG94">
        <v>2</v>
      </c>
      <c r="AH94">
        <v>0</v>
      </c>
      <c r="AI94" t="s">
        <v>310</v>
      </c>
      <c r="AJ94">
        <v>39.122787000000002</v>
      </c>
      <c r="AK94" t="s">
        <v>311</v>
      </c>
      <c r="AL94">
        <v>-77.607979999999998</v>
      </c>
      <c r="AM94">
        <v>100</v>
      </c>
      <c r="AN94">
        <v>2100</v>
      </c>
      <c r="AO94" t="s">
        <v>115</v>
      </c>
      <c r="AP94">
        <v>-62</v>
      </c>
      <c r="AQ94">
        <v>103</v>
      </c>
      <c r="AR94">
        <v>1344</v>
      </c>
      <c r="AZ94">
        <v>3614</v>
      </c>
      <c r="BA94">
        <v>1</v>
      </c>
      <c r="BB94" t="str">
        <f t="shared" si="5"/>
        <v xml:space="preserve">N959MJ  </v>
      </c>
      <c r="BC94">
        <v>1</v>
      </c>
      <c r="BE94">
        <v>0</v>
      </c>
      <c r="BF94">
        <v>0</v>
      </c>
      <c r="BG94">
        <v>0</v>
      </c>
      <c r="BH94">
        <v>2350</v>
      </c>
      <c r="BI94">
        <v>250</v>
      </c>
      <c r="BJ94">
        <v>1</v>
      </c>
      <c r="BK94">
        <v>1</v>
      </c>
      <c r="BL94">
        <v>1</v>
      </c>
      <c r="BM94">
        <v>0</v>
      </c>
      <c r="BP94">
        <v>0</v>
      </c>
      <c r="BQ94">
        <v>0</v>
      </c>
      <c r="BX94" t="str">
        <f>"13:51:53.047"</f>
        <v>13:51:53.047</v>
      </c>
      <c r="BY94" t="str">
        <f>"046574503"</f>
        <v>046574503</v>
      </c>
      <c r="CL94">
        <v>3</v>
      </c>
      <c r="CM94">
        <v>2</v>
      </c>
      <c r="CN94">
        <v>0</v>
      </c>
      <c r="CO94">
        <v>2</v>
      </c>
      <c r="CP94">
        <v>0</v>
      </c>
      <c r="CQ94">
        <v>6</v>
      </c>
      <c r="CR94" t="s">
        <v>116</v>
      </c>
      <c r="CS94">
        <v>525</v>
      </c>
      <c r="CT94">
        <v>2</v>
      </c>
      <c r="CU94" t="s">
        <v>140</v>
      </c>
      <c r="CV94" t="s">
        <v>141</v>
      </c>
      <c r="CY94">
        <v>13714612</v>
      </c>
      <c r="CZ94" t="s">
        <v>119</v>
      </c>
    </row>
    <row r="95" spans="1:104" x14ac:dyDescent="0.25">
      <c r="A95" t="str">
        <f>"13:51:54.281"</f>
        <v>13:51:54.281</v>
      </c>
      <c r="B95" t="s">
        <v>108</v>
      </c>
      <c r="C95" t="str">
        <f t="shared" si="4"/>
        <v>ffdfd3c0</v>
      </c>
      <c r="D95" t="s">
        <v>109</v>
      </c>
      <c r="E95">
        <v>4</v>
      </c>
      <c r="F95">
        <v>1004</v>
      </c>
      <c r="G95" t="s">
        <v>110</v>
      </c>
      <c r="J95" t="s">
        <v>111</v>
      </c>
      <c r="K95">
        <v>0</v>
      </c>
      <c r="L95">
        <v>3</v>
      </c>
      <c r="M95">
        <v>0</v>
      </c>
      <c r="N95">
        <v>2</v>
      </c>
      <c r="O95">
        <v>1</v>
      </c>
      <c r="P95">
        <v>0</v>
      </c>
      <c r="Q95">
        <v>0</v>
      </c>
      <c r="R95" t="s">
        <v>112</v>
      </c>
      <c r="S95" t="str">
        <f>"13:51:54.086"</f>
        <v>13:51:54.086</v>
      </c>
      <c r="T95" t="str">
        <f>"13:51:53.586"</f>
        <v>13:51:53.586</v>
      </c>
      <c r="U95" t="str">
        <f t="shared" si="3"/>
        <v>ad5732</v>
      </c>
      <c r="V95">
        <v>0</v>
      </c>
      <c r="W95">
        <v>0</v>
      </c>
      <c r="X95">
        <v>1</v>
      </c>
      <c r="Z95">
        <v>0</v>
      </c>
      <c r="AA95">
        <v>9</v>
      </c>
      <c r="AB95">
        <v>3</v>
      </c>
      <c r="AC95">
        <v>0</v>
      </c>
      <c r="AD95">
        <v>10</v>
      </c>
      <c r="AE95">
        <v>0</v>
      </c>
      <c r="AF95">
        <v>3</v>
      </c>
      <c r="AG95">
        <v>2</v>
      </c>
      <c r="AH95">
        <v>0</v>
      </c>
      <c r="AI95" t="s">
        <v>312</v>
      </c>
      <c r="AJ95">
        <v>39.123322999999999</v>
      </c>
      <c r="AK95" t="s">
        <v>313</v>
      </c>
      <c r="AL95">
        <v>-77.608322999999999</v>
      </c>
      <c r="AM95">
        <v>100</v>
      </c>
      <c r="AN95">
        <v>2100</v>
      </c>
      <c r="AO95" t="s">
        <v>115</v>
      </c>
      <c r="AP95">
        <v>-59</v>
      </c>
      <c r="AQ95">
        <v>104</v>
      </c>
      <c r="AR95">
        <v>1344</v>
      </c>
      <c r="AZ95">
        <v>3614</v>
      </c>
      <c r="BA95">
        <v>1</v>
      </c>
      <c r="BB95" t="str">
        <f t="shared" si="5"/>
        <v xml:space="preserve">N959MJ  </v>
      </c>
      <c r="BC95">
        <v>1</v>
      </c>
      <c r="BE95">
        <v>0</v>
      </c>
      <c r="BF95">
        <v>0</v>
      </c>
      <c r="BG95">
        <v>0</v>
      </c>
      <c r="BH95">
        <v>2350</v>
      </c>
      <c r="BI95">
        <v>250</v>
      </c>
      <c r="BJ95">
        <v>1</v>
      </c>
      <c r="BK95">
        <v>1</v>
      </c>
      <c r="BL95">
        <v>1</v>
      </c>
      <c r="BM95">
        <v>0</v>
      </c>
      <c r="BP95">
        <v>0</v>
      </c>
      <c r="BQ95">
        <v>0</v>
      </c>
      <c r="BX95" t="str">
        <f>"13:51:54.094"</f>
        <v>13:51:54.094</v>
      </c>
      <c r="BY95" t="str">
        <f>"090251361"</f>
        <v>090251361</v>
      </c>
      <c r="CL95">
        <v>3</v>
      </c>
      <c r="CM95">
        <v>2</v>
      </c>
      <c r="CN95">
        <v>0</v>
      </c>
      <c r="CO95">
        <v>2</v>
      </c>
      <c r="CP95">
        <v>0</v>
      </c>
      <c r="CQ95">
        <v>6</v>
      </c>
      <c r="CR95" t="s">
        <v>116</v>
      </c>
      <c r="CS95">
        <v>525</v>
      </c>
      <c r="CT95">
        <v>2</v>
      </c>
      <c r="CU95" t="s">
        <v>140</v>
      </c>
      <c r="CV95" t="s">
        <v>141</v>
      </c>
      <c r="CY95">
        <v>13716133</v>
      </c>
      <c r="CZ95" t="s">
        <v>119</v>
      </c>
    </row>
    <row r="96" spans="1:104" x14ac:dyDescent="0.25">
      <c r="A96" t="str">
        <f>"13:51:55.289"</f>
        <v>13:51:55.289</v>
      </c>
      <c r="B96" t="s">
        <v>108</v>
      </c>
      <c r="C96" t="str">
        <f t="shared" si="4"/>
        <v>ffdfd3c0</v>
      </c>
      <c r="D96" t="s">
        <v>109</v>
      </c>
      <c r="E96">
        <v>4</v>
      </c>
      <c r="F96">
        <v>1004</v>
      </c>
      <c r="G96" t="s">
        <v>110</v>
      </c>
      <c r="J96" t="s">
        <v>111</v>
      </c>
      <c r="K96">
        <v>0</v>
      </c>
      <c r="L96">
        <v>3</v>
      </c>
      <c r="M96">
        <v>0</v>
      </c>
      <c r="N96">
        <v>2</v>
      </c>
      <c r="O96">
        <v>1</v>
      </c>
      <c r="P96">
        <v>0</v>
      </c>
      <c r="Q96">
        <v>0</v>
      </c>
      <c r="R96" t="s">
        <v>112</v>
      </c>
      <c r="S96" t="str">
        <f>"13:51:55.094"</f>
        <v>13:51:55.094</v>
      </c>
      <c r="T96" t="str">
        <f>"13:51:54.594"</f>
        <v>13:51:54.594</v>
      </c>
      <c r="U96" t="str">
        <f t="shared" si="3"/>
        <v>ad5732</v>
      </c>
      <c r="V96">
        <v>0</v>
      </c>
      <c r="W96">
        <v>0</v>
      </c>
      <c r="X96">
        <v>1</v>
      </c>
      <c r="Z96">
        <v>0</v>
      </c>
      <c r="AA96">
        <v>9</v>
      </c>
      <c r="AB96">
        <v>3</v>
      </c>
      <c r="AC96">
        <v>0</v>
      </c>
      <c r="AD96">
        <v>10</v>
      </c>
      <c r="AE96">
        <v>0</v>
      </c>
      <c r="AF96">
        <v>3</v>
      </c>
      <c r="AG96">
        <v>2</v>
      </c>
      <c r="AH96">
        <v>0</v>
      </c>
      <c r="AI96" t="s">
        <v>314</v>
      </c>
      <c r="AJ96">
        <v>39.123815999999998</v>
      </c>
      <c r="AK96" t="s">
        <v>315</v>
      </c>
      <c r="AL96">
        <v>-77.608665999999999</v>
      </c>
      <c r="AM96">
        <v>100</v>
      </c>
      <c r="AN96">
        <v>2200</v>
      </c>
      <c r="AO96" t="s">
        <v>115</v>
      </c>
      <c r="AP96">
        <v>-57</v>
      </c>
      <c r="AQ96">
        <v>105</v>
      </c>
      <c r="AR96">
        <v>1344</v>
      </c>
      <c r="AZ96">
        <v>3614</v>
      </c>
      <c r="BA96">
        <v>1</v>
      </c>
      <c r="BB96" t="str">
        <f t="shared" si="5"/>
        <v xml:space="preserve">N959MJ  </v>
      </c>
      <c r="BC96">
        <v>1</v>
      </c>
      <c r="BE96">
        <v>0</v>
      </c>
      <c r="BF96">
        <v>0</v>
      </c>
      <c r="BG96">
        <v>0</v>
      </c>
      <c r="BH96">
        <v>2375</v>
      </c>
      <c r="BI96">
        <v>175</v>
      </c>
      <c r="BJ96">
        <v>1</v>
      </c>
      <c r="BK96">
        <v>1</v>
      </c>
      <c r="BL96">
        <v>1</v>
      </c>
      <c r="BM96">
        <v>0</v>
      </c>
      <c r="BP96">
        <v>0</v>
      </c>
      <c r="BQ96">
        <v>0</v>
      </c>
      <c r="BX96" t="str">
        <f>"13:51:55.102"</f>
        <v>13:51:55.102</v>
      </c>
      <c r="BY96" t="str">
        <f>"101164886"</f>
        <v>101164886</v>
      </c>
      <c r="CL96">
        <v>3</v>
      </c>
      <c r="CM96">
        <v>2</v>
      </c>
      <c r="CN96">
        <v>0</v>
      </c>
      <c r="CO96">
        <v>2</v>
      </c>
      <c r="CP96">
        <v>0</v>
      </c>
      <c r="CQ96">
        <v>5</v>
      </c>
      <c r="CR96" t="s">
        <v>116</v>
      </c>
      <c r="CS96">
        <v>147</v>
      </c>
      <c r="CT96">
        <v>3</v>
      </c>
      <c r="CU96" t="s">
        <v>117</v>
      </c>
      <c r="CV96" t="s">
        <v>118</v>
      </c>
      <c r="CY96">
        <v>15938104</v>
      </c>
      <c r="CZ96" t="s">
        <v>119</v>
      </c>
    </row>
    <row r="97" spans="1:104" x14ac:dyDescent="0.25">
      <c r="A97" t="str">
        <f>"13:51:56.250"</f>
        <v>13:51:56.250</v>
      </c>
      <c r="B97" t="s">
        <v>108</v>
      </c>
      <c r="C97" t="str">
        <f t="shared" si="4"/>
        <v>ffdfd3c0</v>
      </c>
      <c r="D97" t="s">
        <v>109</v>
      </c>
      <c r="E97">
        <v>4</v>
      </c>
      <c r="F97">
        <v>1004</v>
      </c>
      <c r="G97" t="s">
        <v>110</v>
      </c>
      <c r="J97" t="s">
        <v>111</v>
      </c>
      <c r="K97">
        <v>0</v>
      </c>
      <c r="L97">
        <v>3</v>
      </c>
      <c r="M97">
        <v>0</v>
      </c>
      <c r="N97">
        <v>2</v>
      </c>
      <c r="O97">
        <v>1</v>
      </c>
      <c r="P97">
        <v>0</v>
      </c>
      <c r="Q97">
        <v>0</v>
      </c>
      <c r="R97" t="s">
        <v>112</v>
      </c>
      <c r="S97" t="str">
        <f>"13:51:56.086"</f>
        <v>13:51:56.086</v>
      </c>
      <c r="T97" t="str">
        <f>"13:51:55.688"</f>
        <v>13:51:55.688</v>
      </c>
      <c r="U97" t="str">
        <f t="shared" si="3"/>
        <v>ad5732</v>
      </c>
      <c r="V97">
        <v>0</v>
      </c>
      <c r="W97">
        <v>0</v>
      </c>
      <c r="X97">
        <v>1</v>
      </c>
      <c r="Z97">
        <v>0</v>
      </c>
      <c r="AA97">
        <v>9</v>
      </c>
      <c r="AB97">
        <v>3</v>
      </c>
      <c r="AC97">
        <v>0</v>
      </c>
      <c r="AD97">
        <v>10</v>
      </c>
      <c r="AE97">
        <v>0</v>
      </c>
      <c r="AF97">
        <v>3</v>
      </c>
      <c r="AG97">
        <v>2</v>
      </c>
      <c r="AH97">
        <v>0</v>
      </c>
      <c r="AI97" t="s">
        <v>316</v>
      </c>
      <c r="AJ97">
        <v>39.124330999999998</v>
      </c>
      <c r="AK97" t="s">
        <v>317</v>
      </c>
      <c r="AL97">
        <v>-77.608967000000007</v>
      </c>
      <c r="AM97">
        <v>100</v>
      </c>
      <c r="AN97">
        <v>2200</v>
      </c>
      <c r="AO97" t="s">
        <v>115</v>
      </c>
      <c r="AP97">
        <v>-54</v>
      </c>
      <c r="AQ97">
        <v>107</v>
      </c>
      <c r="AR97">
        <v>1280</v>
      </c>
      <c r="AZ97">
        <v>3614</v>
      </c>
      <c r="BA97">
        <v>1</v>
      </c>
      <c r="BB97" t="str">
        <f t="shared" si="5"/>
        <v xml:space="preserve">N959MJ  </v>
      </c>
      <c r="BC97">
        <v>1</v>
      </c>
      <c r="BE97">
        <v>0</v>
      </c>
      <c r="BF97">
        <v>0</v>
      </c>
      <c r="BG97">
        <v>0</v>
      </c>
      <c r="BH97">
        <v>2400</v>
      </c>
      <c r="BI97">
        <v>200</v>
      </c>
      <c r="BJ97">
        <v>1</v>
      </c>
      <c r="BK97">
        <v>1</v>
      </c>
      <c r="BL97">
        <v>1</v>
      </c>
      <c r="BM97">
        <v>0</v>
      </c>
      <c r="BP97">
        <v>0</v>
      </c>
      <c r="BQ97">
        <v>0</v>
      </c>
      <c r="BX97" t="str">
        <f>"13:51:56.094"</f>
        <v>13:51:56.094</v>
      </c>
      <c r="BY97" t="str">
        <f>"090773868"</f>
        <v>090773868</v>
      </c>
      <c r="CL97">
        <v>3</v>
      </c>
      <c r="CM97">
        <v>2</v>
      </c>
      <c r="CN97">
        <v>0</v>
      </c>
      <c r="CO97">
        <v>2</v>
      </c>
      <c r="CP97">
        <v>0</v>
      </c>
      <c r="CQ97">
        <v>5</v>
      </c>
      <c r="CR97" t="s">
        <v>116</v>
      </c>
      <c r="CS97">
        <v>147</v>
      </c>
      <c r="CT97">
        <v>3</v>
      </c>
      <c r="CU97" t="s">
        <v>117</v>
      </c>
      <c r="CV97" t="s">
        <v>118</v>
      </c>
      <c r="CY97">
        <v>15939759</v>
      </c>
      <c r="CZ97" t="s">
        <v>119</v>
      </c>
    </row>
    <row r="98" spans="1:104" x14ac:dyDescent="0.25">
      <c r="A98" t="str">
        <f>"13:51:57.211"</f>
        <v>13:51:57.211</v>
      </c>
      <c r="B98" t="s">
        <v>108</v>
      </c>
      <c r="C98" t="str">
        <f t="shared" si="4"/>
        <v>ffdfd3c0</v>
      </c>
      <c r="D98" t="s">
        <v>109</v>
      </c>
      <c r="E98">
        <v>4</v>
      </c>
      <c r="F98">
        <v>1004</v>
      </c>
      <c r="G98" t="s">
        <v>110</v>
      </c>
      <c r="J98" t="s">
        <v>111</v>
      </c>
      <c r="K98">
        <v>0</v>
      </c>
      <c r="L98">
        <v>3</v>
      </c>
      <c r="M98">
        <v>0</v>
      </c>
      <c r="N98">
        <v>2</v>
      </c>
      <c r="O98">
        <v>1</v>
      </c>
      <c r="P98">
        <v>0</v>
      </c>
      <c r="Q98">
        <v>0</v>
      </c>
      <c r="R98" t="s">
        <v>112</v>
      </c>
      <c r="S98" t="str">
        <f>"13:51:57.023"</f>
        <v>13:51:57.023</v>
      </c>
      <c r="T98" t="str">
        <f>"13:51:56.625"</f>
        <v>13:51:56.625</v>
      </c>
      <c r="U98" t="str">
        <f t="shared" si="3"/>
        <v>ad5732</v>
      </c>
      <c r="V98">
        <v>0</v>
      </c>
      <c r="W98">
        <v>0</v>
      </c>
      <c r="X98">
        <v>1</v>
      </c>
      <c r="Z98">
        <v>0</v>
      </c>
      <c r="AA98">
        <v>9</v>
      </c>
      <c r="AB98">
        <v>3</v>
      </c>
      <c r="AC98">
        <v>0</v>
      </c>
      <c r="AD98">
        <v>10</v>
      </c>
      <c r="AE98">
        <v>0</v>
      </c>
      <c r="AF98">
        <v>3</v>
      </c>
      <c r="AG98">
        <v>2</v>
      </c>
      <c r="AH98">
        <v>0</v>
      </c>
      <c r="AI98" t="s">
        <v>318</v>
      </c>
      <c r="AJ98">
        <v>39.124782000000003</v>
      </c>
      <c r="AK98" t="s">
        <v>319</v>
      </c>
      <c r="AL98">
        <v>-77.609245999999999</v>
      </c>
      <c r="AM98">
        <v>100</v>
      </c>
      <c r="AN98">
        <v>2200</v>
      </c>
      <c r="AO98" t="s">
        <v>115</v>
      </c>
      <c r="AP98">
        <v>-52</v>
      </c>
      <c r="AQ98">
        <v>108</v>
      </c>
      <c r="AR98">
        <v>1088</v>
      </c>
      <c r="AZ98">
        <v>3614</v>
      </c>
      <c r="BA98">
        <v>1</v>
      </c>
      <c r="BB98" t="str">
        <f t="shared" si="5"/>
        <v xml:space="preserve">N959MJ  </v>
      </c>
      <c r="BC98">
        <v>1</v>
      </c>
      <c r="BE98">
        <v>0</v>
      </c>
      <c r="BF98">
        <v>0</v>
      </c>
      <c r="BG98">
        <v>0</v>
      </c>
      <c r="BH98">
        <v>2425</v>
      </c>
      <c r="BI98">
        <v>225</v>
      </c>
      <c r="BJ98">
        <v>1</v>
      </c>
      <c r="BK98">
        <v>1</v>
      </c>
      <c r="BL98">
        <v>1</v>
      </c>
      <c r="BM98">
        <v>0</v>
      </c>
      <c r="BP98">
        <v>0</v>
      </c>
      <c r="BQ98">
        <v>0</v>
      </c>
      <c r="BX98" t="str">
        <f>"13:51:57.023"</f>
        <v>13:51:57.023</v>
      </c>
      <c r="BY98" t="str">
        <f>"024671256"</f>
        <v>024671256</v>
      </c>
      <c r="CL98">
        <v>3</v>
      </c>
      <c r="CM98">
        <v>2</v>
      </c>
      <c r="CN98">
        <v>0</v>
      </c>
      <c r="CO98">
        <v>2</v>
      </c>
      <c r="CP98">
        <v>0</v>
      </c>
      <c r="CQ98">
        <v>6</v>
      </c>
      <c r="CR98" t="s">
        <v>116</v>
      </c>
      <c r="CS98">
        <v>525</v>
      </c>
      <c r="CT98">
        <v>2</v>
      </c>
      <c r="CU98" t="s">
        <v>140</v>
      </c>
      <c r="CV98" t="s">
        <v>141</v>
      </c>
      <c r="CY98">
        <v>13720669</v>
      </c>
      <c r="CZ98" t="s">
        <v>119</v>
      </c>
    </row>
    <row r="99" spans="1:104" x14ac:dyDescent="0.25">
      <c r="A99" t="str">
        <f>"13:51:58.266"</f>
        <v>13:51:58.266</v>
      </c>
      <c r="B99" t="s">
        <v>108</v>
      </c>
      <c r="C99" t="str">
        <f t="shared" si="4"/>
        <v>ffdfd3c0</v>
      </c>
      <c r="D99" t="s">
        <v>109</v>
      </c>
      <c r="E99">
        <v>4</v>
      </c>
      <c r="F99">
        <v>1004</v>
      </c>
      <c r="G99" t="s">
        <v>110</v>
      </c>
      <c r="J99" t="s">
        <v>111</v>
      </c>
      <c r="K99">
        <v>0</v>
      </c>
      <c r="L99">
        <v>3</v>
      </c>
      <c r="M99">
        <v>0</v>
      </c>
      <c r="N99">
        <v>2</v>
      </c>
      <c r="O99">
        <v>1</v>
      </c>
      <c r="P99">
        <v>0</v>
      </c>
      <c r="Q99">
        <v>0</v>
      </c>
      <c r="R99" t="s">
        <v>112</v>
      </c>
      <c r="S99" t="str">
        <f>"13:51:58.102"</f>
        <v>13:51:58.102</v>
      </c>
      <c r="T99" t="str">
        <f>"13:51:57.703"</f>
        <v>13:51:57.703</v>
      </c>
      <c r="U99" t="str">
        <f t="shared" si="3"/>
        <v>ad5732</v>
      </c>
      <c r="V99">
        <v>0</v>
      </c>
      <c r="W99">
        <v>0</v>
      </c>
      <c r="X99">
        <v>1</v>
      </c>
      <c r="Z99">
        <v>0</v>
      </c>
      <c r="AA99">
        <v>9</v>
      </c>
      <c r="AB99">
        <v>3</v>
      </c>
      <c r="AC99">
        <v>0</v>
      </c>
      <c r="AD99">
        <v>10</v>
      </c>
      <c r="AE99">
        <v>0</v>
      </c>
      <c r="AF99">
        <v>3</v>
      </c>
      <c r="AG99">
        <v>2</v>
      </c>
      <c r="AH99">
        <v>0</v>
      </c>
      <c r="AI99" t="s">
        <v>320</v>
      </c>
      <c r="AJ99">
        <v>39.125340000000001</v>
      </c>
      <c r="AK99" t="s">
        <v>321</v>
      </c>
      <c r="AL99">
        <v>-77.609567999999996</v>
      </c>
      <c r="AM99">
        <v>100</v>
      </c>
      <c r="AN99">
        <v>2200</v>
      </c>
      <c r="AO99" t="s">
        <v>115</v>
      </c>
      <c r="AP99">
        <v>-50</v>
      </c>
      <c r="AQ99">
        <v>110</v>
      </c>
      <c r="AR99">
        <v>832</v>
      </c>
      <c r="AZ99">
        <v>3614</v>
      </c>
      <c r="BA99">
        <v>1</v>
      </c>
      <c r="BB99" t="str">
        <f t="shared" si="5"/>
        <v xml:space="preserve">N959MJ  </v>
      </c>
      <c r="BC99">
        <v>1</v>
      </c>
      <c r="BE99">
        <v>0</v>
      </c>
      <c r="BF99">
        <v>0</v>
      </c>
      <c r="BG99">
        <v>0</v>
      </c>
      <c r="BH99">
        <v>2450</v>
      </c>
      <c r="BI99">
        <v>250</v>
      </c>
      <c r="BJ99">
        <v>1</v>
      </c>
      <c r="BK99">
        <v>1</v>
      </c>
      <c r="BL99">
        <v>1</v>
      </c>
      <c r="BM99">
        <v>0</v>
      </c>
      <c r="BP99">
        <v>0</v>
      </c>
      <c r="BQ99">
        <v>0</v>
      </c>
      <c r="BX99" t="str">
        <f>"13:51:58.102"</f>
        <v>13:51:58.102</v>
      </c>
      <c r="BY99" t="str">
        <f>"104493308"</f>
        <v>104493308</v>
      </c>
      <c r="CL99">
        <v>3</v>
      </c>
      <c r="CM99">
        <v>2</v>
      </c>
      <c r="CN99">
        <v>0</v>
      </c>
      <c r="CO99">
        <v>2</v>
      </c>
      <c r="CP99">
        <v>0</v>
      </c>
      <c r="CQ99">
        <v>6</v>
      </c>
      <c r="CR99" t="s">
        <v>116</v>
      </c>
      <c r="CS99">
        <v>150</v>
      </c>
      <c r="CT99">
        <v>1</v>
      </c>
      <c r="CU99" t="s">
        <v>252</v>
      </c>
      <c r="CV99" t="s">
        <v>253</v>
      </c>
      <c r="CY99">
        <v>3930577</v>
      </c>
      <c r="CZ99" t="s">
        <v>119</v>
      </c>
    </row>
    <row r="100" spans="1:104" x14ac:dyDescent="0.25">
      <c r="A100" t="str">
        <f>"13:51:59.281"</f>
        <v>13:51:59.281</v>
      </c>
      <c r="B100" t="s">
        <v>108</v>
      </c>
      <c r="C100" t="str">
        <f t="shared" si="4"/>
        <v>ffdfd3c0</v>
      </c>
      <c r="D100" t="s">
        <v>109</v>
      </c>
      <c r="E100">
        <v>4</v>
      </c>
      <c r="F100">
        <v>1004</v>
      </c>
      <c r="G100" t="s">
        <v>110</v>
      </c>
      <c r="J100" t="s">
        <v>111</v>
      </c>
      <c r="K100">
        <v>0</v>
      </c>
      <c r="L100">
        <v>3</v>
      </c>
      <c r="M100">
        <v>0</v>
      </c>
      <c r="N100">
        <v>2</v>
      </c>
      <c r="O100">
        <v>1</v>
      </c>
      <c r="P100">
        <v>0</v>
      </c>
      <c r="Q100">
        <v>0</v>
      </c>
      <c r="R100" t="s">
        <v>112</v>
      </c>
      <c r="S100" t="str">
        <f>"13:51:59.070"</f>
        <v>13:51:59.070</v>
      </c>
      <c r="T100" t="str">
        <f>"13:51:58.672"</f>
        <v>13:51:58.672</v>
      </c>
      <c r="U100" t="str">
        <f t="shared" si="3"/>
        <v>ad5732</v>
      </c>
      <c r="V100">
        <v>0</v>
      </c>
      <c r="W100">
        <v>0</v>
      </c>
      <c r="X100">
        <v>1</v>
      </c>
      <c r="Z100">
        <v>0</v>
      </c>
      <c r="AA100">
        <v>9</v>
      </c>
      <c r="AB100">
        <v>3</v>
      </c>
      <c r="AC100">
        <v>0</v>
      </c>
      <c r="AD100">
        <v>10</v>
      </c>
      <c r="AE100">
        <v>0</v>
      </c>
      <c r="AF100">
        <v>3</v>
      </c>
      <c r="AG100">
        <v>2</v>
      </c>
      <c r="AH100">
        <v>0</v>
      </c>
      <c r="AI100" t="s">
        <v>322</v>
      </c>
      <c r="AJ100">
        <v>39.125833999999998</v>
      </c>
      <c r="AK100" t="s">
        <v>323</v>
      </c>
      <c r="AL100">
        <v>-77.609868000000006</v>
      </c>
      <c r="AM100">
        <v>100</v>
      </c>
      <c r="AN100">
        <v>2200</v>
      </c>
      <c r="AO100" t="s">
        <v>115</v>
      </c>
      <c r="AP100">
        <v>-47</v>
      </c>
      <c r="AQ100">
        <v>112</v>
      </c>
      <c r="AR100">
        <v>640</v>
      </c>
      <c r="AZ100">
        <v>3614</v>
      </c>
      <c r="BA100">
        <v>1</v>
      </c>
      <c r="BB100" t="str">
        <f t="shared" si="5"/>
        <v xml:space="preserve">N959MJ  </v>
      </c>
      <c r="BC100">
        <v>1</v>
      </c>
      <c r="BE100">
        <v>0</v>
      </c>
      <c r="BF100">
        <v>0</v>
      </c>
      <c r="BG100">
        <v>0</v>
      </c>
      <c r="BH100">
        <v>2450</v>
      </c>
      <c r="BI100">
        <v>250</v>
      </c>
      <c r="BJ100">
        <v>1</v>
      </c>
      <c r="BK100">
        <v>1</v>
      </c>
      <c r="BL100">
        <v>1</v>
      </c>
      <c r="BM100">
        <v>0</v>
      </c>
      <c r="BP100">
        <v>0</v>
      </c>
      <c r="BQ100">
        <v>0</v>
      </c>
      <c r="BX100" t="str">
        <f>"13:51:59.078"</f>
        <v>13:51:59.078</v>
      </c>
      <c r="BY100" t="str">
        <f>"074435841"</f>
        <v>074435841</v>
      </c>
      <c r="CL100">
        <v>3</v>
      </c>
      <c r="CM100">
        <v>2</v>
      </c>
      <c r="CN100">
        <v>0</v>
      </c>
      <c r="CO100">
        <v>2</v>
      </c>
      <c r="CP100">
        <v>0</v>
      </c>
      <c r="CQ100">
        <v>2</v>
      </c>
      <c r="CR100" t="s">
        <v>116</v>
      </c>
      <c r="CS100">
        <v>152</v>
      </c>
      <c r="CT100">
        <v>3</v>
      </c>
      <c r="CU100" t="s">
        <v>134</v>
      </c>
      <c r="CV100" t="s">
        <v>135</v>
      </c>
      <c r="CY100">
        <v>11735909</v>
      </c>
      <c r="CZ100" t="s">
        <v>119</v>
      </c>
    </row>
    <row r="101" spans="1:104" x14ac:dyDescent="0.25">
      <c r="A101" t="str">
        <f>"13:52:00.188"</f>
        <v>13:52:00.188</v>
      </c>
      <c r="B101" t="s">
        <v>108</v>
      </c>
      <c r="C101" t="str">
        <f t="shared" si="4"/>
        <v>ffdfd3c0</v>
      </c>
      <c r="D101" t="s">
        <v>109</v>
      </c>
      <c r="E101">
        <v>4</v>
      </c>
      <c r="F101">
        <v>1004</v>
      </c>
      <c r="G101" t="s">
        <v>110</v>
      </c>
      <c r="J101" t="s">
        <v>111</v>
      </c>
      <c r="K101">
        <v>0</v>
      </c>
      <c r="L101">
        <v>3</v>
      </c>
      <c r="M101">
        <v>0</v>
      </c>
      <c r="N101">
        <v>2</v>
      </c>
      <c r="O101">
        <v>1</v>
      </c>
      <c r="P101">
        <v>0</v>
      </c>
      <c r="Q101">
        <v>0</v>
      </c>
      <c r="R101" t="s">
        <v>112</v>
      </c>
      <c r="S101" t="str">
        <f>"13:52:00.000"</f>
        <v>13:52:00.000</v>
      </c>
      <c r="T101" t="str">
        <f>"13:51:59.602"</f>
        <v>13:51:59.602</v>
      </c>
      <c r="U101" t="str">
        <f t="shared" si="3"/>
        <v>ad5732</v>
      </c>
      <c r="V101">
        <v>0</v>
      </c>
      <c r="W101">
        <v>0</v>
      </c>
      <c r="X101">
        <v>1</v>
      </c>
      <c r="Z101">
        <v>0</v>
      </c>
      <c r="AA101">
        <v>9</v>
      </c>
      <c r="AB101">
        <v>3</v>
      </c>
      <c r="AC101">
        <v>0</v>
      </c>
      <c r="AD101">
        <v>10</v>
      </c>
      <c r="AE101">
        <v>0</v>
      </c>
      <c r="AF101">
        <v>3</v>
      </c>
      <c r="AG101">
        <v>2</v>
      </c>
      <c r="AH101">
        <v>0</v>
      </c>
      <c r="AI101" t="s">
        <v>324</v>
      </c>
      <c r="AJ101">
        <v>39.126327000000003</v>
      </c>
      <c r="AK101" t="s">
        <v>325</v>
      </c>
      <c r="AL101">
        <v>-77.610104000000007</v>
      </c>
      <c r="AM101">
        <v>100</v>
      </c>
      <c r="AN101">
        <v>2200</v>
      </c>
      <c r="AO101" t="s">
        <v>115</v>
      </c>
      <c r="AP101">
        <v>-45</v>
      </c>
      <c r="AQ101">
        <v>114</v>
      </c>
      <c r="AR101">
        <v>448</v>
      </c>
      <c r="AZ101">
        <v>3614</v>
      </c>
      <c r="BA101">
        <v>1</v>
      </c>
      <c r="BB101" t="str">
        <f t="shared" si="5"/>
        <v xml:space="preserve">N959MJ  </v>
      </c>
      <c r="BC101">
        <v>1</v>
      </c>
      <c r="BE101">
        <v>0</v>
      </c>
      <c r="BF101">
        <v>0</v>
      </c>
      <c r="BG101">
        <v>0</v>
      </c>
      <c r="BH101">
        <v>2450</v>
      </c>
      <c r="BI101">
        <v>250</v>
      </c>
      <c r="BJ101">
        <v>1</v>
      </c>
      <c r="BK101">
        <v>1</v>
      </c>
      <c r="BL101">
        <v>1</v>
      </c>
      <c r="BM101">
        <v>0</v>
      </c>
      <c r="BP101">
        <v>0</v>
      </c>
      <c r="BQ101">
        <v>0</v>
      </c>
      <c r="BX101" t="str">
        <f>"13:52:00.008"</f>
        <v>13:52:00.008</v>
      </c>
      <c r="BY101" t="str">
        <f>"006705239"</f>
        <v>006705239</v>
      </c>
      <c r="CL101">
        <v>3</v>
      </c>
      <c r="CM101">
        <v>2</v>
      </c>
      <c r="CN101">
        <v>0</v>
      </c>
      <c r="CO101">
        <v>2</v>
      </c>
      <c r="CP101">
        <v>0</v>
      </c>
      <c r="CQ101">
        <v>6</v>
      </c>
      <c r="CR101" t="s">
        <v>116</v>
      </c>
      <c r="CS101">
        <v>150</v>
      </c>
      <c r="CT101">
        <v>1</v>
      </c>
      <c r="CU101" t="s">
        <v>252</v>
      </c>
      <c r="CV101" t="s">
        <v>253</v>
      </c>
      <c r="CY101">
        <v>3933914</v>
      </c>
      <c r="CZ101" t="s">
        <v>119</v>
      </c>
    </row>
    <row r="102" spans="1:104" x14ac:dyDescent="0.25">
      <c r="A102" t="str">
        <f>"13:52:01.094"</f>
        <v>13:52:01.094</v>
      </c>
      <c r="B102" t="s">
        <v>108</v>
      </c>
      <c r="C102" t="str">
        <f t="shared" si="4"/>
        <v>ffdfd3c0</v>
      </c>
      <c r="D102" t="s">
        <v>109</v>
      </c>
      <c r="E102">
        <v>4</v>
      </c>
      <c r="F102">
        <v>1004</v>
      </c>
      <c r="G102" t="s">
        <v>110</v>
      </c>
      <c r="J102" t="s">
        <v>111</v>
      </c>
      <c r="K102">
        <v>0</v>
      </c>
      <c r="L102">
        <v>3</v>
      </c>
      <c r="M102">
        <v>0</v>
      </c>
      <c r="N102">
        <v>2</v>
      </c>
      <c r="O102">
        <v>1</v>
      </c>
      <c r="P102">
        <v>0</v>
      </c>
      <c r="Q102">
        <v>0</v>
      </c>
      <c r="R102" t="s">
        <v>112</v>
      </c>
      <c r="S102" t="str">
        <f>"13:52:00.930"</f>
        <v>13:52:00.930</v>
      </c>
      <c r="T102" t="str">
        <f>"13:52:00.531"</f>
        <v>13:52:00.531</v>
      </c>
      <c r="U102" t="str">
        <f t="shared" si="3"/>
        <v>ad5732</v>
      </c>
      <c r="V102">
        <v>0</v>
      </c>
      <c r="W102">
        <v>0</v>
      </c>
      <c r="X102">
        <v>1</v>
      </c>
      <c r="Z102">
        <v>0</v>
      </c>
      <c r="AA102">
        <v>9</v>
      </c>
      <c r="AB102">
        <v>3</v>
      </c>
      <c r="AC102">
        <v>0</v>
      </c>
      <c r="AD102">
        <v>10</v>
      </c>
      <c r="AE102">
        <v>0</v>
      </c>
      <c r="AF102">
        <v>3</v>
      </c>
      <c r="AG102">
        <v>2</v>
      </c>
      <c r="AH102">
        <v>0</v>
      </c>
      <c r="AI102" t="s">
        <v>326</v>
      </c>
      <c r="AJ102">
        <v>39.126798999999998</v>
      </c>
      <c r="AK102" t="s">
        <v>327</v>
      </c>
      <c r="AL102">
        <v>-77.610339999999994</v>
      </c>
      <c r="AM102">
        <v>100</v>
      </c>
      <c r="AN102">
        <v>2300</v>
      </c>
      <c r="AO102" t="s">
        <v>115</v>
      </c>
      <c r="AP102">
        <v>-43</v>
      </c>
      <c r="AQ102">
        <v>116</v>
      </c>
      <c r="AR102">
        <v>384</v>
      </c>
      <c r="AZ102">
        <v>3614</v>
      </c>
      <c r="BA102">
        <v>1</v>
      </c>
      <c r="BB102" t="str">
        <f t="shared" si="5"/>
        <v xml:space="preserve">N959MJ  </v>
      </c>
      <c r="BC102">
        <v>1</v>
      </c>
      <c r="BE102">
        <v>0</v>
      </c>
      <c r="BF102">
        <v>0</v>
      </c>
      <c r="BG102">
        <v>0</v>
      </c>
      <c r="BH102">
        <v>2375</v>
      </c>
      <c r="BI102">
        <v>75</v>
      </c>
      <c r="BJ102">
        <v>1</v>
      </c>
      <c r="BK102">
        <v>1</v>
      </c>
      <c r="BL102">
        <v>1</v>
      </c>
      <c r="BM102">
        <v>0</v>
      </c>
      <c r="BP102">
        <v>0</v>
      </c>
      <c r="BQ102">
        <v>0</v>
      </c>
      <c r="BX102" t="str">
        <f>"13:52:00.938"</f>
        <v>13:52:00.938</v>
      </c>
      <c r="BY102" t="str">
        <f>"934053956"</f>
        <v>934053956</v>
      </c>
      <c r="CL102">
        <v>3</v>
      </c>
      <c r="CM102">
        <v>2</v>
      </c>
      <c r="CN102">
        <v>0</v>
      </c>
      <c r="CO102">
        <v>2</v>
      </c>
      <c r="CP102">
        <v>0</v>
      </c>
      <c r="CQ102">
        <v>6</v>
      </c>
      <c r="CR102" t="s">
        <v>116</v>
      </c>
      <c r="CS102">
        <v>150</v>
      </c>
      <c r="CT102">
        <v>1</v>
      </c>
      <c r="CU102" t="s">
        <v>252</v>
      </c>
      <c r="CV102" t="s">
        <v>253</v>
      </c>
      <c r="CY102">
        <v>3935646</v>
      </c>
      <c r="CZ102" t="s">
        <v>119</v>
      </c>
    </row>
    <row r="103" spans="1:104" x14ac:dyDescent="0.25">
      <c r="A103" t="str">
        <f>"13:52:02.102"</f>
        <v>13:52:02.102</v>
      </c>
      <c r="B103" t="s">
        <v>108</v>
      </c>
      <c r="C103" t="str">
        <f t="shared" si="4"/>
        <v>ffdfd3c0</v>
      </c>
      <c r="D103" t="s">
        <v>109</v>
      </c>
      <c r="E103">
        <v>4</v>
      </c>
      <c r="F103">
        <v>1004</v>
      </c>
      <c r="G103" t="s">
        <v>110</v>
      </c>
      <c r="J103" t="s">
        <v>111</v>
      </c>
      <c r="K103">
        <v>0</v>
      </c>
      <c r="L103">
        <v>3</v>
      </c>
      <c r="M103">
        <v>0</v>
      </c>
      <c r="N103">
        <v>2</v>
      </c>
      <c r="O103">
        <v>1</v>
      </c>
      <c r="P103">
        <v>0</v>
      </c>
      <c r="Q103">
        <v>0</v>
      </c>
      <c r="R103" t="s">
        <v>112</v>
      </c>
      <c r="S103" t="str">
        <f>"13:52:01.938"</f>
        <v>13:52:01.938</v>
      </c>
      <c r="T103" t="str">
        <f>"13:52:01.539"</f>
        <v>13:52:01.539</v>
      </c>
      <c r="U103" t="str">
        <f t="shared" si="3"/>
        <v>ad5732</v>
      </c>
      <c r="V103">
        <v>0</v>
      </c>
      <c r="W103">
        <v>0</v>
      </c>
      <c r="X103">
        <v>1</v>
      </c>
      <c r="Z103">
        <v>0</v>
      </c>
      <c r="AA103">
        <v>9</v>
      </c>
      <c r="AB103">
        <v>3</v>
      </c>
      <c r="AC103">
        <v>0</v>
      </c>
      <c r="AD103">
        <v>10</v>
      </c>
      <c r="AE103">
        <v>0</v>
      </c>
      <c r="AF103">
        <v>3</v>
      </c>
      <c r="AG103">
        <v>2</v>
      </c>
      <c r="AH103">
        <v>0</v>
      </c>
      <c r="AI103" t="s">
        <v>328</v>
      </c>
      <c r="AJ103">
        <v>39.127357000000003</v>
      </c>
      <c r="AK103" t="s">
        <v>329</v>
      </c>
      <c r="AL103">
        <v>-77.610575999999995</v>
      </c>
      <c r="AM103">
        <v>100</v>
      </c>
      <c r="AN103">
        <v>2300</v>
      </c>
      <c r="AO103" t="s">
        <v>115</v>
      </c>
      <c r="AP103">
        <v>-40</v>
      </c>
      <c r="AQ103">
        <v>119</v>
      </c>
      <c r="AR103">
        <v>320</v>
      </c>
      <c r="AZ103">
        <v>3614</v>
      </c>
      <c r="BA103">
        <v>1</v>
      </c>
      <c r="BB103" t="str">
        <f t="shared" si="5"/>
        <v xml:space="preserve">N959MJ  </v>
      </c>
      <c r="BC103">
        <v>1</v>
      </c>
      <c r="BE103">
        <v>0</v>
      </c>
      <c r="BF103">
        <v>0</v>
      </c>
      <c r="BG103">
        <v>0</v>
      </c>
      <c r="BH103">
        <v>2475</v>
      </c>
      <c r="BI103">
        <v>175</v>
      </c>
      <c r="BJ103">
        <v>1</v>
      </c>
      <c r="BK103">
        <v>1</v>
      </c>
      <c r="BL103">
        <v>1</v>
      </c>
      <c r="BM103">
        <v>0</v>
      </c>
      <c r="BP103">
        <v>0</v>
      </c>
      <c r="BQ103">
        <v>0</v>
      </c>
      <c r="BX103" t="str">
        <f>"13:52:01.945"</f>
        <v>13:52:01.945</v>
      </c>
      <c r="BY103" t="str">
        <f>"943324013"</f>
        <v>943324013</v>
      </c>
      <c r="CL103">
        <v>3</v>
      </c>
      <c r="CM103">
        <v>2</v>
      </c>
      <c r="CN103">
        <v>0</v>
      </c>
      <c r="CO103">
        <v>2</v>
      </c>
      <c r="CP103">
        <v>0</v>
      </c>
      <c r="CQ103">
        <v>6</v>
      </c>
      <c r="CR103" t="s">
        <v>116</v>
      </c>
      <c r="CS103">
        <v>150</v>
      </c>
      <c r="CT103">
        <v>1</v>
      </c>
      <c r="CU103" t="s">
        <v>252</v>
      </c>
      <c r="CV103" t="s">
        <v>253</v>
      </c>
      <c r="CY103">
        <v>3937412</v>
      </c>
      <c r="CZ103" t="s">
        <v>119</v>
      </c>
    </row>
    <row r="104" spans="1:104" x14ac:dyDescent="0.25">
      <c r="A104" t="str">
        <f>"13:52:03.063"</f>
        <v>13:52:03.063</v>
      </c>
      <c r="B104" t="s">
        <v>108</v>
      </c>
      <c r="C104" t="str">
        <f t="shared" si="4"/>
        <v>ffdfd3c0</v>
      </c>
      <c r="D104" t="s">
        <v>109</v>
      </c>
      <c r="E104">
        <v>4</v>
      </c>
      <c r="F104">
        <v>1004</v>
      </c>
      <c r="G104" t="s">
        <v>110</v>
      </c>
      <c r="J104" t="s">
        <v>111</v>
      </c>
      <c r="K104">
        <v>0</v>
      </c>
      <c r="L104">
        <v>3</v>
      </c>
      <c r="M104">
        <v>0</v>
      </c>
      <c r="N104">
        <v>2</v>
      </c>
      <c r="O104">
        <v>1</v>
      </c>
      <c r="P104">
        <v>0</v>
      </c>
      <c r="Q104">
        <v>0</v>
      </c>
      <c r="R104" t="s">
        <v>112</v>
      </c>
      <c r="S104" t="str">
        <f>"13:52:02.820"</f>
        <v>13:52:02.820</v>
      </c>
      <c r="T104" t="str">
        <f>"13:52:02.023"</f>
        <v>13:52:02.023</v>
      </c>
      <c r="U104" t="str">
        <f t="shared" si="3"/>
        <v>ad5732</v>
      </c>
      <c r="V104">
        <v>0</v>
      </c>
      <c r="W104">
        <v>0</v>
      </c>
      <c r="X104">
        <v>1</v>
      </c>
      <c r="Z104">
        <v>0</v>
      </c>
      <c r="AA104">
        <v>9</v>
      </c>
      <c r="AB104">
        <v>3</v>
      </c>
      <c r="AC104">
        <v>0</v>
      </c>
      <c r="AD104">
        <v>10</v>
      </c>
      <c r="AE104">
        <v>0</v>
      </c>
      <c r="AF104">
        <v>3</v>
      </c>
      <c r="AG104">
        <v>2</v>
      </c>
      <c r="AH104">
        <v>0</v>
      </c>
      <c r="AI104" t="s">
        <v>330</v>
      </c>
      <c r="AJ104">
        <v>39.127851</v>
      </c>
      <c r="AK104" t="s">
        <v>331</v>
      </c>
      <c r="AL104">
        <v>-77.610769000000005</v>
      </c>
      <c r="AM104">
        <v>100</v>
      </c>
      <c r="AN104">
        <v>2300</v>
      </c>
      <c r="AO104" t="s">
        <v>115</v>
      </c>
      <c r="AP104">
        <v>-39</v>
      </c>
      <c r="AQ104">
        <v>120</v>
      </c>
      <c r="AR104">
        <v>320</v>
      </c>
      <c r="AZ104">
        <v>3614</v>
      </c>
      <c r="BA104">
        <v>1</v>
      </c>
      <c r="BB104" t="str">
        <f t="shared" si="5"/>
        <v xml:space="preserve">N959MJ  </v>
      </c>
      <c r="BC104">
        <v>1</v>
      </c>
      <c r="BE104">
        <v>0</v>
      </c>
      <c r="BF104">
        <v>0</v>
      </c>
      <c r="BG104">
        <v>0</v>
      </c>
      <c r="BH104">
        <v>2475</v>
      </c>
      <c r="BI104">
        <v>175</v>
      </c>
      <c r="BJ104">
        <v>1</v>
      </c>
      <c r="BK104">
        <v>1</v>
      </c>
      <c r="BL104">
        <v>1</v>
      </c>
      <c r="BM104">
        <v>0</v>
      </c>
      <c r="BP104">
        <v>0</v>
      </c>
      <c r="BQ104">
        <v>0</v>
      </c>
      <c r="BX104" t="str">
        <f>"13:52:02.828"</f>
        <v>13:52:02.828</v>
      </c>
      <c r="BY104" t="str">
        <f>"826435121"</f>
        <v>826435121</v>
      </c>
      <c r="CL104">
        <v>3</v>
      </c>
      <c r="CM104">
        <v>2</v>
      </c>
      <c r="CN104">
        <v>0</v>
      </c>
      <c r="CO104">
        <v>2</v>
      </c>
      <c r="CP104">
        <v>0</v>
      </c>
      <c r="CQ104">
        <v>6</v>
      </c>
      <c r="CR104" t="s">
        <v>116</v>
      </c>
      <c r="CS104">
        <v>150</v>
      </c>
      <c r="CT104">
        <v>1</v>
      </c>
      <c r="CU104" t="s">
        <v>252</v>
      </c>
      <c r="CV104" t="s">
        <v>253</v>
      </c>
      <c r="CY104">
        <v>3938939</v>
      </c>
      <c r="CZ104" t="s">
        <v>119</v>
      </c>
    </row>
    <row r="105" spans="1:104" x14ac:dyDescent="0.25">
      <c r="A105" t="str">
        <f>"13:52:03.969"</f>
        <v>13:52:03.969</v>
      </c>
      <c r="B105" t="s">
        <v>108</v>
      </c>
      <c r="C105" t="str">
        <f t="shared" si="4"/>
        <v>ffdfd3c0</v>
      </c>
      <c r="D105" t="s">
        <v>109</v>
      </c>
      <c r="E105">
        <v>4</v>
      </c>
      <c r="F105">
        <v>1004</v>
      </c>
      <c r="G105" t="s">
        <v>110</v>
      </c>
      <c r="J105" t="s">
        <v>111</v>
      </c>
      <c r="K105">
        <v>0</v>
      </c>
      <c r="L105">
        <v>3</v>
      </c>
      <c r="M105">
        <v>0</v>
      </c>
      <c r="N105">
        <v>2</v>
      </c>
      <c r="O105">
        <v>1</v>
      </c>
      <c r="P105">
        <v>0</v>
      </c>
      <c r="Q105">
        <v>0</v>
      </c>
      <c r="R105" t="s">
        <v>112</v>
      </c>
      <c r="S105" t="str">
        <f>"13:52:03.758"</f>
        <v>13:52:03.758</v>
      </c>
      <c r="T105" t="str">
        <f>"13:52:02.859"</f>
        <v>13:52:02.859</v>
      </c>
      <c r="U105" t="str">
        <f t="shared" si="3"/>
        <v>ad5732</v>
      </c>
      <c r="V105">
        <v>0</v>
      </c>
      <c r="W105">
        <v>0</v>
      </c>
      <c r="X105">
        <v>1</v>
      </c>
      <c r="Z105">
        <v>0</v>
      </c>
      <c r="AA105">
        <v>9</v>
      </c>
      <c r="AB105">
        <v>3</v>
      </c>
      <c r="AC105">
        <v>0</v>
      </c>
      <c r="AD105">
        <v>10</v>
      </c>
      <c r="AE105">
        <v>0</v>
      </c>
      <c r="AF105">
        <v>3</v>
      </c>
      <c r="AG105">
        <v>2</v>
      </c>
      <c r="AH105">
        <v>0</v>
      </c>
      <c r="AI105" t="s">
        <v>332</v>
      </c>
      <c r="AJ105">
        <v>39.128408</v>
      </c>
      <c r="AK105" t="s">
        <v>333</v>
      </c>
      <c r="AL105">
        <v>-77.610940999999997</v>
      </c>
      <c r="AM105">
        <v>100</v>
      </c>
      <c r="AN105">
        <v>2300</v>
      </c>
      <c r="AO105" t="s">
        <v>115</v>
      </c>
      <c r="AP105">
        <v>-36</v>
      </c>
      <c r="AQ105">
        <v>122</v>
      </c>
      <c r="AR105">
        <v>320</v>
      </c>
      <c r="AZ105">
        <v>3614</v>
      </c>
      <c r="BA105">
        <v>1</v>
      </c>
      <c r="BB105" t="str">
        <f t="shared" si="5"/>
        <v xml:space="preserve">N959MJ  </v>
      </c>
      <c r="BC105">
        <v>1</v>
      </c>
      <c r="BE105">
        <v>0</v>
      </c>
      <c r="BF105">
        <v>0</v>
      </c>
      <c r="BG105">
        <v>0</v>
      </c>
      <c r="BH105">
        <v>2475</v>
      </c>
      <c r="BI105">
        <v>175</v>
      </c>
      <c r="BJ105">
        <v>1</v>
      </c>
      <c r="BK105">
        <v>1</v>
      </c>
      <c r="BL105">
        <v>1</v>
      </c>
      <c r="BM105">
        <v>0</v>
      </c>
      <c r="BP105">
        <v>0</v>
      </c>
      <c r="BQ105">
        <v>0</v>
      </c>
      <c r="BX105" t="str">
        <f>"13:52:03.758"</f>
        <v>13:52:03.758</v>
      </c>
      <c r="BY105" t="str">
        <f>"760237806"</f>
        <v>760237806</v>
      </c>
      <c r="CL105">
        <v>3</v>
      </c>
      <c r="CM105">
        <v>2</v>
      </c>
      <c r="CN105">
        <v>0</v>
      </c>
      <c r="CO105">
        <v>2</v>
      </c>
      <c r="CP105">
        <v>0</v>
      </c>
      <c r="CQ105">
        <v>5</v>
      </c>
      <c r="CR105" t="s">
        <v>116</v>
      </c>
      <c r="CS105">
        <v>525</v>
      </c>
      <c r="CT105">
        <v>2</v>
      </c>
      <c r="CU105" t="s">
        <v>140</v>
      </c>
      <c r="CV105" t="s">
        <v>141</v>
      </c>
      <c r="CY105">
        <v>13730731</v>
      </c>
      <c r="CZ105" t="s">
        <v>119</v>
      </c>
    </row>
    <row r="106" spans="1:104" x14ac:dyDescent="0.25">
      <c r="A106" t="str">
        <f>"13:52:04.984"</f>
        <v>13:52:04.984</v>
      </c>
      <c r="B106" t="s">
        <v>108</v>
      </c>
      <c r="C106" t="str">
        <f t="shared" si="4"/>
        <v>ffdfd3c0</v>
      </c>
      <c r="D106" t="s">
        <v>109</v>
      </c>
      <c r="E106">
        <v>4</v>
      </c>
      <c r="F106">
        <v>1004</v>
      </c>
      <c r="G106" t="s">
        <v>110</v>
      </c>
      <c r="J106" t="s">
        <v>111</v>
      </c>
      <c r="K106">
        <v>0</v>
      </c>
      <c r="L106">
        <v>3</v>
      </c>
      <c r="M106">
        <v>0</v>
      </c>
      <c r="N106">
        <v>2</v>
      </c>
      <c r="O106">
        <v>1</v>
      </c>
      <c r="P106">
        <v>0</v>
      </c>
      <c r="Q106">
        <v>0</v>
      </c>
      <c r="R106" t="s">
        <v>112</v>
      </c>
      <c r="S106" t="str">
        <f>"13:52:04.789"</f>
        <v>13:52:04.789</v>
      </c>
      <c r="T106" t="str">
        <f>"13:52:04.289"</f>
        <v>13:52:04.289</v>
      </c>
      <c r="U106" t="str">
        <f t="shared" si="3"/>
        <v>ad5732</v>
      </c>
      <c r="V106">
        <v>0</v>
      </c>
      <c r="W106">
        <v>0</v>
      </c>
      <c r="X106">
        <v>1</v>
      </c>
      <c r="Z106">
        <v>0</v>
      </c>
      <c r="AA106">
        <v>9</v>
      </c>
      <c r="AB106">
        <v>3</v>
      </c>
      <c r="AC106">
        <v>0</v>
      </c>
      <c r="AD106">
        <v>10</v>
      </c>
      <c r="AE106">
        <v>0</v>
      </c>
      <c r="AF106">
        <v>3</v>
      </c>
      <c r="AG106">
        <v>2</v>
      </c>
      <c r="AH106">
        <v>0</v>
      </c>
      <c r="AI106" t="s">
        <v>334</v>
      </c>
      <c r="AJ106">
        <v>39.129009000000003</v>
      </c>
      <c r="AK106" t="s">
        <v>335</v>
      </c>
      <c r="AL106">
        <v>-77.611155999999994</v>
      </c>
      <c r="AM106">
        <v>100</v>
      </c>
      <c r="AN106">
        <v>2300</v>
      </c>
      <c r="AO106" t="s">
        <v>115</v>
      </c>
      <c r="AP106">
        <v>-31</v>
      </c>
      <c r="AQ106">
        <v>125</v>
      </c>
      <c r="AR106">
        <v>320</v>
      </c>
      <c r="AZ106">
        <v>3614</v>
      </c>
      <c r="BA106">
        <v>1</v>
      </c>
      <c r="BB106" t="str">
        <f t="shared" si="5"/>
        <v xml:space="preserve">N959MJ  </v>
      </c>
      <c r="BC106">
        <v>1</v>
      </c>
      <c r="BE106">
        <v>0</v>
      </c>
      <c r="BF106">
        <v>0</v>
      </c>
      <c r="BG106">
        <v>0</v>
      </c>
      <c r="BH106">
        <v>2475</v>
      </c>
      <c r="BI106">
        <v>175</v>
      </c>
      <c r="BJ106">
        <v>1</v>
      </c>
      <c r="BK106">
        <v>1</v>
      </c>
      <c r="BL106">
        <v>1</v>
      </c>
      <c r="BM106">
        <v>0</v>
      </c>
      <c r="BP106">
        <v>0</v>
      </c>
      <c r="BQ106">
        <v>0</v>
      </c>
      <c r="BX106" t="str">
        <f>"13:52:04.789"</f>
        <v>13:52:04.789</v>
      </c>
      <c r="BY106" t="str">
        <f>"790814280"</f>
        <v>790814280</v>
      </c>
      <c r="CL106">
        <v>3</v>
      </c>
      <c r="CM106">
        <v>2</v>
      </c>
      <c r="CN106">
        <v>0</v>
      </c>
      <c r="CO106">
        <v>2</v>
      </c>
      <c r="CP106">
        <v>0</v>
      </c>
      <c r="CQ106">
        <v>5</v>
      </c>
      <c r="CR106" t="s">
        <v>116</v>
      </c>
      <c r="CS106">
        <v>147</v>
      </c>
      <c r="CT106">
        <v>3</v>
      </c>
      <c r="CU106" t="s">
        <v>117</v>
      </c>
      <c r="CV106" t="s">
        <v>118</v>
      </c>
      <c r="CY106">
        <v>15954080</v>
      </c>
      <c r="CZ106" t="s">
        <v>119</v>
      </c>
    </row>
    <row r="107" spans="1:104" x14ac:dyDescent="0.25">
      <c r="A107" t="str">
        <f>"13:52:06.039"</f>
        <v>13:52:06.039</v>
      </c>
      <c r="B107" t="s">
        <v>108</v>
      </c>
      <c r="C107" t="str">
        <f t="shared" si="4"/>
        <v>ffdfd3c0</v>
      </c>
      <c r="D107" t="s">
        <v>109</v>
      </c>
      <c r="E107">
        <v>4</v>
      </c>
      <c r="F107">
        <v>1004</v>
      </c>
      <c r="G107" t="s">
        <v>110</v>
      </c>
      <c r="J107" t="s">
        <v>111</v>
      </c>
      <c r="K107">
        <v>0</v>
      </c>
      <c r="L107">
        <v>3</v>
      </c>
      <c r="M107">
        <v>0</v>
      </c>
      <c r="N107">
        <v>2</v>
      </c>
      <c r="O107">
        <v>1</v>
      </c>
      <c r="P107">
        <v>0</v>
      </c>
      <c r="Q107">
        <v>0</v>
      </c>
      <c r="R107" t="s">
        <v>112</v>
      </c>
      <c r="S107" t="str">
        <f>"13:52:05.836"</f>
        <v>13:52:05.836</v>
      </c>
      <c r="T107" t="str">
        <f>"13:52:04.836"</f>
        <v>13:52:04.836</v>
      </c>
      <c r="U107" t="str">
        <f t="shared" si="3"/>
        <v>ad5732</v>
      </c>
      <c r="V107">
        <v>0</v>
      </c>
      <c r="W107">
        <v>0</v>
      </c>
      <c r="X107">
        <v>1</v>
      </c>
      <c r="Z107">
        <v>0</v>
      </c>
      <c r="AA107">
        <v>9</v>
      </c>
      <c r="AB107">
        <v>3</v>
      </c>
      <c r="AC107">
        <v>0</v>
      </c>
      <c r="AD107">
        <v>10</v>
      </c>
      <c r="AE107">
        <v>0</v>
      </c>
      <c r="AF107">
        <v>3</v>
      </c>
      <c r="AG107">
        <v>2</v>
      </c>
      <c r="AH107">
        <v>0</v>
      </c>
      <c r="AI107" t="s">
        <v>336</v>
      </c>
      <c r="AJ107">
        <v>39.129632000000001</v>
      </c>
      <c r="AK107" t="s">
        <v>337</v>
      </c>
      <c r="AL107">
        <v>-77.611327000000003</v>
      </c>
      <c r="AM107">
        <v>100</v>
      </c>
      <c r="AN107">
        <v>2300</v>
      </c>
      <c r="AO107" t="s">
        <v>115</v>
      </c>
      <c r="AP107">
        <v>-29</v>
      </c>
      <c r="AQ107">
        <v>127</v>
      </c>
      <c r="AR107">
        <v>384</v>
      </c>
      <c r="AZ107">
        <v>3614</v>
      </c>
      <c r="BA107">
        <v>1</v>
      </c>
      <c r="BB107" t="str">
        <f t="shared" si="5"/>
        <v xml:space="preserve">N959MJ  </v>
      </c>
      <c r="BC107">
        <v>1</v>
      </c>
      <c r="BE107">
        <v>0</v>
      </c>
      <c r="BF107">
        <v>0</v>
      </c>
      <c r="BG107">
        <v>0</v>
      </c>
      <c r="BH107">
        <v>2500</v>
      </c>
      <c r="BI107">
        <v>200</v>
      </c>
      <c r="BJ107">
        <v>1</v>
      </c>
      <c r="BK107">
        <v>1</v>
      </c>
      <c r="BL107">
        <v>1</v>
      </c>
      <c r="BM107">
        <v>0</v>
      </c>
      <c r="BP107">
        <v>0</v>
      </c>
      <c r="BQ107">
        <v>0</v>
      </c>
      <c r="BX107" t="str">
        <f>"13:52:05.844"</f>
        <v>13:52:05.844</v>
      </c>
      <c r="BY107" t="str">
        <f>"841038073"</f>
        <v>841038073</v>
      </c>
      <c r="CL107">
        <v>3</v>
      </c>
      <c r="CM107">
        <v>2</v>
      </c>
      <c r="CN107">
        <v>0</v>
      </c>
      <c r="CO107">
        <v>2</v>
      </c>
      <c r="CP107">
        <v>0</v>
      </c>
      <c r="CQ107">
        <v>6</v>
      </c>
      <c r="CR107" t="s">
        <v>116</v>
      </c>
      <c r="CS107">
        <v>525</v>
      </c>
      <c r="CT107">
        <v>2</v>
      </c>
      <c r="CU107" t="s">
        <v>140</v>
      </c>
      <c r="CV107" t="s">
        <v>141</v>
      </c>
      <c r="CY107">
        <v>13734035</v>
      </c>
      <c r="CZ107" t="s">
        <v>119</v>
      </c>
    </row>
    <row r="108" spans="1:104" x14ac:dyDescent="0.25">
      <c r="A108" t="str">
        <f>"13:52:07.000"</f>
        <v>13:52:07.000</v>
      </c>
      <c r="B108" t="s">
        <v>108</v>
      </c>
      <c r="C108" t="str">
        <f t="shared" si="4"/>
        <v>ffdfd3c0</v>
      </c>
      <c r="D108" t="s">
        <v>109</v>
      </c>
      <c r="E108">
        <v>4</v>
      </c>
      <c r="F108">
        <v>1004</v>
      </c>
      <c r="G108" t="s">
        <v>110</v>
      </c>
      <c r="J108" t="s">
        <v>111</v>
      </c>
      <c r="K108">
        <v>0</v>
      </c>
      <c r="L108">
        <v>3</v>
      </c>
      <c r="M108">
        <v>0</v>
      </c>
      <c r="N108">
        <v>2</v>
      </c>
      <c r="O108">
        <v>1</v>
      </c>
      <c r="P108">
        <v>0</v>
      </c>
      <c r="Q108">
        <v>0</v>
      </c>
      <c r="R108" t="s">
        <v>112</v>
      </c>
      <c r="S108" t="str">
        <f>"13:52:06.820"</f>
        <v>13:52:06.820</v>
      </c>
      <c r="T108" t="str">
        <f>"13:52:06.422"</f>
        <v>13:52:06.422</v>
      </c>
      <c r="U108" t="str">
        <f t="shared" si="3"/>
        <v>ad5732</v>
      </c>
      <c r="V108">
        <v>0</v>
      </c>
      <c r="W108">
        <v>0</v>
      </c>
      <c r="X108">
        <v>1</v>
      </c>
      <c r="Z108">
        <v>0</v>
      </c>
      <c r="AA108">
        <v>9</v>
      </c>
      <c r="AB108">
        <v>3</v>
      </c>
      <c r="AC108">
        <v>0</v>
      </c>
      <c r="AD108">
        <v>10</v>
      </c>
      <c r="AE108">
        <v>0</v>
      </c>
      <c r="AF108">
        <v>3</v>
      </c>
      <c r="AG108">
        <v>2</v>
      </c>
      <c r="AH108">
        <v>0</v>
      </c>
      <c r="AI108" t="s">
        <v>338</v>
      </c>
      <c r="AJ108">
        <v>39.130231999999999</v>
      </c>
      <c r="AK108" t="s">
        <v>339</v>
      </c>
      <c r="AL108">
        <v>-77.611456000000004</v>
      </c>
      <c r="AM108">
        <v>100</v>
      </c>
      <c r="AN108">
        <v>2300</v>
      </c>
      <c r="AO108" t="s">
        <v>115</v>
      </c>
      <c r="AP108">
        <v>-24</v>
      </c>
      <c r="AQ108">
        <v>129</v>
      </c>
      <c r="AR108">
        <v>448</v>
      </c>
      <c r="AZ108">
        <v>3614</v>
      </c>
      <c r="BA108">
        <v>1</v>
      </c>
      <c r="BB108" t="str">
        <f t="shared" si="5"/>
        <v xml:space="preserve">N959MJ  </v>
      </c>
      <c r="BC108">
        <v>1</v>
      </c>
      <c r="BE108">
        <v>0</v>
      </c>
      <c r="BF108">
        <v>0</v>
      </c>
      <c r="BG108">
        <v>0</v>
      </c>
      <c r="BH108">
        <v>2500</v>
      </c>
      <c r="BI108">
        <v>200</v>
      </c>
      <c r="BJ108">
        <v>1</v>
      </c>
      <c r="BK108">
        <v>1</v>
      </c>
      <c r="BL108">
        <v>1</v>
      </c>
      <c r="BM108">
        <v>0</v>
      </c>
      <c r="BP108">
        <v>0</v>
      </c>
      <c r="BQ108">
        <v>0</v>
      </c>
      <c r="BX108" t="str">
        <f>"13:52:06.820"</f>
        <v>13:52:06.820</v>
      </c>
      <c r="BY108" t="str">
        <f>"822454740"</f>
        <v>822454740</v>
      </c>
      <c r="CL108">
        <v>3</v>
      </c>
      <c r="CM108">
        <v>2</v>
      </c>
      <c r="CN108">
        <v>0</v>
      </c>
      <c r="CO108">
        <v>2</v>
      </c>
      <c r="CP108">
        <v>0</v>
      </c>
      <c r="CQ108">
        <v>6</v>
      </c>
      <c r="CR108" t="s">
        <v>116</v>
      </c>
      <c r="CS108">
        <v>525</v>
      </c>
      <c r="CT108">
        <v>2</v>
      </c>
      <c r="CU108" t="s">
        <v>140</v>
      </c>
      <c r="CV108" t="s">
        <v>141</v>
      </c>
      <c r="CY108">
        <v>13735510</v>
      </c>
      <c r="CZ108" t="s">
        <v>119</v>
      </c>
    </row>
    <row r="109" spans="1:104" x14ac:dyDescent="0.25">
      <c r="A109" t="str">
        <f>"13:52:08.164"</f>
        <v>13:52:08.164</v>
      </c>
      <c r="B109" t="s">
        <v>108</v>
      </c>
      <c r="C109" t="str">
        <f t="shared" si="4"/>
        <v>ffdfd3c0</v>
      </c>
      <c r="D109" t="s">
        <v>109</v>
      </c>
      <c r="E109">
        <v>4</v>
      </c>
      <c r="F109">
        <v>1004</v>
      </c>
      <c r="G109" t="s">
        <v>110</v>
      </c>
      <c r="J109" t="s">
        <v>111</v>
      </c>
      <c r="K109">
        <v>0</v>
      </c>
      <c r="L109">
        <v>3</v>
      </c>
      <c r="M109">
        <v>0</v>
      </c>
      <c r="N109">
        <v>2</v>
      </c>
      <c r="O109">
        <v>1</v>
      </c>
      <c r="P109">
        <v>0</v>
      </c>
      <c r="Q109">
        <v>0</v>
      </c>
      <c r="R109" t="s">
        <v>112</v>
      </c>
      <c r="S109" t="str">
        <f>"13:52:07.953"</f>
        <v>13:52:07.953</v>
      </c>
      <c r="T109" t="str">
        <f>"13:52:07.453"</f>
        <v>13:52:07.453</v>
      </c>
      <c r="U109" t="str">
        <f t="shared" si="3"/>
        <v>ad5732</v>
      </c>
      <c r="V109">
        <v>0</v>
      </c>
      <c r="W109">
        <v>0</v>
      </c>
      <c r="X109">
        <v>1</v>
      </c>
      <c r="Z109">
        <v>0</v>
      </c>
      <c r="AA109">
        <v>9</v>
      </c>
      <c r="AB109">
        <v>3</v>
      </c>
      <c r="AC109">
        <v>0</v>
      </c>
      <c r="AD109">
        <v>10</v>
      </c>
      <c r="AE109">
        <v>0</v>
      </c>
      <c r="AF109">
        <v>3</v>
      </c>
      <c r="AG109">
        <v>2</v>
      </c>
      <c r="AH109">
        <v>0</v>
      </c>
      <c r="AI109" t="s">
        <v>340</v>
      </c>
      <c r="AJ109">
        <v>39.130876000000001</v>
      </c>
      <c r="AK109" t="s">
        <v>341</v>
      </c>
      <c r="AL109">
        <v>-77.611542</v>
      </c>
      <c r="AM109">
        <v>100</v>
      </c>
      <c r="AN109">
        <v>2300</v>
      </c>
      <c r="AO109" t="s">
        <v>115</v>
      </c>
      <c r="AP109">
        <v>-19</v>
      </c>
      <c r="AQ109">
        <v>131</v>
      </c>
      <c r="AR109">
        <v>512</v>
      </c>
      <c r="AZ109">
        <v>3614</v>
      </c>
      <c r="BA109">
        <v>1</v>
      </c>
      <c r="BB109" t="str">
        <f t="shared" si="5"/>
        <v xml:space="preserve">N959MJ  </v>
      </c>
      <c r="BC109">
        <v>1</v>
      </c>
      <c r="BE109">
        <v>0</v>
      </c>
      <c r="BF109">
        <v>0</v>
      </c>
      <c r="BG109">
        <v>0</v>
      </c>
      <c r="BH109">
        <v>2500</v>
      </c>
      <c r="BI109">
        <v>200</v>
      </c>
      <c r="BJ109">
        <v>1</v>
      </c>
      <c r="BK109">
        <v>1</v>
      </c>
      <c r="BL109">
        <v>1</v>
      </c>
      <c r="BM109">
        <v>0</v>
      </c>
      <c r="BP109">
        <v>0</v>
      </c>
      <c r="BQ109">
        <v>0</v>
      </c>
      <c r="BX109" t="str">
        <f>"13:52:07.961"</f>
        <v>13:52:07.961</v>
      </c>
      <c r="BY109" t="str">
        <f>"957883344"</f>
        <v>957883344</v>
      </c>
      <c r="CL109">
        <v>3</v>
      </c>
      <c r="CM109">
        <v>2</v>
      </c>
      <c r="CN109">
        <v>0</v>
      </c>
      <c r="CO109">
        <v>2</v>
      </c>
      <c r="CP109">
        <v>0</v>
      </c>
      <c r="CQ109">
        <v>5</v>
      </c>
      <c r="CR109" t="s">
        <v>116</v>
      </c>
      <c r="CS109">
        <v>525</v>
      </c>
      <c r="CT109">
        <v>2</v>
      </c>
      <c r="CU109" t="s">
        <v>140</v>
      </c>
      <c r="CV109" t="s">
        <v>141</v>
      </c>
      <c r="CY109">
        <v>13737120</v>
      </c>
      <c r="CZ109" t="s">
        <v>119</v>
      </c>
    </row>
    <row r="110" spans="1:104" x14ac:dyDescent="0.25">
      <c r="A110" t="str">
        <f>"13:52:09.219"</f>
        <v>13:52:09.219</v>
      </c>
      <c r="B110" t="s">
        <v>108</v>
      </c>
      <c r="C110" t="str">
        <f t="shared" si="4"/>
        <v>ffdfd3c0</v>
      </c>
      <c r="D110" t="s">
        <v>109</v>
      </c>
      <c r="E110">
        <v>4</v>
      </c>
      <c r="F110">
        <v>1004</v>
      </c>
      <c r="G110" t="s">
        <v>110</v>
      </c>
      <c r="J110" t="s">
        <v>111</v>
      </c>
      <c r="K110">
        <v>0</v>
      </c>
      <c r="L110">
        <v>3</v>
      </c>
      <c r="M110">
        <v>0</v>
      </c>
      <c r="N110">
        <v>2</v>
      </c>
      <c r="O110">
        <v>1</v>
      </c>
      <c r="P110">
        <v>0</v>
      </c>
      <c r="Q110">
        <v>0</v>
      </c>
      <c r="R110" t="s">
        <v>112</v>
      </c>
      <c r="S110" t="str">
        <f>"13:52:09.047"</f>
        <v>13:52:09.047</v>
      </c>
      <c r="T110" t="str">
        <f>"13:52:08.547"</f>
        <v>13:52:08.547</v>
      </c>
      <c r="U110" t="str">
        <f t="shared" si="3"/>
        <v>ad5732</v>
      </c>
      <c r="V110">
        <v>0</v>
      </c>
      <c r="W110">
        <v>0</v>
      </c>
      <c r="X110">
        <v>1</v>
      </c>
      <c r="Z110">
        <v>0</v>
      </c>
      <c r="AA110">
        <v>9</v>
      </c>
      <c r="AB110">
        <v>3</v>
      </c>
      <c r="AC110">
        <v>0</v>
      </c>
      <c r="AD110">
        <v>10</v>
      </c>
      <c r="AE110">
        <v>0</v>
      </c>
      <c r="AF110">
        <v>3</v>
      </c>
      <c r="AG110">
        <v>2</v>
      </c>
      <c r="AH110">
        <v>0</v>
      </c>
      <c r="AI110" t="s">
        <v>342</v>
      </c>
      <c r="AJ110">
        <v>39.131583999999997</v>
      </c>
      <c r="AK110" t="s">
        <v>343</v>
      </c>
      <c r="AL110">
        <v>-77.611627999999996</v>
      </c>
      <c r="AM110">
        <v>100</v>
      </c>
      <c r="AN110">
        <v>2300</v>
      </c>
      <c r="AO110" t="s">
        <v>115</v>
      </c>
      <c r="AP110">
        <v>-15</v>
      </c>
      <c r="AQ110">
        <v>132</v>
      </c>
      <c r="AR110">
        <v>576</v>
      </c>
      <c r="AZ110">
        <v>3614</v>
      </c>
      <c r="BA110">
        <v>1</v>
      </c>
      <c r="BB110" t="str">
        <f t="shared" si="5"/>
        <v xml:space="preserve">N959MJ  </v>
      </c>
      <c r="BC110">
        <v>1</v>
      </c>
      <c r="BE110">
        <v>0</v>
      </c>
      <c r="BF110">
        <v>0</v>
      </c>
      <c r="BG110">
        <v>0</v>
      </c>
      <c r="BH110">
        <v>2525</v>
      </c>
      <c r="BI110">
        <v>225</v>
      </c>
      <c r="BJ110">
        <v>1</v>
      </c>
      <c r="BK110">
        <v>1</v>
      </c>
      <c r="BL110">
        <v>1</v>
      </c>
      <c r="BM110">
        <v>0</v>
      </c>
      <c r="BP110">
        <v>0</v>
      </c>
      <c r="BQ110">
        <v>0</v>
      </c>
      <c r="BX110" t="str">
        <f>"13:52:09.047"</f>
        <v>13:52:09.047</v>
      </c>
      <c r="BY110" t="str">
        <f>"047436223"</f>
        <v>047436223</v>
      </c>
      <c r="CL110">
        <v>3</v>
      </c>
      <c r="CM110">
        <v>2</v>
      </c>
      <c r="CN110">
        <v>0</v>
      </c>
      <c r="CO110">
        <v>2</v>
      </c>
      <c r="CP110">
        <v>0</v>
      </c>
      <c r="CQ110">
        <v>6</v>
      </c>
      <c r="CR110" t="s">
        <v>116</v>
      </c>
      <c r="CS110">
        <v>525</v>
      </c>
      <c r="CT110">
        <v>2</v>
      </c>
      <c r="CU110" t="s">
        <v>140</v>
      </c>
      <c r="CV110" t="s">
        <v>141</v>
      </c>
      <c r="CY110">
        <v>13738650</v>
      </c>
      <c r="CZ110" t="s">
        <v>119</v>
      </c>
    </row>
    <row r="111" spans="1:104" x14ac:dyDescent="0.25">
      <c r="A111" t="str">
        <f>"13:52:11.242"</f>
        <v>13:52:11.242</v>
      </c>
      <c r="B111" t="s">
        <v>108</v>
      </c>
      <c r="C111" t="str">
        <f t="shared" si="4"/>
        <v>ffdfd3c0</v>
      </c>
      <c r="D111" t="s">
        <v>109</v>
      </c>
      <c r="E111">
        <v>4</v>
      </c>
      <c r="F111">
        <v>1004</v>
      </c>
      <c r="G111" t="s">
        <v>110</v>
      </c>
      <c r="J111" t="s">
        <v>111</v>
      </c>
      <c r="K111">
        <v>0</v>
      </c>
      <c r="L111">
        <v>3</v>
      </c>
      <c r="M111">
        <v>0</v>
      </c>
      <c r="N111">
        <v>2</v>
      </c>
      <c r="O111">
        <v>1</v>
      </c>
      <c r="P111">
        <v>0</v>
      </c>
      <c r="Q111">
        <v>0</v>
      </c>
      <c r="R111" t="s">
        <v>112</v>
      </c>
      <c r="S111" t="str">
        <f>"13:52:11.078"</f>
        <v>13:52:11.078</v>
      </c>
      <c r="T111" t="str">
        <f>"13:52:10.578"</f>
        <v>13:52:10.578</v>
      </c>
      <c r="U111" t="str">
        <f t="shared" si="3"/>
        <v>ad5732</v>
      </c>
      <c r="V111">
        <v>0</v>
      </c>
      <c r="W111">
        <v>0</v>
      </c>
      <c r="X111">
        <v>1</v>
      </c>
      <c r="Z111">
        <v>0</v>
      </c>
      <c r="AA111">
        <v>9</v>
      </c>
      <c r="AB111">
        <v>3</v>
      </c>
      <c r="AC111">
        <v>0</v>
      </c>
      <c r="AD111">
        <v>10</v>
      </c>
      <c r="AE111">
        <v>0</v>
      </c>
      <c r="AF111">
        <v>3</v>
      </c>
      <c r="AG111">
        <v>2</v>
      </c>
      <c r="AH111">
        <v>0</v>
      </c>
      <c r="AI111" t="s">
        <v>344</v>
      </c>
      <c r="AJ111">
        <v>39.132893000000003</v>
      </c>
      <c r="AK111" t="s">
        <v>345</v>
      </c>
      <c r="AL111">
        <v>-77.611712999999995</v>
      </c>
      <c r="AM111">
        <v>100</v>
      </c>
      <c r="AN111">
        <v>2300</v>
      </c>
      <c r="AO111" t="s">
        <v>115</v>
      </c>
      <c r="AP111">
        <v>-7</v>
      </c>
      <c r="AQ111">
        <v>134</v>
      </c>
      <c r="AR111">
        <v>768</v>
      </c>
      <c r="AZ111">
        <v>3614</v>
      </c>
      <c r="BA111">
        <v>1</v>
      </c>
      <c r="BB111" t="str">
        <f t="shared" si="5"/>
        <v xml:space="preserve">N959MJ  </v>
      </c>
      <c r="BC111">
        <v>1</v>
      </c>
      <c r="BE111">
        <v>0</v>
      </c>
      <c r="BF111">
        <v>0</v>
      </c>
      <c r="BG111">
        <v>0</v>
      </c>
      <c r="BH111">
        <v>2550</v>
      </c>
      <c r="BI111">
        <v>250</v>
      </c>
      <c r="BJ111">
        <v>1</v>
      </c>
      <c r="BK111">
        <v>1</v>
      </c>
      <c r="BL111">
        <v>1</v>
      </c>
      <c r="BM111">
        <v>0</v>
      </c>
      <c r="BP111">
        <v>0</v>
      </c>
      <c r="BQ111">
        <v>0</v>
      </c>
      <c r="BX111" t="str">
        <f>"13:52:11.078"</f>
        <v>13:52:11.078</v>
      </c>
      <c r="BY111" t="str">
        <f>"079083568"</f>
        <v>079083568</v>
      </c>
      <c r="CL111">
        <v>3</v>
      </c>
      <c r="CM111">
        <v>2</v>
      </c>
      <c r="CN111">
        <v>0</v>
      </c>
      <c r="CO111">
        <v>2</v>
      </c>
      <c r="CP111">
        <v>0</v>
      </c>
      <c r="CQ111">
        <v>5</v>
      </c>
      <c r="CR111" t="s">
        <v>116</v>
      </c>
      <c r="CS111">
        <v>525</v>
      </c>
      <c r="CT111">
        <v>3</v>
      </c>
      <c r="CU111" t="s">
        <v>140</v>
      </c>
      <c r="CV111" t="s">
        <v>141</v>
      </c>
      <c r="CY111">
        <v>155448</v>
      </c>
      <c r="CZ111" t="s">
        <v>119</v>
      </c>
    </row>
    <row r="112" spans="1:104" x14ac:dyDescent="0.25">
      <c r="A112" t="str">
        <f>"13:52:12.047"</f>
        <v>13:52:12.047</v>
      </c>
      <c r="B112" t="s">
        <v>108</v>
      </c>
      <c r="C112" t="str">
        <f t="shared" si="4"/>
        <v>ffdfd3c0</v>
      </c>
      <c r="D112" t="s">
        <v>109</v>
      </c>
      <c r="E112">
        <v>4</v>
      </c>
      <c r="F112">
        <v>1004</v>
      </c>
      <c r="G112" t="s">
        <v>110</v>
      </c>
      <c r="J112" t="s">
        <v>111</v>
      </c>
      <c r="K112">
        <v>0</v>
      </c>
      <c r="L112">
        <v>3</v>
      </c>
      <c r="M112">
        <v>0</v>
      </c>
      <c r="N112">
        <v>2</v>
      </c>
      <c r="O112">
        <v>1</v>
      </c>
      <c r="P112">
        <v>0</v>
      </c>
      <c r="Q112">
        <v>0</v>
      </c>
      <c r="R112" t="s">
        <v>112</v>
      </c>
      <c r="S112" t="str">
        <f>"13:52:11.883"</f>
        <v>13:52:11.883</v>
      </c>
      <c r="T112" t="str">
        <f>"13:52:11.484"</f>
        <v>13:52:11.484</v>
      </c>
      <c r="U112" t="str">
        <f t="shared" si="3"/>
        <v>ad5732</v>
      </c>
      <c r="V112">
        <v>0</v>
      </c>
      <c r="W112">
        <v>0</v>
      </c>
      <c r="X112">
        <v>1</v>
      </c>
      <c r="Z112">
        <v>0</v>
      </c>
      <c r="AA112">
        <v>9</v>
      </c>
      <c r="AB112">
        <v>3</v>
      </c>
      <c r="AC112">
        <v>0</v>
      </c>
      <c r="AD112">
        <v>10</v>
      </c>
      <c r="AE112">
        <v>0</v>
      </c>
      <c r="AF112">
        <v>3</v>
      </c>
      <c r="AG112">
        <v>2</v>
      </c>
      <c r="AH112">
        <v>0</v>
      </c>
      <c r="AI112" t="s">
        <v>346</v>
      </c>
      <c r="AJ112">
        <v>39.133344000000001</v>
      </c>
      <c r="AK112" t="s">
        <v>347</v>
      </c>
      <c r="AL112">
        <v>-77.611778000000001</v>
      </c>
      <c r="AM112">
        <v>100</v>
      </c>
      <c r="AN112">
        <v>2300</v>
      </c>
      <c r="AO112" t="s">
        <v>115</v>
      </c>
      <c r="AP112">
        <v>-3</v>
      </c>
      <c r="AQ112">
        <v>134</v>
      </c>
      <c r="AR112">
        <v>896</v>
      </c>
      <c r="AZ112">
        <v>3614</v>
      </c>
      <c r="BA112">
        <v>1</v>
      </c>
      <c r="BB112" t="str">
        <f t="shared" si="5"/>
        <v xml:space="preserve">N959MJ  </v>
      </c>
      <c r="BC112">
        <v>1</v>
      </c>
      <c r="BE112">
        <v>0</v>
      </c>
      <c r="BF112">
        <v>0</v>
      </c>
      <c r="BG112">
        <v>0</v>
      </c>
      <c r="BH112">
        <v>2550</v>
      </c>
      <c r="BI112">
        <v>250</v>
      </c>
      <c r="BJ112">
        <v>1</v>
      </c>
      <c r="BK112">
        <v>1</v>
      </c>
      <c r="BL112">
        <v>1</v>
      </c>
      <c r="BM112">
        <v>0</v>
      </c>
      <c r="BP112">
        <v>0</v>
      </c>
      <c r="BQ112">
        <v>0</v>
      </c>
      <c r="BX112" t="str">
        <f>"13:52:11.891"</f>
        <v>13:52:11.891</v>
      </c>
      <c r="BY112" t="str">
        <f>"890104052"</f>
        <v>890104052</v>
      </c>
      <c r="CL112">
        <v>3</v>
      </c>
      <c r="CM112">
        <v>2</v>
      </c>
      <c r="CN112">
        <v>0</v>
      </c>
      <c r="CO112">
        <v>2</v>
      </c>
      <c r="CP112">
        <v>0</v>
      </c>
      <c r="CQ112">
        <v>5</v>
      </c>
      <c r="CR112" t="s">
        <v>116</v>
      </c>
      <c r="CS112">
        <v>525</v>
      </c>
      <c r="CT112">
        <v>2</v>
      </c>
      <c r="CU112" t="s">
        <v>140</v>
      </c>
      <c r="CV112" t="s">
        <v>141</v>
      </c>
      <c r="CY112">
        <v>13742989</v>
      </c>
      <c r="CZ112" t="s">
        <v>119</v>
      </c>
    </row>
    <row r="113" spans="1:104" x14ac:dyDescent="0.25">
      <c r="A113" t="str">
        <f>"13:52:13.008"</f>
        <v>13:52:13.008</v>
      </c>
      <c r="B113" t="s">
        <v>108</v>
      </c>
      <c r="C113" t="str">
        <f t="shared" si="4"/>
        <v>ffdfd3c0</v>
      </c>
      <c r="D113" t="s">
        <v>109</v>
      </c>
      <c r="E113">
        <v>4</v>
      </c>
      <c r="F113">
        <v>1004</v>
      </c>
      <c r="G113" t="s">
        <v>110</v>
      </c>
      <c r="J113" t="s">
        <v>111</v>
      </c>
      <c r="K113">
        <v>0</v>
      </c>
      <c r="L113">
        <v>3</v>
      </c>
      <c r="M113">
        <v>0</v>
      </c>
      <c r="N113">
        <v>2</v>
      </c>
      <c r="O113">
        <v>1</v>
      </c>
      <c r="P113">
        <v>0</v>
      </c>
      <c r="Q113">
        <v>0</v>
      </c>
      <c r="R113" t="s">
        <v>112</v>
      </c>
      <c r="S113" t="str">
        <f>"13:52:12.852"</f>
        <v>13:52:12.852</v>
      </c>
      <c r="T113" t="str">
        <f>"13:52:12.453"</f>
        <v>13:52:12.453</v>
      </c>
      <c r="U113" t="str">
        <f t="shared" si="3"/>
        <v>ad5732</v>
      </c>
      <c r="V113">
        <v>0</v>
      </c>
      <c r="W113">
        <v>0</v>
      </c>
      <c r="X113">
        <v>1</v>
      </c>
      <c r="Z113">
        <v>0</v>
      </c>
      <c r="AA113">
        <v>9</v>
      </c>
      <c r="AB113">
        <v>3</v>
      </c>
      <c r="AC113">
        <v>0</v>
      </c>
      <c r="AD113">
        <v>10</v>
      </c>
      <c r="AE113">
        <v>0</v>
      </c>
      <c r="AF113">
        <v>3</v>
      </c>
      <c r="AG113">
        <v>2</v>
      </c>
      <c r="AH113">
        <v>0</v>
      </c>
      <c r="AI113" t="s">
        <v>348</v>
      </c>
      <c r="AJ113">
        <v>39.133901999999999</v>
      </c>
      <c r="AK113" t="s">
        <v>349</v>
      </c>
      <c r="AL113">
        <v>-77.611756</v>
      </c>
      <c r="AM113">
        <v>100</v>
      </c>
      <c r="AN113">
        <v>2300</v>
      </c>
      <c r="AO113" t="s">
        <v>115</v>
      </c>
      <c r="AP113">
        <v>1</v>
      </c>
      <c r="AQ113">
        <v>134</v>
      </c>
      <c r="AR113">
        <v>960</v>
      </c>
      <c r="AZ113">
        <v>3614</v>
      </c>
      <c r="BA113">
        <v>1</v>
      </c>
      <c r="BB113" t="str">
        <f t="shared" si="5"/>
        <v xml:space="preserve">N959MJ  </v>
      </c>
      <c r="BC113">
        <v>1</v>
      </c>
      <c r="BE113">
        <v>0</v>
      </c>
      <c r="BF113">
        <v>0</v>
      </c>
      <c r="BG113">
        <v>0</v>
      </c>
      <c r="BH113">
        <v>2575</v>
      </c>
      <c r="BI113">
        <v>275</v>
      </c>
      <c r="BJ113">
        <v>1</v>
      </c>
      <c r="BK113">
        <v>1</v>
      </c>
      <c r="BL113">
        <v>1</v>
      </c>
      <c r="BM113">
        <v>0</v>
      </c>
      <c r="BP113">
        <v>0</v>
      </c>
      <c r="BQ113">
        <v>0</v>
      </c>
      <c r="BX113" t="str">
        <f>"13:52:12.852"</f>
        <v>13:52:12.852</v>
      </c>
      <c r="BY113" t="str">
        <f>"853498087"</f>
        <v>853498087</v>
      </c>
      <c r="CL113">
        <v>3</v>
      </c>
      <c r="CM113">
        <v>2</v>
      </c>
      <c r="CN113">
        <v>0</v>
      </c>
      <c r="CO113">
        <v>2</v>
      </c>
      <c r="CP113">
        <v>0</v>
      </c>
      <c r="CQ113">
        <v>6</v>
      </c>
      <c r="CR113" t="s">
        <v>116</v>
      </c>
      <c r="CS113">
        <v>525</v>
      </c>
      <c r="CT113">
        <v>2</v>
      </c>
      <c r="CU113" t="s">
        <v>140</v>
      </c>
      <c r="CV113" t="s">
        <v>141</v>
      </c>
      <c r="CY113">
        <v>13744320</v>
      </c>
      <c r="CZ113" t="s">
        <v>119</v>
      </c>
    </row>
    <row r="114" spans="1:104" x14ac:dyDescent="0.25">
      <c r="A114" t="str">
        <f>"13:52:14.117"</f>
        <v>13:52:14.117</v>
      </c>
      <c r="B114" t="s">
        <v>108</v>
      </c>
      <c r="C114" t="str">
        <f t="shared" si="4"/>
        <v>ffdfd3c0</v>
      </c>
      <c r="D114" t="s">
        <v>109</v>
      </c>
      <c r="E114">
        <v>4</v>
      </c>
      <c r="F114">
        <v>1004</v>
      </c>
      <c r="G114" t="s">
        <v>110</v>
      </c>
      <c r="J114" t="s">
        <v>111</v>
      </c>
      <c r="K114">
        <v>0</v>
      </c>
      <c r="L114">
        <v>3</v>
      </c>
      <c r="M114">
        <v>0</v>
      </c>
      <c r="N114">
        <v>2</v>
      </c>
      <c r="O114">
        <v>1</v>
      </c>
      <c r="P114">
        <v>0</v>
      </c>
      <c r="Q114">
        <v>0</v>
      </c>
      <c r="R114" t="s">
        <v>112</v>
      </c>
      <c r="S114" t="str">
        <f>"13:52:13.953"</f>
        <v>13:52:13.953</v>
      </c>
      <c r="T114" t="str">
        <f>"13:52:13.453"</f>
        <v>13:52:13.453</v>
      </c>
      <c r="U114" t="str">
        <f t="shared" si="3"/>
        <v>ad5732</v>
      </c>
      <c r="V114">
        <v>0</v>
      </c>
      <c r="W114">
        <v>0</v>
      </c>
      <c r="X114">
        <v>1</v>
      </c>
      <c r="Z114">
        <v>0</v>
      </c>
      <c r="AA114">
        <v>9</v>
      </c>
      <c r="AB114">
        <v>3</v>
      </c>
      <c r="AC114">
        <v>0</v>
      </c>
      <c r="AD114">
        <v>10</v>
      </c>
      <c r="AE114">
        <v>0</v>
      </c>
      <c r="AF114">
        <v>3</v>
      </c>
      <c r="AG114">
        <v>2</v>
      </c>
      <c r="AH114">
        <v>0</v>
      </c>
      <c r="AI114" t="s">
        <v>350</v>
      </c>
      <c r="AJ114">
        <v>39.134588000000001</v>
      </c>
      <c r="AK114" t="s">
        <v>345</v>
      </c>
      <c r="AL114">
        <v>-77.611712999999995</v>
      </c>
      <c r="AM114">
        <v>100</v>
      </c>
      <c r="AN114">
        <v>2400</v>
      </c>
      <c r="AO114" t="s">
        <v>115</v>
      </c>
      <c r="AP114">
        <v>6</v>
      </c>
      <c r="AQ114">
        <v>134</v>
      </c>
      <c r="AR114">
        <v>1088</v>
      </c>
      <c r="AZ114">
        <v>3614</v>
      </c>
      <c r="BA114">
        <v>1</v>
      </c>
      <c r="BB114" t="str">
        <f t="shared" si="5"/>
        <v xml:space="preserve">N959MJ  </v>
      </c>
      <c r="BC114">
        <v>1</v>
      </c>
      <c r="BE114">
        <v>0</v>
      </c>
      <c r="BF114">
        <v>0</v>
      </c>
      <c r="BG114">
        <v>0</v>
      </c>
      <c r="BH114">
        <v>2600</v>
      </c>
      <c r="BI114">
        <v>200</v>
      </c>
      <c r="BJ114">
        <v>1</v>
      </c>
      <c r="BK114">
        <v>1</v>
      </c>
      <c r="BL114">
        <v>1</v>
      </c>
      <c r="BM114">
        <v>0</v>
      </c>
      <c r="BP114">
        <v>0</v>
      </c>
      <c r="BQ114">
        <v>0</v>
      </c>
      <c r="BX114" t="str">
        <f>"13:52:13.953"</f>
        <v>13:52:13.953</v>
      </c>
      <c r="BY114" t="str">
        <f>"956158317"</f>
        <v>956158317</v>
      </c>
      <c r="CL114">
        <v>3</v>
      </c>
      <c r="CM114">
        <v>2</v>
      </c>
      <c r="CN114">
        <v>0</v>
      </c>
      <c r="CO114">
        <v>2</v>
      </c>
      <c r="CP114">
        <v>0</v>
      </c>
      <c r="CQ114">
        <v>6</v>
      </c>
      <c r="CR114" t="s">
        <v>116</v>
      </c>
      <c r="CS114">
        <v>525</v>
      </c>
      <c r="CT114">
        <v>2</v>
      </c>
      <c r="CU114" t="s">
        <v>140</v>
      </c>
      <c r="CV114" t="s">
        <v>141</v>
      </c>
      <c r="CY114">
        <v>13745986</v>
      </c>
      <c r="CZ114" t="s">
        <v>119</v>
      </c>
    </row>
    <row r="115" spans="1:104" x14ac:dyDescent="0.25">
      <c r="A115" t="str">
        <f>"13:52:15.023"</f>
        <v>13:52:15.023</v>
      </c>
      <c r="B115" t="s">
        <v>108</v>
      </c>
      <c r="C115" t="str">
        <f t="shared" si="4"/>
        <v>ffdfd3c0</v>
      </c>
      <c r="D115" t="s">
        <v>109</v>
      </c>
      <c r="E115">
        <v>4</v>
      </c>
      <c r="F115">
        <v>1004</v>
      </c>
      <c r="G115" t="s">
        <v>110</v>
      </c>
      <c r="J115" t="s">
        <v>111</v>
      </c>
      <c r="K115">
        <v>0</v>
      </c>
      <c r="L115">
        <v>3</v>
      </c>
      <c r="M115">
        <v>0</v>
      </c>
      <c r="N115">
        <v>2</v>
      </c>
      <c r="O115">
        <v>1</v>
      </c>
      <c r="P115">
        <v>0</v>
      </c>
      <c r="Q115">
        <v>0</v>
      </c>
      <c r="R115" t="s">
        <v>112</v>
      </c>
      <c r="S115" t="str">
        <f>"13:52:14.836"</f>
        <v>13:52:14.836</v>
      </c>
      <c r="T115" t="str">
        <f>"13:52:14.438"</f>
        <v>13:52:14.438</v>
      </c>
      <c r="U115" t="str">
        <f t="shared" si="3"/>
        <v>ad5732</v>
      </c>
      <c r="V115">
        <v>0</v>
      </c>
      <c r="W115">
        <v>0</v>
      </c>
      <c r="X115">
        <v>1</v>
      </c>
      <c r="Z115">
        <v>0</v>
      </c>
      <c r="AA115">
        <v>9</v>
      </c>
      <c r="AB115">
        <v>3</v>
      </c>
      <c r="AC115">
        <v>0</v>
      </c>
      <c r="AD115">
        <v>10</v>
      </c>
      <c r="AE115">
        <v>0</v>
      </c>
      <c r="AF115">
        <v>3</v>
      </c>
      <c r="AG115">
        <v>2</v>
      </c>
      <c r="AH115">
        <v>0</v>
      </c>
      <c r="AI115" t="s">
        <v>351</v>
      </c>
      <c r="AJ115">
        <v>39.135168</v>
      </c>
      <c r="AK115" t="s">
        <v>343</v>
      </c>
      <c r="AL115">
        <v>-77.611627999999996</v>
      </c>
      <c r="AM115">
        <v>100</v>
      </c>
      <c r="AN115">
        <v>2400</v>
      </c>
      <c r="AO115" t="s">
        <v>115</v>
      </c>
      <c r="AP115">
        <v>10</v>
      </c>
      <c r="AQ115">
        <v>133</v>
      </c>
      <c r="AR115">
        <v>1152</v>
      </c>
      <c r="AZ115">
        <v>3614</v>
      </c>
      <c r="BA115">
        <v>1</v>
      </c>
      <c r="BB115" t="str">
        <f t="shared" si="5"/>
        <v xml:space="preserve">N959MJ  </v>
      </c>
      <c r="BC115">
        <v>1</v>
      </c>
      <c r="BE115">
        <v>0</v>
      </c>
      <c r="BF115">
        <v>0</v>
      </c>
      <c r="BG115">
        <v>0</v>
      </c>
      <c r="BH115">
        <v>2600</v>
      </c>
      <c r="BI115">
        <v>200</v>
      </c>
      <c r="BJ115">
        <v>1</v>
      </c>
      <c r="BK115">
        <v>1</v>
      </c>
      <c r="BL115">
        <v>1</v>
      </c>
      <c r="BM115">
        <v>0</v>
      </c>
      <c r="BP115">
        <v>0</v>
      </c>
      <c r="BQ115">
        <v>0</v>
      </c>
      <c r="BX115" t="str">
        <f>"13:52:14.836"</f>
        <v>13:52:14.836</v>
      </c>
      <c r="BY115" t="str">
        <f>"837631094"</f>
        <v>837631094</v>
      </c>
      <c r="CL115">
        <v>3</v>
      </c>
      <c r="CM115">
        <v>2</v>
      </c>
      <c r="CN115">
        <v>0</v>
      </c>
      <c r="CO115">
        <v>2</v>
      </c>
      <c r="CP115">
        <v>0</v>
      </c>
      <c r="CQ115">
        <v>6</v>
      </c>
      <c r="CR115" t="s">
        <v>116</v>
      </c>
      <c r="CS115">
        <v>525</v>
      </c>
      <c r="CT115">
        <v>2</v>
      </c>
      <c r="CU115" t="s">
        <v>140</v>
      </c>
      <c r="CV115" t="s">
        <v>141</v>
      </c>
      <c r="CY115">
        <v>13747443</v>
      </c>
      <c r="CZ115" t="s">
        <v>119</v>
      </c>
    </row>
    <row r="116" spans="1:104" x14ac:dyDescent="0.25">
      <c r="A116" t="str">
        <f>"13:52:15.938"</f>
        <v>13:52:15.938</v>
      </c>
      <c r="B116" t="s">
        <v>108</v>
      </c>
      <c r="C116" t="str">
        <f t="shared" si="4"/>
        <v>ffdfd3c0</v>
      </c>
      <c r="D116" t="s">
        <v>109</v>
      </c>
      <c r="E116">
        <v>4</v>
      </c>
      <c r="F116">
        <v>1004</v>
      </c>
      <c r="G116" t="s">
        <v>110</v>
      </c>
      <c r="J116" t="s">
        <v>111</v>
      </c>
      <c r="K116">
        <v>0</v>
      </c>
      <c r="L116">
        <v>3</v>
      </c>
      <c r="M116">
        <v>0</v>
      </c>
      <c r="N116">
        <v>2</v>
      </c>
      <c r="O116">
        <v>1</v>
      </c>
      <c r="P116">
        <v>0</v>
      </c>
      <c r="Q116">
        <v>0</v>
      </c>
      <c r="R116" t="s">
        <v>112</v>
      </c>
      <c r="S116" t="str">
        <f>"13:52:15.742"</f>
        <v>13:52:15.742</v>
      </c>
      <c r="T116" t="str">
        <f>"13:52:15.344"</f>
        <v>13:52:15.344</v>
      </c>
      <c r="U116" t="str">
        <f t="shared" si="3"/>
        <v>ad5732</v>
      </c>
      <c r="V116">
        <v>0</v>
      </c>
      <c r="W116">
        <v>0</v>
      </c>
      <c r="X116">
        <v>1</v>
      </c>
      <c r="Z116">
        <v>0</v>
      </c>
      <c r="AA116">
        <v>9</v>
      </c>
      <c r="AB116">
        <v>3</v>
      </c>
      <c r="AC116">
        <v>0</v>
      </c>
      <c r="AD116">
        <v>10</v>
      </c>
      <c r="AE116">
        <v>0</v>
      </c>
      <c r="AF116">
        <v>3</v>
      </c>
      <c r="AG116">
        <v>2</v>
      </c>
      <c r="AH116">
        <v>0</v>
      </c>
      <c r="AI116" t="s">
        <v>352</v>
      </c>
      <c r="AJ116">
        <v>39.135725000000001</v>
      </c>
      <c r="AK116" t="s">
        <v>341</v>
      </c>
      <c r="AL116">
        <v>-77.611542</v>
      </c>
      <c r="AM116">
        <v>100</v>
      </c>
      <c r="AN116">
        <v>2400</v>
      </c>
      <c r="AO116" t="s">
        <v>115</v>
      </c>
      <c r="AP116">
        <v>13</v>
      </c>
      <c r="AQ116">
        <v>133</v>
      </c>
      <c r="AR116">
        <v>1216</v>
      </c>
      <c r="AZ116">
        <v>3614</v>
      </c>
      <c r="BA116">
        <v>1</v>
      </c>
      <c r="BB116" t="str">
        <f t="shared" si="5"/>
        <v xml:space="preserve">N959MJ  </v>
      </c>
      <c r="BC116">
        <v>1</v>
      </c>
      <c r="BE116">
        <v>0</v>
      </c>
      <c r="BF116">
        <v>0</v>
      </c>
      <c r="BG116">
        <v>0</v>
      </c>
      <c r="BH116">
        <v>2625</v>
      </c>
      <c r="BI116">
        <v>225</v>
      </c>
      <c r="BJ116">
        <v>1</v>
      </c>
      <c r="BK116">
        <v>1</v>
      </c>
      <c r="BL116">
        <v>1</v>
      </c>
      <c r="BM116">
        <v>0</v>
      </c>
      <c r="BP116">
        <v>0</v>
      </c>
      <c r="BQ116">
        <v>0</v>
      </c>
      <c r="BX116" t="str">
        <f>"13:52:15.742"</f>
        <v>13:52:15.742</v>
      </c>
      <c r="BY116" t="str">
        <f>"745318785"</f>
        <v>745318785</v>
      </c>
      <c r="CL116">
        <v>3</v>
      </c>
      <c r="CM116">
        <v>2</v>
      </c>
      <c r="CN116">
        <v>0</v>
      </c>
      <c r="CO116">
        <v>2</v>
      </c>
      <c r="CP116">
        <v>0</v>
      </c>
      <c r="CQ116">
        <v>6</v>
      </c>
      <c r="CR116" t="s">
        <v>116</v>
      </c>
      <c r="CS116">
        <v>525</v>
      </c>
      <c r="CT116">
        <v>2</v>
      </c>
      <c r="CU116" t="s">
        <v>140</v>
      </c>
      <c r="CV116" t="s">
        <v>141</v>
      </c>
      <c r="CY116">
        <v>13748820</v>
      </c>
      <c r="CZ116" t="s">
        <v>119</v>
      </c>
    </row>
    <row r="117" spans="1:104" x14ac:dyDescent="0.25">
      <c r="A117" t="str">
        <f>"13:52:16.844"</f>
        <v>13:52:16.844</v>
      </c>
      <c r="B117" t="s">
        <v>108</v>
      </c>
      <c r="C117" t="str">
        <f t="shared" si="4"/>
        <v>ffdfd3c0</v>
      </c>
      <c r="D117" t="s">
        <v>109</v>
      </c>
      <c r="E117">
        <v>4</v>
      </c>
      <c r="F117">
        <v>1004</v>
      </c>
      <c r="G117" t="s">
        <v>110</v>
      </c>
      <c r="J117" t="s">
        <v>111</v>
      </c>
      <c r="K117">
        <v>0</v>
      </c>
      <c r="L117">
        <v>3</v>
      </c>
      <c r="M117">
        <v>0</v>
      </c>
      <c r="N117">
        <v>2</v>
      </c>
      <c r="O117">
        <v>1</v>
      </c>
      <c r="P117">
        <v>0</v>
      </c>
      <c r="Q117">
        <v>0</v>
      </c>
      <c r="R117" t="s">
        <v>112</v>
      </c>
      <c r="S117" t="str">
        <f>"13:52:16.656"</f>
        <v>13:52:16.656</v>
      </c>
      <c r="T117" t="str">
        <f>"13:52:16.258"</f>
        <v>13:52:16.258</v>
      </c>
      <c r="U117" t="str">
        <f t="shared" si="3"/>
        <v>ad5732</v>
      </c>
      <c r="V117">
        <v>0</v>
      </c>
      <c r="W117">
        <v>0</v>
      </c>
      <c r="X117">
        <v>1</v>
      </c>
      <c r="Z117">
        <v>0</v>
      </c>
      <c r="AA117">
        <v>9</v>
      </c>
      <c r="AB117">
        <v>3</v>
      </c>
      <c r="AC117">
        <v>0</v>
      </c>
      <c r="AD117">
        <v>10</v>
      </c>
      <c r="AE117">
        <v>0</v>
      </c>
      <c r="AF117">
        <v>3</v>
      </c>
      <c r="AG117">
        <v>2</v>
      </c>
      <c r="AH117">
        <v>0</v>
      </c>
      <c r="AI117" t="s">
        <v>353</v>
      </c>
      <c r="AJ117">
        <v>39.136282999999999</v>
      </c>
      <c r="AK117" t="s">
        <v>339</v>
      </c>
      <c r="AL117">
        <v>-77.611456000000004</v>
      </c>
      <c r="AM117">
        <v>100</v>
      </c>
      <c r="AN117">
        <v>2400</v>
      </c>
      <c r="AO117" t="s">
        <v>115</v>
      </c>
      <c r="AP117">
        <v>18</v>
      </c>
      <c r="AQ117">
        <v>132</v>
      </c>
      <c r="AR117">
        <v>1216</v>
      </c>
      <c r="AZ117">
        <v>3614</v>
      </c>
      <c r="BA117">
        <v>1</v>
      </c>
      <c r="BB117" t="str">
        <f t="shared" si="5"/>
        <v xml:space="preserve">N959MJ  </v>
      </c>
      <c r="BC117">
        <v>1</v>
      </c>
      <c r="BE117">
        <v>0</v>
      </c>
      <c r="BF117">
        <v>0</v>
      </c>
      <c r="BG117">
        <v>0</v>
      </c>
      <c r="BH117">
        <v>2650</v>
      </c>
      <c r="BI117">
        <v>250</v>
      </c>
      <c r="BJ117">
        <v>1</v>
      </c>
      <c r="BK117">
        <v>1</v>
      </c>
      <c r="BL117">
        <v>1</v>
      </c>
      <c r="BM117">
        <v>0</v>
      </c>
      <c r="BP117">
        <v>0</v>
      </c>
      <c r="BQ117">
        <v>0</v>
      </c>
      <c r="BX117" t="str">
        <f>"13:52:16.656"</f>
        <v>13:52:16.656</v>
      </c>
      <c r="BY117" t="str">
        <f>"656283118"</f>
        <v>656283118</v>
      </c>
      <c r="CL117">
        <v>3</v>
      </c>
      <c r="CM117">
        <v>2</v>
      </c>
      <c r="CN117">
        <v>0</v>
      </c>
      <c r="CO117">
        <v>2</v>
      </c>
      <c r="CP117">
        <v>0</v>
      </c>
      <c r="CQ117">
        <v>6</v>
      </c>
      <c r="CR117" t="s">
        <v>116</v>
      </c>
      <c r="CS117">
        <v>525</v>
      </c>
      <c r="CT117">
        <v>2</v>
      </c>
      <c r="CU117" t="s">
        <v>140</v>
      </c>
      <c r="CV117" t="s">
        <v>141</v>
      </c>
      <c r="CY117">
        <v>13750194</v>
      </c>
      <c r="CZ117" t="s">
        <v>119</v>
      </c>
    </row>
    <row r="118" spans="1:104" x14ac:dyDescent="0.25">
      <c r="A118" t="str">
        <f>"13:52:17.906"</f>
        <v>13:52:17.906</v>
      </c>
      <c r="B118" t="s">
        <v>108</v>
      </c>
      <c r="C118" t="str">
        <f t="shared" si="4"/>
        <v>ffdfd3c0</v>
      </c>
      <c r="D118" t="s">
        <v>109</v>
      </c>
      <c r="E118">
        <v>4</v>
      </c>
      <c r="F118">
        <v>1004</v>
      </c>
      <c r="G118" t="s">
        <v>110</v>
      </c>
      <c r="J118" t="s">
        <v>111</v>
      </c>
      <c r="K118">
        <v>0</v>
      </c>
      <c r="L118">
        <v>3</v>
      </c>
      <c r="M118">
        <v>0</v>
      </c>
      <c r="N118">
        <v>2</v>
      </c>
      <c r="O118">
        <v>1</v>
      </c>
      <c r="P118">
        <v>0</v>
      </c>
      <c r="Q118">
        <v>0</v>
      </c>
      <c r="R118" t="s">
        <v>112</v>
      </c>
      <c r="S118" t="str">
        <f>"13:52:17.734"</f>
        <v>13:52:17.734</v>
      </c>
      <c r="T118" t="str">
        <f>"13:52:17.234"</f>
        <v>13:52:17.234</v>
      </c>
      <c r="U118" t="str">
        <f t="shared" si="3"/>
        <v>ad5732</v>
      </c>
      <c r="V118">
        <v>0</v>
      </c>
      <c r="W118">
        <v>0</v>
      </c>
      <c r="X118">
        <v>1</v>
      </c>
      <c r="Z118">
        <v>0</v>
      </c>
      <c r="AA118">
        <v>9</v>
      </c>
      <c r="AB118">
        <v>3</v>
      </c>
      <c r="AC118">
        <v>0</v>
      </c>
      <c r="AD118">
        <v>10</v>
      </c>
      <c r="AE118">
        <v>0</v>
      </c>
      <c r="AF118">
        <v>3</v>
      </c>
      <c r="AG118">
        <v>2</v>
      </c>
      <c r="AH118">
        <v>0</v>
      </c>
      <c r="AI118" t="s">
        <v>354</v>
      </c>
      <c r="AJ118">
        <v>39.136927</v>
      </c>
      <c r="AK118" t="s">
        <v>355</v>
      </c>
      <c r="AL118">
        <v>-77.611305999999999</v>
      </c>
      <c r="AM118">
        <v>100</v>
      </c>
      <c r="AN118">
        <v>2500</v>
      </c>
      <c r="AO118" t="s">
        <v>115</v>
      </c>
      <c r="AP118">
        <v>21</v>
      </c>
      <c r="AQ118">
        <v>131</v>
      </c>
      <c r="AR118">
        <v>1280</v>
      </c>
      <c r="AZ118">
        <v>3614</v>
      </c>
      <c r="BA118">
        <v>1</v>
      </c>
      <c r="BB118" t="str">
        <f t="shared" si="5"/>
        <v xml:space="preserve">N959MJ  </v>
      </c>
      <c r="BC118">
        <v>1</v>
      </c>
      <c r="BE118">
        <v>0</v>
      </c>
      <c r="BF118">
        <v>0</v>
      </c>
      <c r="BG118">
        <v>0</v>
      </c>
      <c r="BH118">
        <v>2650</v>
      </c>
      <c r="BI118">
        <v>150</v>
      </c>
      <c r="BJ118">
        <v>1</v>
      </c>
      <c r="BK118">
        <v>1</v>
      </c>
      <c r="BL118">
        <v>1</v>
      </c>
      <c r="BM118">
        <v>0</v>
      </c>
      <c r="BP118">
        <v>0</v>
      </c>
      <c r="BQ118">
        <v>0</v>
      </c>
      <c r="BX118" t="str">
        <f>"13:52:17.734"</f>
        <v>13:52:17.734</v>
      </c>
      <c r="BY118" t="str">
        <f>"737643820"</f>
        <v>737643820</v>
      </c>
      <c r="CL118">
        <v>3</v>
      </c>
      <c r="CM118">
        <v>2</v>
      </c>
      <c r="CN118">
        <v>0</v>
      </c>
      <c r="CO118">
        <v>2</v>
      </c>
      <c r="CP118">
        <v>0</v>
      </c>
      <c r="CQ118">
        <v>6</v>
      </c>
      <c r="CR118" t="s">
        <v>116</v>
      </c>
      <c r="CS118">
        <v>525</v>
      </c>
      <c r="CT118">
        <v>2</v>
      </c>
      <c r="CU118" t="s">
        <v>140</v>
      </c>
      <c r="CV118" t="s">
        <v>141</v>
      </c>
      <c r="CY118">
        <v>13751636</v>
      </c>
      <c r="CZ118" t="s">
        <v>119</v>
      </c>
    </row>
    <row r="119" spans="1:104" x14ac:dyDescent="0.25">
      <c r="A119" t="str">
        <f>"13:52:18.961"</f>
        <v>13:52:18.961</v>
      </c>
      <c r="B119" t="s">
        <v>108</v>
      </c>
      <c r="C119" t="str">
        <f t="shared" si="4"/>
        <v>ffdfd3c0</v>
      </c>
      <c r="D119" t="s">
        <v>109</v>
      </c>
      <c r="E119">
        <v>4</v>
      </c>
      <c r="F119">
        <v>1004</v>
      </c>
      <c r="G119" t="s">
        <v>110</v>
      </c>
      <c r="J119" t="s">
        <v>111</v>
      </c>
      <c r="K119">
        <v>0</v>
      </c>
      <c r="L119">
        <v>3</v>
      </c>
      <c r="M119">
        <v>0</v>
      </c>
      <c r="N119">
        <v>2</v>
      </c>
      <c r="O119">
        <v>1</v>
      </c>
      <c r="P119">
        <v>0</v>
      </c>
      <c r="Q119">
        <v>0</v>
      </c>
      <c r="R119" t="s">
        <v>112</v>
      </c>
      <c r="S119" t="str">
        <f>"13:52:18.758"</f>
        <v>13:52:18.758</v>
      </c>
      <c r="T119" t="str">
        <f>"13:52:18.258"</f>
        <v>13:52:18.258</v>
      </c>
      <c r="U119" t="str">
        <f t="shared" si="3"/>
        <v>ad5732</v>
      </c>
      <c r="V119">
        <v>0</v>
      </c>
      <c r="W119">
        <v>0</v>
      </c>
      <c r="X119">
        <v>1</v>
      </c>
      <c r="Z119">
        <v>0</v>
      </c>
      <c r="AA119">
        <v>9</v>
      </c>
      <c r="AB119">
        <v>3</v>
      </c>
      <c r="AC119">
        <v>0</v>
      </c>
      <c r="AD119">
        <v>10</v>
      </c>
      <c r="AE119">
        <v>0</v>
      </c>
      <c r="AF119">
        <v>3</v>
      </c>
      <c r="AG119">
        <v>2</v>
      </c>
      <c r="AH119">
        <v>0</v>
      </c>
      <c r="AI119" t="s">
        <v>356</v>
      </c>
      <c r="AJ119">
        <v>39.137506000000002</v>
      </c>
      <c r="AK119" t="s">
        <v>357</v>
      </c>
      <c r="AL119">
        <v>-77.611176999999998</v>
      </c>
      <c r="AM119">
        <v>100</v>
      </c>
      <c r="AN119">
        <v>2500</v>
      </c>
      <c r="AO119" t="s">
        <v>115</v>
      </c>
      <c r="AP119">
        <v>26</v>
      </c>
      <c r="AQ119">
        <v>130</v>
      </c>
      <c r="AR119">
        <v>1280</v>
      </c>
      <c r="AZ119">
        <v>3614</v>
      </c>
      <c r="BA119">
        <v>1</v>
      </c>
      <c r="BB119" t="str">
        <f t="shared" si="5"/>
        <v xml:space="preserve">N959MJ  </v>
      </c>
      <c r="BC119">
        <v>1</v>
      </c>
      <c r="BE119">
        <v>0</v>
      </c>
      <c r="BF119">
        <v>0</v>
      </c>
      <c r="BG119">
        <v>0</v>
      </c>
      <c r="BH119">
        <v>2675</v>
      </c>
      <c r="BI119">
        <v>175</v>
      </c>
      <c r="BJ119">
        <v>1</v>
      </c>
      <c r="BK119">
        <v>1</v>
      </c>
      <c r="BL119">
        <v>1</v>
      </c>
      <c r="BM119">
        <v>0</v>
      </c>
      <c r="BP119">
        <v>0</v>
      </c>
      <c r="BQ119">
        <v>0</v>
      </c>
      <c r="BX119" t="str">
        <f>"13:52:18.758"</f>
        <v>13:52:18.758</v>
      </c>
      <c r="BY119" t="str">
        <f>"758382706"</f>
        <v>758382706</v>
      </c>
      <c r="CL119">
        <v>3</v>
      </c>
      <c r="CM119">
        <v>2</v>
      </c>
      <c r="CN119">
        <v>0</v>
      </c>
      <c r="CO119">
        <v>2</v>
      </c>
      <c r="CP119">
        <v>0</v>
      </c>
      <c r="CQ119">
        <v>6</v>
      </c>
      <c r="CR119" t="s">
        <v>116</v>
      </c>
      <c r="CS119">
        <v>525</v>
      </c>
      <c r="CT119">
        <v>3</v>
      </c>
      <c r="CU119" t="s">
        <v>140</v>
      </c>
      <c r="CV119" t="s">
        <v>141</v>
      </c>
      <c r="CY119">
        <v>165323</v>
      </c>
      <c r="CZ119" t="s">
        <v>119</v>
      </c>
    </row>
    <row r="120" spans="1:104" x14ac:dyDescent="0.25">
      <c r="A120" t="str">
        <f>"13:52:19.977"</f>
        <v>13:52:19.977</v>
      </c>
      <c r="B120" t="s">
        <v>108</v>
      </c>
      <c r="C120" t="str">
        <f t="shared" si="4"/>
        <v>ffdfd3c0</v>
      </c>
      <c r="D120" t="s">
        <v>109</v>
      </c>
      <c r="E120">
        <v>4</v>
      </c>
      <c r="F120">
        <v>1004</v>
      </c>
      <c r="G120" t="s">
        <v>110</v>
      </c>
      <c r="J120" t="s">
        <v>111</v>
      </c>
      <c r="K120">
        <v>0</v>
      </c>
      <c r="L120">
        <v>3</v>
      </c>
      <c r="M120">
        <v>0</v>
      </c>
      <c r="N120">
        <v>2</v>
      </c>
      <c r="O120">
        <v>1</v>
      </c>
      <c r="P120">
        <v>0</v>
      </c>
      <c r="Q120">
        <v>0</v>
      </c>
      <c r="R120" t="s">
        <v>112</v>
      </c>
      <c r="S120" t="str">
        <f>"13:52:19.758"</f>
        <v>13:52:19.758</v>
      </c>
      <c r="T120" t="str">
        <f>"13:52:19.359"</f>
        <v>13:52:19.359</v>
      </c>
      <c r="U120" t="str">
        <f t="shared" si="3"/>
        <v>ad5732</v>
      </c>
      <c r="V120">
        <v>0</v>
      </c>
      <c r="W120">
        <v>0</v>
      </c>
      <c r="X120">
        <v>1</v>
      </c>
      <c r="Z120">
        <v>0</v>
      </c>
      <c r="AA120">
        <v>9</v>
      </c>
      <c r="AB120">
        <v>3</v>
      </c>
      <c r="AC120">
        <v>0</v>
      </c>
      <c r="AD120">
        <v>10</v>
      </c>
      <c r="AE120">
        <v>0</v>
      </c>
      <c r="AF120">
        <v>3</v>
      </c>
      <c r="AG120">
        <v>2</v>
      </c>
      <c r="AH120">
        <v>0</v>
      </c>
      <c r="AI120" t="s">
        <v>358</v>
      </c>
      <c r="AJ120">
        <v>39.138106999999998</v>
      </c>
      <c r="AK120" t="s">
        <v>359</v>
      </c>
      <c r="AL120">
        <v>-77.611005000000006</v>
      </c>
      <c r="AM120">
        <v>100</v>
      </c>
      <c r="AN120">
        <v>2500</v>
      </c>
      <c r="AO120" t="s">
        <v>115</v>
      </c>
      <c r="AP120">
        <v>30</v>
      </c>
      <c r="AQ120">
        <v>128</v>
      </c>
      <c r="AR120">
        <v>1280</v>
      </c>
      <c r="AZ120">
        <v>3614</v>
      </c>
      <c r="BA120">
        <v>1</v>
      </c>
      <c r="BB120" t="str">
        <f t="shared" si="5"/>
        <v xml:space="preserve">N959MJ  </v>
      </c>
      <c r="BC120">
        <v>1</v>
      </c>
      <c r="BE120">
        <v>0</v>
      </c>
      <c r="BF120">
        <v>0</v>
      </c>
      <c r="BG120">
        <v>0</v>
      </c>
      <c r="BH120">
        <v>2700</v>
      </c>
      <c r="BI120">
        <v>200</v>
      </c>
      <c r="BJ120">
        <v>1</v>
      </c>
      <c r="BK120">
        <v>1</v>
      </c>
      <c r="BL120">
        <v>1</v>
      </c>
      <c r="BM120">
        <v>0</v>
      </c>
      <c r="BP120">
        <v>0</v>
      </c>
      <c r="BQ120">
        <v>0</v>
      </c>
      <c r="BX120" t="str">
        <f>"13:52:19.766"</f>
        <v>13:52:19.766</v>
      </c>
      <c r="BY120" t="str">
        <f>"764478492"</f>
        <v>764478492</v>
      </c>
      <c r="CL120">
        <v>3</v>
      </c>
      <c r="CM120">
        <v>2</v>
      </c>
      <c r="CN120">
        <v>0</v>
      </c>
      <c r="CO120">
        <v>2</v>
      </c>
      <c r="CP120">
        <v>0</v>
      </c>
      <c r="CQ120">
        <v>6</v>
      </c>
      <c r="CR120" t="s">
        <v>116</v>
      </c>
      <c r="CS120">
        <v>150</v>
      </c>
      <c r="CT120">
        <v>1</v>
      </c>
      <c r="CU120" t="s">
        <v>252</v>
      </c>
      <c r="CV120" t="s">
        <v>253</v>
      </c>
      <c r="CY120">
        <v>3968445</v>
      </c>
      <c r="CZ120" t="s">
        <v>119</v>
      </c>
    </row>
    <row r="121" spans="1:104" x14ac:dyDescent="0.25">
      <c r="A121" t="str">
        <f>"13:52:20.984"</f>
        <v>13:52:20.984</v>
      </c>
      <c r="B121" t="s">
        <v>108</v>
      </c>
      <c r="C121" t="str">
        <f t="shared" si="4"/>
        <v>ffdfd3c0</v>
      </c>
      <c r="D121" t="s">
        <v>109</v>
      </c>
      <c r="E121">
        <v>4</v>
      </c>
      <c r="F121">
        <v>1004</v>
      </c>
      <c r="G121" t="s">
        <v>110</v>
      </c>
      <c r="J121" t="s">
        <v>111</v>
      </c>
      <c r="K121">
        <v>0</v>
      </c>
      <c r="L121">
        <v>3</v>
      </c>
      <c r="M121">
        <v>0</v>
      </c>
      <c r="N121">
        <v>2</v>
      </c>
      <c r="O121">
        <v>1</v>
      </c>
      <c r="P121">
        <v>0</v>
      </c>
      <c r="Q121">
        <v>0</v>
      </c>
      <c r="R121" t="s">
        <v>112</v>
      </c>
      <c r="S121" t="str">
        <f>"13:52:20.797"</f>
        <v>13:52:20.797</v>
      </c>
      <c r="T121" t="str">
        <f>"13:52:20.398"</f>
        <v>13:52:20.398</v>
      </c>
      <c r="U121" t="str">
        <f t="shared" si="3"/>
        <v>ad5732</v>
      </c>
      <c r="V121">
        <v>0</v>
      </c>
      <c r="W121">
        <v>0</v>
      </c>
      <c r="X121">
        <v>1</v>
      </c>
      <c r="Z121">
        <v>0</v>
      </c>
      <c r="AA121">
        <v>9</v>
      </c>
      <c r="AB121">
        <v>3</v>
      </c>
      <c r="AC121">
        <v>0</v>
      </c>
      <c r="AD121">
        <v>10</v>
      </c>
      <c r="AE121">
        <v>0</v>
      </c>
      <c r="AF121">
        <v>3</v>
      </c>
      <c r="AG121">
        <v>2</v>
      </c>
      <c r="AH121">
        <v>0</v>
      </c>
      <c r="AI121" t="s">
        <v>360</v>
      </c>
      <c r="AJ121">
        <v>39.138793999999997</v>
      </c>
      <c r="AK121" t="s">
        <v>331</v>
      </c>
      <c r="AL121">
        <v>-77.610769000000005</v>
      </c>
      <c r="AM121">
        <v>100</v>
      </c>
      <c r="AN121">
        <v>2500</v>
      </c>
      <c r="AO121" t="s">
        <v>115</v>
      </c>
      <c r="AP121">
        <v>33</v>
      </c>
      <c r="AQ121">
        <v>127</v>
      </c>
      <c r="AR121">
        <v>1216</v>
      </c>
      <c r="AZ121">
        <v>3614</v>
      </c>
      <c r="BA121">
        <v>1</v>
      </c>
      <c r="BB121" t="str">
        <f t="shared" si="5"/>
        <v xml:space="preserve">N959MJ  </v>
      </c>
      <c r="BC121">
        <v>1</v>
      </c>
      <c r="BE121">
        <v>0</v>
      </c>
      <c r="BF121">
        <v>0</v>
      </c>
      <c r="BG121">
        <v>0</v>
      </c>
      <c r="BH121">
        <v>2725</v>
      </c>
      <c r="BI121">
        <v>225</v>
      </c>
      <c r="BJ121">
        <v>1</v>
      </c>
      <c r="BK121">
        <v>1</v>
      </c>
      <c r="BL121">
        <v>1</v>
      </c>
      <c r="BM121">
        <v>0</v>
      </c>
      <c r="BP121">
        <v>0</v>
      </c>
      <c r="BQ121">
        <v>0</v>
      </c>
      <c r="BX121" t="str">
        <f>"13:52:20.805"</f>
        <v>13:52:20.805</v>
      </c>
      <c r="BY121" t="str">
        <f>"803147643"</f>
        <v>803147643</v>
      </c>
      <c r="CL121">
        <v>3</v>
      </c>
      <c r="CM121">
        <v>2</v>
      </c>
      <c r="CN121">
        <v>0</v>
      </c>
      <c r="CO121">
        <v>2</v>
      </c>
      <c r="CP121">
        <v>0</v>
      </c>
      <c r="CQ121">
        <v>5</v>
      </c>
      <c r="CR121" t="s">
        <v>116</v>
      </c>
      <c r="CS121">
        <v>147</v>
      </c>
      <c r="CT121">
        <v>3</v>
      </c>
      <c r="CU121" t="s">
        <v>117</v>
      </c>
      <c r="CV121" t="s">
        <v>118</v>
      </c>
      <c r="CY121">
        <v>15980199</v>
      </c>
      <c r="CZ121" t="s">
        <v>119</v>
      </c>
    </row>
    <row r="122" spans="1:104" x14ac:dyDescent="0.25">
      <c r="A122" t="str">
        <f>"13:52:21.992"</f>
        <v>13:52:21.992</v>
      </c>
      <c r="B122" t="s">
        <v>108</v>
      </c>
      <c r="C122" t="str">
        <f t="shared" si="4"/>
        <v>ffdfd3c0</v>
      </c>
      <c r="D122" t="s">
        <v>109</v>
      </c>
      <c r="E122">
        <v>4</v>
      </c>
      <c r="F122">
        <v>1004</v>
      </c>
      <c r="G122" t="s">
        <v>110</v>
      </c>
      <c r="J122" t="s">
        <v>111</v>
      </c>
      <c r="K122">
        <v>0</v>
      </c>
      <c r="L122">
        <v>3</v>
      </c>
      <c r="M122">
        <v>0</v>
      </c>
      <c r="N122">
        <v>2</v>
      </c>
      <c r="O122">
        <v>1</v>
      </c>
      <c r="P122">
        <v>0</v>
      </c>
      <c r="Q122">
        <v>0</v>
      </c>
      <c r="R122" t="s">
        <v>112</v>
      </c>
      <c r="S122" t="str">
        <f>"13:52:21.797"</f>
        <v>13:52:21.797</v>
      </c>
      <c r="T122" t="str">
        <f>"13:52:21.297"</f>
        <v>13:52:21.297</v>
      </c>
      <c r="U122" t="str">
        <f t="shared" si="3"/>
        <v>ad5732</v>
      </c>
      <c r="V122">
        <v>0</v>
      </c>
      <c r="W122">
        <v>0</v>
      </c>
      <c r="X122">
        <v>1</v>
      </c>
      <c r="Z122">
        <v>0</v>
      </c>
      <c r="AA122">
        <v>9</v>
      </c>
      <c r="AB122">
        <v>3</v>
      </c>
      <c r="AC122">
        <v>0</v>
      </c>
      <c r="AD122">
        <v>10</v>
      </c>
      <c r="AE122">
        <v>0</v>
      </c>
      <c r="AF122">
        <v>3</v>
      </c>
      <c r="AG122">
        <v>2</v>
      </c>
      <c r="AH122">
        <v>0</v>
      </c>
      <c r="AI122" t="s">
        <v>361</v>
      </c>
      <c r="AJ122">
        <v>39.139352000000002</v>
      </c>
      <c r="AK122" t="s">
        <v>362</v>
      </c>
      <c r="AL122">
        <v>-77.610533000000004</v>
      </c>
      <c r="AM122">
        <v>100</v>
      </c>
      <c r="AN122">
        <v>2500</v>
      </c>
      <c r="AO122" t="s">
        <v>115</v>
      </c>
      <c r="AP122">
        <v>36</v>
      </c>
      <c r="AQ122">
        <v>127</v>
      </c>
      <c r="AR122">
        <v>832</v>
      </c>
      <c r="AZ122">
        <v>3614</v>
      </c>
      <c r="BA122">
        <v>1</v>
      </c>
      <c r="BB122" t="str">
        <f t="shared" si="5"/>
        <v xml:space="preserve">N959MJ  </v>
      </c>
      <c r="BC122">
        <v>1</v>
      </c>
      <c r="BE122">
        <v>0</v>
      </c>
      <c r="BF122">
        <v>0</v>
      </c>
      <c r="BG122">
        <v>0</v>
      </c>
      <c r="BH122">
        <v>2750</v>
      </c>
      <c r="BI122">
        <v>250</v>
      </c>
      <c r="BJ122">
        <v>1</v>
      </c>
      <c r="BK122">
        <v>1</v>
      </c>
      <c r="BL122">
        <v>1</v>
      </c>
      <c r="BM122">
        <v>0</v>
      </c>
      <c r="BP122">
        <v>0</v>
      </c>
      <c r="BQ122">
        <v>0</v>
      </c>
      <c r="BX122" t="str">
        <f>"13:52:21.797"</f>
        <v>13:52:21.797</v>
      </c>
      <c r="BY122" t="str">
        <f>"797661526"</f>
        <v>797661526</v>
      </c>
      <c r="CL122">
        <v>3</v>
      </c>
      <c r="CM122">
        <v>2</v>
      </c>
      <c r="CN122">
        <v>0</v>
      </c>
      <c r="CO122">
        <v>2</v>
      </c>
      <c r="CP122">
        <v>0</v>
      </c>
      <c r="CQ122">
        <v>6</v>
      </c>
      <c r="CR122" t="s">
        <v>116</v>
      </c>
      <c r="CS122">
        <v>525</v>
      </c>
      <c r="CT122">
        <v>3</v>
      </c>
      <c r="CU122" t="s">
        <v>140</v>
      </c>
      <c r="CV122" t="s">
        <v>141</v>
      </c>
      <c r="CY122">
        <v>169200</v>
      </c>
      <c r="CZ122" t="s">
        <v>119</v>
      </c>
    </row>
    <row r="123" spans="1:104" x14ac:dyDescent="0.25">
      <c r="A123" t="str">
        <f>"13:52:22.898"</f>
        <v>13:52:22.898</v>
      </c>
      <c r="B123" t="s">
        <v>108</v>
      </c>
      <c r="C123" t="str">
        <f t="shared" si="4"/>
        <v>ffdfd3c0</v>
      </c>
      <c r="D123" t="s">
        <v>109</v>
      </c>
      <c r="E123">
        <v>4</v>
      </c>
      <c r="F123">
        <v>1004</v>
      </c>
      <c r="G123" t="s">
        <v>110</v>
      </c>
      <c r="J123" t="s">
        <v>111</v>
      </c>
      <c r="K123">
        <v>0</v>
      </c>
      <c r="L123">
        <v>3</v>
      </c>
      <c r="M123">
        <v>0</v>
      </c>
      <c r="N123">
        <v>2</v>
      </c>
      <c r="O123">
        <v>1</v>
      </c>
      <c r="P123">
        <v>0</v>
      </c>
      <c r="Q123">
        <v>0</v>
      </c>
      <c r="R123" t="s">
        <v>112</v>
      </c>
      <c r="S123" t="str">
        <f>"13:52:22.711"</f>
        <v>13:52:22.711</v>
      </c>
      <c r="T123" t="str">
        <f>"13:52:22.313"</f>
        <v>13:52:22.313</v>
      </c>
      <c r="U123" t="str">
        <f t="shared" si="3"/>
        <v>ad5732</v>
      </c>
      <c r="V123">
        <v>0</v>
      </c>
      <c r="W123">
        <v>0</v>
      </c>
      <c r="X123">
        <v>1</v>
      </c>
      <c r="Z123">
        <v>0</v>
      </c>
      <c r="AA123">
        <v>9</v>
      </c>
      <c r="AB123">
        <v>3</v>
      </c>
      <c r="AC123">
        <v>0</v>
      </c>
      <c r="AD123">
        <v>10</v>
      </c>
      <c r="AE123">
        <v>0</v>
      </c>
      <c r="AF123">
        <v>3</v>
      </c>
      <c r="AG123">
        <v>2</v>
      </c>
      <c r="AH123">
        <v>0</v>
      </c>
      <c r="AI123" t="s">
        <v>363</v>
      </c>
      <c r="AJ123">
        <v>39.139887999999999</v>
      </c>
      <c r="AK123" t="s">
        <v>327</v>
      </c>
      <c r="AL123">
        <v>-77.610339999999994</v>
      </c>
      <c r="AM123">
        <v>100</v>
      </c>
      <c r="AN123">
        <v>2500</v>
      </c>
      <c r="AO123" t="s">
        <v>115</v>
      </c>
      <c r="AP123">
        <v>40</v>
      </c>
      <c r="AQ123">
        <v>127</v>
      </c>
      <c r="AR123">
        <v>576</v>
      </c>
      <c r="AZ123">
        <v>3614</v>
      </c>
      <c r="BA123">
        <v>1</v>
      </c>
      <c r="BB123" t="str">
        <f t="shared" si="5"/>
        <v xml:space="preserve">N959MJ  </v>
      </c>
      <c r="BC123">
        <v>1</v>
      </c>
      <c r="BE123">
        <v>0</v>
      </c>
      <c r="BF123">
        <v>0</v>
      </c>
      <c r="BG123">
        <v>0</v>
      </c>
      <c r="BH123">
        <v>2750</v>
      </c>
      <c r="BI123">
        <v>250</v>
      </c>
      <c r="BJ123">
        <v>1</v>
      </c>
      <c r="BK123">
        <v>1</v>
      </c>
      <c r="BL123">
        <v>1</v>
      </c>
      <c r="BM123">
        <v>0</v>
      </c>
      <c r="BP123">
        <v>0</v>
      </c>
      <c r="BQ123">
        <v>0</v>
      </c>
      <c r="BX123" t="str">
        <f>"13:52:22.719"</f>
        <v>13:52:22.719</v>
      </c>
      <c r="BY123" t="str">
        <f>"715179646"</f>
        <v>715179646</v>
      </c>
      <c r="CL123">
        <v>3</v>
      </c>
      <c r="CM123">
        <v>2</v>
      </c>
      <c r="CN123">
        <v>0</v>
      </c>
      <c r="CO123">
        <v>2</v>
      </c>
      <c r="CP123">
        <v>0</v>
      </c>
      <c r="CQ123">
        <v>6</v>
      </c>
      <c r="CR123" t="s">
        <v>116</v>
      </c>
      <c r="CS123">
        <v>525</v>
      </c>
      <c r="CT123">
        <v>3</v>
      </c>
      <c r="CU123" t="s">
        <v>140</v>
      </c>
      <c r="CV123" t="s">
        <v>141</v>
      </c>
      <c r="CY123">
        <v>170283</v>
      </c>
      <c r="CZ123" t="s">
        <v>119</v>
      </c>
    </row>
    <row r="124" spans="1:104" x14ac:dyDescent="0.25">
      <c r="A124" t="str">
        <f>"13:52:24.063"</f>
        <v>13:52:24.063</v>
      </c>
      <c r="B124" t="s">
        <v>108</v>
      </c>
      <c r="C124" t="str">
        <f t="shared" si="4"/>
        <v>ffdfd3c0</v>
      </c>
      <c r="D124" t="s">
        <v>109</v>
      </c>
      <c r="E124">
        <v>4</v>
      </c>
      <c r="F124">
        <v>1004</v>
      </c>
      <c r="G124" t="s">
        <v>110</v>
      </c>
      <c r="J124" t="s">
        <v>111</v>
      </c>
      <c r="K124">
        <v>0</v>
      </c>
      <c r="L124">
        <v>3</v>
      </c>
      <c r="M124">
        <v>0</v>
      </c>
      <c r="N124">
        <v>2</v>
      </c>
      <c r="O124">
        <v>1</v>
      </c>
      <c r="P124">
        <v>0</v>
      </c>
      <c r="Q124">
        <v>0</v>
      </c>
      <c r="R124" t="s">
        <v>112</v>
      </c>
      <c r="S124" t="str">
        <f>"13:52:23.852"</f>
        <v>13:52:23.852</v>
      </c>
      <c r="T124" t="str">
        <f>"13:52:23.352"</f>
        <v>13:52:23.352</v>
      </c>
      <c r="U124" t="str">
        <f t="shared" si="3"/>
        <v>ad5732</v>
      </c>
      <c r="V124">
        <v>0</v>
      </c>
      <c r="W124">
        <v>0</v>
      </c>
      <c r="X124">
        <v>1</v>
      </c>
      <c r="Z124">
        <v>0</v>
      </c>
      <c r="AA124">
        <v>9</v>
      </c>
      <c r="AB124">
        <v>3</v>
      </c>
      <c r="AC124">
        <v>0</v>
      </c>
      <c r="AD124">
        <v>10</v>
      </c>
      <c r="AE124">
        <v>0</v>
      </c>
      <c r="AF124">
        <v>3</v>
      </c>
      <c r="AG124">
        <v>2</v>
      </c>
      <c r="AH124">
        <v>0</v>
      </c>
      <c r="AI124" t="s">
        <v>364</v>
      </c>
      <c r="AJ124">
        <v>39.140510999999996</v>
      </c>
      <c r="AK124" t="s">
        <v>365</v>
      </c>
      <c r="AL124">
        <v>-77.610039999999998</v>
      </c>
      <c r="AM124">
        <v>100</v>
      </c>
      <c r="AN124">
        <v>2500</v>
      </c>
      <c r="AO124" t="s">
        <v>115</v>
      </c>
      <c r="AP124">
        <v>43</v>
      </c>
      <c r="AQ124">
        <v>126</v>
      </c>
      <c r="AR124">
        <v>384</v>
      </c>
      <c r="AZ124">
        <v>3614</v>
      </c>
      <c r="BA124">
        <v>1</v>
      </c>
      <c r="BB124" t="str">
        <f t="shared" si="5"/>
        <v xml:space="preserve">N959MJ  </v>
      </c>
      <c r="BC124">
        <v>1</v>
      </c>
      <c r="BE124">
        <v>0</v>
      </c>
      <c r="BF124">
        <v>0</v>
      </c>
      <c r="BG124">
        <v>0</v>
      </c>
      <c r="BH124">
        <v>2775</v>
      </c>
      <c r="BI124">
        <v>275</v>
      </c>
      <c r="BJ124">
        <v>1</v>
      </c>
      <c r="BK124">
        <v>1</v>
      </c>
      <c r="BL124">
        <v>1</v>
      </c>
      <c r="BM124">
        <v>0</v>
      </c>
      <c r="BP124">
        <v>0</v>
      </c>
      <c r="BQ124">
        <v>0</v>
      </c>
      <c r="BX124" t="str">
        <f>"13:52:23.859"</f>
        <v>13:52:23.859</v>
      </c>
      <c r="BY124" t="str">
        <f>"858800459"</f>
        <v>858800459</v>
      </c>
      <c r="CL124">
        <v>3</v>
      </c>
      <c r="CM124">
        <v>2</v>
      </c>
      <c r="CN124">
        <v>0</v>
      </c>
      <c r="CO124">
        <v>2</v>
      </c>
      <c r="CP124">
        <v>0</v>
      </c>
      <c r="CQ124">
        <v>6</v>
      </c>
      <c r="CR124" t="s">
        <v>116</v>
      </c>
      <c r="CS124">
        <v>525</v>
      </c>
      <c r="CT124">
        <v>3</v>
      </c>
      <c r="CU124" t="s">
        <v>140</v>
      </c>
      <c r="CV124" t="s">
        <v>141</v>
      </c>
      <c r="CY124">
        <v>171860</v>
      </c>
      <c r="CZ124" t="s">
        <v>119</v>
      </c>
    </row>
    <row r="125" spans="1:104" x14ac:dyDescent="0.25">
      <c r="A125" t="str">
        <f>"13:52:25.070"</f>
        <v>13:52:25.070</v>
      </c>
      <c r="B125" t="s">
        <v>108</v>
      </c>
      <c r="C125" t="str">
        <f t="shared" si="4"/>
        <v>ffdfd3c0</v>
      </c>
      <c r="D125" t="s">
        <v>109</v>
      </c>
      <c r="E125">
        <v>4</v>
      </c>
      <c r="F125">
        <v>1004</v>
      </c>
      <c r="G125" t="s">
        <v>110</v>
      </c>
      <c r="J125" t="s">
        <v>111</v>
      </c>
      <c r="K125">
        <v>0</v>
      </c>
      <c r="L125">
        <v>3</v>
      </c>
      <c r="M125">
        <v>0</v>
      </c>
      <c r="N125">
        <v>2</v>
      </c>
      <c r="O125">
        <v>1</v>
      </c>
      <c r="P125">
        <v>0</v>
      </c>
      <c r="Q125">
        <v>0</v>
      </c>
      <c r="R125" t="s">
        <v>112</v>
      </c>
      <c r="S125" t="str">
        <f>"13:52:24.891"</f>
        <v>13:52:24.891</v>
      </c>
      <c r="T125" t="str">
        <f>"13:52:24.391"</f>
        <v>13:52:24.391</v>
      </c>
      <c r="U125" t="str">
        <f t="shared" si="3"/>
        <v>ad5732</v>
      </c>
      <c r="V125">
        <v>0</v>
      </c>
      <c r="W125">
        <v>0</v>
      </c>
      <c r="X125">
        <v>1</v>
      </c>
      <c r="Z125">
        <v>0</v>
      </c>
      <c r="AA125">
        <v>9</v>
      </c>
      <c r="AB125">
        <v>3</v>
      </c>
      <c r="AC125">
        <v>0</v>
      </c>
      <c r="AD125">
        <v>10</v>
      </c>
      <c r="AE125">
        <v>0</v>
      </c>
      <c r="AF125">
        <v>3</v>
      </c>
      <c r="AG125">
        <v>2</v>
      </c>
      <c r="AH125">
        <v>0</v>
      </c>
      <c r="AI125" t="s">
        <v>366</v>
      </c>
      <c r="AJ125">
        <v>39.141176000000002</v>
      </c>
      <c r="AK125" t="s">
        <v>367</v>
      </c>
      <c r="AL125">
        <v>-77.609696</v>
      </c>
      <c r="AM125">
        <v>100</v>
      </c>
      <c r="AN125">
        <v>2500</v>
      </c>
      <c r="AO125" t="s">
        <v>115</v>
      </c>
      <c r="AP125">
        <v>48</v>
      </c>
      <c r="AQ125">
        <v>126</v>
      </c>
      <c r="AR125">
        <v>192</v>
      </c>
      <c r="AZ125">
        <v>3614</v>
      </c>
      <c r="BA125">
        <v>1</v>
      </c>
      <c r="BB125" t="str">
        <f t="shared" si="5"/>
        <v xml:space="preserve">N959MJ  </v>
      </c>
      <c r="BC125">
        <v>1</v>
      </c>
      <c r="BE125">
        <v>0</v>
      </c>
      <c r="BF125">
        <v>0</v>
      </c>
      <c r="BG125">
        <v>0</v>
      </c>
      <c r="BH125">
        <v>2775</v>
      </c>
      <c r="BI125">
        <v>275</v>
      </c>
      <c r="BJ125">
        <v>1</v>
      </c>
      <c r="BK125">
        <v>1</v>
      </c>
      <c r="BL125">
        <v>1</v>
      </c>
      <c r="BM125">
        <v>0</v>
      </c>
      <c r="BP125">
        <v>0</v>
      </c>
      <c r="BQ125">
        <v>0</v>
      </c>
      <c r="BX125" t="str">
        <f>"13:52:24.891"</f>
        <v>13:52:24.891</v>
      </c>
      <c r="BY125" t="str">
        <f>"891008353"</f>
        <v>891008353</v>
      </c>
      <c r="CL125">
        <v>3</v>
      </c>
      <c r="CM125">
        <v>2</v>
      </c>
      <c r="CN125">
        <v>0</v>
      </c>
      <c r="CO125">
        <v>2</v>
      </c>
      <c r="CP125">
        <v>0</v>
      </c>
      <c r="CQ125">
        <v>7</v>
      </c>
      <c r="CR125" t="s">
        <v>116</v>
      </c>
      <c r="CS125">
        <v>525</v>
      </c>
      <c r="CT125">
        <v>2</v>
      </c>
      <c r="CU125" t="s">
        <v>140</v>
      </c>
      <c r="CV125" t="s">
        <v>141</v>
      </c>
      <c r="CY125">
        <v>13762196</v>
      </c>
      <c r="CZ125" t="s">
        <v>119</v>
      </c>
    </row>
    <row r="126" spans="1:104" x14ac:dyDescent="0.25">
      <c r="A126" t="str">
        <f>"13:52:26.031"</f>
        <v>13:52:26.031</v>
      </c>
      <c r="B126" t="s">
        <v>108</v>
      </c>
      <c r="C126" t="str">
        <f t="shared" si="4"/>
        <v>ffdfd3c0</v>
      </c>
      <c r="D126" t="s">
        <v>109</v>
      </c>
      <c r="E126">
        <v>4</v>
      </c>
      <c r="F126">
        <v>1004</v>
      </c>
      <c r="G126" t="s">
        <v>110</v>
      </c>
      <c r="J126" t="s">
        <v>111</v>
      </c>
      <c r="K126">
        <v>0</v>
      </c>
      <c r="L126">
        <v>3</v>
      </c>
      <c r="M126">
        <v>0</v>
      </c>
      <c r="N126">
        <v>2</v>
      </c>
      <c r="O126">
        <v>1</v>
      </c>
      <c r="P126">
        <v>0</v>
      </c>
      <c r="Q126">
        <v>0</v>
      </c>
      <c r="R126" t="s">
        <v>112</v>
      </c>
      <c r="S126" t="str">
        <f>"13:52:25.859"</f>
        <v>13:52:25.859</v>
      </c>
      <c r="T126" t="str">
        <f>"13:52:24.961"</f>
        <v>13:52:24.961</v>
      </c>
      <c r="U126" t="str">
        <f t="shared" si="3"/>
        <v>ad5732</v>
      </c>
      <c r="V126">
        <v>0</v>
      </c>
      <c r="W126">
        <v>0</v>
      </c>
      <c r="X126">
        <v>1</v>
      </c>
      <c r="Z126">
        <v>0</v>
      </c>
      <c r="AA126">
        <v>9</v>
      </c>
      <c r="AB126">
        <v>3</v>
      </c>
      <c r="AC126">
        <v>0</v>
      </c>
      <c r="AD126">
        <v>10</v>
      </c>
      <c r="AE126">
        <v>0</v>
      </c>
      <c r="AF126">
        <v>3</v>
      </c>
      <c r="AG126">
        <v>2</v>
      </c>
      <c r="AH126">
        <v>0</v>
      </c>
      <c r="AI126" t="s">
        <v>368</v>
      </c>
      <c r="AJ126">
        <v>39.141691000000002</v>
      </c>
      <c r="AK126" t="s">
        <v>369</v>
      </c>
      <c r="AL126">
        <v>-77.609438999999995</v>
      </c>
      <c r="AM126">
        <v>100</v>
      </c>
      <c r="AN126">
        <v>2500</v>
      </c>
      <c r="AO126" t="s">
        <v>115</v>
      </c>
      <c r="AP126">
        <v>49</v>
      </c>
      <c r="AQ126">
        <v>126</v>
      </c>
      <c r="AR126">
        <v>128</v>
      </c>
      <c r="AZ126">
        <v>3614</v>
      </c>
      <c r="BA126">
        <v>1</v>
      </c>
      <c r="BB126" t="str">
        <f t="shared" si="5"/>
        <v xml:space="preserve">N959MJ  </v>
      </c>
      <c r="BC126">
        <v>1</v>
      </c>
      <c r="BE126">
        <v>0</v>
      </c>
      <c r="BF126">
        <v>0</v>
      </c>
      <c r="BG126">
        <v>0</v>
      </c>
      <c r="BH126">
        <v>2775</v>
      </c>
      <c r="BI126">
        <v>275</v>
      </c>
      <c r="BJ126">
        <v>1</v>
      </c>
      <c r="BK126">
        <v>1</v>
      </c>
      <c r="BL126">
        <v>1</v>
      </c>
      <c r="BM126">
        <v>0</v>
      </c>
      <c r="BP126">
        <v>0</v>
      </c>
      <c r="BQ126">
        <v>0</v>
      </c>
      <c r="BX126" t="str">
        <f>"13:52:25.859"</f>
        <v>13:52:25.859</v>
      </c>
      <c r="BY126" t="str">
        <f>"862594567"</f>
        <v>862594567</v>
      </c>
      <c r="CL126">
        <v>3</v>
      </c>
      <c r="CM126">
        <v>2</v>
      </c>
      <c r="CN126">
        <v>0</v>
      </c>
      <c r="CO126">
        <v>2</v>
      </c>
      <c r="CP126">
        <v>0</v>
      </c>
      <c r="CQ126">
        <v>6</v>
      </c>
      <c r="CR126" t="s">
        <v>116</v>
      </c>
      <c r="CS126">
        <v>525</v>
      </c>
      <c r="CT126">
        <v>3</v>
      </c>
      <c r="CU126" t="s">
        <v>140</v>
      </c>
      <c r="CV126" t="s">
        <v>141</v>
      </c>
      <c r="CY126">
        <v>174490</v>
      </c>
      <c r="CZ126" t="s">
        <v>119</v>
      </c>
    </row>
    <row r="127" spans="1:104" x14ac:dyDescent="0.25">
      <c r="A127" t="str">
        <f>"13:52:26.891"</f>
        <v>13:52:26.891</v>
      </c>
      <c r="B127" t="s">
        <v>108</v>
      </c>
      <c r="C127" t="str">
        <f t="shared" si="4"/>
        <v>ffdfd3c0</v>
      </c>
      <c r="D127" t="s">
        <v>109</v>
      </c>
      <c r="E127">
        <v>4</v>
      </c>
      <c r="F127">
        <v>1004</v>
      </c>
      <c r="G127" t="s">
        <v>110</v>
      </c>
      <c r="J127" t="s">
        <v>111</v>
      </c>
      <c r="K127">
        <v>0</v>
      </c>
      <c r="L127">
        <v>3</v>
      </c>
      <c r="M127">
        <v>0</v>
      </c>
      <c r="N127">
        <v>2</v>
      </c>
      <c r="O127">
        <v>1</v>
      </c>
      <c r="P127">
        <v>0</v>
      </c>
      <c r="Q127">
        <v>0</v>
      </c>
      <c r="R127" t="s">
        <v>112</v>
      </c>
      <c r="S127" t="str">
        <f>"13:52:26.727"</f>
        <v>13:52:26.727</v>
      </c>
      <c r="T127" t="str">
        <f>"13:52:26.328"</f>
        <v>13:52:26.328</v>
      </c>
      <c r="U127" t="str">
        <f t="shared" si="3"/>
        <v>ad5732</v>
      </c>
      <c r="V127">
        <v>0</v>
      </c>
      <c r="W127">
        <v>0</v>
      </c>
      <c r="X127">
        <v>1</v>
      </c>
      <c r="Z127">
        <v>0</v>
      </c>
      <c r="AA127">
        <v>9</v>
      </c>
      <c r="AB127">
        <v>3</v>
      </c>
      <c r="AC127">
        <v>0</v>
      </c>
      <c r="AD127">
        <v>10</v>
      </c>
      <c r="AE127">
        <v>0</v>
      </c>
      <c r="AF127">
        <v>3</v>
      </c>
      <c r="AG127">
        <v>2</v>
      </c>
      <c r="AH127">
        <v>0</v>
      </c>
      <c r="AI127" t="s">
        <v>370</v>
      </c>
      <c r="AJ127">
        <v>39.142226999999998</v>
      </c>
      <c r="AK127" t="s">
        <v>371</v>
      </c>
      <c r="AL127">
        <v>-77.609160000000003</v>
      </c>
      <c r="AM127">
        <v>100</v>
      </c>
      <c r="AN127">
        <v>2500</v>
      </c>
      <c r="AO127" t="s">
        <v>115</v>
      </c>
      <c r="AP127">
        <v>54</v>
      </c>
      <c r="AQ127">
        <v>126</v>
      </c>
      <c r="AR127">
        <v>192</v>
      </c>
      <c r="AZ127">
        <v>3614</v>
      </c>
      <c r="BA127">
        <v>1</v>
      </c>
      <c r="BB127" t="str">
        <f t="shared" si="5"/>
        <v xml:space="preserve">N959MJ  </v>
      </c>
      <c r="BC127">
        <v>1</v>
      </c>
      <c r="BE127">
        <v>0</v>
      </c>
      <c r="BF127">
        <v>0</v>
      </c>
      <c r="BG127">
        <v>0</v>
      </c>
      <c r="BH127">
        <v>2775</v>
      </c>
      <c r="BI127">
        <v>275</v>
      </c>
      <c r="BJ127">
        <v>1</v>
      </c>
      <c r="BK127">
        <v>1</v>
      </c>
      <c r="BL127">
        <v>1</v>
      </c>
      <c r="BM127">
        <v>0</v>
      </c>
      <c r="BP127">
        <v>0</v>
      </c>
      <c r="BQ127">
        <v>0</v>
      </c>
      <c r="BX127" t="str">
        <f>"13:52:26.734"</f>
        <v>13:52:26.734</v>
      </c>
      <c r="BY127" t="str">
        <f>"734236667"</f>
        <v>734236667</v>
      </c>
      <c r="CL127">
        <v>3</v>
      </c>
      <c r="CM127">
        <v>2</v>
      </c>
      <c r="CN127">
        <v>0</v>
      </c>
      <c r="CO127">
        <v>2</v>
      </c>
      <c r="CP127">
        <v>0</v>
      </c>
      <c r="CQ127">
        <v>6</v>
      </c>
      <c r="CR127" t="s">
        <v>116</v>
      </c>
      <c r="CS127">
        <v>525</v>
      </c>
      <c r="CT127">
        <v>2</v>
      </c>
      <c r="CU127" t="s">
        <v>140</v>
      </c>
      <c r="CV127" t="s">
        <v>141</v>
      </c>
      <c r="CY127">
        <v>13764887</v>
      </c>
      <c r="CZ127" t="s">
        <v>119</v>
      </c>
    </row>
    <row r="128" spans="1:104" x14ac:dyDescent="0.25">
      <c r="A128" t="str">
        <f>"13:52:28.000"</f>
        <v>13:52:28.000</v>
      </c>
      <c r="B128" t="s">
        <v>108</v>
      </c>
      <c r="C128" t="str">
        <f t="shared" si="4"/>
        <v>ffdfd3c0</v>
      </c>
      <c r="D128" t="s">
        <v>109</v>
      </c>
      <c r="E128">
        <v>4</v>
      </c>
      <c r="F128">
        <v>1004</v>
      </c>
      <c r="G128" t="s">
        <v>110</v>
      </c>
      <c r="J128" t="s">
        <v>111</v>
      </c>
      <c r="K128">
        <v>0</v>
      </c>
      <c r="L128">
        <v>3</v>
      </c>
      <c r="M128">
        <v>0</v>
      </c>
      <c r="N128">
        <v>2</v>
      </c>
      <c r="O128">
        <v>1</v>
      </c>
      <c r="P128">
        <v>0</v>
      </c>
      <c r="Q128">
        <v>0</v>
      </c>
      <c r="R128" t="s">
        <v>112</v>
      </c>
      <c r="S128" t="str">
        <f>"13:52:27.836"</f>
        <v>13:52:27.836</v>
      </c>
      <c r="T128" t="str">
        <f>"13:52:27.336"</f>
        <v>13:52:27.336</v>
      </c>
      <c r="U128" t="str">
        <f t="shared" si="3"/>
        <v>ad5732</v>
      </c>
      <c r="V128">
        <v>0</v>
      </c>
      <c r="W128">
        <v>0</v>
      </c>
      <c r="X128">
        <v>1</v>
      </c>
      <c r="Z128">
        <v>0</v>
      </c>
      <c r="AA128">
        <v>9</v>
      </c>
      <c r="AB128">
        <v>3</v>
      </c>
      <c r="AC128">
        <v>0</v>
      </c>
      <c r="AD128">
        <v>10</v>
      </c>
      <c r="AE128">
        <v>0</v>
      </c>
      <c r="AF128">
        <v>3</v>
      </c>
      <c r="AG128">
        <v>2</v>
      </c>
      <c r="AH128">
        <v>0</v>
      </c>
      <c r="AI128" t="s">
        <v>372</v>
      </c>
      <c r="AJ128">
        <v>39.142848999999998</v>
      </c>
      <c r="AK128" t="s">
        <v>373</v>
      </c>
      <c r="AL128">
        <v>-77.608773999999997</v>
      </c>
      <c r="AM128">
        <v>100</v>
      </c>
      <c r="AN128">
        <v>2500</v>
      </c>
      <c r="AO128" t="s">
        <v>115</v>
      </c>
      <c r="AP128">
        <v>57</v>
      </c>
      <c r="AQ128">
        <v>126</v>
      </c>
      <c r="AR128">
        <v>192</v>
      </c>
      <c r="AZ128">
        <v>3614</v>
      </c>
      <c r="BA128">
        <v>1</v>
      </c>
      <c r="BB128" t="str">
        <f t="shared" si="5"/>
        <v xml:space="preserve">N959MJ  </v>
      </c>
      <c r="BC128">
        <v>1</v>
      </c>
      <c r="BE128">
        <v>0</v>
      </c>
      <c r="BF128">
        <v>0</v>
      </c>
      <c r="BG128">
        <v>0</v>
      </c>
      <c r="BH128">
        <v>2775</v>
      </c>
      <c r="BI128">
        <v>275</v>
      </c>
      <c r="BJ128">
        <v>1</v>
      </c>
      <c r="BK128">
        <v>1</v>
      </c>
      <c r="BL128">
        <v>1</v>
      </c>
      <c r="BM128">
        <v>0</v>
      </c>
      <c r="BP128">
        <v>0</v>
      </c>
      <c r="BQ128">
        <v>0</v>
      </c>
      <c r="BX128" t="str">
        <f>"13:52:27.844"</f>
        <v>13:52:27.844</v>
      </c>
      <c r="BY128" t="str">
        <f>"840185067"</f>
        <v>840185067</v>
      </c>
      <c r="CL128">
        <v>3</v>
      </c>
      <c r="CM128">
        <v>2</v>
      </c>
      <c r="CN128">
        <v>0</v>
      </c>
      <c r="CO128">
        <v>2</v>
      </c>
      <c r="CP128">
        <v>0</v>
      </c>
      <c r="CQ128">
        <v>7</v>
      </c>
      <c r="CR128" t="s">
        <v>116</v>
      </c>
      <c r="CS128">
        <v>147</v>
      </c>
      <c r="CT128">
        <v>3</v>
      </c>
      <c r="CU128" t="s">
        <v>117</v>
      </c>
      <c r="CV128" t="s">
        <v>118</v>
      </c>
      <c r="CY128">
        <v>15991324</v>
      </c>
      <c r="CZ128" t="s">
        <v>119</v>
      </c>
    </row>
    <row r="129" spans="1:104" x14ac:dyDescent="0.25">
      <c r="A129" t="str">
        <f>"13:52:28.961"</f>
        <v>13:52:28.961</v>
      </c>
      <c r="B129" t="s">
        <v>108</v>
      </c>
      <c r="C129" t="str">
        <f t="shared" si="4"/>
        <v>ffdfd3c0</v>
      </c>
      <c r="D129" t="s">
        <v>109</v>
      </c>
      <c r="E129">
        <v>4</v>
      </c>
      <c r="F129">
        <v>1004</v>
      </c>
      <c r="G129" t="s">
        <v>110</v>
      </c>
      <c r="J129" t="s">
        <v>111</v>
      </c>
      <c r="K129">
        <v>0</v>
      </c>
      <c r="L129">
        <v>3</v>
      </c>
      <c r="M129">
        <v>0</v>
      </c>
      <c r="N129">
        <v>2</v>
      </c>
      <c r="O129">
        <v>1</v>
      </c>
      <c r="P129">
        <v>0</v>
      </c>
      <c r="Q129">
        <v>0</v>
      </c>
      <c r="R129" t="s">
        <v>112</v>
      </c>
      <c r="S129" t="str">
        <f>"13:52:28.773"</f>
        <v>13:52:28.773</v>
      </c>
      <c r="T129" t="str">
        <f>"13:52:28.375"</f>
        <v>13:52:28.375</v>
      </c>
      <c r="U129" t="str">
        <f t="shared" si="3"/>
        <v>ad5732</v>
      </c>
      <c r="V129">
        <v>0</v>
      </c>
      <c r="W129">
        <v>0</v>
      </c>
      <c r="X129">
        <v>1</v>
      </c>
      <c r="Z129">
        <v>0</v>
      </c>
      <c r="AA129">
        <v>9</v>
      </c>
      <c r="AB129">
        <v>3</v>
      </c>
      <c r="AC129">
        <v>0</v>
      </c>
      <c r="AD129">
        <v>10</v>
      </c>
      <c r="AE129">
        <v>0</v>
      </c>
      <c r="AF129">
        <v>3</v>
      </c>
      <c r="AG129">
        <v>2</v>
      </c>
      <c r="AH129">
        <v>0</v>
      </c>
      <c r="AI129" t="s">
        <v>374</v>
      </c>
      <c r="AJ129">
        <v>39.143450000000001</v>
      </c>
      <c r="AK129" t="s">
        <v>375</v>
      </c>
      <c r="AL129">
        <v>-77.608408999999995</v>
      </c>
      <c r="AM129">
        <v>100</v>
      </c>
      <c r="AN129">
        <v>2500</v>
      </c>
      <c r="AO129" t="s">
        <v>115</v>
      </c>
      <c r="AP129">
        <v>59</v>
      </c>
      <c r="AQ129">
        <v>126</v>
      </c>
      <c r="AR129">
        <v>320</v>
      </c>
      <c r="AZ129">
        <v>3614</v>
      </c>
      <c r="BA129">
        <v>1</v>
      </c>
      <c r="BB129" t="str">
        <f t="shared" si="5"/>
        <v xml:space="preserve">N959MJ  </v>
      </c>
      <c r="BC129">
        <v>1</v>
      </c>
      <c r="BE129">
        <v>0</v>
      </c>
      <c r="BF129">
        <v>0</v>
      </c>
      <c r="BG129">
        <v>0</v>
      </c>
      <c r="BH129">
        <v>2775</v>
      </c>
      <c r="BI129">
        <v>275</v>
      </c>
      <c r="BJ129">
        <v>1</v>
      </c>
      <c r="BK129">
        <v>1</v>
      </c>
      <c r="BL129">
        <v>1</v>
      </c>
      <c r="BM129">
        <v>0</v>
      </c>
      <c r="BP129">
        <v>0</v>
      </c>
      <c r="BQ129">
        <v>0</v>
      </c>
      <c r="BX129" t="str">
        <f>"13:52:28.781"</f>
        <v>13:52:28.781</v>
      </c>
      <c r="BY129" t="str">
        <f>"780629796"</f>
        <v>780629796</v>
      </c>
      <c r="CL129">
        <v>3</v>
      </c>
      <c r="CM129">
        <v>2</v>
      </c>
      <c r="CN129">
        <v>0</v>
      </c>
      <c r="CO129">
        <v>2</v>
      </c>
      <c r="CP129">
        <v>0</v>
      </c>
      <c r="CQ129">
        <v>7</v>
      </c>
      <c r="CR129" t="s">
        <v>116</v>
      </c>
      <c r="CS129">
        <v>525</v>
      </c>
      <c r="CT129">
        <v>2</v>
      </c>
      <c r="CU129" t="s">
        <v>140</v>
      </c>
      <c r="CV129" t="s">
        <v>141</v>
      </c>
      <c r="CY129">
        <v>13767859</v>
      </c>
      <c r="CZ129" t="s">
        <v>119</v>
      </c>
    </row>
    <row r="130" spans="1:104" x14ac:dyDescent="0.25">
      <c r="A130" t="str">
        <f>"13:52:29.969"</f>
        <v>13:52:29.969</v>
      </c>
      <c r="B130" t="s">
        <v>108</v>
      </c>
      <c r="C130" t="str">
        <f t="shared" si="4"/>
        <v>ffdfd3c0</v>
      </c>
      <c r="D130" t="s">
        <v>109</v>
      </c>
      <c r="E130">
        <v>4</v>
      </c>
      <c r="F130">
        <v>1004</v>
      </c>
      <c r="G130" t="s">
        <v>110</v>
      </c>
      <c r="J130" t="s">
        <v>111</v>
      </c>
      <c r="K130">
        <v>0</v>
      </c>
      <c r="L130">
        <v>3</v>
      </c>
      <c r="M130">
        <v>0</v>
      </c>
      <c r="N130">
        <v>2</v>
      </c>
      <c r="O130">
        <v>1</v>
      </c>
      <c r="P130">
        <v>0</v>
      </c>
      <c r="Q130">
        <v>0</v>
      </c>
      <c r="R130" t="s">
        <v>112</v>
      </c>
      <c r="S130" t="str">
        <f>"13:52:29.789"</f>
        <v>13:52:29.789</v>
      </c>
      <c r="T130" t="str">
        <f>"13:52:29.391"</f>
        <v>13:52:29.391</v>
      </c>
      <c r="U130" t="str">
        <f t="shared" ref="U130:U193" si="6">"ad5732"</f>
        <v>ad5732</v>
      </c>
      <c r="V130">
        <v>0</v>
      </c>
      <c r="W130">
        <v>0</v>
      </c>
      <c r="X130">
        <v>1</v>
      </c>
      <c r="Z130">
        <v>0</v>
      </c>
      <c r="AA130">
        <v>9</v>
      </c>
      <c r="AB130">
        <v>3</v>
      </c>
      <c r="AC130">
        <v>0</v>
      </c>
      <c r="AD130">
        <v>10</v>
      </c>
      <c r="AE130">
        <v>0</v>
      </c>
      <c r="AF130">
        <v>3</v>
      </c>
      <c r="AG130">
        <v>2</v>
      </c>
      <c r="AH130">
        <v>0</v>
      </c>
      <c r="AI130" t="s">
        <v>376</v>
      </c>
      <c r="AJ130">
        <v>39.144050999999997</v>
      </c>
      <c r="AK130" t="s">
        <v>377</v>
      </c>
      <c r="AL130">
        <v>-77.608086999999998</v>
      </c>
      <c r="AM130">
        <v>100</v>
      </c>
      <c r="AN130">
        <v>2600</v>
      </c>
      <c r="AO130" t="s">
        <v>115</v>
      </c>
      <c r="AP130">
        <v>58</v>
      </c>
      <c r="AQ130">
        <v>127</v>
      </c>
      <c r="AR130">
        <v>576</v>
      </c>
      <c r="AZ130">
        <v>3614</v>
      </c>
      <c r="BA130">
        <v>1</v>
      </c>
      <c r="BB130" t="str">
        <f t="shared" si="5"/>
        <v xml:space="preserve">N959MJ  </v>
      </c>
      <c r="BC130">
        <v>1</v>
      </c>
      <c r="BE130">
        <v>0</v>
      </c>
      <c r="BF130">
        <v>0</v>
      </c>
      <c r="BG130">
        <v>0</v>
      </c>
      <c r="BH130">
        <v>2800</v>
      </c>
      <c r="BI130">
        <v>200</v>
      </c>
      <c r="BJ130">
        <v>1</v>
      </c>
      <c r="BK130">
        <v>1</v>
      </c>
      <c r="BL130">
        <v>1</v>
      </c>
      <c r="BM130">
        <v>0</v>
      </c>
      <c r="BP130">
        <v>0</v>
      </c>
      <c r="BQ130">
        <v>0</v>
      </c>
      <c r="BX130" t="str">
        <f>"13:52:29.797"</f>
        <v>13:52:29.797</v>
      </c>
      <c r="BY130" t="str">
        <f>"794826611"</f>
        <v>794826611</v>
      </c>
      <c r="CL130">
        <v>3</v>
      </c>
      <c r="CM130">
        <v>2</v>
      </c>
      <c r="CN130">
        <v>0</v>
      </c>
      <c r="CO130">
        <v>2</v>
      </c>
      <c r="CP130">
        <v>0</v>
      </c>
      <c r="CQ130">
        <v>6</v>
      </c>
      <c r="CR130" t="s">
        <v>116</v>
      </c>
      <c r="CS130">
        <v>147</v>
      </c>
      <c r="CT130">
        <v>2</v>
      </c>
      <c r="CU130" t="s">
        <v>117</v>
      </c>
      <c r="CV130" t="s">
        <v>118</v>
      </c>
      <c r="CY130">
        <v>15658963</v>
      </c>
      <c r="CZ130" t="s">
        <v>119</v>
      </c>
    </row>
    <row r="131" spans="1:104" x14ac:dyDescent="0.25">
      <c r="A131" t="str">
        <f>"13:52:30.930"</f>
        <v>13:52:30.930</v>
      </c>
      <c r="B131" t="s">
        <v>108</v>
      </c>
      <c r="C131" t="str">
        <f t="shared" si="4"/>
        <v>ffdfd3c0</v>
      </c>
      <c r="D131" t="s">
        <v>109</v>
      </c>
      <c r="E131">
        <v>4</v>
      </c>
      <c r="F131">
        <v>1004</v>
      </c>
      <c r="G131" t="s">
        <v>110</v>
      </c>
      <c r="J131" t="s">
        <v>111</v>
      </c>
      <c r="K131">
        <v>0</v>
      </c>
      <c r="L131">
        <v>3</v>
      </c>
      <c r="M131">
        <v>0</v>
      </c>
      <c r="N131">
        <v>2</v>
      </c>
      <c r="O131">
        <v>1</v>
      </c>
      <c r="P131">
        <v>0</v>
      </c>
      <c r="Q131">
        <v>0</v>
      </c>
      <c r="R131" t="s">
        <v>112</v>
      </c>
      <c r="S131" t="str">
        <f>"13:52:30.734"</f>
        <v>13:52:30.734</v>
      </c>
      <c r="T131" t="str">
        <f>"13:52:30.336"</f>
        <v>13:52:30.336</v>
      </c>
      <c r="U131" t="str">
        <f t="shared" si="6"/>
        <v>ad5732</v>
      </c>
      <c r="V131">
        <v>0</v>
      </c>
      <c r="W131">
        <v>0</v>
      </c>
      <c r="X131">
        <v>1</v>
      </c>
      <c r="Z131">
        <v>0</v>
      </c>
      <c r="AA131">
        <v>9</v>
      </c>
      <c r="AB131">
        <v>3</v>
      </c>
      <c r="AC131">
        <v>0</v>
      </c>
      <c r="AD131">
        <v>10</v>
      </c>
      <c r="AE131">
        <v>0</v>
      </c>
      <c r="AF131">
        <v>3</v>
      </c>
      <c r="AG131">
        <v>2</v>
      </c>
      <c r="AH131">
        <v>0</v>
      </c>
      <c r="AI131" t="s">
        <v>378</v>
      </c>
      <c r="AJ131">
        <v>39.144565999999998</v>
      </c>
      <c r="AK131" t="s">
        <v>379</v>
      </c>
      <c r="AL131">
        <v>-77.607787000000002</v>
      </c>
      <c r="AM131">
        <v>100</v>
      </c>
      <c r="AN131">
        <v>2600</v>
      </c>
      <c r="AO131" t="s">
        <v>115</v>
      </c>
      <c r="AP131">
        <v>55</v>
      </c>
      <c r="AQ131">
        <v>128</v>
      </c>
      <c r="AR131">
        <v>768</v>
      </c>
      <c r="AZ131">
        <v>3614</v>
      </c>
      <c r="BA131">
        <v>1</v>
      </c>
      <c r="BB131" t="str">
        <f t="shared" si="5"/>
        <v xml:space="preserve">N959MJ  </v>
      </c>
      <c r="BC131">
        <v>1</v>
      </c>
      <c r="BE131">
        <v>0</v>
      </c>
      <c r="BF131">
        <v>0</v>
      </c>
      <c r="BG131">
        <v>0</v>
      </c>
      <c r="BH131">
        <v>2800</v>
      </c>
      <c r="BI131">
        <v>200</v>
      </c>
      <c r="BJ131">
        <v>1</v>
      </c>
      <c r="BK131">
        <v>1</v>
      </c>
      <c r="BL131">
        <v>1</v>
      </c>
      <c r="BM131">
        <v>0</v>
      </c>
      <c r="BP131">
        <v>0</v>
      </c>
      <c r="BQ131">
        <v>0</v>
      </c>
      <c r="BX131" t="str">
        <f>"13:52:30.742"</f>
        <v>13:52:30.742</v>
      </c>
      <c r="BY131" t="str">
        <f>"740186367"</f>
        <v>740186367</v>
      </c>
      <c r="CL131">
        <v>3</v>
      </c>
      <c r="CM131">
        <v>2</v>
      </c>
      <c r="CN131">
        <v>0</v>
      </c>
      <c r="CO131">
        <v>2</v>
      </c>
      <c r="CP131">
        <v>0</v>
      </c>
      <c r="CQ131">
        <v>7</v>
      </c>
      <c r="CR131" t="s">
        <v>116</v>
      </c>
      <c r="CS131">
        <v>525</v>
      </c>
      <c r="CT131">
        <v>2</v>
      </c>
      <c r="CU131" t="s">
        <v>140</v>
      </c>
      <c r="CV131" t="s">
        <v>141</v>
      </c>
      <c r="CY131">
        <v>13770771</v>
      </c>
      <c r="CZ131" t="s">
        <v>119</v>
      </c>
    </row>
    <row r="132" spans="1:104" x14ac:dyDescent="0.25">
      <c r="A132" t="str">
        <f>"13:52:31.781"</f>
        <v>13:52:31.781</v>
      </c>
      <c r="B132" t="s">
        <v>108</v>
      </c>
      <c r="C132" t="str">
        <f t="shared" si="4"/>
        <v>ffdfd3c0</v>
      </c>
      <c r="D132" t="s">
        <v>109</v>
      </c>
      <c r="E132">
        <v>4</v>
      </c>
      <c r="F132">
        <v>1004</v>
      </c>
      <c r="G132" t="s">
        <v>110</v>
      </c>
      <c r="J132" t="s">
        <v>111</v>
      </c>
      <c r="K132">
        <v>0</v>
      </c>
      <c r="L132">
        <v>3</v>
      </c>
      <c r="M132">
        <v>0</v>
      </c>
      <c r="N132">
        <v>2</v>
      </c>
      <c r="O132">
        <v>1</v>
      </c>
      <c r="P132">
        <v>0</v>
      </c>
      <c r="Q132">
        <v>0</v>
      </c>
      <c r="R132" t="s">
        <v>112</v>
      </c>
      <c r="S132" t="str">
        <f>"13:52:31.594"</f>
        <v>13:52:31.594</v>
      </c>
      <c r="T132" t="str">
        <f>"13:52:31.195"</f>
        <v>13:52:31.195</v>
      </c>
      <c r="U132" t="str">
        <f t="shared" si="6"/>
        <v>ad5732</v>
      </c>
      <c r="V132">
        <v>0</v>
      </c>
      <c r="W132">
        <v>0</v>
      </c>
      <c r="X132">
        <v>1</v>
      </c>
      <c r="Z132">
        <v>0</v>
      </c>
      <c r="AA132">
        <v>9</v>
      </c>
      <c r="AB132">
        <v>3</v>
      </c>
      <c r="AC132">
        <v>0</v>
      </c>
      <c r="AD132">
        <v>10</v>
      </c>
      <c r="AE132">
        <v>0</v>
      </c>
      <c r="AF132">
        <v>3</v>
      </c>
      <c r="AG132">
        <v>2</v>
      </c>
      <c r="AH132">
        <v>0</v>
      </c>
      <c r="AI132" t="s">
        <v>380</v>
      </c>
      <c r="AJ132">
        <v>39.145124000000003</v>
      </c>
      <c r="AK132" t="s">
        <v>381</v>
      </c>
      <c r="AL132">
        <v>-77.607551000000001</v>
      </c>
      <c r="AM132">
        <v>100</v>
      </c>
      <c r="AN132">
        <v>2600</v>
      </c>
      <c r="AO132" t="s">
        <v>115</v>
      </c>
      <c r="AP132">
        <v>52</v>
      </c>
      <c r="AQ132">
        <v>129</v>
      </c>
      <c r="AR132">
        <v>1024</v>
      </c>
      <c r="AZ132">
        <v>3614</v>
      </c>
      <c r="BA132">
        <v>1</v>
      </c>
      <c r="BB132" t="str">
        <f t="shared" si="5"/>
        <v xml:space="preserve">N959MJ  </v>
      </c>
      <c r="BC132">
        <v>1</v>
      </c>
      <c r="BE132">
        <v>0</v>
      </c>
      <c r="BF132">
        <v>0</v>
      </c>
      <c r="BG132">
        <v>0</v>
      </c>
      <c r="BH132">
        <v>2825</v>
      </c>
      <c r="BI132">
        <v>225</v>
      </c>
      <c r="BJ132">
        <v>1</v>
      </c>
      <c r="BK132">
        <v>1</v>
      </c>
      <c r="BL132">
        <v>1</v>
      </c>
      <c r="BM132">
        <v>0</v>
      </c>
      <c r="BP132">
        <v>0</v>
      </c>
      <c r="BQ132">
        <v>0</v>
      </c>
      <c r="BX132" t="str">
        <f>"13:52:31.602"</f>
        <v>13:52:31.602</v>
      </c>
      <c r="BY132" t="str">
        <f>"598721175"</f>
        <v>598721175</v>
      </c>
      <c r="CL132">
        <v>3</v>
      </c>
      <c r="CM132">
        <v>2</v>
      </c>
      <c r="CN132">
        <v>0</v>
      </c>
      <c r="CO132">
        <v>2</v>
      </c>
      <c r="CP132">
        <v>0</v>
      </c>
      <c r="CQ132">
        <v>7</v>
      </c>
      <c r="CR132" t="s">
        <v>116</v>
      </c>
      <c r="CS132">
        <v>525</v>
      </c>
      <c r="CT132">
        <v>2</v>
      </c>
      <c r="CU132" t="s">
        <v>140</v>
      </c>
      <c r="CV132" t="s">
        <v>141</v>
      </c>
      <c r="CY132">
        <v>13771987</v>
      </c>
      <c r="CZ132" t="s">
        <v>119</v>
      </c>
    </row>
    <row r="133" spans="1:104" x14ac:dyDescent="0.25">
      <c r="A133" t="str">
        <f>"13:52:32.641"</f>
        <v>13:52:32.641</v>
      </c>
      <c r="B133" t="s">
        <v>108</v>
      </c>
      <c r="C133" t="str">
        <f t="shared" si="4"/>
        <v>ffdfd3c0</v>
      </c>
      <c r="D133" t="s">
        <v>109</v>
      </c>
      <c r="E133">
        <v>4</v>
      </c>
      <c r="F133">
        <v>1004</v>
      </c>
      <c r="G133" t="s">
        <v>110</v>
      </c>
      <c r="J133" t="s">
        <v>111</v>
      </c>
      <c r="K133">
        <v>0</v>
      </c>
      <c r="L133">
        <v>3</v>
      </c>
      <c r="M133">
        <v>0</v>
      </c>
      <c r="N133">
        <v>2</v>
      </c>
      <c r="O133">
        <v>1</v>
      </c>
      <c r="P133">
        <v>0</v>
      </c>
      <c r="Q133">
        <v>0</v>
      </c>
      <c r="R133" t="s">
        <v>112</v>
      </c>
      <c r="S133" t="str">
        <f>"13:52:32.477"</f>
        <v>13:52:32.477</v>
      </c>
      <c r="T133" t="str">
        <f>"13:52:32.078"</f>
        <v>13:52:32.078</v>
      </c>
      <c r="U133" t="str">
        <f t="shared" si="6"/>
        <v>ad5732</v>
      </c>
      <c r="V133">
        <v>0</v>
      </c>
      <c r="W133">
        <v>0</v>
      </c>
      <c r="X133">
        <v>1</v>
      </c>
      <c r="Z133">
        <v>0</v>
      </c>
      <c r="AA133">
        <v>9</v>
      </c>
      <c r="AB133">
        <v>3</v>
      </c>
      <c r="AC133">
        <v>0</v>
      </c>
      <c r="AD133">
        <v>10</v>
      </c>
      <c r="AE133">
        <v>0</v>
      </c>
      <c r="AF133">
        <v>3</v>
      </c>
      <c r="AG133">
        <v>2</v>
      </c>
      <c r="AH133">
        <v>0</v>
      </c>
      <c r="AI133" t="s">
        <v>382</v>
      </c>
      <c r="AJ133">
        <v>39.145659999999999</v>
      </c>
      <c r="AK133" t="s">
        <v>383</v>
      </c>
      <c r="AL133">
        <v>-77.607249999999993</v>
      </c>
      <c r="AM133">
        <v>100</v>
      </c>
      <c r="AN133">
        <v>2600</v>
      </c>
      <c r="AO133" t="s">
        <v>115</v>
      </c>
      <c r="AP133">
        <v>47</v>
      </c>
      <c r="AQ133">
        <v>131</v>
      </c>
      <c r="AR133">
        <v>1088</v>
      </c>
      <c r="AZ133">
        <v>3614</v>
      </c>
      <c r="BA133">
        <v>1</v>
      </c>
      <c r="BB133" t="str">
        <f t="shared" si="5"/>
        <v xml:space="preserve">N959MJ  </v>
      </c>
      <c r="BC133">
        <v>1</v>
      </c>
      <c r="BE133">
        <v>0</v>
      </c>
      <c r="BF133">
        <v>0</v>
      </c>
      <c r="BG133">
        <v>0</v>
      </c>
      <c r="BH133">
        <v>2825</v>
      </c>
      <c r="BI133">
        <v>225</v>
      </c>
      <c r="BJ133">
        <v>1</v>
      </c>
      <c r="BK133">
        <v>1</v>
      </c>
      <c r="BL133">
        <v>1</v>
      </c>
      <c r="BM133">
        <v>0</v>
      </c>
      <c r="BP133">
        <v>0</v>
      </c>
      <c r="BQ133">
        <v>0</v>
      </c>
      <c r="BX133" t="str">
        <f>"13:52:32.484"</f>
        <v>13:52:32.484</v>
      </c>
      <c r="BY133" t="str">
        <f>"483470786"</f>
        <v>483470786</v>
      </c>
      <c r="CL133">
        <v>3</v>
      </c>
      <c r="CM133">
        <v>2</v>
      </c>
      <c r="CN133">
        <v>0</v>
      </c>
      <c r="CO133">
        <v>2</v>
      </c>
      <c r="CP133">
        <v>0</v>
      </c>
      <c r="CQ133">
        <v>7</v>
      </c>
      <c r="CR133" t="s">
        <v>116</v>
      </c>
      <c r="CS133">
        <v>525</v>
      </c>
      <c r="CT133">
        <v>2</v>
      </c>
      <c r="CU133" t="s">
        <v>140</v>
      </c>
      <c r="CV133" t="s">
        <v>141</v>
      </c>
      <c r="CY133">
        <v>13773315</v>
      </c>
      <c r="CZ133" t="s">
        <v>119</v>
      </c>
    </row>
    <row r="134" spans="1:104" x14ac:dyDescent="0.25">
      <c r="A134" t="str">
        <f>"13:52:33.555"</f>
        <v>13:52:33.555</v>
      </c>
      <c r="B134" t="s">
        <v>108</v>
      </c>
      <c r="C134" t="str">
        <f t="shared" si="4"/>
        <v>ffdfd3c0</v>
      </c>
      <c r="D134" t="s">
        <v>109</v>
      </c>
      <c r="E134">
        <v>4</v>
      </c>
      <c r="F134">
        <v>1004</v>
      </c>
      <c r="G134" t="s">
        <v>110</v>
      </c>
      <c r="J134" t="s">
        <v>111</v>
      </c>
      <c r="K134">
        <v>0</v>
      </c>
      <c r="L134">
        <v>3</v>
      </c>
      <c r="M134">
        <v>0</v>
      </c>
      <c r="N134">
        <v>2</v>
      </c>
      <c r="O134">
        <v>1</v>
      </c>
      <c r="P134">
        <v>0</v>
      </c>
      <c r="Q134">
        <v>0</v>
      </c>
      <c r="R134" t="s">
        <v>112</v>
      </c>
      <c r="S134" t="str">
        <f>"13:52:33.375"</f>
        <v>13:52:33.375</v>
      </c>
      <c r="T134" t="str">
        <f>"13:52:32.977"</f>
        <v>13:52:32.977</v>
      </c>
      <c r="U134" t="str">
        <f t="shared" si="6"/>
        <v>ad5732</v>
      </c>
      <c r="V134">
        <v>0</v>
      </c>
      <c r="W134">
        <v>0</v>
      </c>
      <c r="X134">
        <v>1</v>
      </c>
      <c r="Z134">
        <v>0</v>
      </c>
      <c r="AA134">
        <v>9</v>
      </c>
      <c r="AB134">
        <v>3</v>
      </c>
      <c r="AC134">
        <v>0</v>
      </c>
      <c r="AD134">
        <v>10</v>
      </c>
      <c r="AE134">
        <v>0</v>
      </c>
      <c r="AF134">
        <v>3</v>
      </c>
      <c r="AG134">
        <v>2</v>
      </c>
      <c r="AH134">
        <v>0</v>
      </c>
      <c r="AI134" t="s">
        <v>384</v>
      </c>
      <c r="AJ134">
        <v>39.146197000000001</v>
      </c>
      <c r="AK134" t="s">
        <v>385</v>
      </c>
      <c r="AL134">
        <v>-77.607056999999998</v>
      </c>
      <c r="AM134">
        <v>100</v>
      </c>
      <c r="AN134">
        <v>2600</v>
      </c>
      <c r="AO134" t="s">
        <v>115</v>
      </c>
      <c r="AP134">
        <v>43</v>
      </c>
      <c r="AQ134">
        <v>132</v>
      </c>
      <c r="AR134">
        <v>960</v>
      </c>
      <c r="AZ134">
        <v>3614</v>
      </c>
      <c r="BA134">
        <v>1</v>
      </c>
      <c r="BB134" t="str">
        <f t="shared" si="5"/>
        <v xml:space="preserve">N959MJ  </v>
      </c>
      <c r="BC134">
        <v>1</v>
      </c>
      <c r="BE134">
        <v>0</v>
      </c>
      <c r="BF134">
        <v>0</v>
      </c>
      <c r="BG134">
        <v>0</v>
      </c>
      <c r="BH134">
        <v>2850</v>
      </c>
      <c r="BI134">
        <v>250</v>
      </c>
      <c r="BJ134">
        <v>1</v>
      </c>
      <c r="BK134">
        <v>1</v>
      </c>
      <c r="BL134">
        <v>1</v>
      </c>
      <c r="BM134">
        <v>0</v>
      </c>
      <c r="BP134">
        <v>0</v>
      </c>
      <c r="BQ134">
        <v>0</v>
      </c>
      <c r="BX134" t="str">
        <f>"13:52:33.375"</f>
        <v>13:52:33.375</v>
      </c>
      <c r="BY134" t="str">
        <f>"378051020"</f>
        <v>378051020</v>
      </c>
      <c r="CL134">
        <v>3</v>
      </c>
      <c r="CM134">
        <v>2</v>
      </c>
      <c r="CN134">
        <v>0</v>
      </c>
      <c r="CO134">
        <v>2</v>
      </c>
      <c r="CP134">
        <v>0</v>
      </c>
      <c r="CQ134">
        <v>7</v>
      </c>
      <c r="CR134" t="s">
        <v>116</v>
      </c>
      <c r="CS134">
        <v>525</v>
      </c>
      <c r="CT134">
        <v>2</v>
      </c>
      <c r="CU134" t="s">
        <v>140</v>
      </c>
      <c r="CV134" t="s">
        <v>141</v>
      </c>
      <c r="CY134">
        <v>13774698</v>
      </c>
      <c r="CZ134" t="s">
        <v>119</v>
      </c>
    </row>
    <row r="135" spans="1:104" x14ac:dyDescent="0.25">
      <c r="A135" t="str">
        <f>"13:52:34.563"</f>
        <v>13:52:34.563</v>
      </c>
      <c r="B135" t="s">
        <v>108</v>
      </c>
      <c r="C135" t="str">
        <f t="shared" si="4"/>
        <v>ffdfd3c0</v>
      </c>
      <c r="D135" t="s">
        <v>109</v>
      </c>
      <c r="E135">
        <v>4</v>
      </c>
      <c r="F135">
        <v>1004</v>
      </c>
      <c r="G135" t="s">
        <v>110</v>
      </c>
      <c r="J135" t="s">
        <v>111</v>
      </c>
      <c r="K135">
        <v>0</v>
      </c>
      <c r="L135">
        <v>3</v>
      </c>
      <c r="M135">
        <v>0</v>
      </c>
      <c r="N135">
        <v>2</v>
      </c>
      <c r="O135">
        <v>1</v>
      </c>
      <c r="P135">
        <v>0</v>
      </c>
      <c r="Q135">
        <v>0</v>
      </c>
      <c r="R135" t="s">
        <v>112</v>
      </c>
      <c r="S135" t="str">
        <f>"13:52:34.391"</f>
        <v>13:52:34.391</v>
      </c>
      <c r="T135" t="str">
        <f>"13:52:33.891"</f>
        <v>13:52:33.891</v>
      </c>
      <c r="U135" t="str">
        <f t="shared" si="6"/>
        <v>ad5732</v>
      </c>
      <c r="V135">
        <v>0</v>
      </c>
      <c r="W135">
        <v>0</v>
      </c>
      <c r="X135">
        <v>1</v>
      </c>
      <c r="Z135">
        <v>0</v>
      </c>
      <c r="AA135">
        <v>9</v>
      </c>
      <c r="AB135">
        <v>3</v>
      </c>
      <c r="AC135">
        <v>0</v>
      </c>
      <c r="AD135">
        <v>10</v>
      </c>
      <c r="AE135">
        <v>0</v>
      </c>
      <c r="AF135">
        <v>3</v>
      </c>
      <c r="AG135">
        <v>2</v>
      </c>
      <c r="AH135">
        <v>0</v>
      </c>
      <c r="AI135" t="s">
        <v>386</v>
      </c>
      <c r="AJ135">
        <v>39.146841000000002</v>
      </c>
      <c r="AK135" t="s">
        <v>387</v>
      </c>
      <c r="AL135">
        <v>-77.606820999999997</v>
      </c>
      <c r="AM135">
        <v>100</v>
      </c>
      <c r="AN135">
        <v>2700</v>
      </c>
      <c r="AO135" t="s">
        <v>115</v>
      </c>
      <c r="AP135">
        <v>39</v>
      </c>
      <c r="AQ135">
        <v>133</v>
      </c>
      <c r="AR135">
        <v>768</v>
      </c>
      <c r="AZ135">
        <v>3614</v>
      </c>
      <c r="BA135">
        <v>1</v>
      </c>
      <c r="BB135" t="str">
        <f t="shared" si="5"/>
        <v xml:space="preserve">N959MJ  </v>
      </c>
      <c r="BC135">
        <v>1</v>
      </c>
      <c r="BE135">
        <v>0</v>
      </c>
      <c r="BF135">
        <v>0</v>
      </c>
      <c r="BG135">
        <v>0</v>
      </c>
      <c r="BH135">
        <v>2850</v>
      </c>
      <c r="BI135">
        <v>150</v>
      </c>
      <c r="BJ135">
        <v>1</v>
      </c>
      <c r="BK135">
        <v>1</v>
      </c>
      <c r="BL135">
        <v>1</v>
      </c>
      <c r="BM135">
        <v>0</v>
      </c>
      <c r="BP135">
        <v>0</v>
      </c>
      <c r="BQ135">
        <v>0</v>
      </c>
      <c r="BX135" t="str">
        <f>"13:52:34.391"</f>
        <v>13:52:34.391</v>
      </c>
      <c r="BY135" t="str">
        <f>"393887155"</f>
        <v>393887155</v>
      </c>
      <c r="CL135">
        <v>3</v>
      </c>
      <c r="CM135">
        <v>2</v>
      </c>
      <c r="CN135">
        <v>0</v>
      </c>
      <c r="CO135">
        <v>2</v>
      </c>
      <c r="CP135">
        <v>0</v>
      </c>
      <c r="CQ135">
        <v>7</v>
      </c>
      <c r="CR135" t="s">
        <v>116</v>
      </c>
      <c r="CS135">
        <v>147</v>
      </c>
      <c r="CT135">
        <v>3</v>
      </c>
      <c r="CU135" t="s">
        <v>117</v>
      </c>
      <c r="CV135" t="s">
        <v>118</v>
      </c>
      <c r="CY135">
        <v>16001739</v>
      </c>
      <c r="CZ135" t="s">
        <v>119</v>
      </c>
    </row>
    <row r="136" spans="1:104" x14ac:dyDescent="0.25">
      <c r="A136" t="str">
        <f>"13:52:35.469"</f>
        <v>13:52:35.469</v>
      </c>
      <c r="B136" t="s">
        <v>108</v>
      </c>
      <c r="C136" t="str">
        <f t="shared" si="4"/>
        <v>ffdfd3c0</v>
      </c>
      <c r="D136" t="s">
        <v>109</v>
      </c>
      <c r="E136">
        <v>4</v>
      </c>
      <c r="F136">
        <v>1004</v>
      </c>
      <c r="G136" t="s">
        <v>110</v>
      </c>
      <c r="J136" t="s">
        <v>111</v>
      </c>
      <c r="K136">
        <v>0</v>
      </c>
      <c r="L136">
        <v>3</v>
      </c>
      <c r="M136">
        <v>0</v>
      </c>
      <c r="N136">
        <v>2</v>
      </c>
      <c r="O136">
        <v>1</v>
      </c>
      <c r="P136">
        <v>0</v>
      </c>
      <c r="Q136">
        <v>0</v>
      </c>
      <c r="R136" t="s">
        <v>112</v>
      </c>
      <c r="S136" t="str">
        <f>"13:52:35.289"</f>
        <v>13:52:35.289</v>
      </c>
      <c r="T136" t="str">
        <f>"13:52:34.891"</f>
        <v>13:52:34.891</v>
      </c>
      <c r="U136" t="str">
        <f t="shared" si="6"/>
        <v>ad5732</v>
      </c>
      <c r="V136">
        <v>0</v>
      </c>
      <c r="W136">
        <v>0</v>
      </c>
      <c r="X136">
        <v>1</v>
      </c>
      <c r="Z136">
        <v>0</v>
      </c>
      <c r="AA136">
        <v>9</v>
      </c>
      <c r="AB136">
        <v>3</v>
      </c>
      <c r="AC136">
        <v>0</v>
      </c>
      <c r="AD136">
        <v>10</v>
      </c>
      <c r="AE136">
        <v>0</v>
      </c>
      <c r="AF136">
        <v>3</v>
      </c>
      <c r="AG136">
        <v>2</v>
      </c>
      <c r="AH136">
        <v>0</v>
      </c>
      <c r="AI136" t="s">
        <v>388</v>
      </c>
      <c r="AJ136">
        <v>39.147398000000003</v>
      </c>
      <c r="AK136" t="s">
        <v>389</v>
      </c>
      <c r="AL136">
        <v>-77.606649000000004</v>
      </c>
      <c r="AM136">
        <v>100</v>
      </c>
      <c r="AN136">
        <v>2700</v>
      </c>
      <c r="AO136" t="s">
        <v>115</v>
      </c>
      <c r="AP136">
        <v>36</v>
      </c>
      <c r="AQ136">
        <v>134</v>
      </c>
      <c r="AR136">
        <v>704</v>
      </c>
      <c r="AZ136">
        <v>3614</v>
      </c>
      <c r="BA136">
        <v>1</v>
      </c>
      <c r="BB136" t="str">
        <f t="shared" si="5"/>
        <v xml:space="preserve">N959MJ  </v>
      </c>
      <c r="BC136">
        <v>1</v>
      </c>
      <c r="BE136">
        <v>0</v>
      </c>
      <c r="BF136">
        <v>0</v>
      </c>
      <c r="BG136">
        <v>0</v>
      </c>
      <c r="BH136">
        <v>2875</v>
      </c>
      <c r="BI136">
        <v>175</v>
      </c>
      <c r="BJ136">
        <v>1</v>
      </c>
      <c r="BK136">
        <v>1</v>
      </c>
      <c r="BL136">
        <v>1</v>
      </c>
      <c r="BM136">
        <v>0</v>
      </c>
      <c r="BP136">
        <v>0</v>
      </c>
      <c r="BQ136">
        <v>0</v>
      </c>
      <c r="BX136" t="str">
        <f>"13:52:35.289"</f>
        <v>13:52:35.289</v>
      </c>
      <c r="BY136" t="str">
        <f>"290105843"</f>
        <v>290105843</v>
      </c>
      <c r="CL136">
        <v>3</v>
      </c>
      <c r="CM136">
        <v>2</v>
      </c>
      <c r="CN136">
        <v>0</v>
      </c>
      <c r="CO136">
        <v>2</v>
      </c>
      <c r="CP136">
        <v>0</v>
      </c>
      <c r="CQ136">
        <v>7</v>
      </c>
      <c r="CR136" t="s">
        <v>116</v>
      </c>
      <c r="CS136">
        <v>147</v>
      </c>
      <c r="CT136">
        <v>3</v>
      </c>
      <c r="CU136" t="s">
        <v>117</v>
      </c>
      <c r="CV136" t="s">
        <v>118</v>
      </c>
      <c r="CY136">
        <v>16003134</v>
      </c>
      <c r="CZ136" t="s">
        <v>119</v>
      </c>
    </row>
    <row r="137" spans="1:104" x14ac:dyDescent="0.25">
      <c r="A137" t="str">
        <f>"13:52:36.375"</f>
        <v>13:52:36.375</v>
      </c>
      <c r="B137" t="s">
        <v>108</v>
      </c>
      <c r="C137" t="str">
        <f t="shared" si="4"/>
        <v>ffdfd3c0</v>
      </c>
      <c r="D137" t="s">
        <v>109</v>
      </c>
      <c r="E137">
        <v>4</v>
      </c>
      <c r="F137">
        <v>1004</v>
      </c>
      <c r="G137" t="s">
        <v>110</v>
      </c>
      <c r="J137" t="s">
        <v>111</v>
      </c>
      <c r="K137">
        <v>0</v>
      </c>
      <c r="L137">
        <v>3</v>
      </c>
      <c r="M137">
        <v>0</v>
      </c>
      <c r="N137">
        <v>2</v>
      </c>
      <c r="O137">
        <v>1</v>
      </c>
      <c r="P137">
        <v>0</v>
      </c>
      <c r="Q137">
        <v>0</v>
      </c>
      <c r="R137" t="s">
        <v>112</v>
      </c>
      <c r="S137" t="str">
        <f>"13:52:36.188"</f>
        <v>13:52:36.188</v>
      </c>
      <c r="T137" t="str">
        <f>"13:52:35.789"</f>
        <v>13:52:35.789</v>
      </c>
      <c r="U137" t="str">
        <f t="shared" si="6"/>
        <v>ad5732</v>
      </c>
      <c r="V137">
        <v>0</v>
      </c>
      <c r="W137">
        <v>0</v>
      </c>
      <c r="X137">
        <v>1</v>
      </c>
      <c r="Z137">
        <v>0</v>
      </c>
      <c r="AA137">
        <v>9</v>
      </c>
      <c r="AB137">
        <v>3</v>
      </c>
      <c r="AC137">
        <v>0</v>
      </c>
      <c r="AD137">
        <v>10</v>
      </c>
      <c r="AE137">
        <v>0</v>
      </c>
      <c r="AF137">
        <v>3</v>
      </c>
      <c r="AG137">
        <v>2</v>
      </c>
      <c r="AH137">
        <v>0</v>
      </c>
      <c r="AI137" t="s">
        <v>390</v>
      </c>
      <c r="AJ137">
        <v>39.147956000000001</v>
      </c>
      <c r="AK137" t="s">
        <v>391</v>
      </c>
      <c r="AL137">
        <v>-77.606435000000005</v>
      </c>
      <c r="AM137">
        <v>100</v>
      </c>
      <c r="AN137">
        <v>2700</v>
      </c>
      <c r="AO137" t="s">
        <v>115</v>
      </c>
      <c r="AP137">
        <v>33</v>
      </c>
      <c r="AQ137">
        <v>135</v>
      </c>
      <c r="AR137">
        <v>640</v>
      </c>
      <c r="AZ137">
        <v>3614</v>
      </c>
      <c r="BA137">
        <v>1</v>
      </c>
      <c r="BB137" t="str">
        <f t="shared" si="5"/>
        <v xml:space="preserve">N959MJ  </v>
      </c>
      <c r="BC137">
        <v>1</v>
      </c>
      <c r="BE137">
        <v>0</v>
      </c>
      <c r="BF137">
        <v>0</v>
      </c>
      <c r="BG137">
        <v>0</v>
      </c>
      <c r="BH137">
        <v>2875</v>
      </c>
      <c r="BI137">
        <v>175</v>
      </c>
      <c r="BJ137">
        <v>1</v>
      </c>
      <c r="BK137">
        <v>1</v>
      </c>
      <c r="BL137">
        <v>1</v>
      </c>
      <c r="BM137">
        <v>0</v>
      </c>
      <c r="BP137">
        <v>0</v>
      </c>
      <c r="BQ137">
        <v>0</v>
      </c>
      <c r="BX137" t="str">
        <f>"13:52:36.188"</f>
        <v>13:52:36.188</v>
      </c>
      <c r="BY137" t="str">
        <f>"189601527"</f>
        <v>189601527</v>
      </c>
      <c r="CL137">
        <v>3</v>
      </c>
      <c r="CM137">
        <v>2</v>
      </c>
      <c r="CN137">
        <v>0</v>
      </c>
      <c r="CO137">
        <v>2</v>
      </c>
      <c r="CP137">
        <v>0</v>
      </c>
      <c r="CQ137">
        <v>7</v>
      </c>
      <c r="CR137" t="s">
        <v>116</v>
      </c>
      <c r="CS137">
        <v>147</v>
      </c>
      <c r="CT137">
        <v>3</v>
      </c>
      <c r="CU137" t="s">
        <v>117</v>
      </c>
      <c r="CV137" t="s">
        <v>118</v>
      </c>
      <c r="CY137">
        <v>16004525</v>
      </c>
      <c r="CZ137" t="s">
        <v>119</v>
      </c>
    </row>
    <row r="138" spans="1:104" x14ac:dyDescent="0.25">
      <c r="A138" t="str">
        <f>"13:52:37.438"</f>
        <v>13:52:37.438</v>
      </c>
      <c r="B138" t="s">
        <v>108</v>
      </c>
      <c r="C138" t="str">
        <f t="shared" ref="C138:C201" si="7">"ffdfd3c0"</f>
        <v>ffdfd3c0</v>
      </c>
      <c r="D138" t="s">
        <v>109</v>
      </c>
      <c r="E138">
        <v>4</v>
      </c>
      <c r="F138">
        <v>1004</v>
      </c>
      <c r="G138" t="s">
        <v>110</v>
      </c>
      <c r="J138" t="s">
        <v>111</v>
      </c>
      <c r="K138">
        <v>0</v>
      </c>
      <c r="L138">
        <v>3</v>
      </c>
      <c r="M138">
        <v>0</v>
      </c>
      <c r="N138">
        <v>2</v>
      </c>
      <c r="O138">
        <v>1</v>
      </c>
      <c r="P138">
        <v>0</v>
      </c>
      <c r="Q138">
        <v>0</v>
      </c>
      <c r="R138" t="s">
        <v>112</v>
      </c>
      <c r="S138" t="str">
        <f>"13:52:37.266"</f>
        <v>13:52:37.266</v>
      </c>
      <c r="T138" t="str">
        <f>"13:52:36.766"</f>
        <v>13:52:36.766</v>
      </c>
      <c r="U138" t="str">
        <f t="shared" si="6"/>
        <v>ad5732</v>
      </c>
      <c r="V138">
        <v>0</v>
      </c>
      <c r="W138">
        <v>0</v>
      </c>
      <c r="X138">
        <v>1</v>
      </c>
      <c r="Z138">
        <v>0</v>
      </c>
      <c r="AA138">
        <v>9</v>
      </c>
      <c r="AB138">
        <v>3</v>
      </c>
      <c r="AC138">
        <v>0</v>
      </c>
      <c r="AD138">
        <v>10</v>
      </c>
      <c r="AE138">
        <v>0</v>
      </c>
      <c r="AF138">
        <v>3</v>
      </c>
      <c r="AG138">
        <v>2</v>
      </c>
      <c r="AH138">
        <v>0</v>
      </c>
      <c r="AI138" t="s">
        <v>392</v>
      </c>
      <c r="AJ138">
        <v>39.148578999999998</v>
      </c>
      <c r="AK138" t="s">
        <v>393</v>
      </c>
      <c r="AL138">
        <v>-77.606328000000005</v>
      </c>
      <c r="AM138">
        <v>100</v>
      </c>
      <c r="AN138">
        <v>2700</v>
      </c>
      <c r="AO138" t="s">
        <v>115</v>
      </c>
      <c r="AP138">
        <v>29</v>
      </c>
      <c r="AQ138">
        <v>137</v>
      </c>
      <c r="AR138">
        <v>640</v>
      </c>
      <c r="AZ138">
        <v>3614</v>
      </c>
      <c r="BA138">
        <v>1</v>
      </c>
      <c r="BB138" t="str">
        <f t="shared" ref="BB138:BB201" si="8">"N959MJ  "</f>
        <v xml:space="preserve">N959MJ  </v>
      </c>
      <c r="BC138">
        <v>1</v>
      </c>
      <c r="BE138">
        <v>0</v>
      </c>
      <c r="BF138">
        <v>0</v>
      </c>
      <c r="BG138">
        <v>0</v>
      </c>
      <c r="BH138">
        <v>2900</v>
      </c>
      <c r="BI138">
        <v>200</v>
      </c>
      <c r="BJ138">
        <v>1</v>
      </c>
      <c r="BK138">
        <v>1</v>
      </c>
      <c r="BL138">
        <v>1</v>
      </c>
      <c r="BM138">
        <v>0</v>
      </c>
      <c r="BP138">
        <v>0</v>
      </c>
      <c r="BQ138">
        <v>0</v>
      </c>
      <c r="BX138" t="str">
        <f>"13:52:37.266"</f>
        <v>13:52:37.266</v>
      </c>
      <c r="BY138" t="str">
        <f>"266047141"</f>
        <v>266047141</v>
      </c>
      <c r="CL138">
        <v>3</v>
      </c>
      <c r="CM138">
        <v>2</v>
      </c>
      <c r="CN138">
        <v>0</v>
      </c>
      <c r="CO138">
        <v>2</v>
      </c>
      <c r="CP138">
        <v>0</v>
      </c>
      <c r="CQ138">
        <v>7</v>
      </c>
      <c r="CR138" t="s">
        <v>116</v>
      </c>
      <c r="CS138">
        <v>147</v>
      </c>
      <c r="CT138">
        <v>3</v>
      </c>
      <c r="CU138" t="s">
        <v>117</v>
      </c>
      <c r="CV138" t="s">
        <v>118</v>
      </c>
      <c r="CY138">
        <v>16006178</v>
      </c>
      <c r="CZ138" t="s">
        <v>119</v>
      </c>
    </row>
    <row r="139" spans="1:104" x14ac:dyDescent="0.25">
      <c r="A139" t="str">
        <f>"13:52:38.500"</f>
        <v>13:52:38.500</v>
      </c>
      <c r="B139" t="s">
        <v>108</v>
      </c>
      <c r="C139" t="str">
        <f t="shared" si="7"/>
        <v>ffdfd3c0</v>
      </c>
      <c r="D139" t="s">
        <v>109</v>
      </c>
      <c r="E139">
        <v>4</v>
      </c>
      <c r="F139">
        <v>1004</v>
      </c>
      <c r="G139" t="s">
        <v>110</v>
      </c>
      <c r="J139" t="s">
        <v>111</v>
      </c>
      <c r="K139">
        <v>0</v>
      </c>
      <c r="L139">
        <v>3</v>
      </c>
      <c r="M139">
        <v>0</v>
      </c>
      <c r="N139">
        <v>2</v>
      </c>
      <c r="O139">
        <v>1</v>
      </c>
      <c r="P139">
        <v>0</v>
      </c>
      <c r="Q139">
        <v>0</v>
      </c>
      <c r="R139" t="s">
        <v>112</v>
      </c>
      <c r="S139" t="str">
        <f>"13:52:38.313"</f>
        <v>13:52:38.313</v>
      </c>
      <c r="T139" t="str">
        <f>"13:52:37.914"</f>
        <v>13:52:37.914</v>
      </c>
      <c r="U139" t="str">
        <f t="shared" si="6"/>
        <v>ad5732</v>
      </c>
      <c r="V139">
        <v>0</v>
      </c>
      <c r="W139">
        <v>0</v>
      </c>
      <c r="X139">
        <v>1</v>
      </c>
      <c r="Z139">
        <v>0</v>
      </c>
      <c r="AA139">
        <v>9</v>
      </c>
      <c r="AB139">
        <v>3</v>
      </c>
      <c r="AC139">
        <v>0</v>
      </c>
      <c r="AD139">
        <v>10</v>
      </c>
      <c r="AE139">
        <v>0</v>
      </c>
      <c r="AF139">
        <v>3</v>
      </c>
      <c r="AG139">
        <v>2</v>
      </c>
      <c r="AH139">
        <v>0</v>
      </c>
      <c r="AI139" t="s">
        <v>394</v>
      </c>
      <c r="AJ139">
        <v>39.149287000000001</v>
      </c>
      <c r="AK139" t="s">
        <v>395</v>
      </c>
      <c r="AL139">
        <v>-77.606177000000002</v>
      </c>
      <c r="AM139">
        <v>100</v>
      </c>
      <c r="AN139">
        <v>2700</v>
      </c>
      <c r="AO139" t="s">
        <v>115</v>
      </c>
      <c r="AP139">
        <v>24</v>
      </c>
      <c r="AQ139">
        <v>138</v>
      </c>
      <c r="AR139">
        <v>704</v>
      </c>
      <c r="AZ139">
        <v>3614</v>
      </c>
      <c r="BA139">
        <v>1</v>
      </c>
      <c r="BB139" t="str">
        <f t="shared" si="8"/>
        <v xml:space="preserve">N959MJ  </v>
      </c>
      <c r="BC139">
        <v>1</v>
      </c>
      <c r="BE139">
        <v>0</v>
      </c>
      <c r="BF139">
        <v>0</v>
      </c>
      <c r="BG139">
        <v>0</v>
      </c>
      <c r="BH139">
        <v>2900</v>
      </c>
      <c r="BI139">
        <v>200</v>
      </c>
      <c r="BJ139">
        <v>1</v>
      </c>
      <c r="BK139">
        <v>1</v>
      </c>
      <c r="BL139">
        <v>1</v>
      </c>
      <c r="BM139">
        <v>0</v>
      </c>
      <c r="BP139">
        <v>0</v>
      </c>
      <c r="BQ139">
        <v>0</v>
      </c>
      <c r="BX139" t="str">
        <f>"13:52:38.313"</f>
        <v>13:52:38.313</v>
      </c>
      <c r="BY139" t="str">
        <f>"312988077"</f>
        <v>312988077</v>
      </c>
      <c r="CL139">
        <v>3</v>
      </c>
      <c r="CM139">
        <v>2</v>
      </c>
      <c r="CN139">
        <v>0</v>
      </c>
      <c r="CO139">
        <v>2</v>
      </c>
      <c r="CP139">
        <v>0</v>
      </c>
      <c r="CQ139">
        <v>7</v>
      </c>
      <c r="CR139" t="s">
        <v>116</v>
      </c>
      <c r="CS139">
        <v>525</v>
      </c>
      <c r="CT139">
        <v>2</v>
      </c>
      <c r="CU139" t="s">
        <v>140</v>
      </c>
      <c r="CV139" t="s">
        <v>141</v>
      </c>
      <c r="CY139">
        <v>13782029</v>
      </c>
      <c r="CZ139" t="s">
        <v>119</v>
      </c>
    </row>
    <row r="140" spans="1:104" x14ac:dyDescent="0.25">
      <c r="A140" t="str">
        <f>"13:52:39.508"</f>
        <v>13:52:39.508</v>
      </c>
      <c r="B140" t="s">
        <v>108</v>
      </c>
      <c r="C140" t="str">
        <f t="shared" si="7"/>
        <v>ffdfd3c0</v>
      </c>
      <c r="D140" t="s">
        <v>109</v>
      </c>
      <c r="E140">
        <v>4</v>
      </c>
      <c r="F140">
        <v>1004</v>
      </c>
      <c r="G140" t="s">
        <v>110</v>
      </c>
      <c r="J140" t="s">
        <v>111</v>
      </c>
      <c r="K140">
        <v>0</v>
      </c>
      <c r="L140">
        <v>3</v>
      </c>
      <c r="M140">
        <v>0</v>
      </c>
      <c r="N140">
        <v>2</v>
      </c>
      <c r="O140">
        <v>1</v>
      </c>
      <c r="P140">
        <v>0</v>
      </c>
      <c r="Q140">
        <v>0</v>
      </c>
      <c r="R140" t="s">
        <v>112</v>
      </c>
      <c r="S140" t="str">
        <f>"13:52:39.336"</f>
        <v>13:52:39.336</v>
      </c>
      <c r="T140" t="str">
        <f>"13:52:38.938"</f>
        <v>13:52:38.938</v>
      </c>
      <c r="U140" t="str">
        <f t="shared" si="6"/>
        <v>ad5732</v>
      </c>
      <c r="V140">
        <v>0</v>
      </c>
      <c r="W140">
        <v>0</v>
      </c>
      <c r="X140">
        <v>1</v>
      </c>
      <c r="Z140">
        <v>0</v>
      </c>
      <c r="AA140">
        <v>9</v>
      </c>
      <c r="AB140">
        <v>3</v>
      </c>
      <c r="AC140">
        <v>0</v>
      </c>
      <c r="AD140">
        <v>10</v>
      </c>
      <c r="AE140">
        <v>0</v>
      </c>
      <c r="AF140">
        <v>3</v>
      </c>
      <c r="AG140">
        <v>2</v>
      </c>
      <c r="AH140">
        <v>0</v>
      </c>
      <c r="AI140" t="s">
        <v>396</v>
      </c>
      <c r="AJ140">
        <v>39.149909000000001</v>
      </c>
      <c r="AK140" t="s">
        <v>397</v>
      </c>
      <c r="AL140">
        <v>-77.606048999999999</v>
      </c>
      <c r="AM140">
        <v>100</v>
      </c>
      <c r="AN140">
        <v>2700</v>
      </c>
      <c r="AO140" t="s">
        <v>115</v>
      </c>
      <c r="AP140">
        <v>19</v>
      </c>
      <c r="AQ140">
        <v>139</v>
      </c>
      <c r="AR140">
        <v>768</v>
      </c>
      <c r="AZ140">
        <v>3614</v>
      </c>
      <c r="BA140">
        <v>1</v>
      </c>
      <c r="BB140" t="str">
        <f t="shared" si="8"/>
        <v xml:space="preserve">N959MJ  </v>
      </c>
      <c r="BC140">
        <v>1</v>
      </c>
      <c r="BE140">
        <v>0</v>
      </c>
      <c r="BF140">
        <v>0</v>
      </c>
      <c r="BG140">
        <v>0</v>
      </c>
      <c r="BH140">
        <v>2925</v>
      </c>
      <c r="BI140">
        <v>225</v>
      </c>
      <c r="BJ140">
        <v>1</v>
      </c>
      <c r="BK140">
        <v>1</v>
      </c>
      <c r="BL140">
        <v>1</v>
      </c>
      <c r="BM140">
        <v>0</v>
      </c>
      <c r="BP140">
        <v>0</v>
      </c>
      <c r="BQ140">
        <v>0</v>
      </c>
      <c r="BX140" t="str">
        <f>"13:52:39.344"</f>
        <v>13:52:39.344</v>
      </c>
      <c r="BY140" t="str">
        <f>"341918869"</f>
        <v>341918869</v>
      </c>
      <c r="CL140">
        <v>3</v>
      </c>
      <c r="CM140">
        <v>2</v>
      </c>
      <c r="CN140">
        <v>0</v>
      </c>
      <c r="CO140">
        <v>2</v>
      </c>
      <c r="CP140">
        <v>0</v>
      </c>
      <c r="CQ140">
        <v>7</v>
      </c>
      <c r="CR140" t="s">
        <v>116</v>
      </c>
      <c r="CS140">
        <v>525</v>
      </c>
      <c r="CT140">
        <v>2</v>
      </c>
      <c r="CU140" t="s">
        <v>140</v>
      </c>
      <c r="CV140" t="s">
        <v>141</v>
      </c>
      <c r="CY140">
        <v>13783579</v>
      </c>
      <c r="CZ140" t="s">
        <v>119</v>
      </c>
    </row>
    <row r="141" spans="1:104" x14ac:dyDescent="0.25">
      <c r="A141" t="str">
        <f>"13:52:40.469"</f>
        <v>13:52:40.469</v>
      </c>
      <c r="B141" t="s">
        <v>108</v>
      </c>
      <c r="C141" t="str">
        <f t="shared" si="7"/>
        <v>ffdfd3c0</v>
      </c>
      <c r="D141" t="s">
        <v>109</v>
      </c>
      <c r="E141">
        <v>4</v>
      </c>
      <c r="F141">
        <v>1004</v>
      </c>
      <c r="G141" t="s">
        <v>110</v>
      </c>
      <c r="J141" t="s">
        <v>111</v>
      </c>
      <c r="K141">
        <v>0</v>
      </c>
      <c r="L141">
        <v>3</v>
      </c>
      <c r="M141">
        <v>0</v>
      </c>
      <c r="N141">
        <v>2</v>
      </c>
      <c r="O141">
        <v>1</v>
      </c>
      <c r="P141">
        <v>0</v>
      </c>
      <c r="Q141">
        <v>0</v>
      </c>
      <c r="R141" t="s">
        <v>112</v>
      </c>
      <c r="S141" t="str">
        <f>"13:52:40.250"</f>
        <v>13:52:40.250</v>
      </c>
      <c r="T141" t="str">
        <f>"13:52:39.852"</f>
        <v>13:52:39.852</v>
      </c>
      <c r="U141" t="str">
        <f t="shared" si="6"/>
        <v>ad5732</v>
      </c>
      <c r="V141">
        <v>0</v>
      </c>
      <c r="W141">
        <v>0</v>
      </c>
      <c r="X141">
        <v>1</v>
      </c>
      <c r="Z141">
        <v>0</v>
      </c>
      <c r="AA141">
        <v>9</v>
      </c>
      <c r="AB141">
        <v>3</v>
      </c>
      <c r="AC141">
        <v>0</v>
      </c>
      <c r="AD141">
        <v>10</v>
      </c>
      <c r="AE141">
        <v>0</v>
      </c>
      <c r="AF141">
        <v>3</v>
      </c>
      <c r="AG141">
        <v>2</v>
      </c>
      <c r="AH141">
        <v>0</v>
      </c>
      <c r="AI141" t="s">
        <v>398</v>
      </c>
      <c r="AJ141">
        <v>39.150531000000001</v>
      </c>
      <c r="AK141" t="s">
        <v>399</v>
      </c>
      <c r="AL141">
        <v>-77.605963000000003</v>
      </c>
      <c r="AM141">
        <v>100</v>
      </c>
      <c r="AN141">
        <v>2700</v>
      </c>
      <c r="AO141" t="s">
        <v>115</v>
      </c>
      <c r="AP141">
        <v>16</v>
      </c>
      <c r="AQ141">
        <v>139</v>
      </c>
      <c r="AR141">
        <v>704</v>
      </c>
      <c r="AZ141">
        <v>3614</v>
      </c>
      <c r="BA141">
        <v>1</v>
      </c>
      <c r="BB141" t="str">
        <f t="shared" si="8"/>
        <v xml:space="preserve">N959MJ  </v>
      </c>
      <c r="BC141">
        <v>1</v>
      </c>
      <c r="BE141">
        <v>0</v>
      </c>
      <c r="BF141">
        <v>0</v>
      </c>
      <c r="BG141">
        <v>0</v>
      </c>
      <c r="BH141">
        <v>2925</v>
      </c>
      <c r="BI141">
        <v>225</v>
      </c>
      <c r="BJ141">
        <v>1</v>
      </c>
      <c r="BK141">
        <v>1</v>
      </c>
      <c r="BL141">
        <v>1</v>
      </c>
      <c r="BM141">
        <v>0</v>
      </c>
      <c r="BP141">
        <v>0</v>
      </c>
      <c r="BQ141">
        <v>0</v>
      </c>
      <c r="BX141" t="str">
        <f>"13:52:40.250"</f>
        <v>13:52:40.250</v>
      </c>
      <c r="BY141" t="str">
        <f>"251244896"</f>
        <v>251244896</v>
      </c>
      <c r="CL141">
        <v>3</v>
      </c>
      <c r="CM141">
        <v>2</v>
      </c>
      <c r="CN141">
        <v>0</v>
      </c>
      <c r="CO141">
        <v>2</v>
      </c>
      <c r="CP141">
        <v>0</v>
      </c>
      <c r="CQ141">
        <v>7</v>
      </c>
      <c r="CR141" t="s">
        <v>116</v>
      </c>
      <c r="CS141">
        <v>525</v>
      </c>
      <c r="CT141">
        <v>2</v>
      </c>
      <c r="CU141" t="s">
        <v>140</v>
      </c>
      <c r="CV141" t="s">
        <v>141</v>
      </c>
      <c r="CY141">
        <v>13784901</v>
      </c>
      <c r="CZ141" t="s">
        <v>119</v>
      </c>
    </row>
    <row r="142" spans="1:104" x14ac:dyDescent="0.25">
      <c r="A142" t="str">
        <f>"13:52:41.328"</f>
        <v>13:52:41.328</v>
      </c>
      <c r="B142" t="s">
        <v>108</v>
      </c>
      <c r="C142" t="str">
        <f t="shared" si="7"/>
        <v>ffdfd3c0</v>
      </c>
      <c r="D142" t="s">
        <v>109</v>
      </c>
      <c r="E142">
        <v>4</v>
      </c>
      <c r="F142">
        <v>1004</v>
      </c>
      <c r="G142" t="s">
        <v>110</v>
      </c>
      <c r="J142" t="s">
        <v>111</v>
      </c>
      <c r="K142">
        <v>0</v>
      </c>
      <c r="L142">
        <v>3</v>
      </c>
      <c r="M142">
        <v>0</v>
      </c>
      <c r="N142">
        <v>2</v>
      </c>
      <c r="O142">
        <v>1</v>
      </c>
      <c r="P142">
        <v>0</v>
      </c>
      <c r="Q142">
        <v>0</v>
      </c>
      <c r="R142" t="s">
        <v>112</v>
      </c>
      <c r="S142" t="str">
        <f>"13:52:41.148"</f>
        <v>13:52:41.148</v>
      </c>
      <c r="T142" t="str">
        <f>"13:52:40.750"</f>
        <v>13:52:40.750</v>
      </c>
      <c r="U142" t="str">
        <f t="shared" si="6"/>
        <v>ad5732</v>
      </c>
      <c r="V142">
        <v>0</v>
      </c>
      <c r="W142">
        <v>0</v>
      </c>
      <c r="X142">
        <v>1</v>
      </c>
      <c r="Z142">
        <v>0</v>
      </c>
      <c r="AA142">
        <v>9</v>
      </c>
      <c r="AB142">
        <v>3</v>
      </c>
      <c r="AC142">
        <v>0</v>
      </c>
      <c r="AD142">
        <v>10</v>
      </c>
      <c r="AE142">
        <v>0</v>
      </c>
      <c r="AF142">
        <v>3</v>
      </c>
      <c r="AG142">
        <v>2</v>
      </c>
      <c r="AH142">
        <v>0</v>
      </c>
      <c r="AI142" t="s">
        <v>400</v>
      </c>
      <c r="AJ142">
        <v>39.151111</v>
      </c>
      <c r="AK142" t="s">
        <v>401</v>
      </c>
      <c r="AL142">
        <v>-77.605919999999998</v>
      </c>
      <c r="AM142">
        <v>100</v>
      </c>
      <c r="AN142">
        <v>2700</v>
      </c>
      <c r="AO142" t="s">
        <v>115</v>
      </c>
      <c r="AP142">
        <v>11</v>
      </c>
      <c r="AQ142">
        <v>140</v>
      </c>
      <c r="AR142">
        <v>704</v>
      </c>
      <c r="AZ142">
        <v>3614</v>
      </c>
      <c r="BA142">
        <v>1</v>
      </c>
      <c r="BB142" t="str">
        <f t="shared" si="8"/>
        <v xml:space="preserve">N959MJ  </v>
      </c>
      <c r="BC142">
        <v>1</v>
      </c>
      <c r="BE142">
        <v>0</v>
      </c>
      <c r="BF142">
        <v>0</v>
      </c>
      <c r="BG142">
        <v>0</v>
      </c>
      <c r="BH142">
        <v>2925</v>
      </c>
      <c r="BI142">
        <v>225</v>
      </c>
      <c r="BJ142">
        <v>1</v>
      </c>
      <c r="BK142">
        <v>1</v>
      </c>
      <c r="BL142">
        <v>1</v>
      </c>
      <c r="BM142">
        <v>0</v>
      </c>
      <c r="BP142">
        <v>0</v>
      </c>
      <c r="BQ142">
        <v>0</v>
      </c>
      <c r="BX142" t="str">
        <f>"13:52:41.156"</f>
        <v>13:52:41.156</v>
      </c>
      <c r="BY142" t="str">
        <f>"155669573"</f>
        <v>155669573</v>
      </c>
      <c r="CL142">
        <v>3</v>
      </c>
      <c r="CM142">
        <v>2</v>
      </c>
      <c r="CN142">
        <v>0</v>
      </c>
      <c r="CO142">
        <v>2</v>
      </c>
      <c r="CP142">
        <v>0</v>
      </c>
      <c r="CQ142">
        <v>7</v>
      </c>
      <c r="CR142" t="s">
        <v>116</v>
      </c>
      <c r="CS142">
        <v>147</v>
      </c>
      <c r="CT142">
        <v>3</v>
      </c>
      <c r="CU142" t="s">
        <v>117</v>
      </c>
      <c r="CV142" t="s">
        <v>118</v>
      </c>
      <c r="CY142">
        <v>16012237</v>
      </c>
      <c r="CZ142" t="s">
        <v>119</v>
      </c>
    </row>
    <row r="143" spans="1:104" x14ac:dyDescent="0.25">
      <c r="A143" t="str">
        <f>"13:52:42.234"</f>
        <v>13:52:42.234</v>
      </c>
      <c r="B143" t="s">
        <v>108</v>
      </c>
      <c r="C143" t="str">
        <f t="shared" si="7"/>
        <v>ffdfd3c0</v>
      </c>
      <c r="D143" t="s">
        <v>109</v>
      </c>
      <c r="E143">
        <v>4</v>
      </c>
      <c r="F143">
        <v>1004</v>
      </c>
      <c r="G143" t="s">
        <v>110</v>
      </c>
      <c r="J143" t="s">
        <v>111</v>
      </c>
      <c r="K143">
        <v>0</v>
      </c>
      <c r="L143">
        <v>3</v>
      </c>
      <c r="M143">
        <v>0</v>
      </c>
      <c r="N143">
        <v>2</v>
      </c>
      <c r="O143">
        <v>1</v>
      </c>
      <c r="P143">
        <v>0</v>
      </c>
      <c r="Q143">
        <v>0</v>
      </c>
      <c r="R143" t="s">
        <v>112</v>
      </c>
      <c r="S143" t="str">
        <f>"13:52:42.031"</f>
        <v>13:52:42.031</v>
      </c>
      <c r="T143" t="str">
        <f>"13:52:41.633"</f>
        <v>13:52:41.633</v>
      </c>
      <c r="U143" t="str">
        <f t="shared" si="6"/>
        <v>ad5732</v>
      </c>
      <c r="V143">
        <v>0</v>
      </c>
      <c r="W143">
        <v>0</v>
      </c>
      <c r="X143">
        <v>1</v>
      </c>
      <c r="Z143">
        <v>0</v>
      </c>
      <c r="AA143">
        <v>9</v>
      </c>
      <c r="AB143">
        <v>3</v>
      </c>
      <c r="AC143">
        <v>0</v>
      </c>
      <c r="AD143">
        <v>10</v>
      </c>
      <c r="AE143">
        <v>0</v>
      </c>
      <c r="AF143">
        <v>3</v>
      </c>
      <c r="AG143">
        <v>2</v>
      </c>
      <c r="AH143">
        <v>0</v>
      </c>
      <c r="AI143" t="s">
        <v>402</v>
      </c>
      <c r="AJ143">
        <v>39.151690000000002</v>
      </c>
      <c r="AK143" t="s">
        <v>403</v>
      </c>
      <c r="AL143">
        <v>-77.605897999999996</v>
      </c>
      <c r="AM143">
        <v>100</v>
      </c>
      <c r="AN143">
        <v>2700</v>
      </c>
      <c r="AO143" t="s">
        <v>115</v>
      </c>
      <c r="AP143">
        <v>8</v>
      </c>
      <c r="AQ143">
        <v>140</v>
      </c>
      <c r="AR143">
        <v>768</v>
      </c>
      <c r="AZ143">
        <v>3614</v>
      </c>
      <c r="BA143">
        <v>1</v>
      </c>
      <c r="BB143" t="str">
        <f t="shared" si="8"/>
        <v xml:space="preserve">N959MJ  </v>
      </c>
      <c r="BC143">
        <v>1</v>
      </c>
      <c r="BE143">
        <v>0</v>
      </c>
      <c r="BF143">
        <v>0</v>
      </c>
      <c r="BG143">
        <v>0</v>
      </c>
      <c r="BH143">
        <v>2950</v>
      </c>
      <c r="BI143">
        <v>250</v>
      </c>
      <c r="BJ143">
        <v>1</v>
      </c>
      <c r="BK143">
        <v>1</v>
      </c>
      <c r="BL143">
        <v>1</v>
      </c>
      <c r="BM143">
        <v>0</v>
      </c>
      <c r="BP143">
        <v>0</v>
      </c>
      <c r="BQ143">
        <v>0</v>
      </c>
      <c r="BX143" t="str">
        <f>"13:52:42.039"</f>
        <v>13:52:42.039</v>
      </c>
      <c r="BY143" t="str">
        <f>"037142545"</f>
        <v>037142545</v>
      </c>
      <c r="CL143">
        <v>3</v>
      </c>
      <c r="CM143">
        <v>2</v>
      </c>
      <c r="CN143">
        <v>0</v>
      </c>
      <c r="CO143">
        <v>2</v>
      </c>
      <c r="CP143">
        <v>0</v>
      </c>
      <c r="CQ143">
        <v>0</v>
      </c>
      <c r="CR143" t="s">
        <v>116</v>
      </c>
      <c r="CS143">
        <v>147</v>
      </c>
      <c r="CT143">
        <v>2</v>
      </c>
      <c r="CU143" t="s">
        <v>117</v>
      </c>
      <c r="CV143" t="s">
        <v>118</v>
      </c>
      <c r="CY143">
        <v>15677588</v>
      </c>
      <c r="CZ143" t="s">
        <v>119</v>
      </c>
    </row>
    <row r="144" spans="1:104" x14ac:dyDescent="0.25">
      <c r="A144" t="str">
        <f>"13:52:43.242"</f>
        <v>13:52:43.242</v>
      </c>
      <c r="B144" t="s">
        <v>108</v>
      </c>
      <c r="C144" t="str">
        <f t="shared" si="7"/>
        <v>ffdfd3c0</v>
      </c>
      <c r="D144" t="s">
        <v>109</v>
      </c>
      <c r="E144">
        <v>4</v>
      </c>
      <c r="F144">
        <v>1004</v>
      </c>
      <c r="G144" t="s">
        <v>110</v>
      </c>
      <c r="J144" t="s">
        <v>111</v>
      </c>
      <c r="K144">
        <v>0</v>
      </c>
      <c r="L144">
        <v>3</v>
      </c>
      <c r="M144">
        <v>0</v>
      </c>
      <c r="N144">
        <v>2</v>
      </c>
      <c r="O144">
        <v>1</v>
      </c>
      <c r="P144">
        <v>0</v>
      </c>
      <c r="Q144">
        <v>0</v>
      </c>
      <c r="R144" t="s">
        <v>112</v>
      </c>
      <c r="S144" t="str">
        <f>"13:52:43.063"</f>
        <v>13:52:43.063</v>
      </c>
      <c r="T144" t="str">
        <f>"13:52:42.664"</f>
        <v>13:52:42.664</v>
      </c>
      <c r="U144" t="str">
        <f t="shared" si="6"/>
        <v>ad5732</v>
      </c>
      <c r="V144">
        <v>0</v>
      </c>
      <c r="W144">
        <v>0</v>
      </c>
      <c r="X144">
        <v>1</v>
      </c>
      <c r="Z144">
        <v>0</v>
      </c>
      <c r="AA144">
        <v>9</v>
      </c>
      <c r="AB144">
        <v>3</v>
      </c>
      <c r="AC144">
        <v>0</v>
      </c>
      <c r="AD144">
        <v>10</v>
      </c>
      <c r="AE144">
        <v>0</v>
      </c>
      <c r="AF144">
        <v>3</v>
      </c>
      <c r="AG144">
        <v>2</v>
      </c>
      <c r="AH144">
        <v>0</v>
      </c>
      <c r="AI144" t="s">
        <v>404</v>
      </c>
      <c r="AJ144">
        <v>39.152334000000003</v>
      </c>
      <c r="AK144" t="s">
        <v>405</v>
      </c>
      <c r="AL144">
        <v>-77.605834000000002</v>
      </c>
      <c r="AM144">
        <v>100</v>
      </c>
      <c r="AN144">
        <v>2700</v>
      </c>
      <c r="AO144" t="s">
        <v>115</v>
      </c>
      <c r="AP144">
        <v>6</v>
      </c>
      <c r="AQ144">
        <v>140</v>
      </c>
      <c r="AR144">
        <v>960</v>
      </c>
      <c r="AZ144">
        <v>3614</v>
      </c>
      <c r="BA144">
        <v>1</v>
      </c>
      <c r="BB144" t="str">
        <f t="shared" si="8"/>
        <v xml:space="preserve">N959MJ  </v>
      </c>
      <c r="BC144">
        <v>1</v>
      </c>
      <c r="BE144">
        <v>0</v>
      </c>
      <c r="BF144">
        <v>0</v>
      </c>
      <c r="BG144">
        <v>0</v>
      </c>
      <c r="BH144">
        <v>2975</v>
      </c>
      <c r="BI144">
        <v>275</v>
      </c>
      <c r="BJ144">
        <v>1</v>
      </c>
      <c r="BK144">
        <v>1</v>
      </c>
      <c r="BL144">
        <v>1</v>
      </c>
      <c r="BM144">
        <v>0</v>
      </c>
      <c r="BP144">
        <v>0</v>
      </c>
      <c r="BQ144">
        <v>0</v>
      </c>
      <c r="BX144" t="str">
        <f>"13:52:43.063"</f>
        <v>13:52:43.063</v>
      </c>
      <c r="BY144" t="str">
        <f>"066073888"</f>
        <v>066073888</v>
      </c>
      <c r="CL144">
        <v>3</v>
      </c>
      <c r="CM144">
        <v>2</v>
      </c>
      <c r="CN144">
        <v>0</v>
      </c>
      <c r="CO144">
        <v>2</v>
      </c>
      <c r="CP144">
        <v>0</v>
      </c>
      <c r="CQ144">
        <v>7</v>
      </c>
      <c r="CR144" t="s">
        <v>116</v>
      </c>
      <c r="CS144">
        <v>147</v>
      </c>
      <c r="CT144">
        <v>3</v>
      </c>
      <c r="CU144" t="s">
        <v>117</v>
      </c>
      <c r="CV144" t="s">
        <v>118</v>
      </c>
      <c r="CY144">
        <v>16015390</v>
      </c>
      <c r="CZ144" t="s">
        <v>119</v>
      </c>
    </row>
    <row r="145" spans="1:104" x14ac:dyDescent="0.25">
      <c r="A145" t="str">
        <f>"13:52:44.813"</f>
        <v>13:52:44.813</v>
      </c>
      <c r="B145" t="s">
        <v>108</v>
      </c>
      <c r="C145" t="str">
        <f t="shared" si="7"/>
        <v>ffdfd3c0</v>
      </c>
      <c r="D145" t="s">
        <v>109</v>
      </c>
      <c r="E145">
        <v>4</v>
      </c>
      <c r="F145">
        <v>1004</v>
      </c>
      <c r="G145" t="s">
        <v>110</v>
      </c>
      <c r="J145" t="s">
        <v>111</v>
      </c>
      <c r="K145">
        <v>0</v>
      </c>
      <c r="L145">
        <v>3</v>
      </c>
      <c r="M145">
        <v>0</v>
      </c>
      <c r="N145">
        <v>2</v>
      </c>
      <c r="O145">
        <v>1</v>
      </c>
      <c r="P145">
        <v>0</v>
      </c>
      <c r="Q145">
        <v>0</v>
      </c>
      <c r="R145" t="s">
        <v>112</v>
      </c>
      <c r="S145" t="str">
        <f>"13:52:44.633"</f>
        <v>13:52:44.633</v>
      </c>
      <c r="T145" t="str">
        <f>"13:52:44.234"</f>
        <v>13:52:44.234</v>
      </c>
      <c r="U145" t="str">
        <f t="shared" si="6"/>
        <v>ad5732</v>
      </c>
      <c r="V145">
        <v>0</v>
      </c>
      <c r="W145">
        <v>0</v>
      </c>
      <c r="X145">
        <v>1</v>
      </c>
      <c r="Z145">
        <v>0</v>
      </c>
      <c r="AA145">
        <v>9</v>
      </c>
      <c r="AB145">
        <v>3</v>
      </c>
      <c r="AC145">
        <v>0</v>
      </c>
      <c r="AD145">
        <v>10</v>
      </c>
      <c r="AE145">
        <v>0</v>
      </c>
      <c r="AF145">
        <v>3</v>
      </c>
      <c r="AG145">
        <v>2</v>
      </c>
      <c r="AH145">
        <v>0</v>
      </c>
      <c r="AI145" t="s">
        <v>406</v>
      </c>
      <c r="AJ145">
        <v>39.153364000000003</v>
      </c>
      <c r="AK145" t="s">
        <v>407</v>
      </c>
      <c r="AL145">
        <v>-77.605770000000007</v>
      </c>
      <c r="AM145">
        <v>100</v>
      </c>
      <c r="AN145">
        <v>2800</v>
      </c>
      <c r="AO145" t="s">
        <v>115</v>
      </c>
      <c r="AP145">
        <v>5</v>
      </c>
      <c r="AQ145">
        <v>139</v>
      </c>
      <c r="AR145">
        <v>1344</v>
      </c>
      <c r="AZ145">
        <v>3614</v>
      </c>
      <c r="BA145">
        <v>1</v>
      </c>
      <c r="BB145" t="str">
        <f t="shared" si="8"/>
        <v xml:space="preserve">N959MJ  </v>
      </c>
      <c r="BC145">
        <v>1</v>
      </c>
      <c r="BE145">
        <v>0</v>
      </c>
      <c r="BF145">
        <v>0</v>
      </c>
      <c r="BG145">
        <v>0</v>
      </c>
      <c r="BH145">
        <v>2900</v>
      </c>
      <c r="BI145">
        <v>100</v>
      </c>
      <c r="BJ145">
        <v>1</v>
      </c>
      <c r="BK145">
        <v>1</v>
      </c>
      <c r="BL145">
        <v>1</v>
      </c>
      <c r="BM145">
        <v>0</v>
      </c>
      <c r="BP145">
        <v>0</v>
      </c>
      <c r="BQ145">
        <v>0</v>
      </c>
      <c r="BX145" t="str">
        <f>"13:52:44.633"</f>
        <v>13:52:44.633</v>
      </c>
      <c r="BY145" t="str">
        <f>"634047253"</f>
        <v>634047253</v>
      </c>
      <c r="CL145">
        <v>3</v>
      </c>
      <c r="CM145">
        <v>2</v>
      </c>
      <c r="CN145">
        <v>0</v>
      </c>
      <c r="CO145">
        <v>2</v>
      </c>
      <c r="CP145">
        <v>0</v>
      </c>
      <c r="CQ145">
        <v>7</v>
      </c>
      <c r="CR145" t="s">
        <v>116</v>
      </c>
      <c r="CS145">
        <v>147</v>
      </c>
      <c r="CT145">
        <v>3</v>
      </c>
      <c r="CU145" t="s">
        <v>117</v>
      </c>
      <c r="CV145" t="s">
        <v>118</v>
      </c>
      <c r="CY145">
        <v>16017810</v>
      </c>
      <c r="CZ145" t="s">
        <v>119</v>
      </c>
    </row>
    <row r="146" spans="1:104" x14ac:dyDescent="0.25">
      <c r="A146" t="str">
        <f>"13:52:45.969"</f>
        <v>13:52:45.969</v>
      </c>
      <c r="B146" t="s">
        <v>108</v>
      </c>
      <c r="C146" t="str">
        <f t="shared" si="7"/>
        <v>ffdfd3c0</v>
      </c>
      <c r="D146" t="s">
        <v>109</v>
      </c>
      <c r="E146">
        <v>4</v>
      </c>
      <c r="F146">
        <v>1004</v>
      </c>
      <c r="G146" t="s">
        <v>110</v>
      </c>
      <c r="J146" t="s">
        <v>111</v>
      </c>
      <c r="K146">
        <v>0</v>
      </c>
      <c r="L146">
        <v>3</v>
      </c>
      <c r="M146">
        <v>0</v>
      </c>
      <c r="N146">
        <v>2</v>
      </c>
      <c r="O146">
        <v>1</v>
      </c>
      <c r="P146">
        <v>0</v>
      </c>
      <c r="Q146">
        <v>0</v>
      </c>
      <c r="R146" t="s">
        <v>112</v>
      </c>
      <c r="S146" t="str">
        <f>"13:52:45.773"</f>
        <v>13:52:45.773</v>
      </c>
      <c r="T146" t="str">
        <f>"13:52:45.273"</f>
        <v>13:52:45.273</v>
      </c>
      <c r="U146" t="str">
        <f t="shared" si="6"/>
        <v>ad5732</v>
      </c>
      <c r="V146">
        <v>0</v>
      </c>
      <c r="W146">
        <v>0</v>
      </c>
      <c r="X146">
        <v>1</v>
      </c>
      <c r="Z146">
        <v>0</v>
      </c>
      <c r="AA146">
        <v>9</v>
      </c>
      <c r="AB146">
        <v>3</v>
      </c>
      <c r="AC146">
        <v>0</v>
      </c>
      <c r="AD146">
        <v>10</v>
      </c>
      <c r="AE146">
        <v>0</v>
      </c>
      <c r="AF146">
        <v>3</v>
      </c>
      <c r="AG146">
        <v>2</v>
      </c>
      <c r="AH146">
        <v>0</v>
      </c>
      <c r="AI146" t="s">
        <v>408</v>
      </c>
      <c r="AJ146">
        <v>39.154114999999997</v>
      </c>
      <c r="AK146" t="s">
        <v>407</v>
      </c>
      <c r="AL146">
        <v>-77.605770000000007</v>
      </c>
      <c r="AM146">
        <v>100</v>
      </c>
      <c r="AN146">
        <v>2800</v>
      </c>
      <c r="AO146" t="s">
        <v>115</v>
      </c>
      <c r="AP146">
        <v>4</v>
      </c>
      <c r="AQ146">
        <v>138</v>
      </c>
      <c r="AR146">
        <v>1472</v>
      </c>
      <c r="AZ146">
        <v>3614</v>
      </c>
      <c r="BA146">
        <v>1</v>
      </c>
      <c r="BB146" t="str">
        <f t="shared" si="8"/>
        <v xml:space="preserve">N959MJ  </v>
      </c>
      <c r="BC146">
        <v>1</v>
      </c>
      <c r="BE146">
        <v>0</v>
      </c>
      <c r="BF146">
        <v>0</v>
      </c>
      <c r="BG146">
        <v>0</v>
      </c>
      <c r="BH146">
        <v>3025</v>
      </c>
      <c r="BI146">
        <v>225</v>
      </c>
      <c r="BJ146">
        <v>1</v>
      </c>
      <c r="BK146">
        <v>1</v>
      </c>
      <c r="BL146">
        <v>1</v>
      </c>
      <c r="BM146">
        <v>0</v>
      </c>
      <c r="BP146">
        <v>0</v>
      </c>
      <c r="BQ146">
        <v>0</v>
      </c>
      <c r="BX146" t="str">
        <f>"13:52:45.781"</f>
        <v>13:52:45.781</v>
      </c>
      <c r="BY146" t="str">
        <f>"780930257"</f>
        <v>780930257</v>
      </c>
      <c r="CL146">
        <v>3</v>
      </c>
      <c r="CM146">
        <v>2</v>
      </c>
      <c r="CN146">
        <v>0</v>
      </c>
      <c r="CO146">
        <v>2</v>
      </c>
      <c r="CP146">
        <v>0</v>
      </c>
      <c r="CQ146">
        <v>7</v>
      </c>
      <c r="CR146" t="s">
        <v>116</v>
      </c>
      <c r="CS146">
        <v>525</v>
      </c>
      <c r="CT146">
        <v>2</v>
      </c>
      <c r="CU146" t="s">
        <v>140</v>
      </c>
      <c r="CV146" t="s">
        <v>141</v>
      </c>
      <c r="CY146">
        <v>13792961</v>
      </c>
      <c r="CZ146" t="s">
        <v>119</v>
      </c>
    </row>
    <row r="147" spans="1:104" x14ac:dyDescent="0.25">
      <c r="A147" t="str">
        <f>"13:52:46.875"</f>
        <v>13:52:46.875</v>
      </c>
      <c r="B147" t="s">
        <v>108</v>
      </c>
      <c r="C147" t="str">
        <f t="shared" si="7"/>
        <v>ffdfd3c0</v>
      </c>
      <c r="D147" t="s">
        <v>109</v>
      </c>
      <c r="E147">
        <v>4</v>
      </c>
      <c r="F147">
        <v>1004</v>
      </c>
      <c r="G147" t="s">
        <v>110</v>
      </c>
      <c r="J147" t="s">
        <v>111</v>
      </c>
      <c r="K147">
        <v>0</v>
      </c>
      <c r="L147">
        <v>3</v>
      </c>
      <c r="M147">
        <v>0</v>
      </c>
      <c r="N147">
        <v>2</v>
      </c>
      <c r="O147">
        <v>1</v>
      </c>
      <c r="P147">
        <v>0</v>
      </c>
      <c r="Q147">
        <v>0</v>
      </c>
      <c r="R147" t="s">
        <v>112</v>
      </c>
      <c r="S147" t="str">
        <f>"13:52:46.695"</f>
        <v>13:52:46.695</v>
      </c>
      <c r="T147" t="str">
        <f>"13:52:46.297"</f>
        <v>13:52:46.297</v>
      </c>
      <c r="U147" t="str">
        <f t="shared" si="6"/>
        <v>ad5732</v>
      </c>
      <c r="V147">
        <v>0</v>
      </c>
      <c r="W147">
        <v>0</v>
      </c>
      <c r="X147">
        <v>1</v>
      </c>
      <c r="Z147">
        <v>0</v>
      </c>
      <c r="AA147">
        <v>9</v>
      </c>
      <c r="AB147">
        <v>3</v>
      </c>
      <c r="AC147">
        <v>0</v>
      </c>
      <c r="AD147">
        <v>10</v>
      </c>
      <c r="AE147">
        <v>0</v>
      </c>
      <c r="AF147">
        <v>3</v>
      </c>
      <c r="AG147">
        <v>2</v>
      </c>
      <c r="AH147">
        <v>0</v>
      </c>
      <c r="AI147" t="s">
        <v>409</v>
      </c>
      <c r="AJ147">
        <v>39.154673000000003</v>
      </c>
      <c r="AK147" t="s">
        <v>410</v>
      </c>
      <c r="AL147">
        <v>-77.605748000000006</v>
      </c>
      <c r="AM147">
        <v>100</v>
      </c>
      <c r="AN147">
        <v>2800</v>
      </c>
      <c r="AO147" t="s">
        <v>115</v>
      </c>
      <c r="AP147">
        <v>4</v>
      </c>
      <c r="AQ147">
        <v>137</v>
      </c>
      <c r="AR147">
        <v>1472</v>
      </c>
      <c r="AZ147">
        <v>3614</v>
      </c>
      <c r="BA147">
        <v>1</v>
      </c>
      <c r="BB147" t="str">
        <f t="shared" si="8"/>
        <v xml:space="preserve">N959MJ  </v>
      </c>
      <c r="BC147">
        <v>1</v>
      </c>
      <c r="BE147">
        <v>0</v>
      </c>
      <c r="BF147">
        <v>0</v>
      </c>
      <c r="BG147">
        <v>0</v>
      </c>
      <c r="BH147">
        <v>3050</v>
      </c>
      <c r="BI147">
        <v>250</v>
      </c>
      <c r="BJ147">
        <v>1</v>
      </c>
      <c r="BK147">
        <v>1</v>
      </c>
      <c r="BL147">
        <v>1</v>
      </c>
      <c r="BM147">
        <v>0</v>
      </c>
      <c r="BP147">
        <v>0</v>
      </c>
      <c r="BQ147">
        <v>0</v>
      </c>
      <c r="BX147" t="str">
        <f>"13:52:46.695"</f>
        <v>13:52:46.695</v>
      </c>
      <c r="BY147" t="str">
        <f>"696810059"</f>
        <v>696810059</v>
      </c>
      <c r="CL147">
        <v>3</v>
      </c>
      <c r="CM147">
        <v>2</v>
      </c>
      <c r="CN147">
        <v>0</v>
      </c>
      <c r="CO147">
        <v>2</v>
      </c>
      <c r="CP147">
        <v>0</v>
      </c>
      <c r="CQ147">
        <v>7</v>
      </c>
      <c r="CR147" t="s">
        <v>116</v>
      </c>
      <c r="CS147">
        <v>525</v>
      </c>
      <c r="CT147">
        <v>2</v>
      </c>
      <c r="CU147" t="s">
        <v>140</v>
      </c>
      <c r="CV147" t="s">
        <v>141</v>
      </c>
      <c r="CY147">
        <v>13794459</v>
      </c>
      <c r="CZ147" t="s">
        <v>119</v>
      </c>
    </row>
    <row r="148" spans="1:104" x14ac:dyDescent="0.25">
      <c r="A148" t="str">
        <f>"13:52:47.938"</f>
        <v>13:52:47.938</v>
      </c>
      <c r="B148" t="s">
        <v>108</v>
      </c>
      <c r="C148" t="str">
        <f t="shared" si="7"/>
        <v>ffdfd3c0</v>
      </c>
      <c r="D148" t="s">
        <v>109</v>
      </c>
      <c r="E148">
        <v>4</v>
      </c>
      <c r="F148">
        <v>1004</v>
      </c>
      <c r="G148" t="s">
        <v>110</v>
      </c>
      <c r="J148" t="s">
        <v>111</v>
      </c>
      <c r="K148">
        <v>0</v>
      </c>
      <c r="L148">
        <v>3</v>
      </c>
      <c r="M148">
        <v>0</v>
      </c>
      <c r="N148">
        <v>2</v>
      </c>
      <c r="O148">
        <v>1</v>
      </c>
      <c r="P148">
        <v>0</v>
      </c>
      <c r="Q148">
        <v>0</v>
      </c>
      <c r="R148" t="s">
        <v>112</v>
      </c>
      <c r="S148" t="str">
        <f>"13:52:47.758"</f>
        <v>13:52:47.758</v>
      </c>
      <c r="T148" t="str">
        <f>"13:52:47.258"</f>
        <v>13:52:47.258</v>
      </c>
      <c r="U148" t="str">
        <f t="shared" si="6"/>
        <v>ad5732</v>
      </c>
      <c r="V148">
        <v>0</v>
      </c>
      <c r="W148">
        <v>0</v>
      </c>
      <c r="X148">
        <v>1</v>
      </c>
      <c r="Z148">
        <v>0</v>
      </c>
      <c r="AA148">
        <v>9</v>
      </c>
      <c r="AB148">
        <v>3</v>
      </c>
      <c r="AC148">
        <v>0</v>
      </c>
      <c r="AD148">
        <v>10</v>
      </c>
      <c r="AE148">
        <v>0</v>
      </c>
      <c r="AF148">
        <v>3</v>
      </c>
      <c r="AG148">
        <v>2</v>
      </c>
      <c r="AH148">
        <v>0</v>
      </c>
      <c r="AI148" t="s">
        <v>411</v>
      </c>
      <c r="AJ148">
        <v>39.155315999999999</v>
      </c>
      <c r="AK148" t="s">
        <v>412</v>
      </c>
      <c r="AL148">
        <v>-77.605683999999997</v>
      </c>
      <c r="AM148">
        <v>100</v>
      </c>
      <c r="AN148">
        <v>2800</v>
      </c>
      <c r="AO148" t="s">
        <v>115</v>
      </c>
      <c r="AP148">
        <v>4</v>
      </c>
      <c r="AQ148">
        <v>136</v>
      </c>
      <c r="AR148">
        <v>1536</v>
      </c>
      <c r="AZ148">
        <v>3614</v>
      </c>
      <c r="BA148">
        <v>1</v>
      </c>
      <c r="BB148" t="str">
        <f t="shared" si="8"/>
        <v xml:space="preserve">N959MJ  </v>
      </c>
      <c r="BC148">
        <v>1</v>
      </c>
      <c r="BE148">
        <v>0</v>
      </c>
      <c r="BF148">
        <v>0</v>
      </c>
      <c r="BG148">
        <v>0</v>
      </c>
      <c r="BH148">
        <v>3075</v>
      </c>
      <c r="BI148">
        <v>275</v>
      </c>
      <c r="BJ148">
        <v>1</v>
      </c>
      <c r="BK148">
        <v>1</v>
      </c>
      <c r="BL148">
        <v>1</v>
      </c>
      <c r="BM148">
        <v>0</v>
      </c>
      <c r="BP148">
        <v>0</v>
      </c>
      <c r="BQ148">
        <v>0</v>
      </c>
      <c r="BX148" t="str">
        <f>"13:52:47.766"</f>
        <v>13:52:47.766</v>
      </c>
      <c r="BY148" t="str">
        <f>"765063305"</f>
        <v>765063305</v>
      </c>
      <c r="CL148">
        <v>3</v>
      </c>
      <c r="CM148">
        <v>2</v>
      </c>
      <c r="CN148">
        <v>0</v>
      </c>
      <c r="CO148">
        <v>2</v>
      </c>
      <c r="CP148">
        <v>0</v>
      </c>
      <c r="CQ148">
        <v>7</v>
      </c>
      <c r="CR148" t="s">
        <v>116</v>
      </c>
      <c r="CS148">
        <v>525</v>
      </c>
      <c r="CT148">
        <v>2</v>
      </c>
      <c r="CU148" t="s">
        <v>140</v>
      </c>
      <c r="CV148" t="s">
        <v>141</v>
      </c>
      <c r="CY148">
        <v>13796014</v>
      </c>
      <c r="CZ148" t="s">
        <v>119</v>
      </c>
    </row>
    <row r="149" spans="1:104" x14ac:dyDescent="0.25">
      <c r="A149" t="str">
        <f>"13:52:49.102"</f>
        <v>13:52:49.102</v>
      </c>
      <c r="B149" t="s">
        <v>108</v>
      </c>
      <c r="C149" t="str">
        <f t="shared" si="7"/>
        <v>ffdfd3c0</v>
      </c>
      <c r="D149" t="s">
        <v>109</v>
      </c>
      <c r="E149">
        <v>4</v>
      </c>
      <c r="F149">
        <v>1004</v>
      </c>
      <c r="G149" t="s">
        <v>110</v>
      </c>
      <c r="J149" t="s">
        <v>111</v>
      </c>
      <c r="K149">
        <v>0</v>
      </c>
      <c r="L149">
        <v>3</v>
      </c>
      <c r="M149">
        <v>0</v>
      </c>
      <c r="N149">
        <v>2</v>
      </c>
      <c r="O149">
        <v>1</v>
      </c>
      <c r="P149">
        <v>0</v>
      </c>
      <c r="Q149">
        <v>0</v>
      </c>
      <c r="R149" t="s">
        <v>112</v>
      </c>
      <c r="S149" t="str">
        <f>"13:52:48.867"</f>
        <v>13:52:48.867</v>
      </c>
      <c r="T149" t="str">
        <f>"13:52:48.367"</f>
        <v>13:52:48.367</v>
      </c>
      <c r="U149" t="str">
        <f t="shared" si="6"/>
        <v>ad5732</v>
      </c>
      <c r="V149">
        <v>0</v>
      </c>
      <c r="W149">
        <v>0</v>
      </c>
      <c r="X149">
        <v>1</v>
      </c>
      <c r="Z149">
        <v>0</v>
      </c>
      <c r="AA149">
        <v>9</v>
      </c>
      <c r="AB149">
        <v>3</v>
      </c>
      <c r="AC149">
        <v>0</v>
      </c>
      <c r="AD149">
        <v>10</v>
      </c>
      <c r="AE149">
        <v>0</v>
      </c>
      <c r="AF149">
        <v>3</v>
      </c>
      <c r="AG149">
        <v>2</v>
      </c>
      <c r="AH149">
        <v>0</v>
      </c>
      <c r="AI149" t="s">
        <v>413</v>
      </c>
      <c r="AJ149">
        <v>39.156046000000003</v>
      </c>
      <c r="AK149" t="s">
        <v>412</v>
      </c>
      <c r="AL149">
        <v>-77.605683999999997</v>
      </c>
      <c r="AM149">
        <v>100</v>
      </c>
      <c r="AN149">
        <v>2900</v>
      </c>
      <c r="AO149" t="s">
        <v>115</v>
      </c>
      <c r="AP149">
        <v>3</v>
      </c>
      <c r="AQ149">
        <v>135</v>
      </c>
      <c r="AR149">
        <v>1600</v>
      </c>
      <c r="AZ149">
        <v>3614</v>
      </c>
      <c r="BA149">
        <v>1</v>
      </c>
      <c r="BB149" t="str">
        <f t="shared" si="8"/>
        <v xml:space="preserve">N959MJ  </v>
      </c>
      <c r="BC149">
        <v>1</v>
      </c>
      <c r="BE149">
        <v>0</v>
      </c>
      <c r="BF149">
        <v>0</v>
      </c>
      <c r="BG149">
        <v>0</v>
      </c>
      <c r="BH149">
        <v>3100</v>
      </c>
      <c r="BI149">
        <v>200</v>
      </c>
      <c r="BJ149">
        <v>1</v>
      </c>
      <c r="BK149">
        <v>1</v>
      </c>
      <c r="BL149">
        <v>1</v>
      </c>
      <c r="BM149">
        <v>0</v>
      </c>
      <c r="BP149">
        <v>0</v>
      </c>
      <c r="BQ149">
        <v>0</v>
      </c>
      <c r="BX149" t="str">
        <f>"13:52:48.867"</f>
        <v>13:52:48.867</v>
      </c>
      <c r="BY149" t="str">
        <f>"869361982"</f>
        <v>869361982</v>
      </c>
      <c r="CL149">
        <v>3</v>
      </c>
      <c r="CM149">
        <v>2</v>
      </c>
      <c r="CN149">
        <v>0</v>
      </c>
      <c r="CO149">
        <v>2</v>
      </c>
      <c r="CP149">
        <v>0</v>
      </c>
      <c r="CQ149">
        <v>7</v>
      </c>
      <c r="CR149" t="s">
        <v>116</v>
      </c>
      <c r="CS149">
        <v>525</v>
      </c>
      <c r="CT149">
        <v>2</v>
      </c>
      <c r="CU149" t="s">
        <v>140</v>
      </c>
      <c r="CV149" t="s">
        <v>141</v>
      </c>
      <c r="CY149">
        <v>13797667</v>
      </c>
      <c r="CZ149" t="s">
        <v>119</v>
      </c>
    </row>
    <row r="150" spans="1:104" x14ac:dyDescent="0.25">
      <c r="A150" t="str">
        <f>"13:52:50.109"</f>
        <v>13:52:50.109</v>
      </c>
      <c r="B150" t="s">
        <v>108</v>
      </c>
      <c r="C150" t="str">
        <f t="shared" si="7"/>
        <v>ffdfd3c0</v>
      </c>
      <c r="D150" t="s">
        <v>109</v>
      </c>
      <c r="E150">
        <v>4</v>
      </c>
      <c r="F150">
        <v>1004</v>
      </c>
      <c r="G150" t="s">
        <v>110</v>
      </c>
      <c r="J150" t="s">
        <v>111</v>
      </c>
      <c r="K150">
        <v>0</v>
      </c>
      <c r="L150">
        <v>3</v>
      </c>
      <c r="M150">
        <v>0</v>
      </c>
      <c r="N150">
        <v>2</v>
      </c>
      <c r="O150">
        <v>1</v>
      </c>
      <c r="P150">
        <v>0</v>
      </c>
      <c r="Q150">
        <v>0</v>
      </c>
      <c r="R150" t="s">
        <v>112</v>
      </c>
      <c r="S150" t="str">
        <f>"13:52:49.922"</f>
        <v>13:52:49.922</v>
      </c>
      <c r="T150" t="str">
        <f>"13:52:49.523"</f>
        <v>13:52:49.523</v>
      </c>
      <c r="U150" t="str">
        <f t="shared" si="6"/>
        <v>ad5732</v>
      </c>
      <c r="V150">
        <v>0</v>
      </c>
      <c r="W150">
        <v>0</v>
      </c>
      <c r="X150">
        <v>1</v>
      </c>
      <c r="Z150">
        <v>0</v>
      </c>
      <c r="AA150">
        <v>9</v>
      </c>
      <c r="AB150">
        <v>3</v>
      </c>
      <c r="AC150">
        <v>0</v>
      </c>
      <c r="AD150">
        <v>10</v>
      </c>
      <c r="AE150">
        <v>0</v>
      </c>
      <c r="AF150">
        <v>3</v>
      </c>
      <c r="AG150">
        <v>2</v>
      </c>
      <c r="AH150">
        <v>0</v>
      </c>
      <c r="AI150" t="s">
        <v>414</v>
      </c>
      <c r="AJ150">
        <v>39.156689999999998</v>
      </c>
      <c r="AK150" t="s">
        <v>412</v>
      </c>
      <c r="AL150">
        <v>-77.605683999999997</v>
      </c>
      <c r="AM150">
        <v>100</v>
      </c>
      <c r="AN150">
        <v>2900</v>
      </c>
      <c r="AO150" t="s">
        <v>115</v>
      </c>
      <c r="AP150">
        <v>4</v>
      </c>
      <c r="AQ150">
        <v>133</v>
      </c>
      <c r="AR150">
        <v>1600</v>
      </c>
      <c r="AZ150">
        <v>3614</v>
      </c>
      <c r="BA150">
        <v>1</v>
      </c>
      <c r="BB150" t="str">
        <f t="shared" si="8"/>
        <v xml:space="preserve">N959MJ  </v>
      </c>
      <c r="BC150">
        <v>1</v>
      </c>
      <c r="BE150">
        <v>0</v>
      </c>
      <c r="BF150">
        <v>0</v>
      </c>
      <c r="BG150">
        <v>0</v>
      </c>
      <c r="BH150">
        <v>3125</v>
      </c>
      <c r="BI150">
        <v>225</v>
      </c>
      <c r="BJ150">
        <v>1</v>
      </c>
      <c r="BK150">
        <v>1</v>
      </c>
      <c r="BL150">
        <v>1</v>
      </c>
      <c r="BM150">
        <v>0</v>
      </c>
      <c r="BP150">
        <v>0</v>
      </c>
      <c r="BQ150">
        <v>0</v>
      </c>
      <c r="BX150" t="str">
        <f>"13:52:49.930"</f>
        <v>13:52:49.930</v>
      </c>
      <c r="BY150" t="str">
        <f>"927963419"</f>
        <v>927963419</v>
      </c>
      <c r="CL150">
        <v>3</v>
      </c>
      <c r="CM150">
        <v>2</v>
      </c>
      <c r="CN150">
        <v>0</v>
      </c>
      <c r="CO150">
        <v>2</v>
      </c>
      <c r="CP150">
        <v>0</v>
      </c>
      <c r="CQ150">
        <v>4</v>
      </c>
      <c r="CR150" t="s">
        <v>116</v>
      </c>
      <c r="CS150">
        <v>373</v>
      </c>
      <c r="CT150">
        <v>3</v>
      </c>
      <c r="CU150" t="s">
        <v>224</v>
      </c>
      <c r="CV150" t="s">
        <v>225</v>
      </c>
      <c r="CY150">
        <v>1595972</v>
      </c>
      <c r="CZ150" t="s">
        <v>119</v>
      </c>
    </row>
    <row r="151" spans="1:104" x14ac:dyDescent="0.25">
      <c r="A151" t="str">
        <f>"13:52:51.117"</f>
        <v>13:52:51.117</v>
      </c>
      <c r="B151" t="s">
        <v>108</v>
      </c>
      <c r="C151" t="str">
        <f t="shared" si="7"/>
        <v>ffdfd3c0</v>
      </c>
      <c r="D151" t="s">
        <v>109</v>
      </c>
      <c r="E151">
        <v>4</v>
      </c>
      <c r="F151">
        <v>1004</v>
      </c>
      <c r="G151" t="s">
        <v>110</v>
      </c>
      <c r="J151" t="s">
        <v>111</v>
      </c>
      <c r="K151">
        <v>0</v>
      </c>
      <c r="L151">
        <v>3</v>
      </c>
      <c r="M151">
        <v>0</v>
      </c>
      <c r="N151">
        <v>2</v>
      </c>
      <c r="O151">
        <v>1</v>
      </c>
      <c r="P151">
        <v>0</v>
      </c>
      <c r="Q151">
        <v>0</v>
      </c>
      <c r="R151" t="s">
        <v>112</v>
      </c>
      <c r="S151" t="str">
        <f>"13:52:50.930"</f>
        <v>13:52:50.930</v>
      </c>
      <c r="T151" t="str">
        <f>"13:52:50.430"</f>
        <v>13:52:50.430</v>
      </c>
      <c r="U151" t="str">
        <f t="shared" si="6"/>
        <v>ad5732</v>
      </c>
      <c r="V151">
        <v>0</v>
      </c>
      <c r="W151">
        <v>0</v>
      </c>
      <c r="X151">
        <v>1</v>
      </c>
      <c r="Z151">
        <v>0</v>
      </c>
      <c r="AA151">
        <v>9</v>
      </c>
      <c r="AB151">
        <v>3</v>
      </c>
      <c r="AC151">
        <v>0</v>
      </c>
      <c r="AD151">
        <v>10</v>
      </c>
      <c r="AE151">
        <v>0</v>
      </c>
      <c r="AF151">
        <v>3</v>
      </c>
      <c r="AG151">
        <v>2</v>
      </c>
      <c r="AH151">
        <v>0</v>
      </c>
      <c r="AI151" t="s">
        <v>415</v>
      </c>
      <c r="AJ151">
        <v>39.157290000000003</v>
      </c>
      <c r="AK151" t="s">
        <v>416</v>
      </c>
      <c r="AL151">
        <v>-77.605641000000006</v>
      </c>
      <c r="AM151">
        <v>100</v>
      </c>
      <c r="AN151">
        <v>2900</v>
      </c>
      <c r="AO151" t="s">
        <v>115</v>
      </c>
      <c r="AP151">
        <v>4</v>
      </c>
      <c r="AQ151">
        <v>133</v>
      </c>
      <c r="AR151">
        <v>1600</v>
      </c>
      <c r="AZ151">
        <v>3614</v>
      </c>
      <c r="BA151">
        <v>1</v>
      </c>
      <c r="BB151" t="str">
        <f t="shared" si="8"/>
        <v xml:space="preserve">N959MJ  </v>
      </c>
      <c r="BC151">
        <v>1</v>
      </c>
      <c r="BE151">
        <v>0</v>
      </c>
      <c r="BF151">
        <v>0</v>
      </c>
      <c r="BG151">
        <v>0</v>
      </c>
      <c r="BH151">
        <v>3150</v>
      </c>
      <c r="BI151">
        <v>250</v>
      </c>
      <c r="BJ151">
        <v>1</v>
      </c>
      <c r="BK151">
        <v>1</v>
      </c>
      <c r="BL151">
        <v>1</v>
      </c>
      <c r="BM151">
        <v>0</v>
      </c>
      <c r="BP151">
        <v>0</v>
      </c>
      <c r="BQ151">
        <v>0</v>
      </c>
      <c r="BX151" t="str">
        <f>"13:52:50.930"</f>
        <v>13:52:50.930</v>
      </c>
      <c r="BY151" t="str">
        <f>"932139479"</f>
        <v>932139479</v>
      </c>
      <c r="CL151">
        <v>3</v>
      </c>
      <c r="CM151">
        <v>2</v>
      </c>
      <c r="CN151">
        <v>0</v>
      </c>
      <c r="CO151">
        <v>2</v>
      </c>
      <c r="CP151">
        <v>0</v>
      </c>
      <c r="CQ151">
        <v>7</v>
      </c>
      <c r="CR151" t="s">
        <v>116</v>
      </c>
      <c r="CS151">
        <v>525</v>
      </c>
      <c r="CT151">
        <v>2</v>
      </c>
      <c r="CU151" t="s">
        <v>140</v>
      </c>
      <c r="CV151" t="s">
        <v>141</v>
      </c>
      <c r="CY151">
        <v>13800722</v>
      </c>
      <c r="CZ151" t="s">
        <v>119</v>
      </c>
    </row>
    <row r="152" spans="1:104" x14ac:dyDescent="0.25">
      <c r="A152" t="str">
        <f>"13:52:52.078"</f>
        <v>13:52:52.078</v>
      </c>
      <c r="B152" t="s">
        <v>108</v>
      </c>
      <c r="C152" t="str">
        <f t="shared" si="7"/>
        <v>ffdfd3c0</v>
      </c>
      <c r="D152" t="s">
        <v>109</v>
      </c>
      <c r="E152">
        <v>4</v>
      </c>
      <c r="F152">
        <v>1004</v>
      </c>
      <c r="G152" t="s">
        <v>110</v>
      </c>
      <c r="J152" t="s">
        <v>111</v>
      </c>
      <c r="K152">
        <v>0</v>
      </c>
      <c r="L152">
        <v>3</v>
      </c>
      <c r="M152">
        <v>0</v>
      </c>
      <c r="N152">
        <v>2</v>
      </c>
      <c r="O152">
        <v>1</v>
      </c>
      <c r="P152">
        <v>0</v>
      </c>
      <c r="Q152">
        <v>0</v>
      </c>
      <c r="R152" t="s">
        <v>112</v>
      </c>
      <c r="S152" t="str">
        <f>"13:52:51.875"</f>
        <v>13:52:51.875</v>
      </c>
      <c r="T152" t="str">
        <f>"13:52:50.977"</f>
        <v>13:52:50.977</v>
      </c>
      <c r="U152" t="str">
        <f t="shared" si="6"/>
        <v>ad5732</v>
      </c>
      <c r="V152">
        <v>0</v>
      </c>
      <c r="W152">
        <v>0</v>
      </c>
      <c r="X152">
        <v>1</v>
      </c>
      <c r="Z152">
        <v>0</v>
      </c>
      <c r="AA152">
        <v>9</v>
      </c>
      <c r="AB152">
        <v>3</v>
      </c>
      <c r="AC152">
        <v>0</v>
      </c>
      <c r="AD152">
        <v>10</v>
      </c>
      <c r="AE152">
        <v>0</v>
      </c>
      <c r="AF152">
        <v>3</v>
      </c>
      <c r="AG152">
        <v>2</v>
      </c>
      <c r="AH152">
        <v>0</v>
      </c>
      <c r="AI152" t="s">
        <v>417</v>
      </c>
      <c r="AJ152">
        <v>39.157890999999999</v>
      </c>
      <c r="AK152" t="s">
        <v>416</v>
      </c>
      <c r="AL152">
        <v>-77.605641000000006</v>
      </c>
      <c r="AM152">
        <v>100</v>
      </c>
      <c r="AN152">
        <v>3000</v>
      </c>
      <c r="AO152" t="s">
        <v>115</v>
      </c>
      <c r="AP152">
        <v>4</v>
      </c>
      <c r="AQ152">
        <v>132</v>
      </c>
      <c r="AR152">
        <v>1600</v>
      </c>
      <c r="AZ152">
        <v>3614</v>
      </c>
      <c r="BA152">
        <v>1</v>
      </c>
      <c r="BB152" t="str">
        <f t="shared" si="8"/>
        <v xml:space="preserve">N959MJ  </v>
      </c>
      <c r="BC152">
        <v>1</v>
      </c>
      <c r="BE152">
        <v>0</v>
      </c>
      <c r="BF152">
        <v>0</v>
      </c>
      <c r="BG152">
        <v>0</v>
      </c>
      <c r="BH152">
        <v>3175</v>
      </c>
      <c r="BI152">
        <v>175</v>
      </c>
      <c r="BJ152">
        <v>1</v>
      </c>
      <c r="BK152">
        <v>1</v>
      </c>
      <c r="BL152">
        <v>1</v>
      </c>
      <c r="BM152">
        <v>0</v>
      </c>
      <c r="BP152">
        <v>0</v>
      </c>
      <c r="BQ152">
        <v>0</v>
      </c>
      <c r="BX152" t="str">
        <f>"13:52:51.883"</f>
        <v>13:52:51.883</v>
      </c>
      <c r="BY152" t="str">
        <f>"882442448"</f>
        <v>882442448</v>
      </c>
      <c r="CL152">
        <v>3</v>
      </c>
      <c r="CM152">
        <v>2</v>
      </c>
      <c r="CN152">
        <v>0</v>
      </c>
      <c r="CO152">
        <v>2</v>
      </c>
      <c r="CP152">
        <v>0</v>
      </c>
      <c r="CQ152">
        <v>6</v>
      </c>
      <c r="CR152" t="s">
        <v>116</v>
      </c>
      <c r="CS152">
        <v>147</v>
      </c>
      <c r="CT152">
        <v>3</v>
      </c>
      <c r="CU152" t="s">
        <v>117</v>
      </c>
      <c r="CV152" t="s">
        <v>118</v>
      </c>
      <c r="CY152">
        <v>16029339</v>
      </c>
      <c r="CZ152" t="s">
        <v>119</v>
      </c>
    </row>
    <row r="153" spans="1:104" x14ac:dyDescent="0.25">
      <c r="A153" t="str">
        <f>"13:52:53.039"</f>
        <v>13:52:53.039</v>
      </c>
      <c r="B153" t="s">
        <v>108</v>
      </c>
      <c r="C153" t="str">
        <f t="shared" si="7"/>
        <v>ffdfd3c0</v>
      </c>
      <c r="D153" t="s">
        <v>109</v>
      </c>
      <c r="E153">
        <v>4</v>
      </c>
      <c r="F153">
        <v>1004</v>
      </c>
      <c r="G153" t="s">
        <v>110</v>
      </c>
      <c r="J153" t="s">
        <v>111</v>
      </c>
      <c r="K153">
        <v>0</v>
      </c>
      <c r="L153">
        <v>3</v>
      </c>
      <c r="M153">
        <v>0</v>
      </c>
      <c r="N153">
        <v>2</v>
      </c>
      <c r="O153">
        <v>1</v>
      </c>
      <c r="P153">
        <v>0</v>
      </c>
      <c r="Q153">
        <v>0</v>
      </c>
      <c r="R153" t="s">
        <v>112</v>
      </c>
      <c r="S153" t="str">
        <f>"13:52:52.813"</f>
        <v>13:52:52.813</v>
      </c>
      <c r="T153" t="str">
        <f>"13:52:52.414"</f>
        <v>13:52:52.414</v>
      </c>
      <c r="U153" t="str">
        <f t="shared" si="6"/>
        <v>ad5732</v>
      </c>
      <c r="V153">
        <v>0</v>
      </c>
      <c r="W153">
        <v>0</v>
      </c>
      <c r="X153">
        <v>1</v>
      </c>
      <c r="Z153">
        <v>0</v>
      </c>
      <c r="AA153">
        <v>9</v>
      </c>
      <c r="AB153">
        <v>3</v>
      </c>
      <c r="AC153">
        <v>0</v>
      </c>
      <c r="AD153">
        <v>10</v>
      </c>
      <c r="AE153">
        <v>0</v>
      </c>
      <c r="AF153">
        <v>3</v>
      </c>
      <c r="AG153">
        <v>2</v>
      </c>
      <c r="AH153">
        <v>0</v>
      </c>
      <c r="AI153" t="s">
        <v>418</v>
      </c>
      <c r="AJ153">
        <v>39.158448999999997</v>
      </c>
      <c r="AK153" t="s">
        <v>419</v>
      </c>
      <c r="AL153">
        <v>-77.605598000000001</v>
      </c>
      <c r="AM153">
        <v>100</v>
      </c>
      <c r="AN153">
        <v>3000</v>
      </c>
      <c r="AO153" t="s">
        <v>115</v>
      </c>
      <c r="AP153">
        <v>3</v>
      </c>
      <c r="AQ153">
        <v>130</v>
      </c>
      <c r="AR153">
        <v>1536</v>
      </c>
      <c r="AZ153">
        <v>3614</v>
      </c>
      <c r="BA153">
        <v>1</v>
      </c>
      <c r="BB153" t="str">
        <f t="shared" si="8"/>
        <v xml:space="preserve">N959MJ  </v>
      </c>
      <c r="BC153">
        <v>1</v>
      </c>
      <c r="BE153">
        <v>0</v>
      </c>
      <c r="BF153">
        <v>0</v>
      </c>
      <c r="BG153">
        <v>0</v>
      </c>
      <c r="BH153">
        <v>3200</v>
      </c>
      <c r="BI153">
        <v>200</v>
      </c>
      <c r="BJ153">
        <v>1</v>
      </c>
      <c r="BK153">
        <v>1</v>
      </c>
      <c r="BL153">
        <v>1</v>
      </c>
      <c r="BM153">
        <v>0</v>
      </c>
      <c r="BP153">
        <v>0</v>
      </c>
      <c r="BQ153">
        <v>0</v>
      </c>
      <c r="BX153" t="str">
        <f>"13:52:52.820"</f>
        <v>13:52:52.820</v>
      </c>
      <c r="BY153" t="str">
        <f>"817967032"</f>
        <v>817967032</v>
      </c>
      <c r="CL153">
        <v>3</v>
      </c>
      <c r="CM153">
        <v>2</v>
      </c>
      <c r="CN153">
        <v>0</v>
      </c>
      <c r="CO153">
        <v>2</v>
      </c>
      <c r="CP153">
        <v>0</v>
      </c>
      <c r="CQ153">
        <v>6</v>
      </c>
      <c r="CR153" t="s">
        <v>116</v>
      </c>
      <c r="CS153">
        <v>525</v>
      </c>
      <c r="CT153">
        <v>3</v>
      </c>
      <c r="CU153" t="s">
        <v>140</v>
      </c>
      <c r="CV153" t="s">
        <v>141</v>
      </c>
      <c r="CY153">
        <v>209398</v>
      </c>
      <c r="CZ153" t="s">
        <v>119</v>
      </c>
    </row>
    <row r="154" spans="1:104" x14ac:dyDescent="0.25">
      <c r="A154" t="str">
        <f>"13:52:54.094"</f>
        <v>13:52:54.094</v>
      </c>
      <c r="B154" t="s">
        <v>108</v>
      </c>
      <c r="C154" t="str">
        <f t="shared" si="7"/>
        <v>ffdfd3c0</v>
      </c>
      <c r="D154" t="s">
        <v>109</v>
      </c>
      <c r="E154">
        <v>4</v>
      </c>
      <c r="F154">
        <v>1004</v>
      </c>
      <c r="G154" t="s">
        <v>110</v>
      </c>
      <c r="J154" t="s">
        <v>111</v>
      </c>
      <c r="K154">
        <v>0</v>
      </c>
      <c r="L154">
        <v>3</v>
      </c>
      <c r="M154">
        <v>0</v>
      </c>
      <c r="N154">
        <v>2</v>
      </c>
      <c r="O154">
        <v>1</v>
      </c>
      <c r="P154">
        <v>0</v>
      </c>
      <c r="Q154">
        <v>0</v>
      </c>
      <c r="R154" t="s">
        <v>112</v>
      </c>
      <c r="S154" t="str">
        <f>"13:52:53.938"</f>
        <v>13:52:53.938</v>
      </c>
      <c r="T154" t="str">
        <f>"13:52:53.438"</f>
        <v>13:52:53.438</v>
      </c>
      <c r="U154" t="str">
        <f t="shared" si="6"/>
        <v>ad5732</v>
      </c>
      <c r="V154">
        <v>0</v>
      </c>
      <c r="W154">
        <v>0</v>
      </c>
      <c r="X154">
        <v>1</v>
      </c>
      <c r="Z154">
        <v>0</v>
      </c>
      <c r="AA154">
        <v>9</v>
      </c>
      <c r="AB154">
        <v>3</v>
      </c>
      <c r="AC154">
        <v>0</v>
      </c>
      <c r="AD154">
        <v>10</v>
      </c>
      <c r="AE154">
        <v>0</v>
      </c>
      <c r="AF154">
        <v>3</v>
      </c>
      <c r="AG154">
        <v>2</v>
      </c>
      <c r="AH154">
        <v>0</v>
      </c>
      <c r="AI154" t="s">
        <v>420</v>
      </c>
      <c r="AJ154">
        <v>39.159114000000002</v>
      </c>
      <c r="AK154" t="s">
        <v>299</v>
      </c>
      <c r="AL154">
        <v>-77.605576999999997</v>
      </c>
      <c r="AM154">
        <v>100</v>
      </c>
      <c r="AN154">
        <v>3000</v>
      </c>
      <c r="AO154" t="s">
        <v>115</v>
      </c>
      <c r="AP154">
        <v>3</v>
      </c>
      <c r="AQ154">
        <v>130</v>
      </c>
      <c r="AR154">
        <v>1472</v>
      </c>
      <c r="AZ154">
        <v>3614</v>
      </c>
      <c r="BA154">
        <v>1</v>
      </c>
      <c r="BB154" t="str">
        <f t="shared" si="8"/>
        <v xml:space="preserve">N959MJ  </v>
      </c>
      <c r="BC154">
        <v>1</v>
      </c>
      <c r="BE154">
        <v>0</v>
      </c>
      <c r="BF154">
        <v>0</v>
      </c>
      <c r="BG154">
        <v>0</v>
      </c>
      <c r="BH154">
        <v>3225</v>
      </c>
      <c r="BI154">
        <v>225</v>
      </c>
      <c r="BJ154">
        <v>1</v>
      </c>
      <c r="BK154">
        <v>1</v>
      </c>
      <c r="BL154">
        <v>1</v>
      </c>
      <c r="BM154">
        <v>0</v>
      </c>
      <c r="BP154">
        <v>0</v>
      </c>
      <c r="BQ154">
        <v>0</v>
      </c>
      <c r="BX154" t="str">
        <f>"13:52:53.945"</f>
        <v>13:52:53.945</v>
      </c>
      <c r="BY154" t="str">
        <f>"941927075"</f>
        <v>941927075</v>
      </c>
      <c r="CL154">
        <v>3</v>
      </c>
      <c r="CM154">
        <v>2</v>
      </c>
      <c r="CN154">
        <v>0</v>
      </c>
      <c r="CO154">
        <v>2</v>
      </c>
      <c r="CP154">
        <v>0</v>
      </c>
      <c r="CQ154">
        <v>7</v>
      </c>
      <c r="CR154" t="s">
        <v>116</v>
      </c>
      <c r="CS154">
        <v>525</v>
      </c>
      <c r="CT154">
        <v>2</v>
      </c>
      <c r="CU154" t="s">
        <v>140</v>
      </c>
      <c r="CV154" t="s">
        <v>141</v>
      </c>
      <c r="CY154">
        <v>13805336</v>
      </c>
      <c r="CZ154" t="s">
        <v>119</v>
      </c>
    </row>
    <row r="155" spans="1:104" x14ac:dyDescent="0.25">
      <c r="A155" t="str">
        <f>"13:52:55.063"</f>
        <v>13:52:55.063</v>
      </c>
      <c r="B155" t="s">
        <v>108</v>
      </c>
      <c r="C155" t="str">
        <f t="shared" si="7"/>
        <v>ffdfd3c0</v>
      </c>
      <c r="D155" t="s">
        <v>109</v>
      </c>
      <c r="E155">
        <v>4</v>
      </c>
      <c r="F155">
        <v>1004</v>
      </c>
      <c r="G155" t="s">
        <v>110</v>
      </c>
      <c r="J155" t="s">
        <v>111</v>
      </c>
      <c r="K155">
        <v>0</v>
      </c>
      <c r="L155">
        <v>3</v>
      </c>
      <c r="M155">
        <v>0</v>
      </c>
      <c r="N155">
        <v>2</v>
      </c>
      <c r="O155">
        <v>1</v>
      </c>
      <c r="P155">
        <v>0</v>
      </c>
      <c r="Q155">
        <v>0</v>
      </c>
      <c r="R155" t="s">
        <v>112</v>
      </c>
      <c r="S155" t="str">
        <f>"13:52:54.852"</f>
        <v>13:52:54.852</v>
      </c>
      <c r="T155" t="str">
        <f>"13:52:54.352"</f>
        <v>13:52:54.352</v>
      </c>
      <c r="U155" t="str">
        <f t="shared" si="6"/>
        <v>ad5732</v>
      </c>
      <c r="V155">
        <v>0</v>
      </c>
      <c r="W155">
        <v>0</v>
      </c>
      <c r="X155">
        <v>1</v>
      </c>
      <c r="Z155">
        <v>0</v>
      </c>
      <c r="AA155">
        <v>9</v>
      </c>
      <c r="AB155">
        <v>3</v>
      </c>
      <c r="AC155">
        <v>0</v>
      </c>
      <c r="AD155">
        <v>10</v>
      </c>
      <c r="AE155">
        <v>0</v>
      </c>
      <c r="AF155">
        <v>3</v>
      </c>
      <c r="AG155">
        <v>2</v>
      </c>
      <c r="AH155">
        <v>0</v>
      </c>
      <c r="AI155" t="s">
        <v>421</v>
      </c>
      <c r="AJ155">
        <v>39.159650999999997</v>
      </c>
      <c r="AK155" t="s">
        <v>419</v>
      </c>
      <c r="AL155">
        <v>-77.605598000000001</v>
      </c>
      <c r="AM155">
        <v>100</v>
      </c>
      <c r="AN155">
        <v>3000</v>
      </c>
      <c r="AO155" t="s">
        <v>115</v>
      </c>
      <c r="AP155">
        <v>3</v>
      </c>
      <c r="AQ155">
        <v>129</v>
      </c>
      <c r="AR155">
        <v>1408</v>
      </c>
      <c r="AZ155">
        <v>3614</v>
      </c>
      <c r="BA155">
        <v>1</v>
      </c>
      <c r="BB155" t="str">
        <f t="shared" si="8"/>
        <v xml:space="preserve">N959MJ  </v>
      </c>
      <c r="BC155">
        <v>1</v>
      </c>
      <c r="BE155">
        <v>0</v>
      </c>
      <c r="BF155">
        <v>0</v>
      </c>
      <c r="BG155">
        <v>0</v>
      </c>
      <c r="BH155">
        <v>3250</v>
      </c>
      <c r="BI155">
        <v>250</v>
      </c>
      <c r="BJ155">
        <v>1</v>
      </c>
      <c r="BK155">
        <v>1</v>
      </c>
      <c r="BL155">
        <v>1</v>
      </c>
      <c r="BM155">
        <v>0</v>
      </c>
      <c r="BP155">
        <v>0</v>
      </c>
      <c r="BQ155">
        <v>0</v>
      </c>
      <c r="BX155" t="str">
        <f>"13:52:54.859"</f>
        <v>13:52:54.859</v>
      </c>
      <c r="BY155" t="str">
        <f>"856168317"</f>
        <v>856168317</v>
      </c>
      <c r="CL155">
        <v>3</v>
      </c>
      <c r="CM155">
        <v>2</v>
      </c>
      <c r="CN155">
        <v>0</v>
      </c>
      <c r="CO155">
        <v>2</v>
      </c>
      <c r="CP155">
        <v>0</v>
      </c>
      <c r="CQ155">
        <v>7</v>
      </c>
      <c r="CR155" t="s">
        <v>116</v>
      </c>
      <c r="CS155">
        <v>525</v>
      </c>
      <c r="CT155">
        <v>3</v>
      </c>
      <c r="CU155" t="s">
        <v>140</v>
      </c>
      <c r="CV155" t="s">
        <v>141</v>
      </c>
      <c r="CY155">
        <v>212031</v>
      </c>
      <c r="CZ155" t="s">
        <v>119</v>
      </c>
    </row>
    <row r="156" spans="1:104" x14ac:dyDescent="0.25">
      <c r="A156" t="str">
        <f>"13:52:55.961"</f>
        <v>13:52:55.961</v>
      </c>
      <c r="B156" t="s">
        <v>108</v>
      </c>
      <c r="C156" t="str">
        <f t="shared" si="7"/>
        <v>ffdfd3c0</v>
      </c>
      <c r="D156" t="s">
        <v>109</v>
      </c>
      <c r="E156">
        <v>4</v>
      </c>
      <c r="F156">
        <v>1004</v>
      </c>
      <c r="G156" t="s">
        <v>110</v>
      </c>
      <c r="J156" t="s">
        <v>111</v>
      </c>
      <c r="K156">
        <v>0</v>
      </c>
      <c r="L156">
        <v>3</v>
      </c>
      <c r="M156">
        <v>0</v>
      </c>
      <c r="N156">
        <v>2</v>
      </c>
      <c r="O156">
        <v>1</v>
      </c>
      <c r="P156">
        <v>0</v>
      </c>
      <c r="Q156">
        <v>0</v>
      </c>
      <c r="R156" t="s">
        <v>112</v>
      </c>
      <c r="S156" t="str">
        <f>"13:52:55.813"</f>
        <v>13:52:55.813</v>
      </c>
      <c r="T156" t="str">
        <f>"13:52:55.313"</f>
        <v>13:52:55.313</v>
      </c>
      <c r="U156" t="str">
        <f t="shared" si="6"/>
        <v>ad5732</v>
      </c>
      <c r="V156">
        <v>0</v>
      </c>
      <c r="W156">
        <v>0</v>
      </c>
      <c r="X156">
        <v>1</v>
      </c>
      <c r="Z156">
        <v>0</v>
      </c>
      <c r="AA156">
        <v>9</v>
      </c>
      <c r="AB156">
        <v>3</v>
      </c>
      <c r="AC156">
        <v>0</v>
      </c>
      <c r="AD156">
        <v>10</v>
      </c>
      <c r="AE156">
        <v>0</v>
      </c>
      <c r="AF156">
        <v>3</v>
      </c>
      <c r="AG156">
        <v>2</v>
      </c>
      <c r="AH156">
        <v>0</v>
      </c>
      <c r="AI156" t="s">
        <v>422</v>
      </c>
      <c r="AJ156">
        <v>39.160252</v>
      </c>
      <c r="AK156" t="s">
        <v>419</v>
      </c>
      <c r="AL156">
        <v>-77.605598000000001</v>
      </c>
      <c r="AM156">
        <v>100</v>
      </c>
      <c r="AN156">
        <v>3000</v>
      </c>
      <c r="AO156" t="s">
        <v>115</v>
      </c>
      <c r="AP156">
        <v>2</v>
      </c>
      <c r="AQ156">
        <v>129</v>
      </c>
      <c r="AR156">
        <v>1344</v>
      </c>
      <c r="AZ156">
        <v>3614</v>
      </c>
      <c r="BA156">
        <v>1</v>
      </c>
      <c r="BB156" t="str">
        <f t="shared" si="8"/>
        <v xml:space="preserve">N959MJ  </v>
      </c>
      <c r="BC156">
        <v>1</v>
      </c>
      <c r="BE156">
        <v>0</v>
      </c>
      <c r="BF156">
        <v>0</v>
      </c>
      <c r="BG156">
        <v>0</v>
      </c>
      <c r="BH156">
        <v>3275</v>
      </c>
      <c r="BI156">
        <v>275</v>
      </c>
      <c r="BJ156">
        <v>1</v>
      </c>
      <c r="BK156">
        <v>1</v>
      </c>
      <c r="BL156">
        <v>1</v>
      </c>
      <c r="BM156">
        <v>0</v>
      </c>
      <c r="BP156">
        <v>0</v>
      </c>
      <c r="BQ156">
        <v>0</v>
      </c>
      <c r="BX156" t="str">
        <f>"13:52:55.813"</f>
        <v>13:52:55.813</v>
      </c>
      <c r="BY156" t="str">
        <f>"813008581"</f>
        <v>813008581</v>
      </c>
      <c r="CL156">
        <v>3</v>
      </c>
      <c r="CM156">
        <v>2</v>
      </c>
      <c r="CN156">
        <v>0</v>
      </c>
      <c r="CO156">
        <v>2</v>
      </c>
      <c r="CP156">
        <v>0</v>
      </c>
      <c r="CQ156">
        <v>7</v>
      </c>
      <c r="CR156" t="s">
        <v>116</v>
      </c>
      <c r="CS156">
        <v>525</v>
      </c>
      <c r="CT156">
        <v>2</v>
      </c>
      <c r="CU156" t="s">
        <v>140</v>
      </c>
      <c r="CV156" t="s">
        <v>141</v>
      </c>
      <c r="CY156">
        <v>13808172</v>
      </c>
      <c r="CZ156" t="s">
        <v>119</v>
      </c>
    </row>
    <row r="157" spans="1:104" x14ac:dyDescent="0.25">
      <c r="A157" t="str">
        <f>"13:52:56.922"</f>
        <v>13:52:56.922</v>
      </c>
      <c r="B157" t="s">
        <v>108</v>
      </c>
      <c r="C157" t="str">
        <f t="shared" si="7"/>
        <v>ffdfd3c0</v>
      </c>
      <c r="D157" t="s">
        <v>109</v>
      </c>
      <c r="E157">
        <v>4</v>
      </c>
      <c r="F157">
        <v>1004</v>
      </c>
      <c r="G157" t="s">
        <v>110</v>
      </c>
      <c r="J157" t="s">
        <v>111</v>
      </c>
      <c r="K157">
        <v>0</v>
      </c>
      <c r="L157">
        <v>3</v>
      </c>
      <c r="M157">
        <v>0</v>
      </c>
      <c r="N157">
        <v>2</v>
      </c>
      <c r="O157">
        <v>1</v>
      </c>
      <c r="P157">
        <v>0</v>
      </c>
      <c r="Q157">
        <v>0</v>
      </c>
      <c r="R157" t="s">
        <v>112</v>
      </c>
      <c r="S157" t="str">
        <f>"13:52:56.734"</f>
        <v>13:52:56.734</v>
      </c>
      <c r="T157" t="str">
        <f>"13:52:56.234"</f>
        <v>13:52:56.234</v>
      </c>
      <c r="U157" t="str">
        <f t="shared" si="6"/>
        <v>ad5732</v>
      </c>
      <c r="V157">
        <v>0</v>
      </c>
      <c r="W157">
        <v>0</v>
      </c>
      <c r="X157">
        <v>1</v>
      </c>
      <c r="Z157">
        <v>0</v>
      </c>
      <c r="AA157">
        <v>9</v>
      </c>
      <c r="AB157">
        <v>3</v>
      </c>
      <c r="AC157">
        <v>0</v>
      </c>
      <c r="AD157">
        <v>10</v>
      </c>
      <c r="AE157">
        <v>0</v>
      </c>
      <c r="AF157">
        <v>3</v>
      </c>
      <c r="AG157">
        <v>2</v>
      </c>
      <c r="AH157">
        <v>0</v>
      </c>
      <c r="AI157" t="s">
        <v>423</v>
      </c>
      <c r="AJ157">
        <v>39.160767</v>
      </c>
      <c r="AK157" t="s">
        <v>299</v>
      </c>
      <c r="AL157">
        <v>-77.605576999999997</v>
      </c>
      <c r="AM157">
        <v>100</v>
      </c>
      <c r="AN157">
        <v>3100</v>
      </c>
      <c r="AO157" t="s">
        <v>115</v>
      </c>
      <c r="AP157">
        <v>2</v>
      </c>
      <c r="AQ157">
        <v>129</v>
      </c>
      <c r="AR157">
        <v>1024</v>
      </c>
      <c r="AZ157">
        <v>3614</v>
      </c>
      <c r="BA157">
        <v>1</v>
      </c>
      <c r="BB157" t="str">
        <f t="shared" si="8"/>
        <v xml:space="preserve">N959MJ  </v>
      </c>
      <c r="BC157">
        <v>1</v>
      </c>
      <c r="BE157">
        <v>0</v>
      </c>
      <c r="BF157">
        <v>0</v>
      </c>
      <c r="BG157">
        <v>0</v>
      </c>
      <c r="BH157">
        <v>3300</v>
      </c>
      <c r="BI157">
        <v>200</v>
      </c>
      <c r="BJ157">
        <v>1</v>
      </c>
      <c r="BK157">
        <v>1</v>
      </c>
      <c r="BL157">
        <v>1</v>
      </c>
      <c r="BM157">
        <v>0</v>
      </c>
      <c r="BP157">
        <v>0</v>
      </c>
      <c r="BQ157">
        <v>0</v>
      </c>
      <c r="BX157" t="str">
        <f>"13:52:56.734"</f>
        <v>13:52:56.734</v>
      </c>
      <c r="BY157" t="str">
        <f>"735442054"</f>
        <v>735442054</v>
      </c>
      <c r="CL157">
        <v>3</v>
      </c>
      <c r="CM157">
        <v>2</v>
      </c>
      <c r="CN157">
        <v>0</v>
      </c>
      <c r="CO157">
        <v>2</v>
      </c>
      <c r="CP157">
        <v>0</v>
      </c>
      <c r="CQ157">
        <v>7</v>
      </c>
      <c r="CR157" t="s">
        <v>116</v>
      </c>
      <c r="CS157">
        <v>525</v>
      </c>
      <c r="CT157">
        <v>2</v>
      </c>
      <c r="CU157" t="s">
        <v>140</v>
      </c>
      <c r="CV157" t="s">
        <v>141</v>
      </c>
      <c r="CY157">
        <v>13809569</v>
      </c>
      <c r="CZ157" t="s">
        <v>119</v>
      </c>
    </row>
    <row r="158" spans="1:104" x14ac:dyDescent="0.25">
      <c r="A158" t="str">
        <f>"13:52:57.883"</f>
        <v>13:52:57.883</v>
      </c>
      <c r="B158" t="s">
        <v>108</v>
      </c>
      <c r="C158" t="str">
        <f t="shared" si="7"/>
        <v>ffdfd3c0</v>
      </c>
      <c r="D158" t="s">
        <v>109</v>
      </c>
      <c r="E158">
        <v>4</v>
      </c>
      <c r="F158">
        <v>1004</v>
      </c>
      <c r="G158" t="s">
        <v>110</v>
      </c>
      <c r="J158" t="s">
        <v>111</v>
      </c>
      <c r="K158">
        <v>0</v>
      </c>
      <c r="L158">
        <v>3</v>
      </c>
      <c r="M158">
        <v>0</v>
      </c>
      <c r="N158">
        <v>2</v>
      </c>
      <c r="O158">
        <v>1</v>
      </c>
      <c r="P158">
        <v>0</v>
      </c>
      <c r="Q158">
        <v>0</v>
      </c>
      <c r="R158" t="s">
        <v>112</v>
      </c>
      <c r="S158" t="str">
        <f>"13:52:57.719"</f>
        <v>13:52:57.719</v>
      </c>
      <c r="T158" t="str">
        <f>"13:52:57.219"</f>
        <v>13:52:57.219</v>
      </c>
      <c r="U158" t="str">
        <f t="shared" si="6"/>
        <v>ad5732</v>
      </c>
      <c r="V158">
        <v>0</v>
      </c>
      <c r="W158">
        <v>0</v>
      </c>
      <c r="X158">
        <v>1</v>
      </c>
      <c r="Z158">
        <v>0</v>
      </c>
      <c r="AA158">
        <v>9</v>
      </c>
      <c r="AB158">
        <v>3</v>
      </c>
      <c r="AC158">
        <v>0</v>
      </c>
      <c r="AD158">
        <v>10</v>
      </c>
      <c r="AE158">
        <v>0</v>
      </c>
      <c r="AF158">
        <v>3</v>
      </c>
      <c r="AG158">
        <v>2</v>
      </c>
      <c r="AH158">
        <v>0</v>
      </c>
      <c r="AI158" t="s">
        <v>424</v>
      </c>
      <c r="AJ158">
        <v>39.161366999999998</v>
      </c>
      <c r="AK158" t="s">
        <v>299</v>
      </c>
      <c r="AL158">
        <v>-77.605576999999997</v>
      </c>
      <c r="AM158">
        <v>100</v>
      </c>
      <c r="AN158">
        <v>3100</v>
      </c>
      <c r="AO158" t="s">
        <v>115</v>
      </c>
      <c r="AP158">
        <v>2</v>
      </c>
      <c r="AQ158">
        <v>129</v>
      </c>
      <c r="AR158">
        <v>768</v>
      </c>
      <c r="AZ158">
        <v>3614</v>
      </c>
      <c r="BA158">
        <v>1</v>
      </c>
      <c r="BB158" t="str">
        <f t="shared" si="8"/>
        <v xml:space="preserve">N959MJ  </v>
      </c>
      <c r="BC158">
        <v>1</v>
      </c>
      <c r="BE158">
        <v>0</v>
      </c>
      <c r="BF158">
        <v>0</v>
      </c>
      <c r="BG158">
        <v>0</v>
      </c>
      <c r="BH158">
        <v>3300</v>
      </c>
      <c r="BI158">
        <v>200</v>
      </c>
      <c r="BJ158">
        <v>1</v>
      </c>
      <c r="BK158">
        <v>1</v>
      </c>
      <c r="BL158">
        <v>1</v>
      </c>
      <c r="BM158">
        <v>0</v>
      </c>
      <c r="BP158">
        <v>0</v>
      </c>
      <c r="BQ158">
        <v>0</v>
      </c>
      <c r="BX158" t="str">
        <f>"13:52:57.719"</f>
        <v>13:52:57.719</v>
      </c>
      <c r="BY158" t="str">
        <f>"721774123"</f>
        <v>721774123</v>
      </c>
      <c r="CL158">
        <v>3</v>
      </c>
      <c r="CM158">
        <v>2</v>
      </c>
      <c r="CN158">
        <v>0</v>
      </c>
      <c r="CO158">
        <v>2</v>
      </c>
      <c r="CP158">
        <v>0</v>
      </c>
      <c r="CQ158">
        <v>7</v>
      </c>
      <c r="CR158" t="s">
        <v>116</v>
      </c>
      <c r="CS158">
        <v>525</v>
      </c>
      <c r="CT158">
        <v>2</v>
      </c>
      <c r="CU158" t="s">
        <v>140</v>
      </c>
      <c r="CV158" t="s">
        <v>141</v>
      </c>
      <c r="CY158">
        <v>13810912</v>
      </c>
      <c r="CZ158" t="s">
        <v>119</v>
      </c>
    </row>
    <row r="159" spans="1:104" x14ac:dyDescent="0.25">
      <c r="A159" t="str">
        <f>"13:52:58.891"</f>
        <v>13:52:58.891</v>
      </c>
      <c r="B159" t="s">
        <v>108</v>
      </c>
      <c r="C159" t="str">
        <f t="shared" si="7"/>
        <v>ffdfd3c0</v>
      </c>
      <c r="D159" t="s">
        <v>109</v>
      </c>
      <c r="E159">
        <v>4</v>
      </c>
      <c r="F159">
        <v>1004</v>
      </c>
      <c r="G159" t="s">
        <v>110</v>
      </c>
      <c r="J159" t="s">
        <v>111</v>
      </c>
      <c r="K159">
        <v>0</v>
      </c>
      <c r="L159">
        <v>3</v>
      </c>
      <c r="M159">
        <v>0</v>
      </c>
      <c r="N159">
        <v>2</v>
      </c>
      <c r="O159">
        <v>1</v>
      </c>
      <c r="P159">
        <v>0</v>
      </c>
      <c r="Q159">
        <v>0</v>
      </c>
      <c r="R159" t="s">
        <v>112</v>
      </c>
      <c r="S159" t="str">
        <f>"13:52:58.695"</f>
        <v>13:52:58.695</v>
      </c>
      <c r="T159" t="str">
        <f>"13:52:58.195"</f>
        <v>13:52:58.195</v>
      </c>
      <c r="U159" t="str">
        <f t="shared" si="6"/>
        <v>ad5732</v>
      </c>
      <c r="V159">
        <v>0</v>
      </c>
      <c r="W159">
        <v>0</v>
      </c>
      <c r="X159">
        <v>1</v>
      </c>
      <c r="Z159">
        <v>0</v>
      </c>
      <c r="AA159">
        <v>9</v>
      </c>
      <c r="AB159">
        <v>3</v>
      </c>
      <c r="AC159">
        <v>0</v>
      </c>
      <c r="AD159">
        <v>10</v>
      </c>
      <c r="AE159">
        <v>0</v>
      </c>
      <c r="AF159">
        <v>3</v>
      </c>
      <c r="AG159">
        <v>2</v>
      </c>
      <c r="AH159">
        <v>0</v>
      </c>
      <c r="AI159" t="s">
        <v>425</v>
      </c>
      <c r="AJ159">
        <v>39.162011</v>
      </c>
      <c r="AK159" t="s">
        <v>426</v>
      </c>
      <c r="AL159">
        <v>-77.605512000000004</v>
      </c>
      <c r="AM159">
        <v>100</v>
      </c>
      <c r="AN159">
        <v>3100</v>
      </c>
      <c r="AO159" t="s">
        <v>115</v>
      </c>
      <c r="AP159">
        <v>3</v>
      </c>
      <c r="AQ159">
        <v>130</v>
      </c>
      <c r="AR159">
        <v>704</v>
      </c>
      <c r="AZ159">
        <v>3614</v>
      </c>
      <c r="BA159">
        <v>1</v>
      </c>
      <c r="BB159" t="str">
        <f t="shared" si="8"/>
        <v xml:space="preserve">N959MJ  </v>
      </c>
      <c r="BC159">
        <v>1</v>
      </c>
      <c r="BE159">
        <v>0</v>
      </c>
      <c r="BF159">
        <v>0</v>
      </c>
      <c r="BG159">
        <v>0</v>
      </c>
      <c r="BH159">
        <v>3325</v>
      </c>
      <c r="BI159">
        <v>225</v>
      </c>
      <c r="BJ159">
        <v>1</v>
      </c>
      <c r="BK159">
        <v>1</v>
      </c>
      <c r="BL159">
        <v>1</v>
      </c>
      <c r="BM159">
        <v>0</v>
      </c>
      <c r="BP159">
        <v>0</v>
      </c>
      <c r="BQ159">
        <v>0</v>
      </c>
      <c r="BX159" t="str">
        <f>"13:52:58.695"</f>
        <v>13:52:58.695</v>
      </c>
      <c r="BY159" t="str">
        <f>"696637187"</f>
        <v>696637187</v>
      </c>
      <c r="CL159">
        <v>3</v>
      </c>
      <c r="CM159">
        <v>2</v>
      </c>
      <c r="CN159">
        <v>0</v>
      </c>
      <c r="CO159">
        <v>2</v>
      </c>
      <c r="CP159">
        <v>0</v>
      </c>
      <c r="CQ159">
        <v>6</v>
      </c>
      <c r="CR159" t="s">
        <v>116</v>
      </c>
      <c r="CS159">
        <v>525</v>
      </c>
      <c r="CT159">
        <v>3</v>
      </c>
      <c r="CU159" t="s">
        <v>140</v>
      </c>
      <c r="CV159" t="s">
        <v>141</v>
      </c>
      <c r="CY159">
        <v>217060</v>
      </c>
      <c r="CZ159" t="s">
        <v>119</v>
      </c>
    </row>
    <row r="160" spans="1:104" x14ac:dyDescent="0.25">
      <c r="A160" t="str">
        <f>"13:52:59.898"</f>
        <v>13:52:59.898</v>
      </c>
      <c r="B160" t="s">
        <v>108</v>
      </c>
      <c r="C160" t="str">
        <f t="shared" si="7"/>
        <v>ffdfd3c0</v>
      </c>
      <c r="D160" t="s">
        <v>109</v>
      </c>
      <c r="E160">
        <v>4</v>
      </c>
      <c r="F160">
        <v>1004</v>
      </c>
      <c r="G160" t="s">
        <v>110</v>
      </c>
      <c r="J160" t="s">
        <v>111</v>
      </c>
      <c r="K160">
        <v>0</v>
      </c>
      <c r="L160">
        <v>3</v>
      </c>
      <c r="M160">
        <v>0</v>
      </c>
      <c r="N160">
        <v>2</v>
      </c>
      <c r="O160">
        <v>1</v>
      </c>
      <c r="P160">
        <v>0</v>
      </c>
      <c r="Q160">
        <v>0</v>
      </c>
      <c r="R160" t="s">
        <v>112</v>
      </c>
      <c r="S160" t="str">
        <f>"13:52:59.703"</f>
        <v>13:52:59.703</v>
      </c>
      <c r="T160" t="str">
        <f>"13:52:59.305"</f>
        <v>13:52:59.305</v>
      </c>
      <c r="U160" t="str">
        <f t="shared" si="6"/>
        <v>ad5732</v>
      </c>
      <c r="V160">
        <v>0</v>
      </c>
      <c r="W160">
        <v>0</v>
      </c>
      <c r="X160">
        <v>1</v>
      </c>
      <c r="Z160">
        <v>0</v>
      </c>
      <c r="AA160">
        <v>9</v>
      </c>
      <c r="AB160">
        <v>3</v>
      </c>
      <c r="AC160">
        <v>0</v>
      </c>
      <c r="AD160">
        <v>10</v>
      </c>
      <c r="AE160">
        <v>0</v>
      </c>
      <c r="AF160">
        <v>3</v>
      </c>
      <c r="AG160">
        <v>2</v>
      </c>
      <c r="AH160">
        <v>0</v>
      </c>
      <c r="AI160" t="s">
        <v>427</v>
      </c>
      <c r="AJ160">
        <v>39.162590999999999</v>
      </c>
      <c r="AK160" t="s">
        <v>426</v>
      </c>
      <c r="AL160">
        <v>-77.605512000000004</v>
      </c>
      <c r="AM160">
        <v>100</v>
      </c>
      <c r="AN160">
        <v>3100</v>
      </c>
      <c r="AO160" t="s">
        <v>115</v>
      </c>
      <c r="AP160">
        <v>4</v>
      </c>
      <c r="AQ160">
        <v>131</v>
      </c>
      <c r="AR160">
        <v>576</v>
      </c>
      <c r="AZ160">
        <v>3614</v>
      </c>
      <c r="BA160">
        <v>1</v>
      </c>
      <c r="BB160" t="str">
        <f t="shared" si="8"/>
        <v xml:space="preserve">N959MJ  </v>
      </c>
      <c r="BC160">
        <v>1</v>
      </c>
      <c r="BE160">
        <v>0</v>
      </c>
      <c r="BF160">
        <v>0</v>
      </c>
      <c r="BG160">
        <v>0</v>
      </c>
      <c r="BH160">
        <v>3325</v>
      </c>
      <c r="BI160">
        <v>225</v>
      </c>
      <c r="BJ160">
        <v>1</v>
      </c>
      <c r="BK160">
        <v>1</v>
      </c>
      <c r="BL160">
        <v>1</v>
      </c>
      <c r="BM160">
        <v>0</v>
      </c>
      <c r="BP160">
        <v>0</v>
      </c>
      <c r="BQ160">
        <v>0</v>
      </c>
      <c r="BX160" t="str">
        <f>"13:52:59.703"</f>
        <v>13:52:59.703</v>
      </c>
      <c r="BY160" t="str">
        <f>"704268841"</f>
        <v>704268841</v>
      </c>
      <c r="CL160">
        <v>3</v>
      </c>
      <c r="CM160">
        <v>2</v>
      </c>
      <c r="CN160">
        <v>0</v>
      </c>
      <c r="CO160">
        <v>2</v>
      </c>
      <c r="CP160">
        <v>0</v>
      </c>
      <c r="CQ160">
        <v>6</v>
      </c>
      <c r="CR160" t="s">
        <v>116</v>
      </c>
      <c r="CS160">
        <v>525</v>
      </c>
      <c r="CT160">
        <v>3</v>
      </c>
      <c r="CU160" t="s">
        <v>140</v>
      </c>
      <c r="CV160" t="s">
        <v>141</v>
      </c>
      <c r="CY160">
        <v>218272</v>
      </c>
      <c r="CZ160" t="s">
        <v>119</v>
      </c>
    </row>
    <row r="161" spans="1:104" x14ac:dyDescent="0.25">
      <c r="A161" t="str">
        <f>"13:53:00.859"</f>
        <v>13:53:00.859</v>
      </c>
      <c r="B161" t="s">
        <v>108</v>
      </c>
      <c r="C161" t="str">
        <f t="shared" si="7"/>
        <v>ffdfd3c0</v>
      </c>
      <c r="D161" t="s">
        <v>109</v>
      </c>
      <c r="E161">
        <v>4</v>
      </c>
      <c r="F161">
        <v>1004</v>
      </c>
      <c r="G161" t="s">
        <v>110</v>
      </c>
      <c r="J161" t="s">
        <v>111</v>
      </c>
      <c r="K161">
        <v>0</v>
      </c>
      <c r="L161">
        <v>3</v>
      </c>
      <c r="M161">
        <v>0</v>
      </c>
      <c r="N161">
        <v>2</v>
      </c>
      <c r="O161">
        <v>1</v>
      </c>
      <c r="P161">
        <v>0</v>
      </c>
      <c r="Q161">
        <v>0</v>
      </c>
      <c r="R161" t="s">
        <v>112</v>
      </c>
      <c r="S161" t="str">
        <f>"13:53:00.664"</f>
        <v>13:53:00.664</v>
      </c>
      <c r="T161" t="str">
        <f>"13:52:59.766"</f>
        <v>13:52:59.766</v>
      </c>
      <c r="U161" t="str">
        <f t="shared" si="6"/>
        <v>ad5732</v>
      </c>
      <c r="V161">
        <v>0</v>
      </c>
      <c r="W161">
        <v>0</v>
      </c>
      <c r="X161">
        <v>1</v>
      </c>
      <c r="Z161">
        <v>0</v>
      </c>
      <c r="AA161">
        <v>9</v>
      </c>
      <c r="AB161">
        <v>3</v>
      </c>
      <c r="AC161">
        <v>0</v>
      </c>
      <c r="AD161">
        <v>10</v>
      </c>
      <c r="AE161">
        <v>0</v>
      </c>
      <c r="AF161">
        <v>3</v>
      </c>
      <c r="AG161">
        <v>2</v>
      </c>
      <c r="AH161">
        <v>0</v>
      </c>
      <c r="AI161" t="s">
        <v>428</v>
      </c>
      <c r="AJ161">
        <v>39.163148</v>
      </c>
      <c r="AK161" t="s">
        <v>429</v>
      </c>
      <c r="AL161">
        <v>-77.605468999999999</v>
      </c>
      <c r="AM161">
        <v>100</v>
      </c>
      <c r="AN161">
        <v>3100</v>
      </c>
      <c r="AO161" t="s">
        <v>115</v>
      </c>
      <c r="AP161">
        <v>5</v>
      </c>
      <c r="AQ161">
        <v>131</v>
      </c>
      <c r="AR161">
        <v>512</v>
      </c>
      <c r="AZ161">
        <v>3614</v>
      </c>
      <c r="BA161">
        <v>1</v>
      </c>
      <c r="BB161" t="str">
        <f t="shared" si="8"/>
        <v xml:space="preserve">N959MJ  </v>
      </c>
      <c r="BC161">
        <v>1</v>
      </c>
      <c r="BE161">
        <v>0</v>
      </c>
      <c r="BF161">
        <v>0</v>
      </c>
      <c r="BG161">
        <v>0</v>
      </c>
      <c r="BH161">
        <v>3325</v>
      </c>
      <c r="BI161">
        <v>225</v>
      </c>
      <c r="BJ161">
        <v>1</v>
      </c>
      <c r="BK161">
        <v>1</v>
      </c>
      <c r="BL161">
        <v>1</v>
      </c>
      <c r="BM161">
        <v>0</v>
      </c>
      <c r="BP161">
        <v>0</v>
      </c>
      <c r="BQ161">
        <v>0</v>
      </c>
      <c r="BX161" t="str">
        <f>"13:53:00.664"</f>
        <v>13:53:00.664</v>
      </c>
      <c r="BY161" t="str">
        <f>"666024533"</f>
        <v>666024533</v>
      </c>
      <c r="CL161">
        <v>3</v>
      </c>
      <c r="CM161">
        <v>2</v>
      </c>
      <c r="CN161">
        <v>0</v>
      </c>
      <c r="CO161">
        <v>2</v>
      </c>
      <c r="CP161">
        <v>0</v>
      </c>
      <c r="CQ161">
        <v>6</v>
      </c>
      <c r="CR161" t="s">
        <v>116</v>
      </c>
      <c r="CS161">
        <v>525</v>
      </c>
      <c r="CT161">
        <v>2</v>
      </c>
      <c r="CU161" t="s">
        <v>140</v>
      </c>
      <c r="CV161" t="s">
        <v>141</v>
      </c>
      <c r="CY161">
        <v>13815225</v>
      </c>
      <c r="CZ161" t="s">
        <v>119</v>
      </c>
    </row>
    <row r="162" spans="1:104" x14ac:dyDescent="0.25">
      <c r="A162" t="str">
        <f>"13:53:01.922"</f>
        <v>13:53:01.922</v>
      </c>
      <c r="B162" t="s">
        <v>108</v>
      </c>
      <c r="C162" t="str">
        <f t="shared" si="7"/>
        <v>ffdfd3c0</v>
      </c>
      <c r="D162" t="s">
        <v>109</v>
      </c>
      <c r="E162">
        <v>4</v>
      </c>
      <c r="F162">
        <v>1004</v>
      </c>
      <c r="G162" t="s">
        <v>110</v>
      </c>
      <c r="J162" t="s">
        <v>111</v>
      </c>
      <c r="K162">
        <v>0</v>
      </c>
      <c r="L162">
        <v>3</v>
      </c>
      <c r="M162">
        <v>0</v>
      </c>
      <c r="N162">
        <v>2</v>
      </c>
      <c r="O162">
        <v>1</v>
      </c>
      <c r="P162">
        <v>0</v>
      </c>
      <c r="Q162">
        <v>0</v>
      </c>
      <c r="R162" t="s">
        <v>112</v>
      </c>
      <c r="S162" t="str">
        <f>"13:53:01.758"</f>
        <v>13:53:01.758</v>
      </c>
      <c r="T162" t="str">
        <f>"13:53:01.258"</f>
        <v>13:53:01.258</v>
      </c>
      <c r="U162" t="str">
        <f t="shared" si="6"/>
        <v>ad5732</v>
      </c>
      <c r="V162">
        <v>0</v>
      </c>
      <c r="W162">
        <v>0</v>
      </c>
      <c r="X162">
        <v>1</v>
      </c>
      <c r="Z162">
        <v>0</v>
      </c>
      <c r="AA162">
        <v>9</v>
      </c>
      <c r="AB162">
        <v>3</v>
      </c>
      <c r="AC162">
        <v>0</v>
      </c>
      <c r="AD162">
        <v>10</v>
      </c>
      <c r="AE162">
        <v>0</v>
      </c>
      <c r="AF162">
        <v>3</v>
      </c>
      <c r="AG162">
        <v>2</v>
      </c>
      <c r="AH162">
        <v>0</v>
      </c>
      <c r="AI162" t="s">
        <v>430</v>
      </c>
      <c r="AJ162">
        <v>39.163834999999999</v>
      </c>
      <c r="AK162" t="s">
        <v>431</v>
      </c>
      <c r="AL162">
        <v>-77.605383000000003</v>
      </c>
      <c r="AM162">
        <v>100</v>
      </c>
      <c r="AN162">
        <v>3100</v>
      </c>
      <c r="AO162" t="s">
        <v>115</v>
      </c>
      <c r="AP162">
        <v>7</v>
      </c>
      <c r="AQ162">
        <v>132</v>
      </c>
      <c r="AR162">
        <v>448</v>
      </c>
      <c r="AZ162">
        <v>3614</v>
      </c>
      <c r="BA162">
        <v>1</v>
      </c>
      <c r="BB162" t="str">
        <f t="shared" si="8"/>
        <v xml:space="preserve">N959MJ  </v>
      </c>
      <c r="BC162">
        <v>1</v>
      </c>
      <c r="BE162">
        <v>0</v>
      </c>
      <c r="BF162">
        <v>0</v>
      </c>
      <c r="BG162">
        <v>0</v>
      </c>
      <c r="BH162">
        <v>3350</v>
      </c>
      <c r="BI162">
        <v>250</v>
      </c>
      <c r="BJ162">
        <v>1</v>
      </c>
      <c r="BK162">
        <v>1</v>
      </c>
      <c r="BL162">
        <v>1</v>
      </c>
      <c r="BM162">
        <v>0</v>
      </c>
      <c r="BP162">
        <v>0</v>
      </c>
      <c r="BQ162">
        <v>0</v>
      </c>
      <c r="BX162" t="str">
        <f>"13:53:01.758"</f>
        <v>13:53:01.758</v>
      </c>
      <c r="BY162" t="str">
        <f>"760492657"</f>
        <v>760492657</v>
      </c>
      <c r="CL162">
        <v>3</v>
      </c>
      <c r="CM162">
        <v>2</v>
      </c>
      <c r="CN162">
        <v>0</v>
      </c>
      <c r="CO162">
        <v>2</v>
      </c>
      <c r="CP162">
        <v>0</v>
      </c>
      <c r="CQ162">
        <v>6</v>
      </c>
      <c r="CR162" t="s">
        <v>116</v>
      </c>
      <c r="CS162">
        <v>525</v>
      </c>
      <c r="CT162">
        <v>2</v>
      </c>
      <c r="CU162" t="s">
        <v>140</v>
      </c>
      <c r="CV162" t="s">
        <v>141</v>
      </c>
      <c r="CY162">
        <v>13816910</v>
      </c>
      <c r="CZ162" t="s">
        <v>119</v>
      </c>
    </row>
    <row r="163" spans="1:104" x14ac:dyDescent="0.25">
      <c r="A163" t="str">
        <f>"13:53:03.031"</f>
        <v>13:53:03.031</v>
      </c>
      <c r="B163" t="s">
        <v>108</v>
      </c>
      <c r="C163" t="str">
        <f t="shared" si="7"/>
        <v>ffdfd3c0</v>
      </c>
      <c r="D163" t="s">
        <v>109</v>
      </c>
      <c r="E163">
        <v>4</v>
      </c>
      <c r="F163">
        <v>1004</v>
      </c>
      <c r="G163" t="s">
        <v>110</v>
      </c>
      <c r="J163" t="s">
        <v>111</v>
      </c>
      <c r="K163">
        <v>0</v>
      </c>
      <c r="L163">
        <v>3</v>
      </c>
      <c r="M163">
        <v>0</v>
      </c>
      <c r="N163">
        <v>2</v>
      </c>
      <c r="O163">
        <v>1</v>
      </c>
      <c r="P163">
        <v>0</v>
      </c>
      <c r="Q163">
        <v>0</v>
      </c>
      <c r="R163" t="s">
        <v>112</v>
      </c>
      <c r="S163" t="str">
        <f>"13:53:02.867"</f>
        <v>13:53:02.867</v>
      </c>
      <c r="T163" t="str">
        <f>"13:53:02.367"</f>
        <v>13:53:02.367</v>
      </c>
      <c r="U163" t="str">
        <f t="shared" si="6"/>
        <v>ad5732</v>
      </c>
      <c r="V163">
        <v>0</v>
      </c>
      <c r="W163">
        <v>0</v>
      </c>
      <c r="X163">
        <v>1</v>
      </c>
      <c r="Z163">
        <v>0</v>
      </c>
      <c r="AA163">
        <v>9</v>
      </c>
      <c r="AB163">
        <v>3</v>
      </c>
      <c r="AC163">
        <v>0</v>
      </c>
      <c r="AD163">
        <v>10</v>
      </c>
      <c r="AE163">
        <v>0</v>
      </c>
      <c r="AF163">
        <v>3</v>
      </c>
      <c r="AG163">
        <v>2</v>
      </c>
      <c r="AH163">
        <v>0</v>
      </c>
      <c r="AI163" t="s">
        <v>432</v>
      </c>
      <c r="AJ163">
        <v>39.164565000000003</v>
      </c>
      <c r="AK163" t="s">
        <v>433</v>
      </c>
      <c r="AL163">
        <v>-77.605339999999998</v>
      </c>
      <c r="AM163">
        <v>100</v>
      </c>
      <c r="AN163">
        <v>3100</v>
      </c>
      <c r="AO163" t="s">
        <v>115</v>
      </c>
      <c r="AP163">
        <v>9</v>
      </c>
      <c r="AQ163">
        <v>133</v>
      </c>
      <c r="AR163">
        <v>448</v>
      </c>
      <c r="AZ163">
        <v>3614</v>
      </c>
      <c r="BA163">
        <v>1</v>
      </c>
      <c r="BB163" t="str">
        <f t="shared" si="8"/>
        <v xml:space="preserve">N959MJ  </v>
      </c>
      <c r="BC163">
        <v>1</v>
      </c>
      <c r="BE163">
        <v>0</v>
      </c>
      <c r="BF163">
        <v>0</v>
      </c>
      <c r="BG163">
        <v>0</v>
      </c>
      <c r="BH163">
        <v>3350</v>
      </c>
      <c r="BI163">
        <v>250</v>
      </c>
      <c r="BJ163">
        <v>1</v>
      </c>
      <c r="BK163">
        <v>1</v>
      </c>
      <c r="BL163">
        <v>1</v>
      </c>
      <c r="BM163">
        <v>0</v>
      </c>
      <c r="BP163">
        <v>0</v>
      </c>
      <c r="BQ163">
        <v>0</v>
      </c>
      <c r="BX163" t="str">
        <f>"13:53:02.875"</f>
        <v>13:53:02.875</v>
      </c>
      <c r="BY163" t="str">
        <f>"871345045"</f>
        <v>871345045</v>
      </c>
      <c r="CL163">
        <v>3</v>
      </c>
      <c r="CM163">
        <v>2</v>
      </c>
      <c r="CN163">
        <v>0</v>
      </c>
      <c r="CO163">
        <v>2</v>
      </c>
      <c r="CP163">
        <v>0</v>
      </c>
      <c r="CQ163">
        <v>6</v>
      </c>
      <c r="CR163" t="s">
        <v>116</v>
      </c>
      <c r="CS163">
        <v>525</v>
      </c>
      <c r="CT163">
        <v>2</v>
      </c>
      <c r="CU163" t="s">
        <v>140</v>
      </c>
      <c r="CV163" t="s">
        <v>141</v>
      </c>
      <c r="CY163">
        <v>13818549</v>
      </c>
      <c r="CZ163" t="s">
        <v>119</v>
      </c>
    </row>
    <row r="164" spans="1:104" x14ac:dyDescent="0.25">
      <c r="A164" t="str">
        <f>"13:53:03.891"</f>
        <v>13:53:03.891</v>
      </c>
      <c r="B164" t="s">
        <v>108</v>
      </c>
      <c r="C164" t="str">
        <f t="shared" si="7"/>
        <v>ffdfd3c0</v>
      </c>
      <c r="D164" t="s">
        <v>109</v>
      </c>
      <c r="E164">
        <v>4</v>
      </c>
      <c r="F164">
        <v>1004</v>
      </c>
      <c r="G164" t="s">
        <v>110</v>
      </c>
      <c r="J164" t="s">
        <v>111</v>
      </c>
      <c r="K164">
        <v>0</v>
      </c>
      <c r="L164">
        <v>3</v>
      </c>
      <c r="M164">
        <v>0</v>
      </c>
      <c r="N164">
        <v>2</v>
      </c>
      <c r="O164">
        <v>1</v>
      </c>
      <c r="P164">
        <v>0</v>
      </c>
      <c r="Q164">
        <v>0</v>
      </c>
      <c r="R164" t="s">
        <v>112</v>
      </c>
      <c r="S164" t="str">
        <f>"13:53:03.703"</f>
        <v>13:53:03.703</v>
      </c>
      <c r="T164" t="str">
        <f>"13:53:03.305"</f>
        <v>13:53:03.305</v>
      </c>
      <c r="U164" t="str">
        <f t="shared" si="6"/>
        <v>ad5732</v>
      </c>
      <c r="V164">
        <v>0</v>
      </c>
      <c r="W164">
        <v>0</v>
      </c>
      <c r="X164">
        <v>1</v>
      </c>
      <c r="Z164">
        <v>0</v>
      </c>
      <c r="AA164">
        <v>9</v>
      </c>
      <c r="AB164">
        <v>3</v>
      </c>
      <c r="AC164">
        <v>0</v>
      </c>
      <c r="AD164">
        <v>10</v>
      </c>
      <c r="AE164">
        <v>0</v>
      </c>
      <c r="AF164">
        <v>3</v>
      </c>
      <c r="AG164">
        <v>2</v>
      </c>
      <c r="AH164">
        <v>0</v>
      </c>
      <c r="AI164" t="s">
        <v>434</v>
      </c>
      <c r="AJ164">
        <v>39.165080000000003</v>
      </c>
      <c r="AK164" t="s">
        <v>435</v>
      </c>
      <c r="AL164">
        <v>-77.605276000000003</v>
      </c>
      <c r="AM164">
        <v>100</v>
      </c>
      <c r="AN164">
        <v>3100</v>
      </c>
      <c r="AO164" t="s">
        <v>115</v>
      </c>
      <c r="AP164">
        <v>10</v>
      </c>
      <c r="AQ164">
        <v>134</v>
      </c>
      <c r="AR164">
        <v>448</v>
      </c>
      <c r="AZ164">
        <v>3614</v>
      </c>
      <c r="BA164">
        <v>1</v>
      </c>
      <c r="BB164" t="str">
        <f t="shared" si="8"/>
        <v xml:space="preserve">N959MJ  </v>
      </c>
      <c r="BC164">
        <v>1</v>
      </c>
      <c r="BE164">
        <v>0</v>
      </c>
      <c r="BF164">
        <v>0</v>
      </c>
      <c r="BG164">
        <v>0</v>
      </c>
      <c r="BH164">
        <v>3350</v>
      </c>
      <c r="BI164">
        <v>250</v>
      </c>
      <c r="BJ164">
        <v>1</v>
      </c>
      <c r="BK164">
        <v>1</v>
      </c>
      <c r="BL164">
        <v>1</v>
      </c>
      <c r="BM164">
        <v>0</v>
      </c>
      <c r="BP164">
        <v>0</v>
      </c>
      <c r="BQ164">
        <v>0</v>
      </c>
      <c r="BX164" t="str">
        <f>"13:53:03.703"</f>
        <v>13:53:03.703</v>
      </c>
      <c r="BY164" t="str">
        <f>"706941912"</f>
        <v>706941912</v>
      </c>
      <c r="CL164">
        <v>3</v>
      </c>
      <c r="CM164">
        <v>2</v>
      </c>
      <c r="CN164">
        <v>0</v>
      </c>
      <c r="CO164">
        <v>2</v>
      </c>
      <c r="CP164">
        <v>0</v>
      </c>
      <c r="CQ164">
        <v>6</v>
      </c>
      <c r="CR164" t="s">
        <v>116</v>
      </c>
      <c r="CS164">
        <v>525</v>
      </c>
      <c r="CT164">
        <v>2</v>
      </c>
      <c r="CU164" t="s">
        <v>140</v>
      </c>
      <c r="CV164" t="s">
        <v>141</v>
      </c>
      <c r="CY164">
        <v>13819712</v>
      </c>
      <c r="CZ164" t="s">
        <v>119</v>
      </c>
    </row>
    <row r="165" spans="1:104" x14ac:dyDescent="0.25">
      <c r="A165" t="str">
        <f>"13:53:04.852"</f>
        <v>13:53:04.852</v>
      </c>
      <c r="B165" t="s">
        <v>108</v>
      </c>
      <c r="C165" t="str">
        <f t="shared" si="7"/>
        <v>ffdfd3c0</v>
      </c>
      <c r="D165" t="s">
        <v>109</v>
      </c>
      <c r="E165">
        <v>4</v>
      </c>
      <c r="F165">
        <v>1004</v>
      </c>
      <c r="G165" t="s">
        <v>110</v>
      </c>
      <c r="J165" t="s">
        <v>111</v>
      </c>
      <c r="K165">
        <v>0</v>
      </c>
      <c r="L165">
        <v>3</v>
      </c>
      <c r="M165">
        <v>0</v>
      </c>
      <c r="N165">
        <v>2</v>
      </c>
      <c r="O165">
        <v>1</v>
      </c>
      <c r="P165">
        <v>0</v>
      </c>
      <c r="Q165">
        <v>0</v>
      </c>
      <c r="R165" t="s">
        <v>112</v>
      </c>
      <c r="S165" t="str">
        <f>"13:53:04.680"</f>
        <v>13:53:04.680</v>
      </c>
      <c r="T165" t="str">
        <f>"13:53:04.281"</f>
        <v>13:53:04.281</v>
      </c>
      <c r="U165" t="str">
        <f t="shared" si="6"/>
        <v>ad5732</v>
      </c>
      <c r="V165">
        <v>0</v>
      </c>
      <c r="W165">
        <v>0</v>
      </c>
      <c r="X165">
        <v>1</v>
      </c>
      <c r="Z165">
        <v>0</v>
      </c>
      <c r="AA165">
        <v>9</v>
      </c>
      <c r="AB165">
        <v>3</v>
      </c>
      <c r="AC165">
        <v>0</v>
      </c>
      <c r="AD165">
        <v>10</v>
      </c>
      <c r="AE165">
        <v>0</v>
      </c>
      <c r="AF165">
        <v>3</v>
      </c>
      <c r="AG165">
        <v>2</v>
      </c>
      <c r="AH165">
        <v>0</v>
      </c>
      <c r="AI165" t="s">
        <v>436</v>
      </c>
      <c r="AJ165">
        <v>39.165658999999998</v>
      </c>
      <c r="AK165" t="s">
        <v>437</v>
      </c>
      <c r="AL165">
        <v>-77.605211999999995</v>
      </c>
      <c r="AM165">
        <v>100</v>
      </c>
      <c r="AN165">
        <v>3200</v>
      </c>
      <c r="AO165" t="s">
        <v>115</v>
      </c>
      <c r="AP165">
        <v>12</v>
      </c>
      <c r="AQ165">
        <v>135</v>
      </c>
      <c r="AR165">
        <v>448</v>
      </c>
      <c r="AZ165">
        <v>3614</v>
      </c>
      <c r="BA165">
        <v>1</v>
      </c>
      <c r="BB165" t="str">
        <f t="shared" si="8"/>
        <v xml:space="preserve">N959MJ  </v>
      </c>
      <c r="BC165">
        <v>1</v>
      </c>
      <c r="BE165">
        <v>0</v>
      </c>
      <c r="BF165">
        <v>0</v>
      </c>
      <c r="BG165">
        <v>0</v>
      </c>
      <c r="BH165">
        <v>3375</v>
      </c>
      <c r="BI165">
        <v>175</v>
      </c>
      <c r="BJ165">
        <v>1</v>
      </c>
      <c r="BK165">
        <v>1</v>
      </c>
      <c r="BL165">
        <v>1</v>
      </c>
      <c r="BM165">
        <v>0</v>
      </c>
      <c r="BP165">
        <v>0</v>
      </c>
      <c r="BQ165">
        <v>0</v>
      </c>
      <c r="BX165" t="str">
        <f>"13:53:04.680"</f>
        <v>13:53:04.680</v>
      </c>
      <c r="BY165" t="str">
        <f>"681804994"</f>
        <v>681804994</v>
      </c>
      <c r="CL165">
        <v>3</v>
      </c>
      <c r="CM165">
        <v>2</v>
      </c>
      <c r="CN165">
        <v>0</v>
      </c>
      <c r="CO165">
        <v>2</v>
      </c>
      <c r="CP165">
        <v>0</v>
      </c>
      <c r="CQ165">
        <v>6</v>
      </c>
      <c r="CR165" t="s">
        <v>116</v>
      </c>
      <c r="CS165">
        <v>525</v>
      </c>
      <c r="CT165">
        <v>2</v>
      </c>
      <c r="CU165" t="s">
        <v>140</v>
      </c>
      <c r="CV165" t="s">
        <v>141</v>
      </c>
      <c r="CY165">
        <v>13821156</v>
      </c>
      <c r="CZ165" t="s">
        <v>119</v>
      </c>
    </row>
    <row r="166" spans="1:104" x14ac:dyDescent="0.25">
      <c r="A166" t="str">
        <f>"13:53:06.016"</f>
        <v>13:53:06.016</v>
      </c>
      <c r="B166" t="s">
        <v>108</v>
      </c>
      <c r="C166" t="str">
        <f t="shared" si="7"/>
        <v>ffdfd3c0</v>
      </c>
      <c r="D166" t="s">
        <v>109</v>
      </c>
      <c r="E166">
        <v>4</v>
      </c>
      <c r="F166">
        <v>1004</v>
      </c>
      <c r="G166" t="s">
        <v>110</v>
      </c>
      <c r="J166" t="s">
        <v>111</v>
      </c>
      <c r="K166">
        <v>0</v>
      </c>
      <c r="L166">
        <v>3</v>
      </c>
      <c r="M166">
        <v>0</v>
      </c>
      <c r="N166">
        <v>2</v>
      </c>
      <c r="O166">
        <v>1</v>
      </c>
      <c r="P166">
        <v>0</v>
      </c>
      <c r="Q166">
        <v>0</v>
      </c>
      <c r="R166" t="s">
        <v>112</v>
      </c>
      <c r="S166" t="str">
        <f>"13:53:05.836"</f>
        <v>13:53:05.836</v>
      </c>
      <c r="T166" t="str">
        <f>"13:53:05.336"</f>
        <v>13:53:05.336</v>
      </c>
      <c r="U166" t="str">
        <f t="shared" si="6"/>
        <v>ad5732</v>
      </c>
      <c r="V166">
        <v>0</v>
      </c>
      <c r="W166">
        <v>0</v>
      </c>
      <c r="X166">
        <v>1</v>
      </c>
      <c r="Z166">
        <v>0</v>
      </c>
      <c r="AA166">
        <v>9</v>
      </c>
      <c r="AB166">
        <v>3</v>
      </c>
      <c r="AC166">
        <v>0</v>
      </c>
      <c r="AD166">
        <v>10</v>
      </c>
      <c r="AE166">
        <v>0</v>
      </c>
      <c r="AF166">
        <v>3</v>
      </c>
      <c r="AG166">
        <v>2</v>
      </c>
      <c r="AH166">
        <v>0</v>
      </c>
      <c r="AI166" t="s">
        <v>438</v>
      </c>
      <c r="AJ166">
        <v>39.166345999999997</v>
      </c>
      <c r="AK166" t="s">
        <v>439</v>
      </c>
      <c r="AL166">
        <v>-77.605103999999997</v>
      </c>
      <c r="AM166">
        <v>100</v>
      </c>
      <c r="AN166">
        <v>3200</v>
      </c>
      <c r="AO166" t="s">
        <v>115</v>
      </c>
      <c r="AP166">
        <v>14</v>
      </c>
      <c r="AQ166">
        <v>136</v>
      </c>
      <c r="AR166">
        <v>448</v>
      </c>
      <c r="AZ166">
        <v>3614</v>
      </c>
      <c r="BA166">
        <v>1</v>
      </c>
      <c r="BB166" t="str">
        <f t="shared" si="8"/>
        <v xml:space="preserve">N959MJ  </v>
      </c>
      <c r="BC166">
        <v>1</v>
      </c>
      <c r="BE166">
        <v>0</v>
      </c>
      <c r="BF166">
        <v>0</v>
      </c>
      <c r="BG166">
        <v>0</v>
      </c>
      <c r="BH166">
        <v>3375</v>
      </c>
      <c r="BI166">
        <v>175</v>
      </c>
      <c r="BJ166">
        <v>1</v>
      </c>
      <c r="BK166">
        <v>1</v>
      </c>
      <c r="BL166">
        <v>1</v>
      </c>
      <c r="BM166">
        <v>0</v>
      </c>
      <c r="BP166">
        <v>0</v>
      </c>
      <c r="BQ166">
        <v>0</v>
      </c>
      <c r="BX166" t="str">
        <f>"13:53:05.844"</f>
        <v>13:53:05.844</v>
      </c>
      <c r="BY166" t="str">
        <f>"843448475"</f>
        <v>843448475</v>
      </c>
      <c r="CL166">
        <v>3</v>
      </c>
      <c r="CM166">
        <v>2</v>
      </c>
      <c r="CN166">
        <v>0</v>
      </c>
      <c r="CO166">
        <v>2</v>
      </c>
      <c r="CP166">
        <v>0</v>
      </c>
      <c r="CQ166">
        <v>6</v>
      </c>
      <c r="CR166" t="s">
        <v>116</v>
      </c>
      <c r="CS166">
        <v>525</v>
      </c>
      <c r="CT166">
        <v>2</v>
      </c>
      <c r="CU166" t="s">
        <v>140</v>
      </c>
      <c r="CV166" t="s">
        <v>141</v>
      </c>
      <c r="CY166">
        <v>13823041</v>
      </c>
      <c r="CZ166" t="s">
        <v>119</v>
      </c>
    </row>
    <row r="167" spans="1:104" x14ac:dyDescent="0.25">
      <c r="A167" t="str">
        <f>"13:53:07.023"</f>
        <v>13:53:07.023</v>
      </c>
      <c r="B167" t="s">
        <v>108</v>
      </c>
      <c r="C167" t="str">
        <f t="shared" si="7"/>
        <v>ffdfd3c0</v>
      </c>
      <c r="D167" t="s">
        <v>109</v>
      </c>
      <c r="E167">
        <v>4</v>
      </c>
      <c r="F167">
        <v>1004</v>
      </c>
      <c r="G167" t="s">
        <v>110</v>
      </c>
      <c r="J167" t="s">
        <v>111</v>
      </c>
      <c r="K167">
        <v>0</v>
      </c>
      <c r="L167">
        <v>3</v>
      </c>
      <c r="M167">
        <v>0</v>
      </c>
      <c r="N167">
        <v>2</v>
      </c>
      <c r="O167">
        <v>1</v>
      </c>
      <c r="P167">
        <v>0</v>
      </c>
      <c r="Q167">
        <v>0</v>
      </c>
      <c r="R167" t="s">
        <v>112</v>
      </c>
      <c r="S167" t="str">
        <f>"13:53:06.805"</f>
        <v>13:53:06.805</v>
      </c>
      <c r="T167" t="str">
        <f>"13:53:06.305"</f>
        <v>13:53:06.305</v>
      </c>
      <c r="U167" t="str">
        <f t="shared" si="6"/>
        <v>ad5732</v>
      </c>
      <c r="V167">
        <v>0</v>
      </c>
      <c r="W167">
        <v>0</v>
      </c>
      <c r="X167">
        <v>1</v>
      </c>
      <c r="Z167">
        <v>0</v>
      </c>
      <c r="AA167">
        <v>9</v>
      </c>
      <c r="AB167">
        <v>3</v>
      </c>
      <c r="AC167">
        <v>0</v>
      </c>
      <c r="AD167">
        <v>10</v>
      </c>
      <c r="AE167">
        <v>0</v>
      </c>
      <c r="AF167">
        <v>3</v>
      </c>
      <c r="AG167">
        <v>2</v>
      </c>
      <c r="AH167">
        <v>0</v>
      </c>
      <c r="AI167" t="s">
        <v>440</v>
      </c>
      <c r="AJ167">
        <v>39.167011000000002</v>
      </c>
      <c r="AK167" t="s">
        <v>297</v>
      </c>
      <c r="AL167">
        <v>-77.605040000000002</v>
      </c>
      <c r="AM167">
        <v>100</v>
      </c>
      <c r="AN167">
        <v>3200</v>
      </c>
      <c r="AO167" t="s">
        <v>115</v>
      </c>
      <c r="AP167">
        <v>17</v>
      </c>
      <c r="AQ167">
        <v>136</v>
      </c>
      <c r="AR167">
        <v>384</v>
      </c>
      <c r="AZ167">
        <v>3614</v>
      </c>
      <c r="BA167">
        <v>1</v>
      </c>
      <c r="BB167" t="str">
        <f t="shared" si="8"/>
        <v xml:space="preserve">N959MJ  </v>
      </c>
      <c r="BC167">
        <v>1</v>
      </c>
      <c r="BE167">
        <v>0</v>
      </c>
      <c r="BF167">
        <v>0</v>
      </c>
      <c r="BG167">
        <v>0</v>
      </c>
      <c r="BH167">
        <v>3375</v>
      </c>
      <c r="BI167">
        <v>175</v>
      </c>
      <c r="BJ167">
        <v>1</v>
      </c>
      <c r="BK167">
        <v>1</v>
      </c>
      <c r="BL167">
        <v>1</v>
      </c>
      <c r="BM167">
        <v>0</v>
      </c>
      <c r="BP167">
        <v>0</v>
      </c>
      <c r="BQ167">
        <v>0</v>
      </c>
      <c r="BX167" t="str">
        <f>"13:53:06.813"</f>
        <v>13:53:06.813</v>
      </c>
      <c r="BY167" t="str">
        <f>"808594603"</f>
        <v>808594603</v>
      </c>
      <c r="CL167">
        <v>3</v>
      </c>
      <c r="CM167">
        <v>2</v>
      </c>
      <c r="CN167">
        <v>0</v>
      </c>
      <c r="CO167">
        <v>2</v>
      </c>
      <c r="CP167">
        <v>0</v>
      </c>
      <c r="CQ167">
        <v>6</v>
      </c>
      <c r="CR167" t="s">
        <v>116</v>
      </c>
      <c r="CS167">
        <v>150</v>
      </c>
      <c r="CT167">
        <v>1</v>
      </c>
      <c r="CU167" t="s">
        <v>252</v>
      </c>
      <c r="CV167" t="s">
        <v>253</v>
      </c>
      <c r="CY167">
        <v>4050139</v>
      </c>
      <c r="CZ167" t="s">
        <v>119</v>
      </c>
    </row>
    <row r="168" spans="1:104" x14ac:dyDescent="0.25">
      <c r="A168" t="str">
        <f>"13:53:07.930"</f>
        <v>13:53:07.930</v>
      </c>
      <c r="B168" t="s">
        <v>108</v>
      </c>
      <c r="C168" t="str">
        <f t="shared" si="7"/>
        <v>ffdfd3c0</v>
      </c>
      <c r="D168" t="s">
        <v>109</v>
      </c>
      <c r="E168">
        <v>4</v>
      </c>
      <c r="F168">
        <v>1004</v>
      </c>
      <c r="G168" t="s">
        <v>110</v>
      </c>
      <c r="J168" t="s">
        <v>111</v>
      </c>
      <c r="K168">
        <v>0</v>
      </c>
      <c r="L168">
        <v>3</v>
      </c>
      <c r="M168">
        <v>0</v>
      </c>
      <c r="N168">
        <v>2</v>
      </c>
      <c r="O168">
        <v>1</v>
      </c>
      <c r="P168">
        <v>0</v>
      </c>
      <c r="Q168">
        <v>0</v>
      </c>
      <c r="R168" t="s">
        <v>112</v>
      </c>
      <c r="S168" t="str">
        <f>"13:53:07.773"</f>
        <v>13:53:07.773</v>
      </c>
      <c r="T168" t="str">
        <f>"13:53:07.375"</f>
        <v>13:53:07.375</v>
      </c>
      <c r="U168" t="str">
        <f t="shared" si="6"/>
        <v>ad5732</v>
      </c>
      <c r="V168">
        <v>0</v>
      </c>
      <c r="W168">
        <v>0</v>
      </c>
      <c r="X168">
        <v>1</v>
      </c>
      <c r="Z168">
        <v>0</v>
      </c>
      <c r="AA168">
        <v>9</v>
      </c>
      <c r="AB168">
        <v>3</v>
      </c>
      <c r="AC168">
        <v>0</v>
      </c>
      <c r="AD168">
        <v>10</v>
      </c>
      <c r="AE168">
        <v>0</v>
      </c>
      <c r="AF168">
        <v>3</v>
      </c>
      <c r="AG168">
        <v>2</v>
      </c>
      <c r="AH168">
        <v>0</v>
      </c>
      <c r="AI168" t="s">
        <v>441</v>
      </c>
      <c r="AJ168">
        <v>39.167655000000003</v>
      </c>
      <c r="AK168" t="s">
        <v>442</v>
      </c>
      <c r="AL168">
        <v>-77.604911000000001</v>
      </c>
      <c r="AM168">
        <v>100</v>
      </c>
      <c r="AN168">
        <v>3200</v>
      </c>
      <c r="AO168" t="s">
        <v>115</v>
      </c>
      <c r="AP168">
        <v>19</v>
      </c>
      <c r="AQ168">
        <v>137</v>
      </c>
      <c r="AR168">
        <v>320</v>
      </c>
      <c r="AZ168">
        <v>3614</v>
      </c>
      <c r="BA168">
        <v>1</v>
      </c>
      <c r="BB168" t="str">
        <f t="shared" si="8"/>
        <v xml:space="preserve">N959MJ  </v>
      </c>
      <c r="BC168">
        <v>1</v>
      </c>
      <c r="BE168">
        <v>0</v>
      </c>
      <c r="BF168">
        <v>0</v>
      </c>
      <c r="BG168">
        <v>0</v>
      </c>
      <c r="BH168">
        <v>3375</v>
      </c>
      <c r="BI168">
        <v>175</v>
      </c>
      <c r="BJ168">
        <v>1</v>
      </c>
      <c r="BK168">
        <v>1</v>
      </c>
      <c r="BL168">
        <v>1</v>
      </c>
      <c r="BM168">
        <v>0</v>
      </c>
      <c r="BP168">
        <v>0</v>
      </c>
      <c r="BQ168">
        <v>0</v>
      </c>
      <c r="BX168" t="str">
        <f>"13:53:07.773"</f>
        <v>13:53:07.773</v>
      </c>
      <c r="BY168" t="str">
        <f>"773513559"</f>
        <v>773513559</v>
      </c>
      <c r="CL168">
        <v>3</v>
      </c>
      <c r="CM168">
        <v>2</v>
      </c>
      <c r="CN168">
        <v>0</v>
      </c>
      <c r="CO168">
        <v>2</v>
      </c>
      <c r="CP168">
        <v>0</v>
      </c>
      <c r="CQ168">
        <v>7</v>
      </c>
      <c r="CR168" t="s">
        <v>116</v>
      </c>
      <c r="CS168">
        <v>525</v>
      </c>
      <c r="CT168">
        <v>2</v>
      </c>
      <c r="CU168" t="s">
        <v>140</v>
      </c>
      <c r="CV168" t="s">
        <v>141</v>
      </c>
      <c r="CY168">
        <v>13825712</v>
      </c>
      <c r="CZ168" t="s">
        <v>119</v>
      </c>
    </row>
    <row r="169" spans="1:104" x14ac:dyDescent="0.25">
      <c r="A169" t="str">
        <f>"13:53:08.891"</f>
        <v>13:53:08.891</v>
      </c>
      <c r="B169" t="s">
        <v>108</v>
      </c>
      <c r="C169" t="str">
        <f t="shared" si="7"/>
        <v>ffdfd3c0</v>
      </c>
      <c r="D169" t="s">
        <v>109</v>
      </c>
      <c r="E169">
        <v>4</v>
      </c>
      <c r="F169">
        <v>1004</v>
      </c>
      <c r="G169" t="s">
        <v>110</v>
      </c>
      <c r="J169" t="s">
        <v>111</v>
      </c>
      <c r="K169">
        <v>0</v>
      </c>
      <c r="L169">
        <v>3</v>
      </c>
      <c r="M169">
        <v>0</v>
      </c>
      <c r="N169">
        <v>2</v>
      </c>
      <c r="O169">
        <v>1</v>
      </c>
      <c r="P169">
        <v>0</v>
      </c>
      <c r="Q169">
        <v>0</v>
      </c>
      <c r="R169" t="s">
        <v>112</v>
      </c>
      <c r="S169" t="str">
        <f>"13:53:08.727"</f>
        <v>13:53:08.727</v>
      </c>
      <c r="T169" t="str">
        <f>"13:53:08.227"</f>
        <v>13:53:08.227</v>
      </c>
      <c r="U169" t="str">
        <f t="shared" si="6"/>
        <v>ad5732</v>
      </c>
      <c r="V169">
        <v>0</v>
      </c>
      <c r="W169">
        <v>0</v>
      </c>
      <c r="X169">
        <v>1</v>
      </c>
      <c r="Z169">
        <v>0</v>
      </c>
      <c r="AA169">
        <v>9</v>
      </c>
      <c r="AB169">
        <v>3</v>
      </c>
      <c r="AC169">
        <v>0</v>
      </c>
      <c r="AD169">
        <v>10</v>
      </c>
      <c r="AE169">
        <v>0</v>
      </c>
      <c r="AF169">
        <v>3</v>
      </c>
      <c r="AG169">
        <v>2</v>
      </c>
      <c r="AH169">
        <v>0</v>
      </c>
      <c r="AI169" t="s">
        <v>443</v>
      </c>
      <c r="AJ169">
        <v>39.168233999999998</v>
      </c>
      <c r="AK169" t="s">
        <v>444</v>
      </c>
      <c r="AL169">
        <v>-77.604804000000001</v>
      </c>
      <c r="AM169">
        <v>100</v>
      </c>
      <c r="AN169">
        <v>3200</v>
      </c>
      <c r="AO169" t="s">
        <v>115</v>
      </c>
      <c r="AP169">
        <v>22</v>
      </c>
      <c r="AQ169">
        <v>138</v>
      </c>
      <c r="AR169">
        <v>320</v>
      </c>
      <c r="AZ169">
        <v>3614</v>
      </c>
      <c r="BA169">
        <v>1</v>
      </c>
      <c r="BB169" t="str">
        <f t="shared" si="8"/>
        <v xml:space="preserve">N959MJ  </v>
      </c>
      <c r="BC169">
        <v>1</v>
      </c>
      <c r="BE169">
        <v>0</v>
      </c>
      <c r="BF169">
        <v>0</v>
      </c>
      <c r="BG169">
        <v>0</v>
      </c>
      <c r="BH169">
        <v>3400</v>
      </c>
      <c r="BI169">
        <v>200</v>
      </c>
      <c r="BJ169">
        <v>1</v>
      </c>
      <c r="BK169">
        <v>1</v>
      </c>
      <c r="BL169">
        <v>1</v>
      </c>
      <c r="BM169">
        <v>0</v>
      </c>
      <c r="BP169">
        <v>0</v>
      </c>
      <c r="BQ169">
        <v>0</v>
      </c>
      <c r="BX169" t="str">
        <f>"13:53:08.727"</f>
        <v>13:53:08.727</v>
      </c>
      <c r="BY169" t="str">
        <f>"727191107"</f>
        <v>727191107</v>
      </c>
      <c r="CL169">
        <v>3</v>
      </c>
      <c r="CM169">
        <v>2</v>
      </c>
      <c r="CN169">
        <v>0</v>
      </c>
      <c r="CO169">
        <v>2</v>
      </c>
      <c r="CP169">
        <v>0</v>
      </c>
      <c r="CQ169">
        <v>6</v>
      </c>
      <c r="CR169" t="s">
        <v>116</v>
      </c>
      <c r="CS169">
        <v>150</v>
      </c>
      <c r="CT169">
        <v>1</v>
      </c>
      <c r="CU169" t="s">
        <v>252</v>
      </c>
      <c r="CV169" t="s">
        <v>253</v>
      </c>
      <c r="CY169">
        <v>4053314</v>
      </c>
      <c r="CZ169" t="s">
        <v>119</v>
      </c>
    </row>
    <row r="170" spans="1:104" x14ac:dyDescent="0.25">
      <c r="A170" t="str">
        <f>"13:53:09.898"</f>
        <v>13:53:09.898</v>
      </c>
      <c r="B170" t="s">
        <v>108</v>
      </c>
      <c r="C170" t="str">
        <f t="shared" si="7"/>
        <v>ffdfd3c0</v>
      </c>
      <c r="D170" t="s">
        <v>109</v>
      </c>
      <c r="E170">
        <v>4</v>
      </c>
      <c r="F170">
        <v>1004</v>
      </c>
      <c r="G170" t="s">
        <v>110</v>
      </c>
      <c r="J170" t="s">
        <v>111</v>
      </c>
      <c r="K170">
        <v>0</v>
      </c>
      <c r="L170">
        <v>3</v>
      </c>
      <c r="M170">
        <v>0</v>
      </c>
      <c r="N170">
        <v>2</v>
      </c>
      <c r="O170">
        <v>1</v>
      </c>
      <c r="P170">
        <v>0</v>
      </c>
      <c r="Q170">
        <v>0</v>
      </c>
      <c r="R170" t="s">
        <v>112</v>
      </c>
      <c r="S170" t="str">
        <f>"13:53:09.703"</f>
        <v>13:53:09.703</v>
      </c>
      <c r="T170" t="str">
        <f>"13:53:09.305"</f>
        <v>13:53:09.305</v>
      </c>
      <c r="U170" t="str">
        <f t="shared" si="6"/>
        <v>ad5732</v>
      </c>
      <c r="V170">
        <v>0</v>
      </c>
      <c r="W170">
        <v>0</v>
      </c>
      <c r="X170">
        <v>1</v>
      </c>
      <c r="Z170">
        <v>0</v>
      </c>
      <c r="AA170">
        <v>9</v>
      </c>
      <c r="AB170">
        <v>3</v>
      </c>
      <c r="AC170">
        <v>0</v>
      </c>
      <c r="AD170">
        <v>10</v>
      </c>
      <c r="AE170">
        <v>0</v>
      </c>
      <c r="AF170">
        <v>3</v>
      </c>
      <c r="AG170">
        <v>2</v>
      </c>
      <c r="AH170">
        <v>0</v>
      </c>
      <c r="AI170" t="s">
        <v>445</v>
      </c>
      <c r="AJ170">
        <v>39.168877999999999</v>
      </c>
      <c r="AK170" t="s">
        <v>295</v>
      </c>
      <c r="AL170">
        <v>-77.604611000000006</v>
      </c>
      <c r="AM170">
        <v>100</v>
      </c>
      <c r="AN170">
        <v>3200</v>
      </c>
      <c r="AO170" t="s">
        <v>115</v>
      </c>
      <c r="AP170">
        <v>26</v>
      </c>
      <c r="AQ170">
        <v>138</v>
      </c>
      <c r="AR170">
        <v>256</v>
      </c>
      <c r="AZ170">
        <v>3614</v>
      </c>
      <c r="BA170">
        <v>1</v>
      </c>
      <c r="BB170" t="str">
        <f t="shared" si="8"/>
        <v xml:space="preserve">N959MJ  </v>
      </c>
      <c r="BC170">
        <v>1</v>
      </c>
      <c r="BE170">
        <v>0</v>
      </c>
      <c r="BF170">
        <v>0</v>
      </c>
      <c r="BG170">
        <v>0</v>
      </c>
      <c r="BH170">
        <v>3400</v>
      </c>
      <c r="BI170">
        <v>200</v>
      </c>
      <c r="BJ170">
        <v>1</v>
      </c>
      <c r="BK170">
        <v>1</v>
      </c>
      <c r="BL170">
        <v>1</v>
      </c>
      <c r="BM170">
        <v>0</v>
      </c>
      <c r="BP170">
        <v>0</v>
      </c>
      <c r="BQ170">
        <v>0</v>
      </c>
      <c r="BX170" t="str">
        <f>"13:53:09.711"</f>
        <v>13:53:09.711</v>
      </c>
      <c r="BY170" t="str">
        <f>"708493882"</f>
        <v>708493882</v>
      </c>
      <c r="CL170">
        <v>3</v>
      </c>
      <c r="CM170">
        <v>2</v>
      </c>
      <c r="CN170">
        <v>0</v>
      </c>
      <c r="CO170">
        <v>2</v>
      </c>
      <c r="CP170">
        <v>0</v>
      </c>
      <c r="CQ170">
        <v>6</v>
      </c>
      <c r="CR170" t="s">
        <v>116</v>
      </c>
      <c r="CS170">
        <v>525</v>
      </c>
      <c r="CT170">
        <v>2</v>
      </c>
      <c r="CU170" t="s">
        <v>140</v>
      </c>
      <c r="CV170" t="s">
        <v>141</v>
      </c>
      <c r="CY170">
        <v>13828579</v>
      </c>
      <c r="CZ170" t="s">
        <v>119</v>
      </c>
    </row>
    <row r="171" spans="1:104" x14ac:dyDescent="0.25">
      <c r="A171" t="str">
        <f>"13:53:10.859"</f>
        <v>13:53:10.859</v>
      </c>
      <c r="B171" t="s">
        <v>108</v>
      </c>
      <c r="C171" t="str">
        <f t="shared" si="7"/>
        <v>ffdfd3c0</v>
      </c>
      <c r="D171" t="s">
        <v>109</v>
      </c>
      <c r="E171">
        <v>4</v>
      </c>
      <c r="F171">
        <v>1004</v>
      </c>
      <c r="G171" t="s">
        <v>110</v>
      </c>
      <c r="J171" t="s">
        <v>111</v>
      </c>
      <c r="K171">
        <v>0</v>
      </c>
      <c r="L171">
        <v>3</v>
      </c>
      <c r="M171">
        <v>0</v>
      </c>
      <c r="N171">
        <v>2</v>
      </c>
      <c r="O171">
        <v>1</v>
      </c>
      <c r="P171">
        <v>0</v>
      </c>
      <c r="Q171">
        <v>0</v>
      </c>
      <c r="R171" t="s">
        <v>112</v>
      </c>
      <c r="S171" t="str">
        <f>"13:53:10.695"</f>
        <v>13:53:10.695</v>
      </c>
      <c r="T171" t="str">
        <f>"13:53:10.195"</f>
        <v>13:53:10.195</v>
      </c>
      <c r="U171" t="str">
        <f t="shared" si="6"/>
        <v>ad5732</v>
      </c>
      <c r="V171">
        <v>0</v>
      </c>
      <c r="W171">
        <v>0</v>
      </c>
      <c r="X171">
        <v>1</v>
      </c>
      <c r="Z171">
        <v>0</v>
      </c>
      <c r="AA171">
        <v>9</v>
      </c>
      <c r="AB171">
        <v>3</v>
      </c>
      <c r="AC171">
        <v>0</v>
      </c>
      <c r="AD171">
        <v>10</v>
      </c>
      <c r="AE171">
        <v>0</v>
      </c>
      <c r="AF171">
        <v>3</v>
      </c>
      <c r="AG171">
        <v>2</v>
      </c>
      <c r="AH171">
        <v>0</v>
      </c>
      <c r="AI171" t="s">
        <v>446</v>
      </c>
      <c r="AJ171">
        <v>39.169499999999999</v>
      </c>
      <c r="AK171" t="s">
        <v>447</v>
      </c>
      <c r="AL171">
        <v>-77.604438999999999</v>
      </c>
      <c r="AM171">
        <v>100</v>
      </c>
      <c r="AN171">
        <v>3200</v>
      </c>
      <c r="AO171" t="s">
        <v>115</v>
      </c>
      <c r="AP171">
        <v>30</v>
      </c>
      <c r="AQ171">
        <v>139</v>
      </c>
      <c r="AR171">
        <v>192</v>
      </c>
      <c r="AZ171">
        <v>3614</v>
      </c>
      <c r="BA171">
        <v>1</v>
      </c>
      <c r="BB171" t="str">
        <f t="shared" si="8"/>
        <v xml:space="preserve">N959MJ  </v>
      </c>
      <c r="BC171">
        <v>1</v>
      </c>
      <c r="BE171">
        <v>0</v>
      </c>
      <c r="BF171">
        <v>0</v>
      </c>
      <c r="BG171">
        <v>0</v>
      </c>
      <c r="BH171">
        <v>3400</v>
      </c>
      <c r="BI171">
        <v>200</v>
      </c>
      <c r="BJ171">
        <v>1</v>
      </c>
      <c r="BK171">
        <v>1</v>
      </c>
      <c r="BL171">
        <v>1</v>
      </c>
      <c r="BM171">
        <v>0</v>
      </c>
      <c r="BP171">
        <v>0</v>
      </c>
      <c r="BQ171">
        <v>0</v>
      </c>
      <c r="BX171" t="str">
        <f>"13:53:10.703"</f>
        <v>13:53:10.703</v>
      </c>
      <c r="BY171" t="str">
        <f>"699855753"</f>
        <v>699855753</v>
      </c>
      <c r="CL171">
        <v>3</v>
      </c>
      <c r="CM171">
        <v>2</v>
      </c>
      <c r="CN171">
        <v>0</v>
      </c>
      <c r="CO171">
        <v>2</v>
      </c>
      <c r="CP171">
        <v>0</v>
      </c>
      <c r="CQ171">
        <v>6</v>
      </c>
      <c r="CR171" t="s">
        <v>116</v>
      </c>
      <c r="CS171">
        <v>150</v>
      </c>
      <c r="CT171">
        <v>1</v>
      </c>
      <c r="CU171" t="s">
        <v>252</v>
      </c>
      <c r="CV171" t="s">
        <v>253</v>
      </c>
      <c r="CY171">
        <v>4056795</v>
      </c>
      <c r="CZ171" t="s">
        <v>119</v>
      </c>
    </row>
    <row r="172" spans="1:104" x14ac:dyDescent="0.25">
      <c r="A172" t="str">
        <f>"13:53:11.773"</f>
        <v>13:53:11.773</v>
      </c>
      <c r="B172" t="s">
        <v>108</v>
      </c>
      <c r="C172" t="str">
        <f t="shared" si="7"/>
        <v>ffdfd3c0</v>
      </c>
      <c r="D172" t="s">
        <v>109</v>
      </c>
      <c r="E172">
        <v>4</v>
      </c>
      <c r="F172">
        <v>1004</v>
      </c>
      <c r="G172" t="s">
        <v>110</v>
      </c>
      <c r="J172" t="s">
        <v>111</v>
      </c>
      <c r="K172">
        <v>0</v>
      </c>
      <c r="L172">
        <v>3</v>
      </c>
      <c r="M172">
        <v>0</v>
      </c>
      <c r="N172">
        <v>2</v>
      </c>
      <c r="O172">
        <v>1</v>
      </c>
      <c r="P172">
        <v>0</v>
      </c>
      <c r="Q172">
        <v>0</v>
      </c>
      <c r="R172" t="s">
        <v>112</v>
      </c>
      <c r="S172" t="str">
        <f>"13:53:11.609"</f>
        <v>13:53:11.609</v>
      </c>
      <c r="T172" t="str">
        <f>"13:53:11.211"</f>
        <v>13:53:11.211</v>
      </c>
      <c r="U172" t="str">
        <f t="shared" si="6"/>
        <v>ad5732</v>
      </c>
      <c r="V172">
        <v>0</v>
      </c>
      <c r="W172">
        <v>0</v>
      </c>
      <c r="X172">
        <v>1</v>
      </c>
      <c r="Z172">
        <v>0</v>
      </c>
      <c r="AA172">
        <v>9</v>
      </c>
      <c r="AB172">
        <v>3</v>
      </c>
      <c r="AC172">
        <v>0</v>
      </c>
      <c r="AD172">
        <v>10</v>
      </c>
      <c r="AE172">
        <v>0</v>
      </c>
      <c r="AF172">
        <v>3</v>
      </c>
      <c r="AG172">
        <v>2</v>
      </c>
      <c r="AH172">
        <v>0</v>
      </c>
      <c r="AI172" t="s">
        <v>448</v>
      </c>
      <c r="AJ172">
        <v>39.170079000000001</v>
      </c>
      <c r="AK172" t="s">
        <v>449</v>
      </c>
      <c r="AL172">
        <v>-77.604246000000003</v>
      </c>
      <c r="AM172">
        <v>100</v>
      </c>
      <c r="AN172">
        <v>3200</v>
      </c>
      <c r="AO172" t="s">
        <v>115</v>
      </c>
      <c r="AP172">
        <v>35</v>
      </c>
      <c r="AQ172">
        <v>139</v>
      </c>
      <c r="AR172">
        <v>192</v>
      </c>
      <c r="AZ172">
        <v>3614</v>
      </c>
      <c r="BA172">
        <v>1</v>
      </c>
      <c r="BB172" t="str">
        <f t="shared" si="8"/>
        <v xml:space="preserve">N959MJ  </v>
      </c>
      <c r="BC172">
        <v>1</v>
      </c>
      <c r="BE172">
        <v>0</v>
      </c>
      <c r="BF172">
        <v>0</v>
      </c>
      <c r="BG172">
        <v>0</v>
      </c>
      <c r="BH172">
        <v>3400</v>
      </c>
      <c r="BI172">
        <v>200</v>
      </c>
      <c r="BJ172">
        <v>1</v>
      </c>
      <c r="BK172">
        <v>1</v>
      </c>
      <c r="BL172">
        <v>1</v>
      </c>
      <c r="BM172">
        <v>0</v>
      </c>
      <c r="BP172">
        <v>0</v>
      </c>
      <c r="BQ172">
        <v>0</v>
      </c>
      <c r="BX172" t="str">
        <f>"13:53:11.609"</f>
        <v>13:53:11.609</v>
      </c>
      <c r="BY172" t="str">
        <f>"610705663"</f>
        <v>610705663</v>
      </c>
      <c r="CL172">
        <v>3</v>
      </c>
      <c r="CM172">
        <v>2</v>
      </c>
      <c r="CN172">
        <v>0</v>
      </c>
      <c r="CO172">
        <v>2</v>
      </c>
      <c r="CP172">
        <v>0</v>
      </c>
      <c r="CQ172">
        <v>6</v>
      </c>
      <c r="CR172" t="s">
        <v>116</v>
      </c>
      <c r="CS172">
        <v>525</v>
      </c>
      <c r="CT172">
        <v>2</v>
      </c>
      <c r="CU172" t="s">
        <v>140</v>
      </c>
      <c r="CV172" t="s">
        <v>141</v>
      </c>
      <c r="CY172">
        <v>13831328</v>
      </c>
      <c r="CZ172" t="s">
        <v>119</v>
      </c>
    </row>
    <row r="173" spans="1:104" x14ac:dyDescent="0.25">
      <c r="A173" t="str">
        <f>"13:53:12.930"</f>
        <v>13:53:12.930</v>
      </c>
      <c r="B173" t="s">
        <v>108</v>
      </c>
      <c r="C173" t="str">
        <f t="shared" si="7"/>
        <v>ffdfd3c0</v>
      </c>
      <c r="D173" t="s">
        <v>109</v>
      </c>
      <c r="E173">
        <v>4</v>
      </c>
      <c r="F173">
        <v>1004</v>
      </c>
      <c r="G173" t="s">
        <v>110</v>
      </c>
      <c r="J173" t="s">
        <v>111</v>
      </c>
      <c r="K173">
        <v>0</v>
      </c>
      <c r="L173">
        <v>3</v>
      </c>
      <c r="M173">
        <v>0</v>
      </c>
      <c r="N173">
        <v>2</v>
      </c>
      <c r="O173">
        <v>1</v>
      </c>
      <c r="P173">
        <v>0</v>
      </c>
      <c r="Q173">
        <v>0</v>
      </c>
      <c r="R173" t="s">
        <v>112</v>
      </c>
      <c r="S173" t="str">
        <f>"13:53:12.727"</f>
        <v>13:53:12.727</v>
      </c>
      <c r="T173" t="str">
        <f>"13:53:12.227"</f>
        <v>13:53:12.227</v>
      </c>
      <c r="U173" t="str">
        <f t="shared" si="6"/>
        <v>ad5732</v>
      </c>
      <c r="V173">
        <v>0</v>
      </c>
      <c r="W173">
        <v>0</v>
      </c>
      <c r="X173">
        <v>1</v>
      </c>
      <c r="Z173">
        <v>0</v>
      </c>
      <c r="AA173">
        <v>9</v>
      </c>
      <c r="AB173">
        <v>3</v>
      </c>
      <c r="AC173">
        <v>0</v>
      </c>
      <c r="AD173">
        <v>10</v>
      </c>
      <c r="AE173">
        <v>0</v>
      </c>
      <c r="AF173">
        <v>3</v>
      </c>
      <c r="AG173">
        <v>2</v>
      </c>
      <c r="AH173">
        <v>0</v>
      </c>
      <c r="AI173" t="s">
        <v>450</v>
      </c>
      <c r="AJ173">
        <v>39.170786999999997</v>
      </c>
      <c r="AK173" t="s">
        <v>451</v>
      </c>
      <c r="AL173">
        <v>-77.603966999999997</v>
      </c>
      <c r="AM173">
        <v>100</v>
      </c>
      <c r="AN173">
        <v>3200</v>
      </c>
      <c r="AO173" t="s">
        <v>115</v>
      </c>
      <c r="AP173">
        <v>40</v>
      </c>
      <c r="AQ173">
        <v>139</v>
      </c>
      <c r="AR173">
        <v>192</v>
      </c>
      <c r="AZ173">
        <v>3614</v>
      </c>
      <c r="BA173">
        <v>1</v>
      </c>
      <c r="BB173" t="str">
        <f t="shared" si="8"/>
        <v xml:space="preserve">N959MJ  </v>
      </c>
      <c r="BC173">
        <v>1</v>
      </c>
      <c r="BE173">
        <v>0</v>
      </c>
      <c r="BF173">
        <v>0</v>
      </c>
      <c r="BG173">
        <v>0</v>
      </c>
      <c r="BH173">
        <v>3400</v>
      </c>
      <c r="BI173">
        <v>200</v>
      </c>
      <c r="BJ173">
        <v>1</v>
      </c>
      <c r="BK173">
        <v>1</v>
      </c>
      <c r="BL173">
        <v>1</v>
      </c>
      <c r="BM173">
        <v>0</v>
      </c>
      <c r="BP173">
        <v>0</v>
      </c>
      <c r="BQ173">
        <v>0</v>
      </c>
      <c r="BX173" t="str">
        <f>"13:53:12.734"</f>
        <v>13:53:12.734</v>
      </c>
      <c r="BY173" t="str">
        <f>"731503712"</f>
        <v>731503712</v>
      </c>
      <c r="CL173">
        <v>3</v>
      </c>
      <c r="CM173">
        <v>2</v>
      </c>
      <c r="CN173">
        <v>0</v>
      </c>
      <c r="CO173">
        <v>2</v>
      </c>
      <c r="CP173">
        <v>0</v>
      </c>
      <c r="CQ173">
        <v>6</v>
      </c>
      <c r="CR173" t="s">
        <v>116</v>
      </c>
      <c r="CS173">
        <v>150</v>
      </c>
      <c r="CT173">
        <v>1</v>
      </c>
      <c r="CU173" t="s">
        <v>252</v>
      </c>
      <c r="CV173" t="s">
        <v>253</v>
      </c>
      <c r="CY173">
        <v>4060289</v>
      </c>
      <c r="CZ173" t="s">
        <v>119</v>
      </c>
    </row>
    <row r="174" spans="1:104" x14ac:dyDescent="0.25">
      <c r="A174" t="str">
        <f>"13:53:13.836"</f>
        <v>13:53:13.836</v>
      </c>
      <c r="B174" t="s">
        <v>108</v>
      </c>
      <c r="C174" t="str">
        <f t="shared" si="7"/>
        <v>ffdfd3c0</v>
      </c>
      <c r="D174" t="s">
        <v>109</v>
      </c>
      <c r="E174">
        <v>4</v>
      </c>
      <c r="F174">
        <v>1004</v>
      </c>
      <c r="G174" t="s">
        <v>110</v>
      </c>
      <c r="J174" t="s">
        <v>111</v>
      </c>
      <c r="K174">
        <v>0</v>
      </c>
      <c r="L174">
        <v>3</v>
      </c>
      <c r="M174">
        <v>0</v>
      </c>
      <c r="N174">
        <v>2</v>
      </c>
      <c r="O174">
        <v>1</v>
      </c>
      <c r="P174">
        <v>0</v>
      </c>
      <c r="Q174">
        <v>0</v>
      </c>
      <c r="R174" t="s">
        <v>112</v>
      </c>
      <c r="S174" t="str">
        <f>"13:53:13.664"</f>
        <v>13:53:13.664</v>
      </c>
      <c r="T174" t="str">
        <f>"13:53:13.266"</f>
        <v>13:53:13.266</v>
      </c>
      <c r="U174" t="str">
        <f t="shared" si="6"/>
        <v>ad5732</v>
      </c>
      <c r="V174">
        <v>0</v>
      </c>
      <c r="W174">
        <v>0</v>
      </c>
      <c r="X174">
        <v>1</v>
      </c>
      <c r="Z174">
        <v>0</v>
      </c>
      <c r="AA174">
        <v>9</v>
      </c>
      <c r="AB174">
        <v>3</v>
      </c>
      <c r="AC174">
        <v>0</v>
      </c>
      <c r="AD174">
        <v>10</v>
      </c>
      <c r="AE174">
        <v>0</v>
      </c>
      <c r="AF174">
        <v>3</v>
      </c>
      <c r="AG174">
        <v>2</v>
      </c>
      <c r="AH174">
        <v>0</v>
      </c>
      <c r="AI174" t="s">
        <v>452</v>
      </c>
      <c r="AJ174">
        <v>39.171430999999998</v>
      </c>
      <c r="AK174" t="s">
        <v>453</v>
      </c>
      <c r="AL174">
        <v>-77.603667000000002</v>
      </c>
      <c r="AM174">
        <v>100</v>
      </c>
      <c r="AN174">
        <v>3200</v>
      </c>
      <c r="AO174" t="s">
        <v>115</v>
      </c>
      <c r="AP174">
        <v>48</v>
      </c>
      <c r="AQ174">
        <v>138</v>
      </c>
      <c r="AR174">
        <v>320</v>
      </c>
      <c r="AZ174">
        <v>3614</v>
      </c>
      <c r="BA174">
        <v>1</v>
      </c>
      <c r="BB174" t="str">
        <f t="shared" si="8"/>
        <v xml:space="preserve">N959MJ  </v>
      </c>
      <c r="BC174">
        <v>1</v>
      </c>
      <c r="BE174">
        <v>0</v>
      </c>
      <c r="BF174">
        <v>0</v>
      </c>
      <c r="BG174">
        <v>0</v>
      </c>
      <c r="BH174">
        <v>3400</v>
      </c>
      <c r="BI174">
        <v>200</v>
      </c>
      <c r="BJ174">
        <v>1</v>
      </c>
      <c r="BK174">
        <v>1</v>
      </c>
      <c r="BL174">
        <v>1</v>
      </c>
      <c r="BM174">
        <v>0</v>
      </c>
      <c r="BP174">
        <v>0</v>
      </c>
      <c r="BQ174">
        <v>0</v>
      </c>
      <c r="BX174" t="str">
        <f>"13:53:13.672"</f>
        <v>13:53:13.672</v>
      </c>
      <c r="BY174" t="str">
        <f>"670206256"</f>
        <v>670206256</v>
      </c>
      <c r="CL174">
        <v>3</v>
      </c>
      <c r="CM174">
        <v>2</v>
      </c>
      <c r="CN174">
        <v>0</v>
      </c>
      <c r="CO174">
        <v>2</v>
      </c>
      <c r="CP174">
        <v>0</v>
      </c>
      <c r="CQ174">
        <v>7</v>
      </c>
      <c r="CR174" t="s">
        <v>116</v>
      </c>
      <c r="CS174">
        <v>525</v>
      </c>
      <c r="CT174">
        <v>2</v>
      </c>
      <c r="CU174" t="s">
        <v>140</v>
      </c>
      <c r="CV174" t="s">
        <v>141</v>
      </c>
      <c r="CY174">
        <v>13834164</v>
      </c>
      <c r="CZ174" t="s">
        <v>119</v>
      </c>
    </row>
    <row r="175" spans="1:104" x14ac:dyDescent="0.25">
      <c r="A175" t="str">
        <f>"13:53:14.844"</f>
        <v>13:53:14.844</v>
      </c>
      <c r="B175" t="s">
        <v>108</v>
      </c>
      <c r="C175" t="str">
        <f t="shared" si="7"/>
        <v>ffdfd3c0</v>
      </c>
      <c r="D175" t="s">
        <v>109</v>
      </c>
      <c r="E175">
        <v>4</v>
      </c>
      <c r="F175">
        <v>1004</v>
      </c>
      <c r="G175" t="s">
        <v>110</v>
      </c>
      <c r="J175" t="s">
        <v>111</v>
      </c>
      <c r="K175">
        <v>0</v>
      </c>
      <c r="L175">
        <v>3</v>
      </c>
      <c r="M175">
        <v>0</v>
      </c>
      <c r="N175">
        <v>2</v>
      </c>
      <c r="O175">
        <v>1</v>
      </c>
      <c r="P175">
        <v>0</v>
      </c>
      <c r="Q175">
        <v>0</v>
      </c>
      <c r="R175" t="s">
        <v>112</v>
      </c>
      <c r="S175" t="str">
        <f>"13:53:14.680"</f>
        <v>13:53:14.680</v>
      </c>
      <c r="T175" t="str">
        <f>"13:53:14.180"</f>
        <v>13:53:14.180</v>
      </c>
      <c r="U175" t="str">
        <f t="shared" si="6"/>
        <v>ad5732</v>
      </c>
      <c r="V175">
        <v>0</v>
      </c>
      <c r="W175">
        <v>0</v>
      </c>
      <c r="X175">
        <v>1</v>
      </c>
      <c r="Z175">
        <v>0</v>
      </c>
      <c r="AA175">
        <v>9</v>
      </c>
      <c r="AB175">
        <v>3</v>
      </c>
      <c r="AC175">
        <v>0</v>
      </c>
      <c r="AD175">
        <v>10</v>
      </c>
      <c r="AE175">
        <v>0</v>
      </c>
      <c r="AF175">
        <v>3</v>
      </c>
      <c r="AG175">
        <v>2</v>
      </c>
      <c r="AH175">
        <v>0</v>
      </c>
      <c r="AI175" t="s">
        <v>454</v>
      </c>
      <c r="AJ175">
        <v>39.172032000000002</v>
      </c>
      <c r="AK175" t="s">
        <v>455</v>
      </c>
      <c r="AL175">
        <v>-77.603365999999994</v>
      </c>
      <c r="AM175">
        <v>100</v>
      </c>
      <c r="AN175">
        <v>3200</v>
      </c>
      <c r="AO175" t="s">
        <v>115</v>
      </c>
      <c r="AP175">
        <v>56</v>
      </c>
      <c r="AQ175">
        <v>135</v>
      </c>
      <c r="AR175">
        <v>576</v>
      </c>
      <c r="AZ175">
        <v>3614</v>
      </c>
      <c r="BA175">
        <v>1</v>
      </c>
      <c r="BB175" t="str">
        <f t="shared" si="8"/>
        <v xml:space="preserve">N959MJ  </v>
      </c>
      <c r="BC175">
        <v>1</v>
      </c>
      <c r="BE175">
        <v>0</v>
      </c>
      <c r="BF175">
        <v>0</v>
      </c>
      <c r="BG175">
        <v>0</v>
      </c>
      <c r="BH175">
        <v>3425</v>
      </c>
      <c r="BI175">
        <v>225</v>
      </c>
      <c r="BJ175">
        <v>1</v>
      </c>
      <c r="BK175">
        <v>1</v>
      </c>
      <c r="BL175">
        <v>1</v>
      </c>
      <c r="BM175">
        <v>0</v>
      </c>
      <c r="BP175">
        <v>0</v>
      </c>
      <c r="BQ175">
        <v>0</v>
      </c>
      <c r="BX175" t="str">
        <f>"13:53:14.688"</f>
        <v>13:53:14.688</v>
      </c>
      <c r="BY175" t="str">
        <f>"686029930"</f>
        <v>686029930</v>
      </c>
      <c r="CL175">
        <v>3</v>
      </c>
      <c r="CM175">
        <v>2</v>
      </c>
      <c r="CN175">
        <v>0</v>
      </c>
      <c r="CO175">
        <v>2</v>
      </c>
      <c r="CP175">
        <v>0</v>
      </c>
      <c r="CQ175">
        <v>7</v>
      </c>
      <c r="CR175" t="s">
        <v>116</v>
      </c>
      <c r="CS175">
        <v>525</v>
      </c>
      <c r="CT175">
        <v>2</v>
      </c>
      <c r="CU175" t="s">
        <v>140</v>
      </c>
      <c r="CV175" t="s">
        <v>141</v>
      </c>
      <c r="CY175">
        <v>13835815</v>
      </c>
      <c r="CZ175" t="s">
        <v>119</v>
      </c>
    </row>
    <row r="176" spans="1:104" x14ac:dyDescent="0.25">
      <c r="A176" t="str">
        <f>"13:53:15.750"</f>
        <v>13:53:15.750</v>
      </c>
      <c r="B176" t="s">
        <v>108</v>
      </c>
      <c r="C176" t="str">
        <f t="shared" si="7"/>
        <v>ffdfd3c0</v>
      </c>
      <c r="D176" t="s">
        <v>109</v>
      </c>
      <c r="E176">
        <v>4</v>
      </c>
      <c r="F176">
        <v>1004</v>
      </c>
      <c r="G176" t="s">
        <v>110</v>
      </c>
      <c r="J176" t="s">
        <v>111</v>
      </c>
      <c r="K176">
        <v>0</v>
      </c>
      <c r="L176">
        <v>3</v>
      </c>
      <c r="M176">
        <v>0</v>
      </c>
      <c r="N176">
        <v>2</v>
      </c>
      <c r="O176">
        <v>1</v>
      </c>
      <c r="P176">
        <v>0</v>
      </c>
      <c r="Q176">
        <v>0</v>
      </c>
      <c r="R176" t="s">
        <v>112</v>
      </c>
      <c r="S176" t="str">
        <f>"13:53:15.586"</f>
        <v>13:53:15.586</v>
      </c>
      <c r="T176" t="str">
        <f>"13:53:15.188"</f>
        <v>13:53:15.188</v>
      </c>
      <c r="U176" t="str">
        <f t="shared" si="6"/>
        <v>ad5732</v>
      </c>
      <c r="V176">
        <v>0</v>
      </c>
      <c r="W176">
        <v>0</v>
      </c>
      <c r="X176">
        <v>1</v>
      </c>
      <c r="Z176">
        <v>0</v>
      </c>
      <c r="AA176">
        <v>9</v>
      </c>
      <c r="AB176">
        <v>3</v>
      </c>
      <c r="AC176">
        <v>0</v>
      </c>
      <c r="AD176">
        <v>10</v>
      </c>
      <c r="AE176">
        <v>0</v>
      </c>
      <c r="AF176">
        <v>3</v>
      </c>
      <c r="AG176">
        <v>2</v>
      </c>
      <c r="AH176">
        <v>0</v>
      </c>
      <c r="AI176" t="s">
        <v>456</v>
      </c>
      <c r="AJ176">
        <v>39.17259</v>
      </c>
      <c r="AK176" t="s">
        <v>289</v>
      </c>
      <c r="AL176">
        <v>-77.603022999999993</v>
      </c>
      <c r="AM176">
        <v>100</v>
      </c>
      <c r="AN176">
        <v>3200</v>
      </c>
      <c r="AO176" t="s">
        <v>115</v>
      </c>
      <c r="AP176">
        <v>62</v>
      </c>
      <c r="AQ176">
        <v>133</v>
      </c>
      <c r="AR176">
        <v>768</v>
      </c>
      <c r="AZ176">
        <v>3614</v>
      </c>
      <c r="BA176">
        <v>1</v>
      </c>
      <c r="BB176" t="str">
        <f t="shared" si="8"/>
        <v xml:space="preserve">N959MJ  </v>
      </c>
      <c r="BC176">
        <v>1</v>
      </c>
      <c r="BE176">
        <v>0</v>
      </c>
      <c r="BF176">
        <v>0</v>
      </c>
      <c r="BG176">
        <v>0</v>
      </c>
      <c r="BH176">
        <v>3425</v>
      </c>
      <c r="BI176">
        <v>225</v>
      </c>
      <c r="BJ176">
        <v>1</v>
      </c>
      <c r="BK176">
        <v>1</v>
      </c>
      <c r="BL176">
        <v>1</v>
      </c>
      <c r="BM176">
        <v>0</v>
      </c>
      <c r="BP176">
        <v>0</v>
      </c>
      <c r="BQ176">
        <v>0</v>
      </c>
      <c r="BX176" t="str">
        <f>"13:53:15.594"</f>
        <v>13:53:15.594</v>
      </c>
      <c r="BY176" t="str">
        <f>"590440671"</f>
        <v>590440671</v>
      </c>
      <c r="CL176">
        <v>3</v>
      </c>
      <c r="CM176">
        <v>2</v>
      </c>
      <c r="CN176">
        <v>0</v>
      </c>
      <c r="CO176">
        <v>2</v>
      </c>
      <c r="CP176">
        <v>0</v>
      </c>
      <c r="CQ176">
        <v>6</v>
      </c>
      <c r="CR176" t="s">
        <v>116</v>
      </c>
      <c r="CS176">
        <v>525</v>
      </c>
      <c r="CT176">
        <v>2</v>
      </c>
      <c r="CU176" t="s">
        <v>140</v>
      </c>
      <c r="CV176" t="s">
        <v>141</v>
      </c>
      <c r="CY176">
        <v>13837122</v>
      </c>
      <c r="CZ176" t="s">
        <v>119</v>
      </c>
    </row>
    <row r="177" spans="1:104" x14ac:dyDescent="0.25">
      <c r="A177" t="str">
        <f>"13:53:16.609"</f>
        <v>13:53:16.609</v>
      </c>
      <c r="B177" t="s">
        <v>108</v>
      </c>
      <c r="C177" t="str">
        <f t="shared" si="7"/>
        <v>ffdfd3c0</v>
      </c>
      <c r="D177" t="s">
        <v>109</v>
      </c>
      <c r="E177">
        <v>4</v>
      </c>
      <c r="F177">
        <v>1004</v>
      </c>
      <c r="G177" t="s">
        <v>110</v>
      </c>
      <c r="J177" t="s">
        <v>111</v>
      </c>
      <c r="K177">
        <v>0</v>
      </c>
      <c r="L177">
        <v>3</v>
      </c>
      <c r="M177">
        <v>0</v>
      </c>
      <c r="N177">
        <v>2</v>
      </c>
      <c r="O177">
        <v>1</v>
      </c>
      <c r="P177">
        <v>0</v>
      </c>
      <c r="Q177">
        <v>0</v>
      </c>
      <c r="R177" t="s">
        <v>112</v>
      </c>
      <c r="S177" t="str">
        <f>"13:53:16.430"</f>
        <v>13:53:16.430</v>
      </c>
      <c r="T177" t="str">
        <f>"13:53:16.031"</f>
        <v>13:53:16.031</v>
      </c>
      <c r="U177" t="str">
        <f t="shared" si="6"/>
        <v>ad5732</v>
      </c>
      <c r="V177">
        <v>0</v>
      </c>
      <c r="W177">
        <v>0</v>
      </c>
      <c r="X177">
        <v>1</v>
      </c>
      <c r="Z177">
        <v>0</v>
      </c>
      <c r="AA177">
        <v>9</v>
      </c>
      <c r="AB177">
        <v>3</v>
      </c>
      <c r="AC177">
        <v>0</v>
      </c>
      <c r="AD177">
        <v>10</v>
      </c>
      <c r="AE177">
        <v>0</v>
      </c>
      <c r="AF177">
        <v>3</v>
      </c>
      <c r="AG177">
        <v>2</v>
      </c>
      <c r="AH177">
        <v>0</v>
      </c>
      <c r="AI177" t="s">
        <v>457</v>
      </c>
      <c r="AJ177">
        <v>39.173062000000002</v>
      </c>
      <c r="AK177" t="s">
        <v>458</v>
      </c>
      <c r="AL177">
        <v>-77.602658000000005</v>
      </c>
      <c r="AM177">
        <v>100</v>
      </c>
      <c r="AN177">
        <v>3200</v>
      </c>
      <c r="AO177" t="s">
        <v>115</v>
      </c>
      <c r="AP177">
        <v>69</v>
      </c>
      <c r="AQ177">
        <v>130</v>
      </c>
      <c r="AR177">
        <v>832</v>
      </c>
      <c r="AZ177">
        <v>3614</v>
      </c>
      <c r="BA177">
        <v>1</v>
      </c>
      <c r="BB177" t="str">
        <f t="shared" si="8"/>
        <v xml:space="preserve">N959MJ  </v>
      </c>
      <c r="BC177">
        <v>1</v>
      </c>
      <c r="BE177">
        <v>0</v>
      </c>
      <c r="BF177">
        <v>0</v>
      </c>
      <c r="BG177">
        <v>0</v>
      </c>
      <c r="BH177">
        <v>3450</v>
      </c>
      <c r="BI177">
        <v>250</v>
      </c>
      <c r="BJ177">
        <v>1</v>
      </c>
      <c r="BK177">
        <v>1</v>
      </c>
      <c r="BL177">
        <v>1</v>
      </c>
      <c r="BM177">
        <v>0</v>
      </c>
      <c r="BP177">
        <v>0</v>
      </c>
      <c r="BQ177">
        <v>0</v>
      </c>
      <c r="BX177" t="str">
        <f>"13:53:16.438"</f>
        <v>13:53:16.438</v>
      </c>
      <c r="BY177" t="str">
        <f>"434229691"</f>
        <v>434229691</v>
      </c>
      <c r="CL177">
        <v>3</v>
      </c>
      <c r="CM177">
        <v>2</v>
      </c>
      <c r="CN177">
        <v>0</v>
      </c>
      <c r="CO177">
        <v>2</v>
      </c>
      <c r="CP177">
        <v>0</v>
      </c>
      <c r="CQ177">
        <v>6</v>
      </c>
      <c r="CR177" t="s">
        <v>116</v>
      </c>
      <c r="CS177">
        <v>525</v>
      </c>
      <c r="CT177">
        <v>2</v>
      </c>
      <c r="CU177" t="s">
        <v>140</v>
      </c>
      <c r="CV177" t="s">
        <v>141</v>
      </c>
      <c r="CY177">
        <v>13838386</v>
      </c>
      <c r="CZ177" t="s">
        <v>119</v>
      </c>
    </row>
    <row r="178" spans="1:104" x14ac:dyDescent="0.25">
      <c r="A178" t="str">
        <f>"13:53:17.672"</f>
        <v>13:53:17.672</v>
      </c>
      <c r="B178" t="s">
        <v>108</v>
      </c>
      <c r="C178" t="str">
        <f t="shared" si="7"/>
        <v>ffdfd3c0</v>
      </c>
      <c r="D178" t="s">
        <v>109</v>
      </c>
      <c r="E178">
        <v>4</v>
      </c>
      <c r="F178">
        <v>1004</v>
      </c>
      <c r="G178" t="s">
        <v>110</v>
      </c>
      <c r="J178" t="s">
        <v>111</v>
      </c>
      <c r="K178">
        <v>0</v>
      </c>
      <c r="L178">
        <v>3</v>
      </c>
      <c r="M178">
        <v>0</v>
      </c>
      <c r="N178">
        <v>2</v>
      </c>
      <c r="O178">
        <v>1</v>
      </c>
      <c r="P178">
        <v>0</v>
      </c>
      <c r="Q178">
        <v>0</v>
      </c>
      <c r="R178" t="s">
        <v>112</v>
      </c>
      <c r="S178" t="str">
        <f>"13:53:17.508"</f>
        <v>13:53:17.508</v>
      </c>
      <c r="T178" t="str">
        <f>"13:53:17.109"</f>
        <v>13:53:17.109</v>
      </c>
      <c r="U178" t="str">
        <f t="shared" si="6"/>
        <v>ad5732</v>
      </c>
      <c r="V178">
        <v>0</v>
      </c>
      <c r="W178">
        <v>0</v>
      </c>
      <c r="X178">
        <v>1</v>
      </c>
      <c r="Z178">
        <v>0</v>
      </c>
      <c r="AA178">
        <v>9</v>
      </c>
      <c r="AB178">
        <v>3</v>
      </c>
      <c r="AC178">
        <v>0</v>
      </c>
      <c r="AD178">
        <v>10</v>
      </c>
      <c r="AE178">
        <v>0</v>
      </c>
      <c r="AF178">
        <v>3</v>
      </c>
      <c r="AG178">
        <v>2</v>
      </c>
      <c r="AH178">
        <v>0</v>
      </c>
      <c r="AI178" t="s">
        <v>459</v>
      </c>
      <c r="AJ178">
        <v>39.173727</v>
      </c>
      <c r="AK178" t="s">
        <v>460</v>
      </c>
      <c r="AL178">
        <v>-77.602164999999999</v>
      </c>
      <c r="AM178">
        <v>100</v>
      </c>
      <c r="AN178">
        <v>3200</v>
      </c>
      <c r="AO178" t="s">
        <v>115</v>
      </c>
      <c r="AP178">
        <v>75</v>
      </c>
      <c r="AQ178">
        <v>126</v>
      </c>
      <c r="AR178">
        <v>768</v>
      </c>
      <c r="AZ178">
        <v>3614</v>
      </c>
      <c r="BA178">
        <v>1</v>
      </c>
      <c r="BB178" t="str">
        <f t="shared" si="8"/>
        <v xml:space="preserve">N959MJ  </v>
      </c>
      <c r="BC178">
        <v>1</v>
      </c>
      <c r="BE178">
        <v>0</v>
      </c>
      <c r="BF178">
        <v>0</v>
      </c>
      <c r="BG178">
        <v>0</v>
      </c>
      <c r="BH178">
        <v>3450</v>
      </c>
      <c r="BI178">
        <v>250</v>
      </c>
      <c r="BJ178">
        <v>1</v>
      </c>
      <c r="BK178">
        <v>1</v>
      </c>
      <c r="BL178">
        <v>1</v>
      </c>
      <c r="BM178">
        <v>0</v>
      </c>
      <c r="BP178">
        <v>0</v>
      </c>
      <c r="BQ178">
        <v>0</v>
      </c>
      <c r="BX178" t="str">
        <f>"13:53:17.508"</f>
        <v>13:53:17.508</v>
      </c>
      <c r="BY178" t="str">
        <f>"510675082"</f>
        <v>510675082</v>
      </c>
      <c r="CL178">
        <v>3</v>
      </c>
      <c r="CM178">
        <v>2</v>
      </c>
      <c r="CN178">
        <v>0</v>
      </c>
      <c r="CO178">
        <v>2</v>
      </c>
      <c r="CP178">
        <v>0</v>
      </c>
      <c r="CQ178">
        <v>7</v>
      </c>
      <c r="CR178" t="s">
        <v>116</v>
      </c>
      <c r="CS178">
        <v>525</v>
      </c>
      <c r="CT178">
        <v>3</v>
      </c>
      <c r="CU178" t="s">
        <v>140</v>
      </c>
      <c r="CV178" t="s">
        <v>141</v>
      </c>
      <c r="CY178">
        <v>241745</v>
      </c>
      <c r="CZ178" t="s">
        <v>119</v>
      </c>
    </row>
    <row r="179" spans="1:104" x14ac:dyDescent="0.25">
      <c r="A179" t="str">
        <f>"13:53:18.680"</f>
        <v>13:53:18.680</v>
      </c>
      <c r="B179" t="s">
        <v>108</v>
      </c>
      <c r="C179" t="str">
        <f t="shared" si="7"/>
        <v>ffdfd3c0</v>
      </c>
      <c r="D179" t="s">
        <v>109</v>
      </c>
      <c r="E179">
        <v>4</v>
      </c>
      <c r="F179">
        <v>1004</v>
      </c>
      <c r="G179" t="s">
        <v>110</v>
      </c>
      <c r="J179" t="s">
        <v>111</v>
      </c>
      <c r="K179">
        <v>0</v>
      </c>
      <c r="L179">
        <v>3</v>
      </c>
      <c r="M179">
        <v>0</v>
      </c>
      <c r="N179">
        <v>2</v>
      </c>
      <c r="O179">
        <v>1</v>
      </c>
      <c r="P179">
        <v>0</v>
      </c>
      <c r="Q179">
        <v>0</v>
      </c>
      <c r="R179" t="s">
        <v>112</v>
      </c>
      <c r="S179" t="str">
        <f>"13:53:18.453"</f>
        <v>13:53:18.453</v>
      </c>
      <c r="T179" t="str">
        <f>"13:53:18.055"</f>
        <v>13:53:18.055</v>
      </c>
      <c r="U179" t="str">
        <f t="shared" si="6"/>
        <v>ad5732</v>
      </c>
      <c r="V179">
        <v>0</v>
      </c>
      <c r="W179">
        <v>0</v>
      </c>
      <c r="X179">
        <v>1</v>
      </c>
      <c r="Z179">
        <v>0</v>
      </c>
      <c r="AA179">
        <v>9</v>
      </c>
      <c r="AB179">
        <v>3</v>
      </c>
      <c r="AC179">
        <v>0</v>
      </c>
      <c r="AD179">
        <v>10</v>
      </c>
      <c r="AE179">
        <v>0</v>
      </c>
      <c r="AF179">
        <v>3</v>
      </c>
      <c r="AG179">
        <v>2</v>
      </c>
      <c r="AH179">
        <v>0</v>
      </c>
      <c r="AI179" t="s">
        <v>461</v>
      </c>
      <c r="AJ179">
        <v>39.174221000000003</v>
      </c>
      <c r="AK179" t="s">
        <v>462</v>
      </c>
      <c r="AL179">
        <v>-77.601736000000002</v>
      </c>
      <c r="AM179">
        <v>100</v>
      </c>
      <c r="AN179">
        <v>3200</v>
      </c>
      <c r="AO179" t="s">
        <v>115</v>
      </c>
      <c r="AP179">
        <v>82</v>
      </c>
      <c r="AQ179">
        <v>122</v>
      </c>
      <c r="AR179">
        <v>832</v>
      </c>
      <c r="AZ179">
        <v>3614</v>
      </c>
      <c r="BA179">
        <v>1</v>
      </c>
      <c r="BB179" t="str">
        <f t="shared" si="8"/>
        <v xml:space="preserve">N959MJ  </v>
      </c>
      <c r="BC179">
        <v>1</v>
      </c>
      <c r="BE179">
        <v>0</v>
      </c>
      <c r="BF179">
        <v>0</v>
      </c>
      <c r="BG179">
        <v>0</v>
      </c>
      <c r="BH179">
        <v>3475</v>
      </c>
      <c r="BI179">
        <v>275</v>
      </c>
      <c r="BJ179">
        <v>1</v>
      </c>
      <c r="BK179">
        <v>1</v>
      </c>
      <c r="BL179">
        <v>1</v>
      </c>
      <c r="BM179">
        <v>0</v>
      </c>
      <c r="BP179">
        <v>0</v>
      </c>
      <c r="BQ179">
        <v>0</v>
      </c>
      <c r="BX179" t="str">
        <f>"13:53:18.453"</f>
        <v>13:53:18.453</v>
      </c>
      <c r="BY179" t="str">
        <f>"456046527"</f>
        <v>456046527</v>
      </c>
      <c r="CL179">
        <v>3</v>
      </c>
      <c r="CM179">
        <v>2</v>
      </c>
      <c r="CN179">
        <v>0</v>
      </c>
      <c r="CO179">
        <v>2</v>
      </c>
      <c r="CP179">
        <v>0</v>
      </c>
      <c r="CQ179">
        <v>7</v>
      </c>
      <c r="CR179" t="s">
        <v>116</v>
      </c>
      <c r="CS179">
        <v>525</v>
      </c>
      <c r="CT179">
        <v>3</v>
      </c>
      <c r="CU179" t="s">
        <v>140</v>
      </c>
      <c r="CV179" t="s">
        <v>141</v>
      </c>
      <c r="CY179">
        <v>242963</v>
      </c>
      <c r="CZ179" t="s">
        <v>119</v>
      </c>
    </row>
    <row r="180" spans="1:104" x14ac:dyDescent="0.25">
      <c r="A180" t="str">
        <f>"13:53:19.539"</f>
        <v>13:53:19.539</v>
      </c>
      <c r="B180" t="s">
        <v>108</v>
      </c>
      <c r="C180" t="str">
        <f t="shared" si="7"/>
        <v>ffdfd3c0</v>
      </c>
      <c r="D180" t="s">
        <v>109</v>
      </c>
      <c r="E180">
        <v>4</v>
      </c>
      <c r="F180">
        <v>1004</v>
      </c>
      <c r="G180" t="s">
        <v>110</v>
      </c>
      <c r="J180" t="s">
        <v>111</v>
      </c>
      <c r="K180">
        <v>0</v>
      </c>
      <c r="L180">
        <v>3</v>
      </c>
      <c r="M180">
        <v>0</v>
      </c>
      <c r="N180">
        <v>2</v>
      </c>
      <c r="O180">
        <v>1</v>
      </c>
      <c r="P180">
        <v>0</v>
      </c>
      <c r="Q180">
        <v>0</v>
      </c>
      <c r="R180" t="s">
        <v>112</v>
      </c>
      <c r="S180" t="str">
        <f>"13:53:19.336"</f>
        <v>13:53:19.336</v>
      </c>
      <c r="T180" t="str">
        <f>"13:53:18.938"</f>
        <v>13:53:18.938</v>
      </c>
      <c r="U180" t="str">
        <f t="shared" si="6"/>
        <v>ad5732</v>
      </c>
      <c r="V180">
        <v>0</v>
      </c>
      <c r="W180">
        <v>0</v>
      </c>
      <c r="X180">
        <v>1</v>
      </c>
      <c r="Z180">
        <v>0</v>
      </c>
      <c r="AA180">
        <v>9</v>
      </c>
      <c r="AB180">
        <v>3</v>
      </c>
      <c r="AC180">
        <v>0</v>
      </c>
      <c r="AD180">
        <v>10</v>
      </c>
      <c r="AE180">
        <v>0</v>
      </c>
      <c r="AF180">
        <v>3</v>
      </c>
      <c r="AG180">
        <v>2</v>
      </c>
      <c r="AH180">
        <v>0</v>
      </c>
      <c r="AI180" t="s">
        <v>463</v>
      </c>
      <c r="AJ180">
        <v>39.174736000000003</v>
      </c>
      <c r="AK180" t="s">
        <v>283</v>
      </c>
      <c r="AL180">
        <v>-77.601264</v>
      </c>
      <c r="AM180">
        <v>100</v>
      </c>
      <c r="AN180">
        <v>3200</v>
      </c>
      <c r="AO180" t="s">
        <v>115</v>
      </c>
      <c r="AP180">
        <v>87</v>
      </c>
      <c r="AQ180">
        <v>118</v>
      </c>
      <c r="AR180">
        <v>896</v>
      </c>
      <c r="AZ180">
        <v>3614</v>
      </c>
      <c r="BA180">
        <v>1</v>
      </c>
      <c r="BB180" t="str">
        <f t="shared" si="8"/>
        <v xml:space="preserve">N959MJ  </v>
      </c>
      <c r="BC180">
        <v>1</v>
      </c>
      <c r="BE180">
        <v>0</v>
      </c>
      <c r="BF180">
        <v>0</v>
      </c>
      <c r="BG180">
        <v>0</v>
      </c>
      <c r="BH180">
        <v>3475</v>
      </c>
      <c r="BI180">
        <v>275</v>
      </c>
      <c r="BJ180">
        <v>1</v>
      </c>
      <c r="BK180">
        <v>1</v>
      </c>
      <c r="BL180">
        <v>1</v>
      </c>
      <c r="BM180">
        <v>0</v>
      </c>
      <c r="BP180">
        <v>0</v>
      </c>
      <c r="BQ180">
        <v>0</v>
      </c>
      <c r="BX180" t="str">
        <f>"13:53:19.344"</f>
        <v>13:53:19.344</v>
      </c>
      <c r="BY180" t="str">
        <f>"342434850"</f>
        <v>342434850</v>
      </c>
      <c r="CL180">
        <v>3</v>
      </c>
      <c r="CM180">
        <v>2</v>
      </c>
      <c r="CN180">
        <v>0</v>
      </c>
      <c r="CO180">
        <v>2</v>
      </c>
      <c r="CP180">
        <v>0</v>
      </c>
      <c r="CQ180">
        <v>7</v>
      </c>
      <c r="CR180" t="s">
        <v>116</v>
      </c>
      <c r="CS180">
        <v>525</v>
      </c>
      <c r="CT180">
        <v>3</v>
      </c>
      <c r="CU180" t="s">
        <v>140</v>
      </c>
      <c r="CV180" t="s">
        <v>141</v>
      </c>
      <c r="CY180">
        <v>244242</v>
      </c>
      <c r="CZ180" t="s">
        <v>119</v>
      </c>
    </row>
    <row r="181" spans="1:104" x14ac:dyDescent="0.25">
      <c r="A181" t="str">
        <f>"13:53:20.398"</f>
        <v>13:53:20.398</v>
      </c>
      <c r="B181" t="s">
        <v>108</v>
      </c>
      <c r="C181" t="str">
        <f t="shared" si="7"/>
        <v>ffdfd3c0</v>
      </c>
      <c r="D181" t="s">
        <v>109</v>
      </c>
      <c r="E181">
        <v>4</v>
      </c>
      <c r="F181">
        <v>1004</v>
      </c>
      <c r="G181" t="s">
        <v>110</v>
      </c>
      <c r="J181" t="s">
        <v>111</v>
      </c>
      <c r="K181">
        <v>0</v>
      </c>
      <c r="L181">
        <v>3</v>
      </c>
      <c r="M181">
        <v>0</v>
      </c>
      <c r="N181">
        <v>2</v>
      </c>
      <c r="O181">
        <v>1</v>
      </c>
      <c r="P181">
        <v>0</v>
      </c>
      <c r="Q181">
        <v>0</v>
      </c>
      <c r="R181" t="s">
        <v>112</v>
      </c>
      <c r="S181" t="str">
        <f>"13:53:20.203"</f>
        <v>13:53:20.203</v>
      </c>
      <c r="T181" t="str">
        <f>"13:53:19.805"</f>
        <v>13:53:19.805</v>
      </c>
      <c r="U181" t="str">
        <f t="shared" si="6"/>
        <v>ad5732</v>
      </c>
      <c r="V181">
        <v>0</v>
      </c>
      <c r="W181">
        <v>0</v>
      </c>
      <c r="X181">
        <v>1</v>
      </c>
      <c r="Z181">
        <v>0</v>
      </c>
      <c r="AA181">
        <v>9</v>
      </c>
      <c r="AB181">
        <v>3</v>
      </c>
      <c r="AC181">
        <v>0</v>
      </c>
      <c r="AD181">
        <v>10</v>
      </c>
      <c r="AE181">
        <v>0</v>
      </c>
      <c r="AF181">
        <v>3</v>
      </c>
      <c r="AG181">
        <v>2</v>
      </c>
      <c r="AH181">
        <v>0</v>
      </c>
      <c r="AI181" t="s">
        <v>464</v>
      </c>
      <c r="AJ181">
        <v>39.175207999999998</v>
      </c>
      <c r="AK181" t="s">
        <v>465</v>
      </c>
      <c r="AL181">
        <v>-77.600706000000002</v>
      </c>
      <c r="AM181">
        <v>100</v>
      </c>
      <c r="AN181">
        <v>3300</v>
      </c>
      <c r="AO181" t="s">
        <v>115</v>
      </c>
      <c r="AP181">
        <v>94</v>
      </c>
      <c r="AQ181">
        <v>113</v>
      </c>
      <c r="AR181">
        <v>896</v>
      </c>
      <c r="AZ181">
        <v>3614</v>
      </c>
      <c r="BA181">
        <v>1</v>
      </c>
      <c r="BB181" t="str">
        <f t="shared" si="8"/>
        <v xml:space="preserve">N959MJ  </v>
      </c>
      <c r="BC181">
        <v>1</v>
      </c>
      <c r="BE181">
        <v>0</v>
      </c>
      <c r="BF181">
        <v>0</v>
      </c>
      <c r="BG181">
        <v>0</v>
      </c>
      <c r="BH181">
        <v>3400</v>
      </c>
      <c r="BI181">
        <v>100</v>
      </c>
      <c r="BJ181">
        <v>1</v>
      </c>
      <c r="BK181">
        <v>1</v>
      </c>
      <c r="BL181">
        <v>1</v>
      </c>
      <c r="BM181">
        <v>0</v>
      </c>
      <c r="BP181">
        <v>0</v>
      </c>
      <c r="BQ181">
        <v>0</v>
      </c>
      <c r="BX181" t="str">
        <f>"13:53:20.203"</f>
        <v>13:53:20.203</v>
      </c>
      <c r="BY181" t="str">
        <f>"205906739"</f>
        <v>205906739</v>
      </c>
      <c r="CL181">
        <v>3</v>
      </c>
      <c r="CM181">
        <v>2</v>
      </c>
      <c r="CN181">
        <v>0</v>
      </c>
      <c r="CO181">
        <v>2</v>
      </c>
      <c r="CP181">
        <v>0</v>
      </c>
      <c r="CQ181">
        <v>5</v>
      </c>
      <c r="CR181" t="s">
        <v>116</v>
      </c>
      <c r="CS181">
        <v>147</v>
      </c>
      <c r="CT181">
        <v>3</v>
      </c>
      <c r="CU181" t="s">
        <v>117</v>
      </c>
      <c r="CV181" t="s">
        <v>118</v>
      </c>
      <c r="CY181">
        <v>16073923</v>
      </c>
      <c r="CZ181" t="s">
        <v>119</v>
      </c>
    </row>
    <row r="182" spans="1:104" x14ac:dyDescent="0.25">
      <c r="A182" t="str">
        <f>"13:53:21.305"</f>
        <v>13:53:21.305</v>
      </c>
      <c r="B182" t="s">
        <v>108</v>
      </c>
      <c r="C182" t="str">
        <f t="shared" si="7"/>
        <v>ffdfd3c0</v>
      </c>
      <c r="D182" t="s">
        <v>109</v>
      </c>
      <c r="E182">
        <v>4</v>
      </c>
      <c r="F182">
        <v>1004</v>
      </c>
      <c r="G182" t="s">
        <v>110</v>
      </c>
      <c r="J182" t="s">
        <v>111</v>
      </c>
      <c r="K182">
        <v>0</v>
      </c>
      <c r="L182">
        <v>3</v>
      </c>
      <c r="M182">
        <v>0</v>
      </c>
      <c r="N182">
        <v>2</v>
      </c>
      <c r="O182">
        <v>1</v>
      </c>
      <c r="P182">
        <v>0</v>
      </c>
      <c r="Q182">
        <v>0</v>
      </c>
      <c r="R182" t="s">
        <v>112</v>
      </c>
      <c r="S182" t="str">
        <f>"13:53:21.094"</f>
        <v>13:53:21.094</v>
      </c>
      <c r="T182" t="str">
        <f>"13:53:20.695"</f>
        <v>13:53:20.695</v>
      </c>
      <c r="U182" t="str">
        <f t="shared" si="6"/>
        <v>ad5732</v>
      </c>
      <c r="V182">
        <v>0</v>
      </c>
      <c r="W182">
        <v>0</v>
      </c>
      <c r="X182">
        <v>1</v>
      </c>
      <c r="Z182">
        <v>0</v>
      </c>
      <c r="AA182">
        <v>9</v>
      </c>
      <c r="AB182">
        <v>3</v>
      </c>
      <c r="AC182">
        <v>0</v>
      </c>
      <c r="AD182">
        <v>10</v>
      </c>
      <c r="AE182">
        <v>0</v>
      </c>
      <c r="AF182">
        <v>3</v>
      </c>
      <c r="AG182">
        <v>2</v>
      </c>
      <c r="AH182">
        <v>0</v>
      </c>
      <c r="AI182" t="s">
        <v>466</v>
      </c>
      <c r="AJ182">
        <v>39.175637000000002</v>
      </c>
      <c r="AK182" t="s">
        <v>467</v>
      </c>
      <c r="AL182">
        <v>-77.600190999999995</v>
      </c>
      <c r="AM182">
        <v>100</v>
      </c>
      <c r="AN182">
        <v>3300</v>
      </c>
      <c r="AO182" t="s">
        <v>115</v>
      </c>
      <c r="AP182">
        <v>99</v>
      </c>
      <c r="AQ182">
        <v>109</v>
      </c>
      <c r="AR182">
        <v>896</v>
      </c>
      <c r="AZ182">
        <v>3614</v>
      </c>
      <c r="BA182">
        <v>1</v>
      </c>
      <c r="BB182" t="str">
        <f t="shared" si="8"/>
        <v xml:space="preserve">N959MJ  </v>
      </c>
      <c r="BC182">
        <v>1</v>
      </c>
      <c r="BE182">
        <v>0</v>
      </c>
      <c r="BF182">
        <v>0</v>
      </c>
      <c r="BG182">
        <v>0</v>
      </c>
      <c r="BH182">
        <v>3500</v>
      </c>
      <c r="BI182">
        <v>200</v>
      </c>
      <c r="BJ182">
        <v>1</v>
      </c>
      <c r="BK182">
        <v>1</v>
      </c>
      <c r="BL182">
        <v>1</v>
      </c>
      <c r="BM182">
        <v>0</v>
      </c>
      <c r="BP182">
        <v>0</v>
      </c>
      <c r="BQ182">
        <v>0</v>
      </c>
      <c r="BX182" t="str">
        <f>"13:53:21.094"</f>
        <v>13:53:21.094</v>
      </c>
      <c r="BY182" t="str">
        <f>"093911170"</f>
        <v>093911170</v>
      </c>
      <c r="CL182">
        <v>3</v>
      </c>
      <c r="CM182">
        <v>2</v>
      </c>
      <c r="CN182">
        <v>0</v>
      </c>
      <c r="CO182">
        <v>2</v>
      </c>
      <c r="CP182">
        <v>0</v>
      </c>
      <c r="CQ182">
        <v>7</v>
      </c>
      <c r="CR182" t="s">
        <v>116</v>
      </c>
      <c r="CS182">
        <v>525</v>
      </c>
      <c r="CT182">
        <v>2</v>
      </c>
      <c r="CU182" t="s">
        <v>140</v>
      </c>
      <c r="CV182" t="s">
        <v>141</v>
      </c>
      <c r="CY182">
        <v>13845286</v>
      </c>
      <c r="CZ182" t="s">
        <v>119</v>
      </c>
    </row>
    <row r="183" spans="1:104" x14ac:dyDescent="0.25">
      <c r="A183" t="str">
        <f>"13:53:23.328"</f>
        <v>13:53:23.328</v>
      </c>
      <c r="B183" t="s">
        <v>108</v>
      </c>
      <c r="C183" t="str">
        <f t="shared" si="7"/>
        <v>ffdfd3c0</v>
      </c>
      <c r="D183" t="s">
        <v>109</v>
      </c>
      <c r="E183">
        <v>4</v>
      </c>
      <c r="F183">
        <v>1004</v>
      </c>
      <c r="G183" t="s">
        <v>110</v>
      </c>
      <c r="J183" t="s">
        <v>111</v>
      </c>
      <c r="K183">
        <v>0</v>
      </c>
      <c r="L183">
        <v>3</v>
      </c>
      <c r="M183">
        <v>0</v>
      </c>
      <c r="N183">
        <v>2</v>
      </c>
      <c r="O183">
        <v>1</v>
      </c>
      <c r="P183">
        <v>0</v>
      </c>
      <c r="Q183">
        <v>0</v>
      </c>
      <c r="R183" t="s">
        <v>112</v>
      </c>
      <c r="S183" t="str">
        <f>"13:53:23.109"</f>
        <v>13:53:23.109</v>
      </c>
      <c r="T183" t="str">
        <f>"13:53:22.711"</f>
        <v>13:53:22.711</v>
      </c>
      <c r="U183" t="str">
        <f t="shared" si="6"/>
        <v>ad5732</v>
      </c>
      <c r="V183">
        <v>0</v>
      </c>
      <c r="W183">
        <v>0</v>
      </c>
      <c r="X183">
        <v>1</v>
      </c>
      <c r="Z183">
        <v>0</v>
      </c>
      <c r="AA183">
        <v>9</v>
      </c>
      <c r="AB183">
        <v>3</v>
      </c>
      <c r="AC183">
        <v>0</v>
      </c>
      <c r="AD183">
        <v>10</v>
      </c>
      <c r="AE183">
        <v>0</v>
      </c>
      <c r="AF183">
        <v>3</v>
      </c>
      <c r="AG183">
        <v>2</v>
      </c>
      <c r="AH183">
        <v>0</v>
      </c>
      <c r="AI183" t="s">
        <v>468</v>
      </c>
      <c r="AJ183">
        <v>39.176558999999997</v>
      </c>
      <c r="AK183" t="s">
        <v>469</v>
      </c>
      <c r="AL183">
        <v>-77.598945999999998</v>
      </c>
      <c r="AM183">
        <v>100</v>
      </c>
      <c r="AN183">
        <v>3300</v>
      </c>
      <c r="AO183" t="s">
        <v>115</v>
      </c>
      <c r="AP183">
        <v>110</v>
      </c>
      <c r="AQ183">
        <v>97</v>
      </c>
      <c r="AR183">
        <v>1088</v>
      </c>
      <c r="AZ183">
        <v>3614</v>
      </c>
      <c r="BA183">
        <v>1</v>
      </c>
      <c r="BB183" t="str">
        <f t="shared" si="8"/>
        <v xml:space="preserve">N959MJ  </v>
      </c>
      <c r="BC183">
        <v>1</v>
      </c>
      <c r="BE183">
        <v>0</v>
      </c>
      <c r="BF183">
        <v>0</v>
      </c>
      <c r="BG183">
        <v>0</v>
      </c>
      <c r="BH183">
        <v>3550</v>
      </c>
      <c r="BI183">
        <v>250</v>
      </c>
      <c r="BJ183">
        <v>1</v>
      </c>
      <c r="BK183">
        <v>1</v>
      </c>
      <c r="BL183">
        <v>1</v>
      </c>
      <c r="BM183">
        <v>0</v>
      </c>
      <c r="BP183">
        <v>0</v>
      </c>
      <c r="BQ183">
        <v>0</v>
      </c>
      <c r="BX183" t="str">
        <f>"13:53:23.117"</f>
        <v>13:53:23.117</v>
      </c>
      <c r="BY183" t="str">
        <f>"116096770"</f>
        <v>116096770</v>
      </c>
      <c r="CL183">
        <v>3</v>
      </c>
      <c r="CM183">
        <v>2</v>
      </c>
      <c r="CN183">
        <v>0</v>
      </c>
      <c r="CO183">
        <v>2</v>
      </c>
      <c r="CP183">
        <v>0</v>
      </c>
      <c r="CQ183">
        <v>4</v>
      </c>
      <c r="CR183" t="s">
        <v>116</v>
      </c>
      <c r="CS183">
        <v>148</v>
      </c>
      <c r="CT183">
        <v>2</v>
      </c>
      <c r="CU183" t="s">
        <v>470</v>
      </c>
      <c r="CV183" t="s">
        <v>471</v>
      </c>
      <c r="CY183">
        <v>2659741</v>
      </c>
      <c r="CZ183" t="s">
        <v>119</v>
      </c>
    </row>
    <row r="184" spans="1:104" x14ac:dyDescent="0.25">
      <c r="A184" t="str">
        <f>"13:53:24.234"</f>
        <v>13:53:24.234</v>
      </c>
      <c r="B184" t="s">
        <v>108</v>
      </c>
      <c r="C184" t="str">
        <f t="shared" si="7"/>
        <v>ffdfd3c0</v>
      </c>
      <c r="D184" t="s">
        <v>109</v>
      </c>
      <c r="E184">
        <v>4</v>
      </c>
      <c r="F184">
        <v>1004</v>
      </c>
      <c r="G184" t="s">
        <v>110</v>
      </c>
      <c r="J184" t="s">
        <v>111</v>
      </c>
      <c r="K184">
        <v>0</v>
      </c>
      <c r="L184">
        <v>3</v>
      </c>
      <c r="M184">
        <v>0</v>
      </c>
      <c r="N184">
        <v>2</v>
      </c>
      <c r="O184">
        <v>1</v>
      </c>
      <c r="P184">
        <v>0</v>
      </c>
      <c r="Q184">
        <v>0</v>
      </c>
      <c r="R184" t="s">
        <v>112</v>
      </c>
      <c r="S184" t="str">
        <f>"13:53:24.063"</f>
        <v>13:53:24.063</v>
      </c>
      <c r="T184" t="str">
        <f>"13:53:23.664"</f>
        <v>13:53:23.664</v>
      </c>
      <c r="U184" t="str">
        <f t="shared" si="6"/>
        <v>ad5732</v>
      </c>
      <c r="V184">
        <v>0</v>
      </c>
      <c r="W184">
        <v>0</v>
      </c>
      <c r="X184">
        <v>1</v>
      </c>
      <c r="Z184">
        <v>0</v>
      </c>
      <c r="AA184">
        <v>9</v>
      </c>
      <c r="AB184">
        <v>3</v>
      </c>
      <c r="AC184">
        <v>0</v>
      </c>
      <c r="AD184">
        <v>10</v>
      </c>
      <c r="AE184">
        <v>0</v>
      </c>
      <c r="AF184">
        <v>3</v>
      </c>
      <c r="AG184">
        <v>2</v>
      </c>
      <c r="AH184">
        <v>0</v>
      </c>
      <c r="AI184" t="s">
        <v>472</v>
      </c>
      <c r="AJ184">
        <v>39.176924</v>
      </c>
      <c r="AK184" t="s">
        <v>473</v>
      </c>
      <c r="AL184">
        <v>-77.598258999999999</v>
      </c>
      <c r="AM184">
        <v>100</v>
      </c>
      <c r="AN184">
        <v>3300</v>
      </c>
      <c r="AO184" t="s">
        <v>115</v>
      </c>
      <c r="AP184">
        <v>114</v>
      </c>
      <c r="AQ184">
        <v>92</v>
      </c>
      <c r="AR184">
        <v>896</v>
      </c>
      <c r="AZ184">
        <v>3614</v>
      </c>
      <c r="BA184">
        <v>1</v>
      </c>
      <c r="BB184" t="str">
        <f t="shared" si="8"/>
        <v xml:space="preserve">N959MJ  </v>
      </c>
      <c r="BC184">
        <v>1</v>
      </c>
      <c r="BE184">
        <v>0</v>
      </c>
      <c r="BF184">
        <v>0</v>
      </c>
      <c r="BG184">
        <v>0</v>
      </c>
      <c r="BH184">
        <v>3550</v>
      </c>
      <c r="BI184">
        <v>250</v>
      </c>
      <c r="BJ184">
        <v>1</v>
      </c>
      <c r="BK184">
        <v>1</v>
      </c>
      <c r="BL184">
        <v>1</v>
      </c>
      <c r="BM184">
        <v>0</v>
      </c>
      <c r="BP184">
        <v>0</v>
      </c>
      <c r="BQ184">
        <v>0</v>
      </c>
      <c r="BX184" t="str">
        <f>"13:53:24.063"</f>
        <v>13:53:24.063</v>
      </c>
      <c r="BY184" t="str">
        <f>"064376218"</f>
        <v>064376218</v>
      </c>
      <c r="CL184">
        <v>3</v>
      </c>
      <c r="CM184">
        <v>2</v>
      </c>
      <c r="CN184">
        <v>0</v>
      </c>
      <c r="CO184">
        <v>2</v>
      </c>
      <c r="CP184">
        <v>0</v>
      </c>
      <c r="CQ184">
        <v>7</v>
      </c>
      <c r="CR184" t="s">
        <v>116</v>
      </c>
      <c r="CS184">
        <v>525</v>
      </c>
      <c r="CT184">
        <v>2</v>
      </c>
      <c r="CU184" t="s">
        <v>140</v>
      </c>
      <c r="CV184" t="s">
        <v>141</v>
      </c>
      <c r="CY184">
        <v>13849695</v>
      </c>
      <c r="CZ184" t="s">
        <v>119</v>
      </c>
    </row>
    <row r="185" spans="1:104" x14ac:dyDescent="0.25">
      <c r="A185" t="str">
        <f>"13:53:25.750"</f>
        <v>13:53:25.750</v>
      </c>
      <c r="B185" t="s">
        <v>108</v>
      </c>
      <c r="C185" t="str">
        <f t="shared" si="7"/>
        <v>ffdfd3c0</v>
      </c>
      <c r="D185" t="s">
        <v>109</v>
      </c>
      <c r="E185">
        <v>4</v>
      </c>
      <c r="F185">
        <v>1004</v>
      </c>
      <c r="G185" t="s">
        <v>110</v>
      </c>
      <c r="J185" t="s">
        <v>111</v>
      </c>
      <c r="K185">
        <v>0</v>
      </c>
      <c r="L185">
        <v>3</v>
      </c>
      <c r="M185">
        <v>0</v>
      </c>
      <c r="N185">
        <v>2</v>
      </c>
      <c r="O185">
        <v>1</v>
      </c>
      <c r="P185">
        <v>0</v>
      </c>
      <c r="Q185">
        <v>0</v>
      </c>
      <c r="R185" t="s">
        <v>112</v>
      </c>
      <c r="S185" t="str">
        <f>"13:53:25.547"</f>
        <v>13:53:25.547</v>
      </c>
      <c r="T185" t="str">
        <f>"13:53:24.547"</f>
        <v>13:53:24.547</v>
      </c>
      <c r="U185" t="str">
        <f t="shared" si="6"/>
        <v>ad5732</v>
      </c>
      <c r="V185">
        <v>0</v>
      </c>
      <c r="W185">
        <v>0</v>
      </c>
      <c r="X185">
        <v>1</v>
      </c>
      <c r="Z185">
        <v>0</v>
      </c>
      <c r="AA185">
        <v>9</v>
      </c>
      <c r="AB185">
        <v>3</v>
      </c>
      <c r="AC185">
        <v>0</v>
      </c>
      <c r="AD185">
        <v>10</v>
      </c>
      <c r="AE185">
        <v>0</v>
      </c>
      <c r="AF185">
        <v>3</v>
      </c>
      <c r="AG185">
        <v>2</v>
      </c>
      <c r="AH185">
        <v>0</v>
      </c>
      <c r="AI185" t="s">
        <v>474</v>
      </c>
      <c r="AJ185">
        <v>39.177525000000003</v>
      </c>
      <c r="AK185" t="s">
        <v>475</v>
      </c>
      <c r="AL185">
        <v>-77.597207999999995</v>
      </c>
      <c r="AM185">
        <v>100</v>
      </c>
      <c r="AN185">
        <v>3300</v>
      </c>
      <c r="AO185" t="s">
        <v>115</v>
      </c>
      <c r="AP185">
        <v>118</v>
      </c>
      <c r="AQ185">
        <v>87</v>
      </c>
      <c r="AR185">
        <v>896</v>
      </c>
      <c r="AZ185">
        <v>3614</v>
      </c>
      <c r="BA185">
        <v>1</v>
      </c>
      <c r="BB185" t="str">
        <f t="shared" si="8"/>
        <v xml:space="preserve">N959MJ  </v>
      </c>
      <c r="BC185">
        <v>1</v>
      </c>
      <c r="BE185">
        <v>0</v>
      </c>
      <c r="BF185">
        <v>0</v>
      </c>
      <c r="BG185">
        <v>0</v>
      </c>
      <c r="BH185">
        <v>3575</v>
      </c>
      <c r="BI185">
        <v>275</v>
      </c>
      <c r="BJ185">
        <v>1</v>
      </c>
      <c r="BK185">
        <v>1</v>
      </c>
      <c r="BL185">
        <v>1</v>
      </c>
      <c r="BM185">
        <v>0</v>
      </c>
      <c r="BP185">
        <v>0</v>
      </c>
      <c r="BQ185">
        <v>0</v>
      </c>
      <c r="BX185" t="str">
        <f>"13:53:25.547"</f>
        <v>13:53:25.547</v>
      </c>
      <c r="BY185" t="str">
        <f>"550427976"</f>
        <v>550427976</v>
      </c>
      <c r="CL185">
        <v>3</v>
      </c>
      <c r="CM185">
        <v>2</v>
      </c>
      <c r="CN185">
        <v>0</v>
      </c>
      <c r="CO185">
        <v>2</v>
      </c>
      <c r="CP185">
        <v>0</v>
      </c>
      <c r="CQ185">
        <v>7</v>
      </c>
      <c r="CR185" t="s">
        <v>116</v>
      </c>
      <c r="CS185">
        <v>525</v>
      </c>
      <c r="CT185">
        <v>2</v>
      </c>
      <c r="CU185" t="s">
        <v>140</v>
      </c>
      <c r="CV185" t="s">
        <v>141</v>
      </c>
      <c r="CY185">
        <v>13851999</v>
      </c>
      <c r="CZ185" t="s">
        <v>119</v>
      </c>
    </row>
    <row r="186" spans="1:104" x14ac:dyDescent="0.25">
      <c r="A186" t="str">
        <f>"13:53:26.664"</f>
        <v>13:53:26.664</v>
      </c>
      <c r="B186" t="s">
        <v>108</v>
      </c>
      <c r="C186" t="str">
        <f t="shared" si="7"/>
        <v>ffdfd3c0</v>
      </c>
      <c r="D186" t="s">
        <v>109</v>
      </c>
      <c r="E186">
        <v>4</v>
      </c>
      <c r="F186">
        <v>1004</v>
      </c>
      <c r="G186" t="s">
        <v>110</v>
      </c>
      <c r="J186" t="s">
        <v>111</v>
      </c>
      <c r="K186">
        <v>0</v>
      </c>
      <c r="L186">
        <v>3</v>
      </c>
      <c r="M186">
        <v>0</v>
      </c>
      <c r="N186">
        <v>2</v>
      </c>
      <c r="O186">
        <v>1</v>
      </c>
      <c r="P186">
        <v>0</v>
      </c>
      <c r="Q186">
        <v>0</v>
      </c>
      <c r="R186" t="s">
        <v>112</v>
      </c>
      <c r="S186" t="str">
        <f>"13:53:26.445"</f>
        <v>13:53:26.445</v>
      </c>
      <c r="T186" t="str">
        <f>"13:53:26.047"</f>
        <v>13:53:26.047</v>
      </c>
      <c r="U186" t="str">
        <f t="shared" si="6"/>
        <v>ad5732</v>
      </c>
      <c r="V186">
        <v>0</v>
      </c>
      <c r="W186">
        <v>0</v>
      </c>
      <c r="X186">
        <v>1</v>
      </c>
      <c r="Z186">
        <v>0</v>
      </c>
      <c r="AA186">
        <v>9</v>
      </c>
      <c r="AB186">
        <v>3</v>
      </c>
      <c r="AC186">
        <v>0</v>
      </c>
      <c r="AD186">
        <v>10</v>
      </c>
      <c r="AE186">
        <v>0</v>
      </c>
      <c r="AF186">
        <v>3</v>
      </c>
      <c r="AG186">
        <v>2</v>
      </c>
      <c r="AH186">
        <v>0</v>
      </c>
      <c r="AI186" t="s">
        <v>476</v>
      </c>
      <c r="AJ186">
        <v>39.177847</v>
      </c>
      <c r="AK186" t="s">
        <v>477</v>
      </c>
      <c r="AL186">
        <v>-77.596564000000001</v>
      </c>
      <c r="AM186">
        <v>100</v>
      </c>
      <c r="AN186">
        <v>3400</v>
      </c>
      <c r="AO186" t="s">
        <v>115</v>
      </c>
      <c r="AP186">
        <v>125</v>
      </c>
      <c r="AQ186">
        <v>77</v>
      </c>
      <c r="AR186">
        <v>832</v>
      </c>
      <c r="AZ186">
        <v>3614</v>
      </c>
      <c r="BA186">
        <v>1</v>
      </c>
      <c r="BB186" t="str">
        <f t="shared" si="8"/>
        <v xml:space="preserve">N959MJ  </v>
      </c>
      <c r="BC186">
        <v>1</v>
      </c>
      <c r="BE186">
        <v>0</v>
      </c>
      <c r="BF186">
        <v>0</v>
      </c>
      <c r="BG186">
        <v>0</v>
      </c>
      <c r="BH186">
        <v>3600</v>
      </c>
      <c r="BI186">
        <v>200</v>
      </c>
      <c r="BJ186">
        <v>1</v>
      </c>
      <c r="BK186">
        <v>1</v>
      </c>
      <c r="BL186">
        <v>1</v>
      </c>
      <c r="BM186">
        <v>0</v>
      </c>
      <c r="BP186">
        <v>0</v>
      </c>
      <c r="BQ186">
        <v>0</v>
      </c>
      <c r="BX186" t="str">
        <f>"13:53:26.453"</f>
        <v>13:53:26.453</v>
      </c>
      <c r="BY186" t="str">
        <f>"451682503"</f>
        <v>451682503</v>
      </c>
      <c r="CL186">
        <v>3</v>
      </c>
      <c r="CM186">
        <v>2</v>
      </c>
      <c r="CN186">
        <v>0</v>
      </c>
      <c r="CO186">
        <v>2</v>
      </c>
      <c r="CP186">
        <v>0</v>
      </c>
      <c r="CQ186">
        <v>4</v>
      </c>
      <c r="CR186" t="s">
        <v>116</v>
      </c>
      <c r="CS186">
        <v>150</v>
      </c>
      <c r="CT186">
        <v>0</v>
      </c>
      <c r="CU186" t="s">
        <v>252</v>
      </c>
      <c r="CV186" t="s">
        <v>253</v>
      </c>
      <c r="CY186">
        <v>5670816</v>
      </c>
      <c r="CZ186" t="s">
        <v>119</v>
      </c>
    </row>
    <row r="187" spans="1:104" x14ac:dyDescent="0.25">
      <c r="A187" t="str">
        <f>"13:53:27.516"</f>
        <v>13:53:27.516</v>
      </c>
      <c r="B187" t="s">
        <v>108</v>
      </c>
      <c r="C187" t="str">
        <f t="shared" si="7"/>
        <v>ffdfd3c0</v>
      </c>
      <c r="D187" t="s">
        <v>109</v>
      </c>
      <c r="E187">
        <v>4</v>
      </c>
      <c r="F187">
        <v>1004</v>
      </c>
      <c r="G187" t="s">
        <v>110</v>
      </c>
      <c r="J187" t="s">
        <v>111</v>
      </c>
      <c r="K187">
        <v>0</v>
      </c>
      <c r="L187">
        <v>3</v>
      </c>
      <c r="M187">
        <v>0</v>
      </c>
      <c r="N187">
        <v>2</v>
      </c>
      <c r="O187">
        <v>1</v>
      </c>
      <c r="P187">
        <v>0</v>
      </c>
      <c r="Q187">
        <v>0</v>
      </c>
      <c r="R187" t="s">
        <v>112</v>
      </c>
      <c r="S187" t="str">
        <f>"13:53:27.313"</f>
        <v>13:53:27.313</v>
      </c>
      <c r="T187" t="str">
        <f>"13:53:26.914"</f>
        <v>13:53:26.914</v>
      </c>
      <c r="U187" t="str">
        <f t="shared" si="6"/>
        <v>ad5732</v>
      </c>
      <c r="V187">
        <v>0</v>
      </c>
      <c r="W187">
        <v>0</v>
      </c>
      <c r="X187">
        <v>1</v>
      </c>
      <c r="Z187">
        <v>0</v>
      </c>
      <c r="AA187">
        <v>9</v>
      </c>
      <c r="AB187">
        <v>3</v>
      </c>
      <c r="AC187">
        <v>0</v>
      </c>
      <c r="AD187">
        <v>10</v>
      </c>
      <c r="AE187">
        <v>0</v>
      </c>
      <c r="AF187">
        <v>3</v>
      </c>
      <c r="AG187">
        <v>2</v>
      </c>
      <c r="AH187">
        <v>0</v>
      </c>
      <c r="AI187" t="s">
        <v>478</v>
      </c>
      <c r="AJ187">
        <v>39.178125999999999</v>
      </c>
      <c r="AK187" t="s">
        <v>479</v>
      </c>
      <c r="AL187">
        <v>-77.595834999999994</v>
      </c>
      <c r="AM187">
        <v>100</v>
      </c>
      <c r="AN187">
        <v>3400</v>
      </c>
      <c r="AO187" t="s">
        <v>115</v>
      </c>
      <c r="AP187">
        <v>128</v>
      </c>
      <c r="AQ187">
        <v>71</v>
      </c>
      <c r="AR187">
        <v>832</v>
      </c>
      <c r="AZ187">
        <v>3614</v>
      </c>
      <c r="BA187">
        <v>1</v>
      </c>
      <c r="BB187" t="str">
        <f t="shared" si="8"/>
        <v xml:space="preserve">N959MJ  </v>
      </c>
      <c r="BC187">
        <v>1</v>
      </c>
      <c r="BE187">
        <v>0</v>
      </c>
      <c r="BF187">
        <v>0</v>
      </c>
      <c r="BG187">
        <v>0</v>
      </c>
      <c r="BH187">
        <v>3600</v>
      </c>
      <c r="BI187">
        <v>200</v>
      </c>
      <c r="BJ187">
        <v>1</v>
      </c>
      <c r="BK187">
        <v>1</v>
      </c>
      <c r="BL187">
        <v>1</v>
      </c>
      <c r="BM187">
        <v>0</v>
      </c>
      <c r="BP187">
        <v>0</v>
      </c>
      <c r="BQ187">
        <v>0</v>
      </c>
      <c r="BX187" t="str">
        <f>"13:53:27.313"</f>
        <v>13:53:27.313</v>
      </c>
      <c r="BY187" t="str">
        <f>"313373680"</f>
        <v>313373680</v>
      </c>
      <c r="CL187">
        <v>3</v>
      </c>
      <c r="CM187">
        <v>2</v>
      </c>
      <c r="CN187">
        <v>0</v>
      </c>
      <c r="CO187">
        <v>2</v>
      </c>
      <c r="CP187">
        <v>0</v>
      </c>
      <c r="CQ187">
        <v>7</v>
      </c>
      <c r="CR187" t="s">
        <v>116</v>
      </c>
      <c r="CS187">
        <v>525</v>
      </c>
      <c r="CT187">
        <v>2</v>
      </c>
      <c r="CU187" t="s">
        <v>140</v>
      </c>
      <c r="CV187" t="s">
        <v>141</v>
      </c>
      <c r="CY187">
        <v>13854317</v>
      </c>
      <c r="CZ187" t="s">
        <v>119</v>
      </c>
    </row>
    <row r="188" spans="1:104" x14ac:dyDescent="0.25">
      <c r="A188" t="str">
        <f>"13:53:28.523"</f>
        <v>13:53:28.523</v>
      </c>
      <c r="B188" t="s">
        <v>108</v>
      </c>
      <c r="C188" t="str">
        <f t="shared" si="7"/>
        <v>ffdfd3c0</v>
      </c>
      <c r="D188" t="s">
        <v>109</v>
      </c>
      <c r="E188">
        <v>4</v>
      </c>
      <c r="F188">
        <v>1004</v>
      </c>
      <c r="G188" t="s">
        <v>110</v>
      </c>
      <c r="J188" t="s">
        <v>111</v>
      </c>
      <c r="K188">
        <v>0</v>
      </c>
      <c r="L188">
        <v>3</v>
      </c>
      <c r="M188">
        <v>0</v>
      </c>
      <c r="N188">
        <v>2</v>
      </c>
      <c r="O188">
        <v>1</v>
      </c>
      <c r="P188">
        <v>0</v>
      </c>
      <c r="Q188">
        <v>0</v>
      </c>
      <c r="R188" t="s">
        <v>112</v>
      </c>
      <c r="S188" t="str">
        <f>"13:53:28.320"</f>
        <v>13:53:28.320</v>
      </c>
      <c r="T188" t="str">
        <f>"13:53:27.820"</f>
        <v>13:53:27.820</v>
      </c>
      <c r="U188" t="str">
        <f t="shared" si="6"/>
        <v>ad5732</v>
      </c>
      <c r="V188">
        <v>0</v>
      </c>
      <c r="W188">
        <v>0</v>
      </c>
      <c r="X188">
        <v>1</v>
      </c>
      <c r="Z188">
        <v>0</v>
      </c>
      <c r="AA188">
        <v>9</v>
      </c>
      <c r="AB188">
        <v>3</v>
      </c>
      <c r="AC188">
        <v>0</v>
      </c>
      <c r="AD188">
        <v>10</v>
      </c>
      <c r="AE188">
        <v>0</v>
      </c>
      <c r="AF188">
        <v>3</v>
      </c>
      <c r="AG188">
        <v>2</v>
      </c>
      <c r="AH188">
        <v>0</v>
      </c>
      <c r="AI188" t="s">
        <v>480</v>
      </c>
      <c r="AJ188">
        <v>39.178382999999997</v>
      </c>
      <c r="AK188" t="s">
        <v>481</v>
      </c>
      <c r="AL188">
        <v>-77.595061999999999</v>
      </c>
      <c r="AM188">
        <v>100</v>
      </c>
      <c r="AN188">
        <v>3400</v>
      </c>
      <c r="AO188" t="s">
        <v>115</v>
      </c>
      <c r="AP188">
        <v>130</v>
      </c>
      <c r="AQ188">
        <v>66</v>
      </c>
      <c r="AR188">
        <v>896</v>
      </c>
      <c r="AZ188">
        <v>3614</v>
      </c>
      <c r="BA188">
        <v>1</v>
      </c>
      <c r="BB188" t="str">
        <f t="shared" si="8"/>
        <v xml:space="preserve">N959MJ  </v>
      </c>
      <c r="BC188">
        <v>1</v>
      </c>
      <c r="BE188">
        <v>0</v>
      </c>
      <c r="BF188">
        <v>0</v>
      </c>
      <c r="BG188">
        <v>0</v>
      </c>
      <c r="BH188">
        <v>3625</v>
      </c>
      <c r="BI188">
        <v>225</v>
      </c>
      <c r="BJ188">
        <v>1</v>
      </c>
      <c r="BK188">
        <v>1</v>
      </c>
      <c r="BL188">
        <v>1</v>
      </c>
      <c r="BM188">
        <v>0</v>
      </c>
      <c r="BP188">
        <v>0</v>
      </c>
      <c r="BQ188">
        <v>0</v>
      </c>
      <c r="BX188" t="str">
        <f>"13:53:28.328"</f>
        <v>13:53:28.328</v>
      </c>
      <c r="BY188" t="str">
        <f>"324282066"</f>
        <v>324282066</v>
      </c>
      <c r="CL188">
        <v>3</v>
      </c>
      <c r="CM188">
        <v>2</v>
      </c>
      <c r="CN188">
        <v>0</v>
      </c>
      <c r="CO188">
        <v>2</v>
      </c>
      <c r="CP188">
        <v>0</v>
      </c>
      <c r="CQ188">
        <v>7</v>
      </c>
      <c r="CR188" t="s">
        <v>116</v>
      </c>
      <c r="CS188">
        <v>525</v>
      </c>
      <c r="CT188">
        <v>2</v>
      </c>
      <c r="CU188" t="s">
        <v>140</v>
      </c>
      <c r="CV188" t="s">
        <v>141</v>
      </c>
      <c r="CY188">
        <v>13855901</v>
      </c>
      <c r="CZ188" t="s">
        <v>119</v>
      </c>
    </row>
    <row r="189" spans="1:104" x14ac:dyDescent="0.25">
      <c r="A189" t="str">
        <f>"13:53:29.633"</f>
        <v>13:53:29.633</v>
      </c>
      <c r="B189" t="s">
        <v>108</v>
      </c>
      <c r="C189" t="str">
        <f t="shared" si="7"/>
        <v>ffdfd3c0</v>
      </c>
      <c r="D189" t="s">
        <v>109</v>
      </c>
      <c r="E189">
        <v>4</v>
      </c>
      <c r="F189">
        <v>1004</v>
      </c>
      <c r="G189" t="s">
        <v>110</v>
      </c>
      <c r="J189" t="s">
        <v>111</v>
      </c>
      <c r="K189">
        <v>0</v>
      </c>
      <c r="L189">
        <v>3</v>
      </c>
      <c r="M189">
        <v>0</v>
      </c>
      <c r="N189">
        <v>2</v>
      </c>
      <c r="O189">
        <v>1</v>
      </c>
      <c r="P189">
        <v>0</v>
      </c>
      <c r="Q189">
        <v>0</v>
      </c>
      <c r="R189" t="s">
        <v>112</v>
      </c>
      <c r="S189" t="str">
        <f>"13:53:29.422"</f>
        <v>13:53:29.422</v>
      </c>
      <c r="T189" t="str">
        <f>"13:53:28.922"</f>
        <v>13:53:28.922</v>
      </c>
      <c r="U189" t="str">
        <f t="shared" si="6"/>
        <v>ad5732</v>
      </c>
      <c r="V189">
        <v>0</v>
      </c>
      <c r="W189">
        <v>0</v>
      </c>
      <c r="X189">
        <v>1</v>
      </c>
      <c r="Z189">
        <v>0</v>
      </c>
      <c r="AA189">
        <v>9</v>
      </c>
      <c r="AB189">
        <v>3</v>
      </c>
      <c r="AC189">
        <v>0</v>
      </c>
      <c r="AD189">
        <v>10</v>
      </c>
      <c r="AE189">
        <v>0</v>
      </c>
      <c r="AF189">
        <v>3</v>
      </c>
      <c r="AG189">
        <v>2</v>
      </c>
      <c r="AH189">
        <v>0</v>
      </c>
      <c r="AI189" t="s">
        <v>482</v>
      </c>
      <c r="AJ189">
        <v>39.178683999999997</v>
      </c>
      <c r="AK189" t="s">
        <v>483</v>
      </c>
      <c r="AL189">
        <v>-77.594182000000004</v>
      </c>
      <c r="AM189">
        <v>100</v>
      </c>
      <c r="AN189">
        <v>3400</v>
      </c>
      <c r="AO189" t="s">
        <v>115</v>
      </c>
      <c r="AP189">
        <v>134</v>
      </c>
      <c r="AQ189">
        <v>57</v>
      </c>
      <c r="AR189">
        <v>960</v>
      </c>
      <c r="AZ189">
        <v>3614</v>
      </c>
      <c r="BA189">
        <v>1</v>
      </c>
      <c r="BB189" t="str">
        <f t="shared" si="8"/>
        <v xml:space="preserve">N959MJ  </v>
      </c>
      <c r="BC189">
        <v>1</v>
      </c>
      <c r="BE189">
        <v>0</v>
      </c>
      <c r="BF189">
        <v>0</v>
      </c>
      <c r="BG189">
        <v>0</v>
      </c>
      <c r="BH189">
        <v>3625</v>
      </c>
      <c r="BI189">
        <v>225</v>
      </c>
      <c r="BJ189">
        <v>1</v>
      </c>
      <c r="BK189">
        <v>1</v>
      </c>
      <c r="BL189">
        <v>1</v>
      </c>
      <c r="BM189">
        <v>0</v>
      </c>
      <c r="BP189">
        <v>0</v>
      </c>
      <c r="BQ189">
        <v>0</v>
      </c>
      <c r="BX189" t="str">
        <f>"13:53:29.422"</f>
        <v>13:53:29.422</v>
      </c>
      <c r="BY189" t="str">
        <f>"425303952"</f>
        <v>425303952</v>
      </c>
      <c r="CL189">
        <v>3</v>
      </c>
      <c r="CM189">
        <v>2</v>
      </c>
      <c r="CN189">
        <v>0</v>
      </c>
      <c r="CO189">
        <v>2</v>
      </c>
      <c r="CP189">
        <v>0</v>
      </c>
      <c r="CQ189">
        <v>7</v>
      </c>
      <c r="CR189" t="s">
        <v>116</v>
      </c>
      <c r="CS189">
        <v>525</v>
      </c>
      <c r="CT189">
        <v>2</v>
      </c>
      <c r="CU189" t="s">
        <v>140</v>
      </c>
      <c r="CV189" t="s">
        <v>141</v>
      </c>
      <c r="CY189">
        <v>13857539</v>
      </c>
      <c r="CZ189" t="s">
        <v>119</v>
      </c>
    </row>
    <row r="190" spans="1:104" x14ac:dyDescent="0.25">
      <c r="A190" t="str">
        <f>"13:53:30.648"</f>
        <v>13:53:30.648</v>
      </c>
      <c r="B190" t="s">
        <v>108</v>
      </c>
      <c r="C190" t="str">
        <f t="shared" si="7"/>
        <v>ffdfd3c0</v>
      </c>
      <c r="D190" t="s">
        <v>109</v>
      </c>
      <c r="E190">
        <v>4</v>
      </c>
      <c r="F190">
        <v>1004</v>
      </c>
      <c r="G190" t="s">
        <v>110</v>
      </c>
      <c r="J190" t="s">
        <v>111</v>
      </c>
      <c r="K190">
        <v>0</v>
      </c>
      <c r="L190">
        <v>3</v>
      </c>
      <c r="M190">
        <v>0</v>
      </c>
      <c r="N190">
        <v>2</v>
      </c>
      <c r="O190">
        <v>1</v>
      </c>
      <c r="P190">
        <v>0</v>
      </c>
      <c r="Q190">
        <v>0</v>
      </c>
      <c r="R190" t="s">
        <v>112</v>
      </c>
      <c r="S190" t="str">
        <f>"13:53:30.453"</f>
        <v>13:53:30.453</v>
      </c>
      <c r="T190" t="str">
        <f>"13:53:29.953"</f>
        <v>13:53:29.953</v>
      </c>
      <c r="U190" t="str">
        <f t="shared" si="6"/>
        <v>ad5732</v>
      </c>
      <c r="V190">
        <v>0</v>
      </c>
      <c r="W190">
        <v>0</v>
      </c>
      <c r="X190">
        <v>1</v>
      </c>
      <c r="Z190">
        <v>0</v>
      </c>
      <c r="AA190">
        <v>9</v>
      </c>
      <c r="AB190">
        <v>3</v>
      </c>
      <c r="AC190">
        <v>0</v>
      </c>
      <c r="AD190">
        <v>10</v>
      </c>
      <c r="AE190">
        <v>0</v>
      </c>
      <c r="AF190">
        <v>3</v>
      </c>
      <c r="AG190">
        <v>2</v>
      </c>
      <c r="AH190">
        <v>0</v>
      </c>
      <c r="AI190" t="s">
        <v>484</v>
      </c>
      <c r="AJ190">
        <v>39.178919999999998</v>
      </c>
      <c r="AK190" t="s">
        <v>485</v>
      </c>
      <c r="AL190">
        <v>-77.593389000000002</v>
      </c>
      <c r="AM190">
        <v>100</v>
      </c>
      <c r="AN190">
        <v>3400</v>
      </c>
      <c r="AO190" t="s">
        <v>115</v>
      </c>
      <c r="AP190">
        <v>136</v>
      </c>
      <c r="AQ190">
        <v>49</v>
      </c>
      <c r="AR190">
        <v>1024</v>
      </c>
      <c r="AZ190">
        <v>3614</v>
      </c>
      <c r="BA190">
        <v>1</v>
      </c>
      <c r="BB190" t="str">
        <f t="shared" si="8"/>
        <v xml:space="preserve">N959MJ  </v>
      </c>
      <c r="BC190">
        <v>1</v>
      </c>
      <c r="BE190">
        <v>0</v>
      </c>
      <c r="BF190">
        <v>0</v>
      </c>
      <c r="BG190">
        <v>0</v>
      </c>
      <c r="BH190">
        <v>3650</v>
      </c>
      <c r="BI190">
        <v>250</v>
      </c>
      <c r="BJ190">
        <v>1</v>
      </c>
      <c r="BK190">
        <v>1</v>
      </c>
      <c r="BL190">
        <v>1</v>
      </c>
      <c r="BM190">
        <v>0</v>
      </c>
      <c r="BP190">
        <v>0</v>
      </c>
      <c r="BQ190">
        <v>0</v>
      </c>
      <c r="BX190" t="str">
        <f>"13:53:30.453"</f>
        <v>13:53:30.453</v>
      </c>
      <c r="BY190" t="str">
        <f>"454357459"</f>
        <v>454357459</v>
      </c>
      <c r="CL190">
        <v>3</v>
      </c>
      <c r="CM190">
        <v>2</v>
      </c>
      <c r="CN190">
        <v>0</v>
      </c>
      <c r="CO190">
        <v>2</v>
      </c>
      <c r="CP190">
        <v>0</v>
      </c>
      <c r="CQ190">
        <v>2</v>
      </c>
      <c r="CR190" t="s">
        <v>116</v>
      </c>
      <c r="CS190">
        <v>150</v>
      </c>
      <c r="CT190">
        <v>0</v>
      </c>
      <c r="CU190" t="s">
        <v>252</v>
      </c>
      <c r="CV190" t="s">
        <v>253</v>
      </c>
      <c r="CY190">
        <v>5677728</v>
      </c>
      <c r="CZ190" t="s">
        <v>119</v>
      </c>
    </row>
    <row r="191" spans="1:104" x14ac:dyDescent="0.25">
      <c r="A191" t="str">
        <f>"13:53:31.656"</f>
        <v>13:53:31.656</v>
      </c>
      <c r="B191" t="s">
        <v>108</v>
      </c>
      <c r="C191" t="str">
        <f t="shared" si="7"/>
        <v>ffdfd3c0</v>
      </c>
      <c r="D191" t="s">
        <v>109</v>
      </c>
      <c r="E191">
        <v>4</v>
      </c>
      <c r="F191">
        <v>1004</v>
      </c>
      <c r="G191" t="s">
        <v>110</v>
      </c>
      <c r="J191" t="s">
        <v>111</v>
      </c>
      <c r="K191">
        <v>0</v>
      </c>
      <c r="L191">
        <v>3</v>
      </c>
      <c r="M191">
        <v>0</v>
      </c>
      <c r="N191">
        <v>2</v>
      </c>
      <c r="O191">
        <v>1</v>
      </c>
      <c r="P191">
        <v>0</v>
      </c>
      <c r="Q191">
        <v>0</v>
      </c>
      <c r="R191" t="s">
        <v>112</v>
      </c>
      <c r="S191" t="str">
        <f>"13:53:31.469"</f>
        <v>13:53:31.469</v>
      </c>
      <c r="T191" t="str">
        <f>"13:53:31.070"</f>
        <v>13:53:31.070</v>
      </c>
      <c r="U191" t="str">
        <f t="shared" si="6"/>
        <v>ad5732</v>
      </c>
      <c r="V191">
        <v>0</v>
      </c>
      <c r="W191">
        <v>0</v>
      </c>
      <c r="X191">
        <v>1</v>
      </c>
      <c r="Z191">
        <v>0</v>
      </c>
      <c r="AA191">
        <v>9</v>
      </c>
      <c r="AB191">
        <v>3</v>
      </c>
      <c r="AC191">
        <v>0</v>
      </c>
      <c r="AD191">
        <v>10</v>
      </c>
      <c r="AE191">
        <v>0</v>
      </c>
      <c r="AF191">
        <v>3</v>
      </c>
      <c r="AG191">
        <v>2</v>
      </c>
      <c r="AH191">
        <v>0</v>
      </c>
      <c r="AI191" t="s">
        <v>486</v>
      </c>
      <c r="AJ191">
        <v>39.179113000000001</v>
      </c>
      <c r="AK191" t="s">
        <v>487</v>
      </c>
      <c r="AL191">
        <v>-77.592444</v>
      </c>
      <c r="AM191">
        <v>100</v>
      </c>
      <c r="AN191">
        <v>3500</v>
      </c>
      <c r="AO191" t="s">
        <v>115</v>
      </c>
      <c r="AP191">
        <v>139</v>
      </c>
      <c r="AQ191">
        <v>40</v>
      </c>
      <c r="AR191">
        <v>1088</v>
      </c>
      <c r="AZ191">
        <v>3614</v>
      </c>
      <c r="BA191">
        <v>1</v>
      </c>
      <c r="BB191" t="str">
        <f t="shared" si="8"/>
        <v xml:space="preserve">N959MJ  </v>
      </c>
      <c r="BC191">
        <v>1</v>
      </c>
      <c r="BE191">
        <v>0</v>
      </c>
      <c r="BF191">
        <v>0</v>
      </c>
      <c r="BG191">
        <v>0</v>
      </c>
      <c r="BH191">
        <v>3675</v>
      </c>
      <c r="BI191">
        <v>175</v>
      </c>
      <c r="BJ191">
        <v>1</v>
      </c>
      <c r="BK191">
        <v>1</v>
      </c>
      <c r="BL191">
        <v>1</v>
      </c>
      <c r="BM191">
        <v>0</v>
      </c>
      <c r="BP191">
        <v>0</v>
      </c>
      <c r="BQ191">
        <v>0</v>
      </c>
      <c r="BX191" t="str">
        <f>"13:53:31.477"</f>
        <v>13:53:31.477</v>
      </c>
      <c r="BY191" t="str">
        <f>"473335718"</f>
        <v>473335718</v>
      </c>
      <c r="CL191">
        <v>3</v>
      </c>
      <c r="CM191">
        <v>2</v>
      </c>
      <c r="CN191">
        <v>0</v>
      </c>
      <c r="CO191">
        <v>2</v>
      </c>
      <c r="CP191">
        <v>0</v>
      </c>
      <c r="CQ191">
        <v>7</v>
      </c>
      <c r="CR191" t="s">
        <v>116</v>
      </c>
      <c r="CS191">
        <v>525</v>
      </c>
      <c r="CT191">
        <v>2</v>
      </c>
      <c r="CU191" t="s">
        <v>140</v>
      </c>
      <c r="CV191" t="s">
        <v>141</v>
      </c>
      <c r="CY191">
        <v>13860545</v>
      </c>
      <c r="CZ191" t="s">
        <v>119</v>
      </c>
    </row>
    <row r="192" spans="1:104" x14ac:dyDescent="0.25">
      <c r="A192" t="str">
        <f>"13:53:33.172"</f>
        <v>13:53:33.172</v>
      </c>
      <c r="B192" t="s">
        <v>108</v>
      </c>
      <c r="C192" t="str">
        <f t="shared" si="7"/>
        <v>ffdfd3c0</v>
      </c>
      <c r="D192" t="s">
        <v>109</v>
      </c>
      <c r="E192">
        <v>4</v>
      </c>
      <c r="F192">
        <v>1004</v>
      </c>
      <c r="G192" t="s">
        <v>110</v>
      </c>
      <c r="J192" t="s">
        <v>111</v>
      </c>
      <c r="K192">
        <v>0</v>
      </c>
      <c r="L192">
        <v>3</v>
      </c>
      <c r="M192">
        <v>0</v>
      </c>
      <c r="N192">
        <v>2</v>
      </c>
      <c r="O192">
        <v>1</v>
      </c>
      <c r="P192">
        <v>0</v>
      </c>
      <c r="Q192">
        <v>0</v>
      </c>
      <c r="R192" t="s">
        <v>112</v>
      </c>
      <c r="S192" t="str">
        <f>"13:53:32.969"</f>
        <v>13:53:32.969</v>
      </c>
      <c r="T192" t="str">
        <f>"13:53:32.570"</f>
        <v>13:53:32.570</v>
      </c>
      <c r="U192" t="str">
        <f t="shared" si="6"/>
        <v>ad5732</v>
      </c>
      <c r="V192">
        <v>0</v>
      </c>
      <c r="W192">
        <v>0</v>
      </c>
      <c r="X192">
        <v>1</v>
      </c>
      <c r="Z192">
        <v>0</v>
      </c>
      <c r="AA192">
        <v>9</v>
      </c>
      <c r="AB192">
        <v>3</v>
      </c>
      <c r="AC192">
        <v>0</v>
      </c>
      <c r="AD192">
        <v>10</v>
      </c>
      <c r="AE192">
        <v>0</v>
      </c>
      <c r="AF192">
        <v>3</v>
      </c>
      <c r="AG192">
        <v>2</v>
      </c>
      <c r="AH192">
        <v>0</v>
      </c>
      <c r="AI192" t="s">
        <v>488</v>
      </c>
      <c r="AJ192">
        <v>39.179285</v>
      </c>
      <c r="AK192" t="s">
        <v>489</v>
      </c>
      <c r="AL192">
        <v>-77.591177999999999</v>
      </c>
      <c r="AM192">
        <v>100</v>
      </c>
      <c r="AN192">
        <v>3500</v>
      </c>
      <c r="AO192" t="s">
        <v>115</v>
      </c>
      <c r="AP192">
        <v>140</v>
      </c>
      <c r="AQ192">
        <v>29</v>
      </c>
      <c r="AR192">
        <v>1216</v>
      </c>
      <c r="AZ192">
        <v>3614</v>
      </c>
      <c r="BA192">
        <v>1</v>
      </c>
      <c r="BB192" t="str">
        <f t="shared" si="8"/>
        <v xml:space="preserve">N959MJ  </v>
      </c>
      <c r="BC192">
        <v>1</v>
      </c>
      <c r="BE192">
        <v>0</v>
      </c>
      <c r="BF192">
        <v>0</v>
      </c>
      <c r="BG192">
        <v>0</v>
      </c>
      <c r="BH192">
        <v>3700</v>
      </c>
      <c r="BI192">
        <v>200</v>
      </c>
      <c r="BJ192">
        <v>1</v>
      </c>
      <c r="BK192">
        <v>1</v>
      </c>
      <c r="BL192">
        <v>1</v>
      </c>
      <c r="BM192">
        <v>0</v>
      </c>
      <c r="BP192">
        <v>0</v>
      </c>
      <c r="BQ192">
        <v>0</v>
      </c>
      <c r="BX192" t="str">
        <f>"13:53:32.977"</f>
        <v>13:53:32.977</v>
      </c>
      <c r="BY192" t="str">
        <f>"975771723"</f>
        <v>975771723</v>
      </c>
      <c r="CL192">
        <v>3</v>
      </c>
      <c r="CM192">
        <v>2</v>
      </c>
      <c r="CN192">
        <v>0</v>
      </c>
      <c r="CO192">
        <v>2</v>
      </c>
      <c r="CP192">
        <v>0</v>
      </c>
      <c r="CQ192">
        <v>6</v>
      </c>
      <c r="CR192" t="s">
        <v>116</v>
      </c>
      <c r="CS192">
        <v>525</v>
      </c>
      <c r="CT192">
        <v>3</v>
      </c>
      <c r="CU192" t="s">
        <v>140</v>
      </c>
      <c r="CV192" t="s">
        <v>141</v>
      </c>
      <c r="CY192">
        <v>262093</v>
      </c>
      <c r="CZ192" t="s">
        <v>119</v>
      </c>
    </row>
    <row r="193" spans="1:104" x14ac:dyDescent="0.25">
      <c r="A193" t="str">
        <f>"13:53:34.180"</f>
        <v>13:53:34.180</v>
      </c>
      <c r="B193" t="s">
        <v>108</v>
      </c>
      <c r="C193" t="str">
        <f t="shared" si="7"/>
        <v>ffdfd3c0</v>
      </c>
      <c r="D193" t="s">
        <v>109</v>
      </c>
      <c r="E193">
        <v>4</v>
      </c>
      <c r="F193">
        <v>1004</v>
      </c>
      <c r="G193" t="s">
        <v>110</v>
      </c>
      <c r="J193" t="s">
        <v>111</v>
      </c>
      <c r="K193">
        <v>0</v>
      </c>
      <c r="L193">
        <v>3</v>
      </c>
      <c r="M193">
        <v>0</v>
      </c>
      <c r="N193">
        <v>2</v>
      </c>
      <c r="O193">
        <v>1</v>
      </c>
      <c r="P193">
        <v>0</v>
      </c>
      <c r="Q193">
        <v>0</v>
      </c>
      <c r="R193" t="s">
        <v>112</v>
      </c>
      <c r="S193" t="str">
        <f>"13:53:33.945"</f>
        <v>13:53:33.945</v>
      </c>
      <c r="T193" t="str">
        <f>"13:53:33.445"</f>
        <v>13:53:33.445</v>
      </c>
      <c r="U193" t="str">
        <f t="shared" si="6"/>
        <v>ad5732</v>
      </c>
      <c r="V193">
        <v>0</v>
      </c>
      <c r="W193">
        <v>0</v>
      </c>
      <c r="X193">
        <v>1</v>
      </c>
      <c r="Z193">
        <v>0</v>
      </c>
      <c r="AA193">
        <v>9</v>
      </c>
      <c r="AB193">
        <v>3</v>
      </c>
      <c r="AC193">
        <v>0</v>
      </c>
      <c r="AD193">
        <v>10</v>
      </c>
      <c r="AE193">
        <v>0</v>
      </c>
      <c r="AF193">
        <v>3</v>
      </c>
      <c r="AG193">
        <v>2</v>
      </c>
      <c r="AH193">
        <v>0</v>
      </c>
      <c r="AI193" t="s">
        <v>490</v>
      </c>
      <c r="AJ193">
        <v>39.179392</v>
      </c>
      <c r="AK193" t="s">
        <v>491</v>
      </c>
      <c r="AL193">
        <v>-77.590469999999996</v>
      </c>
      <c r="AM193">
        <v>100</v>
      </c>
      <c r="AN193">
        <v>3500</v>
      </c>
      <c r="AO193" t="s">
        <v>115</v>
      </c>
      <c r="AP193">
        <v>140</v>
      </c>
      <c r="AQ193">
        <v>22</v>
      </c>
      <c r="AR193">
        <v>1152</v>
      </c>
      <c r="AZ193">
        <v>3614</v>
      </c>
      <c r="BA193">
        <v>1</v>
      </c>
      <c r="BB193" t="str">
        <f t="shared" si="8"/>
        <v xml:space="preserve">N959MJ  </v>
      </c>
      <c r="BC193">
        <v>1</v>
      </c>
      <c r="BE193">
        <v>0</v>
      </c>
      <c r="BF193">
        <v>0</v>
      </c>
      <c r="BG193">
        <v>0</v>
      </c>
      <c r="BH193">
        <v>3725</v>
      </c>
      <c r="BI193">
        <v>225</v>
      </c>
      <c r="BJ193">
        <v>1</v>
      </c>
      <c r="BK193">
        <v>1</v>
      </c>
      <c r="BL193">
        <v>1</v>
      </c>
      <c r="BM193">
        <v>0</v>
      </c>
      <c r="BP193">
        <v>0</v>
      </c>
      <c r="BQ193">
        <v>0</v>
      </c>
      <c r="BX193" t="str">
        <f>"13:53:33.953"</f>
        <v>13:53:33.953</v>
      </c>
      <c r="BY193" t="str">
        <f>"952295675"</f>
        <v>952295675</v>
      </c>
      <c r="CL193">
        <v>3</v>
      </c>
      <c r="CM193">
        <v>2</v>
      </c>
      <c r="CN193">
        <v>0</v>
      </c>
      <c r="CO193">
        <v>2</v>
      </c>
      <c r="CP193">
        <v>0</v>
      </c>
      <c r="CQ193">
        <v>6</v>
      </c>
      <c r="CR193" t="s">
        <v>116</v>
      </c>
      <c r="CS193">
        <v>147</v>
      </c>
      <c r="CT193">
        <v>3</v>
      </c>
      <c r="CU193" t="s">
        <v>117</v>
      </c>
      <c r="CV193" t="s">
        <v>118</v>
      </c>
      <c r="CY193">
        <v>16095451</v>
      </c>
      <c r="CZ193" t="s">
        <v>119</v>
      </c>
    </row>
    <row r="194" spans="1:104" x14ac:dyDescent="0.25">
      <c r="A194" t="str">
        <f>"13:53:35.086"</f>
        <v>13:53:35.086</v>
      </c>
      <c r="B194" t="s">
        <v>108</v>
      </c>
      <c r="C194" t="str">
        <f t="shared" si="7"/>
        <v>ffdfd3c0</v>
      </c>
      <c r="D194" t="s">
        <v>109</v>
      </c>
      <c r="E194">
        <v>4</v>
      </c>
      <c r="F194">
        <v>1004</v>
      </c>
      <c r="G194" t="s">
        <v>110</v>
      </c>
      <c r="J194" t="s">
        <v>111</v>
      </c>
      <c r="K194">
        <v>0</v>
      </c>
      <c r="L194">
        <v>3</v>
      </c>
      <c r="M194">
        <v>0</v>
      </c>
      <c r="N194">
        <v>2</v>
      </c>
      <c r="O194">
        <v>1</v>
      </c>
      <c r="P194">
        <v>0</v>
      </c>
      <c r="Q194">
        <v>0</v>
      </c>
      <c r="R194" t="s">
        <v>112</v>
      </c>
      <c r="S194" t="str">
        <f>"13:53:34.883"</f>
        <v>13:53:34.883</v>
      </c>
      <c r="T194" t="str">
        <f>"13:53:34.484"</f>
        <v>13:53:34.484</v>
      </c>
      <c r="U194" t="str">
        <f t="shared" ref="U194:U257" si="9">"ad5732"</f>
        <v>ad5732</v>
      </c>
      <c r="V194">
        <v>0</v>
      </c>
      <c r="W194">
        <v>0</v>
      </c>
      <c r="X194">
        <v>1</v>
      </c>
      <c r="Z194">
        <v>0</v>
      </c>
      <c r="AA194">
        <v>9</v>
      </c>
      <c r="AB194">
        <v>3</v>
      </c>
      <c r="AC194">
        <v>0</v>
      </c>
      <c r="AD194">
        <v>10</v>
      </c>
      <c r="AE194">
        <v>0</v>
      </c>
      <c r="AF194">
        <v>3</v>
      </c>
      <c r="AG194">
        <v>2</v>
      </c>
      <c r="AH194">
        <v>0</v>
      </c>
      <c r="AI194" t="s">
        <v>492</v>
      </c>
      <c r="AJ194">
        <v>39.179434999999998</v>
      </c>
      <c r="AK194" t="s">
        <v>493</v>
      </c>
      <c r="AL194">
        <v>-77.589633000000006</v>
      </c>
      <c r="AM194">
        <v>100</v>
      </c>
      <c r="AN194">
        <v>3500</v>
      </c>
      <c r="AO194" t="s">
        <v>115</v>
      </c>
      <c r="AP194">
        <v>141</v>
      </c>
      <c r="AQ194">
        <v>16</v>
      </c>
      <c r="AR194">
        <v>1152</v>
      </c>
      <c r="AZ194">
        <v>3614</v>
      </c>
      <c r="BA194">
        <v>1</v>
      </c>
      <c r="BB194" t="str">
        <f t="shared" si="8"/>
        <v xml:space="preserve">N959MJ  </v>
      </c>
      <c r="BC194">
        <v>1</v>
      </c>
      <c r="BE194">
        <v>0</v>
      </c>
      <c r="BF194">
        <v>0</v>
      </c>
      <c r="BG194">
        <v>0</v>
      </c>
      <c r="BH194">
        <v>3750</v>
      </c>
      <c r="BI194">
        <v>250</v>
      </c>
      <c r="BJ194">
        <v>1</v>
      </c>
      <c r="BK194">
        <v>1</v>
      </c>
      <c r="BL194">
        <v>1</v>
      </c>
      <c r="BM194">
        <v>0</v>
      </c>
      <c r="BP194">
        <v>0</v>
      </c>
      <c r="BQ194">
        <v>0</v>
      </c>
      <c r="BX194" t="str">
        <f>"13:53:34.883"</f>
        <v>13:53:34.883</v>
      </c>
      <c r="BY194" t="str">
        <f>"882898922"</f>
        <v>882898922</v>
      </c>
      <c r="CL194">
        <v>3</v>
      </c>
      <c r="CM194">
        <v>2</v>
      </c>
      <c r="CN194">
        <v>0</v>
      </c>
      <c r="CO194">
        <v>2</v>
      </c>
      <c r="CP194">
        <v>0</v>
      </c>
      <c r="CQ194">
        <v>7</v>
      </c>
      <c r="CR194" t="s">
        <v>116</v>
      </c>
      <c r="CS194">
        <v>525</v>
      </c>
      <c r="CT194">
        <v>2</v>
      </c>
      <c r="CU194" t="s">
        <v>140</v>
      </c>
      <c r="CV194" t="s">
        <v>141</v>
      </c>
      <c r="CY194">
        <v>13865625</v>
      </c>
      <c r="CZ194" t="s">
        <v>119</v>
      </c>
    </row>
    <row r="195" spans="1:104" x14ac:dyDescent="0.25">
      <c r="A195" t="str">
        <f>"13:53:36.250"</f>
        <v>13:53:36.250</v>
      </c>
      <c r="B195" t="s">
        <v>108</v>
      </c>
      <c r="C195" t="str">
        <f t="shared" si="7"/>
        <v>ffdfd3c0</v>
      </c>
      <c r="D195" t="s">
        <v>109</v>
      </c>
      <c r="E195">
        <v>4</v>
      </c>
      <c r="F195">
        <v>1004</v>
      </c>
      <c r="G195" t="s">
        <v>110</v>
      </c>
      <c r="J195" t="s">
        <v>111</v>
      </c>
      <c r="K195">
        <v>0</v>
      </c>
      <c r="L195">
        <v>3</v>
      </c>
      <c r="M195">
        <v>0</v>
      </c>
      <c r="N195">
        <v>2</v>
      </c>
      <c r="O195">
        <v>1</v>
      </c>
      <c r="P195">
        <v>0</v>
      </c>
      <c r="Q195">
        <v>0</v>
      </c>
      <c r="R195" t="s">
        <v>112</v>
      </c>
      <c r="S195" t="str">
        <f>"13:53:36.047"</f>
        <v>13:53:36.047</v>
      </c>
      <c r="T195" t="str">
        <f>"13:53:34.945"</f>
        <v>13:53:34.945</v>
      </c>
      <c r="U195" t="str">
        <f t="shared" si="9"/>
        <v>ad5732</v>
      </c>
      <c r="V195">
        <v>0</v>
      </c>
      <c r="W195">
        <v>0</v>
      </c>
      <c r="X195">
        <v>1</v>
      </c>
      <c r="Z195">
        <v>0</v>
      </c>
      <c r="AA195">
        <v>9</v>
      </c>
      <c r="AB195">
        <v>3</v>
      </c>
      <c r="AC195">
        <v>0</v>
      </c>
      <c r="AD195">
        <v>10</v>
      </c>
      <c r="AE195">
        <v>0</v>
      </c>
      <c r="AF195">
        <v>3</v>
      </c>
      <c r="AG195">
        <v>2</v>
      </c>
      <c r="AH195">
        <v>0</v>
      </c>
      <c r="AI195" t="s">
        <v>494</v>
      </c>
      <c r="AJ195">
        <v>39.179478000000003</v>
      </c>
      <c r="AK195" t="s">
        <v>495</v>
      </c>
      <c r="AL195">
        <v>-77.588689000000002</v>
      </c>
      <c r="AM195">
        <v>100</v>
      </c>
      <c r="AN195">
        <v>3500</v>
      </c>
      <c r="AO195" t="s">
        <v>115</v>
      </c>
      <c r="AP195">
        <v>141</v>
      </c>
      <c r="AQ195">
        <v>13</v>
      </c>
      <c r="AR195">
        <v>1152</v>
      </c>
      <c r="AZ195">
        <v>3614</v>
      </c>
      <c r="BA195">
        <v>1</v>
      </c>
      <c r="BB195" t="str">
        <f t="shared" si="8"/>
        <v xml:space="preserve">N959MJ  </v>
      </c>
      <c r="BC195">
        <v>1</v>
      </c>
      <c r="BE195">
        <v>0</v>
      </c>
      <c r="BF195">
        <v>0</v>
      </c>
      <c r="BG195">
        <v>0</v>
      </c>
      <c r="BH195">
        <v>3750</v>
      </c>
      <c r="BI195">
        <v>250</v>
      </c>
      <c r="BJ195">
        <v>1</v>
      </c>
      <c r="BK195">
        <v>1</v>
      </c>
      <c r="BL195">
        <v>1</v>
      </c>
      <c r="BM195">
        <v>0</v>
      </c>
      <c r="BP195">
        <v>0</v>
      </c>
      <c r="BQ195">
        <v>0</v>
      </c>
      <c r="BX195" t="str">
        <f>"13:53:36.047"</f>
        <v>13:53:36.047</v>
      </c>
      <c r="BY195" t="str">
        <f>"049457852"</f>
        <v>049457852</v>
      </c>
      <c r="CL195">
        <v>3</v>
      </c>
      <c r="CM195">
        <v>2</v>
      </c>
      <c r="CN195">
        <v>0</v>
      </c>
      <c r="CO195">
        <v>2</v>
      </c>
      <c r="CP195">
        <v>0</v>
      </c>
      <c r="CQ195">
        <v>7</v>
      </c>
      <c r="CR195" t="s">
        <v>116</v>
      </c>
      <c r="CS195">
        <v>525</v>
      </c>
      <c r="CT195">
        <v>2</v>
      </c>
      <c r="CU195" t="s">
        <v>140</v>
      </c>
      <c r="CV195" t="s">
        <v>141</v>
      </c>
      <c r="CY195">
        <v>13867278</v>
      </c>
      <c r="CZ195" t="s">
        <v>119</v>
      </c>
    </row>
    <row r="196" spans="1:104" x14ac:dyDescent="0.25">
      <c r="A196" t="str">
        <f>"13:53:37.211"</f>
        <v>13:53:37.211</v>
      </c>
      <c r="B196" t="s">
        <v>108</v>
      </c>
      <c r="C196" t="str">
        <f t="shared" si="7"/>
        <v>ffdfd3c0</v>
      </c>
      <c r="D196" t="s">
        <v>109</v>
      </c>
      <c r="E196">
        <v>4</v>
      </c>
      <c r="F196">
        <v>1004</v>
      </c>
      <c r="G196" t="s">
        <v>110</v>
      </c>
      <c r="J196" t="s">
        <v>111</v>
      </c>
      <c r="K196">
        <v>0</v>
      </c>
      <c r="L196">
        <v>3</v>
      </c>
      <c r="M196">
        <v>0</v>
      </c>
      <c r="N196">
        <v>2</v>
      </c>
      <c r="O196">
        <v>1</v>
      </c>
      <c r="P196">
        <v>0</v>
      </c>
      <c r="Q196">
        <v>0</v>
      </c>
      <c r="R196" t="s">
        <v>112</v>
      </c>
      <c r="S196" t="str">
        <f>"13:53:37.039"</f>
        <v>13:53:37.039</v>
      </c>
      <c r="T196" t="str">
        <f>"13:53:36.641"</f>
        <v>13:53:36.641</v>
      </c>
      <c r="U196" t="str">
        <f t="shared" si="9"/>
        <v>ad5732</v>
      </c>
      <c r="V196">
        <v>0</v>
      </c>
      <c r="W196">
        <v>0</v>
      </c>
      <c r="X196">
        <v>1</v>
      </c>
      <c r="Z196">
        <v>0</v>
      </c>
      <c r="AA196">
        <v>9</v>
      </c>
      <c r="AB196">
        <v>3</v>
      </c>
      <c r="AC196">
        <v>0</v>
      </c>
      <c r="AD196">
        <v>10</v>
      </c>
      <c r="AE196">
        <v>0</v>
      </c>
      <c r="AF196">
        <v>3</v>
      </c>
      <c r="AG196">
        <v>2</v>
      </c>
      <c r="AH196">
        <v>0</v>
      </c>
      <c r="AI196" t="s">
        <v>496</v>
      </c>
      <c r="AJ196">
        <v>39.179521000000001</v>
      </c>
      <c r="AK196" t="s">
        <v>497</v>
      </c>
      <c r="AL196">
        <v>-77.587895000000003</v>
      </c>
      <c r="AM196">
        <v>100</v>
      </c>
      <c r="AN196">
        <v>3500</v>
      </c>
      <c r="AO196" t="s">
        <v>115</v>
      </c>
      <c r="AP196">
        <v>140</v>
      </c>
      <c r="AQ196">
        <v>3</v>
      </c>
      <c r="AR196">
        <v>1152</v>
      </c>
      <c r="AZ196">
        <v>3614</v>
      </c>
      <c r="BA196">
        <v>1</v>
      </c>
      <c r="BB196" t="str">
        <f t="shared" si="8"/>
        <v xml:space="preserve">N959MJ  </v>
      </c>
      <c r="BC196">
        <v>1</v>
      </c>
      <c r="BE196">
        <v>0</v>
      </c>
      <c r="BF196">
        <v>0</v>
      </c>
      <c r="BG196">
        <v>0</v>
      </c>
      <c r="BH196">
        <v>3775</v>
      </c>
      <c r="BI196">
        <v>275</v>
      </c>
      <c r="BJ196">
        <v>1</v>
      </c>
      <c r="BK196">
        <v>1</v>
      </c>
      <c r="BL196">
        <v>1</v>
      </c>
      <c r="BM196">
        <v>0</v>
      </c>
      <c r="BP196">
        <v>0</v>
      </c>
      <c r="BQ196">
        <v>0</v>
      </c>
      <c r="BX196" t="str">
        <f>"13:53:37.039"</f>
        <v>13:53:37.039</v>
      </c>
      <c r="BY196" t="str">
        <f>"042343853"</f>
        <v>042343853</v>
      </c>
      <c r="CL196">
        <v>3</v>
      </c>
      <c r="CM196">
        <v>2</v>
      </c>
      <c r="CN196">
        <v>0</v>
      </c>
      <c r="CO196">
        <v>2</v>
      </c>
      <c r="CP196">
        <v>0</v>
      </c>
      <c r="CQ196">
        <v>7</v>
      </c>
      <c r="CR196" t="s">
        <v>116</v>
      </c>
      <c r="CS196">
        <v>525</v>
      </c>
      <c r="CT196">
        <v>2</v>
      </c>
      <c r="CU196" t="s">
        <v>140</v>
      </c>
      <c r="CV196" t="s">
        <v>141</v>
      </c>
      <c r="CY196">
        <v>13868741</v>
      </c>
      <c r="CZ196" t="s">
        <v>119</v>
      </c>
    </row>
    <row r="197" spans="1:104" x14ac:dyDescent="0.25">
      <c r="A197" t="str">
        <f>"13:53:38.219"</f>
        <v>13:53:38.219</v>
      </c>
      <c r="B197" t="s">
        <v>108</v>
      </c>
      <c r="C197" t="str">
        <f t="shared" si="7"/>
        <v>ffdfd3c0</v>
      </c>
      <c r="D197" t="s">
        <v>109</v>
      </c>
      <c r="E197">
        <v>4</v>
      </c>
      <c r="F197">
        <v>1004</v>
      </c>
      <c r="G197" t="s">
        <v>110</v>
      </c>
      <c r="J197" t="s">
        <v>111</v>
      </c>
      <c r="K197">
        <v>0</v>
      </c>
      <c r="L197">
        <v>3</v>
      </c>
      <c r="M197">
        <v>0</v>
      </c>
      <c r="N197">
        <v>2</v>
      </c>
      <c r="O197">
        <v>1</v>
      </c>
      <c r="P197">
        <v>0</v>
      </c>
      <c r="Q197">
        <v>0</v>
      </c>
      <c r="R197" t="s">
        <v>112</v>
      </c>
      <c r="S197" t="str">
        <f>"13:53:38.008"</f>
        <v>13:53:38.008</v>
      </c>
      <c r="T197" t="str">
        <f>"13:53:37.508"</f>
        <v>13:53:37.508</v>
      </c>
      <c r="U197" t="str">
        <f t="shared" si="9"/>
        <v>ad5732</v>
      </c>
      <c r="V197">
        <v>0</v>
      </c>
      <c r="W197">
        <v>0</v>
      </c>
      <c r="X197">
        <v>1</v>
      </c>
      <c r="Z197">
        <v>0</v>
      </c>
      <c r="AA197">
        <v>9</v>
      </c>
      <c r="AB197">
        <v>3</v>
      </c>
      <c r="AC197">
        <v>0</v>
      </c>
      <c r="AD197">
        <v>10</v>
      </c>
      <c r="AE197">
        <v>0</v>
      </c>
      <c r="AF197">
        <v>3</v>
      </c>
      <c r="AG197">
        <v>2</v>
      </c>
      <c r="AH197">
        <v>0</v>
      </c>
      <c r="AI197" t="s">
        <v>494</v>
      </c>
      <c r="AJ197">
        <v>39.179478000000003</v>
      </c>
      <c r="AK197" t="s">
        <v>498</v>
      </c>
      <c r="AL197">
        <v>-77.587036999999995</v>
      </c>
      <c r="AM197">
        <v>100</v>
      </c>
      <c r="AN197">
        <v>3600</v>
      </c>
      <c r="AO197" t="s">
        <v>115</v>
      </c>
      <c r="AP197">
        <v>139</v>
      </c>
      <c r="AQ197">
        <v>-2</v>
      </c>
      <c r="AR197">
        <v>1088</v>
      </c>
      <c r="AZ197">
        <v>3614</v>
      </c>
      <c r="BA197">
        <v>1</v>
      </c>
      <c r="BB197" t="str">
        <f t="shared" si="8"/>
        <v xml:space="preserve">N959MJ  </v>
      </c>
      <c r="BC197">
        <v>1</v>
      </c>
      <c r="BE197">
        <v>0</v>
      </c>
      <c r="BF197">
        <v>0</v>
      </c>
      <c r="BG197">
        <v>0</v>
      </c>
      <c r="BH197">
        <v>3800</v>
      </c>
      <c r="BI197">
        <v>200</v>
      </c>
      <c r="BJ197">
        <v>1</v>
      </c>
      <c r="BK197">
        <v>1</v>
      </c>
      <c r="BL197">
        <v>1</v>
      </c>
      <c r="BM197">
        <v>0</v>
      </c>
      <c r="BP197">
        <v>0</v>
      </c>
      <c r="BQ197">
        <v>0</v>
      </c>
      <c r="BX197" t="str">
        <f>"13:53:38.016"</f>
        <v>13:53:38.016</v>
      </c>
      <c r="BY197" t="str">
        <f>"012313719"</f>
        <v>012313719</v>
      </c>
      <c r="CL197">
        <v>3</v>
      </c>
      <c r="CM197">
        <v>2</v>
      </c>
      <c r="CN197">
        <v>0</v>
      </c>
      <c r="CO197">
        <v>2</v>
      </c>
      <c r="CP197">
        <v>0</v>
      </c>
      <c r="CQ197">
        <v>7</v>
      </c>
      <c r="CR197" t="s">
        <v>116</v>
      </c>
      <c r="CS197">
        <v>147</v>
      </c>
      <c r="CT197">
        <v>3</v>
      </c>
      <c r="CU197" t="s">
        <v>117</v>
      </c>
      <c r="CV197" t="s">
        <v>118</v>
      </c>
      <c r="CY197">
        <v>16101949</v>
      </c>
      <c r="CZ197" t="s">
        <v>119</v>
      </c>
    </row>
    <row r="198" spans="1:104" x14ac:dyDescent="0.25">
      <c r="A198" t="str">
        <f>"13:53:39.281"</f>
        <v>13:53:39.281</v>
      </c>
      <c r="B198" t="s">
        <v>108</v>
      </c>
      <c r="C198" t="str">
        <f t="shared" si="7"/>
        <v>ffdfd3c0</v>
      </c>
      <c r="D198" t="s">
        <v>109</v>
      </c>
      <c r="E198">
        <v>4</v>
      </c>
      <c r="F198">
        <v>1004</v>
      </c>
      <c r="G198" t="s">
        <v>110</v>
      </c>
      <c r="J198" t="s">
        <v>111</v>
      </c>
      <c r="K198">
        <v>0</v>
      </c>
      <c r="L198">
        <v>3</v>
      </c>
      <c r="M198">
        <v>0</v>
      </c>
      <c r="N198">
        <v>2</v>
      </c>
      <c r="O198">
        <v>1</v>
      </c>
      <c r="P198">
        <v>0</v>
      </c>
      <c r="Q198">
        <v>0</v>
      </c>
      <c r="R198" t="s">
        <v>112</v>
      </c>
      <c r="S198" t="str">
        <f>"13:53:39.078"</f>
        <v>13:53:39.078</v>
      </c>
      <c r="T198" t="str">
        <f>"13:53:38.578"</f>
        <v>13:53:38.578</v>
      </c>
      <c r="U198" t="str">
        <f t="shared" si="9"/>
        <v>ad5732</v>
      </c>
      <c r="V198">
        <v>0</v>
      </c>
      <c r="W198">
        <v>0</v>
      </c>
      <c r="X198">
        <v>1</v>
      </c>
      <c r="Z198">
        <v>0</v>
      </c>
      <c r="AA198">
        <v>9</v>
      </c>
      <c r="AB198">
        <v>3</v>
      </c>
      <c r="AC198">
        <v>0</v>
      </c>
      <c r="AD198">
        <v>10</v>
      </c>
      <c r="AE198">
        <v>0</v>
      </c>
      <c r="AF198">
        <v>3</v>
      </c>
      <c r="AG198">
        <v>2</v>
      </c>
      <c r="AH198">
        <v>0</v>
      </c>
      <c r="AI198" t="s">
        <v>492</v>
      </c>
      <c r="AJ198">
        <v>39.179434999999998</v>
      </c>
      <c r="AK198" t="s">
        <v>499</v>
      </c>
      <c r="AL198">
        <v>-77.586113999999995</v>
      </c>
      <c r="AM198">
        <v>100</v>
      </c>
      <c r="AN198">
        <v>3600</v>
      </c>
      <c r="AO198" t="s">
        <v>115</v>
      </c>
      <c r="AP198">
        <v>139</v>
      </c>
      <c r="AQ198">
        <v>-7</v>
      </c>
      <c r="AR198">
        <v>960</v>
      </c>
      <c r="AZ198">
        <v>3614</v>
      </c>
      <c r="BA198">
        <v>1</v>
      </c>
      <c r="BB198" t="str">
        <f t="shared" si="8"/>
        <v xml:space="preserve">N959MJ  </v>
      </c>
      <c r="BC198">
        <v>1</v>
      </c>
      <c r="BE198">
        <v>0</v>
      </c>
      <c r="BF198">
        <v>0</v>
      </c>
      <c r="BG198">
        <v>0</v>
      </c>
      <c r="BH198">
        <v>3800</v>
      </c>
      <c r="BI198">
        <v>200</v>
      </c>
      <c r="BJ198">
        <v>1</v>
      </c>
      <c r="BK198">
        <v>1</v>
      </c>
      <c r="BL198">
        <v>1</v>
      </c>
      <c r="BM198">
        <v>0</v>
      </c>
      <c r="BP198">
        <v>0</v>
      </c>
      <c r="BQ198">
        <v>0</v>
      </c>
      <c r="BX198" t="str">
        <f>"13:53:39.086"</f>
        <v>13:53:39.086</v>
      </c>
      <c r="BY198" t="str">
        <f>"083821881"</f>
        <v>083821881</v>
      </c>
      <c r="CL198">
        <v>3</v>
      </c>
      <c r="CM198">
        <v>2</v>
      </c>
      <c r="CN198">
        <v>0</v>
      </c>
      <c r="CO198">
        <v>2</v>
      </c>
      <c r="CP198">
        <v>0</v>
      </c>
      <c r="CQ198">
        <v>7</v>
      </c>
      <c r="CR198" t="s">
        <v>116</v>
      </c>
      <c r="CS198">
        <v>525</v>
      </c>
      <c r="CT198">
        <v>3</v>
      </c>
      <c r="CU198" t="s">
        <v>140</v>
      </c>
      <c r="CV198" t="s">
        <v>141</v>
      </c>
      <c r="CY198">
        <v>270096</v>
      </c>
      <c r="CZ198" t="s">
        <v>119</v>
      </c>
    </row>
    <row r="199" spans="1:104" x14ac:dyDescent="0.25">
      <c r="A199" t="str">
        <f>"13:53:40.336"</f>
        <v>13:53:40.336</v>
      </c>
      <c r="B199" t="s">
        <v>108</v>
      </c>
      <c r="C199" t="str">
        <f t="shared" si="7"/>
        <v>ffdfd3c0</v>
      </c>
      <c r="D199" t="s">
        <v>109</v>
      </c>
      <c r="E199">
        <v>4</v>
      </c>
      <c r="F199">
        <v>1004</v>
      </c>
      <c r="G199" t="s">
        <v>110</v>
      </c>
      <c r="J199" t="s">
        <v>111</v>
      </c>
      <c r="K199">
        <v>0</v>
      </c>
      <c r="L199">
        <v>3</v>
      </c>
      <c r="M199">
        <v>0</v>
      </c>
      <c r="N199">
        <v>2</v>
      </c>
      <c r="O199">
        <v>1</v>
      </c>
      <c r="P199">
        <v>0</v>
      </c>
      <c r="Q199">
        <v>0</v>
      </c>
      <c r="R199" t="s">
        <v>112</v>
      </c>
      <c r="S199" t="str">
        <f>"13:53:40.148"</f>
        <v>13:53:40.148</v>
      </c>
      <c r="T199" t="str">
        <f>"13:53:39.648"</f>
        <v>13:53:39.648</v>
      </c>
      <c r="U199" t="str">
        <f t="shared" si="9"/>
        <v>ad5732</v>
      </c>
      <c r="V199">
        <v>0</v>
      </c>
      <c r="W199">
        <v>0</v>
      </c>
      <c r="X199">
        <v>1</v>
      </c>
      <c r="Z199">
        <v>0</v>
      </c>
      <c r="AA199">
        <v>9</v>
      </c>
      <c r="AB199">
        <v>3</v>
      </c>
      <c r="AC199">
        <v>0</v>
      </c>
      <c r="AD199">
        <v>10</v>
      </c>
      <c r="AE199">
        <v>0</v>
      </c>
      <c r="AF199">
        <v>3</v>
      </c>
      <c r="AG199">
        <v>2</v>
      </c>
      <c r="AH199">
        <v>0</v>
      </c>
      <c r="AI199" t="s">
        <v>490</v>
      </c>
      <c r="AJ199">
        <v>39.179392</v>
      </c>
      <c r="AK199" t="s">
        <v>500</v>
      </c>
      <c r="AL199">
        <v>-77.585319999999996</v>
      </c>
      <c r="AM199">
        <v>100</v>
      </c>
      <c r="AN199">
        <v>3600</v>
      </c>
      <c r="AO199" t="s">
        <v>115</v>
      </c>
      <c r="AP199">
        <v>138</v>
      </c>
      <c r="AQ199">
        <v>-12</v>
      </c>
      <c r="AR199">
        <v>768</v>
      </c>
      <c r="AZ199">
        <v>3614</v>
      </c>
      <c r="BA199">
        <v>1</v>
      </c>
      <c r="BB199" t="str">
        <f t="shared" si="8"/>
        <v xml:space="preserve">N959MJ  </v>
      </c>
      <c r="BC199">
        <v>1</v>
      </c>
      <c r="BE199">
        <v>0</v>
      </c>
      <c r="BF199">
        <v>0</v>
      </c>
      <c r="BG199">
        <v>0</v>
      </c>
      <c r="BH199">
        <v>3825</v>
      </c>
      <c r="BI199">
        <v>225</v>
      </c>
      <c r="BJ199">
        <v>1</v>
      </c>
      <c r="BK199">
        <v>1</v>
      </c>
      <c r="BL199">
        <v>1</v>
      </c>
      <c r="BM199">
        <v>0</v>
      </c>
      <c r="BP199">
        <v>0</v>
      </c>
      <c r="BQ199">
        <v>0</v>
      </c>
      <c r="BX199" t="str">
        <f>"13:53:40.148"</f>
        <v>13:53:40.148</v>
      </c>
      <c r="BY199" t="str">
        <f>"148798476"</f>
        <v>148798476</v>
      </c>
      <c r="CL199">
        <v>3</v>
      </c>
      <c r="CM199">
        <v>2</v>
      </c>
      <c r="CN199">
        <v>0</v>
      </c>
      <c r="CO199">
        <v>2</v>
      </c>
      <c r="CP199">
        <v>0</v>
      </c>
      <c r="CQ199">
        <v>7</v>
      </c>
      <c r="CR199" t="s">
        <v>116</v>
      </c>
      <c r="CS199">
        <v>525</v>
      </c>
      <c r="CT199">
        <v>2</v>
      </c>
      <c r="CU199" t="s">
        <v>140</v>
      </c>
      <c r="CV199" t="s">
        <v>141</v>
      </c>
      <c r="CY199">
        <v>13873478</v>
      </c>
      <c r="CZ199" t="s">
        <v>119</v>
      </c>
    </row>
    <row r="200" spans="1:104" x14ac:dyDescent="0.25">
      <c r="A200" t="str">
        <f>"13:53:41.398"</f>
        <v>13:53:41.398</v>
      </c>
      <c r="B200" t="s">
        <v>108</v>
      </c>
      <c r="C200" t="str">
        <f t="shared" si="7"/>
        <v>ffdfd3c0</v>
      </c>
      <c r="D200" t="s">
        <v>109</v>
      </c>
      <c r="E200">
        <v>4</v>
      </c>
      <c r="F200">
        <v>1004</v>
      </c>
      <c r="G200" t="s">
        <v>110</v>
      </c>
      <c r="J200" t="s">
        <v>111</v>
      </c>
      <c r="K200">
        <v>0</v>
      </c>
      <c r="L200">
        <v>3</v>
      </c>
      <c r="M200">
        <v>0</v>
      </c>
      <c r="N200">
        <v>2</v>
      </c>
      <c r="O200">
        <v>1</v>
      </c>
      <c r="P200">
        <v>0</v>
      </c>
      <c r="Q200">
        <v>0</v>
      </c>
      <c r="R200" t="s">
        <v>112</v>
      </c>
      <c r="S200" t="str">
        <f>"13:53:41.188"</f>
        <v>13:53:41.188</v>
      </c>
      <c r="T200" t="str">
        <f>"13:53:40.789"</f>
        <v>13:53:40.789</v>
      </c>
      <c r="U200" t="str">
        <f t="shared" si="9"/>
        <v>ad5732</v>
      </c>
      <c r="V200">
        <v>0</v>
      </c>
      <c r="W200">
        <v>0</v>
      </c>
      <c r="X200">
        <v>1</v>
      </c>
      <c r="Z200">
        <v>0</v>
      </c>
      <c r="AA200">
        <v>9</v>
      </c>
      <c r="AB200">
        <v>3</v>
      </c>
      <c r="AC200">
        <v>0</v>
      </c>
      <c r="AD200">
        <v>10</v>
      </c>
      <c r="AE200">
        <v>0</v>
      </c>
      <c r="AF200">
        <v>3</v>
      </c>
      <c r="AG200">
        <v>2</v>
      </c>
      <c r="AH200">
        <v>0</v>
      </c>
      <c r="AI200" t="s">
        <v>488</v>
      </c>
      <c r="AJ200">
        <v>39.179285</v>
      </c>
      <c r="AK200" t="s">
        <v>501</v>
      </c>
      <c r="AL200">
        <v>-77.584418999999997</v>
      </c>
      <c r="AM200">
        <v>100</v>
      </c>
      <c r="AN200">
        <v>3600</v>
      </c>
      <c r="AO200" t="s">
        <v>115</v>
      </c>
      <c r="AP200">
        <v>138</v>
      </c>
      <c r="AQ200">
        <v>-19</v>
      </c>
      <c r="AR200">
        <v>640</v>
      </c>
      <c r="AZ200">
        <v>3614</v>
      </c>
      <c r="BA200">
        <v>1</v>
      </c>
      <c r="BB200" t="str">
        <f t="shared" si="8"/>
        <v xml:space="preserve">N959MJ  </v>
      </c>
      <c r="BC200">
        <v>1</v>
      </c>
      <c r="BE200">
        <v>0</v>
      </c>
      <c r="BF200">
        <v>0</v>
      </c>
      <c r="BG200">
        <v>0</v>
      </c>
      <c r="BH200">
        <v>3850</v>
      </c>
      <c r="BI200">
        <v>250</v>
      </c>
      <c r="BJ200">
        <v>1</v>
      </c>
      <c r="BK200">
        <v>1</v>
      </c>
      <c r="BL200">
        <v>1</v>
      </c>
      <c r="BM200">
        <v>0</v>
      </c>
      <c r="BP200">
        <v>0</v>
      </c>
      <c r="BQ200">
        <v>0</v>
      </c>
      <c r="BX200" t="str">
        <f>"13:53:41.188"</f>
        <v>13:53:41.188</v>
      </c>
      <c r="BY200" t="str">
        <f>"190837114"</f>
        <v>190837114</v>
      </c>
      <c r="CL200">
        <v>3</v>
      </c>
      <c r="CM200">
        <v>2</v>
      </c>
      <c r="CN200">
        <v>0</v>
      </c>
      <c r="CO200">
        <v>2</v>
      </c>
      <c r="CP200">
        <v>0</v>
      </c>
      <c r="CQ200">
        <v>7</v>
      </c>
      <c r="CR200" t="s">
        <v>116</v>
      </c>
      <c r="CS200">
        <v>525</v>
      </c>
      <c r="CT200">
        <v>2</v>
      </c>
      <c r="CU200" t="s">
        <v>140</v>
      </c>
      <c r="CV200" t="s">
        <v>141</v>
      </c>
      <c r="CY200">
        <v>13874943</v>
      </c>
      <c r="CZ200" t="s">
        <v>119</v>
      </c>
    </row>
    <row r="201" spans="1:104" x14ac:dyDescent="0.25">
      <c r="A201" t="str">
        <f>"13:53:42.508"</f>
        <v>13:53:42.508</v>
      </c>
      <c r="B201" t="s">
        <v>108</v>
      </c>
      <c r="C201" t="str">
        <f t="shared" si="7"/>
        <v>ffdfd3c0</v>
      </c>
      <c r="D201" t="s">
        <v>109</v>
      </c>
      <c r="E201">
        <v>4</v>
      </c>
      <c r="F201">
        <v>1004</v>
      </c>
      <c r="G201" t="s">
        <v>110</v>
      </c>
      <c r="J201" t="s">
        <v>111</v>
      </c>
      <c r="K201">
        <v>0</v>
      </c>
      <c r="L201">
        <v>3</v>
      </c>
      <c r="M201">
        <v>0</v>
      </c>
      <c r="N201">
        <v>2</v>
      </c>
      <c r="O201">
        <v>1</v>
      </c>
      <c r="P201">
        <v>0</v>
      </c>
      <c r="Q201">
        <v>0</v>
      </c>
      <c r="R201" t="s">
        <v>112</v>
      </c>
      <c r="S201" t="str">
        <f>"13:53:42.320"</f>
        <v>13:53:42.320</v>
      </c>
      <c r="T201" t="str">
        <f>"13:53:41.820"</f>
        <v>13:53:41.820</v>
      </c>
      <c r="U201" t="str">
        <f t="shared" si="9"/>
        <v>ad5732</v>
      </c>
      <c r="V201">
        <v>0</v>
      </c>
      <c r="W201">
        <v>0</v>
      </c>
      <c r="X201">
        <v>1</v>
      </c>
      <c r="Z201">
        <v>0</v>
      </c>
      <c r="AA201">
        <v>9</v>
      </c>
      <c r="AB201">
        <v>3</v>
      </c>
      <c r="AC201">
        <v>0</v>
      </c>
      <c r="AD201">
        <v>10</v>
      </c>
      <c r="AE201">
        <v>0</v>
      </c>
      <c r="AF201">
        <v>3</v>
      </c>
      <c r="AG201">
        <v>2</v>
      </c>
      <c r="AH201">
        <v>0</v>
      </c>
      <c r="AI201" t="s">
        <v>486</v>
      </c>
      <c r="AJ201">
        <v>39.179113000000001</v>
      </c>
      <c r="AK201" t="s">
        <v>502</v>
      </c>
      <c r="AL201">
        <v>-77.583539000000002</v>
      </c>
      <c r="AM201">
        <v>100</v>
      </c>
      <c r="AN201">
        <v>3600</v>
      </c>
      <c r="AO201" t="s">
        <v>115</v>
      </c>
      <c r="AP201">
        <v>137</v>
      </c>
      <c r="AQ201">
        <v>-25</v>
      </c>
      <c r="AR201">
        <v>640</v>
      </c>
      <c r="AZ201">
        <v>3614</v>
      </c>
      <c r="BA201">
        <v>1</v>
      </c>
      <c r="BB201" t="str">
        <f t="shared" si="8"/>
        <v xml:space="preserve">N959MJ  </v>
      </c>
      <c r="BC201">
        <v>1</v>
      </c>
      <c r="BE201">
        <v>0</v>
      </c>
      <c r="BF201">
        <v>0</v>
      </c>
      <c r="BG201">
        <v>0</v>
      </c>
      <c r="BH201">
        <v>3850</v>
      </c>
      <c r="BI201">
        <v>250</v>
      </c>
      <c r="BJ201">
        <v>1</v>
      </c>
      <c r="BK201">
        <v>1</v>
      </c>
      <c r="BL201">
        <v>1</v>
      </c>
      <c r="BM201">
        <v>0</v>
      </c>
      <c r="BP201">
        <v>0</v>
      </c>
      <c r="BQ201">
        <v>0</v>
      </c>
      <c r="BX201" t="str">
        <f>"13:53:42.320"</f>
        <v>13:53:42.320</v>
      </c>
      <c r="BY201" t="str">
        <f>"322989193"</f>
        <v>322989193</v>
      </c>
      <c r="CL201">
        <v>3</v>
      </c>
      <c r="CM201">
        <v>2</v>
      </c>
      <c r="CN201">
        <v>0</v>
      </c>
      <c r="CO201">
        <v>2</v>
      </c>
      <c r="CP201">
        <v>0</v>
      </c>
      <c r="CQ201">
        <v>7</v>
      </c>
      <c r="CR201" t="s">
        <v>116</v>
      </c>
      <c r="CS201">
        <v>525</v>
      </c>
      <c r="CT201">
        <v>3</v>
      </c>
      <c r="CU201" t="s">
        <v>140</v>
      </c>
      <c r="CV201" t="s">
        <v>141</v>
      </c>
      <c r="CY201">
        <v>274278</v>
      </c>
      <c r="CZ201" t="s">
        <v>119</v>
      </c>
    </row>
    <row r="202" spans="1:104" x14ac:dyDescent="0.25">
      <c r="A202" t="str">
        <f>"13:53:43.617"</f>
        <v>13:53:43.617</v>
      </c>
      <c r="B202" t="s">
        <v>108</v>
      </c>
      <c r="C202" t="str">
        <f t="shared" ref="C202:C265" si="10">"ffdfd3c0"</f>
        <v>ffdfd3c0</v>
      </c>
      <c r="D202" t="s">
        <v>109</v>
      </c>
      <c r="E202">
        <v>4</v>
      </c>
      <c r="F202">
        <v>1004</v>
      </c>
      <c r="G202" t="s">
        <v>110</v>
      </c>
      <c r="J202" t="s">
        <v>111</v>
      </c>
      <c r="K202">
        <v>0</v>
      </c>
      <c r="L202">
        <v>3</v>
      </c>
      <c r="M202">
        <v>0</v>
      </c>
      <c r="N202">
        <v>2</v>
      </c>
      <c r="O202">
        <v>1</v>
      </c>
      <c r="P202">
        <v>0</v>
      </c>
      <c r="Q202">
        <v>0</v>
      </c>
      <c r="R202" t="s">
        <v>112</v>
      </c>
      <c r="S202" t="str">
        <f>"13:53:43.438"</f>
        <v>13:53:43.438</v>
      </c>
      <c r="T202" t="str">
        <f>"13:53:42.938"</f>
        <v>13:53:42.938</v>
      </c>
      <c r="U202" t="str">
        <f t="shared" si="9"/>
        <v>ad5732</v>
      </c>
      <c r="V202">
        <v>0</v>
      </c>
      <c r="W202">
        <v>0</v>
      </c>
      <c r="X202">
        <v>1</v>
      </c>
      <c r="Z202">
        <v>0</v>
      </c>
      <c r="AA202">
        <v>9</v>
      </c>
      <c r="AB202">
        <v>3</v>
      </c>
      <c r="AC202">
        <v>0</v>
      </c>
      <c r="AD202">
        <v>10</v>
      </c>
      <c r="AE202">
        <v>0</v>
      </c>
      <c r="AF202">
        <v>3</v>
      </c>
      <c r="AG202">
        <v>2</v>
      </c>
      <c r="AH202">
        <v>0</v>
      </c>
      <c r="AI202" t="s">
        <v>503</v>
      </c>
      <c r="AJ202">
        <v>39.178963000000003</v>
      </c>
      <c r="AK202" t="s">
        <v>504</v>
      </c>
      <c r="AL202">
        <v>-77.582638000000003</v>
      </c>
      <c r="AM202">
        <v>100</v>
      </c>
      <c r="AN202">
        <v>3700</v>
      </c>
      <c r="AO202" t="s">
        <v>115</v>
      </c>
      <c r="AP202">
        <v>135</v>
      </c>
      <c r="AQ202">
        <v>-32</v>
      </c>
      <c r="AR202">
        <v>704</v>
      </c>
      <c r="AZ202">
        <v>3614</v>
      </c>
      <c r="BA202">
        <v>1</v>
      </c>
      <c r="BB202" t="str">
        <f t="shared" ref="BB202:BB265" si="11">"N959MJ  "</f>
        <v xml:space="preserve">N959MJ  </v>
      </c>
      <c r="BC202">
        <v>1</v>
      </c>
      <c r="BE202">
        <v>0</v>
      </c>
      <c r="BF202">
        <v>0</v>
      </c>
      <c r="BG202">
        <v>0</v>
      </c>
      <c r="BH202">
        <v>3850</v>
      </c>
      <c r="BI202">
        <v>150</v>
      </c>
      <c r="BJ202">
        <v>1</v>
      </c>
      <c r="BK202">
        <v>1</v>
      </c>
      <c r="BL202">
        <v>1</v>
      </c>
      <c r="BM202">
        <v>0</v>
      </c>
      <c r="BP202">
        <v>0</v>
      </c>
      <c r="BQ202">
        <v>0</v>
      </c>
      <c r="BX202" t="str">
        <f>"13:53:43.438"</f>
        <v>13:53:43.438</v>
      </c>
      <c r="BY202" t="str">
        <f>"438757009"</f>
        <v>438757009</v>
      </c>
      <c r="CL202">
        <v>3</v>
      </c>
      <c r="CM202">
        <v>2</v>
      </c>
      <c r="CN202">
        <v>0</v>
      </c>
      <c r="CO202">
        <v>2</v>
      </c>
      <c r="CP202">
        <v>0</v>
      </c>
      <c r="CQ202">
        <v>7</v>
      </c>
      <c r="CR202" t="s">
        <v>116</v>
      </c>
      <c r="CS202">
        <v>525</v>
      </c>
      <c r="CT202">
        <v>2</v>
      </c>
      <c r="CU202" t="s">
        <v>140</v>
      </c>
      <c r="CV202" t="s">
        <v>141</v>
      </c>
      <c r="CY202">
        <v>13878477</v>
      </c>
      <c r="CZ202" t="s">
        <v>119</v>
      </c>
    </row>
    <row r="203" spans="1:104" x14ac:dyDescent="0.25">
      <c r="A203" t="str">
        <f>"13:53:44.688"</f>
        <v>13:53:44.688</v>
      </c>
      <c r="B203" t="s">
        <v>108</v>
      </c>
      <c r="C203" t="str">
        <f t="shared" si="10"/>
        <v>ffdfd3c0</v>
      </c>
      <c r="D203" t="s">
        <v>109</v>
      </c>
      <c r="E203">
        <v>4</v>
      </c>
      <c r="F203">
        <v>1004</v>
      </c>
      <c r="G203" t="s">
        <v>110</v>
      </c>
      <c r="J203" t="s">
        <v>111</v>
      </c>
      <c r="K203">
        <v>0</v>
      </c>
      <c r="L203">
        <v>3</v>
      </c>
      <c r="M203">
        <v>0</v>
      </c>
      <c r="N203">
        <v>2</v>
      </c>
      <c r="O203">
        <v>1</v>
      </c>
      <c r="P203">
        <v>0</v>
      </c>
      <c r="Q203">
        <v>0</v>
      </c>
      <c r="R203" t="s">
        <v>112</v>
      </c>
      <c r="S203" t="str">
        <f>"13:53:44.469"</f>
        <v>13:53:44.469</v>
      </c>
      <c r="T203" t="str">
        <f>"13:53:44.070"</f>
        <v>13:53:44.070</v>
      </c>
      <c r="U203" t="str">
        <f t="shared" si="9"/>
        <v>ad5732</v>
      </c>
      <c r="V203">
        <v>0</v>
      </c>
      <c r="W203">
        <v>0</v>
      </c>
      <c r="X203">
        <v>1</v>
      </c>
      <c r="Z203">
        <v>0</v>
      </c>
      <c r="AA203">
        <v>9</v>
      </c>
      <c r="AB203">
        <v>3</v>
      </c>
      <c r="AC203">
        <v>0</v>
      </c>
      <c r="AD203">
        <v>10</v>
      </c>
      <c r="AE203">
        <v>0</v>
      </c>
      <c r="AF203">
        <v>3</v>
      </c>
      <c r="AG203">
        <v>2</v>
      </c>
      <c r="AH203">
        <v>0</v>
      </c>
      <c r="AI203" t="s">
        <v>505</v>
      </c>
      <c r="AJ203">
        <v>39.178834000000002</v>
      </c>
      <c r="AK203" t="s">
        <v>506</v>
      </c>
      <c r="AL203">
        <v>-77.581844000000004</v>
      </c>
      <c r="AM203">
        <v>100</v>
      </c>
      <c r="AN203">
        <v>3700</v>
      </c>
      <c r="AO203" t="s">
        <v>115</v>
      </c>
      <c r="AP203">
        <v>135</v>
      </c>
      <c r="AQ203">
        <v>-35</v>
      </c>
      <c r="AR203">
        <v>768</v>
      </c>
      <c r="AZ203">
        <v>3614</v>
      </c>
      <c r="BA203">
        <v>1</v>
      </c>
      <c r="BB203" t="str">
        <f t="shared" si="11"/>
        <v xml:space="preserve">N959MJ  </v>
      </c>
      <c r="BC203">
        <v>1</v>
      </c>
      <c r="BE203">
        <v>0</v>
      </c>
      <c r="BF203">
        <v>0</v>
      </c>
      <c r="BG203">
        <v>0</v>
      </c>
      <c r="BH203">
        <v>3875</v>
      </c>
      <c r="BI203">
        <v>175</v>
      </c>
      <c r="BJ203">
        <v>1</v>
      </c>
      <c r="BK203">
        <v>1</v>
      </c>
      <c r="BL203">
        <v>1</v>
      </c>
      <c r="BM203">
        <v>0</v>
      </c>
      <c r="BP203">
        <v>0</v>
      </c>
      <c r="BQ203">
        <v>0</v>
      </c>
      <c r="BX203" t="str">
        <f>"13:53:44.469"</f>
        <v>13:53:44.469</v>
      </c>
      <c r="BY203" t="str">
        <f>"469326807"</f>
        <v>469326807</v>
      </c>
      <c r="CL203">
        <v>3</v>
      </c>
      <c r="CM203">
        <v>2</v>
      </c>
      <c r="CN203">
        <v>0</v>
      </c>
      <c r="CO203">
        <v>2</v>
      </c>
      <c r="CP203">
        <v>0</v>
      </c>
      <c r="CQ203">
        <v>7</v>
      </c>
      <c r="CR203" t="s">
        <v>116</v>
      </c>
      <c r="CS203">
        <v>525</v>
      </c>
      <c r="CT203">
        <v>2</v>
      </c>
      <c r="CU203" t="s">
        <v>140</v>
      </c>
      <c r="CV203" t="s">
        <v>141</v>
      </c>
      <c r="CY203">
        <v>13879933</v>
      </c>
      <c r="CZ203" t="s">
        <v>119</v>
      </c>
    </row>
    <row r="204" spans="1:104" x14ac:dyDescent="0.25">
      <c r="A204" t="str">
        <f>"13:53:45.586"</f>
        <v>13:53:45.586</v>
      </c>
      <c r="B204" t="s">
        <v>108</v>
      </c>
      <c r="C204" t="str">
        <f t="shared" si="10"/>
        <v>ffdfd3c0</v>
      </c>
      <c r="D204" t="s">
        <v>109</v>
      </c>
      <c r="E204">
        <v>4</v>
      </c>
      <c r="F204">
        <v>1004</v>
      </c>
      <c r="G204" t="s">
        <v>110</v>
      </c>
      <c r="J204" t="s">
        <v>111</v>
      </c>
      <c r="K204">
        <v>0</v>
      </c>
      <c r="L204">
        <v>3</v>
      </c>
      <c r="M204">
        <v>0</v>
      </c>
      <c r="N204">
        <v>2</v>
      </c>
      <c r="O204">
        <v>1</v>
      </c>
      <c r="P204">
        <v>0</v>
      </c>
      <c r="Q204">
        <v>0</v>
      </c>
      <c r="R204" t="s">
        <v>112</v>
      </c>
      <c r="S204" t="str">
        <f>"13:53:45.391"</f>
        <v>13:53:45.391</v>
      </c>
      <c r="T204" t="str">
        <f>"13:53:44.992"</f>
        <v>13:53:44.992</v>
      </c>
      <c r="U204" t="str">
        <f t="shared" si="9"/>
        <v>ad5732</v>
      </c>
      <c r="V204">
        <v>0</v>
      </c>
      <c r="W204">
        <v>0</v>
      </c>
      <c r="X204">
        <v>1</v>
      </c>
      <c r="Z204">
        <v>0</v>
      </c>
      <c r="AA204">
        <v>9</v>
      </c>
      <c r="AB204">
        <v>3</v>
      </c>
      <c r="AC204">
        <v>0</v>
      </c>
      <c r="AD204">
        <v>10</v>
      </c>
      <c r="AE204">
        <v>0</v>
      </c>
      <c r="AF204">
        <v>3</v>
      </c>
      <c r="AG204">
        <v>2</v>
      </c>
      <c r="AH204">
        <v>0</v>
      </c>
      <c r="AI204" t="s">
        <v>507</v>
      </c>
      <c r="AJ204">
        <v>39.178640999999999</v>
      </c>
      <c r="AK204" t="s">
        <v>508</v>
      </c>
      <c r="AL204">
        <v>-77.581050000000005</v>
      </c>
      <c r="AM204">
        <v>100</v>
      </c>
      <c r="AN204">
        <v>3700</v>
      </c>
      <c r="AO204" t="s">
        <v>115</v>
      </c>
      <c r="AP204">
        <v>135</v>
      </c>
      <c r="AQ204">
        <v>-35</v>
      </c>
      <c r="AR204">
        <v>832</v>
      </c>
      <c r="AZ204">
        <v>3614</v>
      </c>
      <c r="BA204">
        <v>1</v>
      </c>
      <c r="BB204" t="str">
        <f t="shared" si="11"/>
        <v xml:space="preserve">N959MJ  </v>
      </c>
      <c r="BC204">
        <v>1</v>
      </c>
      <c r="BE204">
        <v>0</v>
      </c>
      <c r="BF204">
        <v>0</v>
      </c>
      <c r="BG204">
        <v>0</v>
      </c>
      <c r="BH204">
        <v>3900</v>
      </c>
      <c r="BI204">
        <v>200</v>
      </c>
      <c r="BJ204">
        <v>1</v>
      </c>
      <c r="BK204">
        <v>1</v>
      </c>
      <c r="BL204">
        <v>1</v>
      </c>
      <c r="BM204">
        <v>0</v>
      </c>
      <c r="BP204">
        <v>0</v>
      </c>
      <c r="BQ204">
        <v>0</v>
      </c>
      <c r="BX204" t="str">
        <f>"13:53:45.391"</f>
        <v>13:53:45.391</v>
      </c>
      <c r="BY204" t="str">
        <f>"393398800"</f>
        <v>393398800</v>
      </c>
      <c r="CL204">
        <v>3</v>
      </c>
      <c r="CM204">
        <v>2</v>
      </c>
      <c r="CN204">
        <v>0</v>
      </c>
      <c r="CO204">
        <v>2</v>
      </c>
      <c r="CP204">
        <v>0</v>
      </c>
      <c r="CQ204">
        <v>7</v>
      </c>
      <c r="CR204" t="s">
        <v>116</v>
      </c>
      <c r="CS204">
        <v>525</v>
      </c>
      <c r="CT204">
        <v>2</v>
      </c>
      <c r="CU204" t="s">
        <v>140</v>
      </c>
      <c r="CV204" t="s">
        <v>141</v>
      </c>
      <c r="CY204">
        <v>13881204</v>
      </c>
      <c r="CZ204" t="s">
        <v>119</v>
      </c>
    </row>
    <row r="205" spans="1:104" x14ac:dyDescent="0.25">
      <c r="A205" t="str">
        <f>"13:53:46.547"</f>
        <v>13:53:46.547</v>
      </c>
      <c r="B205" t="s">
        <v>108</v>
      </c>
      <c r="C205" t="str">
        <f t="shared" si="10"/>
        <v>ffdfd3c0</v>
      </c>
      <c r="D205" t="s">
        <v>109</v>
      </c>
      <c r="E205">
        <v>4</v>
      </c>
      <c r="F205">
        <v>1004</v>
      </c>
      <c r="G205" t="s">
        <v>110</v>
      </c>
      <c r="J205" t="s">
        <v>111</v>
      </c>
      <c r="K205">
        <v>0</v>
      </c>
      <c r="L205">
        <v>3</v>
      </c>
      <c r="M205">
        <v>0</v>
      </c>
      <c r="N205">
        <v>2</v>
      </c>
      <c r="O205">
        <v>1</v>
      </c>
      <c r="P205">
        <v>0</v>
      </c>
      <c r="Q205">
        <v>0</v>
      </c>
      <c r="R205" t="s">
        <v>112</v>
      </c>
      <c r="S205" t="str">
        <f>"13:53:46.344"</f>
        <v>13:53:46.344</v>
      </c>
      <c r="T205" t="str">
        <f>"13:53:45.945"</f>
        <v>13:53:45.945</v>
      </c>
      <c r="U205" t="str">
        <f t="shared" si="9"/>
        <v>ad5732</v>
      </c>
      <c r="V205">
        <v>0</v>
      </c>
      <c r="W205">
        <v>0</v>
      </c>
      <c r="X205">
        <v>1</v>
      </c>
      <c r="Z205">
        <v>0</v>
      </c>
      <c r="AA205">
        <v>9</v>
      </c>
      <c r="AB205">
        <v>3</v>
      </c>
      <c r="AC205">
        <v>0</v>
      </c>
      <c r="AD205">
        <v>10</v>
      </c>
      <c r="AE205">
        <v>0</v>
      </c>
      <c r="AF205">
        <v>3</v>
      </c>
      <c r="AG205">
        <v>2</v>
      </c>
      <c r="AH205">
        <v>0</v>
      </c>
      <c r="AI205" t="s">
        <v>509</v>
      </c>
      <c r="AJ205">
        <v>39.178533999999999</v>
      </c>
      <c r="AK205" t="s">
        <v>510</v>
      </c>
      <c r="AL205">
        <v>-77.580320999999998</v>
      </c>
      <c r="AM205">
        <v>100</v>
      </c>
      <c r="AN205">
        <v>3700</v>
      </c>
      <c r="AO205" t="s">
        <v>115</v>
      </c>
      <c r="AP205">
        <v>135</v>
      </c>
      <c r="AQ205">
        <v>-34</v>
      </c>
      <c r="AR205">
        <v>896</v>
      </c>
      <c r="AZ205">
        <v>3614</v>
      </c>
      <c r="BA205">
        <v>1</v>
      </c>
      <c r="BB205" t="str">
        <f t="shared" si="11"/>
        <v xml:space="preserve">N959MJ  </v>
      </c>
      <c r="BC205">
        <v>1</v>
      </c>
      <c r="BE205">
        <v>0</v>
      </c>
      <c r="BF205">
        <v>0</v>
      </c>
      <c r="BG205">
        <v>0</v>
      </c>
      <c r="BH205">
        <v>3900</v>
      </c>
      <c r="BI205">
        <v>200</v>
      </c>
      <c r="BJ205">
        <v>1</v>
      </c>
      <c r="BK205">
        <v>1</v>
      </c>
      <c r="BL205">
        <v>1</v>
      </c>
      <c r="BM205">
        <v>0</v>
      </c>
      <c r="BP205">
        <v>0</v>
      </c>
      <c r="BQ205">
        <v>0</v>
      </c>
      <c r="BX205" t="str">
        <f>"13:53:46.344"</f>
        <v>13:53:46.344</v>
      </c>
      <c r="BY205" t="str">
        <f>"345324012"</f>
        <v>345324012</v>
      </c>
      <c r="CL205">
        <v>3</v>
      </c>
      <c r="CM205">
        <v>2</v>
      </c>
      <c r="CN205">
        <v>0</v>
      </c>
      <c r="CO205">
        <v>2</v>
      </c>
      <c r="CP205">
        <v>0</v>
      </c>
      <c r="CQ205">
        <v>6</v>
      </c>
      <c r="CR205" t="s">
        <v>116</v>
      </c>
      <c r="CS205">
        <v>525</v>
      </c>
      <c r="CT205">
        <v>3</v>
      </c>
      <c r="CU205" t="s">
        <v>140</v>
      </c>
      <c r="CV205" t="s">
        <v>141</v>
      </c>
      <c r="CY205">
        <v>279463</v>
      </c>
      <c r="CZ205" t="s">
        <v>119</v>
      </c>
    </row>
    <row r="206" spans="1:104" x14ac:dyDescent="0.25">
      <c r="A206" t="str">
        <f>"13:53:47.406"</f>
        <v>13:53:47.406</v>
      </c>
      <c r="B206" t="s">
        <v>108</v>
      </c>
      <c r="C206" t="str">
        <f t="shared" si="10"/>
        <v>ffdfd3c0</v>
      </c>
      <c r="D206" t="s">
        <v>109</v>
      </c>
      <c r="E206">
        <v>4</v>
      </c>
      <c r="F206">
        <v>1004</v>
      </c>
      <c r="G206" t="s">
        <v>110</v>
      </c>
      <c r="J206" t="s">
        <v>111</v>
      </c>
      <c r="K206">
        <v>0</v>
      </c>
      <c r="L206">
        <v>3</v>
      </c>
      <c r="M206">
        <v>0</v>
      </c>
      <c r="N206">
        <v>2</v>
      </c>
      <c r="O206">
        <v>1</v>
      </c>
      <c r="P206">
        <v>0</v>
      </c>
      <c r="Q206">
        <v>0</v>
      </c>
      <c r="R206" t="s">
        <v>112</v>
      </c>
      <c r="S206" t="str">
        <f>"13:53:47.219"</f>
        <v>13:53:47.219</v>
      </c>
      <c r="T206" t="str">
        <f>"13:53:46.820"</f>
        <v>13:53:46.820</v>
      </c>
      <c r="U206" t="str">
        <f t="shared" si="9"/>
        <v>ad5732</v>
      </c>
      <c r="V206">
        <v>0</v>
      </c>
      <c r="W206">
        <v>0</v>
      </c>
      <c r="X206">
        <v>1</v>
      </c>
      <c r="Z206">
        <v>0</v>
      </c>
      <c r="AA206">
        <v>9</v>
      </c>
      <c r="AB206">
        <v>3</v>
      </c>
      <c r="AC206">
        <v>0</v>
      </c>
      <c r="AD206">
        <v>10</v>
      </c>
      <c r="AE206">
        <v>0</v>
      </c>
      <c r="AF206">
        <v>3</v>
      </c>
      <c r="AG206">
        <v>2</v>
      </c>
      <c r="AH206">
        <v>0</v>
      </c>
      <c r="AI206" t="s">
        <v>511</v>
      </c>
      <c r="AJ206">
        <v>39.178362</v>
      </c>
      <c r="AK206" t="s">
        <v>512</v>
      </c>
      <c r="AL206">
        <v>-77.579590999999994</v>
      </c>
      <c r="AM206">
        <v>100</v>
      </c>
      <c r="AN206">
        <v>3700</v>
      </c>
      <c r="AO206" t="s">
        <v>115</v>
      </c>
      <c r="AP206">
        <v>136</v>
      </c>
      <c r="AQ206">
        <v>-33</v>
      </c>
      <c r="AR206">
        <v>768</v>
      </c>
      <c r="AZ206">
        <v>3614</v>
      </c>
      <c r="BA206">
        <v>1</v>
      </c>
      <c r="BB206" t="str">
        <f t="shared" si="11"/>
        <v xml:space="preserve">N959MJ  </v>
      </c>
      <c r="BC206">
        <v>1</v>
      </c>
      <c r="BE206">
        <v>0</v>
      </c>
      <c r="BF206">
        <v>0</v>
      </c>
      <c r="BG206">
        <v>0</v>
      </c>
      <c r="BH206">
        <v>3925</v>
      </c>
      <c r="BI206">
        <v>225</v>
      </c>
      <c r="BJ206">
        <v>1</v>
      </c>
      <c r="BK206">
        <v>1</v>
      </c>
      <c r="BL206">
        <v>1</v>
      </c>
      <c r="BM206">
        <v>0</v>
      </c>
      <c r="BP206">
        <v>0</v>
      </c>
      <c r="BQ206">
        <v>0</v>
      </c>
      <c r="BX206" t="str">
        <f>"13:53:47.227"</f>
        <v>13:53:47.227</v>
      </c>
      <c r="BY206" t="str">
        <f>"225294086"</f>
        <v>225294086</v>
      </c>
      <c r="CL206">
        <v>3</v>
      </c>
      <c r="CM206">
        <v>2</v>
      </c>
      <c r="CN206">
        <v>0</v>
      </c>
      <c r="CO206">
        <v>2</v>
      </c>
      <c r="CP206">
        <v>0</v>
      </c>
      <c r="CQ206">
        <v>5</v>
      </c>
      <c r="CR206" t="s">
        <v>116</v>
      </c>
      <c r="CS206">
        <v>152</v>
      </c>
      <c r="CT206">
        <v>0</v>
      </c>
      <c r="CU206" t="s">
        <v>134</v>
      </c>
      <c r="CV206" t="s">
        <v>135</v>
      </c>
      <c r="CY206">
        <v>15951349</v>
      </c>
      <c r="CZ206" t="s">
        <v>119</v>
      </c>
    </row>
    <row r="207" spans="1:104" x14ac:dyDescent="0.25">
      <c r="A207" t="str">
        <f>"13:53:48.516"</f>
        <v>13:53:48.516</v>
      </c>
      <c r="B207" t="s">
        <v>108</v>
      </c>
      <c r="C207" t="str">
        <f t="shared" si="10"/>
        <v>ffdfd3c0</v>
      </c>
      <c r="D207" t="s">
        <v>109</v>
      </c>
      <c r="E207">
        <v>4</v>
      </c>
      <c r="F207">
        <v>1004</v>
      </c>
      <c r="G207" t="s">
        <v>110</v>
      </c>
      <c r="J207" t="s">
        <v>111</v>
      </c>
      <c r="K207">
        <v>0</v>
      </c>
      <c r="L207">
        <v>3</v>
      </c>
      <c r="M207">
        <v>0</v>
      </c>
      <c r="N207">
        <v>2</v>
      </c>
      <c r="O207">
        <v>1</v>
      </c>
      <c r="P207">
        <v>0</v>
      </c>
      <c r="Q207">
        <v>0</v>
      </c>
      <c r="R207" t="s">
        <v>112</v>
      </c>
      <c r="S207" t="str">
        <f>"13:53:48.313"</f>
        <v>13:53:48.313</v>
      </c>
      <c r="T207" t="str">
        <f>"13:53:47.313"</f>
        <v>13:53:47.313</v>
      </c>
      <c r="U207" t="str">
        <f t="shared" si="9"/>
        <v>ad5732</v>
      </c>
      <c r="V207">
        <v>0</v>
      </c>
      <c r="W207">
        <v>0</v>
      </c>
      <c r="X207">
        <v>1</v>
      </c>
      <c r="Z207">
        <v>0</v>
      </c>
      <c r="AA207">
        <v>9</v>
      </c>
      <c r="AB207">
        <v>3</v>
      </c>
      <c r="AC207">
        <v>0</v>
      </c>
      <c r="AD207">
        <v>10</v>
      </c>
      <c r="AE207">
        <v>0</v>
      </c>
      <c r="AF207">
        <v>3</v>
      </c>
      <c r="AG207">
        <v>2</v>
      </c>
      <c r="AH207">
        <v>0</v>
      </c>
      <c r="AI207" t="s">
        <v>513</v>
      </c>
      <c r="AJ207">
        <v>39.178212000000002</v>
      </c>
      <c r="AK207" t="s">
        <v>514</v>
      </c>
      <c r="AL207">
        <v>-77.578711999999996</v>
      </c>
      <c r="AM207">
        <v>100</v>
      </c>
      <c r="AN207">
        <v>3700</v>
      </c>
      <c r="AO207" t="s">
        <v>115</v>
      </c>
      <c r="AP207">
        <v>136</v>
      </c>
      <c r="AQ207">
        <v>-32</v>
      </c>
      <c r="AR207">
        <v>768</v>
      </c>
      <c r="AZ207">
        <v>3614</v>
      </c>
      <c r="BA207">
        <v>1</v>
      </c>
      <c r="BB207" t="str">
        <f t="shared" si="11"/>
        <v xml:space="preserve">N959MJ  </v>
      </c>
      <c r="BC207">
        <v>1</v>
      </c>
      <c r="BE207">
        <v>0</v>
      </c>
      <c r="BF207">
        <v>0</v>
      </c>
      <c r="BG207">
        <v>0</v>
      </c>
      <c r="BH207">
        <v>3925</v>
      </c>
      <c r="BI207">
        <v>225</v>
      </c>
      <c r="BJ207">
        <v>1</v>
      </c>
      <c r="BK207">
        <v>1</v>
      </c>
      <c r="BL207">
        <v>1</v>
      </c>
      <c r="BM207">
        <v>0</v>
      </c>
      <c r="BP207">
        <v>0</v>
      </c>
      <c r="BQ207">
        <v>0</v>
      </c>
      <c r="BX207" t="str">
        <f>"13:53:48.313"</f>
        <v>13:53:48.313</v>
      </c>
      <c r="BY207" t="str">
        <f>"316349993"</f>
        <v>316349993</v>
      </c>
      <c r="CL207">
        <v>3</v>
      </c>
      <c r="CM207">
        <v>2</v>
      </c>
      <c r="CN207">
        <v>0</v>
      </c>
      <c r="CO207">
        <v>2</v>
      </c>
      <c r="CP207">
        <v>0</v>
      </c>
      <c r="CQ207">
        <v>7</v>
      </c>
      <c r="CR207" t="s">
        <v>116</v>
      </c>
      <c r="CS207">
        <v>525</v>
      </c>
      <c r="CT207">
        <v>2</v>
      </c>
      <c r="CU207" t="s">
        <v>140</v>
      </c>
      <c r="CV207" t="s">
        <v>141</v>
      </c>
      <c r="CY207">
        <v>13885514</v>
      </c>
      <c r="CZ207" t="s">
        <v>119</v>
      </c>
    </row>
    <row r="208" spans="1:104" x14ac:dyDescent="0.25">
      <c r="A208" t="str">
        <f>"13:53:49.531"</f>
        <v>13:53:49.531</v>
      </c>
      <c r="B208" t="s">
        <v>108</v>
      </c>
      <c r="C208" t="str">
        <f t="shared" si="10"/>
        <v>ffdfd3c0</v>
      </c>
      <c r="D208" t="s">
        <v>109</v>
      </c>
      <c r="E208">
        <v>4</v>
      </c>
      <c r="F208">
        <v>1004</v>
      </c>
      <c r="G208" t="s">
        <v>110</v>
      </c>
      <c r="J208" t="s">
        <v>111</v>
      </c>
      <c r="K208">
        <v>0</v>
      </c>
      <c r="L208">
        <v>3</v>
      </c>
      <c r="M208">
        <v>0</v>
      </c>
      <c r="N208">
        <v>2</v>
      </c>
      <c r="O208">
        <v>1</v>
      </c>
      <c r="P208">
        <v>0</v>
      </c>
      <c r="Q208">
        <v>0</v>
      </c>
      <c r="R208" t="s">
        <v>112</v>
      </c>
      <c r="S208" t="str">
        <f>"13:53:49.328"</f>
        <v>13:53:49.328</v>
      </c>
      <c r="T208" t="str">
        <f>"13:53:48.828"</f>
        <v>13:53:48.828</v>
      </c>
      <c r="U208" t="str">
        <f t="shared" si="9"/>
        <v>ad5732</v>
      </c>
      <c r="V208">
        <v>0</v>
      </c>
      <c r="W208">
        <v>0</v>
      </c>
      <c r="X208">
        <v>1</v>
      </c>
      <c r="Z208">
        <v>0</v>
      </c>
      <c r="AA208">
        <v>9</v>
      </c>
      <c r="AB208">
        <v>3</v>
      </c>
      <c r="AC208">
        <v>0</v>
      </c>
      <c r="AD208">
        <v>10</v>
      </c>
      <c r="AE208">
        <v>0</v>
      </c>
      <c r="AF208">
        <v>3</v>
      </c>
      <c r="AG208">
        <v>2</v>
      </c>
      <c r="AH208">
        <v>0</v>
      </c>
      <c r="AI208" t="s">
        <v>515</v>
      </c>
      <c r="AJ208">
        <v>39.178061</v>
      </c>
      <c r="AK208" t="s">
        <v>516</v>
      </c>
      <c r="AL208">
        <v>-77.577875000000006</v>
      </c>
      <c r="AM208">
        <v>100</v>
      </c>
      <c r="AN208">
        <v>3700</v>
      </c>
      <c r="AO208" t="s">
        <v>115</v>
      </c>
      <c r="AP208">
        <v>137</v>
      </c>
      <c r="AQ208">
        <v>-32</v>
      </c>
      <c r="AR208">
        <v>576</v>
      </c>
      <c r="AZ208">
        <v>3614</v>
      </c>
      <c r="BA208">
        <v>1</v>
      </c>
      <c r="BB208" t="str">
        <f t="shared" si="11"/>
        <v xml:space="preserve">N959MJ  </v>
      </c>
      <c r="BC208">
        <v>1</v>
      </c>
      <c r="BE208">
        <v>0</v>
      </c>
      <c r="BF208">
        <v>0</v>
      </c>
      <c r="BG208">
        <v>0</v>
      </c>
      <c r="BH208">
        <v>3950</v>
      </c>
      <c r="BI208">
        <v>250</v>
      </c>
      <c r="BJ208">
        <v>1</v>
      </c>
      <c r="BK208">
        <v>1</v>
      </c>
      <c r="BL208">
        <v>1</v>
      </c>
      <c r="BM208">
        <v>0</v>
      </c>
      <c r="BP208">
        <v>0</v>
      </c>
      <c r="BQ208">
        <v>0</v>
      </c>
      <c r="BX208" t="str">
        <f>"13:53:49.328"</f>
        <v>13:53:49.328</v>
      </c>
      <c r="BY208" t="str">
        <f>"330535438"</f>
        <v>330535438</v>
      </c>
      <c r="CL208">
        <v>3</v>
      </c>
      <c r="CM208">
        <v>2</v>
      </c>
      <c r="CN208">
        <v>0</v>
      </c>
      <c r="CO208">
        <v>2</v>
      </c>
      <c r="CP208">
        <v>0</v>
      </c>
      <c r="CQ208">
        <v>7</v>
      </c>
      <c r="CR208" t="s">
        <v>116</v>
      </c>
      <c r="CS208">
        <v>525</v>
      </c>
      <c r="CT208">
        <v>2</v>
      </c>
      <c r="CU208" t="s">
        <v>140</v>
      </c>
      <c r="CV208" t="s">
        <v>141</v>
      </c>
      <c r="CY208">
        <v>13887016</v>
      </c>
      <c r="CZ208" t="s">
        <v>119</v>
      </c>
    </row>
    <row r="209" spans="1:104" x14ac:dyDescent="0.25">
      <c r="A209" t="str">
        <f>"13:53:50.539"</f>
        <v>13:53:50.539</v>
      </c>
      <c r="B209" t="s">
        <v>108</v>
      </c>
      <c r="C209" t="str">
        <f t="shared" si="10"/>
        <v>ffdfd3c0</v>
      </c>
      <c r="D209" t="s">
        <v>109</v>
      </c>
      <c r="E209">
        <v>4</v>
      </c>
      <c r="F209">
        <v>1004</v>
      </c>
      <c r="G209" t="s">
        <v>110</v>
      </c>
      <c r="J209" t="s">
        <v>111</v>
      </c>
      <c r="K209">
        <v>0</v>
      </c>
      <c r="L209">
        <v>3</v>
      </c>
      <c r="M209">
        <v>0</v>
      </c>
      <c r="N209">
        <v>2</v>
      </c>
      <c r="O209">
        <v>1</v>
      </c>
      <c r="P209">
        <v>0</v>
      </c>
      <c r="Q209">
        <v>0</v>
      </c>
      <c r="R209" t="s">
        <v>112</v>
      </c>
      <c r="S209" t="str">
        <f>"13:53:50.313"</f>
        <v>13:53:50.313</v>
      </c>
      <c r="T209" t="str">
        <f>"13:53:49.813"</f>
        <v>13:53:49.813</v>
      </c>
      <c r="U209" t="str">
        <f t="shared" si="9"/>
        <v>ad5732</v>
      </c>
      <c r="V209">
        <v>0</v>
      </c>
      <c r="W209">
        <v>0</v>
      </c>
      <c r="X209">
        <v>1</v>
      </c>
      <c r="Z209">
        <v>0</v>
      </c>
      <c r="AA209">
        <v>9</v>
      </c>
      <c r="AB209">
        <v>3</v>
      </c>
      <c r="AC209">
        <v>0</v>
      </c>
      <c r="AD209">
        <v>10</v>
      </c>
      <c r="AE209">
        <v>0</v>
      </c>
      <c r="AF209">
        <v>3</v>
      </c>
      <c r="AG209">
        <v>2</v>
      </c>
      <c r="AH209">
        <v>0</v>
      </c>
      <c r="AI209" t="s">
        <v>517</v>
      </c>
      <c r="AJ209">
        <v>39.177889999999998</v>
      </c>
      <c r="AK209" t="s">
        <v>209</v>
      </c>
      <c r="AL209">
        <v>-77.577038000000002</v>
      </c>
      <c r="AM209">
        <v>100</v>
      </c>
      <c r="AN209">
        <v>3700</v>
      </c>
      <c r="AO209" t="s">
        <v>115</v>
      </c>
      <c r="AP209">
        <v>138</v>
      </c>
      <c r="AQ209">
        <v>-32</v>
      </c>
      <c r="AR209">
        <v>512</v>
      </c>
      <c r="AZ209">
        <v>3614</v>
      </c>
      <c r="BA209">
        <v>1</v>
      </c>
      <c r="BB209" t="str">
        <f t="shared" si="11"/>
        <v xml:space="preserve">N959MJ  </v>
      </c>
      <c r="BC209">
        <v>1</v>
      </c>
      <c r="BE209">
        <v>0</v>
      </c>
      <c r="BF209">
        <v>0</v>
      </c>
      <c r="BG209">
        <v>0</v>
      </c>
      <c r="BH209">
        <v>3950</v>
      </c>
      <c r="BI209">
        <v>250</v>
      </c>
      <c r="BJ209">
        <v>1</v>
      </c>
      <c r="BK209">
        <v>1</v>
      </c>
      <c r="BL209">
        <v>1</v>
      </c>
      <c r="BM209">
        <v>0</v>
      </c>
      <c r="BP209">
        <v>0</v>
      </c>
      <c r="BQ209">
        <v>0</v>
      </c>
      <c r="BX209" t="str">
        <f>"13:53:50.313"</f>
        <v>13:53:50.313</v>
      </c>
      <c r="BY209" t="str">
        <f>"313590785"</f>
        <v>313590785</v>
      </c>
      <c r="CL209">
        <v>3</v>
      </c>
      <c r="CM209">
        <v>2</v>
      </c>
      <c r="CN209">
        <v>0</v>
      </c>
      <c r="CO209">
        <v>2</v>
      </c>
      <c r="CP209">
        <v>0</v>
      </c>
      <c r="CQ209">
        <v>7</v>
      </c>
      <c r="CR209" t="s">
        <v>116</v>
      </c>
      <c r="CS209">
        <v>525</v>
      </c>
      <c r="CT209">
        <v>2</v>
      </c>
      <c r="CU209" t="s">
        <v>140</v>
      </c>
      <c r="CV209" t="s">
        <v>141</v>
      </c>
      <c r="CY209">
        <v>13888398</v>
      </c>
      <c r="CZ209" t="s">
        <v>119</v>
      </c>
    </row>
    <row r="210" spans="1:104" x14ac:dyDescent="0.25">
      <c r="A210" t="str">
        <f>"13:53:51.594"</f>
        <v>13:53:51.594</v>
      </c>
      <c r="B210" t="s">
        <v>108</v>
      </c>
      <c r="C210" t="str">
        <f t="shared" si="10"/>
        <v>ffdfd3c0</v>
      </c>
      <c r="D210" t="s">
        <v>109</v>
      </c>
      <c r="E210">
        <v>4</v>
      </c>
      <c r="F210">
        <v>1004</v>
      </c>
      <c r="G210" t="s">
        <v>110</v>
      </c>
      <c r="J210" t="s">
        <v>111</v>
      </c>
      <c r="K210">
        <v>0</v>
      </c>
      <c r="L210">
        <v>3</v>
      </c>
      <c r="M210">
        <v>0</v>
      </c>
      <c r="N210">
        <v>2</v>
      </c>
      <c r="O210">
        <v>1</v>
      </c>
      <c r="P210">
        <v>0</v>
      </c>
      <c r="Q210">
        <v>0</v>
      </c>
      <c r="R210" t="s">
        <v>112</v>
      </c>
      <c r="S210" t="str">
        <f>"13:53:51.438"</f>
        <v>13:53:51.438</v>
      </c>
      <c r="T210" t="str">
        <f>"13:53:50.938"</f>
        <v>13:53:50.938</v>
      </c>
      <c r="U210" t="str">
        <f t="shared" si="9"/>
        <v>ad5732</v>
      </c>
      <c r="V210">
        <v>0</v>
      </c>
      <c r="W210">
        <v>0</v>
      </c>
      <c r="X210">
        <v>1</v>
      </c>
      <c r="Z210">
        <v>0</v>
      </c>
      <c r="AA210">
        <v>9</v>
      </c>
      <c r="AB210">
        <v>3</v>
      </c>
      <c r="AC210">
        <v>0</v>
      </c>
      <c r="AD210">
        <v>10</v>
      </c>
      <c r="AE210">
        <v>0</v>
      </c>
      <c r="AF210">
        <v>3</v>
      </c>
      <c r="AG210">
        <v>2</v>
      </c>
      <c r="AH210">
        <v>0</v>
      </c>
      <c r="AI210" t="s">
        <v>518</v>
      </c>
      <c r="AJ210">
        <v>39.177760999999997</v>
      </c>
      <c r="AK210" t="s">
        <v>519</v>
      </c>
      <c r="AL210">
        <v>-77.576115000000001</v>
      </c>
      <c r="AM210">
        <v>100</v>
      </c>
      <c r="AN210">
        <v>3700</v>
      </c>
      <c r="AO210" t="s">
        <v>115</v>
      </c>
      <c r="AP210">
        <v>138</v>
      </c>
      <c r="AQ210">
        <v>-33</v>
      </c>
      <c r="AR210">
        <v>448</v>
      </c>
      <c r="AZ210">
        <v>3614</v>
      </c>
      <c r="BA210">
        <v>1</v>
      </c>
      <c r="BB210" t="str">
        <f t="shared" si="11"/>
        <v xml:space="preserve">N959MJ  </v>
      </c>
      <c r="BC210">
        <v>1</v>
      </c>
      <c r="BE210">
        <v>0</v>
      </c>
      <c r="BF210">
        <v>0</v>
      </c>
      <c r="BG210">
        <v>0</v>
      </c>
      <c r="BH210">
        <v>3950</v>
      </c>
      <c r="BI210">
        <v>250</v>
      </c>
      <c r="BJ210">
        <v>1</v>
      </c>
      <c r="BK210">
        <v>1</v>
      </c>
      <c r="BL210">
        <v>1</v>
      </c>
      <c r="BM210">
        <v>0</v>
      </c>
      <c r="BP210">
        <v>0</v>
      </c>
      <c r="BQ210">
        <v>0</v>
      </c>
      <c r="BX210" t="str">
        <f>"13:53:51.445"</f>
        <v>13:53:51.445</v>
      </c>
      <c r="BY210" t="str">
        <f>"442466080"</f>
        <v>442466080</v>
      </c>
      <c r="CL210">
        <v>3</v>
      </c>
      <c r="CM210">
        <v>2</v>
      </c>
      <c r="CN210">
        <v>0</v>
      </c>
      <c r="CO210">
        <v>2</v>
      </c>
      <c r="CP210">
        <v>0</v>
      </c>
      <c r="CQ210">
        <v>7</v>
      </c>
      <c r="CR210" t="s">
        <v>116</v>
      </c>
      <c r="CS210">
        <v>525</v>
      </c>
      <c r="CT210">
        <v>2</v>
      </c>
      <c r="CU210" t="s">
        <v>140</v>
      </c>
      <c r="CV210" t="s">
        <v>141</v>
      </c>
      <c r="CY210">
        <v>13890235</v>
      </c>
      <c r="CZ210" t="s">
        <v>119</v>
      </c>
    </row>
    <row r="211" spans="1:104" x14ac:dyDescent="0.25">
      <c r="A211" t="str">
        <f>"13:53:52.453"</f>
        <v>13:53:52.453</v>
      </c>
      <c r="B211" t="s">
        <v>108</v>
      </c>
      <c r="C211" t="str">
        <f t="shared" si="10"/>
        <v>ffdfd3c0</v>
      </c>
      <c r="D211" t="s">
        <v>109</v>
      </c>
      <c r="E211">
        <v>4</v>
      </c>
      <c r="F211">
        <v>1004</v>
      </c>
      <c r="G211" t="s">
        <v>110</v>
      </c>
      <c r="J211" t="s">
        <v>111</v>
      </c>
      <c r="K211">
        <v>0</v>
      </c>
      <c r="L211">
        <v>3</v>
      </c>
      <c r="M211">
        <v>0</v>
      </c>
      <c r="N211">
        <v>2</v>
      </c>
      <c r="O211">
        <v>1</v>
      </c>
      <c r="P211">
        <v>0</v>
      </c>
      <c r="Q211">
        <v>0</v>
      </c>
      <c r="R211" t="s">
        <v>112</v>
      </c>
      <c r="S211" t="str">
        <f>"13:53:52.289"</f>
        <v>13:53:52.289</v>
      </c>
      <c r="T211" t="str">
        <f>"13:53:51.891"</f>
        <v>13:53:51.891</v>
      </c>
      <c r="U211" t="str">
        <f t="shared" si="9"/>
        <v>ad5732</v>
      </c>
      <c r="V211">
        <v>0</v>
      </c>
      <c r="W211">
        <v>0</v>
      </c>
      <c r="X211">
        <v>1</v>
      </c>
      <c r="Z211">
        <v>0</v>
      </c>
      <c r="AA211">
        <v>9</v>
      </c>
      <c r="AB211">
        <v>3</v>
      </c>
      <c r="AC211">
        <v>0</v>
      </c>
      <c r="AD211">
        <v>10</v>
      </c>
      <c r="AE211">
        <v>0</v>
      </c>
      <c r="AF211">
        <v>3</v>
      </c>
      <c r="AG211">
        <v>2</v>
      </c>
      <c r="AH211">
        <v>0</v>
      </c>
      <c r="AI211" t="s">
        <v>520</v>
      </c>
      <c r="AJ211">
        <v>39.177610999999999</v>
      </c>
      <c r="AK211" t="s">
        <v>521</v>
      </c>
      <c r="AL211">
        <v>-77.575363999999993</v>
      </c>
      <c r="AM211">
        <v>100</v>
      </c>
      <c r="AN211">
        <v>3700</v>
      </c>
      <c r="AO211" t="s">
        <v>115</v>
      </c>
      <c r="AP211">
        <v>139</v>
      </c>
      <c r="AQ211">
        <v>-33</v>
      </c>
      <c r="AR211">
        <v>384</v>
      </c>
      <c r="AZ211">
        <v>3614</v>
      </c>
      <c r="BA211">
        <v>1</v>
      </c>
      <c r="BB211" t="str">
        <f t="shared" si="11"/>
        <v xml:space="preserve">N959MJ  </v>
      </c>
      <c r="BC211">
        <v>1</v>
      </c>
      <c r="BE211">
        <v>0</v>
      </c>
      <c r="BF211">
        <v>0</v>
      </c>
      <c r="BG211">
        <v>0</v>
      </c>
      <c r="BH211">
        <v>3950</v>
      </c>
      <c r="BI211">
        <v>250</v>
      </c>
      <c r="BJ211">
        <v>1</v>
      </c>
      <c r="BK211">
        <v>1</v>
      </c>
      <c r="BL211">
        <v>1</v>
      </c>
      <c r="BM211">
        <v>0</v>
      </c>
      <c r="BP211">
        <v>0</v>
      </c>
      <c r="BQ211">
        <v>0</v>
      </c>
      <c r="BX211" t="str">
        <f>"13:53:52.289"</f>
        <v>13:53:52.289</v>
      </c>
      <c r="BY211" t="str">
        <f>"289532058"</f>
        <v>289532058</v>
      </c>
      <c r="CL211">
        <v>3</v>
      </c>
      <c r="CM211">
        <v>2</v>
      </c>
      <c r="CN211">
        <v>0</v>
      </c>
      <c r="CO211">
        <v>2</v>
      </c>
      <c r="CP211">
        <v>0</v>
      </c>
      <c r="CQ211">
        <v>7</v>
      </c>
      <c r="CR211" t="s">
        <v>116</v>
      </c>
      <c r="CS211">
        <v>525</v>
      </c>
      <c r="CT211">
        <v>2</v>
      </c>
      <c r="CU211" t="s">
        <v>140</v>
      </c>
      <c r="CV211" t="s">
        <v>141</v>
      </c>
      <c r="CY211">
        <v>13891487</v>
      </c>
      <c r="CZ211" t="s">
        <v>119</v>
      </c>
    </row>
    <row r="212" spans="1:104" x14ac:dyDescent="0.25">
      <c r="A212" t="str">
        <f>"13:53:53.563"</f>
        <v>13:53:53.563</v>
      </c>
      <c r="B212" t="s">
        <v>108</v>
      </c>
      <c r="C212" t="str">
        <f t="shared" si="10"/>
        <v>ffdfd3c0</v>
      </c>
      <c r="D212" t="s">
        <v>109</v>
      </c>
      <c r="E212">
        <v>4</v>
      </c>
      <c r="F212">
        <v>1004</v>
      </c>
      <c r="G212" t="s">
        <v>110</v>
      </c>
      <c r="J212" t="s">
        <v>111</v>
      </c>
      <c r="K212">
        <v>0</v>
      </c>
      <c r="L212">
        <v>3</v>
      </c>
      <c r="M212">
        <v>0</v>
      </c>
      <c r="N212">
        <v>2</v>
      </c>
      <c r="O212">
        <v>1</v>
      </c>
      <c r="P212">
        <v>0</v>
      </c>
      <c r="Q212">
        <v>0</v>
      </c>
      <c r="R212" t="s">
        <v>112</v>
      </c>
      <c r="S212" t="str">
        <f>"13:53:53.383"</f>
        <v>13:53:53.383</v>
      </c>
      <c r="T212" t="str">
        <f>"13:53:52.883"</f>
        <v>13:53:52.883</v>
      </c>
      <c r="U212" t="str">
        <f t="shared" si="9"/>
        <v>ad5732</v>
      </c>
      <c r="V212">
        <v>0</v>
      </c>
      <c r="W212">
        <v>0</v>
      </c>
      <c r="X212">
        <v>1</v>
      </c>
      <c r="Z212">
        <v>0</v>
      </c>
      <c r="AA212">
        <v>9</v>
      </c>
      <c r="AB212">
        <v>3</v>
      </c>
      <c r="AC212">
        <v>0</v>
      </c>
      <c r="AD212">
        <v>10</v>
      </c>
      <c r="AE212">
        <v>0</v>
      </c>
      <c r="AF212">
        <v>3</v>
      </c>
      <c r="AG212">
        <v>2</v>
      </c>
      <c r="AH212">
        <v>0</v>
      </c>
      <c r="AI212" t="s">
        <v>522</v>
      </c>
      <c r="AJ212">
        <v>39.177439</v>
      </c>
      <c r="AK212" t="s">
        <v>523</v>
      </c>
      <c r="AL212">
        <v>-77.574462999999994</v>
      </c>
      <c r="AM212">
        <v>100</v>
      </c>
      <c r="AN212">
        <v>3700</v>
      </c>
      <c r="AO212" t="s">
        <v>115</v>
      </c>
      <c r="AP212">
        <v>140</v>
      </c>
      <c r="AQ212">
        <v>-34</v>
      </c>
      <c r="AR212">
        <v>320</v>
      </c>
      <c r="AZ212">
        <v>3614</v>
      </c>
      <c r="BA212">
        <v>1</v>
      </c>
      <c r="BB212" t="str">
        <f t="shared" si="11"/>
        <v xml:space="preserve">N959MJ  </v>
      </c>
      <c r="BC212">
        <v>1</v>
      </c>
      <c r="BE212">
        <v>0</v>
      </c>
      <c r="BF212">
        <v>0</v>
      </c>
      <c r="BG212">
        <v>0</v>
      </c>
      <c r="BH212">
        <v>3975</v>
      </c>
      <c r="BI212">
        <v>275</v>
      </c>
      <c r="BJ212">
        <v>1</v>
      </c>
      <c r="BK212">
        <v>1</v>
      </c>
      <c r="BL212">
        <v>1</v>
      </c>
      <c r="BM212">
        <v>0</v>
      </c>
      <c r="BP212">
        <v>0</v>
      </c>
      <c r="BQ212">
        <v>0</v>
      </c>
      <c r="BX212" t="str">
        <f>"13:53:53.383"</f>
        <v>13:53:53.383</v>
      </c>
      <c r="BY212" t="str">
        <f>"385638791"</f>
        <v>385638791</v>
      </c>
      <c r="CL212">
        <v>3</v>
      </c>
      <c r="CM212">
        <v>2</v>
      </c>
      <c r="CN212">
        <v>0</v>
      </c>
      <c r="CO212">
        <v>2</v>
      </c>
      <c r="CP212">
        <v>0</v>
      </c>
      <c r="CQ212">
        <v>7</v>
      </c>
      <c r="CR212" t="s">
        <v>116</v>
      </c>
      <c r="CS212">
        <v>525</v>
      </c>
      <c r="CT212">
        <v>2</v>
      </c>
      <c r="CU212" t="s">
        <v>140</v>
      </c>
      <c r="CV212" t="s">
        <v>141</v>
      </c>
      <c r="CY212">
        <v>13893148</v>
      </c>
      <c r="CZ212" t="s">
        <v>119</v>
      </c>
    </row>
    <row r="213" spans="1:104" x14ac:dyDescent="0.25">
      <c r="A213" t="str">
        <f>"13:53:54.625"</f>
        <v>13:53:54.625</v>
      </c>
      <c r="B213" t="s">
        <v>108</v>
      </c>
      <c r="C213" t="str">
        <f t="shared" si="10"/>
        <v>ffdfd3c0</v>
      </c>
      <c r="D213" t="s">
        <v>109</v>
      </c>
      <c r="E213">
        <v>4</v>
      </c>
      <c r="F213">
        <v>1004</v>
      </c>
      <c r="G213" t="s">
        <v>110</v>
      </c>
      <c r="J213" t="s">
        <v>111</v>
      </c>
      <c r="K213">
        <v>0</v>
      </c>
      <c r="L213">
        <v>3</v>
      </c>
      <c r="M213">
        <v>0</v>
      </c>
      <c r="N213">
        <v>2</v>
      </c>
      <c r="O213">
        <v>1</v>
      </c>
      <c r="P213">
        <v>0</v>
      </c>
      <c r="Q213">
        <v>0</v>
      </c>
      <c r="R213" t="s">
        <v>112</v>
      </c>
      <c r="S213" t="str">
        <f>"13:53:54.453"</f>
        <v>13:53:54.453</v>
      </c>
      <c r="T213" t="str">
        <f>"13:53:53.953"</f>
        <v>13:53:53.953</v>
      </c>
      <c r="U213" t="str">
        <f t="shared" si="9"/>
        <v>ad5732</v>
      </c>
      <c r="V213">
        <v>0</v>
      </c>
      <c r="W213">
        <v>0</v>
      </c>
      <c r="X213">
        <v>1</v>
      </c>
      <c r="Z213">
        <v>0</v>
      </c>
      <c r="AA213">
        <v>9</v>
      </c>
      <c r="AB213">
        <v>3</v>
      </c>
      <c r="AC213">
        <v>0</v>
      </c>
      <c r="AD213">
        <v>10</v>
      </c>
      <c r="AE213">
        <v>0</v>
      </c>
      <c r="AF213">
        <v>3</v>
      </c>
      <c r="AG213">
        <v>2</v>
      </c>
      <c r="AH213">
        <v>0</v>
      </c>
      <c r="AI213" t="s">
        <v>524</v>
      </c>
      <c r="AJ213">
        <v>39.177289000000002</v>
      </c>
      <c r="AK213" t="s">
        <v>525</v>
      </c>
      <c r="AL213">
        <v>-77.573605000000001</v>
      </c>
      <c r="AM213">
        <v>100</v>
      </c>
      <c r="AN213">
        <v>3700</v>
      </c>
      <c r="AO213" t="s">
        <v>115</v>
      </c>
      <c r="AP213">
        <v>141</v>
      </c>
      <c r="AQ213">
        <v>-34</v>
      </c>
      <c r="AR213">
        <v>256</v>
      </c>
      <c r="AZ213">
        <v>3614</v>
      </c>
      <c r="BA213">
        <v>1</v>
      </c>
      <c r="BB213" t="str">
        <f t="shared" si="11"/>
        <v xml:space="preserve">N959MJ  </v>
      </c>
      <c r="BC213">
        <v>1</v>
      </c>
      <c r="BE213">
        <v>0</v>
      </c>
      <c r="BF213">
        <v>0</v>
      </c>
      <c r="BG213">
        <v>0</v>
      </c>
      <c r="BH213">
        <v>3975</v>
      </c>
      <c r="BI213">
        <v>275</v>
      </c>
      <c r="BJ213">
        <v>1</v>
      </c>
      <c r="BK213">
        <v>1</v>
      </c>
      <c r="BL213">
        <v>1</v>
      </c>
      <c r="BM213">
        <v>0</v>
      </c>
      <c r="BP213">
        <v>0</v>
      </c>
      <c r="BQ213">
        <v>0</v>
      </c>
      <c r="BX213" t="str">
        <f>"13:53:54.461"</f>
        <v>13:53:54.461</v>
      </c>
      <c r="BY213" t="str">
        <f>"460446037"</f>
        <v>460446037</v>
      </c>
      <c r="CL213">
        <v>3</v>
      </c>
      <c r="CM213">
        <v>2</v>
      </c>
      <c r="CN213">
        <v>0</v>
      </c>
      <c r="CO213">
        <v>2</v>
      </c>
      <c r="CP213">
        <v>0</v>
      </c>
      <c r="CQ213">
        <v>7</v>
      </c>
      <c r="CR213" t="s">
        <v>116</v>
      </c>
      <c r="CS213">
        <v>525</v>
      </c>
      <c r="CT213">
        <v>2</v>
      </c>
      <c r="CU213" t="s">
        <v>140</v>
      </c>
      <c r="CV213" t="s">
        <v>141</v>
      </c>
      <c r="CY213">
        <v>13894657</v>
      </c>
      <c r="CZ213" t="s">
        <v>119</v>
      </c>
    </row>
    <row r="214" spans="1:104" x14ac:dyDescent="0.25">
      <c r="A214" t="str">
        <f>"13:53:55.688"</f>
        <v>13:53:55.688</v>
      </c>
      <c r="B214" t="s">
        <v>108</v>
      </c>
      <c r="C214" t="str">
        <f t="shared" si="10"/>
        <v>ffdfd3c0</v>
      </c>
      <c r="D214" t="s">
        <v>109</v>
      </c>
      <c r="E214">
        <v>4</v>
      </c>
      <c r="F214">
        <v>1004</v>
      </c>
      <c r="G214" t="s">
        <v>110</v>
      </c>
      <c r="J214" t="s">
        <v>111</v>
      </c>
      <c r="K214">
        <v>0</v>
      </c>
      <c r="L214">
        <v>3</v>
      </c>
      <c r="M214">
        <v>0</v>
      </c>
      <c r="N214">
        <v>2</v>
      </c>
      <c r="O214">
        <v>1</v>
      </c>
      <c r="P214">
        <v>0</v>
      </c>
      <c r="Q214">
        <v>0</v>
      </c>
      <c r="R214" t="s">
        <v>112</v>
      </c>
      <c r="S214" t="str">
        <f>"13:53:55.500"</f>
        <v>13:53:55.500</v>
      </c>
      <c r="T214" t="str">
        <f>"13:53:55.102"</f>
        <v>13:53:55.102</v>
      </c>
      <c r="U214" t="str">
        <f t="shared" si="9"/>
        <v>ad5732</v>
      </c>
      <c r="V214">
        <v>0</v>
      </c>
      <c r="W214">
        <v>0</v>
      </c>
      <c r="X214">
        <v>1</v>
      </c>
      <c r="Z214">
        <v>0</v>
      </c>
      <c r="AA214">
        <v>9</v>
      </c>
      <c r="AB214">
        <v>3</v>
      </c>
      <c r="AC214">
        <v>0</v>
      </c>
      <c r="AD214">
        <v>10</v>
      </c>
      <c r="AE214">
        <v>0</v>
      </c>
      <c r="AF214">
        <v>3</v>
      </c>
      <c r="AG214">
        <v>2</v>
      </c>
      <c r="AH214">
        <v>0</v>
      </c>
      <c r="AI214" t="s">
        <v>526</v>
      </c>
      <c r="AJ214">
        <v>39.177117000000003</v>
      </c>
      <c r="AK214" t="s">
        <v>527</v>
      </c>
      <c r="AL214">
        <v>-77.572682</v>
      </c>
      <c r="AM214">
        <v>100</v>
      </c>
      <c r="AN214">
        <v>3800</v>
      </c>
      <c r="AO214" t="s">
        <v>115</v>
      </c>
      <c r="AP214">
        <v>142</v>
      </c>
      <c r="AQ214">
        <v>-35</v>
      </c>
      <c r="AR214">
        <v>320</v>
      </c>
      <c r="AZ214">
        <v>3614</v>
      </c>
      <c r="BA214">
        <v>1</v>
      </c>
      <c r="BB214" t="str">
        <f t="shared" si="11"/>
        <v xml:space="preserve">N959MJ  </v>
      </c>
      <c r="BC214">
        <v>1</v>
      </c>
      <c r="BE214">
        <v>0</v>
      </c>
      <c r="BF214">
        <v>0</v>
      </c>
      <c r="BG214">
        <v>0</v>
      </c>
      <c r="BH214">
        <v>3975</v>
      </c>
      <c r="BI214">
        <v>175</v>
      </c>
      <c r="BJ214">
        <v>1</v>
      </c>
      <c r="BK214">
        <v>1</v>
      </c>
      <c r="BL214">
        <v>1</v>
      </c>
      <c r="BM214">
        <v>0</v>
      </c>
      <c r="BP214">
        <v>0</v>
      </c>
      <c r="BQ214">
        <v>0</v>
      </c>
      <c r="BX214" t="str">
        <f>"13:53:55.508"</f>
        <v>13:53:55.508</v>
      </c>
      <c r="BY214" t="str">
        <f>"504123151"</f>
        <v>504123151</v>
      </c>
      <c r="CL214">
        <v>3</v>
      </c>
      <c r="CM214">
        <v>2</v>
      </c>
      <c r="CN214">
        <v>0</v>
      </c>
      <c r="CO214">
        <v>2</v>
      </c>
      <c r="CP214">
        <v>0</v>
      </c>
      <c r="CQ214">
        <v>7</v>
      </c>
      <c r="CR214" t="s">
        <v>116</v>
      </c>
      <c r="CS214">
        <v>525</v>
      </c>
      <c r="CT214">
        <v>2</v>
      </c>
      <c r="CU214" t="s">
        <v>140</v>
      </c>
      <c r="CV214" t="s">
        <v>141</v>
      </c>
      <c r="CY214">
        <v>13896302</v>
      </c>
      <c r="CZ214" t="s">
        <v>119</v>
      </c>
    </row>
    <row r="215" spans="1:104" x14ac:dyDescent="0.25">
      <c r="A215" t="str">
        <f>"13:53:56.797"</f>
        <v>13:53:56.797</v>
      </c>
      <c r="B215" t="s">
        <v>108</v>
      </c>
      <c r="C215" t="str">
        <f t="shared" si="10"/>
        <v>ffdfd3c0</v>
      </c>
      <c r="D215" t="s">
        <v>109</v>
      </c>
      <c r="E215">
        <v>4</v>
      </c>
      <c r="F215">
        <v>1004</v>
      </c>
      <c r="G215" t="s">
        <v>110</v>
      </c>
      <c r="J215" t="s">
        <v>111</v>
      </c>
      <c r="K215">
        <v>0</v>
      </c>
      <c r="L215">
        <v>3</v>
      </c>
      <c r="M215">
        <v>0</v>
      </c>
      <c r="N215">
        <v>2</v>
      </c>
      <c r="O215">
        <v>1</v>
      </c>
      <c r="P215">
        <v>0</v>
      </c>
      <c r="Q215">
        <v>0</v>
      </c>
      <c r="R215" t="s">
        <v>112</v>
      </c>
      <c r="S215" t="str">
        <f>"13:53:56.594"</f>
        <v>13:53:56.594</v>
      </c>
      <c r="T215" t="str">
        <f>"13:53:56.094"</f>
        <v>13:53:56.094</v>
      </c>
      <c r="U215" t="str">
        <f t="shared" si="9"/>
        <v>ad5732</v>
      </c>
      <c r="V215">
        <v>0</v>
      </c>
      <c r="W215">
        <v>0</v>
      </c>
      <c r="X215">
        <v>1</v>
      </c>
      <c r="Z215">
        <v>0</v>
      </c>
      <c r="AA215">
        <v>9</v>
      </c>
      <c r="AB215">
        <v>3</v>
      </c>
      <c r="AC215">
        <v>0</v>
      </c>
      <c r="AD215">
        <v>10</v>
      </c>
      <c r="AE215">
        <v>0</v>
      </c>
      <c r="AF215">
        <v>3</v>
      </c>
      <c r="AG215">
        <v>2</v>
      </c>
      <c r="AH215">
        <v>0</v>
      </c>
      <c r="AI215" t="s">
        <v>472</v>
      </c>
      <c r="AJ215">
        <v>39.176924</v>
      </c>
      <c r="AK215" t="s">
        <v>528</v>
      </c>
      <c r="AL215">
        <v>-77.571781000000001</v>
      </c>
      <c r="AM215">
        <v>100</v>
      </c>
      <c r="AN215">
        <v>3800</v>
      </c>
      <c r="AO215" t="s">
        <v>115</v>
      </c>
      <c r="AP215">
        <v>143</v>
      </c>
      <c r="AQ215">
        <v>-35</v>
      </c>
      <c r="AR215">
        <v>320</v>
      </c>
      <c r="AZ215">
        <v>3614</v>
      </c>
      <c r="BA215">
        <v>1</v>
      </c>
      <c r="BB215" t="str">
        <f t="shared" si="11"/>
        <v xml:space="preserve">N959MJ  </v>
      </c>
      <c r="BC215">
        <v>1</v>
      </c>
      <c r="BE215">
        <v>0</v>
      </c>
      <c r="BF215">
        <v>0</v>
      </c>
      <c r="BG215">
        <v>0</v>
      </c>
      <c r="BH215">
        <v>3975</v>
      </c>
      <c r="BI215">
        <v>175</v>
      </c>
      <c r="BJ215">
        <v>1</v>
      </c>
      <c r="BK215">
        <v>1</v>
      </c>
      <c r="BL215">
        <v>1</v>
      </c>
      <c r="BM215">
        <v>0</v>
      </c>
      <c r="BP215">
        <v>0</v>
      </c>
      <c r="BQ215">
        <v>0</v>
      </c>
      <c r="BX215" t="str">
        <f>"13:53:56.594"</f>
        <v>13:53:56.594</v>
      </c>
      <c r="BY215" t="str">
        <f>"596952979"</f>
        <v>596952979</v>
      </c>
      <c r="CL215">
        <v>3</v>
      </c>
      <c r="CM215">
        <v>2</v>
      </c>
      <c r="CN215">
        <v>0</v>
      </c>
      <c r="CO215">
        <v>2</v>
      </c>
      <c r="CP215">
        <v>0</v>
      </c>
      <c r="CQ215">
        <v>7</v>
      </c>
      <c r="CR215" t="s">
        <v>116</v>
      </c>
      <c r="CS215">
        <v>525</v>
      </c>
      <c r="CT215">
        <v>2</v>
      </c>
      <c r="CU215" t="s">
        <v>140</v>
      </c>
      <c r="CV215" t="s">
        <v>141</v>
      </c>
      <c r="CY215">
        <v>13898005</v>
      </c>
      <c r="CZ215" t="s">
        <v>119</v>
      </c>
    </row>
    <row r="216" spans="1:104" x14ac:dyDescent="0.25">
      <c r="A216" t="str">
        <f>"13:53:57.805"</f>
        <v>13:53:57.805</v>
      </c>
      <c r="B216" t="s">
        <v>108</v>
      </c>
      <c r="C216" t="str">
        <f t="shared" si="10"/>
        <v>ffdfd3c0</v>
      </c>
      <c r="D216" t="s">
        <v>109</v>
      </c>
      <c r="E216">
        <v>4</v>
      </c>
      <c r="F216">
        <v>1004</v>
      </c>
      <c r="G216" t="s">
        <v>110</v>
      </c>
      <c r="J216" t="s">
        <v>111</v>
      </c>
      <c r="K216">
        <v>0</v>
      </c>
      <c r="L216">
        <v>3</v>
      </c>
      <c r="M216">
        <v>0</v>
      </c>
      <c r="N216">
        <v>2</v>
      </c>
      <c r="O216">
        <v>1</v>
      </c>
      <c r="P216">
        <v>0</v>
      </c>
      <c r="Q216">
        <v>0</v>
      </c>
      <c r="R216" t="s">
        <v>112</v>
      </c>
      <c r="S216" t="str">
        <f>"13:53:57.625"</f>
        <v>13:53:57.625</v>
      </c>
      <c r="T216" t="str">
        <f>"13:53:57.227"</f>
        <v>13:53:57.227</v>
      </c>
      <c r="U216" t="str">
        <f t="shared" si="9"/>
        <v>ad5732</v>
      </c>
      <c r="V216">
        <v>0</v>
      </c>
      <c r="W216">
        <v>0</v>
      </c>
      <c r="X216">
        <v>1</v>
      </c>
      <c r="Z216">
        <v>0</v>
      </c>
      <c r="AA216">
        <v>9</v>
      </c>
      <c r="AB216">
        <v>3</v>
      </c>
      <c r="AC216">
        <v>0</v>
      </c>
      <c r="AD216">
        <v>10</v>
      </c>
      <c r="AE216">
        <v>0</v>
      </c>
      <c r="AF216">
        <v>3</v>
      </c>
      <c r="AG216">
        <v>2</v>
      </c>
      <c r="AH216">
        <v>0</v>
      </c>
      <c r="AI216" t="s">
        <v>529</v>
      </c>
      <c r="AJ216">
        <v>39.176730999999997</v>
      </c>
      <c r="AK216" t="s">
        <v>530</v>
      </c>
      <c r="AL216">
        <v>-77.570921999999996</v>
      </c>
      <c r="AM216">
        <v>100</v>
      </c>
      <c r="AN216">
        <v>3800</v>
      </c>
      <c r="AO216" t="s">
        <v>115</v>
      </c>
      <c r="AP216">
        <v>144</v>
      </c>
      <c r="AQ216">
        <v>-35</v>
      </c>
      <c r="AR216">
        <v>384</v>
      </c>
      <c r="AZ216">
        <v>3614</v>
      </c>
      <c r="BA216">
        <v>1</v>
      </c>
      <c r="BB216" t="str">
        <f t="shared" si="11"/>
        <v xml:space="preserve">N959MJ  </v>
      </c>
      <c r="BC216">
        <v>1</v>
      </c>
      <c r="BE216">
        <v>0</v>
      </c>
      <c r="BF216">
        <v>0</v>
      </c>
      <c r="BG216">
        <v>0</v>
      </c>
      <c r="BH216">
        <v>4000</v>
      </c>
      <c r="BI216">
        <v>200</v>
      </c>
      <c r="BJ216">
        <v>1</v>
      </c>
      <c r="BK216">
        <v>1</v>
      </c>
      <c r="BL216">
        <v>1</v>
      </c>
      <c r="BM216">
        <v>0</v>
      </c>
      <c r="BP216">
        <v>0</v>
      </c>
      <c r="BQ216">
        <v>0</v>
      </c>
      <c r="BX216" t="str">
        <f>"13:53:57.633"</f>
        <v>13:53:57.633</v>
      </c>
      <c r="BY216" t="str">
        <f>"630799583"</f>
        <v>630799583</v>
      </c>
      <c r="CL216">
        <v>3</v>
      </c>
      <c r="CM216">
        <v>2</v>
      </c>
      <c r="CN216">
        <v>0</v>
      </c>
      <c r="CO216">
        <v>2</v>
      </c>
      <c r="CP216">
        <v>0</v>
      </c>
      <c r="CQ216">
        <v>6</v>
      </c>
      <c r="CR216" t="s">
        <v>116</v>
      </c>
      <c r="CS216">
        <v>525</v>
      </c>
      <c r="CT216">
        <v>2</v>
      </c>
      <c r="CU216" t="s">
        <v>140</v>
      </c>
      <c r="CV216" t="s">
        <v>141</v>
      </c>
      <c r="CY216">
        <v>13899517</v>
      </c>
      <c r="CZ216" t="s">
        <v>119</v>
      </c>
    </row>
    <row r="217" spans="1:104" x14ac:dyDescent="0.25">
      <c r="A217" t="str">
        <f>"13:53:58.719"</f>
        <v>13:53:58.719</v>
      </c>
      <c r="B217" t="s">
        <v>108</v>
      </c>
      <c r="C217" t="str">
        <f t="shared" si="10"/>
        <v>ffdfd3c0</v>
      </c>
      <c r="D217" t="s">
        <v>109</v>
      </c>
      <c r="E217">
        <v>4</v>
      </c>
      <c r="F217">
        <v>1004</v>
      </c>
      <c r="G217" t="s">
        <v>110</v>
      </c>
      <c r="J217" t="s">
        <v>111</v>
      </c>
      <c r="K217">
        <v>0</v>
      </c>
      <c r="L217">
        <v>3</v>
      </c>
      <c r="M217">
        <v>0</v>
      </c>
      <c r="N217">
        <v>2</v>
      </c>
      <c r="O217">
        <v>1</v>
      </c>
      <c r="P217">
        <v>0</v>
      </c>
      <c r="Q217">
        <v>0</v>
      </c>
      <c r="R217" t="s">
        <v>112</v>
      </c>
      <c r="S217" t="str">
        <f>"13:53:58.523"</f>
        <v>13:53:58.523</v>
      </c>
      <c r="T217" t="str">
        <f>"13:53:58.125"</f>
        <v>13:53:58.125</v>
      </c>
      <c r="U217" t="str">
        <f t="shared" si="9"/>
        <v>ad5732</v>
      </c>
      <c r="V217">
        <v>0</v>
      </c>
      <c r="W217">
        <v>0</v>
      </c>
      <c r="X217">
        <v>1</v>
      </c>
      <c r="Z217">
        <v>0</v>
      </c>
      <c r="AA217">
        <v>9</v>
      </c>
      <c r="AB217">
        <v>3</v>
      </c>
      <c r="AC217">
        <v>0</v>
      </c>
      <c r="AD217">
        <v>10</v>
      </c>
      <c r="AE217">
        <v>0</v>
      </c>
      <c r="AF217">
        <v>3</v>
      </c>
      <c r="AG217">
        <v>2</v>
      </c>
      <c r="AH217">
        <v>0</v>
      </c>
      <c r="AI217" t="s">
        <v>531</v>
      </c>
      <c r="AJ217">
        <v>39.176602000000003</v>
      </c>
      <c r="AK217" t="s">
        <v>532</v>
      </c>
      <c r="AL217">
        <v>-77.570106999999993</v>
      </c>
      <c r="AM217">
        <v>100</v>
      </c>
      <c r="AN217">
        <v>3800</v>
      </c>
      <c r="AO217" t="s">
        <v>115</v>
      </c>
      <c r="AP217">
        <v>145</v>
      </c>
      <c r="AQ217">
        <v>-34</v>
      </c>
      <c r="AR217">
        <v>384</v>
      </c>
      <c r="AZ217">
        <v>3614</v>
      </c>
      <c r="BA217">
        <v>1</v>
      </c>
      <c r="BB217" t="str">
        <f t="shared" si="11"/>
        <v xml:space="preserve">N959MJ  </v>
      </c>
      <c r="BC217">
        <v>1</v>
      </c>
      <c r="BE217">
        <v>0</v>
      </c>
      <c r="BF217">
        <v>0</v>
      </c>
      <c r="BG217">
        <v>0</v>
      </c>
      <c r="BH217">
        <v>4000</v>
      </c>
      <c r="BI217">
        <v>200</v>
      </c>
      <c r="BJ217">
        <v>1</v>
      </c>
      <c r="BK217">
        <v>1</v>
      </c>
      <c r="BL217">
        <v>1</v>
      </c>
      <c r="BM217">
        <v>0</v>
      </c>
      <c r="BP217">
        <v>0</v>
      </c>
      <c r="BQ217">
        <v>0</v>
      </c>
      <c r="BX217" t="str">
        <f>"13:53:58.523"</f>
        <v>13:53:58.523</v>
      </c>
      <c r="BY217" t="str">
        <f>"523741495"</f>
        <v>523741495</v>
      </c>
      <c r="CL217">
        <v>3</v>
      </c>
      <c r="CM217">
        <v>2</v>
      </c>
      <c r="CN217">
        <v>0</v>
      </c>
      <c r="CO217">
        <v>2</v>
      </c>
      <c r="CP217">
        <v>0</v>
      </c>
      <c r="CQ217">
        <v>6</v>
      </c>
      <c r="CR217" t="s">
        <v>116</v>
      </c>
      <c r="CS217">
        <v>525</v>
      </c>
      <c r="CT217">
        <v>2</v>
      </c>
      <c r="CU217" t="s">
        <v>140</v>
      </c>
      <c r="CV217" t="s">
        <v>141</v>
      </c>
      <c r="CY217">
        <v>13900779</v>
      </c>
      <c r="CZ217" t="s">
        <v>119</v>
      </c>
    </row>
    <row r="218" spans="1:104" x14ac:dyDescent="0.25">
      <c r="A218" t="str">
        <f>"13:53:59.727"</f>
        <v>13:53:59.727</v>
      </c>
      <c r="B218" t="s">
        <v>108</v>
      </c>
      <c r="C218" t="str">
        <f t="shared" si="10"/>
        <v>ffdfd3c0</v>
      </c>
      <c r="D218" t="s">
        <v>109</v>
      </c>
      <c r="E218">
        <v>4</v>
      </c>
      <c r="F218">
        <v>1004</v>
      </c>
      <c r="G218" t="s">
        <v>110</v>
      </c>
      <c r="J218" t="s">
        <v>111</v>
      </c>
      <c r="K218">
        <v>0</v>
      </c>
      <c r="L218">
        <v>3</v>
      </c>
      <c r="M218">
        <v>0</v>
      </c>
      <c r="N218">
        <v>2</v>
      </c>
      <c r="O218">
        <v>1</v>
      </c>
      <c r="P218">
        <v>0</v>
      </c>
      <c r="Q218">
        <v>0</v>
      </c>
      <c r="R218" t="s">
        <v>112</v>
      </c>
      <c r="S218" t="str">
        <f>"13:53:59.523"</f>
        <v>13:53:59.523</v>
      </c>
      <c r="T218" t="str">
        <f>"13:53:59.023"</f>
        <v>13:53:59.023</v>
      </c>
      <c r="U218" t="str">
        <f t="shared" si="9"/>
        <v>ad5732</v>
      </c>
      <c r="V218">
        <v>0</v>
      </c>
      <c r="W218">
        <v>0</v>
      </c>
      <c r="X218">
        <v>1</v>
      </c>
      <c r="Z218">
        <v>0</v>
      </c>
      <c r="AA218">
        <v>9</v>
      </c>
      <c r="AB218">
        <v>3</v>
      </c>
      <c r="AC218">
        <v>0</v>
      </c>
      <c r="AD218">
        <v>10</v>
      </c>
      <c r="AE218">
        <v>0</v>
      </c>
      <c r="AF218">
        <v>3</v>
      </c>
      <c r="AG218">
        <v>2</v>
      </c>
      <c r="AH218">
        <v>0</v>
      </c>
      <c r="AI218" t="s">
        <v>533</v>
      </c>
      <c r="AJ218">
        <v>39.176473999999999</v>
      </c>
      <c r="AK218" t="s">
        <v>534</v>
      </c>
      <c r="AL218">
        <v>-77.569270000000003</v>
      </c>
      <c r="AM218">
        <v>100</v>
      </c>
      <c r="AN218">
        <v>3800</v>
      </c>
      <c r="AO218" t="s">
        <v>115</v>
      </c>
      <c r="AP218">
        <v>146</v>
      </c>
      <c r="AQ218">
        <v>-31</v>
      </c>
      <c r="AR218">
        <v>576</v>
      </c>
      <c r="AZ218">
        <v>3614</v>
      </c>
      <c r="BA218">
        <v>1</v>
      </c>
      <c r="BB218" t="str">
        <f t="shared" si="11"/>
        <v xml:space="preserve">N959MJ  </v>
      </c>
      <c r="BC218">
        <v>1</v>
      </c>
      <c r="BE218">
        <v>0</v>
      </c>
      <c r="BF218">
        <v>0</v>
      </c>
      <c r="BG218">
        <v>0</v>
      </c>
      <c r="BH218">
        <v>4000</v>
      </c>
      <c r="BI218">
        <v>200</v>
      </c>
      <c r="BJ218">
        <v>1</v>
      </c>
      <c r="BK218">
        <v>1</v>
      </c>
      <c r="BL218">
        <v>1</v>
      </c>
      <c r="BM218">
        <v>0</v>
      </c>
      <c r="BP218">
        <v>0</v>
      </c>
      <c r="BQ218">
        <v>0</v>
      </c>
      <c r="BX218" t="str">
        <f>"13:53:59.531"</f>
        <v>13:53:59.531</v>
      </c>
      <c r="BY218" t="str">
        <f>"529924369"</f>
        <v>529924369</v>
      </c>
      <c r="CL218">
        <v>3</v>
      </c>
      <c r="CM218">
        <v>2</v>
      </c>
      <c r="CN218">
        <v>0</v>
      </c>
      <c r="CO218">
        <v>2</v>
      </c>
      <c r="CP218">
        <v>0</v>
      </c>
      <c r="CQ218">
        <v>6</v>
      </c>
      <c r="CR218" t="s">
        <v>116</v>
      </c>
      <c r="CS218">
        <v>373</v>
      </c>
      <c r="CT218">
        <v>3</v>
      </c>
      <c r="CU218" t="s">
        <v>224</v>
      </c>
      <c r="CV218" t="s">
        <v>225</v>
      </c>
      <c r="CY218">
        <v>1720485</v>
      </c>
      <c r="CZ218" t="s">
        <v>119</v>
      </c>
    </row>
    <row r="219" spans="1:104" x14ac:dyDescent="0.25">
      <c r="A219" t="str">
        <f>"13:54:00.633"</f>
        <v>13:54:00.633</v>
      </c>
      <c r="B219" t="s">
        <v>108</v>
      </c>
      <c r="C219" t="str">
        <f t="shared" si="10"/>
        <v>ffdfd3c0</v>
      </c>
      <c r="D219" t="s">
        <v>109</v>
      </c>
      <c r="E219">
        <v>4</v>
      </c>
      <c r="F219">
        <v>1004</v>
      </c>
      <c r="G219" t="s">
        <v>110</v>
      </c>
      <c r="J219" t="s">
        <v>111</v>
      </c>
      <c r="K219">
        <v>0</v>
      </c>
      <c r="L219">
        <v>3</v>
      </c>
      <c r="M219">
        <v>0</v>
      </c>
      <c r="N219">
        <v>2</v>
      </c>
      <c r="O219">
        <v>1</v>
      </c>
      <c r="P219">
        <v>0</v>
      </c>
      <c r="Q219">
        <v>0</v>
      </c>
      <c r="R219" t="s">
        <v>112</v>
      </c>
      <c r="S219" t="str">
        <f>"13:54:00.453"</f>
        <v>13:54:00.453</v>
      </c>
      <c r="T219" t="str">
        <f>"13:54:00.055"</f>
        <v>13:54:00.055</v>
      </c>
      <c r="U219" t="str">
        <f t="shared" si="9"/>
        <v>ad5732</v>
      </c>
      <c r="V219">
        <v>0</v>
      </c>
      <c r="W219">
        <v>0</v>
      </c>
      <c r="X219">
        <v>1</v>
      </c>
      <c r="Z219">
        <v>0</v>
      </c>
      <c r="AA219">
        <v>9</v>
      </c>
      <c r="AB219">
        <v>3</v>
      </c>
      <c r="AC219">
        <v>0</v>
      </c>
      <c r="AD219">
        <v>10</v>
      </c>
      <c r="AE219">
        <v>0</v>
      </c>
      <c r="AF219">
        <v>3</v>
      </c>
      <c r="AG219">
        <v>2</v>
      </c>
      <c r="AH219">
        <v>0</v>
      </c>
      <c r="AI219" t="s">
        <v>535</v>
      </c>
      <c r="AJ219">
        <v>39.176366000000002</v>
      </c>
      <c r="AK219" t="s">
        <v>536</v>
      </c>
      <c r="AL219">
        <v>-77.568476000000004</v>
      </c>
      <c r="AM219">
        <v>100</v>
      </c>
      <c r="AN219">
        <v>3800</v>
      </c>
      <c r="AO219" t="s">
        <v>115</v>
      </c>
      <c r="AP219">
        <v>147</v>
      </c>
      <c r="AQ219">
        <v>-27</v>
      </c>
      <c r="AR219">
        <v>832</v>
      </c>
      <c r="AZ219">
        <v>3614</v>
      </c>
      <c r="BA219">
        <v>1</v>
      </c>
      <c r="BB219" t="str">
        <f t="shared" si="11"/>
        <v xml:space="preserve">N959MJ  </v>
      </c>
      <c r="BC219">
        <v>1</v>
      </c>
      <c r="BE219">
        <v>0</v>
      </c>
      <c r="BF219">
        <v>0</v>
      </c>
      <c r="BG219">
        <v>0</v>
      </c>
      <c r="BH219">
        <v>4025</v>
      </c>
      <c r="BI219">
        <v>225</v>
      </c>
      <c r="BJ219">
        <v>1</v>
      </c>
      <c r="BK219">
        <v>1</v>
      </c>
      <c r="BL219">
        <v>1</v>
      </c>
      <c r="BM219">
        <v>0</v>
      </c>
      <c r="BP219">
        <v>0</v>
      </c>
      <c r="BQ219">
        <v>0</v>
      </c>
      <c r="BX219" t="str">
        <f>"13:54:00.461"</f>
        <v>13:54:00.461</v>
      </c>
      <c r="BY219" t="str">
        <f>"458911587"</f>
        <v>458911587</v>
      </c>
      <c r="CL219">
        <v>3</v>
      </c>
      <c r="CM219">
        <v>2</v>
      </c>
      <c r="CN219">
        <v>0</v>
      </c>
      <c r="CO219">
        <v>2</v>
      </c>
      <c r="CP219">
        <v>0</v>
      </c>
      <c r="CQ219">
        <v>6</v>
      </c>
      <c r="CR219" t="s">
        <v>116</v>
      </c>
      <c r="CS219">
        <v>373</v>
      </c>
      <c r="CT219">
        <v>3</v>
      </c>
      <c r="CU219" t="s">
        <v>224</v>
      </c>
      <c r="CV219" t="s">
        <v>225</v>
      </c>
      <c r="CY219">
        <v>1722113</v>
      </c>
      <c r="CZ219" t="s">
        <v>119</v>
      </c>
    </row>
    <row r="220" spans="1:104" x14ac:dyDescent="0.25">
      <c r="A220" t="str">
        <f>"13:54:01.695"</f>
        <v>13:54:01.695</v>
      </c>
      <c r="B220" t="s">
        <v>108</v>
      </c>
      <c r="C220" t="str">
        <f t="shared" si="10"/>
        <v>ffdfd3c0</v>
      </c>
      <c r="D220" t="s">
        <v>109</v>
      </c>
      <c r="E220">
        <v>4</v>
      </c>
      <c r="F220">
        <v>1004</v>
      </c>
      <c r="G220" t="s">
        <v>110</v>
      </c>
      <c r="J220" t="s">
        <v>111</v>
      </c>
      <c r="K220">
        <v>0</v>
      </c>
      <c r="L220">
        <v>3</v>
      </c>
      <c r="M220">
        <v>0</v>
      </c>
      <c r="N220">
        <v>2</v>
      </c>
      <c r="O220">
        <v>1</v>
      </c>
      <c r="P220">
        <v>0</v>
      </c>
      <c r="Q220">
        <v>0</v>
      </c>
      <c r="R220" t="s">
        <v>112</v>
      </c>
      <c r="S220" t="str">
        <f>"13:54:01.508"</f>
        <v>13:54:01.508</v>
      </c>
      <c r="T220" t="str">
        <f>"13:54:01.008"</f>
        <v>13:54:01.008</v>
      </c>
      <c r="U220" t="str">
        <f t="shared" si="9"/>
        <v>ad5732</v>
      </c>
      <c r="V220">
        <v>0</v>
      </c>
      <c r="W220">
        <v>0</v>
      </c>
      <c r="X220">
        <v>1</v>
      </c>
      <c r="Z220">
        <v>0</v>
      </c>
      <c r="AA220">
        <v>9</v>
      </c>
      <c r="AB220">
        <v>3</v>
      </c>
      <c r="AC220">
        <v>0</v>
      </c>
      <c r="AD220">
        <v>10</v>
      </c>
      <c r="AE220">
        <v>0</v>
      </c>
      <c r="AF220">
        <v>3</v>
      </c>
      <c r="AG220">
        <v>2</v>
      </c>
      <c r="AH220">
        <v>0</v>
      </c>
      <c r="AI220" t="s">
        <v>537</v>
      </c>
      <c r="AJ220">
        <v>39.176279999999998</v>
      </c>
      <c r="AK220" t="s">
        <v>161</v>
      </c>
      <c r="AL220">
        <v>-77.567468000000005</v>
      </c>
      <c r="AM220">
        <v>100</v>
      </c>
      <c r="AN220">
        <v>3800</v>
      </c>
      <c r="AO220" t="s">
        <v>115</v>
      </c>
      <c r="AP220">
        <v>147</v>
      </c>
      <c r="AQ220">
        <v>-21</v>
      </c>
      <c r="AR220">
        <v>1280</v>
      </c>
      <c r="AZ220">
        <v>3614</v>
      </c>
      <c r="BA220">
        <v>1</v>
      </c>
      <c r="BB220" t="str">
        <f t="shared" si="11"/>
        <v xml:space="preserve">N959MJ  </v>
      </c>
      <c r="BC220">
        <v>1</v>
      </c>
      <c r="BE220">
        <v>0</v>
      </c>
      <c r="BF220">
        <v>0</v>
      </c>
      <c r="BG220">
        <v>0</v>
      </c>
      <c r="BH220">
        <v>4025</v>
      </c>
      <c r="BI220">
        <v>225</v>
      </c>
      <c r="BJ220">
        <v>1</v>
      </c>
      <c r="BK220">
        <v>1</v>
      </c>
      <c r="BL220">
        <v>1</v>
      </c>
      <c r="BM220">
        <v>0</v>
      </c>
      <c r="BP220">
        <v>0</v>
      </c>
      <c r="BQ220">
        <v>0</v>
      </c>
      <c r="BX220" t="str">
        <f>"13:54:01.508"</f>
        <v>13:54:01.508</v>
      </c>
      <c r="BY220" t="str">
        <f>"510973881"</f>
        <v>510973881</v>
      </c>
      <c r="CL220">
        <v>3</v>
      </c>
      <c r="CM220">
        <v>2</v>
      </c>
      <c r="CN220">
        <v>0</v>
      </c>
      <c r="CO220">
        <v>2</v>
      </c>
      <c r="CP220">
        <v>0</v>
      </c>
      <c r="CQ220">
        <v>5</v>
      </c>
      <c r="CR220" t="s">
        <v>116</v>
      </c>
      <c r="CS220">
        <v>379</v>
      </c>
      <c r="CT220">
        <v>3</v>
      </c>
      <c r="CU220" t="s">
        <v>538</v>
      </c>
      <c r="CV220" t="s">
        <v>539</v>
      </c>
      <c r="CY220">
        <v>3884144</v>
      </c>
      <c r="CZ220" t="s">
        <v>119</v>
      </c>
    </row>
    <row r="221" spans="1:104" x14ac:dyDescent="0.25">
      <c r="A221" t="str">
        <f>"13:54:02.703"</f>
        <v>13:54:02.703</v>
      </c>
      <c r="B221" t="s">
        <v>108</v>
      </c>
      <c r="C221" t="str">
        <f t="shared" si="10"/>
        <v>ffdfd3c0</v>
      </c>
      <c r="D221" t="s">
        <v>109</v>
      </c>
      <c r="E221">
        <v>4</v>
      </c>
      <c r="F221">
        <v>1004</v>
      </c>
      <c r="G221" t="s">
        <v>110</v>
      </c>
      <c r="J221" t="s">
        <v>111</v>
      </c>
      <c r="K221">
        <v>0</v>
      </c>
      <c r="L221">
        <v>3</v>
      </c>
      <c r="M221">
        <v>0</v>
      </c>
      <c r="N221">
        <v>2</v>
      </c>
      <c r="O221">
        <v>1</v>
      </c>
      <c r="P221">
        <v>0</v>
      </c>
      <c r="Q221">
        <v>0</v>
      </c>
      <c r="R221" t="s">
        <v>112</v>
      </c>
      <c r="S221" t="str">
        <f>"13:54:02.508"</f>
        <v>13:54:02.508</v>
      </c>
      <c r="T221" t="str">
        <f>"13:54:02.008"</f>
        <v>13:54:02.008</v>
      </c>
      <c r="U221" t="str">
        <f t="shared" si="9"/>
        <v>ad5732</v>
      </c>
      <c r="V221">
        <v>0</v>
      </c>
      <c r="W221">
        <v>0</v>
      </c>
      <c r="X221">
        <v>1</v>
      </c>
      <c r="Z221">
        <v>0</v>
      </c>
      <c r="AA221">
        <v>9</v>
      </c>
      <c r="AB221">
        <v>3</v>
      </c>
      <c r="AC221">
        <v>0</v>
      </c>
      <c r="AD221">
        <v>10</v>
      </c>
      <c r="AE221">
        <v>0</v>
      </c>
      <c r="AF221">
        <v>3</v>
      </c>
      <c r="AG221">
        <v>2</v>
      </c>
      <c r="AH221">
        <v>0</v>
      </c>
      <c r="AI221" t="s">
        <v>540</v>
      </c>
      <c r="AJ221">
        <v>39.176195</v>
      </c>
      <c r="AK221" t="s">
        <v>541</v>
      </c>
      <c r="AL221">
        <v>-77.566631000000001</v>
      </c>
      <c r="AM221">
        <v>100</v>
      </c>
      <c r="AN221">
        <v>3800</v>
      </c>
      <c r="AO221" t="s">
        <v>115</v>
      </c>
      <c r="AP221">
        <v>147</v>
      </c>
      <c r="AQ221">
        <v>-15</v>
      </c>
      <c r="AR221">
        <v>1472</v>
      </c>
      <c r="AZ221">
        <v>3614</v>
      </c>
      <c r="BA221">
        <v>1</v>
      </c>
      <c r="BB221" t="str">
        <f t="shared" si="11"/>
        <v xml:space="preserve">N959MJ  </v>
      </c>
      <c r="BC221">
        <v>1</v>
      </c>
      <c r="BE221">
        <v>0</v>
      </c>
      <c r="BF221">
        <v>0</v>
      </c>
      <c r="BG221">
        <v>0</v>
      </c>
      <c r="BH221">
        <v>4050</v>
      </c>
      <c r="BI221">
        <v>250</v>
      </c>
      <c r="BJ221">
        <v>1</v>
      </c>
      <c r="BK221">
        <v>1</v>
      </c>
      <c r="BL221">
        <v>1</v>
      </c>
      <c r="BM221">
        <v>0</v>
      </c>
      <c r="BP221">
        <v>0</v>
      </c>
      <c r="BQ221">
        <v>0</v>
      </c>
      <c r="BX221" t="str">
        <f>"13:54:02.508"</f>
        <v>13:54:02.508</v>
      </c>
      <c r="BY221" t="str">
        <f>"508392556"</f>
        <v>508392556</v>
      </c>
      <c r="CL221">
        <v>3</v>
      </c>
      <c r="CM221">
        <v>2</v>
      </c>
      <c r="CN221">
        <v>0</v>
      </c>
      <c r="CO221">
        <v>2</v>
      </c>
      <c r="CP221">
        <v>0</v>
      </c>
      <c r="CQ221">
        <v>5</v>
      </c>
      <c r="CR221" t="s">
        <v>116</v>
      </c>
      <c r="CS221">
        <v>525</v>
      </c>
      <c r="CT221">
        <v>2</v>
      </c>
      <c r="CU221" t="s">
        <v>140</v>
      </c>
      <c r="CV221" t="s">
        <v>141</v>
      </c>
      <c r="CY221">
        <v>13906766</v>
      </c>
      <c r="CZ221" t="s">
        <v>119</v>
      </c>
    </row>
    <row r="222" spans="1:104" x14ac:dyDescent="0.25">
      <c r="A222" t="str">
        <f>"13:54:03.609"</f>
        <v>13:54:03.609</v>
      </c>
      <c r="B222" t="s">
        <v>108</v>
      </c>
      <c r="C222" t="str">
        <f t="shared" si="10"/>
        <v>ffdfd3c0</v>
      </c>
      <c r="D222" t="s">
        <v>109</v>
      </c>
      <c r="E222">
        <v>4</v>
      </c>
      <c r="F222">
        <v>1004</v>
      </c>
      <c r="G222" t="s">
        <v>110</v>
      </c>
      <c r="J222" t="s">
        <v>111</v>
      </c>
      <c r="K222">
        <v>0</v>
      </c>
      <c r="L222">
        <v>3</v>
      </c>
      <c r="M222">
        <v>0</v>
      </c>
      <c r="N222">
        <v>2</v>
      </c>
      <c r="O222">
        <v>1</v>
      </c>
      <c r="P222">
        <v>0</v>
      </c>
      <c r="Q222">
        <v>0</v>
      </c>
      <c r="R222" t="s">
        <v>112</v>
      </c>
      <c r="S222" t="str">
        <f>"13:54:03.391"</f>
        <v>13:54:03.391</v>
      </c>
      <c r="T222" t="str">
        <f>"13:54:02.992"</f>
        <v>13:54:02.992</v>
      </c>
      <c r="U222" t="str">
        <f t="shared" si="9"/>
        <v>ad5732</v>
      </c>
      <c r="V222">
        <v>0</v>
      </c>
      <c r="W222">
        <v>0</v>
      </c>
      <c r="X222">
        <v>1</v>
      </c>
      <c r="Z222">
        <v>0</v>
      </c>
      <c r="AA222">
        <v>9</v>
      </c>
      <c r="AB222">
        <v>3</v>
      </c>
      <c r="AC222">
        <v>0</v>
      </c>
      <c r="AD222">
        <v>10</v>
      </c>
      <c r="AE222">
        <v>0</v>
      </c>
      <c r="AF222">
        <v>3</v>
      </c>
      <c r="AG222">
        <v>2</v>
      </c>
      <c r="AH222">
        <v>0</v>
      </c>
      <c r="AI222" t="s">
        <v>542</v>
      </c>
      <c r="AJ222">
        <v>39.176172999999999</v>
      </c>
      <c r="AK222" t="s">
        <v>147</v>
      </c>
      <c r="AL222">
        <v>-77.565858000000006</v>
      </c>
      <c r="AM222">
        <v>100</v>
      </c>
      <c r="AN222">
        <v>3800</v>
      </c>
      <c r="AO222" t="s">
        <v>115</v>
      </c>
      <c r="AP222">
        <v>147</v>
      </c>
      <c r="AQ222">
        <v>-10</v>
      </c>
      <c r="AR222">
        <v>1408</v>
      </c>
      <c r="AZ222">
        <v>3614</v>
      </c>
      <c r="BA222">
        <v>1</v>
      </c>
      <c r="BB222" t="str">
        <f t="shared" si="11"/>
        <v xml:space="preserve">N959MJ  </v>
      </c>
      <c r="BC222">
        <v>1</v>
      </c>
      <c r="BE222">
        <v>0</v>
      </c>
      <c r="BF222">
        <v>0</v>
      </c>
      <c r="BG222">
        <v>0</v>
      </c>
      <c r="BH222">
        <v>4075</v>
      </c>
      <c r="BI222">
        <v>275</v>
      </c>
      <c r="BJ222">
        <v>1</v>
      </c>
      <c r="BK222">
        <v>1</v>
      </c>
      <c r="BL222">
        <v>1</v>
      </c>
      <c r="BM222">
        <v>0</v>
      </c>
      <c r="BP222">
        <v>0</v>
      </c>
      <c r="BQ222">
        <v>0</v>
      </c>
      <c r="BX222" t="str">
        <f>"13:54:03.398"</f>
        <v>13:54:03.398</v>
      </c>
      <c r="BY222" t="str">
        <f>"396555998"</f>
        <v>396555998</v>
      </c>
      <c r="CL222">
        <v>3</v>
      </c>
      <c r="CM222">
        <v>2</v>
      </c>
      <c r="CN222">
        <v>0</v>
      </c>
      <c r="CO222">
        <v>2</v>
      </c>
      <c r="CP222">
        <v>0</v>
      </c>
      <c r="CQ222">
        <v>6</v>
      </c>
      <c r="CR222" t="s">
        <v>116</v>
      </c>
      <c r="CS222">
        <v>152</v>
      </c>
      <c r="CT222">
        <v>0</v>
      </c>
      <c r="CU222" t="s">
        <v>134</v>
      </c>
      <c r="CV222" t="s">
        <v>135</v>
      </c>
      <c r="CY222">
        <v>15978875</v>
      </c>
      <c r="CZ222" t="s">
        <v>119</v>
      </c>
    </row>
    <row r="223" spans="1:104" x14ac:dyDescent="0.25">
      <c r="A223" t="str">
        <f>"13:54:04.672"</f>
        <v>13:54:04.672</v>
      </c>
      <c r="B223" t="s">
        <v>108</v>
      </c>
      <c r="C223" t="str">
        <f t="shared" si="10"/>
        <v>ffdfd3c0</v>
      </c>
      <c r="D223" t="s">
        <v>109</v>
      </c>
      <c r="E223">
        <v>4</v>
      </c>
      <c r="F223">
        <v>1004</v>
      </c>
      <c r="G223" t="s">
        <v>110</v>
      </c>
      <c r="J223" t="s">
        <v>111</v>
      </c>
      <c r="K223">
        <v>0</v>
      </c>
      <c r="L223">
        <v>3</v>
      </c>
      <c r="M223">
        <v>0</v>
      </c>
      <c r="N223">
        <v>2</v>
      </c>
      <c r="O223">
        <v>1</v>
      </c>
      <c r="P223">
        <v>0</v>
      </c>
      <c r="Q223">
        <v>0</v>
      </c>
      <c r="R223" t="s">
        <v>112</v>
      </c>
      <c r="S223" t="str">
        <f>"13:54:04.477"</f>
        <v>13:54:04.477</v>
      </c>
      <c r="T223" t="str">
        <f>"13:54:03.977"</f>
        <v>13:54:03.977</v>
      </c>
      <c r="U223" t="str">
        <f t="shared" si="9"/>
        <v>ad5732</v>
      </c>
      <c r="V223">
        <v>0</v>
      </c>
      <c r="W223">
        <v>0</v>
      </c>
      <c r="X223">
        <v>1</v>
      </c>
      <c r="Z223">
        <v>0</v>
      </c>
      <c r="AA223">
        <v>9</v>
      </c>
      <c r="AB223">
        <v>3</v>
      </c>
      <c r="AC223">
        <v>0</v>
      </c>
      <c r="AD223">
        <v>10</v>
      </c>
      <c r="AE223">
        <v>0</v>
      </c>
      <c r="AF223">
        <v>3</v>
      </c>
      <c r="AG223">
        <v>2</v>
      </c>
      <c r="AH223">
        <v>0</v>
      </c>
      <c r="AI223" t="s">
        <v>540</v>
      </c>
      <c r="AJ223">
        <v>39.176195</v>
      </c>
      <c r="AK223" t="s">
        <v>543</v>
      </c>
      <c r="AL223">
        <v>-77.564850000000007</v>
      </c>
      <c r="AM223">
        <v>100</v>
      </c>
      <c r="AN223">
        <v>3900</v>
      </c>
      <c r="AO223" t="s">
        <v>115</v>
      </c>
      <c r="AP223">
        <v>148</v>
      </c>
      <c r="AQ223">
        <v>-4</v>
      </c>
      <c r="AR223">
        <v>1344</v>
      </c>
      <c r="AZ223">
        <v>3614</v>
      </c>
      <c r="BA223">
        <v>1</v>
      </c>
      <c r="BB223" t="str">
        <f t="shared" si="11"/>
        <v xml:space="preserve">N959MJ  </v>
      </c>
      <c r="BC223">
        <v>1</v>
      </c>
      <c r="BE223">
        <v>0</v>
      </c>
      <c r="BF223">
        <v>0</v>
      </c>
      <c r="BG223">
        <v>0</v>
      </c>
      <c r="BH223">
        <v>4100</v>
      </c>
      <c r="BI223">
        <v>200</v>
      </c>
      <c r="BJ223">
        <v>1</v>
      </c>
      <c r="BK223">
        <v>1</v>
      </c>
      <c r="BL223">
        <v>1</v>
      </c>
      <c r="BM223">
        <v>0</v>
      </c>
      <c r="BP223">
        <v>0</v>
      </c>
      <c r="BQ223">
        <v>0</v>
      </c>
      <c r="BX223" t="str">
        <f>"13:54:04.484"</f>
        <v>13:54:04.484</v>
      </c>
      <c r="BY223" t="str">
        <f>"481193627"</f>
        <v>481193627</v>
      </c>
      <c r="CL223">
        <v>3</v>
      </c>
      <c r="CM223">
        <v>2</v>
      </c>
      <c r="CN223">
        <v>0</v>
      </c>
      <c r="CO223">
        <v>2</v>
      </c>
      <c r="CP223">
        <v>0</v>
      </c>
      <c r="CQ223">
        <v>6</v>
      </c>
      <c r="CR223" t="s">
        <v>116</v>
      </c>
      <c r="CS223">
        <v>152</v>
      </c>
      <c r="CT223">
        <v>0</v>
      </c>
      <c r="CU223" t="s">
        <v>134</v>
      </c>
      <c r="CV223" t="s">
        <v>135</v>
      </c>
      <c r="CY223">
        <v>15980831</v>
      </c>
      <c r="CZ223" t="s">
        <v>119</v>
      </c>
    </row>
    <row r="224" spans="1:104" x14ac:dyDescent="0.25">
      <c r="A224" t="str">
        <f>"13:54:05.633"</f>
        <v>13:54:05.633</v>
      </c>
      <c r="B224" t="s">
        <v>108</v>
      </c>
      <c r="C224" t="str">
        <f t="shared" si="10"/>
        <v>ffdfd3c0</v>
      </c>
      <c r="D224" t="s">
        <v>109</v>
      </c>
      <c r="E224">
        <v>4</v>
      </c>
      <c r="F224">
        <v>1004</v>
      </c>
      <c r="G224" t="s">
        <v>110</v>
      </c>
      <c r="J224" t="s">
        <v>111</v>
      </c>
      <c r="K224">
        <v>0</v>
      </c>
      <c r="L224">
        <v>3</v>
      </c>
      <c r="M224">
        <v>0</v>
      </c>
      <c r="N224">
        <v>2</v>
      </c>
      <c r="O224">
        <v>1</v>
      </c>
      <c r="P224">
        <v>0</v>
      </c>
      <c r="Q224">
        <v>0</v>
      </c>
      <c r="R224" t="s">
        <v>112</v>
      </c>
      <c r="S224" t="str">
        <f>"13:54:05.469"</f>
        <v>13:54:05.469</v>
      </c>
      <c r="T224" t="str">
        <f>"13:54:05.070"</f>
        <v>13:54:05.070</v>
      </c>
      <c r="U224" t="str">
        <f t="shared" si="9"/>
        <v>ad5732</v>
      </c>
      <c r="V224">
        <v>0</v>
      </c>
      <c r="W224">
        <v>0</v>
      </c>
      <c r="X224">
        <v>1</v>
      </c>
      <c r="Z224">
        <v>0</v>
      </c>
      <c r="AA224">
        <v>9</v>
      </c>
      <c r="AB224">
        <v>3</v>
      </c>
      <c r="AC224">
        <v>0</v>
      </c>
      <c r="AD224">
        <v>10</v>
      </c>
      <c r="AE224">
        <v>0</v>
      </c>
      <c r="AF224">
        <v>3</v>
      </c>
      <c r="AG224">
        <v>2</v>
      </c>
      <c r="AH224">
        <v>0</v>
      </c>
      <c r="AI224" t="s">
        <v>540</v>
      </c>
      <c r="AJ224">
        <v>39.176195</v>
      </c>
      <c r="AK224" t="s">
        <v>544</v>
      </c>
      <c r="AL224">
        <v>-77.564013000000003</v>
      </c>
      <c r="AM224">
        <v>100</v>
      </c>
      <c r="AN224">
        <v>3900</v>
      </c>
      <c r="AO224" t="s">
        <v>115</v>
      </c>
      <c r="AP224">
        <v>147</v>
      </c>
      <c r="AQ224">
        <v>3</v>
      </c>
      <c r="AR224">
        <v>1216</v>
      </c>
      <c r="AZ224">
        <v>3614</v>
      </c>
      <c r="BA224">
        <v>1</v>
      </c>
      <c r="BB224" t="str">
        <f t="shared" si="11"/>
        <v xml:space="preserve">N959MJ  </v>
      </c>
      <c r="BC224">
        <v>1</v>
      </c>
      <c r="BE224">
        <v>0</v>
      </c>
      <c r="BF224">
        <v>0</v>
      </c>
      <c r="BG224">
        <v>0</v>
      </c>
      <c r="BH224">
        <v>4125</v>
      </c>
      <c r="BI224">
        <v>225</v>
      </c>
      <c r="BJ224">
        <v>1</v>
      </c>
      <c r="BK224">
        <v>1</v>
      </c>
      <c r="BL224">
        <v>1</v>
      </c>
      <c r="BM224">
        <v>0</v>
      </c>
      <c r="BP224">
        <v>0</v>
      </c>
      <c r="BQ224">
        <v>0</v>
      </c>
      <c r="BX224" t="str">
        <f>"13:54:05.469"</f>
        <v>13:54:05.469</v>
      </c>
      <c r="BY224" t="str">
        <f>"472441258"</f>
        <v>472441258</v>
      </c>
      <c r="CL224">
        <v>3</v>
      </c>
      <c r="CM224">
        <v>2</v>
      </c>
      <c r="CN224">
        <v>0</v>
      </c>
      <c r="CO224">
        <v>2</v>
      </c>
      <c r="CP224">
        <v>0</v>
      </c>
      <c r="CQ224">
        <v>6</v>
      </c>
      <c r="CR224" t="s">
        <v>116</v>
      </c>
      <c r="CS224">
        <v>152</v>
      </c>
      <c r="CT224">
        <v>0</v>
      </c>
      <c r="CU224" t="s">
        <v>134</v>
      </c>
      <c r="CV224" t="s">
        <v>135</v>
      </c>
      <c r="CY224">
        <v>15982620</v>
      </c>
      <c r="CZ224" t="s">
        <v>119</v>
      </c>
    </row>
    <row r="225" spans="1:104" x14ac:dyDescent="0.25">
      <c r="A225" t="str">
        <f>"13:54:06.594"</f>
        <v>13:54:06.594</v>
      </c>
      <c r="B225" t="s">
        <v>108</v>
      </c>
      <c r="C225" t="str">
        <f t="shared" si="10"/>
        <v>ffdfd3c0</v>
      </c>
      <c r="D225" t="s">
        <v>109</v>
      </c>
      <c r="E225">
        <v>4</v>
      </c>
      <c r="F225">
        <v>1004</v>
      </c>
      <c r="G225" t="s">
        <v>110</v>
      </c>
      <c r="J225" t="s">
        <v>111</v>
      </c>
      <c r="K225">
        <v>0</v>
      </c>
      <c r="L225">
        <v>3</v>
      </c>
      <c r="M225">
        <v>0</v>
      </c>
      <c r="N225">
        <v>2</v>
      </c>
      <c r="O225">
        <v>1</v>
      </c>
      <c r="P225">
        <v>0</v>
      </c>
      <c r="Q225">
        <v>0</v>
      </c>
      <c r="R225" t="s">
        <v>112</v>
      </c>
      <c r="S225" t="str">
        <f>"13:54:06.430"</f>
        <v>13:54:06.430</v>
      </c>
      <c r="T225" t="str">
        <f>"13:54:05.930"</f>
        <v>13:54:05.930</v>
      </c>
      <c r="U225" t="str">
        <f t="shared" si="9"/>
        <v>ad5732</v>
      </c>
      <c r="V225">
        <v>0</v>
      </c>
      <c r="W225">
        <v>0</v>
      </c>
      <c r="X225">
        <v>1</v>
      </c>
      <c r="Z225">
        <v>0</v>
      </c>
      <c r="AA225">
        <v>9</v>
      </c>
      <c r="AB225">
        <v>3</v>
      </c>
      <c r="AC225">
        <v>0</v>
      </c>
      <c r="AD225">
        <v>10</v>
      </c>
      <c r="AE225">
        <v>0</v>
      </c>
      <c r="AF225">
        <v>3</v>
      </c>
      <c r="AG225">
        <v>2</v>
      </c>
      <c r="AH225">
        <v>0</v>
      </c>
      <c r="AI225" t="s">
        <v>545</v>
      </c>
      <c r="AJ225">
        <v>39.176215999999997</v>
      </c>
      <c r="AK225" t="s">
        <v>546</v>
      </c>
      <c r="AL225">
        <v>-77.563241000000005</v>
      </c>
      <c r="AM225">
        <v>100</v>
      </c>
      <c r="AN225">
        <v>3900</v>
      </c>
      <c r="AO225" t="s">
        <v>115</v>
      </c>
      <c r="AP225">
        <v>147</v>
      </c>
      <c r="AQ225">
        <v>8</v>
      </c>
      <c r="AR225">
        <v>1152</v>
      </c>
      <c r="AZ225">
        <v>3614</v>
      </c>
      <c r="BA225">
        <v>1</v>
      </c>
      <c r="BB225" t="str">
        <f t="shared" si="11"/>
        <v xml:space="preserve">N959MJ  </v>
      </c>
      <c r="BC225">
        <v>1</v>
      </c>
      <c r="BE225">
        <v>0</v>
      </c>
      <c r="BF225">
        <v>0</v>
      </c>
      <c r="BG225">
        <v>0</v>
      </c>
      <c r="BH225">
        <v>4150</v>
      </c>
      <c r="BI225">
        <v>250</v>
      </c>
      <c r="BJ225">
        <v>1</v>
      </c>
      <c r="BK225">
        <v>1</v>
      </c>
      <c r="BL225">
        <v>1</v>
      </c>
      <c r="BM225">
        <v>0</v>
      </c>
      <c r="BP225">
        <v>0</v>
      </c>
      <c r="BQ225">
        <v>0</v>
      </c>
      <c r="BX225" t="str">
        <f>"13:54:06.430"</f>
        <v>13:54:06.430</v>
      </c>
      <c r="BY225" t="str">
        <f>"430920435"</f>
        <v>430920435</v>
      </c>
      <c r="CL225">
        <v>3</v>
      </c>
      <c r="CM225">
        <v>2</v>
      </c>
      <c r="CN225">
        <v>0</v>
      </c>
      <c r="CO225">
        <v>2</v>
      </c>
      <c r="CP225">
        <v>0</v>
      </c>
      <c r="CQ225">
        <v>6</v>
      </c>
      <c r="CR225" t="s">
        <v>116</v>
      </c>
      <c r="CS225">
        <v>152</v>
      </c>
      <c r="CT225">
        <v>0</v>
      </c>
      <c r="CU225" t="s">
        <v>134</v>
      </c>
      <c r="CV225" t="s">
        <v>135</v>
      </c>
      <c r="CY225">
        <v>15984286</v>
      </c>
      <c r="CZ225" t="s">
        <v>119</v>
      </c>
    </row>
    <row r="226" spans="1:104" x14ac:dyDescent="0.25">
      <c r="A226" t="str">
        <f>"13:54:07.547"</f>
        <v>13:54:07.547</v>
      </c>
      <c r="B226" t="s">
        <v>108</v>
      </c>
      <c r="C226" t="str">
        <f t="shared" si="10"/>
        <v>ffdfd3c0</v>
      </c>
      <c r="D226" t="s">
        <v>109</v>
      </c>
      <c r="E226">
        <v>4</v>
      </c>
      <c r="F226">
        <v>1004</v>
      </c>
      <c r="G226" t="s">
        <v>110</v>
      </c>
      <c r="J226" t="s">
        <v>111</v>
      </c>
      <c r="K226">
        <v>0</v>
      </c>
      <c r="L226">
        <v>3</v>
      </c>
      <c r="M226">
        <v>0</v>
      </c>
      <c r="N226">
        <v>2</v>
      </c>
      <c r="O226">
        <v>1</v>
      </c>
      <c r="P226">
        <v>0</v>
      </c>
      <c r="Q226">
        <v>0</v>
      </c>
      <c r="R226" t="s">
        <v>112</v>
      </c>
      <c r="S226" t="str">
        <f>"13:54:07.391"</f>
        <v>13:54:07.391</v>
      </c>
      <c r="T226" t="str">
        <f>"13:54:06.891"</f>
        <v>13:54:06.891</v>
      </c>
      <c r="U226" t="str">
        <f t="shared" si="9"/>
        <v>ad5732</v>
      </c>
      <c r="V226">
        <v>0</v>
      </c>
      <c r="W226">
        <v>0</v>
      </c>
      <c r="X226">
        <v>1</v>
      </c>
      <c r="Z226">
        <v>0</v>
      </c>
      <c r="AA226">
        <v>9</v>
      </c>
      <c r="AB226">
        <v>3</v>
      </c>
      <c r="AC226">
        <v>0</v>
      </c>
      <c r="AD226">
        <v>10</v>
      </c>
      <c r="AE226">
        <v>0</v>
      </c>
      <c r="AF226">
        <v>3</v>
      </c>
      <c r="AG226">
        <v>2</v>
      </c>
      <c r="AH226">
        <v>0</v>
      </c>
      <c r="AI226" t="s">
        <v>547</v>
      </c>
      <c r="AJ226">
        <v>39.176322999999996</v>
      </c>
      <c r="AK226" t="s">
        <v>548</v>
      </c>
      <c r="AL226">
        <v>-77.562318000000005</v>
      </c>
      <c r="AM226">
        <v>100</v>
      </c>
      <c r="AN226">
        <v>4000</v>
      </c>
      <c r="AO226" t="s">
        <v>115</v>
      </c>
      <c r="AP226">
        <v>147</v>
      </c>
      <c r="AQ226">
        <v>14</v>
      </c>
      <c r="AR226">
        <v>1088</v>
      </c>
      <c r="AZ226">
        <v>3614</v>
      </c>
      <c r="BA226">
        <v>1</v>
      </c>
      <c r="BB226" t="str">
        <f t="shared" si="11"/>
        <v xml:space="preserve">N959MJ  </v>
      </c>
      <c r="BC226">
        <v>1</v>
      </c>
      <c r="BE226">
        <v>0</v>
      </c>
      <c r="BF226">
        <v>0</v>
      </c>
      <c r="BG226">
        <v>0</v>
      </c>
      <c r="BH226">
        <v>4175</v>
      </c>
      <c r="BI226">
        <v>175</v>
      </c>
      <c r="BJ226">
        <v>1</v>
      </c>
      <c r="BK226">
        <v>1</v>
      </c>
      <c r="BL226">
        <v>1</v>
      </c>
      <c r="BM226">
        <v>0</v>
      </c>
      <c r="BP226">
        <v>0</v>
      </c>
      <c r="BQ226">
        <v>0</v>
      </c>
      <c r="BX226" t="str">
        <f>"13:54:07.391"</f>
        <v>13:54:07.391</v>
      </c>
      <c r="BY226" t="str">
        <f>"392728327"</f>
        <v>392728327</v>
      </c>
      <c r="CL226">
        <v>3</v>
      </c>
      <c r="CM226">
        <v>2</v>
      </c>
      <c r="CN226">
        <v>0</v>
      </c>
      <c r="CO226">
        <v>2</v>
      </c>
      <c r="CP226">
        <v>0</v>
      </c>
      <c r="CQ226">
        <v>6</v>
      </c>
      <c r="CR226" t="s">
        <v>116</v>
      </c>
      <c r="CS226">
        <v>373</v>
      </c>
      <c r="CT226">
        <v>3</v>
      </c>
      <c r="CU226" t="s">
        <v>224</v>
      </c>
      <c r="CV226" t="s">
        <v>225</v>
      </c>
      <c r="CY226">
        <v>1734618</v>
      </c>
      <c r="CZ226" t="s">
        <v>119</v>
      </c>
    </row>
    <row r="227" spans="1:104" x14ac:dyDescent="0.25">
      <c r="A227" t="str">
        <f>"13:54:08.656"</f>
        <v>13:54:08.656</v>
      </c>
      <c r="B227" t="s">
        <v>108</v>
      </c>
      <c r="C227" t="str">
        <f t="shared" si="10"/>
        <v>ffdfd3c0</v>
      </c>
      <c r="D227" t="s">
        <v>109</v>
      </c>
      <c r="E227">
        <v>4</v>
      </c>
      <c r="F227">
        <v>1004</v>
      </c>
      <c r="G227" t="s">
        <v>110</v>
      </c>
      <c r="J227" t="s">
        <v>111</v>
      </c>
      <c r="K227">
        <v>0</v>
      </c>
      <c r="L227">
        <v>3</v>
      </c>
      <c r="M227">
        <v>0</v>
      </c>
      <c r="N227">
        <v>2</v>
      </c>
      <c r="O227">
        <v>1</v>
      </c>
      <c r="P227">
        <v>0</v>
      </c>
      <c r="Q227">
        <v>0</v>
      </c>
      <c r="R227" t="s">
        <v>112</v>
      </c>
      <c r="S227" t="str">
        <f>"13:54:08.500"</f>
        <v>13:54:08.500</v>
      </c>
      <c r="T227" t="str">
        <f>"13:54:08.000"</f>
        <v>13:54:08.000</v>
      </c>
      <c r="U227" t="str">
        <f t="shared" si="9"/>
        <v>ad5732</v>
      </c>
      <c r="V227">
        <v>0</v>
      </c>
      <c r="W227">
        <v>0</v>
      </c>
      <c r="X227">
        <v>1</v>
      </c>
      <c r="Z227">
        <v>0</v>
      </c>
      <c r="AA227">
        <v>9</v>
      </c>
      <c r="AB227">
        <v>3</v>
      </c>
      <c r="AC227">
        <v>0</v>
      </c>
      <c r="AD227">
        <v>10</v>
      </c>
      <c r="AE227">
        <v>0</v>
      </c>
      <c r="AF227">
        <v>3</v>
      </c>
      <c r="AG227">
        <v>2</v>
      </c>
      <c r="AH227">
        <v>0</v>
      </c>
      <c r="AI227" t="s">
        <v>549</v>
      </c>
      <c r="AJ227">
        <v>39.176431000000001</v>
      </c>
      <c r="AK227" t="s">
        <v>550</v>
      </c>
      <c r="AL227">
        <v>-77.561395000000005</v>
      </c>
      <c r="AM227">
        <v>100</v>
      </c>
      <c r="AN227">
        <v>4000</v>
      </c>
      <c r="AO227" t="s">
        <v>115</v>
      </c>
      <c r="AP227">
        <v>146</v>
      </c>
      <c r="AQ227">
        <v>20</v>
      </c>
      <c r="AR227">
        <v>1024</v>
      </c>
      <c r="AZ227">
        <v>3614</v>
      </c>
      <c r="BA227">
        <v>1</v>
      </c>
      <c r="BB227" t="str">
        <f t="shared" si="11"/>
        <v xml:space="preserve">N959MJ  </v>
      </c>
      <c r="BC227">
        <v>1</v>
      </c>
      <c r="BE227">
        <v>0</v>
      </c>
      <c r="BF227">
        <v>0</v>
      </c>
      <c r="BG227">
        <v>0</v>
      </c>
      <c r="BH227">
        <v>4175</v>
      </c>
      <c r="BI227">
        <v>175</v>
      </c>
      <c r="BJ227">
        <v>1</v>
      </c>
      <c r="BK227">
        <v>1</v>
      </c>
      <c r="BL227">
        <v>1</v>
      </c>
      <c r="BM227">
        <v>0</v>
      </c>
      <c r="BP227">
        <v>0</v>
      </c>
      <c r="BQ227">
        <v>0</v>
      </c>
      <c r="BX227" t="str">
        <f>"13:54:08.508"</f>
        <v>13:54:08.508</v>
      </c>
      <c r="BY227" t="str">
        <f>"506857765"</f>
        <v>506857765</v>
      </c>
      <c r="CL227">
        <v>3</v>
      </c>
      <c r="CM227">
        <v>2</v>
      </c>
      <c r="CN227">
        <v>0</v>
      </c>
      <c r="CO227">
        <v>2</v>
      </c>
      <c r="CP227">
        <v>0</v>
      </c>
      <c r="CQ227">
        <v>5</v>
      </c>
      <c r="CR227" t="s">
        <v>116</v>
      </c>
      <c r="CS227">
        <v>373</v>
      </c>
      <c r="CT227">
        <v>3</v>
      </c>
      <c r="CU227" t="s">
        <v>224</v>
      </c>
      <c r="CV227" t="s">
        <v>225</v>
      </c>
      <c r="CY227">
        <v>1736708</v>
      </c>
      <c r="CZ227" t="s">
        <v>119</v>
      </c>
    </row>
    <row r="228" spans="1:104" x14ac:dyDescent="0.25">
      <c r="A228" t="str">
        <f>"13:54:09.773"</f>
        <v>13:54:09.773</v>
      </c>
      <c r="B228" t="s">
        <v>108</v>
      </c>
      <c r="C228" t="str">
        <f t="shared" si="10"/>
        <v>ffdfd3c0</v>
      </c>
      <c r="D228" t="s">
        <v>109</v>
      </c>
      <c r="E228">
        <v>4</v>
      </c>
      <c r="F228">
        <v>1004</v>
      </c>
      <c r="G228" t="s">
        <v>110</v>
      </c>
      <c r="J228" t="s">
        <v>111</v>
      </c>
      <c r="K228">
        <v>0</v>
      </c>
      <c r="L228">
        <v>3</v>
      </c>
      <c r="M228">
        <v>0</v>
      </c>
      <c r="N228">
        <v>2</v>
      </c>
      <c r="O228">
        <v>1</v>
      </c>
      <c r="P228">
        <v>0</v>
      </c>
      <c r="Q228">
        <v>0</v>
      </c>
      <c r="R228" t="s">
        <v>112</v>
      </c>
      <c r="S228" t="str">
        <f>"13:54:09.617"</f>
        <v>13:54:09.617</v>
      </c>
      <c r="T228" t="str">
        <f>"13:54:09.117"</f>
        <v>13:54:09.117</v>
      </c>
      <c r="U228" t="str">
        <f t="shared" si="9"/>
        <v>ad5732</v>
      </c>
      <c r="V228">
        <v>0</v>
      </c>
      <c r="W228">
        <v>0</v>
      </c>
      <c r="X228">
        <v>1</v>
      </c>
      <c r="Z228">
        <v>0</v>
      </c>
      <c r="AA228">
        <v>9</v>
      </c>
      <c r="AB228">
        <v>3</v>
      </c>
      <c r="AC228">
        <v>0</v>
      </c>
      <c r="AD228">
        <v>10</v>
      </c>
      <c r="AE228">
        <v>0</v>
      </c>
      <c r="AF228">
        <v>3</v>
      </c>
      <c r="AG228">
        <v>2</v>
      </c>
      <c r="AH228">
        <v>0</v>
      </c>
      <c r="AI228" t="s">
        <v>551</v>
      </c>
      <c r="AJ228">
        <v>39.176538000000001</v>
      </c>
      <c r="AK228" t="s">
        <v>552</v>
      </c>
      <c r="AL228">
        <v>-77.560429999999997</v>
      </c>
      <c r="AM228">
        <v>100</v>
      </c>
      <c r="AN228">
        <v>4000</v>
      </c>
      <c r="AO228" t="s">
        <v>115</v>
      </c>
      <c r="AP228">
        <v>145</v>
      </c>
      <c r="AQ228">
        <v>26</v>
      </c>
      <c r="AR228">
        <v>896</v>
      </c>
      <c r="AZ228">
        <v>3614</v>
      </c>
      <c r="BA228">
        <v>1</v>
      </c>
      <c r="BB228" t="str">
        <f t="shared" si="11"/>
        <v xml:space="preserve">N959MJ  </v>
      </c>
      <c r="BC228">
        <v>1</v>
      </c>
      <c r="BE228">
        <v>0</v>
      </c>
      <c r="BF228">
        <v>0</v>
      </c>
      <c r="BG228">
        <v>0</v>
      </c>
      <c r="BH228">
        <v>4200</v>
      </c>
      <c r="BI228">
        <v>200</v>
      </c>
      <c r="BJ228">
        <v>1</v>
      </c>
      <c r="BK228">
        <v>1</v>
      </c>
      <c r="BL228">
        <v>1</v>
      </c>
      <c r="BM228">
        <v>0</v>
      </c>
      <c r="BP228">
        <v>0</v>
      </c>
      <c r="BQ228">
        <v>0</v>
      </c>
      <c r="BX228" t="str">
        <f>"13:54:09.625"</f>
        <v>13:54:09.625</v>
      </c>
      <c r="BY228" t="str">
        <f>"624074529"</f>
        <v>624074529</v>
      </c>
      <c r="CL228">
        <v>3</v>
      </c>
      <c r="CM228">
        <v>2</v>
      </c>
      <c r="CN228">
        <v>0</v>
      </c>
      <c r="CO228">
        <v>2</v>
      </c>
      <c r="CP228">
        <v>0</v>
      </c>
      <c r="CQ228">
        <v>6</v>
      </c>
      <c r="CR228" t="s">
        <v>116</v>
      </c>
      <c r="CS228">
        <v>525</v>
      </c>
      <c r="CT228">
        <v>2</v>
      </c>
      <c r="CU228" t="s">
        <v>140</v>
      </c>
      <c r="CV228" t="s">
        <v>141</v>
      </c>
      <c r="CY228">
        <v>13917378</v>
      </c>
      <c r="CZ228" t="s">
        <v>119</v>
      </c>
    </row>
    <row r="229" spans="1:104" x14ac:dyDescent="0.25">
      <c r="A229" t="str">
        <f>"13:54:10.984"</f>
        <v>13:54:10.984</v>
      </c>
      <c r="B229" t="s">
        <v>108</v>
      </c>
      <c r="C229" t="str">
        <f t="shared" si="10"/>
        <v>ffdfd3c0</v>
      </c>
      <c r="D229" t="s">
        <v>109</v>
      </c>
      <c r="E229">
        <v>4</v>
      </c>
      <c r="F229">
        <v>1004</v>
      </c>
      <c r="G229" t="s">
        <v>110</v>
      </c>
      <c r="J229" t="s">
        <v>111</v>
      </c>
      <c r="K229">
        <v>0</v>
      </c>
      <c r="L229">
        <v>3</v>
      </c>
      <c r="M229">
        <v>0</v>
      </c>
      <c r="N229">
        <v>2</v>
      </c>
      <c r="O229">
        <v>1</v>
      </c>
      <c r="P229">
        <v>0</v>
      </c>
      <c r="Q229">
        <v>0</v>
      </c>
      <c r="R229" t="s">
        <v>112</v>
      </c>
      <c r="S229" t="str">
        <f>"13:54:10.781"</f>
        <v>13:54:10.781</v>
      </c>
      <c r="T229" t="str">
        <f>"13:54:10.281"</f>
        <v>13:54:10.281</v>
      </c>
      <c r="U229" t="str">
        <f t="shared" si="9"/>
        <v>ad5732</v>
      </c>
      <c r="V229">
        <v>0</v>
      </c>
      <c r="W229">
        <v>0</v>
      </c>
      <c r="X229">
        <v>1</v>
      </c>
      <c r="Z229">
        <v>0</v>
      </c>
      <c r="AA229">
        <v>9</v>
      </c>
      <c r="AB229">
        <v>3</v>
      </c>
      <c r="AC229">
        <v>0</v>
      </c>
      <c r="AD229">
        <v>10</v>
      </c>
      <c r="AE229">
        <v>0</v>
      </c>
      <c r="AF229">
        <v>3</v>
      </c>
      <c r="AG229">
        <v>2</v>
      </c>
      <c r="AH229">
        <v>0</v>
      </c>
      <c r="AI229" t="s">
        <v>529</v>
      </c>
      <c r="AJ229">
        <v>39.176730999999997</v>
      </c>
      <c r="AK229" t="s">
        <v>553</v>
      </c>
      <c r="AL229">
        <v>-77.559377999999995</v>
      </c>
      <c r="AM229">
        <v>100</v>
      </c>
      <c r="AN229">
        <v>4000</v>
      </c>
      <c r="AO229" t="s">
        <v>115</v>
      </c>
      <c r="AP229">
        <v>145</v>
      </c>
      <c r="AQ229">
        <v>30</v>
      </c>
      <c r="AR229">
        <v>896</v>
      </c>
      <c r="AZ229">
        <v>3614</v>
      </c>
      <c r="BA229">
        <v>1</v>
      </c>
      <c r="BB229" t="str">
        <f t="shared" si="11"/>
        <v xml:space="preserve">N959MJ  </v>
      </c>
      <c r="BC229">
        <v>1</v>
      </c>
      <c r="BE229">
        <v>0</v>
      </c>
      <c r="BF229">
        <v>0</v>
      </c>
      <c r="BG229">
        <v>0</v>
      </c>
      <c r="BH229">
        <v>4225</v>
      </c>
      <c r="BI229">
        <v>225</v>
      </c>
      <c r="BJ229">
        <v>1</v>
      </c>
      <c r="BK229">
        <v>1</v>
      </c>
      <c r="BL229">
        <v>1</v>
      </c>
      <c r="BM229">
        <v>0</v>
      </c>
      <c r="BP229">
        <v>0</v>
      </c>
      <c r="BQ229">
        <v>0</v>
      </c>
      <c r="BX229" t="str">
        <f>"13:54:10.789"</f>
        <v>13:54:10.789</v>
      </c>
      <c r="BY229" t="str">
        <f>"788995078"</f>
        <v>788995078</v>
      </c>
      <c r="CL229">
        <v>3</v>
      </c>
      <c r="CM229">
        <v>2</v>
      </c>
      <c r="CN229">
        <v>0</v>
      </c>
      <c r="CO229">
        <v>2</v>
      </c>
      <c r="CP229">
        <v>0</v>
      </c>
      <c r="CQ229">
        <v>6</v>
      </c>
      <c r="CR229" t="s">
        <v>116</v>
      </c>
      <c r="CS229">
        <v>525</v>
      </c>
      <c r="CT229">
        <v>2</v>
      </c>
      <c r="CU229" t="s">
        <v>140</v>
      </c>
      <c r="CV229" t="s">
        <v>141</v>
      </c>
      <c r="CY229">
        <v>13919119</v>
      </c>
      <c r="CZ229" t="s">
        <v>119</v>
      </c>
    </row>
    <row r="230" spans="1:104" x14ac:dyDescent="0.25">
      <c r="A230" t="str">
        <f>"13:54:11.891"</f>
        <v>13:54:11.891</v>
      </c>
      <c r="B230" t="s">
        <v>108</v>
      </c>
      <c r="C230" t="str">
        <f t="shared" si="10"/>
        <v>ffdfd3c0</v>
      </c>
      <c r="D230" t="s">
        <v>109</v>
      </c>
      <c r="E230">
        <v>4</v>
      </c>
      <c r="F230">
        <v>1004</v>
      </c>
      <c r="G230" t="s">
        <v>110</v>
      </c>
      <c r="J230" t="s">
        <v>111</v>
      </c>
      <c r="K230">
        <v>0</v>
      </c>
      <c r="L230">
        <v>3</v>
      </c>
      <c r="M230">
        <v>0</v>
      </c>
      <c r="N230">
        <v>2</v>
      </c>
      <c r="O230">
        <v>1</v>
      </c>
      <c r="P230">
        <v>0</v>
      </c>
      <c r="Q230">
        <v>0</v>
      </c>
      <c r="R230" t="s">
        <v>112</v>
      </c>
      <c r="S230" t="str">
        <f>"13:54:11.727"</f>
        <v>13:54:11.727</v>
      </c>
      <c r="T230" t="str">
        <f>"13:54:11.227"</f>
        <v>13:54:11.227</v>
      </c>
      <c r="U230" t="str">
        <f t="shared" si="9"/>
        <v>ad5732</v>
      </c>
      <c r="V230">
        <v>0</v>
      </c>
      <c r="W230">
        <v>0</v>
      </c>
      <c r="X230">
        <v>1</v>
      </c>
      <c r="Z230">
        <v>0</v>
      </c>
      <c r="AA230">
        <v>9</v>
      </c>
      <c r="AB230">
        <v>3</v>
      </c>
      <c r="AC230">
        <v>0</v>
      </c>
      <c r="AD230">
        <v>10</v>
      </c>
      <c r="AE230">
        <v>0</v>
      </c>
      <c r="AF230">
        <v>3</v>
      </c>
      <c r="AG230">
        <v>2</v>
      </c>
      <c r="AH230">
        <v>0</v>
      </c>
      <c r="AI230" t="s">
        <v>554</v>
      </c>
      <c r="AJ230">
        <v>39.176881000000002</v>
      </c>
      <c r="AK230" t="s">
        <v>555</v>
      </c>
      <c r="AL230">
        <v>-77.558649000000003</v>
      </c>
      <c r="AM230">
        <v>100</v>
      </c>
      <c r="AN230">
        <v>4000</v>
      </c>
      <c r="AO230" t="s">
        <v>115</v>
      </c>
      <c r="AP230">
        <v>144</v>
      </c>
      <c r="AQ230">
        <v>33</v>
      </c>
      <c r="AR230">
        <v>960</v>
      </c>
      <c r="AZ230">
        <v>3614</v>
      </c>
      <c r="BA230">
        <v>1</v>
      </c>
      <c r="BB230" t="str">
        <f t="shared" si="11"/>
        <v xml:space="preserve">N959MJ  </v>
      </c>
      <c r="BC230">
        <v>1</v>
      </c>
      <c r="BE230">
        <v>0</v>
      </c>
      <c r="BF230">
        <v>0</v>
      </c>
      <c r="BG230">
        <v>0</v>
      </c>
      <c r="BH230">
        <v>4225</v>
      </c>
      <c r="BI230">
        <v>225</v>
      </c>
      <c r="BJ230">
        <v>1</v>
      </c>
      <c r="BK230">
        <v>1</v>
      </c>
      <c r="BL230">
        <v>1</v>
      </c>
      <c r="BM230">
        <v>0</v>
      </c>
      <c r="BP230">
        <v>0</v>
      </c>
      <c r="BQ230">
        <v>0</v>
      </c>
      <c r="BX230" t="str">
        <f>"13:54:11.734"</f>
        <v>13:54:11.734</v>
      </c>
      <c r="BY230" t="str">
        <f>"731107381"</f>
        <v>731107381</v>
      </c>
      <c r="CL230">
        <v>3</v>
      </c>
      <c r="CM230">
        <v>2</v>
      </c>
      <c r="CN230">
        <v>0</v>
      </c>
      <c r="CO230">
        <v>2</v>
      </c>
      <c r="CP230">
        <v>0</v>
      </c>
      <c r="CQ230">
        <v>7</v>
      </c>
      <c r="CR230" t="s">
        <v>116</v>
      </c>
      <c r="CS230">
        <v>147</v>
      </c>
      <c r="CT230">
        <v>3</v>
      </c>
      <c r="CU230" t="s">
        <v>117</v>
      </c>
      <c r="CV230" t="s">
        <v>118</v>
      </c>
      <c r="CY230">
        <v>16155912</v>
      </c>
      <c r="CZ230" t="s">
        <v>119</v>
      </c>
    </row>
    <row r="231" spans="1:104" x14ac:dyDescent="0.25">
      <c r="A231" t="str">
        <f>"13:54:13.000"</f>
        <v>13:54:13.000</v>
      </c>
      <c r="B231" t="s">
        <v>108</v>
      </c>
      <c r="C231" t="str">
        <f t="shared" si="10"/>
        <v>ffdfd3c0</v>
      </c>
      <c r="D231" t="s">
        <v>109</v>
      </c>
      <c r="E231">
        <v>4</v>
      </c>
      <c r="F231">
        <v>1004</v>
      </c>
      <c r="G231" t="s">
        <v>110</v>
      </c>
      <c r="J231" t="s">
        <v>111</v>
      </c>
      <c r="K231">
        <v>0</v>
      </c>
      <c r="L231">
        <v>3</v>
      </c>
      <c r="M231">
        <v>0</v>
      </c>
      <c r="N231">
        <v>2</v>
      </c>
      <c r="O231">
        <v>1</v>
      </c>
      <c r="P231">
        <v>0</v>
      </c>
      <c r="Q231">
        <v>0</v>
      </c>
      <c r="R231" t="s">
        <v>112</v>
      </c>
      <c r="S231" t="str">
        <f>"13:54:12.813"</f>
        <v>13:54:12.813</v>
      </c>
      <c r="T231" t="str">
        <f>"13:54:12.313"</f>
        <v>13:54:12.313</v>
      </c>
      <c r="U231" t="str">
        <f t="shared" si="9"/>
        <v>ad5732</v>
      </c>
      <c r="V231">
        <v>0</v>
      </c>
      <c r="W231">
        <v>0</v>
      </c>
      <c r="X231">
        <v>1</v>
      </c>
      <c r="Z231">
        <v>0</v>
      </c>
      <c r="AA231">
        <v>9</v>
      </c>
      <c r="AB231">
        <v>3</v>
      </c>
      <c r="AC231">
        <v>0</v>
      </c>
      <c r="AD231">
        <v>10</v>
      </c>
      <c r="AE231">
        <v>0</v>
      </c>
      <c r="AF231">
        <v>3</v>
      </c>
      <c r="AG231">
        <v>2</v>
      </c>
      <c r="AH231">
        <v>0</v>
      </c>
      <c r="AI231" t="s">
        <v>556</v>
      </c>
      <c r="AJ231">
        <v>39.177053000000001</v>
      </c>
      <c r="AK231" t="s">
        <v>557</v>
      </c>
      <c r="AL231">
        <v>-77.557682999999997</v>
      </c>
      <c r="AM231">
        <v>100</v>
      </c>
      <c r="AN231">
        <v>4000</v>
      </c>
      <c r="AO231" t="s">
        <v>115</v>
      </c>
      <c r="AP231">
        <v>144</v>
      </c>
      <c r="AQ231">
        <v>34</v>
      </c>
      <c r="AR231">
        <v>1024</v>
      </c>
      <c r="AZ231">
        <v>3614</v>
      </c>
      <c r="BA231">
        <v>1</v>
      </c>
      <c r="BB231" t="str">
        <f t="shared" si="11"/>
        <v xml:space="preserve">N959MJ  </v>
      </c>
      <c r="BC231">
        <v>1</v>
      </c>
      <c r="BE231">
        <v>0</v>
      </c>
      <c r="BF231">
        <v>0</v>
      </c>
      <c r="BG231">
        <v>0</v>
      </c>
      <c r="BH231">
        <v>4250</v>
      </c>
      <c r="BI231">
        <v>250</v>
      </c>
      <c r="BJ231">
        <v>1</v>
      </c>
      <c r="BK231">
        <v>1</v>
      </c>
      <c r="BL231">
        <v>1</v>
      </c>
      <c r="BM231">
        <v>0</v>
      </c>
      <c r="BP231">
        <v>0</v>
      </c>
      <c r="BQ231">
        <v>0</v>
      </c>
      <c r="BX231" t="str">
        <f>"13:54:12.813"</f>
        <v>13:54:12.813</v>
      </c>
      <c r="BY231" t="str">
        <f>"814106579"</f>
        <v>814106579</v>
      </c>
      <c r="CL231">
        <v>3</v>
      </c>
      <c r="CM231">
        <v>2</v>
      </c>
      <c r="CN231">
        <v>0</v>
      </c>
      <c r="CO231">
        <v>2</v>
      </c>
      <c r="CP231">
        <v>0</v>
      </c>
      <c r="CQ231">
        <v>7</v>
      </c>
      <c r="CR231" t="s">
        <v>116</v>
      </c>
      <c r="CS231">
        <v>147</v>
      </c>
      <c r="CT231">
        <v>3</v>
      </c>
      <c r="CU231" t="s">
        <v>117</v>
      </c>
      <c r="CV231" t="s">
        <v>118</v>
      </c>
      <c r="CY231">
        <v>16157592</v>
      </c>
      <c r="CZ231" t="s">
        <v>119</v>
      </c>
    </row>
    <row r="232" spans="1:104" x14ac:dyDescent="0.25">
      <c r="A232" t="str">
        <f>"13:54:13.813"</f>
        <v>13:54:13.813</v>
      </c>
      <c r="B232" t="s">
        <v>108</v>
      </c>
      <c r="C232" t="str">
        <f t="shared" si="10"/>
        <v>ffdfd3c0</v>
      </c>
      <c r="D232" t="s">
        <v>109</v>
      </c>
      <c r="E232">
        <v>4</v>
      </c>
      <c r="F232">
        <v>1004</v>
      </c>
      <c r="G232" t="s">
        <v>110</v>
      </c>
      <c r="J232" t="s">
        <v>111</v>
      </c>
      <c r="K232">
        <v>0</v>
      </c>
      <c r="L232">
        <v>3</v>
      </c>
      <c r="M232">
        <v>0</v>
      </c>
      <c r="N232">
        <v>2</v>
      </c>
      <c r="O232">
        <v>1</v>
      </c>
      <c r="P232">
        <v>0</v>
      </c>
      <c r="Q232">
        <v>0</v>
      </c>
      <c r="R232" t="s">
        <v>112</v>
      </c>
      <c r="S232" t="str">
        <f>"13:54:13.633"</f>
        <v>13:54:13.633</v>
      </c>
      <c r="T232" t="str">
        <f>"13:54:13.234"</f>
        <v>13:54:13.234</v>
      </c>
      <c r="U232" t="str">
        <f t="shared" si="9"/>
        <v>ad5732</v>
      </c>
      <c r="V232">
        <v>0</v>
      </c>
      <c r="W232">
        <v>0</v>
      </c>
      <c r="X232">
        <v>1</v>
      </c>
      <c r="Z232">
        <v>0</v>
      </c>
      <c r="AA232">
        <v>9</v>
      </c>
      <c r="AB232">
        <v>3</v>
      </c>
      <c r="AC232">
        <v>0</v>
      </c>
      <c r="AD232">
        <v>10</v>
      </c>
      <c r="AE232">
        <v>0</v>
      </c>
      <c r="AF232">
        <v>3</v>
      </c>
      <c r="AG232">
        <v>2</v>
      </c>
      <c r="AH232">
        <v>0</v>
      </c>
      <c r="AI232" t="s">
        <v>558</v>
      </c>
      <c r="AJ232">
        <v>39.177160000000001</v>
      </c>
      <c r="AK232" t="s">
        <v>559</v>
      </c>
      <c r="AL232">
        <v>-77.556995999999998</v>
      </c>
      <c r="AM232">
        <v>100</v>
      </c>
      <c r="AN232">
        <v>4000</v>
      </c>
      <c r="AO232" t="s">
        <v>115</v>
      </c>
      <c r="AP232">
        <v>143</v>
      </c>
      <c r="AQ232">
        <v>34</v>
      </c>
      <c r="AR232">
        <v>1088</v>
      </c>
      <c r="AZ232">
        <v>3614</v>
      </c>
      <c r="BA232">
        <v>1</v>
      </c>
      <c r="BB232" t="str">
        <f t="shared" si="11"/>
        <v xml:space="preserve">N959MJ  </v>
      </c>
      <c r="BC232">
        <v>1</v>
      </c>
      <c r="BE232">
        <v>0</v>
      </c>
      <c r="BF232">
        <v>0</v>
      </c>
      <c r="BG232">
        <v>0</v>
      </c>
      <c r="BH232">
        <v>4275</v>
      </c>
      <c r="BI232">
        <v>275</v>
      </c>
      <c r="BJ232">
        <v>1</v>
      </c>
      <c r="BK232">
        <v>1</v>
      </c>
      <c r="BL232">
        <v>1</v>
      </c>
      <c r="BM232">
        <v>0</v>
      </c>
      <c r="BP232">
        <v>0</v>
      </c>
      <c r="BQ232">
        <v>0</v>
      </c>
      <c r="BX232" t="str">
        <f>"13:54:13.633"</f>
        <v>13:54:13.633</v>
      </c>
      <c r="BY232" t="str">
        <f>"634940108"</f>
        <v>634940108</v>
      </c>
      <c r="CL232">
        <v>3</v>
      </c>
      <c r="CM232">
        <v>2</v>
      </c>
      <c r="CN232">
        <v>0</v>
      </c>
      <c r="CO232">
        <v>2</v>
      </c>
      <c r="CP232">
        <v>0</v>
      </c>
      <c r="CQ232">
        <v>6</v>
      </c>
      <c r="CR232" t="s">
        <v>116</v>
      </c>
      <c r="CS232">
        <v>525</v>
      </c>
      <c r="CT232">
        <v>2</v>
      </c>
      <c r="CU232" t="s">
        <v>140</v>
      </c>
      <c r="CV232" t="s">
        <v>141</v>
      </c>
      <c r="CY232">
        <v>13923127</v>
      </c>
      <c r="CZ232" t="s">
        <v>119</v>
      </c>
    </row>
    <row r="233" spans="1:104" x14ac:dyDescent="0.25">
      <c r="A233" t="str">
        <f>"13:54:14.719"</f>
        <v>13:54:14.719</v>
      </c>
      <c r="B233" t="s">
        <v>108</v>
      </c>
      <c r="C233" t="str">
        <f t="shared" si="10"/>
        <v>ffdfd3c0</v>
      </c>
      <c r="D233" t="s">
        <v>109</v>
      </c>
      <c r="E233">
        <v>4</v>
      </c>
      <c r="F233">
        <v>1004</v>
      </c>
      <c r="G233" t="s">
        <v>110</v>
      </c>
      <c r="J233" t="s">
        <v>111</v>
      </c>
      <c r="K233">
        <v>0</v>
      </c>
      <c r="L233">
        <v>3</v>
      </c>
      <c r="M233">
        <v>0</v>
      </c>
      <c r="N233">
        <v>2</v>
      </c>
      <c r="O233">
        <v>1</v>
      </c>
      <c r="P233">
        <v>0</v>
      </c>
      <c r="Q233">
        <v>0</v>
      </c>
      <c r="R233" t="s">
        <v>112</v>
      </c>
      <c r="S233" t="str">
        <f>"13:54:14.555"</f>
        <v>13:54:14.555</v>
      </c>
      <c r="T233" t="str">
        <f>"13:54:14.055"</f>
        <v>13:54:14.055</v>
      </c>
      <c r="U233" t="str">
        <f t="shared" si="9"/>
        <v>ad5732</v>
      </c>
      <c r="V233">
        <v>0</v>
      </c>
      <c r="W233">
        <v>0</v>
      </c>
      <c r="X233">
        <v>1</v>
      </c>
      <c r="Z233">
        <v>0</v>
      </c>
      <c r="AA233">
        <v>9</v>
      </c>
      <c r="AB233">
        <v>3</v>
      </c>
      <c r="AC233">
        <v>0</v>
      </c>
      <c r="AD233">
        <v>10</v>
      </c>
      <c r="AE233">
        <v>0</v>
      </c>
      <c r="AF233">
        <v>3</v>
      </c>
      <c r="AG233">
        <v>2</v>
      </c>
      <c r="AH233">
        <v>0</v>
      </c>
      <c r="AI233" t="s">
        <v>560</v>
      </c>
      <c r="AJ233">
        <v>39.177332</v>
      </c>
      <c r="AK233" t="s">
        <v>561</v>
      </c>
      <c r="AL233">
        <v>-77.556245000000004</v>
      </c>
      <c r="AM233">
        <v>100</v>
      </c>
      <c r="AN233">
        <v>4000</v>
      </c>
      <c r="AO233" t="s">
        <v>115</v>
      </c>
      <c r="AP233">
        <v>143</v>
      </c>
      <c r="AQ233">
        <v>34</v>
      </c>
      <c r="AR233">
        <v>1216</v>
      </c>
      <c r="AZ233">
        <v>3614</v>
      </c>
      <c r="BA233">
        <v>1</v>
      </c>
      <c r="BB233" t="str">
        <f t="shared" si="11"/>
        <v xml:space="preserve">N959MJ  </v>
      </c>
      <c r="BC233">
        <v>1</v>
      </c>
      <c r="BE233">
        <v>0</v>
      </c>
      <c r="BF233">
        <v>0</v>
      </c>
      <c r="BG233">
        <v>0</v>
      </c>
      <c r="BH233">
        <v>4275</v>
      </c>
      <c r="BI233">
        <v>275</v>
      </c>
      <c r="BJ233">
        <v>1</v>
      </c>
      <c r="BK233">
        <v>1</v>
      </c>
      <c r="BL233">
        <v>1</v>
      </c>
      <c r="BM233">
        <v>0</v>
      </c>
      <c r="BP233">
        <v>0</v>
      </c>
      <c r="BQ233">
        <v>0</v>
      </c>
      <c r="BX233" t="str">
        <f>"13:54:14.555"</f>
        <v>13:54:14.555</v>
      </c>
      <c r="BY233" t="str">
        <f>"557373665"</f>
        <v>557373665</v>
      </c>
      <c r="CL233">
        <v>3</v>
      </c>
      <c r="CM233">
        <v>2</v>
      </c>
      <c r="CN233">
        <v>0</v>
      </c>
      <c r="CO233">
        <v>2</v>
      </c>
      <c r="CP233">
        <v>0</v>
      </c>
      <c r="CQ233">
        <v>7</v>
      </c>
      <c r="CR233" t="s">
        <v>116</v>
      </c>
      <c r="CS233">
        <v>525</v>
      </c>
      <c r="CT233">
        <v>2</v>
      </c>
      <c r="CU233" t="s">
        <v>140</v>
      </c>
      <c r="CV233" t="s">
        <v>141</v>
      </c>
      <c r="CY233">
        <v>13924606</v>
      </c>
      <c r="CZ233" t="s">
        <v>119</v>
      </c>
    </row>
    <row r="234" spans="1:104" x14ac:dyDescent="0.25">
      <c r="A234" t="str">
        <f>"13:54:15.781"</f>
        <v>13:54:15.781</v>
      </c>
      <c r="B234" t="s">
        <v>108</v>
      </c>
      <c r="C234" t="str">
        <f t="shared" si="10"/>
        <v>ffdfd3c0</v>
      </c>
      <c r="D234" t="s">
        <v>109</v>
      </c>
      <c r="E234">
        <v>4</v>
      </c>
      <c r="F234">
        <v>1004</v>
      </c>
      <c r="G234" t="s">
        <v>110</v>
      </c>
      <c r="J234" t="s">
        <v>111</v>
      </c>
      <c r="K234">
        <v>0</v>
      </c>
      <c r="L234">
        <v>3</v>
      </c>
      <c r="M234">
        <v>0</v>
      </c>
      <c r="N234">
        <v>2</v>
      </c>
      <c r="O234">
        <v>1</v>
      </c>
      <c r="P234">
        <v>0</v>
      </c>
      <c r="Q234">
        <v>0</v>
      </c>
      <c r="R234" t="s">
        <v>112</v>
      </c>
      <c r="S234" t="str">
        <f>"13:54:15.586"</f>
        <v>13:54:15.586</v>
      </c>
      <c r="T234" t="str">
        <f>"13:54:15.086"</f>
        <v>13:54:15.086</v>
      </c>
      <c r="U234" t="str">
        <f t="shared" si="9"/>
        <v>ad5732</v>
      </c>
      <c r="V234">
        <v>0</v>
      </c>
      <c r="W234">
        <v>0</v>
      </c>
      <c r="X234">
        <v>1</v>
      </c>
      <c r="Z234">
        <v>0</v>
      </c>
      <c r="AA234">
        <v>9</v>
      </c>
      <c r="AB234">
        <v>3</v>
      </c>
      <c r="AC234">
        <v>0</v>
      </c>
      <c r="AD234">
        <v>10</v>
      </c>
      <c r="AE234">
        <v>0</v>
      </c>
      <c r="AF234">
        <v>3</v>
      </c>
      <c r="AG234">
        <v>2</v>
      </c>
      <c r="AH234">
        <v>0</v>
      </c>
      <c r="AI234" t="s">
        <v>562</v>
      </c>
      <c r="AJ234">
        <v>39.177481999999998</v>
      </c>
      <c r="AK234" t="s">
        <v>563</v>
      </c>
      <c r="AL234">
        <v>-77.555366000000006</v>
      </c>
      <c r="AM234">
        <v>100</v>
      </c>
      <c r="AN234">
        <v>4100</v>
      </c>
      <c r="AO234" t="s">
        <v>115</v>
      </c>
      <c r="AP234">
        <v>142</v>
      </c>
      <c r="AQ234">
        <v>35</v>
      </c>
      <c r="AR234">
        <v>1280</v>
      </c>
      <c r="AZ234">
        <v>3614</v>
      </c>
      <c r="BA234">
        <v>1</v>
      </c>
      <c r="BB234" t="str">
        <f t="shared" si="11"/>
        <v xml:space="preserve">N959MJ  </v>
      </c>
      <c r="BC234">
        <v>1</v>
      </c>
      <c r="BE234">
        <v>0</v>
      </c>
      <c r="BF234">
        <v>0</v>
      </c>
      <c r="BG234">
        <v>0</v>
      </c>
      <c r="BH234">
        <v>4300</v>
      </c>
      <c r="BI234">
        <v>200</v>
      </c>
      <c r="BJ234">
        <v>1</v>
      </c>
      <c r="BK234">
        <v>1</v>
      </c>
      <c r="BL234">
        <v>1</v>
      </c>
      <c r="BM234">
        <v>0</v>
      </c>
      <c r="BP234">
        <v>0</v>
      </c>
      <c r="BQ234">
        <v>0</v>
      </c>
      <c r="BX234" t="str">
        <f>"13:54:15.586"</f>
        <v>13:54:15.586</v>
      </c>
      <c r="BY234" t="str">
        <f>"586304878"</f>
        <v>586304878</v>
      </c>
      <c r="CL234">
        <v>3</v>
      </c>
      <c r="CM234">
        <v>2</v>
      </c>
      <c r="CN234">
        <v>0</v>
      </c>
      <c r="CO234">
        <v>2</v>
      </c>
      <c r="CP234">
        <v>0</v>
      </c>
      <c r="CQ234">
        <v>7</v>
      </c>
      <c r="CR234" t="s">
        <v>116</v>
      </c>
      <c r="CS234">
        <v>525</v>
      </c>
      <c r="CT234">
        <v>2</v>
      </c>
      <c r="CU234" t="s">
        <v>140</v>
      </c>
      <c r="CV234" t="s">
        <v>141</v>
      </c>
      <c r="CY234">
        <v>13926142</v>
      </c>
      <c r="CZ234" t="s">
        <v>119</v>
      </c>
    </row>
    <row r="235" spans="1:104" x14ac:dyDescent="0.25">
      <c r="A235" t="str">
        <f>"13:54:16.836"</f>
        <v>13:54:16.836</v>
      </c>
      <c r="B235" t="s">
        <v>108</v>
      </c>
      <c r="C235" t="str">
        <f t="shared" si="10"/>
        <v>ffdfd3c0</v>
      </c>
      <c r="D235" t="s">
        <v>109</v>
      </c>
      <c r="E235">
        <v>4</v>
      </c>
      <c r="F235">
        <v>1004</v>
      </c>
      <c r="G235" t="s">
        <v>110</v>
      </c>
      <c r="J235" t="s">
        <v>111</v>
      </c>
      <c r="K235">
        <v>0</v>
      </c>
      <c r="L235">
        <v>3</v>
      </c>
      <c r="M235">
        <v>0</v>
      </c>
      <c r="N235">
        <v>2</v>
      </c>
      <c r="O235">
        <v>1</v>
      </c>
      <c r="P235">
        <v>0</v>
      </c>
      <c r="Q235">
        <v>0</v>
      </c>
      <c r="R235" t="s">
        <v>112</v>
      </c>
      <c r="S235" t="str">
        <f>"13:54:16.664"</f>
        <v>13:54:16.664</v>
      </c>
      <c r="T235" t="str">
        <f>"13:54:16.164"</f>
        <v>13:54:16.164</v>
      </c>
      <c r="U235" t="str">
        <f t="shared" si="9"/>
        <v>ad5732</v>
      </c>
      <c r="V235">
        <v>0</v>
      </c>
      <c r="W235">
        <v>0</v>
      </c>
      <c r="X235">
        <v>1</v>
      </c>
      <c r="Z235">
        <v>0</v>
      </c>
      <c r="AA235">
        <v>9</v>
      </c>
      <c r="AB235">
        <v>3</v>
      </c>
      <c r="AC235">
        <v>0</v>
      </c>
      <c r="AD235">
        <v>10</v>
      </c>
      <c r="AE235">
        <v>0</v>
      </c>
      <c r="AF235">
        <v>3</v>
      </c>
      <c r="AG235">
        <v>2</v>
      </c>
      <c r="AH235">
        <v>0</v>
      </c>
      <c r="AI235" t="s">
        <v>564</v>
      </c>
      <c r="AJ235">
        <v>39.177675000000001</v>
      </c>
      <c r="AK235" t="s">
        <v>565</v>
      </c>
      <c r="AL235">
        <v>-77.554507000000001</v>
      </c>
      <c r="AM235">
        <v>100</v>
      </c>
      <c r="AN235">
        <v>4100</v>
      </c>
      <c r="AO235" t="s">
        <v>115</v>
      </c>
      <c r="AP235">
        <v>141</v>
      </c>
      <c r="AQ235">
        <v>35</v>
      </c>
      <c r="AR235">
        <v>1408</v>
      </c>
      <c r="AZ235">
        <v>3614</v>
      </c>
      <c r="BA235">
        <v>1</v>
      </c>
      <c r="BB235" t="str">
        <f t="shared" si="11"/>
        <v xml:space="preserve">N959MJ  </v>
      </c>
      <c r="BC235">
        <v>1</v>
      </c>
      <c r="BE235">
        <v>0</v>
      </c>
      <c r="BF235">
        <v>0</v>
      </c>
      <c r="BG235">
        <v>0</v>
      </c>
      <c r="BH235">
        <v>4325</v>
      </c>
      <c r="BI235">
        <v>225</v>
      </c>
      <c r="BJ235">
        <v>1</v>
      </c>
      <c r="BK235">
        <v>1</v>
      </c>
      <c r="BL235">
        <v>1</v>
      </c>
      <c r="BM235">
        <v>0</v>
      </c>
      <c r="BP235">
        <v>0</v>
      </c>
      <c r="BQ235">
        <v>0</v>
      </c>
      <c r="BX235" t="str">
        <f>"13:54:16.664"</f>
        <v>13:54:16.664</v>
      </c>
      <c r="BY235" t="str">
        <f>"667665755"</f>
        <v>667665755</v>
      </c>
      <c r="CL235">
        <v>3</v>
      </c>
      <c r="CM235">
        <v>2</v>
      </c>
      <c r="CN235">
        <v>0</v>
      </c>
      <c r="CO235">
        <v>2</v>
      </c>
      <c r="CP235">
        <v>0</v>
      </c>
      <c r="CQ235">
        <v>7</v>
      </c>
      <c r="CR235" t="s">
        <v>116</v>
      </c>
      <c r="CS235">
        <v>525</v>
      </c>
      <c r="CT235">
        <v>2</v>
      </c>
      <c r="CU235" t="s">
        <v>140</v>
      </c>
      <c r="CV235" t="s">
        <v>141</v>
      </c>
      <c r="CY235">
        <v>13927642</v>
      </c>
      <c r="CZ235" t="s">
        <v>119</v>
      </c>
    </row>
    <row r="236" spans="1:104" x14ac:dyDescent="0.25">
      <c r="A236" t="str">
        <f>"13:54:17.797"</f>
        <v>13:54:17.797</v>
      </c>
      <c r="B236" t="s">
        <v>108</v>
      </c>
      <c r="C236" t="str">
        <f t="shared" si="10"/>
        <v>ffdfd3c0</v>
      </c>
      <c r="D236" t="s">
        <v>109</v>
      </c>
      <c r="E236">
        <v>4</v>
      </c>
      <c r="F236">
        <v>1004</v>
      </c>
      <c r="G236" t="s">
        <v>110</v>
      </c>
      <c r="J236" t="s">
        <v>111</v>
      </c>
      <c r="K236">
        <v>0</v>
      </c>
      <c r="L236">
        <v>3</v>
      </c>
      <c r="M236">
        <v>0</v>
      </c>
      <c r="N236">
        <v>2</v>
      </c>
      <c r="O236">
        <v>1</v>
      </c>
      <c r="P236">
        <v>0</v>
      </c>
      <c r="Q236">
        <v>0</v>
      </c>
      <c r="R236" t="s">
        <v>112</v>
      </c>
      <c r="S236" t="str">
        <f>"13:54:17.641"</f>
        <v>13:54:17.641</v>
      </c>
      <c r="T236" t="str">
        <f>"13:54:17.242"</f>
        <v>13:54:17.242</v>
      </c>
      <c r="U236" t="str">
        <f t="shared" si="9"/>
        <v>ad5732</v>
      </c>
      <c r="V236">
        <v>0</v>
      </c>
      <c r="W236">
        <v>0</v>
      </c>
      <c r="X236">
        <v>1</v>
      </c>
      <c r="Z236">
        <v>0</v>
      </c>
      <c r="AA236">
        <v>9</v>
      </c>
      <c r="AB236">
        <v>3</v>
      </c>
      <c r="AC236">
        <v>0</v>
      </c>
      <c r="AD236">
        <v>10</v>
      </c>
      <c r="AE236">
        <v>0</v>
      </c>
      <c r="AF236">
        <v>3</v>
      </c>
      <c r="AG236">
        <v>2</v>
      </c>
      <c r="AH236">
        <v>0</v>
      </c>
      <c r="AI236" t="s">
        <v>566</v>
      </c>
      <c r="AJ236">
        <v>39.177804000000002</v>
      </c>
      <c r="AK236" t="s">
        <v>567</v>
      </c>
      <c r="AL236">
        <v>-77.553648999999993</v>
      </c>
      <c r="AM236">
        <v>100</v>
      </c>
      <c r="AN236">
        <v>4100</v>
      </c>
      <c r="AO236" t="s">
        <v>115</v>
      </c>
      <c r="AP236">
        <v>139</v>
      </c>
      <c r="AQ236">
        <v>36</v>
      </c>
      <c r="AR236">
        <v>1536</v>
      </c>
      <c r="AZ236">
        <v>3614</v>
      </c>
      <c r="BA236">
        <v>1</v>
      </c>
      <c r="BB236" t="str">
        <f t="shared" si="11"/>
        <v xml:space="preserve">N959MJ  </v>
      </c>
      <c r="BC236">
        <v>1</v>
      </c>
      <c r="BE236">
        <v>0</v>
      </c>
      <c r="BF236">
        <v>0</v>
      </c>
      <c r="BG236">
        <v>0</v>
      </c>
      <c r="BH236">
        <v>4350</v>
      </c>
      <c r="BI236">
        <v>250</v>
      </c>
      <c r="BJ236">
        <v>1</v>
      </c>
      <c r="BK236">
        <v>1</v>
      </c>
      <c r="BL236">
        <v>1</v>
      </c>
      <c r="BM236">
        <v>0</v>
      </c>
      <c r="BP236">
        <v>0</v>
      </c>
      <c r="BQ236">
        <v>0</v>
      </c>
      <c r="BX236" t="str">
        <f>"13:54:17.648"</f>
        <v>13:54:17.648</v>
      </c>
      <c r="BY236" t="str">
        <f>"645823106"</f>
        <v>645823106</v>
      </c>
      <c r="CL236">
        <v>3</v>
      </c>
      <c r="CM236">
        <v>2</v>
      </c>
      <c r="CN236">
        <v>0</v>
      </c>
      <c r="CO236">
        <v>2</v>
      </c>
      <c r="CP236">
        <v>0</v>
      </c>
      <c r="CQ236">
        <v>7</v>
      </c>
      <c r="CR236" t="s">
        <v>116</v>
      </c>
      <c r="CS236">
        <v>147</v>
      </c>
      <c r="CT236">
        <v>3</v>
      </c>
      <c r="CU236" t="s">
        <v>117</v>
      </c>
      <c r="CV236" t="s">
        <v>118</v>
      </c>
      <c r="CY236">
        <v>16165399</v>
      </c>
      <c r="CZ236" t="s">
        <v>119</v>
      </c>
    </row>
    <row r="237" spans="1:104" x14ac:dyDescent="0.25">
      <c r="A237" t="str">
        <f>"13:54:18.906"</f>
        <v>13:54:18.906</v>
      </c>
      <c r="B237" t="s">
        <v>108</v>
      </c>
      <c r="C237" t="str">
        <f t="shared" si="10"/>
        <v>ffdfd3c0</v>
      </c>
      <c r="D237" t="s">
        <v>109</v>
      </c>
      <c r="E237">
        <v>4</v>
      </c>
      <c r="F237">
        <v>1004</v>
      </c>
      <c r="G237" t="s">
        <v>110</v>
      </c>
      <c r="J237" t="s">
        <v>111</v>
      </c>
      <c r="K237">
        <v>0</v>
      </c>
      <c r="L237">
        <v>3</v>
      </c>
      <c r="M237">
        <v>0</v>
      </c>
      <c r="N237">
        <v>2</v>
      </c>
      <c r="O237">
        <v>1</v>
      </c>
      <c r="P237">
        <v>0</v>
      </c>
      <c r="Q237">
        <v>0</v>
      </c>
      <c r="R237" t="s">
        <v>112</v>
      </c>
      <c r="S237" t="str">
        <f>"13:54:18.750"</f>
        <v>13:54:18.750</v>
      </c>
      <c r="T237" t="str">
        <f>"13:54:18.250"</f>
        <v>13:54:18.250</v>
      </c>
      <c r="U237" t="str">
        <f t="shared" si="9"/>
        <v>ad5732</v>
      </c>
      <c r="V237">
        <v>0</v>
      </c>
      <c r="W237">
        <v>0</v>
      </c>
      <c r="X237">
        <v>1</v>
      </c>
      <c r="Z237">
        <v>0</v>
      </c>
      <c r="AA237">
        <v>9</v>
      </c>
      <c r="AB237">
        <v>3</v>
      </c>
      <c r="AC237">
        <v>0</v>
      </c>
      <c r="AD237">
        <v>10</v>
      </c>
      <c r="AE237">
        <v>0</v>
      </c>
      <c r="AF237">
        <v>3</v>
      </c>
      <c r="AG237">
        <v>2</v>
      </c>
      <c r="AH237">
        <v>0</v>
      </c>
      <c r="AI237" t="s">
        <v>568</v>
      </c>
      <c r="AJ237">
        <v>39.178018999999999</v>
      </c>
      <c r="AK237" t="s">
        <v>569</v>
      </c>
      <c r="AL237">
        <v>-77.552790999999999</v>
      </c>
      <c r="AM237">
        <v>100</v>
      </c>
      <c r="AN237">
        <v>4200</v>
      </c>
      <c r="AO237" t="s">
        <v>115</v>
      </c>
      <c r="AP237">
        <v>138</v>
      </c>
      <c r="AQ237">
        <v>37</v>
      </c>
      <c r="AR237">
        <v>1664</v>
      </c>
      <c r="AZ237">
        <v>3614</v>
      </c>
      <c r="BA237">
        <v>1</v>
      </c>
      <c r="BB237" t="str">
        <f t="shared" si="11"/>
        <v xml:space="preserve">N959MJ  </v>
      </c>
      <c r="BC237">
        <v>1</v>
      </c>
      <c r="BE237">
        <v>0</v>
      </c>
      <c r="BF237">
        <v>0</v>
      </c>
      <c r="BG237">
        <v>0</v>
      </c>
      <c r="BH237">
        <v>4375</v>
      </c>
      <c r="BI237">
        <v>175</v>
      </c>
      <c r="BJ237">
        <v>1</v>
      </c>
      <c r="BK237">
        <v>1</v>
      </c>
      <c r="BL237">
        <v>1</v>
      </c>
      <c r="BM237">
        <v>0</v>
      </c>
      <c r="BP237">
        <v>0</v>
      </c>
      <c r="BQ237">
        <v>0</v>
      </c>
      <c r="BX237" t="str">
        <f>"13:54:18.750"</f>
        <v>13:54:18.750</v>
      </c>
      <c r="BY237" t="str">
        <f>"753381363"</f>
        <v>753381363</v>
      </c>
      <c r="CL237">
        <v>3</v>
      </c>
      <c r="CM237">
        <v>2</v>
      </c>
      <c r="CN237">
        <v>0</v>
      </c>
      <c r="CO237">
        <v>2</v>
      </c>
      <c r="CP237">
        <v>0</v>
      </c>
      <c r="CQ237">
        <v>7</v>
      </c>
      <c r="CR237" t="s">
        <v>116</v>
      </c>
      <c r="CS237">
        <v>525</v>
      </c>
      <c r="CT237">
        <v>2</v>
      </c>
      <c r="CU237" t="s">
        <v>140</v>
      </c>
      <c r="CV237" t="s">
        <v>141</v>
      </c>
      <c r="CY237">
        <v>13930738</v>
      </c>
      <c r="CZ237" t="s">
        <v>119</v>
      </c>
    </row>
    <row r="238" spans="1:104" x14ac:dyDescent="0.25">
      <c r="A238" t="str">
        <f>"13:54:19.820"</f>
        <v>13:54:19.820</v>
      </c>
      <c r="B238" t="s">
        <v>108</v>
      </c>
      <c r="C238" t="str">
        <f t="shared" si="10"/>
        <v>ffdfd3c0</v>
      </c>
      <c r="D238" t="s">
        <v>109</v>
      </c>
      <c r="E238">
        <v>4</v>
      </c>
      <c r="F238">
        <v>1004</v>
      </c>
      <c r="G238" t="s">
        <v>110</v>
      </c>
      <c r="J238" t="s">
        <v>111</v>
      </c>
      <c r="K238">
        <v>0</v>
      </c>
      <c r="L238">
        <v>3</v>
      </c>
      <c r="M238">
        <v>0</v>
      </c>
      <c r="N238">
        <v>2</v>
      </c>
      <c r="O238">
        <v>1</v>
      </c>
      <c r="P238">
        <v>0</v>
      </c>
      <c r="Q238">
        <v>0</v>
      </c>
      <c r="R238" t="s">
        <v>112</v>
      </c>
      <c r="S238" t="str">
        <f>"13:54:19.648"</f>
        <v>13:54:19.648</v>
      </c>
      <c r="T238" t="str">
        <f>"13:54:19.250"</f>
        <v>13:54:19.250</v>
      </c>
      <c r="U238" t="str">
        <f t="shared" si="9"/>
        <v>ad5732</v>
      </c>
      <c r="V238">
        <v>0</v>
      </c>
      <c r="W238">
        <v>0</v>
      </c>
      <c r="X238">
        <v>1</v>
      </c>
      <c r="Z238">
        <v>0</v>
      </c>
      <c r="AA238">
        <v>9</v>
      </c>
      <c r="AB238">
        <v>3</v>
      </c>
      <c r="AC238">
        <v>0</v>
      </c>
      <c r="AD238">
        <v>10</v>
      </c>
      <c r="AE238">
        <v>0</v>
      </c>
      <c r="AF238">
        <v>3</v>
      </c>
      <c r="AG238">
        <v>2</v>
      </c>
      <c r="AH238">
        <v>0</v>
      </c>
      <c r="AI238" t="s">
        <v>570</v>
      </c>
      <c r="AJ238">
        <v>39.178168999999997</v>
      </c>
      <c r="AK238" t="s">
        <v>571</v>
      </c>
      <c r="AL238">
        <v>-77.551997</v>
      </c>
      <c r="AM238">
        <v>100</v>
      </c>
      <c r="AN238">
        <v>4200</v>
      </c>
      <c r="AO238" t="s">
        <v>115</v>
      </c>
      <c r="AP238">
        <v>136</v>
      </c>
      <c r="AQ238">
        <v>39</v>
      </c>
      <c r="AR238">
        <v>1728</v>
      </c>
      <c r="AZ238">
        <v>3614</v>
      </c>
      <c r="BA238">
        <v>1</v>
      </c>
      <c r="BB238" t="str">
        <f t="shared" si="11"/>
        <v xml:space="preserve">N959MJ  </v>
      </c>
      <c r="BC238">
        <v>1</v>
      </c>
      <c r="BE238">
        <v>0</v>
      </c>
      <c r="BF238">
        <v>0</v>
      </c>
      <c r="BG238">
        <v>0</v>
      </c>
      <c r="BH238">
        <v>4400</v>
      </c>
      <c r="BI238">
        <v>200</v>
      </c>
      <c r="BJ238">
        <v>1</v>
      </c>
      <c r="BK238">
        <v>1</v>
      </c>
      <c r="BL238">
        <v>1</v>
      </c>
      <c r="BM238">
        <v>0</v>
      </c>
      <c r="BP238">
        <v>0</v>
      </c>
      <c r="BQ238">
        <v>0</v>
      </c>
      <c r="BX238" t="str">
        <f>"13:54:19.656"</f>
        <v>13:54:19.656</v>
      </c>
      <c r="BY238" t="str">
        <f>"654532736"</f>
        <v>654532736</v>
      </c>
      <c r="CL238">
        <v>3</v>
      </c>
      <c r="CM238">
        <v>2</v>
      </c>
      <c r="CN238">
        <v>0</v>
      </c>
      <c r="CO238">
        <v>2</v>
      </c>
      <c r="CP238">
        <v>0</v>
      </c>
      <c r="CQ238">
        <v>7</v>
      </c>
      <c r="CR238" t="s">
        <v>116</v>
      </c>
      <c r="CS238">
        <v>147</v>
      </c>
      <c r="CT238">
        <v>3</v>
      </c>
      <c r="CU238" t="s">
        <v>117</v>
      </c>
      <c r="CV238" t="s">
        <v>118</v>
      </c>
      <c r="CY238">
        <v>16168744</v>
      </c>
      <c r="CZ238" t="s">
        <v>119</v>
      </c>
    </row>
    <row r="239" spans="1:104" x14ac:dyDescent="0.25">
      <c r="A239" t="str">
        <f>"13:54:20.828"</f>
        <v>13:54:20.828</v>
      </c>
      <c r="B239" t="s">
        <v>108</v>
      </c>
      <c r="C239" t="str">
        <f t="shared" si="10"/>
        <v>ffdfd3c0</v>
      </c>
      <c r="D239" t="s">
        <v>109</v>
      </c>
      <c r="E239">
        <v>4</v>
      </c>
      <c r="F239">
        <v>1004</v>
      </c>
      <c r="G239" t="s">
        <v>110</v>
      </c>
      <c r="J239" t="s">
        <v>111</v>
      </c>
      <c r="K239">
        <v>0</v>
      </c>
      <c r="L239">
        <v>3</v>
      </c>
      <c r="M239">
        <v>0</v>
      </c>
      <c r="N239">
        <v>2</v>
      </c>
      <c r="O239">
        <v>1</v>
      </c>
      <c r="P239">
        <v>0</v>
      </c>
      <c r="Q239">
        <v>0</v>
      </c>
      <c r="R239" t="s">
        <v>112</v>
      </c>
      <c r="S239" t="str">
        <f>"13:54:20.648"</f>
        <v>13:54:20.648</v>
      </c>
      <c r="T239" t="str">
        <f>"13:54:20.250"</f>
        <v>13:54:20.250</v>
      </c>
      <c r="U239" t="str">
        <f t="shared" si="9"/>
        <v>ad5732</v>
      </c>
      <c r="V239">
        <v>0</v>
      </c>
      <c r="W239">
        <v>0</v>
      </c>
      <c r="X239">
        <v>1</v>
      </c>
      <c r="Z239">
        <v>0</v>
      </c>
      <c r="AA239">
        <v>9</v>
      </c>
      <c r="AB239">
        <v>3</v>
      </c>
      <c r="AC239">
        <v>0</v>
      </c>
      <c r="AD239">
        <v>10</v>
      </c>
      <c r="AE239">
        <v>0</v>
      </c>
      <c r="AF239">
        <v>3</v>
      </c>
      <c r="AG239">
        <v>2</v>
      </c>
      <c r="AH239">
        <v>0</v>
      </c>
      <c r="AI239" t="s">
        <v>511</v>
      </c>
      <c r="AJ239">
        <v>39.178362</v>
      </c>
      <c r="AK239" t="s">
        <v>572</v>
      </c>
      <c r="AL239">
        <v>-77.551203000000001</v>
      </c>
      <c r="AM239">
        <v>100</v>
      </c>
      <c r="AN239">
        <v>4200</v>
      </c>
      <c r="AO239" t="s">
        <v>115</v>
      </c>
      <c r="AP239">
        <v>134</v>
      </c>
      <c r="AQ239">
        <v>40</v>
      </c>
      <c r="AR239">
        <v>1728</v>
      </c>
      <c r="AZ239">
        <v>3614</v>
      </c>
      <c r="BA239">
        <v>1</v>
      </c>
      <c r="BB239" t="str">
        <f t="shared" si="11"/>
        <v xml:space="preserve">N959MJ  </v>
      </c>
      <c r="BC239">
        <v>1</v>
      </c>
      <c r="BE239">
        <v>0</v>
      </c>
      <c r="BF239">
        <v>0</v>
      </c>
      <c r="BG239">
        <v>0</v>
      </c>
      <c r="BH239">
        <v>4425</v>
      </c>
      <c r="BI239">
        <v>225</v>
      </c>
      <c r="BJ239">
        <v>1</v>
      </c>
      <c r="BK239">
        <v>1</v>
      </c>
      <c r="BL239">
        <v>1</v>
      </c>
      <c r="BM239">
        <v>0</v>
      </c>
      <c r="BP239">
        <v>0</v>
      </c>
      <c r="BQ239">
        <v>0</v>
      </c>
      <c r="BX239" t="str">
        <f>"13:54:20.656"</f>
        <v>13:54:20.656</v>
      </c>
      <c r="BY239" t="str">
        <f>"653954820"</f>
        <v>653954820</v>
      </c>
      <c r="CL239">
        <v>3</v>
      </c>
      <c r="CM239">
        <v>2</v>
      </c>
      <c r="CN239">
        <v>0</v>
      </c>
      <c r="CO239">
        <v>2</v>
      </c>
      <c r="CP239">
        <v>0</v>
      </c>
      <c r="CQ239">
        <v>7</v>
      </c>
      <c r="CR239" t="s">
        <v>116</v>
      </c>
      <c r="CS239">
        <v>525</v>
      </c>
      <c r="CT239">
        <v>3</v>
      </c>
      <c r="CU239" t="s">
        <v>140</v>
      </c>
      <c r="CV239" t="s">
        <v>141</v>
      </c>
      <c r="CY239">
        <v>325122</v>
      </c>
      <c r="CZ239" t="s">
        <v>119</v>
      </c>
    </row>
    <row r="240" spans="1:104" x14ac:dyDescent="0.25">
      <c r="A240" t="str">
        <f>"13:54:21.836"</f>
        <v>13:54:21.836</v>
      </c>
      <c r="B240" t="s">
        <v>108</v>
      </c>
      <c r="C240" t="str">
        <f t="shared" si="10"/>
        <v>ffdfd3c0</v>
      </c>
      <c r="D240" t="s">
        <v>109</v>
      </c>
      <c r="E240">
        <v>4</v>
      </c>
      <c r="F240">
        <v>1004</v>
      </c>
      <c r="G240" t="s">
        <v>110</v>
      </c>
      <c r="J240" t="s">
        <v>111</v>
      </c>
      <c r="K240">
        <v>0</v>
      </c>
      <c r="L240">
        <v>3</v>
      </c>
      <c r="M240">
        <v>0</v>
      </c>
      <c r="N240">
        <v>2</v>
      </c>
      <c r="O240">
        <v>1</v>
      </c>
      <c r="P240">
        <v>0</v>
      </c>
      <c r="Q240">
        <v>0</v>
      </c>
      <c r="R240" t="s">
        <v>112</v>
      </c>
      <c r="S240" t="str">
        <f>"13:54:21.664"</f>
        <v>13:54:21.664</v>
      </c>
      <c r="T240" t="str">
        <f>"13:54:21.164"</f>
        <v>13:54:21.164</v>
      </c>
      <c r="U240" t="str">
        <f t="shared" si="9"/>
        <v>ad5732</v>
      </c>
      <c r="V240">
        <v>0</v>
      </c>
      <c r="W240">
        <v>0</v>
      </c>
      <c r="X240">
        <v>1</v>
      </c>
      <c r="Z240">
        <v>0</v>
      </c>
      <c r="AA240">
        <v>9</v>
      </c>
      <c r="AB240">
        <v>3</v>
      </c>
      <c r="AC240">
        <v>0</v>
      </c>
      <c r="AD240">
        <v>10</v>
      </c>
      <c r="AE240">
        <v>0</v>
      </c>
      <c r="AF240">
        <v>3</v>
      </c>
      <c r="AG240">
        <v>2</v>
      </c>
      <c r="AH240">
        <v>0</v>
      </c>
      <c r="AI240" t="s">
        <v>573</v>
      </c>
      <c r="AJ240">
        <v>39.178576</v>
      </c>
      <c r="AK240" t="s">
        <v>574</v>
      </c>
      <c r="AL240">
        <v>-77.550343999999996</v>
      </c>
      <c r="AM240">
        <v>100</v>
      </c>
      <c r="AN240">
        <v>4200</v>
      </c>
      <c r="AO240" t="s">
        <v>115</v>
      </c>
      <c r="AP240">
        <v>133</v>
      </c>
      <c r="AQ240">
        <v>42</v>
      </c>
      <c r="AR240">
        <v>1600</v>
      </c>
      <c r="AZ240">
        <v>3614</v>
      </c>
      <c r="BA240">
        <v>1</v>
      </c>
      <c r="BB240" t="str">
        <f t="shared" si="11"/>
        <v xml:space="preserve">N959MJ  </v>
      </c>
      <c r="BC240">
        <v>1</v>
      </c>
      <c r="BE240">
        <v>0</v>
      </c>
      <c r="BF240">
        <v>0</v>
      </c>
      <c r="BG240">
        <v>0</v>
      </c>
      <c r="BH240">
        <v>4450</v>
      </c>
      <c r="BI240">
        <v>250</v>
      </c>
      <c r="BJ240">
        <v>1</v>
      </c>
      <c r="BK240">
        <v>1</v>
      </c>
      <c r="BL240">
        <v>1</v>
      </c>
      <c r="BM240">
        <v>0</v>
      </c>
      <c r="BP240">
        <v>0</v>
      </c>
      <c r="BQ240">
        <v>0</v>
      </c>
      <c r="BX240" t="str">
        <f>"13:54:21.672"</f>
        <v>13:54:21.672</v>
      </c>
      <c r="BY240" t="str">
        <f>"671417185"</f>
        <v>671417185</v>
      </c>
      <c r="CL240">
        <v>3</v>
      </c>
      <c r="CM240">
        <v>2</v>
      </c>
      <c r="CN240">
        <v>0</v>
      </c>
      <c r="CO240">
        <v>2</v>
      </c>
      <c r="CP240">
        <v>0</v>
      </c>
      <c r="CQ240">
        <v>7</v>
      </c>
      <c r="CR240" t="s">
        <v>116</v>
      </c>
      <c r="CS240">
        <v>525</v>
      </c>
      <c r="CT240">
        <v>3</v>
      </c>
      <c r="CU240" t="s">
        <v>140</v>
      </c>
      <c r="CV240" t="s">
        <v>141</v>
      </c>
      <c r="CY240">
        <v>326402</v>
      </c>
      <c r="CZ240" t="s">
        <v>119</v>
      </c>
    </row>
    <row r="241" spans="1:104" x14ac:dyDescent="0.25">
      <c r="A241" t="str">
        <f>"13:54:22.945"</f>
        <v>13:54:22.945</v>
      </c>
      <c r="B241" t="s">
        <v>108</v>
      </c>
      <c r="C241" t="str">
        <f t="shared" si="10"/>
        <v>ffdfd3c0</v>
      </c>
      <c r="D241" t="s">
        <v>109</v>
      </c>
      <c r="E241">
        <v>4</v>
      </c>
      <c r="F241">
        <v>1004</v>
      </c>
      <c r="G241" t="s">
        <v>110</v>
      </c>
      <c r="J241" t="s">
        <v>111</v>
      </c>
      <c r="K241">
        <v>0</v>
      </c>
      <c r="L241">
        <v>3</v>
      </c>
      <c r="M241">
        <v>0</v>
      </c>
      <c r="N241">
        <v>2</v>
      </c>
      <c r="O241">
        <v>1</v>
      </c>
      <c r="P241">
        <v>0</v>
      </c>
      <c r="Q241">
        <v>0</v>
      </c>
      <c r="R241" t="s">
        <v>112</v>
      </c>
      <c r="S241" t="str">
        <f>"13:54:22.750"</f>
        <v>13:54:22.750</v>
      </c>
      <c r="T241" t="str">
        <f>"13:54:22.352"</f>
        <v>13:54:22.352</v>
      </c>
      <c r="U241" t="str">
        <f t="shared" si="9"/>
        <v>ad5732</v>
      </c>
      <c r="V241">
        <v>0</v>
      </c>
      <c r="W241">
        <v>0</v>
      </c>
      <c r="X241">
        <v>1</v>
      </c>
      <c r="Z241">
        <v>0</v>
      </c>
      <c r="AA241">
        <v>9</v>
      </c>
      <c r="AB241">
        <v>3</v>
      </c>
      <c r="AC241">
        <v>0</v>
      </c>
      <c r="AD241">
        <v>10</v>
      </c>
      <c r="AE241">
        <v>0</v>
      </c>
      <c r="AF241">
        <v>3</v>
      </c>
      <c r="AG241">
        <v>2</v>
      </c>
      <c r="AH241">
        <v>0</v>
      </c>
      <c r="AI241" t="s">
        <v>575</v>
      </c>
      <c r="AJ241">
        <v>39.178747999999999</v>
      </c>
      <c r="AK241" t="s">
        <v>576</v>
      </c>
      <c r="AL241">
        <v>-77.549571999999998</v>
      </c>
      <c r="AM241">
        <v>100</v>
      </c>
      <c r="AN241">
        <v>4300</v>
      </c>
      <c r="AO241" t="s">
        <v>115</v>
      </c>
      <c r="AP241">
        <v>132</v>
      </c>
      <c r="AQ241">
        <v>43</v>
      </c>
      <c r="AR241">
        <v>1536</v>
      </c>
      <c r="AZ241">
        <v>3614</v>
      </c>
      <c r="BA241">
        <v>1</v>
      </c>
      <c r="BB241" t="str">
        <f t="shared" si="11"/>
        <v xml:space="preserve">N959MJ  </v>
      </c>
      <c r="BC241">
        <v>1</v>
      </c>
      <c r="BE241">
        <v>0</v>
      </c>
      <c r="BF241">
        <v>0</v>
      </c>
      <c r="BG241">
        <v>0</v>
      </c>
      <c r="BH241">
        <v>4500</v>
      </c>
      <c r="BI241">
        <v>200</v>
      </c>
      <c r="BJ241">
        <v>1</v>
      </c>
      <c r="BK241">
        <v>1</v>
      </c>
      <c r="BL241">
        <v>1</v>
      </c>
      <c r="BM241">
        <v>0</v>
      </c>
      <c r="BP241">
        <v>0</v>
      </c>
      <c r="BQ241">
        <v>0</v>
      </c>
      <c r="BX241" t="str">
        <f>"13:54:22.758"</f>
        <v>13:54:22.758</v>
      </c>
      <c r="BY241" t="str">
        <f>"754433654"</f>
        <v>754433654</v>
      </c>
      <c r="CL241">
        <v>3</v>
      </c>
      <c r="CM241">
        <v>2</v>
      </c>
      <c r="CN241">
        <v>0</v>
      </c>
      <c r="CO241">
        <v>2</v>
      </c>
      <c r="CP241">
        <v>0</v>
      </c>
      <c r="CQ241">
        <v>7</v>
      </c>
      <c r="CR241" t="s">
        <v>116</v>
      </c>
      <c r="CS241">
        <v>147</v>
      </c>
      <c r="CT241">
        <v>3</v>
      </c>
      <c r="CU241" t="s">
        <v>117</v>
      </c>
      <c r="CV241" t="s">
        <v>118</v>
      </c>
      <c r="CY241">
        <v>16173617</v>
      </c>
      <c r="CZ241" t="s">
        <v>119</v>
      </c>
    </row>
    <row r="242" spans="1:104" x14ac:dyDescent="0.25">
      <c r="A242" t="str">
        <f>"13:54:23.758"</f>
        <v>13:54:23.758</v>
      </c>
      <c r="B242" t="s">
        <v>108</v>
      </c>
      <c r="C242" t="str">
        <f t="shared" si="10"/>
        <v>ffdfd3c0</v>
      </c>
      <c r="D242" t="s">
        <v>109</v>
      </c>
      <c r="E242">
        <v>4</v>
      </c>
      <c r="F242">
        <v>1004</v>
      </c>
      <c r="G242" t="s">
        <v>110</v>
      </c>
      <c r="J242" t="s">
        <v>111</v>
      </c>
      <c r="K242">
        <v>0</v>
      </c>
      <c r="L242">
        <v>3</v>
      </c>
      <c r="M242">
        <v>0</v>
      </c>
      <c r="N242">
        <v>2</v>
      </c>
      <c r="O242">
        <v>1</v>
      </c>
      <c r="P242">
        <v>0</v>
      </c>
      <c r="Q242">
        <v>0</v>
      </c>
      <c r="R242" t="s">
        <v>112</v>
      </c>
      <c r="S242" t="str">
        <f>"13:54:23.586"</f>
        <v>13:54:23.586</v>
      </c>
      <c r="T242" t="str">
        <f>"13:54:23.188"</f>
        <v>13:54:23.188</v>
      </c>
      <c r="U242" t="str">
        <f t="shared" si="9"/>
        <v>ad5732</v>
      </c>
      <c r="V242">
        <v>0</v>
      </c>
      <c r="W242">
        <v>0</v>
      </c>
      <c r="X242">
        <v>1</v>
      </c>
      <c r="Z242">
        <v>0</v>
      </c>
      <c r="AA242">
        <v>9</v>
      </c>
      <c r="AB242">
        <v>3</v>
      </c>
      <c r="AC242">
        <v>0</v>
      </c>
      <c r="AD242">
        <v>10</v>
      </c>
      <c r="AE242">
        <v>0</v>
      </c>
      <c r="AF242">
        <v>3</v>
      </c>
      <c r="AG242">
        <v>2</v>
      </c>
      <c r="AH242">
        <v>0</v>
      </c>
      <c r="AI242" t="s">
        <v>503</v>
      </c>
      <c r="AJ242">
        <v>39.178963000000003</v>
      </c>
      <c r="AK242" t="s">
        <v>577</v>
      </c>
      <c r="AL242">
        <v>-77.548884999999999</v>
      </c>
      <c r="AM242">
        <v>100</v>
      </c>
      <c r="AN242">
        <v>4300</v>
      </c>
      <c r="AO242" t="s">
        <v>115</v>
      </c>
      <c r="AP242">
        <v>131</v>
      </c>
      <c r="AQ242">
        <v>43</v>
      </c>
      <c r="AR242">
        <v>1536</v>
      </c>
      <c r="AZ242">
        <v>3614</v>
      </c>
      <c r="BA242">
        <v>1</v>
      </c>
      <c r="BB242" t="str">
        <f t="shared" si="11"/>
        <v xml:space="preserve">N959MJ  </v>
      </c>
      <c r="BC242">
        <v>1</v>
      </c>
      <c r="BE242">
        <v>0</v>
      </c>
      <c r="BF242">
        <v>0</v>
      </c>
      <c r="BG242">
        <v>0</v>
      </c>
      <c r="BH242">
        <v>4525</v>
      </c>
      <c r="BI242">
        <v>225</v>
      </c>
      <c r="BJ242">
        <v>1</v>
      </c>
      <c r="BK242">
        <v>1</v>
      </c>
      <c r="BL242">
        <v>1</v>
      </c>
      <c r="BM242">
        <v>0</v>
      </c>
      <c r="BP242">
        <v>0</v>
      </c>
      <c r="BQ242">
        <v>0</v>
      </c>
      <c r="BX242" t="str">
        <f>"13:54:23.594"</f>
        <v>13:54:23.594</v>
      </c>
      <c r="BY242" t="str">
        <f>"590013452"</f>
        <v>590013452</v>
      </c>
      <c r="CL242">
        <v>3</v>
      </c>
      <c r="CM242">
        <v>2</v>
      </c>
      <c r="CN242">
        <v>0</v>
      </c>
      <c r="CO242">
        <v>2</v>
      </c>
      <c r="CP242">
        <v>0</v>
      </c>
      <c r="CQ242">
        <v>7</v>
      </c>
      <c r="CR242" t="s">
        <v>116</v>
      </c>
      <c r="CS242">
        <v>525</v>
      </c>
      <c r="CT242">
        <v>3</v>
      </c>
      <c r="CU242" t="s">
        <v>140</v>
      </c>
      <c r="CV242" t="s">
        <v>141</v>
      </c>
      <c r="CY242">
        <v>328935</v>
      </c>
      <c r="CZ242" t="s">
        <v>119</v>
      </c>
    </row>
    <row r="243" spans="1:104" x14ac:dyDescent="0.25">
      <c r="A243" t="str">
        <f>"13:54:24.664"</f>
        <v>13:54:24.664</v>
      </c>
      <c r="B243" t="s">
        <v>108</v>
      </c>
      <c r="C243" t="str">
        <f t="shared" si="10"/>
        <v>ffdfd3c0</v>
      </c>
      <c r="D243" t="s">
        <v>109</v>
      </c>
      <c r="E243">
        <v>4</v>
      </c>
      <c r="F243">
        <v>1004</v>
      </c>
      <c r="G243" t="s">
        <v>110</v>
      </c>
      <c r="J243" t="s">
        <v>111</v>
      </c>
      <c r="K243">
        <v>0</v>
      </c>
      <c r="L243">
        <v>3</v>
      </c>
      <c r="M243">
        <v>0</v>
      </c>
      <c r="N243">
        <v>2</v>
      </c>
      <c r="O243">
        <v>1</v>
      </c>
      <c r="P243">
        <v>0</v>
      </c>
      <c r="Q243">
        <v>0</v>
      </c>
      <c r="R243" t="s">
        <v>112</v>
      </c>
      <c r="S243" t="str">
        <f>"13:54:24.484"</f>
        <v>13:54:24.484</v>
      </c>
      <c r="T243" t="str">
        <f>"13:54:24.086"</f>
        <v>13:54:24.086</v>
      </c>
      <c r="U243" t="str">
        <f t="shared" si="9"/>
        <v>ad5732</v>
      </c>
      <c r="V243">
        <v>0</v>
      </c>
      <c r="W243">
        <v>0</v>
      </c>
      <c r="X243">
        <v>1</v>
      </c>
      <c r="Z243">
        <v>0</v>
      </c>
      <c r="AA243">
        <v>9</v>
      </c>
      <c r="AB243">
        <v>3</v>
      </c>
      <c r="AC243">
        <v>0</v>
      </c>
      <c r="AD243">
        <v>10</v>
      </c>
      <c r="AE243">
        <v>0</v>
      </c>
      <c r="AF243">
        <v>3</v>
      </c>
      <c r="AG243">
        <v>2</v>
      </c>
      <c r="AH243">
        <v>0</v>
      </c>
      <c r="AI243" t="s">
        <v>486</v>
      </c>
      <c r="AJ243">
        <v>39.179113000000001</v>
      </c>
      <c r="AK243" t="s">
        <v>578</v>
      </c>
      <c r="AL243">
        <v>-77.548198999999997</v>
      </c>
      <c r="AM243">
        <v>100</v>
      </c>
      <c r="AN243">
        <v>4300</v>
      </c>
      <c r="AO243" t="s">
        <v>115</v>
      </c>
      <c r="AP243">
        <v>130</v>
      </c>
      <c r="AQ243">
        <v>42</v>
      </c>
      <c r="AR243">
        <v>1536</v>
      </c>
      <c r="AZ243">
        <v>3614</v>
      </c>
      <c r="BA243">
        <v>1</v>
      </c>
      <c r="BB243" t="str">
        <f t="shared" si="11"/>
        <v xml:space="preserve">N959MJ  </v>
      </c>
      <c r="BC243">
        <v>1</v>
      </c>
      <c r="BE243">
        <v>0</v>
      </c>
      <c r="BF243">
        <v>0</v>
      </c>
      <c r="BG243">
        <v>0</v>
      </c>
      <c r="BH243">
        <v>4550</v>
      </c>
      <c r="BI243">
        <v>250</v>
      </c>
      <c r="BJ243">
        <v>1</v>
      </c>
      <c r="BK243">
        <v>1</v>
      </c>
      <c r="BL243">
        <v>1</v>
      </c>
      <c r="BM243">
        <v>0</v>
      </c>
      <c r="BP243">
        <v>0</v>
      </c>
      <c r="BQ243">
        <v>0</v>
      </c>
      <c r="BX243" t="str">
        <f>"13:54:24.492"</f>
        <v>13:54:24.492</v>
      </c>
      <c r="BY243" t="str">
        <f>"489509096"</f>
        <v>489509096</v>
      </c>
      <c r="CL243">
        <v>3</v>
      </c>
      <c r="CM243">
        <v>2</v>
      </c>
      <c r="CN243">
        <v>0</v>
      </c>
      <c r="CO243">
        <v>2</v>
      </c>
      <c r="CP243">
        <v>0</v>
      </c>
      <c r="CQ243">
        <v>7</v>
      </c>
      <c r="CR243" t="s">
        <v>116</v>
      </c>
      <c r="CS243">
        <v>525</v>
      </c>
      <c r="CT243">
        <v>2</v>
      </c>
      <c r="CU243" t="s">
        <v>140</v>
      </c>
      <c r="CV243" t="s">
        <v>141</v>
      </c>
      <c r="CY243">
        <v>13939389</v>
      </c>
      <c r="CZ243" t="s">
        <v>119</v>
      </c>
    </row>
    <row r="244" spans="1:104" x14ac:dyDescent="0.25">
      <c r="A244" t="str">
        <f>"13:54:25.727"</f>
        <v>13:54:25.727</v>
      </c>
      <c r="B244" t="s">
        <v>108</v>
      </c>
      <c r="C244" t="str">
        <f t="shared" si="10"/>
        <v>ffdfd3c0</v>
      </c>
      <c r="D244" t="s">
        <v>109</v>
      </c>
      <c r="E244">
        <v>4</v>
      </c>
      <c r="F244">
        <v>1004</v>
      </c>
      <c r="G244" t="s">
        <v>110</v>
      </c>
      <c r="J244" t="s">
        <v>111</v>
      </c>
      <c r="K244">
        <v>0</v>
      </c>
      <c r="L244">
        <v>3</v>
      </c>
      <c r="M244">
        <v>0</v>
      </c>
      <c r="N244">
        <v>2</v>
      </c>
      <c r="O244">
        <v>1</v>
      </c>
      <c r="P244">
        <v>0</v>
      </c>
      <c r="Q244">
        <v>0</v>
      </c>
      <c r="R244" t="s">
        <v>112</v>
      </c>
      <c r="S244" t="str">
        <f>"13:54:25.547"</f>
        <v>13:54:25.547</v>
      </c>
      <c r="T244" t="str">
        <f>"13:54:25.047"</f>
        <v>13:54:25.047</v>
      </c>
      <c r="U244" t="str">
        <f t="shared" si="9"/>
        <v>ad5732</v>
      </c>
      <c r="V244">
        <v>0</v>
      </c>
      <c r="W244">
        <v>0</v>
      </c>
      <c r="X244">
        <v>1</v>
      </c>
      <c r="Z244">
        <v>0</v>
      </c>
      <c r="AA244">
        <v>9</v>
      </c>
      <c r="AB244">
        <v>3</v>
      </c>
      <c r="AC244">
        <v>0</v>
      </c>
      <c r="AD244">
        <v>10</v>
      </c>
      <c r="AE244">
        <v>0</v>
      </c>
      <c r="AF244">
        <v>3</v>
      </c>
      <c r="AG244">
        <v>2</v>
      </c>
      <c r="AH244">
        <v>0</v>
      </c>
      <c r="AI244" t="s">
        <v>579</v>
      </c>
      <c r="AJ244">
        <v>39.179305999999997</v>
      </c>
      <c r="AK244" t="s">
        <v>580</v>
      </c>
      <c r="AL244">
        <v>-77.547404999999998</v>
      </c>
      <c r="AM244">
        <v>100</v>
      </c>
      <c r="AN244">
        <v>4300</v>
      </c>
      <c r="AO244" t="s">
        <v>115</v>
      </c>
      <c r="AP244">
        <v>130</v>
      </c>
      <c r="AQ244">
        <v>42</v>
      </c>
      <c r="AR244">
        <v>1472</v>
      </c>
      <c r="AZ244">
        <v>3614</v>
      </c>
      <c r="BA244">
        <v>1</v>
      </c>
      <c r="BB244" t="str">
        <f t="shared" si="11"/>
        <v xml:space="preserve">N959MJ  </v>
      </c>
      <c r="BC244">
        <v>1</v>
      </c>
      <c r="BE244">
        <v>0</v>
      </c>
      <c r="BF244">
        <v>0</v>
      </c>
      <c r="BG244">
        <v>0</v>
      </c>
      <c r="BH244">
        <v>4575</v>
      </c>
      <c r="BI244">
        <v>275</v>
      </c>
      <c r="BJ244">
        <v>1</v>
      </c>
      <c r="BK244">
        <v>1</v>
      </c>
      <c r="BL244">
        <v>1</v>
      </c>
      <c r="BM244">
        <v>0</v>
      </c>
      <c r="BP244">
        <v>0</v>
      </c>
      <c r="BQ244">
        <v>0</v>
      </c>
      <c r="BX244" t="str">
        <f>"13:54:25.547"</f>
        <v>13:54:25.547</v>
      </c>
      <c r="BY244" t="str">
        <f>"549570364"</f>
        <v>549570364</v>
      </c>
      <c r="CL244">
        <v>3</v>
      </c>
      <c r="CM244">
        <v>2</v>
      </c>
      <c r="CN244">
        <v>0</v>
      </c>
      <c r="CO244">
        <v>2</v>
      </c>
      <c r="CP244">
        <v>0</v>
      </c>
      <c r="CQ244">
        <v>7</v>
      </c>
      <c r="CR244" t="s">
        <v>116</v>
      </c>
      <c r="CS244">
        <v>525</v>
      </c>
      <c r="CT244">
        <v>3</v>
      </c>
      <c r="CU244" t="s">
        <v>140</v>
      </c>
      <c r="CV244" t="s">
        <v>141</v>
      </c>
      <c r="CY244">
        <v>331593</v>
      </c>
      <c r="CZ244" t="s">
        <v>119</v>
      </c>
    </row>
    <row r="245" spans="1:104" x14ac:dyDescent="0.25">
      <c r="A245" t="str">
        <f>"13:54:26.734"</f>
        <v>13:54:26.734</v>
      </c>
      <c r="B245" t="s">
        <v>108</v>
      </c>
      <c r="C245" t="str">
        <f t="shared" si="10"/>
        <v>ffdfd3c0</v>
      </c>
      <c r="D245" t="s">
        <v>109</v>
      </c>
      <c r="E245">
        <v>4</v>
      </c>
      <c r="F245">
        <v>1004</v>
      </c>
      <c r="G245" t="s">
        <v>110</v>
      </c>
      <c r="J245" t="s">
        <v>111</v>
      </c>
      <c r="K245">
        <v>0</v>
      </c>
      <c r="L245">
        <v>3</v>
      </c>
      <c r="M245">
        <v>0</v>
      </c>
      <c r="N245">
        <v>2</v>
      </c>
      <c r="O245">
        <v>1</v>
      </c>
      <c r="P245">
        <v>0</v>
      </c>
      <c r="Q245">
        <v>0</v>
      </c>
      <c r="R245" t="s">
        <v>112</v>
      </c>
      <c r="S245" t="str">
        <f>"13:54:26.523"</f>
        <v>13:54:26.523</v>
      </c>
      <c r="T245" t="str">
        <f>"13:54:26.125"</f>
        <v>13:54:26.125</v>
      </c>
      <c r="U245" t="str">
        <f t="shared" si="9"/>
        <v>ad5732</v>
      </c>
      <c r="V245">
        <v>0</v>
      </c>
      <c r="W245">
        <v>0</v>
      </c>
      <c r="X245">
        <v>1</v>
      </c>
      <c r="Z245">
        <v>0</v>
      </c>
      <c r="AA245">
        <v>9</v>
      </c>
      <c r="AB245">
        <v>3</v>
      </c>
      <c r="AC245">
        <v>0</v>
      </c>
      <c r="AD245">
        <v>10</v>
      </c>
      <c r="AE245">
        <v>0</v>
      </c>
      <c r="AF245">
        <v>3</v>
      </c>
      <c r="AG245">
        <v>2</v>
      </c>
      <c r="AH245">
        <v>0</v>
      </c>
      <c r="AI245" t="s">
        <v>581</v>
      </c>
      <c r="AJ245">
        <v>39.179541999999998</v>
      </c>
      <c r="AK245" t="s">
        <v>582</v>
      </c>
      <c r="AL245">
        <v>-77.546632000000002</v>
      </c>
      <c r="AM245">
        <v>100</v>
      </c>
      <c r="AN245">
        <v>4300</v>
      </c>
      <c r="AO245" t="s">
        <v>115</v>
      </c>
      <c r="AP245">
        <v>129</v>
      </c>
      <c r="AQ245">
        <v>41</v>
      </c>
      <c r="AR245">
        <v>1472</v>
      </c>
      <c r="AZ245">
        <v>3614</v>
      </c>
      <c r="BA245">
        <v>1</v>
      </c>
      <c r="BB245" t="str">
        <f t="shared" si="11"/>
        <v xml:space="preserve">N959MJ  </v>
      </c>
      <c r="BC245">
        <v>1</v>
      </c>
      <c r="BE245">
        <v>0</v>
      </c>
      <c r="BF245">
        <v>0</v>
      </c>
      <c r="BG245">
        <v>0</v>
      </c>
      <c r="BH245">
        <v>4600</v>
      </c>
      <c r="BI245">
        <v>300</v>
      </c>
      <c r="BJ245">
        <v>1</v>
      </c>
      <c r="BK245">
        <v>1</v>
      </c>
      <c r="BL245">
        <v>1</v>
      </c>
      <c r="BM245">
        <v>0</v>
      </c>
      <c r="BP245">
        <v>0</v>
      </c>
      <c r="BQ245">
        <v>0</v>
      </c>
      <c r="BX245" t="str">
        <f>"13:54:26.531"</f>
        <v>13:54:26.531</v>
      </c>
      <c r="BY245" t="str">
        <f>"529348821"</f>
        <v>529348821</v>
      </c>
      <c r="CL245">
        <v>3</v>
      </c>
      <c r="CM245">
        <v>2</v>
      </c>
      <c r="CN245">
        <v>0</v>
      </c>
      <c r="CO245">
        <v>2</v>
      </c>
      <c r="CP245">
        <v>0</v>
      </c>
      <c r="CQ245">
        <v>7</v>
      </c>
      <c r="CR245" t="s">
        <v>116</v>
      </c>
      <c r="CS245">
        <v>525</v>
      </c>
      <c r="CT245">
        <v>2</v>
      </c>
      <c r="CU245" t="s">
        <v>140</v>
      </c>
      <c r="CV245" t="s">
        <v>141</v>
      </c>
      <c r="CY245">
        <v>13942278</v>
      </c>
      <c r="CZ245" t="s">
        <v>119</v>
      </c>
    </row>
    <row r="246" spans="1:104" x14ac:dyDescent="0.25">
      <c r="A246" t="str">
        <f>"13:54:27.641"</f>
        <v>13:54:27.641</v>
      </c>
      <c r="B246" t="s">
        <v>108</v>
      </c>
      <c r="C246" t="str">
        <f t="shared" si="10"/>
        <v>ffdfd3c0</v>
      </c>
      <c r="D246" t="s">
        <v>109</v>
      </c>
      <c r="E246">
        <v>4</v>
      </c>
      <c r="F246">
        <v>1004</v>
      </c>
      <c r="G246" t="s">
        <v>110</v>
      </c>
      <c r="J246" t="s">
        <v>111</v>
      </c>
      <c r="K246">
        <v>0</v>
      </c>
      <c r="L246">
        <v>3</v>
      </c>
      <c r="M246">
        <v>0</v>
      </c>
      <c r="N246">
        <v>2</v>
      </c>
      <c r="O246">
        <v>1</v>
      </c>
      <c r="P246">
        <v>0</v>
      </c>
      <c r="Q246">
        <v>0</v>
      </c>
      <c r="R246" t="s">
        <v>112</v>
      </c>
      <c r="S246" t="str">
        <f>"13:54:27.477"</f>
        <v>13:54:27.477</v>
      </c>
      <c r="T246" t="str">
        <f>"13:54:26.578"</f>
        <v>13:54:26.578</v>
      </c>
      <c r="U246" t="str">
        <f t="shared" si="9"/>
        <v>ad5732</v>
      </c>
      <c r="V246">
        <v>0</v>
      </c>
      <c r="W246">
        <v>0</v>
      </c>
      <c r="X246">
        <v>1</v>
      </c>
      <c r="Z246">
        <v>0</v>
      </c>
      <c r="AA246">
        <v>9</v>
      </c>
      <c r="AB246">
        <v>3</v>
      </c>
      <c r="AC246">
        <v>0</v>
      </c>
      <c r="AD246">
        <v>10</v>
      </c>
      <c r="AE246">
        <v>0</v>
      </c>
      <c r="AF246">
        <v>3</v>
      </c>
      <c r="AG246">
        <v>2</v>
      </c>
      <c r="AH246">
        <v>0</v>
      </c>
      <c r="AI246" t="s">
        <v>583</v>
      </c>
      <c r="AJ246">
        <v>39.179713999999997</v>
      </c>
      <c r="AK246" t="s">
        <v>584</v>
      </c>
      <c r="AL246">
        <v>-77.545860000000005</v>
      </c>
      <c r="AM246">
        <v>100</v>
      </c>
      <c r="AN246">
        <v>4400</v>
      </c>
      <c r="AO246" t="s">
        <v>115</v>
      </c>
      <c r="AP246">
        <v>129</v>
      </c>
      <c r="AQ246">
        <v>40</v>
      </c>
      <c r="AR246">
        <v>1472</v>
      </c>
      <c r="AZ246">
        <v>3614</v>
      </c>
      <c r="BA246">
        <v>1</v>
      </c>
      <c r="BB246" t="str">
        <f t="shared" si="11"/>
        <v xml:space="preserve">N959MJ  </v>
      </c>
      <c r="BC246">
        <v>1</v>
      </c>
      <c r="BE246">
        <v>0</v>
      </c>
      <c r="BF246">
        <v>0</v>
      </c>
      <c r="BG246">
        <v>0</v>
      </c>
      <c r="BH246">
        <v>4600</v>
      </c>
      <c r="BI246">
        <v>200</v>
      </c>
      <c r="BJ246">
        <v>1</v>
      </c>
      <c r="BK246">
        <v>1</v>
      </c>
      <c r="BL246">
        <v>1</v>
      </c>
      <c r="BM246">
        <v>0</v>
      </c>
      <c r="BP246">
        <v>0</v>
      </c>
      <c r="BQ246">
        <v>0</v>
      </c>
      <c r="BX246" t="str">
        <f>"13:54:27.484"</f>
        <v>13:54:27.484</v>
      </c>
      <c r="BY246" t="str">
        <f>"481274151"</f>
        <v>481274151</v>
      </c>
      <c r="CL246">
        <v>3</v>
      </c>
      <c r="CM246">
        <v>2</v>
      </c>
      <c r="CN246">
        <v>0</v>
      </c>
      <c r="CO246">
        <v>2</v>
      </c>
      <c r="CP246">
        <v>0</v>
      </c>
      <c r="CQ246">
        <v>7</v>
      </c>
      <c r="CR246" t="s">
        <v>116</v>
      </c>
      <c r="CS246">
        <v>525</v>
      </c>
      <c r="CT246">
        <v>2</v>
      </c>
      <c r="CU246" t="s">
        <v>140</v>
      </c>
      <c r="CV246" t="s">
        <v>141</v>
      </c>
      <c r="CY246">
        <v>13943605</v>
      </c>
      <c r="CZ246" t="s">
        <v>119</v>
      </c>
    </row>
    <row r="247" spans="1:104" x14ac:dyDescent="0.25">
      <c r="A247" t="str">
        <f>"13:54:28.703"</f>
        <v>13:54:28.703</v>
      </c>
      <c r="B247" t="s">
        <v>108</v>
      </c>
      <c r="C247" t="str">
        <f t="shared" si="10"/>
        <v>ffdfd3c0</v>
      </c>
      <c r="D247" t="s">
        <v>109</v>
      </c>
      <c r="E247">
        <v>4</v>
      </c>
      <c r="F247">
        <v>1004</v>
      </c>
      <c r="G247" t="s">
        <v>110</v>
      </c>
      <c r="J247" t="s">
        <v>111</v>
      </c>
      <c r="K247">
        <v>0</v>
      </c>
      <c r="L247">
        <v>3</v>
      </c>
      <c r="M247">
        <v>0</v>
      </c>
      <c r="N247">
        <v>2</v>
      </c>
      <c r="O247">
        <v>1</v>
      </c>
      <c r="P247">
        <v>0</v>
      </c>
      <c r="Q247">
        <v>0</v>
      </c>
      <c r="R247" t="s">
        <v>112</v>
      </c>
      <c r="S247" t="str">
        <f>"13:54:28.539"</f>
        <v>13:54:28.539</v>
      </c>
      <c r="T247" t="str">
        <f>"13:54:28.039"</f>
        <v>13:54:28.039</v>
      </c>
      <c r="U247" t="str">
        <f t="shared" si="9"/>
        <v>ad5732</v>
      </c>
      <c r="V247">
        <v>0</v>
      </c>
      <c r="W247">
        <v>0</v>
      </c>
      <c r="X247">
        <v>1</v>
      </c>
      <c r="Z247">
        <v>0</v>
      </c>
      <c r="AA247">
        <v>9</v>
      </c>
      <c r="AB247">
        <v>3</v>
      </c>
      <c r="AC247">
        <v>0</v>
      </c>
      <c r="AD247">
        <v>10</v>
      </c>
      <c r="AE247">
        <v>0</v>
      </c>
      <c r="AF247">
        <v>3</v>
      </c>
      <c r="AG247">
        <v>2</v>
      </c>
      <c r="AH247">
        <v>0</v>
      </c>
      <c r="AI247" t="s">
        <v>585</v>
      </c>
      <c r="AJ247">
        <v>39.179907</v>
      </c>
      <c r="AK247" t="s">
        <v>586</v>
      </c>
      <c r="AL247">
        <v>-77.545086999999995</v>
      </c>
      <c r="AM247">
        <v>100</v>
      </c>
      <c r="AN247">
        <v>4400</v>
      </c>
      <c r="AO247" t="s">
        <v>115</v>
      </c>
      <c r="AP247">
        <v>129</v>
      </c>
      <c r="AQ247">
        <v>39</v>
      </c>
      <c r="AR247">
        <v>1472</v>
      </c>
      <c r="AZ247">
        <v>3614</v>
      </c>
      <c r="BA247">
        <v>1</v>
      </c>
      <c r="BB247" t="str">
        <f t="shared" si="11"/>
        <v xml:space="preserve">N959MJ  </v>
      </c>
      <c r="BC247">
        <v>1</v>
      </c>
      <c r="BE247">
        <v>0</v>
      </c>
      <c r="BF247">
        <v>0</v>
      </c>
      <c r="BG247">
        <v>0</v>
      </c>
      <c r="BH247">
        <v>4625</v>
      </c>
      <c r="BI247">
        <v>225</v>
      </c>
      <c r="BJ247">
        <v>1</v>
      </c>
      <c r="BK247">
        <v>1</v>
      </c>
      <c r="BL247">
        <v>1</v>
      </c>
      <c r="BM247">
        <v>0</v>
      </c>
      <c r="BP247">
        <v>0</v>
      </c>
      <c r="BQ247">
        <v>0</v>
      </c>
      <c r="BX247" t="str">
        <f>"13:54:28.539"</f>
        <v>13:54:28.539</v>
      </c>
      <c r="BY247" t="str">
        <f>"541352425"</f>
        <v>541352425</v>
      </c>
      <c r="CL247">
        <v>3</v>
      </c>
      <c r="CM247">
        <v>2</v>
      </c>
      <c r="CN247">
        <v>0</v>
      </c>
      <c r="CO247">
        <v>2</v>
      </c>
      <c r="CP247">
        <v>0</v>
      </c>
      <c r="CQ247">
        <v>7</v>
      </c>
      <c r="CR247" t="s">
        <v>116</v>
      </c>
      <c r="CS247">
        <v>147</v>
      </c>
      <c r="CT247">
        <v>3</v>
      </c>
      <c r="CU247" t="s">
        <v>117</v>
      </c>
      <c r="CV247" t="s">
        <v>118</v>
      </c>
      <c r="CY247">
        <v>16182977</v>
      </c>
      <c r="CZ247" t="s">
        <v>119</v>
      </c>
    </row>
    <row r="248" spans="1:104" x14ac:dyDescent="0.25">
      <c r="A248" t="str">
        <f>"13:54:29.664"</f>
        <v>13:54:29.664</v>
      </c>
      <c r="B248" t="s">
        <v>108</v>
      </c>
      <c r="C248" t="str">
        <f t="shared" si="10"/>
        <v>ffdfd3c0</v>
      </c>
      <c r="D248" t="s">
        <v>109</v>
      </c>
      <c r="E248">
        <v>4</v>
      </c>
      <c r="F248">
        <v>1004</v>
      </c>
      <c r="G248" t="s">
        <v>110</v>
      </c>
      <c r="J248" t="s">
        <v>111</v>
      </c>
      <c r="K248">
        <v>0</v>
      </c>
      <c r="L248">
        <v>3</v>
      </c>
      <c r="M248">
        <v>0</v>
      </c>
      <c r="N248">
        <v>2</v>
      </c>
      <c r="O248">
        <v>1</v>
      </c>
      <c r="P248">
        <v>0</v>
      </c>
      <c r="Q248">
        <v>0</v>
      </c>
      <c r="R248" t="s">
        <v>112</v>
      </c>
      <c r="S248" t="str">
        <f>"13:54:29.484"</f>
        <v>13:54:29.484</v>
      </c>
      <c r="T248" t="str">
        <f>"13:54:29.086"</f>
        <v>13:54:29.086</v>
      </c>
      <c r="U248" t="str">
        <f t="shared" si="9"/>
        <v>ad5732</v>
      </c>
      <c r="V248">
        <v>0</v>
      </c>
      <c r="W248">
        <v>0</v>
      </c>
      <c r="X248">
        <v>1</v>
      </c>
      <c r="Z248">
        <v>0</v>
      </c>
      <c r="AA248">
        <v>9</v>
      </c>
      <c r="AB248">
        <v>3</v>
      </c>
      <c r="AC248">
        <v>0</v>
      </c>
      <c r="AD248">
        <v>10</v>
      </c>
      <c r="AE248">
        <v>0</v>
      </c>
      <c r="AF248">
        <v>3</v>
      </c>
      <c r="AG248">
        <v>2</v>
      </c>
      <c r="AH248">
        <v>0</v>
      </c>
      <c r="AI248" t="s">
        <v>587</v>
      </c>
      <c r="AJ248">
        <v>39.180036000000001</v>
      </c>
      <c r="AK248" t="s">
        <v>588</v>
      </c>
      <c r="AL248">
        <v>-77.544314999999997</v>
      </c>
      <c r="AM248">
        <v>100</v>
      </c>
      <c r="AN248">
        <v>4400</v>
      </c>
      <c r="AO248" t="s">
        <v>115</v>
      </c>
      <c r="AP248">
        <v>128</v>
      </c>
      <c r="AQ248">
        <v>38</v>
      </c>
      <c r="AR248">
        <v>1408</v>
      </c>
      <c r="AZ248">
        <v>3614</v>
      </c>
      <c r="BA248">
        <v>1</v>
      </c>
      <c r="BB248" t="str">
        <f t="shared" si="11"/>
        <v xml:space="preserve">N959MJ  </v>
      </c>
      <c r="BC248">
        <v>1</v>
      </c>
      <c r="BE248">
        <v>0</v>
      </c>
      <c r="BF248">
        <v>0</v>
      </c>
      <c r="BG248">
        <v>0</v>
      </c>
      <c r="BH248">
        <v>4650</v>
      </c>
      <c r="BI248">
        <v>250</v>
      </c>
      <c r="BJ248">
        <v>1</v>
      </c>
      <c r="BK248">
        <v>1</v>
      </c>
      <c r="BL248">
        <v>1</v>
      </c>
      <c r="BM248">
        <v>0</v>
      </c>
      <c r="BP248">
        <v>0</v>
      </c>
      <c r="BQ248">
        <v>0</v>
      </c>
      <c r="BX248" t="str">
        <f>"13:54:29.484"</f>
        <v>13:54:29.484</v>
      </c>
      <c r="BY248" t="str">
        <f>"485085496"</f>
        <v>485085496</v>
      </c>
      <c r="CL248">
        <v>3</v>
      </c>
      <c r="CM248">
        <v>2</v>
      </c>
      <c r="CN248">
        <v>0</v>
      </c>
      <c r="CO248">
        <v>2</v>
      </c>
      <c r="CP248">
        <v>0</v>
      </c>
      <c r="CQ248">
        <v>7</v>
      </c>
      <c r="CR248" t="s">
        <v>116</v>
      </c>
      <c r="CS248">
        <v>147</v>
      </c>
      <c r="CT248">
        <v>3</v>
      </c>
      <c r="CU248" t="s">
        <v>117</v>
      </c>
      <c r="CV248" t="s">
        <v>118</v>
      </c>
      <c r="CY248">
        <v>16184561</v>
      </c>
      <c r="CZ248" t="s">
        <v>119</v>
      </c>
    </row>
    <row r="249" spans="1:104" x14ac:dyDescent="0.25">
      <c r="A249" t="str">
        <f>"13:54:30.625"</f>
        <v>13:54:30.625</v>
      </c>
      <c r="B249" t="s">
        <v>108</v>
      </c>
      <c r="C249" t="str">
        <f t="shared" si="10"/>
        <v>ffdfd3c0</v>
      </c>
      <c r="D249" t="s">
        <v>109</v>
      </c>
      <c r="E249">
        <v>4</v>
      </c>
      <c r="F249">
        <v>1004</v>
      </c>
      <c r="G249" t="s">
        <v>110</v>
      </c>
      <c r="J249" t="s">
        <v>111</v>
      </c>
      <c r="K249">
        <v>0</v>
      </c>
      <c r="L249">
        <v>3</v>
      </c>
      <c r="M249">
        <v>0</v>
      </c>
      <c r="N249">
        <v>2</v>
      </c>
      <c r="O249">
        <v>1</v>
      </c>
      <c r="P249">
        <v>0</v>
      </c>
      <c r="Q249">
        <v>0</v>
      </c>
      <c r="R249" t="s">
        <v>112</v>
      </c>
      <c r="S249" t="str">
        <f>"13:54:30.422"</f>
        <v>13:54:30.422</v>
      </c>
      <c r="T249" t="str">
        <f>"13:54:29.922"</f>
        <v>13:54:29.922</v>
      </c>
      <c r="U249" t="str">
        <f t="shared" si="9"/>
        <v>ad5732</v>
      </c>
      <c r="V249">
        <v>0</v>
      </c>
      <c r="W249">
        <v>0</v>
      </c>
      <c r="X249">
        <v>1</v>
      </c>
      <c r="Z249">
        <v>0</v>
      </c>
      <c r="AA249">
        <v>9</v>
      </c>
      <c r="AB249">
        <v>3</v>
      </c>
      <c r="AC249">
        <v>0</v>
      </c>
      <c r="AD249">
        <v>10</v>
      </c>
      <c r="AE249">
        <v>0</v>
      </c>
      <c r="AF249">
        <v>3</v>
      </c>
      <c r="AG249">
        <v>2</v>
      </c>
      <c r="AH249">
        <v>0</v>
      </c>
      <c r="AI249" t="s">
        <v>589</v>
      </c>
      <c r="AJ249">
        <v>39.180228999999997</v>
      </c>
      <c r="AK249" t="s">
        <v>590</v>
      </c>
      <c r="AL249">
        <v>-77.54365</v>
      </c>
      <c r="AM249">
        <v>100</v>
      </c>
      <c r="AN249">
        <v>4500</v>
      </c>
      <c r="AO249" t="s">
        <v>115</v>
      </c>
      <c r="AP249">
        <v>128</v>
      </c>
      <c r="AQ249">
        <v>38</v>
      </c>
      <c r="AR249">
        <v>1472</v>
      </c>
      <c r="AZ249">
        <v>3614</v>
      </c>
      <c r="BA249">
        <v>1</v>
      </c>
      <c r="BB249" t="str">
        <f t="shared" si="11"/>
        <v xml:space="preserve">N959MJ  </v>
      </c>
      <c r="BC249">
        <v>1</v>
      </c>
      <c r="BE249">
        <v>0</v>
      </c>
      <c r="BF249">
        <v>0</v>
      </c>
      <c r="BG249">
        <v>0</v>
      </c>
      <c r="BH249">
        <v>4675</v>
      </c>
      <c r="BI249">
        <v>175</v>
      </c>
      <c r="BJ249">
        <v>1</v>
      </c>
      <c r="BK249">
        <v>1</v>
      </c>
      <c r="BL249">
        <v>1</v>
      </c>
      <c r="BM249">
        <v>0</v>
      </c>
      <c r="BP249">
        <v>0</v>
      </c>
      <c r="BQ249">
        <v>0</v>
      </c>
      <c r="BX249" t="str">
        <f>"13:54:30.422"</f>
        <v>13:54:30.422</v>
      </c>
      <c r="BY249" t="str">
        <f>"422264886"</f>
        <v>422264886</v>
      </c>
      <c r="CL249">
        <v>3</v>
      </c>
      <c r="CM249">
        <v>2</v>
      </c>
      <c r="CN249">
        <v>0</v>
      </c>
      <c r="CO249">
        <v>2</v>
      </c>
      <c r="CP249">
        <v>0</v>
      </c>
      <c r="CQ249">
        <v>7</v>
      </c>
      <c r="CR249" t="s">
        <v>116</v>
      </c>
      <c r="CS249">
        <v>147</v>
      </c>
      <c r="CT249">
        <v>3</v>
      </c>
      <c r="CU249" t="s">
        <v>117</v>
      </c>
      <c r="CV249" t="s">
        <v>118</v>
      </c>
      <c r="CY249">
        <v>16186107</v>
      </c>
      <c r="CZ249" t="s">
        <v>119</v>
      </c>
    </row>
    <row r="250" spans="1:104" x14ac:dyDescent="0.25">
      <c r="A250" t="str">
        <f>"13:54:31.633"</f>
        <v>13:54:31.633</v>
      </c>
      <c r="B250" t="s">
        <v>108</v>
      </c>
      <c r="C250" t="str">
        <f t="shared" si="10"/>
        <v>ffdfd3c0</v>
      </c>
      <c r="D250" t="s">
        <v>109</v>
      </c>
      <c r="E250">
        <v>4</v>
      </c>
      <c r="F250">
        <v>1004</v>
      </c>
      <c r="G250" t="s">
        <v>110</v>
      </c>
      <c r="J250" t="s">
        <v>111</v>
      </c>
      <c r="K250">
        <v>0</v>
      </c>
      <c r="L250">
        <v>3</v>
      </c>
      <c r="M250">
        <v>0</v>
      </c>
      <c r="N250">
        <v>2</v>
      </c>
      <c r="O250">
        <v>1</v>
      </c>
      <c r="P250">
        <v>0</v>
      </c>
      <c r="Q250">
        <v>0</v>
      </c>
      <c r="R250" t="s">
        <v>112</v>
      </c>
      <c r="S250" t="str">
        <f>"13:54:31.438"</f>
        <v>13:54:31.438</v>
      </c>
      <c r="T250" t="str">
        <f>"13:54:31.039"</f>
        <v>13:54:31.039</v>
      </c>
      <c r="U250" t="str">
        <f t="shared" si="9"/>
        <v>ad5732</v>
      </c>
      <c r="V250">
        <v>0</v>
      </c>
      <c r="W250">
        <v>0</v>
      </c>
      <c r="X250">
        <v>1</v>
      </c>
      <c r="Z250">
        <v>0</v>
      </c>
      <c r="AA250">
        <v>9</v>
      </c>
      <c r="AB250">
        <v>3</v>
      </c>
      <c r="AC250">
        <v>0</v>
      </c>
      <c r="AD250">
        <v>10</v>
      </c>
      <c r="AE250">
        <v>0</v>
      </c>
      <c r="AF250">
        <v>3</v>
      </c>
      <c r="AG250">
        <v>2</v>
      </c>
      <c r="AH250">
        <v>0</v>
      </c>
      <c r="AI250" t="s">
        <v>591</v>
      </c>
      <c r="AJ250">
        <v>39.180357000000001</v>
      </c>
      <c r="AK250" t="s">
        <v>592</v>
      </c>
      <c r="AL250">
        <v>-77.542899000000006</v>
      </c>
      <c r="AM250">
        <v>100</v>
      </c>
      <c r="AN250">
        <v>4500</v>
      </c>
      <c r="AO250" t="s">
        <v>115</v>
      </c>
      <c r="AP250">
        <v>127</v>
      </c>
      <c r="AQ250">
        <v>37</v>
      </c>
      <c r="AR250">
        <v>1472</v>
      </c>
      <c r="AZ250">
        <v>3614</v>
      </c>
      <c r="BA250">
        <v>1</v>
      </c>
      <c r="BB250" t="str">
        <f t="shared" si="11"/>
        <v xml:space="preserve">N959MJ  </v>
      </c>
      <c r="BC250">
        <v>1</v>
      </c>
      <c r="BE250">
        <v>0</v>
      </c>
      <c r="BF250">
        <v>0</v>
      </c>
      <c r="BG250">
        <v>0</v>
      </c>
      <c r="BH250">
        <v>4700</v>
      </c>
      <c r="BI250">
        <v>200</v>
      </c>
      <c r="BJ250">
        <v>1</v>
      </c>
      <c r="BK250">
        <v>1</v>
      </c>
      <c r="BL250">
        <v>1</v>
      </c>
      <c r="BM250">
        <v>0</v>
      </c>
      <c r="BP250">
        <v>0</v>
      </c>
      <c r="BQ250">
        <v>0</v>
      </c>
      <c r="BX250" t="str">
        <f>"13:54:31.445"</f>
        <v>13:54:31.445</v>
      </c>
      <c r="BY250" t="str">
        <f>"444642378"</f>
        <v>444642378</v>
      </c>
      <c r="CL250">
        <v>3</v>
      </c>
      <c r="CM250">
        <v>2</v>
      </c>
      <c r="CN250">
        <v>0</v>
      </c>
      <c r="CO250">
        <v>2</v>
      </c>
      <c r="CP250">
        <v>0</v>
      </c>
      <c r="CQ250">
        <v>7</v>
      </c>
      <c r="CR250" t="s">
        <v>116</v>
      </c>
      <c r="CS250">
        <v>147</v>
      </c>
      <c r="CT250">
        <v>3</v>
      </c>
      <c r="CU250" t="s">
        <v>117</v>
      </c>
      <c r="CV250" t="s">
        <v>118</v>
      </c>
      <c r="CY250">
        <v>16187681</v>
      </c>
      <c r="CZ250" t="s">
        <v>119</v>
      </c>
    </row>
    <row r="251" spans="1:104" x14ac:dyDescent="0.25">
      <c r="A251" t="str">
        <f>"13:54:32.641"</f>
        <v>13:54:32.641</v>
      </c>
      <c r="B251" t="s">
        <v>108</v>
      </c>
      <c r="C251" t="str">
        <f t="shared" si="10"/>
        <v>ffdfd3c0</v>
      </c>
      <c r="D251" t="s">
        <v>109</v>
      </c>
      <c r="E251">
        <v>4</v>
      </c>
      <c r="F251">
        <v>1004</v>
      </c>
      <c r="G251" t="s">
        <v>110</v>
      </c>
      <c r="J251" t="s">
        <v>111</v>
      </c>
      <c r="K251">
        <v>0</v>
      </c>
      <c r="L251">
        <v>3</v>
      </c>
      <c r="M251">
        <v>0</v>
      </c>
      <c r="N251">
        <v>2</v>
      </c>
      <c r="O251">
        <v>1</v>
      </c>
      <c r="P251">
        <v>0</v>
      </c>
      <c r="Q251">
        <v>0</v>
      </c>
      <c r="R251" t="s">
        <v>112</v>
      </c>
      <c r="S251" t="str">
        <f>"13:54:32.453"</f>
        <v>13:54:32.453</v>
      </c>
      <c r="T251" t="str">
        <f>"13:54:31.953"</f>
        <v>13:54:31.953</v>
      </c>
      <c r="U251" t="str">
        <f t="shared" si="9"/>
        <v>ad5732</v>
      </c>
      <c r="V251">
        <v>0</v>
      </c>
      <c r="W251">
        <v>0</v>
      </c>
      <c r="X251">
        <v>1</v>
      </c>
      <c r="Z251">
        <v>0</v>
      </c>
      <c r="AA251">
        <v>9</v>
      </c>
      <c r="AB251">
        <v>3</v>
      </c>
      <c r="AC251">
        <v>0</v>
      </c>
      <c r="AD251">
        <v>10</v>
      </c>
      <c r="AE251">
        <v>0</v>
      </c>
      <c r="AF251">
        <v>3</v>
      </c>
      <c r="AG251">
        <v>2</v>
      </c>
      <c r="AH251">
        <v>0</v>
      </c>
      <c r="AI251" t="s">
        <v>593</v>
      </c>
      <c r="AJ251">
        <v>39.180551000000001</v>
      </c>
      <c r="AK251" t="s">
        <v>594</v>
      </c>
      <c r="AL251">
        <v>-77.542105000000006</v>
      </c>
      <c r="AM251">
        <v>100</v>
      </c>
      <c r="AN251">
        <v>4500</v>
      </c>
      <c r="AO251" t="s">
        <v>115</v>
      </c>
      <c r="AP251">
        <v>126</v>
      </c>
      <c r="AQ251">
        <v>37</v>
      </c>
      <c r="AR251">
        <v>1472</v>
      </c>
      <c r="AZ251">
        <v>3614</v>
      </c>
      <c r="BA251">
        <v>1</v>
      </c>
      <c r="BB251" t="str">
        <f t="shared" si="11"/>
        <v xml:space="preserve">N959MJ  </v>
      </c>
      <c r="BC251">
        <v>1</v>
      </c>
      <c r="BE251">
        <v>0</v>
      </c>
      <c r="BF251">
        <v>0</v>
      </c>
      <c r="BG251">
        <v>0</v>
      </c>
      <c r="BH251">
        <v>4725</v>
      </c>
      <c r="BI251">
        <v>225</v>
      </c>
      <c r="BJ251">
        <v>1</v>
      </c>
      <c r="BK251">
        <v>1</v>
      </c>
      <c r="BL251">
        <v>1</v>
      </c>
      <c r="BM251">
        <v>0</v>
      </c>
      <c r="BP251">
        <v>0</v>
      </c>
      <c r="BQ251">
        <v>0</v>
      </c>
      <c r="BX251" t="str">
        <f>"13:54:32.461"</f>
        <v>13:54:32.461</v>
      </c>
      <c r="BY251" t="str">
        <f>"457189347"</f>
        <v>457189347</v>
      </c>
      <c r="CL251">
        <v>3</v>
      </c>
      <c r="CM251">
        <v>2</v>
      </c>
      <c r="CN251">
        <v>0</v>
      </c>
      <c r="CO251">
        <v>2</v>
      </c>
      <c r="CP251">
        <v>0</v>
      </c>
      <c r="CQ251">
        <v>7</v>
      </c>
      <c r="CR251" t="s">
        <v>116</v>
      </c>
      <c r="CS251">
        <v>147</v>
      </c>
      <c r="CT251">
        <v>3</v>
      </c>
      <c r="CU251" t="s">
        <v>117</v>
      </c>
      <c r="CV251" t="s">
        <v>118</v>
      </c>
      <c r="CY251">
        <v>16189256</v>
      </c>
      <c r="CZ251" t="s">
        <v>119</v>
      </c>
    </row>
    <row r="252" spans="1:104" x14ac:dyDescent="0.25">
      <c r="A252" t="str">
        <f>"13:54:33.703"</f>
        <v>13:54:33.703</v>
      </c>
      <c r="B252" t="s">
        <v>108</v>
      </c>
      <c r="C252" t="str">
        <f t="shared" si="10"/>
        <v>ffdfd3c0</v>
      </c>
      <c r="D252" t="s">
        <v>109</v>
      </c>
      <c r="E252">
        <v>4</v>
      </c>
      <c r="F252">
        <v>1004</v>
      </c>
      <c r="G252" t="s">
        <v>110</v>
      </c>
      <c r="J252" t="s">
        <v>111</v>
      </c>
      <c r="K252">
        <v>0</v>
      </c>
      <c r="L252">
        <v>3</v>
      </c>
      <c r="M252">
        <v>0</v>
      </c>
      <c r="N252">
        <v>2</v>
      </c>
      <c r="O252">
        <v>1</v>
      </c>
      <c r="P252">
        <v>0</v>
      </c>
      <c r="Q252">
        <v>0</v>
      </c>
      <c r="R252" t="s">
        <v>112</v>
      </c>
      <c r="S252" t="str">
        <f>"13:54:33.516"</f>
        <v>13:54:33.516</v>
      </c>
      <c r="T252" t="str">
        <f>"13:54:33.117"</f>
        <v>13:54:33.117</v>
      </c>
      <c r="U252" t="str">
        <f t="shared" si="9"/>
        <v>ad5732</v>
      </c>
      <c r="V252">
        <v>0</v>
      </c>
      <c r="W252">
        <v>0</v>
      </c>
      <c r="X252">
        <v>1</v>
      </c>
      <c r="Z252">
        <v>0</v>
      </c>
      <c r="AA252">
        <v>9</v>
      </c>
      <c r="AB252">
        <v>3</v>
      </c>
      <c r="AC252">
        <v>0</v>
      </c>
      <c r="AD252">
        <v>10</v>
      </c>
      <c r="AE252">
        <v>0</v>
      </c>
      <c r="AF252">
        <v>3</v>
      </c>
      <c r="AG252">
        <v>2</v>
      </c>
      <c r="AH252">
        <v>0</v>
      </c>
      <c r="AI252" t="s">
        <v>595</v>
      </c>
      <c r="AJ252">
        <v>39.180765000000001</v>
      </c>
      <c r="AK252" t="s">
        <v>596</v>
      </c>
      <c r="AL252">
        <v>-77.541331999999997</v>
      </c>
      <c r="AM252">
        <v>100</v>
      </c>
      <c r="AN252">
        <v>4500</v>
      </c>
      <c r="AO252" t="s">
        <v>115</v>
      </c>
      <c r="AP252">
        <v>125</v>
      </c>
      <c r="AQ252">
        <v>38</v>
      </c>
      <c r="AR252">
        <v>1472</v>
      </c>
      <c r="AZ252">
        <v>3614</v>
      </c>
      <c r="BA252">
        <v>1</v>
      </c>
      <c r="BB252" t="str">
        <f t="shared" si="11"/>
        <v xml:space="preserve">N959MJ  </v>
      </c>
      <c r="BC252">
        <v>1</v>
      </c>
      <c r="BE252">
        <v>0</v>
      </c>
      <c r="BF252">
        <v>0</v>
      </c>
      <c r="BG252">
        <v>0</v>
      </c>
      <c r="BH252">
        <v>4750</v>
      </c>
      <c r="BI252">
        <v>250</v>
      </c>
      <c r="BJ252">
        <v>1</v>
      </c>
      <c r="BK252">
        <v>1</v>
      </c>
      <c r="BL252">
        <v>1</v>
      </c>
      <c r="BM252">
        <v>0</v>
      </c>
      <c r="BP252">
        <v>0</v>
      </c>
      <c r="BQ252">
        <v>0</v>
      </c>
      <c r="BX252" t="str">
        <f>"13:54:33.516"</f>
        <v>13:54:33.516</v>
      </c>
      <c r="BY252" t="str">
        <f>"518889060"</f>
        <v>518889060</v>
      </c>
      <c r="CL252">
        <v>3</v>
      </c>
      <c r="CM252">
        <v>2</v>
      </c>
      <c r="CN252">
        <v>0</v>
      </c>
      <c r="CO252">
        <v>2</v>
      </c>
      <c r="CP252">
        <v>0</v>
      </c>
      <c r="CQ252">
        <v>7</v>
      </c>
      <c r="CR252" t="s">
        <v>116</v>
      </c>
      <c r="CS252">
        <v>147</v>
      </c>
      <c r="CT252">
        <v>3</v>
      </c>
      <c r="CU252" t="s">
        <v>117</v>
      </c>
      <c r="CV252" t="s">
        <v>118</v>
      </c>
      <c r="CY252">
        <v>16191026</v>
      </c>
      <c r="CZ252" t="s">
        <v>119</v>
      </c>
    </row>
    <row r="253" spans="1:104" x14ac:dyDescent="0.25">
      <c r="A253" t="str">
        <f>"13:54:34.766"</f>
        <v>13:54:34.766</v>
      </c>
      <c r="B253" t="s">
        <v>108</v>
      </c>
      <c r="C253" t="str">
        <f t="shared" si="10"/>
        <v>ffdfd3c0</v>
      </c>
      <c r="D253" t="s">
        <v>109</v>
      </c>
      <c r="E253">
        <v>4</v>
      </c>
      <c r="F253">
        <v>1004</v>
      </c>
      <c r="G253" t="s">
        <v>110</v>
      </c>
      <c r="J253" t="s">
        <v>111</v>
      </c>
      <c r="K253">
        <v>0</v>
      </c>
      <c r="L253">
        <v>3</v>
      </c>
      <c r="M253">
        <v>0</v>
      </c>
      <c r="N253">
        <v>2</v>
      </c>
      <c r="O253">
        <v>1</v>
      </c>
      <c r="P253">
        <v>0</v>
      </c>
      <c r="Q253">
        <v>0</v>
      </c>
      <c r="R253" t="s">
        <v>112</v>
      </c>
      <c r="S253" t="str">
        <f>"13:54:34.578"</f>
        <v>13:54:34.578</v>
      </c>
      <c r="T253" t="str">
        <f>"13:54:34.078"</f>
        <v>13:54:34.078</v>
      </c>
      <c r="U253" t="str">
        <f t="shared" si="9"/>
        <v>ad5732</v>
      </c>
      <c r="V253">
        <v>0</v>
      </c>
      <c r="W253">
        <v>0</v>
      </c>
      <c r="X253">
        <v>1</v>
      </c>
      <c r="Z253">
        <v>0</v>
      </c>
      <c r="AA253">
        <v>9</v>
      </c>
      <c r="AB253">
        <v>3</v>
      </c>
      <c r="AC253">
        <v>0</v>
      </c>
      <c r="AD253">
        <v>10</v>
      </c>
      <c r="AE253">
        <v>0</v>
      </c>
      <c r="AF253">
        <v>3</v>
      </c>
      <c r="AG253">
        <v>2</v>
      </c>
      <c r="AH253">
        <v>0</v>
      </c>
      <c r="AI253" t="s">
        <v>597</v>
      </c>
      <c r="AJ253">
        <v>39.180979999999998</v>
      </c>
      <c r="AK253" t="s">
        <v>598</v>
      </c>
      <c r="AL253">
        <v>-77.540516999999994</v>
      </c>
      <c r="AM253">
        <v>100</v>
      </c>
      <c r="AN253">
        <v>4500</v>
      </c>
      <c r="AO253" t="s">
        <v>115</v>
      </c>
      <c r="AP253">
        <v>124</v>
      </c>
      <c r="AQ253">
        <v>40</v>
      </c>
      <c r="AR253">
        <v>1472</v>
      </c>
      <c r="AZ253">
        <v>3614</v>
      </c>
      <c r="BA253">
        <v>1</v>
      </c>
      <c r="BB253" t="str">
        <f t="shared" si="11"/>
        <v xml:space="preserve">N959MJ  </v>
      </c>
      <c r="BC253">
        <v>1</v>
      </c>
      <c r="BE253">
        <v>0</v>
      </c>
      <c r="BF253">
        <v>0</v>
      </c>
      <c r="BG253">
        <v>0</v>
      </c>
      <c r="BH253">
        <v>4775</v>
      </c>
      <c r="BI253">
        <v>275</v>
      </c>
      <c r="BJ253">
        <v>1</v>
      </c>
      <c r="BK253">
        <v>1</v>
      </c>
      <c r="BL253">
        <v>1</v>
      </c>
      <c r="BM253">
        <v>0</v>
      </c>
      <c r="BP253">
        <v>0</v>
      </c>
      <c r="BQ253">
        <v>0</v>
      </c>
      <c r="BX253" t="str">
        <f>"13:54:34.586"</f>
        <v>13:54:34.586</v>
      </c>
      <c r="BY253" t="str">
        <f>"583865697"</f>
        <v>583865697</v>
      </c>
      <c r="CL253">
        <v>3</v>
      </c>
      <c r="CM253">
        <v>2</v>
      </c>
      <c r="CN253">
        <v>0</v>
      </c>
      <c r="CO253">
        <v>2</v>
      </c>
      <c r="CP253">
        <v>0</v>
      </c>
      <c r="CQ253">
        <v>7</v>
      </c>
      <c r="CR253" t="s">
        <v>116</v>
      </c>
      <c r="CS253">
        <v>147</v>
      </c>
      <c r="CT253">
        <v>3</v>
      </c>
      <c r="CU253" t="s">
        <v>117</v>
      </c>
      <c r="CV253" t="s">
        <v>118</v>
      </c>
      <c r="CY253">
        <v>16192720</v>
      </c>
      <c r="CZ253" t="s">
        <v>119</v>
      </c>
    </row>
    <row r="254" spans="1:104" x14ac:dyDescent="0.25">
      <c r="A254" t="str">
        <f>"13:54:35.773"</f>
        <v>13:54:35.773</v>
      </c>
      <c r="B254" t="s">
        <v>108</v>
      </c>
      <c r="C254" t="str">
        <f t="shared" si="10"/>
        <v>ffdfd3c0</v>
      </c>
      <c r="D254" t="s">
        <v>109</v>
      </c>
      <c r="E254">
        <v>4</v>
      </c>
      <c r="F254">
        <v>1004</v>
      </c>
      <c r="G254" t="s">
        <v>110</v>
      </c>
      <c r="J254" t="s">
        <v>111</v>
      </c>
      <c r="K254">
        <v>0</v>
      </c>
      <c r="L254">
        <v>3</v>
      </c>
      <c r="M254">
        <v>0</v>
      </c>
      <c r="N254">
        <v>2</v>
      </c>
      <c r="O254">
        <v>1</v>
      </c>
      <c r="P254">
        <v>0</v>
      </c>
      <c r="Q254">
        <v>0</v>
      </c>
      <c r="R254" t="s">
        <v>112</v>
      </c>
      <c r="S254" t="str">
        <f>"13:54:35.563"</f>
        <v>13:54:35.563</v>
      </c>
      <c r="T254" t="str">
        <f>"13:54:35.164"</f>
        <v>13:54:35.164</v>
      </c>
      <c r="U254" t="str">
        <f t="shared" si="9"/>
        <v>ad5732</v>
      </c>
      <c r="V254">
        <v>0</v>
      </c>
      <c r="W254">
        <v>0</v>
      </c>
      <c r="X254">
        <v>1</v>
      </c>
      <c r="Z254">
        <v>0</v>
      </c>
      <c r="AA254">
        <v>9</v>
      </c>
      <c r="AB254">
        <v>3</v>
      </c>
      <c r="AC254">
        <v>0</v>
      </c>
      <c r="AD254">
        <v>10</v>
      </c>
      <c r="AE254">
        <v>0</v>
      </c>
      <c r="AF254">
        <v>3</v>
      </c>
      <c r="AG254">
        <v>2</v>
      </c>
      <c r="AH254">
        <v>0</v>
      </c>
      <c r="AI254" t="s">
        <v>599</v>
      </c>
      <c r="AJ254">
        <v>39.181130000000003</v>
      </c>
      <c r="AK254" t="s">
        <v>600</v>
      </c>
      <c r="AL254">
        <v>-77.539895000000001</v>
      </c>
      <c r="AM254">
        <v>100</v>
      </c>
      <c r="AN254">
        <v>4600</v>
      </c>
      <c r="AO254" t="s">
        <v>115</v>
      </c>
      <c r="AP254">
        <v>122</v>
      </c>
      <c r="AQ254">
        <v>42</v>
      </c>
      <c r="AR254">
        <v>1472</v>
      </c>
      <c r="AZ254">
        <v>3614</v>
      </c>
      <c r="BA254">
        <v>1</v>
      </c>
      <c r="BB254" t="str">
        <f t="shared" si="11"/>
        <v xml:space="preserve">N959MJ  </v>
      </c>
      <c r="BC254">
        <v>1</v>
      </c>
      <c r="BE254">
        <v>0</v>
      </c>
      <c r="BF254">
        <v>0</v>
      </c>
      <c r="BG254">
        <v>0</v>
      </c>
      <c r="BH254">
        <v>4800</v>
      </c>
      <c r="BI254">
        <v>200</v>
      </c>
      <c r="BJ254">
        <v>1</v>
      </c>
      <c r="BK254">
        <v>1</v>
      </c>
      <c r="BL254">
        <v>1</v>
      </c>
      <c r="BM254">
        <v>0</v>
      </c>
      <c r="BP254">
        <v>0</v>
      </c>
      <c r="BQ254">
        <v>0</v>
      </c>
      <c r="BX254" t="str">
        <f>"13:54:35.570"</f>
        <v>13:54:35.570</v>
      </c>
      <c r="BY254" t="str">
        <f>"570180984"</f>
        <v>570180984</v>
      </c>
      <c r="CL254">
        <v>3</v>
      </c>
      <c r="CM254">
        <v>2</v>
      </c>
      <c r="CN254">
        <v>0</v>
      </c>
      <c r="CO254">
        <v>2</v>
      </c>
      <c r="CP254">
        <v>0</v>
      </c>
      <c r="CQ254">
        <v>7</v>
      </c>
      <c r="CR254" t="s">
        <v>116</v>
      </c>
      <c r="CS254">
        <v>525</v>
      </c>
      <c r="CT254">
        <v>2</v>
      </c>
      <c r="CU254" t="s">
        <v>140</v>
      </c>
      <c r="CV254" t="s">
        <v>141</v>
      </c>
      <c r="CY254">
        <v>13955871</v>
      </c>
      <c r="CZ254" t="s">
        <v>119</v>
      </c>
    </row>
    <row r="255" spans="1:104" x14ac:dyDescent="0.25">
      <c r="A255" t="str">
        <f>"13:54:36.734"</f>
        <v>13:54:36.734</v>
      </c>
      <c r="B255" t="s">
        <v>108</v>
      </c>
      <c r="C255" t="str">
        <f t="shared" si="10"/>
        <v>ffdfd3c0</v>
      </c>
      <c r="D255" t="s">
        <v>109</v>
      </c>
      <c r="E255">
        <v>4</v>
      </c>
      <c r="F255">
        <v>1004</v>
      </c>
      <c r="G255" t="s">
        <v>110</v>
      </c>
      <c r="J255" t="s">
        <v>111</v>
      </c>
      <c r="K255">
        <v>0</v>
      </c>
      <c r="L255">
        <v>3</v>
      </c>
      <c r="M255">
        <v>0</v>
      </c>
      <c r="N255">
        <v>2</v>
      </c>
      <c r="O255">
        <v>1</v>
      </c>
      <c r="P255">
        <v>0</v>
      </c>
      <c r="Q255">
        <v>0</v>
      </c>
      <c r="R255" t="s">
        <v>112</v>
      </c>
      <c r="S255" t="str">
        <f>"13:54:36.539"</f>
        <v>13:54:36.539</v>
      </c>
      <c r="T255" t="str">
        <f>"13:54:36.141"</f>
        <v>13:54:36.141</v>
      </c>
      <c r="U255" t="str">
        <f t="shared" si="9"/>
        <v>ad5732</v>
      </c>
      <c r="V255">
        <v>0</v>
      </c>
      <c r="W255">
        <v>0</v>
      </c>
      <c r="X255">
        <v>1</v>
      </c>
      <c r="Z255">
        <v>0</v>
      </c>
      <c r="AA255">
        <v>9</v>
      </c>
      <c r="AB255">
        <v>3</v>
      </c>
      <c r="AC255">
        <v>0</v>
      </c>
      <c r="AD255">
        <v>10</v>
      </c>
      <c r="AE255">
        <v>0</v>
      </c>
      <c r="AF255">
        <v>3</v>
      </c>
      <c r="AG255">
        <v>2</v>
      </c>
      <c r="AH255">
        <v>0</v>
      </c>
      <c r="AI255" t="s">
        <v>601</v>
      </c>
      <c r="AJ255">
        <v>39.181365999999997</v>
      </c>
      <c r="AK255" t="s">
        <v>602</v>
      </c>
      <c r="AL255">
        <v>-77.539164999999997</v>
      </c>
      <c r="AM255">
        <v>100</v>
      </c>
      <c r="AN255">
        <v>4600</v>
      </c>
      <c r="AO255" t="s">
        <v>115</v>
      </c>
      <c r="AP255">
        <v>121</v>
      </c>
      <c r="AQ255">
        <v>44</v>
      </c>
      <c r="AR255">
        <v>1408</v>
      </c>
      <c r="AZ255">
        <v>3614</v>
      </c>
      <c r="BA255">
        <v>1</v>
      </c>
      <c r="BB255" t="str">
        <f t="shared" si="11"/>
        <v xml:space="preserve">N959MJ  </v>
      </c>
      <c r="BC255">
        <v>1</v>
      </c>
      <c r="BE255">
        <v>0</v>
      </c>
      <c r="BF255">
        <v>0</v>
      </c>
      <c r="BG255">
        <v>0</v>
      </c>
      <c r="BH255">
        <v>4825</v>
      </c>
      <c r="BI255">
        <v>225</v>
      </c>
      <c r="BJ255">
        <v>1</v>
      </c>
      <c r="BK255">
        <v>1</v>
      </c>
      <c r="BL255">
        <v>1</v>
      </c>
      <c r="BM255">
        <v>0</v>
      </c>
      <c r="BP255">
        <v>0</v>
      </c>
      <c r="BQ255">
        <v>0</v>
      </c>
      <c r="BX255" t="str">
        <f>"13:54:36.547"</f>
        <v>13:54:36.547</v>
      </c>
      <c r="BY255" t="str">
        <f>"543423069"</f>
        <v>543423069</v>
      </c>
      <c r="CL255">
        <v>3</v>
      </c>
      <c r="CM255">
        <v>2</v>
      </c>
      <c r="CN255">
        <v>0</v>
      </c>
      <c r="CO255">
        <v>2</v>
      </c>
      <c r="CP255">
        <v>0</v>
      </c>
      <c r="CQ255">
        <v>7</v>
      </c>
      <c r="CR255" t="s">
        <v>116</v>
      </c>
      <c r="CS255">
        <v>147</v>
      </c>
      <c r="CT255">
        <v>3</v>
      </c>
      <c r="CU255" t="s">
        <v>117</v>
      </c>
      <c r="CV255" t="s">
        <v>118</v>
      </c>
      <c r="CY255">
        <v>16195748</v>
      </c>
      <c r="CZ255" t="s">
        <v>119</v>
      </c>
    </row>
    <row r="256" spans="1:104" x14ac:dyDescent="0.25">
      <c r="A256" t="str">
        <f>"13:54:37.789"</f>
        <v>13:54:37.789</v>
      </c>
      <c r="B256" t="s">
        <v>108</v>
      </c>
      <c r="C256" t="str">
        <f t="shared" si="10"/>
        <v>ffdfd3c0</v>
      </c>
      <c r="D256" t="s">
        <v>109</v>
      </c>
      <c r="E256">
        <v>4</v>
      </c>
      <c r="F256">
        <v>1004</v>
      </c>
      <c r="G256" t="s">
        <v>110</v>
      </c>
      <c r="J256" t="s">
        <v>111</v>
      </c>
      <c r="K256">
        <v>0</v>
      </c>
      <c r="L256">
        <v>3</v>
      </c>
      <c r="M256">
        <v>0</v>
      </c>
      <c r="N256">
        <v>2</v>
      </c>
      <c r="O256">
        <v>1</v>
      </c>
      <c r="P256">
        <v>0</v>
      </c>
      <c r="Q256">
        <v>0</v>
      </c>
      <c r="R256" t="s">
        <v>112</v>
      </c>
      <c r="S256" t="str">
        <f>"13:54:37.609"</f>
        <v>13:54:37.609</v>
      </c>
      <c r="T256" t="str">
        <f>"13:54:37.109"</f>
        <v>13:54:37.109</v>
      </c>
      <c r="U256" t="str">
        <f t="shared" si="9"/>
        <v>ad5732</v>
      </c>
      <c r="V256">
        <v>0</v>
      </c>
      <c r="W256">
        <v>0</v>
      </c>
      <c r="X256">
        <v>1</v>
      </c>
      <c r="Z256">
        <v>0</v>
      </c>
      <c r="AA256">
        <v>9</v>
      </c>
      <c r="AB256">
        <v>3</v>
      </c>
      <c r="AC256">
        <v>0</v>
      </c>
      <c r="AD256">
        <v>10</v>
      </c>
      <c r="AE256">
        <v>0</v>
      </c>
      <c r="AF256">
        <v>3</v>
      </c>
      <c r="AG256">
        <v>2</v>
      </c>
      <c r="AH256">
        <v>0</v>
      </c>
      <c r="AI256" t="s">
        <v>603</v>
      </c>
      <c r="AJ256">
        <v>39.181581000000001</v>
      </c>
      <c r="AK256" t="s">
        <v>604</v>
      </c>
      <c r="AL256">
        <v>-77.538392999999999</v>
      </c>
      <c r="AM256">
        <v>100</v>
      </c>
      <c r="AN256">
        <v>4600</v>
      </c>
      <c r="AO256" t="s">
        <v>115</v>
      </c>
      <c r="AP256">
        <v>119</v>
      </c>
      <c r="AQ256">
        <v>46</v>
      </c>
      <c r="AR256">
        <v>1344</v>
      </c>
      <c r="AZ256">
        <v>3614</v>
      </c>
      <c r="BA256">
        <v>1</v>
      </c>
      <c r="BB256" t="str">
        <f t="shared" si="11"/>
        <v xml:space="preserve">N959MJ  </v>
      </c>
      <c r="BC256">
        <v>1</v>
      </c>
      <c r="BE256">
        <v>0</v>
      </c>
      <c r="BF256">
        <v>0</v>
      </c>
      <c r="BG256">
        <v>0</v>
      </c>
      <c r="BH256">
        <v>4850</v>
      </c>
      <c r="BI256">
        <v>250</v>
      </c>
      <c r="BJ256">
        <v>1</v>
      </c>
      <c r="BK256">
        <v>1</v>
      </c>
      <c r="BL256">
        <v>1</v>
      </c>
      <c r="BM256">
        <v>0</v>
      </c>
      <c r="BP256">
        <v>0</v>
      </c>
      <c r="BQ256">
        <v>0</v>
      </c>
      <c r="BX256" t="str">
        <f>"13:54:37.617"</f>
        <v>13:54:37.617</v>
      </c>
      <c r="BY256" t="str">
        <f>"614952844"</f>
        <v>614952844</v>
      </c>
      <c r="CL256">
        <v>3</v>
      </c>
      <c r="CM256">
        <v>2</v>
      </c>
      <c r="CN256">
        <v>0</v>
      </c>
      <c r="CO256">
        <v>2</v>
      </c>
      <c r="CP256">
        <v>0</v>
      </c>
      <c r="CQ256">
        <v>7</v>
      </c>
      <c r="CR256" t="s">
        <v>116</v>
      </c>
      <c r="CS256">
        <v>147</v>
      </c>
      <c r="CT256">
        <v>3</v>
      </c>
      <c r="CU256" t="s">
        <v>117</v>
      </c>
      <c r="CV256" t="s">
        <v>118</v>
      </c>
      <c r="CY256">
        <v>16197400</v>
      </c>
      <c r="CZ256" t="s">
        <v>119</v>
      </c>
    </row>
    <row r="257" spans="1:104" x14ac:dyDescent="0.25">
      <c r="A257" t="str">
        <f>"13:54:38.750"</f>
        <v>13:54:38.750</v>
      </c>
      <c r="B257" t="s">
        <v>108</v>
      </c>
      <c r="C257" t="str">
        <f t="shared" si="10"/>
        <v>ffdfd3c0</v>
      </c>
      <c r="D257" t="s">
        <v>109</v>
      </c>
      <c r="E257">
        <v>4</v>
      </c>
      <c r="F257">
        <v>1004</v>
      </c>
      <c r="G257" t="s">
        <v>110</v>
      </c>
      <c r="J257" t="s">
        <v>111</v>
      </c>
      <c r="K257">
        <v>0</v>
      </c>
      <c r="L257">
        <v>3</v>
      </c>
      <c r="M257">
        <v>0</v>
      </c>
      <c r="N257">
        <v>2</v>
      </c>
      <c r="O257">
        <v>1</v>
      </c>
      <c r="P257">
        <v>0</v>
      </c>
      <c r="Q257">
        <v>0</v>
      </c>
      <c r="R257" t="s">
        <v>112</v>
      </c>
      <c r="S257" t="str">
        <f>"13:54:38.586"</f>
        <v>13:54:38.586</v>
      </c>
      <c r="T257" t="str">
        <f>"13:54:38.086"</f>
        <v>13:54:38.086</v>
      </c>
      <c r="U257" t="str">
        <f t="shared" si="9"/>
        <v>ad5732</v>
      </c>
      <c r="V257">
        <v>0</v>
      </c>
      <c r="W257">
        <v>0</v>
      </c>
      <c r="X257">
        <v>1</v>
      </c>
      <c r="Z257">
        <v>0</v>
      </c>
      <c r="AA257">
        <v>9</v>
      </c>
      <c r="AB257">
        <v>3</v>
      </c>
      <c r="AC257">
        <v>0</v>
      </c>
      <c r="AD257">
        <v>10</v>
      </c>
      <c r="AE257">
        <v>0</v>
      </c>
      <c r="AF257">
        <v>3</v>
      </c>
      <c r="AG257">
        <v>2</v>
      </c>
      <c r="AH257">
        <v>0</v>
      </c>
      <c r="AI257" t="s">
        <v>605</v>
      </c>
      <c r="AJ257">
        <v>39.181817000000002</v>
      </c>
      <c r="AK257" t="s">
        <v>606</v>
      </c>
      <c r="AL257">
        <v>-77.537662999999995</v>
      </c>
      <c r="AM257">
        <v>100</v>
      </c>
      <c r="AN257">
        <v>4600</v>
      </c>
      <c r="AO257" t="s">
        <v>115</v>
      </c>
      <c r="AP257">
        <v>118</v>
      </c>
      <c r="AQ257">
        <v>49</v>
      </c>
      <c r="AR257">
        <v>1152</v>
      </c>
      <c r="AZ257">
        <v>3614</v>
      </c>
      <c r="BA257">
        <v>1</v>
      </c>
      <c r="BB257" t="str">
        <f t="shared" si="11"/>
        <v xml:space="preserve">N959MJ  </v>
      </c>
      <c r="BC257">
        <v>1</v>
      </c>
      <c r="BE257">
        <v>0</v>
      </c>
      <c r="BF257">
        <v>0</v>
      </c>
      <c r="BG257">
        <v>0</v>
      </c>
      <c r="BH257">
        <v>4875</v>
      </c>
      <c r="BI257">
        <v>275</v>
      </c>
      <c r="BJ257">
        <v>1</v>
      </c>
      <c r="BK257">
        <v>1</v>
      </c>
      <c r="BL257">
        <v>1</v>
      </c>
      <c r="BM257">
        <v>0</v>
      </c>
      <c r="BP257">
        <v>0</v>
      </c>
      <c r="BQ257">
        <v>0</v>
      </c>
      <c r="BX257" t="str">
        <f>"13:54:38.586"</f>
        <v>13:54:38.586</v>
      </c>
      <c r="BY257" t="str">
        <f>"586522401"</f>
        <v>586522401</v>
      </c>
      <c r="CL257">
        <v>3</v>
      </c>
      <c r="CM257">
        <v>2</v>
      </c>
      <c r="CN257">
        <v>0</v>
      </c>
      <c r="CO257">
        <v>2</v>
      </c>
      <c r="CP257">
        <v>0</v>
      </c>
      <c r="CQ257">
        <v>7</v>
      </c>
      <c r="CR257" t="s">
        <v>116</v>
      </c>
      <c r="CS257">
        <v>525</v>
      </c>
      <c r="CT257">
        <v>2</v>
      </c>
      <c r="CU257" t="s">
        <v>140</v>
      </c>
      <c r="CV257" t="s">
        <v>141</v>
      </c>
      <c r="CY257">
        <v>13960356</v>
      </c>
      <c r="CZ257" t="s">
        <v>119</v>
      </c>
    </row>
    <row r="258" spans="1:104" x14ac:dyDescent="0.25">
      <c r="A258" t="str">
        <f>"13:54:39.711"</f>
        <v>13:54:39.711</v>
      </c>
      <c r="B258" t="s">
        <v>108</v>
      </c>
      <c r="C258" t="str">
        <f t="shared" si="10"/>
        <v>ffdfd3c0</v>
      </c>
      <c r="D258" t="s">
        <v>109</v>
      </c>
      <c r="E258">
        <v>4</v>
      </c>
      <c r="F258">
        <v>1004</v>
      </c>
      <c r="G258" t="s">
        <v>110</v>
      </c>
      <c r="J258" t="s">
        <v>111</v>
      </c>
      <c r="K258">
        <v>0</v>
      </c>
      <c r="L258">
        <v>3</v>
      </c>
      <c r="M258">
        <v>0</v>
      </c>
      <c r="N258">
        <v>2</v>
      </c>
      <c r="O258">
        <v>1</v>
      </c>
      <c r="P258">
        <v>0</v>
      </c>
      <c r="Q258">
        <v>0</v>
      </c>
      <c r="R258" t="s">
        <v>112</v>
      </c>
      <c r="S258" t="str">
        <f>"13:54:39.523"</f>
        <v>13:54:39.523</v>
      </c>
      <c r="T258" t="str">
        <f>"13:54:39.125"</f>
        <v>13:54:39.125</v>
      </c>
      <c r="U258" t="str">
        <f t="shared" ref="U258:U321" si="12">"ad5732"</f>
        <v>ad5732</v>
      </c>
      <c r="V258">
        <v>0</v>
      </c>
      <c r="W258">
        <v>0</v>
      </c>
      <c r="X258">
        <v>1</v>
      </c>
      <c r="Z258">
        <v>0</v>
      </c>
      <c r="AA258">
        <v>9</v>
      </c>
      <c r="AB258">
        <v>3</v>
      </c>
      <c r="AC258">
        <v>0</v>
      </c>
      <c r="AD258">
        <v>10</v>
      </c>
      <c r="AE258">
        <v>0</v>
      </c>
      <c r="AF258">
        <v>3</v>
      </c>
      <c r="AG258">
        <v>2</v>
      </c>
      <c r="AH258">
        <v>0</v>
      </c>
      <c r="AI258" t="s">
        <v>607</v>
      </c>
      <c r="AJ258">
        <v>39.182053000000003</v>
      </c>
      <c r="AK258" t="s">
        <v>608</v>
      </c>
      <c r="AL258">
        <v>-77.537019000000001</v>
      </c>
      <c r="AM258">
        <v>100</v>
      </c>
      <c r="AN258">
        <v>4700</v>
      </c>
      <c r="AO258" t="s">
        <v>115</v>
      </c>
      <c r="AP258">
        <v>117</v>
      </c>
      <c r="AQ258">
        <v>51</v>
      </c>
      <c r="AR258">
        <v>1088</v>
      </c>
      <c r="AZ258">
        <v>3614</v>
      </c>
      <c r="BA258">
        <v>1</v>
      </c>
      <c r="BB258" t="str">
        <f t="shared" si="11"/>
        <v xml:space="preserve">N959MJ  </v>
      </c>
      <c r="BC258">
        <v>1</v>
      </c>
      <c r="BE258">
        <v>0</v>
      </c>
      <c r="BF258">
        <v>0</v>
      </c>
      <c r="BG258">
        <v>0</v>
      </c>
      <c r="BH258">
        <v>4900</v>
      </c>
      <c r="BI258">
        <v>200</v>
      </c>
      <c r="BJ258">
        <v>1</v>
      </c>
      <c r="BK258">
        <v>1</v>
      </c>
      <c r="BL258">
        <v>1</v>
      </c>
      <c r="BM258">
        <v>0</v>
      </c>
      <c r="BP258">
        <v>0</v>
      </c>
      <c r="BQ258">
        <v>0</v>
      </c>
      <c r="BX258" t="str">
        <f>"13:54:39.523"</f>
        <v>13:54:39.523</v>
      </c>
      <c r="BY258" t="str">
        <f>"525340179"</f>
        <v>525340179</v>
      </c>
      <c r="CL258">
        <v>3</v>
      </c>
      <c r="CM258">
        <v>2</v>
      </c>
      <c r="CN258">
        <v>0</v>
      </c>
      <c r="CO258">
        <v>2</v>
      </c>
      <c r="CP258">
        <v>0</v>
      </c>
      <c r="CQ258">
        <v>7</v>
      </c>
      <c r="CR258" t="s">
        <v>116</v>
      </c>
      <c r="CS258">
        <v>525</v>
      </c>
      <c r="CT258">
        <v>2</v>
      </c>
      <c r="CU258" t="s">
        <v>140</v>
      </c>
      <c r="CV258" t="s">
        <v>141</v>
      </c>
      <c r="CY258">
        <v>13961837</v>
      </c>
      <c r="CZ258" t="s">
        <v>119</v>
      </c>
    </row>
    <row r="259" spans="1:104" x14ac:dyDescent="0.25">
      <c r="A259" t="str">
        <f>"13:54:40.773"</f>
        <v>13:54:40.773</v>
      </c>
      <c r="B259" t="s">
        <v>108</v>
      </c>
      <c r="C259" t="str">
        <f t="shared" si="10"/>
        <v>ffdfd3c0</v>
      </c>
      <c r="D259" t="s">
        <v>109</v>
      </c>
      <c r="E259">
        <v>4</v>
      </c>
      <c r="F259">
        <v>1004</v>
      </c>
      <c r="G259" t="s">
        <v>110</v>
      </c>
      <c r="J259" t="s">
        <v>111</v>
      </c>
      <c r="K259">
        <v>0</v>
      </c>
      <c r="L259">
        <v>3</v>
      </c>
      <c r="M259">
        <v>0</v>
      </c>
      <c r="N259">
        <v>2</v>
      </c>
      <c r="O259">
        <v>1</v>
      </c>
      <c r="P259">
        <v>0</v>
      </c>
      <c r="Q259">
        <v>0</v>
      </c>
      <c r="R259" t="s">
        <v>112</v>
      </c>
      <c r="S259" t="str">
        <f>"13:54:40.617"</f>
        <v>13:54:40.617</v>
      </c>
      <c r="T259" t="str">
        <f>"13:54:40.117"</f>
        <v>13:54:40.117</v>
      </c>
      <c r="U259" t="str">
        <f t="shared" si="12"/>
        <v>ad5732</v>
      </c>
      <c r="V259">
        <v>0</v>
      </c>
      <c r="W259">
        <v>0</v>
      </c>
      <c r="X259">
        <v>1</v>
      </c>
      <c r="Z259">
        <v>0</v>
      </c>
      <c r="AA259">
        <v>9</v>
      </c>
      <c r="AB259">
        <v>3</v>
      </c>
      <c r="AC259">
        <v>0</v>
      </c>
      <c r="AD259">
        <v>10</v>
      </c>
      <c r="AE259">
        <v>0</v>
      </c>
      <c r="AF259">
        <v>3</v>
      </c>
      <c r="AG259">
        <v>2</v>
      </c>
      <c r="AH259">
        <v>0</v>
      </c>
      <c r="AI259" t="s">
        <v>609</v>
      </c>
      <c r="AJ259">
        <v>39.182267000000003</v>
      </c>
      <c r="AK259" t="s">
        <v>610</v>
      </c>
      <c r="AL259">
        <v>-77.536310999999998</v>
      </c>
      <c r="AM259">
        <v>100</v>
      </c>
      <c r="AN259">
        <v>4700</v>
      </c>
      <c r="AO259" t="s">
        <v>115</v>
      </c>
      <c r="AP259">
        <v>116</v>
      </c>
      <c r="AQ259">
        <v>53</v>
      </c>
      <c r="AR259">
        <v>1088</v>
      </c>
      <c r="AZ259">
        <v>3614</v>
      </c>
      <c r="BA259">
        <v>1</v>
      </c>
      <c r="BB259" t="str">
        <f t="shared" si="11"/>
        <v xml:space="preserve">N959MJ  </v>
      </c>
      <c r="BC259">
        <v>1</v>
      </c>
      <c r="BE259">
        <v>0</v>
      </c>
      <c r="BF259">
        <v>0</v>
      </c>
      <c r="BG259">
        <v>0</v>
      </c>
      <c r="BH259">
        <v>4900</v>
      </c>
      <c r="BI259">
        <v>200</v>
      </c>
      <c r="BJ259">
        <v>1</v>
      </c>
      <c r="BK259">
        <v>1</v>
      </c>
      <c r="BL259">
        <v>1</v>
      </c>
      <c r="BM259">
        <v>0</v>
      </c>
      <c r="BP259">
        <v>0</v>
      </c>
      <c r="BQ259">
        <v>0</v>
      </c>
      <c r="BX259" t="str">
        <f>"13:54:40.617"</f>
        <v>13:54:40.617</v>
      </c>
      <c r="BY259" t="str">
        <f>"618170164"</f>
        <v>618170164</v>
      </c>
      <c r="CL259">
        <v>3</v>
      </c>
      <c r="CM259">
        <v>2</v>
      </c>
      <c r="CN259">
        <v>0</v>
      </c>
      <c r="CO259">
        <v>2</v>
      </c>
      <c r="CP259">
        <v>0</v>
      </c>
      <c r="CQ259">
        <v>7</v>
      </c>
      <c r="CR259" t="s">
        <v>116</v>
      </c>
      <c r="CS259">
        <v>525</v>
      </c>
      <c r="CT259">
        <v>2</v>
      </c>
      <c r="CU259" t="s">
        <v>140</v>
      </c>
      <c r="CV259" t="s">
        <v>141</v>
      </c>
      <c r="CY259">
        <v>13963314</v>
      </c>
      <c r="CZ259" t="s">
        <v>119</v>
      </c>
    </row>
    <row r="260" spans="1:104" x14ac:dyDescent="0.25">
      <c r="A260" t="str">
        <f>"13:54:41.828"</f>
        <v>13:54:41.828</v>
      </c>
      <c r="B260" t="s">
        <v>108</v>
      </c>
      <c r="C260" t="str">
        <f t="shared" si="10"/>
        <v>ffdfd3c0</v>
      </c>
      <c r="D260" t="s">
        <v>109</v>
      </c>
      <c r="E260">
        <v>4</v>
      </c>
      <c r="F260">
        <v>1004</v>
      </c>
      <c r="G260" t="s">
        <v>110</v>
      </c>
      <c r="J260" t="s">
        <v>111</v>
      </c>
      <c r="K260">
        <v>0</v>
      </c>
      <c r="L260">
        <v>3</v>
      </c>
      <c r="M260">
        <v>0</v>
      </c>
      <c r="N260">
        <v>2</v>
      </c>
      <c r="O260">
        <v>1</v>
      </c>
      <c r="P260">
        <v>0</v>
      </c>
      <c r="Q260">
        <v>0</v>
      </c>
      <c r="R260" t="s">
        <v>112</v>
      </c>
      <c r="S260" t="str">
        <f>"13:54:41.664"</f>
        <v>13:54:41.664</v>
      </c>
      <c r="T260" t="str">
        <f>"13:54:41.266"</f>
        <v>13:54:41.266</v>
      </c>
      <c r="U260" t="str">
        <f t="shared" si="12"/>
        <v>ad5732</v>
      </c>
      <c r="V260">
        <v>0</v>
      </c>
      <c r="W260">
        <v>0</v>
      </c>
      <c r="X260">
        <v>1</v>
      </c>
      <c r="Z260">
        <v>0</v>
      </c>
      <c r="AA260">
        <v>9</v>
      </c>
      <c r="AB260">
        <v>3</v>
      </c>
      <c r="AC260">
        <v>0</v>
      </c>
      <c r="AD260">
        <v>10</v>
      </c>
      <c r="AE260">
        <v>0</v>
      </c>
      <c r="AF260">
        <v>3</v>
      </c>
      <c r="AG260">
        <v>2</v>
      </c>
      <c r="AH260">
        <v>0</v>
      </c>
      <c r="AI260" t="s">
        <v>611</v>
      </c>
      <c r="AJ260">
        <v>39.182546000000002</v>
      </c>
      <c r="AK260" t="s">
        <v>612</v>
      </c>
      <c r="AL260">
        <v>-77.535539</v>
      </c>
      <c r="AM260">
        <v>100</v>
      </c>
      <c r="AN260">
        <v>4700</v>
      </c>
      <c r="AO260" t="s">
        <v>115</v>
      </c>
      <c r="AP260">
        <v>115</v>
      </c>
      <c r="AQ260">
        <v>54</v>
      </c>
      <c r="AR260">
        <v>1024</v>
      </c>
      <c r="AZ260">
        <v>3614</v>
      </c>
      <c r="BA260">
        <v>1</v>
      </c>
      <c r="BB260" t="str">
        <f t="shared" si="11"/>
        <v xml:space="preserve">N959MJ  </v>
      </c>
      <c r="BC260">
        <v>1</v>
      </c>
      <c r="BE260">
        <v>0</v>
      </c>
      <c r="BF260">
        <v>0</v>
      </c>
      <c r="BG260">
        <v>0</v>
      </c>
      <c r="BH260">
        <v>4925</v>
      </c>
      <c r="BI260">
        <v>225</v>
      </c>
      <c r="BJ260">
        <v>1</v>
      </c>
      <c r="BK260">
        <v>1</v>
      </c>
      <c r="BL260">
        <v>1</v>
      </c>
      <c r="BM260">
        <v>0</v>
      </c>
      <c r="BP260">
        <v>0</v>
      </c>
      <c r="BQ260">
        <v>0</v>
      </c>
      <c r="BX260" t="str">
        <f>"13:54:41.672"</f>
        <v>13:54:41.672</v>
      </c>
      <c r="BY260" t="str">
        <f>"671677630"</f>
        <v>671677630</v>
      </c>
      <c r="CL260">
        <v>3</v>
      </c>
      <c r="CM260">
        <v>2</v>
      </c>
      <c r="CN260">
        <v>0</v>
      </c>
      <c r="CO260">
        <v>2</v>
      </c>
      <c r="CP260">
        <v>0</v>
      </c>
      <c r="CQ260">
        <v>7</v>
      </c>
      <c r="CR260" t="s">
        <v>116</v>
      </c>
      <c r="CS260">
        <v>525</v>
      </c>
      <c r="CT260">
        <v>2</v>
      </c>
      <c r="CU260" t="s">
        <v>140</v>
      </c>
      <c r="CV260" t="s">
        <v>141</v>
      </c>
      <c r="CY260">
        <v>13964837</v>
      </c>
      <c r="CZ260" t="s">
        <v>119</v>
      </c>
    </row>
    <row r="261" spans="1:104" x14ac:dyDescent="0.25">
      <c r="A261" t="str">
        <f>"13:54:42.789"</f>
        <v>13:54:42.789</v>
      </c>
      <c r="B261" t="s">
        <v>108</v>
      </c>
      <c r="C261" t="str">
        <f t="shared" si="10"/>
        <v>ffdfd3c0</v>
      </c>
      <c r="D261" t="s">
        <v>109</v>
      </c>
      <c r="E261">
        <v>4</v>
      </c>
      <c r="F261">
        <v>1004</v>
      </c>
      <c r="G261" t="s">
        <v>110</v>
      </c>
      <c r="J261" t="s">
        <v>111</v>
      </c>
      <c r="K261">
        <v>0</v>
      </c>
      <c r="L261">
        <v>3</v>
      </c>
      <c r="M261">
        <v>0</v>
      </c>
      <c r="N261">
        <v>2</v>
      </c>
      <c r="O261">
        <v>1</v>
      </c>
      <c r="P261">
        <v>0</v>
      </c>
      <c r="Q261">
        <v>0</v>
      </c>
      <c r="R261" t="s">
        <v>112</v>
      </c>
      <c r="S261" t="str">
        <f>"13:54:42.625"</f>
        <v>13:54:42.625</v>
      </c>
      <c r="T261" t="str">
        <f>"13:54:42.227"</f>
        <v>13:54:42.227</v>
      </c>
      <c r="U261" t="str">
        <f t="shared" si="12"/>
        <v>ad5732</v>
      </c>
      <c r="V261">
        <v>0</v>
      </c>
      <c r="W261">
        <v>0</v>
      </c>
      <c r="X261">
        <v>1</v>
      </c>
      <c r="Z261">
        <v>0</v>
      </c>
      <c r="AA261">
        <v>9</v>
      </c>
      <c r="AB261">
        <v>3</v>
      </c>
      <c r="AC261">
        <v>0</v>
      </c>
      <c r="AD261">
        <v>10</v>
      </c>
      <c r="AE261">
        <v>0</v>
      </c>
      <c r="AF261">
        <v>3</v>
      </c>
      <c r="AG261">
        <v>2</v>
      </c>
      <c r="AH261">
        <v>0</v>
      </c>
      <c r="AI261" t="s">
        <v>613</v>
      </c>
      <c r="AJ261">
        <v>39.182782000000003</v>
      </c>
      <c r="AK261" t="s">
        <v>614</v>
      </c>
      <c r="AL261">
        <v>-77.534915999999996</v>
      </c>
      <c r="AM261">
        <v>100</v>
      </c>
      <c r="AN261">
        <v>4700</v>
      </c>
      <c r="AO261" t="s">
        <v>115</v>
      </c>
      <c r="AP261">
        <v>115</v>
      </c>
      <c r="AQ261">
        <v>55</v>
      </c>
      <c r="AR261">
        <v>960</v>
      </c>
      <c r="AZ261">
        <v>3614</v>
      </c>
      <c r="BA261">
        <v>1</v>
      </c>
      <c r="BB261" t="str">
        <f t="shared" si="11"/>
        <v xml:space="preserve">N959MJ  </v>
      </c>
      <c r="BC261">
        <v>1</v>
      </c>
      <c r="BE261">
        <v>0</v>
      </c>
      <c r="BF261">
        <v>0</v>
      </c>
      <c r="BG261">
        <v>0</v>
      </c>
      <c r="BH261">
        <v>4950</v>
      </c>
      <c r="BI261">
        <v>250</v>
      </c>
      <c r="BJ261">
        <v>1</v>
      </c>
      <c r="BK261">
        <v>1</v>
      </c>
      <c r="BL261">
        <v>1</v>
      </c>
      <c r="BM261">
        <v>0</v>
      </c>
      <c r="BP261">
        <v>0</v>
      </c>
      <c r="BQ261">
        <v>0</v>
      </c>
      <c r="BX261" t="str">
        <f>"13:54:42.633"</f>
        <v>13:54:42.633</v>
      </c>
      <c r="BY261" t="str">
        <f>"631794992"</f>
        <v>631794992</v>
      </c>
      <c r="CL261">
        <v>3</v>
      </c>
      <c r="CM261">
        <v>2</v>
      </c>
      <c r="CN261">
        <v>0</v>
      </c>
      <c r="CO261">
        <v>2</v>
      </c>
      <c r="CP261">
        <v>0</v>
      </c>
      <c r="CQ261">
        <v>7</v>
      </c>
      <c r="CR261" t="s">
        <v>116</v>
      </c>
      <c r="CS261">
        <v>525</v>
      </c>
      <c r="CT261">
        <v>2</v>
      </c>
      <c r="CU261" t="s">
        <v>140</v>
      </c>
      <c r="CV261" t="s">
        <v>141</v>
      </c>
      <c r="CY261">
        <v>13966396</v>
      </c>
      <c r="CZ261" t="s">
        <v>119</v>
      </c>
    </row>
    <row r="262" spans="1:104" x14ac:dyDescent="0.25">
      <c r="A262" t="str">
        <f>"13:54:43.852"</f>
        <v>13:54:43.852</v>
      </c>
      <c r="B262" t="s">
        <v>108</v>
      </c>
      <c r="C262" t="str">
        <f t="shared" si="10"/>
        <v>ffdfd3c0</v>
      </c>
      <c r="D262" t="s">
        <v>109</v>
      </c>
      <c r="E262">
        <v>4</v>
      </c>
      <c r="F262">
        <v>1004</v>
      </c>
      <c r="G262" t="s">
        <v>110</v>
      </c>
      <c r="J262" t="s">
        <v>111</v>
      </c>
      <c r="K262">
        <v>0</v>
      </c>
      <c r="L262">
        <v>3</v>
      </c>
      <c r="M262">
        <v>0</v>
      </c>
      <c r="N262">
        <v>2</v>
      </c>
      <c r="O262">
        <v>1</v>
      </c>
      <c r="P262">
        <v>0</v>
      </c>
      <c r="Q262">
        <v>0</v>
      </c>
      <c r="R262" t="s">
        <v>112</v>
      </c>
      <c r="S262" t="str">
        <f>"13:54:43.672"</f>
        <v>13:54:43.672</v>
      </c>
      <c r="T262" t="str">
        <f>"13:54:43.172"</f>
        <v>13:54:43.172</v>
      </c>
      <c r="U262" t="str">
        <f t="shared" si="12"/>
        <v>ad5732</v>
      </c>
      <c r="V262">
        <v>0</v>
      </c>
      <c r="W262">
        <v>0</v>
      </c>
      <c r="X262">
        <v>1</v>
      </c>
      <c r="Z262">
        <v>0</v>
      </c>
      <c r="AA262">
        <v>9</v>
      </c>
      <c r="AB262">
        <v>3</v>
      </c>
      <c r="AC262">
        <v>0</v>
      </c>
      <c r="AD262">
        <v>10</v>
      </c>
      <c r="AE262">
        <v>0</v>
      </c>
      <c r="AF262">
        <v>3</v>
      </c>
      <c r="AG262">
        <v>2</v>
      </c>
      <c r="AH262">
        <v>0</v>
      </c>
      <c r="AI262" t="s">
        <v>615</v>
      </c>
      <c r="AJ262">
        <v>39.183104</v>
      </c>
      <c r="AK262" t="s">
        <v>616</v>
      </c>
      <c r="AL262">
        <v>-77.534165000000002</v>
      </c>
      <c r="AM262">
        <v>100</v>
      </c>
      <c r="AN262">
        <v>4700</v>
      </c>
      <c r="AO262" t="s">
        <v>115</v>
      </c>
      <c r="AP262">
        <v>114</v>
      </c>
      <c r="AQ262">
        <v>56</v>
      </c>
      <c r="AR262">
        <v>960</v>
      </c>
      <c r="AZ262">
        <v>3614</v>
      </c>
      <c r="BA262">
        <v>1</v>
      </c>
      <c r="BB262" t="str">
        <f t="shared" si="11"/>
        <v xml:space="preserve">N959MJ  </v>
      </c>
      <c r="BC262">
        <v>1</v>
      </c>
      <c r="BE262">
        <v>0</v>
      </c>
      <c r="BF262">
        <v>0</v>
      </c>
      <c r="BG262">
        <v>0</v>
      </c>
      <c r="BH262">
        <v>4950</v>
      </c>
      <c r="BI262">
        <v>250</v>
      </c>
      <c r="BJ262">
        <v>1</v>
      </c>
      <c r="BK262">
        <v>1</v>
      </c>
      <c r="BL262">
        <v>1</v>
      </c>
      <c r="BM262">
        <v>0</v>
      </c>
      <c r="BP262">
        <v>0</v>
      </c>
      <c r="BQ262">
        <v>0</v>
      </c>
      <c r="BX262" t="str">
        <f>"13:54:43.672"</f>
        <v>13:54:43.672</v>
      </c>
      <c r="BY262" t="str">
        <f>"673850544"</f>
        <v>673850544</v>
      </c>
      <c r="CL262">
        <v>3</v>
      </c>
      <c r="CM262">
        <v>2</v>
      </c>
      <c r="CN262">
        <v>0</v>
      </c>
      <c r="CO262">
        <v>2</v>
      </c>
      <c r="CP262">
        <v>0</v>
      </c>
      <c r="CQ262">
        <v>7</v>
      </c>
      <c r="CR262" t="s">
        <v>116</v>
      </c>
      <c r="CS262">
        <v>147</v>
      </c>
      <c r="CT262">
        <v>3</v>
      </c>
      <c r="CU262" t="s">
        <v>117</v>
      </c>
      <c r="CV262" t="s">
        <v>118</v>
      </c>
      <c r="CY262">
        <v>16207213</v>
      </c>
      <c r="CZ262" t="s">
        <v>119</v>
      </c>
    </row>
    <row r="263" spans="1:104" x14ac:dyDescent="0.25">
      <c r="A263" t="str">
        <f>"13:54:44.758"</f>
        <v>13:54:44.758</v>
      </c>
      <c r="B263" t="s">
        <v>108</v>
      </c>
      <c r="C263" t="str">
        <f t="shared" si="10"/>
        <v>ffdfd3c0</v>
      </c>
      <c r="D263" t="s">
        <v>109</v>
      </c>
      <c r="E263">
        <v>4</v>
      </c>
      <c r="F263">
        <v>1004</v>
      </c>
      <c r="G263" t="s">
        <v>110</v>
      </c>
      <c r="J263" t="s">
        <v>111</v>
      </c>
      <c r="K263">
        <v>0</v>
      </c>
      <c r="L263">
        <v>3</v>
      </c>
      <c r="M263">
        <v>0</v>
      </c>
      <c r="N263">
        <v>2</v>
      </c>
      <c r="O263">
        <v>1</v>
      </c>
      <c r="P263">
        <v>0</v>
      </c>
      <c r="Q263">
        <v>0</v>
      </c>
      <c r="R263" t="s">
        <v>112</v>
      </c>
      <c r="S263" t="str">
        <f>"13:54:44.586"</f>
        <v>13:54:44.586</v>
      </c>
      <c r="T263" t="str">
        <f>"13:54:44.188"</f>
        <v>13:54:44.188</v>
      </c>
      <c r="U263" t="str">
        <f t="shared" si="12"/>
        <v>ad5732</v>
      </c>
      <c r="V263">
        <v>0</v>
      </c>
      <c r="W263">
        <v>0</v>
      </c>
      <c r="X263">
        <v>1</v>
      </c>
      <c r="Z263">
        <v>0</v>
      </c>
      <c r="AA263">
        <v>9</v>
      </c>
      <c r="AB263">
        <v>3</v>
      </c>
      <c r="AC263">
        <v>0</v>
      </c>
      <c r="AD263">
        <v>10</v>
      </c>
      <c r="AE263">
        <v>0</v>
      </c>
      <c r="AF263">
        <v>3</v>
      </c>
      <c r="AG263">
        <v>2</v>
      </c>
      <c r="AH263">
        <v>0</v>
      </c>
      <c r="AI263" t="s">
        <v>617</v>
      </c>
      <c r="AJ263">
        <v>39.183340000000001</v>
      </c>
      <c r="AK263" t="s">
        <v>618</v>
      </c>
      <c r="AL263">
        <v>-77.533564999999996</v>
      </c>
      <c r="AM263">
        <v>100</v>
      </c>
      <c r="AN263">
        <v>4700</v>
      </c>
      <c r="AO263" t="s">
        <v>115</v>
      </c>
      <c r="AP263">
        <v>114</v>
      </c>
      <c r="AQ263">
        <v>56</v>
      </c>
      <c r="AR263">
        <v>960</v>
      </c>
      <c r="AZ263">
        <v>3614</v>
      </c>
      <c r="BA263">
        <v>1</v>
      </c>
      <c r="BB263" t="str">
        <f t="shared" si="11"/>
        <v xml:space="preserve">N959MJ  </v>
      </c>
      <c r="BC263">
        <v>1</v>
      </c>
      <c r="BE263">
        <v>0</v>
      </c>
      <c r="BF263">
        <v>0</v>
      </c>
      <c r="BG263">
        <v>0</v>
      </c>
      <c r="BH263">
        <v>4975</v>
      </c>
      <c r="BI263">
        <v>275</v>
      </c>
      <c r="BJ263">
        <v>1</v>
      </c>
      <c r="BK263">
        <v>1</v>
      </c>
      <c r="BL263">
        <v>1</v>
      </c>
      <c r="BM263">
        <v>0</v>
      </c>
      <c r="BP263">
        <v>0</v>
      </c>
      <c r="BQ263">
        <v>0</v>
      </c>
      <c r="BX263" t="str">
        <f>"13:54:44.586"</f>
        <v>13:54:44.586</v>
      </c>
      <c r="BY263" t="str">
        <f>"589730429"</f>
        <v>589730429</v>
      </c>
      <c r="CL263">
        <v>3</v>
      </c>
      <c r="CM263">
        <v>2</v>
      </c>
      <c r="CN263">
        <v>0</v>
      </c>
      <c r="CO263">
        <v>2</v>
      </c>
      <c r="CP263">
        <v>0</v>
      </c>
      <c r="CQ263">
        <v>7</v>
      </c>
      <c r="CR263" t="s">
        <v>116</v>
      </c>
      <c r="CS263">
        <v>147</v>
      </c>
      <c r="CT263">
        <v>3</v>
      </c>
      <c r="CU263" t="s">
        <v>117</v>
      </c>
      <c r="CV263" t="s">
        <v>118</v>
      </c>
      <c r="CY263">
        <v>16208663</v>
      </c>
      <c r="CZ263" t="s">
        <v>119</v>
      </c>
    </row>
    <row r="264" spans="1:104" x14ac:dyDescent="0.25">
      <c r="A264" t="str">
        <f>"13:54:45.719"</f>
        <v>13:54:45.719</v>
      </c>
      <c r="B264" t="s">
        <v>108</v>
      </c>
      <c r="C264" t="str">
        <f t="shared" si="10"/>
        <v>ffdfd3c0</v>
      </c>
      <c r="D264" t="s">
        <v>109</v>
      </c>
      <c r="E264">
        <v>4</v>
      </c>
      <c r="F264">
        <v>1004</v>
      </c>
      <c r="G264" t="s">
        <v>110</v>
      </c>
      <c r="J264" t="s">
        <v>111</v>
      </c>
      <c r="K264">
        <v>0</v>
      </c>
      <c r="L264">
        <v>3</v>
      </c>
      <c r="M264">
        <v>0</v>
      </c>
      <c r="N264">
        <v>2</v>
      </c>
      <c r="O264">
        <v>1</v>
      </c>
      <c r="P264">
        <v>0</v>
      </c>
      <c r="Q264">
        <v>0</v>
      </c>
      <c r="R264" t="s">
        <v>112</v>
      </c>
      <c r="S264" t="str">
        <f>"13:54:45.555"</f>
        <v>13:54:45.555</v>
      </c>
      <c r="T264" t="str">
        <f>"13:54:45.055"</f>
        <v>13:54:45.055</v>
      </c>
      <c r="U264" t="str">
        <f t="shared" si="12"/>
        <v>ad5732</v>
      </c>
      <c r="V264">
        <v>0</v>
      </c>
      <c r="W264">
        <v>0</v>
      </c>
      <c r="X264">
        <v>1</v>
      </c>
      <c r="Z264">
        <v>0</v>
      </c>
      <c r="AA264">
        <v>9</v>
      </c>
      <c r="AB264">
        <v>3</v>
      </c>
      <c r="AC264">
        <v>0</v>
      </c>
      <c r="AD264">
        <v>10</v>
      </c>
      <c r="AE264">
        <v>0</v>
      </c>
      <c r="AF264">
        <v>3</v>
      </c>
      <c r="AG264">
        <v>2</v>
      </c>
      <c r="AH264">
        <v>0</v>
      </c>
      <c r="AI264" t="s">
        <v>619</v>
      </c>
      <c r="AJ264">
        <v>39.183554999999998</v>
      </c>
      <c r="AK264" t="s">
        <v>620</v>
      </c>
      <c r="AL264">
        <v>-77.532964000000007</v>
      </c>
      <c r="AM264">
        <v>100</v>
      </c>
      <c r="AN264">
        <v>4800</v>
      </c>
      <c r="AO264" t="s">
        <v>115</v>
      </c>
      <c r="AP264">
        <v>114</v>
      </c>
      <c r="AQ264">
        <v>57</v>
      </c>
      <c r="AR264">
        <v>960</v>
      </c>
      <c r="AZ264">
        <v>3614</v>
      </c>
      <c r="BA264">
        <v>1</v>
      </c>
      <c r="BB264" t="str">
        <f t="shared" si="11"/>
        <v xml:space="preserve">N959MJ  </v>
      </c>
      <c r="BC264">
        <v>1</v>
      </c>
      <c r="BE264">
        <v>0</v>
      </c>
      <c r="BF264">
        <v>0</v>
      </c>
      <c r="BG264">
        <v>0</v>
      </c>
      <c r="BH264">
        <v>5000</v>
      </c>
      <c r="BI264">
        <v>200</v>
      </c>
      <c r="BJ264">
        <v>1</v>
      </c>
      <c r="BK264">
        <v>1</v>
      </c>
      <c r="BL264">
        <v>1</v>
      </c>
      <c r="BM264">
        <v>0</v>
      </c>
      <c r="BP264">
        <v>0</v>
      </c>
      <c r="BQ264">
        <v>0</v>
      </c>
      <c r="BX264" t="str">
        <f>"13:54:45.555"</f>
        <v>13:54:45.555</v>
      </c>
      <c r="BY264" t="str">
        <f>"554763082"</f>
        <v>554763082</v>
      </c>
      <c r="CL264">
        <v>3</v>
      </c>
      <c r="CM264">
        <v>2</v>
      </c>
      <c r="CN264">
        <v>0</v>
      </c>
      <c r="CO264">
        <v>2</v>
      </c>
      <c r="CP264">
        <v>0</v>
      </c>
      <c r="CQ264">
        <v>7</v>
      </c>
      <c r="CR264" t="s">
        <v>116</v>
      </c>
      <c r="CS264">
        <v>147</v>
      </c>
      <c r="CT264">
        <v>3</v>
      </c>
      <c r="CU264" t="s">
        <v>117</v>
      </c>
      <c r="CV264" t="s">
        <v>118</v>
      </c>
      <c r="CY264">
        <v>16210059</v>
      </c>
      <c r="CZ264" t="s">
        <v>119</v>
      </c>
    </row>
    <row r="265" spans="1:104" x14ac:dyDescent="0.25">
      <c r="A265" t="str">
        <f>"13:54:46.828"</f>
        <v>13:54:46.828</v>
      </c>
      <c r="B265" t="s">
        <v>108</v>
      </c>
      <c r="C265" t="str">
        <f t="shared" si="10"/>
        <v>ffdfd3c0</v>
      </c>
      <c r="D265" t="s">
        <v>109</v>
      </c>
      <c r="E265">
        <v>4</v>
      </c>
      <c r="F265">
        <v>1004</v>
      </c>
      <c r="G265" t="s">
        <v>110</v>
      </c>
      <c r="J265" t="s">
        <v>111</v>
      </c>
      <c r="K265">
        <v>0</v>
      </c>
      <c r="L265">
        <v>3</v>
      </c>
      <c r="M265">
        <v>0</v>
      </c>
      <c r="N265">
        <v>2</v>
      </c>
      <c r="O265">
        <v>1</v>
      </c>
      <c r="P265">
        <v>0</v>
      </c>
      <c r="Q265">
        <v>0</v>
      </c>
      <c r="R265" t="s">
        <v>112</v>
      </c>
      <c r="S265" t="str">
        <f>"13:54:46.617"</f>
        <v>13:54:46.617</v>
      </c>
      <c r="T265" t="str">
        <f>"13:54:46.117"</f>
        <v>13:54:46.117</v>
      </c>
      <c r="U265" t="str">
        <f t="shared" si="12"/>
        <v>ad5732</v>
      </c>
      <c r="V265">
        <v>0</v>
      </c>
      <c r="W265">
        <v>0</v>
      </c>
      <c r="X265">
        <v>1</v>
      </c>
      <c r="Z265">
        <v>0</v>
      </c>
      <c r="AA265">
        <v>9</v>
      </c>
      <c r="AB265">
        <v>3</v>
      </c>
      <c r="AC265">
        <v>0</v>
      </c>
      <c r="AD265">
        <v>10</v>
      </c>
      <c r="AE265">
        <v>0</v>
      </c>
      <c r="AF265">
        <v>3</v>
      </c>
      <c r="AG265">
        <v>2</v>
      </c>
      <c r="AH265">
        <v>0</v>
      </c>
      <c r="AI265" t="s">
        <v>621</v>
      </c>
      <c r="AJ265">
        <v>39.183855000000001</v>
      </c>
      <c r="AK265" t="s">
        <v>622</v>
      </c>
      <c r="AL265">
        <v>-77.532234000000003</v>
      </c>
      <c r="AM265">
        <v>100</v>
      </c>
      <c r="AN265">
        <v>4800</v>
      </c>
      <c r="AO265" t="s">
        <v>115</v>
      </c>
      <c r="AP265">
        <v>114</v>
      </c>
      <c r="AQ265">
        <v>57</v>
      </c>
      <c r="AR265">
        <v>960</v>
      </c>
      <c r="AZ265">
        <v>3614</v>
      </c>
      <c r="BA265">
        <v>1</v>
      </c>
      <c r="BB265" t="str">
        <f t="shared" si="11"/>
        <v xml:space="preserve">N959MJ  </v>
      </c>
      <c r="BC265">
        <v>1</v>
      </c>
      <c r="BE265">
        <v>0</v>
      </c>
      <c r="BF265">
        <v>0</v>
      </c>
      <c r="BG265">
        <v>0</v>
      </c>
      <c r="BH265">
        <v>5000</v>
      </c>
      <c r="BI265">
        <v>200</v>
      </c>
      <c r="BJ265">
        <v>1</v>
      </c>
      <c r="BK265">
        <v>1</v>
      </c>
      <c r="BL265">
        <v>1</v>
      </c>
      <c r="BM265">
        <v>0</v>
      </c>
      <c r="BP265">
        <v>0</v>
      </c>
      <c r="BQ265">
        <v>0</v>
      </c>
      <c r="BX265" t="str">
        <f>"13:54:46.617"</f>
        <v>13:54:46.617</v>
      </c>
      <c r="BY265" t="str">
        <f>"618101384"</f>
        <v>618101384</v>
      </c>
      <c r="CL265">
        <v>3</v>
      </c>
      <c r="CM265">
        <v>2</v>
      </c>
      <c r="CN265">
        <v>0</v>
      </c>
      <c r="CO265">
        <v>2</v>
      </c>
      <c r="CP265">
        <v>0</v>
      </c>
      <c r="CQ265">
        <v>7</v>
      </c>
      <c r="CR265" t="s">
        <v>116</v>
      </c>
      <c r="CS265">
        <v>147</v>
      </c>
      <c r="CT265">
        <v>3</v>
      </c>
      <c r="CU265" t="s">
        <v>117</v>
      </c>
      <c r="CV265" t="s">
        <v>118</v>
      </c>
      <c r="CY265">
        <v>16211765</v>
      </c>
      <c r="CZ265" t="s">
        <v>119</v>
      </c>
    </row>
    <row r="266" spans="1:104" x14ac:dyDescent="0.25">
      <c r="A266" t="str">
        <f>"13:54:47.789"</f>
        <v>13:54:47.789</v>
      </c>
      <c r="B266" t="s">
        <v>108</v>
      </c>
      <c r="C266" t="str">
        <f t="shared" ref="C266:C329" si="13">"ffdfd3c0"</f>
        <v>ffdfd3c0</v>
      </c>
      <c r="D266" t="s">
        <v>109</v>
      </c>
      <c r="E266">
        <v>4</v>
      </c>
      <c r="F266">
        <v>1004</v>
      </c>
      <c r="G266" t="s">
        <v>110</v>
      </c>
      <c r="J266" t="s">
        <v>111</v>
      </c>
      <c r="K266">
        <v>0</v>
      </c>
      <c r="L266">
        <v>3</v>
      </c>
      <c r="M266">
        <v>0</v>
      </c>
      <c r="N266">
        <v>2</v>
      </c>
      <c r="O266">
        <v>1</v>
      </c>
      <c r="P266">
        <v>0</v>
      </c>
      <c r="Q266">
        <v>0</v>
      </c>
      <c r="R266" t="s">
        <v>112</v>
      </c>
      <c r="S266" t="str">
        <f>"13:54:47.594"</f>
        <v>13:54:47.594</v>
      </c>
      <c r="T266" t="str">
        <f>"13:54:47.094"</f>
        <v>13:54:47.094</v>
      </c>
      <c r="U266" t="str">
        <f t="shared" si="12"/>
        <v>ad5732</v>
      </c>
      <c r="V266">
        <v>0</v>
      </c>
      <c r="W266">
        <v>0</v>
      </c>
      <c r="X266">
        <v>1</v>
      </c>
      <c r="Z266">
        <v>0</v>
      </c>
      <c r="AA266">
        <v>9</v>
      </c>
      <c r="AB266">
        <v>3</v>
      </c>
      <c r="AC266">
        <v>0</v>
      </c>
      <c r="AD266">
        <v>10</v>
      </c>
      <c r="AE266">
        <v>0</v>
      </c>
      <c r="AF266">
        <v>3</v>
      </c>
      <c r="AG266">
        <v>2</v>
      </c>
      <c r="AH266">
        <v>0</v>
      </c>
      <c r="AI266" t="s">
        <v>623</v>
      </c>
      <c r="AJ266">
        <v>39.184134</v>
      </c>
      <c r="AK266" t="s">
        <v>624</v>
      </c>
      <c r="AL266">
        <v>-77.531548000000001</v>
      </c>
      <c r="AM266">
        <v>100</v>
      </c>
      <c r="AN266">
        <v>4800</v>
      </c>
      <c r="AO266" t="s">
        <v>115</v>
      </c>
      <c r="AP266">
        <v>114</v>
      </c>
      <c r="AQ266">
        <v>57</v>
      </c>
      <c r="AR266">
        <v>896</v>
      </c>
      <c r="AZ266">
        <v>3614</v>
      </c>
      <c r="BA266">
        <v>1</v>
      </c>
      <c r="BB266" t="str">
        <f t="shared" ref="BB266:BB329" si="14">"N959MJ  "</f>
        <v xml:space="preserve">N959MJ  </v>
      </c>
      <c r="BC266">
        <v>1</v>
      </c>
      <c r="BE266">
        <v>0</v>
      </c>
      <c r="BF266">
        <v>0</v>
      </c>
      <c r="BG266">
        <v>0</v>
      </c>
      <c r="BH266">
        <v>5025</v>
      </c>
      <c r="BI266">
        <v>225</v>
      </c>
      <c r="BJ266">
        <v>1</v>
      </c>
      <c r="BK266">
        <v>1</v>
      </c>
      <c r="BL266">
        <v>1</v>
      </c>
      <c r="BM266">
        <v>0</v>
      </c>
      <c r="BP266">
        <v>0</v>
      </c>
      <c r="BQ266">
        <v>0</v>
      </c>
      <c r="BX266" t="str">
        <f>"13:54:47.602"</f>
        <v>13:54:47.602</v>
      </c>
      <c r="BY266" t="str">
        <f>"599501240"</f>
        <v>599501240</v>
      </c>
      <c r="CL266">
        <v>3</v>
      </c>
      <c r="CM266">
        <v>2</v>
      </c>
      <c r="CN266">
        <v>0</v>
      </c>
      <c r="CO266">
        <v>2</v>
      </c>
      <c r="CP266">
        <v>0</v>
      </c>
      <c r="CQ266">
        <v>7</v>
      </c>
      <c r="CR266" t="s">
        <v>116</v>
      </c>
      <c r="CS266">
        <v>525</v>
      </c>
      <c r="CT266">
        <v>3</v>
      </c>
      <c r="CU266" t="s">
        <v>140</v>
      </c>
      <c r="CV266" t="s">
        <v>141</v>
      </c>
      <c r="CY266">
        <v>360560</v>
      </c>
      <c r="CZ266" t="s">
        <v>119</v>
      </c>
    </row>
    <row r="267" spans="1:104" x14ac:dyDescent="0.25">
      <c r="A267" t="str">
        <f>"13:54:48.852"</f>
        <v>13:54:48.852</v>
      </c>
      <c r="B267" t="s">
        <v>108</v>
      </c>
      <c r="C267" t="str">
        <f t="shared" si="13"/>
        <v>ffdfd3c0</v>
      </c>
      <c r="D267" t="s">
        <v>109</v>
      </c>
      <c r="E267">
        <v>4</v>
      </c>
      <c r="F267">
        <v>1004</v>
      </c>
      <c r="G267" t="s">
        <v>110</v>
      </c>
      <c r="J267" t="s">
        <v>111</v>
      </c>
      <c r="K267">
        <v>0</v>
      </c>
      <c r="L267">
        <v>3</v>
      </c>
      <c r="M267">
        <v>0</v>
      </c>
      <c r="N267">
        <v>2</v>
      </c>
      <c r="O267">
        <v>1</v>
      </c>
      <c r="P267">
        <v>0</v>
      </c>
      <c r="Q267">
        <v>0</v>
      </c>
      <c r="R267" t="s">
        <v>112</v>
      </c>
      <c r="S267" t="str">
        <f>"13:54:48.672"</f>
        <v>13:54:48.672</v>
      </c>
      <c r="T267" t="str">
        <f>"13:54:48.273"</f>
        <v>13:54:48.273</v>
      </c>
      <c r="U267" t="str">
        <f t="shared" si="12"/>
        <v>ad5732</v>
      </c>
      <c r="V267">
        <v>0</v>
      </c>
      <c r="W267">
        <v>0</v>
      </c>
      <c r="X267">
        <v>1</v>
      </c>
      <c r="Z267">
        <v>0</v>
      </c>
      <c r="AA267">
        <v>9</v>
      </c>
      <c r="AB267">
        <v>3</v>
      </c>
      <c r="AC267">
        <v>0</v>
      </c>
      <c r="AD267">
        <v>10</v>
      </c>
      <c r="AE267">
        <v>0</v>
      </c>
      <c r="AF267">
        <v>3</v>
      </c>
      <c r="AG267">
        <v>2</v>
      </c>
      <c r="AH267">
        <v>0</v>
      </c>
      <c r="AI267" t="s">
        <v>625</v>
      </c>
      <c r="AJ267">
        <v>39.184390999999998</v>
      </c>
      <c r="AK267" t="s">
        <v>626</v>
      </c>
      <c r="AL267">
        <v>-77.530817999999996</v>
      </c>
      <c r="AM267">
        <v>100</v>
      </c>
      <c r="AN267">
        <v>4800</v>
      </c>
      <c r="AO267" t="s">
        <v>115</v>
      </c>
      <c r="AP267">
        <v>114</v>
      </c>
      <c r="AQ267">
        <v>57</v>
      </c>
      <c r="AR267">
        <v>896</v>
      </c>
      <c r="AZ267">
        <v>3614</v>
      </c>
      <c r="BA267">
        <v>1</v>
      </c>
      <c r="BB267" t="str">
        <f t="shared" si="14"/>
        <v xml:space="preserve">N959MJ  </v>
      </c>
      <c r="BC267">
        <v>1</v>
      </c>
      <c r="BE267">
        <v>0</v>
      </c>
      <c r="BF267">
        <v>0</v>
      </c>
      <c r="BG267">
        <v>0</v>
      </c>
      <c r="BH267">
        <v>5050</v>
      </c>
      <c r="BI267">
        <v>250</v>
      </c>
      <c r="BJ267">
        <v>1</v>
      </c>
      <c r="BK267">
        <v>1</v>
      </c>
      <c r="BL267">
        <v>1</v>
      </c>
      <c r="BM267">
        <v>0</v>
      </c>
      <c r="BP267">
        <v>0</v>
      </c>
      <c r="BQ267">
        <v>0</v>
      </c>
      <c r="BX267" t="str">
        <f>"13:54:48.680"</f>
        <v>13:54:48.680</v>
      </c>
      <c r="BY267" t="str">
        <f>"675946855"</f>
        <v>675946855</v>
      </c>
      <c r="CL267">
        <v>3</v>
      </c>
      <c r="CM267">
        <v>2</v>
      </c>
      <c r="CN267">
        <v>0</v>
      </c>
      <c r="CO267">
        <v>2</v>
      </c>
      <c r="CP267">
        <v>0</v>
      </c>
      <c r="CQ267">
        <v>7</v>
      </c>
      <c r="CR267" t="s">
        <v>116</v>
      </c>
      <c r="CS267">
        <v>525</v>
      </c>
      <c r="CT267">
        <v>2</v>
      </c>
      <c r="CU267" t="s">
        <v>140</v>
      </c>
      <c r="CV267" t="s">
        <v>141</v>
      </c>
      <c r="CY267">
        <v>13975336</v>
      </c>
      <c r="CZ267" t="s">
        <v>119</v>
      </c>
    </row>
    <row r="268" spans="1:104" x14ac:dyDescent="0.25">
      <c r="A268" t="str">
        <f>"13:54:49.813"</f>
        <v>13:54:49.813</v>
      </c>
      <c r="B268" t="s">
        <v>108</v>
      </c>
      <c r="C268" t="str">
        <f t="shared" si="13"/>
        <v>ffdfd3c0</v>
      </c>
      <c r="D268" t="s">
        <v>109</v>
      </c>
      <c r="E268">
        <v>4</v>
      </c>
      <c r="F268">
        <v>1004</v>
      </c>
      <c r="G268" t="s">
        <v>110</v>
      </c>
      <c r="J268" t="s">
        <v>111</v>
      </c>
      <c r="K268">
        <v>0</v>
      </c>
      <c r="L268">
        <v>3</v>
      </c>
      <c r="M268">
        <v>0</v>
      </c>
      <c r="N268">
        <v>2</v>
      </c>
      <c r="O268">
        <v>1</v>
      </c>
      <c r="P268">
        <v>0</v>
      </c>
      <c r="Q268">
        <v>0</v>
      </c>
      <c r="R268" t="s">
        <v>112</v>
      </c>
      <c r="S268" t="str">
        <f>"13:54:49.633"</f>
        <v>13:54:49.633</v>
      </c>
      <c r="T268" t="str">
        <f>"13:54:49.234"</f>
        <v>13:54:49.234</v>
      </c>
      <c r="U268" t="str">
        <f t="shared" si="12"/>
        <v>ad5732</v>
      </c>
      <c r="V268">
        <v>0</v>
      </c>
      <c r="W268">
        <v>0</v>
      </c>
      <c r="X268">
        <v>1</v>
      </c>
      <c r="Z268">
        <v>0</v>
      </c>
      <c r="AA268">
        <v>9</v>
      </c>
      <c r="AB268">
        <v>3</v>
      </c>
      <c r="AC268">
        <v>0</v>
      </c>
      <c r="AD268">
        <v>10</v>
      </c>
      <c r="AE268">
        <v>0</v>
      </c>
      <c r="AF268">
        <v>3</v>
      </c>
      <c r="AG268">
        <v>2</v>
      </c>
      <c r="AH268">
        <v>0</v>
      </c>
      <c r="AI268" t="s">
        <v>627</v>
      </c>
      <c r="AJ268">
        <v>39.184649</v>
      </c>
      <c r="AK268" t="s">
        <v>628</v>
      </c>
      <c r="AL268">
        <v>-77.530152999999999</v>
      </c>
      <c r="AM268">
        <v>100</v>
      </c>
      <c r="AN268">
        <v>4800</v>
      </c>
      <c r="AO268" t="s">
        <v>115</v>
      </c>
      <c r="AP268">
        <v>115</v>
      </c>
      <c r="AQ268">
        <v>57</v>
      </c>
      <c r="AR268">
        <v>896</v>
      </c>
      <c r="AZ268">
        <v>3614</v>
      </c>
      <c r="BA268">
        <v>1</v>
      </c>
      <c r="BB268" t="str">
        <f t="shared" si="14"/>
        <v xml:space="preserve">N959MJ  </v>
      </c>
      <c r="BC268">
        <v>1</v>
      </c>
      <c r="BE268">
        <v>0</v>
      </c>
      <c r="BF268">
        <v>0</v>
      </c>
      <c r="BG268">
        <v>0</v>
      </c>
      <c r="BH268">
        <v>5050</v>
      </c>
      <c r="BI268">
        <v>250</v>
      </c>
      <c r="BJ268">
        <v>1</v>
      </c>
      <c r="BK268">
        <v>1</v>
      </c>
      <c r="BL268">
        <v>1</v>
      </c>
      <c r="BM268">
        <v>0</v>
      </c>
      <c r="BP268">
        <v>0</v>
      </c>
      <c r="BQ268">
        <v>0</v>
      </c>
      <c r="BX268" t="str">
        <f>"13:54:49.641"</f>
        <v>13:54:49.641</v>
      </c>
      <c r="BY268" t="str">
        <f>"637702610"</f>
        <v>637702610</v>
      </c>
      <c r="CL268">
        <v>3</v>
      </c>
      <c r="CM268">
        <v>2</v>
      </c>
      <c r="CN268">
        <v>0</v>
      </c>
      <c r="CO268">
        <v>2</v>
      </c>
      <c r="CP268">
        <v>0</v>
      </c>
      <c r="CQ268">
        <v>7</v>
      </c>
      <c r="CR268" t="s">
        <v>116</v>
      </c>
      <c r="CS268">
        <v>525</v>
      </c>
      <c r="CT268">
        <v>3</v>
      </c>
      <c r="CU268" t="s">
        <v>140</v>
      </c>
      <c r="CV268" t="s">
        <v>141</v>
      </c>
      <c r="CY268">
        <v>363277</v>
      </c>
      <c r="CZ268" t="s">
        <v>119</v>
      </c>
    </row>
    <row r="269" spans="1:104" x14ac:dyDescent="0.25">
      <c r="A269" t="str">
        <f>"13:54:50.766"</f>
        <v>13:54:50.766</v>
      </c>
      <c r="B269" t="s">
        <v>108</v>
      </c>
      <c r="C269" t="str">
        <f t="shared" si="13"/>
        <v>ffdfd3c0</v>
      </c>
      <c r="D269" t="s">
        <v>109</v>
      </c>
      <c r="E269">
        <v>4</v>
      </c>
      <c r="F269">
        <v>1004</v>
      </c>
      <c r="G269" t="s">
        <v>110</v>
      </c>
      <c r="J269" t="s">
        <v>111</v>
      </c>
      <c r="K269">
        <v>0</v>
      </c>
      <c r="L269">
        <v>3</v>
      </c>
      <c r="M269">
        <v>0</v>
      </c>
      <c r="N269">
        <v>2</v>
      </c>
      <c r="O269">
        <v>1</v>
      </c>
      <c r="P269">
        <v>0</v>
      </c>
      <c r="Q269">
        <v>0</v>
      </c>
      <c r="R269" t="s">
        <v>112</v>
      </c>
      <c r="S269" t="str">
        <f>"13:54:50.555"</f>
        <v>13:54:50.555</v>
      </c>
      <c r="T269" t="str">
        <f>"13:54:50.156"</f>
        <v>13:54:50.156</v>
      </c>
      <c r="U269" t="str">
        <f t="shared" si="12"/>
        <v>ad5732</v>
      </c>
      <c r="V269">
        <v>0</v>
      </c>
      <c r="W269">
        <v>0</v>
      </c>
      <c r="X269">
        <v>1</v>
      </c>
      <c r="Z269">
        <v>0</v>
      </c>
      <c r="AA269">
        <v>9</v>
      </c>
      <c r="AB269">
        <v>3</v>
      </c>
      <c r="AC269">
        <v>0</v>
      </c>
      <c r="AD269">
        <v>10</v>
      </c>
      <c r="AE269">
        <v>0</v>
      </c>
      <c r="AF269">
        <v>3</v>
      </c>
      <c r="AG269">
        <v>2</v>
      </c>
      <c r="AH269">
        <v>0</v>
      </c>
      <c r="AI269" t="s">
        <v>629</v>
      </c>
      <c r="AJ269">
        <v>39.184885000000001</v>
      </c>
      <c r="AK269" t="s">
        <v>630</v>
      </c>
      <c r="AL269">
        <v>-77.529551999999995</v>
      </c>
      <c r="AM269">
        <v>100</v>
      </c>
      <c r="AN269">
        <v>4800</v>
      </c>
      <c r="AO269" t="s">
        <v>115</v>
      </c>
      <c r="AP269">
        <v>115</v>
      </c>
      <c r="AQ269">
        <v>57</v>
      </c>
      <c r="AR269">
        <v>896</v>
      </c>
      <c r="AZ269">
        <v>3614</v>
      </c>
      <c r="BA269">
        <v>1</v>
      </c>
      <c r="BB269" t="str">
        <f t="shared" si="14"/>
        <v xml:space="preserve">N959MJ  </v>
      </c>
      <c r="BC269">
        <v>1</v>
      </c>
      <c r="BE269">
        <v>0</v>
      </c>
      <c r="BF269">
        <v>0</v>
      </c>
      <c r="BG269">
        <v>0</v>
      </c>
      <c r="BH269">
        <v>5075</v>
      </c>
      <c r="BI269">
        <v>275</v>
      </c>
      <c r="BJ269">
        <v>1</v>
      </c>
      <c r="BK269">
        <v>1</v>
      </c>
      <c r="BL269">
        <v>1</v>
      </c>
      <c r="BM269">
        <v>0</v>
      </c>
      <c r="BP269">
        <v>0</v>
      </c>
      <c r="BQ269">
        <v>0</v>
      </c>
      <c r="BX269" t="str">
        <f>"13:54:50.563"</f>
        <v>13:54:50.563</v>
      </c>
      <c r="BY269" t="str">
        <f>"561774638"</f>
        <v>561774638</v>
      </c>
      <c r="CL269">
        <v>3</v>
      </c>
      <c r="CM269">
        <v>2</v>
      </c>
      <c r="CN269">
        <v>0</v>
      </c>
      <c r="CO269">
        <v>2</v>
      </c>
      <c r="CP269">
        <v>0</v>
      </c>
      <c r="CQ269">
        <v>7</v>
      </c>
      <c r="CR269" t="s">
        <v>116</v>
      </c>
      <c r="CS269">
        <v>525</v>
      </c>
      <c r="CT269">
        <v>2</v>
      </c>
      <c r="CU269" t="s">
        <v>140</v>
      </c>
      <c r="CV269" t="s">
        <v>141</v>
      </c>
      <c r="CY269">
        <v>13977880</v>
      </c>
      <c r="CZ269" t="s">
        <v>119</v>
      </c>
    </row>
    <row r="270" spans="1:104" x14ac:dyDescent="0.25">
      <c r="A270" t="str">
        <f>"13:54:51.781"</f>
        <v>13:54:51.781</v>
      </c>
      <c r="B270" t="s">
        <v>108</v>
      </c>
      <c r="C270" t="str">
        <f t="shared" si="13"/>
        <v>ffdfd3c0</v>
      </c>
      <c r="D270" t="s">
        <v>109</v>
      </c>
      <c r="E270">
        <v>4</v>
      </c>
      <c r="F270">
        <v>1004</v>
      </c>
      <c r="G270" t="s">
        <v>110</v>
      </c>
      <c r="J270" t="s">
        <v>111</v>
      </c>
      <c r="K270">
        <v>0</v>
      </c>
      <c r="L270">
        <v>3</v>
      </c>
      <c r="M270">
        <v>0</v>
      </c>
      <c r="N270">
        <v>2</v>
      </c>
      <c r="O270">
        <v>1</v>
      </c>
      <c r="P270">
        <v>0</v>
      </c>
      <c r="Q270">
        <v>0</v>
      </c>
      <c r="R270" t="s">
        <v>112</v>
      </c>
      <c r="S270" t="str">
        <f>"13:54:51.602"</f>
        <v>13:54:51.602</v>
      </c>
      <c r="T270" t="str">
        <f>"13:54:51.102"</f>
        <v>13:54:51.102</v>
      </c>
      <c r="U270" t="str">
        <f t="shared" si="12"/>
        <v>ad5732</v>
      </c>
      <c r="V270">
        <v>0</v>
      </c>
      <c r="W270">
        <v>0</v>
      </c>
      <c r="X270">
        <v>1</v>
      </c>
      <c r="Z270">
        <v>0</v>
      </c>
      <c r="AA270">
        <v>9</v>
      </c>
      <c r="AB270">
        <v>3</v>
      </c>
      <c r="AC270">
        <v>0</v>
      </c>
      <c r="AD270">
        <v>10</v>
      </c>
      <c r="AE270">
        <v>0</v>
      </c>
      <c r="AF270">
        <v>3</v>
      </c>
      <c r="AG270">
        <v>2</v>
      </c>
      <c r="AH270">
        <v>0</v>
      </c>
      <c r="AI270" t="s">
        <v>631</v>
      </c>
      <c r="AJ270">
        <v>39.185164</v>
      </c>
      <c r="AK270" t="s">
        <v>632</v>
      </c>
      <c r="AL270">
        <v>-77.528801000000001</v>
      </c>
      <c r="AM270">
        <v>100</v>
      </c>
      <c r="AN270">
        <v>4800</v>
      </c>
      <c r="AO270" t="s">
        <v>115</v>
      </c>
      <c r="AP270">
        <v>116</v>
      </c>
      <c r="AQ270">
        <v>56</v>
      </c>
      <c r="AR270">
        <v>832</v>
      </c>
      <c r="AZ270">
        <v>3614</v>
      </c>
      <c r="BA270">
        <v>1</v>
      </c>
      <c r="BB270" t="str">
        <f t="shared" si="14"/>
        <v xml:space="preserve">N959MJ  </v>
      </c>
      <c r="BC270">
        <v>1</v>
      </c>
      <c r="BE270">
        <v>0</v>
      </c>
      <c r="BF270">
        <v>0</v>
      </c>
      <c r="BG270">
        <v>0</v>
      </c>
      <c r="BH270">
        <v>5075</v>
      </c>
      <c r="BI270">
        <v>275</v>
      </c>
      <c r="BJ270">
        <v>1</v>
      </c>
      <c r="BK270">
        <v>1</v>
      </c>
      <c r="BL270">
        <v>1</v>
      </c>
      <c r="BM270">
        <v>0</v>
      </c>
      <c r="BP270">
        <v>0</v>
      </c>
      <c r="BQ270">
        <v>0</v>
      </c>
      <c r="BX270" t="str">
        <f>"13:54:51.609"</f>
        <v>13:54:51.609</v>
      </c>
      <c r="BY270" t="str">
        <f>"607090219"</f>
        <v>607090219</v>
      </c>
      <c r="CL270">
        <v>3</v>
      </c>
      <c r="CM270">
        <v>2</v>
      </c>
      <c r="CN270">
        <v>0</v>
      </c>
      <c r="CO270">
        <v>2</v>
      </c>
      <c r="CP270">
        <v>0</v>
      </c>
      <c r="CQ270">
        <v>7</v>
      </c>
      <c r="CR270" t="s">
        <v>116</v>
      </c>
      <c r="CS270">
        <v>525</v>
      </c>
      <c r="CT270">
        <v>3</v>
      </c>
      <c r="CU270" t="s">
        <v>140</v>
      </c>
      <c r="CV270" t="s">
        <v>141</v>
      </c>
      <c r="CY270">
        <v>365885</v>
      </c>
      <c r="CZ270" t="s">
        <v>119</v>
      </c>
    </row>
    <row r="271" spans="1:104" x14ac:dyDescent="0.25">
      <c r="A271" t="str">
        <f>"13:54:52.938"</f>
        <v>13:54:52.938</v>
      </c>
      <c r="B271" t="s">
        <v>108</v>
      </c>
      <c r="C271" t="str">
        <f t="shared" si="13"/>
        <v>ffdfd3c0</v>
      </c>
      <c r="D271" t="s">
        <v>109</v>
      </c>
      <c r="E271">
        <v>4</v>
      </c>
      <c r="F271">
        <v>1004</v>
      </c>
      <c r="G271" t="s">
        <v>110</v>
      </c>
      <c r="J271" t="s">
        <v>111</v>
      </c>
      <c r="K271">
        <v>0</v>
      </c>
      <c r="L271">
        <v>3</v>
      </c>
      <c r="M271">
        <v>0</v>
      </c>
      <c r="N271">
        <v>2</v>
      </c>
      <c r="O271">
        <v>1</v>
      </c>
      <c r="P271">
        <v>0</v>
      </c>
      <c r="Q271">
        <v>0</v>
      </c>
      <c r="R271" t="s">
        <v>112</v>
      </c>
      <c r="S271" t="str">
        <f>"13:54:52.766"</f>
        <v>13:54:52.766</v>
      </c>
      <c r="T271" t="str">
        <f>"13:54:52.266"</f>
        <v>13:54:52.266</v>
      </c>
      <c r="U271" t="str">
        <f t="shared" si="12"/>
        <v>ad5732</v>
      </c>
      <c r="V271">
        <v>0</v>
      </c>
      <c r="W271">
        <v>0</v>
      </c>
      <c r="X271">
        <v>1</v>
      </c>
      <c r="Z271">
        <v>0</v>
      </c>
      <c r="AA271">
        <v>9</v>
      </c>
      <c r="AB271">
        <v>3</v>
      </c>
      <c r="AC271">
        <v>0</v>
      </c>
      <c r="AD271">
        <v>10</v>
      </c>
      <c r="AE271">
        <v>0</v>
      </c>
      <c r="AF271">
        <v>3</v>
      </c>
      <c r="AG271">
        <v>2</v>
      </c>
      <c r="AH271">
        <v>0</v>
      </c>
      <c r="AI271" t="s">
        <v>633</v>
      </c>
      <c r="AJ271">
        <v>39.185442999999999</v>
      </c>
      <c r="AK271" t="s">
        <v>634</v>
      </c>
      <c r="AL271">
        <v>-77.528007000000002</v>
      </c>
      <c r="AM271">
        <v>100</v>
      </c>
      <c r="AN271">
        <v>4800</v>
      </c>
      <c r="AO271" t="s">
        <v>115</v>
      </c>
      <c r="AP271">
        <v>117</v>
      </c>
      <c r="AQ271">
        <v>55</v>
      </c>
      <c r="AR271">
        <v>832</v>
      </c>
      <c r="AZ271">
        <v>3614</v>
      </c>
      <c r="BA271">
        <v>1</v>
      </c>
      <c r="BB271" t="str">
        <f t="shared" si="14"/>
        <v xml:space="preserve">N959MJ  </v>
      </c>
      <c r="BC271">
        <v>1</v>
      </c>
      <c r="BE271">
        <v>0</v>
      </c>
      <c r="BF271">
        <v>0</v>
      </c>
      <c r="BG271">
        <v>0</v>
      </c>
      <c r="BH271">
        <v>5100</v>
      </c>
      <c r="BI271">
        <v>300</v>
      </c>
      <c r="BJ271">
        <v>1</v>
      </c>
      <c r="BK271">
        <v>1</v>
      </c>
      <c r="BL271">
        <v>1</v>
      </c>
      <c r="BM271">
        <v>0</v>
      </c>
      <c r="BP271">
        <v>0</v>
      </c>
      <c r="BQ271">
        <v>0</v>
      </c>
      <c r="BX271" t="str">
        <f>"13:54:52.766"</f>
        <v>13:54:52.766</v>
      </c>
      <c r="BY271" t="str">
        <f>"768733841"</f>
        <v>768733841</v>
      </c>
      <c r="CL271">
        <v>3</v>
      </c>
      <c r="CM271">
        <v>2</v>
      </c>
      <c r="CN271">
        <v>0</v>
      </c>
      <c r="CO271">
        <v>2</v>
      </c>
      <c r="CP271">
        <v>0</v>
      </c>
      <c r="CQ271">
        <v>7</v>
      </c>
      <c r="CR271" t="s">
        <v>116</v>
      </c>
      <c r="CS271">
        <v>525</v>
      </c>
      <c r="CT271">
        <v>3</v>
      </c>
      <c r="CU271" t="s">
        <v>140</v>
      </c>
      <c r="CV271" t="s">
        <v>141</v>
      </c>
      <c r="CY271">
        <v>367429</v>
      </c>
      <c r="CZ271" t="s">
        <v>119</v>
      </c>
    </row>
    <row r="272" spans="1:104" x14ac:dyDescent="0.25">
      <c r="A272" t="str">
        <f>"13:54:54.055"</f>
        <v>13:54:54.055</v>
      </c>
      <c r="B272" t="s">
        <v>108</v>
      </c>
      <c r="C272" t="str">
        <f t="shared" si="13"/>
        <v>ffdfd3c0</v>
      </c>
      <c r="D272" t="s">
        <v>109</v>
      </c>
      <c r="E272">
        <v>4</v>
      </c>
      <c r="F272">
        <v>1004</v>
      </c>
      <c r="G272" t="s">
        <v>110</v>
      </c>
      <c r="J272" t="s">
        <v>111</v>
      </c>
      <c r="K272">
        <v>0</v>
      </c>
      <c r="L272">
        <v>3</v>
      </c>
      <c r="M272">
        <v>0</v>
      </c>
      <c r="N272">
        <v>2</v>
      </c>
      <c r="O272">
        <v>1</v>
      </c>
      <c r="P272">
        <v>0</v>
      </c>
      <c r="Q272">
        <v>0</v>
      </c>
      <c r="R272" t="s">
        <v>112</v>
      </c>
      <c r="S272" t="str">
        <f>"13:54:53.867"</f>
        <v>13:54:53.867</v>
      </c>
      <c r="T272" t="str">
        <f>"13:54:53.367"</f>
        <v>13:54:53.367</v>
      </c>
      <c r="U272" t="str">
        <f t="shared" si="12"/>
        <v>ad5732</v>
      </c>
      <c r="V272">
        <v>0</v>
      </c>
      <c r="W272">
        <v>0</v>
      </c>
      <c r="X272">
        <v>1</v>
      </c>
      <c r="Z272">
        <v>0</v>
      </c>
      <c r="AA272">
        <v>9</v>
      </c>
      <c r="AB272">
        <v>3</v>
      </c>
      <c r="AC272">
        <v>0</v>
      </c>
      <c r="AD272">
        <v>10</v>
      </c>
      <c r="AE272">
        <v>0</v>
      </c>
      <c r="AF272">
        <v>3</v>
      </c>
      <c r="AG272">
        <v>2</v>
      </c>
      <c r="AH272">
        <v>0</v>
      </c>
      <c r="AI272" t="s">
        <v>635</v>
      </c>
      <c r="AJ272">
        <v>39.185721999999998</v>
      </c>
      <c r="AK272" t="s">
        <v>636</v>
      </c>
      <c r="AL272">
        <v>-77.527276999999998</v>
      </c>
      <c r="AM272">
        <v>100</v>
      </c>
      <c r="AN272">
        <v>4900</v>
      </c>
      <c r="AO272" t="s">
        <v>115</v>
      </c>
      <c r="AP272">
        <v>118</v>
      </c>
      <c r="AQ272">
        <v>54</v>
      </c>
      <c r="AR272">
        <v>832</v>
      </c>
      <c r="AZ272">
        <v>3614</v>
      </c>
      <c r="BA272">
        <v>1</v>
      </c>
      <c r="BB272" t="str">
        <f t="shared" si="14"/>
        <v xml:space="preserve">N959MJ  </v>
      </c>
      <c r="BC272">
        <v>1</v>
      </c>
      <c r="BE272">
        <v>0</v>
      </c>
      <c r="BF272">
        <v>0</v>
      </c>
      <c r="BG272">
        <v>0</v>
      </c>
      <c r="BH272">
        <v>5125</v>
      </c>
      <c r="BI272">
        <v>225</v>
      </c>
      <c r="BJ272">
        <v>1</v>
      </c>
      <c r="BK272">
        <v>1</v>
      </c>
      <c r="BL272">
        <v>1</v>
      </c>
      <c r="BM272">
        <v>0</v>
      </c>
      <c r="BP272">
        <v>0</v>
      </c>
      <c r="BQ272">
        <v>0</v>
      </c>
      <c r="BX272" t="str">
        <f>"13:54:53.867"</f>
        <v>13:54:53.867</v>
      </c>
      <c r="BY272" t="str">
        <f>"868134424"</f>
        <v>868134424</v>
      </c>
      <c r="CL272">
        <v>3</v>
      </c>
      <c r="CM272">
        <v>2</v>
      </c>
      <c r="CN272">
        <v>0</v>
      </c>
      <c r="CO272">
        <v>2</v>
      </c>
      <c r="CP272">
        <v>0</v>
      </c>
      <c r="CQ272">
        <v>7</v>
      </c>
      <c r="CR272" t="s">
        <v>116</v>
      </c>
      <c r="CS272">
        <v>147</v>
      </c>
      <c r="CT272">
        <v>3</v>
      </c>
      <c r="CU272" t="s">
        <v>117</v>
      </c>
      <c r="CV272" t="s">
        <v>118</v>
      </c>
      <c r="CY272">
        <v>16223309</v>
      </c>
      <c r="CZ272" t="s">
        <v>119</v>
      </c>
    </row>
    <row r="273" spans="1:104" x14ac:dyDescent="0.25">
      <c r="A273" t="str">
        <f>"13:54:55.008"</f>
        <v>13:54:55.008</v>
      </c>
      <c r="B273" t="s">
        <v>108</v>
      </c>
      <c r="C273" t="str">
        <f t="shared" si="13"/>
        <v>ffdfd3c0</v>
      </c>
      <c r="D273" t="s">
        <v>109</v>
      </c>
      <c r="E273">
        <v>4</v>
      </c>
      <c r="F273">
        <v>1004</v>
      </c>
      <c r="G273" t="s">
        <v>110</v>
      </c>
      <c r="J273" t="s">
        <v>111</v>
      </c>
      <c r="K273">
        <v>0</v>
      </c>
      <c r="L273">
        <v>3</v>
      </c>
      <c r="M273">
        <v>0</v>
      </c>
      <c r="N273">
        <v>2</v>
      </c>
      <c r="O273">
        <v>1</v>
      </c>
      <c r="P273">
        <v>0</v>
      </c>
      <c r="Q273">
        <v>0</v>
      </c>
      <c r="R273" t="s">
        <v>112</v>
      </c>
      <c r="S273" t="str">
        <f>"13:54:54.820"</f>
        <v>13:54:54.820</v>
      </c>
      <c r="T273" t="str">
        <f>"13:54:54.320"</f>
        <v>13:54:54.320</v>
      </c>
      <c r="U273" t="str">
        <f t="shared" si="12"/>
        <v>ad5732</v>
      </c>
      <c r="V273">
        <v>0</v>
      </c>
      <c r="W273">
        <v>0</v>
      </c>
      <c r="X273">
        <v>1</v>
      </c>
      <c r="Z273">
        <v>0</v>
      </c>
      <c r="AA273">
        <v>9</v>
      </c>
      <c r="AB273">
        <v>3</v>
      </c>
      <c r="AC273">
        <v>0</v>
      </c>
      <c r="AD273">
        <v>10</v>
      </c>
      <c r="AE273">
        <v>0</v>
      </c>
      <c r="AF273">
        <v>3</v>
      </c>
      <c r="AG273">
        <v>2</v>
      </c>
      <c r="AH273">
        <v>0</v>
      </c>
      <c r="AI273" t="s">
        <v>637</v>
      </c>
      <c r="AJ273">
        <v>39.185957999999999</v>
      </c>
      <c r="AK273" t="s">
        <v>638</v>
      </c>
      <c r="AL273">
        <v>-77.526548000000005</v>
      </c>
      <c r="AM273">
        <v>100</v>
      </c>
      <c r="AN273">
        <v>4900</v>
      </c>
      <c r="AO273" t="s">
        <v>115</v>
      </c>
      <c r="AP273">
        <v>118</v>
      </c>
      <c r="AQ273">
        <v>53</v>
      </c>
      <c r="AR273">
        <v>768</v>
      </c>
      <c r="AZ273">
        <v>3614</v>
      </c>
      <c r="BA273">
        <v>1</v>
      </c>
      <c r="BB273" t="str">
        <f t="shared" si="14"/>
        <v xml:space="preserve">N959MJ  </v>
      </c>
      <c r="BC273">
        <v>1</v>
      </c>
      <c r="BE273">
        <v>0</v>
      </c>
      <c r="BF273">
        <v>0</v>
      </c>
      <c r="BG273">
        <v>0</v>
      </c>
      <c r="BH273">
        <v>5125</v>
      </c>
      <c r="BI273">
        <v>225</v>
      </c>
      <c r="BJ273">
        <v>1</v>
      </c>
      <c r="BK273">
        <v>1</v>
      </c>
      <c r="BL273">
        <v>1</v>
      </c>
      <c r="BM273">
        <v>0</v>
      </c>
      <c r="BP273">
        <v>0</v>
      </c>
      <c r="BQ273">
        <v>0</v>
      </c>
      <c r="BX273" t="str">
        <f>"13:54:54.828"</f>
        <v>13:54:54.828</v>
      </c>
      <c r="BY273" t="str">
        <f>"824957911"</f>
        <v>824957911</v>
      </c>
      <c r="CL273">
        <v>3</v>
      </c>
      <c r="CM273">
        <v>2</v>
      </c>
      <c r="CN273">
        <v>0</v>
      </c>
      <c r="CO273">
        <v>2</v>
      </c>
      <c r="CP273">
        <v>0</v>
      </c>
      <c r="CQ273">
        <v>7</v>
      </c>
      <c r="CR273" t="s">
        <v>116</v>
      </c>
      <c r="CS273">
        <v>525</v>
      </c>
      <c r="CT273">
        <v>3</v>
      </c>
      <c r="CU273" t="s">
        <v>140</v>
      </c>
      <c r="CV273" t="s">
        <v>141</v>
      </c>
      <c r="CY273">
        <v>369957</v>
      </c>
      <c r="CZ273" t="s">
        <v>119</v>
      </c>
    </row>
    <row r="274" spans="1:104" x14ac:dyDescent="0.25">
      <c r="A274" t="str">
        <f>"13:54:56.070"</f>
        <v>13:54:56.070</v>
      </c>
      <c r="B274" t="s">
        <v>108</v>
      </c>
      <c r="C274" t="str">
        <f t="shared" si="13"/>
        <v>ffdfd3c0</v>
      </c>
      <c r="D274" t="s">
        <v>109</v>
      </c>
      <c r="E274">
        <v>4</v>
      </c>
      <c r="F274">
        <v>1004</v>
      </c>
      <c r="G274" t="s">
        <v>110</v>
      </c>
      <c r="J274" t="s">
        <v>111</v>
      </c>
      <c r="K274">
        <v>0</v>
      </c>
      <c r="L274">
        <v>3</v>
      </c>
      <c r="M274">
        <v>0</v>
      </c>
      <c r="N274">
        <v>2</v>
      </c>
      <c r="O274">
        <v>1</v>
      </c>
      <c r="P274">
        <v>0</v>
      </c>
      <c r="Q274">
        <v>0</v>
      </c>
      <c r="R274" t="s">
        <v>112</v>
      </c>
      <c r="S274" t="str">
        <f>"13:54:55.906"</f>
        <v>13:54:55.906</v>
      </c>
      <c r="T274" t="str">
        <f>"13:54:55.406"</f>
        <v>13:54:55.406</v>
      </c>
      <c r="U274" t="str">
        <f t="shared" si="12"/>
        <v>ad5732</v>
      </c>
      <c r="V274">
        <v>0</v>
      </c>
      <c r="W274">
        <v>0</v>
      </c>
      <c r="X274">
        <v>1</v>
      </c>
      <c r="Z274">
        <v>0</v>
      </c>
      <c r="AA274">
        <v>9</v>
      </c>
      <c r="AB274">
        <v>3</v>
      </c>
      <c r="AC274">
        <v>0</v>
      </c>
      <c r="AD274">
        <v>10</v>
      </c>
      <c r="AE274">
        <v>0</v>
      </c>
      <c r="AF274">
        <v>3</v>
      </c>
      <c r="AG274">
        <v>2</v>
      </c>
      <c r="AH274">
        <v>0</v>
      </c>
      <c r="AI274" t="s">
        <v>639</v>
      </c>
      <c r="AJ274">
        <v>39.186214999999997</v>
      </c>
      <c r="AK274" t="s">
        <v>640</v>
      </c>
      <c r="AL274">
        <v>-77.525796999999997</v>
      </c>
      <c r="AM274">
        <v>100</v>
      </c>
      <c r="AN274">
        <v>4900</v>
      </c>
      <c r="AO274" t="s">
        <v>115</v>
      </c>
      <c r="AP274">
        <v>119</v>
      </c>
      <c r="AQ274">
        <v>53</v>
      </c>
      <c r="AR274">
        <v>832</v>
      </c>
      <c r="AZ274">
        <v>3614</v>
      </c>
      <c r="BA274">
        <v>1</v>
      </c>
      <c r="BB274" t="str">
        <f t="shared" si="14"/>
        <v xml:space="preserve">N959MJ  </v>
      </c>
      <c r="BC274">
        <v>1</v>
      </c>
      <c r="BE274">
        <v>0</v>
      </c>
      <c r="BF274">
        <v>0</v>
      </c>
      <c r="BG274">
        <v>0</v>
      </c>
      <c r="BH274">
        <v>5150</v>
      </c>
      <c r="BI274">
        <v>250</v>
      </c>
      <c r="BJ274">
        <v>1</v>
      </c>
      <c r="BK274">
        <v>1</v>
      </c>
      <c r="BL274">
        <v>1</v>
      </c>
      <c r="BM274">
        <v>0</v>
      </c>
      <c r="BP274">
        <v>0</v>
      </c>
      <c r="BQ274">
        <v>0</v>
      </c>
      <c r="BX274" t="str">
        <f>"13:54:55.914"</f>
        <v>13:54:55.914</v>
      </c>
      <c r="BY274" t="str">
        <f>"911234060"</f>
        <v>911234060</v>
      </c>
      <c r="CL274">
        <v>3</v>
      </c>
      <c r="CM274">
        <v>2</v>
      </c>
      <c r="CN274">
        <v>0</v>
      </c>
      <c r="CO274">
        <v>2</v>
      </c>
      <c r="CP274">
        <v>0</v>
      </c>
      <c r="CQ274">
        <v>7</v>
      </c>
      <c r="CR274" t="s">
        <v>116</v>
      </c>
      <c r="CS274">
        <v>525</v>
      </c>
      <c r="CT274">
        <v>3</v>
      </c>
      <c r="CU274" t="s">
        <v>140</v>
      </c>
      <c r="CV274" t="s">
        <v>141</v>
      </c>
      <c r="CY274">
        <v>371351</v>
      </c>
      <c r="CZ274" t="s">
        <v>119</v>
      </c>
    </row>
    <row r="275" spans="1:104" x14ac:dyDescent="0.25">
      <c r="A275" t="str">
        <f>"13:54:57.188"</f>
        <v>13:54:57.188</v>
      </c>
      <c r="B275" t="s">
        <v>108</v>
      </c>
      <c r="C275" t="str">
        <f t="shared" si="13"/>
        <v>ffdfd3c0</v>
      </c>
      <c r="D275" t="s">
        <v>109</v>
      </c>
      <c r="E275">
        <v>4</v>
      </c>
      <c r="F275">
        <v>1004</v>
      </c>
      <c r="G275" t="s">
        <v>110</v>
      </c>
      <c r="J275" t="s">
        <v>111</v>
      </c>
      <c r="K275">
        <v>0</v>
      </c>
      <c r="L275">
        <v>3</v>
      </c>
      <c r="M275">
        <v>0</v>
      </c>
      <c r="N275">
        <v>2</v>
      </c>
      <c r="O275">
        <v>1</v>
      </c>
      <c r="P275">
        <v>0</v>
      </c>
      <c r="Q275">
        <v>0</v>
      </c>
      <c r="R275" t="s">
        <v>112</v>
      </c>
      <c r="S275" t="str">
        <f>"13:54:56.984"</f>
        <v>13:54:56.984</v>
      </c>
      <c r="T275" t="str">
        <f>"13:54:56.484"</f>
        <v>13:54:56.484</v>
      </c>
      <c r="U275" t="str">
        <f t="shared" si="12"/>
        <v>ad5732</v>
      </c>
      <c r="V275">
        <v>0</v>
      </c>
      <c r="W275">
        <v>0</v>
      </c>
      <c r="X275">
        <v>1</v>
      </c>
      <c r="Z275">
        <v>0</v>
      </c>
      <c r="AA275">
        <v>9</v>
      </c>
      <c r="AB275">
        <v>3</v>
      </c>
      <c r="AC275">
        <v>0</v>
      </c>
      <c r="AD275">
        <v>10</v>
      </c>
      <c r="AE275">
        <v>0</v>
      </c>
      <c r="AF275">
        <v>3</v>
      </c>
      <c r="AG275">
        <v>2</v>
      </c>
      <c r="AH275">
        <v>0</v>
      </c>
      <c r="AI275" t="s">
        <v>641</v>
      </c>
      <c r="AJ275">
        <v>39.186515999999997</v>
      </c>
      <c r="AK275" t="s">
        <v>642</v>
      </c>
      <c r="AL275">
        <v>-77.524959999999993</v>
      </c>
      <c r="AM275">
        <v>100</v>
      </c>
      <c r="AN275">
        <v>4900</v>
      </c>
      <c r="AO275" t="s">
        <v>115</v>
      </c>
      <c r="AP275">
        <v>120</v>
      </c>
      <c r="AQ275">
        <v>52</v>
      </c>
      <c r="AR275">
        <v>832</v>
      </c>
      <c r="AZ275">
        <v>3614</v>
      </c>
      <c r="BA275">
        <v>1</v>
      </c>
      <c r="BB275" t="str">
        <f t="shared" si="14"/>
        <v xml:space="preserve">N959MJ  </v>
      </c>
      <c r="BC275">
        <v>1</v>
      </c>
      <c r="BE275">
        <v>0</v>
      </c>
      <c r="BF275">
        <v>0</v>
      </c>
      <c r="BG275">
        <v>0</v>
      </c>
      <c r="BH275">
        <v>5150</v>
      </c>
      <c r="BI275">
        <v>250</v>
      </c>
      <c r="BJ275">
        <v>1</v>
      </c>
      <c r="BK275">
        <v>1</v>
      </c>
      <c r="BL275">
        <v>1</v>
      </c>
      <c r="BM275">
        <v>0</v>
      </c>
      <c r="BP275">
        <v>0</v>
      </c>
      <c r="BQ275">
        <v>0</v>
      </c>
      <c r="BX275" t="str">
        <f>"13:54:56.984"</f>
        <v>13:54:56.984</v>
      </c>
      <c r="BY275" t="str">
        <f>"986041226"</f>
        <v>986041226</v>
      </c>
      <c r="CL275">
        <v>3</v>
      </c>
      <c r="CM275">
        <v>2</v>
      </c>
      <c r="CN275">
        <v>0</v>
      </c>
      <c r="CO275">
        <v>2</v>
      </c>
      <c r="CP275">
        <v>0</v>
      </c>
      <c r="CQ275">
        <v>7</v>
      </c>
      <c r="CR275" t="s">
        <v>116</v>
      </c>
      <c r="CS275">
        <v>525</v>
      </c>
      <c r="CT275">
        <v>3</v>
      </c>
      <c r="CU275" t="s">
        <v>140</v>
      </c>
      <c r="CV275" t="s">
        <v>141</v>
      </c>
      <c r="CY275">
        <v>372771</v>
      </c>
      <c r="CZ275" t="s">
        <v>119</v>
      </c>
    </row>
    <row r="276" spans="1:104" x14ac:dyDescent="0.25">
      <c r="A276" t="str">
        <f>"13:54:58.289"</f>
        <v>13:54:58.289</v>
      </c>
      <c r="B276" t="s">
        <v>108</v>
      </c>
      <c r="C276" t="str">
        <f t="shared" si="13"/>
        <v>ffdfd3c0</v>
      </c>
      <c r="D276" t="s">
        <v>109</v>
      </c>
      <c r="E276">
        <v>4</v>
      </c>
      <c r="F276">
        <v>1004</v>
      </c>
      <c r="G276" t="s">
        <v>110</v>
      </c>
      <c r="J276" t="s">
        <v>111</v>
      </c>
      <c r="K276">
        <v>0</v>
      </c>
      <c r="L276">
        <v>3</v>
      </c>
      <c r="M276">
        <v>0</v>
      </c>
      <c r="N276">
        <v>2</v>
      </c>
      <c r="O276">
        <v>1</v>
      </c>
      <c r="P276">
        <v>0</v>
      </c>
      <c r="Q276">
        <v>0</v>
      </c>
      <c r="R276" t="s">
        <v>112</v>
      </c>
      <c r="S276" t="str">
        <f>"13:54:58.109"</f>
        <v>13:54:58.109</v>
      </c>
      <c r="T276" t="str">
        <f>"13:54:57.609"</f>
        <v>13:54:57.609</v>
      </c>
      <c r="U276" t="str">
        <f t="shared" si="12"/>
        <v>ad5732</v>
      </c>
      <c r="V276">
        <v>0</v>
      </c>
      <c r="W276">
        <v>0</v>
      </c>
      <c r="X276">
        <v>1</v>
      </c>
      <c r="Z276">
        <v>0</v>
      </c>
      <c r="AA276">
        <v>9</v>
      </c>
      <c r="AB276">
        <v>3</v>
      </c>
      <c r="AC276">
        <v>0</v>
      </c>
      <c r="AD276">
        <v>10</v>
      </c>
      <c r="AE276">
        <v>0</v>
      </c>
      <c r="AF276">
        <v>3</v>
      </c>
      <c r="AG276">
        <v>2</v>
      </c>
      <c r="AH276">
        <v>0</v>
      </c>
      <c r="AI276" t="s">
        <v>643</v>
      </c>
      <c r="AJ276">
        <v>39.186773000000002</v>
      </c>
      <c r="AK276" t="s">
        <v>644</v>
      </c>
      <c r="AL276">
        <v>-77.524187999999995</v>
      </c>
      <c r="AM276">
        <v>100</v>
      </c>
      <c r="AN276">
        <v>4900</v>
      </c>
      <c r="AO276" t="s">
        <v>115</v>
      </c>
      <c r="AP276">
        <v>120</v>
      </c>
      <c r="AQ276">
        <v>52</v>
      </c>
      <c r="AR276">
        <v>832</v>
      </c>
      <c r="AZ276">
        <v>3614</v>
      </c>
      <c r="BA276">
        <v>1</v>
      </c>
      <c r="BB276" t="str">
        <f t="shared" si="14"/>
        <v xml:space="preserve">N959MJ  </v>
      </c>
      <c r="BC276">
        <v>1</v>
      </c>
      <c r="BE276">
        <v>0</v>
      </c>
      <c r="BF276">
        <v>0</v>
      </c>
      <c r="BG276">
        <v>0</v>
      </c>
      <c r="BH276">
        <v>5175</v>
      </c>
      <c r="BI276">
        <v>275</v>
      </c>
      <c r="BJ276">
        <v>1</v>
      </c>
      <c r="BK276">
        <v>1</v>
      </c>
      <c r="BL276">
        <v>1</v>
      </c>
      <c r="BM276">
        <v>0</v>
      </c>
      <c r="BP276">
        <v>0</v>
      </c>
      <c r="BQ276">
        <v>0</v>
      </c>
      <c r="BX276" t="str">
        <f>"13:54:58.109"</f>
        <v>13:54:58.109</v>
      </c>
      <c r="BY276" t="str">
        <f>"111656653"</f>
        <v>111656653</v>
      </c>
      <c r="CL276">
        <v>3</v>
      </c>
      <c r="CM276">
        <v>2</v>
      </c>
      <c r="CN276">
        <v>0</v>
      </c>
      <c r="CO276">
        <v>2</v>
      </c>
      <c r="CP276">
        <v>0</v>
      </c>
      <c r="CQ276">
        <v>7</v>
      </c>
      <c r="CR276" t="s">
        <v>116</v>
      </c>
      <c r="CS276">
        <v>147</v>
      </c>
      <c r="CT276">
        <v>3</v>
      </c>
      <c r="CU276" t="s">
        <v>117</v>
      </c>
      <c r="CV276" t="s">
        <v>118</v>
      </c>
      <c r="CY276">
        <v>16230123</v>
      </c>
      <c r="CZ276" t="s">
        <v>119</v>
      </c>
    </row>
    <row r="277" spans="1:104" x14ac:dyDescent="0.25">
      <c r="A277" t="str">
        <f>"13:54:59.250"</f>
        <v>13:54:59.250</v>
      </c>
      <c r="B277" t="s">
        <v>108</v>
      </c>
      <c r="C277" t="str">
        <f t="shared" si="13"/>
        <v>ffdfd3c0</v>
      </c>
      <c r="D277" t="s">
        <v>109</v>
      </c>
      <c r="E277">
        <v>4</v>
      </c>
      <c r="F277">
        <v>1004</v>
      </c>
      <c r="G277" t="s">
        <v>110</v>
      </c>
      <c r="J277" t="s">
        <v>111</v>
      </c>
      <c r="K277">
        <v>0</v>
      </c>
      <c r="L277">
        <v>3</v>
      </c>
      <c r="M277">
        <v>0</v>
      </c>
      <c r="N277">
        <v>2</v>
      </c>
      <c r="O277">
        <v>1</v>
      </c>
      <c r="P277">
        <v>0</v>
      </c>
      <c r="Q277">
        <v>0</v>
      </c>
      <c r="R277" t="s">
        <v>112</v>
      </c>
      <c r="S277" t="str">
        <f>"13:54:59.078"</f>
        <v>13:54:59.078</v>
      </c>
      <c r="T277" t="str">
        <f>"13:54:58.680"</f>
        <v>13:54:58.680</v>
      </c>
      <c r="U277" t="str">
        <f t="shared" si="12"/>
        <v>ad5732</v>
      </c>
      <c r="V277">
        <v>0</v>
      </c>
      <c r="W277">
        <v>0</v>
      </c>
      <c r="X277">
        <v>1</v>
      </c>
      <c r="Z277">
        <v>0</v>
      </c>
      <c r="AA277">
        <v>9</v>
      </c>
      <c r="AB277">
        <v>3</v>
      </c>
      <c r="AC277">
        <v>0</v>
      </c>
      <c r="AD277">
        <v>10</v>
      </c>
      <c r="AE277">
        <v>0</v>
      </c>
      <c r="AF277">
        <v>3</v>
      </c>
      <c r="AG277">
        <v>2</v>
      </c>
      <c r="AH277">
        <v>0</v>
      </c>
      <c r="AI277" t="s">
        <v>645</v>
      </c>
      <c r="AJ277">
        <v>39.186987999999999</v>
      </c>
      <c r="AK277" t="s">
        <v>646</v>
      </c>
      <c r="AL277">
        <v>-77.523478999999995</v>
      </c>
      <c r="AM277">
        <v>100</v>
      </c>
      <c r="AN277">
        <v>5000</v>
      </c>
      <c r="AO277" t="s">
        <v>115</v>
      </c>
      <c r="AP277">
        <v>120</v>
      </c>
      <c r="AQ277">
        <v>53</v>
      </c>
      <c r="AR277">
        <v>832</v>
      </c>
      <c r="AZ277">
        <v>3614</v>
      </c>
      <c r="BA277">
        <v>1</v>
      </c>
      <c r="BB277" t="str">
        <f t="shared" si="14"/>
        <v xml:space="preserve">N959MJ  </v>
      </c>
      <c r="BC277">
        <v>1</v>
      </c>
      <c r="BE277">
        <v>0</v>
      </c>
      <c r="BF277">
        <v>0</v>
      </c>
      <c r="BG277">
        <v>0</v>
      </c>
      <c r="BH277">
        <v>5175</v>
      </c>
      <c r="BI277">
        <v>175</v>
      </c>
      <c r="BJ277">
        <v>1</v>
      </c>
      <c r="BK277">
        <v>1</v>
      </c>
      <c r="BL277">
        <v>1</v>
      </c>
      <c r="BM277">
        <v>0</v>
      </c>
      <c r="BP277">
        <v>0</v>
      </c>
      <c r="BQ277">
        <v>0</v>
      </c>
      <c r="BX277" t="str">
        <f>"13:54:59.078"</f>
        <v>13:54:59.078</v>
      </c>
      <c r="BY277" t="str">
        <f>"079949090"</f>
        <v>079949090</v>
      </c>
      <c r="CL277">
        <v>3</v>
      </c>
      <c r="CM277">
        <v>2</v>
      </c>
      <c r="CN277">
        <v>0</v>
      </c>
      <c r="CO277">
        <v>2</v>
      </c>
      <c r="CP277">
        <v>0</v>
      </c>
      <c r="CQ277">
        <v>7</v>
      </c>
      <c r="CR277" t="s">
        <v>116</v>
      </c>
      <c r="CS277">
        <v>525</v>
      </c>
      <c r="CT277">
        <v>2</v>
      </c>
      <c r="CU277" t="s">
        <v>140</v>
      </c>
      <c r="CV277" t="s">
        <v>141</v>
      </c>
      <c r="CY277">
        <v>13990434</v>
      </c>
      <c r="CZ277" t="s">
        <v>119</v>
      </c>
    </row>
    <row r="278" spans="1:104" x14ac:dyDescent="0.25">
      <c r="A278" t="str">
        <f>"13:55:00.258"</f>
        <v>13:55:00.258</v>
      </c>
      <c r="B278" t="s">
        <v>108</v>
      </c>
      <c r="C278" t="str">
        <f t="shared" si="13"/>
        <v>ffdfd3c0</v>
      </c>
      <c r="D278" t="s">
        <v>109</v>
      </c>
      <c r="E278">
        <v>4</v>
      </c>
      <c r="F278">
        <v>1004</v>
      </c>
      <c r="G278" t="s">
        <v>110</v>
      </c>
      <c r="J278" t="s">
        <v>111</v>
      </c>
      <c r="K278">
        <v>0</v>
      </c>
      <c r="L278">
        <v>3</v>
      </c>
      <c r="M278">
        <v>0</v>
      </c>
      <c r="N278">
        <v>2</v>
      </c>
      <c r="O278">
        <v>1</v>
      </c>
      <c r="P278">
        <v>0</v>
      </c>
      <c r="Q278">
        <v>0</v>
      </c>
      <c r="R278" t="s">
        <v>112</v>
      </c>
      <c r="S278" t="str">
        <f>"13:55:00.063"</f>
        <v>13:55:00.063</v>
      </c>
      <c r="T278" t="str">
        <f>"13:54:59.664"</f>
        <v>13:54:59.664</v>
      </c>
      <c r="U278" t="str">
        <f t="shared" si="12"/>
        <v>ad5732</v>
      </c>
      <c r="V278">
        <v>0</v>
      </c>
      <c r="W278">
        <v>0</v>
      </c>
      <c r="X278">
        <v>1</v>
      </c>
      <c r="Z278">
        <v>0</v>
      </c>
      <c r="AA278">
        <v>9</v>
      </c>
      <c r="AB278">
        <v>3</v>
      </c>
      <c r="AC278">
        <v>0</v>
      </c>
      <c r="AD278">
        <v>10</v>
      </c>
      <c r="AE278">
        <v>0</v>
      </c>
      <c r="AF278">
        <v>3</v>
      </c>
      <c r="AG278">
        <v>2</v>
      </c>
      <c r="AH278">
        <v>0</v>
      </c>
      <c r="AI278" t="s">
        <v>647</v>
      </c>
      <c r="AJ278">
        <v>39.187201999999999</v>
      </c>
      <c r="AK278" t="s">
        <v>648</v>
      </c>
      <c r="AL278">
        <v>-77.522835999999998</v>
      </c>
      <c r="AM278">
        <v>100</v>
      </c>
      <c r="AN278">
        <v>5000</v>
      </c>
      <c r="AO278" t="s">
        <v>115</v>
      </c>
      <c r="AP278">
        <v>120</v>
      </c>
      <c r="AQ278">
        <v>53</v>
      </c>
      <c r="AR278">
        <v>832</v>
      </c>
      <c r="AZ278">
        <v>3614</v>
      </c>
      <c r="BA278">
        <v>1</v>
      </c>
      <c r="BB278" t="str">
        <f t="shared" si="14"/>
        <v xml:space="preserve">N959MJ  </v>
      </c>
      <c r="BC278">
        <v>1</v>
      </c>
      <c r="BE278">
        <v>0</v>
      </c>
      <c r="BF278">
        <v>0</v>
      </c>
      <c r="BG278">
        <v>0</v>
      </c>
      <c r="BH278">
        <v>5200</v>
      </c>
      <c r="BI278">
        <v>200</v>
      </c>
      <c r="BJ278">
        <v>1</v>
      </c>
      <c r="BK278">
        <v>1</v>
      </c>
      <c r="BL278">
        <v>1</v>
      </c>
      <c r="BM278">
        <v>0</v>
      </c>
      <c r="BP278">
        <v>0</v>
      </c>
      <c r="BQ278">
        <v>0</v>
      </c>
      <c r="BX278" t="str">
        <f>"13:55:00.063"</f>
        <v>13:55:00.063</v>
      </c>
      <c r="BY278" t="str">
        <f>"064642851"</f>
        <v>064642851</v>
      </c>
      <c r="CL278">
        <v>3</v>
      </c>
      <c r="CM278">
        <v>2</v>
      </c>
      <c r="CN278">
        <v>0</v>
      </c>
      <c r="CO278">
        <v>2</v>
      </c>
      <c r="CP278">
        <v>0</v>
      </c>
      <c r="CQ278">
        <v>7</v>
      </c>
      <c r="CR278" t="s">
        <v>116</v>
      </c>
      <c r="CS278">
        <v>525</v>
      </c>
      <c r="CT278">
        <v>2</v>
      </c>
      <c r="CU278" t="s">
        <v>140</v>
      </c>
      <c r="CV278" t="s">
        <v>141</v>
      </c>
      <c r="CY278">
        <v>13991851</v>
      </c>
      <c r="CZ278" t="s">
        <v>119</v>
      </c>
    </row>
    <row r="279" spans="1:104" x14ac:dyDescent="0.25">
      <c r="A279" t="str">
        <f>"13:55:01.320"</f>
        <v>13:55:01.320</v>
      </c>
      <c r="B279" t="s">
        <v>108</v>
      </c>
      <c r="C279" t="str">
        <f t="shared" si="13"/>
        <v>ffdfd3c0</v>
      </c>
      <c r="D279" t="s">
        <v>109</v>
      </c>
      <c r="E279">
        <v>4</v>
      </c>
      <c r="F279">
        <v>1004</v>
      </c>
      <c r="G279" t="s">
        <v>110</v>
      </c>
      <c r="J279" t="s">
        <v>111</v>
      </c>
      <c r="K279">
        <v>0</v>
      </c>
      <c r="L279">
        <v>3</v>
      </c>
      <c r="M279">
        <v>0</v>
      </c>
      <c r="N279">
        <v>2</v>
      </c>
      <c r="O279">
        <v>1</v>
      </c>
      <c r="P279">
        <v>0</v>
      </c>
      <c r="Q279">
        <v>0</v>
      </c>
      <c r="R279" t="s">
        <v>112</v>
      </c>
      <c r="S279" t="str">
        <f>"13:55:01.109"</f>
        <v>13:55:01.109</v>
      </c>
      <c r="T279" t="str">
        <f>"13:55:00.609"</f>
        <v>13:55:00.609</v>
      </c>
      <c r="U279" t="str">
        <f t="shared" si="12"/>
        <v>ad5732</v>
      </c>
      <c r="V279">
        <v>0</v>
      </c>
      <c r="W279">
        <v>0</v>
      </c>
      <c r="X279">
        <v>1</v>
      </c>
      <c r="Z279">
        <v>0</v>
      </c>
      <c r="AA279">
        <v>9</v>
      </c>
      <c r="AB279">
        <v>3</v>
      </c>
      <c r="AC279">
        <v>0</v>
      </c>
      <c r="AD279">
        <v>10</v>
      </c>
      <c r="AE279">
        <v>0</v>
      </c>
      <c r="AF279">
        <v>3</v>
      </c>
      <c r="AG279">
        <v>2</v>
      </c>
      <c r="AH279">
        <v>0</v>
      </c>
      <c r="AI279" t="s">
        <v>649</v>
      </c>
      <c r="AJ279">
        <v>39.187503</v>
      </c>
      <c r="AK279" t="s">
        <v>650</v>
      </c>
      <c r="AL279">
        <v>-77.522041999999999</v>
      </c>
      <c r="AM279">
        <v>100</v>
      </c>
      <c r="AN279">
        <v>5000</v>
      </c>
      <c r="AO279" t="s">
        <v>115</v>
      </c>
      <c r="AP279">
        <v>120</v>
      </c>
      <c r="AQ279">
        <v>54</v>
      </c>
      <c r="AR279">
        <v>896</v>
      </c>
      <c r="AZ279">
        <v>3614</v>
      </c>
      <c r="BA279">
        <v>1</v>
      </c>
      <c r="BB279" t="str">
        <f t="shared" si="14"/>
        <v xml:space="preserve">N959MJ  </v>
      </c>
      <c r="BC279">
        <v>1</v>
      </c>
      <c r="BE279">
        <v>0</v>
      </c>
      <c r="BF279">
        <v>0</v>
      </c>
      <c r="BG279">
        <v>0</v>
      </c>
      <c r="BH279">
        <v>5225</v>
      </c>
      <c r="BI279">
        <v>225</v>
      </c>
      <c r="BJ279">
        <v>1</v>
      </c>
      <c r="BK279">
        <v>1</v>
      </c>
      <c r="BL279">
        <v>1</v>
      </c>
      <c r="BM279">
        <v>0</v>
      </c>
      <c r="BP279">
        <v>0</v>
      </c>
      <c r="BQ279">
        <v>0</v>
      </c>
      <c r="BX279" t="str">
        <f>"13:55:01.117"</f>
        <v>13:55:01.117</v>
      </c>
      <c r="BY279" t="str">
        <f>"116707195"</f>
        <v>116707195</v>
      </c>
      <c r="CL279">
        <v>3</v>
      </c>
      <c r="CM279">
        <v>2</v>
      </c>
      <c r="CN279">
        <v>0</v>
      </c>
      <c r="CO279">
        <v>2</v>
      </c>
      <c r="CP279">
        <v>0</v>
      </c>
      <c r="CQ279">
        <v>5</v>
      </c>
      <c r="CR279" t="s">
        <v>116</v>
      </c>
      <c r="CS279">
        <v>373</v>
      </c>
      <c r="CT279">
        <v>3</v>
      </c>
      <c r="CU279" t="s">
        <v>224</v>
      </c>
      <c r="CV279" t="s">
        <v>225</v>
      </c>
      <c r="CY279">
        <v>1832919</v>
      </c>
      <c r="CZ279" t="s">
        <v>119</v>
      </c>
    </row>
    <row r="280" spans="1:104" x14ac:dyDescent="0.25">
      <c r="A280" t="str">
        <f>"13:55:02.336"</f>
        <v>13:55:02.336</v>
      </c>
      <c r="B280" t="s">
        <v>108</v>
      </c>
      <c r="C280" t="str">
        <f t="shared" si="13"/>
        <v>ffdfd3c0</v>
      </c>
      <c r="D280" t="s">
        <v>109</v>
      </c>
      <c r="E280">
        <v>4</v>
      </c>
      <c r="F280">
        <v>1004</v>
      </c>
      <c r="G280" t="s">
        <v>110</v>
      </c>
      <c r="J280" t="s">
        <v>111</v>
      </c>
      <c r="K280">
        <v>0</v>
      </c>
      <c r="L280">
        <v>3</v>
      </c>
      <c r="M280">
        <v>0</v>
      </c>
      <c r="N280">
        <v>2</v>
      </c>
      <c r="O280">
        <v>1</v>
      </c>
      <c r="P280">
        <v>0</v>
      </c>
      <c r="Q280">
        <v>0</v>
      </c>
      <c r="R280" t="s">
        <v>112</v>
      </c>
      <c r="S280" t="str">
        <f>"13:55:02.148"</f>
        <v>13:55:02.148</v>
      </c>
      <c r="T280" t="str">
        <f>"13:55:01.648"</f>
        <v>13:55:01.648</v>
      </c>
      <c r="U280" t="str">
        <f t="shared" si="12"/>
        <v>ad5732</v>
      </c>
      <c r="V280">
        <v>0</v>
      </c>
      <c r="W280">
        <v>0</v>
      </c>
      <c r="X280">
        <v>1</v>
      </c>
      <c r="Z280">
        <v>0</v>
      </c>
      <c r="AA280">
        <v>9</v>
      </c>
      <c r="AB280">
        <v>3</v>
      </c>
      <c r="AC280">
        <v>0</v>
      </c>
      <c r="AD280">
        <v>10</v>
      </c>
      <c r="AE280">
        <v>0</v>
      </c>
      <c r="AF280">
        <v>3</v>
      </c>
      <c r="AG280">
        <v>2</v>
      </c>
      <c r="AH280">
        <v>0</v>
      </c>
      <c r="AI280" t="s">
        <v>651</v>
      </c>
      <c r="AJ280">
        <v>39.187781999999999</v>
      </c>
      <c r="AK280" t="s">
        <v>652</v>
      </c>
      <c r="AL280">
        <v>-77.521311999999995</v>
      </c>
      <c r="AM280">
        <v>100</v>
      </c>
      <c r="AN280">
        <v>5000</v>
      </c>
      <c r="AO280" t="s">
        <v>115</v>
      </c>
      <c r="AP280">
        <v>120</v>
      </c>
      <c r="AQ280">
        <v>55</v>
      </c>
      <c r="AR280">
        <v>896</v>
      </c>
      <c r="AZ280">
        <v>3614</v>
      </c>
      <c r="BA280">
        <v>1</v>
      </c>
      <c r="BB280" t="str">
        <f t="shared" si="14"/>
        <v xml:space="preserve">N959MJ  </v>
      </c>
      <c r="BC280">
        <v>1</v>
      </c>
      <c r="BE280">
        <v>0</v>
      </c>
      <c r="BF280">
        <v>0</v>
      </c>
      <c r="BG280">
        <v>0</v>
      </c>
      <c r="BH280">
        <v>5225</v>
      </c>
      <c r="BI280">
        <v>225</v>
      </c>
      <c r="BJ280">
        <v>1</v>
      </c>
      <c r="BK280">
        <v>1</v>
      </c>
      <c r="BL280">
        <v>1</v>
      </c>
      <c r="BM280">
        <v>0</v>
      </c>
      <c r="BP280">
        <v>0</v>
      </c>
      <c r="BQ280">
        <v>0</v>
      </c>
      <c r="BX280" t="str">
        <f>"13:55:02.156"</f>
        <v>13:55:02.156</v>
      </c>
      <c r="BY280" t="str">
        <f>"153830797"</f>
        <v>153830797</v>
      </c>
      <c r="CL280">
        <v>3</v>
      </c>
      <c r="CM280">
        <v>2</v>
      </c>
      <c r="CN280">
        <v>0</v>
      </c>
      <c r="CO280">
        <v>2</v>
      </c>
      <c r="CP280">
        <v>0</v>
      </c>
      <c r="CQ280">
        <v>6</v>
      </c>
      <c r="CR280" t="s">
        <v>116</v>
      </c>
      <c r="CS280">
        <v>373</v>
      </c>
      <c r="CT280">
        <v>3</v>
      </c>
      <c r="CU280" t="s">
        <v>224</v>
      </c>
      <c r="CV280" t="s">
        <v>225</v>
      </c>
      <c r="CY280">
        <v>1834735</v>
      </c>
      <c r="CZ280" t="s">
        <v>119</v>
      </c>
    </row>
    <row r="281" spans="1:104" x14ac:dyDescent="0.25">
      <c r="A281" t="str">
        <f>"13:55:03.344"</f>
        <v>13:55:03.344</v>
      </c>
      <c r="B281" t="s">
        <v>108</v>
      </c>
      <c r="C281" t="str">
        <f t="shared" si="13"/>
        <v>ffdfd3c0</v>
      </c>
      <c r="D281" t="s">
        <v>109</v>
      </c>
      <c r="E281">
        <v>4</v>
      </c>
      <c r="F281">
        <v>1004</v>
      </c>
      <c r="G281" t="s">
        <v>110</v>
      </c>
      <c r="J281" t="s">
        <v>111</v>
      </c>
      <c r="K281">
        <v>0</v>
      </c>
      <c r="L281">
        <v>3</v>
      </c>
      <c r="M281">
        <v>0</v>
      </c>
      <c r="N281">
        <v>2</v>
      </c>
      <c r="O281">
        <v>1</v>
      </c>
      <c r="P281">
        <v>0</v>
      </c>
      <c r="Q281">
        <v>0</v>
      </c>
      <c r="R281" t="s">
        <v>112</v>
      </c>
      <c r="S281" t="str">
        <f>"13:55:03.141"</f>
        <v>13:55:03.141</v>
      </c>
      <c r="T281" t="str">
        <f>"13:55:02.641"</f>
        <v>13:55:02.641</v>
      </c>
      <c r="U281" t="str">
        <f t="shared" si="12"/>
        <v>ad5732</v>
      </c>
      <c r="V281">
        <v>0</v>
      </c>
      <c r="W281">
        <v>0</v>
      </c>
      <c r="X281">
        <v>1</v>
      </c>
      <c r="Z281">
        <v>0</v>
      </c>
      <c r="AA281">
        <v>9</v>
      </c>
      <c r="AB281">
        <v>3</v>
      </c>
      <c r="AC281">
        <v>0</v>
      </c>
      <c r="AD281">
        <v>10</v>
      </c>
      <c r="AE281">
        <v>0</v>
      </c>
      <c r="AF281">
        <v>3</v>
      </c>
      <c r="AG281">
        <v>2</v>
      </c>
      <c r="AH281">
        <v>0</v>
      </c>
      <c r="AI281" t="s">
        <v>653</v>
      </c>
      <c r="AJ281">
        <v>39.187995999999998</v>
      </c>
      <c r="AK281" t="s">
        <v>654</v>
      </c>
      <c r="AL281">
        <v>-77.520668999999998</v>
      </c>
      <c r="AM281">
        <v>100</v>
      </c>
      <c r="AN281">
        <v>5000</v>
      </c>
      <c r="AO281" t="s">
        <v>115</v>
      </c>
      <c r="AP281">
        <v>119</v>
      </c>
      <c r="AQ281">
        <v>56</v>
      </c>
      <c r="AR281">
        <v>896</v>
      </c>
      <c r="AZ281">
        <v>3614</v>
      </c>
      <c r="BA281">
        <v>1</v>
      </c>
      <c r="BB281" t="str">
        <f t="shared" si="14"/>
        <v xml:space="preserve">N959MJ  </v>
      </c>
      <c r="BC281">
        <v>1</v>
      </c>
      <c r="BE281">
        <v>0</v>
      </c>
      <c r="BF281">
        <v>0</v>
      </c>
      <c r="BG281">
        <v>0</v>
      </c>
      <c r="BH281">
        <v>5250</v>
      </c>
      <c r="BI281">
        <v>250</v>
      </c>
      <c r="BJ281">
        <v>1</v>
      </c>
      <c r="BK281">
        <v>1</v>
      </c>
      <c r="BL281">
        <v>1</v>
      </c>
      <c r="BM281">
        <v>0</v>
      </c>
      <c r="BP281">
        <v>0</v>
      </c>
      <c r="BQ281">
        <v>0</v>
      </c>
      <c r="BX281" t="str">
        <f>"13:55:03.148"</f>
        <v>13:55:03.148</v>
      </c>
      <c r="BY281" t="str">
        <f>"146521346"</f>
        <v>146521346</v>
      </c>
      <c r="CL281">
        <v>3</v>
      </c>
      <c r="CM281">
        <v>2</v>
      </c>
      <c r="CN281">
        <v>0</v>
      </c>
      <c r="CO281">
        <v>2</v>
      </c>
      <c r="CP281">
        <v>0</v>
      </c>
      <c r="CQ281">
        <v>7</v>
      </c>
      <c r="CR281" t="s">
        <v>116</v>
      </c>
      <c r="CS281">
        <v>525</v>
      </c>
      <c r="CT281">
        <v>2</v>
      </c>
      <c r="CU281" t="s">
        <v>140</v>
      </c>
      <c r="CV281" t="s">
        <v>141</v>
      </c>
      <c r="CY281">
        <v>13996510</v>
      </c>
      <c r="CZ281" t="s">
        <v>119</v>
      </c>
    </row>
    <row r="282" spans="1:104" x14ac:dyDescent="0.25">
      <c r="A282" t="str">
        <f>"13:55:04.250"</f>
        <v>13:55:04.250</v>
      </c>
      <c r="B282" t="s">
        <v>108</v>
      </c>
      <c r="C282" t="str">
        <f t="shared" si="13"/>
        <v>ffdfd3c0</v>
      </c>
      <c r="D282" t="s">
        <v>109</v>
      </c>
      <c r="E282">
        <v>4</v>
      </c>
      <c r="F282">
        <v>1004</v>
      </c>
      <c r="G282" t="s">
        <v>110</v>
      </c>
      <c r="J282" t="s">
        <v>111</v>
      </c>
      <c r="K282">
        <v>0</v>
      </c>
      <c r="L282">
        <v>3</v>
      </c>
      <c r="M282">
        <v>0</v>
      </c>
      <c r="N282">
        <v>2</v>
      </c>
      <c r="O282">
        <v>1</v>
      </c>
      <c r="P282">
        <v>0</v>
      </c>
      <c r="Q282">
        <v>0</v>
      </c>
      <c r="R282" t="s">
        <v>112</v>
      </c>
      <c r="S282" t="str">
        <f>"13:55:04.102"</f>
        <v>13:55:04.102</v>
      </c>
      <c r="T282" t="str">
        <f>"13:55:03.703"</f>
        <v>13:55:03.703</v>
      </c>
      <c r="U282" t="str">
        <f t="shared" si="12"/>
        <v>ad5732</v>
      </c>
      <c r="V282">
        <v>0</v>
      </c>
      <c r="W282">
        <v>0</v>
      </c>
      <c r="X282">
        <v>1</v>
      </c>
      <c r="Z282">
        <v>0</v>
      </c>
      <c r="AA282">
        <v>9</v>
      </c>
      <c r="AB282">
        <v>3</v>
      </c>
      <c r="AC282">
        <v>0</v>
      </c>
      <c r="AD282">
        <v>10</v>
      </c>
      <c r="AE282">
        <v>0</v>
      </c>
      <c r="AF282">
        <v>3</v>
      </c>
      <c r="AG282">
        <v>2</v>
      </c>
      <c r="AH282">
        <v>0</v>
      </c>
      <c r="AI282" t="s">
        <v>655</v>
      </c>
      <c r="AJ282">
        <v>39.188274999999997</v>
      </c>
      <c r="AK282" t="s">
        <v>656</v>
      </c>
      <c r="AL282">
        <v>-77.519938999999994</v>
      </c>
      <c r="AM282">
        <v>100</v>
      </c>
      <c r="AN282">
        <v>5000</v>
      </c>
      <c r="AO282" t="s">
        <v>115</v>
      </c>
      <c r="AP282">
        <v>118</v>
      </c>
      <c r="AQ282">
        <v>57</v>
      </c>
      <c r="AR282">
        <v>960</v>
      </c>
      <c r="AZ282">
        <v>3614</v>
      </c>
      <c r="BA282">
        <v>1</v>
      </c>
      <c r="BB282" t="str">
        <f t="shared" si="14"/>
        <v xml:space="preserve">N959MJ  </v>
      </c>
      <c r="BC282">
        <v>1</v>
      </c>
      <c r="BE282">
        <v>0</v>
      </c>
      <c r="BF282">
        <v>0</v>
      </c>
      <c r="BG282">
        <v>0</v>
      </c>
      <c r="BH282">
        <v>5250</v>
      </c>
      <c r="BI282">
        <v>250</v>
      </c>
      <c r="BJ282">
        <v>1</v>
      </c>
      <c r="BK282">
        <v>1</v>
      </c>
      <c r="BL282">
        <v>1</v>
      </c>
      <c r="BM282">
        <v>0</v>
      </c>
      <c r="BP282">
        <v>0</v>
      </c>
      <c r="BQ282">
        <v>0</v>
      </c>
      <c r="BX282" t="str">
        <f>"13:55:04.102"</f>
        <v>13:55:04.102</v>
      </c>
      <c r="BY282" t="str">
        <f>"101723469"</f>
        <v>101723469</v>
      </c>
      <c r="CL282">
        <v>3</v>
      </c>
      <c r="CM282">
        <v>2</v>
      </c>
      <c r="CN282">
        <v>0</v>
      </c>
      <c r="CO282">
        <v>2</v>
      </c>
      <c r="CP282">
        <v>0</v>
      </c>
      <c r="CQ282">
        <v>6</v>
      </c>
      <c r="CR282" t="s">
        <v>116</v>
      </c>
      <c r="CS282">
        <v>525</v>
      </c>
      <c r="CT282">
        <v>3</v>
      </c>
      <c r="CU282" t="s">
        <v>140</v>
      </c>
      <c r="CV282" t="s">
        <v>141</v>
      </c>
      <c r="CY282">
        <v>381938</v>
      </c>
      <c r="CZ282" t="s">
        <v>119</v>
      </c>
    </row>
    <row r="283" spans="1:104" x14ac:dyDescent="0.25">
      <c r="A283" t="str">
        <f>"13:55:05.414"</f>
        <v>13:55:05.414</v>
      </c>
      <c r="B283" t="s">
        <v>108</v>
      </c>
      <c r="C283" t="str">
        <f t="shared" si="13"/>
        <v>ffdfd3c0</v>
      </c>
      <c r="D283" t="s">
        <v>109</v>
      </c>
      <c r="E283">
        <v>4</v>
      </c>
      <c r="F283">
        <v>1004</v>
      </c>
      <c r="G283" t="s">
        <v>110</v>
      </c>
      <c r="J283" t="s">
        <v>111</v>
      </c>
      <c r="K283">
        <v>0</v>
      </c>
      <c r="L283">
        <v>3</v>
      </c>
      <c r="M283">
        <v>0</v>
      </c>
      <c r="N283">
        <v>2</v>
      </c>
      <c r="O283">
        <v>1</v>
      </c>
      <c r="P283">
        <v>0</v>
      </c>
      <c r="Q283">
        <v>0</v>
      </c>
      <c r="R283" t="s">
        <v>112</v>
      </c>
      <c r="S283" t="str">
        <f>"13:55:05.219"</f>
        <v>13:55:05.219</v>
      </c>
      <c r="T283" t="str">
        <f>"13:55:04.719"</f>
        <v>13:55:04.719</v>
      </c>
      <c r="U283" t="str">
        <f t="shared" si="12"/>
        <v>ad5732</v>
      </c>
      <c r="V283">
        <v>0</v>
      </c>
      <c r="W283">
        <v>0</v>
      </c>
      <c r="X283">
        <v>1</v>
      </c>
      <c r="Z283">
        <v>0</v>
      </c>
      <c r="AA283">
        <v>9</v>
      </c>
      <c r="AB283">
        <v>3</v>
      </c>
      <c r="AC283">
        <v>0</v>
      </c>
      <c r="AD283">
        <v>10</v>
      </c>
      <c r="AE283">
        <v>0</v>
      </c>
      <c r="AF283">
        <v>3</v>
      </c>
      <c r="AG283">
        <v>2</v>
      </c>
      <c r="AH283">
        <v>0</v>
      </c>
      <c r="AI283" t="s">
        <v>657</v>
      </c>
      <c r="AJ283">
        <v>39.188597000000001</v>
      </c>
      <c r="AK283" t="s">
        <v>658</v>
      </c>
      <c r="AL283">
        <v>-77.519165999999998</v>
      </c>
      <c r="AM283">
        <v>100</v>
      </c>
      <c r="AN283">
        <v>5000</v>
      </c>
      <c r="AO283" t="s">
        <v>115</v>
      </c>
      <c r="AP283">
        <v>118</v>
      </c>
      <c r="AQ283">
        <v>59</v>
      </c>
      <c r="AR283">
        <v>960</v>
      </c>
      <c r="AZ283">
        <v>3614</v>
      </c>
      <c r="BA283">
        <v>1</v>
      </c>
      <c r="BB283" t="str">
        <f t="shared" si="14"/>
        <v xml:space="preserve">N959MJ  </v>
      </c>
      <c r="BC283">
        <v>1</v>
      </c>
      <c r="BE283">
        <v>0</v>
      </c>
      <c r="BF283">
        <v>0</v>
      </c>
      <c r="BG283">
        <v>0</v>
      </c>
      <c r="BH283">
        <v>5275</v>
      </c>
      <c r="BI283">
        <v>275</v>
      </c>
      <c r="BJ283">
        <v>1</v>
      </c>
      <c r="BK283">
        <v>1</v>
      </c>
      <c r="BL283">
        <v>1</v>
      </c>
      <c r="BM283">
        <v>0</v>
      </c>
      <c r="BP283">
        <v>0</v>
      </c>
      <c r="BQ283">
        <v>0</v>
      </c>
      <c r="BX283" t="str">
        <f>"13:55:05.227"</f>
        <v>13:55:05.227</v>
      </c>
      <c r="BY283" t="str">
        <f>"224044976"</f>
        <v>224044976</v>
      </c>
      <c r="CL283">
        <v>3</v>
      </c>
      <c r="CM283">
        <v>2</v>
      </c>
      <c r="CN283">
        <v>0</v>
      </c>
      <c r="CO283">
        <v>2</v>
      </c>
      <c r="CP283">
        <v>0</v>
      </c>
      <c r="CQ283">
        <v>7</v>
      </c>
      <c r="CR283" t="s">
        <v>116</v>
      </c>
      <c r="CS283">
        <v>525</v>
      </c>
      <c r="CT283">
        <v>2</v>
      </c>
      <c r="CU283" t="s">
        <v>140</v>
      </c>
      <c r="CV283" t="s">
        <v>141</v>
      </c>
      <c r="CY283">
        <v>13999450</v>
      </c>
      <c r="CZ283" t="s">
        <v>119</v>
      </c>
    </row>
    <row r="284" spans="1:104" x14ac:dyDescent="0.25">
      <c r="A284" t="str">
        <f>"13:55:06.375"</f>
        <v>13:55:06.375</v>
      </c>
      <c r="B284" t="s">
        <v>108</v>
      </c>
      <c r="C284" t="str">
        <f t="shared" si="13"/>
        <v>ffdfd3c0</v>
      </c>
      <c r="D284" t="s">
        <v>109</v>
      </c>
      <c r="E284">
        <v>4</v>
      </c>
      <c r="F284">
        <v>1004</v>
      </c>
      <c r="G284" t="s">
        <v>110</v>
      </c>
      <c r="J284" t="s">
        <v>111</v>
      </c>
      <c r="K284">
        <v>0</v>
      </c>
      <c r="L284">
        <v>3</v>
      </c>
      <c r="M284">
        <v>0</v>
      </c>
      <c r="N284">
        <v>2</v>
      </c>
      <c r="O284">
        <v>1</v>
      </c>
      <c r="P284">
        <v>0</v>
      </c>
      <c r="Q284">
        <v>0</v>
      </c>
      <c r="R284" t="s">
        <v>112</v>
      </c>
      <c r="S284" t="str">
        <f>"13:55:06.188"</f>
        <v>13:55:06.188</v>
      </c>
      <c r="T284" t="str">
        <f>"13:55:05.688"</f>
        <v>13:55:05.688</v>
      </c>
      <c r="U284" t="str">
        <f t="shared" si="12"/>
        <v>ad5732</v>
      </c>
      <c r="V284">
        <v>0</v>
      </c>
      <c r="W284">
        <v>0</v>
      </c>
      <c r="X284">
        <v>1</v>
      </c>
      <c r="Z284">
        <v>0</v>
      </c>
      <c r="AA284">
        <v>9</v>
      </c>
      <c r="AB284">
        <v>3</v>
      </c>
      <c r="AC284">
        <v>0</v>
      </c>
      <c r="AD284">
        <v>10</v>
      </c>
      <c r="AE284">
        <v>0</v>
      </c>
      <c r="AF284">
        <v>3</v>
      </c>
      <c r="AG284">
        <v>2</v>
      </c>
      <c r="AH284">
        <v>0</v>
      </c>
      <c r="AI284" t="s">
        <v>659</v>
      </c>
      <c r="AJ284">
        <v>39.188876</v>
      </c>
      <c r="AK284" t="s">
        <v>660</v>
      </c>
      <c r="AL284">
        <v>-77.518437000000006</v>
      </c>
      <c r="AM284">
        <v>100</v>
      </c>
      <c r="AN284">
        <v>5000</v>
      </c>
      <c r="AO284" t="s">
        <v>115</v>
      </c>
      <c r="AP284">
        <v>117</v>
      </c>
      <c r="AQ284">
        <v>60</v>
      </c>
      <c r="AR284">
        <v>1024</v>
      </c>
      <c r="AZ284">
        <v>3614</v>
      </c>
      <c r="BA284">
        <v>1</v>
      </c>
      <c r="BB284" t="str">
        <f t="shared" si="14"/>
        <v xml:space="preserve">N959MJ  </v>
      </c>
      <c r="BC284">
        <v>1</v>
      </c>
      <c r="BE284">
        <v>0</v>
      </c>
      <c r="BF284">
        <v>0</v>
      </c>
      <c r="BG284">
        <v>0</v>
      </c>
      <c r="BH284">
        <v>5300</v>
      </c>
      <c r="BI284">
        <v>300</v>
      </c>
      <c r="BJ284">
        <v>1</v>
      </c>
      <c r="BK284">
        <v>1</v>
      </c>
      <c r="BL284">
        <v>1</v>
      </c>
      <c r="BM284">
        <v>0</v>
      </c>
      <c r="BP284">
        <v>0</v>
      </c>
      <c r="BQ284">
        <v>0</v>
      </c>
      <c r="BX284" t="str">
        <f>"13:55:06.188"</f>
        <v>13:55:06.188</v>
      </c>
      <c r="BY284" t="str">
        <f>"190716168"</f>
        <v>190716168</v>
      </c>
      <c r="CL284">
        <v>3</v>
      </c>
      <c r="CM284">
        <v>2</v>
      </c>
      <c r="CN284">
        <v>0</v>
      </c>
      <c r="CO284">
        <v>2</v>
      </c>
      <c r="CP284">
        <v>0</v>
      </c>
      <c r="CQ284">
        <v>7</v>
      </c>
      <c r="CR284" t="s">
        <v>116</v>
      </c>
      <c r="CS284">
        <v>525</v>
      </c>
      <c r="CT284">
        <v>3</v>
      </c>
      <c r="CU284" t="s">
        <v>140</v>
      </c>
      <c r="CV284" t="s">
        <v>141</v>
      </c>
      <c r="CY284">
        <v>384627</v>
      </c>
      <c r="CZ284" t="s">
        <v>119</v>
      </c>
    </row>
    <row r="285" spans="1:104" x14ac:dyDescent="0.25">
      <c r="A285" t="str">
        <f>"13:55:07.383"</f>
        <v>13:55:07.383</v>
      </c>
      <c r="B285" t="s">
        <v>108</v>
      </c>
      <c r="C285" t="str">
        <f t="shared" si="13"/>
        <v>ffdfd3c0</v>
      </c>
      <c r="D285" t="s">
        <v>109</v>
      </c>
      <c r="E285">
        <v>4</v>
      </c>
      <c r="F285">
        <v>1004</v>
      </c>
      <c r="G285" t="s">
        <v>110</v>
      </c>
      <c r="J285" t="s">
        <v>111</v>
      </c>
      <c r="K285">
        <v>0</v>
      </c>
      <c r="L285">
        <v>3</v>
      </c>
      <c r="M285">
        <v>0</v>
      </c>
      <c r="N285">
        <v>2</v>
      </c>
      <c r="O285">
        <v>1</v>
      </c>
      <c r="P285">
        <v>0</v>
      </c>
      <c r="Q285">
        <v>0</v>
      </c>
      <c r="R285" t="s">
        <v>112</v>
      </c>
      <c r="S285" t="str">
        <f>"13:55:07.227"</f>
        <v>13:55:07.227</v>
      </c>
      <c r="T285" t="str">
        <f>"13:55:06.727"</f>
        <v>13:55:06.727</v>
      </c>
      <c r="U285" t="str">
        <f t="shared" si="12"/>
        <v>ad5732</v>
      </c>
      <c r="V285">
        <v>0</v>
      </c>
      <c r="W285">
        <v>0</v>
      </c>
      <c r="X285">
        <v>1</v>
      </c>
      <c r="Z285">
        <v>0</v>
      </c>
      <c r="AA285">
        <v>9</v>
      </c>
      <c r="AB285">
        <v>3</v>
      </c>
      <c r="AC285">
        <v>0</v>
      </c>
      <c r="AD285">
        <v>10</v>
      </c>
      <c r="AE285">
        <v>0</v>
      </c>
      <c r="AF285">
        <v>3</v>
      </c>
      <c r="AG285">
        <v>2</v>
      </c>
      <c r="AH285">
        <v>0</v>
      </c>
      <c r="AI285" t="s">
        <v>661</v>
      </c>
      <c r="AJ285">
        <v>39.189155</v>
      </c>
      <c r="AK285" t="s">
        <v>662</v>
      </c>
      <c r="AL285">
        <v>-77.517771999999994</v>
      </c>
      <c r="AM285">
        <v>100</v>
      </c>
      <c r="AN285">
        <v>5100</v>
      </c>
      <c r="AO285" t="s">
        <v>115</v>
      </c>
      <c r="AP285">
        <v>117</v>
      </c>
      <c r="AQ285">
        <v>60</v>
      </c>
      <c r="AR285">
        <v>1024</v>
      </c>
      <c r="AZ285">
        <v>3614</v>
      </c>
      <c r="BA285">
        <v>1</v>
      </c>
      <c r="BB285" t="str">
        <f t="shared" si="14"/>
        <v xml:space="preserve">N959MJ  </v>
      </c>
      <c r="BC285">
        <v>1</v>
      </c>
      <c r="BE285">
        <v>0</v>
      </c>
      <c r="BF285">
        <v>0</v>
      </c>
      <c r="BG285">
        <v>0</v>
      </c>
      <c r="BH285">
        <v>5300</v>
      </c>
      <c r="BI285">
        <v>200</v>
      </c>
      <c r="BJ285">
        <v>1</v>
      </c>
      <c r="BK285">
        <v>1</v>
      </c>
      <c r="BL285">
        <v>1</v>
      </c>
      <c r="BM285">
        <v>0</v>
      </c>
      <c r="BP285">
        <v>0</v>
      </c>
      <c r="BQ285">
        <v>0</v>
      </c>
      <c r="BX285" t="str">
        <f>"13:55:07.227"</f>
        <v>13:55:07.227</v>
      </c>
      <c r="BY285" t="str">
        <f>"227839437"</f>
        <v>227839437</v>
      </c>
      <c r="CL285">
        <v>3</v>
      </c>
      <c r="CM285">
        <v>2</v>
      </c>
      <c r="CN285">
        <v>0</v>
      </c>
      <c r="CO285">
        <v>2</v>
      </c>
      <c r="CP285">
        <v>0</v>
      </c>
      <c r="CQ285">
        <v>7</v>
      </c>
      <c r="CR285" t="s">
        <v>116</v>
      </c>
      <c r="CS285">
        <v>525</v>
      </c>
      <c r="CT285">
        <v>2</v>
      </c>
      <c r="CU285" t="s">
        <v>140</v>
      </c>
      <c r="CV285" t="s">
        <v>141</v>
      </c>
      <c r="CY285">
        <v>14002514</v>
      </c>
      <c r="CZ285" t="s">
        <v>119</v>
      </c>
    </row>
    <row r="286" spans="1:104" x14ac:dyDescent="0.25">
      <c r="A286" t="str">
        <f>"13:55:08.445"</f>
        <v>13:55:08.445</v>
      </c>
      <c r="B286" t="s">
        <v>108</v>
      </c>
      <c r="C286" t="str">
        <f t="shared" si="13"/>
        <v>ffdfd3c0</v>
      </c>
      <c r="D286" t="s">
        <v>109</v>
      </c>
      <c r="E286">
        <v>4</v>
      </c>
      <c r="F286">
        <v>1004</v>
      </c>
      <c r="G286" t="s">
        <v>110</v>
      </c>
      <c r="J286" t="s">
        <v>111</v>
      </c>
      <c r="K286">
        <v>0</v>
      </c>
      <c r="L286">
        <v>3</v>
      </c>
      <c r="M286">
        <v>0</v>
      </c>
      <c r="N286">
        <v>2</v>
      </c>
      <c r="O286">
        <v>1</v>
      </c>
      <c r="P286">
        <v>0</v>
      </c>
      <c r="Q286">
        <v>0</v>
      </c>
      <c r="R286" t="s">
        <v>112</v>
      </c>
      <c r="S286" t="str">
        <f>"13:55:08.258"</f>
        <v>13:55:08.258</v>
      </c>
      <c r="T286" t="str">
        <f>"13:55:07.859"</f>
        <v>13:55:07.859</v>
      </c>
      <c r="U286" t="str">
        <f t="shared" si="12"/>
        <v>ad5732</v>
      </c>
      <c r="V286">
        <v>0</v>
      </c>
      <c r="W286">
        <v>0</v>
      </c>
      <c r="X286">
        <v>1</v>
      </c>
      <c r="Z286">
        <v>0</v>
      </c>
      <c r="AA286">
        <v>9</v>
      </c>
      <c r="AB286">
        <v>3</v>
      </c>
      <c r="AC286">
        <v>0</v>
      </c>
      <c r="AD286">
        <v>10</v>
      </c>
      <c r="AE286">
        <v>0</v>
      </c>
      <c r="AF286">
        <v>3</v>
      </c>
      <c r="AG286">
        <v>2</v>
      </c>
      <c r="AH286">
        <v>0</v>
      </c>
      <c r="AI286" t="s">
        <v>663</v>
      </c>
      <c r="AJ286">
        <v>39.189433999999999</v>
      </c>
      <c r="AK286" t="s">
        <v>664</v>
      </c>
      <c r="AL286">
        <v>-77.517084999999994</v>
      </c>
      <c r="AM286">
        <v>100</v>
      </c>
      <c r="AN286">
        <v>5100</v>
      </c>
      <c r="AO286" t="s">
        <v>115</v>
      </c>
      <c r="AP286">
        <v>117</v>
      </c>
      <c r="AQ286">
        <v>60</v>
      </c>
      <c r="AR286">
        <v>1088</v>
      </c>
      <c r="AZ286">
        <v>3614</v>
      </c>
      <c r="BA286">
        <v>1</v>
      </c>
      <c r="BB286" t="str">
        <f t="shared" si="14"/>
        <v xml:space="preserve">N959MJ  </v>
      </c>
      <c r="BC286">
        <v>1</v>
      </c>
      <c r="BE286">
        <v>0</v>
      </c>
      <c r="BF286">
        <v>0</v>
      </c>
      <c r="BG286">
        <v>0</v>
      </c>
      <c r="BH286">
        <v>5325</v>
      </c>
      <c r="BI286">
        <v>225</v>
      </c>
      <c r="BJ286">
        <v>1</v>
      </c>
      <c r="BK286">
        <v>1</v>
      </c>
      <c r="BL286">
        <v>1</v>
      </c>
      <c r="BM286">
        <v>0</v>
      </c>
      <c r="BP286">
        <v>0</v>
      </c>
      <c r="BQ286">
        <v>0</v>
      </c>
      <c r="BX286" t="str">
        <f>"13:55:08.258"</f>
        <v>13:55:08.258</v>
      </c>
      <c r="BY286" t="str">
        <f>"260047548"</f>
        <v>260047548</v>
      </c>
      <c r="CL286">
        <v>3</v>
      </c>
      <c r="CM286">
        <v>2</v>
      </c>
      <c r="CN286">
        <v>0</v>
      </c>
      <c r="CO286">
        <v>2</v>
      </c>
      <c r="CP286">
        <v>0</v>
      </c>
      <c r="CQ286">
        <v>7</v>
      </c>
      <c r="CR286" t="s">
        <v>116</v>
      </c>
      <c r="CS286">
        <v>525</v>
      </c>
      <c r="CT286">
        <v>2</v>
      </c>
      <c r="CU286" t="s">
        <v>140</v>
      </c>
      <c r="CV286" t="s">
        <v>141</v>
      </c>
      <c r="CY286">
        <v>14003937</v>
      </c>
      <c r="CZ286" t="s">
        <v>119</v>
      </c>
    </row>
    <row r="287" spans="1:104" x14ac:dyDescent="0.25">
      <c r="A287" t="str">
        <f>"13:55:09.453"</f>
        <v>13:55:09.453</v>
      </c>
      <c r="B287" t="s">
        <v>108</v>
      </c>
      <c r="C287" t="str">
        <f t="shared" si="13"/>
        <v>ffdfd3c0</v>
      </c>
      <c r="D287" t="s">
        <v>109</v>
      </c>
      <c r="E287">
        <v>4</v>
      </c>
      <c r="F287">
        <v>1004</v>
      </c>
      <c r="G287" t="s">
        <v>110</v>
      </c>
      <c r="J287" t="s">
        <v>111</v>
      </c>
      <c r="K287">
        <v>0</v>
      </c>
      <c r="L287">
        <v>3</v>
      </c>
      <c r="M287">
        <v>0</v>
      </c>
      <c r="N287">
        <v>2</v>
      </c>
      <c r="O287">
        <v>1</v>
      </c>
      <c r="P287">
        <v>0</v>
      </c>
      <c r="Q287">
        <v>0</v>
      </c>
      <c r="R287" t="s">
        <v>112</v>
      </c>
      <c r="S287" t="str">
        <f>"13:55:09.266"</f>
        <v>13:55:09.266</v>
      </c>
      <c r="T287" t="str">
        <f>"13:55:08.867"</f>
        <v>13:55:08.867</v>
      </c>
      <c r="U287" t="str">
        <f t="shared" si="12"/>
        <v>ad5732</v>
      </c>
      <c r="V287">
        <v>0</v>
      </c>
      <c r="W287">
        <v>0</v>
      </c>
      <c r="X287">
        <v>1</v>
      </c>
      <c r="Z287">
        <v>0</v>
      </c>
      <c r="AA287">
        <v>9</v>
      </c>
      <c r="AB287">
        <v>3</v>
      </c>
      <c r="AC287">
        <v>0</v>
      </c>
      <c r="AD287">
        <v>10</v>
      </c>
      <c r="AE287">
        <v>0</v>
      </c>
      <c r="AF287">
        <v>3</v>
      </c>
      <c r="AG287">
        <v>2</v>
      </c>
      <c r="AH287">
        <v>0</v>
      </c>
      <c r="AI287" t="s">
        <v>665</v>
      </c>
      <c r="AJ287">
        <v>39.189734000000001</v>
      </c>
      <c r="AK287" t="s">
        <v>666</v>
      </c>
      <c r="AL287">
        <v>-77.516312999999997</v>
      </c>
      <c r="AM287">
        <v>100</v>
      </c>
      <c r="AN287">
        <v>5100</v>
      </c>
      <c r="AO287" t="s">
        <v>115</v>
      </c>
      <c r="AP287">
        <v>117</v>
      </c>
      <c r="AQ287">
        <v>59</v>
      </c>
      <c r="AR287">
        <v>1088</v>
      </c>
      <c r="AZ287">
        <v>3614</v>
      </c>
      <c r="BA287">
        <v>1</v>
      </c>
      <c r="BB287" t="str">
        <f t="shared" si="14"/>
        <v xml:space="preserve">N959MJ  </v>
      </c>
      <c r="BC287">
        <v>1</v>
      </c>
      <c r="BE287">
        <v>0</v>
      </c>
      <c r="BF287">
        <v>0</v>
      </c>
      <c r="BG287">
        <v>0</v>
      </c>
      <c r="BH287">
        <v>5350</v>
      </c>
      <c r="BI287">
        <v>250</v>
      </c>
      <c r="BJ287">
        <v>1</v>
      </c>
      <c r="BK287">
        <v>1</v>
      </c>
      <c r="BL287">
        <v>1</v>
      </c>
      <c r="BM287">
        <v>0</v>
      </c>
      <c r="BP287">
        <v>0</v>
      </c>
      <c r="BQ287">
        <v>0</v>
      </c>
      <c r="BX287" t="str">
        <f>"13:55:09.273"</f>
        <v>13:55:09.273</v>
      </c>
      <c r="BY287" t="str">
        <f>"270956180"</f>
        <v>270956180</v>
      </c>
      <c r="CL287">
        <v>3</v>
      </c>
      <c r="CM287">
        <v>2</v>
      </c>
      <c r="CN287">
        <v>0</v>
      </c>
      <c r="CO287">
        <v>2</v>
      </c>
      <c r="CP287">
        <v>0</v>
      </c>
      <c r="CQ287">
        <v>7</v>
      </c>
      <c r="CR287" t="s">
        <v>116</v>
      </c>
      <c r="CS287">
        <v>525</v>
      </c>
      <c r="CT287">
        <v>2</v>
      </c>
      <c r="CU287" t="s">
        <v>140</v>
      </c>
      <c r="CV287" t="s">
        <v>141</v>
      </c>
      <c r="CY287">
        <v>14005401</v>
      </c>
      <c r="CZ287" t="s">
        <v>119</v>
      </c>
    </row>
    <row r="288" spans="1:104" x14ac:dyDescent="0.25">
      <c r="A288" t="str">
        <f>"13:55:10.414"</f>
        <v>13:55:10.414</v>
      </c>
      <c r="B288" t="s">
        <v>108</v>
      </c>
      <c r="C288" t="str">
        <f t="shared" si="13"/>
        <v>ffdfd3c0</v>
      </c>
      <c r="D288" t="s">
        <v>109</v>
      </c>
      <c r="E288">
        <v>4</v>
      </c>
      <c r="F288">
        <v>1004</v>
      </c>
      <c r="G288" t="s">
        <v>110</v>
      </c>
      <c r="J288" t="s">
        <v>111</v>
      </c>
      <c r="K288">
        <v>0</v>
      </c>
      <c r="L288">
        <v>3</v>
      </c>
      <c r="M288">
        <v>0</v>
      </c>
      <c r="N288">
        <v>2</v>
      </c>
      <c r="O288">
        <v>1</v>
      </c>
      <c r="P288">
        <v>0</v>
      </c>
      <c r="Q288">
        <v>0</v>
      </c>
      <c r="R288" t="s">
        <v>112</v>
      </c>
      <c r="S288" t="str">
        <f>"13:55:10.242"</f>
        <v>13:55:10.242</v>
      </c>
      <c r="T288" t="str">
        <f>"13:55:09.742"</f>
        <v>13:55:09.742</v>
      </c>
      <c r="U288" t="str">
        <f t="shared" si="12"/>
        <v>ad5732</v>
      </c>
      <c r="V288">
        <v>0</v>
      </c>
      <c r="W288">
        <v>0</v>
      </c>
      <c r="X288">
        <v>1</v>
      </c>
      <c r="Z288">
        <v>0</v>
      </c>
      <c r="AA288">
        <v>9</v>
      </c>
      <c r="AB288">
        <v>3</v>
      </c>
      <c r="AC288">
        <v>0</v>
      </c>
      <c r="AD288">
        <v>10</v>
      </c>
      <c r="AE288">
        <v>0</v>
      </c>
      <c r="AF288">
        <v>3</v>
      </c>
      <c r="AG288">
        <v>2</v>
      </c>
      <c r="AH288">
        <v>0</v>
      </c>
      <c r="AI288" t="s">
        <v>667</v>
      </c>
      <c r="AJ288">
        <v>39.189948999999999</v>
      </c>
      <c r="AK288" t="s">
        <v>668</v>
      </c>
      <c r="AL288">
        <v>-77.515690000000006</v>
      </c>
      <c r="AM288">
        <v>100</v>
      </c>
      <c r="AN288">
        <v>5100</v>
      </c>
      <c r="AO288" t="s">
        <v>115</v>
      </c>
      <c r="AP288">
        <v>117</v>
      </c>
      <c r="AQ288">
        <v>58</v>
      </c>
      <c r="AR288">
        <v>1088</v>
      </c>
      <c r="AZ288">
        <v>3614</v>
      </c>
      <c r="BA288">
        <v>1</v>
      </c>
      <c r="BB288" t="str">
        <f t="shared" si="14"/>
        <v xml:space="preserve">N959MJ  </v>
      </c>
      <c r="BC288">
        <v>1</v>
      </c>
      <c r="BE288">
        <v>0</v>
      </c>
      <c r="BF288">
        <v>0</v>
      </c>
      <c r="BG288">
        <v>0</v>
      </c>
      <c r="BH288">
        <v>5375</v>
      </c>
      <c r="BI288">
        <v>275</v>
      </c>
      <c r="BJ288">
        <v>1</v>
      </c>
      <c r="BK288">
        <v>1</v>
      </c>
      <c r="BL288">
        <v>1</v>
      </c>
      <c r="BM288">
        <v>0</v>
      </c>
      <c r="BP288">
        <v>0</v>
      </c>
      <c r="BQ288">
        <v>0</v>
      </c>
      <c r="BX288" t="str">
        <f>"13:55:10.250"</f>
        <v>13:55:10.250</v>
      </c>
      <c r="BY288" t="str">
        <f>"249096207"</f>
        <v>249096207</v>
      </c>
      <c r="CL288">
        <v>3</v>
      </c>
      <c r="CM288">
        <v>2</v>
      </c>
      <c r="CN288">
        <v>0</v>
      </c>
      <c r="CO288">
        <v>2</v>
      </c>
      <c r="CP288">
        <v>0</v>
      </c>
      <c r="CQ288">
        <v>7</v>
      </c>
      <c r="CR288" t="s">
        <v>116</v>
      </c>
      <c r="CS288">
        <v>525</v>
      </c>
      <c r="CT288">
        <v>2</v>
      </c>
      <c r="CU288" t="s">
        <v>140</v>
      </c>
      <c r="CV288" t="s">
        <v>141</v>
      </c>
      <c r="CY288">
        <v>14006859</v>
      </c>
      <c r="CZ288" t="s">
        <v>119</v>
      </c>
    </row>
    <row r="289" spans="1:104" x14ac:dyDescent="0.25">
      <c r="A289" t="str">
        <f>"13:55:11.320"</f>
        <v>13:55:11.320</v>
      </c>
      <c r="B289" t="s">
        <v>108</v>
      </c>
      <c r="C289" t="str">
        <f t="shared" si="13"/>
        <v>ffdfd3c0</v>
      </c>
      <c r="D289" t="s">
        <v>109</v>
      </c>
      <c r="E289">
        <v>4</v>
      </c>
      <c r="F289">
        <v>1004</v>
      </c>
      <c r="G289" t="s">
        <v>110</v>
      </c>
      <c r="J289" t="s">
        <v>111</v>
      </c>
      <c r="K289">
        <v>0</v>
      </c>
      <c r="L289">
        <v>3</v>
      </c>
      <c r="M289">
        <v>0</v>
      </c>
      <c r="N289">
        <v>2</v>
      </c>
      <c r="O289">
        <v>1</v>
      </c>
      <c r="P289">
        <v>0</v>
      </c>
      <c r="Q289">
        <v>0</v>
      </c>
      <c r="R289" t="s">
        <v>112</v>
      </c>
      <c r="S289" t="str">
        <f>"13:55:11.117"</f>
        <v>13:55:11.117</v>
      </c>
      <c r="T289" t="str">
        <f>"13:55:10.719"</f>
        <v>13:55:10.719</v>
      </c>
      <c r="U289" t="str">
        <f t="shared" si="12"/>
        <v>ad5732</v>
      </c>
      <c r="V289">
        <v>0</v>
      </c>
      <c r="W289">
        <v>0</v>
      </c>
      <c r="X289">
        <v>1</v>
      </c>
      <c r="Z289">
        <v>0</v>
      </c>
      <c r="AA289">
        <v>9</v>
      </c>
      <c r="AB289">
        <v>3</v>
      </c>
      <c r="AC289">
        <v>0</v>
      </c>
      <c r="AD289">
        <v>10</v>
      </c>
      <c r="AE289">
        <v>0</v>
      </c>
      <c r="AF289">
        <v>3</v>
      </c>
      <c r="AG289">
        <v>2</v>
      </c>
      <c r="AH289">
        <v>0</v>
      </c>
      <c r="AI289" t="s">
        <v>669</v>
      </c>
      <c r="AJ289">
        <v>39.190207000000001</v>
      </c>
      <c r="AK289" t="s">
        <v>670</v>
      </c>
      <c r="AL289">
        <v>-77.515046999999996</v>
      </c>
      <c r="AM289">
        <v>100</v>
      </c>
      <c r="AN289">
        <v>5100</v>
      </c>
      <c r="AO289" t="s">
        <v>115</v>
      </c>
      <c r="AP289">
        <v>118</v>
      </c>
      <c r="AQ289">
        <v>56</v>
      </c>
      <c r="AR289">
        <v>1152</v>
      </c>
      <c r="AZ289">
        <v>3614</v>
      </c>
      <c r="BA289">
        <v>1</v>
      </c>
      <c r="BB289" t="str">
        <f t="shared" si="14"/>
        <v xml:space="preserve">N959MJ  </v>
      </c>
      <c r="BC289">
        <v>1</v>
      </c>
      <c r="BE289">
        <v>0</v>
      </c>
      <c r="BF289">
        <v>0</v>
      </c>
      <c r="BG289">
        <v>0</v>
      </c>
      <c r="BH289">
        <v>5375</v>
      </c>
      <c r="BI289">
        <v>275</v>
      </c>
      <c r="BJ289">
        <v>1</v>
      </c>
      <c r="BK289">
        <v>1</v>
      </c>
      <c r="BL289">
        <v>1</v>
      </c>
      <c r="BM289">
        <v>0</v>
      </c>
      <c r="BP289">
        <v>0</v>
      </c>
      <c r="BQ289">
        <v>0</v>
      </c>
      <c r="BX289" t="str">
        <f>"13:55:11.125"</f>
        <v>13:55:11.125</v>
      </c>
      <c r="BY289" t="str">
        <f>"124015561"</f>
        <v>124015561</v>
      </c>
      <c r="CL289">
        <v>3</v>
      </c>
      <c r="CM289">
        <v>2</v>
      </c>
      <c r="CN289">
        <v>0</v>
      </c>
      <c r="CO289">
        <v>2</v>
      </c>
      <c r="CP289">
        <v>0</v>
      </c>
      <c r="CQ289">
        <v>7</v>
      </c>
      <c r="CR289" t="s">
        <v>116</v>
      </c>
      <c r="CS289">
        <v>525</v>
      </c>
      <c r="CT289">
        <v>3</v>
      </c>
      <c r="CU289" t="s">
        <v>140</v>
      </c>
      <c r="CV289" t="s">
        <v>141</v>
      </c>
      <c r="CY289">
        <v>390955</v>
      </c>
      <c r="CZ289" t="s">
        <v>119</v>
      </c>
    </row>
    <row r="290" spans="1:104" x14ac:dyDescent="0.25">
      <c r="A290" t="str">
        <f>"13:55:12.383"</f>
        <v>13:55:12.383</v>
      </c>
      <c r="B290" t="s">
        <v>108</v>
      </c>
      <c r="C290" t="str">
        <f t="shared" si="13"/>
        <v>ffdfd3c0</v>
      </c>
      <c r="D290" t="s">
        <v>109</v>
      </c>
      <c r="E290">
        <v>4</v>
      </c>
      <c r="F290">
        <v>1004</v>
      </c>
      <c r="G290" t="s">
        <v>110</v>
      </c>
      <c r="J290" t="s">
        <v>111</v>
      </c>
      <c r="K290">
        <v>0</v>
      </c>
      <c r="L290">
        <v>3</v>
      </c>
      <c r="M290">
        <v>0</v>
      </c>
      <c r="N290">
        <v>2</v>
      </c>
      <c r="O290">
        <v>1</v>
      </c>
      <c r="P290">
        <v>0</v>
      </c>
      <c r="Q290">
        <v>0</v>
      </c>
      <c r="R290" t="s">
        <v>112</v>
      </c>
      <c r="S290" t="str">
        <f>"13:55:12.164"</f>
        <v>13:55:12.164</v>
      </c>
      <c r="T290" t="str">
        <f>"13:55:11.664"</f>
        <v>13:55:11.664</v>
      </c>
      <c r="U290" t="str">
        <f t="shared" si="12"/>
        <v>ad5732</v>
      </c>
      <c r="V290">
        <v>0</v>
      </c>
      <c r="W290">
        <v>0</v>
      </c>
      <c r="X290">
        <v>1</v>
      </c>
      <c r="Z290">
        <v>0</v>
      </c>
      <c r="AA290">
        <v>9</v>
      </c>
      <c r="AB290">
        <v>3</v>
      </c>
      <c r="AC290">
        <v>0</v>
      </c>
      <c r="AD290">
        <v>10</v>
      </c>
      <c r="AE290">
        <v>0</v>
      </c>
      <c r="AF290">
        <v>3</v>
      </c>
      <c r="AG290">
        <v>2</v>
      </c>
      <c r="AH290">
        <v>0</v>
      </c>
      <c r="AI290" t="s">
        <v>671</v>
      </c>
      <c r="AJ290">
        <v>39.190421000000001</v>
      </c>
      <c r="AK290" t="s">
        <v>672</v>
      </c>
      <c r="AL290">
        <v>-77.514337999999995</v>
      </c>
      <c r="AM290">
        <v>100</v>
      </c>
      <c r="AN290">
        <v>5200</v>
      </c>
      <c r="AO290" t="s">
        <v>115</v>
      </c>
      <c r="AP290">
        <v>119</v>
      </c>
      <c r="AQ290">
        <v>55</v>
      </c>
      <c r="AR290">
        <v>1088</v>
      </c>
      <c r="AZ290">
        <v>3614</v>
      </c>
      <c r="BA290">
        <v>1</v>
      </c>
      <c r="BB290" t="str">
        <f t="shared" si="14"/>
        <v xml:space="preserve">N959MJ  </v>
      </c>
      <c r="BC290">
        <v>1</v>
      </c>
      <c r="BE290">
        <v>0</v>
      </c>
      <c r="BF290">
        <v>0</v>
      </c>
      <c r="BG290">
        <v>0</v>
      </c>
      <c r="BH290">
        <v>5400</v>
      </c>
      <c r="BI290">
        <v>200</v>
      </c>
      <c r="BJ290">
        <v>1</v>
      </c>
      <c r="BK290">
        <v>1</v>
      </c>
      <c r="BL290">
        <v>1</v>
      </c>
      <c r="BM290">
        <v>0</v>
      </c>
      <c r="BP290">
        <v>0</v>
      </c>
      <c r="BQ290">
        <v>0</v>
      </c>
      <c r="BX290" t="str">
        <f>"13:55:12.164"</f>
        <v>13:55:12.164</v>
      </c>
      <c r="BY290" t="str">
        <f>"167692567"</f>
        <v>167692567</v>
      </c>
      <c r="CL290">
        <v>3</v>
      </c>
      <c r="CM290">
        <v>2</v>
      </c>
      <c r="CN290">
        <v>0</v>
      </c>
      <c r="CO290">
        <v>2</v>
      </c>
      <c r="CP290">
        <v>0</v>
      </c>
      <c r="CQ290">
        <v>7</v>
      </c>
      <c r="CR290" t="s">
        <v>116</v>
      </c>
      <c r="CS290">
        <v>525</v>
      </c>
      <c r="CT290">
        <v>3</v>
      </c>
      <c r="CU290" t="s">
        <v>140</v>
      </c>
      <c r="CV290" t="s">
        <v>141</v>
      </c>
      <c r="CY290">
        <v>392294</v>
      </c>
      <c r="CZ290" t="s">
        <v>119</v>
      </c>
    </row>
    <row r="291" spans="1:104" x14ac:dyDescent="0.25">
      <c r="A291" t="str">
        <f>"13:55:13.344"</f>
        <v>13:55:13.344</v>
      </c>
      <c r="B291" t="s">
        <v>108</v>
      </c>
      <c r="C291" t="str">
        <f t="shared" si="13"/>
        <v>ffdfd3c0</v>
      </c>
      <c r="D291" t="s">
        <v>109</v>
      </c>
      <c r="E291">
        <v>4</v>
      </c>
      <c r="F291">
        <v>1004</v>
      </c>
      <c r="G291" t="s">
        <v>110</v>
      </c>
      <c r="J291" t="s">
        <v>111</v>
      </c>
      <c r="K291">
        <v>0</v>
      </c>
      <c r="L291">
        <v>3</v>
      </c>
      <c r="M291">
        <v>0</v>
      </c>
      <c r="N291">
        <v>2</v>
      </c>
      <c r="O291">
        <v>1</v>
      </c>
      <c r="P291">
        <v>0</v>
      </c>
      <c r="Q291">
        <v>0</v>
      </c>
      <c r="R291" t="s">
        <v>112</v>
      </c>
      <c r="S291" t="str">
        <f>"13:55:13.172"</f>
        <v>13:55:13.172</v>
      </c>
      <c r="T291" t="str">
        <f>"13:55:12.672"</f>
        <v>13:55:12.672</v>
      </c>
      <c r="U291" t="str">
        <f t="shared" si="12"/>
        <v>ad5732</v>
      </c>
      <c r="V291">
        <v>0</v>
      </c>
      <c r="W291">
        <v>0</v>
      </c>
      <c r="X291">
        <v>1</v>
      </c>
      <c r="Z291">
        <v>0</v>
      </c>
      <c r="AA291">
        <v>9</v>
      </c>
      <c r="AB291">
        <v>3</v>
      </c>
      <c r="AC291">
        <v>0</v>
      </c>
      <c r="AD291">
        <v>10</v>
      </c>
      <c r="AE291">
        <v>0</v>
      </c>
      <c r="AF291">
        <v>3</v>
      </c>
      <c r="AG291">
        <v>2</v>
      </c>
      <c r="AH291">
        <v>0</v>
      </c>
      <c r="AI291" t="s">
        <v>673</v>
      </c>
      <c r="AJ291">
        <v>39.190742999999998</v>
      </c>
      <c r="AK291" t="s">
        <v>674</v>
      </c>
      <c r="AL291">
        <v>-77.513544999999993</v>
      </c>
      <c r="AM291">
        <v>100</v>
      </c>
      <c r="AN291">
        <v>5200</v>
      </c>
      <c r="AO291" t="s">
        <v>115</v>
      </c>
      <c r="AP291">
        <v>119</v>
      </c>
      <c r="AQ291">
        <v>54</v>
      </c>
      <c r="AR291">
        <v>1088</v>
      </c>
      <c r="AZ291">
        <v>3614</v>
      </c>
      <c r="BA291">
        <v>1</v>
      </c>
      <c r="BB291" t="str">
        <f t="shared" si="14"/>
        <v xml:space="preserve">N959MJ  </v>
      </c>
      <c r="BC291">
        <v>1</v>
      </c>
      <c r="BE291">
        <v>0</v>
      </c>
      <c r="BF291">
        <v>0</v>
      </c>
      <c r="BG291">
        <v>0</v>
      </c>
      <c r="BH291">
        <v>5425</v>
      </c>
      <c r="BI291">
        <v>225</v>
      </c>
      <c r="BJ291">
        <v>1</v>
      </c>
      <c r="BK291">
        <v>1</v>
      </c>
      <c r="BL291">
        <v>1</v>
      </c>
      <c r="BM291">
        <v>0</v>
      </c>
      <c r="BP291">
        <v>0</v>
      </c>
      <c r="BQ291">
        <v>0</v>
      </c>
      <c r="BX291" t="str">
        <f>"13:55:13.180"</f>
        <v>13:55:13.180</v>
      </c>
      <c r="BY291" t="str">
        <f>"178601314"</f>
        <v>178601314</v>
      </c>
      <c r="CL291">
        <v>3</v>
      </c>
      <c r="CM291">
        <v>2</v>
      </c>
      <c r="CN291">
        <v>0</v>
      </c>
      <c r="CO291">
        <v>2</v>
      </c>
      <c r="CP291">
        <v>0</v>
      </c>
      <c r="CQ291">
        <v>7</v>
      </c>
      <c r="CR291" t="s">
        <v>116</v>
      </c>
      <c r="CS291">
        <v>525</v>
      </c>
      <c r="CT291">
        <v>3</v>
      </c>
      <c r="CU291" t="s">
        <v>140</v>
      </c>
      <c r="CV291" t="s">
        <v>141</v>
      </c>
      <c r="CY291">
        <v>393576</v>
      </c>
      <c r="CZ291" t="s">
        <v>119</v>
      </c>
    </row>
    <row r="292" spans="1:104" x14ac:dyDescent="0.25">
      <c r="A292" t="str">
        <f>"13:55:14.352"</f>
        <v>13:55:14.352</v>
      </c>
      <c r="B292" t="s">
        <v>108</v>
      </c>
      <c r="C292" t="str">
        <f t="shared" si="13"/>
        <v>ffdfd3c0</v>
      </c>
      <c r="D292" t="s">
        <v>109</v>
      </c>
      <c r="E292">
        <v>4</v>
      </c>
      <c r="F292">
        <v>1004</v>
      </c>
      <c r="G292" t="s">
        <v>110</v>
      </c>
      <c r="J292" t="s">
        <v>111</v>
      </c>
      <c r="K292">
        <v>0</v>
      </c>
      <c r="L292">
        <v>3</v>
      </c>
      <c r="M292">
        <v>0</v>
      </c>
      <c r="N292">
        <v>2</v>
      </c>
      <c r="O292">
        <v>1</v>
      </c>
      <c r="P292">
        <v>0</v>
      </c>
      <c r="Q292">
        <v>0</v>
      </c>
      <c r="R292" t="s">
        <v>112</v>
      </c>
      <c r="S292" t="str">
        <f>"13:55:14.164"</f>
        <v>13:55:14.164</v>
      </c>
      <c r="T292" t="str">
        <f>"13:55:13.766"</f>
        <v>13:55:13.766</v>
      </c>
      <c r="U292" t="str">
        <f t="shared" si="12"/>
        <v>ad5732</v>
      </c>
      <c r="V292">
        <v>0</v>
      </c>
      <c r="W292">
        <v>0</v>
      </c>
      <c r="X292">
        <v>1</v>
      </c>
      <c r="Z292">
        <v>0</v>
      </c>
      <c r="AA292">
        <v>9</v>
      </c>
      <c r="AB292">
        <v>3</v>
      </c>
      <c r="AC292">
        <v>0</v>
      </c>
      <c r="AD292">
        <v>10</v>
      </c>
      <c r="AE292">
        <v>0</v>
      </c>
      <c r="AF292">
        <v>3</v>
      </c>
      <c r="AG292">
        <v>2</v>
      </c>
      <c r="AH292">
        <v>0</v>
      </c>
      <c r="AI292" t="s">
        <v>675</v>
      </c>
      <c r="AJ292">
        <v>39.190936000000001</v>
      </c>
      <c r="AK292" t="s">
        <v>676</v>
      </c>
      <c r="AL292">
        <v>-77.512900999999999</v>
      </c>
      <c r="AM292">
        <v>100</v>
      </c>
      <c r="AN292">
        <v>5200</v>
      </c>
      <c r="AO292" t="s">
        <v>115</v>
      </c>
      <c r="AP292">
        <v>120</v>
      </c>
      <c r="AQ292">
        <v>52</v>
      </c>
      <c r="AR292">
        <v>1024</v>
      </c>
      <c r="AZ292">
        <v>3614</v>
      </c>
      <c r="BA292">
        <v>1</v>
      </c>
      <c r="BB292" t="str">
        <f t="shared" si="14"/>
        <v xml:space="preserve">N959MJ  </v>
      </c>
      <c r="BC292">
        <v>1</v>
      </c>
      <c r="BE292">
        <v>0</v>
      </c>
      <c r="BF292">
        <v>0</v>
      </c>
      <c r="BG292">
        <v>0</v>
      </c>
      <c r="BH292">
        <v>5450</v>
      </c>
      <c r="BI292">
        <v>250</v>
      </c>
      <c r="BJ292">
        <v>1</v>
      </c>
      <c r="BK292">
        <v>1</v>
      </c>
      <c r="BL292">
        <v>1</v>
      </c>
      <c r="BM292">
        <v>0</v>
      </c>
      <c r="BP292">
        <v>0</v>
      </c>
      <c r="BQ292">
        <v>0</v>
      </c>
      <c r="BX292" t="str">
        <f>"13:55:14.172"</f>
        <v>13:55:14.172</v>
      </c>
      <c r="BY292" t="str">
        <f>"168210223"</f>
        <v>168210223</v>
      </c>
      <c r="CL292">
        <v>3</v>
      </c>
      <c r="CM292">
        <v>2</v>
      </c>
      <c r="CN292">
        <v>0</v>
      </c>
      <c r="CO292">
        <v>2</v>
      </c>
      <c r="CP292">
        <v>0</v>
      </c>
      <c r="CQ292">
        <v>7</v>
      </c>
      <c r="CR292" t="s">
        <v>116</v>
      </c>
      <c r="CS292">
        <v>525</v>
      </c>
      <c r="CT292">
        <v>3</v>
      </c>
      <c r="CU292" t="s">
        <v>140</v>
      </c>
      <c r="CV292" t="s">
        <v>141</v>
      </c>
      <c r="CY292">
        <v>394800</v>
      </c>
      <c r="CZ292" t="s">
        <v>119</v>
      </c>
    </row>
    <row r="293" spans="1:104" x14ac:dyDescent="0.25">
      <c r="A293" t="str">
        <f>"13:55:15.258"</f>
        <v>13:55:15.258</v>
      </c>
      <c r="B293" t="s">
        <v>108</v>
      </c>
      <c r="C293" t="str">
        <f t="shared" si="13"/>
        <v>ffdfd3c0</v>
      </c>
      <c r="D293" t="s">
        <v>109</v>
      </c>
      <c r="E293">
        <v>4</v>
      </c>
      <c r="F293">
        <v>1004</v>
      </c>
      <c r="G293" t="s">
        <v>110</v>
      </c>
      <c r="J293" t="s">
        <v>111</v>
      </c>
      <c r="K293">
        <v>0</v>
      </c>
      <c r="L293">
        <v>3</v>
      </c>
      <c r="M293">
        <v>0</v>
      </c>
      <c r="N293">
        <v>2</v>
      </c>
      <c r="O293">
        <v>1</v>
      </c>
      <c r="P293">
        <v>0</v>
      </c>
      <c r="Q293">
        <v>0</v>
      </c>
      <c r="R293" t="s">
        <v>112</v>
      </c>
      <c r="S293" t="str">
        <f>"13:55:15.102"</f>
        <v>13:55:15.102</v>
      </c>
      <c r="T293" t="str">
        <f>"13:55:14.703"</f>
        <v>13:55:14.703</v>
      </c>
      <c r="U293" t="str">
        <f t="shared" si="12"/>
        <v>ad5732</v>
      </c>
      <c r="V293">
        <v>0</v>
      </c>
      <c r="W293">
        <v>0</v>
      </c>
      <c r="X293">
        <v>1</v>
      </c>
      <c r="Z293">
        <v>0</v>
      </c>
      <c r="AA293">
        <v>9</v>
      </c>
      <c r="AB293">
        <v>3</v>
      </c>
      <c r="AC293">
        <v>0</v>
      </c>
      <c r="AD293">
        <v>10</v>
      </c>
      <c r="AE293">
        <v>0</v>
      </c>
      <c r="AF293">
        <v>3</v>
      </c>
      <c r="AG293">
        <v>2</v>
      </c>
      <c r="AH293">
        <v>0</v>
      </c>
      <c r="AI293" t="s">
        <v>677</v>
      </c>
      <c r="AJ293">
        <v>39.191172000000002</v>
      </c>
      <c r="AK293" t="s">
        <v>678</v>
      </c>
      <c r="AL293">
        <v>-77.512192999999996</v>
      </c>
      <c r="AM293">
        <v>100</v>
      </c>
      <c r="AN293">
        <v>5200</v>
      </c>
      <c r="AO293" t="s">
        <v>115</v>
      </c>
      <c r="AP293">
        <v>120</v>
      </c>
      <c r="AQ293">
        <v>51</v>
      </c>
      <c r="AR293">
        <v>1024</v>
      </c>
      <c r="AZ293">
        <v>3614</v>
      </c>
      <c r="BA293">
        <v>1</v>
      </c>
      <c r="BB293" t="str">
        <f t="shared" si="14"/>
        <v xml:space="preserve">N959MJ  </v>
      </c>
      <c r="BC293">
        <v>1</v>
      </c>
      <c r="BE293">
        <v>0</v>
      </c>
      <c r="BF293">
        <v>0</v>
      </c>
      <c r="BG293">
        <v>0</v>
      </c>
      <c r="BH293">
        <v>5450</v>
      </c>
      <c r="BI293">
        <v>250</v>
      </c>
      <c r="BJ293">
        <v>1</v>
      </c>
      <c r="BK293">
        <v>1</v>
      </c>
      <c r="BL293">
        <v>1</v>
      </c>
      <c r="BM293">
        <v>0</v>
      </c>
      <c r="BP293">
        <v>0</v>
      </c>
      <c r="BQ293">
        <v>0</v>
      </c>
      <c r="BX293" t="str">
        <f>"13:55:15.102"</f>
        <v>13:55:15.102</v>
      </c>
      <c r="BY293" t="str">
        <f>"102112881"</f>
        <v>102112881</v>
      </c>
      <c r="CL293">
        <v>3</v>
      </c>
      <c r="CM293">
        <v>2</v>
      </c>
      <c r="CN293">
        <v>0</v>
      </c>
      <c r="CO293">
        <v>2</v>
      </c>
      <c r="CP293">
        <v>0</v>
      </c>
      <c r="CQ293">
        <v>7</v>
      </c>
      <c r="CR293" t="s">
        <v>116</v>
      </c>
      <c r="CS293">
        <v>525</v>
      </c>
      <c r="CT293">
        <v>2</v>
      </c>
      <c r="CU293" t="s">
        <v>140</v>
      </c>
      <c r="CV293" t="s">
        <v>141</v>
      </c>
      <c r="CY293">
        <v>14014073</v>
      </c>
      <c r="CZ293" t="s">
        <v>119</v>
      </c>
    </row>
    <row r="294" spans="1:104" x14ac:dyDescent="0.25">
      <c r="A294" t="str">
        <f>"13:55:16.367"</f>
        <v>13:55:16.367</v>
      </c>
      <c r="B294" t="s">
        <v>108</v>
      </c>
      <c r="C294" t="str">
        <f t="shared" si="13"/>
        <v>ffdfd3c0</v>
      </c>
      <c r="D294" t="s">
        <v>109</v>
      </c>
      <c r="E294">
        <v>4</v>
      </c>
      <c r="F294">
        <v>1004</v>
      </c>
      <c r="G294" t="s">
        <v>110</v>
      </c>
      <c r="J294" t="s">
        <v>111</v>
      </c>
      <c r="K294">
        <v>0</v>
      </c>
      <c r="L294">
        <v>3</v>
      </c>
      <c r="M294">
        <v>0</v>
      </c>
      <c r="N294">
        <v>2</v>
      </c>
      <c r="O294">
        <v>1</v>
      </c>
      <c r="P294">
        <v>0</v>
      </c>
      <c r="Q294">
        <v>0</v>
      </c>
      <c r="R294" t="s">
        <v>112</v>
      </c>
      <c r="S294" t="str">
        <f>"13:55:16.180"</f>
        <v>13:55:16.180</v>
      </c>
      <c r="T294" t="str">
        <f>"13:55:15.781"</f>
        <v>13:55:15.781</v>
      </c>
      <c r="U294" t="str">
        <f t="shared" si="12"/>
        <v>ad5732</v>
      </c>
      <c r="V294">
        <v>0</v>
      </c>
      <c r="W294">
        <v>0</v>
      </c>
      <c r="X294">
        <v>1</v>
      </c>
      <c r="Z294">
        <v>0</v>
      </c>
      <c r="AA294">
        <v>9</v>
      </c>
      <c r="AB294">
        <v>3</v>
      </c>
      <c r="AC294">
        <v>0</v>
      </c>
      <c r="AD294">
        <v>10</v>
      </c>
      <c r="AE294">
        <v>0</v>
      </c>
      <c r="AF294">
        <v>3</v>
      </c>
      <c r="AG294">
        <v>2</v>
      </c>
      <c r="AH294">
        <v>0</v>
      </c>
      <c r="AI294" t="s">
        <v>679</v>
      </c>
      <c r="AJ294">
        <v>39.191451000000001</v>
      </c>
      <c r="AK294" t="s">
        <v>680</v>
      </c>
      <c r="AL294">
        <v>-77.511420000000001</v>
      </c>
      <c r="AM294">
        <v>100</v>
      </c>
      <c r="AN294">
        <v>5200</v>
      </c>
      <c r="AO294" t="s">
        <v>115</v>
      </c>
      <c r="AP294">
        <v>121</v>
      </c>
      <c r="AQ294">
        <v>50</v>
      </c>
      <c r="AR294">
        <v>960</v>
      </c>
      <c r="AZ294">
        <v>3614</v>
      </c>
      <c r="BA294">
        <v>1</v>
      </c>
      <c r="BB294" t="str">
        <f t="shared" si="14"/>
        <v xml:space="preserve">N959MJ  </v>
      </c>
      <c r="BC294">
        <v>1</v>
      </c>
      <c r="BE294">
        <v>0</v>
      </c>
      <c r="BF294">
        <v>0</v>
      </c>
      <c r="BG294">
        <v>0</v>
      </c>
      <c r="BH294">
        <v>5475</v>
      </c>
      <c r="BI294">
        <v>275</v>
      </c>
      <c r="BJ294">
        <v>1</v>
      </c>
      <c r="BK294">
        <v>1</v>
      </c>
      <c r="BL294">
        <v>1</v>
      </c>
      <c r="BM294">
        <v>0</v>
      </c>
      <c r="BP294">
        <v>0</v>
      </c>
      <c r="BQ294">
        <v>0</v>
      </c>
      <c r="BX294" t="str">
        <f>"13:55:16.180"</f>
        <v>13:55:16.180</v>
      </c>
      <c r="BY294" t="str">
        <f>"181835354"</f>
        <v>181835354</v>
      </c>
      <c r="CL294">
        <v>3</v>
      </c>
      <c r="CM294">
        <v>2</v>
      </c>
      <c r="CN294">
        <v>0</v>
      </c>
      <c r="CO294">
        <v>2</v>
      </c>
      <c r="CP294">
        <v>0</v>
      </c>
      <c r="CQ294">
        <v>7</v>
      </c>
      <c r="CR294" t="s">
        <v>116</v>
      </c>
      <c r="CS294">
        <v>525</v>
      </c>
      <c r="CT294">
        <v>2</v>
      </c>
      <c r="CU294" t="s">
        <v>140</v>
      </c>
      <c r="CV294" t="s">
        <v>141</v>
      </c>
      <c r="CY294">
        <v>14015621</v>
      </c>
      <c r="CZ294" t="s">
        <v>119</v>
      </c>
    </row>
    <row r="295" spans="1:104" x14ac:dyDescent="0.25">
      <c r="A295" t="str">
        <f>"13:55:17.375"</f>
        <v>13:55:17.375</v>
      </c>
      <c r="B295" t="s">
        <v>108</v>
      </c>
      <c r="C295" t="str">
        <f t="shared" si="13"/>
        <v>ffdfd3c0</v>
      </c>
      <c r="D295" t="s">
        <v>109</v>
      </c>
      <c r="E295">
        <v>4</v>
      </c>
      <c r="F295">
        <v>1004</v>
      </c>
      <c r="G295" t="s">
        <v>110</v>
      </c>
      <c r="J295" t="s">
        <v>111</v>
      </c>
      <c r="K295">
        <v>0</v>
      </c>
      <c r="L295">
        <v>3</v>
      </c>
      <c r="M295">
        <v>0</v>
      </c>
      <c r="N295">
        <v>2</v>
      </c>
      <c r="O295">
        <v>1</v>
      </c>
      <c r="P295">
        <v>0</v>
      </c>
      <c r="Q295">
        <v>0</v>
      </c>
      <c r="R295" t="s">
        <v>112</v>
      </c>
      <c r="S295" t="str">
        <f>"13:55:17.148"</f>
        <v>13:55:17.148</v>
      </c>
      <c r="T295" t="str">
        <f>"13:55:16.750"</f>
        <v>13:55:16.750</v>
      </c>
      <c r="U295" t="str">
        <f t="shared" si="12"/>
        <v>ad5732</v>
      </c>
      <c r="V295">
        <v>0</v>
      </c>
      <c r="W295">
        <v>0</v>
      </c>
      <c r="X295">
        <v>1</v>
      </c>
      <c r="Z295">
        <v>0</v>
      </c>
      <c r="AA295">
        <v>9</v>
      </c>
      <c r="AB295">
        <v>3</v>
      </c>
      <c r="AC295">
        <v>0</v>
      </c>
      <c r="AD295">
        <v>10</v>
      </c>
      <c r="AE295">
        <v>0</v>
      </c>
      <c r="AF295">
        <v>3</v>
      </c>
      <c r="AG295">
        <v>2</v>
      </c>
      <c r="AH295">
        <v>0</v>
      </c>
      <c r="AI295" t="s">
        <v>681</v>
      </c>
      <c r="AJ295">
        <v>39.191623</v>
      </c>
      <c r="AK295" t="s">
        <v>682</v>
      </c>
      <c r="AL295">
        <v>-77.510755000000003</v>
      </c>
      <c r="AM295">
        <v>100</v>
      </c>
      <c r="AN295">
        <v>5200</v>
      </c>
      <c r="AO295" t="s">
        <v>115</v>
      </c>
      <c r="AP295">
        <v>122</v>
      </c>
      <c r="AQ295">
        <v>48</v>
      </c>
      <c r="AR295">
        <v>960</v>
      </c>
      <c r="AZ295">
        <v>3614</v>
      </c>
      <c r="BA295">
        <v>1</v>
      </c>
      <c r="BB295" t="str">
        <f t="shared" si="14"/>
        <v xml:space="preserve">N959MJ  </v>
      </c>
      <c r="BC295">
        <v>1</v>
      </c>
      <c r="BE295">
        <v>0</v>
      </c>
      <c r="BF295">
        <v>0</v>
      </c>
      <c r="BG295">
        <v>0</v>
      </c>
      <c r="BH295">
        <v>5475</v>
      </c>
      <c r="BI295">
        <v>275</v>
      </c>
      <c r="BJ295">
        <v>1</v>
      </c>
      <c r="BK295">
        <v>1</v>
      </c>
      <c r="BL295">
        <v>1</v>
      </c>
      <c r="BM295">
        <v>0</v>
      </c>
      <c r="BP295">
        <v>0</v>
      </c>
      <c r="BQ295">
        <v>0</v>
      </c>
      <c r="BX295" t="str">
        <f>"13:55:17.148"</f>
        <v>13:55:17.148</v>
      </c>
      <c r="BY295" t="str">
        <f>"151783266"</f>
        <v>151783266</v>
      </c>
      <c r="CL295">
        <v>3</v>
      </c>
      <c r="CM295">
        <v>2</v>
      </c>
      <c r="CN295">
        <v>0</v>
      </c>
      <c r="CO295">
        <v>2</v>
      </c>
      <c r="CP295">
        <v>0</v>
      </c>
      <c r="CQ295">
        <v>7</v>
      </c>
      <c r="CR295" t="s">
        <v>116</v>
      </c>
      <c r="CS295">
        <v>525</v>
      </c>
      <c r="CT295">
        <v>2</v>
      </c>
      <c r="CU295" t="s">
        <v>140</v>
      </c>
      <c r="CV295" t="s">
        <v>141</v>
      </c>
      <c r="CY295">
        <v>14017039</v>
      </c>
      <c r="CZ295" t="s">
        <v>119</v>
      </c>
    </row>
    <row r="296" spans="1:104" x14ac:dyDescent="0.25">
      <c r="A296" t="str">
        <f>"13:55:18.289"</f>
        <v>13:55:18.289</v>
      </c>
      <c r="B296" t="s">
        <v>108</v>
      </c>
      <c r="C296" t="str">
        <f t="shared" si="13"/>
        <v>ffdfd3c0</v>
      </c>
      <c r="D296" t="s">
        <v>109</v>
      </c>
      <c r="E296">
        <v>4</v>
      </c>
      <c r="F296">
        <v>1004</v>
      </c>
      <c r="G296" t="s">
        <v>110</v>
      </c>
      <c r="J296" t="s">
        <v>111</v>
      </c>
      <c r="K296">
        <v>0</v>
      </c>
      <c r="L296">
        <v>3</v>
      </c>
      <c r="M296">
        <v>0</v>
      </c>
      <c r="N296">
        <v>2</v>
      </c>
      <c r="O296">
        <v>1</v>
      </c>
      <c r="P296">
        <v>0</v>
      </c>
      <c r="Q296">
        <v>0</v>
      </c>
      <c r="R296" t="s">
        <v>112</v>
      </c>
      <c r="S296" t="str">
        <f>"13:55:18.078"</f>
        <v>13:55:18.078</v>
      </c>
      <c r="T296" t="str">
        <f>"13:55:17.680"</f>
        <v>13:55:17.680</v>
      </c>
      <c r="U296" t="str">
        <f t="shared" si="12"/>
        <v>ad5732</v>
      </c>
      <c r="V296">
        <v>0</v>
      </c>
      <c r="W296">
        <v>0</v>
      </c>
      <c r="X296">
        <v>1</v>
      </c>
      <c r="Z296">
        <v>0</v>
      </c>
      <c r="AA296">
        <v>9</v>
      </c>
      <c r="AB296">
        <v>3</v>
      </c>
      <c r="AC296">
        <v>0</v>
      </c>
      <c r="AD296">
        <v>10</v>
      </c>
      <c r="AE296">
        <v>0</v>
      </c>
      <c r="AF296">
        <v>3</v>
      </c>
      <c r="AG296">
        <v>2</v>
      </c>
      <c r="AH296">
        <v>0</v>
      </c>
      <c r="AI296" t="s">
        <v>683</v>
      </c>
      <c r="AJ296">
        <v>39.191859000000001</v>
      </c>
      <c r="AK296" t="s">
        <v>684</v>
      </c>
      <c r="AL296">
        <v>-77.510047</v>
      </c>
      <c r="AM296">
        <v>100</v>
      </c>
      <c r="AN296">
        <v>5200</v>
      </c>
      <c r="AO296" t="s">
        <v>115</v>
      </c>
      <c r="AP296">
        <v>123</v>
      </c>
      <c r="AQ296">
        <v>47</v>
      </c>
      <c r="AR296">
        <v>896</v>
      </c>
      <c r="AZ296">
        <v>3614</v>
      </c>
      <c r="BA296">
        <v>1</v>
      </c>
      <c r="BB296" t="str">
        <f t="shared" si="14"/>
        <v xml:space="preserve">N959MJ  </v>
      </c>
      <c r="BC296">
        <v>1</v>
      </c>
      <c r="BE296">
        <v>0</v>
      </c>
      <c r="BF296">
        <v>0</v>
      </c>
      <c r="BG296">
        <v>0</v>
      </c>
      <c r="BH296">
        <v>5500</v>
      </c>
      <c r="BI296">
        <v>300</v>
      </c>
      <c r="BJ296">
        <v>1</v>
      </c>
      <c r="BK296">
        <v>1</v>
      </c>
      <c r="BL296">
        <v>1</v>
      </c>
      <c r="BM296">
        <v>0</v>
      </c>
      <c r="BP296">
        <v>0</v>
      </c>
      <c r="BQ296">
        <v>0</v>
      </c>
      <c r="BX296" t="str">
        <f>"13:55:18.086"</f>
        <v>13:55:18.086</v>
      </c>
      <c r="BY296" t="str">
        <f>"084047491"</f>
        <v>084047491</v>
      </c>
      <c r="CL296">
        <v>3</v>
      </c>
      <c r="CM296">
        <v>2</v>
      </c>
      <c r="CN296">
        <v>0</v>
      </c>
      <c r="CO296">
        <v>2</v>
      </c>
      <c r="CP296">
        <v>0</v>
      </c>
      <c r="CQ296">
        <v>7</v>
      </c>
      <c r="CR296" t="s">
        <v>116</v>
      </c>
      <c r="CS296">
        <v>525</v>
      </c>
      <c r="CT296">
        <v>2</v>
      </c>
      <c r="CU296" t="s">
        <v>140</v>
      </c>
      <c r="CV296" t="s">
        <v>141</v>
      </c>
      <c r="CY296">
        <v>14018330</v>
      </c>
      <c r="CZ296" t="s">
        <v>119</v>
      </c>
    </row>
    <row r="297" spans="1:104" x14ac:dyDescent="0.25">
      <c r="A297" t="str">
        <f>"13:55:19.195"</f>
        <v>13:55:19.195</v>
      </c>
      <c r="B297" t="s">
        <v>108</v>
      </c>
      <c r="C297" t="str">
        <f t="shared" si="13"/>
        <v>ffdfd3c0</v>
      </c>
      <c r="D297" t="s">
        <v>109</v>
      </c>
      <c r="E297">
        <v>4</v>
      </c>
      <c r="F297">
        <v>1004</v>
      </c>
      <c r="G297" t="s">
        <v>110</v>
      </c>
      <c r="J297" t="s">
        <v>111</v>
      </c>
      <c r="K297">
        <v>0</v>
      </c>
      <c r="L297">
        <v>3</v>
      </c>
      <c r="M297">
        <v>0</v>
      </c>
      <c r="N297">
        <v>2</v>
      </c>
      <c r="O297">
        <v>1</v>
      </c>
      <c r="P297">
        <v>0</v>
      </c>
      <c r="Q297">
        <v>0</v>
      </c>
      <c r="R297" t="s">
        <v>112</v>
      </c>
      <c r="S297" t="str">
        <f>"13:55:19.008"</f>
        <v>13:55:19.008</v>
      </c>
      <c r="T297" t="str">
        <f>"13:55:18.609"</f>
        <v>13:55:18.609</v>
      </c>
      <c r="U297" t="str">
        <f t="shared" si="12"/>
        <v>ad5732</v>
      </c>
      <c r="V297">
        <v>0</v>
      </c>
      <c r="W297">
        <v>0</v>
      </c>
      <c r="X297">
        <v>1</v>
      </c>
      <c r="Z297">
        <v>0</v>
      </c>
      <c r="AA297">
        <v>9</v>
      </c>
      <c r="AB297">
        <v>3</v>
      </c>
      <c r="AC297">
        <v>0</v>
      </c>
      <c r="AD297">
        <v>10</v>
      </c>
      <c r="AE297">
        <v>0</v>
      </c>
      <c r="AF297">
        <v>3</v>
      </c>
      <c r="AG297">
        <v>2</v>
      </c>
      <c r="AH297">
        <v>0</v>
      </c>
      <c r="AI297" t="s">
        <v>685</v>
      </c>
      <c r="AJ297">
        <v>39.192008999999999</v>
      </c>
      <c r="AK297" t="s">
        <v>686</v>
      </c>
      <c r="AL297">
        <v>-77.509338999999997</v>
      </c>
      <c r="AM297">
        <v>100</v>
      </c>
      <c r="AN297">
        <v>5300</v>
      </c>
      <c r="AO297" t="s">
        <v>115</v>
      </c>
      <c r="AP297">
        <v>124</v>
      </c>
      <c r="AQ297">
        <v>45</v>
      </c>
      <c r="AR297">
        <v>832</v>
      </c>
      <c r="AZ297">
        <v>3614</v>
      </c>
      <c r="BA297">
        <v>1</v>
      </c>
      <c r="BB297" t="str">
        <f t="shared" si="14"/>
        <v xml:space="preserve">N959MJ  </v>
      </c>
      <c r="BC297">
        <v>1</v>
      </c>
      <c r="BE297">
        <v>0</v>
      </c>
      <c r="BF297">
        <v>0</v>
      </c>
      <c r="BG297">
        <v>0</v>
      </c>
      <c r="BH297">
        <v>5525</v>
      </c>
      <c r="BI297">
        <v>225</v>
      </c>
      <c r="BJ297">
        <v>1</v>
      </c>
      <c r="BK297">
        <v>1</v>
      </c>
      <c r="BL297">
        <v>1</v>
      </c>
      <c r="BM297">
        <v>0</v>
      </c>
      <c r="BP297">
        <v>0</v>
      </c>
      <c r="BQ297">
        <v>0</v>
      </c>
      <c r="BX297" t="str">
        <f>"13:55:19.008"</f>
        <v>13:55:19.008</v>
      </c>
      <c r="BY297" t="str">
        <f>"011413529"</f>
        <v>011413529</v>
      </c>
      <c r="CL297">
        <v>3</v>
      </c>
      <c r="CM297">
        <v>2</v>
      </c>
      <c r="CN297">
        <v>0</v>
      </c>
      <c r="CO297">
        <v>2</v>
      </c>
      <c r="CP297">
        <v>0</v>
      </c>
      <c r="CQ297">
        <v>7</v>
      </c>
      <c r="CR297" t="s">
        <v>116</v>
      </c>
      <c r="CS297">
        <v>147</v>
      </c>
      <c r="CT297">
        <v>3</v>
      </c>
      <c r="CU297" t="s">
        <v>117</v>
      </c>
      <c r="CV297" t="s">
        <v>118</v>
      </c>
      <c r="CY297">
        <v>16262647</v>
      </c>
      <c r="CZ297" t="s">
        <v>119</v>
      </c>
    </row>
    <row r="298" spans="1:104" x14ac:dyDescent="0.25">
      <c r="A298" t="str">
        <f>"13:55:20.203"</f>
        <v>13:55:20.203</v>
      </c>
      <c r="B298" t="s">
        <v>108</v>
      </c>
      <c r="C298" t="str">
        <f t="shared" si="13"/>
        <v>ffdfd3c0</v>
      </c>
      <c r="D298" t="s">
        <v>109</v>
      </c>
      <c r="E298">
        <v>4</v>
      </c>
      <c r="F298">
        <v>1004</v>
      </c>
      <c r="G298" t="s">
        <v>110</v>
      </c>
      <c r="J298" t="s">
        <v>111</v>
      </c>
      <c r="K298">
        <v>0</v>
      </c>
      <c r="L298">
        <v>3</v>
      </c>
      <c r="M298">
        <v>0</v>
      </c>
      <c r="N298">
        <v>2</v>
      </c>
      <c r="O298">
        <v>1</v>
      </c>
      <c r="P298">
        <v>0</v>
      </c>
      <c r="Q298">
        <v>0</v>
      </c>
      <c r="R298" t="s">
        <v>112</v>
      </c>
      <c r="S298" t="str">
        <f>"13:55:20.016"</f>
        <v>13:55:20.016</v>
      </c>
      <c r="T298" t="str">
        <f>"13:55:19.617"</f>
        <v>13:55:19.617</v>
      </c>
      <c r="U298" t="str">
        <f t="shared" si="12"/>
        <v>ad5732</v>
      </c>
      <c r="V298">
        <v>0</v>
      </c>
      <c r="W298">
        <v>0</v>
      </c>
      <c r="X298">
        <v>1</v>
      </c>
      <c r="Z298">
        <v>0</v>
      </c>
      <c r="AA298">
        <v>9</v>
      </c>
      <c r="AB298">
        <v>3</v>
      </c>
      <c r="AC298">
        <v>0</v>
      </c>
      <c r="AD298">
        <v>10</v>
      </c>
      <c r="AE298">
        <v>0</v>
      </c>
      <c r="AF298">
        <v>3</v>
      </c>
      <c r="AG298">
        <v>2</v>
      </c>
      <c r="AH298">
        <v>0</v>
      </c>
      <c r="AI298" t="s">
        <v>687</v>
      </c>
      <c r="AJ298">
        <v>39.192245</v>
      </c>
      <c r="AK298" t="s">
        <v>688</v>
      </c>
      <c r="AL298">
        <v>-77.508609000000007</v>
      </c>
      <c r="AM298">
        <v>100</v>
      </c>
      <c r="AN298">
        <v>5300</v>
      </c>
      <c r="AO298" t="s">
        <v>115</v>
      </c>
      <c r="AP298">
        <v>125</v>
      </c>
      <c r="AQ298">
        <v>43</v>
      </c>
      <c r="AR298">
        <v>832</v>
      </c>
      <c r="AZ298">
        <v>3614</v>
      </c>
      <c r="BA298">
        <v>1</v>
      </c>
      <c r="BB298" t="str">
        <f t="shared" si="14"/>
        <v xml:space="preserve">N959MJ  </v>
      </c>
      <c r="BC298">
        <v>1</v>
      </c>
      <c r="BE298">
        <v>0</v>
      </c>
      <c r="BF298">
        <v>0</v>
      </c>
      <c r="BG298">
        <v>0</v>
      </c>
      <c r="BH298">
        <v>5525</v>
      </c>
      <c r="BI298">
        <v>225</v>
      </c>
      <c r="BJ298">
        <v>1</v>
      </c>
      <c r="BK298">
        <v>1</v>
      </c>
      <c r="BL298">
        <v>1</v>
      </c>
      <c r="BM298">
        <v>0</v>
      </c>
      <c r="BP298">
        <v>0</v>
      </c>
      <c r="BQ298">
        <v>0</v>
      </c>
      <c r="BX298" t="str">
        <f>"13:55:20.023"</f>
        <v>13:55:20.023</v>
      </c>
      <c r="BY298" t="str">
        <f>"020666526"</f>
        <v>020666526</v>
      </c>
      <c r="CL298">
        <v>3</v>
      </c>
      <c r="CM298">
        <v>2</v>
      </c>
      <c r="CN298">
        <v>0</v>
      </c>
      <c r="CO298">
        <v>2</v>
      </c>
      <c r="CP298">
        <v>0</v>
      </c>
      <c r="CQ298">
        <v>7</v>
      </c>
      <c r="CR298" t="s">
        <v>116</v>
      </c>
      <c r="CS298">
        <v>525</v>
      </c>
      <c r="CT298">
        <v>2</v>
      </c>
      <c r="CU298" t="s">
        <v>140</v>
      </c>
      <c r="CV298" t="s">
        <v>141</v>
      </c>
      <c r="CY298">
        <v>14021271</v>
      </c>
      <c r="CZ298" t="s">
        <v>119</v>
      </c>
    </row>
    <row r="299" spans="1:104" x14ac:dyDescent="0.25">
      <c r="A299" t="str">
        <f>"13:55:21.063"</f>
        <v>13:55:21.063</v>
      </c>
      <c r="B299" t="s">
        <v>108</v>
      </c>
      <c r="C299" t="str">
        <f t="shared" si="13"/>
        <v>ffdfd3c0</v>
      </c>
      <c r="D299" t="s">
        <v>109</v>
      </c>
      <c r="E299">
        <v>4</v>
      </c>
      <c r="F299">
        <v>1004</v>
      </c>
      <c r="G299" t="s">
        <v>110</v>
      </c>
      <c r="J299" t="s">
        <v>111</v>
      </c>
      <c r="K299">
        <v>0</v>
      </c>
      <c r="L299">
        <v>3</v>
      </c>
      <c r="M299">
        <v>0</v>
      </c>
      <c r="N299">
        <v>2</v>
      </c>
      <c r="O299">
        <v>1</v>
      </c>
      <c r="P299">
        <v>0</v>
      </c>
      <c r="Q299">
        <v>0</v>
      </c>
      <c r="R299" t="s">
        <v>112</v>
      </c>
      <c r="S299" t="str">
        <f>"13:55:20.898"</f>
        <v>13:55:20.898</v>
      </c>
      <c r="T299" t="str">
        <f>"13:55:20.500"</f>
        <v>13:55:20.500</v>
      </c>
      <c r="U299" t="str">
        <f t="shared" si="12"/>
        <v>ad5732</v>
      </c>
      <c r="V299">
        <v>0</v>
      </c>
      <c r="W299">
        <v>0</v>
      </c>
      <c r="X299">
        <v>1</v>
      </c>
      <c r="Z299">
        <v>0</v>
      </c>
      <c r="AA299">
        <v>9</v>
      </c>
      <c r="AB299">
        <v>3</v>
      </c>
      <c r="AC299">
        <v>0</v>
      </c>
      <c r="AD299">
        <v>10</v>
      </c>
      <c r="AE299">
        <v>0</v>
      </c>
      <c r="AF299">
        <v>3</v>
      </c>
      <c r="AG299">
        <v>2</v>
      </c>
      <c r="AH299">
        <v>0</v>
      </c>
      <c r="AI299" t="s">
        <v>689</v>
      </c>
      <c r="AJ299">
        <v>39.192394999999998</v>
      </c>
      <c r="AK299" t="s">
        <v>690</v>
      </c>
      <c r="AL299">
        <v>-77.507943999999995</v>
      </c>
      <c r="AM299">
        <v>100</v>
      </c>
      <c r="AN299">
        <v>5300</v>
      </c>
      <c r="AO299" t="s">
        <v>115</v>
      </c>
      <c r="AP299">
        <v>126</v>
      </c>
      <c r="AQ299">
        <v>41</v>
      </c>
      <c r="AR299">
        <v>768</v>
      </c>
      <c r="AZ299">
        <v>3614</v>
      </c>
      <c r="BA299">
        <v>1</v>
      </c>
      <c r="BB299" t="str">
        <f t="shared" si="14"/>
        <v xml:space="preserve">N959MJ  </v>
      </c>
      <c r="BC299">
        <v>1</v>
      </c>
      <c r="BE299">
        <v>0</v>
      </c>
      <c r="BF299">
        <v>0</v>
      </c>
      <c r="BG299">
        <v>0</v>
      </c>
      <c r="BH299">
        <v>5550</v>
      </c>
      <c r="BI299">
        <v>250</v>
      </c>
      <c r="BJ299">
        <v>1</v>
      </c>
      <c r="BK299">
        <v>1</v>
      </c>
      <c r="BL299">
        <v>1</v>
      </c>
      <c r="BM299">
        <v>0</v>
      </c>
      <c r="BP299">
        <v>0</v>
      </c>
      <c r="BQ299">
        <v>0</v>
      </c>
      <c r="BX299" t="str">
        <f>"13:55:20.906"</f>
        <v>13:55:20.906</v>
      </c>
      <c r="BY299" t="str">
        <f>"903777895"</f>
        <v>903777895</v>
      </c>
      <c r="CL299">
        <v>3</v>
      </c>
      <c r="CM299">
        <v>2</v>
      </c>
      <c r="CN299">
        <v>0</v>
      </c>
      <c r="CO299">
        <v>2</v>
      </c>
      <c r="CP299">
        <v>0</v>
      </c>
      <c r="CQ299">
        <v>7</v>
      </c>
      <c r="CR299" t="s">
        <v>116</v>
      </c>
      <c r="CS299">
        <v>525</v>
      </c>
      <c r="CT299">
        <v>2</v>
      </c>
      <c r="CU299" t="s">
        <v>140</v>
      </c>
      <c r="CV299" t="s">
        <v>141</v>
      </c>
      <c r="CY299">
        <v>14022558</v>
      </c>
      <c r="CZ299" t="s">
        <v>119</v>
      </c>
    </row>
    <row r="300" spans="1:104" x14ac:dyDescent="0.25">
      <c r="A300" t="str">
        <f>"13:55:22.023"</f>
        <v>13:55:22.023</v>
      </c>
      <c r="B300" t="s">
        <v>108</v>
      </c>
      <c r="C300" t="str">
        <f t="shared" si="13"/>
        <v>ffdfd3c0</v>
      </c>
      <c r="D300" t="s">
        <v>109</v>
      </c>
      <c r="E300">
        <v>4</v>
      </c>
      <c r="F300">
        <v>1004</v>
      </c>
      <c r="G300" t="s">
        <v>110</v>
      </c>
      <c r="J300" t="s">
        <v>111</v>
      </c>
      <c r="K300">
        <v>0</v>
      </c>
      <c r="L300">
        <v>3</v>
      </c>
      <c r="M300">
        <v>0</v>
      </c>
      <c r="N300">
        <v>2</v>
      </c>
      <c r="O300">
        <v>1</v>
      </c>
      <c r="P300">
        <v>0</v>
      </c>
      <c r="Q300">
        <v>0</v>
      </c>
      <c r="R300" t="s">
        <v>112</v>
      </c>
      <c r="S300" t="str">
        <f>"13:55:21.836"</f>
        <v>13:55:21.836</v>
      </c>
      <c r="T300" t="str">
        <f>"13:55:21.438"</f>
        <v>13:55:21.438</v>
      </c>
      <c r="U300" t="str">
        <f t="shared" si="12"/>
        <v>ad5732</v>
      </c>
      <c r="V300">
        <v>0</v>
      </c>
      <c r="W300">
        <v>0</v>
      </c>
      <c r="X300">
        <v>1</v>
      </c>
      <c r="Z300">
        <v>0</v>
      </c>
      <c r="AA300">
        <v>9</v>
      </c>
      <c r="AB300">
        <v>3</v>
      </c>
      <c r="AC300">
        <v>0</v>
      </c>
      <c r="AD300">
        <v>10</v>
      </c>
      <c r="AE300">
        <v>0</v>
      </c>
      <c r="AF300">
        <v>3</v>
      </c>
      <c r="AG300">
        <v>2</v>
      </c>
      <c r="AH300">
        <v>0</v>
      </c>
      <c r="AI300" t="s">
        <v>691</v>
      </c>
      <c r="AJ300">
        <v>39.192566999999997</v>
      </c>
      <c r="AK300" t="s">
        <v>692</v>
      </c>
      <c r="AL300">
        <v>-77.507256999999996</v>
      </c>
      <c r="AM300">
        <v>100</v>
      </c>
      <c r="AN300">
        <v>5300</v>
      </c>
      <c r="AO300" t="s">
        <v>115</v>
      </c>
      <c r="AP300">
        <v>128</v>
      </c>
      <c r="AQ300">
        <v>39</v>
      </c>
      <c r="AR300">
        <v>704</v>
      </c>
      <c r="AZ300">
        <v>3614</v>
      </c>
      <c r="BA300">
        <v>1</v>
      </c>
      <c r="BB300" t="str">
        <f t="shared" si="14"/>
        <v xml:space="preserve">N959MJ  </v>
      </c>
      <c r="BC300">
        <v>1</v>
      </c>
      <c r="BE300">
        <v>0</v>
      </c>
      <c r="BF300">
        <v>0</v>
      </c>
      <c r="BG300">
        <v>0</v>
      </c>
      <c r="BH300">
        <v>5550</v>
      </c>
      <c r="BI300">
        <v>250</v>
      </c>
      <c r="BJ300">
        <v>1</v>
      </c>
      <c r="BK300">
        <v>1</v>
      </c>
      <c r="BL300">
        <v>1</v>
      </c>
      <c r="BM300">
        <v>0</v>
      </c>
      <c r="BP300">
        <v>0</v>
      </c>
      <c r="BQ300">
        <v>0</v>
      </c>
      <c r="BX300" t="str">
        <f>"13:55:21.836"</f>
        <v>13:55:21.836</v>
      </c>
      <c r="BY300" t="str">
        <f>"837697661"</f>
        <v>837697661</v>
      </c>
      <c r="CL300">
        <v>3</v>
      </c>
      <c r="CM300">
        <v>2</v>
      </c>
      <c r="CN300">
        <v>0</v>
      </c>
      <c r="CO300">
        <v>2</v>
      </c>
      <c r="CP300">
        <v>0</v>
      </c>
      <c r="CQ300">
        <v>7</v>
      </c>
      <c r="CR300" t="s">
        <v>116</v>
      </c>
      <c r="CS300">
        <v>147</v>
      </c>
      <c r="CT300">
        <v>3</v>
      </c>
      <c r="CU300" t="s">
        <v>117</v>
      </c>
      <c r="CV300" t="s">
        <v>118</v>
      </c>
      <c r="CY300">
        <v>16267218</v>
      </c>
      <c r="CZ300" t="s">
        <v>119</v>
      </c>
    </row>
    <row r="301" spans="1:104" x14ac:dyDescent="0.25">
      <c r="A301" t="str">
        <f>"13:55:23.031"</f>
        <v>13:55:23.031</v>
      </c>
      <c r="B301" t="s">
        <v>108</v>
      </c>
      <c r="C301" t="str">
        <f t="shared" si="13"/>
        <v>ffdfd3c0</v>
      </c>
      <c r="D301" t="s">
        <v>109</v>
      </c>
      <c r="E301">
        <v>4</v>
      </c>
      <c r="F301">
        <v>1004</v>
      </c>
      <c r="G301" t="s">
        <v>110</v>
      </c>
      <c r="J301" t="s">
        <v>111</v>
      </c>
      <c r="K301">
        <v>0</v>
      </c>
      <c r="L301">
        <v>3</v>
      </c>
      <c r="M301">
        <v>0</v>
      </c>
      <c r="N301">
        <v>2</v>
      </c>
      <c r="O301">
        <v>1</v>
      </c>
      <c r="P301">
        <v>0</v>
      </c>
      <c r="Q301">
        <v>0</v>
      </c>
      <c r="R301" t="s">
        <v>112</v>
      </c>
      <c r="S301" t="str">
        <f>"13:55:22.867"</f>
        <v>13:55:22.867</v>
      </c>
      <c r="T301" t="str">
        <f>"13:55:22.367"</f>
        <v>13:55:22.367</v>
      </c>
      <c r="U301" t="str">
        <f t="shared" si="12"/>
        <v>ad5732</v>
      </c>
      <c r="V301">
        <v>0</v>
      </c>
      <c r="W301">
        <v>0</v>
      </c>
      <c r="X301">
        <v>1</v>
      </c>
      <c r="Z301">
        <v>0</v>
      </c>
      <c r="AA301">
        <v>9</v>
      </c>
      <c r="AB301">
        <v>3</v>
      </c>
      <c r="AC301">
        <v>0</v>
      </c>
      <c r="AD301">
        <v>10</v>
      </c>
      <c r="AE301">
        <v>0</v>
      </c>
      <c r="AF301">
        <v>3</v>
      </c>
      <c r="AG301">
        <v>2</v>
      </c>
      <c r="AH301">
        <v>0</v>
      </c>
      <c r="AI301" t="s">
        <v>693</v>
      </c>
      <c r="AJ301">
        <v>39.192695999999998</v>
      </c>
      <c r="AK301" t="s">
        <v>694</v>
      </c>
      <c r="AL301">
        <v>-77.506463999999994</v>
      </c>
      <c r="AM301">
        <v>100</v>
      </c>
      <c r="AN301">
        <v>5300</v>
      </c>
      <c r="AO301" t="s">
        <v>115</v>
      </c>
      <c r="AP301">
        <v>128</v>
      </c>
      <c r="AQ301">
        <v>38</v>
      </c>
      <c r="AR301">
        <v>704</v>
      </c>
      <c r="AZ301">
        <v>3614</v>
      </c>
      <c r="BA301">
        <v>1</v>
      </c>
      <c r="BB301" t="str">
        <f t="shared" si="14"/>
        <v xml:space="preserve">N959MJ  </v>
      </c>
      <c r="BC301">
        <v>1</v>
      </c>
      <c r="BE301">
        <v>0</v>
      </c>
      <c r="BF301">
        <v>0</v>
      </c>
      <c r="BG301">
        <v>0</v>
      </c>
      <c r="BH301">
        <v>5550</v>
      </c>
      <c r="BI301">
        <v>250</v>
      </c>
      <c r="BJ301">
        <v>1</v>
      </c>
      <c r="BK301">
        <v>1</v>
      </c>
      <c r="BL301">
        <v>1</v>
      </c>
      <c r="BM301">
        <v>0</v>
      </c>
      <c r="BP301">
        <v>0</v>
      </c>
      <c r="BQ301">
        <v>0</v>
      </c>
      <c r="BX301" t="str">
        <f>"13:55:22.867"</f>
        <v>13:55:22.867</v>
      </c>
      <c r="BY301" t="str">
        <f>"868267361"</f>
        <v>868267361</v>
      </c>
      <c r="CL301">
        <v>3</v>
      </c>
      <c r="CM301">
        <v>2</v>
      </c>
      <c r="CN301">
        <v>0</v>
      </c>
      <c r="CO301">
        <v>2</v>
      </c>
      <c r="CP301">
        <v>0</v>
      </c>
      <c r="CQ301">
        <v>7</v>
      </c>
      <c r="CR301" t="s">
        <v>116</v>
      </c>
      <c r="CS301">
        <v>147</v>
      </c>
      <c r="CT301">
        <v>3</v>
      </c>
      <c r="CU301" t="s">
        <v>117</v>
      </c>
      <c r="CV301" t="s">
        <v>118</v>
      </c>
      <c r="CY301">
        <v>16268771</v>
      </c>
      <c r="CZ301" t="s">
        <v>119</v>
      </c>
    </row>
    <row r="302" spans="1:104" x14ac:dyDescent="0.25">
      <c r="A302" t="str">
        <f>"13:55:24.094"</f>
        <v>13:55:24.094</v>
      </c>
      <c r="B302" t="s">
        <v>108</v>
      </c>
      <c r="C302" t="str">
        <f t="shared" si="13"/>
        <v>ffdfd3c0</v>
      </c>
      <c r="D302" t="s">
        <v>109</v>
      </c>
      <c r="E302">
        <v>4</v>
      </c>
      <c r="F302">
        <v>1004</v>
      </c>
      <c r="G302" t="s">
        <v>110</v>
      </c>
      <c r="J302" t="s">
        <v>111</v>
      </c>
      <c r="K302">
        <v>0</v>
      </c>
      <c r="L302">
        <v>3</v>
      </c>
      <c r="M302">
        <v>0</v>
      </c>
      <c r="N302">
        <v>2</v>
      </c>
      <c r="O302">
        <v>1</v>
      </c>
      <c r="P302">
        <v>0</v>
      </c>
      <c r="Q302">
        <v>0</v>
      </c>
      <c r="R302" t="s">
        <v>112</v>
      </c>
      <c r="S302" t="str">
        <f>"13:55:23.914"</f>
        <v>13:55:23.914</v>
      </c>
      <c r="T302" t="str">
        <f>"13:55:23.414"</f>
        <v>13:55:23.414</v>
      </c>
      <c r="U302" t="str">
        <f t="shared" si="12"/>
        <v>ad5732</v>
      </c>
      <c r="V302">
        <v>0</v>
      </c>
      <c r="W302">
        <v>0</v>
      </c>
      <c r="X302">
        <v>1</v>
      </c>
      <c r="Z302">
        <v>0</v>
      </c>
      <c r="AA302">
        <v>9</v>
      </c>
      <c r="AB302">
        <v>3</v>
      </c>
      <c r="AC302">
        <v>0</v>
      </c>
      <c r="AD302">
        <v>10</v>
      </c>
      <c r="AE302">
        <v>0</v>
      </c>
      <c r="AF302">
        <v>3</v>
      </c>
      <c r="AG302">
        <v>2</v>
      </c>
      <c r="AH302">
        <v>0</v>
      </c>
      <c r="AI302" t="s">
        <v>695</v>
      </c>
      <c r="AJ302">
        <v>39.192909999999998</v>
      </c>
      <c r="AK302" t="s">
        <v>696</v>
      </c>
      <c r="AL302">
        <v>-77.505627000000004</v>
      </c>
      <c r="AM302">
        <v>100</v>
      </c>
      <c r="AN302">
        <v>5300</v>
      </c>
      <c r="AO302" t="s">
        <v>115</v>
      </c>
      <c r="AP302">
        <v>129</v>
      </c>
      <c r="AQ302">
        <v>37</v>
      </c>
      <c r="AR302">
        <v>704</v>
      </c>
      <c r="AZ302">
        <v>3614</v>
      </c>
      <c r="BA302">
        <v>1</v>
      </c>
      <c r="BB302" t="str">
        <f t="shared" si="14"/>
        <v xml:space="preserve">N959MJ  </v>
      </c>
      <c r="BC302">
        <v>1</v>
      </c>
      <c r="BE302">
        <v>0</v>
      </c>
      <c r="BF302">
        <v>0</v>
      </c>
      <c r="BG302">
        <v>0</v>
      </c>
      <c r="BH302">
        <v>5575</v>
      </c>
      <c r="BI302">
        <v>275</v>
      </c>
      <c r="BJ302">
        <v>1</v>
      </c>
      <c r="BK302">
        <v>1</v>
      </c>
      <c r="BL302">
        <v>1</v>
      </c>
      <c r="BM302">
        <v>0</v>
      </c>
      <c r="BP302">
        <v>0</v>
      </c>
      <c r="BQ302">
        <v>0</v>
      </c>
      <c r="BX302" t="str">
        <f>"13:55:23.922"</f>
        <v>13:55:23.922</v>
      </c>
      <c r="BY302" t="str">
        <f>"918481159"</f>
        <v>918481159</v>
      </c>
      <c r="CL302">
        <v>3</v>
      </c>
      <c r="CM302">
        <v>2</v>
      </c>
      <c r="CN302">
        <v>0</v>
      </c>
      <c r="CO302">
        <v>2</v>
      </c>
      <c r="CP302">
        <v>0</v>
      </c>
      <c r="CQ302">
        <v>7</v>
      </c>
      <c r="CR302" t="s">
        <v>116</v>
      </c>
      <c r="CS302">
        <v>525</v>
      </c>
      <c r="CT302">
        <v>2</v>
      </c>
      <c r="CU302" t="s">
        <v>140</v>
      </c>
      <c r="CV302" t="s">
        <v>141</v>
      </c>
      <c r="CY302">
        <v>14026803</v>
      </c>
      <c r="CZ302" t="s">
        <v>119</v>
      </c>
    </row>
    <row r="303" spans="1:104" x14ac:dyDescent="0.25">
      <c r="A303" t="str">
        <f>"13:55:25.055"</f>
        <v>13:55:25.055</v>
      </c>
      <c r="B303" t="s">
        <v>108</v>
      </c>
      <c r="C303" t="str">
        <f t="shared" si="13"/>
        <v>ffdfd3c0</v>
      </c>
      <c r="D303" t="s">
        <v>109</v>
      </c>
      <c r="E303">
        <v>4</v>
      </c>
      <c r="F303">
        <v>1004</v>
      </c>
      <c r="G303" t="s">
        <v>110</v>
      </c>
      <c r="J303" t="s">
        <v>111</v>
      </c>
      <c r="K303">
        <v>0</v>
      </c>
      <c r="L303">
        <v>3</v>
      </c>
      <c r="M303">
        <v>0</v>
      </c>
      <c r="N303">
        <v>2</v>
      </c>
      <c r="O303">
        <v>1</v>
      </c>
      <c r="P303">
        <v>0</v>
      </c>
      <c r="Q303">
        <v>0</v>
      </c>
      <c r="R303" t="s">
        <v>112</v>
      </c>
      <c r="S303" t="str">
        <f>"13:55:24.898"</f>
        <v>13:55:24.898</v>
      </c>
      <c r="T303" t="str">
        <f>"13:55:24.500"</f>
        <v>13:55:24.500</v>
      </c>
      <c r="U303" t="str">
        <f t="shared" si="12"/>
        <v>ad5732</v>
      </c>
      <c r="V303">
        <v>0</v>
      </c>
      <c r="W303">
        <v>0</v>
      </c>
      <c r="X303">
        <v>1</v>
      </c>
      <c r="Z303">
        <v>0</v>
      </c>
      <c r="AA303">
        <v>9</v>
      </c>
      <c r="AB303">
        <v>3</v>
      </c>
      <c r="AC303">
        <v>0</v>
      </c>
      <c r="AD303">
        <v>10</v>
      </c>
      <c r="AE303">
        <v>0</v>
      </c>
      <c r="AF303">
        <v>3</v>
      </c>
      <c r="AG303">
        <v>2</v>
      </c>
      <c r="AH303">
        <v>0</v>
      </c>
      <c r="AI303" t="s">
        <v>697</v>
      </c>
      <c r="AJ303">
        <v>39.193081999999997</v>
      </c>
      <c r="AK303" t="s">
        <v>698</v>
      </c>
      <c r="AL303">
        <v>-77.504833000000005</v>
      </c>
      <c r="AM303">
        <v>100</v>
      </c>
      <c r="AN303">
        <v>5300</v>
      </c>
      <c r="AO303" t="s">
        <v>115</v>
      </c>
      <c r="AP303">
        <v>129</v>
      </c>
      <c r="AQ303">
        <v>37</v>
      </c>
      <c r="AR303">
        <v>704</v>
      </c>
      <c r="AZ303">
        <v>3614</v>
      </c>
      <c r="BA303">
        <v>1</v>
      </c>
      <c r="BB303" t="str">
        <f t="shared" si="14"/>
        <v xml:space="preserve">N959MJ  </v>
      </c>
      <c r="BC303">
        <v>1</v>
      </c>
      <c r="BE303">
        <v>0</v>
      </c>
      <c r="BF303">
        <v>0</v>
      </c>
      <c r="BG303">
        <v>0</v>
      </c>
      <c r="BH303">
        <v>5600</v>
      </c>
      <c r="BI303">
        <v>300</v>
      </c>
      <c r="BJ303">
        <v>1</v>
      </c>
      <c r="BK303">
        <v>1</v>
      </c>
      <c r="BL303">
        <v>1</v>
      </c>
      <c r="BM303">
        <v>0</v>
      </c>
      <c r="BP303">
        <v>0</v>
      </c>
      <c r="BQ303">
        <v>0</v>
      </c>
      <c r="BX303" t="str">
        <f>"13:55:24.898"</f>
        <v>13:55:24.898</v>
      </c>
      <c r="BY303" t="str">
        <f>"899915136"</f>
        <v>899915136</v>
      </c>
      <c r="CL303">
        <v>3</v>
      </c>
      <c r="CM303">
        <v>2</v>
      </c>
      <c r="CN303">
        <v>0</v>
      </c>
      <c r="CO303">
        <v>2</v>
      </c>
      <c r="CP303">
        <v>0</v>
      </c>
      <c r="CQ303">
        <v>7</v>
      </c>
      <c r="CR303" t="s">
        <v>116</v>
      </c>
      <c r="CS303">
        <v>147</v>
      </c>
      <c r="CT303">
        <v>3</v>
      </c>
      <c r="CU303" t="s">
        <v>117</v>
      </c>
      <c r="CV303" t="s">
        <v>118</v>
      </c>
      <c r="CY303">
        <v>16271905</v>
      </c>
      <c r="CZ303" t="s">
        <v>119</v>
      </c>
    </row>
    <row r="304" spans="1:104" x14ac:dyDescent="0.25">
      <c r="A304" t="str">
        <f>"13:55:26.211"</f>
        <v>13:55:26.211</v>
      </c>
      <c r="B304" t="s">
        <v>108</v>
      </c>
      <c r="C304" t="str">
        <f t="shared" si="13"/>
        <v>ffdfd3c0</v>
      </c>
      <c r="D304" t="s">
        <v>109</v>
      </c>
      <c r="E304">
        <v>4</v>
      </c>
      <c r="F304">
        <v>1004</v>
      </c>
      <c r="G304" t="s">
        <v>110</v>
      </c>
      <c r="J304" t="s">
        <v>111</v>
      </c>
      <c r="K304">
        <v>0</v>
      </c>
      <c r="L304">
        <v>3</v>
      </c>
      <c r="M304">
        <v>0</v>
      </c>
      <c r="N304">
        <v>2</v>
      </c>
      <c r="O304">
        <v>1</v>
      </c>
      <c r="P304">
        <v>0</v>
      </c>
      <c r="Q304">
        <v>0</v>
      </c>
      <c r="R304" t="s">
        <v>112</v>
      </c>
      <c r="S304" t="str">
        <f>"13:55:26.031"</f>
        <v>13:55:26.031</v>
      </c>
      <c r="T304" t="str">
        <f>"13:55:25.531"</f>
        <v>13:55:25.531</v>
      </c>
      <c r="U304" t="str">
        <f t="shared" si="12"/>
        <v>ad5732</v>
      </c>
      <c r="V304">
        <v>0</v>
      </c>
      <c r="W304">
        <v>0</v>
      </c>
      <c r="X304">
        <v>1</v>
      </c>
      <c r="Z304">
        <v>0</v>
      </c>
      <c r="AA304">
        <v>9</v>
      </c>
      <c r="AB304">
        <v>3</v>
      </c>
      <c r="AC304">
        <v>0</v>
      </c>
      <c r="AD304">
        <v>10</v>
      </c>
      <c r="AE304">
        <v>0</v>
      </c>
      <c r="AF304">
        <v>3</v>
      </c>
      <c r="AG304">
        <v>2</v>
      </c>
      <c r="AH304">
        <v>0</v>
      </c>
      <c r="AI304" t="s">
        <v>699</v>
      </c>
      <c r="AJ304">
        <v>39.193295999999997</v>
      </c>
      <c r="AK304" t="s">
        <v>700</v>
      </c>
      <c r="AL304">
        <v>-77.504039000000006</v>
      </c>
      <c r="AM304">
        <v>100</v>
      </c>
      <c r="AN304">
        <v>5300</v>
      </c>
      <c r="AO304" t="s">
        <v>115</v>
      </c>
      <c r="AP304">
        <v>130</v>
      </c>
      <c r="AQ304">
        <v>38</v>
      </c>
      <c r="AR304">
        <v>704</v>
      </c>
      <c r="AZ304">
        <v>3614</v>
      </c>
      <c r="BA304">
        <v>1</v>
      </c>
      <c r="BB304" t="str">
        <f t="shared" si="14"/>
        <v xml:space="preserve">N959MJ  </v>
      </c>
      <c r="BC304">
        <v>1</v>
      </c>
      <c r="BE304">
        <v>0</v>
      </c>
      <c r="BF304">
        <v>0</v>
      </c>
      <c r="BG304">
        <v>0</v>
      </c>
      <c r="BH304">
        <v>5600</v>
      </c>
      <c r="BI304">
        <v>300</v>
      </c>
      <c r="BJ304">
        <v>1</v>
      </c>
      <c r="BK304">
        <v>1</v>
      </c>
      <c r="BL304">
        <v>1</v>
      </c>
      <c r="BM304">
        <v>0</v>
      </c>
      <c r="BP304">
        <v>0</v>
      </c>
      <c r="BQ304">
        <v>0</v>
      </c>
      <c r="BX304" t="str">
        <f>"13:55:26.039"</f>
        <v>13:55:26.039</v>
      </c>
      <c r="BY304" t="str">
        <f>"035327037"</f>
        <v>035327037</v>
      </c>
      <c r="CL304">
        <v>3</v>
      </c>
      <c r="CM304">
        <v>2</v>
      </c>
      <c r="CN304">
        <v>0</v>
      </c>
      <c r="CO304">
        <v>2</v>
      </c>
      <c r="CP304">
        <v>0</v>
      </c>
      <c r="CQ304">
        <v>7</v>
      </c>
      <c r="CR304" t="s">
        <v>116</v>
      </c>
      <c r="CS304">
        <v>525</v>
      </c>
      <c r="CT304">
        <v>2</v>
      </c>
      <c r="CU304" t="s">
        <v>140</v>
      </c>
      <c r="CV304" t="s">
        <v>141</v>
      </c>
      <c r="CY304">
        <v>14029874</v>
      </c>
      <c r="CZ304" t="s">
        <v>119</v>
      </c>
    </row>
    <row r="305" spans="1:104" x14ac:dyDescent="0.25">
      <c r="A305" t="str">
        <f>"13:55:27.328"</f>
        <v>13:55:27.328</v>
      </c>
      <c r="B305" t="s">
        <v>108</v>
      </c>
      <c r="C305" t="str">
        <f t="shared" si="13"/>
        <v>ffdfd3c0</v>
      </c>
      <c r="D305" t="s">
        <v>109</v>
      </c>
      <c r="E305">
        <v>4</v>
      </c>
      <c r="F305">
        <v>1004</v>
      </c>
      <c r="G305" t="s">
        <v>110</v>
      </c>
      <c r="J305" t="s">
        <v>111</v>
      </c>
      <c r="K305">
        <v>0</v>
      </c>
      <c r="L305">
        <v>3</v>
      </c>
      <c r="M305">
        <v>0</v>
      </c>
      <c r="N305">
        <v>2</v>
      </c>
      <c r="O305">
        <v>1</v>
      </c>
      <c r="P305">
        <v>0</v>
      </c>
      <c r="Q305">
        <v>0</v>
      </c>
      <c r="R305" t="s">
        <v>112</v>
      </c>
      <c r="S305" t="str">
        <f>"13:55:27.117"</f>
        <v>13:55:27.117</v>
      </c>
      <c r="T305" t="str">
        <f>"13:55:26.617"</f>
        <v>13:55:26.617</v>
      </c>
      <c r="U305" t="str">
        <f t="shared" si="12"/>
        <v>ad5732</v>
      </c>
      <c r="V305">
        <v>0</v>
      </c>
      <c r="W305">
        <v>0</v>
      </c>
      <c r="X305">
        <v>1</v>
      </c>
      <c r="Z305">
        <v>0</v>
      </c>
      <c r="AA305">
        <v>9</v>
      </c>
      <c r="AB305">
        <v>3</v>
      </c>
      <c r="AC305">
        <v>0</v>
      </c>
      <c r="AD305">
        <v>10</v>
      </c>
      <c r="AE305">
        <v>0</v>
      </c>
      <c r="AF305">
        <v>3</v>
      </c>
      <c r="AG305">
        <v>2</v>
      </c>
      <c r="AH305">
        <v>0</v>
      </c>
      <c r="AI305" t="s">
        <v>701</v>
      </c>
      <c r="AJ305">
        <v>39.193489999999997</v>
      </c>
      <c r="AK305" t="s">
        <v>702</v>
      </c>
      <c r="AL305">
        <v>-77.503180999999998</v>
      </c>
      <c r="AM305">
        <v>100</v>
      </c>
      <c r="AN305">
        <v>5300</v>
      </c>
      <c r="AO305" t="s">
        <v>115</v>
      </c>
      <c r="AP305">
        <v>130</v>
      </c>
      <c r="AQ305">
        <v>40</v>
      </c>
      <c r="AR305">
        <v>704</v>
      </c>
      <c r="AZ305">
        <v>3614</v>
      </c>
      <c r="BA305">
        <v>1</v>
      </c>
      <c r="BB305" t="str">
        <f t="shared" si="14"/>
        <v xml:space="preserve">N959MJ  </v>
      </c>
      <c r="BC305">
        <v>1</v>
      </c>
      <c r="BE305">
        <v>0</v>
      </c>
      <c r="BF305">
        <v>0</v>
      </c>
      <c r="BG305">
        <v>0</v>
      </c>
      <c r="BH305">
        <v>5600</v>
      </c>
      <c r="BI305">
        <v>300</v>
      </c>
      <c r="BJ305">
        <v>1</v>
      </c>
      <c r="BK305">
        <v>1</v>
      </c>
      <c r="BL305">
        <v>1</v>
      </c>
      <c r="BM305">
        <v>0</v>
      </c>
      <c r="BP305">
        <v>0</v>
      </c>
      <c r="BQ305">
        <v>0</v>
      </c>
      <c r="BX305" t="str">
        <f>"13:55:27.125"</f>
        <v>13:55:27.125</v>
      </c>
      <c r="BY305" t="str">
        <f>"124897030"</f>
        <v>124897030</v>
      </c>
      <c r="CL305">
        <v>3</v>
      </c>
      <c r="CM305">
        <v>2</v>
      </c>
      <c r="CN305">
        <v>0</v>
      </c>
      <c r="CO305">
        <v>2</v>
      </c>
      <c r="CP305">
        <v>0</v>
      </c>
      <c r="CQ305">
        <v>7</v>
      </c>
      <c r="CR305" t="s">
        <v>116</v>
      </c>
      <c r="CS305">
        <v>147</v>
      </c>
      <c r="CT305">
        <v>3</v>
      </c>
      <c r="CU305" t="s">
        <v>117</v>
      </c>
      <c r="CV305" t="s">
        <v>118</v>
      </c>
      <c r="CY305">
        <v>16275458</v>
      </c>
      <c r="CZ305" t="s">
        <v>119</v>
      </c>
    </row>
    <row r="306" spans="1:104" x14ac:dyDescent="0.25">
      <c r="A306" t="str">
        <f>"13:55:28.281"</f>
        <v>13:55:28.281</v>
      </c>
      <c r="B306" t="s">
        <v>108</v>
      </c>
      <c r="C306" t="str">
        <f t="shared" si="13"/>
        <v>ffdfd3c0</v>
      </c>
      <c r="D306" t="s">
        <v>109</v>
      </c>
      <c r="E306">
        <v>4</v>
      </c>
      <c r="F306">
        <v>1004</v>
      </c>
      <c r="G306" t="s">
        <v>110</v>
      </c>
      <c r="J306" t="s">
        <v>111</v>
      </c>
      <c r="K306">
        <v>0</v>
      </c>
      <c r="L306">
        <v>3</v>
      </c>
      <c r="M306">
        <v>0</v>
      </c>
      <c r="N306">
        <v>2</v>
      </c>
      <c r="O306">
        <v>1</v>
      </c>
      <c r="P306">
        <v>0</v>
      </c>
      <c r="Q306">
        <v>0</v>
      </c>
      <c r="R306" t="s">
        <v>112</v>
      </c>
      <c r="S306" t="str">
        <f>"13:55:28.125"</f>
        <v>13:55:28.125</v>
      </c>
      <c r="T306" t="str">
        <f>"13:55:27.625"</f>
        <v>13:55:27.625</v>
      </c>
      <c r="U306" t="str">
        <f t="shared" si="12"/>
        <v>ad5732</v>
      </c>
      <c r="V306">
        <v>0</v>
      </c>
      <c r="W306">
        <v>0</v>
      </c>
      <c r="X306">
        <v>1</v>
      </c>
      <c r="Z306">
        <v>0</v>
      </c>
      <c r="AA306">
        <v>9</v>
      </c>
      <c r="AB306">
        <v>3</v>
      </c>
      <c r="AC306">
        <v>0</v>
      </c>
      <c r="AD306">
        <v>10</v>
      </c>
      <c r="AE306">
        <v>0</v>
      </c>
      <c r="AF306">
        <v>3</v>
      </c>
      <c r="AG306">
        <v>2</v>
      </c>
      <c r="AH306">
        <v>0</v>
      </c>
      <c r="AI306" t="s">
        <v>703</v>
      </c>
      <c r="AJ306">
        <v>39.193683</v>
      </c>
      <c r="AK306" t="s">
        <v>704</v>
      </c>
      <c r="AL306">
        <v>-77.502386999999999</v>
      </c>
      <c r="AM306">
        <v>100</v>
      </c>
      <c r="AN306">
        <v>5400</v>
      </c>
      <c r="AO306" t="s">
        <v>115</v>
      </c>
      <c r="AP306">
        <v>129</v>
      </c>
      <c r="AQ306">
        <v>41</v>
      </c>
      <c r="AR306">
        <v>768</v>
      </c>
      <c r="AZ306">
        <v>3614</v>
      </c>
      <c r="BA306">
        <v>1</v>
      </c>
      <c r="BB306" t="str">
        <f t="shared" si="14"/>
        <v xml:space="preserve">N959MJ  </v>
      </c>
      <c r="BC306">
        <v>1</v>
      </c>
      <c r="BE306">
        <v>0</v>
      </c>
      <c r="BF306">
        <v>0</v>
      </c>
      <c r="BG306">
        <v>0</v>
      </c>
      <c r="BH306">
        <v>5625</v>
      </c>
      <c r="BI306">
        <v>225</v>
      </c>
      <c r="BJ306">
        <v>1</v>
      </c>
      <c r="BK306">
        <v>1</v>
      </c>
      <c r="BL306">
        <v>1</v>
      </c>
      <c r="BM306">
        <v>0</v>
      </c>
      <c r="BP306">
        <v>0</v>
      </c>
      <c r="BQ306">
        <v>0</v>
      </c>
      <c r="BX306" t="str">
        <f>"13:55:28.133"</f>
        <v>13:55:28.133</v>
      </c>
      <c r="BY306" t="str">
        <f>"130873495"</f>
        <v>130873495</v>
      </c>
      <c r="CL306">
        <v>3</v>
      </c>
      <c r="CM306">
        <v>2</v>
      </c>
      <c r="CN306">
        <v>0</v>
      </c>
      <c r="CO306">
        <v>2</v>
      </c>
      <c r="CP306">
        <v>0</v>
      </c>
      <c r="CQ306">
        <v>7</v>
      </c>
      <c r="CR306" t="s">
        <v>116</v>
      </c>
      <c r="CS306">
        <v>525</v>
      </c>
      <c r="CT306">
        <v>2</v>
      </c>
      <c r="CU306" t="s">
        <v>140</v>
      </c>
      <c r="CV306" t="s">
        <v>141</v>
      </c>
      <c r="CY306">
        <v>14032979</v>
      </c>
      <c r="CZ306" t="s">
        <v>119</v>
      </c>
    </row>
    <row r="307" spans="1:104" x14ac:dyDescent="0.25">
      <c r="A307" t="str">
        <f>"13:55:29.344"</f>
        <v>13:55:29.344</v>
      </c>
      <c r="B307" t="s">
        <v>108</v>
      </c>
      <c r="C307" t="str">
        <f t="shared" si="13"/>
        <v>ffdfd3c0</v>
      </c>
      <c r="D307" t="s">
        <v>109</v>
      </c>
      <c r="E307">
        <v>4</v>
      </c>
      <c r="F307">
        <v>1004</v>
      </c>
      <c r="G307" t="s">
        <v>110</v>
      </c>
      <c r="J307" t="s">
        <v>111</v>
      </c>
      <c r="K307">
        <v>0</v>
      </c>
      <c r="L307">
        <v>3</v>
      </c>
      <c r="M307">
        <v>0</v>
      </c>
      <c r="N307">
        <v>2</v>
      </c>
      <c r="O307">
        <v>1</v>
      </c>
      <c r="P307">
        <v>0</v>
      </c>
      <c r="Q307">
        <v>0</v>
      </c>
      <c r="R307" t="s">
        <v>112</v>
      </c>
      <c r="S307" t="str">
        <f>"13:55:29.156"</f>
        <v>13:55:29.156</v>
      </c>
      <c r="T307" t="str">
        <f>"13:55:28.656"</f>
        <v>13:55:28.656</v>
      </c>
      <c r="U307" t="str">
        <f t="shared" si="12"/>
        <v>ad5732</v>
      </c>
      <c r="V307">
        <v>0</v>
      </c>
      <c r="W307">
        <v>0</v>
      </c>
      <c r="X307">
        <v>1</v>
      </c>
      <c r="Z307">
        <v>0</v>
      </c>
      <c r="AA307">
        <v>9</v>
      </c>
      <c r="AB307">
        <v>3</v>
      </c>
      <c r="AC307">
        <v>0</v>
      </c>
      <c r="AD307">
        <v>10</v>
      </c>
      <c r="AE307">
        <v>0</v>
      </c>
      <c r="AF307">
        <v>3</v>
      </c>
      <c r="AG307">
        <v>2</v>
      </c>
      <c r="AH307">
        <v>0</v>
      </c>
      <c r="AI307" t="s">
        <v>705</v>
      </c>
      <c r="AJ307">
        <v>39.193854000000002</v>
      </c>
      <c r="AK307" t="s">
        <v>706</v>
      </c>
      <c r="AL307">
        <v>-77.501614000000004</v>
      </c>
      <c r="AM307">
        <v>100</v>
      </c>
      <c r="AN307">
        <v>5400</v>
      </c>
      <c r="AO307" t="s">
        <v>115</v>
      </c>
      <c r="AP307">
        <v>129</v>
      </c>
      <c r="AQ307">
        <v>43</v>
      </c>
      <c r="AR307">
        <v>768</v>
      </c>
      <c r="AZ307">
        <v>3614</v>
      </c>
      <c r="BA307">
        <v>1</v>
      </c>
      <c r="BB307" t="str">
        <f t="shared" si="14"/>
        <v xml:space="preserve">N959MJ  </v>
      </c>
      <c r="BC307">
        <v>1</v>
      </c>
      <c r="BE307">
        <v>0</v>
      </c>
      <c r="BF307">
        <v>0</v>
      </c>
      <c r="BG307">
        <v>0</v>
      </c>
      <c r="BH307">
        <v>5650</v>
      </c>
      <c r="BI307">
        <v>250</v>
      </c>
      <c r="BJ307">
        <v>1</v>
      </c>
      <c r="BK307">
        <v>1</v>
      </c>
      <c r="BL307">
        <v>1</v>
      </c>
      <c r="BM307">
        <v>0</v>
      </c>
      <c r="BP307">
        <v>0</v>
      </c>
      <c r="BQ307">
        <v>0</v>
      </c>
      <c r="BX307" t="str">
        <f>"13:55:29.156"</f>
        <v>13:55:29.156</v>
      </c>
      <c r="BY307" t="str">
        <f>"156544766"</f>
        <v>156544766</v>
      </c>
      <c r="CL307">
        <v>3</v>
      </c>
      <c r="CM307">
        <v>2</v>
      </c>
      <c r="CN307">
        <v>0</v>
      </c>
      <c r="CO307">
        <v>2</v>
      </c>
      <c r="CP307">
        <v>0</v>
      </c>
      <c r="CQ307">
        <v>0</v>
      </c>
      <c r="CR307" t="s">
        <v>116</v>
      </c>
      <c r="CS307">
        <v>147</v>
      </c>
      <c r="CT307">
        <v>3</v>
      </c>
      <c r="CU307" t="s">
        <v>117</v>
      </c>
      <c r="CV307" t="s">
        <v>118</v>
      </c>
      <c r="CY307">
        <v>16278678</v>
      </c>
      <c r="CZ307" t="s">
        <v>119</v>
      </c>
    </row>
    <row r="308" spans="1:104" x14ac:dyDescent="0.25">
      <c r="A308" t="str">
        <f>"13:55:30.148"</f>
        <v>13:55:30.148</v>
      </c>
      <c r="B308" t="s">
        <v>108</v>
      </c>
      <c r="C308" t="str">
        <f t="shared" si="13"/>
        <v>ffdfd3c0</v>
      </c>
      <c r="D308" t="s">
        <v>109</v>
      </c>
      <c r="E308">
        <v>4</v>
      </c>
      <c r="F308">
        <v>1004</v>
      </c>
      <c r="G308" t="s">
        <v>110</v>
      </c>
      <c r="J308" t="s">
        <v>111</v>
      </c>
      <c r="K308">
        <v>0</v>
      </c>
      <c r="L308">
        <v>3</v>
      </c>
      <c r="M308">
        <v>0</v>
      </c>
      <c r="N308">
        <v>2</v>
      </c>
      <c r="O308">
        <v>1</v>
      </c>
      <c r="P308">
        <v>0</v>
      </c>
      <c r="Q308">
        <v>0</v>
      </c>
      <c r="R308" t="s">
        <v>112</v>
      </c>
      <c r="S308" t="str">
        <f>"13:55:29.961"</f>
        <v>13:55:29.961</v>
      </c>
      <c r="T308" t="str">
        <f>"13:55:29.563"</f>
        <v>13:55:29.563</v>
      </c>
      <c r="U308" t="str">
        <f t="shared" si="12"/>
        <v>ad5732</v>
      </c>
      <c r="V308">
        <v>0</v>
      </c>
      <c r="W308">
        <v>0</v>
      </c>
      <c r="X308">
        <v>1</v>
      </c>
      <c r="Z308">
        <v>0</v>
      </c>
      <c r="AA308">
        <v>9</v>
      </c>
      <c r="AB308">
        <v>3</v>
      </c>
      <c r="AC308">
        <v>0</v>
      </c>
      <c r="AD308">
        <v>10</v>
      </c>
      <c r="AE308">
        <v>0</v>
      </c>
      <c r="AF308">
        <v>3</v>
      </c>
      <c r="AG308">
        <v>2</v>
      </c>
      <c r="AH308">
        <v>0</v>
      </c>
      <c r="AI308" t="s">
        <v>707</v>
      </c>
      <c r="AJ308">
        <v>39.194046999999998</v>
      </c>
      <c r="AK308" t="s">
        <v>708</v>
      </c>
      <c r="AL308">
        <v>-77.501013</v>
      </c>
      <c r="AM308">
        <v>100</v>
      </c>
      <c r="AN308">
        <v>5400</v>
      </c>
      <c r="AO308" t="s">
        <v>115</v>
      </c>
      <c r="AP308">
        <v>129</v>
      </c>
      <c r="AQ308">
        <v>44</v>
      </c>
      <c r="AR308">
        <v>832</v>
      </c>
      <c r="AZ308">
        <v>3614</v>
      </c>
      <c r="BA308">
        <v>1</v>
      </c>
      <c r="BB308" t="str">
        <f t="shared" si="14"/>
        <v xml:space="preserve">N959MJ  </v>
      </c>
      <c r="BC308">
        <v>1</v>
      </c>
      <c r="BE308">
        <v>0</v>
      </c>
      <c r="BF308">
        <v>0</v>
      </c>
      <c r="BG308">
        <v>0</v>
      </c>
      <c r="BH308">
        <v>5650</v>
      </c>
      <c r="BI308">
        <v>250</v>
      </c>
      <c r="BJ308">
        <v>1</v>
      </c>
      <c r="BK308">
        <v>1</v>
      </c>
      <c r="BL308">
        <v>1</v>
      </c>
      <c r="BM308">
        <v>0</v>
      </c>
      <c r="BP308">
        <v>0</v>
      </c>
      <c r="BQ308">
        <v>0</v>
      </c>
      <c r="BX308" t="str">
        <f>"13:55:29.969"</f>
        <v>13:55:29.969</v>
      </c>
      <c r="BY308" t="str">
        <f>"967548594"</f>
        <v>967548594</v>
      </c>
      <c r="CL308">
        <v>3</v>
      </c>
      <c r="CM308">
        <v>2</v>
      </c>
      <c r="CN308">
        <v>0</v>
      </c>
      <c r="CO308">
        <v>2</v>
      </c>
      <c r="CP308">
        <v>0</v>
      </c>
      <c r="CQ308">
        <v>7</v>
      </c>
      <c r="CR308" t="s">
        <v>116</v>
      </c>
      <c r="CS308">
        <v>525</v>
      </c>
      <c r="CT308">
        <v>3</v>
      </c>
      <c r="CU308" t="s">
        <v>140</v>
      </c>
      <c r="CV308" t="s">
        <v>141</v>
      </c>
      <c r="CY308">
        <v>415253</v>
      </c>
      <c r="CZ308" t="s">
        <v>119</v>
      </c>
    </row>
    <row r="309" spans="1:104" x14ac:dyDescent="0.25">
      <c r="A309" t="str">
        <f>"13:55:31.109"</f>
        <v>13:55:31.109</v>
      </c>
      <c r="B309" t="s">
        <v>108</v>
      </c>
      <c r="C309" t="str">
        <f t="shared" si="13"/>
        <v>ffdfd3c0</v>
      </c>
      <c r="D309" t="s">
        <v>109</v>
      </c>
      <c r="E309">
        <v>4</v>
      </c>
      <c r="F309">
        <v>1004</v>
      </c>
      <c r="G309" t="s">
        <v>110</v>
      </c>
      <c r="J309" t="s">
        <v>111</v>
      </c>
      <c r="K309">
        <v>0</v>
      </c>
      <c r="L309">
        <v>3</v>
      </c>
      <c r="M309">
        <v>0</v>
      </c>
      <c r="N309">
        <v>2</v>
      </c>
      <c r="O309">
        <v>1</v>
      </c>
      <c r="P309">
        <v>0</v>
      </c>
      <c r="Q309">
        <v>0</v>
      </c>
      <c r="R309" t="s">
        <v>112</v>
      </c>
      <c r="S309" t="str">
        <f>"13:55:30.930"</f>
        <v>13:55:30.930</v>
      </c>
      <c r="T309" t="str">
        <f>"13:55:30.531"</f>
        <v>13:55:30.531</v>
      </c>
      <c r="U309" t="str">
        <f t="shared" si="12"/>
        <v>ad5732</v>
      </c>
      <c r="V309">
        <v>0</v>
      </c>
      <c r="W309">
        <v>0</v>
      </c>
      <c r="X309">
        <v>1</v>
      </c>
      <c r="Z309">
        <v>0</v>
      </c>
      <c r="AA309">
        <v>9</v>
      </c>
      <c r="AB309">
        <v>3</v>
      </c>
      <c r="AC309">
        <v>0</v>
      </c>
      <c r="AD309">
        <v>10</v>
      </c>
      <c r="AE309">
        <v>0</v>
      </c>
      <c r="AF309">
        <v>3</v>
      </c>
      <c r="AG309">
        <v>2</v>
      </c>
      <c r="AH309">
        <v>0</v>
      </c>
      <c r="AI309" t="s">
        <v>709</v>
      </c>
      <c r="AJ309">
        <v>39.194218999999997</v>
      </c>
      <c r="AK309" t="s">
        <v>710</v>
      </c>
      <c r="AL309">
        <v>-77.500241000000003</v>
      </c>
      <c r="AM309">
        <v>100</v>
      </c>
      <c r="AN309">
        <v>5400</v>
      </c>
      <c r="AO309" t="s">
        <v>115</v>
      </c>
      <c r="AP309">
        <v>129</v>
      </c>
      <c r="AQ309">
        <v>44</v>
      </c>
      <c r="AR309">
        <v>832</v>
      </c>
      <c r="AZ309">
        <v>3614</v>
      </c>
      <c r="BA309">
        <v>1</v>
      </c>
      <c r="BB309" t="str">
        <f t="shared" si="14"/>
        <v xml:space="preserve">N959MJ  </v>
      </c>
      <c r="BC309">
        <v>1</v>
      </c>
      <c r="BE309">
        <v>0</v>
      </c>
      <c r="BF309">
        <v>0</v>
      </c>
      <c r="BG309">
        <v>0</v>
      </c>
      <c r="BH309">
        <v>5675</v>
      </c>
      <c r="BI309">
        <v>275</v>
      </c>
      <c r="BJ309">
        <v>1</v>
      </c>
      <c r="BK309">
        <v>1</v>
      </c>
      <c r="BL309">
        <v>1</v>
      </c>
      <c r="BM309">
        <v>0</v>
      </c>
      <c r="BP309">
        <v>0</v>
      </c>
      <c r="BQ309">
        <v>0</v>
      </c>
      <c r="BX309" t="str">
        <f>"13:55:30.930"</f>
        <v>13:55:30.930</v>
      </c>
      <c r="BY309" t="str">
        <f>"930959693"</f>
        <v>930959693</v>
      </c>
      <c r="CL309">
        <v>3</v>
      </c>
      <c r="CM309">
        <v>2</v>
      </c>
      <c r="CN309">
        <v>0</v>
      </c>
      <c r="CO309">
        <v>2</v>
      </c>
      <c r="CP309">
        <v>0</v>
      </c>
      <c r="CQ309">
        <v>7</v>
      </c>
      <c r="CR309" t="s">
        <v>116</v>
      </c>
      <c r="CS309">
        <v>147</v>
      </c>
      <c r="CT309">
        <v>3</v>
      </c>
      <c r="CU309" t="s">
        <v>117</v>
      </c>
      <c r="CV309" t="s">
        <v>118</v>
      </c>
      <c r="CY309">
        <v>16281591</v>
      </c>
      <c r="CZ309" t="s">
        <v>119</v>
      </c>
    </row>
    <row r="310" spans="1:104" x14ac:dyDescent="0.25">
      <c r="A310" t="str">
        <f>"13:55:32.219"</f>
        <v>13:55:32.219</v>
      </c>
      <c r="B310" t="s">
        <v>108</v>
      </c>
      <c r="C310" t="str">
        <f t="shared" si="13"/>
        <v>ffdfd3c0</v>
      </c>
      <c r="D310" t="s">
        <v>109</v>
      </c>
      <c r="E310">
        <v>4</v>
      </c>
      <c r="F310">
        <v>1004</v>
      </c>
      <c r="G310" t="s">
        <v>110</v>
      </c>
      <c r="J310" t="s">
        <v>111</v>
      </c>
      <c r="K310">
        <v>0</v>
      </c>
      <c r="L310">
        <v>3</v>
      </c>
      <c r="M310">
        <v>0</v>
      </c>
      <c r="N310">
        <v>2</v>
      </c>
      <c r="O310">
        <v>1</v>
      </c>
      <c r="P310">
        <v>0</v>
      </c>
      <c r="Q310">
        <v>0</v>
      </c>
      <c r="R310" t="s">
        <v>112</v>
      </c>
      <c r="S310" t="str">
        <f>"13:55:32.031"</f>
        <v>13:55:32.031</v>
      </c>
      <c r="T310" t="str">
        <f>"13:55:31.531"</f>
        <v>13:55:31.531</v>
      </c>
      <c r="U310" t="str">
        <f t="shared" si="12"/>
        <v>ad5732</v>
      </c>
      <c r="V310">
        <v>0</v>
      </c>
      <c r="W310">
        <v>0</v>
      </c>
      <c r="X310">
        <v>1</v>
      </c>
      <c r="Z310">
        <v>0</v>
      </c>
      <c r="AA310">
        <v>9</v>
      </c>
      <c r="AB310">
        <v>3</v>
      </c>
      <c r="AC310">
        <v>0</v>
      </c>
      <c r="AD310">
        <v>10</v>
      </c>
      <c r="AE310">
        <v>0</v>
      </c>
      <c r="AF310">
        <v>3</v>
      </c>
      <c r="AG310">
        <v>2</v>
      </c>
      <c r="AH310">
        <v>0</v>
      </c>
      <c r="AI310" t="s">
        <v>711</v>
      </c>
      <c r="AJ310">
        <v>39.194476999999999</v>
      </c>
      <c r="AK310" t="s">
        <v>712</v>
      </c>
      <c r="AL310">
        <v>-77.499381999999997</v>
      </c>
      <c r="AM310">
        <v>100</v>
      </c>
      <c r="AN310">
        <v>5400</v>
      </c>
      <c r="AO310" t="s">
        <v>115</v>
      </c>
      <c r="AP310">
        <v>129</v>
      </c>
      <c r="AQ310">
        <v>44</v>
      </c>
      <c r="AR310">
        <v>896</v>
      </c>
      <c r="AZ310">
        <v>3614</v>
      </c>
      <c r="BA310">
        <v>1</v>
      </c>
      <c r="BB310" t="str">
        <f t="shared" si="14"/>
        <v xml:space="preserve">N959MJ  </v>
      </c>
      <c r="BC310">
        <v>1</v>
      </c>
      <c r="BE310">
        <v>0</v>
      </c>
      <c r="BF310">
        <v>0</v>
      </c>
      <c r="BG310">
        <v>0</v>
      </c>
      <c r="BH310">
        <v>5675</v>
      </c>
      <c r="BI310">
        <v>275</v>
      </c>
      <c r="BJ310">
        <v>1</v>
      </c>
      <c r="BK310">
        <v>1</v>
      </c>
      <c r="BL310">
        <v>1</v>
      </c>
      <c r="BM310">
        <v>0</v>
      </c>
      <c r="BP310">
        <v>0</v>
      </c>
      <c r="BQ310">
        <v>0</v>
      </c>
      <c r="BX310" t="str">
        <f>"13:55:32.031"</f>
        <v>13:55:32.031</v>
      </c>
      <c r="BY310" t="str">
        <f>"033603372"</f>
        <v>033603372</v>
      </c>
      <c r="CL310">
        <v>3</v>
      </c>
      <c r="CM310">
        <v>2</v>
      </c>
      <c r="CN310">
        <v>0</v>
      </c>
      <c r="CO310">
        <v>2</v>
      </c>
      <c r="CP310">
        <v>0</v>
      </c>
      <c r="CQ310">
        <v>7</v>
      </c>
      <c r="CR310" t="s">
        <v>116</v>
      </c>
      <c r="CS310">
        <v>525</v>
      </c>
      <c r="CT310">
        <v>3</v>
      </c>
      <c r="CU310" t="s">
        <v>140</v>
      </c>
      <c r="CV310" t="s">
        <v>141</v>
      </c>
      <c r="CY310">
        <v>417906</v>
      </c>
      <c r="CZ310" t="s">
        <v>119</v>
      </c>
    </row>
    <row r="311" spans="1:104" x14ac:dyDescent="0.25">
      <c r="A311" t="str">
        <f>"13:55:33.078"</f>
        <v>13:55:33.078</v>
      </c>
      <c r="B311" t="s">
        <v>108</v>
      </c>
      <c r="C311" t="str">
        <f t="shared" si="13"/>
        <v>ffdfd3c0</v>
      </c>
      <c r="D311" t="s">
        <v>109</v>
      </c>
      <c r="E311">
        <v>4</v>
      </c>
      <c r="F311">
        <v>1004</v>
      </c>
      <c r="G311" t="s">
        <v>110</v>
      </c>
      <c r="J311" t="s">
        <v>111</v>
      </c>
      <c r="K311">
        <v>0</v>
      </c>
      <c r="L311">
        <v>3</v>
      </c>
      <c r="M311">
        <v>0</v>
      </c>
      <c r="N311">
        <v>2</v>
      </c>
      <c r="O311">
        <v>1</v>
      </c>
      <c r="P311">
        <v>0</v>
      </c>
      <c r="Q311">
        <v>0</v>
      </c>
      <c r="R311" t="s">
        <v>112</v>
      </c>
      <c r="S311" t="str">
        <f>"13:55:32.914"</f>
        <v>13:55:32.914</v>
      </c>
      <c r="T311" t="str">
        <f>"13:55:32.516"</f>
        <v>13:55:32.516</v>
      </c>
      <c r="U311" t="str">
        <f t="shared" si="12"/>
        <v>ad5732</v>
      </c>
      <c r="V311">
        <v>0</v>
      </c>
      <c r="W311">
        <v>0</v>
      </c>
      <c r="X311">
        <v>1</v>
      </c>
      <c r="Z311">
        <v>0</v>
      </c>
      <c r="AA311">
        <v>9</v>
      </c>
      <c r="AB311">
        <v>3</v>
      </c>
      <c r="AC311">
        <v>0</v>
      </c>
      <c r="AD311">
        <v>10</v>
      </c>
      <c r="AE311">
        <v>0</v>
      </c>
      <c r="AF311">
        <v>3</v>
      </c>
      <c r="AG311">
        <v>2</v>
      </c>
      <c r="AH311">
        <v>0</v>
      </c>
      <c r="AI311" t="s">
        <v>713</v>
      </c>
      <c r="AJ311">
        <v>39.194648000000001</v>
      </c>
      <c r="AK311" t="s">
        <v>714</v>
      </c>
      <c r="AL311">
        <v>-77.498695999999995</v>
      </c>
      <c r="AM311">
        <v>100</v>
      </c>
      <c r="AN311">
        <v>5400</v>
      </c>
      <c r="AO311" t="s">
        <v>115</v>
      </c>
      <c r="AP311">
        <v>129</v>
      </c>
      <c r="AQ311">
        <v>44</v>
      </c>
      <c r="AR311">
        <v>960</v>
      </c>
      <c r="AZ311">
        <v>3614</v>
      </c>
      <c r="BA311">
        <v>1</v>
      </c>
      <c r="BB311" t="str">
        <f t="shared" si="14"/>
        <v xml:space="preserve">N959MJ  </v>
      </c>
      <c r="BC311">
        <v>1</v>
      </c>
      <c r="BE311">
        <v>0</v>
      </c>
      <c r="BF311">
        <v>0</v>
      </c>
      <c r="BG311">
        <v>0</v>
      </c>
      <c r="BH311">
        <v>5700</v>
      </c>
      <c r="BI311">
        <v>300</v>
      </c>
      <c r="BJ311">
        <v>1</v>
      </c>
      <c r="BK311">
        <v>1</v>
      </c>
      <c r="BL311">
        <v>1</v>
      </c>
      <c r="BM311">
        <v>0</v>
      </c>
      <c r="BP311">
        <v>0</v>
      </c>
      <c r="BQ311">
        <v>0</v>
      </c>
      <c r="BX311" t="str">
        <f>"13:55:32.914"</f>
        <v>13:55:32.914</v>
      </c>
      <c r="BY311" t="str">
        <f>"915076341"</f>
        <v>915076341</v>
      </c>
      <c r="CL311">
        <v>3</v>
      </c>
      <c r="CM311">
        <v>2</v>
      </c>
      <c r="CN311">
        <v>0</v>
      </c>
      <c r="CO311">
        <v>2</v>
      </c>
      <c r="CP311">
        <v>0</v>
      </c>
      <c r="CQ311">
        <v>7</v>
      </c>
      <c r="CR311" t="s">
        <v>116</v>
      </c>
      <c r="CS311">
        <v>525</v>
      </c>
      <c r="CT311">
        <v>2</v>
      </c>
      <c r="CU311" t="s">
        <v>140</v>
      </c>
      <c r="CV311" t="s">
        <v>141</v>
      </c>
      <c r="CY311">
        <v>14040075</v>
      </c>
      <c r="CZ311" t="s">
        <v>119</v>
      </c>
    </row>
    <row r="312" spans="1:104" x14ac:dyDescent="0.25">
      <c r="A312" t="str">
        <f>"13:55:33.992"</f>
        <v>13:55:33.992</v>
      </c>
      <c r="B312" t="s">
        <v>108</v>
      </c>
      <c r="C312" t="str">
        <f t="shared" si="13"/>
        <v>ffdfd3c0</v>
      </c>
      <c r="D312" t="s">
        <v>109</v>
      </c>
      <c r="E312">
        <v>4</v>
      </c>
      <c r="F312">
        <v>1004</v>
      </c>
      <c r="G312" t="s">
        <v>110</v>
      </c>
      <c r="J312" t="s">
        <v>111</v>
      </c>
      <c r="K312">
        <v>0</v>
      </c>
      <c r="L312">
        <v>3</v>
      </c>
      <c r="M312">
        <v>0</v>
      </c>
      <c r="N312">
        <v>2</v>
      </c>
      <c r="O312">
        <v>1</v>
      </c>
      <c r="P312">
        <v>0</v>
      </c>
      <c r="Q312">
        <v>0</v>
      </c>
      <c r="R312" t="s">
        <v>112</v>
      </c>
      <c r="S312" t="str">
        <f>"13:55:33.820"</f>
        <v>13:55:33.820</v>
      </c>
      <c r="T312" t="str">
        <f>"13:55:33.422"</f>
        <v>13:55:33.422</v>
      </c>
      <c r="U312" t="str">
        <f t="shared" si="12"/>
        <v>ad5732</v>
      </c>
      <c r="V312">
        <v>0</v>
      </c>
      <c r="W312">
        <v>0</v>
      </c>
      <c r="X312">
        <v>1</v>
      </c>
      <c r="Z312">
        <v>0</v>
      </c>
      <c r="AA312">
        <v>9</v>
      </c>
      <c r="AB312">
        <v>3</v>
      </c>
      <c r="AC312">
        <v>0</v>
      </c>
      <c r="AD312">
        <v>10</v>
      </c>
      <c r="AE312">
        <v>0</v>
      </c>
      <c r="AF312">
        <v>3</v>
      </c>
      <c r="AG312">
        <v>2</v>
      </c>
      <c r="AH312">
        <v>0</v>
      </c>
      <c r="AI312" t="s">
        <v>715</v>
      </c>
      <c r="AJ312">
        <v>39.194840999999997</v>
      </c>
      <c r="AK312" t="s">
        <v>716</v>
      </c>
      <c r="AL312">
        <v>-77.498052000000001</v>
      </c>
      <c r="AM312">
        <v>100</v>
      </c>
      <c r="AN312">
        <v>5500</v>
      </c>
      <c r="AO312" t="s">
        <v>115</v>
      </c>
      <c r="AP312">
        <v>129</v>
      </c>
      <c r="AQ312">
        <v>43</v>
      </c>
      <c r="AR312">
        <v>960</v>
      </c>
      <c r="AZ312">
        <v>3614</v>
      </c>
      <c r="BA312">
        <v>1</v>
      </c>
      <c r="BB312" t="str">
        <f t="shared" si="14"/>
        <v xml:space="preserve">N959MJ  </v>
      </c>
      <c r="BC312">
        <v>1</v>
      </c>
      <c r="BE312">
        <v>0</v>
      </c>
      <c r="BF312">
        <v>0</v>
      </c>
      <c r="BG312">
        <v>0</v>
      </c>
      <c r="BH312">
        <v>5700</v>
      </c>
      <c r="BI312">
        <v>200</v>
      </c>
      <c r="BJ312">
        <v>1</v>
      </c>
      <c r="BK312">
        <v>1</v>
      </c>
      <c r="BL312">
        <v>1</v>
      </c>
      <c r="BM312">
        <v>0</v>
      </c>
      <c r="BP312">
        <v>0</v>
      </c>
      <c r="BQ312">
        <v>0</v>
      </c>
      <c r="BX312" t="str">
        <f>"13:55:33.820"</f>
        <v>13:55:33.820</v>
      </c>
      <c r="BY312" t="str">
        <f>"822764243"</f>
        <v>822764243</v>
      </c>
      <c r="CL312">
        <v>3</v>
      </c>
      <c r="CM312">
        <v>2</v>
      </c>
      <c r="CN312">
        <v>0</v>
      </c>
      <c r="CO312">
        <v>2</v>
      </c>
      <c r="CP312">
        <v>0</v>
      </c>
      <c r="CQ312">
        <v>7</v>
      </c>
      <c r="CR312" t="s">
        <v>116</v>
      </c>
      <c r="CS312">
        <v>525</v>
      </c>
      <c r="CT312">
        <v>2</v>
      </c>
      <c r="CU312" t="s">
        <v>140</v>
      </c>
      <c r="CV312" t="s">
        <v>141</v>
      </c>
      <c r="CY312">
        <v>14041425</v>
      </c>
      <c r="CZ312" t="s">
        <v>119</v>
      </c>
    </row>
    <row r="313" spans="1:104" x14ac:dyDescent="0.25">
      <c r="A313" t="str">
        <f>"13:55:34.898"</f>
        <v>13:55:34.898</v>
      </c>
      <c r="B313" t="s">
        <v>108</v>
      </c>
      <c r="C313" t="str">
        <f t="shared" si="13"/>
        <v>ffdfd3c0</v>
      </c>
      <c r="D313" t="s">
        <v>109</v>
      </c>
      <c r="E313">
        <v>4</v>
      </c>
      <c r="F313">
        <v>1004</v>
      </c>
      <c r="G313" t="s">
        <v>110</v>
      </c>
      <c r="J313" t="s">
        <v>111</v>
      </c>
      <c r="K313">
        <v>0</v>
      </c>
      <c r="L313">
        <v>3</v>
      </c>
      <c r="M313">
        <v>0</v>
      </c>
      <c r="N313">
        <v>2</v>
      </c>
      <c r="O313">
        <v>1</v>
      </c>
      <c r="P313">
        <v>0</v>
      </c>
      <c r="Q313">
        <v>0</v>
      </c>
      <c r="R313" t="s">
        <v>112</v>
      </c>
      <c r="S313" t="str">
        <f>"13:55:34.727"</f>
        <v>13:55:34.727</v>
      </c>
      <c r="T313" t="str">
        <f>"13:55:34.328"</f>
        <v>13:55:34.328</v>
      </c>
      <c r="U313" t="str">
        <f t="shared" si="12"/>
        <v>ad5732</v>
      </c>
      <c r="V313">
        <v>0</v>
      </c>
      <c r="W313">
        <v>0</v>
      </c>
      <c r="X313">
        <v>1</v>
      </c>
      <c r="Z313">
        <v>0</v>
      </c>
      <c r="AA313">
        <v>9</v>
      </c>
      <c r="AB313">
        <v>3</v>
      </c>
      <c r="AC313">
        <v>0</v>
      </c>
      <c r="AD313">
        <v>10</v>
      </c>
      <c r="AE313">
        <v>0</v>
      </c>
      <c r="AF313">
        <v>3</v>
      </c>
      <c r="AG313">
        <v>2</v>
      </c>
      <c r="AH313">
        <v>0</v>
      </c>
      <c r="AI313" t="s">
        <v>717</v>
      </c>
      <c r="AJ313">
        <v>39.195013000000003</v>
      </c>
      <c r="AK313" t="s">
        <v>718</v>
      </c>
      <c r="AL313">
        <v>-77.497322999999994</v>
      </c>
      <c r="AM313">
        <v>100</v>
      </c>
      <c r="AN313">
        <v>5500</v>
      </c>
      <c r="AO313" t="s">
        <v>115</v>
      </c>
      <c r="AP313">
        <v>129</v>
      </c>
      <c r="AQ313">
        <v>43</v>
      </c>
      <c r="AR313">
        <v>1024</v>
      </c>
      <c r="AZ313">
        <v>3614</v>
      </c>
      <c r="BA313">
        <v>1</v>
      </c>
      <c r="BB313" t="str">
        <f t="shared" si="14"/>
        <v xml:space="preserve">N959MJ  </v>
      </c>
      <c r="BC313">
        <v>1</v>
      </c>
      <c r="BE313">
        <v>0</v>
      </c>
      <c r="BF313">
        <v>0</v>
      </c>
      <c r="BG313">
        <v>0</v>
      </c>
      <c r="BH313">
        <v>5725</v>
      </c>
      <c r="BI313">
        <v>225</v>
      </c>
      <c r="BJ313">
        <v>1</v>
      </c>
      <c r="BK313">
        <v>1</v>
      </c>
      <c r="BL313">
        <v>1</v>
      </c>
      <c r="BM313">
        <v>0</v>
      </c>
      <c r="BP313">
        <v>0</v>
      </c>
      <c r="BQ313">
        <v>0</v>
      </c>
      <c r="BX313" t="str">
        <f>"13:55:34.734"</f>
        <v>13:55:34.734</v>
      </c>
      <c r="BY313" t="str">
        <f>"733728796"</f>
        <v>733728796</v>
      </c>
      <c r="CL313">
        <v>3</v>
      </c>
      <c r="CM313">
        <v>2</v>
      </c>
      <c r="CN313">
        <v>0</v>
      </c>
      <c r="CO313">
        <v>2</v>
      </c>
      <c r="CP313">
        <v>0</v>
      </c>
      <c r="CQ313">
        <v>7</v>
      </c>
      <c r="CR313" t="s">
        <v>116</v>
      </c>
      <c r="CS313">
        <v>525</v>
      </c>
      <c r="CT313">
        <v>2</v>
      </c>
      <c r="CU313" t="s">
        <v>140</v>
      </c>
      <c r="CV313" t="s">
        <v>141</v>
      </c>
      <c r="CY313">
        <v>14042771</v>
      </c>
      <c r="CZ313" t="s">
        <v>119</v>
      </c>
    </row>
    <row r="314" spans="1:104" x14ac:dyDescent="0.25">
      <c r="A314" t="str">
        <f>"13:55:36.016"</f>
        <v>13:55:36.016</v>
      </c>
      <c r="B314" t="s">
        <v>108</v>
      </c>
      <c r="C314" t="str">
        <f t="shared" si="13"/>
        <v>ffdfd3c0</v>
      </c>
      <c r="D314" t="s">
        <v>109</v>
      </c>
      <c r="E314">
        <v>4</v>
      </c>
      <c r="F314">
        <v>1004</v>
      </c>
      <c r="G314" t="s">
        <v>110</v>
      </c>
      <c r="J314" t="s">
        <v>111</v>
      </c>
      <c r="K314">
        <v>0</v>
      </c>
      <c r="L314">
        <v>3</v>
      </c>
      <c r="M314">
        <v>0</v>
      </c>
      <c r="N314">
        <v>2</v>
      </c>
      <c r="O314">
        <v>1</v>
      </c>
      <c r="P314">
        <v>0</v>
      </c>
      <c r="Q314">
        <v>0</v>
      </c>
      <c r="R314" t="s">
        <v>112</v>
      </c>
      <c r="S314" t="str">
        <f>"13:55:35.813"</f>
        <v>13:55:35.813</v>
      </c>
      <c r="T314" t="str">
        <f>"13:55:35.313"</f>
        <v>13:55:35.313</v>
      </c>
      <c r="U314" t="str">
        <f t="shared" si="12"/>
        <v>ad5732</v>
      </c>
      <c r="V314">
        <v>0</v>
      </c>
      <c r="W314">
        <v>0</v>
      </c>
      <c r="X314">
        <v>1</v>
      </c>
      <c r="Z314">
        <v>0</v>
      </c>
      <c r="AA314">
        <v>9</v>
      </c>
      <c r="AB314">
        <v>3</v>
      </c>
      <c r="AC314">
        <v>0</v>
      </c>
      <c r="AD314">
        <v>10</v>
      </c>
      <c r="AE314">
        <v>0</v>
      </c>
      <c r="AF314">
        <v>3</v>
      </c>
      <c r="AG314">
        <v>2</v>
      </c>
      <c r="AH314">
        <v>0</v>
      </c>
      <c r="AI314" t="s">
        <v>719</v>
      </c>
      <c r="AJ314">
        <v>39.195205999999999</v>
      </c>
      <c r="AK314" t="s">
        <v>720</v>
      </c>
      <c r="AL314">
        <v>-77.496464000000003</v>
      </c>
      <c r="AM314">
        <v>100</v>
      </c>
      <c r="AN314">
        <v>5500</v>
      </c>
      <c r="AO314" t="s">
        <v>115</v>
      </c>
      <c r="AP314">
        <v>129</v>
      </c>
      <c r="AQ314">
        <v>43</v>
      </c>
      <c r="AR314">
        <v>1088</v>
      </c>
      <c r="AZ314">
        <v>3614</v>
      </c>
      <c r="BA314">
        <v>1</v>
      </c>
      <c r="BB314" t="str">
        <f t="shared" si="14"/>
        <v xml:space="preserve">N959MJ  </v>
      </c>
      <c r="BC314">
        <v>1</v>
      </c>
      <c r="BE314">
        <v>0</v>
      </c>
      <c r="BF314">
        <v>0</v>
      </c>
      <c r="BG314">
        <v>0</v>
      </c>
      <c r="BH314">
        <v>5750</v>
      </c>
      <c r="BI314">
        <v>250</v>
      </c>
      <c r="BJ314">
        <v>1</v>
      </c>
      <c r="BK314">
        <v>1</v>
      </c>
      <c r="BL314">
        <v>1</v>
      </c>
      <c r="BM314">
        <v>0</v>
      </c>
      <c r="BP314">
        <v>0</v>
      </c>
      <c r="BQ314">
        <v>0</v>
      </c>
      <c r="BX314" t="str">
        <f>"13:55:35.813"</f>
        <v>13:55:35.813</v>
      </c>
      <c r="BY314" t="str">
        <f>"815089821"</f>
        <v>815089821</v>
      </c>
      <c r="CL314">
        <v>3</v>
      </c>
      <c r="CM314">
        <v>2</v>
      </c>
      <c r="CN314">
        <v>0</v>
      </c>
      <c r="CO314">
        <v>2</v>
      </c>
      <c r="CP314">
        <v>0</v>
      </c>
      <c r="CQ314">
        <v>7</v>
      </c>
      <c r="CR314" t="s">
        <v>116</v>
      </c>
      <c r="CS314">
        <v>525</v>
      </c>
      <c r="CT314">
        <v>2</v>
      </c>
      <c r="CU314" t="s">
        <v>140</v>
      </c>
      <c r="CV314" t="s">
        <v>141</v>
      </c>
      <c r="CY314">
        <v>14044360</v>
      </c>
      <c r="CZ314" t="s">
        <v>119</v>
      </c>
    </row>
    <row r="315" spans="1:104" x14ac:dyDescent="0.25">
      <c r="A315" t="str">
        <f>"13:55:37.016"</f>
        <v>13:55:37.016</v>
      </c>
      <c r="B315" t="s">
        <v>108</v>
      </c>
      <c r="C315" t="str">
        <f t="shared" si="13"/>
        <v>ffdfd3c0</v>
      </c>
      <c r="D315" t="s">
        <v>109</v>
      </c>
      <c r="E315">
        <v>4</v>
      </c>
      <c r="F315">
        <v>1004</v>
      </c>
      <c r="G315" t="s">
        <v>110</v>
      </c>
      <c r="J315" t="s">
        <v>111</v>
      </c>
      <c r="K315">
        <v>0</v>
      </c>
      <c r="L315">
        <v>3</v>
      </c>
      <c r="M315">
        <v>0</v>
      </c>
      <c r="N315">
        <v>2</v>
      </c>
      <c r="O315">
        <v>1</v>
      </c>
      <c r="P315">
        <v>0</v>
      </c>
      <c r="Q315">
        <v>0</v>
      </c>
      <c r="R315" t="s">
        <v>112</v>
      </c>
      <c r="S315" t="str">
        <f>"13:55:36.828"</f>
        <v>13:55:36.828</v>
      </c>
      <c r="T315" t="str">
        <f>"13:55:36.328"</f>
        <v>13:55:36.328</v>
      </c>
      <c r="U315" t="str">
        <f t="shared" si="12"/>
        <v>ad5732</v>
      </c>
      <c r="V315">
        <v>0</v>
      </c>
      <c r="W315">
        <v>0</v>
      </c>
      <c r="X315">
        <v>1</v>
      </c>
      <c r="Z315">
        <v>0</v>
      </c>
      <c r="AA315">
        <v>9</v>
      </c>
      <c r="AB315">
        <v>3</v>
      </c>
      <c r="AC315">
        <v>0</v>
      </c>
      <c r="AD315">
        <v>10</v>
      </c>
      <c r="AE315">
        <v>0</v>
      </c>
      <c r="AF315">
        <v>3</v>
      </c>
      <c r="AG315">
        <v>2</v>
      </c>
      <c r="AH315">
        <v>0</v>
      </c>
      <c r="AI315" t="s">
        <v>721</v>
      </c>
      <c r="AJ315">
        <v>39.195442</v>
      </c>
      <c r="AK315" t="s">
        <v>722</v>
      </c>
      <c r="AL315">
        <v>-77.495734999999996</v>
      </c>
      <c r="AM315">
        <v>100</v>
      </c>
      <c r="AN315">
        <v>5500</v>
      </c>
      <c r="AO315" t="s">
        <v>115</v>
      </c>
      <c r="AP315">
        <v>129</v>
      </c>
      <c r="AQ315">
        <v>42</v>
      </c>
      <c r="AR315">
        <v>1152</v>
      </c>
      <c r="AZ315">
        <v>3614</v>
      </c>
      <c r="BA315">
        <v>1</v>
      </c>
      <c r="BB315" t="str">
        <f t="shared" si="14"/>
        <v xml:space="preserve">N959MJ  </v>
      </c>
      <c r="BC315">
        <v>1</v>
      </c>
      <c r="BE315">
        <v>0</v>
      </c>
      <c r="BF315">
        <v>0</v>
      </c>
      <c r="BG315">
        <v>0</v>
      </c>
      <c r="BH315">
        <v>5750</v>
      </c>
      <c r="BI315">
        <v>250</v>
      </c>
      <c r="BJ315">
        <v>1</v>
      </c>
      <c r="BK315">
        <v>1</v>
      </c>
      <c r="BL315">
        <v>1</v>
      </c>
      <c r="BM315">
        <v>0</v>
      </c>
      <c r="BP315">
        <v>0</v>
      </c>
      <c r="BQ315">
        <v>0</v>
      </c>
      <c r="BX315" t="str">
        <f>"13:55:36.836"</f>
        <v>13:55:36.836</v>
      </c>
      <c r="BY315" t="str">
        <f>"835828933"</f>
        <v>835828933</v>
      </c>
      <c r="CL315">
        <v>3</v>
      </c>
      <c r="CM315">
        <v>2</v>
      </c>
      <c r="CN315">
        <v>0</v>
      </c>
      <c r="CO315">
        <v>2</v>
      </c>
      <c r="CP315">
        <v>0</v>
      </c>
      <c r="CQ315">
        <v>7</v>
      </c>
      <c r="CR315" t="s">
        <v>116</v>
      </c>
      <c r="CS315">
        <v>525</v>
      </c>
      <c r="CT315">
        <v>2</v>
      </c>
      <c r="CU315" t="s">
        <v>140</v>
      </c>
      <c r="CV315" t="s">
        <v>141</v>
      </c>
      <c r="CY315">
        <v>14045886</v>
      </c>
      <c r="CZ315" t="s">
        <v>119</v>
      </c>
    </row>
    <row r="316" spans="1:104" x14ac:dyDescent="0.25">
      <c r="A316" t="str">
        <f>"13:55:38.031"</f>
        <v>13:55:38.031</v>
      </c>
      <c r="B316" t="s">
        <v>108</v>
      </c>
      <c r="C316" t="str">
        <f t="shared" si="13"/>
        <v>ffdfd3c0</v>
      </c>
      <c r="D316" t="s">
        <v>109</v>
      </c>
      <c r="E316">
        <v>4</v>
      </c>
      <c r="F316">
        <v>1004</v>
      </c>
      <c r="G316" t="s">
        <v>110</v>
      </c>
      <c r="J316" t="s">
        <v>111</v>
      </c>
      <c r="K316">
        <v>0</v>
      </c>
      <c r="L316">
        <v>3</v>
      </c>
      <c r="M316">
        <v>0</v>
      </c>
      <c r="N316">
        <v>2</v>
      </c>
      <c r="O316">
        <v>1</v>
      </c>
      <c r="P316">
        <v>0</v>
      </c>
      <c r="Q316">
        <v>0</v>
      </c>
      <c r="R316" t="s">
        <v>112</v>
      </c>
      <c r="S316" t="str">
        <f>"13:55:37.836"</f>
        <v>13:55:37.836</v>
      </c>
      <c r="T316" t="str">
        <f>"13:55:37.438"</f>
        <v>13:55:37.438</v>
      </c>
      <c r="U316" t="str">
        <f t="shared" si="12"/>
        <v>ad5732</v>
      </c>
      <c r="V316">
        <v>0</v>
      </c>
      <c r="W316">
        <v>0</v>
      </c>
      <c r="X316">
        <v>1</v>
      </c>
      <c r="Z316">
        <v>0</v>
      </c>
      <c r="AA316">
        <v>9</v>
      </c>
      <c r="AB316">
        <v>3</v>
      </c>
      <c r="AC316">
        <v>0</v>
      </c>
      <c r="AD316">
        <v>10</v>
      </c>
      <c r="AE316">
        <v>0</v>
      </c>
      <c r="AF316">
        <v>3</v>
      </c>
      <c r="AG316">
        <v>2</v>
      </c>
      <c r="AH316">
        <v>0</v>
      </c>
      <c r="AI316" t="s">
        <v>723</v>
      </c>
      <c r="AJ316">
        <v>39.195635000000003</v>
      </c>
      <c r="AK316" t="s">
        <v>724</v>
      </c>
      <c r="AL316">
        <v>-77.494940999999997</v>
      </c>
      <c r="AM316">
        <v>100</v>
      </c>
      <c r="AN316">
        <v>5500</v>
      </c>
      <c r="AO316" t="s">
        <v>115</v>
      </c>
      <c r="AP316">
        <v>129</v>
      </c>
      <c r="AQ316">
        <v>42</v>
      </c>
      <c r="AR316">
        <v>1216</v>
      </c>
      <c r="AZ316">
        <v>3614</v>
      </c>
      <c r="BA316">
        <v>1</v>
      </c>
      <c r="BB316" t="str">
        <f t="shared" si="14"/>
        <v xml:space="preserve">N959MJ  </v>
      </c>
      <c r="BC316">
        <v>1</v>
      </c>
      <c r="BE316">
        <v>0</v>
      </c>
      <c r="BF316">
        <v>0</v>
      </c>
      <c r="BG316">
        <v>0</v>
      </c>
      <c r="BH316">
        <v>5775</v>
      </c>
      <c r="BI316">
        <v>275</v>
      </c>
      <c r="BJ316">
        <v>1</v>
      </c>
      <c r="BK316">
        <v>1</v>
      </c>
      <c r="BL316">
        <v>1</v>
      </c>
      <c r="BM316">
        <v>0</v>
      </c>
      <c r="BP316">
        <v>0</v>
      </c>
      <c r="BQ316">
        <v>0</v>
      </c>
      <c r="BX316" t="str">
        <f>"13:55:37.844"</f>
        <v>13:55:37.844</v>
      </c>
      <c r="BY316" t="str">
        <f>"841838912"</f>
        <v>841838912</v>
      </c>
      <c r="CL316">
        <v>3</v>
      </c>
      <c r="CM316">
        <v>2</v>
      </c>
      <c r="CN316">
        <v>0</v>
      </c>
      <c r="CO316">
        <v>2</v>
      </c>
      <c r="CP316">
        <v>0</v>
      </c>
      <c r="CQ316">
        <v>7</v>
      </c>
      <c r="CR316" t="s">
        <v>116</v>
      </c>
      <c r="CS316">
        <v>147</v>
      </c>
      <c r="CT316">
        <v>3</v>
      </c>
      <c r="CU316" t="s">
        <v>117</v>
      </c>
      <c r="CV316" t="s">
        <v>118</v>
      </c>
      <c r="CY316">
        <v>16292690</v>
      </c>
      <c r="CZ316" t="s">
        <v>119</v>
      </c>
    </row>
    <row r="317" spans="1:104" x14ac:dyDescent="0.25">
      <c r="A317" t="str">
        <f>"13:55:39.039"</f>
        <v>13:55:39.039</v>
      </c>
      <c r="B317" t="s">
        <v>108</v>
      </c>
      <c r="C317" t="str">
        <f t="shared" si="13"/>
        <v>ffdfd3c0</v>
      </c>
      <c r="D317" t="s">
        <v>109</v>
      </c>
      <c r="E317">
        <v>4</v>
      </c>
      <c r="F317">
        <v>1004</v>
      </c>
      <c r="G317" t="s">
        <v>110</v>
      </c>
      <c r="J317" t="s">
        <v>111</v>
      </c>
      <c r="K317">
        <v>0</v>
      </c>
      <c r="L317">
        <v>3</v>
      </c>
      <c r="M317">
        <v>0</v>
      </c>
      <c r="N317">
        <v>2</v>
      </c>
      <c r="O317">
        <v>1</v>
      </c>
      <c r="P317">
        <v>0</v>
      </c>
      <c r="Q317">
        <v>0</v>
      </c>
      <c r="R317" t="s">
        <v>112</v>
      </c>
      <c r="S317" t="str">
        <f>"13:55:38.875"</f>
        <v>13:55:38.875</v>
      </c>
      <c r="T317" t="str">
        <f>"13:55:38.477"</f>
        <v>13:55:38.477</v>
      </c>
      <c r="U317" t="str">
        <f t="shared" si="12"/>
        <v>ad5732</v>
      </c>
      <c r="V317">
        <v>0</v>
      </c>
      <c r="W317">
        <v>0</v>
      </c>
      <c r="X317">
        <v>1</v>
      </c>
      <c r="Z317">
        <v>0</v>
      </c>
      <c r="AA317">
        <v>9</v>
      </c>
      <c r="AB317">
        <v>3</v>
      </c>
      <c r="AC317">
        <v>0</v>
      </c>
      <c r="AD317">
        <v>10</v>
      </c>
      <c r="AE317">
        <v>0</v>
      </c>
      <c r="AF317">
        <v>3</v>
      </c>
      <c r="AG317">
        <v>2</v>
      </c>
      <c r="AH317">
        <v>0</v>
      </c>
      <c r="AI317" t="s">
        <v>725</v>
      </c>
      <c r="AJ317">
        <v>39.195827999999999</v>
      </c>
      <c r="AK317" t="s">
        <v>726</v>
      </c>
      <c r="AL317">
        <v>-77.494103999999993</v>
      </c>
      <c r="AM317">
        <v>100</v>
      </c>
      <c r="AN317">
        <v>5500</v>
      </c>
      <c r="AO317" t="s">
        <v>115</v>
      </c>
      <c r="AP317">
        <v>129</v>
      </c>
      <c r="AQ317">
        <v>41</v>
      </c>
      <c r="AR317">
        <v>1280</v>
      </c>
      <c r="AZ317">
        <v>3614</v>
      </c>
      <c r="BA317">
        <v>1</v>
      </c>
      <c r="BB317" t="str">
        <f t="shared" si="14"/>
        <v xml:space="preserve">N959MJ  </v>
      </c>
      <c r="BC317">
        <v>1</v>
      </c>
      <c r="BE317">
        <v>0</v>
      </c>
      <c r="BF317">
        <v>0</v>
      </c>
      <c r="BG317">
        <v>0</v>
      </c>
      <c r="BH317">
        <v>5800</v>
      </c>
      <c r="BI317">
        <v>300</v>
      </c>
      <c r="BJ317">
        <v>1</v>
      </c>
      <c r="BK317">
        <v>1</v>
      </c>
      <c r="BL317">
        <v>1</v>
      </c>
      <c r="BM317">
        <v>0</v>
      </c>
      <c r="BP317">
        <v>0</v>
      </c>
      <c r="BQ317">
        <v>0</v>
      </c>
      <c r="BX317" t="str">
        <f>"13:55:38.883"</f>
        <v>13:55:38.883</v>
      </c>
      <c r="BY317" t="str">
        <f>"880584261"</f>
        <v>880584261</v>
      </c>
      <c r="CL317">
        <v>3</v>
      </c>
      <c r="CM317">
        <v>2</v>
      </c>
      <c r="CN317">
        <v>0</v>
      </c>
      <c r="CO317">
        <v>2</v>
      </c>
      <c r="CP317">
        <v>0</v>
      </c>
      <c r="CQ317">
        <v>7</v>
      </c>
      <c r="CR317" t="s">
        <v>116</v>
      </c>
      <c r="CS317">
        <v>525</v>
      </c>
      <c r="CT317">
        <v>2</v>
      </c>
      <c r="CU317" t="s">
        <v>140</v>
      </c>
      <c r="CV317" t="s">
        <v>141</v>
      </c>
      <c r="CY317">
        <v>14048979</v>
      </c>
      <c r="CZ317" t="s">
        <v>119</v>
      </c>
    </row>
    <row r="318" spans="1:104" x14ac:dyDescent="0.25">
      <c r="A318" t="str">
        <f>"13:55:40.047"</f>
        <v>13:55:40.047</v>
      </c>
      <c r="B318" t="s">
        <v>108</v>
      </c>
      <c r="C318" t="str">
        <f t="shared" si="13"/>
        <v>ffdfd3c0</v>
      </c>
      <c r="D318" t="s">
        <v>109</v>
      </c>
      <c r="E318">
        <v>4</v>
      </c>
      <c r="F318">
        <v>1004</v>
      </c>
      <c r="G318" t="s">
        <v>110</v>
      </c>
      <c r="J318" t="s">
        <v>111</v>
      </c>
      <c r="K318">
        <v>0</v>
      </c>
      <c r="L318">
        <v>3</v>
      </c>
      <c r="M318">
        <v>0</v>
      </c>
      <c r="N318">
        <v>2</v>
      </c>
      <c r="O318">
        <v>1</v>
      </c>
      <c r="P318">
        <v>0</v>
      </c>
      <c r="Q318">
        <v>0</v>
      </c>
      <c r="R318" t="s">
        <v>112</v>
      </c>
      <c r="S318" t="str">
        <f>"13:55:39.875"</f>
        <v>13:55:39.875</v>
      </c>
      <c r="T318" t="str">
        <f>"13:55:39.375"</f>
        <v>13:55:39.375</v>
      </c>
      <c r="U318" t="str">
        <f t="shared" si="12"/>
        <v>ad5732</v>
      </c>
      <c r="V318">
        <v>0</v>
      </c>
      <c r="W318">
        <v>0</v>
      </c>
      <c r="X318">
        <v>1</v>
      </c>
      <c r="Z318">
        <v>0</v>
      </c>
      <c r="AA318">
        <v>9</v>
      </c>
      <c r="AB318">
        <v>3</v>
      </c>
      <c r="AC318">
        <v>0</v>
      </c>
      <c r="AD318">
        <v>10</v>
      </c>
      <c r="AE318">
        <v>0</v>
      </c>
      <c r="AF318">
        <v>3</v>
      </c>
      <c r="AG318">
        <v>2</v>
      </c>
      <c r="AH318">
        <v>0</v>
      </c>
      <c r="AI318" t="s">
        <v>727</v>
      </c>
      <c r="AJ318">
        <v>39.196021999999999</v>
      </c>
      <c r="AK318" t="s">
        <v>728</v>
      </c>
      <c r="AL318">
        <v>-77.493309999999994</v>
      </c>
      <c r="AM318">
        <v>100</v>
      </c>
      <c r="AN318">
        <v>5600</v>
      </c>
      <c r="AO318" t="s">
        <v>115</v>
      </c>
      <c r="AP318">
        <v>128</v>
      </c>
      <c r="AQ318">
        <v>40</v>
      </c>
      <c r="AR318">
        <v>1280</v>
      </c>
      <c r="AZ318">
        <v>3614</v>
      </c>
      <c r="BA318">
        <v>1</v>
      </c>
      <c r="BB318" t="str">
        <f t="shared" si="14"/>
        <v xml:space="preserve">N959MJ  </v>
      </c>
      <c r="BC318">
        <v>1</v>
      </c>
      <c r="BE318">
        <v>0</v>
      </c>
      <c r="BF318">
        <v>0</v>
      </c>
      <c r="BG318">
        <v>0</v>
      </c>
      <c r="BH318">
        <v>5825</v>
      </c>
      <c r="BI318">
        <v>225</v>
      </c>
      <c r="BJ318">
        <v>1</v>
      </c>
      <c r="BK318">
        <v>1</v>
      </c>
      <c r="BL318">
        <v>1</v>
      </c>
      <c r="BM318">
        <v>0</v>
      </c>
      <c r="BP318">
        <v>0</v>
      </c>
      <c r="BQ318">
        <v>0</v>
      </c>
      <c r="BX318" t="str">
        <f>"13:55:39.875"</f>
        <v>13:55:39.875</v>
      </c>
      <c r="BY318" t="str">
        <f>"875108536"</f>
        <v>875108536</v>
      </c>
      <c r="CL318">
        <v>3</v>
      </c>
      <c r="CM318">
        <v>2</v>
      </c>
      <c r="CN318">
        <v>0</v>
      </c>
      <c r="CO318">
        <v>2</v>
      </c>
      <c r="CP318">
        <v>0</v>
      </c>
      <c r="CQ318">
        <v>7</v>
      </c>
      <c r="CR318" t="s">
        <v>116</v>
      </c>
      <c r="CS318">
        <v>525</v>
      </c>
      <c r="CT318">
        <v>3</v>
      </c>
      <c r="CU318" t="s">
        <v>140</v>
      </c>
      <c r="CV318" t="s">
        <v>141</v>
      </c>
      <c r="CY318">
        <v>428386</v>
      </c>
      <c r="CZ318" t="s">
        <v>119</v>
      </c>
    </row>
    <row r="319" spans="1:104" x14ac:dyDescent="0.25">
      <c r="A319" t="str">
        <f>"13:55:41.008"</f>
        <v>13:55:41.008</v>
      </c>
      <c r="B319" t="s">
        <v>108</v>
      </c>
      <c r="C319" t="str">
        <f t="shared" si="13"/>
        <v>ffdfd3c0</v>
      </c>
      <c r="D319" t="s">
        <v>109</v>
      </c>
      <c r="E319">
        <v>4</v>
      </c>
      <c r="F319">
        <v>1004</v>
      </c>
      <c r="G319" t="s">
        <v>110</v>
      </c>
      <c r="J319" t="s">
        <v>111</v>
      </c>
      <c r="K319">
        <v>0</v>
      </c>
      <c r="L319">
        <v>3</v>
      </c>
      <c r="M319">
        <v>0</v>
      </c>
      <c r="N319">
        <v>2</v>
      </c>
      <c r="O319">
        <v>1</v>
      </c>
      <c r="P319">
        <v>0</v>
      </c>
      <c r="Q319">
        <v>0</v>
      </c>
      <c r="R319" t="s">
        <v>112</v>
      </c>
      <c r="S319" t="str">
        <f>"13:55:40.789"</f>
        <v>13:55:40.789</v>
      </c>
      <c r="T319" t="str">
        <f>"13:55:40.391"</f>
        <v>13:55:40.391</v>
      </c>
      <c r="U319" t="str">
        <f t="shared" si="12"/>
        <v>ad5732</v>
      </c>
      <c r="V319">
        <v>0</v>
      </c>
      <c r="W319">
        <v>0</v>
      </c>
      <c r="X319">
        <v>1</v>
      </c>
      <c r="Z319">
        <v>0</v>
      </c>
      <c r="AA319">
        <v>9</v>
      </c>
      <c r="AB319">
        <v>3</v>
      </c>
      <c r="AC319">
        <v>0</v>
      </c>
      <c r="AD319">
        <v>10</v>
      </c>
      <c r="AE319">
        <v>0</v>
      </c>
      <c r="AF319">
        <v>3</v>
      </c>
      <c r="AG319">
        <v>2</v>
      </c>
      <c r="AH319">
        <v>0</v>
      </c>
      <c r="AI319" t="s">
        <v>729</v>
      </c>
      <c r="AJ319">
        <v>39.196193000000001</v>
      </c>
      <c r="AK319" t="s">
        <v>730</v>
      </c>
      <c r="AL319">
        <v>-77.492666</v>
      </c>
      <c r="AM319">
        <v>100</v>
      </c>
      <c r="AN319">
        <v>5600</v>
      </c>
      <c r="AO319" t="s">
        <v>115</v>
      </c>
      <c r="AP319">
        <v>128</v>
      </c>
      <c r="AQ319">
        <v>39</v>
      </c>
      <c r="AR319">
        <v>1280</v>
      </c>
      <c r="AZ319">
        <v>3614</v>
      </c>
      <c r="BA319">
        <v>1</v>
      </c>
      <c r="BB319" t="str">
        <f t="shared" si="14"/>
        <v xml:space="preserve">N959MJ  </v>
      </c>
      <c r="BC319">
        <v>1</v>
      </c>
      <c r="BE319">
        <v>0</v>
      </c>
      <c r="BF319">
        <v>0</v>
      </c>
      <c r="BG319">
        <v>0</v>
      </c>
      <c r="BH319">
        <v>5850</v>
      </c>
      <c r="BI319">
        <v>250</v>
      </c>
      <c r="BJ319">
        <v>1</v>
      </c>
      <c r="BK319">
        <v>1</v>
      </c>
      <c r="BL319">
        <v>1</v>
      </c>
      <c r="BM319">
        <v>0</v>
      </c>
      <c r="BP319">
        <v>0</v>
      </c>
      <c r="BQ319">
        <v>0</v>
      </c>
      <c r="BX319" t="str">
        <f>"13:55:40.789"</f>
        <v>13:55:40.789</v>
      </c>
      <c r="BY319" t="str">
        <f>"792626949"</f>
        <v>792626949</v>
      </c>
      <c r="CL319">
        <v>3</v>
      </c>
      <c r="CM319">
        <v>2</v>
      </c>
      <c r="CN319">
        <v>0</v>
      </c>
      <c r="CO319">
        <v>2</v>
      </c>
      <c r="CP319">
        <v>0</v>
      </c>
      <c r="CQ319">
        <v>7</v>
      </c>
      <c r="CR319" t="s">
        <v>116</v>
      </c>
      <c r="CS319">
        <v>525</v>
      </c>
      <c r="CT319">
        <v>3</v>
      </c>
      <c r="CU319" t="s">
        <v>140</v>
      </c>
      <c r="CV319" t="s">
        <v>141</v>
      </c>
      <c r="CY319">
        <v>429608</v>
      </c>
      <c r="CZ319" t="s">
        <v>119</v>
      </c>
    </row>
    <row r="320" spans="1:104" x14ac:dyDescent="0.25">
      <c r="A320" t="str">
        <f>"13:55:42.125"</f>
        <v>13:55:42.125</v>
      </c>
      <c r="B320" t="s">
        <v>108</v>
      </c>
      <c r="C320" t="str">
        <f t="shared" si="13"/>
        <v>ffdfd3c0</v>
      </c>
      <c r="D320" t="s">
        <v>109</v>
      </c>
      <c r="E320">
        <v>4</v>
      </c>
      <c r="F320">
        <v>1004</v>
      </c>
      <c r="G320" t="s">
        <v>110</v>
      </c>
      <c r="J320" t="s">
        <v>111</v>
      </c>
      <c r="K320">
        <v>0</v>
      </c>
      <c r="L320">
        <v>3</v>
      </c>
      <c r="M320">
        <v>0</v>
      </c>
      <c r="N320">
        <v>2</v>
      </c>
      <c r="O320">
        <v>1</v>
      </c>
      <c r="P320">
        <v>0</v>
      </c>
      <c r="Q320">
        <v>0</v>
      </c>
      <c r="R320" t="s">
        <v>112</v>
      </c>
      <c r="S320" t="str">
        <f>"13:55:41.930"</f>
        <v>13:55:41.930</v>
      </c>
      <c r="T320" t="str">
        <f>"13:55:41.430"</f>
        <v>13:55:41.430</v>
      </c>
      <c r="U320" t="str">
        <f t="shared" si="12"/>
        <v>ad5732</v>
      </c>
      <c r="V320">
        <v>0</v>
      </c>
      <c r="W320">
        <v>0</v>
      </c>
      <c r="X320">
        <v>1</v>
      </c>
      <c r="Z320">
        <v>0</v>
      </c>
      <c r="AA320">
        <v>9</v>
      </c>
      <c r="AB320">
        <v>3</v>
      </c>
      <c r="AC320">
        <v>0</v>
      </c>
      <c r="AD320">
        <v>10</v>
      </c>
      <c r="AE320">
        <v>0</v>
      </c>
      <c r="AF320">
        <v>3</v>
      </c>
      <c r="AG320">
        <v>2</v>
      </c>
      <c r="AH320">
        <v>0</v>
      </c>
      <c r="AI320" t="s">
        <v>731</v>
      </c>
      <c r="AJ320">
        <v>39.196385999999997</v>
      </c>
      <c r="AK320" t="s">
        <v>732</v>
      </c>
      <c r="AL320">
        <v>-77.491828999999996</v>
      </c>
      <c r="AM320">
        <v>100</v>
      </c>
      <c r="AN320">
        <v>5600</v>
      </c>
      <c r="AO320" t="s">
        <v>115</v>
      </c>
      <c r="AP320">
        <v>128</v>
      </c>
      <c r="AQ320">
        <v>38</v>
      </c>
      <c r="AR320">
        <v>1280</v>
      </c>
      <c r="AZ320">
        <v>3614</v>
      </c>
      <c r="BA320">
        <v>1</v>
      </c>
      <c r="BB320" t="str">
        <f t="shared" si="14"/>
        <v xml:space="preserve">N959MJ  </v>
      </c>
      <c r="BC320">
        <v>1</v>
      </c>
      <c r="BE320">
        <v>0</v>
      </c>
      <c r="BF320">
        <v>0</v>
      </c>
      <c r="BG320">
        <v>0</v>
      </c>
      <c r="BH320">
        <v>5875</v>
      </c>
      <c r="BI320">
        <v>275</v>
      </c>
      <c r="BJ320">
        <v>1</v>
      </c>
      <c r="BK320">
        <v>1</v>
      </c>
      <c r="BL320">
        <v>1</v>
      </c>
      <c r="BM320">
        <v>0</v>
      </c>
      <c r="BP320">
        <v>0</v>
      </c>
      <c r="BQ320">
        <v>0</v>
      </c>
      <c r="BX320" t="str">
        <f>"13:55:41.938"</f>
        <v>13:55:41.938</v>
      </c>
      <c r="BY320" t="str">
        <f>"936248056"</f>
        <v>936248056</v>
      </c>
      <c r="CL320">
        <v>3</v>
      </c>
      <c r="CM320">
        <v>2</v>
      </c>
      <c r="CN320">
        <v>0</v>
      </c>
      <c r="CO320">
        <v>2</v>
      </c>
      <c r="CP320">
        <v>0</v>
      </c>
      <c r="CQ320">
        <v>7</v>
      </c>
      <c r="CR320" t="s">
        <v>116</v>
      </c>
      <c r="CS320">
        <v>525</v>
      </c>
      <c r="CT320">
        <v>2</v>
      </c>
      <c r="CU320" t="s">
        <v>140</v>
      </c>
      <c r="CV320" t="s">
        <v>141</v>
      </c>
      <c r="CY320">
        <v>14053441</v>
      </c>
      <c r="CZ320" t="s">
        <v>119</v>
      </c>
    </row>
    <row r="321" spans="1:104" x14ac:dyDescent="0.25">
      <c r="A321" t="str">
        <f>"13:55:43.180"</f>
        <v>13:55:43.180</v>
      </c>
      <c r="B321" t="s">
        <v>108</v>
      </c>
      <c r="C321" t="str">
        <f t="shared" si="13"/>
        <v>ffdfd3c0</v>
      </c>
      <c r="D321" t="s">
        <v>109</v>
      </c>
      <c r="E321">
        <v>4</v>
      </c>
      <c r="F321">
        <v>1004</v>
      </c>
      <c r="G321" t="s">
        <v>110</v>
      </c>
      <c r="J321" t="s">
        <v>111</v>
      </c>
      <c r="K321">
        <v>0</v>
      </c>
      <c r="L321">
        <v>3</v>
      </c>
      <c r="M321">
        <v>0</v>
      </c>
      <c r="N321">
        <v>2</v>
      </c>
      <c r="O321">
        <v>1</v>
      </c>
      <c r="P321">
        <v>0</v>
      </c>
      <c r="Q321">
        <v>0</v>
      </c>
      <c r="R321" t="s">
        <v>112</v>
      </c>
      <c r="S321" t="str">
        <f>"13:55:42.961"</f>
        <v>13:55:42.961</v>
      </c>
      <c r="T321" t="str">
        <f>"13:55:42.461"</f>
        <v>13:55:42.461</v>
      </c>
      <c r="U321" t="str">
        <f t="shared" si="12"/>
        <v>ad5732</v>
      </c>
      <c r="V321">
        <v>0</v>
      </c>
      <c r="W321">
        <v>0</v>
      </c>
      <c r="X321">
        <v>1</v>
      </c>
      <c r="Z321">
        <v>0</v>
      </c>
      <c r="AA321">
        <v>9</v>
      </c>
      <c r="AB321">
        <v>3</v>
      </c>
      <c r="AC321">
        <v>0</v>
      </c>
      <c r="AD321">
        <v>10</v>
      </c>
      <c r="AE321">
        <v>0</v>
      </c>
      <c r="AF321">
        <v>3</v>
      </c>
      <c r="AG321">
        <v>2</v>
      </c>
      <c r="AH321">
        <v>0</v>
      </c>
      <c r="AI321" t="s">
        <v>733</v>
      </c>
      <c r="AJ321">
        <v>39.196514999999998</v>
      </c>
      <c r="AK321" t="s">
        <v>734</v>
      </c>
      <c r="AL321">
        <v>-77.491056999999998</v>
      </c>
      <c r="AM321">
        <v>100</v>
      </c>
      <c r="AN321">
        <v>5600</v>
      </c>
      <c r="AO321" t="s">
        <v>115</v>
      </c>
      <c r="AP321">
        <v>128</v>
      </c>
      <c r="AQ321">
        <v>36</v>
      </c>
      <c r="AR321">
        <v>1280</v>
      </c>
      <c r="AZ321">
        <v>3614</v>
      </c>
      <c r="BA321">
        <v>1</v>
      </c>
      <c r="BB321" t="str">
        <f t="shared" si="14"/>
        <v xml:space="preserve">N959MJ  </v>
      </c>
      <c r="BC321">
        <v>1</v>
      </c>
      <c r="BE321">
        <v>0</v>
      </c>
      <c r="BF321">
        <v>0</v>
      </c>
      <c r="BG321">
        <v>0</v>
      </c>
      <c r="BH321">
        <v>5900</v>
      </c>
      <c r="BI321">
        <v>300</v>
      </c>
      <c r="BJ321">
        <v>1</v>
      </c>
      <c r="BK321">
        <v>1</v>
      </c>
      <c r="BL321">
        <v>1</v>
      </c>
      <c r="BM321">
        <v>0</v>
      </c>
      <c r="BP321">
        <v>0</v>
      </c>
      <c r="BQ321">
        <v>0</v>
      </c>
      <c r="BX321" t="str">
        <f>"13:55:42.969"</f>
        <v>13:55:42.969</v>
      </c>
      <c r="BY321" t="str">
        <f>"968472676"</f>
        <v>968472676</v>
      </c>
      <c r="CL321">
        <v>3</v>
      </c>
      <c r="CM321">
        <v>2</v>
      </c>
      <c r="CN321">
        <v>0</v>
      </c>
      <c r="CO321">
        <v>2</v>
      </c>
      <c r="CP321">
        <v>0</v>
      </c>
      <c r="CQ321">
        <v>7</v>
      </c>
      <c r="CR321" t="s">
        <v>116</v>
      </c>
      <c r="CS321">
        <v>147</v>
      </c>
      <c r="CT321">
        <v>3</v>
      </c>
      <c r="CU321" t="s">
        <v>117</v>
      </c>
      <c r="CV321" t="s">
        <v>118</v>
      </c>
      <c r="CY321">
        <v>16301183</v>
      </c>
      <c r="CZ321" t="s">
        <v>119</v>
      </c>
    </row>
    <row r="322" spans="1:104" x14ac:dyDescent="0.25">
      <c r="A322" t="str">
        <f>"13:55:44.133"</f>
        <v>13:55:44.133</v>
      </c>
      <c r="B322" t="s">
        <v>108</v>
      </c>
      <c r="C322" t="str">
        <f t="shared" si="13"/>
        <v>ffdfd3c0</v>
      </c>
      <c r="D322" t="s">
        <v>109</v>
      </c>
      <c r="E322">
        <v>4</v>
      </c>
      <c r="F322">
        <v>1004</v>
      </c>
      <c r="G322" t="s">
        <v>110</v>
      </c>
      <c r="J322" t="s">
        <v>111</v>
      </c>
      <c r="K322">
        <v>0</v>
      </c>
      <c r="L322">
        <v>3</v>
      </c>
      <c r="M322">
        <v>0</v>
      </c>
      <c r="N322">
        <v>2</v>
      </c>
      <c r="O322">
        <v>1</v>
      </c>
      <c r="P322">
        <v>0</v>
      </c>
      <c r="Q322">
        <v>0</v>
      </c>
      <c r="R322" t="s">
        <v>112</v>
      </c>
      <c r="S322" t="str">
        <f>"13:55:43.938"</f>
        <v>13:55:43.938</v>
      </c>
      <c r="T322" t="str">
        <f>"13:55:43.539"</f>
        <v>13:55:43.539</v>
      </c>
      <c r="U322" t="str">
        <f t="shared" ref="U322:U385" si="15">"ad5732"</f>
        <v>ad5732</v>
      </c>
      <c r="V322">
        <v>0</v>
      </c>
      <c r="W322">
        <v>0</v>
      </c>
      <c r="X322">
        <v>1</v>
      </c>
      <c r="Z322">
        <v>0</v>
      </c>
      <c r="AA322">
        <v>9</v>
      </c>
      <c r="AB322">
        <v>3</v>
      </c>
      <c r="AC322">
        <v>0</v>
      </c>
      <c r="AD322">
        <v>10</v>
      </c>
      <c r="AE322">
        <v>0</v>
      </c>
      <c r="AF322">
        <v>3</v>
      </c>
      <c r="AG322">
        <v>2</v>
      </c>
      <c r="AH322">
        <v>0</v>
      </c>
      <c r="AI322" t="s">
        <v>735</v>
      </c>
      <c r="AJ322">
        <v>39.196708000000001</v>
      </c>
      <c r="AK322" t="s">
        <v>736</v>
      </c>
      <c r="AL322">
        <v>-77.490284000000003</v>
      </c>
      <c r="AM322">
        <v>100</v>
      </c>
      <c r="AN322">
        <v>5700</v>
      </c>
      <c r="AO322" t="s">
        <v>115</v>
      </c>
      <c r="AP322">
        <v>128</v>
      </c>
      <c r="AQ322">
        <v>35</v>
      </c>
      <c r="AR322">
        <v>1280</v>
      </c>
      <c r="AZ322">
        <v>3614</v>
      </c>
      <c r="BA322">
        <v>1</v>
      </c>
      <c r="BB322" t="str">
        <f t="shared" si="14"/>
        <v xml:space="preserve">N959MJ  </v>
      </c>
      <c r="BC322">
        <v>1</v>
      </c>
      <c r="BE322">
        <v>0</v>
      </c>
      <c r="BF322">
        <v>0</v>
      </c>
      <c r="BG322">
        <v>0</v>
      </c>
      <c r="BH322">
        <v>5900</v>
      </c>
      <c r="BI322">
        <v>200</v>
      </c>
      <c r="BJ322">
        <v>1</v>
      </c>
      <c r="BK322">
        <v>1</v>
      </c>
      <c r="BL322">
        <v>1</v>
      </c>
      <c r="BM322">
        <v>0</v>
      </c>
      <c r="BP322">
        <v>0</v>
      </c>
      <c r="BQ322">
        <v>0</v>
      </c>
      <c r="BX322" t="str">
        <f>"13:55:43.938"</f>
        <v>13:55:43.938</v>
      </c>
      <c r="BY322" t="str">
        <f>"940042712"</f>
        <v>940042712</v>
      </c>
      <c r="CL322">
        <v>3</v>
      </c>
      <c r="CM322">
        <v>2</v>
      </c>
      <c r="CN322">
        <v>0</v>
      </c>
      <c r="CO322">
        <v>2</v>
      </c>
      <c r="CP322">
        <v>0</v>
      </c>
      <c r="CQ322">
        <v>7</v>
      </c>
      <c r="CR322" t="s">
        <v>116</v>
      </c>
      <c r="CS322">
        <v>525</v>
      </c>
      <c r="CT322">
        <v>3</v>
      </c>
      <c r="CU322" t="s">
        <v>140</v>
      </c>
      <c r="CV322" t="s">
        <v>141</v>
      </c>
      <c r="CY322">
        <v>433858</v>
      </c>
      <c r="CZ322" t="s">
        <v>119</v>
      </c>
    </row>
    <row r="323" spans="1:104" x14ac:dyDescent="0.25">
      <c r="A323" t="str">
        <f>"13:55:44.992"</f>
        <v>13:55:44.992</v>
      </c>
      <c r="B323" t="s">
        <v>108</v>
      </c>
      <c r="C323" t="str">
        <f t="shared" si="13"/>
        <v>ffdfd3c0</v>
      </c>
      <c r="D323" t="s">
        <v>109</v>
      </c>
      <c r="E323">
        <v>4</v>
      </c>
      <c r="F323">
        <v>1004</v>
      </c>
      <c r="G323" t="s">
        <v>110</v>
      </c>
      <c r="J323" t="s">
        <v>111</v>
      </c>
      <c r="K323">
        <v>0</v>
      </c>
      <c r="L323">
        <v>3</v>
      </c>
      <c r="M323">
        <v>0</v>
      </c>
      <c r="N323">
        <v>2</v>
      </c>
      <c r="O323">
        <v>1</v>
      </c>
      <c r="P323">
        <v>0</v>
      </c>
      <c r="Q323">
        <v>0</v>
      </c>
      <c r="R323" t="s">
        <v>112</v>
      </c>
      <c r="S323" t="str">
        <f>"13:55:44.805"</f>
        <v>13:55:44.805</v>
      </c>
      <c r="T323" t="str">
        <f>"13:55:44.406"</f>
        <v>13:55:44.406</v>
      </c>
      <c r="U323" t="str">
        <f t="shared" si="15"/>
        <v>ad5732</v>
      </c>
      <c r="V323">
        <v>0</v>
      </c>
      <c r="W323">
        <v>0</v>
      </c>
      <c r="X323">
        <v>1</v>
      </c>
      <c r="Z323">
        <v>0</v>
      </c>
      <c r="AA323">
        <v>9</v>
      </c>
      <c r="AB323">
        <v>3</v>
      </c>
      <c r="AC323">
        <v>0</v>
      </c>
      <c r="AD323">
        <v>10</v>
      </c>
      <c r="AE323">
        <v>0</v>
      </c>
      <c r="AF323">
        <v>3</v>
      </c>
      <c r="AG323">
        <v>2</v>
      </c>
      <c r="AH323">
        <v>0</v>
      </c>
      <c r="AI323" t="s">
        <v>737</v>
      </c>
      <c r="AJ323">
        <v>39.196837000000002</v>
      </c>
      <c r="AK323" t="s">
        <v>738</v>
      </c>
      <c r="AL323">
        <v>-77.489619000000005</v>
      </c>
      <c r="AM323">
        <v>100</v>
      </c>
      <c r="AN323">
        <v>5700</v>
      </c>
      <c r="AO323" t="s">
        <v>115</v>
      </c>
      <c r="AP323">
        <v>128</v>
      </c>
      <c r="AQ323">
        <v>35</v>
      </c>
      <c r="AR323">
        <v>1280</v>
      </c>
      <c r="AZ323">
        <v>3614</v>
      </c>
      <c r="BA323">
        <v>1</v>
      </c>
      <c r="BB323" t="str">
        <f t="shared" si="14"/>
        <v xml:space="preserve">N959MJ  </v>
      </c>
      <c r="BC323">
        <v>1</v>
      </c>
      <c r="BE323">
        <v>0</v>
      </c>
      <c r="BF323">
        <v>0</v>
      </c>
      <c r="BG323">
        <v>0</v>
      </c>
      <c r="BH323">
        <v>5925</v>
      </c>
      <c r="BI323">
        <v>225</v>
      </c>
      <c r="BJ323">
        <v>1</v>
      </c>
      <c r="BK323">
        <v>1</v>
      </c>
      <c r="BL323">
        <v>1</v>
      </c>
      <c r="BM323">
        <v>0</v>
      </c>
      <c r="BP323">
        <v>0</v>
      </c>
      <c r="BQ323">
        <v>0</v>
      </c>
      <c r="BX323" t="str">
        <f>"13:55:44.813"</f>
        <v>13:55:44.813</v>
      </c>
      <c r="BY323" t="str">
        <f>"811701507"</f>
        <v>811701507</v>
      </c>
      <c r="CL323">
        <v>3</v>
      </c>
      <c r="CM323">
        <v>2</v>
      </c>
      <c r="CN323">
        <v>0</v>
      </c>
      <c r="CO323">
        <v>2</v>
      </c>
      <c r="CP323">
        <v>0</v>
      </c>
      <c r="CQ323">
        <v>7</v>
      </c>
      <c r="CR323" t="s">
        <v>116</v>
      </c>
      <c r="CS323">
        <v>147</v>
      </c>
      <c r="CT323">
        <v>3</v>
      </c>
      <c r="CU323" t="s">
        <v>117</v>
      </c>
      <c r="CV323" t="s">
        <v>118</v>
      </c>
      <c r="CY323">
        <v>16304267</v>
      </c>
      <c r="CZ323" t="s">
        <v>119</v>
      </c>
    </row>
    <row r="324" spans="1:104" x14ac:dyDescent="0.25">
      <c r="A324" t="str">
        <f>"13:55:46.102"</f>
        <v>13:55:46.102</v>
      </c>
      <c r="B324" t="s">
        <v>108</v>
      </c>
      <c r="C324" t="str">
        <f t="shared" si="13"/>
        <v>ffdfd3c0</v>
      </c>
      <c r="D324" t="s">
        <v>109</v>
      </c>
      <c r="E324">
        <v>4</v>
      </c>
      <c r="F324">
        <v>1004</v>
      </c>
      <c r="G324" t="s">
        <v>110</v>
      </c>
      <c r="J324" t="s">
        <v>111</v>
      </c>
      <c r="K324">
        <v>0</v>
      </c>
      <c r="L324">
        <v>3</v>
      </c>
      <c r="M324">
        <v>0</v>
      </c>
      <c r="N324">
        <v>2</v>
      </c>
      <c r="O324">
        <v>1</v>
      </c>
      <c r="P324">
        <v>0</v>
      </c>
      <c r="Q324">
        <v>0</v>
      </c>
      <c r="R324" t="s">
        <v>112</v>
      </c>
      <c r="S324" t="str">
        <f>"13:55:45.914"</f>
        <v>13:55:45.914</v>
      </c>
      <c r="T324" t="str">
        <f>"13:55:45.414"</f>
        <v>13:55:45.414</v>
      </c>
      <c r="U324" t="str">
        <f t="shared" si="15"/>
        <v>ad5732</v>
      </c>
      <c r="V324">
        <v>0</v>
      </c>
      <c r="W324">
        <v>0</v>
      </c>
      <c r="X324">
        <v>1</v>
      </c>
      <c r="Z324">
        <v>0</v>
      </c>
      <c r="AA324">
        <v>9</v>
      </c>
      <c r="AB324">
        <v>3</v>
      </c>
      <c r="AC324">
        <v>0</v>
      </c>
      <c r="AD324">
        <v>10</v>
      </c>
      <c r="AE324">
        <v>0</v>
      </c>
      <c r="AF324">
        <v>3</v>
      </c>
      <c r="AG324">
        <v>2</v>
      </c>
      <c r="AH324">
        <v>0</v>
      </c>
      <c r="AI324" t="s">
        <v>739</v>
      </c>
      <c r="AJ324">
        <v>39.197029999999998</v>
      </c>
      <c r="AK324" t="s">
        <v>740</v>
      </c>
      <c r="AL324">
        <v>-77.488782</v>
      </c>
      <c r="AM324">
        <v>100</v>
      </c>
      <c r="AN324">
        <v>5700</v>
      </c>
      <c r="AO324" t="s">
        <v>115</v>
      </c>
      <c r="AP324">
        <v>127</v>
      </c>
      <c r="AQ324">
        <v>35</v>
      </c>
      <c r="AR324">
        <v>1280</v>
      </c>
      <c r="AZ324">
        <v>3614</v>
      </c>
      <c r="BA324">
        <v>1</v>
      </c>
      <c r="BB324" t="str">
        <f t="shared" si="14"/>
        <v xml:space="preserve">N959MJ  </v>
      </c>
      <c r="BC324">
        <v>1</v>
      </c>
      <c r="BE324">
        <v>0</v>
      </c>
      <c r="BF324">
        <v>0</v>
      </c>
      <c r="BG324">
        <v>0</v>
      </c>
      <c r="BH324">
        <v>5950</v>
      </c>
      <c r="BI324">
        <v>250</v>
      </c>
      <c r="BJ324">
        <v>1</v>
      </c>
      <c r="BK324">
        <v>1</v>
      </c>
      <c r="BL324">
        <v>1</v>
      </c>
      <c r="BM324">
        <v>0</v>
      </c>
      <c r="BP324">
        <v>0</v>
      </c>
      <c r="BQ324">
        <v>0</v>
      </c>
      <c r="BX324" t="str">
        <f>"13:55:45.914"</f>
        <v>13:55:45.914</v>
      </c>
      <c r="BY324" t="str">
        <f>"917622483"</f>
        <v>917622483</v>
      </c>
      <c r="CL324">
        <v>3</v>
      </c>
      <c r="CM324">
        <v>2</v>
      </c>
      <c r="CN324">
        <v>0</v>
      </c>
      <c r="CO324">
        <v>2</v>
      </c>
      <c r="CP324">
        <v>0</v>
      </c>
      <c r="CQ324">
        <v>7</v>
      </c>
      <c r="CR324" t="s">
        <v>116</v>
      </c>
      <c r="CS324">
        <v>525</v>
      </c>
      <c r="CT324">
        <v>3</v>
      </c>
      <c r="CU324" t="s">
        <v>140</v>
      </c>
      <c r="CV324" t="s">
        <v>141</v>
      </c>
      <c r="CY324">
        <v>436440</v>
      </c>
      <c r="CZ324" t="s">
        <v>119</v>
      </c>
    </row>
    <row r="325" spans="1:104" x14ac:dyDescent="0.25">
      <c r="A325" t="str">
        <f>"13:55:47.063"</f>
        <v>13:55:47.063</v>
      </c>
      <c r="B325" t="s">
        <v>108</v>
      </c>
      <c r="C325" t="str">
        <f t="shared" si="13"/>
        <v>ffdfd3c0</v>
      </c>
      <c r="D325" t="s">
        <v>109</v>
      </c>
      <c r="E325">
        <v>4</v>
      </c>
      <c r="F325">
        <v>1004</v>
      </c>
      <c r="G325" t="s">
        <v>110</v>
      </c>
      <c r="J325" t="s">
        <v>111</v>
      </c>
      <c r="K325">
        <v>0</v>
      </c>
      <c r="L325">
        <v>3</v>
      </c>
      <c r="M325">
        <v>0</v>
      </c>
      <c r="N325">
        <v>2</v>
      </c>
      <c r="O325">
        <v>1</v>
      </c>
      <c r="P325">
        <v>0</v>
      </c>
      <c r="Q325">
        <v>0</v>
      </c>
      <c r="R325" t="s">
        <v>112</v>
      </c>
      <c r="S325" t="str">
        <f>"13:55:46.852"</f>
        <v>13:55:46.852</v>
      </c>
      <c r="T325" t="str">
        <f>"13:55:46.453"</f>
        <v>13:55:46.453</v>
      </c>
      <c r="U325" t="str">
        <f t="shared" si="15"/>
        <v>ad5732</v>
      </c>
      <c r="V325">
        <v>0</v>
      </c>
      <c r="W325">
        <v>0</v>
      </c>
      <c r="X325">
        <v>1</v>
      </c>
      <c r="Z325">
        <v>0</v>
      </c>
      <c r="AA325">
        <v>9</v>
      </c>
      <c r="AB325">
        <v>3</v>
      </c>
      <c r="AC325">
        <v>0</v>
      </c>
      <c r="AD325">
        <v>10</v>
      </c>
      <c r="AE325">
        <v>0</v>
      </c>
      <c r="AF325">
        <v>3</v>
      </c>
      <c r="AG325">
        <v>2</v>
      </c>
      <c r="AH325">
        <v>0</v>
      </c>
      <c r="AI325" t="s">
        <v>741</v>
      </c>
      <c r="AJ325">
        <v>39.197180000000003</v>
      </c>
      <c r="AK325" t="s">
        <v>742</v>
      </c>
      <c r="AL325">
        <v>-77.488095999999999</v>
      </c>
      <c r="AM325">
        <v>100</v>
      </c>
      <c r="AN325">
        <v>5700</v>
      </c>
      <c r="AO325" t="s">
        <v>115</v>
      </c>
      <c r="AP325">
        <v>126</v>
      </c>
      <c r="AQ325">
        <v>37</v>
      </c>
      <c r="AR325">
        <v>1280</v>
      </c>
      <c r="AZ325">
        <v>3614</v>
      </c>
      <c r="BA325">
        <v>1</v>
      </c>
      <c r="BB325" t="str">
        <f t="shared" si="14"/>
        <v xml:space="preserve">N959MJ  </v>
      </c>
      <c r="BC325">
        <v>1</v>
      </c>
      <c r="BE325">
        <v>0</v>
      </c>
      <c r="BF325">
        <v>0</v>
      </c>
      <c r="BG325">
        <v>0</v>
      </c>
      <c r="BH325">
        <v>5975</v>
      </c>
      <c r="BI325">
        <v>275</v>
      </c>
      <c r="BJ325">
        <v>1</v>
      </c>
      <c r="BK325">
        <v>1</v>
      </c>
      <c r="BL325">
        <v>1</v>
      </c>
      <c r="BM325">
        <v>0</v>
      </c>
      <c r="BP325">
        <v>0</v>
      </c>
      <c r="BQ325">
        <v>0</v>
      </c>
      <c r="BX325" t="str">
        <f>"13:55:46.859"</f>
        <v>13:55:46.859</v>
      </c>
      <c r="BY325" t="str">
        <f>"858078850"</f>
        <v>858078850</v>
      </c>
      <c r="CL325">
        <v>3</v>
      </c>
      <c r="CM325">
        <v>2</v>
      </c>
      <c r="CN325">
        <v>0</v>
      </c>
      <c r="CO325">
        <v>2</v>
      </c>
      <c r="CP325">
        <v>0</v>
      </c>
      <c r="CQ325">
        <v>7</v>
      </c>
      <c r="CR325" t="s">
        <v>116</v>
      </c>
      <c r="CS325">
        <v>525</v>
      </c>
      <c r="CT325">
        <v>2</v>
      </c>
      <c r="CU325" t="s">
        <v>140</v>
      </c>
      <c r="CV325" t="s">
        <v>141</v>
      </c>
      <c r="CY325">
        <v>14060760</v>
      </c>
      <c r="CZ325" t="s">
        <v>119</v>
      </c>
    </row>
    <row r="326" spans="1:104" x14ac:dyDescent="0.25">
      <c r="A326" t="str">
        <f>"13:55:48.023"</f>
        <v>13:55:48.023</v>
      </c>
      <c r="B326" t="s">
        <v>108</v>
      </c>
      <c r="C326" t="str">
        <f t="shared" si="13"/>
        <v>ffdfd3c0</v>
      </c>
      <c r="D326" t="s">
        <v>109</v>
      </c>
      <c r="E326">
        <v>4</v>
      </c>
      <c r="F326">
        <v>1004</v>
      </c>
      <c r="G326" t="s">
        <v>110</v>
      </c>
      <c r="J326" t="s">
        <v>111</v>
      </c>
      <c r="K326">
        <v>0</v>
      </c>
      <c r="L326">
        <v>3</v>
      </c>
      <c r="M326">
        <v>0</v>
      </c>
      <c r="N326">
        <v>2</v>
      </c>
      <c r="O326">
        <v>1</v>
      </c>
      <c r="P326">
        <v>0</v>
      </c>
      <c r="Q326">
        <v>0</v>
      </c>
      <c r="R326" t="s">
        <v>112</v>
      </c>
      <c r="S326" t="str">
        <f>"13:55:47.867"</f>
        <v>13:55:47.867</v>
      </c>
      <c r="T326" t="str">
        <f>"13:55:47.469"</f>
        <v>13:55:47.469</v>
      </c>
      <c r="U326" t="str">
        <f t="shared" si="15"/>
        <v>ad5732</v>
      </c>
      <c r="V326">
        <v>0</v>
      </c>
      <c r="W326">
        <v>0</v>
      </c>
      <c r="X326">
        <v>1</v>
      </c>
      <c r="Z326">
        <v>0</v>
      </c>
      <c r="AA326">
        <v>9</v>
      </c>
      <c r="AB326">
        <v>3</v>
      </c>
      <c r="AC326">
        <v>0</v>
      </c>
      <c r="AD326">
        <v>10</v>
      </c>
      <c r="AE326">
        <v>0</v>
      </c>
      <c r="AF326">
        <v>3</v>
      </c>
      <c r="AG326">
        <v>2</v>
      </c>
      <c r="AH326">
        <v>0</v>
      </c>
      <c r="AI326" t="s">
        <v>743</v>
      </c>
      <c r="AJ326">
        <v>39.197395</v>
      </c>
      <c r="AK326" t="s">
        <v>744</v>
      </c>
      <c r="AL326">
        <v>-77.487279999999998</v>
      </c>
      <c r="AM326">
        <v>100</v>
      </c>
      <c r="AN326">
        <v>5700</v>
      </c>
      <c r="AO326" t="s">
        <v>115</v>
      </c>
      <c r="AP326">
        <v>125</v>
      </c>
      <c r="AQ326">
        <v>39</v>
      </c>
      <c r="AR326">
        <v>1280</v>
      </c>
      <c r="AZ326">
        <v>3614</v>
      </c>
      <c r="BA326">
        <v>1</v>
      </c>
      <c r="BB326" t="str">
        <f t="shared" si="14"/>
        <v xml:space="preserve">N959MJ  </v>
      </c>
      <c r="BC326">
        <v>1</v>
      </c>
      <c r="BE326">
        <v>0</v>
      </c>
      <c r="BF326">
        <v>0</v>
      </c>
      <c r="BG326">
        <v>0</v>
      </c>
      <c r="BH326">
        <v>6000</v>
      </c>
      <c r="BI326">
        <v>300</v>
      </c>
      <c r="BJ326">
        <v>1</v>
      </c>
      <c r="BK326">
        <v>1</v>
      </c>
      <c r="BL326">
        <v>1</v>
      </c>
      <c r="BM326">
        <v>0</v>
      </c>
      <c r="BP326">
        <v>0</v>
      </c>
      <c r="BQ326">
        <v>0</v>
      </c>
      <c r="BX326" t="str">
        <f>"13:55:47.875"</f>
        <v>13:55:47.875</v>
      </c>
      <c r="BY326" t="str">
        <f>"872280601"</f>
        <v>872280601</v>
      </c>
      <c r="CL326">
        <v>3</v>
      </c>
      <c r="CM326">
        <v>2</v>
      </c>
      <c r="CN326">
        <v>0</v>
      </c>
      <c r="CO326">
        <v>2</v>
      </c>
      <c r="CP326">
        <v>0</v>
      </c>
      <c r="CQ326">
        <v>7</v>
      </c>
      <c r="CR326" t="s">
        <v>116</v>
      </c>
      <c r="CS326">
        <v>147</v>
      </c>
      <c r="CT326">
        <v>3</v>
      </c>
      <c r="CU326" t="s">
        <v>117</v>
      </c>
      <c r="CV326" t="s">
        <v>118</v>
      </c>
      <c r="CY326">
        <v>16309245</v>
      </c>
      <c r="CZ326" t="s">
        <v>119</v>
      </c>
    </row>
    <row r="327" spans="1:104" x14ac:dyDescent="0.25">
      <c r="A327" t="str">
        <f>"13:55:48.984"</f>
        <v>13:55:48.984</v>
      </c>
      <c r="B327" t="s">
        <v>108</v>
      </c>
      <c r="C327" t="str">
        <f t="shared" si="13"/>
        <v>ffdfd3c0</v>
      </c>
      <c r="D327" t="s">
        <v>109</v>
      </c>
      <c r="E327">
        <v>4</v>
      </c>
      <c r="F327">
        <v>1004</v>
      </c>
      <c r="G327" t="s">
        <v>110</v>
      </c>
      <c r="J327" t="s">
        <v>111</v>
      </c>
      <c r="K327">
        <v>0</v>
      </c>
      <c r="L327">
        <v>3</v>
      </c>
      <c r="M327">
        <v>0</v>
      </c>
      <c r="N327">
        <v>2</v>
      </c>
      <c r="O327">
        <v>1</v>
      </c>
      <c r="P327">
        <v>0</v>
      </c>
      <c r="Q327">
        <v>0</v>
      </c>
      <c r="R327" t="s">
        <v>112</v>
      </c>
      <c r="S327" t="str">
        <f>"13:55:48.813"</f>
        <v>13:55:48.813</v>
      </c>
      <c r="T327" t="str">
        <f>"13:55:47.914"</f>
        <v>13:55:47.914</v>
      </c>
      <c r="U327" t="str">
        <f t="shared" si="15"/>
        <v>ad5732</v>
      </c>
      <c r="V327">
        <v>0</v>
      </c>
      <c r="W327">
        <v>0</v>
      </c>
      <c r="X327">
        <v>1</v>
      </c>
      <c r="Z327">
        <v>0</v>
      </c>
      <c r="AA327">
        <v>9</v>
      </c>
      <c r="AB327">
        <v>3</v>
      </c>
      <c r="AC327">
        <v>0</v>
      </c>
      <c r="AD327">
        <v>10</v>
      </c>
      <c r="AE327">
        <v>0</v>
      </c>
      <c r="AF327">
        <v>3</v>
      </c>
      <c r="AG327">
        <v>2</v>
      </c>
      <c r="AH327">
        <v>0</v>
      </c>
      <c r="AI327" t="s">
        <v>745</v>
      </c>
      <c r="AJ327">
        <v>39.197544999999998</v>
      </c>
      <c r="AK327" t="s">
        <v>746</v>
      </c>
      <c r="AL327">
        <v>-77.486637000000002</v>
      </c>
      <c r="AM327">
        <v>100</v>
      </c>
      <c r="AN327">
        <v>5800</v>
      </c>
      <c r="AO327" t="s">
        <v>115</v>
      </c>
      <c r="AP327">
        <v>124</v>
      </c>
      <c r="AQ327">
        <v>41</v>
      </c>
      <c r="AR327">
        <v>1216</v>
      </c>
      <c r="AZ327">
        <v>3614</v>
      </c>
      <c r="BA327">
        <v>1</v>
      </c>
      <c r="BB327" t="str">
        <f t="shared" si="14"/>
        <v xml:space="preserve">N959MJ  </v>
      </c>
      <c r="BC327">
        <v>1</v>
      </c>
      <c r="BE327">
        <v>0</v>
      </c>
      <c r="BF327">
        <v>0</v>
      </c>
      <c r="BG327">
        <v>0</v>
      </c>
      <c r="BH327">
        <v>6000</v>
      </c>
      <c r="BI327">
        <v>200</v>
      </c>
      <c r="BJ327">
        <v>1</v>
      </c>
      <c r="BK327">
        <v>1</v>
      </c>
      <c r="BL327">
        <v>1</v>
      </c>
      <c r="BM327">
        <v>0</v>
      </c>
      <c r="BP327">
        <v>0</v>
      </c>
      <c r="BQ327">
        <v>0</v>
      </c>
      <c r="BX327" t="str">
        <f>"13:55:48.820"</f>
        <v>13:55:48.820</v>
      </c>
      <c r="BY327" t="str">
        <f>"817652201"</f>
        <v>817652201</v>
      </c>
      <c r="CL327">
        <v>3</v>
      </c>
      <c r="CM327">
        <v>2</v>
      </c>
      <c r="CN327">
        <v>0</v>
      </c>
      <c r="CO327">
        <v>2</v>
      </c>
      <c r="CP327">
        <v>0</v>
      </c>
      <c r="CQ327">
        <v>7</v>
      </c>
      <c r="CR327" t="s">
        <v>116</v>
      </c>
      <c r="CS327">
        <v>147</v>
      </c>
      <c r="CT327">
        <v>3</v>
      </c>
      <c r="CU327" t="s">
        <v>117</v>
      </c>
      <c r="CV327" t="s">
        <v>118</v>
      </c>
      <c r="CY327">
        <v>16310865</v>
      </c>
      <c r="CZ327" t="s">
        <v>119</v>
      </c>
    </row>
    <row r="328" spans="1:104" x14ac:dyDescent="0.25">
      <c r="A328" t="str">
        <f>"13:55:49.844"</f>
        <v>13:55:49.844</v>
      </c>
      <c r="B328" t="s">
        <v>108</v>
      </c>
      <c r="C328" t="str">
        <f t="shared" si="13"/>
        <v>ffdfd3c0</v>
      </c>
      <c r="D328" t="s">
        <v>109</v>
      </c>
      <c r="E328">
        <v>4</v>
      </c>
      <c r="F328">
        <v>1004</v>
      </c>
      <c r="G328" t="s">
        <v>110</v>
      </c>
      <c r="J328" t="s">
        <v>111</v>
      </c>
      <c r="K328">
        <v>0</v>
      </c>
      <c r="L328">
        <v>3</v>
      </c>
      <c r="M328">
        <v>0</v>
      </c>
      <c r="N328">
        <v>2</v>
      </c>
      <c r="O328">
        <v>1</v>
      </c>
      <c r="P328">
        <v>0</v>
      </c>
      <c r="Q328">
        <v>0</v>
      </c>
      <c r="R328" t="s">
        <v>112</v>
      </c>
      <c r="S328" t="str">
        <f>"13:55:49.672"</f>
        <v>13:55:49.672</v>
      </c>
      <c r="T328" t="str">
        <f>"13:55:49.273"</f>
        <v>13:55:49.273</v>
      </c>
      <c r="U328" t="str">
        <f t="shared" si="15"/>
        <v>ad5732</v>
      </c>
      <c r="V328">
        <v>0</v>
      </c>
      <c r="W328">
        <v>0</v>
      </c>
      <c r="X328">
        <v>1</v>
      </c>
      <c r="Z328">
        <v>0</v>
      </c>
      <c r="AA328">
        <v>9</v>
      </c>
      <c r="AB328">
        <v>3</v>
      </c>
      <c r="AC328">
        <v>0</v>
      </c>
      <c r="AD328">
        <v>10</v>
      </c>
      <c r="AE328">
        <v>0</v>
      </c>
      <c r="AF328">
        <v>3</v>
      </c>
      <c r="AG328">
        <v>2</v>
      </c>
      <c r="AH328">
        <v>0</v>
      </c>
      <c r="AI328" t="s">
        <v>747</v>
      </c>
      <c r="AJ328">
        <v>39.197760000000002</v>
      </c>
      <c r="AK328" t="s">
        <v>748</v>
      </c>
      <c r="AL328">
        <v>-77.485971000000006</v>
      </c>
      <c r="AM328">
        <v>100</v>
      </c>
      <c r="AN328">
        <v>5800</v>
      </c>
      <c r="AO328" t="s">
        <v>115</v>
      </c>
      <c r="AP328">
        <v>121</v>
      </c>
      <c r="AQ328">
        <v>46</v>
      </c>
      <c r="AR328">
        <v>1152</v>
      </c>
      <c r="AZ328">
        <v>3614</v>
      </c>
      <c r="BA328">
        <v>1</v>
      </c>
      <c r="BB328" t="str">
        <f t="shared" si="14"/>
        <v xml:space="preserve">N959MJ  </v>
      </c>
      <c r="BC328">
        <v>1</v>
      </c>
      <c r="BE328">
        <v>0</v>
      </c>
      <c r="BF328">
        <v>0</v>
      </c>
      <c r="BG328">
        <v>0</v>
      </c>
      <c r="BH328">
        <v>6025</v>
      </c>
      <c r="BI328">
        <v>225</v>
      </c>
      <c r="BJ328">
        <v>1</v>
      </c>
      <c r="BK328">
        <v>1</v>
      </c>
      <c r="BL328">
        <v>1</v>
      </c>
      <c r="BM328">
        <v>0</v>
      </c>
      <c r="BP328">
        <v>0</v>
      </c>
      <c r="BQ328">
        <v>0</v>
      </c>
      <c r="BX328" t="str">
        <f>"13:55:49.680"</f>
        <v>13:55:49.680</v>
      </c>
      <c r="BY328" t="str">
        <f>"676187248"</f>
        <v>676187248</v>
      </c>
      <c r="CL328">
        <v>3</v>
      </c>
      <c r="CM328">
        <v>2</v>
      </c>
      <c r="CN328">
        <v>0</v>
      </c>
      <c r="CO328">
        <v>2</v>
      </c>
      <c r="CP328">
        <v>0</v>
      </c>
      <c r="CQ328">
        <v>7</v>
      </c>
      <c r="CR328" t="s">
        <v>116</v>
      </c>
      <c r="CS328">
        <v>147</v>
      </c>
      <c r="CT328">
        <v>3</v>
      </c>
      <c r="CU328" t="s">
        <v>117</v>
      </c>
      <c r="CV328" t="s">
        <v>118</v>
      </c>
      <c r="CY328">
        <v>16312222</v>
      </c>
      <c r="CZ328" t="s">
        <v>119</v>
      </c>
    </row>
    <row r="329" spans="1:104" x14ac:dyDescent="0.25">
      <c r="A329" t="str">
        <f>"13:55:50.750"</f>
        <v>13:55:50.750</v>
      </c>
      <c r="B329" t="s">
        <v>108</v>
      </c>
      <c r="C329" t="str">
        <f t="shared" si="13"/>
        <v>ffdfd3c0</v>
      </c>
      <c r="D329" t="s">
        <v>109</v>
      </c>
      <c r="E329">
        <v>4</v>
      </c>
      <c r="F329">
        <v>1004</v>
      </c>
      <c r="G329" t="s">
        <v>110</v>
      </c>
      <c r="J329" t="s">
        <v>111</v>
      </c>
      <c r="K329">
        <v>0</v>
      </c>
      <c r="L329">
        <v>3</v>
      </c>
      <c r="M329">
        <v>0</v>
      </c>
      <c r="N329">
        <v>2</v>
      </c>
      <c r="O329">
        <v>1</v>
      </c>
      <c r="P329">
        <v>0</v>
      </c>
      <c r="Q329">
        <v>0</v>
      </c>
      <c r="R329" t="s">
        <v>112</v>
      </c>
      <c r="S329" t="str">
        <f>"13:55:50.555"</f>
        <v>13:55:50.555</v>
      </c>
      <c r="T329" t="str">
        <f>"13:55:50.156"</f>
        <v>13:55:50.156</v>
      </c>
      <c r="U329" t="str">
        <f t="shared" si="15"/>
        <v>ad5732</v>
      </c>
      <c r="V329">
        <v>0</v>
      </c>
      <c r="W329">
        <v>0</v>
      </c>
      <c r="X329">
        <v>1</v>
      </c>
      <c r="Z329">
        <v>0</v>
      </c>
      <c r="AA329">
        <v>9</v>
      </c>
      <c r="AB329">
        <v>3</v>
      </c>
      <c r="AC329">
        <v>0</v>
      </c>
      <c r="AD329">
        <v>10</v>
      </c>
      <c r="AE329">
        <v>0</v>
      </c>
      <c r="AF329">
        <v>3</v>
      </c>
      <c r="AG329">
        <v>2</v>
      </c>
      <c r="AH329">
        <v>0</v>
      </c>
      <c r="AI329" t="s">
        <v>749</v>
      </c>
      <c r="AJ329">
        <v>39.197930999999997</v>
      </c>
      <c r="AK329" t="s">
        <v>750</v>
      </c>
      <c r="AL329">
        <v>-77.485371000000001</v>
      </c>
      <c r="AM329">
        <v>100</v>
      </c>
      <c r="AN329">
        <v>5800</v>
      </c>
      <c r="AO329" t="s">
        <v>115</v>
      </c>
      <c r="AP329">
        <v>119</v>
      </c>
      <c r="AQ329">
        <v>49</v>
      </c>
      <c r="AR329">
        <v>1152</v>
      </c>
      <c r="AZ329">
        <v>3614</v>
      </c>
      <c r="BA329">
        <v>1</v>
      </c>
      <c r="BB329" t="str">
        <f t="shared" si="14"/>
        <v xml:space="preserve">N959MJ  </v>
      </c>
      <c r="BC329">
        <v>1</v>
      </c>
      <c r="BE329">
        <v>0</v>
      </c>
      <c r="BF329">
        <v>0</v>
      </c>
      <c r="BG329">
        <v>0</v>
      </c>
      <c r="BH329">
        <v>6050</v>
      </c>
      <c r="BI329">
        <v>250</v>
      </c>
      <c r="BJ329">
        <v>1</v>
      </c>
      <c r="BK329">
        <v>1</v>
      </c>
      <c r="BL329">
        <v>1</v>
      </c>
      <c r="BM329">
        <v>0</v>
      </c>
      <c r="BP329">
        <v>0</v>
      </c>
      <c r="BQ329">
        <v>0</v>
      </c>
      <c r="BX329" t="str">
        <f>"13:55:50.563"</f>
        <v>13:55:50.563</v>
      </c>
      <c r="BY329" t="str">
        <f>"560937123"</f>
        <v>560937123</v>
      </c>
      <c r="CL329">
        <v>3</v>
      </c>
      <c r="CM329">
        <v>2</v>
      </c>
      <c r="CN329">
        <v>0</v>
      </c>
      <c r="CO329">
        <v>2</v>
      </c>
      <c r="CP329">
        <v>0</v>
      </c>
      <c r="CQ329">
        <v>7</v>
      </c>
      <c r="CR329" t="s">
        <v>116</v>
      </c>
      <c r="CS329">
        <v>147</v>
      </c>
      <c r="CT329">
        <v>3</v>
      </c>
      <c r="CU329" t="s">
        <v>117</v>
      </c>
      <c r="CV329" t="s">
        <v>118</v>
      </c>
      <c r="CY329">
        <v>16313637</v>
      </c>
      <c r="CZ329" t="s">
        <v>119</v>
      </c>
    </row>
    <row r="330" spans="1:104" x14ac:dyDescent="0.25">
      <c r="A330" t="str">
        <f>"13:55:51.664"</f>
        <v>13:55:51.664</v>
      </c>
      <c r="B330" t="s">
        <v>108</v>
      </c>
      <c r="C330" t="str">
        <f t="shared" ref="C330:C393" si="16">"ffdfd3c0"</f>
        <v>ffdfd3c0</v>
      </c>
      <c r="D330" t="s">
        <v>109</v>
      </c>
      <c r="E330">
        <v>4</v>
      </c>
      <c r="F330">
        <v>1004</v>
      </c>
      <c r="G330" t="s">
        <v>110</v>
      </c>
      <c r="J330" t="s">
        <v>111</v>
      </c>
      <c r="K330">
        <v>0</v>
      </c>
      <c r="L330">
        <v>3</v>
      </c>
      <c r="M330">
        <v>0</v>
      </c>
      <c r="N330">
        <v>2</v>
      </c>
      <c r="O330">
        <v>1</v>
      </c>
      <c r="P330">
        <v>0</v>
      </c>
      <c r="Q330">
        <v>0</v>
      </c>
      <c r="R330" t="s">
        <v>112</v>
      </c>
      <c r="S330" t="str">
        <f>"13:55:51.453"</f>
        <v>13:55:51.453</v>
      </c>
      <c r="T330" t="str">
        <f>"13:55:51.055"</f>
        <v>13:55:51.055</v>
      </c>
      <c r="U330" t="str">
        <f t="shared" si="15"/>
        <v>ad5732</v>
      </c>
      <c r="V330">
        <v>0</v>
      </c>
      <c r="W330">
        <v>0</v>
      </c>
      <c r="X330">
        <v>1</v>
      </c>
      <c r="Z330">
        <v>0</v>
      </c>
      <c r="AA330">
        <v>9</v>
      </c>
      <c r="AB330">
        <v>3</v>
      </c>
      <c r="AC330">
        <v>0</v>
      </c>
      <c r="AD330">
        <v>10</v>
      </c>
      <c r="AE330">
        <v>0</v>
      </c>
      <c r="AF330">
        <v>3</v>
      </c>
      <c r="AG330">
        <v>2</v>
      </c>
      <c r="AH330">
        <v>0</v>
      </c>
      <c r="AI330" t="s">
        <v>751</v>
      </c>
      <c r="AJ330">
        <v>39.198146000000001</v>
      </c>
      <c r="AK330" t="s">
        <v>752</v>
      </c>
      <c r="AL330">
        <v>-77.484747999999996</v>
      </c>
      <c r="AM330">
        <v>100</v>
      </c>
      <c r="AN330">
        <v>5800</v>
      </c>
      <c r="AO330" t="s">
        <v>115</v>
      </c>
      <c r="AP330">
        <v>117</v>
      </c>
      <c r="AQ330">
        <v>52</v>
      </c>
      <c r="AR330">
        <v>1088</v>
      </c>
      <c r="AZ330">
        <v>3614</v>
      </c>
      <c r="BA330">
        <v>1</v>
      </c>
      <c r="BB330" t="str">
        <f t="shared" ref="BB330:BB393" si="17">"N959MJ  "</f>
        <v xml:space="preserve">N959MJ  </v>
      </c>
      <c r="BC330">
        <v>1</v>
      </c>
      <c r="BE330">
        <v>0</v>
      </c>
      <c r="BF330">
        <v>0</v>
      </c>
      <c r="BG330">
        <v>0</v>
      </c>
      <c r="BH330">
        <v>6075</v>
      </c>
      <c r="BI330">
        <v>275</v>
      </c>
      <c r="BJ330">
        <v>1</v>
      </c>
      <c r="BK330">
        <v>1</v>
      </c>
      <c r="BL330">
        <v>1</v>
      </c>
      <c r="BM330">
        <v>0</v>
      </c>
      <c r="BP330">
        <v>0</v>
      </c>
      <c r="BQ330">
        <v>0</v>
      </c>
      <c r="BX330" t="str">
        <f>"13:55:51.453"</f>
        <v>13:55:51.453</v>
      </c>
      <c r="BY330" t="str">
        <f>"455517545"</f>
        <v>455517545</v>
      </c>
      <c r="CL330">
        <v>3</v>
      </c>
      <c r="CM330">
        <v>2</v>
      </c>
      <c r="CN330">
        <v>0</v>
      </c>
      <c r="CO330">
        <v>2</v>
      </c>
      <c r="CP330">
        <v>0</v>
      </c>
      <c r="CQ330">
        <v>7</v>
      </c>
      <c r="CR330" t="s">
        <v>116</v>
      </c>
      <c r="CS330">
        <v>147</v>
      </c>
      <c r="CT330">
        <v>3</v>
      </c>
      <c r="CU330" t="s">
        <v>117</v>
      </c>
      <c r="CV330" t="s">
        <v>118</v>
      </c>
      <c r="CY330">
        <v>16315117</v>
      </c>
      <c r="CZ330" t="s">
        <v>119</v>
      </c>
    </row>
    <row r="331" spans="1:104" x14ac:dyDescent="0.25">
      <c r="A331" t="str">
        <f>"13:55:52.672"</f>
        <v>13:55:52.672</v>
      </c>
      <c r="B331" t="s">
        <v>108</v>
      </c>
      <c r="C331" t="str">
        <f t="shared" si="16"/>
        <v>ffdfd3c0</v>
      </c>
      <c r="D331" t="s">
        <v>109</v>
      </c>
      <c r="E331">
        <v>4</v>
      </c>
      <c r="F331">
        <v>1004</v>
      </c>
      <c r="G331" t="s">
        <v>110</v>
      </c>
      <c r="J331" t="s">
        <v>111</v>
      </c>
      <c r="K331">
        <v>0</v>
      </c>
      <c r="L331">
        <v>3</v>
      </c>
      <c r="M331">
        <v>0</v>
      </c>
      <c r="N331">
        <v>2</v>
      </c>
      <c r="O331">
        <v>1</v>
      </c>
      <c r="P331">
        <v>0</v>
      </c>
      <c r="Q331">
        <v>0</v>
      </c>
      <c r="R331" t="s">
        <v>112</v>
      </c>
      <c r="S331" t="str">
        <f>"13:55:52.469"</f>
        <v>13:55:52.469</v>
      </c>
      <c r="T331" t="str">
        <f>"13:55:51.969"</f>
        <v>13:55:51.969</v>
      </c>
      <c r="U331" t="str">
        <f t="shared" si="15"/>
        <v>ad5732</v>
      </c>
      <c r="V331">
        <v>0</v>
      </c>
      <c r="W331">
        <v>0</v>
      </c>
      <c r="X331">
        <v>1</v>
      </c>
      <c r="Z331">
        <v>0</v>
      </c>
      <c r="AA331">
        <v>9</v>
      </c>
      <c r="AB331">
        <v>3</v>
      </c>
      <c r="AC331">
        <v>0</v>
      </c>
      <c r="AD331">
        <v>10</v>
      </c>
      <c r="AE331">
        <v>0</v>
      </c>
      <c r="AF331">
        <v>3</v>
      </c>
      <c r="AG331">
        <v>2</v>
      </c>
      <c r="AH331">
        <v>0</v>
      </c>
      <c r="AI331" t="s">
        <v>753</v>
      </c>
      <c r="AJ331">
        <v>39.198425</v>
      </c>
      <c r="AK331" t="s">
        <v>754</v>
      </c>
      <c r="AL331">
        <v>-77.484061999999994</v>
      </c>
      <c r="AM331">
        <v>100</v>
      </c>
      <c r="AN331">
        <v>5800</v>
      </c>
      <c r="AO331" t="s">
        <v>115</v>
      </c>
      <c r="AP331">
        <v>116</v>
      </c>
      <c r="AQ331">
        <v>54</v>
      </c>
      <c r="AR331">
        <v>1088</v>
      </c>
      <c r="AZ331">
        <v>3614</v>
      </c>
      <c r="BA331">
        <v>1</v>
      </c>
      <c r="BB331" t="str">
        <f t="shared" si="17"/>
        <v xml:space="preserve">N959MJ  </v>
      </c>
      <c r="BC331">
        <v>1</v>
      </c>
      <c r="BE331">
        <v>0</v>
      </c>
      <c r="BF331">
        <v>0</v>
      </c>
      <c r="BG331">
        <v>0</v>
      </c>
      <c r="BH331">
        <v>6075</v>
      </c>
      <c r="BI331">
        <v>275</v>
      </c>
      <c r="BJ331">
        <v>1</v>
      </c>
      <c r="BK331">
        <v>1</v>
      </c>
      <c r="BL331">
        <v>1</v>
      </c>
      <c r="BM331">
        <v>0</v>
      </c>
      <c r="BP331">
        <v>0</v>
      </c>
      <c r="BQ331">
        <v>0</v>
      </c>
      <c r="BX331" t="str">
        <f>"13:55:52.469"</f>
        <v>13:55:52.469</v>
      </c>
      <c r="BY331" t="str">
        <f>"471341520"</f>
        <v>471341520</v>
      </c>
      <c r="CL331">
        <v>3</v>
      </c>
      <c r="CM331">
        <v>2</v>
      </c>
      <c r="CN331">
        <v>0</v>
      </c>
      <c r="CO331">
        <v>2</v>
      </c>
      <c r="CP331">
        <v>0</v>
      </c>
      <c r="CQ331">
        <v>7</v>
      </c>
      <c r="CR331" t="s">
        <v>116</v>
      </c>
      <c r="CS331">
        <v>147</v>
      </c>
      <c r="CT331">
        <v>3</v>
      </c>
      <c r="CU331" t="s">
        <v>117</v>
      </c>
      <c r="CV331" t="s">
        <v>118</v>
      </c>
      <c r="CY331">
        <v>16316776</v>
      </c>
      <c r="CZ331" t="s">
        <v>119</v>
      </c>
    </row>
    <row r="332" spans="1:104" x14ac:dyDescent="0.25">
      <c r="A332" t="str">
        <f>"13:55:53.523"</f>
        <v>13:55:53.523</v>
      </c>
      <c r="B332" t="s">
        <v>108</v>
      </c>
      <c r="C332" t="str">
        <f t="shared" si="16"/>
        <v>ffdfd3c0</v>
      </c>
      <c r="D332" t="s">
        <v>109</v>
      </c>
      <c r="E332">
        <v>4</v>
      </c>
      <c r="F332">
        <v>1004</v>
      </c>
      <c r="G332" t="s">
        <v>110</v>
      </c>
      <c r="J332" t="s">
        <v>111</v>
      </c>
      <c r="K332">
        <v>0</v>
      </c>
      <c r="L332">
        <v>3</v>
      </c>
      <c r="M332">
        <v>0</v>
      </c>
      <c r="N332">
        <v>2</v>
      </c>
      <c r="O332">
        <v>1</v>
      </c>
      <c r="P332">
        <v>0</v>
      </c>
      <c r="Q332">
        <v>0</v>
      </c>
      <c r="R332" t="s">
        <v>112</v>
      </c>
      <c r="S332" t="str">
        <f>"13:55:53.367"</f>
        <v>13:55:53.367</v>
      </c>
      <c r="T332" t="str">
        <f>"13:55:52.969"</f>
        <v>13:55:52.969</v>
      </c>
      <c r="U332" t="str">
        <f t="shared" si="15"/>
        <v>ad5732</v>
      </c>
      <c r="V332">
        <v>0</v>
      </c>
      <c r="W332">
        <v>0</v>
      </c>
      <c r="X332">
        <v>1</v>
      </c>
      <c r="Z332">
        <v>0</v>
      </c>
      <c r="AA332">
        <v>9</v>
      </c>
      <c r="AB332">
        <v>3</v>
      </c>
      <c r="AC332">
        <v>0</v>
      </c>
      <c r="AD332">
        <v>10</v>
      </c>
      <c r="AE332">
        <v>0</v>
      </c>
      <c r="AF332">
        <v>3</v>
      </c>
      <c r="AG332">
        <v>2</v>
      </c>
      <c r="AH332">
        <v>0</v>
      </c>
      <c r="AI332" t="s">
        <v>755</v>
      </c>
      <c r="AJ332">
        <v>39.198661000000001</v>
      </c>
      <c r="AK332" t="s">
        <v>756</v>
      </c>
      <c r="AL332">
        <v>-77.483461000000005</v>
      </c>
      <c r="AM332">
        <v>100</v>
      </c>
      <c r="AN332">
        <v>5800</v>
      </c>
      <c r="AO332" t="s">
        <v>115</v>
      </c>
      <c r="AP332">
        <v>115</v>
      </c>
      <c r="AQ332">
        <v>56</v>
      </c>
      <c r="AR332">
        <v>1088</v>
      </c>
      <c r="AZ332">
        <v>3614</v>
      </c>
      <c r="BA332">
        <v>1</v>
      </c>
      <c r="BB332" t="str">
        <f t="shared" si="17"/>
        <v xml:space="preserve">N959MJ  </v>
      </c>
      <c r="BC332">
        <v>1</v>
      </c>
      <c r="BE332">
        <v>0</v>
      </c>
      <c r="BF332">
        <v>0</v>
      </c>
      <c r="BG332">
        <v>0</v>
      </c>
      <c r="BH332">
        <v>6100</v>
      </c>
      <c r="BI332">
        <v>300</v>
      </c>
      <c r="BJ332">
        <v>1</v>
      </c>
      <c r="BK332">
        <v>1</v>
      </c>
      <c r="BL332">
        <v>1</v>
      </c>
      <c r="BM332">
        <v>0</v>
      </c>
      <c r="BP332">
        <v>0</v>
      </c>
      <c r="BQ332">
        <v>0</v>
      </c>
      <c r="BX332" t="str">
        <f>"13:55:53.367"</f>
        <v>13:55:53.367</v>
      </c>
      <c r="BY332" t="str">
        <f>"367744805"</f>
        <v>367744805</v>
      </c>
      <c r="CL332">
        <v>3</v>
      </c>
      <c r="CM332">
        <v>2</v>
      </c>
      <c r="CN332">
        <v>0</v>
      </c>
      <c r="CO332">
        <v>2</v>
      </c>
      <c r="CP332">
        <v>0</v>
      </c>
      <c r="CQ332">
        <v>6</v>
      </c>
      <c r="CR332" t="s">
        <v>116</v>
      </c>
      <c r="CS332">
        <v>373</v>
      </c>
      <c r="CT332">
        <v>3</v>
      </c>
      <c r="CU332" t="s">
        <v>224</v>
      </c>
      <c r="CV332" t="s">
        <v>225</v>
      </c>
      <c r="CY332">
        <v>1929236</v>
      </c>
      <c r="CZ332" t="s">
        <v>119</v>
      </c>
    </row>
    <row r="333" spans="1:104" x14ac:dyDescent="0.25">
      <c r="A333" t="str">
        <f>"13:55:54.438"</f>
        <v>13:55:54.438</v>
      </c>
      <c r="B333" t="s">
        <v>108</v>
      </c>
      <c r="C333" t="str">
        <f t="shared" si="16"/>
        <v>ffdfd3c0</v>
      </c>
      <c r="D333" t="s">
        <v>109</v>
      </c>
      <c r="E333">
        <v>4</v>
      </c>
      <c r="F333">
        <v>1004</v>
      </c>
      <c r="G333" t="s">
        <v>110</v>
      </c>
      <c r="J333" t="s">
        <v>111</v>
      </c>
      <c r="K333">
        <v>0</v>
      </c>
      <c r="L333">
        <v>3</v>
      </c>
      <c r="M333">
        <v>0</v>
      </c>
      <c r="N333">
        <v>2</v>
      </c>
      <c r="O333">
        <v>1</v>
      </c>
      <c r="P333">
        <v>0</v>
      </c>
      <c r="Q333">
        <v>0</v>
      </c>
      <c r="R333" t="s">
        <v>112</v>
      </c>
      <c r="S333" t="str">
        <f>"13:55:54.266"</f>
        <v>13:55:54.266</v>
      </c>
      <c r="T333" t="str">
        <f>"13:55:53.867"</f>
        <v>13:55:53.867</v>
      </c>
      <c r="U333" t="str">
        <f t="shared" si="15"/>
        <v>ad5732</v>
      </c>
      <c r="V333">
        <v>0</v>
      </c>
      <c r="W333">
        <v>0</v>
      </c>
      <c r="X333">
        <v>1</v>
      </c>
      <c r="Z333">
        <v>0</v>
      </c>
      <c r="AA333">
        <v>9</v>
      </c>
      <c r="AB333">
        <v>3</v>
      </c>
      <c r="AC333">
        <v>0</v>
      </c>
      <c r="AD333">
        <v>10</v>
      </c>
      <c r="AE333">
        <v>0</v>
      </c>
      <c r="AF333">
        <v>3</v>
      </c>
      <c r="AG333">
        <v>2</v>
      </c>
      <c r="AH333">
        <v>0</v>
      </c>
      <c r="AI333" t="s">
        <v>757</v>
      </c>
      <c r="AJ333">
        <v>39.198897000000002</v>
      </c>
      <c r="AK333" t="s">
        <v>758</v>
      </c>
      <c r="AL333">
        <v>-77.482838999999998</v>
      </c>
      <c r="AM333">
        <v>100</v>
      </c>
      <c r="AN333">
        <v>5800</v>
      </c>
      <c r="AO333" t="s">
        <v>115</v>
      </c>
      <c r="AP333">
        <v>115</v>
      </c>
      <c r="AQ333">
        <v>57</v>
      </c>
      <c r="AR333">
        <v>1024</v>
      </c>
      <c r="AZ333">
        <v>3614</v>
      </c>
      <c r="BA333">
        <v>1</v>
      </c>
      <c r="BB333" t="str">
        <f t="shared" si="17"/>
        <v xml:space="preserve">N959MJ  </v>
      </c>
      <c r="BC333">
        <v>1</v>
      </c>
      <c r="BE333">
        <v>0</v>
      </c>
      <c r="BF333">
        <v>0</v>
      </c>
      <c r="BG333">
        <v>0</v>
      </c>
      <c r="BH333">
        <v>6125</v>
      </c>
      <c r="BI333">
        <v>325</v>
      </c>
      <c r="BJ333">
        <v>1</v>
      </c>
      <c r="BK333">
        <v>1</v>
      </c>
      <c r="BL333">
        <v>1</v>
      </c>
      <c r="BM333">
        <v>0</v>
      </c>
      <c r="BP333">
        <v>0</v>
      </c>
      <c r="BQ333">
        <v>0</v>
      </c>
      <c r="BX333" t="str">
        <f>"13:55:54.266"</f>
        <v>13:55:54.266</v>
      </c>
      <c r="BY333" t="str">
        <f>"267056040"</f>
        <v>267056040</v>
      </c>
      <c r="CL333">
        <v>3</v>
      </c>
      <c r="CM333">
        <v>2</v>
      </c>
      <c r="CN333">
        <v>0</v>
      </c>
      <c r="CO333">
        <v>2</v>
      </c>
      <c r="CP333">
        <v>0</v>
      </c>
      <c r="CQ333">
        <v>7</v>
      </c>
      <c r="CR333" t="s">
        <v>116</v>
      </c>
      <c r="CS333">
        <v>147</v>
      </c>
      <c r="CT333">
        <v>3</v>
      </c>
      <c r="CU333" t="s">
        <v>117</v>
      </c>
      <c r="CV333" t="s">
        <v>118</v>
      </c>
      <c r="CY333">
        <v>16319667</v>
      </c>
      <c r="CZ333" t="s">
        <v>119</v>
      </c>
    </row>
    <row r="334" spans="1:104" x14ac:dyDescent="0.25">
      <c r="A334" t="str">
        <f>"13:55:55.547"</f>
        <v>13:55:55.547</v>
      </c>
      <c r="B334" t="s">
        <v>108</v>
      </c>
      <c r="C334" t="str">
        <f t="shared" si="16"/>
        <v>ffdfd3c0</v>
      </c>
      <c r="D334" t="s">
        <v>109</v>
      </c>
      <c r="E334">
        <v>4</v>
      </c>
      <c r="F334">
        <v>1004</v>
      </c>
      <c r="G334" t="s">
        <v>110</v>
      </c>
      <c r="J334" t="s">
        <v>111</v>
      </c>
      <c r="K334">
        <v>0</v>
      </c>
      <c r="L334">
        <v>3</v>
      </c>
      <c r="M334">
        <v>0</v>
      </c>
      <c r="N334">
        <v>2</v>
      </c>
      <c r="O334">
        <v>1</v>
      </c>
      <c r="P334">
        <v>0</v>
      </c>
      <c r="Q334">
        <v>0</v>
      </c>
      <c r="R334" t="s">
        <v>112</v>
      </c>
      <c r="S334" t="str">
        <f>"13:55:55.336"</f>
        <v>13:55:55.336</v>
      </c>
      <c r="T334" t="str">
        <f>"13:55:54.836"</f>
        <v>13:55:54.836</v>
      </c>
      <c r="U334" t="str">
        <f t="shared" si="15"/>
        <v>ad5732</v>
      </c>
      <c r="V334">
        <v>0</v>
      </c>
      <c r="W334">
        <v>0</v>
      </c>
      <c r="X334">
        <v>1</v>
      </c>
      <c r="Z334">
        <v>0</v>
      </c>
      <c r="AA334">
        <v>9</v>
      </c>
      <c r="AB334">
        <v>3</v>
      </c>
      <c r="AC334">
        <v>0</v>
      </c>
      <c r="AD334">
        <v>10</v>
      </c>
      <c r="AE334">
        <v>0</v>
      </c>
      <c r="AF334">
        <v>3</v>
      </c>
      <c r="AG334">
        <v>2</v>
      </c>
      <c r="AH334">
        <v>0</v>
      </c>
      <c r="AI334" t="s">
        <v>759</v>
      </c>
      <c r="AJ334">
        <v>39.199176000000001</v>
      </c>
      <c r="AK334" t="s">
        <v>760</v>
      </c>
      <c r="AL334">
        <v>-77.482088000000005</v>
      </c>
      <c r="AM334">
        <v>100</v>
      </c>
      <c r="AN334">
        <v>5900</v>
      </c>
      <c r="AO334" t="s">
        <v>115</v>
      </c>
      <c r="AP334">
        <v>114</v>
      </c>
      <c r="AQ334">
        <v>57</v>
      </c>
      <c r="AR334">
        <v>960</v>
      </c>
      <c r="AZ334">
        <v>3614</v>
      </c>
      <c r="BA334">
        <v>1</v>
      </c>
      <c r="BB334" t="str">
        <f t="shared" si="17"/>
        <v xml:space="preserve">N959MJ  </v>
      </c>
      <c r="BC334">
        <v>1</v>
      </c>
      <c r="BE334">
        <v>0</v>
      </c>
      <c r="BF334">
        <v>0</v>
      </c>
      <c r="BG334">
        <v>0</v>
      </c>
      <c r="BH334">
        <v>6125</v>
      </c>
      <c r="BI334">
        <v>225</v>
      </c>
      <c r="BJ334">
        <v>1</v>
      </c>
      <c r="BK334">
        <v>1</v>
      </c>
      <c r="BL334">
        <v>1</v>
      </c>
      <c r="BM334">
        <v>0</v>
      </c>
      <c r="BP334">
        <v>0</v>
      </c>
      <c r="BQ334">
        <v>0</v>
      </c>
      <c r="BX334" t="str">
        <f>"13:55:55.344"</f>
        <v>13:55:55.344</v>
      </c>
      <c r="BY334" t="str">
        <f>"343485564"</f>
        <v>343485564</v>
      </c>
      <c r="CL334">
        <v>3</v>
      </c>
      <c r="CM334">
        <v>2</v>
      </c>
      <c r="CN334">
        <v>0</v>
      </c>
      <c r="CO334">
        <v>2</v>
      </c>
      <c r="CP334">
        <v>0</v>
      </c>
      <c r="CQ334">
        <v>7</v>
      </c>
      <c r="CR334" t="s">
        <v>116</v>
      </c>
      <c r="CS334">
        <v>525</v>
      </c>
      <c r="CT334">
        <v>2</v>
      </c>
      <c r="CU334" t="s">
        <v>140</v>
      </c>
      <c r="CV334" t="s">
        <v>141</v>
      </c>
      <c r="CY334">
        <v>14073094</v>
      </c>
      <c r="CZ334" t="s">
        <v>119</v>
      </c>
    </row>
    <row r="335" spans="1:104" x14ac:dyDescent="0.25">
      <c r="A335" t="str">
        <f>"13:55:56.555"</f>
        <v>13:55:56.555</v>
      </c>
      <c r="B335" t="s">
        <v>108</v>
      </c>
      <c r="C335" t="str">
        <f t="shared" si="16"/>
        <v>ffdfd3c0</v>
      </c>
      <c r="D335" t="s">
        <v>109</v>
      </c>
      <c r="E335">
        <v>4</v>
      </c>
      <c r="F335">
        <v>1004</v>
      </c>
      <c r="G335" t="s">
        <v>110</v>
      </c>
      <c r="J335" t="s">
        <v>111</v>
      </c>
      <c r="K335">
        <v>0</v>
      </c>
      <c r="L335">
        <v>3</v>
      </c>
      <c r="M335">
        <v>0</v>
      </c>
      <c r="N335">
        <v>2</v>
      </c>
      <c r="O335">
        <v>1</v>
      </c>
      <c r="P335">
        <v>0</v>
      </c>
      <c r="Q335">
        <v>0</v>
      </c>
      <c r="R335" t="s">
        <v>112</v>
      </c>
      <c r="S335" t="str">
        <f>"13:55:56.383"</f>
        <v>13:55:56.383</v>
      </c>
      <c r="T335" t="str">
        <f>"13:55:55.984"</f>
        <v>13:55:55.984</v>
      </c>
      <c r="U335" t="str">
        <f t="shared" si="15"/>
        <v>ad5732</v>
      </c>
      <c r="V335">
        <v>0</v>
      </c>
      <c r="W335">
        <v>0</v>
      </c>
      <c r="X335">
        <v>1</v>
      </c>
      <c r="Z335">
        <v>0</v>
      </c>
      <c r="AA335">
        <v>9</v>
      </c>
      <c r="AB335">
        <v>3</v>
      </c>
      <c r="AC335">
        <v>0</v>
      </c>
      <c r="AD335">
        <v>10</v>
      </c>
      <c r="AE335">
        <v>0</v>
      </c>
      <c r="AF335">
        <v>3</v>
      </c>
      <c r="AG335">
        <v>2</v>
      </c>
      <c r="AH335">
        <v>0</v>
      </c>
      <c r="AI335" t="s">
        <v>761</v>
      </c>
      <c r="AJ335">
        <v>39.199497999999998</v>
      </c>
      <c r="AK335" t="s">
        <v>762</v>
      </c>
      <c r="AL335">
        <v>-77.481314999999995</v>
      </c>
      <c r="AM335">
        <v>100</v>
      </c>
      <c r="AN335">
        <v>5900</v>
      </c>
      <c r="AO335" t="s">
        <v>115</v>
      </c>
      <c r="AP335">
        <v>114</v>
      </c>
      <c r="AQ335">
        <v>58</v>
      </c>
      <c r="AR335">
        <v>896</v>
      </c>
      <c r="AZ335">
        <v>3614</v>
      </c>
      <c r="BA335">
        <v>1</v>
      </c>
      <c r="BB335" t="str">
        <f t="shared" si="17"/>
        <v xml:space="preserve">N959MJ  </v>
      </c>
      <c r="BC335">
        <v>1</v>
      </c>
      <c r="BE335">
        <v>0</v>
      </c>
      <c r="BF335">
        <v>0</v>
      </c>
      <c r="BG335">
        <v>0</v>
      </c>
      <c r="BH335">
        <v>6150</v>
      </c>
      <c r="BI335">
        <v>250</v>
      </c>
      <c r="BJ335">
        <v>1</v>
      </c>
      <c r="BK335">
        <v>1</v>
      </c>
      <c r="BL335">
        <v>1</v>
      </c>
      <c r="BM335">
        <v>0</v>
      </c>
      <c r="BP335">
        <v>0</v>
      </c>
      <c r="BQ335">
        <v>0</v>
      </c>
      <c r="BX335" t="str">
        <f>"13:55:56.391"</f>
        <v>13:55:56.391</v>
      </c>
      <c r="BY335" t="str">
        <f>"390439496"</f>
        <v>390439496</v>
      </c>
      <c r="CL335">
        <v>3</v>
      </c>
      <c r="CM335">
        <v>2</v>
      </c>
      <c r="CN335">
        <v>0</v>
      </c>
      <c r="CO335">
        <v>2</v>
      </c>
      <c r="CP335">
        <v>0</v>
      </c>
      <c r="CQ335">
        <v>7</v>
      </c>
      <c r="CR335" t="s">
        <v>116</v>
      </c>
      <c r="CS335">
        <v>525</v>
      </c>
      <c r="CT335">
        <v>2</v>
      </c>
      <c r="CU335" t="s">
        <v>140</v>
      </c>
      <c r="CV335" t="s">
        <v>141</v>
      </c>
      <c r="CY335">
        <v>14074762</v>
      </c>
      <c r="CZ335" t="s">
        <v>119</v>
      </c>
    </row>
    <row r="336" spans="1:104" x14ac:dyDescent="0.25">
      <c r="A336" t="str">
        <f>"13:55:57.563"</f>
        <v>13:55:57.563</v>
      </c>
      <c r="B336" t="s">
        <v>108</v>
      </c>
      <c r="C336" t="str">
        <f t="shared" si="16"/>
        <v>ffdfd3c0</v>
      </c>
      <c r="D336" t="s">
        <v>109</v>
      </c>
      <c r="E336">
        <v>4</v>
      </c>
      <c r="F336">
        <v>1004</v>
      </c>
      <c r="G336" t="s">
        <v>110</v>
      </c>
      <c r="J336" t="s">
        <v>111</v>
      </c>
      <c r="K336">
        <v>0</v>
      </c>
      <c r="L336">
        <v>3</v>
      </c>
      <c r="M336">
        <v>0</v>
      </c>
      <c r="N336">
        <v>2</v>
      </c>
      <c r="O336">
        <v>1</v>
      </c>
      <c r="P336">
        <v>0</v>
      </c>
      <c r="Q336">
        <v>0</v>
      </c>
      <c r="R336" t="s">
        <v>112</v>
      </c>
      <c r="S336" t="str">
        <f>"13:55:57.414"</f>
        <v>13:55:57.414</v>
      </c>
      <c r="T336" t="str">
        <f>"13:55:57.016"</f>
        <v>13:55:57.016</v>
      </c>
      <c r="U336" t="str">
        <f t="shared" si="15"/>
        <v>ad5732</v>
      </c>
      <c r="V336">
        <v>0</v>
      </c>
      <c r="W336">
        <v>0</v>
      </c>
      <c r="X336">
        <v>1</v>
      </c>
      <c r="Z336">
        <v>0</v>
      </c>
      <c r="AA336">
        <v>9</v>
      </c>
      <c r="AB336">
        <v>3</v>
      </c>
      <c r="AC336">
        <v>0</v>
      </c>
      <c r="AD336">
        <v>10</v>
      </c>
      <c r="AE336">
        <v>0</v>
      </c>
      <c r="AF336">
        <v>3</v>
      </c>
      <c r="AG336">
        <v>2</v>
      </c>
      <c r="AH336">
        <v>0</v>
      </c>
      <c r="AI336" t="s">
        <v>763</v>
      </c>
      <c r="AJ336">
        <v>39.199733999999999</v>
      </c>
      <c r="AK336" t="s">
        <v>764</v>
      </c>
      <c r="AL336">
        <v>-77.480649999999997</v>
      </c>
      <c r="AM336">
        <v>100</v>
      </c>
      <c r="AN336">
        <v>5900</v>
      </c>
      <c r="AO336" t="s">
        <v>115</v>
      </c>
      <c r="AP336">
        <v>115</v>
      </c>
      <c r="AQ336">
        <v>58</v>
      </c>
      <c r="AR336">
        <v>768</v>
      </c>
      <c r="AZ336">
        <v>3614</v>
      </c>
      <c r="BA336">
        <v>1</v>
      </c>
      <c r="BB336" t="str">
        <f t="shared" si="17"/>
        <v xml:space="preserve">N959MJ  </v>
      </c>
      <c r="BC336">
        <v>1</v>
      </c>
      <c r="BE336">
        <v>0</v>
      </c>
      <c r="BF336">
        <v>0</v>
      </c>
      <c r="BG336">
        <v>0</v>
      </c>
      <c r="BH336">
        <v>6150</v>
      </c>
      <c r="BI336">
        <v>250</v>
      </c>
      <c r="BJ336">
        <v>1</v>
      </c>
      <c r="BK336">
        <v>1</v>
      </c>
      <c r="BL336">
        <v>1</v>
      </c>
      <c r="BM336">
        <v>0</v>
      </c>
      <c r="BP336">
        <v>0</v>
      </c>
      <c r="BQ336">
        <v>0</v>
      </c>
      <c r="BX336" t="str">
        <f>"13:55:57.422"</f>
        <v>13:55:57.422</v>
      </c>
      <c r="BY336" t="str">
        <f>"419387192"</f>
        <v>419387192</v>
      </c>
      <c r="CL336">
        <v>3</v>
      </c>
      <c r="CM336">
        <v>2</v>
      </c>
      <c r="CN336">
        <v>0</v>
      </c>
      <c r="CO336">
        <v>2</v>
      </c>
      <c r="CP336">
        <v>0</v>
      </c>
      <c r="CQ336">
        <v>7</v>
      </c>
      <c r="CR336" t="s">
        <v>116</v>
      </c>
      <c r="CS336">
        <v>147</v>
      </c>
      <c r="CT336">
        <v>3</v>
      </c>
      <c r="CU336" t="s">
        <v>117</v>
      </c>
      <c r="CV336" t="s">
        <v>118</v>
      </c>
      <c r="CY336">
        <v>16324740</v>
      </c>
      <c r="CZ336" t="s">
        <v>119</v>
      </c>
    </row>
    <row r="337" spans="1:104" x14ac:dyDescent="0.25">
      <c r="A337" t="str">
        <f>"13:55:58.523"</f>
        <v>13:55:58.523</v>
      </c>
      <c r="B337" t="s">
        <v>108</v>
      </c>
      <c r="C337" t="str">
        <f t="shared" si="16"/>
        <v>ffdfd3c0</v>
      </c>
      <c r="D337" t="s">
        <v>109</v>
      </c>
      <c r="E337">
        <v>4</v>
      </c>
      <c r="F337">
        <v>1004</v>
      </c>
      <c r="G337" t="s">
        <v>110</v>
      </c>
      <c r="J337" t="s">
        <v>111</v>
      </c>
      <c r="K337">
        <v>0</v>
      </c>
      <c r="L337">
        <v>3</v>
      </c>
      <c r="M337">
        <v>0</v>
      </c>
      <c r="N337">
        <v>2</v>
      </c>
      <c r="O337">
        <v>1</v>
      </c>
      <c r="P337">
        <v>0</v>
      </c>
      <c r="Q337">
        <v>0</v>
      </c>
      <c r="R337" t="s">
        <v>112</v>
      </c>
      <c r="S337" t="str">
        <f>"13:55:58.328"</f>
        <v>13:55:58.328</v>
      </c>
      <c r="T337" t="str">
        <f>"13:55:57.930"</f>
        <v>13:55:57.930</v>
      </c>
      <c r="U337" t="str">
        <f t="shared" si="15"/>
        <v>ad5732</v>
      </c>
      <c r="V337">
        <v>0</v>
      </c>
      <c r="W337">
        <v>0</v>
      </c>
      <c r="X337">
        <v>1</v>
      </c>
      <c r="Z337">
        <v>0</v>
      </c>
      <c r="AA337">
        <v>9</v>
      </c>
      <c r="AB337">
        <v>3</v>
      </c>
      <c r="AC337">
        <v>0</v>
      </c>
      <c r="AD337">
        <v>10</v>
      </c>
      <c r="AE337">
        <v>0</v>
      </c>
      <c r="AF337">
        <v>3</v>
      </c>
      <c r="AG337">
        <v>2</v>
      </c>
      <c r="AH337">
        <v>0</v>
      </c>
      <c r="AI337" t="s">
        <v>765</v>
      </c>
      <c r="AJ337">
        <v>39.199990999999997</v>
      </c>
      <c r="AK337" t="s">
        <v>766</v>
      </c>
      <c r="AL337">
        <v>-77.480070999999995</v>
      </c>
      <c r="AM337">
        <v>100</v>
      </c>
      <c r="AN337">
        <v>5900</v>
      </c>
      <c r="AO337" t="s">
        <v>115</v>
      </c>
      <c r="AP337">
        <v>115</v>
      </c>
      <c r="AQ337">
        <v>58</v>
      </c>
      <c r="AR337">
        <v>768</v>
      </c>
      <c r="AZ337">
        <v>3614</v>
      </c>
      <c r="BA337">
        <v>1</v>
      </c>
      <c r="BB337" t="str">
        <f t="shared" si="17"/>
        <v xml:space="preserve">N959MJ  </v>
      </c>
      <c r="BC337">
        <v>1</v>
      </c>
      <c r="BE337">
        <v>0</v>
      </c>
      <c r="BF337">
        <v>0</v>
      </c>
      <c r="BG337">
        <v>0</v>
      </c>
      <c r="BH337">
        <v>6175</v>
      </c>
      <c r="BI337">
        <v>275</v>
      </c>
      <c r="BJ337">
        <v>1</v>
      </c>
      <c r="BK337">
        <v>1</v>
      </c>
      <c r="BL337">
        <v>1</v>
      </c>
      <c r="BM337">
        <v>0</v>
      </c>
      <c r="BP337">
        <v>0</v>
      </c>
      <c r="BQ337">
        <v>0</v>
      </c>
      <c r="BX337" t="str">
        <f>"13:55:58.328"</f>
        <v>13:55:58.328</v>
      </c>
      <c r="BY337" t="str">
        <f>"328697040"</f>
        <v>328697040</v>
      </c>
      <c r="CL337">
        <v>3</v>
      </c>
      <c r="CM337">
        <v>2</v>
      </c>
      <c r="CN337">
        <v>0</v>
      </c>
      <c r="CO337">
        <v>2</v>
      </c>
      <c r="CP337">
        <v>0</v>
      </c>
      <c r="CQ337">
        <v>7</v>
      </c>
      <c r="CR337" t="s">
        <v>116</v>
      </c>
      <c r="CS337">
        <v>525</v>
      </c>
      <c r="CT337">
        <v>2</v>
      </c>
      <c r="CU337" t="s">
        <v>140</v>
      </c>
      <c r="CV337" t="s">
        <v>141</v>
      </c>
      <c r="CY337">
        <v>14077526</v>
      </c>
      <c r="CZ337" t="s">
        <v>119</v>
      </c>
    </row>
    <row r="338" spans="1:104" x14ac:dyDescent="0.25">
      <c r="A338" t="str">
        <f>"13:55:59.383"</f>
        <v>13:55:59.383</v>
      </c>
      <c r="B338" t="s">
        <v>108</v>
      </c>
      <c r="C338" t="str">
        <f t="shared" si="16"/>
        <v>ffdfd3c0</v>
      </c>
      <c r="D338" t="s">
        <v>109</v>
      </c>
      <c r="E338">
        <v>4</v>
      </c>
      <c r="F338">
        <v>1004</v>
      </c>
      <c r="G338" t="s">
        <v>110</v>
      </c>
      <c r="J338" t="s">
        <v>111</v>
      </c>
      <c r="K338">
        <v>0</v>
      </c>
      <c r="L338">
        <v>3</v>
      </c>
      <c r="M338">
        <v>0</v>
      </c>
      <c r="N338">
        <v>2</v>
      </c>
      <c r="O338">
        <v>1</v>
      </c>
      <c r="P338">
        <v>0</v>
      </c>
      <c r="Q338">
        <v>0</v>
      </c>
      <c r="R338" t="s">
        <v>112</v>
      </c>
      <c r="S338" t="str">
        <f>"13:55:59.227"</f>
        <v>13:55:59.227</v>
      </c>
      <c r="T338" t="str">
        <f>"13:55:58.828"</f>
        <v>13:55:58.828</v>
      </c>
      <c r="U338" t="str">
        <f t="shared" si="15"/>
        <v>ad5732</v>
      </c>
      <c r="V338">
        <v>0</v>
      </c>
      <c r="W338">
        <v>0</v>
      </c>
      <c r="X338">
        <v>1</v>
      </c>
      <c r="Z338">
        <v>0</v>
      </c>
      <c r="AA338">
        <v>9</v>
      </c>
      <c r="AB338">
        <v>3</v>
      </c>
      <c r="AC338">
        <v>0</v>
      </c>
      <c r="AD338">
        <v>10</v>
      </c>
      <c r="AE338">
        <v>0</v>
      </c>
      <c r="AF338">
        <v>3</v>
      </c>
      <c r="AG338">
        <v>2</v>
      </c>
      <c r="AH338">
        <v>0</v>
      </c>
      <c r="AI338" t="s">
        <v>767</v>
      </c>
      <c r="AJ338">
        <v>39.200248999999999</v>
      </c>
      <c r="AK338" t="s">
        <v>768</v>
      </c>
      <c r="AL338">
        <v>-77.479427000000001</v>
      </c>
      <c r="AM338">
        <v>100</v>
      </c>
      <c r="AN338">
        <v>5900</v>
      </c>
      <c r="AO338" t="s">
        <v>115</v>
      </c>
      <c r="AP338">
        <v>115</v>
      </c>
      <c r="AQ338">
        <v>59</v>
      </c>
      <c r="AR338">
        <v>704</v>
      </c>
      <c r="AZ338">
        <v>3614</v>
      </c>
      <c r="BA338">
        <v>1</v>
      </c>
      <c r="BB338" t="str">
        <f t="shared" si="17"/>
        <v xml:space="preserve">N959MJ  </v>
      </c>
      <c r="BC338">
        <v>1</v>
      </c>
      <c r="BE338">
        <v>0</v>
      </c>
      <c r="BF338">
        <v>0</v>
      </c>
      <c r="BG338">
        <v>0</v>
      </c>
      <c r="BH338">
        <v>6175</v>
      </c>
      <c r="BI338">
        <v>275</v>
      </c>
      <c r="BJ338">
        <v>1</v>
      </c>
      <c r="BK338">
        <v>1</v>
      </c>
      <c r="BL338">
        <v>1</v>
      </c>
      <c r="BM338">
        <v>0</v>
      </c>
      <c r="BP338">
        <v>0</v>
      </c>
      <c r="BQ338">
        <v>0</v>
      </c>
      <c r="BX338" t="str">
        <f>"13:55:59.234"</f>
        <v>13:55:59.234</v>
      </c>
      <c r="BY338" t="str">
        <f>"233108026"</f>
        <v>233108026</v>
      </c>
      <c r="CL338">
        <v>3</v>
      </c>
      <c r="CM338">
        <v>2</v>
      </c>
      <c r="CN338">
        <v>0</v>
      </c>
      <c r="CO338">
        <v>2</v>
      </c>
      <c r="CP338">
        <v>0</v>
      </c>
      <c r="CQ338">
        <v>7</v>
      </c>
      <c r="CR338" t="s">
        <v>116</v>
      </c>
      <c r="CS338">
        <v>525</v>
      </c>
      <c r="CT338">
        <v>2</v>
      </c>
      <c r="CU338" t="s">
        <v>140</v>
      </c>
      <c r="CV338" t="s">
        <v>141</v>
      </c>
      <c r="CY338">
        <v>14078743</v>
      </c>
      <c r="CZ338" t="s">
        <v>119</v>
      </c>
    </row>
    <row r="339" spans="1:104" x14ac:dyDescent="0.25">
      <c r="A339" t="str">
        <f>"13:56:00.289"</f>
        <v>13:56:00.289</v>
      </c>
      <c r="B339" t="s">
        <v>108</v>
      </c>
      <c r="C339" t="str">
        <f t="shared" si="16"/>
        <v>ffdfd3c0</v>
      </c>
      <c r="D339" t="s">
        <v>109</v>
      </c>
      <c r="E339">
        <v>4</v>
      </c>
      <c r="F339">
        <v>1004</v>
      </c>
      <c r="G339" t="s">
        <v>110</v>
      </c>
      <c r="J339" t="s">
        <v>111</v>
      </c>
      <c r="K339">
        <v>0</v>
      </c>
      <c r="L339">
        <v>3</v>
      </c>
      <c r="M339">
        <v>0</v>
      </c>
      <c r="N339">
        <v>2</v>
      </c>
      <c r="O339">
        <v>1</v>
      </c>
      <c r="P339">
        <v>0</v>
      </c>
      <c r="Q339">
        <v>0</v>
      </c>
      <c r="R339" t="s">
        <v>112</v>
      </c>
      <c r="S339" t="str">
        <f>"13:56:00.109"</f>
        <v>13:56:00.109</v>
      </c>
      <c r="T339" t="str">
        <f>"13:55:59.711"</f>
        <v>13:55:59.711</v>
      </c>
      <c r="U339" t="str">
        <f t="shared" si="15"/>
        <v>ad5732</v>
      </c>
      <c r="V339">
        <v>0</v>
      </c>
      <c r="W339">
        <v>0</v>
      </c>
      <c r="X339">
        <v>1</v>
      </c>
      <c r="Z339">
        <v>0</v>
      </c>
      <c r="AA339">
        <v>9</v>
      </c>
      <c r="AB339">
        <v>3</v>
      </c>
      <c r="AC339">
        <v>0</v>
      </c>
      <c r="AD339">
        <v>10</v>
      </c>
      <c r="AE339">
        <v>0</v>
      </c>
      <c r="AF339">
        <v>3</v>
      </c>
      <c r="AG339">
        <v>2</v>
      </c>
      <c r="AH339">
        <v>0</v>
      </c>
      <c r="AI339" t="s">
        <v>769</v>
      </c>
      <c r="AJ339">
        <v>39.200462999999999</v>
      </c>
      <c r="AK339" t="s">
        <v>770</v>
      </c>
      <c r="AL339">
        <v>-77.478804999999994</v>
      </c>
      <c r="AM339">
        <v>100</v>
      </c>
      <c r="AN339">
        <v>5900</v>
      </c>
      <c r="AO339" t="s">
        <v>115</v>
      </c>
      <c r="AP339">
        <v>116</v>
      </c>
      <c r="AQ339">
        <v>59</v>
      </c>
      <c r="AR339">
        <v>704</v>
      </c>
      <c r="AZ339">
        <v>3614</v>
      </c>
      <c r="BA339">
        <v>1</v>
      </c>
      <c r="BB339" t="str">
        <f t="shared" si="17"/>
        <v xml:space="preserve">N959MJ  </v>
      </c>
      <c r="BC339">
        <v>1</v>
      </c>
      <c r="BE339">
        <v>0</v>
      </c>
      <c r="BF339">
        <v>0</v>
      </c>
      <c r="BG339">
        <v>0</v>
      </c>
      <c r="BH339">
        <v>6200</v>
      </c>
      <c r="BI339">
        <v>300</v>
      </c>
      <c r="BJ339">
        <v>1</v>
      </c>
      <c r="BK339">
        <v>1</v>
      </c>
      <c r="BL339">
        <v>1</v>
      </c>
      <c r="BM339">
        <v>0</v>
      </c>
      <c r="BP339">
        <v>0</v>
      </c>
      <c r="BQ339">
        <v>0</v>
      </c>
      <c r="BX339" t="str">
        <f>"13:56:00.117"</f>
        <v>13:56:00.117</v>
      </c>
      <c r="BY339" t="str">
        <f>"114581027"</f>
        <v>114581027</v>
      </c>
      <c r="CL339">
        <v>3</v>
      </c>
      <c r="CM339">
        <v>2</v>
      </c>
      <c r="CN339">
        <v>0</v>
      </c>
      <c r="CO339">
        <v>2</v>
      </c>
      <c r="CP339">
        <v>0</v>
      </c>
      <c r="CQ339">
        <v>7</v>
      </c>
      <c r="CR339" t="s">
        <v>116</v>
      </c>
      <c r="CS339">
        <v>525</v>
      </c>
      <c r="CT339">
        <v>3</v>
      </c>
      <c r="CU339" t="s">
        <v>140</v>
      </c>
      <c r="CV339" t="s">
        <v>141</v>
      </c>
      <c r="CY339">
        <v>455155</v>
      </c>
      <c r="CZ339" t="s">
        <v>119</v>
      </c>
    </row>
    <row r="340" spans="1:104" x14ac:dyDescent="0.25">
      <c r="A340" t="str">
        <f>"13:56:01.352"</f>
        <v>13:56:01.352</v>
      </c>
      <c r="B340" t="s">
        <v>108</v>
      </c>
      <c r="C340" t="str">
        <f t="shared" si="16"/>
        <v>ffdfd3c0</v>
      </c>
      <c r="D340" t="s">
        <v>109</v>
      </c>
      <c r="E340">
        <v>4</v>
      </c>
      <c r="F340">
        <v>1004</v>
      </c>
      <c r="G340" t="s">
        <v>110</v>
      </c>
      <c r="J340" t="s">
        <v>111</v>
      </c>
      <c r="K340">
        <v>0</v>
      </c>
      <c r="L340">
        <v>3</v>
      </c>
      <c r="M340">
        <v>0</v>
      </c>
      <c r="N340">
        <v>2</v>
      </c>
      <c r="O340">
        <v>1</v>
      </c>
      <c r="P340">
        <v>0</v>
      </c>
      <c r="Q340">
        <v>0</v>
      </c>
      <c r="R340" t="s">
        <v>112</v>
      </c>
      <c r="S340" t="str">
        <f>"13:56:01.141"</f>
        <v>13:56:01.141</v>
      </c>
      <c r="T340" t="str">
        <f>"13:56:00.742"</f>
        <v>13:56:00.742</v>
      </c>
      <c r="U340" t="str">
        <f t="shared" si="15"/>
        <v>ad5732</v>
      </c>
      <c r="V340">
        <v>0</v>
      </c>
      <c r="W340">
        <v>0</v>
      </c>
      <c r="X340">
        <v>1</v>
      </c>
      <c r="Z340">
        <v>0</v>
      </c>
      <c r="AA340">
        <v>9</v>
      </c>
      <c r="AB340">
        <v>3</v>
      </c>
      <c r="AC340">
        <v>0</v>
      </c>
      <c r="AD340">
        <v>10</v>
      </c>
      <c r="AE340">
        <v>0</v>
      </c>
      <c r="AF340">
        <v>3</v>
      </c>
      <c r="AG340">
        <v>2</v>
      </c>
      <c r="AH340">
        <v>0</v>
      </c>
      <c r="AI340" t="s">
        <v>771</v>
      </c>
      <c r="AJ340">
        <v>39.200721000000001</v>
      </c>
      <c r="AK340" t="s">
        <v>772</v>
      </c>
      <c r="AL340">
        <v>-77.478161</v>
      </c>
      <c r="AM340">
        <v>100</v>
      </c>
      <c r="AN340">
        <v>6000</v>
      </c>
      <c r="AO340" t="s">
        <v>115</v>
      </c>
      <c r="AP340">
        <v>116</v>
      </c>
      <c r="AQ340">
        <v>58</v>
      </c>
      <c r="AR340">
        <v>704</v>
      </c>
      <c r="AZ340">
        <v>3614</v>
      </c>
      <c r="BA340">
        <v>1</v>
      </c>
      <c r="BB340" t="str">
        <f t="shared" si="17"/>
        <v xml:space="preserve">N959MJ  </v>
      </c>
      <c r="BC340">
        <v>1</v>
      </c>
      <c r="BE340">
        <v>0</v>
      </c>
      <c r="BF340">
        <v>0</v>
      </c>
      <c r="BG340">
        <v>0</v>
      </c>
      <c r="BH340">
        <v>6200</v>
      </c>
      <c r="BI340">
        <v>200</v>
      </c>
      <c r="BJ340">
        <v>1</v>
      </c>
      <c r="BK340">
        <v>1</v>
      </c>
      <c r="BL340">
        <v>1</v>
      </c>
      <c r="BM340">
        <v>0</v>
      </c>
      <c r="BP340">
        <v>0</v>
      </c>
      <c r="BQ340">
        <v>0</v>
      </c>
      <c r="BX340" t="str">
        <f>"13:56:01.141"</f>
        <v>13:56:01.141</v>
      </c>
      <c r="BY340" t="str">
        <f>"143512378"</f>
        <v>143512378</v>
      </c>
      <c r="CL340">
        <v>3</v>
      </c>
      <c r="CM340">
        <v>2</v>
      </c>
      <c r="CN340">
        <v>0</v>
      </c>
      <c r="CO340">
        <v>2</v>
      </c>
      <c r="CP340">
        <v>0</v>
      </c>
      <c r="CQ340">
        <v>7</v>
      </c>
      <c r="CR340" t="s">
        <v>116</v>
      </c>
      <c r="CS340">
        <v>525</v>
      </c>
      <c r="CT340">
        <v>2</v>
      </c>
      <c r="CU340" t="s">
        <v>140</v>
      </c>
      <c r="CV340" t="s">
        <v>141</v>
      </c>
      <c r="CY340">
        <v>14081601</v>
      </c>
      <c r="CZ340" t="s">
        <v>119</v>
      </c>
    </row>
    <row r="341" spans="1:104" x14ac:dyDescent="0.25">
      <c r="A341" t="str">
        <f>"13:56:02.461"</f>
        <v>13:56:02.461</v>
      </c>
      <c r="B341" t="s">
        <v>108</v>
      </c>
      <c r="C341" t="str">
        <f t="shared" si="16"/>
        <v>ffdfd3c0</v>
      </c>
      <c r="D341" t="s">
        <v>109</v>
      </c>
      <c r="E341">
        <v>4</v>
      </c>
      <c r="F341">
        <v>1004</v>
      </c>
      <c r="G341" t="s">
        <v>110</v>
      </c>
      <c r="J341" t="s">
        <v>111</v>
      </c>
      <c r="K341">
        <v>0</v>
      </c>
      <c r="L341">
        <v>3</v>
      </c>
      <c r="M341">
        <v>0</v>
      </c>
      <c r="N341">
        <v>2</v>
      </c>
      <c r="O341">
        <v>1</v>
      </c>
      <c r="P341">
        <v>0</v>
      </c>
      <c r="Q341">
        <v>0</v>
      </c>
      <c r="R341" t="s">
        <v>112</v>
      </c>
      <c r="S341" t="str">
        <f>"13:56:02.297"</f>
        <v>13:56:02.297</v>
      </c>
      <c r="T341" t="str">
        <f>"13:56:01.797"</f>
        <v>13:56:01.797</v>
      </c>
      <c r="U341" t="str">
        <f t="shared" si="15"/>
        <v>ad5732</v>
      </c>
      <c r="V341">
        <v>0</v>
      </c>
      <c r="W341">
        <v>0</v>
      </c>
      <c r="X341">
        <v>1</v>
      </c>
      <c r="Z341">
        <v>0</v>
      </c>
      <c r="AA341">
        <v>9</v>
      </c>
      <c r="AB341">
        <v>3</v>
      </c>
      <c r="AC341">
        <v>0</v>
      </c>
      <c r="AD341">
        <v>10</v>
      </c>
      <c r="AE341">
        <v>0</v>
      </c>
      <c r="AF341">
        <v>3</v>
      </c>
      <c r="AG341">
        <v>2</v>
      </c>
      <c r="AH341">
        <v>0</v>
      </c>
      <c r="AI341" t="s">
        <v>773</v>
      </c>
      <c r="AJ341">
        <v>39.201085999999997</v>
      </c>
      <c r="AK341" t="s">
        <v>774</v>
      </c>
      <c r="AL341">
        <v>-77.477260000000001</v>
      </c>
      <c r="AM341">
        <v>100</v>
      </c>
      <c r="AN341">
        <v>6000</v>
      </c>
      <c r="AO341" t="s">
        <v>115</v>
      </c>
      <c r="AP341">
        <v>117</v>
      </c>
      <c r="AQ341">
        <v>58</v>
      </c>
      <c r="AR341">
        <v>704</v>
      </c>
      <c r="AZ341">
        <v>3614</v>
      </c>
      <c r="BA341">
        <v>1</v>
      </c>
      <c r="BB341" t="str">
        <f t="shared" si="17"/>
        <v xml:space="preserve">N959MJ  </v>
      </c>
      <c r="BC341">
        <v>1</v>
      </c>
      <c r="BE341">
        <v>0</v>
      </c>
      <c r="BF341">
        <v>0</v>
      </c>
      <c r="BG341">
        <v>0</v>
      </c>
      <c r="BH341">
        <v>6225</v>
      </c>
      <c r="BI341">
        <v>225</v>
      </c>
      <c r="BJ341">
        <v>1</v>
      </c>
      <c r="BK341">
        <v>1</v>
      </c>
      <c r="BL341">
        <v>1</v>
      </c>
      <c r="BM341">
        <v>0</v>
      </c>
      <c r="BP341">
        <v>0</v>
      </c>
      <c r="BQ341">
        <v>0</v>
      </c>
      <c r="BX341" t="str">
        <f>"13:56:02.297"</f>
        <v>13:56:02.297</v>
      </c>
      <c r="BY341" t="str">
        <f>"300257279"</f>
        <v>300257279</v>
      </c>
      <c r="CL341">
        <v>3</v>
      </c>
      <c r="CM341">
        <v>2</v>
      </c>
      <c r="CN341">
        <v>0</v>
      </c>
      <c r="CO341">
        <v>2</v>
      </c>
      <c r="CP341">
        <v>0</v>
      </c>
      <c r="CQ341">
        <v>7</v>
      </c>
      <c r="CR341" t="s">
        <v>116</v>
      </c>
      <c r="CS341">
        <v>147</v>
      </c>
      <c r="CT341">
        <v>3</v>
      </c>
      <c r="CU341" t="s">
        <v>117</v>
      </c>
      <c r="CV341" t="s">
        <v>118</v>
      </c>
      <c r="CY341">
        <v>16332482</v>
      </c>
      <c r="CZ341" t="s">
        <v>119</v>
      </c>
    </row>
    <row r="342" spans="1:104" x14ac:dyDescent="0.25">
      <c r="A342" t="str">
        <f>"13:56:03.477"</f>
        <v>13:56:03.477</v>
      </c>
      <c r="B342" t="s">
        <v>108</v>
      </c>
      <c r="C342" t="str">
        <f t="shared" si="16"/>
        <v>ffdfd3c0</v>
      </c>
      <c r="D342" t="s">
        <v>109</v>
      </c>
      <c r="E342">
        <v>4</v>
      </c>
      <c r="F342">
        <v>1004</v>
      </c>
      <c r="G342" t="s">
        <v>110</v>
      </c>
      <c r="J342" t="s">
        <v>111</v>
      </c>
      <c r="K342">
        <v>0</v>
      </c>
      <c r="L342">
        <v>3</v>
      </c>
      <c r="M342">
        <v>0</v>
      </c>
      <c r="N342">
        <v>2</v>
      </c>
      <c r="O342">
        <v>1</v>
      </c>
      <c r="P342">
        <v>0</v>
      </c>
      <c r="Q342">
        <v>0</v>
      </c>
      <c r="R342" t="s">
        <v>112</v>
      </c>
      <c r="S342" t="str">
        <f>"13:56:03.297"</f>
        <v>13:56:03.297</v>
      </c>
      <c r="T342" t="str">
        <f>"13:56:02.797"</f>
        <v>13:56:02.797</v>
      </c>
      <c r="U342" t="str">
        <f t="shared" si="15"/>
        <v>ad5732</v>
      </c>
      <c r="V342">
        <v>0</v>
      </c>
      <c r="W342">
        <v>0</v>
      </c>
      <c r="X342">
        <v>1</v>
      </c>
      <c r="Z342">
        <v>0</v>
      </c>
      <c r="AA342">
        <v>9</v>
      </c>
      <c r="AB342">
        <v>3</v>
      </c>
      <c r="AC342">
        <v>0</v>
      </c>
      <c r="AD342">
        <v>10</v>
      </c>
      <c r="AE342">
        <v>0</v>
      </c>
      <c r="AF342">
        <v>3</v>
      </c>
      <c r="AG342">
        <v>2</v>
      </c>
      <c r="AH342">
        <v>0</v>
      </c>
      <c r="AI342" t="s">
        <v>775</v>
      </c>
      <c r="AJ342">
        <v>39.201321999999998</v>
      </c>
      <c r="AK342" t="s">
        <v>776</v>
      </c>
      <c r="AL342">
        <v>-77.476594000000006</v>
      </c>
      <c r="AM342">
        <v>100</v>
      </c>
      <c r="AN342">
        <v>6000</v>
      </c>
      <c r="AO342" t="s">
        <v>115</v>
      </c>
      <c r="AP342">
        <v>118</v>
      </c>
      <c r="AQ342">
        <v>57</v>
      </c>
      <c r="AR342">
        <v>768</v>
      </c>
      <c r="AZ342">
        <v>3614</v>
      </c>
      <c r="BA342">
        <v>1</v>
      </c>
      <c r="BB342" t="str">
        <f t="shared" si="17"/>
        <v xml:space="preserve">N959MJ  </v>
      </c>
      <c r="BC342">
        <v>1</v>
      </c>
      <c r="BE342">
        <v>0</v>
      </c>
      <c r="BF342">
        <v>0</v>
      </c>
      <c r="BG342">
        <v>0</v>
      </c>
      <c r="BH342">
        <v>6225</v>
      </c>
      <c r="BI342">
        <v>225</v>
      </c>
      <c r="BJ342">
        <v>1</v>
      </c>
      <c r="BK342">
        <v>1</v>
      </c>
      <c r="BL342">
        <v>1</v>
      </c>
      <c r="BM342">
        <v>0</v>
      </c>
      <c r="BP342">
        <v>0</v>
      </c>
      <c r="BQ342">
        <v>0</v>
      </c>
      <c r="BX342" t="str">
        <f>"13:56:03.297"</f>
        <v>13:56:03.297</v>
      </c>
      <c r="BY342" t="str">
        <f>"299680585"</f>
        <v>299680585</v>
      </c>
      <c r="CL342">
        <v>3</v>
      </c>
      <c r="CM342">
        <v>2</v>
      </c>
      <c r="CN342">
        <v>0</v>
      </c>
      <c r="CO342">
        <v>2</v>
      </c>
      <c r="CP342">
        <v>0</v>
      </c>
      <c r="CQ342">
        <v>7</v>
      </c>
      <c r="CR342" t="s">
        <v>116</v>
      </c>
      <c r="CS342">
        <v>525</v>
      </c>
      <c r="CT342">
        <v>2</v>
      </c>
      <c r="CU342" t="s">
        <v>140</v>
      </c>
      <c r="CV342" t="s">
        <v>141</v>
      </c>
      <c r="CY342">
        <v>14084726</v>
      </c>
      <c r="CZ342" t="s">
        <v>119</v>
      </c>
    </row>
    <row r="343" spans="1:104" x14ac:dyDescent="0.25">
      <c r="A343" t="str">
        <f>"13:56:04.484"</f>
        <v>13:56:04.484</v>
      </c>
      <c r="B343" t="s">
        <v>108</v>
      </c>
      <c r="C343" t="str">
        <f t="shared" si="16"/>
        <v>ffdfd3c0</v>
      </c>
      <c r="D343" t="s">
        <v>109</v>
      </c>
      <c r="E343">
        <v>4</v>
      </c>
      <c r="F343">
        <v>1004</v>
      </c>
      <c r="G343" t="s">
        <v>110</v>
      </c>
      <c r="J343" t="s">
        <v>111</v>
      </c>
      <c r="K343">
        <v>0</v>
      </c>
      <c r="L343">
        <v>3</v>
      </c>
      <c r="M343">
        <v>0</v>
      </c>
      <c r="N343">
        <v>2</v>
      </c>
      <c r="O343">
        <v>1</v>
      </c>
      <c r="P343">
        <v>0</v>
      </c>
      <c r="Q343">
        <v>0</v>
      </c>
      <c r="R343" t="s">
        <v>112</v>
      </c>
      <c r="S343" t="str">
        <f>"13:56:04.313"</f>
        <v>13:56:04.313</v>
      </c>
      <c r="T343" t="str">
        <f>"13:56:03.914"</f>
        <v>13:56:03.914</v>
      </c>
      <c r="U343" t="str">
        <f t="shared" si="15"/>
        <v>ad5732</v>
      </c>
      <c r="V343">
        <v>0</v>
      </c>
      <c r="W343">
        <v>0</v>
      </c>
      <c r="X343">
        <v>1</v>
      </c>
      <c r="Z343">
        <v>0</v>
      </c>
      <c r="AA343">
        <v>9</v>
      </c>
      <c r="AB343">
        <v>3</v>
      </c>
      <c r="AC343">
        <v>0</v>
      </c>
      <c r="AD343">
        <v>10</v>
      </c>
      <c r="AE343">
        <v>0</v>
      </c>
      <c r="AF343">
        <v>3</v>
      </c>
      <c r="AG343">
        <v>2</v>
      </c>
      <c r="AH343">
        <v>0</v>
      </c>
      <c r="AI343" t="s">
        <v>777</v>
      </c>
      <c r="AJ343">
        <v>39.201600999999997</v>
      </c>
      <c r="AK343" t="s">
        <v>778</v>
      </c>
      <c r="AL343">
        <v>-77.475886000000003</v>
      </c>
      <c r="AM343">
        <v>100</v>
      </c>
      <c r="AN343">
        <v>6000</v>
      </c>
      <c r="AO343" t="s">
        <v>115</v>
      </c>
      <c r="AP343">
        <v>119</v>
      </c>
      <c r="AQ343">
        <v>56</v>
      </c>
      <c r="AR343">
        <v>832</v>
      </c>
      <c r="AZ343">
        <v>3614</v>
      </c>
      <c r="BA343">
        <v>1</v>
      </c>
      <c r="BB343" t="str">
        <f t="shared" si="17"/>
        <v xml:space="preserve">N959MJ  </v>
      </c>
      <c r="BC343">
        <v>1</v>
      </c>
      <c r="BE343">
        <v>0</v>
      </c>
      <c r="BF343">
        <v>0</v>
      </c>
      <c r="BG343">
        <v>0</v>
      </c>
      <c r="BH343">
        <v>6250</v>
      </c>
      <c r="BI343">
        <v>250</v>
      </c>
      <c r="BJ343">
        <v>1</v>
      </c>
      <c r="BK343">
        <v>1</v>
      </c>
      <c r="BL343">
        <v>1</v>
      </c>
      <c r="BM343">
        <v>0</v>
      </c>
      <c r="BP343">
        <v>0</v>
      </c>
      <c r="BQ343">
        <v>0</v>
      </c>
      <c r="BX343" t="str">
        <f>"13:56:04.320"</f>
        <v>13:56:04.320</v>
      </c>
      <c r="BY343" t="str">
        <f>"317142910"</f>
        <v>317142910</v>
      </c>
      <c r="CL343">
        <v>3</v>
      </c>
      <c r="CM343">
        <v>2</v>
      </c>
      <c r="CN343">
        <v>0</v>
      </c>
      <c r="CO343">
        <v>2</v>
      </c>
      <c r="CP343">
        <v>0</v>
      </c>
      <c r="CQ343">
        <v>7</v>
      </c>
      <c r="CR343" t="s">
        <v>116</v>
      </c>
      <c r="CS343">
        <v>525</v>
      </c>
      <c r="CT343">
        <v>3</v>
      </c>
      <c r="CU343" t="s">
        <v>140</v>
      </c>
      <c r="CV343" t="s">
        <v>141</v>
      </c>
      <c r="CY343">
        <v>460719</v>
      </c>
      <c r="CZ343" t="s">
        <v>119</v>
      </c>
    </row>
    <row r="344" spans="1:104" x14ac:dyDescent="0.25">
      <c r="A344" t="str">
        <f>"13:56:05.492"</f>
        <v>13:56:05.492</v>
      </c>
      <c r="B344" t="s">
        <v>108</v>
      </c>
      <c r="C344" t="str">
        <f t="shared" si="16"/>
        <v>ffdfd3c0</v>
      </c>
      <c r="D344" t="s">
        <v>109</v>
      </c>
      <c r="E344">
        <v>4</v>
      </c>
      <c r="F344">
        <v>1004</v>
      </c>
      <c r="G344" t="s">
        <v>110</v>
      </c>
      <c r="J344" t="s">
        <v>111</v>
      </c>
      <c r="K344">
        <v>0</v>
      </c>
      <c r="L344">
        <v>3</v>
      </c>
      <c r="M344">
        <v>0</v>
      </c>
      <c r="N344">
        <v>2</v>
      </c>
      <c r="O344">
        <v>1</v>
      </c>
      <c r="P344">
        <v>0</v>
      </c>
      <c r="Q344">
        <v>0</v>
      </c>
      <c r="R344" t="s">
        <v>112</v>
      </c>
      <c r="S344" t="str">
        <f>"13:56:05.328"</f>
        <v>13:56:05.328</v>
      </c>
      <c r="T344" t="str">
        <f>"13:56:04.828"</f>
        <v>13:56:04.828</v>
      </c>
      <c r="U344" t="str">
        <f t="shared" si="15"/>
        <v>ad5732</v>
      </c>
      <c r="V344">
        <v>0</v>
      </c>
      <c r="W344">
        <v>0</v>
      </c>
      <c r="X344">
        <v>1</v>
      </c>
      <c r="Z344">
        <v>0</v>
      </c>
      <c r="AA344">
        <v>9</v>
      </c>
      <c r="AB344">
        <v>3</v>
      </c>
      <c r="AC344">
        <v>0</v>
      </c>
      <c r="AD344">
        <v>10</v>
      </c>
      <c r="AE344">
        <v>0</v>
      </c>
      <c r="AF344">
        <v>3</v>
      </c>
      <c r="AG344">
        <v>2</v>
      </c>
      <c r="AH344">
        <v>0</v>
      </c>
      <c r="AI344" t="s">
        <v>779</v>
      </c>
      <c r="AJ344">
        <v>39.201836999999998</v>
      </c>
      <c r="AK344" t="s">
        <v>780</v>
      </c>
      <c r="AL344">
        <v>-77.475178</v>
      </c>
      <c r="AM344">
        <v>100</v>
      </c>
      <c r="AN344">
        <v>6000</v>
      </c>
      <c r="AO344" t="s">
        <v>115</v>
      </c>
      <c r="AP344">
        <v>120</v>
      </c>
      <c r="AQ344">
        <v>55</v>
      </c>
      <c r="AR344">
        <v>896</v>
      </c>
      <c r="AZ344">
        <v>3614</v>
      </c>
      <c r="BA344">
        <v>1</v>
      </c>
      <c r="BB344" t="str">
        <f t="shared" si="17"/>
        <v xml:space="preserve">N959MJ  </v>
      </c>
      <c r="BC344">
        <v>1</v>
      </c>
      <c r="BE344">
        <v>0</v>
      </c>
      <c r="BF344">
        <v>0</v>
      </c>
      <c r="BG344">
        <v>0</v>
      </c>
      <c r="BH344">
        <v>6250</v>
      </c>
      <c r="BI344">
        <v>250</v>
      </c>
      <c r="BJ344">
        <v>1</v>
      </c>
      <c r="BK344">
        <v>1</v>
      </c>
      <c r="BL344">
        <v>1</v>
      </c>
      <c r="BM344">
        <v>0</v>
      </c>
      <c r="BP344">
        <v>0</v>
      </c>
      <c r="BQ344">
        <v>0</v>
      </c>
      <c r="BX344" t="str">
        <f>"13:56:05.328"</f>
        <v>13:56:05.328</v>
      </c>
      <c r="BY344" t="str">
        <f>"329690043"</f>
        <v>329690043</v>
      </c>
      <c r="CL344">
        <v>3</v>
      </c>
      <c r="CM344">
        <v>2</v>
      </c>
      <c r="CN344">
        <v>0</v>
      </c>
      <c r="CO344">
        <v>2</v>
      </c>
      <c r="CP344">
        <v>0</v>
      </c>
      <c r="CQ344">
        <v>7</v>
      </c>
      <c r="CR344" t="s">
        <v>116</v>
      </c>
      <c r="CS344">
        <v>525</v>
      </c>
      <c r="CT344">
        <v>3</v>
      </c>
      <c r="CU344" t="s">
        <v>140</v>
      </c>
      <c r="CV344" t="s">
        <v>141</v>
      </c>
      <c r="CY344">
        <v>462099</v>
      </c>
      <c r="CZ344" t="s">
        <v>119</v>
      </c>
    </row>
    <row r="345" spans="1:104" x14ac:dyDescent="0.25">
      <c r="A345" t="str">
        <f>"13:56:06.555"</f>
        <v>13:56:06.555</v>
      </c>
      <c r="B345" t="s">
        <v>108</v>
      </c>
      <c r="C345" t="str">
        <f t="shared" si="16"/>
        <v>ffdfd3c0</v>
      </c>
      <c r="D345" t="s">
        <v>109</v>
      </c>
      <c r="E345">
        <v>4</v>
      </c>
      <c r="F345">
        <v>1004</v>
      </c>
      <c r="G345" t="s">
        <v>110</v>
      </c>
      <c r="J345" t="s">
        <v>111</v>
      </c>
      <c r="K345">
        <v>0</v>
      </c>
      <c r="L345">
        <v>3</v>
      </c>
      <c r="M345">
        <v>0</v>
      </c>
      <c r="N345">
        <v>2</v>
      </c>
      <c r="O345">
        <v>1</v>
      </c>
      <c r="P345">
        <v>0</v>
      </c>
      <c r="Q345">
        <v>0</v>
      </c>
      <c r="R345" t="s">
        <v>112</v>
      </c>
      <c r="S345" t="str">
        <f>"13:56:06.375"</f>
        <v>13:56:06.375</v>
      </c>
      <c r="T345" t="str">
        <f>"13:56:05.875"</f>
        <v>13:56:05.875</v>
      </c>
      <c r="U345" t="str">
        <f t="shared" si="15"/>
        <v>ad5732</v>
      </c>
      <c r="V345">
        <v>0</v>
      </c>
      <c r="W345">
        <v>0</v>
      </c>
      <c r="X345">
        <v>1</v>
      </c>
      <c r="Z345">
        <v>0</v>
      </c>
      <c r="AA345">
        <v>9</v>
      </c>
      <c r="AB345">
        <v>3</v>
      </c>
      <c r="AC345">
        <v>0</v>
      </c>
      <c r="AD345">
        <v>10</v>
      </c>
      <c r="AE345">
        <v>0</v>
      </c>
      <c r="AF345">
        <v>3</v>
      </c>
      <c r="AG345">
        <v>2</v>
      </c>
      <c r="AH345">
        <v>0</v>
      </c>
      <c r="AI345" t="s">
        <v>781</v>
      </c>
      <c r="AJ345">
        <v>39.202115999999997</v>
      </c>
      <c r="AK345" t="s">
        <v>782</v>
      </c>
      <c r="AL345">
        <v>-77.474362999999997</v>
      </c>
      <c r="AM345">
        <v>100</v>
      </c>
      <c r="AN345">
        <v>6000</v>
      </c>
      <c r="AO345" t="s">
        <v>115</v>
      </c>
      <c r="AP345">
        <v>120</v>
      </c>
      <c r="AQ345">
        <v>54</v>
      </c>
      <c r="AR345">
        <v>896</v>
      </c>
      <c r="AZ345">
        <v>3614</v>
      </c>
      <c r="BA345">
        <v>1</v>
      </c>
      <c r="BB345" t="str">
        <f t="shared" si="17"/>
        <v xml:space="preserve">N959MJ  </v>
      </c>
      <c r="BC345">
        <v>1</v>
      </c>
      <c r="BE345">
        <v>0</v>
      </c>
      <c r="BF345">
        <v>0</v>
      </c>
      <c r="BG345">
        <v>0</v>
      </c>
      <c r="BH345">
        <v>6275</v>
      </c>
      <c r="BI345">
        <v>275</v>
      </c>
      <c r="BJ345">
        <v>1</v>
      </c>
      <c r="BK345">
        <v>1</v>
      </c>
      <c r="BL345">
        <v>1</v>
      </c>
      <c r="BM345">
        <v>0</v>
      </c>
      <c r="BP345">
        <v>0</v>
      </c>
      <c r="BQ345">
        <v>0</v>
      </c>
      <c r="BX345" t="str">
        <f>"13:56:06.375"</f>
        <v>13:56:06.375</v>
      </c>
      <c r="BY345" t="str">
        <f>"378282460"</f>
        <v>378282460</v>
      </c>
      <c r="CL345">
        <v>3</v>
      </c>
      <c r="CM345">
        <v>2</v>
      </c>
      <c r="CN345">
        <v>0</v>
      </c>
      <c r="CO345">
        <v>2</v>
      </c>
      <c r="CP345">
        <v>0</v>
      </c>
      <c r="CQ345">
        <v>7</v>
      </c>
      <c r="CR345" t="s">
        <v>116</v>
      </c>
      <c r="CS345">
        <v>525</v>
      </c>
      <c r="CT345">
        <v>2</v>
      </c>
      <c r="CU345" t="s">
        <v>140</v>
      </c>
      <c r="CV345" t="s">
        <v>141</v>
      </c>
      <c r="CY345">
        <v>14089293</v>
      </c>
      <c r="CZ345" t="s">
        <v>119</v>
      </c>
    </row>
    <row r="346" spans="1:104" x14ac:dyDescent="0.25">
      <c r="A346" t="str">
        <f>"13:56:07.711"</f>
        <v>13:56:07.711</v>
      </c>
      <c r="B346" t="s">
        <v>108</v>
      </c>
      <c r="C346" t="str">
        <f t="shared" si="16"/>
        <v>ffdfd3c0</v>
      </c>
      <c r="D346" t="s">
        <v>109</v>
      </c>
      <c r="E346">
        <v>4</v>
      </c>
      <c r="F346">
        <v>1004</v>
      </c>
      <c r="G346" t="s">
        <v>110</v>
      </c>
      <c r="J346" t="s">
        <v>111</v>
      </c>
      <c r="K346">
        <v>0</v>
      </c>
      <c r="L346">
        <v>3</v>
      </c>
      <c r="M346">
        <v>0</v>
      </c>
      <c r="N346">
        <v>2</v>
      </c>
      <c r="O346">
        <v>1</v>
      </c>
      <c r="P346">
        <v>0</v>
      </c>
      <c r="Q346">
        <v>0</v>
      </c>
      <c r="R346" t="s">
        <v>112</v>
      </c>
      <c r="S346" t="str">
        <f>"13:56:07.531"</f>
        <v>13:56:07.531</v>
      </c>
      <c r="T346" t="str">
        <f>"13:56:07.031"</f>
        <v>13:56:07.031</v>
      </c>
      <c r="U346" t="str">
        <f t="shared" si="15"/>
        <v>ad5732</v>
      </c>
      <c r="V346">
        <v>0</v>
      </c>
      <c r="W346">
        <v>0</v>
      </c>
      <c r="X346">
        <v>1</v>
      </c>
      <c r="Z346">
        <v>0</v>
      </c>
      <c r="AA346">
        <v>9</v>
      </c>
      <c r="AB346">
        <v>3</v>
      </c>
      <c r="AC346">
        <v>0</v>
      </c>
      <c r="AD346">
        <v>10</v>
      </c>
      <c r="AE346">
        <v>0</v>
      </c>
      <c r="AF346">
        <v>3</v>
      </c>
      <c r="AG346">
        <v>2</v>
      </c>
      <c r="AH346">
        <v>0</v>
      </c>
      <c r="AI346" t="s">
        <v>783</v>
      </c>
      <c r="AJ346">
        <v>39.202373000000001</v>
      </c>
      <c r="AK346" t="s">
        <v>784</v>
      </c>
      <c r="AL346">
        <v>-77.473546999999996</v>
      </c>
      <c r="AM346">
        <v>100</v>
      </c>
      <c r="AN346">
        <v>6000</v>
      </c>
      <c r="AO346" t="s">
        <v>115</v>
      </c>
      <c r="AP346">
        <v>121</v>
      </c>
      <c r="AQ346">
        <v>53</v>
      </c>
      <c r="AR346">
        <v>896</v>
      </c>
      <c r="AZ346">
        <v>3614</v>
      </c>
      <c r="BA346">
        <v>1</v>
      </c>
      <c r="BB346" t="str">
        <f t="shared" si="17"/>
        <v xml:space="preserve">N959MJ  </v>
      </c>
      <c r="BC346">
        <v>1</v>
      </c>
      <c r="BE346">
        <v>0</v>
      </c>
      <c r="BF346">
        <v>0</v>
      </c>
      <c r="BG346">
        <v>0</v>
      </c>
      <c r="BH346">
        <v>6300</v>
      </c>
      <c r="BI346">
        <v>300</v>
      </c>
      <c r="BJ346">
        <v>1</v>
      </c>
      <c r="BK346">
        <v>1</v>
      </c>
      <c r="BL346">
        <v>1</v>
      </c>
      <c r="BM346">
        <v>0</v>
      </c>
      <c r="BP346">
        <v>0</v>
      </c>
      <c r="BQ346">
        <v>0</v>
      </c>
      <c r="BX346" t="str">
        <f>"13:56:07.531"</f>
        <v>13:56:07.531</v>
      </c>
      <c r="BY346" t="str">
        <f>"533388989"</f>
        <v>533388989</v>
      </c>
      <c r="CL346">
        <v>3</v>
      </c>
      <c r="CM346">
        <v>2</v>
      </c>
      <c r="CN346">
        <v>0</v>
      </c>
      <c r="CO346">
        <v>2</v>
      </c>
      <c r="CP346">
        <v>0</v>
      </c>
      <c r="CQ346">
        <v>7</v>
      </c>
      <c r="CR346" t="s">
        <v>116</v>
      </c>
      <c r="CS346">
        <v>147</v>
      </c>
      <c r="CT346">
        <v>3</v>
      </c>
      <c r="CU346" t="s">
        <v>117</v>
      </c>
      <c r="CV346" t="s">
        <v>118</v>
      </c>
      <c r="CY346">
        <v>16340942</v>
      </c>
      <c r="CZ346" t="s">
        <v>119</v>
      </c>
    </row>
    <row r="347" spans="1:104" x14ac:dyDescent="0.25">
      <c r="A347" t="str">
        <f>"13:56:08.625"</f>
        <v>13:56:08.625</v>
      </c>
      <c r="B347" t="s">
        <v>108</v>
      </c>
      <c r="C347" t="str">
        <f t="shared" si="16"/>
        <v>ffdfd3c0</v>
      </c>
      <c r="D347" t="s">
        <v>109</v>
      </c>
      <c r="E347">
        <v>4</v>
      </c>
      <c r="F347">
        <v>1004</v>
      </c>
      <c r="G347" t="s">
        <v>110</v>
      </c>
      <c r="J347" t="s">
        <v>111</v>
      </c>
      <c r="K347">
        <v>0</v>
      </c>
      <c r="L347">
        <v>3</v>
      </c>
      <c r="M347">
        <v>0</v>
      </c>
      <c r="N347">
        <v>2</v>
      </c>
      <c r="O347">
        <v>1</v>
      </c>
      <c r="P347">
        <v>0</v>
      </c>
      <c r="Q347">
        <v>0</v>
      </c>
      <c r="R347" t="s">
        <v>112</v>
      </c>
      <c r="S347" t="str">
        <f>"13:56:08.414"</f>
        <v>13:56:08.414</v>
      </c>
      <c r="T347" t="str">
        <f>"13:56:08.016"</f>
        <v>13:56:08.016</v>
      </c>
      <c r="U347" t="str">
        <f t="shared" si="15"/>
        <v>ad5732</v>
      </c>
      <c r="V347">
        <v>0</v>
      </c>
      <c r="W347">
        <v>0</v>
      </c>
      <c r="X347">
        <v>1</v>
      </c>
      <c r="Z347">
        <v>0</v>
      </c>
      <c r="AA347">
        <v>9</v>
      </c>
      <c r="AB347">
        <v>3</v>
      </c>
      <c r="AC347">
        <v>0</v>
      </c>
      <c r="AD347">
        <v>10</v>
      </c>
      <c r="AE347">
        <v>0</v>
      </c>
      <c r="AF347">
        <v>3</v>
      </c>
      <c r="AG347">
        <v>2</v>
      </c>
      <c r="AH347">
        <v>0</v>
      </c>
      <c r="AI347" t="s">
        <v>785</v>
      </c>
      <c r="AJ347">
        <v>39.202609000000002</v>
      </c>
      <c r="AK347" t="s">
        <v>786</v>
      </c>
      <c r="AL347">
        <v>-77.472904</v>
      </c>
      <c r="AM347">
        <v>100</v>
      </c>
      <c r="AN347">
        <v>6000</v>
      </c>
      <c r="AO347" t="s">
        <v>115</v>
      </c>
      <c r="AP347">
        <v>122</v>
      </c>
      <c r="AQ347">
        <v>51</v>
      </c>
      <c r="AR347">
        <v>960</v>
      </c>
      <c r="AZ347">
        <v>3614</v>
      </c>
      <c r="BA347">
        <v>1</v>
      </c>
      <c r="BB347" t="str">
        <f t="shared" si="17"/>
        <v xml:space="preserve">N959MJ  </v>
      </c>
      <c r="BC347">
        <v>1</v>
      </c>
      <c r="BE347">
        <v>0</v>
      </c>
      <c r="BF347">
        <v>0</v>
      </c>
      <c r="BG347">
        <v>0</v>
      </c>
      <c r="BH347">
        <v>6300</v>
      </c>
      <c r="BI347">
        <v>300</v>
      </c>
      <c r="BJ347">
        <v>1</v>
      </c>
      <c r="BK347">
        <v>1</v>
      </c>
      <c r="BL347">
        <v>1</v>
      </c>
      <c r="BM347">
        <v>0</v>
      </c>
      <c r="BP347">
        <v>0</v>
      </c>
      <c r="BQ347">
        <v>0</v>
      </c>
      <c r="BX347" t="str">
        <f>"13:56:08.422"</f>
        <v>13:56:08.422</v>
      </c>
      <c r="BY347" t="str">
        <f>"419760935"</f>
        <v>419760935</v>
      </c>
      <c r="CL347">
        <v>3</v>
      </c>
      <c r="CM347">
        <v>2</v>
      </c>
      <c r="CN347">
        <v>0</v>
      </c>
      <c r="CO347">
        <v>2</v>
      </c>
      <c r="CP347">
        <v>0</v>
      </c>
      <c r="CQ347">
        <v>7</v>
      </c>
      <c r="CR347" t="s">
        <v>116</v>
      </c>
      <c r="CS347">
        <v>525</v>
      </c>
      <c r="CT347">
        <v>2</v>
      </c>
      <c r="CU347" t="s">
        <v>140</v>
      </c>
      <c r="CV347" t="s">
        <v>141</v>
      </c>
      <c r="CY347">
        <v>14092112</v>
      </c>
      <c r="CZ347" t="s">
        <v>119</v>
      </c>
    </row>
    <row r="348" spans="1:104" x14ac:dyDescent="0.25">
      <c r="A348" t="str">
        <f>"13:56:09.734"</f>
        <v>13:56:09.734</v>
      </c>
      <c r="B348" t="s">
        <v>108</v>
      </c>
      <c r="C348" t="str">
        <f t="shared" si="16"/>
        <v>ffdfd3c0</v>
      </c>
      <c r="D348" t="s">
        <v>109</v>
      </c>
      <c r="E348">
        <v>4</v>
      </c>
      <c r="F348">
        <v>1004</v>
      </c>
      <c r="G348" t="s">
        <v>110</v>
      </c>
      <c r="J348" t="s">
        <v>111</v>
      </c>
      <c r="K348">
        <v>0</v>
      </c>
      <c r="L348">
        <v>3</v>
      </c>
      <c r="M348">
        <v>0</v>
      </c>
      <c r="N348">
        <v>2</v>
      </c>
      <c r="O348">
        <v>1</v>
      </c>
      <c r="P348">
        <v>0</v>
      </c>
      <c r="Q348">
        <v>0</v>
      </c>
      <c r="R348" t="s">
        <v>112</v>
      </c>
      <c r="S348" t="str">
        <f>"13:56:09.539"</f>
        <v>13:56:09.539</v>
      </c>
      <c r="T348" t="str">
        <f>"13:56:09.039"</f>
        <v>13:56:09.039</v>
      </c>
      <c r="U348" t="str">
        <f t="shared" si="15"/>
        <v>ad5732</v>
      </c>
      <c r="V348">
        <v>0</v>
      </c>
      <c r="W348">
        <v>0</v>
      </c>
      <c r="X348">
        <v>1</v>
      </c>
      <c r="Z348">
        <v>0</v>
      </c>
      <c r="AA348">
        <v>9</v>
      </c>
      <c r="AB348">
        <v>3</v>
      </c>
      <c r="AC348">
        <v>0</v>
      </c>
      <c r="AD348">
        <v>10</v>
      </c>
      <c r="AE348">
        <v>0</v>
      </c>
      <c r="AF348">
        <v>3</v>
      </c>
      <c r="AG348">
        <v>2</v>
      </c>
      <c r="AH348">
        <v>0</v>
      </c>
      <c r="AI348" t="s">
        <v>787</v>
      </c>
      <c r="AJ348">
        <v>39.202845000000003</v>
      </c>
      <c r="AK348" t="s">
        <v>788</v>
      </c>
      <c r="AL348">
        <v>-77.472131000000005</v>
      </c>
      <c r="AM348">
        <v>100</v>
      </c>
      <c r="AN348">
        <v>6000</v>
      </c>
      <c r="AO348" t="s">
        <v>115</v>
      </c>
      <c r="AP348">
        <v>122</v>
      </c>
      <c r="AQ348">
        <v>50</v>
      </c>
      <c r="AR348">
        <v>1088</v>
      </c>
      <c r="AZ348">
        <v>3614</v>
      </c>
      <c r="BA348">
        <v>1</v>
      </c>
      <c r="BB348" t="str">
        <f t="shared" si="17"/>
        <v xml:space="preserve">N959MJ  </v>
      </c>
      <c r="BC348">
        <v>1</v>
      </c>
      <c r="BE348">
        <v>0</v>
      </c>
      <c r="BF348">
        <v>0</v>
      </c>
      <c r="BG348">
        <v>0</v>
      </c>
      <c r="BH348">
        <v>6325</v>
      </c>
      <c r="BI348">
        <v>325</v>
      </c>
      <c r="BJ348">
        <v>1</v>
      </c>
      <c r="BK348">
        <v>1</v>
      </c>
      <c r="BL348">
        <v>1</v>
      </c>
      <c r="BM348">
        <v>0</v>
      </c>
      <c r="BP348">
        <v>0</v>
      </c>
      <c r="BQ348">
        <v>0</v>
      </c>
      <c r="BX348" t="str">
        <f>"13:56:09.539"</f>
        <v>13:56:09.539</v>
      </c>
      <c r="BY348" t="str">
        <f>"540460470"</f>
        <v>540460470</v>
      </c>
      <c r="CL348">
        <v>3</v>
      </c>
      <c r="CM348">
        <v>2</v>
      </c>
      <c r="CN348">
        <v>0</v>
      </c>
      <c r="CO348">
        <v>2</v>
      </c>
      <c r="CP348">
        <v>0</v>
      </c>
      <c r="CQ348">
        <v>7</v>
      </c>
      <c r="CR348" t="s">
        <v>116</v>
      </c>
      <c r="CS348">
        <v>147</v>
      </c>
      <c r="CT348">
        <v>3</v>
      </c>
      <c r="CU348" t="s">
        <v>117</v>
      </c>
      <c r="CV348" t="s">
        <v>118</v>
      </c>
      <c r="CY348">
        <v>16344150</v>
      </c>
      <c r="CZ348" t="s">
        <v>119</v>
      </c>
    </row>
    <row r="349" spans="1:104" x14ac:dyDescent="0.25">
      <c r="A349" t="str">
        <f>"13:56:10.641"</f>
        <v>13:56:10.641</v>
      </c>
      <c r="B349" t="s">
        <v>108</v>
      </c>
      <c r="C349" t="str">
        <f t="shared" si="16"/>
        <v>ffdfd3c0</v>
      </c>
      <c r="D349" t="s">
        <v>109</v>
      </c>
      <c r="E349">
        <v>4</v>
      </c>
      <c r="F349">
        <v>1004</v>
      </c>
      <c r="G349" t="s">
        <v>110</v>
      </c>
      <c r="J349" t="s">
        <v>111</v>
      </c>
      <c r="K349">
        <v>0</v>
      </c>
      <c r="L349">
        <v>3</v>
      </c>
      <c r="M349">
        <v>0</v>
      </c>
      <c r="N349">
        <v>2</v>
      </c>
      <c r="O349">
        <v>1</v>
      </c>
      <c r="P349">
        <v>0</v>
      </c>
      <c r="Q349">
        <v>0</v>
      </c>
      <c r="R349" t="s">
        <v>112</v>
      </c>
      <c r="S349" t="str">
        <f>"13:56:10.445"</f>
        <v>13:56:10.445</v>
      </c>
      <c r="T349" t="str">
        <f>"13:56:10.047"</f>
        <v>13:56:10.047</v>
      </c>
      <c r="U349" t="str">
        <f t="shared" si="15"/>
        <v>ad5732</v>
      </c>
      <c r="V349">
        <v>0</v>
      </c>
      <c r="W349">
        <v>0</v>
      </c>
      <c r="X349">
        <v>1</v>
      </c>
      <c r="Z349">
        <v>0</v>
      </c>
      <c r="AA349">
        <v>9</v>
      </c>
      <c r="AB349">
        <v>3</v>
      </c>
      <c r="AC349">
        <v>0</v>
      </c>
      <c r="AD349">
        <v>10</v>
      </c>
      <c r="AE349">
        <v>0</v>
      </c>
      <c r="AF349">
        <v>3</v>
      </c>
      <c r="AG349">
        <v>2</v>
      </c>
      <c r="AH349">
        <v>0</v>
      </c>
      <c r="AI349" t="s">
        <v>789</v>
      </c>
      <c r="AJ349">
        <v>39.203037999999999</v>
      </c>
      <c r="AK349" t="s">
        <v>790</v>
      </c>
      <c r="AL349">
        <v>-77.471445000000003</v>
      </c>
      <c r="AM349">
        <v>100</v>
      </c>
      <c r="AN349">
        <v>6100</v>
      </c>
      <c r="AO349" t="s">
        <v>115</v>
      </c>
      <c r="AP349">
        <v>123</v>
      </c>
      <c r="AQ349">
        <v>48</v>
      </c>
      <c r="AR349">
        <v>1088</v>
      </c>
      <c r="AZ349">
        <v>3614</v>
      </c>
      <c r="BA349">
        <v>1</v>
      </c>
      <c r="BB349" t="str">
        <f t="shared" si="17"/>
        <v xml:space="preserve">N959MJ  </v>
      </c>
      <c r="BC349">
        <v>1</v>
      </c>
      <c r="BE349">
        <v>0</v>
      </c>
      <c r="BF349">
        <v>0</v>
      </c>
      <c r="BG349">
        <v>0</v>
      </c>
      <c r="BH349">
        <v>6350</v>
      </c>
      <c r="BI349">
        <v>250</v>
      </c>
      <c r="BJ349">
        <v>1</v>
      </c>
      <c r="BK349">
        <v>1</v>
      </c>
      <c r="BL349">
        <v>1</v>
      </c>
      <c r="BM349">
        <v>0</v>
      </c>
      <c r="BP349">
        <v>0</v>
      </c>
      <c r="BQ349">
        <v>0</v>
      </c>
      <c r="BX349" t="str">
        <f>"13:56:10.445"</f>
        <v>13:56:10.445</v>
      </c>
      <c r="BY349" t="str">
        <f>"446493556"</f>
        <v>446493556</v>
      </c>
      <c r="CL349">
        <v>3</v>
      </c>
      <c r="CM349">
        <v>2</v>
      </c>
      <c r="CN349">
        <v>0</v>
      </c>
      <c r="CO349">
        <v>2</v>
      </c>
      <c r="CP349">
        <v>0</v>
      </c>
      <c r="CQ349">
        <v>7</v>
      </c>
      <c r="CR349" t="s">
        <v>116</v>
      </c>
      <c r="CS349">
        <v>525</v>
      </c>
      <c r="CT349">
        <v>2</v>
      </c>
      <c r="CU349" t="s">
        <v>140</v>
      </c>
      <c r="CV349" t="s">
        <v>141</v>
      </c>
      <c r="CY349">
        <v>14095225</v>
      </c>
      <c r="CZ349" t="s">
        <v>119</v>
      </c>
    </row>
    <row r="350" spans="1:104" x14ac:dyDescent="0.25">
      <c r="A350" t="str">
        <f>"13:56:11.648"</f>
        <v>13:56:11.648</v>
      </c>
      <c r="B350" t="s">
        <v>108</v>
      </c>
      <c r="C350" t="str">
        <f t="shared" si="16"/>
        <v>ffdfd3c0</v>
      </c>
      <c r="D350" t="s">
        <v>109</v>
      </c>
      <c r="E350">
        <v>4</v>
      </c>
      <c r="F350">
        <v>1004</v>
      </c>
      <c r="G350" t="s">
        <v>110</v>
      </c>
      <c r="J350" t="s">
        <v>111</v>
      </c>
      <c r="K350">
        <v>0</v>
      </c>
      <c r="L350">
        <v>3</v>
      </c>
      <c r="M350">
        <v>0</v>
      </c>
      <c r="N350">
        <v>2</v>
      </c>
      <c r="O350">
        <v>1</v>
      </c>
      <c r="P350">
        <v>0</v>
      </c>
      <c r="Q350">
        <v>0</v>
      </c>
      <c r="R350" t="s">
        <v>112</v>
      </c>
      <c r="S350" t="str">
        <f>"13:56:11.477"</f>
        <v>13:56:11.477</v>
      </c>
      <c r="T350" t="str">
        <f>"13:56:10.977"</f>
        <v>13:56:10.977</v>
      </c>
      <c r="U350" t="str">
        <f t="shared" si="15"/>
        <v>ad5732</v>
      </c>
      <c r="V350">
        <v>0</v>
      </c>
      <c r="W350">
        <v>0</v>
      </c>
      <c r="X350">
        <v>1</v>
      </c>
      <c r="Z350">
        <v>0</v>
      </c>
      <c r="AA350">
        <v>9</v>
      </c>
      <c r="AB350">
        <v>3</v>
      </c>
      <c r="AC350">
        <v>0</v>
      </c>
      <c r="AD350">
        <v>10</v>
      </c>
      <c r="AE350">
        <v>0</v>
      </c>
      <c r="AF350">
        <v>3</v>
      </c>
      <c r="AG350">
        <v>2</v>
      </c>
      <c r="AH350">
        <v>0</v>
      </c>
      <c r="AI350" t="s">
        <v>791</v>
      </c>
      <c r="AJ350">
        <v>39.203296000000002</v>
      </c>
      <c r="AK350" t="s">
        <v>792</v>
      </c>
      <c r="AL350">
        <v>-77.470629000000002</v>
      </c>
      <c r="AM350">
        <v>100</v>
      </c>
      <c r="AN350">
        <v>6100</v>
      </c>
      <c r="AO350" t="s">
        <v>115</v>
      </c>
      <c r="AP350">
        <v>124</v>
      </c>
      <c r="AQ350">
        <v>46</v>
      </c>
      <c r="AR350">
        <v>1088</v>
      </c>
      <c r="AZ350">
        <v>3614</v>
      </c>
      <c r="BA350">
        <v>1</v>
      </c>
      <c r="BB350" t="str">
        <f t="shared" si="17"/>
        <v xml:space="preserve">N959MJ  </v>
      </c>
      <c r="BC350">
        <v>1</v>
      </c>
      <c r="BE350">
        <v>0</v>
      </c>
      <c r="BF350">
        <v>0</v>
      </c>
      <c r="BG350">
        <v>0</v>
      </c>
      <c r="BH350">
        <v>6350</v>
      </c>
      <c r="BI350">
        <v>250</v>
      </c>
      <c r="BJ350">
        <v>1</v>
      </c>
      <c r="BK350">
        <v>1</v>
      </c>
      <c r="BL350">
        <v>1</v>
      </c>
      <c r="BM350">
        <v>0</v>
      </c>
      <c r="BP350">
        <v>0</v>
      </c>
      <c r="BQ350">
        <v>0</v>
      </c>
      <c r="BX350" t="str">
        <f>"13:56:11.484"</f>
        <v>13:56:11.484</v>
      </c>
      <c r="BY350" t="str">
        <f>"481978612"</f>
        <v>481978612</v>
      </c>
      <c r="CL350">
        <v>3</v>
      </c>
      <c r="CM350">
        <v>2</v>
      </c>
      <c r="CN350">
        <v>0</v>
      </c>
      <c r="CO350">
        <v>2</v>
      </c>
      <c r="CP350">
        <v>0</v>
      </c>
      <c r="CQ350">
        <v>7</v>
      </c>
      <c r="CR350" t="s">
        <v>116</v>
      </c>
      <c r="CS350">
        <v>525</v>
      </c>
      <c r="CT350">
        <v>2</v>
      </c>
      <c r="CU350" t="s">
        <v>140</v>
      </c>
      <c r="CV350" t="s">
        <v>141</v>
      </c>
      <c r="CY350">
        <v>14096753</v>
      </c>
      <c r="CZ350" t="s">
        <v>119</v>
      </c>
    </row>
    <row r="351" spans="1:104" x14ac:dyDescent="0.25">
      <c r="A351" t="str">
        <f>"13:56:12.609"</f>
        <v>13:56:12.609</v>
      </c>
      <c r="B351" t="s">
        <v>108</v>
      </c>
      <c r="C351" t="str">
        <f t="shared" si="16"/>
        <v>ffdfd3c0</v>
      </c>
      <c r="D351" t="s">
        <v>109</v>
      </c>
      <c r="E351">
        <v>4</v>
      </c>
      <c r="F351">
        <v>1004</v>
      </c>
      <c r="G351" t="s">
        <v>110</v>
      </c>
      <c r="J351" t="s">
        <v>111</v>
      </c>
      <c r="K351">
        <v>0</v>
      </c>
      <c r="L351">
        <v>3</v>
      </c>
      <c r="M351">
        <v>0</v>
      </c>
      <c r="N351">
        <v>2</v>
      </c>
      <c r="O351">
        <v>1</v>
      </c>
      <c r="P351">
        <v>0</v>
      </c>
      <c r="Q351">
        <v>0</v>
      </c>
      <c r="R351" t="s">
        <v>112</v>
      </c>
      <c r="S351" t="str">
        <f>"13:56:12.414"</f>
        <v>13:56:12.414</v>
      </c>
      <c r="T351" t="str">
        <f>"13:56:12.117"</f>
        <v>13:56:12.117</v>
      </c>
      <c r="U351" t="str">
        <f t="shared" si="15"/>
        <v>ad5732</v>
      </c>
      <c r="V351">
        <v>0</v>
      </c>
      <c r="W351">
        <v>0</v>
      </c>
      <c r="X351">
        <v>1</v>
      </c>
      <c r="Z351">
        <v>0</v>
      </c>
      <c r="AA351">
        <v>9</v>
      </c>
      <c r="AB351">
        <v>3</v>
      </c>
      <c r="AC351">
        <v>0</v>
      </c>
      <c r="AD351">
        <v>10</v>
      </c>
      <c r="AE351">
        <v>0</v>
      </c>
      <c r="AF351">
        <v>3</v>
      </c>
      <c r="AG351">
        <v>2</v>
      </c>
      <c r="AH351">
        <v>0</v>
      </c>
      <c r="AI351" t="s">
        <v>793</v>
      </c>
      <c r="AJ351">
        <v>39.203446</v>
      </c>
      <c r="AK351" t="s">
        <v>794</v>
      </c>
      <c r="AL351">
        <v>-77.469964000000004</v>
      </c>
      <c r="AM351">
        <v>100</v>
      </c>
      <c r="AN351">
        <v>6100</v>
      </c>
      <c r="AO351" t="s">
        <v>115</v>
      </c>
      <c r="AP351">
        <v>124</v>
      </c>
      <c r="AQ351">
        <v>44</v>
      </c>
      <c r="AR351">
        <v>1088</v>
      </c>
      <c r="AZ351">
        <v>3614</v>
      </c>
      <c r="BA351">
        <v>1</v>
      </c>
      <c r="BB351" t="str">
        <f t="shared" si="17"/>
        <v xml:space="preserve">N959MJ  </v>
      </c>
      <c r="BC351">
        <v>1</v>
      </c>
      <c r="BE351">
        <v>0</v>
      </c>
      <c r="BF351">
        <v>0</v>
      </c>
      <c r="BG351">
        <v>0</v>
      </c>
      <c r="BH351">
        <v>6375</v>
      </c>
      <c r="BI351">
        <v>275</v>
      </c>
      <c r="BJ351">
        <v>1</v>
      </c>
      <c r="BK351">
        <v>1</v>
      </c>
      <c r="BL351">
        <v>1</v>
      </c>
      <c r="BM351">
        <v>0</v>
      </c>
      <c r="BP351">
        <v>0</v>
      </c>
      <c r="BQ351">
        <v>0</v>
      </c>
      <c r="BX351" t="str">
        <f>"13:56:12.422"</f>
        <v>13:56:12.422</v>
      </c>
      <c r="BY351" t="str">
        <f>"419174422"</f>
        <v>419174422</v>
      </c>
      <c r="CL351">
        <v>3</v>
      </c>
      <c r="CM351">
        <v>2</v>
      </c>
      <c r="CN351">
        <v>0</v>
      </c>
      <c r="CO351">
        <v>2</v>
      </c>
      <c r="CP351">
        <v>0</v>
      </c>
      <c r="CQ351">
        <v>7</v>
      </c>
      <c r="CR351" t="s">
        <v>116</v>
      </c>
      <c r="CS351">
        <v>147</v>
      </c>
      <c r="CT351">
        <v>3</v>
      </c>
      <c r="CU351" t="s">
        <v>117</v>
      </c>
      <c r="CV351" t="s">
        <v>118</v>
      </c>
      <c r="CY351">
        <v>16348688</v>
      </c>
      <c r="CZ351" t="s">
        <v>119</v>
      </c>
    </row>
    <row r="352" spans="1:104" x14ac:dyDescent="0.25">
      <c r="A352" t="str">
        <f>"13:56:13.570"</f>
        <v>13:56:13.570</v>
      </c>
      <c r="B352" t="s">
        <v>108</v>
      </c>
      <c r="C352" t="str">
        <f t="shared" si="16"/>
        <v>ffdfd3c0</v>
      </c>
      <c r="D352" t="s">
        <v>109</v>
      </c>
      <c r="E352">
        <v>4</v>
      </c>
      <c r="F352">
        <v>1004</v>
      </c>
      <c r="G352" t="s">
        <v>110</v>
      </c>
      <c r="J352" t="s">
        <v>111</v>
      </c>
      <c r="K352">
        <v>0</v>
      </c>
      <c r="L352">
        <v>3</v>
      </c>
      <c r="M352">
        <v>0</v>
      </c>
      <c r="N352">
        <v>2</v>
      </c>
      <c r="O352">
        <v>1</v>
      </c>
      <c r="P352">
        <v>0</v>
      </c>
      <c r="Q352">
        <v>0</v>
      </c>
      <c r="R352" t="s">
        <v>112</v>
      </c>
      <c r="S352" t="str">
        <f>"13:56:13.375"</f>
        <v>13:56:13.375</v>
      </c>
      <c r="T352" t="str">
        <f>"13:56:12.977"</f>
        <v>13:56:12.977</v>
      </c>
      <c r="U352" t="str">
        <f t="shared" si="15"/>
        <v>ad5732</v>
      </c>
      <c r="V352">
        <v>0</v>
      </c>
      <c r="W352">
        <v>0</v>
      </c>
      <c r="X352">
        <v>1</v>
      </c>
      <c r="Z352">
        <v>0</v>
      </c>
      <c r="AA352">
        <v>9</v>
      </c>
      <c r="AB352">
        <v>3</v>
      </c>
      <c r="AC352">
        <v>0</v>
      </c>
      <c r="AD352">
        <v>10</v>
      </c>
      <c r="AE352">
        <v>0</v>
      </c>
      <c r="AF352">
        <v>3</v>
      </c>
      <c r="AG352">
        <v>2</v>
      </c>
      <c r="AH352">
        <v>0</v>
      </c>
      <c r="AI352" t="s">
        <v>795</v>
      </c>
      <c r="AJ352">
        <v>39.203682000000001</v>
      </c>
      <c r="AK352" t="s">
        <v>796</v>
      </c>
      <c r="AL352">
        <v>-77.469234</v>
      </c>
      <c r="AM352">
        <v>100</v>
      </c>
      <c r="AN352">
        <v>6100</v>
      </c>
      <c r="AO352" t="s">
        <v>115</v>
      </c>
      <c r="AP352">
        <v>125</v>
      </c>
      <c r="AQ352">
        <v>43</v>
      </c>
      <c r="AR352">
        <v>1088</v>
      </c>
      <c r="AZ352">
        <v>3614</v>
      </c>
      <c r="BA352">
        <v>1</v>
      </c>
      <c r="BB352" t="str">
        <f t="shared" si="17"/>
        <v xml:space="preserve">N959MJ  </v>
      </c>
      <c r="BC352">
        <v>1</v>
      </c>
      <c r="BE352">
        <v>0</v>
      </c>
      <c r="BF352">
        <v>0</v>
      </c>
      <c r="BG352">
        <v>0</v>
      </c>
      <c r="BH352">
        <v>6400</v>
      </c>
      <c r="BI352">
        <v>300</v>
      </c>
      <c r="BJ352">
        <v>1</v>
      </c>
      <c r="BK352">
        <v>1</v>
      </c>
      <c r="BL352">
        <v>1</v>
      </c>
      <c r="BM352">
        <v>0</v>
      </c>
      <c r="BP352">
        <v>0</v>
      </c>
      <c r="BQ352">
        <v>0</v>
      </c>
      <c r="BX352" t="str">
        <f>"13:56:13.383"</f>
        <v>13:56:13.383</v>
      </c>
      <c r="BY352" t="str">
        <f>"382568836"</f>
        <v>382568836</v>
      </c>
      <c r="CL352">
        <v>3</v>
      </c>
      <c r="CM352">
        <v>2</v>
      </c>
      <c r="CN352">
        <v>0</v>
      </c>
      <c r="CO352">
        <v>2</v>
      </c>
      <c r="CP352">
        <v>0</v>
      </c>
      <c r="CQ352">
        <v>7</v>
      </c>
      <c r="CR352" t="s">
        <v>116</v>
      </c>
      <c r="CS352">
        <v>147</v>
      </c>
      <c r="CT352">
        <v>3</v>
      </c>
      <c r="CU352" t="s">
        <v>117</v>
      </c>
      <c r="CV352" t="s">
        <v>118</v>
      </c>
      <c r="CY352">
        <v>16350114</v>
      </c>
      <c r="CZ352" t="s">
        <v>119</v>
      </c>
    </row>
    <row r="353" spans="1:104" x14ac:dyDescent="0.25">
      <c r="A353" t="str">
        <f>"13:56:14.477"</f>
        <v>13:56:14.477</v>
      </c>
      <c r="B353" t="s">
        <v>108</v>
      </c>
      <c r="C353" t="str">
        <f t="shared" si="16"/>
        <v>ffdfd3c0</v>
      </c>
      <c r="D353" t="s">
        <v>109</v>
      </c>
      <c r="E353">
        <v>4</v>
      </c>
      <c r="F353">
        <v>1004</v>
      </c>
      <c r="G353" t="s">
        <v>110</v>
      </c>
      <c r="J353" t="s">
        <v>111</v>
      </c>
      <c r="K353">
        <v>0</v>
      </c>
      <c r="L353">
        <v>3</v>
      </c>
      <c r="M353">
        <v>0</v>
      </c>
      <c r="N353">
        <v>2</v>
      </c>
      <c r="O353">
        <v>1</v>
      </c>
      <c r="P353">
        <v>0</v>
      </c>
      <c r="Q353">
        <v>0</v>
      </c>
      <c r="R353" t="s">
        <v>112</v>
      </c>
      <c r="S353" t="str">
        <f>"13:56:14.305"</f>
        <v>13:56:14.305</v>
      </c>
      <c r="T353" t="str">
        <f>"13:56:13.906"</f>
        <v>13:56:13.906</v>
      </c>
      <c r="U353" t="str">
        <f t="shared" si="15"/>
        <v>ad5732</v>
      </c>
      <c r="V353">
        <v>0</v>
      </c>
      <c r="W353">
        <v>0</v>
      </c>
      <c r="X353">
        <v>1</v>
      </c>
      <c r="Z353">
        <v>0</v>
      </c>
      <c r="AA353">
        <v>9</v>
      </c>
      <c r="AB353">
        <v>3</v>
      </c>
      <c r="AC353">
        <v>0</v>
      </c>
      <c r="AD353">
        <v>10</v>
      </c>
      <c r="AE353">
        <v>0</v>
      </c>
      <c r="AF353">
        <v>3</v>
      </c>
      <c r="AG353">
        <v>2</v>
      </c>
      <c r="AH353">
        <v>0</v>
      </c>
      <c r="AI353" t="s">
        <v>797</v>
      </c>
      <c r="AJ353">
        <v>39.203831999999998</v>
      </c>
      <c r="AK353" t="s">
        <v>798</v>
      </c>
      <c r="AL353">
        <v>-77.468591000000004</v>
      </c>
      <c r="AM353">
        <v>100</v>
      </c>
      <c r="AN353">
        <v>6200</v>
      </c>
      <c r="AO353" t="s">
        <v>115</v>
      </c>
      <c r="AP353">
        <v>125</v>
      </c>
      <c r="AQ353">
        <v>42</v>
      </c>
      <c r="AR353">
        <v>1088</v>
      </c>
      <c r="AZ353">
        <v>3614</v>
      </c>
      <c r="BA353">
        <v>1</v>
      </c>
      <c r="BB353" t="str">
        <f t="shared" si="17"/>
        <v xml:space="preserve">N959MJ  </v>
      </c>
      <c r="BC353">
        <v>1</v>
      </c>
      <c r="BE353">
        <v>0</v>
      </c>
      <c r="BF353">
        <v>0</v>
      </c>
      <c r="BG353">
        <v>0</v>
      </c>
      <c r="BH353">
        <v>6400</v>
      </c>
      <c r="BI353">
        <v>200</v>
      </c>
      <c r="BJ353">
        <v>1</v>
      </c>
      <c r="BK353">
        <v>1</v>
      </c>
      <c r="BL353">
        <v>1</v>
      </c>
      <c r="BM353">
        <v>0</v>
      </c>
      <c r="BP353">
        <v>0</v>
      </c>
      <c r="BQ353">
        <v>0</v>
      </c>
      <c r="BX353" t="str">
        <f>"13:56:14.305"</f>
        <v>13:56:14.305</v>
      </c>
      <c r="BY353" t="str">
        <f>"304986131"</f>
        <v>304986131</v>
      </c>
      <c r="CL353">
        <v>3</v>
      </c>
      <c r="CM353">
        <v>2</v>
      </c>
      <c r="CN353">
        <v>0</v>
      </c>
      <c r="CO353">
        <v>2</v>
      </c>
      <c r="CP353">
        <v>0</v>
      </c>
      <c r="CQ353">
        <v>7</v>
      </c>
      <c r="CR353" t="s">
        <v>116</v>
      </c>
      <c r="CS353">
        <v>525</v>
      </c>
      <c r="CT353">
        <v>3</v>
      </c>
      <c r="CU353" t="s">
        <v>140</v>
      </c>
      <c r="CV353" t="s">
        <v>141</v>
      </c>
      <c r="CY353">
        <v>473910</v>
      </c>
      <c r="CZ353" t="s">
        <v>119</v>
      </c>
    </row>
    <row r="354" spans="1:104" x14ac:dyDescent="0.25">
      <c r="A354" t="str">
        <f>"13:56:15.438"</f>
        <v>13:56:15.438</v>
      </c>
      <c r="B354" t="s">
        <v>108</v>
      </c>
      <c r="C354" t="str">
        <f t="shared" si="16"/>
        <v>ffdfd3c0</v>
      </c>
      <c r="D354" t="s">
        <v>109</v>
      </c>
      <c r="E354">
        <v>4</v>
      </c>
      <c r="F354">
        <v>1004</v>
      </c>
      <c r="G354" t="s">
        <v>110</v>
      </c>
      <c r="J354" t="s">
        <v>111</v>
      </c>
      <c r="K354">
        <v>0</v>
      </c>
      <c r="L354">
        <v>3</v>
      </c>
      <c r="M354">
        <v>0</v>
      </c>
      <c r="N354">
        <v>2</v>
      </c>
      <c r="O354">
        <v>1</v>
      </c>
      <c r="P354">
        <v>0</v>
      </c>
      <c r="Q354">
        <v>0</v>
      </c>
      <c r="R354" t="s">
        <v>112</v>
      </c>
      <c r="S354" t="str">
        <f>"13:56:15.250"</f>
        <v>13:56:15.250</v>
      </c>
      <c r="T354" t="str">
        <f>"13:56:14.852"</f>
        <v>13:56:14.852</v>
      </c>
      <c r="U354" t="str">
        <f t="shared" si="15"/>
        <v>ad5732</v>
      </c>
      <c r="V354">
        <v>0</v>
      </c>
      <c r="W354">
        <v>0</v>
      </c>
      <c r="X354">
        <v>1</v>
      </c>
      <c r="Z354">
        <v>0</v>
      </c>
      <c r="AA354">
        <v>9</v>
      </c>
      <c r="AB354">
        <v>3</v>
      </c>
      <c r="AC354">
        <v>0</v>
      </c>
      <c r="AD354">
        <v>10</v>
      </c>
      <c r="AE354">
        <v>0</v>
      </c>
      <c r="AF354">
        <v>3</v>
      </c>
      <c r="AG354">
        <v>2</v>
      </c>
      <c r="AH354">
        <v>0</v>
      </c>
      <c r="AI354" t="s">
        <v>799</v>
      </c>
      <c r="AJ354">
        <v>39.204003999999998</v>
      </c>
      <c r="AK354" t="s">
        <v>800</v>
      </c>
      <c r="AL354">
        <v>-77.467904000000004</v>
      </c>
      <c r="AM354">
        <v>100</v>
      </c>
      <c r="AN354">
        <v>6200</v>
      </c>
      <c r="AO354" t="s">
        <v>115</v>
      </c>
      <c r="AP354">
        <v>125</v>
      </c>
      <c r="AQ354">
        <v>41</v>
      </c>
      <c r="AR354">
        <v>1088</v>
      </c>
      <c r="AZ354">
        <v>3614</v>
      </c>
      <c r="BA354">
        <v>1</v>
      </c>
      <c r="BB354" t="str">
        <f t="shared" si="17"/>
        <v xml:space="preserve">N959MJ  </v>
      </c>
      <c r="BC354">
        <v>1</v>
      </c>
      <c r="BE354">
        <v>0</v>
      </c>
      <c r="BF354">
        <v>0</v>
      </c>
      <c r="BG354">
        <v>0</v>
      </c>
      <c r="BH354">
        <v>6425</v>
      </c>
      <c r="BI354">
        <v>225</v>
      </c>
      <c r="BJ354">
        <v>1</v>
      </c>
      <c r="BK354">
        <v>1</v>
      </c>
      <c r="BL354">
        <v>1</v>
      </c>
      <c r="BM354">
        <v>0</v>
      </c>
      <c r="BP354">
        <v>0</v>
      </c>
      <c r="BQ354">
        <v>0</v>
      </c>
      <c r="BX354" t="str">
        <f>"13:56:15.250"</f>
        <v>13:56:15.250</v>
      </c>
      <c r="BY354" t="str">
        <f>"253650878"</f>
        <v>253650878</v>
      </c>
      <c r="CL354">
        <v>3</v>
      </c>
      <c r="CM354">
        <v>2</v>
      </c>
      <c r="CN354">
        <v>0</v>
      </c>
      <c r="CO354">
        <v>2</v>
      </c>
      <c r="CP354">
        <v>0</v>
      </c>
      <c r="CQ354">
        <v>7</v>
      </c>
      <c r="CR354" t="s">
        <v>116</v>
      </c>
      <c r="CS354">
        <v>147</v>
      </c>
      <c r="CT354">
        <v>3</v>
      </c>
      <c r="CU354" t="s">
        <v>117</v>
      </c>
      <c r="CV354" t="s">
        <v>118</v>
      </c>
      <c r="CY354">
        <v>16353106</v>
      </c>
      <c r="CZ354" t="s">
        <v>119</v>
      </c>
    </row>
    <row r="355" spans="1:104" x14ac:dyDescent="0.25">
      <c r="A355" t="str">
        <f>"13:56:16.398"</f>
        <v>13:56:16.398</v>
      </c>
      <c r="B355" t="s">
        <v>108</v>
      </c>
      <c r="C355" t="str">
        <f t="shared" si="16"/>
        <v>ffdfd3c0</v>
      </c>
      <c r="D355" t="s">
        <v>109</v>
      </c>
      <c r="E355">
        <v>4</v>
      </c>
      <c r="F355">
        <v>1004</v>
      </c>
      <c r="G355" t="s">
        <v>110</v>
      </c>
      <c r="J355" t="s">
        <v>111</v>
      </c>
      <c r="K355">
        <v>0</v>
      </c>
      <c r="L355">
        <v>3</v>
      </c>
      <c r="M355">
        <v>0</v>
      </c>
      <c r="N355">
        <v>2</v>
      </c>
      <c r="O355">
        <v>1</v>
      </c>
      <c r="P355">
        <v>0</v>
      </c>
      <c r="Q355">
        <v>0</v>
      </c>
      <c r="R355" t="s">
        <v>112</v>
      </c>
      <c r="S355" t="str">
        <f>"13:56:16.211"</f>
        <v>13:56:16.211</v>
      </c>
      <c r="T355" t="str">
        <f>"13:56:15.813"</f>
        <v>13:56:15.813</v>
      </c>
      <c r="U355" t="str">
        <f t="shared" si="15"/>
        <v>ad5732</v>
      </c>
      <c r="V355">
        <v>0</v>
      </c>
      <c r="W355">
        <v>0</v>
      </c>
      <c r="X355">
        <v>1</v>
      </c>
      <c r="Z355">
        <v>0</v>
      </c>
      <c r="AA355">
        <v>9</v>
      </c>
      <c r="AB355">
        <v>3</v>
      </c>
      <c r="AC355">
        <v>0</v>
      </c>
      <c r="AD355">
        <v>10</v>
      </c>
      <c r="AE355">
        <v>0</v>
      </c>
      <c r="AF355">
        <v>3</v>
      </c>
      <c r="AG355">
        <v>2</v>
      </c>
      <c r="AH355">
        <v>0</v>
      </c>
      <c r="AI355" t="s">
        <v>801</v>
      </c>
      <c r="AJ355">
        <v>39.204197000000001</v>
      </c>
      <c r="AK355" t="s">
        <v>802</v>
      </c>
      <c r="AL355">
        <v>-77.467152999999996</v>
      </c>
      <c r="AM355">
        <v>100</v>
      </c>
      <c r="AN355">
        <v>6200</v>
      </c>
      <c r="AO355" t="s">
        <v>115</v>
      </c>
      <c r="AP355">
        <v>125</v>
      </c>
      <c r="AQ355">
        <v>40</v>
      </c>
      <c r="AR355">
        <v>1088</v>
      </c>
      <c r="AZ355">
        <v>3614</v>
      </c>
      <c r="BA355">
        <v>1</v>
      </c>
      <c r="BB355" t="str">
        <f t="shared" si="17"/>
        <v xml:space="preserve">N959MJ  </v>
      </c>
      <c r="BC355">
        <v>1</v>
      </c>
      <c r="BE355">
        <v>0</v>
      </c>
      <c r="BF355">
        <v>0</v>
      </c>
      <c r="BG355">
        <v>0</v>
      </c>
      <c r="BH355">
        <v>6450</v>
      </c>
      <c r="BI355">
        <v>250</v>
      </c>
      <c r="BJ355">
        <v>1</v>
      </c>
      <c r="BK355">
        <v>1</v>
      </c>
      <c r="BL355">
        <v>1</v>
      </c>
      <c r="BM355">
        <v>0</v>
      </c>
      <c r="BP355">
        <v>0</v>
      </c>
      <c r="BQ355">
        <v>0</v>
      </c>
      <c r="BX355" t="str">
        <f>"13:56:16.211"</f>
        <v>13:56:16.211</v>
      </c>
      <c r="BY355" t="str">
        <f>"212129907"</f>
        <v>212129907</v>
      </c>
      <c r="CL355">
        <v>3</v>
      </c>
      <c r="CM355">
        <v>2</v>
      </c>
      <c r="CN355">
        <v>0</v>
      </c>
      <c r="CO355">
        <v>2</v>
      </c>
      <c r="CP355">
        <v>0</v>
      </c>
      <c r="CQ355">
        <v>7</v>
      </c>
      <c r="CR355" t="s">
        <v>116</v>
      </c>
      <c r="CS355">
        <v>147</v>
      </c>
      <c r="CT355">
        <v>3</v>
      </c>
      <c r="CU355" t="s">
        <v>117</v>
      </c>
      <c r="CV355" t="s">
        <v>118</v>
      </c>
      <c r="CY355">
        <v>16354533</v>
      </c>
      <c r="CZ355" t="s">
        <v>119</v>
      </c>
    </row>
    <row r="356" spans="1:104" x14ac:dyDescent="0.25">
      <c r="A356" t="str">
        <f>"13:56:17.508"</f>
        <v>13:56:17.508</v>
      </c>
      <c r="B356" t="s">
        <v>108</v>
      </c>
      <c r="C356" t="str">
        <f t="shared" si="16"/>
        <v>ffdfd3c0</v>
      </c>
      <c r="D356" t="s">
        <v>109</v>
      </c>
      <c r="E356">
        <v>4</v>
      </c>
      <c r="F356">
        <v>1004</v>
      </c>
      <c r="G356" t="s">
        <v>110</v>
      </c>
      <c r="J356" t="s">
        <v>111</v>
      </c>
      <c r="K356">
        <v>0</v>
      </c>
      <c r="L356">
        <v>3</v>
      </c>
      <c r="M356">
        <v>0</v>
      </c>
      <c r="N356">
        <v>2</v>
      </c>
      <c r="O356">
        <v>1</v>
      </c>
      <c r="P356">
        <v>0</v>
      </c>
      <c r="Q356">
        <v>0</v>
      </c>
      <c r="R356" t="s">
        <v>112</v>
      </c>
      <c r="S356" t="str">
        <f>"13:56:17.289"</f>
        <v>13:56:17.289</v>
      </c>
      <c r="T356" t="str">
        <f>"13:56:16.789"</f>
        <v>13:56:16.789</v>
      </c>
      <c r="U356" t="str">
        <f t="shared" si="15"/>
        <v>ad5732</v>
      </c>
      <c r="V356">
        <v>0</v>
      </c>
      <c r="W356">
        <v>0</v>
      </c>
      <c r="X356">
        <v>1</v>
      </c>
      <c r="Z356">
        <v>0</v>
      </c>
      <c r="AA356">
        <v>9</v>
      </c>
      <c r="AB356">
        <v>3</v>
      </c>
      <c r="AC356">
        <v>0</v>
      </c>
      <c r="AD356">
        <v>10</v>
      </c>
      <c r="AE356">
        <v>0</v>
      </c>
      <c r="AF356">
        <v>3</v>
      </c>
      <c r="AG356">
        <v>2</v>
      </c>
      <c r="AH356">
        <v>0</v>
      </c>
      <c r="AI356" t="s">
        <v>803</v>
      </c>
      <c r="AJ356">
        <v>39.204389999999997</v>
      </c>
      <c r="AK356" t="s">
        <v>804</v>
      </c>
      <c r="AL356">
        <v>-77.466337999999993</v>
      </c>
      <c r="AM356">
        <v>100</v>
      </c>
      <c r="AN356">
        <v>6200</v>
      </c>
      <c r="AO356" t="s">
        <v>115</v>
      </c>
      <c r="AP356">
        <v>126</v>
      </c>
      <c r="AQ356">
        <v>40</v>
      </c>
      <c r="AR356">
        <v>1088</v>
      </c>
      <c r="AZ356">
        <v>3614</v>
      </c>
      <c r="BA356">
        <v>1</v>
      </c>
      <c r="BB356" t="str">
        <f t="shared" si="17"/>
        <v xml:space="preserve">N959MJ  </v>
      </c>
      <c r="BC356">
        <v>1</v>
      </c>
      <c r="BE356">
        <v>0</v>
      </c>
      <c r="BF356">
        <v>0</v>
      </c>
      <c r="BG356">
        <v>0</v>
      </c>
      <c r="BH356">
        <v>6475</v>
      </c>
      <c r="BI356">
        <v>275</v>
      </c>
      <c r="BJ356">
        <v>1</v>
      </c>
      <c r="BK356">
        <v>1</v>
      </c>
      <c r="BL356">
        <v>1</v>
      </c>
      <c r="BM356">
        <v>0</v>
      </c>
      <c r="BP356">
        <v>0</v>
      </c>
      <c r="BQ356">
        <v>0</v>
      </c>
      <c r="BX356" t="str">
        <f>"13:56:17.297"</f>
        <v>13:56:17.297</v>
      </c>
      <c r="BY356" t="str">
        <f>"293490770"</f>
        <v>293490770</v>
      </c>
      <c r="CL356">
        <v>3</v>
      </c>
      <c r="CM356">
        <v>2</v>
      </c>
      <c r="CN356">
        <v>0</v>
      </c>
      <c r="CO356">
        <v>2</v>
      </c>
      <c r="CP356">
        <v>0</v>
      </c>
      <c r="CQ356">
        <v>7</v>
      </c>
      <c r="CR356" t="s">
        <v>116</v>
      </c>
      <c r="CS356">
        <v>147</v>
      </c>
      <c r="CT356">
        <v>3</v>
      </c>
      <c r="CU356" t="s">
        <v>117</v>
      </c>
      <c r="CV356" t="s">
        <v>118</v>
      </c>
      <c r="CY356">
        <v>16356205</v>
      </c>
      <c r="CZ356" t="s">
        <v>119</v>
      </c>
    </row>
    <row r="357" spans="1:104" x14ac:dyDescent="0.25">
      <c r="A357" t="str">
        <f>"13:56:18.922"</f>
        <v>13:56:18.922</v>
      </c>
      <c r="B357" t="s">
        <v>108</v>
      </c>
      <c r="C357" t="str">
        <f t="shared" si="16"/>
        <v>ffdfd3c0</v>
      </c>
      <c r="D357" t="s">
        <v>109</v>
      </c>
      <c r="E357">
        <v>4</v>
      </c>
      <c r="F357">
        <v>1004</v>
      </c>
      <c r="G357" t="s">
        <v>110</v>
      </c>
      <c r="J357" t="s">
        <v>111</v>
      </c>
      <c r="K357">
        <v>0</v>
      </c>
      <c r="L357">
        <v>3</v>
      </c>
      <c r="M357">
        <v>0</v>
      </c>
      <c r="N357">
        <v>2</v>
      </c>
      <c r="O357">
        <v>1</v>
      </c>
      <c r="P357">
        <v>0</v>
      </c>
      <c r="Q357">
        <v>0</v>
      </c>
      <c r="R357" t="s">
        <v>112</v>
      </c>
      <c r="S357" t="str">
        <f>"13:56:18.742"</f>
        <v>13:56:18.742</v>
      </c>
      <c r="T357" t="str">
        <f>"13:56:18.242"</f>
        <v>13:56:18.242</v>
      </c>
      <c r="U357" t="str">
        <f t="shared" si="15"/>
        <v>ad5732</v>
      </c>
      <c r="V357">
        <v>0</v>
      </c>
      <c r="W357">
        <v>0</v>
      </c>
      <c r="X357">
        <v>1</v>
      </c>
      <c r="Z357">
        <v>0</v>
      </c>
      <c r="AA357">
        <v>9</v>
      </c>
      <c r="AB357">
        <v>3</v>
      </c>
      <c r="AC357">
        <v>0</v>
      </c>
      <c r="AD357">
        <v>10</v>
      </c>
      <c r="AE357">
        <v>0</v>
      </c>
      <c r="AF357">
        <v>3</v>
      </c>
      <c r="AG357">
        <v>2</v>
      </c>
      <c r="AH357">
        <v>0</v>
      </c>
      <c r="AI357" t="s">
        <v>805</v>
      </c>
      <c r="AJ357">
        <v>39.204669000000003</v>
      </c>
      <c r="AK357" t="s">
        <v>806</v>
      </c>
      <c r="AL357">
        <v>-77.465307999999993</v>
      </c>
      <c r="AM357">
        <v>100</v>
      </c>
      <c r="AN357">
        <v>6200</v>
      </c>
      <c r="AO357" t="s">
        <v>115</v>
      </c>
      <c r="AP357">
        <v>126</v>
      </c>
      <c r="AQ357">
        <v>38</v>
      </c>
      <c r="AR357">
        <v>1088</v>
      </c>
      <c r="AZ357">
        <v>3614</v>
      </c>
      <c r="BA357">
        <v>1</v>
      </c>
      <c r="BB357" t="str">
        <f t="shared" si="17"/>
        <v xml:space="preserve">N959MJ  </v>
      </c>
      <c r="BC357">
        <v>1</v>
      </c>
      <c r="BE357">
        <v>0</v>
      </c>
      <c r="BF357">
        <v>0</v>
      </c>
      <c r="BG357">
        <v>0</v>
      </c>
      <c r="BH357">
        <v>6500</v>
      </c>
      <c r="BI357">
        <v>300</v>
      </c>
      <c r="BJ357">
        <v>1</v>
      </c>
      <c r="BK357">
        <v>1</v>
      </c>
      <c r="BL357">
        <v>1</v>
      </c>
      <c r="BM357">
        <v>0</v>
      </c>
      <c r="BP357">
        <v>0</v>
      </c>
      <c r="BQ357">
        <v>0</v>
      </c>
      <c r="BX357" t="str">
        <f>"13:56:18.742"</f>
        <v>13:56:18.742</v>
      </c>
      <c r="BY357" t="str">
        <f>"743481559"</f>
        <v>743481559</v>
      </c>
      <c r="CL357">
        <v>3</v>
      </c>
      <c r="CM357">
        <v>2</v>
      </c>
      <c r="CN357">
        <v>0</v>
      </c>
      <c r="CO357">
        <v>2</v>
      </c>
      <c r="CP357">
        <v>0</v>
      </c>
      <c r="CQ357">
        <v>7</v>
      </c>
      <c r="CR357" t="s">
        <v>116</v>
      </c>
      <c r="CS357">
        <v>525</v>
      </c>
      <c r="CT357">
        <v>2</v>
      </c>
      <c r="CU357" t="s">
        <v>140</v>
      </c>
      <c r="CV357" t="s">
        <v>141</v>
      </c>
      <c r="CY357">
        <v>14107277</v>
      </c>
      <c r="CZ357" t="s">
        <v>119</v>
      </c>
    </row>
    <row r="358" spans="1:104" x14ac:dyDescent="0.25">
      <c r="A358" t="str">
        <f>"13:56:20.031"</f>
        <v>13:56:20.031</v>
      </c>
      <c r="B358" t="s">
        <v>108</v>
      </c>
      <c r="C358" t="str">
        <f t="shared" si="16"/>
        <v>ffdfd3c0</v>
      </c>
      <c r="D358" t="s">
        <v>109</v>
      </c>
      <c r="E358">
        <v>4</v>
      </c>
      <c r="F358">
        <v>1004</v>
      </c>
      <c r="G358" t="s">
        <v>110</v>
      </c>
      <c r="J358" t="s">
        <v>111</v>
      </c>
      <c r="K358">
        <v>0</v>
      </c>
      <c r="L358">
        <v>3</v>
      </c>
      <c r="M358">
        <v>0</v>
      </c>
      <c r="N358">
        <v>2</v>
      </c>
      <c r="O358">
        <v>1</v>
      </c>
      <c r="P358">
        <v>0</v>
      </c>
      <c r="Q358">
        <v>0</v>
      </c>
      <c r="R358" t="s">
        <v>112</v>
      </c>
      <c r="S358" t="str">
        <f>"13:56:19.836"</f>
        <v>13:56:19.836</v>
      </c>
      <c r="T358" t="str">
        <f>"13:56:19.336"</f>
        <v>13:56:19.336</v>
      </c>
      <c r="U358" t="str">
        <f t="shared" si="15"/>
        <v>ad5732</v>
      </c>
      <c r="V358">
        <v>0</v>
      </c>
      <c r="W358">
        <v>0</v>
      </c>
      <c r="X358">
        <v>1</v>
      </c>
      <c r="Z358">
        <v>0</v>
      </c>
      <c r="AA358">
        <v>9</v>
      </c>
      <c r="AB358">
        <v>3</v>
      </c>
      <c r="AC358">
        <v>0</v>
      </c>
      <c r="AD358">
        <v>10</v>
      </c>
      <c r="AE358">
        <v>0</v>
      </c>
      <c r="AF358">
        <v>3</v>
      </c>
      <c r="AG358">
        <v>2</v>
      </c>
      <c r="AH358">
        <v>0</v>
      </c>
      <c r="AI358" t="s">
        <v>807</v>
      </c>
      <c r="AJ358">
        <v>39.204861999999999</v>
      </c>
      <c r="AK358" t="s">
        <v>808</v>
      </c>
      <c r="AL358">
        <v>-77.464471000000003</v>
      </c>
      <c r="AM358">
        <v>100</v>
      </c>
      <c r="AN358">
        <v>6300</v>
      </c>
      <c r="AO358" t="s">
        <v>115</v>
      </c>
      <c r="AP358">
        <v>126</v>
      </c>
      <c r="AQ358">
        <v>37</v>
      </c>
      <c r="AR358">
        <v>1088</v>
      </c>
      <c r="AZ358">
        <v>3614</v>
      </c>
      <c r="BA358">
        <v>1</v>
      </c>
      <c r="BB358" t="str">
        <f t="shared" si="17"/>
        <v xml:space="preserve">N959MJ  </v>
      </c>
      <c r="BC358">
        <v>1</v>
      </c>
      <c r="BE358">
        <v>0</v>
      </c>
      <c r="BF358">
        <v>0</v>
      </c>
      <c r="BG358">
        <v>0</v>
      </c>
      <c r="BH358">
        <v>6500</v>
      </c>
      <c r="BI358">
        <v>200</v>
      </c>
      <c r="BJ358">
        <v>1</v>
      </c>
      <c r="BK358">
        <v>1</v>
      </c>
      <c r="BL358">
        <v>1</v>
      </c>
      <c r="BM358">
        <v>0</v>
      </c>
      <c r="BP358">
        <v>0</v>
      </c>
      <c r="BQ358">
        <v>0</v>
      </c>
      <c r="BX358" t="str">
        <f>"13:56:19.836"</f>
        <v>13:56:19.836</v>
      </c>
      <c r="BY358" t="str">
        <f>"837949959"</f>
        <v>837949959</v>
      </c>
      <c r="CL358">
        <v>3</v>
      </c>
      <c r="CM358">
        <v>2</v>
      </c>
      <c r="CN358">
        <v>0</v>
      </c>
      <c r="CO358">
        <v>2</v>
      </c>
      <c r="CP358">
        <v>0</v>
      </c>
      <c r="CQ358">
        <v>7</v>
      </c>
      <c r="CR358" t="s">
        <v>116</v>
      </c>
      <c r="CS358">
        <v>525</v>
      </c>
      <c r="CT358">
        <v>2</v>
      </c>
      <c r="CU358" t="s">
        <v>140</v>
      </c>
      <c r="CV358" t="s">
        <v>141</v>
      </c>
      <c r="CY358">
        <v>14108880</v>
      </c>
      <c r="CZ358" t="s">
        <v>119</v>
      </c>
    </row>
    <row r="359" spans="1:104" x14ac:dyDescent="0.25">
      <c r="A359" t="str">
        <f>"13:56:21.141"</f>
        <v>13:56:21.141</v>
      </c>
      <c r="B359" t="s">
        <v>108</v>
      </c>
      <c r="C359" t="str">
        <f t="shared" si="16"/>
        <v>ffdfd3c0</v>
      </c>
      <c r="D359" t="s">
        <v>109</v>
      </c>
      <c r="E359">
        <v>4</v>
      </c>
      <c r="F359">
        <v>1004</v>
      </c>
      <c r="G359" t="s">
        <v>110</v>
      </c>
      <c r="J359" t="s">
        <v>111</v>
      </c>
      <c r="K359">
        <v>0</v>
      </c>
      <c r="L359">
        <v>3</v>
      </c>
      <c r="M359">
        <v>0</v>
      </c>
      <c r="N359">
        <v>2</v>
      </c>
      <c r="O359">
        <v>1</v>
      </c>
      <c r="P359">
        <v>0</v>
      </c>
      <c r="Q359">
        <v>0</v>
      </c>
      <c r="R359" t="s">
        <v>112</v>
      </c>
      <c r="S359" t="str">
        <f>"13:56:20.945"</f>
        <v>13:56:20.945</v>
      </c>
      <c r="T359" t="str">
        <f>"13:56:20.445"</f>
        <v>13:56:20.445</v>
      </c>
      <c r="U359" t="str">
        <f t="shared" si="15"/>
        <v>ad5732</v>
      </c>
      <c r="V359">
        <v>0</v>
      </c>
      <c r="W359">
        <v>0</v>
      </c>
      <c r="X359">
        <v>1</v>
      </c>
      <c r="Z359">
        <v>0</v>
      </c>
      <c r="AA359">
        <v>9</v>
      </c>
      <c r="AB359">
        <v>3</v>
      </c>
      <c r="AC359">
        <v>0</v>
      </c>
      <c r="AD359">
        <v>10</v>
      </c>
      <c r="AE359">
        <v>0</v>
      </c>
      <c r="AF359">
        <v>3</v>
      </c>
      <c r="AG359">
        <v>2</v>
      </c>
      <c r="AH359">
        <v>0</v>
      </c>
      <c r="AI359" t="s">
        <v>809</v>
      </c>
      <c r="AJ359">
        <v>39.205033999999998</v>
      </c>
      <c r="AK359" t="s">
        <v>810</v>
      </c>
      <c r="AL359">
        <v>-77.463633999999999</v>
      </c>
      <c r="AM359">
        <v>100</v>
      </c>
      <c r="AN359">
        <v>6300</v>
      </c>
      <c r="AO359" t="s">
        <v>115</v>
      </c>
      <c r="AP359">
        <v>126</v>
      </c>
      <c r="AQ359">
        <v>36</v>
      </c>
      <c r="AR359">
        <v>1024</v>
      </c>
      <c r="AZ359">
        <v>3614</v>
      </c>
      <c r="BA359">
        <v>1</v>
      </c>
      <c r="BB359" t="str">
        <f t="shared" si="17"/>
        <v xml:space="preserve">N959MJ  </v>
      </c>
      <c r="BC359">
        <v>1</v>
      </c>
      <c r="BE359">
        <v>0</v>
      </c>
      <c r="BF359">
        <v>0</v>
      </c>
      <c r="BG359">
        <v>0</v>
      </c>
      <c r="BH359">
        <v>6525</v>
      </c>
      <c r="BI359">
        <v>225</v>
      </c>
      <c r="BJ359">
        <v>1</v>
      </c>
      <c r="BK359">
        <v>1</v>
      </c>
      <c r="BL359">
        <v>1</v>
      </c>
      <c r="BM359">
        <v>0</v>
      </c>
      <c r="BP359">
        <v>0</v>
      </c>
      <c r="BQ359">
        <v>0</v>
      </c>
      <c r="BX359" t="str">
        <f>"13:56:20.945"</f>
        <v>13:56:20.945</v>
      </c>
      <c r="BY359" t="str">
        <f>"948802653"</f>
        <v>948802653</v>
      </c>
      <c r="CL359">
        <v>3</v>
      </c>
      <c r="CM359">
        <v>2</v>
      </c>
      <c r="CN359">
        <v>0</v>
      </c>
      <c r="CO359">
        <v>2</v>
      </c>
      <c r="CP359">
        <v>0</v>
      </c>
      <c r="CQ359">
        <v>7</v>
      </c>
      <c r="CR359" t="s">
        <v>116</v>
      </c>
      <c r="CS359">
        <v>525</v>
      </c>
      <c r="CT359">
        <v>2</v>
      </c>
      <c r="CU359" t="s">
        <v>140</v>
      </c>
      <c r="CV359" t="s">
        <v>141</v>
      </c>
      <c r="CY359">
        <v>14110436</v>
      </c>
      <c r="CZ359" t="s">
        <v>119</v>
      </c>
    </row>
    <row r="360" spans="1:104" x14ac:dyDescent="0.25">
      <c r="A360" t="str">
        <f>"13:56:22.000"</f>
        <v>13:56:22.000</v>
      </c>
      <c r="B360" t="s">
        <v>108</v>
      </c>
      <c r="C360" t="str">
        <f t="shared" si="16"/>
        <v>ffdfd3c0</v>
      </c>
      <c r="D360" t="s">
        <v>109</v>
      </c>
      <c r="E360">
        <v>4</v>
      </c>
      <c r="F360">
        <v>1004</v>
      </c>
      <c r="G360" t="s">
        <v>110</v>
      </c>
      <c r="J360" t="s">
        <v>111</v>
      </c>
      <c r="K360">
        <v>0</v>
      </c>
      <c r="L360">
        <v>3</v>
      </c>
      <c r="M360">
        <v>0</v>
      </c>
      <c r="N360">
        <v>2</v>
      </c>
      <c r="O360">
        <v>1</v>
      </c>
      <c r="P360">
        <v>0</v>
      </c>
      <c r="Q360">
        <v>0</v>
      </c>
      <c r="R360" t="s">
        <v>112</v>
      </c>
      <c r="S360" t="str">
        <f>"13:56:21.781"</f>
        <v>13:56:21.781</v>
      </c>
      <c r="T360" t="str">
        <f>"13:56:21.383"</f>
        <v>13:56:21.383</v>
      </c>
      <c r="U360" t="str">
        <f t="shared" si="15"/>
        <v>ad5732</v>
      </c>
      <c r="V360">
        <v>0</v>
      </c>
      <c r="W360">
        <v>0</v>
      </c>
      <c r="X360">
        <v>1</v>
      </c>
      <c r="Z360">
        <v>0</v>
      </c>
      <c r="AA360">
        <v>9</v>
      </c>
      <c r="AB360">
        <v>3</v>
      </c>
      <c r="AC360">
        <v>0</v>
      </c>
      <c r="AD360">
        <v>10</v>
      </c>
      <c r="AE360">
        <v>0</v>
      </c>
      <c r="AF360">
        <v>3</v>
      </c>
      <c r="AG360">
        <v>2</v>
      </c>
      <c r="AH360">
        <v>0</v>
      </c>
      <c r="AI360" t="s">
        <v>811</v>
      </c>
      <c r="AJ360">
        <v>39.205184000000003</v>
      </c>
      <c r="AK360" t="s">
        <v>812</v>
      </c>
      <c r="AL360">
        <v>-77.462947</v>
      </c>
      <c r="AM360">
        <v>100</v>
      </c>
      <c r="AN360">
        <v>6300</v>
      </c>
      <c r="AO360" t="s">
        <v>115</v>
      </c>
      <c r="AP360">
        <v>127</v>
      </c>
      <c r="AQ360">
        <v>35</v>
      </c>
      <c r="AR360">
        <v>1024</v>
      </c>
      <c r="AZ360">
        <v>3614</v>
      </c>
      <c r="BA360">
        <v>1</v>
      </c>
      <c r="BB360" t="str">
        <f t="shared" si="17"/>
        <v xml:space="preserve">N959MJ  </v>
      </c>
      <c r="BC360">
        <v>1</v>
      </c>
      <c r="BE360">
        <v>0</v>
      </c>
      <c r="BF360">
        <v>0</v>
      </c>
      <c r="BG360">
        <v>0</v>
      </c>
      <c r="BH360">
        <v>6550</v>
      </c>
      <c r="BI360">
        <v>250</v>
      </c>
      <c r="BJ360">
        <v>1</v>
      </c>
      <c r="BK360">
        <v>1</v>
      </c>
      <c r="BL360">
        <v>1</v>
      </c>
      <c r="BM360">
        <v>0</v>
      </c>
      <c r="BP360">
        <v>0</v>
      </c>
      <c r="BQ360">
        <v>0</v>
      </c>
      <c r="BX360" t="str">
        <f>"13:56:21.781"</f>
        <v>13:56:21.781</v>
      </c>
      <c r="BY360" t="str">
        <f>"784399753"</f>
        <v>784399753</v>
      </c>
      <c r="CL360">
        <v>3</v>
      </c>
      <c r="CM360">
        <v>2</v>
      </c>
      <c r="CN360">
        <v>0</v>
      </c>
      <c r="CO360">
        <v>2</v>
      </c>
      <c r="CP360">
        <v>0</v>
      </c>
      <c r="CQ360">
        <v>7</v>
      </c>
      <c r="CR360" t="s">
        <v>116</v>
      </c>
      <c r="CS360">
        <v>525</v>
      </c>
      <c r="CT360">
        <v>2</v>
      </c>
      <c r="CU360" t="s">
        <v>140</v>
      </c>
      <c r="CV360" t="s">
        <v>141</v>
      </c>
      <c r="CY360">
        <v>14111635</v>
      </c>
      <c r="CZ360" t="s">
        <v>119</v>
      </c>
    </row>
    <row r="361" spans="1:104" x14ac:dyDescent="0.25">
      <c r="A361" t="str">
        <f>"13:56:22.914"</f>
        <v>13:56:22.914</v>
      </c>
      <c r="B361" t="s">
        <v>108</v>
      </c>
      <c r="C361" t="str">
        <f t="shared" si="16"/>
        <v>ffdfd3c0</v>
      </c>
      <c r="D361" t="s">
        <v>109</v>
      </c>
      <c r="E361">
        <v>4</v>
      </c>
      <c r="F361">
        <v>1004</v>
      </c>
      <c r="G361" t="s">
        <v>110</v>
      </c>
      <c r="J361" t="s">
        <v>111</v>
      </c>
      <c r="K361">
        <v>0</v>
      </c>
      <c r="L361">
        <v>3</v>
      </c>
      <c r="M361">
        <v>0</v>
      </c>
      <c r="N361">
        <v>2</v>
      </c>
      <c r="O361">
        <v>1</v>
      </c>
      <c r="P361">
        <v>0</v>
      </c>
      <c r="Q361">
        <v>0</v>
      </c>
      <c r="R361" t="s">
        <v>112</v>
      </c>
      <c r="S361" t="str">
        <f>"13:56:22.758"</f>
        <v>13:56:22.758</v>
      </c>
      <c r="T361" t="str">
        <f>"13:56:22.359"</f>
        <v>13:56:22.359</v>
      </c>
      <c r="U361" t="str">
        <f t="shared" si="15"/>
        <v>ad5732</v>
      </c>
      <c r="V361">
        <v>0</v>
      </c>
      <c r="W361">
        <v>0</v>
      </c>
      <c r="X361">
        <v>1</v>
      </c>
      <c r="Z361">
        <v>0</v>
      </c>
      <c r="AA361">
        <v>9</v>
      </c>
      <c r="AB361">
        <v>3</v>
      </c>
      <c r="AC361">
        <v>0</v>
      </c>
      <c r="AD361">
        <v>10</v>
      </c>
      <c r="AE361">
        <v>0</v>
      </c>
      <c r="AF361">
        <v>3</v>
      </c>
      <c r="AG361">
        <v>2</v>
      </c>
      <c r="AH361">
        <v>0</v>
      </c>
      <c r="AI361" t="s">
        <v>813</v>
      </c>
      <c r="AJ361">
        <v>39.205312999999997</v>
      </c>
      <c r="AK361" t="s">
        <v>814</v>
      </c>
      <c r="AL361">
        <v>-77.462260999999998</v>
      </c>
      <c r="AM361">
        <v>100</v>
      </c>
      <c r="AN361">
        <v>6300</v>
      </c>
      <c r="AO361" t="s">
        <v>115</v>
      </c>
      <c r="AP361">
        <v>127</v>
      </c>
      <c r="AQ361">
        <v>35</v>
      </c>
      <c r="AR361">
        <v>1024</v>
      </c>
      <c r="AZ361">
        <v>3614</v>
      </c>
      <c r="BA361">
        <v>1</v>
      </c>
      <c r="BB361" t="str">
        <f t="shared" si="17"/>
        <v xml:space="preserve">N959MJ  </v>
      </c>
      <c r="BC361">
        <v>1</v>
      </c>
      <c r="BE361">
        <v>0</v>
      </c>
      <c r="BF361">
        <v>0</v>
      </c>
      <c r="BG361">
        <v>0</v>
      </c>
      <c r="BH361">
        <v>6550</v>
      </c>
      <c r="BI361">
        <v>250</v>
      </c>
      <c r="BJ361">
        <v>1</v>
      </c>
      <c r="BK361">
        <v>1</v>
      </c>
      <c r="BL361">
        <v>1</v>
      </c>
      <c r="BM361">
        <v>0</v>
      </c>
      <c r="BP361">
        <v>0</v>
      </c>
      <c r="BQ361">
        <v>0</v>
      </c>
      <c r="BX361" t="str">
        <f>"13:56:22.758"</f>
        <v>13:56:22.758</v>
      </c>
      <c r="BY361" t="str">
        <f>"759279003"</f>
        <v>759279003</v>
      </c>
      <c r="CL361">
        <v>3</v>
      </c>
      <c r="CM361">
        <v>2</v>
      </c>
      <c r="CN361">
        <v>0</v>
      </c>
      <c r="CO361">
        <v>2</v>
      </c>
      <c r="CP361">
        <v>0</v>
      </c>
      <c r="CQ361">
        <v>7</v>
      </c>
      <c r="CR361" t="s">
        <v>116</v>
      </c>
      <c r="CS361">
        <v>147</v>
      </c>
      <c r="CT361">
        <v>3</v>
      </c>
      <c r="CU361" t="s">
        <v>117</v>
      </c>
      <c r="CV361" t="s">
        <v>118</v>
      </c>
      <c r="CY361">
        <v>16364968</v>
      </c>
      <c r="CZ361" t="s">
        <v>119</v>
      </c>
    </row>
    <row r="362" spans="1:104" x14ac:dyDescent="0.25">
      <c r="A362" t="str">
        <f>"13:56:24.070"</f>
        <v>13:56:24.070</v>
      </c>
      <c r="B362" t="s">
        <v>108</v>
      </c>
      <c r="C362" t="str">
        <f t="shared" si="16"/>
        <v>ffdfd3c0</v>
      </c>
      <c r="D362" t="s">
        <v>109</v>
      </c>
      <c r="E362">
        <v>4</v>
      </c>
      <c r="F362">
        <v>1004</v>
      </c>
      <c r="G362" t="s">
        <v>110</v>
      </c>
      <c r="J362" t="s">
        <v>111</v>
      </c>
      <c r="K362">
        <v>0</v>
      </c>
      <c r="L362">
        <v>3</v>
      </c>
      <c r="M362">
        <v>0</v>
      </c>
      <c r="N362">
        <v>2</v>
      </c>
      <c r="O362">
        <v>1</v>
      </c>
      <c r="P362">
        <v>0</v>
      </c>
      <c r="Q362">
        <v>0</v>
      </c>
      <c r="R362" t="s">
        <v>112</v>
      </c>
      <c r="S362" t="str">
        <f>"13:56:23.914"</f>
        <v>13:56:23.914</v>
      </c>
      <c r="T362" t="str">
        <f>"13:56:23.414"</f>
        <v>13:56:23.414</v>
      </c>
      <c r="U362" t="str">
        <f t="shared" si="15"/>
        <v>ad5732</v>
      </c>
      <c r="V362">
        <v>0</v>
      </c>
      <c r="W362">
        <v>0</v>
      </c>
      <c r="X362">
        <v>1</v>
      </c>
      <c r="Z362">
        <v>0</v>
      </c>
      <c r="AA362">
        <v>9</v>
      </c>
      <c r="AB362">
        <v>3</v>
      </c>
      <c r="AC362">
        <v>0</v>
      </c>
      <c r="AD362">
        <v>10</v>
      </c>
      <c r="AE362">
        <v>0</v>
      </c>
      <c r="AF362">
        <v>3</v>
      </c>
      <c r="AG362">
        <v>2</v>
      </c>
      <c r="AH362">
        <v>0</v>
      </c>
      <c r="AI362" t="s">
        <v>815</v>
      </c>
      <c r="AJ362">
        <v>39.205483999999998</v>
      </c>
      <c r="AK362" t="s">
        <v>816</v>
      </c>
      <c r="AL362">
        <v>-77.461381000000003</v>
      </c>
      <c r="AM362">
        <v>100</v>
      </c>
      <c r="AN362">
        <v>6300</v>
      </c>
      <c r="AO362" t="s">
        <v>115</v>
      </c>
      <c r="AP362">
        <v>127</v>
      </c>
      <c r="AQ362">
        <v>35</v>
      </c>
      <c r="AR362">
        <v>1024</v>
      </c>
      <c r="AZ362">
        <v>3614</v>
      </c>
      <c r="BA362">
        <v>1</v>
      </c>
      <c r="BB362" t="str">
        <f t="shared" si="17"/>
        <v xml:space="preserve">N959MJ  </v>
      </c>
      <c r="BC362">
        <v>1</v>
      </c>
      <c r="BE362">
        <v>0</v>
      </c>
      <c r="BF362">
        <v>0</v>
      </c>
      <c r="BG362">
        <v>0</v>
      </c>
      <c r="BH362">
        <v>6575</v>
      </c>
      <c r="BI362">
        <v>275</v>
      </c>
      <c r="BJ362">
        <v>1</v>
      </c>
      <c r="BK362">
        <v>1</v>
      </c>
      <c r="BL362">
        <v>1</v>
      </c>
      <c r="BM362">
        <v>0</v>
      </c>
      <c r="BP362">
        <v>0</v>
      </c>
      <c r="BQ362">
        <v>0</v>
      </c>
      <c r="BX362" t="str">
        <f>"13:56:23.922"</f>
        <v>13:56:23.922</v>
      </c>
      <c r="BY362" t="str">
        <f>"920907028"</f>
        <v>920907028</v>
      </c>
      <c r="CL362">
        <v>3</v>
      </c>
      <c r="CM362">
        <v>2</v>
      </c>
      <c r="CN362">
        <v>0</v>
      </c>
      <c r="CO362">
        <v>2</v>
      </c>
      <c r="CP362">
        <v>0</v>
      </c>
      <c r="CQ362">
        <v>7</v>
      </c>
      <c r="CR362" t="s">
        <v>116</v>
      </c>
      <c r="CS362">
        <v>525</v>
      </c>
      <c r="CT362">
        <v>2</v>
      </c>
      <c r="CU362" t="s">
        <v>140</v>
      </c>
      <c r="CV362" t="s">
        <v>141</v>
      </c>
      <c r="CY362">
        <v>14114730</v>
      </c>
      <c r="CZ362" t="s">
        <v>119</v>
      </c>
    </row>
    <row r="363" spans="1:104" x14ac:dyDescent="0.25">
      <c r="A363" t="str">
        <f>"13:56:25.078"</f>
        <v>13:56:25.078</v>
      </c>
      <c r="B363" t="s">
        <v>108</v>
      </c>
      <c r="C363" t="str">
        <f t="shared" si="16"/>
        <v>ffdfd3c0</v>
      </c>
      <c r="D363" t="s">
        <v>109</v>
      </c>
      <c r="E363">
        <v>4</v>
      </c>
      <c r="F363">
        <v>1004</v>
      </c>
      <c r="G363" t="s">
        <v>110</v>
      </c>
      <c r="J363" t="s">
        <v>111</v>
      </c>
      <c r="K363">
        <v>0</v>
      </c>
      <c r="L363">
        <v>3</v>
      </c>
      <c r="M363">
        <v>0</v>
      </c>
      <c r="N363">
        <v>2</v>
      </c>
      <c r="O363">
        <v>1</v>
      </c>
      <c r="P363">
        <v>0</v>
      </c>
      <c r="Q363">
        <v>0</v>
      </c>
      <c r="R363" t="s">
        <v>112</v>
      </c>
      <c r="S363" t="str">
        <f>"13:56:24.883"</f>
        <v>13:56:24.883</v>
      </c>
      <c r="T363" t="str">
        <f>"13:56:24.383"</f>
        <v>13:56:24.383</v>
      </c>
      <c r="U363" t="str">
        <f t="shared" si="15"/>
        <v>ad5732</v>
      </c>
      <c r="V363">
        <v>0</v>
      </c>
      <c r="W363">
        <v>0</v>
      </c>
      <c r="X363">
        <v>1</v>
      </c>
      <c r="Z363">
        <v>0</v>
      </c>
      <c r="AA363">
        <v>9</v>
      </c>
      <c r="AB363">
        <v>3</v>
      </c>
      <c r="AC363">
        <v>0</v>
      </c>
      <c r="AD363">
        <v>10</v>
      </c>
      <c r="AE363">
        <v>0</v>
      </c>
      <c r="AF363">
        <v>3</v>
      </c>
      <c r="AG363">
        <v>2</v>
      </c>
      <c r="AH363">
        <v>0</v>
      </c>
      <c r="AI363" t="s">
        <v>817</v>
      </c>
      <c r="AJ363">
        <v>39.205677999999999</v>
      </c>
      <c r="AK363" t="s">
        <v>818</v>
      </c>
      <c r="AL363">
        <v>-77.460650999999999</v>
      </c>
      <c r="AM363">
        <v>100</v>
      </c>
      <c r="AN363">
        <v>6300</v>
      </c>
      <c r="AO363" t="s">
        <v>115</v>
      </c>
      <c r="AP363">
        <v>126</v>
      </c>
      <c r="AQ363">
        <v>36</v>
      </c>
      <c r="AR363">
        <v>1024</v>
      </c>
      <c r="AZ363">
        <v>3614</v>
      </c>
      <c r="BA363">
        <v>1</v>
      </c>
      <c r="BB363" t="str">
        <f t="shared" si="17"/>
        <v xml:space="preserve">N959MJ  </v>
      </c>
      <c r="BC363">
        <v>1</v>
      </c>
      <c r="BE363">
        <v>0</v>
      </c>
      <c r="BF363">
        <v>0</v>
      </c>
      <c r="BG363">
        <v>0</v>
      </c>
      <c r="BH363">
        <v>6600</v>
      </c>
      <c r="BI363">
        <v>300</v>
      </c>
      <c r="BJ363">
        <v>1</v>
      </c>
      <c r="BK363">
        <v>1</v>
      </c>
      <c r="BL363">
        <v>1</v>
      </c>
      <c r="BM363">
        <v>0</v>
      </c>
      <c r="BP363">
        <v>0</v>
      </c>
      <c r="BQ363">
        <v>0</v>
      </c>
      <c r="BX363" t="str">
        <f>"13:56:24.883"</f>
        <v>13:56:24.883</v>
      </c>
      <c r="BY363" t="str">
        <f>"885939760"</f>
        <v>885939760</v>
      </c>
      <c r="CL363">
        <v>3</v>
      </c>
      <c r="CM363">
        <v>2</v>
      </c>
      <c r="CN363">
        <v>0</v>
      </c>
      <c r="CO363">
        <v>2</v>
      </c>
      <c r="CP363">
        <v>0</v>
      </c>
      <c r="CQ363">
        <v>7</v>
      </c>
      <c r="CR363" t="s">
        <v>116</v>
      </c>
      <c r="CS363">
        <v>525</v>
      </c>
      <c r="CT363">
        <v>2</v>
      </c>
      <c r="CU363" t="s">
        <v>140</v>
      </c>
      <c r="CV363" t="s">
        <v>141</v>
      </c>
      <c r="CY363">
        <v>14116139</v>
      </c>
      <c r="CZ363" t="s">
        <v>119</v>
      </c>
    </row>
    <row r="364" spans="1:104" x14ac:dyDescent="0.25">
      <c r="A364" t="str">
        <f>"13:56:26.039"</f>
        <v>13:56:26.039</v>
      </c>
      <c r="B364" t="s">
        <v>108</v>
      </c>
      <c r="C364" t="str">
        <f t="shared" si="16"/>
        <v>ffdfd3c0</v>
      </c>
      <c r="D364" t="s">
        <v>109</v>
      </c>
      <c r="E364">
        <v>4</v>
      </c>
      <c r="F364">
        <v>1004</v>
      </c>
      <c r="G364" t="s">
        <v>110</v>
      </c>
      <c r="J364" t="s">
        <v>111</v>
      </c>
      <c r="K364">
        <v>0</v>
      </c>
      <c r="L364">
        <v>3</v>
      </c>
      <c r="M364">
        <v>0</v>
      </c>
      <c r="N364">
        <v>2</v>
      </c>
      <c r="O364">
        <v>1</v>
      </c>
      <c r="P364">
        <v>0</v>
      </c>
      <c r="Q364">
        <v>0</v>
      </c>
      <c r="R364" t="s">
        <v>112</v>
      </c>
      <c r="S364" t="str">
        <f>"13:56:25.844"</f>
        <v>13:56:25.844</v>
      </c>
      <c r="T364" t="str">
        <f>"13:56:25.445"</f>
        <v>13:56:25.445</v>
      </c>
      <c r="U364" t="str">
        <f t="shared" si="15"/>
        <v>ad5732</v>
      </c>
      <c r="V364">
        <v>0</v>
      </c>
      <c r="W364">
        <v>0</v>
      </c>
      <c r="X364">
        <v>1</v>
      </c>
      <c r="Z364">
        <v>0</v>
      </c>
      <c r="AA364">
        <v>9</v>
      </c>
      <c r="AB364">
        <v>3</v>
      </c>
      <c r="AC364">
        <v>0</v>
      </c>
      <c r="AD364">
        <v>10</v>
      </c>
      <c r="AE364">
        <v>0</v>
      </c>
      <c r="AF364">
        <v>3</v>
      </c>
      <c r="AG364">
        <v>2</v>
      </c>
      <c r="AH364">
        <v>0</v>
      </c>
      <c r="AI364" t="s">
        <v>819</v>
      </c>
      <c r="AJ364">
        <v>39.205827999999997</v>
      </c>
      <c r="AK364" t="s">
        <v>820</v>
      </c>
      <c r="AL364">
        <v>-77.459964999999997</v>
      </c>
      <c r="AM364">
        <v>100</v>
      </c>
      <c r="AN364">
        <v>6300</v>
      </c>
      <c r="AO364" t="s">
        <v>115</v>
      </c>
      <c r="AP364">
        <v>125</v>
      </c>
      <c r="AQ364">
        <v>39</v>
      </c>
      <c r="AR364">
        <v>1024</v>
      </c>
      <c r="AZ364">
        <v>3614</v>
      </c>
      <c r="BA364">
        <v>1</v>
      </c>
      <c r="BB364" t="str">
        <f t="shared" si="17"/>
        <v xml:space="preserve">N959MJ  </v>
      </c>
      <c r="BC364">
        <v>1</v>
      </c>
      <c r="BE364">
        <v>0</v>
      </c>
      <c r="BF364">
        <v>0</v>
      </c>
      <c r="BG364">
        <v>0</v>
      </c>
      <c r="BH364">
        <v>6625</v>
      </c>
      <c r="BI364">
        <v>325</v>
      </c>
      <c r="BJ364">
        <v>1</v>
      </c>
      <c r="BK364">
        <v>1</v>
      </c>
      <c r="BL364">
        <v>1</v>
      </c>
      <c r="BM364">
        <v>0</v>
      </c>
      <c r="BP364">
        <v>0</v>
      </c>
      <c r="BQ364">
        <v>0</v>
      </c>
      <c r="BX364" t="str">
        <f>"13:56:25.852"</f>
        <v>13:56:25.852</v>
      </c>
      <c r="BY364" t="str">
        <f>"850988372"</f>
        <v>850988372</v>
      </c>
      <c r="CL364">
        <v>3</v>
      </c>
      <c r="CM364">
        <v>2</v>
      </c>
      <c r="CN364">
        <v>0</v>
      </c>
      <c r="CO364">
        <v>2</v>
      </c>
      <c r="CP364">
        <v>0</v>
      </c>
      <c r="CQ364">
        <v>7</v>
      </c>
      <c r="CR364" t="s">
        <v>116</v>
      </c>
      <c r="CS364">
        <v>147</v>
      </c>
      <c r="CT364">
        <v>3</v>
      </c>
      <c r="CU364" t="s">
        <v>117</v>
      </c>
      <c r="CV364" t="s">
        <v>118</v>
      </c>
      <c r="CY364">
        <v>16369982</v>
      </c>
      <c r="CZ364" t="s">
        <v>119</v>
      </c>
    </row>
    <row r="365" spans="1:104" x14ac:dyDescent="0.25">
      <c r="A365" t="str">
        <f>"13:56:27.000"</f>
        <v>13:56:27.000</v>
      </c>
      <c r="B365" t="s">
        <v>108</v>
      </c>
      <c r="C365" t="str">
        <f t="shared" si="16"/>
        <v>ffdfd3c0</v>
      </c>
      <c r="D365" t="s">
        <v>109</v>
      </c>
      <c r="E365">
        <v>4</v>
      </c>
      <c r="F365">
        <v>1004</v>
      </c>
      <c r="G365" t="s">
        <v>110</v>
      </c>
      <c r="J365" t="s">
        <v>111</v>
      </c>
      <c r="K365">
        <v>0</v>
      </c>
      <c r="L365">
        <v>3</v>
      </c>
      <c r="M365">
        <v>0</v>
      </c>
      <c r="N365">
        <v>2</v>
      </c>
      <c r="O365">
        <v>1</v>
      </c>
      <c r="P365">
        <v>0</v>
      </c>
      <c r="Q365">
        <v>0</v>
      </c>
      <c r="R365" t="s">
        <v>112</v>
      </c>
      <c r="S365" t="str">
        <f>"13:56:26.797"</f>
        <v>13:56:26.797</v>
      </c>
      <c r="T365" t="str">
        <f>"13:56:26.297"</f>
        <v>13:56:26.297</v>
      </c>
      <c r="U365" t="str">
        <f t="shared" si="15"/>
        <v>ad5732</v>
      </c>
      <c r="V365">
        <v>0</v>
      </c>
      <c r="W365">
        <v>0</v>
      </c>
      <c r="X365">
        <v>1</v>
      </c>
      <c r="Z365">
        <v>0</v>
      </c>
      <c r="AA365">
        <v>9</v>
      </c>
      <c r="AB365">
        <v>3</v>
      </c>
      <c r="AC365">
        <v>0</v>
      </c>
      <c r="AD365">
        <v>10</v>
      </c>
      <c r="AE365">
        <v>0</v>
      </c>
      <c r="AF365">
        <v>3</v>
      </c>
      <c r="AG365">
        <v>2</v>
      </c>
      <c r="AH365">
        <v>0</v>
      </c>
      <c r="AI365" t="s">
        <v>821</v>
      </c>
      <c r="AJ365">
        <v>39.206063999999998</v>
      </c>
      <c r="AK365" t="s">
        <v>822</v>
      </c>
      <c r="AL365">
        <v>-77.459235000000007</v>
      </c>
      <c r="AM365">
        <v>100</v>
      </c>
      <c r="AN365">
        <v>6300</v>
      </c>
      <c r="AO365" t="s">
        <v>115</v>
      </c>
      <c r="AP365">
        <v>124</v>
      </c>
      <c r="AQ365">
        <v>41</v>
      </c>
      <c r="AR365">
        <v>960</v>
      </c>
      <c r="AZ365">
        <v>3614</v>
      </c>
      <c r="BA365">
        <v>1</v>
      </c>
      <c r="BB365" t="str">
        <f t="shared" si="17"/>
        <v xml:space="preserve">N959MJ  </v>
      </c>
      <c r="BC365">
        <v>1</v>
      </c>
      <c r="BE365">
        <v>0</v>
      </c>
      <c r="BF365">
        <v>0</v>
      </c>
      <c r="BG365">
        <v>0</v>
      </c>
      <c r="BH365">
        <v>6625</v>
      </c>
      <c r="BI365">
        <v>325</v>
      </c>
      <c r="BJ365">
        <v>1</v>
      </c>
      <c r="BK365">
        <v>1</v>
      </c>
      <c r="BL365">
        <v>1</v>
      </c>
      <c r="BM365">
        <v>0</v>
      </c>
      <c r="BP365">
        <v>0</v>
      </c>
      <c r="BQ365">
        <v>0</v>
      </c>
      <c r="BX365" t="str">
        <f>"13:56:26.805"</f>
        <v>13:56:26.805</v>
      </c>
      <c r="BY365" t="str">
        <f>"804552091"</f>
        <v>804552091</v>
      </c>
      <c r="CL365">
        <v>3</v>
      </c>
      <c r="CM365">
        <v>2</v>
      </c>
      <c r="CN365">
        <v>0</v>
      </c>
      <c r="CO365">
        <v>2</v>
      </c>
      <c r="CP365">
        <v>0</v>
      </c>
      <c r="CQ365">
        <v>7</v>
      </c>
      <c r="CR365" t="s">
        <v>116</v>
      </c>
      <c r="CS365">
        <v>147</v>
      </c>
      <c r="CT365">
        <v>3</v>
      </c>
      <c r="CU365" t="s">
        <v>117</v>
      </c>
      <c r="CV365" t="s">
        <v>118</v>
      </c>
      <c r="CY365">
        <v>16371492</v>
      </c>
      <c r="CZ365" t="s">
        <v>119</v>
      </c>
    </row>
    <row r="366" spans="1:104" x14ac:dyDescent="0.25">
      <c r="A366" t="str">
        <f>"13:56:27.961"</f>
        <v>13:56:27.961</v>
      </c>
      <c r="B366" t="s">
        <v>108</v>
      </c>
      <c r="C366" t="str">
        <f t="shared" si="16"/>
        <v>ffdfd3c0</v>
      </c>
      <c r="D366" t="s">
        <v>109</v>
      </c>
      <c r="E366">
        <v>4</v>
      </c>
      <c r="F366">
        <v>1004</v>
      </c>
      <c r="G366" t="s">
        <v>110</v>
      </c>
      <c r="J366" t="s">
        <v>111</v>
      </c>
      <c r="K366">
        <v>0</v>
      </c>
      <c r="L366">
        <v>3</v>
      </c>
      <c r="M366">
        <v>0</v>
      </c>
      <c r="N366">
        <v>2</v>
      </c>
      <c r="O366">
        <v>1</v>
      </c>
      <c r="P366">
        <v>0</v>
      </c>
      <c r="Q366">
        <v>0</v>
      </c>
      <c r="R366" t="s">
        <v>112</v>
      </c>
      <c r="S366" t="str">
        <f>"13:56:27.781"</f>
        <v>13:56:27.781</v>
      </c>
      <c r="T366" t="str">
        <f>"13:56:27.383"</f>
        <v>13:56:27.383</v>
      </c>
      <c r="U366" t="str">
        <f t="shared" si="15"/>
        <v>ad5732</v>
      </c>
      <c r="V366">
        <v>0</v>
      </c>
      <c r="W366">
        <v>0</v>
      </c>
      <c r="X366">
        <v>1</v>
      </c>
      <c r="Z366">
        <v>0</v>
      </c>
      <c r="AA366">
        <v>9</v>
      </c>
      <c r="AB366">
        <v>3</v>
      </c>
      <c r="AC366">
        <v>0</v>
      </c>
      <c r="AD366">
        <v>10</v>
      </c>
      <c r="AE366">
        <v>0</v>
      </c>
      <c r="AF366">
        <v>3</v>
      </c>
      <c r="AG366">
        <v>2</v>
      </c>
      <c r="AH366">
        <v>0</v>
      </c>
      <c r="AI366" t="s">
        <v>823</v>
      </c>
      <c r="AJ366">
        <v>39.206257000000001</v>
      </c>
      <c r="AK366" t="s">
        <v>824</v>
      </c>
      <c r="AL366">
        <v>-77.458506</v>
      </c>
      <c r="AM366">
        <v>100</v>
      </c>
      <c r="AN366">
        <v>6400</v>
      </c>
      <c r="AO366" t="s">
        <v>115</v>
      </c>
      <c r="AP366">
        <v>123</v>
      </c>
      <c r="AQ366">
        <v>45</v>
      </c>
      <c r="AR366">
        <v>896</v>
      </c>
      <c r="AZ366">
        <v>3614</v>
      </c>
      <c r="BA366">
        <v>1</v>
      </c>
      <c r="BB366" t="str">
        <f t="shared" si="17"/>
        <v xml:space="preserve">N959MJ  </v>
      </c>
      <c r="BC366">
        <v>1</v>
      </c>
      <c r="BE366">
        <v>0</v>
      </c>
      <c r="BF366">
        <v>0</v>
      </c>
      <c r="BG366">
        <v>0</v>
      </c>
      <c r="BH366">
        <v>6650</v>
      </c>
      <c r="BI366">
        <v>250</v>
      </c>
      <c r="BJ366">
        <v>1</v>
      </c>
      <c r="BK366">
        <v>1</v>
      </c>
      <c r="BL366">
        <v>1</v>
      </c>
      <c r="BM366">
        <v>0</v>
      </c>
      <c r="BP366">
        <v>0</v>
      </c>
      <c r="BQ366">
        <v>0</v>
      </c>
      <c r="BX366" t="str">
        <f>"13:56:27.789"</f>
        <v>13:56:27.789</v>
      </c>
      <c r="BY366" t="str">
        <f>"785969118"</f>
        <v>785969118</v>
      </c>
      <c r="CL366">
        <v>3</v>
      </c>
      <c r="CM366">
        <v>2</v>
      </c>
      <c r="CN366">
        <v>0</v>
      </c>
      <c r="CO366">
        <v>2</v>
      </c>
      <c r="CP366">
        <v>0</v>
      </c>
      <c r="CQ366">
        <v>7</v>
      </c>
      <c r="CR366" t="s">
        <v>116</v>
      </c>
      <c r="CS366">
        <v>147</v>
      </c>
      <c r="CT366">
        <v>3</v>
      </c>
      <c r="CU366" t="s">
        <v>117</v>
      </c>
      <c r="CV366" t="s">
        <v>118</v>
      </c>
      <c r="CY366">
        <v>16373023</v>
      </c>
      <c r="CZ366" t="s">
        <v>119</v>
      </c>
    </row>
    <row r="367" spans="1:104" x14ac:dyDescent="0.25">
      <c r="A367" t="str">
        <f>"13:56:28.969"</f>
        <v>13:56:28.969</v>
      </c>
      <c r="B367" t="s">
        <v>108</v>
      </c>
      <c r="C367" t="str">
        <f t="shared" si="16"/>
        <v>ffdfd3c0</v>
      </c>
      <c r="D367" t="s">
        <v>109</v>
      </c>
      <c r="E367">
        <v>4</v>
      </c>
      <c r="F367">
        <v>1004</v>
      </c>
      <c r="G367" t="s">
        <v>110</v>
      </c>
      <c r="J367" t="s">
        <v>111</v>
      </c>
      <c r="K367">
        <v>0</v>
      </c>
      <c r="L367">
        <v>3</v>
      </c>
      <c r="M367">
        <v>0</v>
      </c>
      <c r="N367">
        <v>2</v>
      </c>
      <c r="O367">
        <v>1</v>
      </c>
      <c r="P367">
        <v>0</v>
      </c>
      <c r="Q367">
        <v>0</v>
      </c>
      <c r="R367" t="s">
        <v>112</v>
      </c>
      <c r="S367" t="str">
        <f>"13:56:28.773"</f>
        <v>13:56:28.773</v>
      </c>
      <c r="T367" t="str">
        <f>"13:56:28.273"</f>
        <v>13:56:28.273</v>
      </c>
      <c r="U367" t="str">
        <f t="shared" si="15"/>
        <v>ad5732</v>
      </c>
      <c r="V367">
        <v>0</v>
      </c>
      <c r="W367">
        <v>0</v>
      </c>
      <c r="X367">
        <v>1</v>
      </c>
      <c r="Z367">
        <v>0</v>
      </c>
      <c r="AA367">
        <v>9</v>
      </c>
      <c r="AB367">
        <v>3</v>
      </c>
      <c r="AC367">
        <v>0</v>
      </c>
      <c r="AD367">
        <v>10</v>
      </c>
      <c r="AE367">
        <v>0</v>
      </c>
      <c r="AF367">
        <v>3</v>
      </c>
      <c r="AG367">
        <v>2</v>
      </c>
      <c r="AH367">
        <v>0</v>
      </c>
      <c r="AI367" t="s">
        <v>825</v>
      </c>
      <c r="AJ367">
        <v>39.206471000000001</v>
      </c>
      <c r="AK367" t="s">
        <v>826</v>
      </c>
      <c r="AL367">
        <v>-77.457755000000006</v>
      </c>
      <c r="AM367">
        <v>100</v>
      </c>
      <c r="AN367">
        <v>6400</v>
      </c>
      <c r="AO367" t="s">
        <v>115</v>
      </c>
      <c r="AP367">
        <v>121</v>
      </c>
      <c r="AQ367">
        <v>50</v>
      </c>
      <c r="AR367">
        <v>832</v>
      </c>
      <c r="AZ367">
        <v>3614</v>
      </c>
      <c r="BA367">
        <v>1</v>
      </c>
      <c r="BB367" t="str">
        <f t="shared" si="17"/>
        <v xml:space="preserve">N959MJ  </v>
      </c>
      <c r="BC367">
        <v>1</v>
      </c>
      <c r="BE367">
        <v>0</v>
      </c>
      <c r="BF367">
        <v>0</v>
      </c>
      <c r="BG367">
        <v>0</v>
      </c>
      <c r="BH367">
        <v>6650</v>
      </c>
      <c r="BI367">
        <v>250</v>
      </c>
      <c r="BJ367">
        <v>1</v>
      </c>
      <c r="BK367">
        <v>1</v>
      </c>
      <c r="BL367">
        <v>1</v>
      </c>
      <c r="BM367">
        <v>0</v>
      </c>
      <c r="BP367">
        <v>0</v>
      </c>
      <c r="BQ367">
        <v>0</v>
      </c>
      <c r="BX367" t="str">
        <f>"13:56:28.773"</f>
        <v>13:56:28.773</v>
      </c>
      <c r="BY367" t="str">
        <f>"777216745"</f>
        <v>777216745</v>
      </c>
      <c r="CL367">
        <v>3</v>
      </c>
      <c r="CM367">
        <v>2</v>
      </c>
      <c r="CN367">
        <v>0</v>
      </c>
      <c r="CO367">
        <v>2</v>
      </c>
      <c r="CP367">
        <v>0</v>
      </c>
      <c r="CQ367">
        <v>7</v>
      </c>
      <c r="CR367" t="s">
        <v>116</v>
      </c>
      <c r="CS367">
        <v>147</v>
      </c>
      <c r="CT367">
        <v>3</v>
      </c>
      <c r="CU367" t="s">
        <v>117</v>
      </c>
      <c r="CV367" t="s">
        <v>118</v>
      </c>
      <c r="CY367">
        <v>16374617</v>
      </c>
      <c r="CZ367" t="s">
        <v>119</v>
      </c>
    </row>
    <row r="368" spans="1:104" x14ac:dyDescent="0.25">
      <c r="A368" t="str">
        <f>"13:56:29.875"</f>
        <v>13:56:29.875</v>
      </c>
      <c r="B368" t="s">
        <v>108</v>
      </c>
      <c r="C368" t="str">
        <f t="shared" si="16"/>
        <v>ffdfd3c0</v>
      </c>
      <c r="D368" t="s">
        <v>109</v>
      </c>
      <c r="E368">
        <v>4</v>
      </c>
      <c r="F368">
        <v>1004</v>
      </c>
      <c r="G368" t="s">
        <v>110</v>
      </c>
      <c r="J368" t="s">
        <v>111</v>
      </c>
      <c r="K368">
        <v>0</v>
      </c>
      <c r="L368">
        <v>3</v>
      </c>
      <c r="M368">
        <v>0</v>
      </c>
      <c r="N368">
        <v>2</v>
      </c>
      <c r="O368">
        <v>1</v>
      </c>
      <c r="P368">
        <v>0</v>
      </c>
      <c r="Q368">
        <v>0</v>
      </c>
      <c r="R368" t="s">
        <v>112</v>
      </c>
      <c r="S368" t="str">
        <f>"13:56:29.688"</f>
        <v>13:56:29.688</v>
      </c>
      <c r="T368" t="str">
        <f>"13:56:29.289"</f>
        <v>13:56:29.289</v>
      </c>
      <c r="U368" t="str">
        <f t="shared" si="15"/>
        <v>ad5732</v>
      </c>
      <c r="V368">
        <v>0</v>
      </c>
      <c r="W368">
        <v>0</v>
      </c>
      <c r="X368">
        <v>1</v>
      </c>
      <c r="Z368">
        <v>0</v>
      </c>
      <c r="AA368">
        <v>9</v>
      </c>
      <c r="AB368">
        <v>3</v>
      </c>
      <c r="AC368">
        <v>0</v>
      </c>
      <c r="AD368">
        <v>10</v>
      </c>
      <c r="AE368">
        <v>0</v>
      </c>
      <c r="AF368">
        <v>3</v>
      </c>
      <c r="AG368">
        <v>2</v>
      </c>
      <c r="AH368">
        <v>0</v>
      </c>
      <c r="AI368" t="s">
        <v>827</v>
      </c>
      <c r="AJ368">
        <v>39.206729000000003</v>
      </c>
      <c r="AK368" t="s">
        <v>828</v>
      </c>
      <c r="AL368">
        <v>-77.457132000000001</v>
      </c>
      <c r="AM368">
        <v>100</v>
      </c>
      <c r="AN368">
        <v>6400</v>
      </c>
      <c r="AO368" t="s">
        <v>115</v>
      </c>
      <c r="AP368">
        <v>119</v>
      </c>
      <c r="AQ368">
        <v>55</v>
      </c>
      <c r="AR368">
        <v>768</v>
      </c>
      <c r="AZ368">
        <v>3614</v>
      </c>
      <c r="BA368">
        <v>1</v>
      </c>
      <c r="BB368" t="str">
        <f t="shared" si="17"/>
        <v xml:space="preserve">N959MJ  </v>
      </c>
      <c r="BC368">
        <v>1</v>
      </c>
      <c r="BE368">
        <v>0</v>
      </c>
      <c r="BF368">
        <v>0</v>
      </c>
      <c r="BG368">
        <v>0</v>
      </c>
      <c r="BH368">
        <v>6675</v>
      </c>
      <c r="BI368">
        <v>275</v>
      </c>
      <c r="BJ368">
        <v>1</v>
      </c>
      <c r="BK368">
        <v>1</v>
      </c>
      <c r="BL368">
        <v>1</v>
      </c>
      <c r="BM368">
        <v>0</v>
      </c>
      <c r="BP368">
        <v>0</v>
      </c>
      <c r="BQ368">
        <v>0</v>
      </c>
      <c r="BX368" t="str">
        <f>"13:56:29.688"</f>
        <v>13:56:29.688</v>
      </c>
      <c r="BY368" t="str">
        <f>"688181418"</f>
        <v>688181418</v>
      </c>
      <c r="CL368">
        <v>3</v>
      </c>
      <c r="CM368">
        <v>2</v>
      </c>
      <c r="CN368">
        <v>0</v>
      </c>
      <c r="CO368">
        <v>2</v>
      </c>
      <c r="CP368">
        <v>0</v>
      </c>
      <c r="CQ368">
        <v>7</v>
      </c>
      <c r="CR368" t="s">
        <v>116</v>
      </c>
      <c r="CS368">
        <v>147</v>
      </c>
      <c r="CT368">
        <v>3</v>
      </c>
      <c r="CU368" t="s">
        <v>117</v>
      </c>
      <c r="CV368" t="s">
        <v>118</v>
      </c>
      <c r="CY368">
        <v>16376048</v>
      </c>
      <c r="CZ368" t="s">
        <v>119</v>
      </c>
    </row>
    <row r="369" spans="1:104" x14ac:dyDescent="0.25">
      <c r="A369" t="str">
        <f>"13:56:30.992"</f>
        <v>13:56:30.992</v>
      </c>
      <c r="B369" t="s">
        <v>108</v>
      </c>
      <c r="C369" t="str">
        <f t="shared" si="16"/>
        <v>ffdfd3c0</v>
      </c>
      <c r="D369" t="s">
        <v>109</v>
      </c>
      <c r="E369">
        <v>4</v>
      </c>
      <c r="F369">
        <v>1004</v>
      </c>
      <c r="G369" t="s">
        <v>110</v>
      </c>
      <c r="J369" t="s">
        <v>111</v>
      </c>
      <c r="K369">
        <v>0</v>
      </c>
      <c r="L369">
        <v>3</v>
      </c>
      <c r="M369">
        <v>0</v>
      </c>
      <c r="N369">
        <v>2</v>
      </c>
      <c r="O369">
        <v>1</v>
      </c>
      <c r="P369">
        <v>0</v>
      </c>
      <c r="Q369">
        <v>0</v>
      </c>
      <c r="R369" t="s">
        <v>112</v>
      </c>
      <c r="S369" t="str">
        <f>"13:56:30.805"</f>
        <v>13:56:30.805</v>
      </c>
      <c r="T369" t="str">
        <f>"13:56:30.305"</f>
        <v>13:56:30.305</v>
      </c>
      <c r="U369" t="str">
        <f t="shared" si="15"/>
        <v>ad5732</v>
      </c>
      <c r="V369">
        <v>0</v>
      </c>
      <c r="W369">
        <v>0</v>
      </c>
      <c r="X369">
        <v>1</v>
      </c>
      <c r="Z369">
        <v>0</v>
      </c>
      <c r="AA369">
        <v>9</v>
      </c>
      <c r="AB369">
        <v>3</v>
      </c>
      <c r="AC369">
        <v>0</v>
      </c>
      <c r="AD369">
        <v>10</v>
      </c>
      <c r="AE369">
        <v>0</v>
      </c>
      <c r="AF369">
        <v>3</v>
      </c>
      <c r="AG369">
        <v>2</v>
      </c>
      <c r="AH369">
        <v>0</v>
      </c>
      <c r="AI369" t="s">
        <v>829</v>
      </c>
      <c r="AJ369">
        <v>39.207028999999999</v>
      </c>
      <c r="AK369" t="s">
        <v>830</v>
      </c>
      <c r="AL369">
        <v>-77.456360000000004</v>
      </c>
      <c r="AM369">
        <v>100</v>
      </c>
      <c r="AN369">
        <v>6400</v>
      </c>
      <c r="AO369" t="s">
        <v>115</v>
      </c>
      <c r="AP369">
        <v>117</v>
      </c>
      <c r="AQ369">
        <v>59</v>
      </c>
      <c r="AR369">
        <v>704</v>
      </c>
      <c r="AZ369">
        <v>3614</v>
      </c>
      <c r="BA369">
        <v>1</v>
      </c>
      <c r="BB369" t="str">
        <f t="shared" si="17"/>
        <v xml:space="preserve">N959MJ  </v>
      </c>
      <c r="BC369">
        <v>1</v>
      </c>
      <c r="BE369">
        <v>0</v>
      </c>
      <c r="BF369">
        <v>0</v>
      </c>
      <c r="BG369">
        <v>0</v>
      </c>
      <c r="BH369">
        <v>6675</v>
      </c>
      <c r="BI369">
        <v>275</v>
      </c>
      <c r="BJ369">
        <v>1</v>
      </c>
      <c r="BK369">
        <v>1</v>
      </c>
      <c r="BL369">
        <v>1</v>
      </c>
      <c r="BM369">
        <v>0</v>
      </c>
      <c r="BP369">
        <v>0</v>
      </c>
      <c r="BQ369">
        <v>0</v>
      </c>
      <c r="BX369" t="str">
        <f>"13:56:30.813"</f>
        <v>13:56:30.813</v>
      </c>
      <c r="BY369" t="str">
        <f>"809013546"</f>
        <v>809013546</v>
      </c>
      <c r="CL369">
        <v>0</v>
      </c>
      <c r="CM369">
        <v>2</v>
      </c>
      <c r="CN369">
        <v>0</v>
      </c>
      <c r="CO369">
        <v>2</v>
      </c>
      <c r="CP369">
        <v>0</v>
      </c>
      <c r="CQ369">
        <v>7</v>
      </c>
      <c r="CR369" t="s">
        <v>116</v>
      </c>
      <c r="CS369">
        <v>147</v>
      </c>
      <c r="CT369">
        <v>3</v>
      </c>
      <c r="CU369" t="s">
        <v>117</v>
      </c>
      <c r="CV369" t="s">
        <v>118</v>
      </c>
      <c r="CY369">
        <v>16377803</v>
      </c>
      <c r="CZ369" t="s">
        <v>119</v>
      </c>
    </row>
    <row r="370" spans="1:104" x14ac:dyDescent="0.25">
      <c r="A370" t="str">
        <f>"13:56:31.898"</f>
        <v>13:56:31.898</v>
      </c>
      <c r="B370" t="s">
        <v>108</v>
      </c>
      <c r="C370" t="str">
        <f t="shared" si="16"/>
        <v>ffdfd3c0</v>
      </c>
      <c r="D370" t="s">
        <v>109</v>
      </c>
      <c r="E370">
        <v>4</v>
      </c>
      <c r="F370">
        <v>1004</v>
      </c>
      <c r="G370" t="s">
        <v>110</v>
      </c>
      <c r="J370" t="s">
        <v>111</v>
      </c>
      <c r="K370">
        <v>0</v>
      </c>
      <c r="L370">
        <v>3</v>
      </c>
      <c r="M370">
        <v>0</v>
      </c>
      <c r="N370">
        <v>2</v>
      </c>
      <c r="O370">
        <v>1</v>
      </c>
      <c r="P370">
        <v>0</v>
      </c>
      <c r="Q370">
        <v>0</v>
      </c>
      <c r="R370" t="s">
        <v>112</v>
      </c>
      <c r="S370" t="str">
        <f>"13:56:31.742"</f>
        <v>13:56:31.742</v>
      </c>
      <c r="T370" t="str">
        <f>"13:56:31.344"</f>
        <v>13:56:31.344</v>
      </c>
      <c r="U370" t="str">
        <f t="shared" si="15"/>
        <v>ad5732</v>
      </c>
      <c r="V370">
        <v>0</v>
      </c>
      <c r="W370">
        <v>0</v>
      </c>
      <c r="X370">
        <v>1</v>
      </c>
      <c r="Z370">
        <v>0</v>
      </c>
      <c r="AA370">
        <v>9</v>
      </c>
      <c r="AB370">
        <v>3</v>
      </c>
      <c r="AC370">
        <v>0</v>
      </c>
      <c r="AD370">
        <v>10</v>
      </c>
      <c r="AE370">
        <v>0</v>
      </c>
      <c r="AF370">
        <v>3</v>
      </c>
      <c r="AG370">
        <v>2</v>
      </c>
      <c r="AH370">
        <v>0</v>
      </c>
      <c r="AI370" t="s">
        <v>831</v>
      </c>
      <c r="AJ370">
        <v>39.207265</v>
      </c>
      <c r="AK370" t="s">
        <v>832</v>
      </c>
      <c r="AL370">
        <v>-77.455759</v>
      </c>
      <c r="AM370">
        <v>100</v>
      </c>
      <c r="AN370">
        <v>6400</v>
      </c>
      <c r="AO370" t="s">
        <v>115</v>
      </c>
      <c r="AP370">
        <v>116</v>
      </c>
      <c r="AQ370">
        <v>62</v>
      </c>
      <c r="AR370">
        <v>704</v>
      </c>
      <c r="AZ370">
        <v>3614</v>
      </c>
      <c r="BA370">
        <v>1</v>
      </c>
      <c r="BB370" t="str">
        <f t="shared" si="17"/>
        <v xml:space="preserve">N959MJ  </v>
      </c>
      <c r="BC370">
        <v>1</v>
      </c>
      <c r="BE370">
        <v>0</v>
      </c>
      <c r="BF370">
        <v>0</v>
      </c>
      <c r="BG370">
        <v>0</v>
      </c>
      <c r="BH370">
        <v>6700</v>
      </c>
      <c r="BI370">
        <v>300</v>
      </c>
      <c r="BJ370">
        <v>1</v>
      </c>
      <c r="BK370">
        <v>1</v>
      </c>
      <c r="BL370">
        <v>1</v>
      </c>
      <c r="BM370">
        <v>0</v>
      </c>
      <c r="BP370">
        <v>0</v>
      </c>
      <c r="BQ370">
        <v>0</v>
      </c>
      <c r="BX370" t="str">
        <f>"13:56:31.750"</f>
        <v>13:56:31.750</v>
      </c>
      <c r="BY370" t="str">
        <f>"747666843"</f>
        <v>747666843</v>
      </c>
      <c r="CL370">
        <v>0</v>
      </c>
      <c r="CM370">
        <v>2</v>
      </c>
      <c r="CN370">
        <v>0</v>
      </c>
      <c r="CO370">
        <v>2</v>
      </c>
      <c r="CP370">
        <v>0</v>
      </c>
      <c r="CQ370">
        <v>7</v>
      </c>
      <c r="CR370" t="s">
        <v>116</v>
      </c>
      <c r="CS370">
        <v>525</v>
      </c>
      <c r="CT370">
        <v>2</v>
      </c>
      <c r="CU370" t="s">
        <v>140</v>
      </c>
      <c r="CV370" t="s">
        <v>141</v>
      </c>
      <c r="CY370">
        <v>14125994</v>
      </c>
      <c r="CZ370" t="s">
        <v>119</v>
      </c>
    </row>
    <row r="371" spans="1:104" x14ac:dyDescent="0.25">
      <c r="A371" t="str">
        <f>"13:56:32.961"</f>
        <v>13:56:32.961</v>
      </c>
      <c r="B371" t="s">
        <v>108</v>
      </c>
      <c r="C371" t="str">
        <f t="shared" si="16"/>
        <v>ffdfd3c0</v>
      </c>
      <c r="D371" t="s">
        <v>109</v>
      </c>
      <c r="E371">
        <v>4</v>
      </c>
      <c r="F371">
        <v>1004</v>
      </c>
      <c r="G371" t="s">
        <v>110</v>
      </c>
      <c r="J371" t="s">
        <v>111</v>
      </c>
      <c r="K371">
        <v>0</v>
      </c>
      <c r="L371">
        <v>3</v>
      </c>
      <c r="M371">
        <v>0</v>
      </c>
      <c r="N371">
        <v>2</v>
      </c>
      <c r="O371">
        <v>1</v>
      </c>
      <c r="P371">
        <v>0</v>
      </c>
      <c r="Q371">
        <v>0</v>
      </c>
      <c r="R371" t="s">
        <v>112</v>
      </c>
      <c r="S371" t="str">
        <f>"13:56:32.758"</f>
        <v>13:56:32.758</v>
      </c>
      <c r="T371" t="str">
        <f>"13:56:32.258"</f>
        <v>13:56:32.258</v>
      </c>
      <c r="U371" t="str">
        <f t="shared" si="15"/>
        <v>ad5732</v>
      </c>
      <c r="V371">
        <v>0</v>
      </c>
      <c r="W371">
        <v>0</v>
      </c>
      <c r="X371">
        <v>1</v>
      </c>
      <c r="Z371">
        <v>0</v>
      </c>
      <c r="AA371">
        <v>9</v>
      </c>
      <c r="AB371">
        <v>3</v>
      </c>
      <c r="AC371">
        <v>0</v>
      </c>
      <c r="AD371">
        <v>10</v>
      </c>
      <c r="AE371">
        <v>0</v>
      </c>
      <c r="AF371">
        <v>3</v>
      </c>
      <c r="AG371">
        <v>2</v>
      </c>
      <c r="AH371">
        <v>0</v>
      </c>
      <c r="AI371" t="s">
        <v>833</v>
      </c>
      <c r="AJ371">
        <v>39.207586999999997</v>
      </c>
      <c r="AK371" t="s">
        <v>834</v>
      </c>
      <c r="AL371">
        <v>-77.455050999999997</v>
      </c>
      <c r="AM371">
        <v>100</v>
      </c>
      <c r="AN371">
        <v>6400</v>
      </c>
      <c r="AO371" t="s">
        <v>115</v>
      </c>
      <c r="AP371">
        <v>116</v>
      </c>
      <c r="AQ371">
        <v>63</v>
      </c>
      <c r="AR371">
        <v>704</v>
      </c>
      <c r="AZ371">
        <v>3614</v>
      </c>
      <c r="BA371">
        <v>1</v>
      </c>
      <c r="BB371" t="str">
        <f t="shared" si="17"/>
        <v xml:space="preserve">N959MJ  </v>
      </c>
      <c r="BC371">
        <v>1</v>
      </c>
      <c r="BE371">
        <v>0</v>
      </c>
      <c r="BF371">
        <v>0</v>
      </c>
      <c r="BG371">
        <v>0</v>
      </c>
      <c r="BH371">
        <v>6700</v>
      </c>
      <c r="BI371">
        <v>300</v>
      </c>
      <c r="BJ371">
        <v>1</v>
      </c>
      <c r="BK371">
        <v>1</v>
      </c>
      <c r="BL371">
        <v>1</v>
      </c>
      <c r="BM371">
        <v>0</v>
      </c>
      <c r="BP371">
        <v>0</v>
      </c>
      <c r="BQ371">
        <v>0</v>
      </c>
      <c r="BX371" t="str">
        <f>"13:56:32.766"</f>
        <v>13:56:32.766</v>
      </c>
      <c r="BY371" t="str">
        <f>"763490793"</f>
        <v>763490793</v>
      </c>
      <c r="CL371">
        <v>0</v>
      </c>
      <c r="CM371">
        <v>2</v>
      </c>
      <c r="CN371">
        <v>0</v>
      </c>
      <c r="CO371">
        <v>2</v>
      </c>
      <c r="CP371">
        <v>0</v>
      </c>
      <c r="CQ371">
        <v>7</v>
      </c>
      <c r="CR371" t="s">
        <v>116</v>
      </c>
      <c r="CS371">
        <v>525</v>
      </c>
      <c r="CT371">
        <v>2</v>
      </c>
      <c r="CU371" t="s">
        <v>140</v>
      </c>
      <c r="CV371" t="s">
        <v>141</v>
      </c>
      <c r="CY371">
        <v>14127501</v>
      </c>
      <c r="CZ371" t="s">
        <v>119</v>
      </c>
    </row>
    <row r="372" spans="1:104" x14ac:dyDescent="0.25">
      <c r="A372" t="str">
        <f>"13:56:33.867"</f>
        <v>13:56:33.867</v>
      </c>
      <c r="B372" t="s">
        <v>108</v>
      </c>
      <c r="C372" t="str">
        <f t="shared" si="16"/>
        <v>ffdfd3c0</v>
      </c>
      <c r="D372" t="s">
        <v>109</v>
      </c>
      <c r="E372">
        <v>4</v>
      </c>
      <c r="F372">
        <v>1004</v>
      </c>
      <c r="G372" t="s">
        <v>110</v>
      </c>
      <c r="J372" t="s">
        <v>111</v>
      </c>
      <c r="K372">
        <v>0</v>
      </c>
      <c r="L372">
        <v>3</v>
      </c>
      <c r="M372">
        <v>0</v>
      </c>
      <c r="N372">
        <v>2</v>
      </c>
      <c r="O372">
        <v>1</v>
      </c>
      <c r="P372">
        <v>0</v>
      </c>
      <c r="Q372">
        <v>0</v>
      </c>
      <c r="R372" t="s">
        <v>112</v>
      </c>
      <c r="S372" t="str">
        <f>"13:56:33.664"</f>
        <v>13:56:33.664</v>
      </c>
      <c r="T372" t="str">
        <f>"13:56:33.266"</f>
        <v>13:56:33.266</v>
      </c>
      <c r="U372" t="str">
        <f t="shared" si="15"/>
        <v>ad5732</v>
      </c>
      <c r="V372">
        <v>0</v>
      </c>
      <c r="W372">
        <v>0</v>
      </c>
      <c r="X372">
        <v>1</v>
      </c>
      <c r="Z372">
        <v>0</v>
      </c>
      <c r="AA372">
        <v>9</v>
      </c>
      <c r="AB372">
        <v>3</v>
      </c>
      <c r="AC372">
        <v>0</v>
      </c>
      <c r="AD372">
        <v>10</v>
      </c>
      <c r="AE372">
        <v>0</v>
      </c>
      <c r="AF372">
        <v>3</v>
      </c>
      <c r="AG372">
        <v>2</v>
      </c>
      <c r="AH372">
        <v>0</v>
      </c>
      <c r="AI372" t="s">
        <v>835</v>
      </c>
      <c r="AJ372">
        <v>39.207822999999998</v>
      </c>
      <c r="AK372" t="s">
        <v>836</v>
      </c>
      <c r="AL372">
        <v>-77.454471999999996</v>
      </c>
      <c r="AM372">
        <v>100</v>
      </c>
      <c r="AN372">
        <v>6500</v>
      </c>
      <c r="AO372" t="s">
        <v>115</v>
      </c>
      <c r="AP372">
        <v>116</v>
      </c>
      <c r="AQ372">
        <v>64</v>
      </c>
      <c r="AR372">
        <v>704</v>
      </c>
      <c r="AZ372">
        <v>3614</v>
      </c>
      <c r="BA372">
        <v>1</v>
      </c>
      <c r="BB372" t="str">
        <f t="shared" si="17"/>
        <v xml:space="preserve">N959MJ  </v>
      </c>
      <c r="BC372">
        <v>1</v>
      </c>
      <c r="BE372">
        <v>0</v>
      </c>
      <c r="BF372">
        <v>0</v>
      </c>
      <c r="BG372">
        <v>0</v>
      </c>
      <c r="BH372">
        <v>6725</v>
      </c>
      <c r="BI372">
        <v>225</v>
      </c>
      <c r="BJ372">
        <v>1</v>
      </c>
      <c r="BK372">
        <v>1</v>
      </c>
      <c r="BL372">
        <v>1</v>
      </c>
      <c r="BM372">
        <v>0</v>
      </c>
      <c r="BP372">
        <v>0</v>
      </c>
      <c r="BQ372">
        <v>0</v>
      </c>
      <c r="BX372" t="str">
        <f>"13:56:33.664"</f>
        <v>13:56:33.664</v>
      </c>
      <c r="BY372" t="str">
        <f>"667901805"</f>
        <v>667901805</v>
      </c>
      <c r="CL372">
        <v>0</v>
      </c>
      <c r="CM372">
        <v>2</v>
      </c>
      <c r="CN372">
        <v>0</v>
      </c>
      <c r="CO372">
        <v>2</v>
      </c>
      <c r="CP372">
        <v>0</v>
      </c>
      <c r="CQ372">
        <v>7</v>
      </c>
      <c r="CR372" t="s">
        <v>116</v>
      </c>
      <c r="CS372">
        <v>525</v>
      </c>
      <c r="CT372">
        <v>2</v>
      </c>
      <c r="CU372" t="s">
        <v>140</v>
      </c>
      <c r="CV372" t="s">
        <v>141</v>
      </c>
      <c r="CY372">
        <v>14128840</v>
      </c>
      <c r="CZ372" t="s">
        <v>119</v>
      </c>
    </row>
    <row r="373" spans="1:104" x14ac:dyDescent="0.25">
      <c r="A373" t="str">
        <f>"13:56:34.672"</f>
        <v>13:56:34.672</v>
      </c>
      <c r="B373" t="s">
        <v>108</v>
      </c>
      <c r="C373" t="str">
        <f t="shared" si="16"/>
        <v>ffdfd3c0</v>
      </c>
      <c r="D373" t="s">
        <v>109</v>
      </c>
      <c r="E373">
        <v>4</v>
      </c>
      <c r="F373">
        <v>1004</v>
      </c>
      <c r="G373" t="s">
        <v>110</v>
      </c>
      <c r="J373" t="s">
        <v>111</v>
      </c>
      <c r="K373">
        <v>0</v>
      </c>
      <c r="L373">
        <v>3</v>
      </c>
      <c r="M373">
        <v>0</v>
      </c>
      <c r="N373">
        <v>2</v>
      </c>
      <c r="O373">
        <v>1</v>
      </c>
      <c r="P373">
        <v>0</v>
      </c>
      <c r="Q373">
        <v>0</v>
      </c>
      <c r="R373" t="s">
        <v>112</v>
      </c>
      <c r="S373" t="str">
        <f>"13:56:34.508"</f>
        <v>13:56:34.508</v>
      </c>
      <c r="T373" t="str">
        <f>"13:56:34.109"</f>
        <v>13:56:34.109</v>
      </c>
      <c r="U373" t="str">
        <f t="shared" si="15"/>
        <v>ad5732</v>
      </c>
      <c r="V373">
        <v>0</v>
      </c>
      <c r="W373">
        <v>0</v>
      </c>
      <c r="X373">
        <v>1</v>
      </c>
      <c r="Z373">
        <v>0</v>
      </c>
      <c r="AA373">
        <v>9</v>
      </c>
      <c r="AB373">
        <v>3</v>
      </c>
      <c r="AC373">
        <v>0</v>
      </c>
      <c r="AD373">
        <v>10</v>
      </c>
      <c r="AE373">
        <v>0</v>
      </c>
      <c r="AF373">
        <v>3</v>
      </c>
      <c r="AG373">
        <v>2</v>
      </c>
      <c r="AH373">
        <v>0</v>
      </c>
      <c r="AI373" t="s">
        <v>837</v>
      </c>
      <c r="AJ373">
        <v>39.208101999999997</v>
      </c>
      <c r="AK373" t="s">
        <v>838</v>
      </c>
      <c r="AL373">
        <v>-77.453784999999996</v>
      </c>
      <c r="AM373">
        <v>100</v>
      </c>
      <c r="AN373">
        <v>6500</v>
      </c>
      <c r="AO373" t="s">
        <v>115</v>
      </c>
      <c r="AP373">
        <v>117</v>
      </c>
      <c r="AQ373">
        <v>63</v>
      </c>
      <c r="AR373">
        <v>704</v>
      </c>
      <c r="AZ373">
        <v>3614</v>
      </c>
      <c r="BA373">
        <v>1</v>
      </c>
      <c r="BB373" t="str">
        <f t="shared" si="17"/>
        <v xml:space="preserve">N959MJ  </v>
      </c>
      <c r="BC373">
        <v>1</v>
      </c>
      <c r="BE373">
        <v>0</v>
      </c>
      <c r="BF373">
        <v>0</v>
      </c>
      <c r="BG373">
        <v>0</v>
      </c>
      <c r="BH373">
        <v>6725</v>
      </c>
      <c r="BI373">
        <v>225</v>
      </c>
      <c r="BJ373">
        <v>1</v>
      </c>
      <c r="BK373">
        <v>1</v>
      </c>
      <c r="BL373">
        <v>1</v>
      </c>
      <c r="BM373">
        <v>0</v>
      </c>
      <c r="BP373">
        <v>0</v>
      </c>
      <c r="BQ373">
        <v>0</v>
      </c>
      <c r="BX373" t="str">
        <f>"13:56:34.508"</f>
        <v>13:56:34.508</v>
      </c>
      <c r="BY373" t="str">
        <f>"511691067"</f>
        <v>511691067</v>
      </c>
      <c r="CL373">
        <v>0</v>
      </c>
      <c r="CM373">
        <v>2</v>
      </c>
      <c r="CN373">
        <v>0</v>
      </c>
      <c r="CO373">
        <v>2</v>
      </c>
      <c r="CP373">
        <v>0</v>
      </c>
      <c r="CQ373">
        <v>7</v>
      </c>
      <c r="CR373" t="s">
        <v>116</v>
      </c>
      <c r="CS373">
        <v>525</v>
      </c>
      <c r="CT373">
        <v>2</v>
      </c>
      <c r="CU373" t="s">
        <v>140</v>
      </c>
      <c r="CV373" t="s">
        <v>141</v>
      </c>
      <c r="CY373">
        <v>14130026</v>
      </c>
      <c r="CZ373" t="s">
        <v>119</v>
      </c>
    </row>
    <row r="374" spans="1:104" x14ac:dyDescent="0.25">
      <c r="A374" t="str">
        <f>"13:56:35.781"</f>
        <v>13:56:35.781</v>
      </c>
      <c r="B374" t="s">
        <v>108</v>
      </c>
      <c r="C374" t="str">
        <f t="shared" si="16"/>
        <v>ffdfd3c0</v>
      </c>
      <c r="D374" t="s">
        <v>109</v>
      </c>
      <c r="E374">
        <v>4</v>
      </c>
      <c r="F374">
        <v>1004</v>
      </c>
      <c r="G374" t="s">
        <v>110</v>
      </c>
      <c r="J374" t="s">
        <v>111</v>
      </c>
      <c r="K374">
        <v>0</v>
      </c>
      <c r="L374">
        <v>3</v>
      </c>
      <c r="M374">
        <v>0</v>
      </c>
      <c r="N374">
        <v>2</v>
      </c>
      <c r="O374">
        <v>1</v>
      </c>
      <c r="P374">
        <v>0</v>
      </c>
      <c r="Q374">
        <v>0</v>
      </c>
      <c r="R374" t="s">
        <v>112</v>
      </c>
      <c r="S374" t="str">
        <f>"13:56:35.586"</f>
        <v>13:56:35.586</v>
      </c>
      <c r="T374" t="str">
        <f>"13:56:35.188"</f>
        <v>13:56:35.188</v>
      </c>
      <c r="U374" t="str">
        <f t="shared" si="15"/>
        <v>ad5732</v>
      </c>
      <c r="V374">
        <v>0</v>
      </c>
      <c r="W374">
        <v>0</v>
      </c>
      <c r="X374">
        <v>1</v>
      </c>
      <c r="Z374">
        <v>0</v>
      </c>
      <c r="AA374">
        <v>9</v>
      </c>
      <c r="AB374">
        <v>3</v>
      </c>
      <c r="AC374">
        <v>0</v>
      </c>
      <c r="AD374">
        <v>10</v>
      </c>
      <c r="AE374">
        <v>0</v>
      </c>
      <c r="AF374">
        <v>3</v>
      </c>
      <c r="AG374">
        <v>2</v>
      </c>
      <c r="AH374">
        <v>0</v>
      </c>
      <c r="AI374" t="s">
        <v>839</v>
      </c>
      <c r="AJ374">
        <v>39.208446000000002</v>
      </c>
      <c r="AK374" t="s">
        <v>840</v>
      </c>
      <c r="AL374">
        <v>-77.453055000000006</v>
      </c>
      <c r="AM374">
        <v>100</v>
      </c>
      <c r="AN374">
        <v>6500</v>
      </c>
      <c r="AO374" t="s">
        <v>115</v>
      </c>
      <c r="AP374">
        <v>117</v>
      </c>
      <c r="AQ374">
        <v>63</v>
      </c>
      <c r="AR374">
        <v>704</v>
      </c>
      <c r="AZ374">
        <v>3614</v>
      </c>
      <c r="BA374">
        <v>1</v>
      </c>
      <c r="BB374" t="str">
        <f t="shared" si="17"/>
        <v xml:space="preserve">N959MJ  </v>
      </c>
      <c r="BC374">
        <v>1</v>
      </c>
      <c r="BE374">
        <v>0</v>
      </c>
      <c r="BF374">
        <v>0</v>
      </c>
      <c r="BG374">
        <v>0</v>
      </c>
      <c r="BH374">
        <v>6750</v>
      </c>
      <c r="BI374">
        <v>250</v>
      </c>
      <c r="BJ374">
        <v>1</v>
      </c>
      <c r="BK374">
        <v>1</v>
      </c>
      <c r="BL374">
        <v>1</v>
      </c>
      <c r="BM374">
        <v>0</v>
      </c>
      <c r="BP374">
        <v>0</v>
      </c>
      <c r="BQ374">
        <v>0</v>
      </c>
      <c r="BX374" t="str">
        <f>"13:56:35.586"</f>
        <v>13:56:35.586</v>
      </c>
      <c r="BY374" t="str">
        <f>"588136781"</f>
        <v>588136781</v>
      </c>
      <c r="CL374">
        <v>0</v>
      </c>
      <c r="CM374">
        <v>2</v>
      </c>
      <c r="CN374">
        <v>0</v>
      </c>
      <c r="CO374">
        <v>2</v>
      </c>
      <c r="CP374">
        <v>0</v>
      </c>
      <c r="CQ374">
        <v>7</v>
      </c>
      <c r="CR374" t="s">
        <v>116</v>
      </c>
      <c r="CS374">
        <v>525</v>
      </c>
      <c r="CT374">
        <v>2</v>
      </c>
      <c r="CU374" t="s">
        <v>140</v>
      </c>
      <c r="CV374" t="s">
        <v>141</v>
      </c>
      <c r="CY374">
        <v>14131547</v>
      </c>
      <c r="CZ374" t="s">
        <v>119</v>
      </c>
    </row>
    <row r="375" spans="1:104" x14ac:dyDescent="0.25">
      <c r="A375" t="str">
        <f>"13:56:36.695"</f>
        <v>13:56:36.695</v>
      </c>
      <c r="B375" t="s">
        <v>108</v>
      </c>
      <c r="C375" t="str">
        <f t="shared" si="16"/>
        <v>ffdfd3c0</v>
      </c>
      <c r="D375" t="s">
        <v>109</v>
      </c>
      <c r="E375">
        <v>4</v>
      </c>
      <c r="F375">
        <v>1004</v>
      </c>
      <c r="G375" t="s">
        <v>110</v>
      </c>
      <c r="J375" t="s">
        <v>111</v>
      </c>
      <c r="K375">
        <v>0</v>
      </c>
      <c r="L375">
        <v>3</v>
      </c>
      <c r="M375">
        <v>0</v>
      </c>
      <c r="N375">
        <v>2</v>
      </c>
      <c r="O375">
        <v>1</v>
      </c>
      <c r="P375">
        <v>0</v>
      </c>
      <c r="Q375">
        <v>0</v>
      </c>
      <c r="R375" t="s">
        <v>112</v>
      </c>
      <c r="S375" t="str">
        <f>"13:56:36.531"</f>
        <v>13:56:36.531</v>
      </c>
      <c r="T375" t="str">
        <f>"13:56:36.133"</f>
        <v>13:56:36.133</v>
      </c>
      <c r="U375" t="str">
        <f t="shared" si="15"/>
        <v>ad5732</v>
      </c>
      <c r="V375">
        <v>0</v>
      </c>
      <c r="W375">
        <v>0</v>
      </c>
      <c r="X375">
        <v>1</v>
      </c>
      <c r="Z375">
        <v>0</v>
      </c>
      <c r="AA375">
        <v>9</v>
      </c>
      <c r="AB375">
        <v>3</v>
      </c>
      <c r="AC375">
        <v>0</v>
      </c>
      <c r="AD375">
        <v>10</v>
      </c>
      <c r="AE375">
        <v>0</v>
      </c>
      <c r="AF375">
        <v>3</v>
      </c>
      <c r="AG375">
        <v>2</v>
      </c>
      <c r="AH375">
        <v>0</v>
      </c>
      <c r="AI375" t="s">
        <v>841</v>
      </c>
      <c r="AJ375">
        <v>39.208703</v>
      </c>
      <c r="AK375" t="s">
        <v>842</v>
      </c>
      <c r="AL375">
        <v>-77.452411999999995</v>
      </c>
      <c r="AM375">
        <v>100</v>
      </c>
      <c r="AN375">
        <v>6500</v>
      </c>
      <c r="AO375" t="s">
        <v>115</v>
      </c>
      <c r="AP375">
        <v>118</v>
      </c>
      <c r="AQ375">
        <v>63</v>
      </c>
      <c r="AR375">
        <v>704</v>
      </c>
      <c r="AZ375">
        <v>3614</v>
      </c>
      <c r="BA375">
        <v>1</v>
      </c>
      <c r="BB375" t="str">
        <f t="shared" si="17"/>
        <v xml:space="preserve">N959MJ  </v>
      </c>
      <c r="BC375">
        <v>1</v>
      </c>
      <c r="BE375">
        <v>0</v>
      </c>
      <c r="BF375">
        <v>0</v>
      </c>
      <c r="BG375">
        <v>0</v>
      </c>
      <c r="BH375">
        <v>6750</v>
      </c>
      <c r="BI375">
        <v>250</v>
      </c>
      <c r="BJ375">
        <v>1</v>
      </c>
      <c r="BK375">
        <v>1</v>
      </c>
      <c r="BL375">
        <v>1</v>
      </c>
      <c r="BM375">
        <v>0</v>
      </c>
      <c r="BP375">
        <v>0</v>
      </c>
      <c r="BQ375">
        <v>0</v>
      </c>
      <c r="BX375" t="str">
        <f>"13:56:36.531"</f>
        <v>13:56:36.531</v>
      </c>
      <c r="BY375" t="str">
        <f>"533524481"</f>
        <v>533524481</v>
      </c>
      <c r="CL375">
        <v>0</v>
      </c>
      <c r="CM375">
        <v>2</v>
      </c>
      <c r="CN375">
        <v>0</v>
      </c>
      <c r="CO375">
        <v>2</v>
      </c>
      <c r="CP375">
        <v>0</v>
      </c>
      <c r="CQ375">
        <v>7</v>
      </c>
      <c r="CR375" t="s">
        <v>116</v>
      </c>
      <c r="CS375">
        <v>147</v>
      </c>
      <c r="CT375">
        <v>3</v>
      </c>
      <c r="CU375" t="s">
        <v>117</v>
      </c>
      <c r="CV375" t="s">
        <v>118</v>
      </c>
      <c r="CY375">
        <v>16386889</v>
      </c>
      <c r="CZ375" t="s">
        <v>119</v>
      </c>
    </row>
    <row r="376" spans="1:104" x14ac:dyDescent="0.25">
      <c r="A376" t="str">
        <f>"13:56:37.602"</f>
        <v>13:56:37.602</v>
      </c>
      <c r="B376" t="s">
        <v>108</v>
      </c>
      <c r="C376" t="str">
        <f t="shared" si="16"/>
        <v>ffdfd3c0</v>
      </c>
      <c r="D376" t="s">
        <v>109</v>
      </c>
      <c r="E376">
        <v>4</v>
      </c>
      <c r="F376">
        <v>1004</v>
      </c>
      <c r="G376" t="s">
        <v>110</v>
      </c>
      <c r="J376" t="s">
        <v>111</v>
      </c>
      <c r="K376">
        <v>0</v>
      </c>
      <c r="L376">
        <v>3</v>
      </c>
      <c r="M376">
        <v>0</v>
      </c>
      <c r="N376">
        <v>2</v>
      </c>
      <c r="O376">
        <v>1</v>
      </c>
      <c r="P376">
        <v>0</v>
      </c>
      <c r="Q376">
        <v>0</v>
      </c>
      <c r="R376" t="s">
        <v>112</v>
      </c>
      <c r="S376" t="str">
        <f>"13:56:37.414"</f>
        <v>13:56:37.414</v>
      </c>
      <c r="T376" t="str">
        <f>"13:56:37.016"</f>
        <v>13:56:37.016</v>
      </c>
      <c r="U376" t="str">
        <f t="shared" si="15"/>
        <v>ad5732</v>
      </c>
      <c r="V376">
        <v>0</v>
      </c>
      <c r="W376">
        <v>0</v>
      </c>
      <c r="X376">
        <v>1</v>
      </c>
      <c r="Z376">
        <v>0</v>
      </c>
      <c r="AA376">
        <v>9</v>
      </c>
      <c r="AB376">
        <v>3</v>
      </c>
      <c r="AC376">
        <v>0</v>
      </c>
      <c r="AD376">
        <v>10</v>
      </c>
      <c r="AE376">
        <v>0</v>
      </c>
      <c r="AF376">
        <v>3</v>
      </c>
      <c r="AG376">
        <v>2</v>
      </c>
      <c r="AH376">
        <v>0</v>
      </c>
      <c r="AI376" t="s">
        <v>843</v>
      </c>
      <c r="AJ376">
        <v>39.208939000000001</v>
      </c>
      <c r="AK376" t="s">
        <v>844</v>
      </c>
      <c r="AL376">
        <v>-77.451789000000005</v>
      </c>
      <c r="AM376">
        <v>100</v>
      </c>
      <c r="AN376">
        <v>6500</v>
      </c>
      <c r="AO376" t="s">
        <v>115</v>
      </c>
      <c r="AP376">
        <v>118</v>
      </c>
      <c r="AQ376">
        <v>62</v>
      </c>
      <c r="AR376">
        <v>832</v>
      </c>
      <c r="AZ376">
        <v>3614</v>
      </c>
      <c r="BA376">
        <v>1</v>
      </c>
      <c r="BB376" t="str">
        <f t="shared" si="17"/>
        <v xml:space="preserve">N959MJ  </v>
      </c>
      <c r="BC376">
        <v>1</v>
      </c>
      <c r="BE376">
        <v>0</v>
      </c>
      <c r="BF376">
        <v>0</v>
      </c>
      <c r="BG376">
        <v>0</v>
      </c>
      <c r="BH376">
        <v>6775</v>
      </c>
      <c r="BI376">
        <v>275</v>
      </c>
      <c r="BJ376">
        <v>1</v>
      </c>
      <c r="BK376">
        <v>1</v>
      </c>
      <c r="BL376">
        <v>1</v>
      </c>
      <c r="BM376">
        <v>0</v>
      </c>
      <c r="BP376">
        <v>0</v>
      </c>
      <c r="BQ376">
        <v>0</v>
      </c>
      <c r="BX376" t="str">
        <f>"13:56:37.422"</f>
        <v>13:56:37.422</v>
      </c>
      <c r="BY376" t="str">
        <f>"419896813"</f>
        <v>419896813</v>
      </c>
      <c r="CL376">
        <v>0</v>
      </c>
      <c r="CM376">
        <v>2</v>
      </c>
      <c r="CN376">
        <v>0</v>
      </c>
      <c r="CO376">
        <v>2</v>
      </c>
      <c r="CP376">
        <v>0</v>
      </c>
      <c r="CQ376">
        <v>7</v>
      </c>
      <c r="CR376" t="s">
        <v>116</v>
      </c>
      <c r="CS376">
        <v>525</v>
      </c>
      <c r="CT376">
        <v>2</v>
      </c>
      <c r="CU376" t="s">
        <v>140</v>
      </c>
      <c r="CV376" t="s">
        <v>141</v>
      </c>
      <c r="CY376">
        <v>14134171</v>
      </c>
      <c r="CZ376" t="s">
        <v>119</v>
      </c>
    </row>
    <row r="377" spans="1:104" x14ac:dyDescent="0.25">
      <c r="A377" t="str">
        <f>"13:56:38.461"</f>
        <v>13:56:38.461</v>
      </c>
      <c r="B377" t="s">
        <v>108</v>
      </c>
      <c r="C377" t="str">
        <f t="shared" si="16"/>
        <v>ffdfd3c0</v>
      </c>
      <c r="D377" t="s">
        <v>109</v>
      </c>
      <c r="E377">
        <v>4</v>
      </c>
      <c r="F377">
        <v>1004</v>
      </c>
      <c r="G377" t="s">
        <v>110</v>
      </c>
      <c r="J377" t="s">
        <v>111</v>
      </c>
      <c r="K377">
        <v>0</v>
      </c>
      <c r="L377">
        <v>3</v>
      </c>
      <c r="M377">
        <v>0</v>
      </c>
      <c r="N377">
        <v>2</v>
      </c>
      <c r="O377">
        <v>1</v>
      </c>
      <c r="P377">
        <v>0</v>
      </c>
      <c r="Q377">
        <v>0</v>
      </c>
      <c r="R377" t="s">
        <v>112</v>
      </c>
      <c r="S377" t="str">
        <f>"13:56:38.281"</f>
        <v>13:56:38.281</v>
      </c>
      <c r="T377" t="str">
        <f>"13:56:37.883"</f>
        <v>13:56:37.883</v>
      </c>
      <c r="U377" t="str">
        <f t="shared" si="15"/>
        <v>ad5732</v>
      </c>
      <c r="V377">
        <v>0</v>
      </c>
      <c r="W377">
        <v>0</v>
      </c>
      <c r="X377">
        <v>1</v>
      </c>
      <c r="Z377">
        <v>0</v>
      </c>
      <c r="AA377">
        <v>9</v>
      </c>
      <c r="AB377">
        <v>3</v>
      </c>
      <c r="AC377">
        <v>0</v>
      </c>
      <c r="AD377">
        <v>10</v>
      </c>
      <c r="AE377">
        <v>0</v>
      </c>
      <c r="AF377">
        <v>3</v>
      </c>
      <c r="AG377">
        <v>2</v>
      </c>
      <c r="AH377">
        <v>0</v>
      </c>
      <c r="AI377" t="s">
        <v>845</v>
      </c>
      <c r="AJ377">
        <v>39.209197000000003</v>
      </c>
      <c r="AK377" t="s">
        <v>846</v>
      </c>
      <c r="AL377">
        <v>-77.451103000000003</v>
      </c>
      <c r="AM377">
        <v>100</v>
      </c>
      <c r="AN377">
        <v>6500</v>
      </c>
      <c r="AO377" t="s">
        <v>115</v>
      </c>
      <c r="AP377">
        <v>119</v>
      </c>
      <c r="AQ377">
        <v>62</v>
      </c>
      <c r="AR377">
        <v>896</v>
      </c>
      <c r="AZ377">
        <v>3614</v>
      </c>
      <c r="BA377">
        <v>1</v>
      </c>
      <c r="BB377" t="str">
        <f t="shared" si="17"/>
        <v xml:space="preserve">N959MJ  </v>
      </c>
      <c r="BC377">
        <v>1</v>
      </c>
      <c r="BE377">
        <v>0</v>
      </c>
      <c r="BF377">
        <v>0</v>
      </c>
      <c r="BG377">
        <v>0</v>
      </c>
      <c r="BH377">
        <v>6775</v>
      </c>
      <c r="BI377">
        <v>275</v>
      </c>
      <c r="BJ377">
        <v>1</v>
      </c>
      <c r="BK377">
        <v>1</v>
      </c>
      <c r="BL377">
        <v>1</v>
      </c>
      <c r="BM377">
        <v>0</v>
      </c>
      <c r="BP377">
        <v>0</v>
      </c>
      <c r="BQ377">
        <v>0</v>
      </c>
      <c r="BX377" t="str">
        <f>"13:56:38.281"</f>
        <v>13:56:38.281</v>
      </c>
      <c r="BY377" t="str">
        <f>"283363167"</f>
        <v>283363167</v>
      </c>
      <c r="CL377">
        <v>0</v>
      </c>
      <c r="CM377">
        <v>2</v>
      </c>
      <c r="CN377">
        <v>0</v>
      </c>
      <c r="CO377">
        <v>2</v>
      </c>
      <c r="CP377">
        <v>0</v>
      </c>
      <c r="CQ377">
        <v>7</v>
      </c>
      <c r="CR377" t="s">
        <v>116</v>
      </c>
      <c r="CS377">
        <v>147</v>
      </c>
      <c r="CT377">
        <v>3</v>
      </c>
      <c r="CU377" t="s">
        <v>117</v>
      </c>
      <c r="CV377" t="s">
        <v>118</v>
      </c>
      <c r="CY377">
        <v>16389716</v>
      </c>
      <c r="CZ377" t="s">
        <v>119</v>
      </c>
    </row>
    <row r="378" spans="1:104" x14ac:dyDescent="0.25">
      <c r="A378" t="str">
        <f>"13:56:39.367"</f>
        <v>13:56:39.367</v>
      </c>
      <c r="B378" t="s">
        <v>108</v>
      </c>
      <c r="C378" t="str">
        <f t="shared" si="16"/>
        <v>ffdfd3c0</v>
      </c>
      <c r="D378" t="s">
        <v>109</v>
      </c>
      <c r="E378">
        <v>4</v>
      </c>
      <c r="F378">
        <v>1004</v>
      </c>
      <c r="G378" t="s">
        <v>110</v>
      </c>
      <c r="J378" t="s">
        <v>111</v>
      </c>
      <c r="K378">
        <v>0</v>
      </c>
      <c r="L378">
        <v>3</v>
      </c>
      <c r="M378">
        <v>0</v>
      </c>
      <c r="N378">
        <v>2</v>
      </c>
      <c r="O378">
        <v>1</v>
      </c>
      <c r="P378">
        <v>0</v>
      </c>
      <c r="Q378">
        <v>0</v>
      </c>
      <c r="R378" t="s">
        <v>112</v>
      </c>
      <c r="S378" t="str">
        <f>"13:56:39.164"</f>
        <v>13:56:39.164</v>
      </c>
      <c r="T378" t="str">
        <f>"13:56:38.766"</f>
        <v>13:56:38.766</v>
      </c>
      <c r="U378" t="str">
        <f t="shared" si="15"/>
        <v>ad5732</v>
      </c>
      <c r="V378">
        <v>0</v>
      </c>
      <c r="W378">
        <v>0</v>
      </c>
      <c r="X378">
        <v>1</v>
      </c>
      <c r="Z378">
        <v>0</v>
      </c>
      <c r="AA378">
        <v>9</v>
      </c>
      <c r="AB378">
        <v>3</v>
      </c>
      <c r="AC378">
        <v>0</v>
      </c>
      <c r="AD378">
        <v>10</v>
      </c>
      <c r="AE378">
        <v>0</v>
      </c>
      <c r="AF378">
        <v>3</v>
      </c>
      <c r="AG378">
        <v>2</v>
      </c>
      <c r="AH378">
        <v>0</v>
      </c>
      <c r="AI378" t="s">
        <v>847</v>
      </c>
      <c r="AJ378">
        <v>39.209432999999997</v>
      </c>
      <c r="AK378" t="s">
        <v>848</v>
      </c>
      <c r="AL378">
        <v>-77.450565999999995</v>
      </c>
      <c r="AM378">
        <v>100</v>
      </c>
      <c r="AN378">
        <v>6500</v>
      </c>
      <c r="AO378" t="s">
        <v>115</v>
      </c>
      <c r="AP378">
        <v>119</v>
      </c>
      <c r="AQ378">
        <v>62</v>
      </c>
      <c r="AR378">
        <v>960</v>
      </c>
      <c r="AZ378">
        <v>3614</v>
      </c>
      <c r="BA378">
        <v>1</v>
      </c>
      <c r="BB378" t="str">
        <f t="shared" si="17"/>
        <v xml:space="preserve">N959MJ  </v>
      </c>
      <c r="BC378">
        <v>1</v>
      </c>
      <c r="BE378">
        <v>0</v>
      </c>
      <c r="BF378">
        <v>0</v>
      </c>
      <c r="BG378">
        <v>0</v>
      </c>
      <c r="BH378">
        <v>6800</v>
      </c>
      <c r="BI378">
        <v>300</v>
      </c>
      <c r="BJ378">
        <v>1</v>
      </c>
      <c r="BK378">
        <v>1</v>
      </c>
      <c r="BL378">
        <v>1</v>
      </c>
      <c r="BM378">
        <v>0</v>
      </c>
      <c r="BP378">
        <v>0</v>
      </c>
      <c r="BQ378">
        <v>0</v>
      </c>
      <c r="BX378" t="str">
        <f>"13:56:39.172"</f>
        <v>13:56:39.172</v>
      </c>
      <c r="BY378" t="str">
        <f>"171373988"</f>
        <v>171373988</v>
      </c>
      <c r="CL378">
        <v>0</v>
      </c>
      <c r="CM378">
        <v>2</v>
      </c>
      <c r="CN378">
        <v>0</v>
      </c>
      <c r="CO378">
        <v>2</v>
      </c>
      <c r="CP378">
        <v>0</v>
      </c>
      <c r="CQ378">
        <v>7</v>
      </c>
      <c r="CR378" t="s">
        <v>116</v>
      </c>
      <c r="CS378">
        <v>525</v>
      </c>
      <c r="CT378">
        <v>2</v>
      </c>
      <c r="CU378" t="s">
        <v>140</v>
      </c>
      <c r="CV378" t="s">
        <v>141</v>
      </c>
      <c r="CY378">
        <v>14136768</v>
      </c>
      <c r="CZ378" t="s">
        <v>119</v>
      </c>
    </row>
    <row r="379" spans="1:104" x14ac:dyDescent="0.25">
      <c r="A379" t="str">
        <f>"13:56:40.328"</f>
        <v>13:56:40.328</v>
      </c>
      <c r="B379" t="s">
        <v>108</v>
      </c>
      <c r="C379" t="str">
        <f t="shared" si="16"/>
        <v>ffdfd3c0</v>
      </c>
      <c r="D379" t="s">
        <v>109</v>
      </c>
      <c r="E379">
        <v>4</v>
      </c>
      <c r="F379">
        <v>1004</v>
      </c>
      <c r="G379" t="s">
        <v>110</v>
      </c>
      <c r="J379" t="s">
        <v>111</v>
      </c>
      <c r="K379">
        <v>0</v>
      </c>
      <c r="L379">
        <v>3</v>
      </c>
      <c r="M379">
        <v>0</v>
      </c>
      <c r="N379">
        <v>2</v>
      </c>
      <c r="O379">
        <v>1</v>
      </c>
      <c r="P379">
        <v>0</v>
      </c>
      <c r="Q379">
        <v>0</v>
      </c>
      <c r="R379" t="s">
        <v>112</v>
      </c>
      <c r="S379" t="str">
        <f>"13:56:40.164"</f>
        <v>13:56:40.164</v>
      </c>
      <c r="T379" t="str">
        <f>"13:56:39.766"</f>
        <v>13:56:39.766</v>
      </c>
      <c r="U379" t="str">
        <f t="shared" si="15"/>
        <v>ad5732</v>
      </c>
      <c r="V379">
        <v>0</v>
      </c>
      <c r="W379">
        <v>0</v>
      </c>
      <c r="X379">
        <v>1</v>
      </c>
      <c r="Z379">
        <v>0</v>
      </c>
      <c r="AA379">
        <v>9</v>
      </c>
      <c r="AB379">
        <v>3</v>
      </c>
      <c r="AC379">
        <v>0</v>
      </c>
      <c r="AD379">
        <v>10</v>
      </c>
      <c r="AE379">
        <v>0</v>
      </c>
      <c r="AF379">
        <v>3</v>
      </c>
      <c r="AG379">
        <v>2</v>
      </c>
      <c r="AH379">
        <v>0</v>
      </c>
      <c r="AI379" t="s">
        <v>849</v>
      </c>
      <c r="AJ379">
        <v>39.209712000000003</v>
      </c>
      <c r="AK379" t="s">
        <v>850</v>
      </c>
      <c r="AL379">
        <v>-77.449858000000006</v>
      </c>
      <c r="AM379">
        <v>100</v>
      </c>
      <c r="AN379">
        <v>6500</v>
      </c>
      <c r="AO379" t="s">
        <v>115</v>
      </c>
      <c r="AP379">
        <v>119</v>
      </c>
      <c r="AQ379">
        <v>62</v>
      </c>
      <c r="AR379">
        <v>1024</v>
      </c>
      <c r="AZ379">
        <v>3614</v>
      </c>
      <c r="BA379">
        <v>1</v>
      </c>
      <c r="BB379" t="str">
        <f t="shared" si="17"/>
        <v xml:space="preserve">N959MJ  </v>
      </c>
      <c r="BC379">
        <v>1</v>
      </c>
      <c r="BE379">
        <v>0</v>
      </c>
      <c r="BF379">
        <v>0</v>
      </c>
      <c r="BG379">
        <v>0</v>
      </c>
      <c r="BH379">
        <v>6800</v>
      </c>
      <c r="BI379">
        <v>300</v>
      </c>
      <c r="BJ379">
        <v>1</v>
      </c>
      <c r="BK379">
        <v>1</v>
      </c>
      <c r="BL379">
        <v>1</v>
      </c>
      <c r="BM379">
        <v>0</v>
      </c>
      <c r="BP379">
        <v>0</v>
      </c>
      <c r="BQ379">
        <v>0</v>
      </c>
      <c r="BX379" t="str">
        <f>"13:56:40.164"</f>
        <v>13:56:40.164</v>
      </c>
      <c r="BY379" t="str">
        <f>"165914349"</f>
        <v>165914349</v>
      </c>
      <c r="CL379">
        <v>0</v>
      </c>
      <c r="CM379">
        <v>2</v>
      </c>
      <c r="CN379">
        <v>0</v>
      </c>
      <c r="CO379">
        <v>2</v>
      </c>
      <c r="CP379">
        <v>0</v>
      </c>
      <c r="CQ379">
        <v>7</v>
      </c>
      <c r="CR379" t="s">
        <v>116</v>
      </c>
      <c r="CS379">
        <v>147</v>
      </c>
      <c r="CT379">
        <v>3</v>
      </c>
      <c r="CU379" t="s">
        <v>117</v>
      </c>
      <c r="CV379" t="s">
        <v>118</v>
      </c>
      <c r="CY379">
        <v>16392719</v>
      </c>
      <c r="CZ379" t="s">
        <v>119</v>
      </c>
    </row>
    <row r="380" spans="1:104" x14ac:dyDescent="0.25">
      <c r="A380" t="str">
        <f>"13:56:41.391"</f>
        <v>13:56:41.391</v>
      </c>
      <c r="B380" t="s">
        <v>108</v>
      </c>
      <c r="C380" t="str">
        <f t="shared" si="16"/>
        <v>ffdfd3c0</v>
      </c>
      <c r="D380" t="s">
        <v>109</v>
      </c>
      <c r="E380">
        <v>4</v>
      </c>
      <c r="F380">
        <v>1004</v>
      </c>
      <c r="G380" t="s">
        <v>110</v>
      </c>
      <c r="J380" t="s">
        <v>111</v>
      </c>
      <c r="K380">
        <v>0</v>
      </c>
      <c r="L380">
        <v>3</v>
      </c>
      <c r="M380">
        <v>0</v>
      </c>
      <c r="N380">
        <v>2</v>
      </c>
      <c r="O380">
        <v>1</v>
      </c>
      <c r="P380">
        <v>0</v>
      </c>
      <c r="Q380">
        <v>0</v>
      </c>
      <c r="R380" t="s">
        <v>112</v>
      </c>
      <c r="S380" t="str">
        <f>"13:56:41.188"</f>
        <v>13:56:41.188</v>
      </c>
      <c r="T380" t="str">
        <f>"13:56:40.789"</f>
        <v>13:56:40.789</v>
      </c>
      <c r="U380" t="str">
        <f t="shared" si="15"/>
        <v>ad5732</v>
      </c>
      <c r="V380">
        <v>0</v>
      </c>
      <c r="W380">
        <v>0</v>
      </c>
      <c r="X380">
        <v>1</v>
      </c>
      <c r="Z380">
        <v>0</v>
      </c>
      <c r="AA380">
        <v>9</v>
      </c>
      <c r="AB380">
        <v>3</v>
      </c>
      <c r="AC380">
        <v>0</v>
      </c>
      <c r="AD380">
        <v>10</v>
      </c>
      <c r="AE380">
        <v>0</v>
      </c>
      <c r="AF380">
        <v>3</v>
      </c>
      <c r="AG380">
        <v>2</v>
      </c>
      <c r="AH380">
        <v>0</v>
      </c>
      <c r="AI380" t="s">
        <v>851</v>
      </c>
      <c r="AJ380">
        <v>39.210054999999997</v>
      </c>
      <c r="AK380" t="s">
        <v>852</v>
      </c>
      <c r="AL380">
        <v>-77.449106999999998</v>
      </c>
      <c r="AM380">
        <v>100</v>
      </c>
      <c r="AN380">
        <v>6500</v>
      </c>
      <c r="AO380" t="s">
        <v>115</v>
      </c>
      <c r="AP380">
        <v>119</v>
      </c>
      <c r="AQ380">
        <v>62</v>
      </c>
      <c r="AR380">
        <v>1024</v>
      </c>
      <c r="AZ380">
        <v>3614</v>
      </c>
      <c r="BA380">
        <v>1</v>
      </c>
      <c r="BB380" t="str">
        <f t="shared" si="17"/>
        <v xml:space="preserve">N959MJ  </v>
      </c>
      <c r="BC380">
        <v>1</v>
      </c>
      <c r="BE380">
        <v>0</v>
      </c>
      <c r="BF380">
        <v>0</v>
      </c>
      <c r="BG380">
        <v>0</v>
      </c>
      <c r="BH380">
        <v>6825</v>
      </c>
      <c r="BI380">
        <v>325</v>
      </c>
      <c r="BJ380">
        <v>1</v>
      </c>
      <c r="BK380">
        <v>1</v>
      </c>
      <c r="BL380">
        <v>1</v>
      </c>
      <c r="BM380">
        <v>0</v>
      </c>
      <c r="BP380">
        <v>0</v>
      </c>
      <c r="BQ380">
        <v>0</v>
      </c>
      <c r="BX380" t="str">
        <f>"13:56:41.195"</f>
        <v>13:56:41.195</v>
      </c>
      <c r="BY380" t="str">
        <f>"193207268"</f>
        <v>193207268</v>
      </c>
      <c r="CL380">
        <v>0</v>
      </c>
      <c r="CM380">
        <v>2</v>
      </c>
      <c r="CN380">
        <v>0</v>
      </c>
      <c r="CO380">
        <v>2</v>
      </c>
      <c r="CP380">
        <v>0</v>
      </c>
      <c r="CQ380">
        <v>7</v>
      </c>
      <c r="CR380" t="s">
        <v>116</v>
      </c>
      <c r="CS380">
        <v>147</v>
      </c>
      <c r="CT380">
        <v>3</v>
      </c>
      <c r="CU380" t="s">
        <v>117</v>
      </c>
      <c r="CV380" t="s">
        <v>118</v>
      </c>
      <c r="CY380">
        <v>16394336</v>
      </c>
      <c r="CZ380" t="s">
        <v>119</v>
      </c>
    </row>
    <row r="381" spans="1:104" x14ac:dyDescent="0.25">
      <c r="A381" t="str">
        <f>"13:56:42.297"</f>
        <v>13:56:42.297</v>
      </c>
      <c r="B381" t="s">
        <v>108</v>
      </c>
      <c r="C381" t="str">
        <f t="shared" si="16"/>
        <v>ffdfd3c0</v>
      </c>
      <c r="D381" t="s">
        <v>109</v>
      </c>
      <c r="E381">
        <v>4</v>
      </c>
      <c r="F381">
        <v>1004</v>
      </c>
      <c r="G381" t="s">
        <v>110</v>
      </c>
      <c r="J381" t="s">
        <v>111</v>
      </c>
      <c r="K381">
        <v>0</v>
      </c>
      <c r="L381">
        <v>3</v>
      </c>
      <c r="M381">
        <v>0</v>
      </c>
      <c r="N381">
        <v>2</v>
      </c>
      <c r="O381">
        <v>1</v>
      </c>
      <c r="P381">
        <v>0</v>
      </c>
      <c r="Q381">
        <v>0</v>
      </c>
      <c r="R381" t="s">
        <v>112</v>
      </c>
      <c r="S381" t="str">
        <f>"13:56:42.141"</f>
        <v>13:56:42.141</v>
      </c>
      <c r="T381" t="str">
        <f>"13:56:41.742"</f>
        <v>13:56:41.742</v>
      </c>
      <c r="U381" t="str">
        <f t="shared" si="15"/>
        <v>ad5732</v>
      </c>
      <c r="V381">
        <v>0</v>
      </c>
      <c r="W381">
        <v>0</v>
      </c>
      <c r="X381">
        <v>1</v>
      </c>
      <c r="Z381">
        <v>0</v>
      </c>
      <c r="AA381">
        <v>9</v>
      </c>
      <c r="AB381">
        <v>3</v>
      </c>
      <c r="AC381">
        <v>0</v>
      </c>
      <c r="AD381">
        <v>10</v>
      </c>
      <c r="AE381">
        <v>0</v>
      </c>
      <c r="AF381">
        <v>3</v>
      </c>
      <c r="AG381">
        <v>2</v>
      </c>
      <c r="AH381">
        <v>0</v>
      </c>
      <c r="AI381" t="s">
        <v>853</v>
      </c>
      <c r="AJ381">
        <v>39.210290999999998</v>
      </c>
      <c r="AK381" t="s">
        <v>854</v>
      </c>
      <c r="AL381">
        <v>-77.448485000000005</v>
      </c>
      <c r="AM381">
        <v>100</v>
      </c>
      <c r="AN381">
        <v>6600</v>
      </c>
      <c r="AO381" t="s">
        <v>115</v>
      </c>
      <c r="AP381">
        <v>119</v>
      </c>
      <c r="AQ381">
        <v>62</v>
      </c>
      <c r="AR381">
        <v>1024</v>
      </c>
      <c r="AZ381">
        <v>3614</v>
      </c>
      <c r="BA381">
        <v>1</v>
      </c>
      <c r="BB381" t="str">
        <f t="shared" si="17"/>
        <v xml:space="preserve">N959MJ  </v>
      </c>
      <c r="BC381">
        <v>1</v>
      </c>
      <c r="BE381">
        <v>0</v>
      </c>
      <c r="BF381">
        <v>0</v>
      </c>
      <c r="BG381">
        <v>0</v>
      </c>
      <c r="BH381">
        <v>6850</v>
      </c>
      <c r="BI381">
        <v>250</v>
      </c>
      <c r="BJ381">
        <v>1</v>
      </c>
      <c r="BK381">
        <v>1</v>
      </c>
      <c r="BL381">
        <v>1</v>
      </c>
      <c r="BM381">
        <v>0</v>
      </c>
      <c r="BP381">
        <v>0</v>
      </c>
      <c r="BQ381">
        <v>0</v>
      </c>
      <c r="BX381" t="str">
        <f>"13:56:42.141"</f>
        <v>13:56:42.141</v>
      </c>
      <c r="BY381" t="str">
        <f>"141839803"</f>
        <v>141839803</v>
      </c>
      <c r="CL381">
        <v>0</v>
      </c>
      <c r="CM381">
        <v>2</v>
      </c>
      <c r="CN381">
        <v>0</v>
      </c>
      <c r="CO381">
        <v>2</v>
      </c>
      <c r="CP381">
        <v>0</v>
      </c>
      <c r="CQ381">
        <v>7</v>
      </c>
      <c r="CR381" t="s">
        <v>116</v>
      </c>
      <c r="CS381">
        <v>525</v>
      </c>
      <c r="CT381">
        <v>2</v>
      </c>
      <c r="CU381" t="s">
        <v>140</v>
      </c>
      <c r="CV381" t="s">
        <v>141</v>
      </c>
      <c r="CY381">
        <v>14141115</v>
      </c>
      <c r="CZ381" t="s">
        <v>119</v>
      </c>
    </row>
    <row r="382" spans="1:104" x14ac:dyDescent="0.25">
      <c r="A382" t="str">
        <f>"13:56:43.258"</f>
        <v>13:56:43.258</v>
      </c>
      <c r="B382" t="s">
        <v>108</v>
      </c>
      <c r="C382" t="str">
        <f t="shared" si="16"/>
        <v>ffdfd3c0</v>
      </c>
      <c r="D382" t="s">
        <v>109</v>
      </c>
      <c r="E382">
        <v>4</v>
      </c>
      <c r="F382">
        <v>1004</v>
      </c>
      <c r="G382" t="s">
        <v>110</v>
      </c>
      <c r="J382" t="s">
        <v>111</v>
      </c>
      <c r="K382">
        <v>0</v>
      </c>
      <c r="L382">
        <v>3</v>
      </c>
      <c r="M382">
        <v>0</v>
      </c>
      <c r="N382">
        <v>2</v>
      </c>
      <c r="O382">
        <v>1</v>
      </c>
      <c r="P382">
        <v>0</v>
      </c>
      <c r="Q382">
        <v>0</v>
      </c>
      <c r="R382" t="s">
        <v>112</v>
      </c>
      <c r="S382" t="str">
        <f>"13:56:43.055"</f>
        <v>13:56:43.055</v>
      </c>
      <c r="T382" t="str">
        <f>"13:56:42.156"</f>
        <v>13:56:42.156</v>
      </c>
      <c r="U382" t="str">
        <f t="shared" si="15"/>
        <v>ad5732</v>
      </c>
      <c r="V382">
        <v>0</v>
      </c>
      <c r="W382">
        <v>0</v>
      </c>
      <c r="X382">
        <v>1</v>
      </c>
      <c r="Z382">
        <v>0</v>
      </c>
      <c r="AA382">
        <v>9</v>
      </c>
      <c r="AB382">
        <v>3</v>
      </c>
      <c r="AC382">
        <v>0</v>
      </c>
      <c r="AD382">
        <v>10</v>
      </c>
      <c r="AE382">
        <v>0</v>
      </c>
      <c r="AF382">
        <v>3</v>
      </c>
      <c r="AG382">
        <v>2</v>
      </c>
      <c r="AH382">
        <v>0</v>
      </c>
      <c r="AI382" t="s">
        <v>855</v>
      </c>
      <c r="AJ382">
        <v>39.210526999999999</v>
      </c>
      <c r="AK382" t="s">
        <v>856</v>
      </c>
      <c r="AL382">
        <v>-77.447819999999993</v>
      </c>
      <c r="AM382">
        <v>100</v>
      </c>
      <c r="AN382">
        <v>6600</v>
      </c>
      <c r="AO382" t="s">
        <v>115</v>
      </c>
      <c r="AP382">
        <v>119</v>
      </c>
      <c r="AQ382">
        <v>62</v>
      </c>
      <c r="AR382">
        <v>1024</v>
      </c>
      <c r="AZ382">
        <v>3614</v>
      </c>
      <c r="BA382">
        <v>1</v>
      </c>
      <c r="BB382" t="str">
        <f t="shared" si="17"/>
        <v xml:space="preserve">N959MJ  </v>
      </c>
      <c r="BC382">
        <v>1</v>
      </c>
      <c r="BE382">
        <v>0</v>
      </c>
      <c r="BF382">
        <v>0</v>
      </c>
      <c r="BG382">
        <v>0</v>
      </c>
      <c r="BH382">
        <v>6850</v>
      </c>
      <c r="BI382">
        <v>250</v>
      </c>
      <c r="BJ382">
        <v>1</v>
      </c>
      <c r="BK382">
        <v>1</v>
      </c>
      <c r="BL382">
        <v>1</v>
      </c>
      <c r="BM382">
        <v>0</v>
      </c>
      <c r="BP382">
        <v>0</v>
      </c>
      <c r="BQ382">
        <v>0</v>
      </c>
      <c r="BX382" t="str">
        <f>"13:56:43.063"</f>
        <v>13:56:43.063</v>
      </c>
      <c r="BY382" t="str">
        <f>"061012693"</f>
        <v>061012693</v>
      </c>
      <c r="CL382">
        <v>0</v>
      </c>
      <c r="CM382">
        <v>2</v>
      </c>
      <c r="CN382">
        <v>0</v>
      </c>
      <c r="CO382">
        <v>2</v>
      </c>
      <c r="CP382">
        <v>0</v>
      </c>
      <c r="CQ382">
        <v>5</v>
      </c>
      <c r="CR382" t="s">
        <v>116</v>
      </c>
      <c r="CS382">
        <v>147</v>
      </c>
      <c r="CT382">
        <v>2</v>
      </c>
      <c r="CU382" t="s">
        <v>117</v>
      </c>
      <c r="CV382" t="s">
        <v>118</v>
      </c>
      <c r="CY382">
        <v>16046277</v>
      </c>
      <c r="CZ382" t="s">
        <v>119</v>
      </c>
    </row>
    <row r="383" spans="1:104" x14ac:dyDescent="0.25">
      <c r="A383" t="str">
        <f>"13:56:44.320"</f>
        <v>13:56:44.320</v>
      </c>
      <c r="B383" t="s">
        <v>108</v>
      </c>
      <c r="C383" t="str">
        <f t="shared" si="16"/>
        <v>ffdfd3c0</v>
      </c>
      <c r="D383" t="s">
        <v>109</v>
      </c>
      <c r="E383">
        <v>4</v>
      </c>
      <c r="F383">
        <v>1004</v>
      </c>
      <c r="G383" t="s">
        <v>110</v>
      </c>
      <c r="J383" t="s">
        <v>111</v>
      </c>
      <c r="K383">
        <v>0</v>
      </c>
      <c r="L383">
        <v>3</v>
      </c>
      <c r="M383">
        <v>0</v>
      </c>
      <c r="N383">
        <v>2</v>
      </c>
      <c r="O383">
        <v>1</v>
      </c>
      <c r="P383">
        <v>0</v>
      </c>
      <c r="Q383">
        <v>0</v>
      </c>
      <c r="R383" t="s">
        <v>112</v>
      </c>
      <c r="S383" t="str">
        <f>"13:56:44.125"</f>
        <v>13:56:44.125</v>
      </c>
      <c r="T383" t="str">
        <f>"13:56:43.727"</f>
        <v>13:56:43.727</v>
      </c>
      <c r="U383" t="str">
        <f t="shared" si="15"/>
        <v>ad5732</v>
      </c>
      <c r="V383">
        <v>0</v>
      </c>
      <c r="W383">
        <v>0</v>
      </c>
      <c r="X383">
        <v>1</v>
      </c>
      <c r="Z383">
        <v>0</v>
      </c>
      <c r="AA383">
        <v>9</v>
      </c>
      <c r="AB383">
        <v>3</v>
      </c>
      <c r="AC383">
        <v>0</v>
      </c>
      <c r="AD383">
        <v>10</v>
      </c>
      <c r="AE383">
        <v>0</v>
      </c>
      <c r="AF383">
        <v>3</v>
      </c>
      <c r="AG383">
        <v>2</v>
      </c>
      <c r="AH383">
        <v>0</v>
      </c>
      <c r="AI383" t="s">
        <v>857</v>
      </c>
      <c r="AJ383">
        <v>39.210892000000001</v>
      </c>
      <c r="AK383" t="s">
        <v>858</v>
      </c>
      <c r="AL383">
        <v>-77.447046999999998</v>
      </c>
      <c r="AM383">
        <v>100</v>
      </c>
      <c r="AN383">
        <v>6600</v>
      </c>
      <c r="AO383" t="s">
        <v>115</v>
      </c>
      <c r="AP383">
        <v>118</v>
      </c>
      <c r="AQ383">
        <v>62</v>
      </c>
      <c r="AR383">
        <v>1024</v>
      </c>
      <c r="AZ383">
        <v>3614</v>
      </c>
      <c r="BA383">
        <v>1</v>
      </c>
      <c r="BB383" t="str">
        <f t="shared" si="17"/>
        <v xml:space="preserve">N959MJ  </v>
      </c>
      <c r="BC383">
        <v>1</v>
      </c>
      <c r="BE383">
        <v>0</v>
      </c>
      <c r="BF383">
        <v>0</v>
      </c>
      <c r="BG383">
        <v>0</v>
      </c>
      <c r="BH383">
        <v>6875</v>
      </c>
      <c r="BI383">
        <v>275</v>
      </c>
      <c r="BJ383">
        <v>1</v>
      </c>
      <c r="BK383">
        <v>1</v>
      </c>
      <c r="BL383">
        <v>1</v>
      </c>
      <c r="BM383">
        <v>0</v>
      </c>
      <c r="BP383">
        <v>0</v>
      </c>
      <c r="BQ383">
        <v>0</v>
      </c>
      <c r="BX383" t="str">
        <f>"13:56:44.125"</f>
        <v>13:56:44.125</v>
      </c>
      <c r="BY383" t="str">
        <f>"127627871"</f>
        <v>127627871</v>
      </c>
      <c r="CL383">
        <v>0</v>
      </c>
      <c r="CM383">
        <v>2</v>
      </c>
      <c r="CN383">
        <v>0</v>
      </c>
      <c r="CO383">
        <v>2</v>
      </c>
      <c r="CP383">
        <v>0</v>
      </c>
      <c r="CQ383">
        <v>7</v>
      </c>
      <c r="CR383" t="s">
        <v>116</v>
      </c>
      <c r="CS383">
        <v>147</v>
      </c>
      <c r="CT383">
        <v>3</v>
      </c>
      <c r="CU383" t="s">
        <v>117</v>
      </c>
      <c r="CV383" t="s">
        <v>118</v>
      </c>
      <c r="CY383">
        <v>16399219</v>
      </c>
      <c r="CZ383" t="s">
        <v>119</v>
      </c>
    </row>
    <row r="384" spans="1:104" x14ac:dyDescent="0.25">
      <c r="A384" t="str">
        <f>"13:56:45.125"</f>
        <v>13:56:45.125</v>
      </c>
      <c r="B384" t="s">
        <v>108</v>
      </c>
      <c r="C384" t="str">
        <f t="shared" si="16"/>
        <v>ffdfd3c0</v>
      </c>
      <c r="D384" t="s">
        <v>109</v>
      </c>
      <c r="E384">
        <v>4</v>
      </c>
      <c r="F384">
        <v>1004</v>
      </c>
      <c r="G384" t="s">
        <v>110</v>
      </c>
      <c r="J384" t="s">
        <v>111</v>
      </c>
      <c r="K384">
        <v>0</v>
      </c>
      <c r="L384">
        <v>3</v>
      </c>
      <c r="M384">
        <v>0</v>
      </c>
      <c r="N384">
        <v>2</v>
      </c>
      <c r="O384">
        <v>1</v>
      </c>
      <c r="P384">
        <v>0</v>
      </c>
      <c r="Q384">
        <v>0</v>
      </c>
      <c r="R384" t="s">
        <v>112</v>
      </c>
      <c r="S384" t="str">
        <f>"13:56:44.961"</f>
        <v>13:56:44.961</v>
      </c>
      <c r="T384" t="str">
        <f>"13:56:44.563"</f>
        <v>13:56:44.563</v>
      </c>
      <c r="U384" t="str">
        <f t="shared" si="15"/>
        <v>ad5732</v>
      </c>
      <c r="V384">
        <v>0</v>
      </c>
      <c r="W384">
        <v>0</v>
      </c>
      <c r="X384">
        <v>1</v>
      </c>
      <c r="Z384">
        <v>0</v>
      </c>
      <c r="AA384">
        <v>9</v>
      </c>
      <c r="AB384">
        <v>3</v>
      </c>
      <c r="AC384">
        <v>0</v>
      </c>
      <c r="AD384">
        <v>10</v>
      </c>
      <c r="AE384">
        <v>0</v>
      </c>
      <c r="AF384">
        <v>3</v>
      </c>
      <c r="AG384">
        <v>2</v>
      </c>
      <c r="AH384">
        <v>0</v>
      </c>
      <c r="AI384" t="s">
        <v>859</v>
      </c>
      <c r="AJ384">
        <v>39.211128000000002</v>
      </c>
      <c r="AK384" t="s">
        <v>860</v>
      </c>
      <c r="AL384">
        <v>-77.446511000000001</v>
      </c>
      <c r="AM384">
        <v>100</v>
      </c>
      <c r="AN384">
        <v>6600</v>
      </c>
      <c r="AO384" t="s">
        <v>115</v>
      </c>
      <c r="AP384">
        <v>118</v>
      </c>
      <c r="AQ384">
        <v>62</v>
      </c>
      <c r="AR384">
        <v>1088</v>
      </c>
      <c r="AZ384">
        <v>3614</v>
      </c>
      <c r="BA384">
        <v>1</v>
      </c>
      <c r="BB384" t="str">
        <f t="shared" si="17"/>
        <v xml:space="preserve">N959MJ  </v>
      </c>
      <c r="BC384">
        <v>1</v>
      </c>
      <c r="BE384">
        <v>0</v>
      </c>
      <c r="BF384">
        <v>0</v>
      </c>
      <c r="BG384">
        <v>0</v>
      </c>
      <c r="BH384">
        <v>6900</v>
      </c>
      <c r="BI384">
        <v>300</v>
      </c>
      <c r="BJ384">
        <v>1</v>
      </c>
      <c r="BK384">
        <v>1</v>
      </c>
      <c r="BL384">
        <v>1</v>
      </c>
      <c r="BM384">
        <v>0</v>
      </c>
      <c r="BP384">
        <v>0</v>
      </c>
      <c r="BQ384">
        <v>0</v>
      </c>
      <c r="BX384" t="str">
        <f>"13:56:44.969"</f>
        <v>13:56:44.969</v>
      </c>
      <c r="BY384" t="str">
        <f>"964847399"</f>
        <v>964847399</v>
      </c>
      <c r="CL384">
        <v>0</v>
      </c>
      <c r="CM384">
        <v>2</v>
      </c>
      <c r="CN384">
        <v>0</v>
      </c>
      <c r="CO384">
        <v>2</v>
      </c>
      <c r="CP384">
        <v>0</v>
      </c>
      <c r="CQ384">
        <v>7</v>
      </c>
      <c r="CR384" t="s">
        <v>116</v>
      </c>
      <c r="CS384">
        <v>525</v>
      </c>
      <c r="CT384">
        <v>2</v>
      </c>
      <c r="CU384" t="s">
        <v>140</v>
      </c>
      <c r="CV384" t="s">
        <v>141</v>
      </c>
      <c r="CY384">
        <v>14145207</v>
      </c>
      <c r="CZ384" t="s">
        <v>119</v>
      </c>
    </row>
    <row r="385" spans="1:104" x14ac:dyDescent="0.25">
      <c r="A385" t="str">
        <f>"13:56:45.984"</f>
        <v>13:56:45.984</v>
      </c>
      <c r="B385" t="s">
        <v>108</v>
      </c>
      <c r="C385" t="str">
        <f t="shared" si="16"/>
        <v>ffdfd3c0</v>
      </c>
      <c r="D385" t="s">
        <v>109</v>
      </c>
      <c r="E385">
        <v>4</v>
      </c>
      <c r="F385">
        <v>1004</v>
      </c>
      <c r="G385" t="s">
        <v>110</v>
      </c>
      <c r="J385" t="s">
        <v>111</v>
      </c>
      <c r="K385">
        <v>0</v>
      </c>
      <c r="L385">
        <v>3</v>
      </c>
      <c r="M385">
        <v>0</v>
      </c>
      <c r="N385">
        <v>2</v>
      </c>
      <c r="O385">
        <v>1</v>
      </c>
      <c r="P385">
        <v>0</v>
      </c>
      <c r="Q385">
        <v>0</v>
      </c>
      <c r="R385" t="s">
        <v>112</v>
      </c>
      <c r="S385" t="str">
        <f>"13:56:45.805"</f>
        <v>13:56:45.805</v>
      </c>
      <c r="T385" t="str">
        <f>"13:56:45.406"</f>
        <v>13:56:45.406</v>
      </c>
      <c r="U385" t="str">
        <f t="shared" si="15"/>
        <v>ad5732</v>
      </c>
      <c r="V385">
        <v>0</v>
      </c>
      <c r="W385">
        <v>0</v>
      </c>
      <c r="X385">
        <v>1</v>
      </c>
      <c r="Z385">
        <v>0</v>
      </c>
      <c r="AA385">
        <v>9</v>
      </c>
      <c r="AB385">
        <v>3</v>
      </c>
      <c r="AC385">
        <v>0</v>
      </c>
      <c r="AD385">
        <v>10</v>
      </c>
      <c r="AE385">
        <v>0</v>
      </c>
      <c r="AF385">
        <v>3</v>
      </c>
      <c r="AG385">
        <v>2</v>
      </c>
      <c r="AH385">
        <v>0</v>
      </c>
      <c r="AI385" t="s">
        <v>861</v>
      </c>
      <c r="AJ385">
        <v>39.211364000000003</v>
      </c>
      <c r="AK385" t="s">
        <v>862</v>
      </c>
      <c r="AL385">
        <v>-77.445867000000007</v>
      </c>
      <c r="AM385">
        <v>100</v>
      </c>
      <c r="AN385">
        <v>6600</v>
      </c>
      <c r="AO385" t="s">
        <v>115</v>
      </c>
      <c r="AP385">
        <v>118</v>
      </c>
      <c r="AQ385">
        <v>63</v>
      </c>
      <c r="AR385">
        <v>1088</v>
      </c>
      <c r="AZ385">
        <v>3614</v>
      </c>
      <c r="BA385">
        <v>1</v>
      </c>
      <c r="BB385" t="str">
        <f t="shared" si="17"/>
        <v xml:space="preserve">N959MJ  </v>
      </c>
      <c r="BC385">
        <v>1</v>
      </c>
      <c r="BE385">
        <v>0</v>
      </c>
      <c r="BF385">
        <v>0</v>
      </c>
      <c r="BG385">
        <v>0</v>
      </c>
      <c r="BH385">
        <v>6900</v>
      </c>
      <c r="BI385">
        <v>300</v>
      </c>
      <c r="BJ385">
        <v>1</v>
      </c>
      <c r="BK385">
        <v>1</v>
      </c>
      <c r="BL385">
        <v>1</v>
      </c>
      <c r="BM385">
        <v>0</v>
      </c>
      <c r="BP385">
        <v>0</v>
      </c>
      <c r="BQ385">
        <v>0</v>
      </c>
      <c r="BX385" t="str">
        <f>"13:56:45.805"</f>
        <v>13:56:45.805</v>
      </c>
      <c r="BY385" t="str">
        <f>"806998242"</f>
        <v>806998242</v>
      </c>
      <c r="CL385">
        <v>0</v>
      </c>
      <c r="CM385">
        <v>2</v>
      </c>
      <c r="CN385">
        <v>0</v>
      </c>
      <c r="CO385">
        <v>2</v>
      </c>
      <c r="CP385">
        <v>0</v>
      </c>
      <c r="CQ385">
        <v>7</v>
      </c>
      <c r="CR385" t="s">
        <v>116</v>
      </c>
      <c r="CS385">
        <v>525</v>
      </c>
      <c r="CT385">
        <v>2</v>
      </c>
      <c r="CU385" t="s">
        <v>140</v>
      </c>
      <c r="CV385" t="s">
        <v>141</v>
      </c>
      <c r="CY385">
        <v>14146394</v>
      </c>
      <c r="CZ385" t="s">
        <v>119</v>
      </c>
    </row>
    <row r="386" spans="1:104" x14ac:dyDescent="0.25">
      <c r="A386" t="str">
        <f>"13:56:47.094"</f>
        <v>13:56:47.094</v>
      </c>
      <c r="B386" t="s">
        <v>108</v>
      </c>
      <c r="C386" t="str">
        <f t="shared" si="16"/>
        <v>ffdfd3c0</v>
      </c>
      <c r="D386" t="s">
        <v>109</v>
      </c>
      <c r="E386">
        <v>4</v>
      </c>
      <c r="F386">
        <v>1004</v>
      </c>
      <c r="G386" t="s">
        <v>110</v>
      </c>
      <c r="J386" t="s">
        <v>111</v>
      </c>
      <c r="K386">
        <v>0</v>
      </c>
      <c r="L386">
        <v>3</v>
      </c>
      <c r="M386">
        <v>0</v>
      </c>
      <c r="N386">
        <v>2</v>
      </c>
      <c r="O386">
        <v>1</v>
      </c>
      <c r="P386">
        <v>0</v>
      </c>
      <c r="Q386">
        <v>0</v>
      </c>
      <c r="R386" t="s">
        <v>112</v>
      </c>
      <c r="S386" t="str">
        <f>"13:56:46.906"</f>
        <v>13:56:46.906</v>
      </c>
      <c r="T386" t="str">
        <f>"13:56:46.406"</f>
        <v>13:56:46.406</v>
      </c>
      <c r="U386" t="str">
        <f t="shared" ref="U386:U449" si="18">"ad5732"</f>
        <v>ad5732</v>
      </c>
      <c r="V386">
        <v>0</v>
      </c>
      <c r="W386">
        <v>0</v>
      </c>
      <c r="X386">
        <v>1</v>
      </c>
      <c r="Z386">
        <v>0</v>
      </c>
      <c r="AA386">
        <v>9</v>
      </c>
      <c r="AB386">
        <v>3</v>
      </c>
      <c r="AC386">
        <v>0</v>
      </c>
      <c r="AD386">
        <v>10</v>
      </c>
      <c r="AE386">
        <v>0</v>
      </c>
      <c r="AF386">
        <v>3</v>
      </c>
      <c r="AG386">
        <v>2</v>
      </c>
      <c r="AH386">
        <v>0</v>
      </c>
      <c r="AI386" t="s">
        <v>863</v>
      </c>
      <c r="AJ386">
        <v>39.211663999999999</v>
      </c>
      <c r="AK386" t="s">
        <v>864</v>
      </c>
      <c r="AL386">
        <v>-77.445072999999994</v>
      </c>
      <c r="AM386">
        <v>100</v>
      </c>
      <c r="AN386">
        <v>6600</v>
      </c>
      <c r="AO386" t="s">
        <v>115</v>
      </c>
      <c r="AP386">
        <v>117</v>
      </c>
      <c r="AQ386">
        <v>63</v>
      </c>
      <c r="AR386">
        <v>1088</v>
      </c>
      <c r="AZ386">
        <v>3614</v>
      </c>
      <c r="BA386">
        <v>1</v>
      </c>
      <c r="BB386" t="str">
        <f t="shared" si="17"/>
        <v xml:space="preserve">N959MJ  </v>
      </c>
      <c r="BC386">
        <v>1</v>
      </c>
      <c r="BE386">
        <v>0</v>
      </c>
      <c r="BF386">
        <v>0</v>
      </c>
      <c r="BG386">
        <v>0</v>
      </c>
      <c r="BH386">
        <v>6925</v>
      </c>
      <c r="BI386">
        <v>325</v>
      </c>
      <c r="BJ386">
        <v>1</v>
      </c>
      <c r="BK386">
        <v>1</v>
      </c>
      <c r="BL386">
        <v>1</v>
      </c>
      <c r="BM386">
        <v>0</v>
      </c>
      <c r="BP386">
        <v>0</v>
      </c>
      <c r="BQ386">
        <v>0</v>
      </c>
      <c r="BX386" t="str">
        <f>"13:56:46.914"</f>
        <v>13:56:46.914</v>
      </c>
      <c r="BY386" t="str">
        <f>"912935625"</f>
        <v>912935625</v>
      </c>
      <c r="CL386">
        <v>0</v>
      </c>
      <c r="CM386">
        <v>2</v>
      </c>
      <c r="CN386">
        <v>0</v>
      </c>
      <c r="CO386">
        <v>2</v>
      </c>
      <c r="CP386">
        <v>0</v>
      </c>
      <c r="CQ386">
        <v>7</v>
      </c>
      <c r="CR386" t="s">
        <v>116</v>
      </c>
      <c r="CS386">
        <v>525</v>
      </c>
      <c r="CT386">
        <v>2</v>
      </c>
      <c r="CU386" t="s">
        <v>140</v>
      </c>
      <c r="CV386" t="s">
        <v>141</v>
      </c>
      <c r="CY386">
        <v>14148157</v>
      </c>
      <c r="CZ386" t="s">
        <v>119</v>
      </c>
    </row>
    <row r="387" spans="1:104" x14ac:dyDescent="0.25">
      <c r="A387" t="str">
        <f>"13:56:48.203"</f>
        <v>13:56:48.203</v>
      </c>
      <c r="B387" t="s">
        <v>108</v>
      </c>
      <c r="C387" t="str">
        <f t="shared" si="16"/>
        <v>ffdfd3c0</v>
      </c>
      <c r="D387" t="s">
        <v>109</v>
      </c>
      <c r="E387">
        <v>4</v>
      </c>
      <c r="F387">
        <v>1004</v>
      </c>
      <c r="G387" t="s">
        <v>110</v>
      </c>
      <c r="J387" t="s">
        <v>111</v>
      </c>
      <c r="K387">
        <v>0</v>
      </c>
      <c r="L387">
        <v>3</v>
      </c>
      <c r="M387">
        <v>0</v>
      </c>
      <c r="N387">
        <v>2</v>
      </c>
      <c r="O387">
        <v>1</v>
      </c>
      <c r="P387">
        <v>0</v>
      </c>
      <c r="Q387">
        <v>0</v>
      </c>
      <c r="R387" t="s">
        <v>112</v>
      </c>
      <c r="S387" t="str">
        <f>"13:56:48.023"</f>
        <v>13:56:48.023</v>
      </c>
      <c r="T387" t="str">
        <f>"13:56:47.523"</f>
        <v>13:56:47.523</v>
      </c>
      <c r="U387" t="str">
        <f t="shared" si="18"/>
        <v>ad5732</v>
      </c>
      <c r="V387">
        <v>0</v>
      </c>
      <c r="W387">
        <v>0</v>
      </c>
      <c r="X387">
        <v>1</v>
      </c>
      <c r="Z387">
        <v>0</v>
      </c>
      <c r="AA387">
        <v>9</v>
      </c>
      <c r="AB387">
        <v>3</v>
      </c>
      <c r="AC387">
        <v>0</v>
      </c>
      <c r="AD387">
        <v>10</v>
      </c>
      <c r="AE387">
        <v>0</v>
      </c>
      <c r="AF387">
        <v>3</v>
      </c>
      <c r="AG387">
        <v>2</v>
      </c>
      <c r="AH387">
        <v>0</v>
      </c>
      <c r="AI387" t="s">
        <v>865</v>
      </c>
      <c r="AJ387">
        <v>39.212029000000001</v>
      </c>
      <c r="AK387" t="s">
        <v>866</v>
      </c>
      <c r="AL387">
        <v>-77.444344000000001</v>
      </c>
      <c r="AM387">
        <v>100</v>
      </c>
      <c r="AN387">
        <v>6700</v>
      </c>
      <c r="AO387" t="s">
        <v>115</v>
      </c>
      <c r="AP387">
        <v>117</v>
      </c>
      <c r="AQ387">
        <v>63</v>
      </c>
      <c r="AR387">
        <v>1024</v>
      </c>
      <c r="AZ387">
        <v>3614</v>
      </c>
      <c r="BA387">
        <v>1</v>
      </c>
      <c r="BB387" t="str">
        <f t="shared" si="17"/>
        <v xml:space="preserve">N959MJ  </v>
      </c>
      <c r="BC387">
        <v>1</v>
      </c>
      <c r="BE387">
        <v>0</v>
      </c>
      <c r="BF387">
        <v>0</v>
      </c>
      <c r="BG387">
        <v>0</v>
      </c>
      <c r="BH387">
        <v>6950</v>
      </c>
      <c r="BI387">
        <v>250</v>
      </c>
      <c r="BJ387">
        <v>1</v>
      </c>
      <c r="BK387">
        <v>1</v>
      </c>
      <c r="BL387">
        <v>1</v>
      </c>
      <c r="BM387">
        <v>0</v>
      </c>
      <c r="BP387">
        <v>0</v>
      </c>
      <c r="BQ387">
        <v>0</v>
      </c>
      <c r="BX387" t="str">
        <f>"13:56:48.031"</f>
        <v>13:56:48.031</v>
      </c>
      <c r="BY387" t="str">
        <f>"030358206"</f>
        <v>030358206</v>
      </c>
      <c r="CL387">
        <v>0</v>
      </c>
      <c r="CM387">
        <v>2</v>
      </c>
      <c r="CN387">
        <v>0</v>
      </c>
      <c r="CO387">
        <v>2</v>
      </c>
      <c r="CP387">
        <v>0</v>
      </c>
      <c r="CQ387">
        <v>7</v>
      </c>
      <c r="CR387" t="s">
        <v>116</v>
      </c>
      <c r="CS387">
        <v>147</v>
      </c>
      <c r="CT387">
        <v>3</v>
      </c>
      <c r="CU387" t="s">
        <v>117</v>
      </c>
      <c r="CV387" t="s">
        <v>118</v>
      </c>
      <c r="CY387">
        <v>16405489</v>
      </c>
      <c r="CZ387" t="s">
        <v>119</v>
      </c>
    </row>
    <row r="388" spans="1:104" x14ac:dyDescent="0.25">
      <c r="A388" t="str">
        <f>"13:56:49.266"</f>
        <v>13:56:49.266</v>
      </c>
      <c r="B388" t="s">
        <v>108</v>
      </c>
      <c r="C388" t="str">
        <f t="shared" si="16"/>
        <v>ffdfd3c0</v>
      </c>
      <c r="D388" t="s">
        <v>109</v>
      </c>
      <c r="E388">
        <v>4</v>
      </c>
      <c r="F388">
        <v>1004</v>
      </c>
      <c r="G388" t="s">
        <v>110</v>
      </c>
      <c r="J388" t="s">
        <v>111</v>
      </c>
      <c r="K388">
        <v>0</v>
      </c>
      <c r="L388">
        <v>3</v>
      </c>
      <c r="M388">
        <v>0</v>
      </c>
      <c r="N388">
        <v>2</v>
      </c>
      <c r="O388">
        <v>1</v>
      </c>
      <c r="P388">
        <v>0</v>
      </c>
      <c r="Q388">
        <v>0</v>
      </c>
      <c r="R388" t="s">
        <v>112</v>
      </c>
      <c r="S388" t="str">
        <f>"13:56:49.055"</f>
        <v>13:56:49.055</v>
      </c>
      <c r="T388" t="str">
        <f>"13:56:48.555"</f>
        <v>13:56:48.555</v>
      </c>
      <c r="U388" t="str">
        <f t="shared" si="18"/>
        <v>ad5732</v>
      </c>
      <c r="V388">
        <v>0</v>
      </c>
      <c r="W388">
        <v>0</v>
      </c>
      <c r="X388">
        <v>1</v>
      </c>
      <c r="Z388">
        <v>0</v>
      </c>
      <c r="AA388">
        <v>9</v>
      </c>
      <c r="AB388">
        <v>3</v>
      </c>
      <c r="AC388">
        <v>0</v>
      </c>
      <c r="AD388">
        <v>10</v>
      </c>
      <c r="AE388">
        <v>0</v>
      </c>
      <c r="AF388">
        <v>3</v>
      </c>
      <c r="AG388">
        <v>2</v>
      </c>
      <c r="AH388">
        <v>0</v>
      </c>
      <c r="AI388" t="s">
        <v>867</v>
      </c>
      <c r="AJ388">
        <v>39.212308</v>
      </c>
      <c r="AK388" t="s">
        <v>868</v>
      </c>
      <c r="AL388">
        <v>-77.443613999999997</v>
      </c>
      <c r="AM388">
        <v>100</v>
      </c>
      <c r="AN388">
        <v>6700</v>
      </c>
      <c r="AO388" t="s">
        <v>115</v>
      </c>
      <c r="AP388">
        <v>117</v>
      </c>
      <c r="AQ388">
        <v>63</v>
      </c>
      <c r="AR388">
        <v>1024</v>
      </c>
      <c r="AZ388">
        <v>3614</v>
      </c>
      <c r="BA388">
        <v>1</v>
      </c>
      <c r="BB388" t="str">
        <f t="shared" si="17"/>
        <v xml:space="preserve">N959MJ  </v>
      </c>
      <c r="BC388">
        <v>1</v>
      </c>
      <c r="BE388">
        <v>0</v>
      </c>
      <c r="BF388">
        <v>0</v>
      </c>
      <c r="BG388">
        <v>0</v>
      </c>
      <c r="BH388">
        <v>6950</v>
      </c>
      <c r="BI388">
        <v>250</v>
      </c>
      <c r="BJ388">
        <v>1</v>
      </c>
      <c r="BK388">
        <v>1</v>
      </c>
      <c r="BL388">
        <v>1</v>
      </c>
      <c r="BM388">
        <v>0</v>
      </c>
      <c r="BP388">
        <v>0</v>
      </c>
      <c r="BQ388">
        <v>0</v>
      </c>
      <c r="BX388" t="str">
        <f>"13:56:49.055"</f>
        <v>13:56:49.055</v>
      </c>
      <c r="BY388" t="str">
        <f>"056012727"</f>
        <v>056012727</v>
      </c>
      <c r="CL388">
        <v>0</v>
      </c>
      <c r="CM388">
        <v>2</v>
      </c>
      <c r="CN388">
        <v>0</v>
      </c>
      <c r="CO388">
        <v>2</v>
      </c>
      <c r="CP388">
        <v>0</v>
      </c>
      <c r="CQ388">
        <v>7</v>
      </c>
      <c r="CR388" t="s">
        <v>116</v>
      </c>
      <c r="CS388">
        <v>147</v>
      </c>
      <c r="CT388">
        <v>3</v>
      </c>
      <c r="CU388" t="s">
        <v>117</v>
      </c>
      <c r="CV388" t="s">
        <v>118</v>
      </c>
      <c r="CY388">
        <v>16407225</v>
      </c>
      <c r="CZ388" t="s">
        <v>119</v>
      </c>
    </row>
    <row r="389" spans="1:104" x14ac:dyDescent="0.25">
      <c r="A389" t="str">
        <f>"13:56:50.328"</f>
        <v>13:56:50.328</v>
      </c>
      <c r="B389" t="s">
        <v>108</v>
      </c>
      <c r="C389" t="str">
        <f t="shared" si="16"/>
        <v>ffdfd3c0</v>
      </c>
      <c r="D389" t="s">
        <v>109</v>
      </c>
      <c r="E389">
        <v>4</v>
      </c>
      <c r="F389">
        <v>1004</v>
      </c>
      <c r="G389" t="s">
        <v>110</v>
      </c>
      <c r="J389" t="s">
        <v>111</v>
      </c>
      <c r="K389">
        <v>0</v>
      </c>
      <c r="L389">
        <v>3</v>
      </c>
      <c r="M389">
        <v>0</v>
      </c>
      <c r="N389">
        <v>2</v>
      </c>
      <c r="O389">
        <v>1</v>
      </c>
      <c r="P389">
        <v>0</v>
      </c>
      <c r="Q389">
        <v>0</v>
      </c>
      <c r="R389" t="s">
        <v>112</v>
      </c>
      <c r="S389" t="str">
        <f>"13:56:50.109"</f>
        <v>13:56:50.109</v>
      </c>
      <c r="T389" t="str">
        <f>"13:56:49.609"</f>
        <v>13:56:49.609</v>
      </c>
      <c r="U389" t="str">
        <f t="shared" si="18"/>
        <v>ad5732</v>
      </c>
      <c r="V389">
        <v>0</v>
      </c>
      <c r="W389">
        <v>0</v>
      </c>
      <c r="X389">
        <v>1</v>
      </c>
      <c r="Z389">
        <v>0</v>
      </c>
      <c r="AA389">
        <v>9</v>
      </c>
      <c r="AB389">
        <v>3</v>
      </c>
      <c r="AC389">
        <v>0</v>
      </c>
      <c r="AD389">
        <v>10</v>
      </c>
      <c r="AE389">
        <v>0</v>
      </c>
      <c r="AF389">
        <v>3</v>
      </c>
      <c r="AG389">
        <v>2</v>
      </c>
      <c r="AH389">
        <v>0</v>
      </c>
      <c r="AI389" t="s">
        <v>869</v>
      </c>
      <c r="AJ389">
        <v>39.212629999999997</v>
      </c>
      <c r="AK389" t="s">
        <v>870</v>
      </c>
      <c r="AL389">
        <v>-77.442863000000003</v>
      </c>
      <c r="AM389">
        <v>100</v>
      </c>
      <c r="AN389">
        <v>6700</v>
      </c>
      <c r="AO389" t="s">
        <v>115</v>
      </c>
      <c r="AP389">
        <v>117</v>
      </c>
      <c r="AQ389">
        <v>63</v>
      </c>
      <c r="AR389">
        <v>960</v>
      </c>
      <c r="AZ389">
        <v>3614</v>
      </c>
      <c r="BA389">
        <v>1</v>
      </c>
      <c r="BB389" t="str">
        <f t="shared" si="17"/>
        <v xml:space="preserve">N959MJ  </v>
      </c>
      <c r="BC389">
        <v>1</v>
      </c>
      <c r="BE389">
        <v>0</v>
      </c>
      <c r="BF389">
        <v>0</v>
      </c>
      <c r="BG389">
        <v>0</v>
      </c>
      <c r="BH389">
        <v>6975</v>
      </c>
      <c r="BI389">
        <v>275</v>
      </c>
      <c r="BJ389">
        <v>1</v>
      </c>
      <c r="BK389">
        <v>1</v>
      </c>
      <c r="BL389">
        <v>1</v>
      </c>
      <c r="BM389">
        <v>0</v>
      </c>
      <c r="BP389">
        <v>0</v>
      </c>
      <c r="BQ389">
        <v>0</v>
      </c>
      <c r="BX389" t="str">
        <f>"13:56:50.109"</f>
        <v>13:56:50.109</v>
      </c>
      <c r="BY389" t="str">
        <f>"112781192"</f>
        <v>112781192</v>
      </c>
      <c r="CL389">
        <v>0</v>
      </c>
      <c r="CM389">
        <v>2</v>
      </c>
      <c r="CN389">
        <v>0</v>
      </c>
      <c r="CO389">
        <v>2</v>
      </c>
      <c r="CP389">
        <v>0</v>
      </c>
      <c r="CQ389">
        <v>7</v>
      </c>
      <c r="CR389" t="s">
        <v>116</v>
      </c>
      <c r="CS389">
        <v>525</v>
      </c>
      <c r="CT389">
        <v>3</v>
      </c>
      <c r="CU389" t="s">
        <v>140</v>
      </c>
      <c r="CV389" t="s">
        <v>141</v>
      </c>
      <c r="CY389">
        <v>521956</v>
      </c>
      <c r="CZ389" t="s">
        <v>119</v>
      </c>
    </row>
    <row r="390" spans="1:104" x14ac:dyDescent="0.25">
      <c r="A390" t="str">
        <f>"13:56:51.234"</f>
        <v>13:56:51.234</v>
      </c>
      <c r="B390" t="s">
        <v>108</v>
      </c>
      <c r="C390" t="str">
        <f t="shared" si="16"/>
        <v>ffdfd3c0</v>
      </c>
      <c r="D390" t="s">
        <v>109</v>
      </c>
      <c r="E390">
        <v>4</v>
      </c>
      <c r="F390">
        <v>1004</v>
      </c>
      <c r="G390" t="s">
        <v>110</v>
      </c>
      <c r="J390" t="s">
        <v>111</v>
      </c>
      <c r="K390">
        <v>0</v>
      </c>
      <c r="L390">
        <v>3</v>
      </c>
      <c r="M390">
        <v>0</v>
      </c>
      <c r="N390">
        <v>2</v>
      </c>
      <c r="O390">
        <v>1</v>
      </c>
      <c r="P390">
        <v>0</v>
      </c>
      <c r="Q390">
        <v>0</v>
      </c>
      <c r="R390" t="s">
        <v>112</v>
      </c>
      <c r="S390" t="str">
        <f>"13:56:51.047"</f>
        <v>13:56:51.047</v>
      </c>
      <c r="T390" t="str">
        <f>"13:56:50.648"</f>
        <v>13:56:50.648</v>
      </c>
      <c r="U390" t="str">
        <f t="shared" si="18"/>
        <v>ad5732</v>
      </c>
      <c r="V390">
        <v>0</v>
      </c>
      <c r="W390">
        <v>0</v>
      </c>
      <c r="X390">
        <v>1</v>
      </c>
      <c r="Z390">
        <v>0</v>
      </c>
      <c r="AA390">
        <v>9</v>
      </c>
      <c r="AB390">
        <v>3</v>
      </c>
      <c r="AC390">
        <v>0</v>
      </c>
      <c r="AD390">
        <v>10</v>
      </c>
      <c r="AE390">
        <v>0</v>
      </c>
      <c r="AF390">
        <v>3</v>
      </c>
      <c r="AG390">
        <v>2</v>
      </c>
      <c r="AH390">
        <v>0</v>
      </c>
      <c r="AI390" t="s">
        <v>871</v>
      </c>
      <c r="AJ390">
        <v>39.212865999999998</v>
      </c>
      <c r="AK390" t="s">
        <v>872</v>
      </c>
      <c r="AL390">
        <v>-77.442198000000005</v>
      </c>
      <c r="AM390">
        <v>100</v>
      </c>
      <c r="AN390">
        <v>6700</v>
      </c>
      <c r="AO390" t="s">
        <v>115</v>
      </c>
      <c r="AP390">
        <v>118</v>
      </c>
      <c r="AQ390">
        <v>62</v>
      </c>
      <c r="AR390">
        <v>960</v>
      </c>
      <c r="AZ390">
        <v>3614</v>
      </c>
      <c r="BA390">
        <v>1</v>
      </c>
      <c r="BB390" t="str">
        <f t="shared" si="17"/>
        <v xml:space="preserve">N959MJ  </v>
      </c>
      <c r="BC390">
        <v>1</v>
      </c>
      <c r="BE390">
        <v>0</v>
      </c>
      <c r="BF390">
        <v>0</v>
      </c>
      <c r="BG390">
        <v>0</v>
      </c>
      <c r="BH390">
        <v>7000</v>
      </c>
      <c r="BI390">
        <v>300</v>
      </c>
      <c r="BJ390">
        <v>1</v>
      </c>
      <c r="BK390">
        <v>1</v>
      </c>
      <c r="BL390">
        <v>1</v>
      </c>
      <c r="BM390">
        <v>0</v>
      </c>
      <c r="BP390">
        <v>0</v>
      </c>
      <c r="BQ390">
        <v>0</v>
      </c>
      <c r="BX390" t="str">
        <f>"13:56:51.055"</f>
        <v>13:56:51.055</v>
      </c>
      <c r="BY390" t="str">
        <f>"053237581"</f>
        <v>053237581</v>
      </c>
      <c r="CL390">
        <v>0</v>
      </c>
      <c r="CM390">
        <v>2</v>
      </c>
      <c r="CN390">
        <v>0</v>
      </c>
      <c r="CO390">
        <v>2</v>
      </c>
      <c r="CP390">
        <v>0</v>
      </c>
      <c r="CQ390">
        <v>7</v>
      </c>
      <c r="CR390" t="s">
        <v>116</v>
      </c>
      <c r="CS390">
        <v>525</v>
      </c>
      <c r="CT390">
        <v>2</v>
      </c>
      <c r="CU390" t="s">
        <v>140</v>
      </c>
      <c r="CV390" t="s">
        <v>141</v>
      </c>
      <c r="CY390">
        <v>14154103</v>
      </c>
      <c r="CZ390" t="s">
        <v>119</v>
      </c>
    </row>
    <row r="391" spans="1:104" x14ac:dyDescent="0.25">
      <c r="A391" t="str">
        <f>"13:56:52.195"</f>
        <v>13:56:52.195</v>
      </c>
      <c r="B391" t="s">
        <v>108</v>
      </c>
      <c r="C391" t="str">
        <f t="shared" si="16"/>
        <v>ffdfd3c0</v>
      </c>
      <c r="D391" t="s">
        <v>109</v>
      </c>
      <c r="E391">
        <v>4</v>
      </c>
      <c r="F391">
        <v>1004</v>
      </c>
      <c r="G391" t="s">
        <v>110</v>
      </c>
      <c r="J391" t="s">
        <v>111</v>
      </c>
      <c r="K391">
        <v>0</v>
      </c>
      <c r="L391">
        <v>3</v>
      </c>
      <c r="M391">
        <v>0</v>
      </c>
      <c r="N391">
        <v>2</v>
      </c>
      <c r="O391">
        <v>1</v>
      </c>
      <c r="P391">
        <v>0</v>
      </c>
      <c r="Q391">
        <v>0</v>
      </c>
      <c r="R391" t="s">
        <v>112</v>
      </c>
      <c r="S391" t="str">
        <f>"13:56:52.023"</f>
        <v>13:56:52.023</v>
      </c>
      <c r="T391" t="str">
        <f>"13:56:51.523"</f>
        <v>13:56:51.523</v>
      </c>
      <c r="U391" t="str">
        <f t="shared" si="18"/>
        <v>ad5732</v>
      </c>
      <c r="V391">
        <v>0</v>
      </c>
      <c r="W391">
        <v>0</v>
      </c>
      <c r="X391">
        <v>1</v>
      </c>
      <c r="Z391">
        <v>0</v>
      </c>
      <c r="AA391">
        <v>9</v>
      </c>
      <c r="AB391">
        <v>3</v>
      </c>
      <c r="AC391">
        <v>0</v>
      </c>
      <c r="AD391">
        <v>10</v>
      </c>
      <c r="AE391">
        <v>0</v>
      </c>
      <c r="AF391">
        <v>3</v>
      </c>
      <c r="AG391">
        <v>2</v>
      </c>
      <c r="AH391">
        <v>0</v>
      </c>
      <c r="AI391" t="s">
        <v>873</v>
      </c>
      <c r="AJ391">
        <v>39.213188000000002</v>
      </c>
      <c r="AK391" t="s">
        <v>874</v>
      </c>
      <c r="AL391">
        <v>-77.441533000000007</v>
      </c>
      <c r="AM391">
        <v>100</v>
      </c>
      <c r="AN391">
        <v>6700</v>
      </c>
      <c r="AO391" t="s">
        <v>115</v>
      </c>
      <c r="AP391">
        <v>118</v>
      </c>
      <c r="AQ391">
        <v>62</v>
      </c>
      <c r="AR391">
        <v>896</v>
      </c>
      <c r="AZ391">
        <v>3614</v>
      </c>
      <c r="BA391">
        <v>1</v>
      </c>
      <c r="BB391" t="str">
        <f t="shared" si="17"/>
        <v xml:space="preserve">N959MJ  </v>
      </c>
      <c r="BC391">
        <v>1</v>
      </c>
      <c r="BE391">
        <v>0</v>
      </c>
      <c r="BF391">
        <v>0</v>
      </c>
      <c r="BG391">
        <v>0</v>
      </c>
      <c r="BH391">
        <v>7000</v>
      </c>
      <c r="BI391">
        <v>300</v>
      </c>
      <c r="BJ391">
        <v>1</v>
      </c>
      <c r="BK391">
        <v>1</v>
      </c>
      <c r="BL391">
        <v>1</v>
      </c>
      <c r="BM391">
        <v>0</v>
      </c>
      <c r="BP391">
        <v>0</v>
      </c>
      <c r="BQ391">
        <v>0</v>
      </c>
      <c r="BX391" t="str">
        <f>"13:56:52.031"</f>
        <v>13:56:52.031</v>
      </c>
      <c r="BY391" t="str">
        <f>"029739341"</f>
        <v>029739341</v>
      </c>
      <c r="CL391">
        <v>0</v>
      </c>
      <c r="CM391">
        <v>2</v>
      </c>
      <c r="CN391">
        <v>0</v>
      </c>
      <c r="CO391">
        <v>2</v>
      </c>
      <c r="CP391">
        <v>0</v>
      </c>
      <c r="CQ391">
        <v>7</v>
      </c>
      <c r="CR391" t="s">
        <v>116</v>
      </c>
      <c r="CS391">
        <v>525</v>
      </c>
      <c r="CT391">
        <v>2</v>
      </c>
      <c r="CU391" t="s">
        <v>140</v>
      </c>
      <c r="CV391" t="s">
        <v>141</v>
      </c>
      <c r="CY391">
        <v>14155565</v>
      </c>
      <c r="CZ391" t="s">
        <v>119</v>
      </c>
    </row>
    <row r="392" spans="1:104" x14ac:dyDescent="0.25">
      <c r="A392" t="str">
        <f>"13:56:53.156"</f>
        <v>13:56:53.156</v>
      </c>
      <c r="B392" t="s">
        <v>108</v>
      </c>
      <c r="C392" t="str">
        <f t="shared" si="16"/>
        <v>ffdfd3c0</v>
      </c>
      <c r="D392" t="s">
        <v>109</v>
      </c>
      <c r="E392">
        <v>4</v>
      </c>
      <c r="F392">
        <v>1004</v>
      </c>
      <c r="G392" t="s">
        <v>110</v>
      </c>
      <c r="J392" t="s">
        <v>111</v>
      </c>
      <c r="K392">
        <v>0</v>
      </c>
      <c r="L392">
        <v>3</v>
      </c>
      <c r="M392">
        <v>0</v>
      </c>
      <c r="N392">
        <v>2</v>
      </c>
      <c r="O392">
        <v>1</v>
      </c>
      <c r="P392">
        <v>0</v>
      </c>
      <c r="Q392">
        <v>0</v>
      </c>
      <c r="R392" t="s">
        <v>112</v>
      </c>
      <c r="S392" t="str">
        <f>"13:56:52.953"</f>
        <v>13:56:52.953</v>
      </c>
      <c r="T392" t="str">
        <f>"13:56:52.555"</f>
        <v>13:56:52.555</v>
      </c>
      <c r="U392" t="str">
        <f t="shared" si="18"/>
        <v>ad5732</v>
      </c>
      <c r="V392">
        <v>0</v>
      </c>
      <c r="W392">
        <v>0</v>
      </c>
      <c r="X392">
        <v>1</v>
      </c>
      <c r="Z392">
        <v>0</v>
      </c>
      <c r="AA392">
        <v>9</v>
      </c>
      <c r="AB392">
        <v>3</v>
      </c>
      <c r="AC392">
        <v>0</v>
      </c>
      <c r="AD392">
        <v>10</v>
      </c>
      <c r="AE392">
        <v>0</v>
      </c>
      <c r="AF392">
        <v>3</v>
      </c>
      <c r="AG392">
        <v>2</v>
      </c>
      <c r="AH392">
        <v>0</v>
      </c>
      <c r="AI392" t="s">
        <v>875</v>
      </c>
      <c r="AJ392">
        <v>39.213402000000002</v>
      </c>
      <c r="AK392" t="s">
        <v>876</v>
      </c>
      <c r="AL392">
        <v>-77.440888999999999</v>
      </c>
      <c r="AM392">
        <v>100</v>
      </c>
      <c r="AN392">
        <v>6700</v>
      </c>
      <c r="AO392" t="s">
        <v>115</v>
      </c>
      <c r="AP392">
        <v>118</v>
      </c>
      <c r="AQ392">
        <v>62</v>
      </c>
      <c r="AR392">
        <v>768</v>
      </c>
      <c r="AZ392">
        <v>3614</v>
      </c>
      <c r="BA392">
        <v>1</v>
      </c>
      <c r="BB392" t="str">
        <f t="shared" si="17"/>
        <v xml:space="preserve">N959MJ  </v>
      </c>
      <c r="BC392">
        <v>1</v>
      </c>
      <c r="BE392">
        <v>0</v>
      </c>
      <c r="BF392">
        <v>0</v>
      </c>
      <c r="BG392">
        <v>0</v>
      </c>
      <c r="BH392">
        <v>7025</v>
      </c>
      <c r="BI392">
        <v>325</v>
      </c>
      <c r="BJ392">
        <v>1</v>
      </c>
      <c r="BK392">
        <v>1</v>
      </c>
      <c r="BL392">
        <v>1</v>
      </c>
      <c r="BM392">
        <v>0</v>
      </c>
      <c r="BP392">
        <v>0</v>
      </c>
      <c r="BQ392">
        <v>0</v>
      </c>
      <c r="BX392" t="str">
        <f>"13:56:52.961"</f>
        <v>13:56:52.961</v>
      </c>
      <c r="BY392" t="str">
        <f>"960626976"</f>
        <v>960626976</v>
      </c>
      <c r="CL392">
        <v>0</v>
      </c>
      <c r="CM392">
        <v>2</v>
      </c>
      <c r="CN392">
        <v>0</v>
      </c>
      <c r="CO392">
        <v>2</v>
      </c>
      <c r="CP392">
        <v>0</v>
      </c>
      <c r="CQ392">
        <v>2</v>
      </c>
      <c r="CR392" t="s">
        <v>116</v>
      </c>
      <c r="CS392">
        <v>372</v>
      </c>
      <c r="CT392">
        <v>3</v>
      </c>
      <c r="CU392" t="s">
        <v>877</v>
      </c>
      <c r="CV392" t="s">
        <v>878</v>
      </c>
      <c r="CY392">
        <v>10053656</v>
      </c>
      <c r="CZ392" t="s">
        <v>119</v>
      </c>
    </row>
    <row r="393" spans="1:104" x14ac:dyDescent="0.25">
      <c r="A393" t="str">
        <f>"13:56:54.313"</f>
        <v>13:56:54.313</v>
      </c>
      <c r="B393" t="s">
        <v>108</v>
      </c>
      <c r="C393" t="str">
        <f t="shared" si="16"/>
        <v>ffdfd3c0</v>
      </c>
      <c r="D393" t="s">
        <v>109</v>
      </c>
      <c r="E393">
        <v>4</v>
      </c>
      <c r="F393">
        <v>1004</v>
      </c>
      <c r="G393" t="s">
        <v>110</v>
      </c>
      <c r="J393" t="s">
        <v>111</v>
      </c>
      <c r="K393">
        <v>0</v>
      </c>
      <c r="L393">
        <v>3</v>
      </c>
      <c r="M393">
        <v>0</v>
      </c>
      <c r="N393">
        <v>2</v>
      </c>
      <c r="O393">
        <v>1</v>
      </c>
      <c r="P393">
        <v>0</v>
      </c>
      <c r="Q393">
        <v>0</v>
      </c>
      <c r="R393" t="s">
        <v>112</v>
      </c>
      <c r="S393" t="str">
        <f>"13:56:54.125"</f>
        <v>13:56:54.125</v>
      </c>
      <c r="T393" t="str">
        <f>"13:56:53.625"</f>
        <v>13:56:53.625</v>
      </c>
      <c r="U393" t="str">
        <f t="shared" si="18"/>
        <v>ad5732</v>
      </c>
      <c r="V393">
        <v>0</v>
      </c>
      <c r="W393">
        <v>0</v>
      </c>
      <c r="X393">
        <v>1</v>
      </c>
      <c r="Z393">
        <v>0</v>
      </c>
      <c r="AA393">
        <v>9</v>
      </c>
      <c r="AB393">
        <v>3</v>
      </c>
      <c r="AC393">
        <v>0</v>
      </c>
      <c r="AD393">
        <v>10</v>
      </c>
      <c r="AE393">
        <v>0</v>
      </c>
      <c r="AF393">
        <v>3</v>
      </c>
      <c r="AG393">
        <v>2</v>
      </c>
      <c r="AH393">
        <v>0</v>
      </c>
      <c r="AI393" t="s">
        <v>879</v>
      </c>
      <c r="AJ393">
        <v>39.213766999999997</v>
      </c>
      <c r="AK393" t="s">
        <v>880</v>
      </c>
      <c r="AL393">
        <v>-77.440051999999994</v>
      </c>
      <c r="AM393">
        <v>100</v>
      </c>
      <c r="AN393">
        <v>6700</v>
      </c>
      <c r="AO393" t="s">
        <v>115</v>
      </c>
      <c r="AP393">
        <v>119</v>
      </c>
      <c r="AQ393">
        <v>62</v>
      </c>
      <c r="AR393">
        <v>704</v>
      </c>
      <c r="AZ393">
        <v>3614</v>
      </c>
      <c r="BA393">
        <v>1</v>
      </c>
      <c r="BB393" t="str">
        <f t="shared" si="17"/>
        <v xml:space="preserve">N959MJ  </v>
      </c>
      <c r="BC393">
        <v>1</v>
      </c>
      <c r="BE393">
        <v>0</v>
      </c>
      <c r="BF393">
        <v>0</v>
      </c>
      <c r="BG393">
        <v>0</v>
      </c>
      <c r="BH393">
        <v>7025</v>
      </c>
      <c r="BI393">
        <v>325</v>
      </c>
      <c r="BJ393">
        <v>1</v>
      </c>
      <c r="BK393">
        <v>1</v>
      </c>
      <c r="BL393">
        <v>1</v>
      </c>
      <c r="BM393">
        <v>0</v>
      </c>
      <c r="BP393">
        <v>0</v>
      </c>
      <c r="BQ393">
        <v>0</v>
      </c>
      <c r="BX393" t="str">
        <f>"13:56:54.125"</f>
        <v>13:56:54.125</v>
      </c>
      <c r="BY393" t="str">
        <f>"126940613"</f>
        <v>126940613</v>
      </c>
      <c r="CL393">
        <v>0</v>
      </c>
      <c r="CM393">
        <v>2</v>
      </c>
      <c r="CN393">
        <v>0</v>
      </c>
      <c r="CO393">
        <v>2</v>
      </c>
      <c r="CP393">
        <v>0</v>
      </c>
      <c r="CQ393">
        <v>7</v>
      </c>
      <c r="CR393" t="s">
        <v>116</v>
      </c>
      <c r="CS393">
        <v>147</v>
      </c>
      <c r="CT393">
        <v>3</v>
      </c>
      <c r="CU393" t="s">
        <v>117</v>
      </c>
      <c r="CV393" t="s">
        <v>118</v>
      </c>
      <c r="CY393">
        <v>16415427</v>
      </c>
      <c r="CZ393" t="s">
        <v>119</v>
      </c>
    </row>
    <row r="394" spans="1:104" x14ac:dyDescent="0.25">
      <c r="A394" t="str">
        <f>"13:56:55.320"</f>
        <v>13:56:55.320</v>
      </c>
      <c r="B394" t="s">
        <v>108</v>
      </c>
      <c r="C394" t="str">
        <f t="shared" ref="C394:C457" si="19">"ffdfd3c0"</f>
        <v>ffdfd3c0</v>
      </c>
      <c r="D394" t="s">
        <v>109</v>
      </c>
      <c r="E394">
        <v>4</v>
      </c>
      <c r="F394">
        <v>1004</v>
      </c>
      <c r="G394" t="s">
        <v>110</v>
      </c>
      <c r="J394" t="s">
        <v>111</v>
      </c>
      <c r="K394">
        <v>0</v>
      </c>
      <c r="L394">
        <v>3</v>
      </c>
      <c r="M394">
        <v>0</v>
      </c>
      <c r="N394">
        <v>2</v>
      </c>
      <c r="O394">
        <v>1</v>
      </c>
      <c r="P394">
        <v>0</v>
      </c>
      <c r="Q394">
        <v>0</v>
      </c>
      <c r="R394" t="s">
        <v>112</v>
      </c>
      <c r="S394" t="str">
        <f>"13:56:55.117"</f>
        <v>13:56:55.117</v>
      </c>
      <c r="T394" t="str">
        <f>"13:56:54.719"</f>
        <v>13:56:54.719</v>
      </c>
      <c r="U394" t="str">
        <f t="shared" si="18"/>
        <v>ad5732</v>
      </c>
      <c r="V394">
        <v>0</v>
      </c>
      <c r="W394">
        <v>0</v>
      </c>
      <c r="X394">
        <v>1</v>
      </c>
      <c r="Z394">
        <v>0</v>
      </c>
      <c r="AA394">
        <v>9</v>
      </c>
      <c r="AB394">
        <v>3</v>
      </c>
      <c r="AC394">
        <v>0</v>
      </c>
      <c r="AD394">
        <v>10</v>
      </c>
      <c r="AE394">
        <v>0</v>
      </c>
      <c r="AF394">
        <v>3</v>
      </c>
      <c r="AG394">
        <v>2</v>
      </c>
      <c r="AH394">
        <v>0</v>
      </c>
      <c r="AI394" t="s">
        <v>881</v>
      </c>
      <c r="AJ394">
        <v>39.214046000000003</v>
      </c>
      <c r="AK394" t="s">
        <v>882</v>
      </c>
      <c r="AL394">
        <v>-77.439344000000006</v>
      </c>
      <c r="AM394">
        <v>100</v>
      </c>
      <c r="AN394">
        <v>6700</v>
      </c>
      <c r="AO394" t="s">
        <v>115</v>
      </c>
      <c r="AP394">
        <v>120</v>
      </c>
      <c r="AQ394">
        <v>62</v>
      </c>
      <c r="AR394">
        <v>640</v>
      </c>
      <c r="AZ394">
        <v>3614</v>
      </c>
      <c r="BA394">
        <v>1</v>
      </c>
      <c r="BB394" t="str">
        <f t="shared" ref="BB394:BB457" si="20">"N959MJ  "</f>
        <v xml:space="preserve">N959MJ  </v>
      </c>
      <c r="BC394">
        <v>1</v>
      </c>
      <c r="BE394">
        <v>0</v>
      </c>
      <c r="BF394">
        <v>0</v>
      </c>
      <c r="BG394">
        <v>0</v>
      </c>
      <c r="BH394">
        <v>7050</v>
      </c>
      <c r="BI394">
        <v>350</v>
      </c>
      <c r="BJ394">
        <v>1</v>
      </c>
      <c r="BK394">
        <v>1</v>
      </c>
      <c r="BL394">
        <v>1</v>
      </c>
      <c r="BM394">
        <v>0</v>
      </c>
      <c r="BP394">
        <v>0</v>
      </c>
      <c r="BQ394">
        <v>0</v>
      </c>
      <c r="BX394" t="str">
        <f>"13:56:55.117"</f>
        <v>13:56:55.117</v>
      </c>
      <c r="BY394" t="str">
        <f>"119957882"</f>
        <v>119957882</v>
      </c>
      <c r="CL394">
        <v>0</v>
      </c>
      <c r="CM394">
        <v>2</v>
      </c>
      <c r="CN394">
        <v>0</v>
      </c>
      <c r="CO394">
        <v>2</v>
      </c>
      <c r="CP394">
        <v>0</v>
      </c>
      <c r="CQ394">
        <v>7</v>
      </c>
      <c r="CR394" t="s">
        <v>116</v>
      </c>
      <c r="CS394">
        <v>525</v>
      </c>
      <c r="CT394">
        <v>2</v>
      </c>
      <c r="CU394" t="s">
        <v>140</v>
      </c>
      <c r="CV394" t="s">
        <v>141</v>
      </c>
      <c r="CY394">
        <v>14159957</v>
      </c>
      <c r="CZ394" t="s">
        <v>119</v>
      </c>
    </row>
    <row r="395" spans="1:104" x14ac:dyDescent="0.25">
      <c r="A395" t="str">
        <f>"13:56:56.281"</f>
        <v>13:56:56.281</v>
      </c>
      <c r="B395" t="s">
        <v>108</v>
      </c>
      <c r="C395" t="str">
        <f t="shared" si="19"/>
        <v>ffdfd3c0</v>
      </c>
      <c r="D395" t="s">
        <v>109</v>
      </c>
      <c r="E395">
        <v>4</v>
      </c>
      <c r="F395">
        <v>1004</v>
      </c>
      <c r="G395" t="s">
        <v>110</v>
      </c>
      <c r="J395" t="s">
        <v>111</v>
      </c>
      <c r="K395">
        <v>0</v>
      </c>
      <c r="L395">
        <v>3</v>
      </c>
      <c r="M395">
        <v>0</v>
      </c>
      <c r="N395">
        <v>2</v>
      </c>
      <c r="O395">
        <v>1</v>
      </c>
      <c r="P395">
        <v>0</v>
      </c>
      <c r="Q395">
        <v>0</v>
      </c>
      <c r="R395" t="s">
        <v>112</v>
      </c>
      <c r="S395" t="str">
        <f>"13:56:56.086"</f>
        <v>13:56:56.086</v>
      </c>
      <c r="T395" t="str">
        <f>"13:56:55.586"</f>
        <v>13:56:55.586</v>
      </c>
      <c r="U395" t="str">
        <f t="shared" si="18"/>
        <v>ad5732</v>
      </c>
      <c r="V395">
        <v>0</v>
      </c>
      <c r="W395">
        <v>0</v>
      </c>
      <c r="X395">
        <v>1</v>
      </c>
      <c r="Z395">
        <v>0</v>
      </c>
      <c r="AA395">
        <v>9</v>
      </c>
      <c r="AB395">
        <v>3</v>
      </c>
      <c r="AC395">
        <v>0</v>
      </c>
      <c r="AD395">
        <v>10</v>
      </c>
      <c r="AE395">
        <v>0</v>
      </c>
      <c r="AF395">
        <v>3</v>
      </c>
      <c r="AG395">
        <v>2</v>
      </c>
      <c r="AH395">
        <v>0</v>
      </c>
      <c r="AI395" t="s">
        <v>883</v>
      </c>
      <c r="AJ395">
        <v>39.214325000000002</v>
      </c>
      <c r="AK395" t="s">
        <v>884</v>
      </c>
      <c r="AL395">
        <v>-77.438636000000002</v>
      </c>
      <c r="AM395">
        <v>100</v>
      </c>
      <c r="AN395">
        <v>6700</v>
      </c>
      <c r="AO395" t="s">
        <v>115</v>
      </c>
      <c r="AP395">
        <v>120</v>
      </c>
      <c r="AQ395">
        <v>62</v>
      </c>
      <c r="AR395">
        <v>576</v>
      </c>
      <c r="AZ395">
        <v>3614</v>
      </c>
      <c r="BA395">
        <v>1</v>
      </c>
      <c r="BB395" t="str">
        <f t="shared" si="20"/>
        <v xml:space="preserve">N959MJ  </v>
      </c>
      <c r="BC395">
        <v>1</v>
      </c>
      <c r="BE395">
        <v>0</v>
      </c>
      <c r="BF395">
        <v>0</v>
      </c>
      <c r="BG395">
        <v>0</v>
      </c>
      <c r="BH395">
        <v>7050</v>
      </c>
      <c r="BI395">
        <v>350</v>
      </c>
      <c r="BJ395">
        <v>1</v>
      </c>
      <c r="BK395">
        <v>1</v>
      </c>
      <c r="BL395">
        <v>1</v>
      </c>
      <c r="BM395">
        <v>0</v>
      </c>
      <c r="BP395">
        <v>0</v>
      </c>
      <c r="BQ395">
        <v>0</v>
      </c>
      <c r="BX395" t="str">
        <f>"13:56:56.086"</f>
        <v>13:56:56.086</v>
      </c>
      <c r="BY395" t="str">
        <f>"089774796"</f>
        <v>089774796</v>
      </c>
      <c r="CL395">
        <v>0</v>
      </c>
      <c r="CM395">
        <v>2</v>
      </c>
      <c r="CN395">
        <v>0</v>
      </c>
      <c r="CO395">
        <v>2</v>
      </c>
      <c r="CP395">
        <v>0</v>
      </c>
      <c r="CQ395">
        <v>7</v>
      </c>
      <c r="CR395" t="s">
        <v>116</v>
      </c>
      <c r="CS395">
        <v>147</v>
      </c>
      <c r="CT395">
        <v>3</v>
      </c>
      <c r="CU395" t="s">
        <v>117</v>
      </c>
      <c r="CV395" t="s">
        <v>118</v>
      </c>
      <c r="CY395">
        <v>16418566</v>
      </c>
      <c r="CZ395" t="s">
        <v>119</v>
      </c>
    </row>
    <row r="396" spans="1:104" x14ac:dyDescent="0.25">
      <c r="A396" t="str">
        <f>"13:56:57.344"</f>
        <v>13:56:57.344</v>
      </c>
      <c r="B396" t="s">
        <v>108</v>
      </c>
      <c r="C396" t="str">
        <f t="shared" si="19"/>
        <v>ffdfd3c0</v>
      </c>
      <c r="D396" t="s">
        <v>109</v>
      </c>
      <c r="E396">
        <v>4</v>
      </c>
      <c r="F396">
        <v>1004</v>
      </c>
      <c r="G396" t="s">
        <v>110</v>
      </c>
      <c r="J396" t="s">
        <v>111</v>
      </c>
      <c r="K396">
        <v>0</v>
      </c>
      <c r="L396">
        <v>3</v>
      </c>
      <c r="M396">
        <v>0</v>
      </c>
      <c r="N396">
        <v>2</v>
      </c>
      <c r="O396">
        <v>1</v>
      </c>
      <c r="P396">
        <v>0</v>
      </c>
      <c r="Q396">
        <v>0</v>
      </c>
      <c r="R396" t="s">
        <v>112</v>
      </c>
      <c r="S396" t="str">
        <f>"13:56:57.156"</f>
        <v>13:56:57.156</v>
      </c>
      <c r="T396" t="str">
        <f>"13:56:56.656"</f>
        <v>13:56:56.656</v>
      </c>
      <c r="U396" t="str">
        <f t="shared" si="18"/>
        <v>ad5732</v>
      </c>
      <c r="V396">
        <v>0</v>
      </c>
      <c r="W396">
        <v>0</v>
      </c>
      <c r="X396">
        <v>1</v>
      </c>
      <c r="Z396">
        <v>0</v>
      </c>
      <c r="AA396">
        <v>9</v>
      </c>
      <c r="AB396">
        <v>3</v>
      </c>
      <c r="AC396">
        <v>0</v>
      </c>
      <c r="AD396">
        <v>10</v>
      </c>
      <c r="AE396">
        <v>0</v>
      </c>
      <c r="AF396">
        <v>3</v>
      </c>
      <c r="AG396">
        <v>2</v>
      </c>
      <c r="AH396">
        <v>0</v>
      </c>
      <c r="AI396" t="s">
        <v>885</v>
      </c>
      <c r="AJ396">
        <v>39.214646999999999</v>
      </c>
      <c r="AK396" t="s">
        <v>886</v>
      </c>
      <c r="AL396">
        <v>-77.437905999999998</v>
      </c>
      <c r="AM396">
        <v>100</v>
      </c>
      <c r="AN396">
        <v>6700</v>
      </c>
      <c r="AO396" t="s">
        <v>115</v>
      </c>
      <c r="AP396">
        <v>121</v>
      </c>
      <c r="AQ396">
        <v>62</v>
      </c>
      <c r="AR396">
        <v>512</v>
      </c>
      <c r="AZ396">
        <v>3614</v>
      </c>
      <c r="BA396">
        <v>1</v>
      </c>
      <c r="BB396" t="str">
        <f t="shared" si="20"/>
        <v xml:space="preserve">N959MJ  </v>
      </c>
      <c r="BC396">
        <v>1</v>
      </c>
      <c r="BE396">
        <v>0</v>
      </c>
      <c r="BF396">
        <v>0</v>
      </c>
      <c r="BG396">
        <v>0</v>
      </c>
      <c r="BH396">
        <v>7075</v>
      </c>
      <c r="BI396">
        <v>375</v>
      </c>
      <c r="BJ396">
        <v>1</v>
      </c>
      <c r="BK396">
        <v>1</v>
      </c>
      <c r="BL396">
        <v>1</v>
      </c>
      <c r="BM396">
        <v>0</v>
      </c>
      <c r="BP396">
        <v>0</v>
      </c>
      <c r="BQ396">
        <v>0</v>
      </c>
      <c r="BX396" t="str">
        <f>"13:56:57.164"</f>
        <v>13:56:57.164</v>
      </c>
      <c r="BY396" t="str">
        <f>"161305233"</f>
        <v>161305233</v>
      </c>
      <c r="CL396">
        <v>0</v>
      </c>
      <c r="CM396">
        <v>2</v>
      </c>
      <c r="CN396">
        <v>0</v>
      </c>
      <c r="CO396">
        <v>2</v>
      </c>
      <c r="CP396">
        <v>0</v>
      </c>
      <c r="CQ396">
        <v>7</v>
      </c>
      <c r="CR396" t="s">
        <v>116</v>
      </c>
      <c r="CS396">
        <v>147</v>
      </c>
      <c r="CT396">
        <v>3</v>
      </c>
      <c r="CU396" t="s">
        <v>117</v>
      </c>
      <c r="CV396" t="s">
        <v>118</v>
      </c>
      <c r="CY396">
        <v>16420295</v>
      </c>
      <c r="CZ396" t="s">
        <v>119</v>
      </c>
    </row>
    <row r="397" spans="1:104" x14ac:dyDescent="0.25">
      <c r="A397" t="str">
        <f>"13:56:58.398"</f>
        <v>13:56:58.398</v>
      </c>
      <c r="B397" t="s">
        <v>108</v>
      </c>
      <c r="C397" t="str">
        <f t="shared" si="19"/>
        <v>ffdfd3c0</v>
      </c>
      <c r="D397" t="s">
        <v>109</v>
      </c>
      <c r="E397">
        <v>4</v>
      </c>
      <c r="F397">
        <v>1004</v>
      </c>
      <c r="G397" t="s">
        <v>110</v>
      </c>
      <c r="J397" t="s">
        <v>111</v>
      </c>
      <c r="K397">
        <v>0</v>
      </c>
      <c r="L397">
        <v>3</v>
      </c>
      <c r="M397">
        <v>0</v>
      </c>
      <c r="N397">
        <v>2</v>
      </c>
      <c r="O397">
        <v>1</v>
      </c>
      <c r="P397">
        <v>0</v>
      </c>
      <c r="Q397">
        <v>0</v>
      </c>
      <c r="R397" t="s">
        <v>112</v>
      </c>
      <c r="S397" t="str">
        <f>"13:56:58.219"</f>
        <v>13:56:58.219</v>
      </c>
      <c r="T397" t="str">
        <f>"13:56:57.719"</f>
        <v>13:56:57.719</v>
      </c>
      <c r="U397" t="str">
        <f t="shared" si="18"/>
        <v>ad5732</v>
      </c>
      <c r="V397">
        <v>0</v>
      </c>
      <c r="W397">
        <v>0</v>
      </c>
      <c r="X397">
        <v>1</v>
      </c>
      <c r="Z397">
        <v>0</v>
      </c>
      <c r="AA397">
        <v>9</v>
      </c>
      <c r="AB397">
        <v>3</v>
      </c>
      <c r="AC397">
        <v>0</v>
      </c>
      <c r="AD397">
        <v>10</v>
      </c>
      <c r="AE397">
        <v>0</v>
      </c>
      <c r="AF397">
        <v>3</v>
      </c>
      <c r="AG397">
        <v>2</v>
      </c>
      <c r="AH397">
        <v>0</v>
      </c>
      <c r="AI397" t="s">
        <v>887</v>
      </c>
      <c r="AJ397">
        <v>39.214947000000002</v>
      </c>
      <c r="AK397" t="s">
        <v>888</v>
      </c>
      <c r="AL397">
        <v>-77.437068999999994</v>
      </c>
      <c r="AM397">
        <v>100</v>
      </c>
      <c r="AN397">
        <v>6700</v>
      </c>
      <c r="AO397" t="s">
        <v>115</v>
      </c>
      <c r="AP397">
        <v>122</v>
      </c>
      <c r="AQ397">
        <v>62</v>
      </c>
      <c r="AR397">
        <v>512</v>
      </c>
      <c r="AZ397">
        <v>3614</v>
      </c>
      <c r="BA397">
        <v>1</v>
      </c>
      <c r="BB397" t="str">
        <f t="shared" si="20"/>
        <v xml:space="preserve">N959MJ  </v>
      </c>
      <c r="BC397">
        <v>1</v>
      </c>
      <c r="BE397">
        <v>0</v>
      </c>
      <c r="BF397">
        <v>0</v>
      </c>
      <c r="BG397">
        <v>0</v>
      </c>
      <c r="BH397">
        <v>7075</v>
      </c>
      <c r="BI397">
        <v>375</v>
      </c>
      <c r="BJ397">
        <v>1</v>
      </c>
      <c r="BK397">
        <v>1</v>
      </c>
      <c r="BL397">
        <v>1</v>
      </c>
      <c r="BM397">
        <v>0</v>
      </c>
      <c r="BP397">
        <v>0</v>
      </c>
      <c r="BQ397">
        <v>0</v>
      </c>
      <c r="BX397" t="str">
        <f>"13:56:58.227"</f>
        <v>13:56:58.227</v>
      </c>
      <c r="BY397" t="str">
        <f>"226265673"</f>
        <v>226265673</v>
      </c>
      <c r="CL397">
        <v>0</v>
      </c>
      <c r="CM397">
        <v>2</v>
      </c>
      <c r="CN397">
        <v>0</v>
      </c>
      <c r="CO397">
        <v>2</v>
      </c>
      <c r="CP397">
        <v>0</v>
      </c>
      <c r="CQ397">
        <v>7</v>
      </c>
      <c r="CR397" t="s">
        <v>116</v>
      </c>
      <c r="CS397">
        <v>525</v>
      </c>
      <c r="CT397">
        <v>2</v>
      </c>
      <c r="CU397" t="s">
        <v>140</v>
      </c>
      <c r="CV397" t="s">
        <v>141</v>
      </c>
      <c r="CY397">
        <v>14164577</v>
      </c>
      <c r="CZ397" t="s">
        <v>119</v>
      </c>
    </row>
    <row r="398" spans="1:104" x14ac:dyDescent="0.25">
      <c r="A398" t="str">
        <f>"13:56:59.461"</f>
        <v>13:56:59.461</v>
      </c>
      <c r="B398" t="s">
        <v>108</v>
      </c>
      <c r="C398" t="str">
        <f t="shared" si="19"/>
        <v>ffdfd3c0</v>
      </c>
      <c r="D398" t="s">
        <v>109</v>
      </c>
      <c r="E398">
        <v>4</v>
      </c>
      <c r="F398">
        <v>1004</v>
      </c>
      <c r="G398" t="s">
        <v>110</v>
      </c>
      <c r="J398" t="s">
        <v>111</v>
      </c>
      <c r="K398">
        <v>0</v>
      </c>
      <c r="L398">
        <v>3</v>
      </c>
      <c r="M398">
        <v>0</v>
      </c>
      <c r="N398">
        <v>2</v>
      </c>
      <c r="O398">
        <v>1</v>
      </c>
      <c r="P398">
        <v>0</v>
      </c>
      <c r="Q398">
        <v>0</v>
      </c>
      <c r="R398" t="s">
        <v>112</v>
      </c>
      <c r="S398" t="str">
        <f>"13:56:59.266"</f>
        <v>13:56:59.266</v>
      </c>
      <c r="T398" t="str">
        <f>"13:56:58.867"</f>
        <v>13:56:58.867</v>
      </c>
      <c r="U398" t="str">
        <f t="shared" si="18"/>
        <v>ad5732</v>
      </c>
      <c r="V398">
        <v>0</v>
      </c>
      <c r="W398">
        <v>0</v>
      </c>
      <c r="X398">
        <v>1</v>
      </c>
      <c r="Z398">
        <v>0</v>
      </c>
      <c r="AA398">
        <v>9</v>
      </c>
      <c r="AB398">
        <v>3</v>
      </c>
      <c r="AC398">
        <v>0</v>
      </c>
      <c r="AD398">
        <v>10</v>
      </c>
      <c r="AE398">
        <v>0</v>
      </c>
      <c r="AF398">
        <v>3</v>
      </c>
      <c r="AG398">
        <v>2</v>
      </c>
      <c r="AH398">
        <v>0</v>
      </c>
      <c r="AI398" t="s">
        <v>889</v>
      </c>
      <c r="AJ398">
        <v>39.215226000000001</v>
      </c>
      <c r="AK398" t="s">
        <v>890</v>
      </c>
      <c r="AL398">
        <v>-77.436340000000001</v>
      </c>
      <c r="AM398">
        <v>100</v>
      </c>
      <c r="AN398">
        <v>6700</v>
      </c>
      <c r="AO398" t="s">
        <v>115</v>
      </c>
      <c r="AP398">
        <v>123</v>
      </c>
      <c r="AQ398">
        <v>61</v>
      </c>
      <c r="AR398">
        <v>512</v>
      </c>
      <c r="AZ398">
        <v>3614</v>
      </c>
      <c r="BA398">
        <v>1</v>
      </c>
      <c r="BB398" t="str">
        <f t="shared" si="20"/>
        <v xml:space="preserve">N959MJ  </v>
      </c>
      <c r="BC398">
        <v>1</v>
      </c>
      <c r="BE398">
        <v>0</v>
      </c>
      <c r="BF398">
        <v>0</v>
      </c>
      <c r="BG398">
        <v>0</v>
      </c>
      <c r="BH398">
        <v>7075</v>
      </c>
      <c r="BI398">
        <v>375</v>
      </c>
      <c r="BJ398">
        <v>1</v>
      </c>
      <c r="BK398">
        <v>1</v>
      </c>
      <c r="BL398">
        <v>1</v>
      </c>
      <c r="BM398">
        <v>0</v>
      </c>
      <c r="BP398">
        <v>0</v>
      </c>
      <c r="BQ398">
        <v>0</v>
      </c>
      <c r="BX398" t="str">
        <f>"13:56:59.266"</f>
        <v>13:56:59.266</v>
      </c>
      <c r="BY398" t="str">
        <f>"268304486"</f>
        <v>268304486</v>
      </c>
      <c r="CL398">
        <v>0</v>
      </c>
      <c r="CM398">
        <v>2</v>
      </c>
      <c r="CN398">
        <v>0</v>
      </c>
      <c r="CO398">
        <v>2</v>
      </c>
      <c r="CP398">
        <v>0</v>
      </c>
      <c r="CQ398">
        <v>7</v>
      </c>
      <c r="CR398" t="s">
        <v>116</v>
      </c>
      <c r="CS398">
        <v>525</v>
      </c>
      <c r="CT398">
        <v>2</v>
      </c>
      <c r="CU398" t="s">
        <v>140</v>
      </c>
      <c r="CV398" t="s">
        <v>141</v>
      </c>
      <c r="CY398">
        <v>14165954</v>
      </c>
      <c r="CZ398" t="s">
        <v>119</v>
      </c>
    </row>
    <row r="399" spans="1:104" x14ac:dyDescent="0.25">
      <c r="A399" t="str">
        <f>"13:57:00.570"</f>
        <v>13:57:00.570</v>
      </c>
      <c r="B399" t="s">
        <v>108</v>
      </c>
      <c r="C399" t="str">
        <f t="shared" si="19"/>
        <v>ffdfd3c0</v>
      </c>
      <c r="D399" t="s">
        <v>109</v>
      </c>
      <c r="E399">
        <v>4</v>
      </c>
      <c r="F399">
        <v>1004</v>
      </c>
      <c r="G399" t="s">
        <v>110</v>
      </c>
      <c r="J399" t="s">
        <v>111</v>
      </c>
      <c r="K399">
        <v>0</v>
      </c>
      <c r="L399">
        <v>3</v>
      </c>
      <c r="M399">
        <v>0</v>
      </c>
      <c r="N399">
        <v>2</v>
      </c>
      <c r="O399">
        <v>1</v>
      </c>
      <c r="P399">
        <v>0</v>
      </c>
      <c r="Q399">
        <v>0</v>
      </c>
      <c r="R399" t="s">
        <v>112</v>
      </c>
      <c r="S399" t="str">
        <f>"13:57:00.398"</f>
        <v>13:57:00.398</v>
      </c>
      <c r="T399" t="str">
        <f>"13:56:59.898"</f>
        <v>13:56:59.898</v>
      </c>
      <c r="U399" t="str">
        <f t="shared" si="18"/>
        <v>ad5732</v>
      </c>
      <c r="V399">
        <v>0</v>
      </c>
      <c r="W399">
        <v>0</v>
      </c>
      <c r="X399">
        <v>1</v>
      </c>
      <c r="Z399">
        <v>0</v>
      </c>
      <c r="AA399">
        <v>9</v>
      </c>
      <c r="AB399">
        <v>3</v>
      </c>
      <c r="AC399">
        <v>0</v>
      </c>
      <c r="AD399">
        <v>10</v>
      </c>
      <c r="AE399">
        <v>0</v>
      </c>
      <c r="AF399">
        <v>3</v>
      </c>
      <c r="AG399">
        <v>2</v>
      </c>
      <c r="AH399">
        <v>0</v>
      </c>
      <c r="AI399" t="s">
        <v>891</v>
      </c>
      <c r="AJ399">
        <v>39.215612</v>
      </c>
      <c r="AK399" t="s">
        <v>892</v>
      </c>
      <c r="AL399">
        <v>-77.435417000000001</v>
      </c>
      <c r="AM399">
        <v>100</v>
      </c>
      <c r="AN399">
        <v>6700</v>
      </c>
      <c r="AO399" t="s">
        <v>115</v>
      </c>
      <c r="AP399">
        <v>124</v>
      </c>
      <c r="AQ399">
        <v>61</v>
      </c>
      <c r="AR399">
        <v>512</v>
      </c>
      <c r="AZ399">
        <v>3614</v>
      </c>
      <c r="BA399">
        <v>1</v>
      </c>
      <c r="BB399" t="str">
        <f t="shared" si="20"/>
        <v xml:space="preserve">N959MJ  </v>
      </c>
      <c r="BC399">
        <v>1</v>
      </c>
      <c r="BE399">
        <v>0</v>
      </c>
      <c r="BF399">
        <v>0</v>
      </c>
      <c r="BG399">
        <v>0</v>
      </c>
      <c r="BH399">
        <v>7100</v>
      </c>
      <c r="BI399">
        <v>400</v>
      </c>
      <c r="BJ399">
        <v>1</v>
      </c>
      <c r="BK399">
        <v>1</v>
      </c>
      <c r="BL399">
        <v>1</v>
      </c>
      <c r="BM399">
        <v>0</v>
      </c>
      <c r="BP399">
        <v>0</v>
      </c>
      <c r="BQ399">
        <v>0</v>
      </c>
      <c r="BX399" t="str">
        <f>"13:57:00.398"</f>
        <v>13:57:00.398</v>
      </c>
      <c r="BY399" t="str">
        <f>"400456707"</f>
        <v>400456707</v>
      </c>
      <c r="CL399">
        <v>0</v>
      </c>
      <c r="CM399">
        <v>2</v>
      </c>
      <c r="CN399">
        <v>0</v>
      </c>
      <c r="CO399">
        <v>2</v>
      </c>
      <c r="CP399">
        <v>0</v>
      </c>
      <c r="CQ399">
        <v>7</v>
      </c>
      <c r="CR399" t="s">
        <v>116</v>
      </c>
      <c r="CS399">
        <v>525</v>
      </c>
      <c r="CT399">
        <v>2</v>
      </c>
      <c r="CU399" t="s">
        <v>140</v>
      </c>
      <c r="CV399" t="s">
        <v>141</v>
      </c>
      <c r="CY399">
        <v>14167603</v>
      </c>
      <c r="CZ399" t="s">
        <v>119</v>
      </c>
    </row>
    <row r="400" spans="1:104" x14ac:dyDescent="0.25">
      <c r="A400" t="str">
        <f>"13:57:01.688"</f>
        <v>13:57:01.688</v>
      </c>
      <c r="B400" t="s">
        <v>108</v>
      </c>
      <c r="C400" t="str">
        <f t="shared" si="19"/>
        <v>ffdfd3c0</v>
      </c>
      <c r="D400" t="s">
        <v>109</v>
      </c>
      <c r="E400">
        <v>4</v>
      </c>
      <c r="F400">
        <v>1004</v>
      </c>
      <c r="G400" t="s">
        <v>110</v>
      </c>
      <c r="J400" t="s">
        <v>111</v>
      </c>
      <c r="K400">
        <v>0</v>
      </c>
      <c r="L400">
        <v>3</v>
      </c>
      <c r="M400">
        <v>0</v>
      </c>
      <c r="N400">
        <v>2</v>
      </c>
      <c r="O400">
        <v>1</v>
      </c>
      <c r="P400">
        <v>0</v>
      </c>
      <c r="Q400">
        <v>0</v>
      </c>
      <c r="R400" t="s">
        <v>112</v>
      </c>
      <c r="S400" t="str">
        <f>"13:57:01.516"</f>
        <v>13:57:01.516</v>
      </c>
      <c r="T400" t="str">
        <f>"13:57:01.016"</f>
        <v>13:57:01.016</v>
      </c>
      <c r="U400" t="str">
        <f t="shared" si="18"/>
        <v>ad5732</v>
      </c>
      <c r="V400">
        <v>0</v>
      </c>
      <c r="W400">
        <v>0</v>
      </c>
      <c r="X400">
        <v>1</v>
      </c>
      <c r="Z400">
        <v>0</v>
      </c>
      <c r="AA400">
        <v>9</v>
      </c>
      <c r="AB400">
        <v>3</v>
      </c>
      <c r="AC400">
        <v>0</v>
      </c>
      <c r="AD400">
        <v>10</v>
      </c>
      <c r="AE400">
        <v>0</v>
      </c>
      <c r="AF400">
        <v>3</v>
      </c>
      <c r="AG400">
        <v>2</v>
      </c>
      <c r="AH400">
        <v>0</v>
      </c>
      <c r="AI400" t="s">
        <v>893</v>
      </c>
      <c r="AJ400">
        <v>39.215890999999999</v>
      </c>
      <c r="AK400" t="s">
        <v>894</v>
      </c>
      <c r="AL400">
        <v>-77.434623000000002</v>
      </c>
      <c r="AM400">
        <v>100</v>
      </c>
      <c r="AN400">
        <v>6700</v>
      </c>
      <c r="AO400" t="s">
        <v>115</v>
      </c>
      <c r="AP400">
        <v>125</v>
      </c>
      <c r="AQ400">
        <v>61</v>
      </c>
      <c r="AR400">
        <v>512</v>
      </c>
      <c r="AZ400">
        <v>3614</v>
      </c>
      <c r="BA400">
        <v>1</v>
      </c>
      <c r="BB400" t="str">
        <f t="shared" si="20"/>
        <v xml:space="preserve">N959MJ  </v>
      </c>
      <c r="BC400">
        <v>1</v>
      </c>
      <c r="BE400">
        <v>0</v>
      </c>
      <c r="BF400">
        <v>0</v>
      </c>
      <c r="BG400">
        <v>0</v>
      </c>
      <c r="BH400">
        <v>7100</v>
      </c>
      <c r="BI400">
        <v>400</v>
      </c>
      <c r="BJ400">
        <v>1</v>
      </c>
      <c r="BK400">
        <v>1</v>
      </c>
      <c r="BL400">
        <v>1</v>
      </c>
      <c r="BM400">
        <v>0</v>
      </c>
      <c r="BP400">
        <v>0</v>
      </c>
      <c r="BQ400">
        <v>0</v>
      </c>
      <c r="BX400" t="str">
        <f>"13:57:01.516"</f>
        <v>13:57:01.516</v>
      </c>
      <c r="BY400" t="str">
        <f>"516224682"</f>
        <v>516224682</v>
      </c>
      <c r="CL400">
        <v>0</v>
      </c>
      <c r="CM400">
        <v>2</v>
      </c>
      <c r="CN400">
        <v>0</v>
      </c>
      <c r="CO400">
        <v>2</v>
      </c>
      <c r="CP400">
        <v>0</v>
      </c>
      <c r="CQ400">
        <v>7</v>
      </c>
      <c r="CR400" t="s">
        <v>116</v>
      </c>
      <c r="CS400">
        <v>525</v>
      </c>
      <c r="CT400">
        <v>2</v>
      </c>
      <c r="CU400" t="s">
        <v>140</v>
      </c>
      <c r="CV400" t="s">
        <v>141</v>
      </c>
      <c r="CY400">
        <v>14169325</v>
      </c>
      <c r="CZ400" t="s">
        <v>119</v>
      </c>
    </row>
    <row r="401" spans="1:104" x14ac:dyDescent="0.25">
      <c r="A401" t="str">
        <f>"13:57:02.742"</f>
        <v>13:57:02.742</v>
      </c>
      <c r="B401" t="s">
        <v>108</v>
      </c>
      <c r="C401" t="str">
        <f t="shared" si="19"/>
        <v>ffdfd3c0</v>
      </c>
      <c r="D401" t="s">
        <v>109</v>
      </c>
      <c r="E401">
        <v>4</v>
      </c>
      <c r="F401">
        <v>1004</v>
      </c>
      <c r="G401" t="s">
        <v>110</v>
      </c>
      <c r="J401" t="s">
        <v>111</v>
      </c>
      <c r="K401">
        <v>0</v>
      </c>
      <c r="L401">
        <v>3</v>
      </c>
      <c r="M401">
        <v>0</v>
      </c>
      <c r="N401">
        <v>2</v>
      </c>
      <c r="O401">
        <v>1</v>
      </c>
      <c r="P401">
        <v>0</v>
      </c>
      <c r="Q401">
        <v>0</v>
      </c>
      <c r="R401" t="s">
        <v>112</v>
      </c>
      <c r="S401" t="str">
        <f>"13:57:02.539"</f>
        <v>13:57:02.539</v>
      </c>
      <c r="T401" t="str">
        <f>"13:57:02.141"</f>
        <v>13:57:02.141</v>
      </c>
      <c r="U401" t="str">
        <f t="shared" si="18"/>
        <v>ad5732</v>
      </c>
      <c r="V401">
        <v>0</v>
      </c>
      <c r="W401">
        <v>0</v>
      </c>
      <c r="X401">
        <v>1</v>
      </c>
      <c r="Z401">
        <v>0</v>
      </c>
      <c r="AA401">
        <v>9</v>
      </c>
      <c r="AB401">
        <v>3</v>
      </c>
      <c r="AC401">
        <v>0</v>
      </c>
      <c r="AD401">
        <v>10</v>
      </c>
      <c r="AE401">
        <v>0</v>
      </c>
      <c r="AF401">
        <v>3</v>
      </c>
      <c r="AG401">
        <v>2</v>
      </c>
      <c r="AH401">
        <v>0</v>
      </c>
      <c r="AI401" t="s">
        <v>895</v>
      </c>
      <c r="AJ401">
        <v>39.216149000000001</v>
      </c>
      <c r="AK401" t="s">
        <v>896</v>
      </c>
      <c r="AL401">
        <v>-77.433851000000004</v>
      </c>
      <c r="AM401">
        <v>100</v>
      </c>
      <c r="AN401">
        <v>6800</v>
      </c>
      <c r="AO401" t="s">
        <v>115</v>
      </c>
      <c r="AP401">
        <v>126</v>
      </c>
      <c r="AQ401">
        <v>60</v>
      </c>
      <c r="AR401">
        <v>512</v>
      </c>
      <c r="AZ401">
        <v>3614</v>
      </c>
      <c r="BA401">
        <v>1</v>
      </c>
      <c r="BB401" t="str">
        <f t="shared" si="20"/>
        <v xml:space="preserve">N959MJ  </v>
      </c>
      <c r="BC401">
        <v>1</v>
      </c>
      <c r="BE401">
        <v>0</v>
      </c>
      <c r="BF401">
        <v>0</v>
      </c>
      <c r="BG401">
        <v>0</v>
      </c>
      <c r="BH401">
        <v>7100</v>
      </c>
      <c r="BI401">
        <v>300</v>
      </c>
      <c r="BJ401">
        <v>1</v>
      </c>
      <c r="BK401">
        <v>1</v>
      </c>
      <c r="BL401">
        <v>1</v>
      </c>
      <c r="BM401">
        <v>0</v>
      </c>
      <c r="BP401">
        <v>0</v>
      </c>
      <c r="BQ401">
        <v>0</v>
      </c>
      <c r="BX401" t="str">
        <f>"13:57:02.547"</f>
        <v>13:57:02.547</v>
      </c>
      <c r="BY401" t="str">
        <f>"546794559"</f>
        <v>546794559</v>
      </c>
      <c r="CL401">
        <v>0</v>
      </c>
      <c r="CM401">
        <v>2</v>
      </c>
      <c r="CN401">
        <v>0</v>
      </c>
      <c r="CO401">
        <v>2</v>
      </c>
      <c r="CP401">
        <v>0</v>
      </c>
      <c r="CQ401">
        <v>7</v>
      </c>
      <c r="CR401" t="s">
        <v>116</v>
      </c>
      <c r="CS401">
        <v>525</v>
      </c>
      <c r="CT401">
        <v>2</v>
      </c>
      <c r="CU401" t="s">
        <v>140</v>
      </c>
      <c r="CV401" t="s">
        <v>141</v>
      </c>
      <c r="CY401">
        <v>14170859</v>
      </c>
      <c r="CZ401" t="s">
        <v>119</v>
      </c>
    </row>
    <row r="402" spans="1:104" x14ac:dyDescent="0.25">
      <c r="A402" t="str">
        <f>"13:57:03.656"</f>
        <v>13:57:03.656</v>
      </c>
      <c r="B402" t="s">
        <v>108</v>
      </c>
      <c r="C402" t="str">
        <f t="shared" si="19"/>
        <v>ffdfd3c0</v>
      </c>
      <c r="D402" t="s">
        <v>109</v>
      </c>
      <c r="E402">
        <v>4</v>
      </c>
      <c r="F402">
        <v>1004</v>
      </c>
      <c r="G402" t="s">
        <v>110</v>
      </c>
      <c r="J402" t="s">
        <v>111</v>
      </c>
      <c r="K402">
        <v>0</v>
      </c>
      <c r="L402">
        <v>3</v>
      </c>
      <c r="M402">
        <v>0</v>
      </c>
      <c r="N402">
        <v>2</v>
      </c>
      <c r="O402">
        <v>1</v>
      </c>
      <c r="P402">
        <v>0</v>
      </c>
      <c r="Q402">
        <v>0</v>
      </c>
      <c r="R402" t="s">
        <v>112</v>
      </c>
      <c r="S402" t="str">
        <f>"13:57:03.469"</f>
        <v>13:57:03.469</v>
      </c>
      <c r="T402" t="str">
        <f>"13:57:03.070"</f>
        <v>13:57:03.070</v>
      </c>
      <c r="U402" t="str">
        <f t="shared" si="18"/>
        <v>ad5732</v>
      </c>
      <c r="V402">
        <v>0</v>
      </c>
      <c r="W402">
        <v>0</v>
      </c>
      <c r="X402">
        <v>1</v>
      </c>
      <c r="Z402">
        <v>0</v>
      </c>
      <c r="AA402">
        <v>9</v>
      </c>
      <c r="AB402">
        <v>3</v>
      </c>
      <c r="AC402">
        <v>0</v>
      </c>
      <c r="AD402">
        <v>10</v>
      </c>
      <c r="AE402">
        <v>0</v>
      </c>
      <c r="AF402">
        <v>3</v>
      </c>
      <c r="AG402">
        <v>2</v>
      </c>
      <c r="AH402">
        <v>0</v>
      </c>
      <c r="AI402" t="s">
        <v>897</v>
      </c>
      <c r="AJ402">
        <v>39.216405999999999</v>
      </c>
      <c r="AK402" t="s">
        <v>898</v>
      </c>
      <c r="AL402">
        <v>-77.433164000000005</v>
      </c>
      <c r="AM402">
        <v>100</v>
      </c>
      <c r="AN402">
        <v>6800</v>
      </c>
      <c r="AO402" t="s">
        <v>115</v>
      </c>
      <c r="AP402">
        <v>127</v>
      </c>
      <c r="AQ402">
        <v>60</v>
      </c>
      <c r="AR402">
        <v>576</v>
      </c>
      <c r="AZ402">
        <v>3614</v>
      </c>
      <c r="BA402">
        <v>1</v>
      </c>
      <c r="BB402" t="str">
        <f t="shared" si="20"/>
        <v xml:space="preserve">N959MJ  </v>
      </c>
      <c r="BC402">
        <v>1</v>
      </c>
      <c r="BE402">
        <v>0</v>
      </c>
      <c r="BF402">
        <v>0</v>
      </c>
      <c r="BG402">
        <v>0</v>
      </c>
      <c r="BH402">
        <v>7125</v>
      </c>
      <c r="BI402">
        <v>325</v>
      </c>
      <c r="BJ402">
        <v>1</v>
      </c>
      <c r="BK402">
        <v>1</v>
      </c>
      <c r="BL402">
        <v>1</v>
      </c>
      <c r="BM402">
        <v>0</v>
      </c>
      <c r="BP402">
        <v>0</v>
      </c>
      <c r="BQ402">
        <v>0</v>
      </c>
      <c r="BX402" t="str">
        <f>"13:57:03.469"</f>
        <v>13:57:03.469</v>
      </c>
      <c r="BY402" t="str">
        <f>"470866706"</f>
        <v>470866706</v>
      </c>
      <c r="CL402">
        <v>0</v>
      </c>
      <c r="CM402">
        <v>2</v>
      </c>
      <c r="CN402">
        <v>0</v>
      </c>
      <c r="CO402">
        <v>2</v>
      </c>
      <c r="CP402">
        <v>0</v>
      </c>
      <c r="CQ402">
        <v>7</v>
      </c>
      <c r="CR402" t="s">
        <v>116</v>
      </c>
      <c r="CS402">
        <v>525</v>
      </c>
      <c r="CT402">
        <v>2</v>
      </c>
      <c r="CU402" t="s">
        <v>140</v>
      </c>
      <c r="CV402" t="s">
        <v>141</v>
      </c>
      <c r="CY402">
        <v>14172188</v>
      </c>
      <c r="CZ402" t="s">
        <v>119</v>
      </c>
    </row>
    <row r="403" spans="1:104" x14ac:dyDescent="0.25">
      <c r="A403" t="str">
        <f>"13:57:04.609"</f>
        <v>13:57:04.609</v>
      </c>
      <c r="B403" t="s">
        <v>108</v>
      </c>
      <c r="C403" t="str">
        <f t="shared" si="19"/>
        <v>ffdfd3c0</v>
      </c>
      <c r="D403" t="s">
        <v>109</v>
      </c>
      <c r="E403">
        <v>4</v>
      </c>
      <c r="F403">
        <v>1004</v>
      </c>
      <c r="G403" t="s">
        <v>110</v>
      </c>
      <c r="J403" t="s">
        <v>111</v>
      </c>
      <c r="K403">
        <v>0</v>
      </c>
      <c r="L403">
        <v>3</v>
      </c>
      <c r="M403">
        <v>0</v>
      </c>
      <c r="N403">
        <v>2</v>
      </c>
      <c r="O403">
        <v>1</v>
      </c>
      <c r="P403">
        <v>0</v>
      </c>
      <c r="Q403">
        <v>0</v>
      </c>
      <c r="R403" t="s">
        <v>112</v>
      </c>
      <c r="S403" t="str">
        <f>"13:57:04.422"</f>
        <v>13:57:04.422</v>
      </c>
      <c r="T403" t="str">
        <f>"13:57:04.023"</f>
        <v>13:57:04.023</v>
      </c>
      <c r="U403" t="str">
        <f t="shared" si="18"/>
        <v>ad5732</v>
      </c>
      <c r="V403">
        <v>0</v>
      </c>
      <c r="W403">
        <v>0</v>
      </c>
      <c r="X403">
        <v>1</v>
      </c>
      <c r="Z403">
        <v>0</v>
      </c>
      <c r="AA403">
        <v>9</v>
      </c>
      <c r="AB403">
        <v>3</v>
      </c>
      <c r="AC403">
        <v>0</v>
      </c>
      <c r="AD403">
        <v>10</v>
      </c>
      <c r="AE403">
        <v>0</v>
      </c>
      <c r="AF403">
        <v>3</v>
      </c>
      <c r="AG403">
        <v>2</v>
      </c>
      <c r="AH403">
        <v>0</v>
      </c>
      <c r="AI403" t="s">
        <v>899</v>
      </c>
      <c r="AJ403">
        <v>39.216684999999998</v>
      </c>
      <c r="AK403" t="s">
        <v>900</v>
      </c>
      <c r="AL403">
        <v>-77.432434999999998</v>
      </c>
      <c r="AM403">
        <v>100</v>
      </c>
      <c r="AN403">
        <v>6800</v>
      </c>
      <c r="AO403" t="s">
        <v>115</v>
      </c>
      <c r="AP403">
        <v>127</v>
      </c>
      <c r="AQ403">
        <v>59</v>
      </c>
      <c r="AR403">
        <v>576</v>
      </c>
      <c r="AZ403">
        <v>3614</v>
      </c>
      <c r="BA403">
        <v>1</v>
      </c>
      <c r="BB403" t="str">
        <f t="shared" si="20"/>
        <v xml:space="preserve">N959MJ  </v>
      </c>
      <c r="BC403">
        <v>1</v>
      </c>
      <c r="BE403">
        <v>0</v>
      </c>
      <c r="BF403">
        <v>0</v>
      </c>
      <c r="BG403">
        <v>0</v>
      </c>
      <c r="BH403">
        <v>7125</v>
      </c>
      <c r="BI403">
        <v>325</v>
      </c>
      <c r="BJ403">
        <v>1</v>
      </c>
      <c r="BK403">
        <v>1</v>
      </c>
      <c r="BL403">
        <v>1</v>
      </c>
      <c r="BM403">
        <v>0</v>
      </c>
      <c r="BP403">
        <v>0</v>
      </c>
      <c r="BQ403">
        <v>0</v>
      </c>
      <c r="BX403" t="str">
        <f>"13:57:04.422"</f>
        <v>13:57:04.422</v>
      </c>
      <c r="BY403" t="str">
        <f>"422792069"</f>
        <v>422792069</v>
      </c>
      <c r="CL403">
        <v>0</v>
      </c>
      <c r="CM403">
        <v>2</v>
      </c>
      <c r="CN403">
        <v>0</v>
      </c>
      <c r="CO403">
        <v>2</v>
      </c>
      <c r="CP403">
        <v>0</v>
      </c>
      <c r="CQ403">
        <v>7</v>
      </c>
      <c r="CR403" t="s">
        <v>116</v>
      </c>
      <c r="CS403">
        <v>525</v>
      </c>
      <c r="CT403">
        <v>2</v>
      </c>
      <c r="CU403" t="s">
        <v>140</v>
      </c>
      <c r="CV403" t="s">
        <v>141</v>
      </c>
      <c r="CY403">
        <v>14173512</v>
      </c>
      <c r="CZ403" t="s">
        <v>119</v>
      </c>
    </row>
    <row r="404" spans="1:104" x14ac:dyDescent="0.25">
      <c r="A404" t="str">
        <f>"13:57:05.523"</f>
        <v>13:57:05.523</v>
      </c>
      <c r="B404" t="s">
        <v>108</v>
      </c>
      <c r="C404" t="str">
        <f t="shared" si="19"/>
        <v>ffdfd3c0</v>
      </c>
      <c r="D404" t="s">
        <v>109</v>
      </c>
      <c r="E404">
        <v>4</v>
      </c>
      <c r="F404">
        <v>1004</v>
      </c>
      <c r="G404" t="s">
        <v>110</v>
      </c>
      <c r="J404" t="s">
        <v>111</v>
      </c>
      <c r="K404">
        <v>0</v>
      </c>
      <c r="L404">
        <v>3</v>
      </c>
      <c r="M404">
        <v>0</v>
      </c>
      <c r="N404">
        <v>2</v>
      </c>
      <c r="O404">
        <v>1</v>
      </c>
      <c r="P404">
        <v>0</v>
      </c>
      <c r="Q404">
        <v>0</v>
      </c>
      <c r="R404" t="s">
        <v>112</v>
      </c>
      <c r="S404" t="str">
        <f>"13:57:05.297"</f>
        <v>13:57:05.297</v>
      </c>
      <c r="T404" t="str">
        <f>"13:57:04.898"</f>
        <v>13:57:04.898</v>
      </c>
      <c r="U404" t="str">
        <f t="shared" si="18"/>
        <v>ad5732</v>
      </c>
      <c r="V404">
        <v>0</v>
      </c>
      <c r="W404">
        <v>0</v>
      </c>
      <c r="X404">
        <v>1</v>
      </c>
      <c r="Z404">
        <v>0</v>
      </c>
      <c r="AA404">
        <v>9</v>
      </c>
      <c r="AB404">
        <v>3</v>
      </c>
      <c r="AC404">
        <v>0</v>
      </c>
      <c r="AD404">
        <v>10</v>
      </c>
      <c r="AE404">
        <v>0</v>
      </c>
      <c r="AF404">
        <v>3</v>
      </c>
      <c r="AG404">
        <v>2</v>
      </c>
      <c r="AH404">
        <v>0</v>
      </c>
      <c r="AI404" t="s">
        <v>901</v>
      </c>
      <c r="AJ404">
        <v>39.216943000000001</v>
      </c>
      <c r="AK404" t="s">
        <v>902</v>
      </c>
      <c r="AL404">
        <v>-77.431769000000003</v>
      </c>
      <c r="AM404">
        <v>100</v>
      </c>
      <c r="AN404">
        <v>6800</v>
      </c>
      <c r="AO404" t="s">
        <v>115</v>
      </c>
      <c r="AP404">
        <v>128</v>
      </c>
      <c r="AQ404">
        <v>59</v>
      </c>
      <c r="AR404">
        <v>640</v>
      </c>
      <c r="AZ404">
        <v>3614</v>
      </c>
      <c r="BA404">
        <v>1</v>
      </c>
      <c r="BB404" t="str">
        <f t="shared" si="20"/>
        <v xml:space="preserve">N959MJ  </v>
      </c>
      <c r="BC404">
        <v>1</v>
      </c>
      <c r="BE404">
        <v>0</v>
      </c>
      <c r="BF404">
        <v>0</v>
      </c>
      <c r="BG404">
        <v>0</v>
      </c>
      <c r="BH404">
        <v>7150</v>
      </c>
      <c r="BI404">
        <v>350</v>
      </c>
      <c r="BJ404">
        <v>1</v>
      </c>
      <c r="BK404">
        <v>1</v>
      </c>
      <c r="BL404">
        <v>1</v>
      </c>
      <c r="BM404">
        <v>0</v>
      </c>
      <c r="BP404">
        <v>0</v>
      </c>
      <c r="BQ404">
        <v>0</v>
      </c>
      <c r="BX404" t="str">
        <f>"13:57:05.305"</f>
        <v>13:57:05.305</v>
      </c>
      <c r="BY404" t="str">
        <f>"302626734"</f>
        <v>302626734</v>
      </c>
      <c r="CL404">
        <v>0</v>
      </c>
      <c r="CM404">
        <v>2</v>
      </c>
      <c r="CN404">
        <v>0</v>
      </c>
      <c r="CO404">
        <v>2</v>
      </c>
      <c r="CP404">
        <v>0</v>
      </c>
      <c r="CQ404">
        <v>7</v>
      </c>
      <c r="CR404" t="s">
        <v>116</v>
      </c>
      <c r="CS404">
        <v>525</v>
      </c>
      <c r="CT404">
        <v>2</v>
      </c>
      <c r="CU404" t="s">
        <v>140</v>
      </c>
      <c r="CV404" t="s">
        <v>141</v>
      </c>
      <c r="CY404">
        <v>14174868</v>
      </c>
      <c r="CZ404" t="s">
        <v>119</v>
      </c>
    </row>
    <row r="405" spans="1:104" x14ac:dyDescent="0.25">
      <c r="A405" t="str">
        <f>"13:57:06.578"</f>
        <v>13:57:06.578</v>
      </c>
      <c r="B405" t="s">
        <v>108</v>
      </c>
      <c r="C405" t="str">
        <f t="shared" si="19"/>
        <v>ffdfd3c0</v>
      </c>
      <c r="D405" t="s">
        <v>109</v>
      </c>
      <c r="E405">
        <v>4</v>
      </c>
      <c r="F405">
        <v>1004</v>
      </c>
      <c r="G405" t="s">
        <v>110</v>
      </c>
      <c r="J405" t="s">
        <v>111</v>
      </c>
      <c r="K405">
        <v>0</v>
      </c>
      <c r="L405">
        <v>3</v>
      </c>
      <c r="M405">
        <v>0</v>
      </c>
      <c r="N405">
        <v>2</v>
      </c>
      <c r="O405">
        <v>1</v>
      </c>
      <c r="P405">
        <v>0</v>
      </c>
      <c r="Q405">
        <v>0</v>
      </c>
      <c r="R405" t="s">
        <v>112</v>
      </c>
      <c r="S405" t="str">
        <f>"13:57:06.391"</f>
        <v>13:57:06.391</v>
      </c>
      <c r="T405" t="str">
        <f>"13:57:05.891"</f>
        <v>13:57:05.891</v>
      </c>
      <c r="U405" t="str">
        <f t="shared" si="18"/>
        <v>ad5732</v>
      </c>
      <c r="V405">
        <v>0</v>
      </c>
      <c r="W405">
        <v>0</v>
      </c>
      <c r="X405">
        <v>1</v>
      </c>
      <c r="Z405">
        <v>0</v>
      </c>
      <c r="AA405">
        <v>9</v>
      </c>
      <c r="AB405">
        <v>3</v>
      </c>
      <c r="AC405">
        <v>0</v>
      </c>
      <c r="AD405">
        <v>10</v>
      </c>
      <c r="AE405">
        <v>0</v>
      </c>
      <c r="AF405">
        <v>3</v>
      </c>
      <c r="AG405">
        <v>2</v>
      </c>
      <c r="AH405">
        <v>0</v>
      </c>
      <c r="AI405" t="s">
        <v>903</v>
      </c>
      <c r="AJ405">
        <v>39.217243000000003</v>
      </c>
      <c r="AK405" t="s">
        <v>904</v>
      </c>
      <c r="AL405">
        <v>-77.430910999999995</v>
      </c>
      <c r="AM405">
        <v>100</v>
      </c>
      <c r="AN405">
        <v>6800</v>
      </c>
      <c r="AO405" t="s">
        <v>115</v>
      </c>
      <c r="AP405">
        <v>128</v>
      </c>
      <c r="AQ405">
        <v>59</v>
      </c>
      <c r="AR405">
        <v>704</v>
      </c>
      <c r="AZ405">
        <v>3614</v>
      </c>
      <c r="BA405">
        <v>1</v>
      </c>
      <c r="BB405" t="str">
        <f t="shared" si="20"/>
        <v xml:space="preserve">N959MJ  </v>
      </c>
      <c r="BC405">
        <v>1</v>
      </c>
      <c r="BE405">
        <v>0</v>
      </c>
      <c r="BF405">
        <v>0</v>
      </c>
      <c r="BG405">
        <v>0</v>
      </c>
      <c r="BH405">
        <v>7150</v>
      </c>
      <c r="BI405">
        <v>350</v>
      </c>
      <c r="BJ405">
        <v>1</v>
      </c>
      <c r="BK405">
        <v>1</v>
      </c>
      <c r="BL405">
        <v>1</v>
      </c>
      <c r="BM405">
        <v>0</v>
      </c>
      <c r="BP405">
        <v>0</v>
      </c>
      <c r="BQ405">
        <v>0</v>
      </c>
      <c r="BX405" t="str">
        <f>"13:57:06.391"</f>
        <v>13:57:06.391</v>
      </c>
      <c r="BY405" t="str">
        <f>"393818334"</f>
        <v>393818334</v>
      </c>
      <c r="CL405">
        <v>0</v>
      </c>
      <c r="CM405">
        <v>2</v>
      </c>
      <c r="CN405">
        <v>0</v>
      </c>
      <c r="CO405">
        <v>2</v>
      </c>
      <c r="CP405">
        <v>0</v>
      </c>
      <c r="CQ405">
        <v>7</v>
      </c>
      <c r="CR405" t="s">
        <v>116</v>
      </c>
      <c r="CS405">
        <v>525</v>
      </c>
      <c r="CT405">
        <v>2</v>
      </c>
      <c r="CU405" t="s">
        <v>140</v>
      </c>
      <c r="CV405" t="s">
        <v>141</v>
      </c>
      <c r="CY405">
        <v>14176565</v>
      </c>
      <c r="CZ405" t="s">
        <v>119</v>
      </c>
    </row>
    <row r="406" spans="1:104" x14ac:dyDescent="0.25">
      <c r="A406" t="str">
        <f>"13:57:07.594"</f>
        <v>13:57:07.594</v>
      </c>
      <c r="B406" t="s">
        <v>108</v>
      </c>
      <c r="C406" t="str">
        <f t="shared" si="19"/>
        <v>ffdfd3c0</v>
      </c>
      <c r="D406" t="s">
        <v>109</v>
      </c>
      <c r="E406">
        <v>4</v>
      </c>
      <c r="F406">
        <v>1004</v>
      </c>
      <c r="G406" t="s">
        <v>110</v>
      </c>
      <c r="J406" t="s">
        <v>111</v>
      </c>
      <c r="K406">
        <v>0</v>
      </c>
      <c r="L406">
        <v>3</v>
      </c>
      <c r="M406">
        <v>0</v>
      </c>
      <c r="N406">
        <v>2</v>
      </c>
      <c r="O406">
        <v>1</v>
      </c>
      <c r="P406">
        <v>0</v>
      </c>
      <c r="Q406">
        <v>0</v>
      </c>
      <c r="R406" t="s">
        <v>112</v>
      </c>
      <c r="S406" t="str">
        <f>"13:57:07.406"</f>
        <v>13:57:07.406</v>
      </c>
      <c r="T406" t="str">
        <f>"13:57:06.906"</f>
        <v>13:57:06.906</v>
      </c>
      <c r="U406" t="str">
        <f t="shared" si="18"/>
        <v>ad5732</v>
      </c>
      <c r="V406">
        <v>0</v>
      </c>
      <c r="W406">
        <v>0</v>
      </c>
      <c r="X406">
        <v>1</v>
      </c>
      <c r="Z406">
        <v>0</v>
      </c>
      <c r="AA406">
        <v>9</v>
      </c>
      <c r="AB406">
        <v>3</v>
      </c>
      <c r="AC406">
        <v>0</v>
      </c>
      <c r="AD406">
        <v>10</v>
      </c>
      <c r="AE406">
        <v>0</v>
      </c>
      <c r="AF406">
        <v>3</v>
      </c>
      <c r="AG406">
        <v>2</v>
      </c>
      <c r="AH406">
        <v>0</v>
      </c>
      <c r="AI406" t="s">
        <v>905</v>
      </c>
      <c r="AJ406">
        <v>39.217522000000002</v>
      </c>
      <c r="AK406" t="s">
        <v>906</v>
      </c>
      <c r="AL406">
        <v>-77.430116999999996</v>
      </c>
      <c r="AM406">
        <v>100</v>
      </c>
      <c r="AN406">
        <v>6900</v>
      </c>
      <c r="AO406" t="s">
        <v>115</v>
      </c>
      <c r="AP406">
        <v>129</v>
      </c>
      <c r="AQ406">
        <v>58</v>
      </c>
      <c r="AR406">
        <v>832</v>
      </c>
      <c r="AZ406">
        <v>3614</v>
      </c>
      <c r="BA406">
        <v>1</v>
      </c>
      <c r="BB406" t="str">
        <f t="shared" si="20"/>
        <v xml:space="preserve">N959MJ  </v>
      </c>
      <c r="BC406">
        <v>1</v>
      </c>
      <c r="BE406">
        <v>0</v>
      </c>
      <c r="BF406">
        <v>0</v>
      </c>
      <c r="BG406">
        <v>0</v>
      </c>
      <c r="BH406">
        <v>7175</v>
      </c>
      <c r="BI406">
        <v>275</v>
      </c>
      <c r="BJ406">
        <v>1</v>
      </c>
      <c r="BK406">
        <v>1</v>
      </c>
      <c r="BL406">
        <v>1</v>
      </c>
      <c r="BM406">
        <v>0</v>
      </c>
      <c r="BP406">
        <v>0</v>
      </c>
      <c r="BQ406">
        <v>0</v>
      </c>
      <c r="BX406" t="str">
        <f>"13:57:07.406"</f>
        <v>13:57:07.406</v>
      </c>
      <c r="BY406" t="str">
        <f>"408004000"</f>
        <v>408004000</v>
      </c>
      <c r="CL406">
        <v>0</v>
      </c>
      <c r="CM406">
        <v>2</v>
      </c>
      <c r="CN406">
        <v>0</v>
      </c>
      <c r="CO406">
        <v>2</v>
      </c>
      <c r="CP406">
        <v>0</v>
      </c>
      <c r="CQ406">
        <v>7</v>
      </c>
      <c r="CR406" t="s">
        <v>116</v>
      </c>
      <c r="CS406">
        <v>525</v>
      </c>
      <c r="CT406">
        <v>2</v>
      </c>
      <c r="CU406" t="s">
        <v>140</v>
      </c>
      <c r="CV406" t="s">
        <v>141</v>
      </c>
      <c r="CY406">
        <v>14178054</v>
      </c>
      <c r="CZ406" t="s">
        <v>119</v>
      </c>
    </row>
    <row r="407" spans="1:104" x14ac:dyDescent="0.25">
      <c r="A407" t="str">
        <f>"13:57:08.555"</f>
        <v>13:57:08.555</v>
      </c>
      <c r="B407" t="s">
        <v>108</v>
      </c>
      <c r="C407" t="str">
        <f t="shared" si="19"/>
        <v>ffdfd3c0</v>
      </c>
      <c r="D407" t="s">
        <v>109</v>
      </c>
      <c r="E407">
        <v>4</v>
      </c>
      <c r="F407">
        <v>1004</v>
      </c>
      <c r="G407" t="s">
        <v>110</v>
      </c>
      <c r="J407" t="s">
        <v>111</v>
      </c>
      <c r="K407">
        <v>0</v>
      </c>
      <c r="L407">
        <v>3</v>
      </c>
      <c r="M407">
        <v>0</v>
      </c>
      <c r="N407">
        <v>2</v>
      </c>
      <c r="O407">
        <v>1</v>
      </c>
      <c r="P407">
        <v>0</v>
      </c>
      <c r="Q407">
        <v>0</v>
      </c>
      <c r="R407" t="s">
        <v>112</v>
      </c>
      <c r="S407" t="str">
        <f>"13:57:08.391"</f>
        <v>13:57:08.391</v>
      </c>
      <c r="T407" t="str">
        <f>"13:57:07.891"</f>
        <v>13:57:07.891</v>
      </c>
      <c r="U407" t="str">
        <f t="shared" si="18"/>
        <v>ad5732</v>
      </c>
      <c r="V407">
        <v>0</v>
      </c>
      <c r="W407">
        <v>0</v>
      </c>
      <c r="X407">
        <v>1</v>
      </c>
      <c r="Z407">
        <v>0</v>
      </c>
      <c r="AA407">
        <v>9</v>
      </c>
      <c r="AB407">
        <v>3</v>
      </c>
      <c r="AC407">
        <v>0</v>
      </c>
      <c r="AD407">
        <v>10</v>
      </c>
      <c r="AE407">
        <v>0</v>
      </c>
      <c r="AF407">
        <v>3</v>
      </c>
      <c r="AG407">
        <v>2</v>
      </c>
      <c r="AH407">
        <v>0</v>
      </c>
      <c r="AI407" t="s">
        <v>907</v>
      </c>
      <c r="AJ407">
        <v>39.217801000000001</v>
      </c>
      <c r="AK407" t="s">
        <v>908</v>
      </c>
      <c r="AL407">
        <v>-77.429388000000003</v>
      </c>
      <c r="AM407">
        <v>100</v>
      </c>
      <c r="AN407">
        <v>6900</v>
      </c>
      <c r="AO407" t="s">
        <v>115</v>
      </c>
      <c r="AP407">
        <v>129</v>
      </c>
      <c r="AQ407">
        <v>58</v>
      </c>
      <c r="AR407">
        <v>896</v>
      </c>
      <c r="AZ407">
        <v>3614</v>
      </c>
      <c r="BA407">
        <v>1</v>
      </c>
      <c r="BB407" t="str">
        <f t="shared" si="20"/>
        <v xml:space="preserve">N959MJ  </v>
      </c>
      <c r="BC407">
        <v>1</v>
      </c>
      <c r="BE407">
        <v>0</v>
      </c>
      <c r="BF407">
        <v>0</v>
      </c>
      <c r="BG407">
        <v>0</v>
      </c>
      <c r="BH407">
        <v>7175</v>
      </c>
      <c r="BI407">
        <v>275</v>
      </c>
      <c r="BJ407">
        <v>1</v>
      </c>
      <c r="BK407">
        <v>1</v>
      </c>
      <c r="BL407">
        <v>1</v>
      </c>
      <c r="BM407">
        <v>0</v>
      </c>
      <c r="BP407">
        <v>0</v>
      </c>
      <c r="BQ407">
        <v>0</v>
      </c>
      <c r="BX407" t="str">
        <f>"13:57:08.391"</f>
        <v>13:57:08.391</v>
      </c>
      <c r="BY407" t="str">
        <f>"391059400"</f>
        <v>391059400</v>
      </c>
      <c r="CL407">
        <v>0</v>
      </c>
      <c r="CM407">
        <v>2</v>
      </c>
      <c r="CN407">
        <v>0</v>
      </c>
      <c r="CO407">
        <v>2</v>
      </c>
      <c r="CP407">
        <v>0</v>
      </c>
      <c r="CQ407">
        <v>7</v>
      </c>
      <c r="CR407" t="s">
        <v>116</v>
      </c>
      <c r="CS407">
        <v>525</v>
      </c>
      <c r="CT407">
        <v>2</v>
      </c>
      <c r="CU407" t="s">
        <v>140</v>
      </c>
      <c r="CV407" t="s">
        <v>141</v>
      </c>
      <c r="CY407">
        <v>14179431</v>
      </c>
      <c r="CZ407" t="s">
        <v>119</v>
      </c>
    </row>
    <row r="408" spans="1:104" x14ac:dyDescent="0.25">
      <c r="A408" t="str">
        <f>"13:57:09.711"</f>
        <v>13:57:09.711</v>
      </c>
      <c r="B408" t="s">
        <v>108</v>
      </c>
      <c r="C408" t="str">
        <f t="shared" si="19"/>
        <v>ffdfd3c0</v>
      </c>
      <c r="D408" t="s">
        <v>109</v>
      </c>
      <c r="E408">
        <v>4</v>
      </c>
      <c r="F408">
        <v>1004</v>
      </c>
      <c r="G408" t="s">
        <v>110</v>
      </c>
      <c r="J408" t="s">
        <v>111</v>
      </c>
      <c r="K408">
        <v>0</v>
      </c>
      <c r="L408">
        <v>3</v>
      </c>
      <c r="M408">
        <v>0</v>
      </c>
      <c r="N408">
        <v>2</v>
      </c>
      <c r="O408">
        <v>1</v>
      </c>
      <c r="P408">
        <v>0</v>
      </c>
      <c r="Q408">
        <v>0</v>
      </c>
      <c r="R408" t="s">
        <v>112</v>
      </c>
      <c r="S408" t="str">
        <f>"13:57:09.516"</f>
        <v>13:57:09.516</v>
      </c>
      <c r="T408" t="str">
        <f>"13:57:09.016"</f>
        <v>13:57:09.016</v>
      </c>
      <c r="U408" t="str">
        <f t="shared" si="18"/>
        <v>ad5732</v>
      </c>
      <c r="V408">
        <v>0</v>
      </c>
      <c r="W408">
        <v>0</v>
      </c>
      <c r="X408">
        <v>1</v>
      </c>
      <c r="Z408">
        <v>0</v>
      </c>
      <c r="AA408">
        <v>9</v>
      </c>
      <c r="AB408">
        <v>3</v>
      </c>
      <c r="AC408">
        <v>0</v>
      </c>
      <c r="AD408">
        <v>10</v>
      </c>
      <c r="AE408">
        <v>0</v>
      </c>
      <c r="AF408">
        <v>3</v>
      </c>
      <c r="AG408">
        <v>2</v>
      </c>
      <c r="AH408">
        <v>0</v>
      </c>
      <c r="AI408" t="s">
        <v>909</v>
      </c>
      <c r="AJ408">
        <v>39.21808</v>
      </c>
      <c r="AK408" t="s">
        <v>910</v>
      </c>
      <c r="AL408">
        <v>-77.428528999999997</v>
      </c>
      <c r="AM408">
        <v>100</v>
      </c>
      <c r="AN408">
        <v>6900</v>
      </c>
      <c r="AO408" t="s">
        <v>115</v>
      </c>
      <c r="AP408">
        <v>129</v>
      </c>
      <c r="AQ408">
        <v>58</v>
      </c>
      <c r="AR408">
        <v>1024</v>
      </c>
      <c r="AZ408">
        <v>3614</v>
      </c>
      <c r="BA408">
        <v>1</v>
      </c>
      <c r="BB408" t="str">
        <f t="shared" si="20"/>
        <v xml:space="preserve">N959MJ  </v>
      </c>
      <c r="BC408">
        <v>1</v>
      </c>
      <c r="BE408">
        <v>0</v>
      </c>
      <c r="BF408">
        <v>0</v>
      </c>
      <c r="BG408">
        <v>0</v>
      </c>
      <c r="BH408">
        <v>7200</v>
      </c>
      <c r="BI408">
        <v>300</v>
      </c>
      <c r="BJ408">
        <v>1</v>
      </c>
      <c r="BK408">
        <v>1</v>
      </c>
      <c r="BL408">
        <v>1</v>
      </c>
      <c r="BM408">
        <v>0</v>
      </c>
      <c r="BP408">
        <v>0</v>
      </c>
      <c r="BQ408">
        <v>0</v>
      </c>
      <c r="BX408" t="str">
        <f>"13:57:09.523"</f>
        <v>13:57:09.523</v>
      </c>
      <c r="BY408" t="str">
        <f>"519934901"</f>
        <v>519934901</v>
      </c>
      <c r="CL408">
        <v>0</v>
      </c>
      <c r="CM408">
        <v>2</v>
      </c>
      <c r="CN408">
        <v>0</v>
      </c>
      <c r="CO408">
        <v>2</v>
      </c>
      <c r="CP408">
        <v>0</v>
      </c>
      <c r="CQ408">
        <v>7</v>
      </c>
      <c r="CR408" t="s">
        <v>116</v>
      </c>
      <c r="CS408">
        <v>525</v>
      </c>
      <c r="CT408">
        <v>2</v>
      </c>
      <c r="CU408" t="s">
        <v>140</v>
      </c>
      <c r="CV408" t="s">
        <v>141</v>
      </c>
      <c r="CY408">
        <v>14181092</v>
      </c>
      <c r="CZ408" t="s">
        <v>119</v>
      </c>
    </row>
    <row r="409" spans="1:104" x14ac:dyDescent="0.25">
      <c r="A409" t="str">
        <f>"13:57:10.570"</f>
        <v>13:57:10.570</v>
      </c>
      <c r="B409" t="s">
        <v>108</v>
      </c>
      <c r="C409" t="str">
        <f t="shared" si="19"/>
        <v>ffdfd3c0</v>
      </c>
      <c r="D409" t="s">
        <v>109</v>
      </c>
      <c r="E409">
        <v>4</v>
      </c>
      <c r="F409">
        <v>1004</v>
      </c>
      <c r="G409" t="s">
        <v>110</v>
      </c>
      <c r="J409" t="s">
        <v>111</v>
      </c>
      <c r="K409">
        <v>0</v>
      </c>
      <c r="L409">
        <v>3</v>
      </c>
      <c r="M409">
        <v>0</v>
      </c>
      <c r="N409">
        <v>2</v>
      </c>
      <c r="O409">
        <v>1</v>
      </c>
      <c r="P409">
        <v>0</v>
      </c>
      <c r="Q409">
        <v>0</v>
      </c>
      <c r="R409" t="s">
        <v>112</v>
      </c>
      <c r="S409" t="str">
        <f>"13:57:10.359"</f>
        <v>13:57:10.359</v>
      </c>
      <c r="T409" t="str">
        <f>"13:57:09.961"</f>
        <v>13:57:09.961</v>
      </c>
      <c r="U409" t="str">
        <f t="shared" si="18"/>
        <v>ad5732</v>
      </c>
      <c r="V409">
        <v>0</v>
      </c>
      <c r="W409">
        <v>0</v>
      </c>
      <c r="X409">
        <v>1</v>
      </c>
      <c r="Z409">
        <v>0</v>
      </c>
      <c r="AA409">
        <v>9</v>
      </c>
      <c r="AB409">
        <v>3</v>
      </c>
      <c r="AC409">
        <v>0</v>
      </c>
      <c r="AD409">
        <v>10</v>
      </c>
      <c r="AE409">
        <v>0</v>
      </c>
      <c r="AF409">
        <v>3</v>
      </c>
      <c r="AG409">
        <v>2</v>
      </c>
      <c r="AH409">
        <v>0</v>
      </c>
      <c r="AI409" t="s">
        <v>911</v>
      </c>
      <c r="AJ409">
        <v>39.218252</v>
      </c>
      <c r="AK409" t="s">
        <v>912</v>
      </c>
      <c r="AL409">
        <v>-77.427927999999994</v>
      </c>
      <c r="AM409">
        <v>100</v>
      </c>
      <c r="AN409">
        <v>6900</v>
      </c>
      <c r="AO409" t="s">
        <v>115</v>
      </c>
      <c r="AP409">
        <v>129</v>
      </c>
      <c r="AQ409">
        <v>57</v>
      </c>
      <c r="AR409">
        <v>1088</v>
      </c>
      <c r="AZ409">
        <v>3614</v>
      </c>
      <c r="BA409">
        <v>1</v>
      </c>
      <c r="BB409" t="str">
        <f t="shared" si="20"/>
        <v xml:space="preserve">N959MJ  </v>
      </c>
      <c r="BC409">
        <v>1</v>
      </c>
      <c r="BE409">
        <v>0</v>
      </c>
      <c r="BF409">
        <v>0</v>
      </c>
      <c r="BG409">
        <v>0</v>
      </c>
      <c r="BH409">
        <v>7200</v>
      </c>
      <c r="BI409">
        <v>300</v>
      </c>
      <c r="BJ409">
        <v>1</v>
      </c>
      <c r="BK409">
        <v>1</v>
      </c>
      <c r="BL409">
        <v>1</v>
      </c>
      <c r="BM409">
        <v>0</v>
      </c>
      <c r="BP409">
        <v>0</v>
      </c>
      <c r="BQ409">
        <v>0</v>
      </c>
      <c r="BX409" t="str">
        <f>"13:57:10.367"</f>
        <v>13:57:10.367</v>
      </c>
      <c r="BY409" t="str">
        <f>"367000969"</f>
        <v>367000969</v>
      </c>
      <c r="CL409">
        <v>0</v>
      </c>
      <c r="CM409">
        <v>2</v>
      </c>
      <c r="CN409">
        <v>0</v>
      </c>
      <c r="CO409">
        <v>2</v>
      </c>
      <c r="CP409">
        <v>0</v>
      </c>
      <c r="CQ409">
        <v>7</v>
      </c>
      <c r="CR409" t="s">
        <v>116</v>
      </c>
      <c r="CS409">
        <v>525</v>
      </c>
      <c r="CT409">
        <v>2</v>
      </c>
      <c r="CU409" t="s">
        <v>140</v>
      </c>
      <c r="CV409" t="s">
        <v>141</v>
      </c>
      <c r="CY409">
        <v>14182344</v>
      </c>
      <c r="CZ409" t="s">
        <v>119</v>
      </c>
    </row>
    <row r="410" spans="1:104" x14ac:dyDescent="0.25">
      <c r="A410" t="str">
        <f>"13:57:11.633"</f>
        <v>13:57:11.633</v>
      </c>
      <c r="B410" t="s">
        <v>108</v>
      </c>
      <c r="C410" t="str">
        <f t="shared" si="19"/>
        <v>ffdfd3c0</v>
      </c>
      <c r="D410" t="s">
        <v>109</v>
      </c>
      <c r="E410">
        <v>4</v>
      </c>
      <c r="F410">
        <v>1004</v>
      </c>
      <c r="G410" t="s">
        <v>110</v>
      </c>
      <c r="J410" t="s">
        <v>111</v>
      </c>
      <c r="K410">
        <v>0</v>
      </c>
      <c r="L410">
        <v>3</v>
      </c>
      <c r="M410">
        <v>0</v>
      </c>
      <c r="N410">
        <v>2</v>
      </c>
      <c r="O410">
        <v>1</v>
      </c>
      <c r="P410">
        <v>0</v>
      </c>
      <c r="Q410">
        <v>0</v>
      </c>
      <c r="R410" t="s">
        <v>112</v>
      </c>
      <c r="S410" t="str">
        <f>"13:57:11.461"</f>
        <v>13:57:11.461</v>
      </c>
      <c r="T410" t="str">
        <f>"13:57:10.961"</f>
        <v>13:57:10.961</v>
      </c>
      <c r="U410" t="str">
        <f t="shared" si="18"/>
        <v>ad5732</v>
      </c>
      <c r="V410">
        <v>0</v>
      </c>
      <c r="W410">
        <v>0</v>
      </c>
      <c r="X410">
        <v>1</v>
      </c>
      <c r="Z410">
        <v>0</v>
      </c>
      <c r="AA410">
        <v>9</v>
      </c>
      <c r="AB410">
        <v>3</v>
      </c>
      <c r="AC410">
        <v>0</v>
      </c>
      <c r="AD410">
        <v>10</v>
      </c>
      <c r="AE410">
        <v>0</v>
      </c>
      <c r="AF410">
        <v>3</v>
      </c>
      <c r="AG410">
        <v>2</v>
      </c>
      <c r="AH410">
        <v>0</v>
      </c>
      <c r="AI410" t="s">
        <v>913</v>
      </c>
      <c r="AJ410">
        <v>39.218595000000001</v>
      </c>
      <c r="AK410" t="s">
        <v>914</v>
      </c>
      <c r="AL410">
        <v>-77.427070000000001</v>
      </c>
      <c r="AM410">
        <v>100</v>
      </c>
      <c r="AN410">
        <v>7000</v>
      </c>
      <c r="AO410" t="s">
        <v>115</v>
      </c>
      <c r="AP410">
        <v>129</v>
      </c>
      <c r="AQ410">
        <v>57</v>
      </c>
      <c r="AR410">
        <v>1152</v>
      </c>
      <c r="AZ410">
        <v>3614</v>
      </c>
      <c r="BA410">
        <v>1</v>
      </c>
      <c r="BB410" t="str">
        <f t="shared" si="20"/>
        <v xml:space="preserve">N959MJ  </v>
      </c>
      <c r="BC410">
        <v>1</v>
      </c>
      <c r="BE410">
        <v>0</v>
      </c>
      <c r="BF410">
        <v>0</v>
      </c>
      <c r="BG410">
        <v>0</v>
      </c>
      <c r="BH410">
        <v>7225</v>
      </c>
      <c r="BI410">
        <v>225</v>
      </c>
      <c r="BJ410">
        <v>1</v>
      </c>
      <c r="BK410">
        <v>1</v>
      </c>
      <c r="BL410">
        <v>1</v>
      </c>
      <c r="BM410">
        <v>0</v>
      </c>
      <c r="BP410">
        <v>0</v>
      </c>
      <c r="BQ410">
        <v>0</v>
      </c>
      <c r="BX410" t="str">
        <f>"13:57:11.461"</f>
        <v>13:57:11.461</v>
      </c>
      <c r="BY410" t="str">
        <f>"463107843"</f>
        <v>463107843</v>
      </c>
      <c r="CL410">
        <v>0</v>
      </c>
      <c r="CM410">
        <v>2</v>
      </c>
      <c r="CN410">
        <v>0</v>
      </c>
      <c r="CO410">
        <v>2</v>
      </c>
      <c r="CP410">
        <v>0</v>
      </c>
      <c r="CQ410">
        <v>7</v>
      </c>
      <c r="CR410" t="s">
        <v>116</v>
      </c>
      <c r="CS410">
        <v>525</v>
      </c>
      <c r="CT410">
        <v>2</v>
      </c>
      <c r="CU410" t="s">
        <v>140</v>
      </c>
      <c r="CV410" t="s">
        <v>141</v>
      </c>
      <c r="CY410">
        <v>14183964</v>
      </c>
      <c r="CZ410" t="s">
        <v>119</v>
      </c>
    </row>
    <row r="411" spans="1:104" x14ac:dyDescent="0.25">
      <c r="A411" t="str">
        <f>"13:57:12.688"</f>
        <v>13:57:12.688</v>
      </c>
      <c r="B411" t="s">
        <v>108</v>
      </c>
      <c r="C411" t="str">
        <f t="shared" si="19"/>
        <v>ffdfd3c0</v>
      </c>
      <c r="D411" t="s">
        <v>109</v>
      </c>
      <c r="E411">
        <v>4</v>
      </c>
      <c r="F411">
        <v>1004</v>
      </c>
      <c r="G411" t="s">
        <v>110</v>
      </c>
      <c r="J411" t="s">
        <v>111</v>
      </c>
      <c r="K411">
        <v>0</v>
      </c>
      <c r="L411">
        <v>3</v>
      </c>
      <c r="M411">
        <v>0</v>
      </c>
      <c r="N411">
        <v>2</v>
      </c>
      <c r="O411">
        <v>1</v>
      </c>
      <c r="P411">
        <v>0</v>
      </c>
      <c r="Q411">
        <v>0</v>
      </c>
      <c r="R411" t="s">
        <v>112</v>
      </c>
      <c r="S411" t="str">
        <f>"13:57:12.531"</f>
        <v>13:57:12.531</v>
      </c>
      <c r="T411" t="str">
        <f>"13:57:12.031"</f>
        <v>13:57:12.031</v>
      </c>
      <c r="U411" t="str">
        <f t="shared" si="18"/>
        <v>ad5732</v>
      </c>
      <c r="V411">
        <v>0</v>
      </c>
      <c r="W411">
        <v>0</v>
      </c>
      <c r="X411">
        <v>1</v>
      </c>
      <c r="Z411">
        <v>0</v>
      </c>
      <c r="AA411">
        <v>9</v>
      </c>
      <c r="AB411">
        <v>3</v>
      </c>
      <c r="AC411">
        <v>0</v>
      </c>
      <c r="AD411">
        <v>10</v>
      </c>
      <c r="AE411">
        <v>0</v>
      </c>
      <c r="AF411">
        <v>3</v>
      </c>
      <c r="AG411">
        <v>2</v>
      </c>
      <c r="AH411">
        <v>0</v>
      </c>
      <c r="AI411" t="s">
        <v>915</v>
      </c>
      <c r="AJ411">
        <v>39.218853000000003</v>
      </c>
      <c r="AK411" t="s">
        <v>916</v>
      </c>
      <c r="AL411">
        <v>-77.426212000000007</v>
      </c>
      <c r="AM411">
        <v>100</v>
      </c>
      <c r="AN411">
        <v>7000</v>
      </c>
      <c r="AO411" t="s">
        <v>115</v>
      </c>
      <c r="AP411">
        <v>129</v>
      </c>
      <c r="AQ411">
        <v>56</v>
      </c>
      <c r="AR411">
        <v>1216</v>
      </c>
      <c r="AZ411">
        <v>3614</v>
      </c>
      <c r="BA411">
        <v>1</v>
      </c>
      <c r="BB411" t="str">
        <f t="shared" si="20"/>
        <v xml:space="preserve">N959MJ  </v>
      </c>
      <c r="BC411">
        <v>1</v>
      </c>
      <c r="BE411">
        <v>0</v>
      </c>
      <c r="BF411">
        <v>0</v>
      </c>
      <c r="BG411">
        <v>0</v>
      </c>
      <c r="BH411">
        <v>7250</v>
      </c>
      <c r="BI411">
        <v>250</v>
      </c>
      <c r="BJ411">
        <v>1</v>
      </c>
      <c r="BK411">
        <v>1</v>
      </c>
      <c r="BL411">
        <v>1</v>
      </c>
      <c r="BM411">
        <v>0</v>
      </c>
      <c r="BP411">
        <v>0</v>
      </c>
      <c r="BQ411">
        <v>0</v>
      </c>
      <c r="BX411" t="str">
        <f>"13:57:12.539"</f>
        <v>13:57:12.539</v>
      </c>
      <c r="BY411" t="str">
        <f>"537915262"</f>
        <v>537915262</v>
      </c>
      <c r="CL411">
        <v>0</v>
      </c>
      <c r="CM411">
        <v>2</v>
      </c>
      <c r="CN411">
        <v>0</v>
      </c>
      <c r="CO411">
        <v>2</v>
      </c>
      <c r="CP411">
        <v>0</v>
      </c>
      <c r="CQ411">
        <v>7</v>
      </c>
      <c r="CR411" t="s">
        <v>116</v>
      </c>
      <c r="CS411">
        <v>525</v>
      </c>
      <c r="CT411">
        <v>3</v>
      </c>
      <c r="CU411" t="s">
        <v>140</v>
      </c>
      <c r="CV411" t="s">
        <v>141</v>
      </c>
      <c r="CY411">
        <v>552035</v>
      </c>
      <c r="CZ411" t="s">
        <v>119</v>
      </c>
    </row>
    <row r="412" spans="1:104" x14ac:dyDescent="0.25">
      <c r="A412" t="str">
        <f>"13:57:13.750"</f>
        <v>13:57:13.750</v>
      </c>
      <c r="B412" t="s">
        <v>108</v>
      </c>
      <c r="C412" t="str">
        <f t="shared" si="19"/>
        <v>ffdfd3c0</v>
      </c>
      <c r="D412" t="s">
        <v>109</v>
      </c>
      <c r="E412">
        <v>4</v>
      </c>
      <c r="F412">
        <v>1004</v>
      </c>
      <c r="G412" t="s">
        <v>110</v>
      </c>
      <c r="J412" t="s">
        <v>111</v>
      </c>
      <c r="K412">
        <v>0</v>
      </c>
      <c r="L412">
        <v>3</v>
      </c>
      <c r="M412">
        <v>0</v>
      </c>
      <c r="N412">
        <v>2</v>
      </c>
      <c r="O412">
        <v>1</v>
      </c>
      <c r="P412">
        <v>0</v>
      </c>
      <c r="Q412">
        <v>0</v>
      </c>
      <c r="R412" t="s">
        <v>112</v>
      </c>
      <c r="S412" t="str">
        <f>"13:57:13.578"</f>
        <v>13:57:13.578</v>
      </c>
      <c r="T412" t="str">
        <f>"13:57:13.180"</f>
        <v>13:57:13.180</v>
      </c>
      <c r="U412" t="str">
        <f t="shared" si="18"/>
        <v>ad5732</v>
      </c>
      <c r="V412">
        <v>0</v>
      </c>
      <c r="W412">
        <v>0</v>
      </c>
      <c r="X412">
        <v>1</v>
      </c>
      <c r="Z412">
        <v>0</v>
      </c>
      <c r="AA412">
        <v>9</v>
      </c>
      <c r="AB412">
        <v>3</v>
      </c>
      <c r="AC412">
        <v>0</v>
      </c>
      <c r="AD412">
        <v>10</v>
      </c>
      <c r="AE412">
        <v>0</v>
      </c>
      <c r="AF412">
        <v>3</v>
      </c>
      <c r="AG412">
        <v>2</v>
      </c>
      <c r="AH412">
        <v>0</v>
      </c>
      <c r="AI412" t="s">
        <v>917</v>
      </c>
      <c r="AJ412">
        <v>39.219152999999999</v>
      </c>
      <c r="AK412" t="s">
        <v>918</v>
      </c>
      <c r="AL412">
        <v>-77.425417999999993</v>
      </c>
      <c r="AM412">
        <v>100</v>
      </c>
      <c r="AN412">
        <v>7000</v>
      </c>
      <c r="AO412" t="s">
        <v>115</v>
      </c>
      <c r="AP412">
        <v>128</v>
      </c>
      <c r="AQ412">
        <v>55</v>
      </c>
      <c r="AR412">
        <v>1280</v>
      </c>
      <c r="AZ412">
        <v>3614</v>
      </c>
      <c r="BA412">
        <v>1</v>
      </c>
      <c r="BB412" t="str">
        <f t="shared" si="20"/>
        <v xml:space="preserve">N959MJ  </v>
      </c>
      <c r="BC412">
        <v>1</v>
      </c>
      <c r="BE412">
        <v>0</v>
      </c>
      <c r="BF412">
        <v>0</v>
      </c>
      <c r="BG412">
        <v>0</v>
      </c>
      <c r="BH412">
        <v>7275</v>
      </c>
      <c r="BI412">
        <v>275</v>
      </c>
      <c r="BJ412">
        <v>1</v>
      </c>
      <c r="BK412">
        <v>1</v>
      </c>
      <c r="BL412">
        <v>1</v>
      </c>
      <c r="BM412">
        <v>0</v>
      </c>
      <c r="BP412">
        <v>0</v>
      </c>
      <c r="BQ412">
        <v>0</v>
      </c>
      <c r="BX412" t="str">
        <f>"13:57:13.578"</f>
        <v>13:57:13.578</v>
      </c>
      <c r="BY412" t="str">
        <f>"581592471"</f>
        <v>581592471</v>
      </c>
      <c r="CL412">
        <v>0</v>
      </c>
      <c r="CM412">
        <v>2</v>
      </c>
      <c r="CN412">
        <v>0</v>
      </c>
      <c r="CO412">
        <v>2</v>
      </c>
      <c r="CP412">
        <v>0</v>
      </c>
      <c r="CQ412">
        <v>7</v>
      </c>
      <c r="CR412" t="s">
        <v>116</v>
      </c>
      <c r="CS412">
        <v>525</v>
      </c>
      <c r="CT412">
        <v>2</v>
      </c>
      <c r="CU412" t="s">
        <v>140</v>
      </c>
      <c r="CV412" t="s">
        <v>141</v>
      </c>
      <c r="CY412">
        <v>14186959</v>
      </c>
      <c r="CZ412" t="s">
        <v>119</v>
      </c>
    </row>
    <row r="413" spans="1:104" x14ac:dyDescent="0.25">
      <c r="A413" t="str">
        <f>"13:57:14.859"</f>
        <v>13:57:14.859</v>
      </c>
      <c r="B413" t="s">
        <v>108</v>
      </c>
      <c r="C413" t="str">
        <f t="shared" si="19"/>
        <v>ffdfd3c0</v>
      </c>
      <c r="D413" t="s">
        <v>109</v>
      </c>
      <c r="E413">
        <v>4</v>
      </c>
      <c r="F413">
        <v>1004</v>
      </c>
      <c r="G413" t="s">
        <v>110</v>
      </c>
      <c r="J413" t="s">
        <v>111</v>
      </c>
      <c r="K413">
        <v>0</v>
      </c>
      <c r="L413">
        <v>3</v>
      </c>
      <c r="M413">
        <v>0</v>
      </c>
      <c r="N413">
        <v>2</v>
      </c>
      <c r="O413">
        <v>1</v>
      </c>
      <c r="P413">
        <v>0</v>
      </c>
      <c r="Q413">
        <v>0</v>
      </c>
      <c r="R413" t="s">
        <v>112</v>
      </c>
      <c r="S413" t="str">
        <f>"13:57:14.672"</f>
        <v>13:57:14.672</v>
      </c>
      <c r="T413" t="str">
        <f>"13:57:14.172"</f>
        <v>13:57:14.172</v>
      </c>
      <c r="U413" t="str">
        <f t="shared" si="18"/>
        <v>ad5732</v>
      </c>
      <c r="V413">
        <v>0</v>
      </c>
      <c r="W413">
        <v>0</v>
      </c>
      <c r="X413">
        <v>1</v>
      </c>
      <c r="Z413">
        <v>0</v>
      </c>
      <c r="AA413">
        <v>9</v>
      </c>
      <c r="AB413">
        <v>3</v>
      </c>
      <c r="AC413">
        <v>0</v>
      </c>
      <c r="AD413">
        <v>10</v>
      </c>
      <c r="AE413">
        <v>0</v>
      </c>
      <c r="AF413">
        <v>3</v>
      </c>
      <c r="AG413">
        <v>2</v>
      </c>
      <c r="AH413">
        <v>0</v>
      </c>
      <c r="AI413" t="s">
        <v>919</v>
      </c>
      <c r="AJ413">
        <v>39.219410000000003</v>
      </c>
      <c r="AK413" t="s">
        <v>920</v>
      </c>
      <c r="AL413">
        <v>-77.424537999999998</v>
      </c>
      <c r="AM413">
        <v>100</v>
      </c>
      <c r="AN413">
        <v>7000</v>
      </c>
      <c r="AO413" t="s">
        <v>115</v>
      </c>
      <c r="AP413">
        <v>128</v>
      </c>
      <c r="AQ413">
        <v>54</v>
      </c>
      <c r="AR413">
        <v>1344</v>
      </c>
      <c r="AZ413">
        <v>3614</v>
      </c>
      <c r="BA413">
        <v>1</v>
      </c>
      <c r="BB413" t="str">
        <f t="shared" si="20"/>
        <v xml:space="preserve">N959MJ  </v>
      </c>
      <c r="BC413">
        <v>1</v>
      </c>
      <c r="BE413">
        <v>0</v>
      </c>
      <c r="BF413">
        <v>0</v>
      </c>
      <c r="BG413">
        <v>0</v>
      </c>
      <c r="BH413">
        <v>7300</v>
      </c>
      <c r="BI413">
        <v>300</v>
      </c>
      <c r="BJ413">
        <v>1</v>
      </c>
      <c r="BK413">
        <v>1</v>
      </c>
      <c r="BL413">
        <v>1</v>
      </c>
      <c r="BM413">
        <v>0</v>
      </c>
      <c r="BP413">
        <v>0</v>
      </c>
      <c r="BQ413">
        <v>0</v>
      </c>
      <c r="BX413" t="str">
        <f>"13:57:14.672"</f>
        <v>13:57:14.672</v>
      </c>
      <c r="BY413" t="str">
        <f>"674422512"</f>
        <v>674422512</v>
      </c>
      <c r="CL413">
        <v>0</v>
      </c>
      <c r="CM413">
        <v>2</v>
      </c>
      <c r="CN413">
        <v>0</v>
      </c>
      <c r="CO413">
        <v>2</v>
      </c>
      <c r="CP413">
        <v>0</v>
      </c>
      <c r="CQ413">
        <v>7</v>
      </c>
      <c r="CR413" t="s">
        <v>116</v>
      </c>
      <c r="CS413">
        <v>525</v>
      </c>
      <c r="CT413">
        <v>2</v>
      </c>
      <c r="CU413" t="s">
        <v>140</v>
      </c>
      <c r="CV413" t="s">
        <v>141</v>
      </c>
      <c r="CY413">
        <v>14188688</v>
      </c>
      <c r="CZ413" t="s">
        <v>119</v>
      </c>
    </row>
    <row r="414" spans="1:104" x14ac:dyDescent="0.25">
      <c r="A414" t="str">
        <f>"13:57:15.867"</f>
        <v>13:57:15.867</v>
      </c>
      <c r="B414" t="s">
        <v>108</v>
      </c>
      <c r="C414" t="str">
        <f t="shared" si="19"/>
        <v>ffdfd3c0</v>
      </c>
      <c r="D414" t="s">
        <v>109</v>
      </c>
      <c r="E414">
        <v>4</v>
      </c>
      <c r="F414">
        <v>1004</v>
      </c>
      <c r="G414" t="s">
        <v>110</v>
      </c>
      <c r="J414" t="s">
        <v>111</v>
      </c>
      <c r="K414">
        <v>0</v>
      </c>
      <c r="L414">
        <v>3</v>
      </c>
      <c r="M414">
        <v>0</v>
      </c>
      <c r="N414">
        <v>2</v>
      </c>
      <c r="O414">
        <v>1</v>
      </c>
      <c r="P414">
        <v>0</v>
      </c>
      <c r="Q414">
        <v>0</v>
      </c>
      <c r="R414" t="s">
        <v>112</v>
      </c>
      <c r="S414" t="str">
        <f>"13:57:15.703"</f>
        <v>13:57:15.703</v>
      </c>
      <c r="T414" t="str">
        <f>"13:57:15.305"</f>
        <v>13:57:15.305</v>
      </c>
      <c r="U414" t="str">
        <f t="shared" si="18"/>
        <v>ad5732</v>
      </c>
      <c r="V414">
        <v>0</v>
      </c>
      <c r="W414">
        <v>0</v>
      </c>
      <c r="X414">
        <v>1</v>
      </c>
      <c r="Z414">
        <v>0</v>
      </c>
      <c r="AA414">
        <v>9</v>
      </c>
      <c r="AB414">
        <v>3</v>
      </c>
      <c r="AC414">
        <v>0</v>
      </c>
      <c r="AD414">
        <v>10</v>
      </c>
      <c r="AE414">
        <v>0</v>
      </c>
      <c r="AF414">
        <v>3</v>
      </c>
      <c r="AG414">
        <v>2</v>
      </c>
      <c r="AH414">
        <v>0</v>
      </c>
      <c r="AI414" t="s">
        <v>921</v>
      </c>
      <c r="AJ414">
        <v>39.219625000000001</v>
      </c>
      <c r="AK414" t="s">
        <v>922</v>
      </c>
      <c r="AL414">
        <v>-77.423809000000006</v>
      </c>
      <c r="AM414">
        <v>100</v>
      </c>
      <c r="AN414">
        <v>7000</v>
      </c>
      <c r="AO414" t="s">
        <v>115</v>
      </c>
      <c r="AP414">
        <v>127</v>
      </c>
      <c r="AQ414">
        <v>54</v>
      </c>
      <c r="AR414">
        <v>1344</v>
      </c>
      <c r="AZ414">
        <v>3614</v>
      </c>
      <c r="BA414">
        <v>1</v>
      </c>
      <c r="BB414" t="str">
        <f t="shared" si="20"/>
        <v xml:space="preserve">N959MJ  </v>
      </c>
      <c r="BC414">
        <v>1</v>
      </c>
      <c r="BE414">
        <v>0</v>
      </c>
      <c r="BF414">
        <v>0</v>
      </c>
      <c r="BG414">
        <v>0</v>
      </c>
      <c r="BH414">
        <v>7325</v>
      </c>
      <c r="BI414">
        <v>325</v>
      </c>
      <c r="BJ414">
        <v>1</v>
      </c>
      <c r="BK414">
        <v>1</v>
      </c>
      <c r="BL414">
        <v>1</v>
      </c>
      <c r="BM414">
        <v>0</v>
      </c>
      <c r="BP414">
        <v>0</v>
      </c>
      <c r="BQ414">
        <v>0</v>
      </c>
      <c r="BX414" t="str">
        <f>"13:57:15.711"</f>
        <v>13:57:15.711</v>
      </c>
      <c r="BY414" t="str">
        <f>"708480251"</f>
        <v>708480251</v>
      </c>
      <c r="CL414">
        <v>0</v>
      </c>
      <c r="CM414">
        <v>2</v>
      </c>
      <c r="CN414">
        <v>0</v>
      </c>
      <c r="CO414">
        <v>2</v>
      </c>
      <c r="CP414">
        <v>0</v>
      </c>
      <c r="CQ414">
        <v>6</v>
      </c>
      <c r="CR414" t="s">
        <v>116</v>
      </c>
      <c r="CS414">
        <v>373</v>
      </c>
      <c r="CT414">
        <v>3</v>
      </c>
      <c r="CU414" t="s">
        <v>224</v>
      </c>
      <c r="CV414" t="s">
        <v>225</v>
      </c>
      <c r="CY414">
        <v>2082319</v>
      </c>
      <c r="CZ414" t="s">
        <v>119</v>
      </c>
    </row>
    <row r="415" spans="1:104" x14ac:dyDescent="0.25">
      <c r="A415" t="str">
        <f>"13:57:16.781"</f>
        <v>13:57:16.781</v>
      </c>
      <c r="B415" t="s">
        <v>108</v>
      </c>
      <c r="C415" t="str">
        <f t="shared" si="19"/>
        <v>ffdfd3c0</v>
      </c>
      <c r="D415" t="s">
        <v>109</v>
      </c>
      <c r="E415">
        <v>4</v>
      </c>
      <c r="F415">
        <v>1004</v>
      </c>
      <c r="G415" t="s">
        <v>110</v>
      </c>
      <c r="J415" t="s">
        <v>111</v>
      </c>
      <c r="K415">
        <v>0</v>
      </c>
      <c r="L415">
        <v>3</v>
      </c>
      <c r="M415">
        <v>0</v>
      </c>
      <c r="N415">
        <v>2</v>
      </c>
      <c r="O415">
        <v>1</v>
      </c>
      <c r="P415">
        <v>0</v>
      </c>
      <c r="Q415">
        <v>0</v>
      </c>
      <c r="R415" t="s">
        <v>112</v>
      </c>
      <c r="S415" t="str">
        <f>"13:57:16.594"</f>
        <v>13:57:16.594</v>
      </c>
      <c r="T415" t="str">
        <f>"13:57:16.195"</f>
        <v>13:57:16.195</v>
      </c>
      <c r="U415" t="str">
        <f t="shared" si="18"/>
        <v>ad5732</v>
      </c>
      <c r="V415">
        <v>0</v>
      </c>
      <c r="W415">
        <v>0</v>
      </c>
      <c r="X415">
        <v>1</v>
      </c>
      <c r="Z415">
        <v>0</v>
      </c>
      <c r="AA415">
        <v>9</v>
      </c>
      <c r="AB415">
        <v>3</v>
      </c>
      <c r="AC415">
        <v>0</v>
      </c>
      <c r="AD415">
        <v>10</v>
      </c>
      <c r="AE415">
        <v>0</v>
      </c>
      <c r="AF415">
        <v>3</v>
      </c>
      <c r="AG415">
        <v>2</v>
      </c>
      <c r="AH415">
        <v>0</v>
      </c>
      <c r="AI415" t="s">
        <v>923</v>
      </c>
      <c r="AJ415">
        <v>39.219881999999998</v>
      </c>
      <c r="AK415" t="s">
        <v>924</v>
      </c>
      <c r="AL415">
        <v>-77.423100000000005</v>
      </c>
      <c r="AM415">
        <v>100</v>
      </c>
      <c r="AN415">
        <v>7000</v>
      </c>
      <c r="AO415" t="s">
        <v>115</v>
      </c>
      <c r="AP415">
        <v>127</v>
      </c>
      <c r="AQ415">
        <v>53</v>
      </c>
      <c r="AR415">
        <v>1344</v>
      </c>
      <c r="AZ415">
        <v>3614</v>
      </c>
      <c r="BA415">
        <v>1</v>
      </c>
      <c r="BB415" t="str">
        <f t="shared" si="20"/>
        <v xml:space="preserve">N959MJ  </v>
      </c>
      <c r="BC415">
        <v>1</v>
      </c>
      <c r="BE415">
        <v>0</v>
      </c>
      <c r="BF415">
        <v>0</v>
      </c>
      <c r="BG415">
        <v>0</v>
      </c>
      <c r="BH415">
        <v>7350</v>
      </c>
      <c r="BI415">
        <v>350</v>
      </c>
      <c r="BJ415">
        <v>1</v>
      </c>
      <c r="BK415">
        <v>1</v>
      </c>
      <c r="BL415">
        <v>1</v>
      </c>
      <c r="BM415">
        <v>0</v>
      </c>
      <c r="BP415">
        <v>0</v>
      </c>
      <c r="BQ415">
        <v>0</v>
      </c>
      <c r="BX415" t="str">
        <f>"13:57:16.602"</f>
        <v>13:57:16.602</v>
      </c>
      <c r="BY415" t="str">
        <f>"601422386"</f>
        <v>601422386</v>
      </c>
      <c r="CL415">
        <v>0</v>
      </c>
      <c r="CM415">
        <v>2</v>
      </c>
      <c r="CN415">
        <v>0</v>
      </c>
      <c r="CO415">
        <v>2</v>
      </c>
      <c r="CP415">
        <v>0</v>
      </c>
      <c r="CQ415">
        <v>6</v>
      </c>
      <c r="CR415" t="s">
        <v>116</v>
      </c>
      <c r="CS415">
        <v>373</v>
      </c>
      <c r="CT415">
        <v>3</v>
      </c>
      <c r="CU415" t="s">
        <v>224</v>
      </c>
      <c r="CV415" t="s">
        <v>225</v>
      </c>
      <c r="CY415">
        <v>2083975</v>
      </c>
      <c r="CZ415" t="s">
        <v>119</v>
      </c>
    </row>
    <row r="416" spans="1:104" x14ac:dyDescent="0.25">
      <c r="A416" t="str">
        <f>"13:57:17.789"</f>
        <v>13:57:17.789</v>
      </c>
      <c r="B416" t="s">
        <v>108</v>
      </c>
      <c r="C416" t="str">
        <f t="shared" si="19"/>
        <v>ffdfd3c0</v>
      </c>
      <c r="D416" t="s">
        <v>109</v>
      </c>
      <c r="E416">
        <v>4</v>
      </c>
      <c r="F416">
        <v>1004</v>
      </c>
      <c r="G416" t="s">
        <v>110</v>
      </c>
      <c r="J416" t="s">
        <v>111</v>
      </c>
      <c r="K416">
        <v>0</v>
      </c>
      <c r="L416">
        <v>3</v>
      </c>
      <c r="M416">
        <v>0</v>
      </c>
      <c r="N416">
        <v>2</v>
      </c>
      <c r="O416">
        <v>1</v>
      </c>
      <c r="P416">
        <v>0</v>
      </c>
      <c r="Q416">
        <v>0</v>
      </c>
      <c r="R416" t="s">
        <v>112</v>
      </c>
      <c r="S416" t="str">
        <f>"13:57:17.602"</f>
        <v>13:57:17.602</v>
      </c>
      <c r="T416" t="str">
        <f>"13:57:17.102"</f>
        <v>13:57:17.102</v>
      </c>
      <c r="U416" t="str">
        <f t="shared" si="18"/>
        <v>ad5732</v>
      </c>
      <c r="V416">
        <v>0</v>
      </c>
      <c r="W416">
        <v>0</v>
      </c>
      <c r="X416">
        <v>1</v>
      </c>
      <c r="Z416">
        <v>0</v>
      </c>
      <c r="AA416">
        <v>9</v>
      </c>
      <c r="AB416">
        <v>3</v>
      </c>
      <c r="AC416">
        <v>0</v>
      </c>
      <c r="AD416">
        <v>10</v>
      </c>
      <c r="AE416">
        <v>0</v>
      </c>
      <c r="AF416">
        <v>3</v>
      </c>
      <c r="AG416">
        <v>2</v>
      </c>
      <c r="AH416">
        <v>0</v>
      </c>
      <c r="AI416" t="s">
        <v>925</v>
      </c>
      <c r="AJ416">
        <v>39.220118999999997</v>
      </c>
      <c r="AK416" t="s">
        <v>926</v>
      </c>
      <c r="AL416">
        <v>-77.422370999999998</v>
      </c>
      <c r="AM416">
        <v>100</v>
      </c>
      <c r="AN416">
        <v>7100</v>
      </c>
      <c r="AO416" t="s">
        <v>115</v>
      </c>
      <c r="AP416">
        <v>127</v>
      </c>
      <c r="AQ416">
        <v>53</v>
      </c>
      <c r="AR416">
        <v>1344</v>
      </c>
      <c r="AZ416">
        <v>3614</v>
      </c>
      <c r="BA416">
        <v>1</v>
      </c>
      <c r="BB416" t="str">
        <f t="shared" si="20"/>
        <v xml:space="preserve">N959MJ  </v>
      </c>
      <c r="BC416">
        <v>1</v>
      </c>
      <c r="BE416">
        <v>0</v>
      </c>
      <c r="BF416">
        <v>0</v>
      </c>
      <c r="BG416">
        <v>0</v>
      </c>
      <c r="BH416">
        <v>7375</v>
      </c>
      <c r="BI416">
        <v>275</v>
      </c>
      <c r="BJ416">
        <v>1</v>
      </c>
      <c r="BK416">
        <v>1</v>
      </c>
      <c r="BL416">
        <v>1</v>
      </c>
      <c r="BM416">
        <v>0</v>
      </c>
      <c r="BP416">
        <v>0</v>
      </c>
      <c r="BQ416">
        <v>0</v>
      </c>
      <c r="BX416" t="str">
        <f>"13:57:17.609"</f>
        <v>13:57:17.609</v>
      </c>
      <c r="BY416" t="str">
        <f>"607204790"</f>
        <v>607204790</v>
      </c>
      <c r="CL416">
        <v>0</v>
      </c>
      <c r="CM416">
        <v>2</v>
      </c>
      <c r="CN416">
        <v>0</v>
      </c>
      <c r="CO416">
        <v>2</v>
      </c>
      <c r="CP416">
        <v>0</v>
      </c>
      <c r="CQ416">
        <v>7</v>
      </c>
      <c r="CR416" t="s">
        <v>116</v>
      </c>
      <c r="CS416">
        <v>525</v>
      </c>
      <c r="CT416">
        <v>2</v>
      </c>
      <c r="CU416" t="s">
        <v>140</v>
      </c>
      <c r="CV416" t="s">
        <v>141</v>
      </c>
      <c r="CY416">
        <v>14192968</v>
      </c>
      <c r="CZ416" t="s">
        <v>119</v>
      </c>
    </row>
    <row r="417" spans="1:104" x14ac:dyDescent="0.25">
      <c r="A417" t="str">
        <f>"13:57:18.695"</f>
        <v>13:57:18.695</v>
      </c>
      <c r="B417" t="s">
        <v>108</v>
      </c>
      <c r="C417" t="str">
        <f t="shared" si="19"/>
        <v>ffdfd3c0</v>
      </c>
      <c r="D417" t="s">
        <v>109</v>
      </c>
      <c r="E417">
        <v>4</v>
      </c>
      <c r="F417">
        <v>1004</v>
      </c>
      <c r="G417" t="s">
        <v>110</v>
      </c>
      <c r="J417" t="s">
        <v>111</v>
      </c>
      <c r="K417">
        <v>0</v>
      </c>
      <c r="L417">
        <v>3</v>
      </c>
      <c r="M417">
        <v>0</v>
      </c>
      <c r="N417">
        <v>2</v>
      </c>
      <c r="O417">
        <v>1</v>
      </c>
      <c r="P417">
        <v>0</v>
      </c>
      <c r="Q417">
        <v>0</v>
      </c>
      <c r="R417" t="s">
        <v>112</v>
      </c>
      <c r="S417" t="str">
        <f>"13:57:18.531"</f>
        <v>13:57:18.531</v>
      </c>
      <c r="T417" t="str">
        <f>"13:57:18.133"</f>
        <v>13:57:18.133</v>
      </c>
      <c r="U417" t="str">
        <f t="shared" si="18"/>
        <v>ad5732</v>
      </c>
      <c r="V417">
        <v>0</v>
      </c>
      <c r="W417">
        <v>0</v>
      </c>
      <c r="X417">
        <v>1</v>
      </c>
      <c r="Z417">
        <v>0</v>
      </c>
      <c r="AA417">
        <v>9</v>
      </c>
      <c r="AB417">
        <v>3</v>
      </c>
      <c r="AC417">
        <v>0</v>
      </c>
      <c r="AD417">
        <v>10</v>
      </c>
      <c r="AE417">
        <v>0</v>
      </c>
      <c r="AF417">
        <v>3</v>
      </c>
      <c r="AG417">
        <v>2</v>
      </c>
      <c r="AH417">
        <v>0</v>
      </c>
      <c r="AI417" t="s">
        <v>927</v>
      </c>
      <c r="AJ417">
        <v>39.220376000000002</v>
      </c>
      <c r="AK417" t="s">
        <v>928</v>
      </c>
      <c r="AL417">
        <v>-77.421662999999995</v>
      </c>
      <c r="AM417">
        <v>100</v>
      </c>
      <c r="AN417">
        <v>7100</v>
      </c>
      <c r="AO417" t="s">
        <v>115</v>
      </c>
      <c r="AP417">
        <v>126</v>
      </c>
      <c r="AQ417">
        <v>53</v>
      </c>
      <c r="AR417">
        <v>1344</v>
      </c>
      <c r="AZ417">
        <v>3614</v>
      </c>
      <c r="BA417">
        <v>1</v>
      </c>
      <c r="BB417" t="str">
        <f t="shared" si="20"/>
        <v xml:space="preserve">N959MJ  </v>
      </c>
      <c r="BC417">
        <v>1</v>
      </c>
      <c r="BE417">
        <v>0</v>
      </c>
      <c r="BF417">
        <v>0</v>
      </c>
      <c r="BG417">
        <v>0</v>
      </c>
      <c r="BH417">
        <v>7400</v>
      </c>
      <c r="BI417">
        <v>300</v>
      </c>
      <c r="BJ417">
        <v>1</v>
      </c>
      <c r="BK417">
        <v>1</v>
      </c>
      <c r="BL417">
        <v>1</v>
      </c>
      <c r="BM417">
        <v>0</v>
      </c>
      <c r="BP417">
        <v>0</v>
      </c>
      <c r="BQ417">
        <v>0</v>
      </c>
      <c r="BX417" t="str">
        <f>"13:57:18.539"</f>
        <v>13:57:18.539</v>
      </c>
      <c r="BY417" t="str">
        <f>"536192250"</f>
        <v>536192250</v>
      </c>
      <c r="CL417">
        <v>0</v>
      </c>
      <c r="CM417">
        <v>2</v>
      </c>
      <c r="CN417">
        <v>0</v>
      </c>
      <c r="CO417">
        <v>2</v>
      </c>
      <c r="CP417">
        <v>0</v>
      </c>
      <c r="CQ417">
        <v>7</v>
      </c>
      <c r="CR417" t="s">
        <v>116</v>
      </c>
      <c r="CS417">
        <v>525</v>
      </c>
      <c r="CT417">
        <v>2</v>
      </c>
      <c r="CU417" t="s">
        <v>140</v>
      </c>
      <c r="CV417" t="s">
        <v>141</v>
      </c>
      <c r="CY417">
        <v>14194389</v>
      </c>
      <c r="CZ417" t="s">
        <v>119</v>
      </c>
    </row>
    <row r="418" spans="1:104" x14ac:dyDescent="0.25">
      <c r="A418" t="str">
        <f>"13:57:19.758"</f>
        <v>13:57:19.758</v>
      </c>
      <c r="B418" t="s">
        <v>108</v>
      </c>
      <c r="C418" t="str">
        <f t="shared" si="19"/>
        <v>ffdfd3c0</v>
      </c>
      <c r="D418" t="s">
        <v>109</v>
      </c>
      <c r="E418">
        <v>4</v>
      </c>
      <c r="F418">
        <v>1004</v>
      </c>
      <c r="G418" t="s">
        <v>110</v>
      </c>
      <c r="J418" t="s">
        <v>111</v>
      </c>
      <c r="K418">
        <v>0</v>
      </c>
      <c r="L418">
        <v>3</v>
      </c>
      <c r="M418">
        <v>0</v>
      </c>
      <c r="N418">
        <v>2</v>
      </c>
      <c r="O418">
        <v>1</v>
      </c>
      <c r="P418">
        <v>0</v>
      </c>
      <c r="Q418">
        <v>0</v>
      </c>
      <c r="R418" t="s">
        <v>112</v>
      </c>
      <c r="S418" t="str">
        <f>"13:57:19.586"</f>
        <v>13:57:19.586</v>
      </c>
      <c r="T418" t="str">
        <f>"13:57:19.086"</f>
        <v>13:57:19.086</v>
      </c>
      <c r="U418" t="str">
        <f t="shared" si="18"/>
        <v>ad5732</v>
      </c>
      <c r="V418">
        <v>0</v>
      </c>
      <c r="W418">
        <v>0</v>
      </c>
      <c r="X418">
        <v>1</v>
      </c>
      <c r="Z418">
        <v>0</v>
      </c>
      <c r="AA418">
        <v>9</v>
      </c>
      <c r="AB418">
        <v>3</v>
      </c>
      <c r="AC418">
        <v>0</v>
      </c>
      <c r="AD418">
        <v>10</v>
      </c>
      <c r="AE418">
        <v>0</v>
      </c>
      <c r="AF418">
        <v>3</v>
      </c>
      <c r="AG418">
        <v>2</v>
      </c>
      <c r="AH418">
        <v>0</v>
      </c>
      <c r="AI418" t="s">
        <v>929</v>
      </c>
      <c r="AJ418">
        <v>39.220590999999999</v>
      </c>
      <c r="AK418" t="s">
        <v>930</v>
      </c>
      <c r="AL418">
        <v>-77.420846999999995</v>
      </c>
      <c r="AM418">
        <v>100</v>
      </c>
      <c r="AN418">
        <v>7100</v>
      </c>
      <c r="AO418" t="s">
        <v>115</v>
      </c>
      <c r="AP418">
        <v>126</v>
      </c>
      <c r="AQ418">
        <v>52</v>
      </c>
      <c r="AR418">
        <v>1280</v>
      </c>
      <c r="AZ418">
        <v>3614</v>
      </c>
      <c r="BA418">
        <v>1</v>
      </c>
      <c r="BB418" t="str">
        <f t="shared" si="20"/>
        <v xml:space="preserve">N959MJ  </v>
      </c>
      <c r="BC418">
        <v>1</v>
      </c>
      <c r="BE418">
        <v>0</v>
      </c>
      <c r="BF418">
        <v>0</v>
      </c>
      <c r="BG418">
        <v>0</v>
      </c>
      <c r="BH418">
        <v>7400</v>
      </c>
      <c r="BI418">
        <v>300</v>
      </c>
      <c r="BJ418">
        <v>1</v>
      </c>
      <c r="BK418">
        <v>1</v>
      </c>
      <c r="BL418">
        <v>1</v>
      </c>
      <c r="BM418">
        <v>0</v>
      </c>
      <c r="BP418">
        <v>0</v>
      </c>
      <c r="BQ418">
        <v>0</v>
      </c>
      <c r="BX418" t="str">
        <f>"13:57:19.586"</f>
        <v>13:57:19.586</v>
      </c>
      <c r="BY418" t="str">
        <f>"588061664"</f>
        <v>588061664</v>
      </c>
      <c r="CL418">
        <v>0</v>
      </c>
      <c r="CM418">
        <v>2</v>
      </c>
      <c r="CN418">
        <v>0</v>
      </c>
      <c r="CO418">
        <v>2</v>
      </c>
      <c r="CP418">
        <v>0</v>
      </c>
      <c r="CQ418">
        <v>7</v>
      </c>
      <c r="CR418" t="s">
        <v>116</v>
      </c>
      <c r="CS418">
        <v>525</v>
      </c>
      <c r="CT418">
        <v>2</v>
      </c>
      <c r="CU418" t="s">
        <v>140</v>
      </c>
      <c r="CV418" t="s">
        <v>141</v>
      </c>
      <c r="CY418">
        <v>14196034</v>
      </c>
      <c r="CZ418" t="s">
        <v>119</v>
      </c>
    </row>
    <row r="419" spans="1:104" x14ac:dyDescent="0.25">
      <c r="A419" t="str">
        <f>"13:57:20.766"</f>
        <v>13:57:20.766</v>
      </c>
      <c r="B419" t="s">
        <v>108</v>
      </c>
      <c r="C419" t="str">
        <f t="shared" si="19"/>
        <v>ffdfd3c0</v>
      </c>
      <c r="D419" t="s">
        <v>109</v>
      </c>
      <c r="E419">
        <v>4</v>
      </c>
      <c r="F419">
        <v>1004</v>
      </c>
      <c r="G419" t="s">
        <v>110</v>
      </c>
      <c r="J419" t="s">
        <v>111</v>
      </c>
      <c r="K419">
        <v>0</v>
      </c>
      <c r="L419">
        <v>3</v>
      </c>
      <c r="M419">
        <v>0</v>
      </c>
      <c r="N419">
        <v>2</v>
      </c>
      <c r="O419">
        <v>1</v>
      </c>
      <c r="P419">
        <v>0</v>
      </c>
      <c r="Q419">
        <v>0</v>
      </c>
      <c r="R419" t="s">
        <v>112</v>
      </c>
      <c r="S419" t="str">
        <f>"13:57:20.578"</f>
        <v>13:57:20.578</v>
      </c>
      <c r="T419" t="str">
        <f>"13:57:20.078"</f>
        <v>13:57:20.078</v>
      </c>
      <c r="U419" t="str">
        <f t="shared" si="18"/>
        <v>ad5732</v>
      </c>
      <c r="V419">
        <v>0</v>
      </c>
      <c r="W419">
        <v>0</v>
      </c>
      <c r="X419">
        <v>1</v>
      </c>
      <c r="Z419">
        <v>0</v>
      </c>
      <c r="AA419">
        <v>9</v>
      </c>
      <c r="AB419">
        <v>3</v>
      </c>
      <c r="AC419">
        <v>0</v>
      </c>
      <c r="AD419">
        <v>10</v>
      </c>
      <c r="AE419">
        <v>0</v>
      </c>
      <c r="AF419">
        <v>3</v>
      </c>
      <c r="AG419">
        <v>2</v>
      </c>
      <c r="AH419">
        <v>0</v>
      </c>
      <c r="AI419" t="s">
        <v>931</v>
      </c>
      <c r="AJ419">
        <v>39.220869999999998</v>
      </c>
      <c r="AK419" t="s">
        <v>932</v>
      </c>
      <c r="AL419">
        <v>-77.420096000000001</v>
      </c>
      <c r="AM419">
        <v>100</v>
      </c>
      <c r="AN419">
        <v>7100</v>
      </c>
      <c r="AO419" t="s">
        <v>115</v>
      </c>
      <c r="AP419">
        <v>126</v>
      </c>
      <c r="AQ419">
        <v>52</v>
      </c>
      <c r="AR419">
        <v>1216</v>
      </c>
      <c r="AZ419">
        <v>3614</v>
      </c>
      <c r="BA419">
        <v>1</v>
      </c>
      <c r="BB419" t="str">
        <f t="shared" si="20"/>
        <v xml:space="preserve">N959MJ  </v>
      </c>
      <c r="BC419">
        <v>1</v>
      </c>
      <c r="BE419">
        <v>0</v>
      </c>
      <c r="BF419">
        <v>0</v>
      </c>
      <c r="BG419">
        <v>0</v>
      </c>
      <c r="BH419">
        <v>7425</v>
      </c>
      <c r="BI419">
        <v>325</v>
      </c>
      <c r="BJ419">
        <v>1</v>
      </c>
      <c r="BK419">
        <v>1</v>
      </c>
      <c r="BL419">
        <v>1</v>
      </c>
      <c r="BM419">
        <v>0</v>
      </c>
      <c r="BP419">
        <v>0</v>
      </c>
      <c r="BQ419">
        <v>0</v>
      </c>
      <c r="BX419" t="str">
        <f>"13:57:20.586"</f>
        <v>13:57:20.586</v>
      </c>
      <c r="BY419" t="str">
        <f>"585863071"</f>
        <v>585863071</v>
      </c>
      <c r="CL419">
        <v>0</v>
      </c>
      <c r="CM419">
        <v>2</v>
      </c>
      <c r="CN419">
        <v>0</v>
      </c>
      <c r="CO419">
        <v>2</v>
      </c>
      <c r="CP419">
        <v>0</v>
      </c>
      <c r="CQ419">
        <v>7</v>
      </c>
      <c r="CR419" t="s">
        <v>116</v>
      </c>
      <c r="CS419">
        <v>525</v>
      </c>
      <c r="CT419">
        <v>2</v>
      </c>
      <c r="CU419" t="s">
        <v>140</v>
      </c>
      <c r="CV419" t="s">
        <v>141</v>
      </c>
      <c r="CY419">
        <v>14197502</v>
      </c>
      <c r="CZ419" t="s">
        <v>119</v>
      </c>
    </row>
    <row r="420" spans="1:104" x14ac:dyDescent="0.25">
      <c r="A420" t="str">
        <f>"13:57:21.680"</f>
        <v>13:57:21.680</v>
      </c>
      <c r="B420" t="s">
        <v>108</v>
      </c>
      <c r="C420" t="str">
        <f t="shared" si="19"/>
        <v>ffdfd3c0</v>
      </c>
      <c r="D420" t="s">
        <v>109</v>
      </c>
      <c r="E420">
        <v>4</v>
      </c>
      <c r="F420">
        <v>1004</v>
      </c>
      <c r="G420" t="s">
        <v>110</v>
      </c>
      <c r="J420" t="s">
        <v>111</v>
      </c>
      <c r="K420">
        <v>0</v>
      </c>
      <c r="L420">
        <v>3</v>
      </c>
      <c r="M420">
        <v>0</v>
      </c>
      <c r="N420">
        <v>2</v>
      </c>
      <c r="O420">
        <v>1</v>
      </c>
      <c r="P420">
        <v>0</v>
      </c>
      <c r="Q420">
        <v>0</v>
      </c>
      <c r="R420" t="s">
        <v>112</v>
      </c>
      <c r="S420" t="str">
        <f>"13:57:21.469"</f>
        <v>13:57:21.469</v>
      </c>
      <c r="T420" t="str">
        <f>"13:57:21.070"</f>
        <v>13:57:21.070</v>
      </c>
      <c r="U420" t="str">
        <f t="shared" si="18"/>
        <v>ad5732</v>
      </c>
      <c r="V420">
        <v>0</v>
      </c>
      <c r="W420">
        <v>0</v>
      </c>
      <c r="X420">
        <v>1</v>
      </c>
      <c r="Z420">
        <v>0</v>
      </c>
      <c r="AA420">
        <v>9</v>
      </c>
      <c r="AB420">
        <v>3</v>
      </c>
      <c r="AC420">
        <v>0</v>
      </c>
      <c r="AD420">
        <v>10</v>
      </c>
      <c r="AE420">
        <v>0</v>
      </c>
      <c r="AF420">
        <v>3</v>
      </c>
      <c r="AG420">
        <v>2</v>
      </c>
      <c r="AH420">
        <v>0</v>
      </c>
      <c r="AI420" t="s">
        <v>933</v>
      </c>
      <c r="AJ420">
        <v>39.221063000000001</v>
      </c>
      <c r="AK420" t="s">
        <v>934</v>
      </c>
      <c r="AL420">
        <v>-77.419453000000004</v>
      </c>
      <c r="AM420">
        <v>100</v>
      </c>
      <c r="AN420">
        <v>7200</v>
      </c>
      <c r="AO420" t="s">
        <v>115</v>
      </c>
      <c r="AP420">
        <v>126</v>
      </c>
      <c r="AQ420">
        <v>51</v>
      </c>
      <c r="AR420">
        <v>1152</v>
      </c>
      <c r="AZ420">
        <v>3614</v>
      </c>
      <c r="BA420">
        <v>1</v>
      </c>
      <c r="BB420" t="str">
        <f t="shared" si="20"/>
        <v xml:space="preserve">N959MJ  </v>
      </c>
      <c r="BC420">
        <v>1</v>
      </c>
      <c r="BE420">
        <v>0</v>
      </c>
      <c r="BF420">
        <v>0</v>
      </c>
      <c r="BG420">
        <v>0</v>
      </c>
      <c r="BH420">
        <v>7450</v>
      </c>
      <c r="BI420">
        <v>250</v>
      </c>
      <c r="BJ420">
        <v>1</v>
      </c>
      <c r="BK420">
        <v>1</v>
      </c>
      <c r="BL420">
        <v>1</v>
      </c>
      <c r="BM420">
        <v>0</v>
      </c>
      <c r="BP420">
        <v>0</v>
      </c>
      <c r="BQ420">
        <v>0</v>
      </c>
      <c r="BX420" t="str">
        <f>"13:57:21.477"</f>
        <v>13:57:21.477</v>
      </c>
      <c r="BY420" t="str">
        <f>"473890100"</f>
        <v>473890100</v>
      </c>
      <c r="CL420">
        <v>0</v>
      </c>
      <c r="CM420">
        <v>2</v>
      </c>
      <c r="CN420">
        <v>0</v>
      </c>
      <c r="CO420">
        <v>2</v>
      </c>
      <c r="CP420">
        <v>0</v>
      </c>
      <c r="CQ420">
        <v>7</v>
      </c>
      <c r="CR420" t="s">
        <v>116</v>
      </c>
      <c r="CS420">
        <v>525</v>
      </c>
      <c r="CT420">
        <v>2</v>
      </c>
      <c r="CU420" t="s">
        <v>140</v>
      </c>
      <c r="CV420" t="s">
        <v>141</v>
      </c>
      <c r="CY420">
        <v>14198896</v>
      </c>
      <c r="CZ420" t="s">
        <v>119</v>
      </c>
    </row>
    <row r="421" spans="1:104" x14ac:dyDescent="0.25">
      <c r="A421" t="str">
        <f>"13:57:22.734"</f>
        <v>13:57:22.734</v>
      </c>
      <c r="B421" t="s">
        <v>108</v>
      </c>
      <c r="C421" t="str">
        <f t="shared" si="19"/>
        <v>ffdfd3c0</v>
      </c>
      <c r="D421" t="s">
        <v>109</v>
      </c>
      <c r="E421">
        <v>4</v>
      </c>
      <c r="F421">
        <v>1004</v>
      </c>
      <c r="G421" t="s">
        <v>110</v>
      </c>
      <c r="J421" t="s">
        <v>111</v>
      </c>
      <c r="K421">
        <v>0</v>
      </c>
      <c r="L421">
        <v>3</v>
      </c>
      <c r="M421">
        <v>0</v>
      </c>
      <c r="N421">
        <v>2</v>
      </c>
      <c r="O421">
        <v>1</v>
      </c>
      <c r="P421">
        <v>0</v>
      </c>
      <c r="Q421">
        <v>0</v>
      </c>
      <c r="R421" t="s">
        <v>112</v>
      </c>
      <c r="S421" t="str">
        <f>"13:57:22.555"</f>
        <v>13:57:22.555</v>
      </c>
      <c r="T421" t="str">
        <f>"13:57:22.055"</f>
        <v>13:57:22.055</v>
      </c>
      <c r="U421" t="str">
        <f t="shared" si="18"/>
        <v>ad5732</v>
      </c>
      <c r="V421">
        <v>0</v>
      </c>
      <c r="W421">
        <v>0</v>
      </c>
      <c r="X421">
        <v>1</v>
      </c>
      <c r="Z421">
        <v>0</v>
      </c>
      <c r="AA421">
        <v>9</v>
      </c>
      <c r="AB421">
        <v>3</v>
      </c>
      <c r="AC421">
        <v>0</v>
      </c>
      <c r="AD421">
        <v>10</v>
      </c>
      <c r="AE421">
        <v>0</v>
      </c>
      <c r="AF421">
        <v>3</v>
      </c>
      <c r="AG421">
        <v>2</v>
      </c>
      <c r="AH421">
        <v>0</v>
      </c>
      <c r="AI421" t="s">
        <v>935</v>
      </c>
      <c r="AJ421">
        <v>39.221277000000001</v>
      </c>
      <c r="AK421" t="s">
        <v>936</v>
      </c>
      <c r="AL421">
        <v>-77.418679999999995</v>
      </c>
      <c r="AM421">
        <v>100</v>
      </c>
      <c r="AN421">
        <v>7200</v>
      </c>
      <c r="AO421" t="s">
        <v>115</v>
      </c>
      <c r="AP421">
        <v>126</v>
      </c>
      <c r="AQ421">
        <v>51</v>
      </c>
      <c r="AR421">
        <v>1088</v>
      </c>
      <c r="AZ421">
        <v>3614</v>
      </c>
      <c r="BA421">
        <v>1</v>
      </c>
      <c r="BB421" t="str">
        <f t="shared" si="20"/>
        <v xml:space="preserve">N959MJ  </v>
      </c>
      <c r="BC421">
        <v>1</v>
      </c>
      <c r="BE421">
        <v>0</v>
      </c>
      <c r="BF421">
        <v>0</v>
      </c>
      <c r="BG421">
        <v>0</v>
      </c>
      <c r="BH421">
        <v>7475</v>
      </c>
      <c r="BI421">
        <v>275</v>
      </c>
      <c r="BJ421">
        <v>1</v>
      </c>
      <c r="BK421">
        <v>1</v>
      </c>
      <c r="BL421">
        <v>1</v>
      </c>
      <c r="BM421">
        <v>0</v>
      </c>
      <c r="BP421">
        <v>0</v>
      </c>
      <c r="BQ421">
        <v>0</v>
      </c>
      <c r="BX421" t="str">
        <f>"13:57:22.555"</f>
        <v>13:57:22.555</v>
      </c>
      <c r="BY421" t="str">
        <f>"558527828"</f>
        <v>558527828</v>
      </c>
      <c r="CL421">
        <v>0</v>
      </c>
      <c r="CM421">
        <v>2</v>
      </c>
      <c r="CN421">
        <v>0</v>
      </c>
      <c r="CO421">
        <v>2</v>
      </c>
      <c r="CP421">
        <v>0</v>
      </c>
      <c r="CQ421">
        <v>7</v>
      </c>
      <c r="CR421" t="s">
        <v>116</v>
      </c>
      <c r="CS421">
        <v>525</v>
      </c>
      <c r="CT421">
        <v>2</v>
      </c>
      <c r="CU421" t="s">
        <v>140</v>
      </c>
      <c r="CV421" t="s">
        <v>141</v>
      </c>
      <c r="CY421">
        <v>14200439</v>
      </c>
      <c r="CZ421" t="s">
        <v>119</v>
      </c>
    </row>
    <row r="422" spans="1:104" x14ac:dyDescent="0.25">
      <c r="A422" t="str">
        <f>"13:57:23.750"</f>
        <v>13:57:23.750</v>
      </c>
      <c r="B422" t="s">
        <v>108</v>
      </c>
      <c r="C422" t="str">
        <f t="shared" si="19"/>
        <v>ffdfd3c0</v>
      </c>
      <c r="D422" t="s">
        <v>109</v>
      </c>
      <c r="E422">
        <v>4</v>
      </c>
      <c r="F422">
        <v>1004</v>
      </c>
      <c r="G422" t="s">
        <v>110</v>
      </c>
      <c r="J422" t="s">
        <v>111</v>
      </c>
      <c r="K422">
        <v>0</v>
      </c>
      <c r="L422">
        <v>3</v>
      </c>
      <c r="M422">
        <v>0</v>
      </c>
      <c r="N422">
        <v>2</v>
      </c>
      <c r="O422">
        <v>1</v>
      </c>
      <c r="P422">
        <v>0</v>
      </c>
      <c r="Q422">
        <v>0</v>
      </c>
      <c r="R422" t="s">
        <v>112</v>
      </c>
      <c r="S422" t="str">
        <f>"13:57:23.547"</f>
        <v>13:57:23.547</v>
      </c>
      <c r="T422" t="str">
        <f>"13:57:23.148"</f>
        <v>13:57:23.148</v>
      </c>
      <c r="U422" t="str">
        <f t="shared" si="18"/>
        <v>ad5732</v>
      </c>
      <c r="V422">
        <v>0</v>
      </c>
      <c r="W422">
        <v>0</v>
      </c>
      <c r="X422">
        <v>1</v>
      </c>
      <c r="Z422">
        <v>0</v>
      </c>
      <c r="AA422">
        <v>9</v>
      </c>
      <c r="AB422">
        <v>3</v>
      </c>
      <c r="AC422">
        <v>0</v>
      </c>
      <c r="AD422">
        <v>10</v>
      </c>
      <c r="AE422">
        <v>0</v>
      </c>
      <c r="AF422">
        <v>3</v>
      </c>
      <c r="AG422">
        <v>2</v>
      </c>
      <c r="AH422">
        <v>0</v>
      </c>
      <c r="AI422" t="s">
        <v>937</v>
      </c>
      <c r="AJ422">
        <v>39.221513000000002</v>
      </c>
      <c r="AK422" t="s">
        <v>938</v>
      </c>
      <c r="AL422">
        <v>-77.417907999999997</v>
      </c>
      <c r="AM422">
        <v>100</v>
      </c>
      <c r="AN422">
        <v>7200</v>
      </c>
      <c r="AO422" t="s">
        <v>115</v>
      </c>
      <c r="AP422">
        <v>126</v>
      </c>
      <c r="AQ422">
        <v>50</v>
      </c>
      <c r="AR422">
        <v>1024</v>
      </c>
      <c r="AZ422">
        <v>3614</v>
      </c>
      <c r="BA422">
        <v>1</v>
      </c>
      <c r="BB422" t="str">
        <f t="shared" si="20"/>
        <v xml:space="preserve">N959MJ  </v>
      </c>
      <c r="BC422">
        <v>1</v>
      </c>
      <c r="BE422">
        <v>0</v>
      </c>
      <c r="BF422">
        <v>0</v>
      </c>
      <c r="BG422">
        <v>0</v>
      </c>
      <c r="BH422">
        <v>7475</v>
      </c>
      <c r="BI422">
        <v>275</v>
      </c>
      <c r="BJ422">
        <v>1</v>
      </c>
      <c r="BK422">
        <v>1</v>
      </c>
      <c r="BL422">
        <v>1</v>
      </c>
      <c r="BM422">
        <v>0</v>
      </c>
      <c r="BP422">
        <v>0</v>
      </c>
      <c r="BQ422">
        <v>0</v>
      </c>
      <c r="BX422" t="str">
        <f>"13:57:23.547"</f>
        <v>13:57:23.547</v>
      </c>
      <c r="BY422" t="str">
        <f>"550061217"</f>
        <v>550061217</v>
      </c>
      <c r="CL422">
        <v>0</v>
      </c>
      <c r="CM422">
        <v>2</v>
      </c>
      <c r="CN422">
        <v>0</v>
      </c>
      <c r="CO422">
        <v>2</v>
      </c>
      <c r="CP422">
        <v>0</v>
      </c>
      <c r="CQ422">
        <v>5</v>
      </c>
      <c r="CR422" t="s">
        <v>116</v>
      </c>
      <c r="CS422">
        <v>396</v>
      </c>
      <c r="CT422">
        <v>2</v>
      </c>
      <c r="CU422" t="s">
        <v>939</v>
      </c>
      <c r="CV422" t="s">
        <v>940</v>
      </c>
      <c r="CY422">
        <v>3476519</v>
      </c>
      <c r="CZ422" t="s">
        <v>119</v>
      </c>
    </row>
    <row r="423" spans="1:104" x14ac:dyDescent="0.25">
      <c r="A423" t="str">
        <f>"13:57:24.703"</f>
        <v>13:57:24.703</v>
      </c>
      <c r="B423" t="s">
        <v>108</v>
      </c>
      <c r="C423" t="str">
        <f t="shared" si="19"/>
        <v>ffdfd3c0</v>
      </c>
      <c r="D423" t="s">
        <v>109</v>
      </c>
      <c r="E423">
        <v>4</v>
      </c>
      <c r="F423">
        <v>1004</v>
      </c>
      <c r="G423" t="s">
        <v>110</v>
      </c>
      <c r="J423" t="s">
        <v>111</v>
      </c>
      <c r="K423">
        <v>0</v>
      </c>
      <c r="L423">
        <v>3</v>
      </c>
      <c r="M423">
        <v>0</v>
      </c>
      <c r="N423">
        <v>2</v>
      </c>
      <c r="O423">
        <v>1</v>
      </c>
      <c r="P423">
        <v>0</v>
      </c>
      <c r="Q423">
        <v>0</v>
      </c>
      <c r="R423" t="s">
        <v>112</v>
      </c>
      <c r="S423" t="str">
        <f>"13:57:24.508"</f>
        <v>13:57:24.508</v>
      </c>
      <c r="T423" t="str">
        <f>"13:57:24.008"</f>
        <v>13:57:24.008</v>
      </c>
      <c r="U423" t="str">
        <f t="shared" si="18"/>
        <v>ad5732</v>
      </c>
      <c r="V423">
        <v>0</v>
      </c>
      <c r="W423">
        <v>0</v>
      </c>
      <c r="X423">
        <v>1</v>
      </c>
      <c r="Z423">
        <v>0</v>
      </c>
      <c r="AA423">
        <v>9</v>
      </c>
      <c r="AB423">
        <v>3</v>
      </c>
      <c r="AC423">
        <v>0</v>
      </c>
      <c r="AD423">
        <v>10</v>
      </c>
      <c r="AE423">
        <v>0</v>
      </c>
      <c r="AF423">
        <v>3</v>
      </c>
      <c r="AG423">
        <v>2</v>
      </c>
      <c r="AH423">
        <v>0</v>
      </c>
      <c r="AI423" t="s">
        <v>941</v>
      </c>
      <c r="AJ423">
        <v>39.221749000000003</v>
      </c>
      <c r="AK423" t="s">
        <v>942</v>
      </c>
      <c r="AL423">
        <v>-77.417199999999994</v>
      </c>
      <c r="AM423">
        <v>100</v>
      </c>
      <c r="AN423">
        <v>7200</v>
      </c>
      <c r="AO423" t="s">
        <v>115</v>
      </c>
      <c r="AP423">
        <v>126</v>
      </c>
      <c r="AQ423">
        <v>50</v>
      </c>
      <c r="AR423">
        <v>960</v>
      </c>
      <c r="AZ423">
        <v>3614</v>
      </c>
      <c r="BA423">
        <v>1</v>
      </c>
      <c r="BB423" t="str">
        <f t="shared" si="20"/>
        <v xml:space="preserve">N959MJ  </v>
      </c>
      <c r="BC423">
        <v>1</v>
      </c>
      <c r="BE423">
        <v>0</v>
      </c>
      <c r="BF423">
        <v>0</v>
      </c>
      <c r="BG423">
        <v>0</v>
      </c>
      <c r="BH423">
        <v>7500</v>
      </c>
      <c r="BI423">
        <v>300</v>
      </c>
      <c r="BJ423">
        <v>1</v>
      </c>
      <c r="BK423">
        <v>1</v>
      </c>
      <c r="BL423">
        <v>1</v>
      </c>
      <c r="BM423">
        <v>0</v>
      </c>
      <c r="BP423">
        <v>0</v>
      </c>
      <c r="BQ423">
        <v>0</v>
      </c>
      <c r="BX423" t="str">
        <f>"13:57:24.508"</f>
        <v>13:57:24.508</v>
      </c>
      <c r="BY423" t="str">
        <f>"508254640"</f>
        <v>508254640</v>
      </c>
      <c r="CL423">
        <v>0</v>
      </c>
      <c r="CM423">
        <v>2</v>
      </c>
      <c r="CN423">
        <v>0</v>
      </c>
      <c r="CO423">
        <v>2</v>
      </c>
      <c r="CP423">
        <v>0</v>
      </c>
      <c r="CQ423">
        <v>7</v>
      </c>
      <c r="CR423" t="s">
        <v>116</v>
      </c>
      <c r="CS423">
        <v>525</v>
      </c>
      <c r="CT423">
        <v>2</v>
      </c>
      <c r="CU423" t="s">
        <v>140</v>
      </c>
      <c r="CV423" t="s">
        <v>141</v>
      </c>
      <c r="CY423">
        <v>14203405</v>
      </c>
      <c r="CZ423" t="s">
        <v>119</v>
      </c>
    </row>
    <row r="424" spans="1:104" x14ac:dyDescent="0.25">
      <c r="A424" t="str">
        <f>"13:57:25.617"</f>
        <v>13:57:25.617</v>
      </c>
      <c r="B424" t="s">
        <v>108</v>
      </c>
      <c r="C424" t="str">
        <f t="shared" si="19"/>
        <v>ffdfd3c0</v>
      </c>
      <c r="D424" t="s">
        <v>109</v>
      </c>
      <c r="E424">
        <v>4</v>
      </c>
      <c r="F424">
        <v>1004</v>
      </c>
      <c r="G424" t="s">
        <v>110</v>
      </c>
      <c r="J424" t="s">
        <v>111</v>
      </c>
      <c r="K424">
        <v>0</v>
      </c>
      <c r="L424">
        <v>3</v>
      </c>
      <c r="M424">
        <v>0</v>
      </c>
      <c r="N424">
        <v>2</v>
      </c>
      <c r="O424">
        <v>1</v>
      </c>
      <c r="P424">
        <v>0</v>
      </c>
      <c r="Q424">
        <v>0</v>
      </c>
      <c r="R424" t="s">
        <v>112</v>
      </c>
      <c r="S424" t="str">
        <f>"13:57:25.469"</f>
        <v>13:57:25.469</v>
      </c>
      <c r="T424" t="str">
        <f>"13:57:24.969"</f>
        <v>13:57:24.969</v>
      </c>
      <c r="U424" t="str">
        <f t="shared" si="18"/>
        <v>ad5732</v>
      </c>
      <c r="V424">
        <v>0</v>
      </c>
      <c r="W424">
        <v>0</v>
      </c>
      <c r="X424">
        <v>1</v>
      </c>
      <c r="Z424">
        <v>0</v>
      </c>
      <c r="AA424">
        <v>9</v>
      </c>
      <c r="AB424">
        <v>3</v>
      </c>
      <c r="AC424">
        <v>0</v>
      </c>
      <c r="AD424">
        <v>10</v>
      </c>
      <c r="AE424">
        <v>0</v>
      </c>
      <c r="AF424">
        <v>3</v>
      </c>
      <c r="AG424">
        <v>2</v>
      </c>
      <c r="AH424">
        <v>0</v>
      </c>
      <c r="AI424" t="s">
        <v>943</v>
      </c>
      <c r="AJ424">
        <v>39.221941999999999</v>
      </c>
      <c r="AK424" t="s">
        <v>944</v>
      </c>
      <c r="AL424">
        <v>-77.416512999999995</v>
      </c>
      <c r="AM424">
        <v>100</v>
      </c>
      <c r="AN424">
        <v>7200</v>
      </c>
      <c r="AO424" t="s">
        <v>115</v>
      </c>
      <c r="AP424">
        <v>127</v>
      </c>
      <c r="AQ424">
        <v>49</v>
      </c>
      <c r="AR424">
        <v>896</v>
      </c>
      <c r="AZ424">
        <v>3614</v>
      </c>
      <c r="BA424">
        <v>1</v>
      </c>
      <c r="BB424" t="str">
        <f t="shared" si="20"/>
        <v xml:space="preserve">N959MJ  </v>
      </c>
      <c r="BC424">
        <v>1</v>
      </c>
      <c r="BE424">
        <v>0</v>
      </c>
      <c r="BF424">
        <v>0</v>
      </c>
      <c r="BG424">
        <v>0</v>
      </c>
      <c r="BH424">
        <v>7525</v>
      </c>
      <c r="BI424">
        <v>325</v>
      </c>
      <c r="BJ424">
        <v>1</v>
      </c>
      <c r="BK424">
        <v>1</v>
      </c>
      <c r="BL424">
        <v>1</v>
      </c>
      <c r="BM424">
        <v>0</v>
      </c>
      <c r="BP424">
        <v>0</v>
      </c>
      <c r="BQ424">
        <v>0</v>
      </c>
      <c r="BX424" t="str">
        <f>"13:57:25.469"</f>
        <v>13:57:25.469</v>
      </c>
      <c r="BY424" t="str">
        <f>"470010596"</f>
        <v>470010596</v>
      </c>
      <c r="CL424">
        <v>0</v>
      </c>
      <c r="CM424">
        <v>2</v>
      </c>
      <c r="CN424">
        <v>0</v>
      </c>
      <c r="CO424">
        <v>2</v>
      </c>
      <c r="CP424">
        <v>0</v>
      </c>
      <c r="CQ424">
        <v>7</v>
      </c>
      <c r="CR424" t="s">
        <v>116</v>
      </c>
      <c r="CS424">
        <v>525</v>
      </c>
      <c r="CT424">
        <v>2</v>
      </c>
      <c r="CU424" t="s">
        <v>140</v>
      </c>
      <c r="CV424" t="s">
        <v>141</v>
      </c>
      <c r="CY424">
        <v>14204803</v>
      </c>
      <c r="CZ424" t="s">
        <v>119</v>
      </c>
    </row>
    <row r="425" spans="1:104" x14ac:dyDescent="0.25">
      <c r="A425" t="str">
        <f>"13:57:26.773"</f>
        <v>13:57:26.773</v>
      </c>
      <c r="B425" t="s">
        <v>108</v>
      </c>
      <c r="C425" t="str">
        <f t="shared" si="19"/>
        <v>ffdfd3c0</v>
      </c>
      <c r="D425" t="s">
        <v>109</v>
      </c>
      <c r="E425">
        <v>4</v>
      </c>
      <c r="F425">
        <v>1004</v>
      </c>
      <c r="G425" t="s">
        <v>110</v>
      </c>
      <c r="J425" t="s">
        <v>111</v>
      </c>
      <c r="K425">
        <v>0</v>
      </c>
      <c r="L425">
        <v>3</v>
      </c>
      <c r="M425">
        <v>0</v>
      </c>
      <c r="N425">
        <v>2</v>
      </c>
      <c r="O425">
        <v>1</v>
      </c>
      <c r="P425">
        <v>0</v>
      </c>
      <c r="Q425">
        <v>0</v>
      </c>
      <c r="R425" t="s">
        <v>112</v>
      </c>
      <c r="S425" t="str">
        <f>"13:57:26.578"</f>
        <v>13:57:26.578</v>
      </c>
      <c r="T425" t="str">
        <f>"13:57:26.078"</f>
        <v>13:57:26.078</v>
      </c>
      <c r="U425" t="str">
        <f t="shared" si="18"/>
        <v>ad5732</v>
      </c>
      <c r="V425">
        <v>0</v>
      </c>
      <c r="W425">
        <v>0</v>
      </c>
      <c r="X425">
        <v>1</v>
      </c>
      <c r="Z425">
        <v>0</v>
      </c>
      <c r="AA425">
        <v>9</v>
      </c>
      <c r="AB425">
        <v>3</v>
      </c>
      <c r="AC425">
        <v>0</v>
      </c>
      <c r="AD425">
        <v>10</v>
      </c>
      <c r="AE425">
        <v>0</v>
      </c>
      <c r="AF425">
        <v>3</v>
      </c>
      <c r="AG425">
        <v>2</v>
      </c>
      <c r="AH425">
        <v>0</v>
      </c>
      <c r="AI425" t="s">
        <v>945</v>
      </c>
      <c r="AJ425">
        <v>39.222220999999998</v>
      </c>
      <c r="AK425" t="s">
        <v>946</v>
      </c>
      <c r="AL425">
        <v>-77.415589999999995</v>
      </c>
      <c r="AM425">
        <v>100</v>
      </c>
      <c r="AN425">
        <v>7200</v>
      </c>
      <c r="AO425" t="s">
        <v>115</v>
      </c>
      <c r="AP425">
        <v>128</v>
      </c>
      <c r="AQ425">
        <v>48</v>
      </c>
      <c r="AR425">
        <v>768</v>
      </c>
      <c r="AZ425">
        <v>3614</v>
      </c>
      <c r="BA425">
        <v>1</v>
      </c>
      <c r="BB425" t="str">
        <f t="shared" si="20"/>
        <v xml:space="preserve">N959MJ  </v>
      </c>
      <c r="BC425">
        <v>1</v>
      </c>
      <c r="BE425">
        <v>0</v>
      </c>
      <c r="BF425">
        <v>0</v>
      </c>
      <c r="BG425">
        <v>0</v>
      </c>
      <c r="BH425">
        <v>7525</v>
      </c>
      <c r="BI425">
        <v>325</v>
      </c>
      <c r="BJ425">
        <v>1</v>
      </c>
      <c r="BK425">
        <v>1</v>
      </c>
      <c r="BL425">
        <v>1</v>
      </c>
      <c r="BM425">
        <v>0</v>
      </c>
      <c r="BP425">
        <v>0</v>
      </c>
      <c r="BQ425">
        <v>0</v>
      </c>
      <c r="BX425" t="str">
        <f>"13:57:26.586"</f>
        <v>13:57:26.586</v>
      </c>
      <c r="BY425" t="str">
        <f>"584140253"</f>
        <v>584140253</v>
      </c>
      <c r="CL425">
        <v>0</v>
      </c>
      <c r="CM425">
        <v>2</v>
      </c>
      <c r="CN425">
        <v>0</v>
      </c>
      <c r="CO425">
        <v>2</v>
      </c>
      <c r="CP425">
        <v>0</v>
      </c>
      <c r="CQ425">
        <v>7</v>
      </c>
      <c r="CR425" t="s">
        <v>116</v>
      </c>
      <c r="CS425">
        <v>525</v>
      </c>
      <c r="CT425">
        <v>2</v>
      </c>
      <c r="CU425" t="s">
        <v>140</v>
      </c>
      <c r="CV425" t="s">
        <v>141</v>
      </c>
      <c r="CY425">
        <v>14206441</v>
      </c>
      <c r="CZ425" t="s">
        <v>119</v>
      </c>
    </row>
    <row r="426" spans="1:104" x14ac:dyDescent="0.25">
      <c r="A426" t="str">
        <f>"13:57:27.891"</f>
        <v>13:57:27.891</v>
      </c>
      <c r="B426" t="s">
        <v>108</v>
      </c>
      <c r="C426" t="str">
        <f t="shared" si="19"/>
        <v>ffdfd3c0</v>
      </c>
      <c r="D426" t="s">
        <v>109</v>
      </c>
      <c r="E426">
        <v>4</v>
      </c>
      <c r="F426">
        <v>1004</v>
      </c>
      <c r="G426" t="s">
        <v>110</v>
      </c>
      <c r="J426" t="s">
        <v>111</v>
      </c>
      <c r="K426">
        <v>0</v>
      </c>
      <c r="L426">
        <v>3</v>
      </c>
      <c r="M426">
        <v>0</v>
      </c>
      <c r="N426">
        <v>2</v>
      </c>
      <c r="O426">
        <v>1</v>
      </c>
      <c r="P426">
        <v>0</v>
      </c>
      <c r="Q426">
        <v>0</v>
      </c>
      <c r="R426" t="s">
        <v>112</v>
      </c>
      <c r="S426" t="str">
        <f>"13:57:27.695"</f>
        <v>13:57:27.695</v>
      </c>
      <c r="T426" t="str">
        <f>"13:57:27.195"</f>
        <v>13:57:27.195</v>
      </c>
      <c r="U426" t="str">
        <f t="shared" si="18"/>
        <v>ad5732</v>
      </c>
      <c r="V426">
        <v>0</v>
      </c>
      <c r="W426">
        <v>0</v>
      </c>
      <c r="X426">
        <v>1</v>
      </c>
      <c r="Z426">
        <v>0</v>
      </c>
      <c r="AA426">
        <v>9</v>
      </c>
      <c r="AB426">
        <v>3</v>
      </c>
      <c r="AC426">
        <v>0</v>
      </c>
      <c r="AD426">
        <v>10</v>
      </c>
      <c r="AE426">
        <v>0</v>
      </c>
      <c r="AF426">
        <v>3</v>
      </c>
      <c r="AG426">
        <v>2</v>
      </c>
      <c r="AH426">
        <v>0</v>
      </c>
      <c r="AI426" t="s">
        <v>947</v>
      </c>
      <c r="AJ426">
        <v>39.222479</v>
      </c>
      <c r="AK426" t="s">
        <v>948</v>
      </c>
      <c r="AL426">
        <v>-77.414753000000005</v>
      </c>
      <c r="AM426">
        <v>100</v>
      </c>
      <c r="AN426">
        <v>7200</v>
      </c>
      <c r="AO426" t="s">
        <v>115</v>
      </c>
      <c r="AP426">
        <v>128</v>
      </c>
      <c r="AQ426">
        <v>47</v>
      </c>
      <c r="AR426">
        <v>704</v>
      </c>
      <c r="AZ426">
        <v>3614</v>
      </c>
      <c r="BA426">
        <v>1</v>
      </c>
      <c r="BB426" t="str">
        <f t="shared" si="20"/>
        <v xml:space="preserve">N959MJ  </v>
      </c>
      <c r="BC426">
        <v>1</v>
      </c>
      <c r="BE426">
        <v>0</v>
      </c>
      <c r="BF426">
        <v>0</v>
      </c>
      <c r="BG426">
        <v>0</v>
      </c>
      <c r="BH426">
        <v>7550</v>
      </c>
      <c r="BI426">
        <v>350</v>
      </c>
      <c r="BJ426">
        <v>1</v>
      </c>
      <c r="BK426">
        <v>1</v>
      </c>
      <c r="BL426">
        <v>1</v>
      </c>
      <c r="BM426">
        <v>0</v>
      </c>
      <c r="BP426">
        <v>0</v>
      </c>
      <c r="BQ426">
        <v>0</v>
      </c>
      <c r="BX426" t="str">
        <f>"13:57:27.703"</f>
        <v>13:57:27.703</v>
      </c>
      <c r="BY426" t="str">
        <f>"701546662"</f>
        <v>701546662</v>
      </c>
      <c r="CL426">
        <v>0</v>
      </c>
      <c r="CM426">
        <v>2</v>
      </c>
      <c r="CN426">
        <v>0</v>
      </c>
      <c r="CO426">
        <v>2</v>
      </c>
      <c r="CP426">
        <v>0</v>
      </c>
      <c r="CQ426">
        <v>7</v>
      </c>
      <c r="CR426" t="s">
        <v>116</v>
      </c>
      <c r="CS426">
        <v>525</v>
      </c>
      <c r="CT426">
        <v>2</v>
      </c>
      <c r="CU426" t="s">
        <v>140</v>
      </c>
      <c r="CV426" t="s">
        <v>141</v>
      </c>
      <c r="CY426">
        <v>14208171</v>
      </c>
      <c r="CZ426" t="s">
        <v>119</v>
      </c>
    </row>
    <row r="427" spans="1:104" x14ac:dyDescent="0.25">
      <c r="A427" t="str">
        <f>"13:57:29.047"</f>
        <v>13:57:29.047</v>
      </c>
      <c r="B427" t="s">
        <v>108</v>
      </c>
      <c r="C427" t="str">
        <f t="shared" si="19"/>
        <v>ffdfd3c0</v>
      </c>
      <c r="D427" t="s">
        <v>109</v>
      </c>
      <c r="E427">
        <v>4</v>
      </c>
      <c r="F427">
        <v>1004</v>
      </c>
      <c r="G427" t="s">
        <v>110</v>
      </c>
      <c r="J427" t="s">
        <v>111</v>
      </c>
      <c r="K427">
        <v>0</v>
      </c>
      <c r="L427">
        <v>3</v>
      </c>
      <c r="M427">
        <v>0</v>
      </c>
      <c r="N427">
        <v>2</v>
      </c>
      <c r="O427">
        <v>1</v>
      </c>
      <c r="P427">
        <v>0</v>
      </c>
      <c r="Q427">
        <v>0</v>
      </c>
      <c r="R427" t="s">
        <v>112</v>
      </c>
      <c r="S427" t="str">
        <f>"13:57:28.859"</f>
        <v>13:57:28.859</v>
      </c>
      <c r="T427" t="str">
        <f>"13:57:28.359"</f>
        <v>13:57:28.359</v>
      </c>
      <c r="U427" t="str">
        <f t="shared" si="18"/>
        <v>ad5732</v>
      </c>
      <c r="V427">
        <v>0</v>
      </c>
      <c r="W427">
        <v>0</v>
      </c>
      <c r="X427">
        <v>1</v>
      </c>
      <c r="Z427">
        <v>0</v>
      </c>
      <c r="AA427">
        <v>9</v>
      </c>
      <c r="AB427">
        <v>3</v>
      </c>
      <c r="AC427">
        <v>0</v>
      </c>
      <c r="AD427">
        <v>10</v>
      </c>
      <c r="AE427">
        <v>0</v>
      </c>
      <c r="AF427">
        <v>3</v>
      </c>
      <c r="AG427">
        <v>2</v>
      </c>
      <c r="AH427">
        <v>0</v>
      </c>
      <c r="AI427" t="s">
        <v>949</v>
      </c>
      <c r="AJ427">
        <v>39.222672000000003</v>
      </c>
      <c r="AK427" t="s">
        <v>950</v>
      </c>
      <c r="AL427">
        <v>-77.413874000000007</v>
      </c>
      <c r="AM427">
        <v>100</v>
      </c>
      <c r="AN427">
        <v>7200</v>
      </c>
      <c r="AO427" t="s">
        <v>115</v>
      </c>
      <c r="AP427">
        <v>130</v>
      </c>
      <c r="AQ427">
        <v>45</v>
      </c>
      <c r="AR427">
        <v>576</v>
      </c>
      <c r="AZ427">
        <v>3614</v>
      </c>
      <c r="BA427">
        <v>1</v>
      </c>
      <c r="BB427" t="str">
        <f t="shared" si="20"/>
        <v xml:space="preserve">N959MJ  </v>
      </c>
      <c r="BC427">
        <v>1</v>
      </c>
      <c r="BE427">
        <v>0</v>
      </c>
      <c r="BF427">
        <v>0</v>
      </c>
      <c r="BG427">
        <v>0</v>
      </c>
      <c r="BH427">
        <v>7550</v>
      </c>
      <c r="BI427">
        <v>350</v>
      </c>
      <c r="BJ427">
        <v>1</v>
      </c>
      <c r="BK427">
        <v>1</v>
      </c>
      <c r="BL427">
        <v>1</v>
      </c>
      <c r="BM427">
        <v>0</v>
      </c>
      <c r="BP427">
        <v>0</v>
      </c>
      <c r="BQ427">
        <v>0</v>
      </c>
      <c r="BX427" t="str">
        <f>"13:57:28.867"</f>
        <v>13:57:28.867</v>
      </c>
      <c r="BY427" t="str">
        <f>"866467486"</f>
        <v>866467486</v>
      </c>
      <c r="CL427">
        <v>0</v>
      </c>
      <c r="CM427">
        <v>2</v>
      </c>
      <c r="CN427">
        <v>0</v>
      </c>
      <c r="CO427">
        <v>2</v>
      </c>
      <c r="CP427">
        <v>0</v>
      </c>
      <c r="CQ427">
        <v>7</v>
      </c>
      <c r="CR427" t="s">
        <v>116</v>
      </c>
      <c r="CS427">
        <v>525</v>
      </c>
      <c r="CT427">
        <v>2</v>
      </c>
      <c r="CU427" t="s">
        <v>140</v>
      </c>
      <c r="CV427" t="s">
        <v>141</v>
      </c>
      <c r="CY427">
        <v>14209950</v>
      </c>
      <c r="CZ427" t="s">
        <v>119</v>
      </c>
    </row>
    <row r="428" spans="1:104" x14ac:dyDescent="0.25">
      <c r="A428" t="str">
        <f>"13:57:29.953"</f>
        <v>13:57:29.953</v>
      </c>
      <c r="B428" t="s">
        <v>108</v>
      </c>
      <c r="C428" t="str">
        <f t="shared" si="19"/>
        <v>ffdfd3c0</v>
      </c>
      <c r="D428" t="s">
        <v>109</v>
      </c>
      <c r="E428">
        <v>4</v>
      </c>
      <c r="F428">
        <v>1004</v>
      </c>
      <c r="G428" t="s">
        <v>110</v>
      </c>
      <c r="J428" t="s">
        <v>111</v>
      </c>
      <c r="K428">
        <v>0</v>
      </c>
      <c r="L428">
        <v>3</v>
      </c>
      <c r="M428">
        <v>0</v>
      </c>
      <c r="N428">
        <v>2</v>
      </c>
      <c r="O428">
        <v>1</v>
      </c>
      <c r="P428">
        <v>0</v>
      </c>
      <c r="Q428">
        <v>0</v>
      </c>
      <c r="R428" t="s">
        <v>112</v>
      </c>
      <c r="S428" t="str">
        <f>"13:57:29.805"</f>
        <v>13:57:29.805</v>
      </c>
      <c r="T428" t="str">
        <f>"13:57:29.305"</f>
        <v>13:57:29.305</v>
      </c>
      <c r="U428" t="str">
        <f t="shared" si="18"/>
        <v>ad5732</v>
      </c>
      <c r="V428">
        <v>0</v>
      </c>
      <c r="W428">
        <v>0</v>
      </c>
      <c r="X428">
        <v>1</v>
      </c>
      <c r="Z428">
        <v>0</v>
      </c>
      <c r="AA428">
        <v>9</v>
      </c>
      <c r="AB428">
        <v>3</v>
      </c>
      <c r="AC428">
        <v>0</v>
      </c>
      <c r="AD428">
        <v>10</v>
      </c>
      <c r="AE428">
        <v>0</v>
      </c>
      <c r="AF428">
        <v>3</v>
      </c>
      <c r="AG428">
        <v>2</v>
      </c>
      <c r="AH428">
        <v>0</v>
      </c>
      <c r="AI428" t="s">
        <v>951</v>
      </c>
      <c r="AJ428">
        <v>39.222864999999999</v>
      </c>
      <c r="AK428" t="s">
        <v>952</v>
      </c>
      <c r="AL428">
        <v>-77.413079999999994</v>
      </c>
      <c r="AM428">
        <v>100</v>
      </c>
      <c r="AN428">
        <v>7300</v>
      </c>
      <c r="AO428" t="s">
        <v>115</v>
      </c>
      <c r="AP428">
        <v>131</v>
      </c>
      <c r="AQ428">
        <v>44</v>
      </c>
      <c r="AR428">
        <v>512</v>
      </c>
      <c r="AZ428">
        <v>3614</v>
      </c>
      <c r="BA428">
        <v>1</v>
      </c>
      <c r="BB428" t="str">
        <f t="shared" si="20"/>
        <v xml:space="preserve">N959MJ  </v>
      </c>
      <c r="BC428">
        <v>1</v>
      </c>
      <c r="BE428">
        <v>0</v>
      </c>
      <c r="BF428">
        <v>0</v>
      </c>
      <c r="BG428">
        <v>0</v>
      </c>
      <c r="BH428">
        <v>7575</v>
      </c>
      <c r="BI428">
        <v>275</v>
      </c>
      <c r="BJ428">
        <v>1</v>
      </c>
      <c r="BK428">
        <v>1</v>
      </c>
      <c r="BL428">
        <v>1</v>
      </c>
      <c r="BM428">
        <v>0</v>
      </c>
      <c r="BP428">
        <v>0</v>
      </c>
      <c r="BQ428">
        <v>0</v>
      </c>
      <c r="BX428" t="str">
        <f>"13:57:29.805"</f>
        <v>13:57:29.805</v>
      </c>
      <c r="BY428" t="str">
        <f>"808562486"</f>
        <v>808562486</v>
      </c>
      <c r="CL428">
        <v>0</v>
      </c>
      <c r="CM428">
        <v>2</v>
      </c>
      <c r="CN428">
        <v>0</v>
      </c>
      <c r="CO428">
        <v>2</v>
      </c>
      <c r="CP428">
        <v>0</v>
      </c>
      <c r="CQ428">
        <v>7</v>
      </c>
      <c r="CR428" t="s">
        <v>116</v>
      </c>
      <c r="CS428">
        <v>525</v>
      </c>
      <c r="CT428">
        <v>2</v>
      </c>
      <c r="CU428" t="s">
        <v>140</v>
      </c>
      <c r="CV428" t="s">
        <v>141</v>
      </c>
      <c r="CY428">
        <v>14211294</v>
      </c>
      <c r="CZ428" t="s">
        <v>119</v>
      </c>
    </row>
    <row r="429" spans="1:104" x14ac:dyDescent="0.25">
      <c r="A429" t="str">
        <f>"13:57:31.070"</f>
        <v>13:57:31.070</v>
      </c>
      <c r="B429" t="s">
        <v>108</v>
      </c>
      <c r="C429" t="str">
        <f t="shared" si="19"/>
        <v>ffdfd3c0</v>
      </c>
      <c r="D429" t="s">
        <v>109</v>
      </c>
      <c r="E429">
        <v>4</v>
      </c>
      <c r="F429">
        <v>1004</v>
      </c>
      <c r="G429" t="s">
        <v>110</v>
      </c>
      <c r="J429" t="s">
        <v>111</v>
      </c>
      <c r="K429">
        <v>0</v>
      </c>
      <c r="L429">
        <v>3</v>
      </c>
      <c r="M429">
        <v>0</v>
      </c>
      <c r="N429">
        <v>2</v>
      </c>
      <c r="O429">
        <v>1</v>
      </c>
      <c r="P429">
        <v>0</v>
      </c>
      <c r="Q429">
        <v>0</v>
      </c>
      <c r="R429" t="s">
        <v>112</v>
      </c>
      <c r="S429" t="str">
        <f>"13:57:30.891"</f>
        <v>13:57:30.891</v>
      </c>
      <c r="T429" t="str">
        <f>"13:57:30.391"</f>
        <v>13:57:30.391</v>
      </c>
      <c r="U429" t="str">
        <f t="shared" si="18"/>
        <v>ad5732</v>
      </c>
      <c r="V429">
        <v>0</v>
      </c>
      <c r="W429">
        <v>0</v>
      </c>
      <c r="X429">
        <v>1</v>
      </c>
      <c r="Z429">
        <v>0</v>
      </c>
      <c r="AA429">
        <v>9</v>
      </c>
      <c r="AB429">
        <v>3</v>
      </c>
      <c r="AC429">
        <v>0</v>
      </c>
      <c r="AD429">
        <v>10</v>
      </c>
      <c r="AE429">
        <v>0</v>
      </c>
      <c r="AF429">
        <v>3</v>
      </c>
      <c r="AG429">
        <v>2</v>
      </c>
      <c r="AH429">
        <v>0</v>
      </c>
      <c r="AI429" t="s">
        <v>953</v>
      </c>
      <c r="AJ429">
        <v>39.223123000000001</v>
      </c>
      <c r="AK429" t="s">
        <v>954</v>
      </c>
      <c r="AL429">
        <v>-77.412243000000004</v>
      </c>
      <c r="AM429">
        <v>100</v>
      </c>
      <c r="AN429">
        <v>7300</v>
      </c>
      <c r="AO429" t="s">
        <v>115</v>
      </c>
      <c r="AP429">
        <v>132</v>
      </c>
      <c r="AQ429">
        <v>43</v>
      </c>
      <c r="AR429">
        <v>512</v>
      </c>
      <c r="AZ429">
        <v>3614</v>
      </c>
      <c r="BA429">
        <v>1</v>
      </c>
      <c r="BB429" t="str">
        <f t="shared" si="20"/>
        <v xml:space="preserve">N959MJ  </v>
      </c>
      <c r="BC429">
        <v>1</v>
      </c>
      <c r="BE429">
        <v>0</v>
      </c>
      <c r="BF429">
        <v>0</v>
      </c>
      <c r="BG429">
        <v>0</v>
      </c>
      <c r="BH429">
        <v>7575</v>
      </c>
      <c r="BI429">
        <v>275</v>
      </c>
      <c r="BJ429">
        <v>1</v>
      </c>
      <c r="BK429">
        <v>1</v>
      </c>
      <c r="BL429">
        <v>1</v>
      </c>
      <c r="BM429">
        <v>0</v>
      </c>
      <c r="BP429">
        <v>0</v>
      </c>
      <c r="BQ429">
        <v>0</v>
      </c>
      <c r="BX429" t="str">
        <f>"13:57:30.891"</f>
        <v>13:57:30.891</v>
      </c>
      <c r="BY429" t="str">
        <f>"891561973"</f>
        <v>891561973</v>
      </c>
      <c r="CL429">
        <v>0</v>
      </c>
      <c r="CM429">
        <v>2</v>
      </c>
      <c r="CN429">
        <v>0</v>
      </c>
      <c r="CO429">
        <v>2</v>
      </c>
      <c r="CP429">
        <v>0</v>
      </c>
      <c r="CQ429">
        <v>7</v>
      </c>
      <c r="CR429" t="s">
        <v>116</v>
      </c>
      <c r="CS429">
        <v>525</v>
      </c>
      <c r="CT429">
        <v>2</v>
      </c>
      <c r="CU429" t="s">
        <v>140</v>
      </c>
      <c r="CV429" t="s">
        <v>141</v>
      </c>
      <c r="CY429">
        <v>14212946</v>
      </c>
      <c r="CZ429" t="s">
        <v>119</v>
      </c>
    </row>
    <row r="430" spans="1:104" x14ac:dyDescent="0.25">
      <c r="A430" t="str">
        <f>"13:57:31.875"</f>
        <v>13:57:31.875</v>
      </c>
      <c r="B430" t="s">
        <v>108</v>
      </c>
      <c r="C430" t="str">
        <f t="shared" si="19"/>
        <v>ffdfd3c0</v>
      </c>
      <c r="D430" t="s">
        <v>109</v>
      </c>
      <c r="E430">
        <v>4</v>
      </c>
      <c r="F430">
        <v>1004</v>
      </c>
      <c r="G430" t="s">
        <v>110</v>
      </c>
      <c r="J430" t="s">
        <v>111</v>
      </c>
      <c r="K430">
        <v>0</v>
      </c>
      <c r="L430">
        <v>3</v>
      </c>
      <c r="M430">
        <v>0</v>
      </c>
      <c r="N430">
        <v>2</v>
      </c>
      <c r="O430">
        <v>1</v>
      </c>
      <c r="P430">
        <v>0</v>
      </c>
      <c r="Q430">
        <v>0</v>
      </c>
      <c r="R430" t="s">
        <v>112</v>
      </c>
      <c r="S430" t="str">
        <f>"13:57:31.711"</f>
        <v>13:57:31.711</v>
      </c>
      <c r="T430" t="str">
        <f>"13:57:31.313"</f>
        <v>13:57:31.313</v>
      </c>
      <c r="U430" t="str">
        <f t="shared" si="18"/>
        <v>ad5732</v>
      </c>
      <c r="V430">
        <v>0</v>
      </c>
      <c r="W430">
        <v>0</v>
      </c>
      <c r="X430">
        <v>1</v>
      </c>
      <c r="Z430">
        <v>0</v>
      </c>
      <c r="AA430">
        <v>9</v>
      </c>
      <c r="AB430">
        <v>3</v>
      </c>
      <c r="AC430">
        <v>0</v>
      </c>
      <c r="AD430">
        <v>10</v>
      </c>
      <c r="AE430">
        <v>0</v>
      </c>
      <c r="AF430">
        <v>3</v>
      </c>
      <c r="AG430">
        <v>2</v>
      </c>
      <c r="AH430">
        <v>0</v>
      </c>
      <c r="AI430" t="s">
        <v>955</v>
      </c>
      <c r="AJ430">
        <v>39.223250999999998</v>
      </c>
      <c r="AK430" t="s">
        <v>956</v>
      </c>
      <c r="AL430">
        <v>-77.411642000000001</v>
      </c>
      <c r="AM430">
        <v>100</v>
      </c>
      <c r="AN430">
        <v>7300</v>
      </c>
      <c r="AO430" t="s">
        <v>115</v>
      </c>
      <c r="AP430">
        <v>133</v>
      </c>
      <c r="AQ430">
        <v>43</v>
      </c>
      <c r="AR430">
        <v>448</v>
      </c>
      <c r="AZ430">
        <v>3614</v>
      </c>
      <c r="BA430">
        <v>1</v>
      </c>
      <c r="BB430" t="str">
        <f t="shared" si="20"/>
        <v xml:space="preserve">N959MJ  </v>
      </c>
      <c r="BC430">
        <v>1</v>
      </c>
      <c r="BE430">
        <v>0</v>
      </c>
      <c r="BF430">
        <v>0</v>
      </c>
      <c r="BG430">
        <v>0</v>
      </c>
      <c r="BH430">
        <v>7575</v>
      </c>
      <c r="BI430">
        <v>275</v>
      </c>
      <c r="BJ430">
        <v>1</v>
      </c>
      <c r="BK430">
        <v>1</v>
      </c>
      <c r="BL430">
        <v>1</v>
      </c>
      <c r="BM430">
        <v>0</v>
      </c>
      <c r="BP430">
        <v>0</v>
      </c>
      <c r="BQ430">
        <v>0</v>
      </c>
      <c r="BX430" t="str">
        <f>"13:57:31.711"</f>
        <v>13:57:31.711</v>
      </c>
      <c r="BY430" t="str">
        <f>"712413312"</f>
        <v>712413312</v>
      </c>
      <c r="CL430">
        <v>0</v>
      </c>
      <c r="CM430">
        <v>2</v>
      </c>
      <c r="CN430">
        <v>0</v>
      </c>
      <c r="CO430">
        <v>2</v>
      </c>
      <c r="CP430">
        <v>0</v>
      </c>
      <c r="CQ430">
        <v>7</v>
      </c>
      <c r="CR430" t="s">
        <v>116</v>
      </c>
      <c r="CS430">
        <v>525</v>
      </c>
      <c r="CT430">
        <v>2</v>
      </c>
      <c r="CU430" t="s">
        <v>140</v>
      </c>
      <c r="CV430" t="s">
        <v>141</v>
      </c>
      <c r="CY430">
        <v>14214115</v>
      </c>
      <c r="CZ430" t="s">
        <v>119</v>
      </c>
    </row>
    <row r="431" spans="1:104" x14ac:dyDescent="0.25">
      <c r="A431" t="str">
        <f>"13:57:32.836"</f>
        <v>13:57:32.836</v>
      </c>
      <c r="B431" t="s">
        <v>108</v>
      </c>
      <c r="C431" t="str">
        <f t="shared" si="19"/>
        <v>ffdfd3c0</v>
      </c>
      <c r="D431" t="s">
        <v>109</v>
      </c>
      <c r="E431">
        <v>4</v>
      </c>
      <c r="F431">
        <v>1004</v>
      </c>
      <c r="G431" t="s">
        <v>110</v>
      </c>
      <c r="J431" t="s">
        <v>111</v>
      </c>
      <c r="K431">
        <v>0</v>
      </c>
      <c r="L431">
        <v>3</v>
      </c>
      <c r="M431">
        <v>0</v>
      </c>
      <c r="N431">
        <v>2</v>
      </c>
      <c r="O431">
        <v>1</v>
      </c>
      <c r="P431">
        <v>0</v>
      </c>
      <c r="Q431">
        <v>0</v>
      </c>
      <c r="R431" t="s">
        <v>112</v>
      </c>
      <c r="S431" t="str">
        <f>"13:57:32.633"</f>
        <v>13:57:32.633</v>
      </c>
      <c r="T431" t="str">
        <f>"13:57:32.133"</f>
        <v>13:57:32.133</v>
      </c>
      <c r="U431" t="str">
        <f t="shared" si="18"/>
        <v>ad5732</v>
      </c>
      <c r="V431">
        <v>0</v>
      </c>
      <c r="W431">
        <v>0</v>
      </c>
      <c r="X431">
        <v>1</v>
      </c>
      <c r="Z431">
        <v>0</v>
      </c>
      <c r="AA431">
        <v>9</v>
      </c>
      <c r="AB431">
        <v>3</v>
      </c>
      <c r="AC431">
        <v>0</v>
      </c>
      <c r="AD431">
        <v>10</v>
      </c>
      <c r="AE431">
        <v>0</v>
      </c>
      <c r="AF431">
        <v>3</v>
      </c>
      <c r="AG431">
        <v>2</v>
      </c>
      <c r="AH431">
        <v>0</v>
      </c>
      <c r="AI431" t="s">
        <v>957</v>
      </c>
      <c r="AJ431">
        <v>39.223422999999997</v>
      </c>
      <c r="AK431" t="s">
        <v>958</v>
      </c>
      <c r="AL431">
        <v>-77.410891000000007</v>
      </c>
      <c r="AM431">
        <v>100</v>
      </c>
      <c r="AN431">
        <v>7300</v>
      </c>
      <c r="AO431" t="s">
        <v>115</v>
      </c>
      <c r="AP431">
        <v>134</v>
      </c>
      <c r="AQ431">
        <v>42</v>
      </c>
      <c r="AR431">
        <v>448</v>
      </c>
      <c r="AZ431">
        <v>3614</v>
      </c>
      <c r="BA431">
        <v>1</v>
      </c>
      <c r="BB431" t="str">
        <f t="shared" si="20"/>
        <v xml:space="preserve">N959MJ  </v>
      </c>
      <c r="BC431">
        <v>1</v>
      </c>
      <c r="BE431">
        <v>0</v>
      </c>
      <c r="BF431">
        <v>0</v>
      </c>
      <c r="BG431">
        <v>0</v>
      </c>
      <c r="BH431">
        <v>7600</v>
      </c>
      <c r="BI431">
        <v>300</v>
      </c>
      <c r="BJ431">
        <v>1</v>
      </c>
      <c r="BK431">
        <v>1</v>
      </c>
      <c r="BL431">
        <v>1</v>
      </c>
      <c r="BM431">
        <v>0</v>
      </c>
      <c r="BP431">
        <v>0</v>
      </c>
      <c r="BQ431">
        <v>0</v>
      </c>
      <c r="BX431" t="str">
        <f>"13:57:32.633"</f>
        <v>13:57:32.633</v>
      </c>
      <c r="BY431" t="str">
        <f>"634847117"</f>
        <v>634847117</v>
      </c>
      <c r="CL431">
        <v>0</v>
      </c>
      <c r="CM431">
        <v>2</v>
      </c>
      <c r="CN431">
        <v>0</v>
      </c>
      <c r="CO431">
        <v>2</v>
      </c>
      <c r="CP431">
        <v>0</v>
      </c>
      <c r="CQ431">
        <v>7</v>
      </c>
      <c r="CR431" t="s">
        <v>116</v>
      </c>
      <c r="CS431">
        <v>525</v>
      </c>
      <c r="CT431">
        <v>2</v>
      </c>
      <c r="CU431" t="s">
        <v>140</v>
      </c>
      <c r="CV431" t="s">
        <v>141</v>
      </c>
      <c r="CY431">
        <v>14215582</v>
      </c>
      <c r="CZ431" t="s">
        <v>119</v>
      </c>
    </row>
    <row r="432" spans="1:104" x14ac:dyDescent="0.25">
      <c r="A432" t="str">
        <f>"13:57:33.844"</f>
        <v>13:57:33.844</v>
      </c>
      <c r="B432" t="s">
        <v>108</v>
      </c>
      <c r="C432" t="str">
        <f t="shared" si="19"/>
        <v>ffdfd3c0</v>
      </c>
      <c r="D432" t="s">
        <v>109</v>
      </c>
      <c r="E432">
        <v>4</v>
      </c>
      <c r="F432">
        <v>1004</v>
      </c>
      <c r="G432" t="s">
        <v>110</v>
      </c>
      <c r="J432" t="s">
        <v>111</v>
      </c>
      <c r="K432">
        <v>0</v>
      </c>
      <c r="L432">
        <v>3</v>
      </c>
      <c r="M432">
        <v>0</v>
      </c>
      <c r="N432">
        <v>2</v>
      </c>
      <c r="O432">
        <v>1</v>
      </c>
      <c r="P432">
        <v>0</v>
      </c>
      <c r="Q432">
        <v>0</v>
      </c>
      <c r="R432" t="s">
        <v>112</v>
      </c>
      <c r="S432" t="str">
        <f>"13:57:33.656"</f>
        <v>13:57:33.656</v>
      </c>
      <c r="T432" t="str">
        <f>"13:57:33.156"</f>
        <v>13:57:33.156</v>
      </c>
      <c r="U432" t="str">
        <f t="shared" si="18"/>
        <v>ad5732</v>
      </c>
      <c r="V432">
        <v>0</v>
      </c>
      <c r="W432">
        <v>0</v>
      </c>
      <c r="X432">
        <v>1</v>
      </c>
      <c r="Z432">
        <v>0</v>
      </c>
      <c r="AA432">
        <v>9</v>
      </c>
      <c r="AB432">
        <v>3</v>
      </c>
      <c r="AC432">
        <v>0</v>
      </c>
      <c r="AD432">
        <v>10</v>
      </c>
      <c r="AE432">
        <v>0</v>
      </c>
      <c r="AF432">
        <v>3</v>
      </c>
      <c r="AG432">
        <v>2</v>
      </c>
      <c r="AH432">
        <v>0</v>
      </c>
      <c r="AI432" t="s">
        <v>959</v>
      </c>
      <c r="AJ432">
        <v>39.223616</v>
      </c>
      <c r="AK432" t="s">
        <v>960</v>
      </c>
      <c r="AL432">
        <v>-77.410096999999993</v>
      </c>
      <c r="AM432">
        <v>100</v>
      </c>
      <c r="AN432">
        <v>7300</v>
      </c>
      <c r="AO432" t="s">
        <v>115</v>
      </c>
      <c r="AP432">
        <v>135</v>
      </c>
      <c r="AQ432">
        <v>41</v>
      </c>
      <c r="AR432">
        <v>448</v>
      </c>
      <c r="AZ432">
        <v>3614</v>
      </c>
      <c r="BA432">
        <v>1</v>
      </c>
      <c r="BB432" t="str">
        <f t="shared" si="20"/>
        <v xml:space="preserve">N959MJ  </v>
      </c>
      <c r="BC432">
        <v>1</v>
      </c>
      <c r="BE432">
        <v>0</v>
      </c>
      <c r="BF432">
        <v>0</v>
      </c>
      <c r="BG432">
        <v>0</v>
      </c>
      <c r="BH432">
        <v>7600</v>
      </c>
      <c r="BI432">
        <v>300</v>
      </c>
      <c r="BJ432">
        <v>1</v>
      </c>
      <c r="BK432">
        <v>1</v>
      </c>
      <c r="BL432">
        <v>1</v>
      </c>
      <c r="BM432">
        <v>0</v>
      </c>
      <c r="BP432">
        <v>0</v>
      </c>
      <c r="BQ432">
        <v>0</v>
      </c>
      <c r="BX432" t="str">
        <f>"13:57:33.664"</f>
        <v>13:57:33.664</v>
      </c>
      <c r="BY432" t="str">
        <f>"663778588"</f>
        <v>663778588</v>
      </c>
      <c r="CL432">
        <v>0</v>
      </c>
      <c r="CM432">
        <v>2</v>
      </c>
      <c r="CN432">
        <v>0</v>
      </c>
      <c r="CO432">
        <v>2</v>
      </c>
      <c r="CP432">
        <v>0</v>
      </c>
      <c r="CQ432">
        <v>7</v>
      </c>
      <c r="CR432" t="s">
        <v>116</v>
      </c>
      <c r="CS432">
        <v>525</v>
      </c>
      <c r="CT432">
        <v>2</v>
      </c>
      <c r="CU432" t="s">
        <v>140</v>
      </c>
      <c r="CV432" t="s">
        <v>141</v>
      </c>
      <c r="CY432">
        <v>14217145</v>
      </c>
      <c r="CZ432" t="s">
        <v>119</v>
      </c>
    </row>
    <row r="433" spans="1:104" x14ac:dyDescent="0.25">
      <c r="A433" t="str">
        <f>"13:57:34.906"</f>
        <v>13:57:34.906</v>
      </c>
      <c r="B433" t="s">
        <v>108</v>
      </c>
      <c r="C433" t="str">
        <f t="shared" si="19"/>
        <v>ffdfd3c0</v>
      </c>
      <c r="D433" t="s">
        <v>109</v>
      </c>
      <c r="E433">
        <v>4</v>
      </c>
      <c r="F433">
        <v>1004</v>
      </c>
      <c r="G433" t="s">
        <v>110</v>
      </c>
      <c r="J433" t="s">
        <v>111</v>
      </c>
      <c r="K433">
        <v>0</v>
      </c>
      <c r="L433">
        <v>3</v>
      </c>
      <c r="M433">
        <v>0</v>
      </c>
      <c r="N433">
        <v>2</v>
      </c>
      <c r="O433">
        <v>1</v>
      </c>
      <c r="P433">
        <v>0</v>
      </c>
      <c r="Q433">
        <v>0</v>
      </c>
      <c r="R433" t="s">
        <v>112</v>
      </c>
      <c r="S433" t="str">
        <f>"13:57:34.742"</f>
        <v>13:57:34.742</v>
      </c>
      <c r="T433" t="str">
        <f>"13:57:34.242"</f>
        <v>13:57:34.242</v>
      </c>
      <c r="U433" t="str">
        <f t="shared" si="18"/>
        <v>ad5732</v>
      </c>
      <c r="V433">
        <v>0</v>
      </c>
      <c r="W433">
        <v>0</v>
      </c>
      <c r="X433">
        <v>1</v>
      </c>
      <c r="Z433">
        <v>0</v>
      </c>
      <c r="AA433">
        <v>9</v>
      </c>
      <c r="AB433">
        <v>3</v>
      </c>
      <c r="AC433">
        <v>0</v>
      </c>
      <c r="AD433">
        <v>10</v>
      </c>
      <c r="AE433">
        <v>0</v>
      </c>
      <c r="AF433">
        <v>3</v>
      </c>
      <c r="AG433">
        <v>2</v>
      </c>
      <c r="AH433">
        <v>0</v>
      </c>
      <c r="AI433" t="s">
        <v>961</v>
      </c>
      <c r="AJ433">
        <v>39.223852000000001</v>
      </c>
      <c r="AK433" t="s">
        <v>962</v>
      </c>
      <c r="AL433">
        <v>-77.409195999999994</v>
      </c>
      <c r="AM433">
        <v>100</v>
      </c>
      <c r="AN433">
        <v>7300</v>
      </c>
      <c r="AO433" t="s">
        <v>115</v>
      </c>
      <c r="AP433">
        <v>136</v>
      </c>
      <c r="AQ433">
        <v>40</v>
      </c>
      <c r="AR433">
        <v>384</v>
      </c>
      <c r="AZ433">
        <v>3614</v>
      </c>
      <c r="BA433">
        <v>1</v>
      </c>
      <c r="BB433" t="str">
        <f t="shared" si="20"/>
        <v xml:space="preserve">N959MJ  </v>
      </c>
      <c r="BC433">
        <v>1</v>
      </c>
      <c r="BE433">
        <v>0</v>
      </c>
      <c r="BF433">
        <v>0</v>
      </c>
      <c r="BG433">
        <v>0</v>
      </c>
      <c r="BH433">
        <v>7600</v>
      </c>
      <c r="BI433">
        <v>300</v>
      </c>
      <c r="BJ433">
        <v>1</v>
      </c>
      <c r="BK433">
        <v>1</v>
      </c>
      <c r="BL433">
        <v>1</v>
      </c>
      <c r="BM433">
        <v>0</v>
      </c>
      <c r="BP433">
        <v>0</v>
      </c>
      <c r="BQ433">
        <v>0</v>
      </c>
      <c r="BX433" t="str">
        <f>"13:57:34.742"</f>
        <v>13:57:34.742</v>
      </c>
      <c r="BY433" t="str">
        <f>"745139760"</f>
        <v>745139760</v>
      </c>
      <c r="CL433">
        <v>0</v>
      </c>
      <c r="CM433">
        <v>2</v>
      </c>
      <c r="CN433">
        <v>0</v>
      </c>
      <c r="CO433">
        <v>2</v>
      </c>
      <c r="CP433">
        <v>0</v>
      </c>
      <c r="CQ433">
        <v>7</v>
      </c>
      <c r="CR433" t="s">
        <v>116</v>
      </c>
      <c r="CS433">
        <v>525</v>
      </c>
      <c r="CT433">
        <v>2</v>
      </c>
      <c r="CU433" t="s">
        <v>140</v>
      </c>
      <c r="CV433" t="s">
        <v>141</v>
      </c>
      <c r="CY433">
        <v>14218710</v>
      </c>
      <c r="CZ433" t="s">
        <v>119</v>
      </c>
    </row>
    <row r="434" spans="1:104" x14ac:dyDescent="0.25">
      <c r="A434" t="str">
        <f>"13:57:35.914"</f>
        <v>13:57:35.914</v>
      </c>
      <c r="B434" t="s">
        <v>108</v>
      </c>
      <c r="C434" t="str">
        <f t="shared" si="19"/>
        <v>ffdfd3c0</v>
      </c>
      <c r="D434" t="s">
        <v>109</v>
      </c>
      <c r="E434">
        <v>4</v>
      </c>
      <c r="F434">
        <v>1004</v>
      </c>
      <c r="G434" t="s">
        <v>110</v>
      </c>
      <c r="J434" t="s">
        <v>111</v>
      </c>
      <c r="K434">
        <v>0</v>
      </c>
      <c r="L434">
        <v>3</v>
      </c>
      <c r="M434">
        <v>0</v>
      </c>
      <c r="N434">
        <v>2</v>
      </c>
      <c r="O434">
        <v>1</v>
      </c>
      <c r="P434">
        <v>0</v>
      </c>
      <c r="Q434">
        <v>0</v>
      </c>
      <c r="R434" t="s">
        <v>112</v>
      </c>
      <c r="S434" t="str">
        <f>"13:57:35.719"</f>
        <v>13:57:35.719</v>
      </c>
      <c r="T434" t="str">
        <f>"13:57:35.320"</f>
        <v>13:57:35.320</v>
      </c>
      <c r="U434" t="str">
        <f t="shared" si="18"/>
        <v>ad5732</v>
      </c>
      <c r="V434">
        <v>0</v>
      </c>
      <c r="W434">
        <v>0</v>
      </c>
      <c r="X434">
        <v>1</v>
      </c>
      <c r="Z434">
        <v>0</v>
      </c>
      <c r="AA434">
        <v>9</v>
      </c>
      <c r="AB434">
        <v>3</v>
      </c>
      <c r="AC434">
        <v>0</v>
      </c>
      <c r="AD434">
        <v>10</v>
      </c>
      <c r="AE434">
        <v>0</v>
      </c>
      <c r="AF434">
        <v>3</v>
      </c>
      <c r="AG434">
        <v>2</v>
      </c>
      <c r="AH434">
        <v>0</v>
      </c>
      <c r="AI434" t="s">
        <v>963</v>
      </c>
      <c r="AJ434">
        <v>39.224024</v>
      </c>
      <c r="AK434" t="s">
        <v>964</v>
      </c>
      <c r="AL434">
        <v>-77.408422999999999</v>
      </c>
      <c r="AM434">
        <v>100</v>
      </c>
      <c r="AN434">
        <v>7300</v>
      </c>
      <c r="AO434" t="s">
        <v>115</v>
      </c>
      <c r="AP434">
        <v>137</v>
      </c>
      <c r="AQ434">
        <v>40</v>
      </c>
      <c r="AR434">
        <v>448</v>
      </c>
      <c r="AZ434">
        <v>3614</v>
      </c>
      <c r="BA434">
        <v>1</v>
      </c>
      <c r="BB434" t="str">
        <f t="shared" si="20"/>
        <v xml:space="preserve">N959MJ  </v>
      </c>
      <c r="BC434">
        <v>1</v>
      </c>
      <c r="BE434">
        <v>0</v>
      </c>
      <c r="BF434">
        <v>0</v>
      </c>
      <c r="BG434">
        <v>0</v>
      </c>
      <c r="BH434">
        <v>7600</v>
      </c>
      <c r="BI434">
        <v>300</v>
      </c>
      <c r="BJ434">
        <v>1</v>
      </c>
      <c r="BK434">
        <v>1</v>
      </c>
      <c r="BL434">
        <v>1</v>
      </c>
      <c r="BM434">
        <v>0</v>
      </c>
      <c r="BP434">
        <v>0</v>
      </c>
      <c r="BQ434">
        <v>0</v>
      </c>
      <c r="BX434" t="str">
        <f>"13:57:35.727"</f>
        <v>13:57:35.727</v>
      </c>
      <c r="BY434" t="str">
        <f>"723492614"</f>
        <v>723492614</v>
      </c>
      <c r="CL434">
        <v>0</v>
      </c>
      <c r="CM434">
        <v>2</v>
      </c>
      <c r="CN434">
        <v>0</v>
      </c>
      <c r="CO434">
        <v>2</v>
      </c>
      <c r="CP434">
        <v>0</v>
      </c>
      <c r="CQ434">
        <v>5</v>
      </c>
      <c r="CR434" t="s">
        <v>116</v>
      </c>
      <c r="CS434">
        <v>373</v>
      </c>
      <c r="CT434">
        <v>3</v>
      </c>
      <c r="CU434" t="s">
        <v>224</v>
      </c>
      <c r="CV434" t="s">
        <v>225</v>
      </c>
      <c r="CY434">
        <v>2119944</v>
      </c>
      <c r="CZ434" t="s">
        <v>119</v>
      </c>
    </row>
    <row r="435" spans="1:104" x14ac:dyDescent="0.25">
      <c r="A435" t="str">
        <f>"13:57:37.023"</f>
        <v>13:57:37.023</v>
      </c>
      <c r="B435" t="s">
        <v>108</v>
      </c>
      <c r="C435" t="str">
        <f t="shared" si="19"/>
        <v>ffdfd3c0</v>
      </c>
      <c r="D435" t="s">
        <v>109</v>
      </c>
      <c r="E435">
        <v>4</v>
      </c>
      <c r="F435">
        <v>1004</v>
      </c>
      <c r="G435" t="s">
        <v>110</v>
      </c>
      <c r="J435" t="s">
        <v>111</v>
      </c>
      <c r="K435">
        <v>0</v>
      </c>
      <c r="L435">
        <v>3</v>
      </c>
      <c r="M435">
        <v>0</v>
      </c>
      <c r="N435">
        <v>2</v>
      </c>
      <c r="O435">
        <v>1</v>
      </c>
      <c r="P435">
        <v>0</v>
      </c>
      <c r="Q435">
        <v>0</v>
      </c>
      <c r="R435" t="s">
        <v>112</v>
      </c>
      <c r="S435" t="str">
        <f>"13:57:36.828"</f>
        <v>13:57:36.828</v>
      </c>
      <c r="T435" t="str">
        <f>"13:57:36.328"</f>
        <v>13:57:36.328</v>
      </c>
      <c r="U435" t="str">
        <f t="shared" si="18"/>
        <v>ad5732</v>
      </c>
      <c r="V435">
        <v>0</v>
      </c>
      <c r="W435">
        <v>0</v>
      </c>
      <c r="X435">
        <v>1</v>
      </c>
      <c r="Z435">
        <v>0</v>
      </c>
      <c r="AA435">
        <v>9</v>
      </c>
      <c r="AB435">
        <v>3</v>
      </c>
      <c r="AC435">
        <v>0</v>
      </c>
      <c r="AD435">
        <v>10</v>
      </c>
      <c r="AE435">
        <v>0</v>
      </c>
      <c r="AF435">
        <v>3</v>
      </c>
      <c r="AG435">
        <v>2</v>
      </c>
      <c r="AH435">
        <v>0</v>
      </c>
      <c r="AI435" t="s">
        <v>965</v>
      </c>
      <c r="AJ435">
        <v>39.224217000000003</v>
      </c>
      <c r="AK435" t="s">
        <v>966</v>
      </c>
      <c r="AL435">
        <v>-77.407478999999995</v>
      </c>
      <c r="AM435">
        <v>100</v>
      </c>
      <c r="AN435">
        <v>7300</v>
      </c>
      <c r="AO435" t="s">
        <v>115</v>
      </c>
      <c r="AP435">
        <v>138</v>
      </c>
      <c r="AQ435">
        <v>39</v>
      </c>
      <c r="AR435">
        <v>448</v>
      </c>
      <c r="AZ435">
        <v>3614</v>
      </c>
      <c r="BA435">
        <v>1</v>
      </c>
      <c r="BB435" t="str">
        <f t="shared" si="20"/>
        <v xml:space="preserve">N959MJ  </v>
      </c>
      <c r="BC435">
        <v>1</v>
      </c>
      <c r="BE435">
        <v>0</v>
      </c>
      <c r="BF435">
        <v>0</v>
      </c>
      <c r="BG435">
        <v>0</v>
      </c>
      <c r="BH435">
        <v>7625</v>
      </c>
      <c r="BI435">
        <v>325</v>
      </c>
      <c r="BJ435">
        <v>1</v>
      </c>
      <c r="BK435">
        <v>1</v>
      </c>
      <c r="BL435">
        <v>1</v>
      </c>
      <c r="BM435">
        <v>0</v>
      </c>
      <c r="BP435">
        <v>0</v>
      </c>
      <c r="BQ435">
        <v>0</v>
      </c>
      <c r="BX435" t="str">
        <f>"13:57:36.828"</f>
        <v>13:57:36.828</v>
      </c>
      <c r="BY435" t="str">
        <f>"830855929"</f>
        <v>830855929</v>
      </c>
      <c r="CL435">
        <v>0</v>
      </c>
      <c r="CM435">
        <v>2</v>
      </c>
      <c r="CN435">
        <v>0</v>
      </c>
      <c r="CO435">
        <v>2</v>
      </c>
      <c r="CP435">
        <v>0</v>
      </c>
      <c r="CQ435">
        <v>7</v>
      </c>
      <c r="CR435" t="s">
        <v>116</v>
      </c>
      <c r="CS435">
        <v>525</v>
      </c>
      <c r="CT435">
        <v>2</v>
      </c>
      <c r="CU435" t="s">
        <v>140</v>
      </c>
      <c r="CV435" t="s">
        <v>141</v>
      </c>
      <c r="CY435">
        <v>14221775</v>
      </c>
      <c r="CZ435" t="s">
        <v>119</v>
      </c>
    </row>
    <row r="436" spans="1:104" x14ac:dyDescent="0.25">
      <c r="A436" t="str">
        <f>"13:57:37.930"</f>
        <v>13:57:37.930</v>
      </c>
      <c r="B436" t="s">
        <v>108</v>
      </c>
      <c r="C436" t="str">
        <f t="shared" si="19"/>
        <v>ffdfd3c0</v>
      </c>
      <c r="D436" t="s">
        <v>109</v>
      </c>
      <c r="E436">
        <v>4</v>
      </c>
      <c r="F436">
        <v>1004</v>
      </c>
      <c r="G436" t="s">
        <v>110</v>
      </c>
      <c r="J436" t="s">
        <v>111</v>
      </c>
      <c r="K436">
        <v>0</v>
      </c>
      <c r="L436">
        <v>3</v>
      </c>
      <c r="M436">
        <v>0</v>
      </c>
      <c r="N436">
        <v>2</v>
      </c>
      <c r="O436">
        <v>1</v>
      </c>
      <c r="P436">
        <v>0</v>
      </c>
      <c r="Q436">
        <v>0</v>
      </c>
      <c r="R436" t="s">
        <v>112</v>
      </c>
      <c r="S436" t="str">
        <f>"13:57:37.727"</f>
        <v>13:57:37.727</v>
      </c>
      <c r="T436" t="str">
        <f>"13:57:37.328"</f>
        <v>13:57:37.328</v>
      </c>
      <c r="U436" t="str">
        <f t="shared" si="18"/>
        <v>ad5732</v>
      </c>
      <c r="V436">
        <v>0</v>
      </c>
      <c r="W436">
        <v>0</v>
      </c>
      <c r="X436">
        <v>1</v>
      </c>
      <c r="Z436">
        <v>0</v>
      </c>
      <c r="AA436">
        <v>9</v>
      </c>
      <c r="AB436">
        <v>3</v>
      </c>
      <c r="AC436">
        <v>0</v>
      </c>
      <c r="AD436">
        <v>10</v>
      </c>
      <c r="AE436">
        <v>0</v>
      </c>
      <c r="AF436">
        <v>3</v>
      </c>
      <c r="AG436">
        <v>2</v>
      </c>
      <c r="AH436">
        <v>0</v>
      </c>
      <c r="AI436" t="s">
        <v>967</v>
      </c>
      <c r="AJ436">
        <v>39.224345999999997</v>
      </c>
      <c r="AK436" t="s">
        <v>968</v>
      </c>
      <c r="AL436">
        <v>-77.406750000000002</v>
      </c>
      <c r="AM436">
        <v>100</v>
      </c>
      <c r="AN436">
        <v>7300</v>
      </c>
      <c r="AO436" t="s">
        <v>115</v>
      </c>
      <c r="AP436">
        <v>138</v>
      </c>
      <c r="AQ436">
        <v>38</v>
      </c>
      <c r="AR436">
        <v>512</v>
      </c>
      <c r="AZ436">
        <v>3614</v>
      </c>
      <c r="BA436">
        <v>1</v>
      </c>
      <c r="BB436" t="str">
        <f t="shared" si="20"/>
        <v xml:space="preserve">N959MJ  </v>
      </c>
      <c r="BC436">
        <v>1</v>
      </c>
      <c r="BE436">
        <v>0</v>
      </c>
      <c r="BF436">
        <v>0</v>
      </c>
      <c r="BG436">
        <v>0</v>
      </c>
      <c r="BH436">
        <v>7625</v>
      </c>
      <c r="BI436">
        <v>325</v>
      </c>
      <c r="BJ436">
        <v>1</v>
      </c>
      <c r="BK436">
        <v>1</v>
      </c>
      <c r="BL436">
        <v>1</v>
      </c>
      <c r="BM436">
        <v>0</v>
      </c>
      <c r="BP436">
        <v>0</v>
      </c>
      <c r="BQ436">
        <v>0</v>
      </c>
      <c r="BX436" t="str">
        <f>"13:57:37.734"</f>
        <v>13:57:37.734</v>
      </c>
      <c r="BY436" t="str">
        <f>"731990117"</f>
        <v>731990117</v>
      </c>
      <c r="CL436">
        <v>0</v>
      </c>
      <c r="CM436">
        <v>2</v>
      </c>
      <c r="CN436">
        <v>0</v>
      </c>
      <c r="CO436">
        <v>2</v>
      </c>
      <c r="CP436">
        <v>0</v>
      </c>
      <c r="CQ436">
        <v>7</v>
      </c>
      <c r="CR436" t="s">
        <v>116</v>
      </c>
      <c r="CS436">
        <v>525</v>
      </c>
      <c r="CT436">
        <v>2</v>
      </c>
      <c r="CU436" t="s">
        <v>140</v>
      </c>
      <c r="CV436" t="s">
        <v>141</v>
      </c>
      <c r="CY436">
        <v>14223172</v>
      </c>
      <c r="CZ436" t="s">
        <v>119</v>
      </c>
    </row>
    <row r="437" spans="1:104" x14ac:dyDescent="0.25">
      <c r="A437" t="str">
        <f>"13:57:38.891"</f>
        <v>13:57:38.891</v>
      </c>
      <c r="B437" t="s">
        <v>108</v>
      </c>
      <c r="C437" t="str">
        <f t="shared" si="19"/>
        <v>ffdfd3c0</v>
      </c>
      <c r="D437" t="s">
        <v>109</v>
      </c>
      <c r="E437">
        <v>4</v>
      </c>
      <c r="F437">
        <v>1004</v>
      </c>
      <c r="G437" t="s">
        <v>110</v>
      </c>
      <c r="J437" t="s">
        <v>111</v>
      </c>
      <c r="K437">
        <v>0</v>
      </c>
      <c r="L437">
        <v>3</v>
      </c>
      <c r="M437">
        <v>0</v>
      </c>
      <c r="N437">
        <v>2</v>
      </c>
      <c r="O437">
        <v>1</v>
      </c>
      <c r="P437">
        <v>0</v>
      </c>
      <c r="Q437">
        <v>0</v>
      </c>
      <c r="R437" t="s">
        <v>112</v>
      </c>
      <c r="S437" t="str">
        <f>"13:57:38.727"</f>
        <v>13:57:38.727</v>
      </c>
      <c r="T437" t="str">
        <f>"13:57:38.328"</f>
        <v>13:57:38.328</v>
      </c>
      <c r="U437" t="str">
        <f t="shared" si="18"/>
        <v>ad5732</v>
      </c>
      <c r="V437">
        <v>0</v>
      </c>
      <c r="W437">
        <v>0</v>
      </c>
      <c r="X437">
        <v>1</v>
      </c>
      <c r="Z437">
        <v>0</v>
      </c>
      <c r="AA437">
        <v>9</v>
      </c>
      <c r="AB437">
        <v>3</v>
      </c>
      <c r="AC437">
        <v>0</v>
      </c>
      <c r="AD437">
        <v>10</v>
      </c>
      <c r="AE437">
        <v>0</v>
      </c>
      <c r="AF437">
        <v>3</v>
      </c>
      <c r="AG437">
        <v>2</v>
      </c>
      <c r="AH437">
        <v>0</v>
      </c>
      <c r="AI437" t="s">
        <v>969</v>
      </c>
      <c r="AJ437">
        <v>39.224539</v>
      </c>
      <c r="AK437" t="s">
        <v>970</v>
      </c>
      <c r="AL437">
        <v>-77.405912999999998</v>
      </c>
      <c r="AM437">
        <v>100</v>
      </c>
      <c r="AN437">
        <v>7300</v>
      </c>
      <c r="AO437" t="s">
        <v>115</v>
      </c>
      <c r="AP437">
        <v>139</v>
      </c>
      <c r="AQ437">
        <v>38</v>
      </c>
      <c r="AR437">
        <v>576</v>
      </c>
      <c r="AZ437">
        <v>3614</v>
      </c>
      <c r="BA437">
        <v>1</v>
      </c>
      <c r="BB437" t="str">
        <f t="shared" si="20"/>
        <v xml:space="preserve">N959MJ  </v>
      </c>
      <c r="BC437">
        <v>1</v>
      </c>
      <c r="BE437">
        <v>0</v>
      </c>
      <c r="BF437">
        <v>0</v>
      </c>
      <c r="BG437">
        <v>0</v>
      </c>
      <c r="BH437">
        <v>7625</v>
      </c>
      <c r="BI437">
        <v>325</v>
      </c>
      <c r="BJ437">
        <v>1</v>
      </c>
      <c r="BK437">
        <v>1</v>
      </c>
      <c r="BL437">
        <v>1</v>
      </c>
      <c r="BM437">
        <v>0</v>
      </c>
      <c r="BP437">
        <v>0</v>
      </c>
      <c r="BQ437">
        <v>0</v>
      </c>
      <c r="BX437" t="str">
        <f>"13:57:38.734"</f>
        <v>13:57:38.734</v>
      </c>
      <c r="BY437" t="str">
        <f>"731430081"</f>
        <v>731430081</v>
      </c>
      <c r="CL437">
        <v>0</v>
      </c>
      <c r="CM437">
        <v>2</v>
      </c>
      <c r="CN437">
        <v>0</v>
      </c>
      <c r="CO437">
        <v>2</v>
      </c>
      <c r="CP437">
        <v>0</v>
      </c>
      <c r="CQ437">
        <v>7</v>
      </c>
      <c r="CR437" t="s">
        <v>116</v>
      </c>
      <c r="CS437">
        <v>525</v>
      </c>
      <c r="CT437">
        <v>2</v>
      </c>
      <c r="CU437" t="s">
        <v>140</v>
      </c>
      <c r="CV437" t="s">
        <v>141</v>
      </c>
      <c r="CY437">
        <v>14224643</v>
      </c>
      <c r="CZ437" t="s">
        <v>119</v>
      </c>
    </row>
    <row r="438" spans="1:104" x14ac:dyDescent="0.25">
      <c r="A438" t="str">
        <f>"13:57:39.898"</f>
        <v>13:57:39.898</v>
      </c>
      <c r="B438" t="s">
        <v>108</v>
      </c>
      <c r="C438" t="str">
        <f t="shared" si="19"/>
        <v>ffdfd3c0</v>
      </c>
      <c r="D438" t="s">
        <v>109</v>
      </c>
      <c r="E438">
        <v>4</v>
      </c>
      <c r="F438">
        <v>1004</v>
      </c>
      <c r="G438" t="s">
        <v>110</v>
      </c>
      <c r="J438" t="s">
        <v>111</v>
      </c>
      <c r="K438">
        <v>0</v>
      </c>
      <c r="L438">
        <v>3</v>
      </c>
      <c r="M438">
        <v>0</v>
      </c>
      <c r="N438">
        <v>2</v>
      </c>
      <c r="O438">
        <v>1</v>
      </c>
      <c r="P438">
        <v>0</v>
      </c>
      <c r="Q438">
        <v>0</v>
      </c>
      <c r="R438" t="s">
        <v>112</v>
      </c>
      <c r="S438" t="str">
        <f>"13:57:39.742"</f>
        <v>13:57:39.742</v>
      </c>
      <c r="T438" t="str">
        <f>"13:57:39.242"</f>
        <v>13:57:39.242</v>
      </c>
      <c r="U438" t="str">
        <f t="shared" si="18"/>
        <v>ad5732</v>
      </c>
      <c r="V438">
        <v>0</v>
      </c>
      <c r="W438">
        <v>0</v>
      </c>
      <c r="X438">
        <v>1</v>
      </c>
      <c r="Z438">
        <v>0</v>
      </c>
      <c r="AA438">
        <v>9</v>
      </c>
      <c r="AB438">
        <v>3</v>
      </c>
      <c r="AC438">
        <v>0</v>
      </c>
      <c r="AD438">
        <v>10</v>
      </c>
      <c r="AE438">
        <v>0</v>
      </c>
      <c r="AF438">
        <v>3</v>
      </c>
      <c r="AG438">
        <v>2</v>
      </c>
      <c r="AH438">
        <v>0</v>
      </c>
      <c r="AI438" t="s">
        <v>971</v>
      </c>
      <c r="AJ438">
        <v>39.224710000000002</v>
      </c>
      <c r="AK438" t="s">
        <v>972</v>
      </c>
      <c r="AL438">
        <v>-77.405075999999994</v>
      </c>
      <c r="AM438">
        <v>100</v>
      </c>
      <c r="AN438">
        <v>7300</v>
      </c>
      <c r="AO438" t="s">
        <v>115</v>
      </c>
      <c r="AP438">
        <v>139</v>
      </c>
      <c r="AQ438">
        <v>38</v>
      </c>
      <c r="AR438">
        <v>640</v>
      </c>
      <c r="AZ438">
        <v>3614</v>
      </c>
      <c r="BA438">
        <v>1</v>
      </c>
      <c r="BB438" t="str">
        <f t="shared" si="20"/>
        <v xml:space="preserve">N959MJ  </v>
      </c>
      <c r="BC438">
        <v>1</v>
      </c>
      <c r="BE438">
        <v>0</v>
      </c>
      <c r="BF438">
        <v>0</v>
      </c>
      <c r="BG438">
        <v>0</v>
      </c>
      <c r="BH438">
        <v>7650</v>
      </c>
      <c r="BI438">
        <v>350</v>
      </c>
      <c r="BJ438">
        <v>1</v>
      </c>
      <c r="BK438">
        <v>1</v>
      </c>
      <c r="BL438">
        <v>1</v>
      </c>
      <c r="BM438">
        <v>0</v>
      </c>
      <c r="BP438">
        <v>0</v>
      </c>
      <c r="BQ438">
        <v>0</v>
      </c>
      <c r="BX438" t="str">
        <f>"13:57:39.750"</f>
        <v>13:57:39.750</v>
      </c>
      <c r="BY438" t="str">
        <f>"748892557"</f>
        <v>748892557</v>
      </c>
      <c r="CL438">
        <v>0</v>
      </c>
      <c r="CM438">
        <v>2</v>
      </c>
      <c r="CN438">
        <v>0</v>
      </c>
      <c r="CO438">
        <v>2</v>
      </c>
      <c r="CP438">
        <v>0</v>
      </c>
      <c r="CQ438">
        <v>7</v>
      </c>
      <c r="CR438" t="s">
        <v>116</v>
      </c>
      <c r="CS438">
        <v>525</v>
      </c>
      <c r="CT438">
        <v>2</v>
      </c>
      <c r="CU438" t="s">
        <v>140</v>
      </c>
      <c r="CV438" t="s">
        <v>141</v>
      </c>
      <c r="CY438">
        <v>14226104</v>
      </c>
      <c r="CZ438" t="s">
        <v>119</v>
      </c>
    </row>
    <row r="439" spans="1:104" x14ac:dyDescent="0.25">
      <c r="A439" t="str">
        <f>"13:57:41.016"</f>
        <v>13:57:41.016</v>
      </c>
      <c r="B439" t="s">
        <v>108</v>
      </c>
      <c r="C439" t="str">
        <f t="shared" si="19"/>
        <v>ffdfd3c0</v>
      </c>
      <c r="D439" t="s">
        <v>109</v>
      </c>
      <c r="E439">
        <v>4</v>
      </c>
      <c r="F439">
        <v>1004</v>
      </c>
      <c r="G439" t="s">
        <v>110</v>
      </c>
      <c r="J439" t="s">
        <v>111</v>
      </c>
      <c r="K439">
        <v>0</v>
      </c>
      <c r="L439">
        <v>3</v>
      </c>
      <c r="M439">
        <v>0</v>
      </c>
      <c r="N439">
        <v>2</v>
      </c>
      <c r="O439">
        <v>1</v>
      </c>
      <c r="P439">
        <v>0</v>
      </c>
      <c r="Q439">
        <v>0</v>
      </c>
      <c r="R439" t="s">
        <v>112</v>
      </c>
      <c r="S439" t="str">
        <f>"13:57:40.828"</f>
        <v>13:57:40.828</v>
      </c>
      <c r="T439" t="str">
        <f>"13:57:40.430"</f>
        <v>13:57:40.430</v>
      </c>
      <c r="U439" t="str">
        <f t="shared" si="18"/>
        <v>ad5732</v>
      </c>
      <c r="V439">
        <v>0</v>
      </c>
      <c r="W439">
        <v>0</v>
      </c>
      <c r="X439">
        <v>1</v>
      </c>
      <c r="Z439">
        <v>0</v>
      </c>
      <c r="AA439">
        <v>9</v>
      </c>
      <c r="AB439">
        <v>3</v>
      </c>
      <c r="AC439">
        <v>0</v>
      </c>
      <c r="AD439">
        <v>10</v>
      </c>
      <c r="AE439">
        <v>0</v>
      </c>
      <c r="AF439">
        <v>3</v>
      </c>
      <c r="AG439">
        <v>2</v>
      </c>
      <c r="AH439">
        <v>0</v>
      </c>
      <c r="AI439" t="s">
        <v>973</v>
      </c>
      <c r="AJ439">
        <v>39.224924999999999</v>
      </c>
      <c r="AK439" t="s">
        <v>974</v>
      </c>
      <c r="AL439">
        <v>-77.404174999999995</v>
      </c>
      <c r="AM439">
        <v>100</v>
      </c>
      <c r="AN439">
        <v>7300</v>
      </c>
      <c r="AO439" t="s">
        <v>115</v>
      </c>
      <c r="AP439">
        <v>139</v>
      </c>
      <c r="AQ439">
        <v>40</v>
      </c>
      <c r="AR439">
        <v>768</v>
      </c>
      <c r="AZ439">
        <v>3614</v>
      </c>
      <c r="BA439">
        <v>1</v>
      </c>
      <c r="BB439" t="str">
        <f t="shared" si="20"/>
        <v xml:space="preserve">N959MJ  </v>
      </c>
      <c r="BC439">
        <v>1</v>
      </c>
      <c r="BE439">
        <v>0</v>
      </c>
      <c r="BF439">
        <v>0</v>
      </c>
      <c r="BG439">
        <v>0</v>
      </c>
      <c r="BH439">
        <v>7650</v>
      </c>
      <c r="BI439">
        <v>350</v>
      </c>
      <c r="BJ439">
        <v>1</v>
      </c>
      <c r="BK439">
        <v>1</v>
      </c>
      <c r="BL439">
        <v>1</v>
      </c>
      <c r="BM439">
        <v>0</v>
      </c>
      <c r="BP439">
        <v>0</v>
      </c>
      <c r="BQ439">
        <v>0</v>
      </c>
      <c r="BX439" t="str">
        <f>"13:57:40.828"</f>
        <v>13:57:40.828</v>
      </c>
      <c r="BY439" t="str">
        <f>"831892113"</f>
        <v>831892113</v>
      </c>
      <c r="CL439">
        <v>0</v>
      </c>
      <c r="CM439">
        <v>2</v>
      </c>
      <c r="CN439">
        <v>0</v>
      </c>
      <c r="CO439">
        <v>2</v>
      </c>
      <c r="CP439">
        <v>0</v>
      </c>
      <c r="CQ439">
        <v>7</v>
      </c>
      <c r="CR439" t="s">
        <v>116</v>
      </c>
      <c r="CS439">
        <v>525</v>
      </c>
      <c r="CT439">
        <v>2</v>
      </c>
      <c r="CU439" t="s">
        <v>140</v>
      </c>
      <c r="CV439" t="s">
        <v>141</v>
      </c>
      <c r="CY439">
        <v>14227620</v>
      </c>
      <c r="CZ439" t="s">
        <v>119</v>
      </c>
    </row>
    <row r="440" spans="1:104" x14ac:dyDescent="0.25">
      <c r="A440" t="str">
        <f>"13:57:41.820"</f>
        <v>13:57:41.820</v>
      </c>
      <c r="B440" t="s">
        <v>108</v>
      </c>
      <c r="C440" t="str">
        <f t="shared" si="19"/>
        <v>ffdfd3c0</v>
      </c>
      <c r="D440" t="s">
        <v>109</v>
      </c>
      <c r="E440">
        <v>4</v>
      </c>
      <c r="F440">
        <v>1004</v>
      </c>
      <c r="G440" t="s">
        <v>110</v>
      </c>
      <c r="J440" t="s">
        <v>111</v>
      </c>
      <c r="K440">
        <v>0</v>
      </c>
      <c r="L440">
        <v>3</v>
      </c>
      <c r="M440">
        <v>0</v>
      </c>
      <c r="N440">
        <v>2</v>
      </c>
      <c r="O440">
        <v>1</v>
      </c>
      <c r="P440">
        <v>0</v>
      </c>
      <c r="Q440">
        <v>0</v>
      </c>
      <c r="R440" t="s">
        <v>112</v>
      </c>
      <c r="S440" t="str">
        <f>"13:57:41.664"</f>
        <v>13:57:41.664</v>
      </c>
      <c r="T440" t="str">
        <f>"13:57:41.266"</f>
        <v>13:57:41.266</v>
      </c>
      <c r="U440" t="str">
        <f t="shared" si="18"/>
        <v>ad5732</v>
      </c>
      <c r="V440">
        <v>0</v>
      </c>
      <c r="W440">
        <v>0</v>
      </c>
      <c r="X440">
        <v>1</v>
      </c>
      <c r="Z440">
        <v>0</v>
      </c>
      <c r="AA440">
        <v>9</v>
      </c>
      <c r="AB440">
        <v>3</v>
      </c>
      <c r="AC440">
        <v>0</v>
      </c>
      <c r="AD440">
        <v>10</v>
      </c>
      <c r="AE440">
        <v>0</v>
      </c>
      <c r="AF440">
        <v>3</v>
      </c>
      <c r="AG440">
        <v>2</v>
      </c>
      <c r="AH440">
        <v>0</v>
      </c>
      <c r="AI440" t="s">
        <v>975</v>
      </c>
      <c r="AJ440">
        <v>39.225096999999998</v>
      </c>
      <c r="AK440" t="s">
        <v>976</v>
      </c>
      <c r="AL440">
        <v>-77.403509999999997</v>
      </c>
      <c r="AM440">
        <v>100</v>
      </c>
      <c r="AN440">
        <v>7300</v>
      </c>
      <c r="AO440" t="s">
        <v>115</v>
      </c>
      <c r="AP440">
        <v>139</v>
      </c>
      <c r="AQ440">
        <v>41</v>
      </c>
      <c r="AR440">
        <v>896</v>
      </c>
      <c r="AZ440">
        <v>3614</v>
      </c>
      <c r="BA440">
        <v>1</v>
      </c>
      <c r="BB440" t="str">
        <f t="shared" si="20"/>
        <v xml:space="preserve">N959MJ  </v>
      </c>
      <c r="BC440">
        <v>1</v>
      </c>
      <c r="BE440">
        <v>0</v>
      </c>
      <c r="BF440">
        <v>0</v>
      </c>
      <c r="BG440">
        <v>0</v>
      </c>
      <c r="BH440">
        <v>7675</v>
      </c>
      <c r="BI440">
        <v>375</v>
      </c>
      <c r="BJ440">
        <v>1</v>
      </c>
      <c r="BK440">
        <v>1</v>
      </c>
      <c r="BL440">
        <v>1</v>
      </c>
      <c r="BM440">
        <v>0</v>
      </c>
      <c r="BP440">
        <v>0</v>
      </c>
      <c r="BQ440">
        <v>0</v>
      </c>
      <c r="BX440" t="str">
        <f>"13:57:41.664"</f>
        <v>13:57:41.664</v>
      </c>
      <c r="BY440" t="str">
        <f>"667489344"</f>
        <v>667489344</v>
      </c>
      <c r="CL440">
        <v>0</v>
      </c>
      <c r="CM440">
        <v>2</v>
      </c>
      <c r="CN440">
        <v>0</v>
      </c>
      <c r="CO440">
        <v>2</v>
      </c>
      <c r="CP440">
        <v>0</v>
      </c>
      <c r="CQ440">
        <v>7</v>
      </c>
      <c r="CR440" t="s">
        <v>116</v>
      </c>
      <c r="CS440">
        <v>525</v>
      </c>
      <c r="CT440">
        <v>2</v>
      </c>
      <c r="CU440" t="s">
        <v>140</v>
      </c>
      <c r="CV440" t="s">
        <v>141</v>
      </c>
      <c r="CY440">
        <v>14229043</v>
      </c>
      <c r="CZ440" t="s">
        <v>119</v>
      </c>
    </row>
    <row r="441" spans="1:104" x14ac:dyDescent="0.25">
      <c r="A441" t="str">
        <f>"13:57:42.727"</f>
        <v>13:57:42.727</v>
      </c>
      <c r="B441" t="s">
        <v>108</v>
      </c>
      <c r="C441" t="str">
        <f t="shared" si="19"/>
        <v>ffdfd3c0</v>
      </c>
      <c r="D441" t="s">
        <v>109</v>
      </c>
      <c r="E441">
        <v>4</v>
      </c>
      <c r="F441">
        <v>1004</v>
      </c>
      <c r="G441" t="s">
        <v>110</v>
      </c>
      <c r="J441" t="s">
        <v>111</v>
      </c>
      <c r="K441">
        <v>0</v>
      </c>
      <c r="L441">
        <v>3</v>
      </c>
      <c r="M441">
        <v>0</v>
      </c>
      <c r="N441">
        <v>2</v>
      </c>
      <c r="O441">
        <v>1</v>
      </c>
      <c r="P441">
        <v>0</v>
      </c>
      <c r="Q441">
        <v>0</v>
      </c>
      <c r="R441" t="s">
        <v>112</v>
      </c>
      <c r="S441" t="str">
        <f>"13:57:42.563"</f>
        <v>13:57:42.563</v>
      </c>
      <c r="T441" t="str">
        <f>"13:57:42.164"</f>
        <v>13:57:42.164</v>
      </c>
      <c r="U441" t="str">
        <f t="shared" si="18"/>
        <v>ad5732</v>
      </c>
      <c r="V441">
        <v>0</v>
      </c>
      <c r="W441">
        <v>0</v>
      </c>
      <c r="X441">
        <v>1</v>
      </c>
      <c r="Z441">
        <v>0</v>
      </c>
      <c r="AA441">
        <v>9</v>
      </c>
      <c r="AB441">
        <v>3</v>
      </c>
      <c r="AC441">
        <v>0</v>
      </c>
      <c r="AD441">
        <v>10</v>
      </c>
      <c r="AE441">
        <v>0</v>
      </c>
      <c r="AF441">
        <v>3</v>
      </c>
      <c r="AG441">
        <v>2</v>
      </c>
      <c r="AH441">
        <v>0</v>
      </c>
      <c r="AI441" t="s">
        <v>977</v>
      </c>
      <c r="AJ441">
        <v>39.225268</v>
      </c>
      <c r="AK441" t="s">
        <v>978</v>
      </c>
      <c r="AL441">
        <v>-77.402737000000002</v>
      </c>
      <c r="AM441">
        <v>100</v>
      </c>
      <c r="AN441">
        <v>7400</v>
      </c>
      <c r="AO441" t="s">
        <v>115</v>
      </c>
      <c r="AP441">
        <v>138</v>
      </c>
      <c r="AQ441">
        <v>42</v>
      </c>
      <c r="AR441">
        <v>896</v>
      </c>
      <c r="AZ441">
        <v>3614</v>
      </c>
      <c r="BA441">
        <v>1</v>
      </c>
      <c r="BB441" t="str">
        <f t="shared" si="20"/>
        <v xml:space="preserve">N959MJ  </v>
      </c>
      <c r="BC441">
        <v>1</v>
      </c>
      <c r="BE441">
        <v>0</v>
      </c>
      <c r="BF441">
        <v>0</v>
      </c>
      <c r="BG441">
        <v>0</v>
      </c>
      <c r="BH441">
        <v>7575</v>
      </c>
      <c r="BI441">
        <v>175</v>
      </c>
      <c r="BJ441">
        <v>1</v>
      </c>
      <c r="BK441">
        <v>1</v>
      </c>
      <c r="BL441">
        <v>1</v>
      </c>
      <c r="BM441">
        <v>0</v>
      </c>
      <c r="BP441">
        <v>0</v>
      </c>
      <c r="BQ441">
        <v>0</v>
      </c>
      <c r="BX441" t="str">
        <f>"13:57:42.570"</f>
        <v>13:57:42.570</v>
      </c>
      <c r="BY441" t="str">
        <f>"567198187"</f>
        <v>567198187</v>
      </c>
      <c r="CL441">
        <v>0</v>
      </c>
      <c r="CM441">
        <v>2</v>
      </c>
      <c r="CN441">
        <v>0</v>
      </c>
      <c r="CO441">
        <v>2</v>
      </c>
      <c r="CP441">
        <v>0</v>
      </c>
      <c r="CQ441">
        <v>6</v>
      </c>
      <c r="CR441" t="s">
        <v>116</v>
      </c>
      <c r="CS441">
        <v>373</v>
      </c>
      <c r="CT441">
        <v>3</v>
      </c>
      <c r="CU441" t="s">
        <v>224</v>
      </c>
      <c r="CV441" t="s">
        <v>225</v>
      </c>
      <c r="CY441">
        <v>2132621</v>
      </c>
      <c r="CZ441" t="s">
        <v>119</v>
      </c>
    </row>
    <row r="442" spans="1:104" x14ac:dyDescent="0.25">
      <c r="A442" t="str">
        <f>"13:57:43.789"</f>
        <v>13:57:43.789</v>
      </c>
      <c r="B442" t="s">
        <v>108</v>
      </c>
      <c r="C442" t="str">
        <f t="shared" si="19"/>
        <v>ffdfd3c0</v>
      </c>
      <c r="D442" t="s">
        <v>109</v>
      </c>
      <c r="E442">
        <v>4</v>
      </c>
      <c r="F442">
        <v>1004</v>
      </c>
      <c r="G442" t="s">
        <v>110</v>
      </c>
      <c r="J442" t="s">
        <v>111</v>
      </c>
      <c r="K442">
        <v>0</v>
      </c>
      <c r="L442">
        <v>3</v>
      </c>
      <c r="M442">
        <v>0</v>
      </c>
      <c r="N442">
        <v>2</v>
      </c>
      <c r="O442">
        <v>1</v>
      </c>
      <c r="P442">
        <v>0</v>
      </c>
      <c r="Q442">
        <v>0</v>
      </c>
      <c r="R442" t="s">
        <v>112</v>
      </c>
      <c r="S442" t="str">
        <f>"13:57:43.625"</f>
        <v>13:57:43.625</v>
      </c>
      <c r="T442" t="str">
        <f>"13:57:43.125"</f>
        <v>13:57:43.125</v>
      </c>
      <c r="U442" t="str">
        <f t="shared" si="18"/>
        <v>ad5732</v>
      </c>
      <c r="V442">
        <v>0</v>
      </c>
      <c r="W442">
        <v>0</v>
      </c>
      <c r="X442">
        <v>1</v>
      </c>
      <c r="Z442">
        <v>0</v>
      </c>
      <c r="AA442">
        <v>9</v>
      </c>
      <c r="AB442">
        <v>3</v>
      </c>
      <c r="AC442">
        <v>0</v>
      </c>
      <c r="AD442">
        <v>10</v>
      </c>
      <c r="AE442">
        <v>0</v>
      </c>
      <c r="AF442">
        <v>3</v>
      </c>
      <c r="AG442">
        <v>2</v>
      </c>
      <c r="AH442">
        <v>0</v>
      </c>
      <c r="AI442" t="s">
        <v>979</v>
      </c>
      <c r="AJ442">
        <v>39.225482999999997</v>
      </c>
      <c r="AK442" t="s">
        <v>980</v>
      </c>
      <c r="AL442">
        <v>-77.401857000000007</v>
      </c>
      <c r="AM442">
        <v>100</v>
      </c>
      <c r="AN442">
        <v>7400</v>
      </c>
      <c r="AO442" t="s">
        <v>115</v>
      </c>
      <c r="AP442">
        <v>138</v>
      </c>
      <c r="AQ442">
        <v>44</v>
      </c>
      <c r="AR442">
        <v>960</v>
      </c>
      <c r="AZ442">
        <v>3614</v>
      </c>
      <c r="BA442">
        <v>1</v>
      </c>
      <c r="BB442" t="str">
        <f t="shared" si="20"/>
        <v xml:space="preserve">N959MJ  </v>
      </c>
      <c r="BC442">
        <v>1</v>
      </c>
      <c r="BE442">
        <v>0</v>
      </c>
      <c r="BF442">
        <v>0</v>
      </c>
      <c r="BG442">
        <v>0</v>
      </c>
      <c r="BH442">
        <v>7700</v>
      </c>
      <c r="BI442">
        <v>300</v>
      </c>
      <c r="BJ442">
        <v>1</v>
      </c>
      <c r="BK442">
        <v>1</v>
      </c>
      <c r="BL442">
        <v>1</v>
      </c>
      <c r="BM442">
        <v>0</v>
      </c>
      <c r="BP442">
        <v>0</v>
      </c>
      <c r="BQ442">
        <v>0</v>
      </c>
      <c r="BX442" t="str">
        <f>"13:57:43.625"</f>
        <v>13:57:43.625</v>
      </c>
      <c r="BY442" t="str">
        <f>"627046764"</f>
        <v>627046764</v>
      </c>
      <c r="CL442">
        <v>0</v>
      </c>
      <c r="CM442">
        <v>2</v>
      </c>
      <c r="CN442">
        <v>0</v>
      </c>
      <c r="CO442">
        <v>2</v>
      </c>
      <c r="CP442">
        <v>0</v>
      </c>
      <c r="CQ442">
        <v>7</v>
      </c>
      <c r="CR442" t="s">
        <v>116</v>
      </c>
      <c r="CS442">
        <v>525</v>
      </c>
      <c r="CT442">
        <v>2</v>
      </c>
      <c r="CU442" t="s">
        <v>140</v>
      </c>
      <c r="CV442" t="s">
        <v>141</v>
      </c>
      <c r="CY442">
        <v>14232002</v>
      </c>
      <c r="CZ442" t="s">
        <v>119</v>
      </c>
    </row>
    <row r="443" spans="1:104" x14ac:dyDescent="0.25">
      <c r="A443" t="str">
        <f>"13:57:44.797"</f>
        <v>13:57:44.797</v>
      </c>
      <c r="B443" t="s">
        <v>108</v>
      </c>
      <c r="C443" t="str">
        <f t="shared" si="19"/>
        <v>ffdfd3c0</v>
      </c>
      <c r="D443" t="s">
        <v>109</v>
      </c>
      <c r="E443">
        <v>4</v>
      </c>
      <c r="F443">
        <v>1004</v>
      </c>
      <c r="G443" t="s">
        <v>110</v>
      </c>
      <c r="J443" t="s">
        <v>111</v>
      </c>
      <c r="K443">
        <v>0</v>
      </c>
      <c r="L443">
        <v>3</v>
      </c>
      <c r="M443">
        <v>0</v>
      </c>
      <c r="N443">
        <v>2</v>
      </c>
      <c r="O443">
        <v>1</v>
      </c>
      <c r="P443">
        <v>0</v>
      </c>
      <c r="Q443">
        <v>0</v>
      </c>
      <c r="R443" t="s">
        <v>112</v>
      </c>
      <c r="S443" t="str">
        <f>"13:57:44.602"</f>
        <v>13:57:44.602</v>
      </c>
      <c r="T443" t="str">
        <f>"13:57:43.703"</f>
        <v>13:57:43.703</v>
      </c>
      <c r="U443" t="str">
        <f t="shared" si="18"/>
        <v>ad5732</v>
      </c>
      <c r="V443">
        <v>0</v>
      </c>
      <c r="W443">
        <v>0</v>
      </c>
      <c r="X443">
        <v>1</v>
      </c>
      <c r="Z443">
        <v>0</v>
      </c>
      <c r="AA443">
        <v>9</v>
      </c>
      <c r="AB443">
        <v>3</v>
      </c>
      <c r="AC443">
        <v>0</v>
      </c>
      <c r="AD443">
        <v>10</v>
      </c>
      <c r="AE443">
        <v>0</v>
      </c>
      <c r="AF443">
        <v>3</v>
      </c>
      <c r="AG443">
        <v>2</v>
      </c>
      <c r="AH443">
        <v>0</v>
      </c>
      <c r="AI443" t="s">
        <v>981</v>
      </c>
      <c r="AJ443">
        <v>39.225698000000001</v>
      </c>
      <c r="AK443" t="s">
        <v>982</v>
      </c>
      <c r="AL443">
        <v>-77.401062999999994</v>
      </c>
      <c r="AM443">
        <v>100</v>
      </c>
      <c r="AN443">
        <v>7400</v>
      </c>
      <c r="AO443" t="s">
        <v>115</v>
      </c>
      <c r="AP443">
        <v>137</v>
      </c>
      <c r="AQ443">
        <v>45</v>
      </c>
      <c r="AR443">
        <v>1024</v>
      </c>
      <c r="AZ443">
        <v>3614</v>
      </c>
      <c r="BA443">
        <v>1</v>
      </c>
      <c r="BB443" t="str">
        <f t="shared" si="20"/>
        <v xml:space="preserve">N959MJ  </v>
      </c>
      <c r="BC443">
        <v>1</v>
      </c>
      <c r="BE443">
        <v>0</v>
      </c>
      <c r="BF443">
        <v>0</v>
      </c>
      <c r="BG443">
        <v>0</v>
      </c>
      <c r="BH443">
        <v>7700</v>
      </c>
      <c r="BI443">
        <v>300</v>
      </c>
      <c r="BJ443">
        <v>1</v>
      </c>
      <c r="BK443">
        <v>1</v>
      </c>
      <c r="BL443">
        <v>1</v>
      </c>
      <c r="BM443">
        <v>0</v>
      </c>
      <c r="BP443">
        <v>0</v>
      </c>
      <c r="BQ443">
        <v>0</v>
      </c>
      <c r="BX443" t="str">
        <f>"13:57:44.609"</f>
        <v>13:57:44.609</v>
      </c>
      <c r="BY443" t="str">
        <f>"607109148"</f>
        <v>607109148</v>
      </c>
      <c r="CL443">
        <v>0</v>
      </c>
      <c r="CM443">
        <v>2</v>
      </c>
      <c r="CN443">
        <v>0</v>
      </c>
      <c r="CO443">
        <v>2</v>
      </c>
      <c r="CP443">
        <v>0</v>
      </c>
      <c r="CQ443">
        <v>5</v>
      </c>
      <c r="CR443" t="s">
        <v>116</v>
      </c>
      <c r="CS443">
        <v>396</v>
      </c>
      <c r="CT443">
        <v>2</v>
      </c>
      <c r="CU443" t="s">
        <v>939</v>
      </c>
      <c r="CV443" t="s">
        <v>940</v>
      </c>
      <c r="CY443">
        <v>3513258</v>
      </c>
      <c r="CZ443" t="s">
        <v>119</v>
      </c>
    </row>
    <row r="444" spans="1:104" x14ac:dyDescent="0.25">
      <c r="A444" t="str">
        <f>"13:57:45.758"</f>
        <v>13:57:45.758</v>
      </c>
      <c r="B444" t="s">
        <v>108</v>
      </c>
      <c r="C444" t="str">
        <f t="shared" si="19"/>
        <v>ffdfd3c0</v>
      </c>
      <c r="D444" t="s">
        <v>109</v>
      </c>
      <c r="E444">
        <v>4</v>
      </c>
      <c r="F444">
        <v>1004</v>
      </c>
      <c r="G444" t="s">
        <v>110</v>
      </c>
      <c r="J444" t="s">
        <v>111</v>
      </c>
      <c r="K444">
        <v>0</v>
      </c>
      <c r="L444">
        <v>3</v>
      </c>
      <c r="M444">
        <v>0</v>
      </c>
      <c r="N444">
        <v>2</v>
      </c>
      <c r="O444">
        <v>1</v>
      </c>
      <c r="P444">
        <v>0</v>
      </c>
      <c r="Q444">
        <v>0</v>
      </c>
      <c r="R444" t="s">
        <v>112</v>
      </c>
      <c r="S444" t="str">
        <f>"13:57:45.555"</f>
        <v>13:57:45.555</v>
      </c>
      <c r="T444" t="str">
        <f>"13:57:45.055"</f>
        <v>13:57:45.055</v>
      </c>
      <c r="U444" t="str">
        <f t="shared" si="18"/>
        <v>ad5732</v>
      </c>
      <c r="V444">
        <v>0</v>
      </c>
      <c r="W444">
        <v>0</v>
      </c>
      <c r="X444">
        <v>1</v>
      </c>
      <c r="Z444">
        <v>0</v>
      </c>
      <c r="AA444">
        <v>9</v>
      </c>
      <c r="AB444">
        <v>3</v>
      </c>
      <c r="AC444">
        <v>0</v>
      </c>
      <c r="AD444">
        <v>10</v>
      </c>
      <c r="AE444">
        <v>0</v>
      </c>
      <c r="AF444">
        <v>3</v>
      </c>
      <c r="AG444">
        <v>2</v>
      </c>
      <c r="AH444">
        <v>0</v>
      </c>
      <c r="AI444" t="s">
        <v>983</v>
      </c>
      <c r="AJ444">
        <v>39.225912000000001</v>
      </c>
      <c r="AK444" t="s">
        <v>984</v>
      </c>
      <c r="AL444">
        <v>-77.400355000000005</v>
      </c>
      <c r="AM444">
        <v>100</v>
      </c>
      <c r="AN444">
        <v>7400</v>
      </c>
      <c r="AO444" t="s">
        <v>115</v>
      </c>
      <c r="AP444">
        <v>136</v>
      </c>
      <c r="AQ444">
        <v>49</v>
      </c>
      <c r="AR444">
        <v>1088</v>
      </c>
      <c r="AZ444">
        <v>3614</v>
      </c>
      <c r="BA444">
        <v>1</v>
      </c>
      <c r="BB444" t="str">
        <f t="shared" si="20"/>
        <v xml:space="preserve">N959MJ  </v>
      </c>
      <c r="BC444">
        <v>1</v>
      </c>
      <c r="BE444">
        <v>0</v>
      </c>
      <c r="BF444">
        <v>0</v>
      </c>
      <c r="BG444">
        <v>0</v>
      </c>
      <c r="BH444">
        <v>7725</v>
      </c>
      <c r="BI444">
        <v>325</v>
      </c>
      <c r="BJ444">
        <v>1</v>
      </c>
      <c r="BK444">
        <v>1</v>
      </c>
      <c r="BL444">
        <v>1</v>
      </c>
      <c r="BM444">
        <v>0</v>
      </c>
      <c r="BP444">
        <v>0</v>
      </c>
      <c r="BQ444">
        <v>0</v>
      </c>
      <c r="BX444" t="str">
        <f>"13:57:45.563"</f>
        <v>13:57:45.563</v>
      </c>
      <c r="BY444" t="str">
        <f>"558964239"</f>
        <v>558964239</v>
      </c>
      <c r="CL444">
        <v>0</v>
      </c>
      <c r="CM444">
        <v>2</v>
      </c>
      <c r="CN444">
        <v>0</v>
      </c>
      <c r="CO444">
        <v>2</v>
      </c>
      <c r="CP444">
        <v>0</v>
      </c>
      <c r="CQ444">
        <v>6</v>
      </c>
      <c r="CR444" t="s">
        <v>116</v>
      </c>
      <c r="CS444">
        <v>373</v>
      </c>
      <c r="CT444">
        <v>3</v>
      </c>
      <c r="CU444" t="s">
        <v>224</v>
      </c>
      <c r="CV444" t="s">
        <v>225</v>
      </c>
      <c r="CY444">
        <v>2138120</v>
      </c>
      <c r="CZ444" t="s">
        <v>119</v>
      </c>
    </row>
    <row r="445" spans="1:104" x14ac:dyDescent="0.25">
      <c r="A445" t="str">
        <f>"13:57:46.820"</f>
        <v>13:57:46.820</v>
      </c>
      <c r="B445" t="s">
        <v>108</v>
      </c>
      <c r="C445" t="str">
        <f t="shared" si="19"/>
        <v>ffdfd3c0</v>
      </c>
      <c r="D445" t="s">
        <v>109</v>
      </c>
      <c r="E445">
        <v>4</v>
      </c>
      <c r="F445">
        <v>1004</v>
      </c>
      <c r="G445" t="s">
        <v>110</v>
      </c>
      <c r="J445" t="s">
        <v>111</v>
      </c>
      <c r="K445">
        <v>0</v>
      </c>
      <c r="L445">
        <v>3</v>
      </c>
      <c r="M445">
        <v>0</v>
      </c>
      <c r="N445">
        <v>2</v>
      </c>
      <c r="O445">
        <v>1</v>
      </c>
      <c r="P445">
        <v>0</v>
      </c>
      <c r="Q445">
        <v>0</v>
      </c>
      <c r="R445" t="s">
        <v>112</v>
      </c>
      <c r="S445" t="str">
        <f>"13:57:46.617"</f>
        <v>13:57:46.617</v>
      </c>
      <c r="T445" t="str">
        <f>"13:57:45.617"</f>
        <v>13:57:45.617</v>
      </c>
      <c r="U445" t="str">
        <f t="shared" si="18"/>
        <v>ad5732</v>
      </c>
      <c r="V445">
        <v>0</v>
      </c>
      <c r="W445">
        <v>0</v>
      </c>
      <c r="X445">
        <v>1</v>
      </c>
      <c r="Z445">
        <v>0</v>
      </c>
      <c r="AA445">
        <v>9</v>
      </c>
      <c r="AB445">
        <v>3</v>
      </c>
      <c r="AC445">
        <v>0</v>
      </c>
      <c r="AD445">
        <v>10</v>
      </c>
      <c r="AE445">
        <v>0</v>
      </c>
      <c r="AF445">
        <v>3</v>
      </c>
      <c r="AG445">
        <v>2</v>
      </c>
      <c r="AH445">
        <v>0</v>
      </c>
      <c r="AI445" t="s">
        <v>985</v>
      </c>
      <c r="AJ445">
        <v>39.226170000000003</v>
      </c>
      <c r="AK445" t="s">
        <v>986</v>
      </c>
      <c r="AL445">
        <v>-77.399476000000007</v>
      </c>
      <c r="AM445">
        <v>100</v>
      </c>
      <c r="AN445">
        <v>7500</v>
      </c>
      <c r="AO445" t="s">
        <v>115</v>
      </c>
      <c r="AP445">
        <v>135</v>
      </c>
      <c r="AQ445">
        <v>49</v>
      </c>
      <c r="AR445">
        <v>1088</v>
      </c>
      <c r="AZ445">
        <v>3614</v>
      </c>
      <c r="BA445">
        <v>1</v>
      </c>
      <c r="BB445" t="str">
        <f t="shared" si="20"/>
        <v xml:space="preserve">N959MJ  </v>
      </c>
      <c r="BC445">
        <v>1</v>
      </c>
      <c r="BE445">
        <v>0</v>
      </c>
      <c r="BF445">
        <v>0</v>
      </c>
      <c r="BG445">
        <v>0</v>
      </c>
      <c r="BH445">
        <v>7750</v>
      </c>
      <c r="BI445">
        <v>250</v>
      </c>
      <c r="BJ445">
        <v>1</v>
      </c>
      <c r="BK445">
        <v>1</v>
      </c>
      <c r="BL445">
        <v>1</v>
      </c>
      <c r="BM445">
        <v>0</v>
      </c>
      <c r="BP445">
        <v>0</v>
      </c>
      <c r="BQ445">
        <v>0</v>
      </c>
      <c r="BX445" t="str">
        <f>"13:57:46.617"</f>
        <v>13:57:46.617</v>
      </c>
      <c r="BY445" t="str">
        <f>"618812550"</f>
        <v>618812550</v>
      </c>
      <c r="CL445">
        <v>0</v>
      </c>
      <c r="CM445">
        <v>2</v>
      </c>
      <c r="CN445">
        <v>0</v>
      </c>
      <c r="CO445">
        <v>2</v>
      </c>
      <c r="CP445">
        <v>0</v>
      </c>
      <c r="CQ445">
        <v>7</v>
      </c>
      <c r="CR445" t="s">
        <v>116</v>
      </c>
      <c r="CS445">
        <v>525</v>
      </c>
      <c r="CT445">
        <v>2</v>
      </c>
      <c r="CU445" t="s">
        <v>140</v>
      </c>
      <c r="CV445" t="s">
        <v>141</v>
      </c>
      <c r="CY445">
        <v>14236427</v>
      </c>
      <c r="CZ445" t="s">
        <v>119</v>
      </c>
    </row>
    <row r="446" spans="1:104" x14ac:dyDescent="0.25">
      <c r="A446" t="str">
        <f>"13:57:47.727"</f>
        <v>13:57:47.727</v>
      </c>
      <c r="B446" t="s">
        <v>108</v>
      </c>
      <c r="C446" t="str">
        <f t="shared" si="19"/>
        <v>ffdfd3c0</v>
      </c>
      <c r="D446" t="s">
        <v>109</v>
      </c>
      <c r="E446">
        <v>4</v>
      </c>
      <c r="F446">
        <v>1004</v>
      </c>
      <c r="G446" t="s">
        <v>110</v>
      </c>
      <c r="J446" t="s">
        <v>111</v>
      </c>
      <c r="K446">
        <v>0</v>
      </c>
      <c r="L446">
        <v>3</v>
      </c>
      <c r="M446">
        <v>0</v>
      </c>
      <c r="N446">
        <v>2</v>
      </c>
      <c r="O446">
        <v>1</v>
      </c>
      <c r="P446">
        <v>0</v>
      </c>
      <c r="Q446">
        <v>0</v>
      </c>
      <c r="R446" t="s">
        <v>112</v>
      </c>
      <c r="S446" t="str">
        <f>"13:57:47.563"</f>
        <v>13:57:47.563</v>
      </c>
      <c r="T446" t="str">
        <f>"13:57:47.164"</f>
        <v>13:57:47.164</v>
      </c>
      <c r="U446" t="str">
        <f t="shared" si="18"/>
        <v>ad5732</v>
      </c>
      <c r="V446">
        <v>0</v>
      </c>
      <c r="W446">
        <v>0</v>
      </c>
      <c r="X446">
        <v>1</v>
      </c>
      <c r="Z446">
        <v>0</v>
      </c>
      <c r="AA446">
        <v>9</v>
      </c>
      <c r="AB446">
        <v>3</v>
      </c>
      <c r="AC446">
        <v>0</v>
      </c>
      <c r="AD446">
        <v>10</v>
      </c>
      <c r="AE446">
        <v>0</v>
      </c>
      <c r="AF446">
        <v>3</v>
      </c>
      <c r="AG446">
        <v>2</v>
      </c>
      <c r="AH446">
        <v>0</v>
      </c>
      <c r="AI446" t="s">
        <v>987</v>
      </c>
      <c r="AJ446">
        <v>39.226405999999997</v>
      </c>
      <c r="AK446" t="s">
        <v>988</v>
      </c>
      <c r="AL446">
        <v>-77.398746000000003</v>
      </c>
      <c r="AM446">
        <v>100</v>
      </c>
      <c r="AN446">
        <v>7500</v>
      </c>
      <c r="AO446" t="s">
        <v>115</v>
      </c>
      <c r="AP446">
        <v>133</v>
      </c>
      <c r="AQ446">
        <v>54</v>
      </c>
      <c r="AR446">
        <v>1152</v>
      </c>
      <c r="AZ446">
        <v>3614</v>
      </c>
      <c r="BA446">
        <v>1</v>
      </c>
      <c r="BB446" t="str">
        <f t="shared" si="20"/>
        <v xml:space="preserve">N959MJ  </v>
      </c>
      <c r="BC446">
        <v>1</v>
      </c>
      <c r="BE446">
        <v>0</v>
      </c>
      <c r="BF446">
        <v>0</v>
      </c>
      <c r="BG446">
        <v>0</v>
      </c>
      <c r="BH446">
        <v>7775</v>
      </c>
      <c r="BI446">
        <v>275</v>
      </c>
      <c r="BJ446">
        <v>1</v>
      </c>
      <c r="BK446">
        <v>1</v>
      </c>
      <c r="BL446">
        <v>1</v>
      </c>
      <c r="BM446">
        <v>0</v>
      </c>
      <c r="BP446">
        <v>0</v>
      </c>
      <c r="BQ446">
        <v>0</v>
      </c>
      <c r="BX446" t="str">
        <f>"13:57:47.563"</f>
        <v>13:57:47.563</v>
      </c>
      <c r="BY446" t="str">
        <f>"562545882"</f>
        <v>562545882</v>
      </c>
      <c r="CL446">
        <v>0</v>
      </c>
      <c r="CM446">
        <v>2</v>
      </c>
      <c r="CN446">
        <v>0</v>
      </c>
      <c r="CO446">
        <v>2</v>
      </c>
      <c r="CP446">
        <v>0</v>
      </c>
      <c r="CQ446">
        <v>7</v>
      </c>
      <c r="CR446" t="s">
        <v>116</v>
      </c>
      <c r="CS446">
        <v>525</v>
      </c>
      <c r="CT446">
        <v>2</v>
      </c>
      <c r="CU446" t="s">
        <v>140</v>
      </c>
      <c r="CV446" t="s">
        <v>141</v>
      </c>
      <c r="CY446">
        <v>14237777</v>
      </c>
      <c r="CZ446" t="s">
        <v>119</v>
      </c>
    </row>
    <row r="447" spans="1:104" x14ac:dyDescent="0.25">
      <c r="A447" t="str">
        <f>"13:57:48.688"</f>
        <v>13:57:48.688</v>
      </c>
      <c r="B447" t="s">
        <v>108</v>
      </c>
      <c r="C447" t="str">
        <f t="shared" si="19"/>
        <v>ffdfd3c0</v>
      </c>
      <c r="D447" t="s">
        <v>109</v>
      </c>
      <c r="E447">
        <v>4</v>
      </c>
      <c r="F447">
        <v>1004</v>
      </c>
      <c r="G447" t="s">
        <v>110</v>
      </c>
      <c r="J447" t="s">
        <v>111</v>
      </c>
      <c r="K447">
        <v>0</v>
      </c>
      <c r="L447">
        <v>3</v>
      </c>
      <c r="M447">
        <v>0</v>
      </c>
      <c r="N447">
        <v>2</v>
      </c>
      <c r="O447">
        <v>1</v>
      </c>
      <c r="P447">
        <v>0</v>
      </c>
      <c r="Q447">
        <v>0</v>
      </c>
      <c r="R447" t="s">
        <v>112</v>
      </c>
      <c r="S447" t="str">
        <f>"13:57:48.492"</f>
        <v>13:57:48.492</v>
      </c>
      <c r="T447" t="str">
        <f>"13:57:47.992"</f>
        <v>13:57:47.992</v>
      </c>
      <c r="U447" t="str">
        <f t="shared" si="18"/>
        <v>ad5732</v>
      </c>
      <c r="V447">
        <v>0</v>
      </c>
      <c r="W447">
        <v>0</v>
      </c>
      <c r="X447">
        <v>1</v>
      </c>
      <c r="Z447">
        <v>0</v>
      </c>
      <c r="AA447">
        <v>9</v>
      </c>
      <c r="AB447">
        <v>3</v>
      </c>
      <c r="AC447">
        <v>0</v>
      </c>
      <c r="AD447">
        <v>10</v>
      </c>
      <c r="AE447">
        <v>0</v>
      </c>
      <c r="AF447">
        <v>3</v>
      </c>
      <c r="AG447">
        <v>2</v>
      </c>
      <c r="AH447">
        <v>0</v>
      </c>
      <c r="AI447" t="s">
        <v>989</v>
      </c>
      <c r="AJ447">
        <v>39.226641999999998</v>
      </c>
      <c r="AK447" t="s">
        <v>990</v>
      </c>
      <c r="AL447">
        <v>-77.397974000000005</v>
      </c>
      <c r="AM447">
        <v>100</v>
      </c>
      <c r="AN447">
        <v>7500</v>
      </c>
      <c r="AO447" t="s">
        <v>115</v>
      </c>
      <c r="AP447">
        <v>132</v>
      </c>
      <c r="AQ447">
        <v>55</v>
      </c>
      <c r="AR447">
        <v>1216</v>
      </c>
      <c r="AZ447">
        <v>3614</v>
      </c>
      <c r="BA447">
        <v>1</v>
      </c>
      <c r="BB447" t="str">
        <f t="shared" si="20"/>
        <v xml:space="preserve">N959MJ  </v>
      </c>
      <c r="BC447">
        <v>1</v>
      </c>
      <c r="BE447">
        <v>0</v>
      </c>
      <c r="BF447">
        <v>0</v>
      </c>
      <c r="BG447">
        <v>0</v>
      </c>
      <c r="BH447">
        <v>7775</v>
      </c>
      <c r="BI447">
        <v>275</v>
      </c>
      <c r="BJ447">
        <v>1</v>
      </c>
      <c r="BK447">
        <v>1</v>
      </c>
      <c r="BL447">
        <v>1</v>
      </c>
      <c r="BM447">
        <v>0</v>
      </c>
      <c r="BP447">
        <v>0</v>
      </c>
      <c r="BQ447">
        <v>0</v>
      </c>
      <c r="BX447" t="str">
        <f>"13:57:48.500"</f>
        <v>13:57:48.500</v>
      </c>
      <c r="BY447" t="str">
        <f>"499725523"</f>
        <v>499725523</v>
      </c>
      <c r="CL447">
        <v>0</v>
      </c>
      <c r="CM447">
        <v>2</v>
      </c>
      <c r="CN447">
        <v>0</v>
      </c>
      <c r="CO447">
        <v>2</v>
      </c>
      <c r="CP447">
        <v>0</v>
      </c>
      <c r="CQ447">
        <v>7</v>
      </c>
      <c r="CR447" t="s">
        <v>116</v>
      </c>
      <c r="CS447">
        <v>525</v>
      </c>
      <c r="CT447">
        <v>3</v>
      </c>
      <c r="CU447" t="s">
        <v>140</v>
      </c>
      <c r="CV447" t="s">
        <v>141</v>
      </c>
      <c r="CY447">
        <v>601030</v>
      </c>
      <c r="CZ447" t="s">
        <v>119</v>
      </c>
    </row>
    <row r="448" spans="1:104" x14ac:dyDescent="0.25">
      <c r="A448" t="str">
        <f>"13:57:49.695"</f>
        <v>13:57:49.695</v>
      </c>
      <c r="B448" t="s">
        <v>108</v>
      </c>
      <c r="C448" t="str">
        <f t="shared" si="19"/>
        <v>ffdfd3c0</v>
      </c>
      <c r="D448" t="s">
        <v>109</v>
      </c>
      <c r="E448">
        <v>4</v>
      </c>
      <c r="F448">
        <v>1004</v>
      </c>
      <c r="G448" t="s">
        <v>110</v>
      </c>
      <c r="J448" t="s">
        <v>111</v>
      </c>
      <c r="K448">
        <v>0</v>
      </c>
      <c r="L448">
        <v>3</v>
      </c>
      <c r="M448">
        <v>0</v>
      </c>
      <c r="N448">
        <v>2</v>
      </c>
      <c r="O448">
        <v>1</v>
      </c>
      <c r="P448">
        <v>0</v>
      </c>
      <c r="Q448">
        <v>0</v>
      </c>
      <c r="R448" t="s">
        <v>112</v>
      </c>
      <c r="S448" t="str">
        <f>"13:57:49.516"</f>
        <v>13:57:49.516</v>
      </c>
      <c r="T448" t="str">
        <f>"13:57:49.117"</f>
        <v>13:57:49.117</v>
      </c>
      <c r="U448" t="str">
        <f t="shared" si="18"/>
        <v>ad5732</v>
      </c>
      <c r="V448">
        <v>0</v>
      </c>
      <c r="W448">
        <v>0</v>
      </c>
      <c r="X448">
        <v>1</v>
      </c>
      <c r="Z448">
        <v>0</v>
      </c>
      <c r="AA448">
        <v>9</v>
      </c>
      <c r="AB448">
        <v>3</v>
      </c>
      <c r="AC448">
        <v>0</v>
      </c>
      <c r="AD448">
        <v>10</v>
      </c>
      <c r="AE448">
        <v>0</v>
      </c>
      <c r="AF448">
        <v>3</v>
      </c>
      <c r="AG448">
        <v>2</v>
      </c>
      <c r="AH448">
        <v>0</v>
      </c>
      <c r="AI448" t="s">
        <v>991</v>
      </c>
      <c r="AJ448">
        <v>39.226920999999997</v>
      </c>
      <c r="AK448" t="s">
        <v>992</v>
      </c>
      <c r="AL448">
        <v>-77.397180000000006</v>
      </c>
      <c r="AM448">
        <v>100</v>
      </c>
      <c r="AN448">
        <v>7500</v>
      </c>
      <c r="AO448" t="s">
        <v>115</v>
      </c>
      <c r="AP448">
        <v>130</v>
      </c>
      <c r="AQ448">
        <v>58</v>
      </c>
      <c r="AR448">
        <v>1216</v>
      </c>
      <c r="AZ448">
        <v>3614</v>
      </c>
      <c r="BA448">
        <v>1</v>
      </c>
      <c r="BB448" t="str">
        <f t="shared" si="20"/>
        <v xml:space="preserve">N959MJ  </v>
      </c>
      <c r="BC448">
        <v>1</v>
      </c>
      <c r="BE448">
        <v>0</v>
      </c>
      <c r="BF448">
        <v>0</v>
      </c>
      <c r="BG448">
        <v>0</v>
      </c>
      <c r="BH448">
        <v>7800</v>
      </c>
      <c r="BI448">
        <v>300</v>
      </c>
      <c r="BJ448">
        <v>1</v>
      </c>
      <c r="BK448">
        <v>1</v>
      </c>
      <c r="BL448">
        <v>1</v>
      </c>
      <c r="BM448">
        <v>0</v>
      </c>
      <c r="BP448">
        <v>0</v>
      </c>
      <c r="BQ448">
        <v>0</v>
      </c>
      <c r="BX448" t="str">
        <f>"13:57:49.523"</f>
        <v>13:57:49.523</v>
      </c>
      <c r="BY448" t="str">
        <f>"522103298"</f>
        <v>522103298</v>
      </c>
      <c r="CL448">
        <v>0</v>
      </c>
      <c r="CM448">
        <v>2</v>
      </c>
      <c r="CN448">
        <v>0</v>
      </c>
      <c r="CO448">
        <v>2</v>
      </c>
      <c r="CP448">
        <v>0</v>
      </c>
      <c r="CQ448">
        <v>7</v>
      </c>
      <c r="CR448" t="s">
        <v>116</v>
      </c>
      <c r="CS448">
        <v>525</v>
      </c>
      <c r="CT448">
        <v>2</v>
      </c>
      <c r="CU448" t="s">
        <v>140</v>
      </c>
      <c r="CV448" t="s">
        <v>141</v>
      </c>
      <c r="CY448">
        <v>14240634</v>
      </c>
      <c r="CZ448" t="s">
        <v>119</v>
      </c>
    </row>
    <row r="449" spans="1:104" x14ac:dyDescent="0.25">
      <c r="A449" t="str">
        <f>"13:57:50.703"</f>
        <v>13:57:50.703</v>
      </c>
      <c r="B449" t="s">
        <v>108</v>
      </c>
      <c r="C449" t="str">
        <f t="shared" si="19"/>
        <v>ffdfd3c0</v>
      </c>
      <c r="D449" t="s">
        <v>109</v>
      </c>
      <c r="E449">
        <v>4</v>
      </c>
      <c r="F449">
        <v>1004</v>
      </c>
      <c r="G449" t="s">
        <v>110</v>
      </c>
      <c r="J449" t="s">
        <v>111</v>
      </c>
      <c r="K449">
        <v>0</v>
      </c>
      <c r="L449">
        <v>3</v>
      </c>
      <c r="M449">
        <v>0</v>
      </c>
      <c r="N449">
        <v>2</v>
      </c>
      <c r="O449">
        <v>1</v>
      </c>
      <c r="P449">
        <v>0</v>
      </c>
      <c r="Q449">
        <v>0</v>
      </c>
      <c r="R449" t="s">
        <v>112</v>
      </c>
      <c r="S449" t="str">
        <f>"13:57:50.531"</f>
        <v>13:57:50.531</v>
      </c>
      <c r="T449" t="str">
        <f>"13:57:50.031"</f>
        <v>13:57:50.031</v>
      </c>
      <c r="U449" t="str">
        <f t="shared" si="18"/>
        <v>ad5732</v>
      </c>
      <c r="V449">
        <v>0</v>
      </c>
      <c r="W449">
        <v>0</v>
      </c>
      <c r="X449">
        <v>1</v>
      </c>
      <c r="Z449">
        <v>0</v>
      </c>
      <c r="AA449">
        <v>9</v>
      </c>
      <c r="AB449">
        <v>3</v>
      </c>
      <c r="AC449">
        <v>0</v>
      </c>
      <c r="AD449">
        <v>10</v>
      </c>
      <c r="AE449">
        <v>0</v>
      </c>
      <c r="AF449">
        <v>3</v>
      </c>
      <c r="AG449">
        <v>2</v>
      </c>
      <c r="AH449">
        <v>0</v>
      </c>
      <c r="AI449" t="s">
        <v>993</v>
      </c>
      <c r="AJ449">
        <v>39.227178000000002</v>
      </c>
      <c r="AK449" t="s">
        <v>994</v>
      </c>
      <c r="AL449">
        <v>-77.396406999999996</v>
      </c>
      <c r="AM449">
        <v>100</v>
      </c>
      <c r="AN449">
        <v>7500</v>
      </c>
      <c r="AO449" t="s">
        <v>115</v>
      </c>
      <c r="AP449">
        <v>129</v>
      </c>
      <c r="AQ449">
        <v>58</v>
      </c>
      <c r="AR449">
        <v>1152</v>
      </c>
      <c r="AZ449">
        <v>3614</v>
      </c>
      <c r="BA449">
        <v>1</v>
      </c>
      <c r="BB449" t="str">
        <f t="shared" si="20"/>
        <v xml:space="preserve">N959MJ  </v>
      </c>
      <c r="BC449">
        <v>1</v>
      </c>
      <c r="BE449">
        <v>0</v>
      </c>
      <c r="BF449">
        <v>0</v>
      </c>
      <c r="BG449">
        <v>0</v>
      </c>
      <c r="BH449">
        <v>7825</v>
      </c>
      <c r="BI449">
        <v>325</v>
      </c>
      <c r="BJ449">
        <v>1</v>
      </c>
      <c r="BK449">
        <v>1</v>
      </c>
      <c r="BL449">
        <v>1</v>
      </c>
      <c r="BM449">
        <v>0</v>
      </c>
      <c r="BP449">
        <v>0</v>
      </c>
      <c r="BQ449">
        <v>0</v>
      </c>
      <c r="BX449" t="str">
        <f>"13:57:50.531"</f>
        <v>13:57:50.531</v>
      </c>
      <c r="BY449" t="str">
        <f>"534650531"</f>
        <v>534650531</v>
      </c>
      <c r="CL449">
        <v>0</v>
      </c>
      <c r="CM449">
        <v>2</v>
      </c>
      <c r="CN449">
        <v>0</v>
      </c>
      <c r="CO449">
        <v>2</v>
      </c>
      <c r="CP449">
        <v>0</v>
      </c>
      <c r="CQ449">
        <v>7</v>
      </c>
      <c r="CR449" t="s">
        <v>116</v>
      </c>
      <c r="CS449">
        <v>525</v>
      </c>
      <c r="CT449">
        <v>2</v>
      </c>
      <c r="CU449" t="s">
        <v>140</v>
      </c>
      <c r="CV449" t="s">
        <v>141</v>
      </c>
      <c r="CY449">
        <v>14242156</v>
      </c>
      <c r="CZ449" t="s">
        <v>119</v>
      </c>
    </row>
    <row r="450" spans="1:104" x14ac:dyDescent="0.25">
      <c r="A450" t="str">
        <f>"13:57:51.766"</f>
        <v>13:57:51.766</v>
      </c>
      <c r="B450" t="s">
        <v>108</v>
      </c>
      <c r="C450" t="str">
        <f t="shared" si="19"/>
        <v>ffdfd3c0</v>
      </c>
      <c r="D450" t="s">
        <v>109</v>
      </c>
      <c r="E450">
        <v>4</v>
      </c>
      <c r="F450">
        <v>1004</v>
      </c>
      <c r="G450" t="s">
        <v>110</v>
      </c>
      <c r="J450" t="s">
        <v>111</v>
      </c>
      <c r="K450">
        <v>0</v>
      </c>
      <c r="L450">
        <v>3</v>
      </c>
      <c r="M450">
        <v>0</v>
      </c>
      <c r="N450">
        <v>2</v>
      </c>
      <c r="O450">
        <v>1</v>
      </c>
      <c r="P450">
        <v>0</v>
      </c>
      <c r="Q450">
        <v>0</v>
      </c>
      <c r="R450" t="s">
        <v>112</v>
      </c>
      <c r="S450" t="str">
        <f>"13:57:51.594"</f>
        <v>13:57:51.594</v>
      </c>
      <c r="T450" t="str">
        <f>"13:57:51.195"</f>
        <v>13:57:51.195</v>
      </c>
      <c r="U450" t="str">
        <f t="shared" ref="U450:U513" si="21">"ad5732"</f>
        <v>ad5732</v>
      </c>
      <c r="V450">
        <v>0</v>
      </c>
      <c r="W450">
        <v>0</v>
      </c>
      <c r="X450">
        <v>1</v>
      </c>
      <c r="Z450">
        <v>0</v>
      </c>
      <c r="AA450">
        <v>9</v>
      </c>
      <c r="AB450">
        <v>3</v>
      </c>
      <c r="AC450">
        <v>0</v>
      </c>
      <c r="AD450">
        <v>10</v>
      </c>
      <c r="AE450">
        <v>0</v>
      </c>
      <c r="AF450">
        <v>3</v>
      </c>
      <c r="AG450">
        <v>2</v>
      </c>
      <c r="AH450">
        <v>0</v>
      </c>
      <c r="AI450" t="s">
        <v>995</v>
      </c>
      <c r="AJ450">
        <v>39.227479000000002</v>
      </c>
      <c r="AK450" t="s">
        <v>996</v>
      </c>
      <c r="AL450">
        <v>-77.395570000000006</v>
      </c>
      <c r="AM450">
        <v>100</v>
      </c>
      <c r="AN450">
        <v>7500</v>
      </c>
      <c r="AO450" t="s">
        <v>115</v>
      </c>
      <c r="AP450">
        <v>129</v>
      </c>
      <c r="AQ450">
        <v>58</v>
      </c>
      <c r="AR450">
        <v>1152</v>
      </c>
      <c r="AZ450">
        <v>3614</v>
      </c>
      <c r="BA450">
        <v>1</v>
      </c>
      <c r="BB450" t="str">
        <f t="shared" si="20"/>
        <v xml:space="preserve">N959MJ  </v>
      </c>
      <c r="BC450">
        <v>1</v>
      </c>
      <c r="BE450">
        <v>0</v>
      </c>
      <c r="BF450">
        <v>0</v>
      </c>
      <c r="BG450">
        <v>0</v>
      </c>
      <c r="BH450">
        <v>7850</v>
      </c>
      <c r="BI450">
        <v>350</v>
      </c>
      <c r="BJ450">
        <v>1</v>
      </c>
      <c r="BK450">
        <v>1</v>
      </c>
      <c r="BL450">
        <v>1</v>
      </c>
      <c r="BM450">
        <v>0</v>
      </c>
      <c r="BP450">
        <v>0</v>
      </c>
      <c r="BQ450">
        <v>0</v>
      </c>
      <c r="BX450" t="str">
        <f>"13:57:51.594"</f>
        <v>13:57:51.594</v>
      </c>
      <c r="BY450" t="str">
        <f>"596350526"</f>
        <v>596350526</v>
      </c>
      <c r="CL450">
        <v>0</v>
      </c>
      <c r="CM450">
        <v>2</v>
      </c>
      <c r="CN450">
        <v>0</v>
      </c>
      <c r="CO450">
        <v>2</v>
      </c>
      <c r="CP450">
        <v>0</v>
      </c>
      <c r="CQ450">
        <v>7</v>
      </c>
      <c r="CR450" t="s">
        <v>116</v>
      </c>
      <c r="CS450">
        <v>525</v>
      </c>
      <c r="CT450">
        <v>2</v>
      </c>
      <c r="CU450" t="s">
        <v>140</v>
      </c>
      <c r="CV450" t="s">
        <v>141</v>
      </c>
      <c r="CY450">
        <v>14243940</v>
      </c>
      <c r="CZ450" t="s">
        <v>119</v>
      </c>
    </row>
    <row r="451" spans="1:104" x14ac:dyDescent="0.25">
      <c r="A451" t="str">
        <f>"13:57:52.828"</f>
        <v>13:57:52.828</v>
      </c>
      <c r="B451" t="s">
        <v>108</v>
      </c>
      <c r="C451" t="str">
        <f t="shared" si="19"/>
        <v>ffdfd3c0</v>
      </c>
      <c r="D451" t="s">
        <v>109</v>
      </c>
      <c r="E451">
        <v>4</v>
      </c>
      <c r="F451">
        <v>1004</v>
      </c>
      <c r="G451" t="s">
        <v>110</v>
      </c>
      <c r="J451" t="s">
        <v>111</v>
      </c>
      <c r="K451">
        <v>0</v>
      </c>
      <c r="L451">
        <v>3</v>
      </c>
      <c r="M451">
        <v>0</v>
      </c>
      <c r="N451">
        <v>2</v>
      </c>
      <c r="O451">
        <v>1</v>
      </c>
      <c r="P451">
        <v>0</v>
      </c>
      <c r="Q451">
        <v>0</v>
      </c>
      <c r="R451" t="s">
        <v>112</v>
      </c>
      <c r="S451" t="str">
        <f>"13:57:52.656"</f>
        <v>13:57:52.656</v>
      </c>
      <c r="T451" t="str">
        <f>"13:57:52.156"</f>
        <v>13:57:52.156</v>
      </c>
      <c r="U451" t="str">
        <f t="shared" si="21"/>
        <v>ad5732</v>
      </c>
      <c r="V451">
        <v>0</v>
      </c>
      <c r="W451">
        <v>0</v>
      </c>
      <c r="X451">
        <v>1</v>
      </c>
      <c r="Z451">
        <v>0</v>
      </c>
      <c r="AA451">
        <v>9</v>
      </c>
      <c r="AB451">
        <v>3</v>
      </c>
      <c r="AC451">
        <v>0</v>
      </c>
      <c r="AD451">
        <v>10</v>
      </c>
      <c r="AE451">
        <v>0</v>
      </c>
      <c r="AF451">
        <v>3</v>
      </c>
      <c r="AG451">
        <v>2</v>
      </c>
      <c r="AH451">
        <v>0</v>
      </c>
      <c r="AI451" t="s">
        <v>997</v>
      </c>
      <c r="AJ451">
        <v>39.227756999999997</v>
      </c>
      <c r="AK451" t="s">
        <v>998</v>
      </c>
      <c r="AL451">
        <v>-77.394775999999993</v>
      </c>
      <c r="AM451">
        <v>100</v>
      </c>
      <c r="AN451">
        <v>7600</v>
      </c>
      <c r="AO451" t="s">
        <v>115</v>
      </c>
      <c r="AP451">
        <v>129</v>
      </c>
      <c r="AQ451">
        <v>57</v>
      </c>
      <c r="AR451">
        <v>1152</v>
      </c>
      <c r="AZ451">
        <v>3614</v>
      </c>
      <c r="BA451">
        <v>1</v>
      </c>
      <c r="BB451" t="str">
        <f t="shared" si="20"/>
        <v xml:space="preserve">N959MJ  </v>
      </c>
      <c r="BC451">
        <v>1</v>
      </c>
      <c r="BE451">
        <v>0</v>
      </c>
      <c r="BF451">
        <v>0</v>
      </c>
      <c r="BG451">
        <v>0</v>
      </c>
      <c r="BH451">
        <v>7875</v>
      </c>
      <c r="BI451">
        <v>275</v>
      </c>
      <c r="BJ451">
        <v>1</v>
      </c>
      <c r="BK451">
        <v>1</v>
      </c>
      <c r="BL451">
        <v>1</v>
      </c>
      <c r="BM451">
        <v>0</v>
      </c>
      <c r="BP451">
        <v>0</v>
      </c>
      <c r="BQ451">
        <v>0</v>
      </c>
      <c r="BX451" t="str">
        <f>"13:57:52.664"</f>
        <v>13:57:52.664</v>
      </c>
      <c r="BY451" t="str">
        <f>"661327434"</f>
        <v>661327434</v>
      </c>
      <c r="CL451">
        <v>0</v>
      </c>
      <c r="CM451">
        <v>2</v>
      </c>
      <c r="CN451">
        <v>0</v>
      </c>
      <c r="CO451">
        <v>2</v>
      </c>
      <c r="CP451">
        <v>0</v>
      </c>
      <c r="CQ451">
        <v>7</v>
      </c>
      <c r="CR451" t="s">
        <v>116</v>
      </c>
      <c r="CS451">
        <v>525</v>
      </c>
      <c r="CT451">
        <v>2</v>
      </c>
      <c r="CU451" t="s">
        <v>140</v>
      </c>
      <c r="CV451" t="s">
        <v>141</v>
      </c>
      <c r="CY451">
        <v>14245467</v>
      </c>
      <c r="CZ451" t="s">
        <v>119</v>
      </c>
    </row>
    <row r="452" spans="1:104" x14ac:dyDescent="0.25">
      <c r="A452" t="str">
        <f>"13:57:53.836"</f>
        <v>13:57:53.836</v>
      </c>
      <c r="B452" t="s">
        <v>108</v>
      </c>
      <c r="C452" t="str">
        <f t="shared" si="19"/>
        <v>ffdfd3c0</v>
      </c>
      <c r="D452" t="s">
        <v>109</v>
      </c>
      <c r="E452">
        <v>4</v>
      </c>
      <c r="F452">
        <v>1004</v>
      </c>
      <c r="G452" t="s">
        <v>110</v>
      </c>
      <c r="J452" t="s">
        <v>111</v>
      </c>
      <c r="K452">
        <v>0</v>
      </c>
      <c r="L452">
        <v>3</v>
      </c>
      <c r="M452">
        <v>0</v>
      </c>
      <c r="N452">
        <v>2</v>
      </c>
      <c r="O452">
        <v>1</v>
      </c>
      <c r="P452">
        <v>0</v>
      </c>
      <c r="Q452">
        <v>0</v>
      </c>
      <c r="R452" t="s">
        <v>112</v>
      </c>
      <c r="S452" t="str">
        <f>"13:57:53.641"</f>
        <v>13:57:53.641</v>
      </c>
      <c r="T452" t="str">
        <f>"13:57:53.242"</f>
        <v>13:57:53.242</v>
      </c>
      <c r="U452" t="str">
        <f t="shared" si="21"/>
        <v>ad5732</v>
      </c>
      <c r="V452">
        <v>0</v>
      </c>
      <c r="W452">
        <v>0</v>
      </c>
      <c r="X452">
        <v>1</v>
      </c>
      <c r="Z452">
        <v>0</v>
      </c>
      <c r="AA452">
        <v>9</v>
      </c>
      <c r="AB452">
        <v>3</v>
      </c>
      <c r="AC452">
        <v>0</v>
      </c>
      <c r="AD452">
        <v>10</v>
      </c>
      <c r="AE452">
        <v>0</v>
      </c>
      <c r="AF452">
        <v>3</v>
      </c>
      <c r="AG452">
        <v>2</v>
      </c>
      <c r="AH452">
        <v>0</v>
      </c>
      <c r="AI452" t="s">
        <v>999</v>
      </c>
      <c r="AJ452">
        <v>39.228036000000003</v>
      </c>
      <c r="AK452" t="s">
        <v>1000</v>
      </c>
      <c r="AL452">
        <v>-77.394047</v>
      </c>
      <c r="AM452">
        <v>100</v>
      </c>
      <c r="AN452">
        <v>7600</v>
      </c>
      <c r="AO452" t="s">
        <v>115</v>
      </c>
      <c r="AP452">
        <v>130</v>
      </c>
      <c r="AQ452">
        <v>56</v>
      </c>
      <c r="AR452">
        <v>1088</v>
      </c>
      <c r="AZ452">
        <v>3614</v>
      </c>
      <c r="BA452">
        <v>1</v>
      </c>
      <c r="BB452" t="str">
        <f t="shared" si="20"/>
        <v xml:space="preserve">N959MJ  </v>
      </c>
      <c r="BC452">
        <v>1</v>
      </c>
      <c r="BE452">
        <v>0</v>
      </c>
      <c r="BF452">
        <v>0</v>
      </c>
      <c r="BG452">
        <v>0</v>
      </c>
      <c r="BH452">
        <v>7900</v>
      </c>
      <c r="BI452">
        <v>300</v>
      </c>
      <c r="BJ452">
        <v>1</v>
      </c>
      <c r="BK452">
        <v>1</v>
      </c>
      <c r="BL452">
        <v>1</v>
      </c>
      <c r="BM452">
        <v>0</v>
      </c>
      <c r="BP452">
        <v>0</v>
      </c>
      <c r="BQ452">
        <v>0</v>
      </c>
      <c r="BX452" t="str">
        <f>"13:57:53.648"</f>
        <v>13:57:53.648</v>
      </c>
      <c r="BY452" t="str">
        <f>"647659794"</f>
        <v>647659794</v>
      </c>
      <c r="CL452">
        <v>0</v>
      </c>
      <c r="CM452">
        <v>2</v>
      </c>
      <c r="CN452">
        <v>0</v>
      </c>
      <c r="CO452">
        <v>2</v>
      </c>
      <c r="CP452">
        <v>0</v>
      </c>
      <c r="CQ452">
        <v>7</v>
      </c>
      <c r="CR452" t="s">
        <v>116</v>
      </c>
      <c r="CS452">
        <v>525</v>
      </c>
      <c r="CT452">
        <v>2</v>
      </c>
      <c r="CU452" t="s">
        <v>140</v>
      </c>
      <c r="CV452" t="s">
        <v>141</v>
      </c>
      <c r="CY452">
        <v>14247004</v>
      </c>
      <c r="CZ452" t="s">
        <v>119</v>
      </c>
    </row>
    <row r="453" spans="1:104" x14ac:dyDescent="0.25">
      <c r="A453" t="str">
        <f>"13:57:54.797"</f>
        <v>13:57:54.797</v>
      </c>
      <c r="B453" t="s">
        <v>108</v>
      </c>
      <c r="C453" t="str">
        <f t="shared" si="19"/>
        <v>ffdfd3c0</v>
      </c>
      <c r="D453" t="s">
        <v>109</v>
      </c>
      <c r="E453">
        <v>4</v>
      </c>
      <c r="F453">
        <v>1004</v>
      </c>
      <c r="G453" t="s">
        <v>110</v>
      </c>
      <c r="J453" t="s">
        <v>111</v>
      </c>
      <c r="K453">
        <v>0</v>
      </c>
      <c r="L453">
        <v>3</v>
      </c>
      <c r="M453">
        <v>0</v>
      </c>
      <c r="N453">
        <v>2</v>
      </c>
      <c r="O453">
        <v>1</v>
      </c>
      <c r="P453">
        <v>0</v>
      </c>
      <c r="Q453">
        <v>0</v>
      </c>
      <c r="R453" t="s">
        <v>112</v>
      </c>
      <c r="S453" t="str">
        <f>"13:57:54.617"</f>
        <v>13:57:54.617</v>
      </c>
      <c r="T453" t="str">
        <f>"13:57:54.219"</f>
        <v>13:57:54.219</v>
      </c>
      <c r="U453" t="str">
        <f t="shared" si="21"/>
        <v>ad5732</v>
      </c>
      <c r="V453">
        <v>0</v>
      </c>
      <c r="W453">
        <v>0</v>
      </c>
      <c r="X453">
        <v>1</v>
      </c>
      <c r="Z453">
        <v>0</v>
      </c>
      <c r="AA453">
        <v>9</v>
      </c>
      <c r="AB453">
        <v>3</v>
      </c>
      <c r="AC453">
        <v>0</v>
      </c>
      <c r="AD453">
        <v>10</v>
      </c>
      <c r="AE453">
        <v>0</v>
      </c>
      <c r="AF453">
        <v>3</v>
      </c>
      <c r="AG453">
        <v>2</v>
      </c>
      <c r="AH453">
        <v>0</v>
      </c>
      <c r="AI453" t="s">
        <v>1001</v>
      </c>
      <c r="AJ453">
        <v>39.228271999999997</v>
      </c>
      <c r="AK453" t="s">
        <v>1002</v>
      </c>
      <c r="AL453">
        <v>-77.393253000000001</v>
      </c>
      <c r="AM453">
        <v>100</v>
      </c>
      <c r="AN453">
        <v>7600</v>
      </c>
      <c r="AO453" t="s">
        <v>115</v>
      </c>
      <c r="AP453">
        <v>130</v>
      </c>
      <c r="AQ453">
        <v>55</v>
      </c>
      <c r="AR453">
        <v>1024</v>
      </c>
      <c r="AZ453">
        <v>3614</v>
      </c>
      <c r="BA453">
        <v>1</v>
      </c>
      <c r="BB453" t="str">
        <f t="shared" si="20"/>
        <v xml:space="preserve">N959MJ  </v>
      </c>
      <c r="BC453">
        <v>1</v>
      </c>
      <c r="BE453">
        <v>0</v>
      </c>
      <c r="BF453">
        <v>0</v>
      </c>
      <c r="BG453">
        <v>0</v>
      </c>
      <c r="BH453">
        <v>7900</v>
      </c>
      <c r="BI453">
        <v>300</v>
      </c>
      <c r="BJ453">
        <v>1</v>
      </c>
      <c r="BK453">
        <v>1</v>
      </c>
      <c r="BL453">
        <v>1</v>
      </c>
      <c r="BM453">
        <v>0</v>
      </c>
      <c r="BP453">
        <v>0</v>
      </c>
      <c r="BQ453">
        <v>0</v>
      </c>
      <c r="BX453" t="str">
        <f>"13:57:54.617"</f>
        <v>13:57:54.617</v>
      </c>
      <c r="BY453" t="str">
        <f>"620884976"</f>
        <v>620884976</v>
      </c>
      <c r="CL453">
        <v>0</v>
      </c>
      <c r="CM453">
        <v>2</v>
      </c>
      <c r="CN453">
        <v>0</v>
      </c>
      <c r="CO453">
        <v>2</v>
      </c>
      <c r="CP453">
        <v>0</v>
      </c>
      <c r="CQ453">
        <v>7</v>
      </c>
      <c r="CR453" t="s">
        <v>116</v>
      </c>
      <c r="CS453">
        <v>525</v>
      </c>
      <c r="CT453">
        <v>2</v>
      </c>
      <c r="CU453" t="s">
        <v>140</v>
      </c>
      <c r="CV453" t="s">
        <v>141</v>
      </c>
      <c r="CY453">
        <v>14248320</v>
      </c>
      <c r="CZ453" t="s">
        <v>119</v>
      </c>
    </row>
    <row r="454" spans="1:104" x14ac:dyDescent="0.25">
      <c r="A454" t="str">
        <f>"13:57:55.859"</f>
        <v>13:57:55.859</v>
      </c>
      <c r="B454" t="s">
        <v>108</v>
      </c>
      <c r="C454" t="str">
        <f t="shared" si="19"/>
        <v>ffdfd3c0</v>
      </c>
      <c r="D454" t="s">
        <v>109</v>
      </c>
      <c r="E454">
        <v>4</v>
      </c>
      <c r="F454">
        <v>1004</v>
      </c>
      <c r="G454" t="s">
        <v>110</v>
      </c>
      <c r="J454" t="s">
        <v>111</v>
      </c>
      <c r="K454">
        <v>0</v>
      </c>
      <c r="L454">
        <v>3</v>
      </c>
      <c r="M454">
        <v>0</v>
      </c>
      <c r="N454">
        <v>2</v>
      </c>
      <c r="O454">
        <v>1</v>
      </c>
      <c r="P454">
        <v>0</v>
      </c>
      <c r="Q454">
        <v>0</v>
      </c>
      <c r="R454" t="s">
        <v>112</v>
      </c>
      <c r="S454" t="str">
        <f>"13:57:55.688"</f>
        <v>13:57:55.688</v>
      </c>
      <c r="T454" t="str">
        <f>"13:57:55.188"</f>
        <v>13:57:55.188</v>
      </c>
      <c r="U454" t="str">
        <f t="shared" si="21"/>
        <v>ad5732</v>
      </c>
      <c r="V454">
        <v>0</v>
      </c>
      <c r="W454">
        <v>0</v>
      </c>
      <c r="X454">
        <v>1</v>
      </c>
      <c r="Z454">
        <v>0</v>
      </c>
      <c r="AA454">
        <v>9</v>
      </c>
      <c r="AB454">
        <v>3</v>
      </c>
      <c r="AC454">
        <v>0</v>
      </c>
      <c r="AD454">
        <v>10</v>
      </c>
      <c r="AE454">
        <v>0</v>
      </c>
      <c r="AF454">
        <v>3</v>
      </c>
      <c r="AG454">
        <v>2</v>
      </c>
      <c r="AH454">
        <v>0</v>
      </c>
      <c r="AI454" t="s">
        <v>1003</v>
      </c>
      <c r="AJ454">
        <v>39.228551000000003</v>
      </c>
      <c r="AK454" t="s">
        <v>1004</v>
      </c>
      <c r="AL454">
        <v>-77.392415999999997</v>
      </c>
      <c r="AM454">
        <v>100</v>
      </c>
      <c r="AN454">
        <v>7600</v>
      </c>
      <c r="AO454" t="s">
        <v>115</v>
      </c>
      <c r="AP454">
        <v>130</v>
      </c>
      <c r="AQ454">
        <v>55</v>
      </c>
      <c r="AR454">
        <v>896</v>
      </c>
      <c r="AZ454">
        <v>3614</v>
      </c>
      <c r="BA454">
        <v>1</v>
      </c>
      <c r="BB454" t="str">
        <f t="shared" si="20"/>
        <v xml:space="preserve">N959MJ  </v>
      </c>
      <c r="BC454">
        <v>1</v>
      </c>
      <c r="BE454">
        <v>0</v>
      </c>
      <c r="BF454">
        <v>0</v>
      </c>
      <c r="BG454">
        <v>0</v>
      </c>
      <c r="BH454">
        <v>7925</v>
      </c>
      <c r="BI454">
        <v>325</v>
      </c>
      <c r="BJ454">
        <v>1</v>
      </c>
      <c r="BK454">
        <v>1</v>
      </c>
      <c r="BL454">
        <v>1</v>
      </c>
      <c r="BM454">
        <v>0</v>
      </c>
      <c r="BP454">
        <v>0</v>
      </c>
      <c r="BQ454">
        <v>0</v>
      </c>
      <c r="BX454" t="str">
        <f>"13:57:55.695"</f>
        <v>13:57:55.695</v>
      </c>
      <c r="BY454" t="str">
        <f>"692415406"</f>
        <v>692415406</v>
      </c>
      <c r="CL454">
        <v>0</v>
      </c>
      <c r="CM454">
        <v>2</v>
      </c>
      <c r="CN454">
        <v>0</v>
      </c>
      <c r="CO454">
        <v>2</v>
      </c>
      <c r="CP454">
        <v>0</v>
      </c>
      <c r="CQ454">
        <v>7</v>
      </c>
      <c r="CR454" t="s">
        <v>116</v>
      </c>
      <c r="CS454">
        <v>525</v>
      </c>
      <c r="CT454">
        <v>3</v>
      </c>
      <c r="CU454" t="s">
        <v>140</v>
      </c>
      <c r="CV454" t="s">
        <v>141</v>
      </c>
      <c r="CY454">
        <v>610992</v>
      </c>
      <c r="CZ454" t="s">
        <v>119</v>
      </c>
    </row>
    <row r="455" spans="1:104" x14ac:dyDescent="0.25">
      <c r="A455" t="str">
        <f>"13:57:56.867"</f>
        <v>13:57:56.867</v>
      </c>
      <c r="B455" t="s">
        <v>108</v>
      </c>
      <c r="C455" t="str">
        <f t="shared" si="19"/>
        <v>ffdfd3c0</v>
      </c>
      <c r="D455" t="s">
        <v>109</v>
      </c>
      <c r="E455">
        <v>4</v>
      </c>
      <c r="F455">
        <v>1004</v>
      </c>
      <c r="G455" t="s">
        <v>110</v>
      </c>
      <c r="J455" t="s">
        <v>111</v>
      </c>
      <c r="K455">
        <v>0</v>
      </c>
      <c r="L455">
        <v>3</v>
      </c>
      <c r="M455">
        <v>0</v>
      </c>
      <c r="N455">
        <v>2</v>
      </c>
      <c r="O455">
        <v>1</v>
      </c>
      <c r="P455">
        <v>0</v>
      </c>
      <c r="Q455">
        <v>0</v>
      </c>
      <c r="R455" t="s">
        <v>112</v>
      </c>
      <c r="S455" t="str">
        <f>"13:57:56.656"</f>
        <v>13:57:56.656</v>
      </c>
      <c r="T455" t="str">
        <f>"13:57:56.156"</f>
        <v>13:57:56.156</v>
      </c>
      <c r="U455" t="str">
        <f t="shared" si="21"/>
        <v>ad5732</v>
      </c>
      <c r="V455">
        <v>0</v>
      </c>
      <c r="W455">
        <v>0</v>
      </c>
      <c r="X455">
        <v>1</v>
      </c>
      <c r="Z455">
        <v>0</v>
      </c>
      <c r="AA455">
        <v>9</v>
      </c>
      <c r="AB455">
        <v>3</v>
      </c>
      <c r="AC455">
        <v>0</v>
      </c>
      <c r="AD455">
        <v>10</v>
      </c>
      <c r="AE455">
        <v>0</v>
      </c>
      <c r="AF455">
        <v>3</v>
      </c>
      <c r="AG455">
        <v>2</v>
      </c>
      <c r="AH455">
        <v>0</v>
      </c>
      <c r="AI455" t="s">
        <v>1005</v>
      </c>
      <c r="AJ455">
        <v>39.228786999999997</v>
      </c>
      <c r="AK455" t="s">
        <v>1006</v>
      </c>
      <c r="AL455">
        <v>-77.391728999999998</v>
      </c>
      <c r="AM455">
        <v>100</v>
      </c>
      <c r="AN455">
        <v>7600</v>
      </c>
      <c r="AO455" t="s">
        <v>115</v>
      </c>
      <c r="AP455">
        <v>131</v>
      </c>
      <c r="AQ455">
        <v>54</v>
      </c>
      <c r="AR455">
        <v>896</v>
      </c>
      <c r="AZ455">
        <v>3614</v>
      </c>
      <c r="BA455">
        <v>1</v>
      </c>
      <c r="BB455" t="str">
        <f t="shared" si="20"/>
        <v xml:space="preserve">N959MJ  </v>
      </c>
      <c r="BC455">
        <v>1</v>
      </c>
      <c r="BE455">
        <v>0</v>
      </c>
      <c r="BF455">
        <v>0</v>
      </c>
      <c r="BG455">
        <v>0</v>
      </c>
      <c r="BH455">
        <v>7950</v>
      </c>
      <c r="BI455">
        <v>350</v>
      </c>
      <c r="BJ455">
        <v>1</v>
      </c>
      <c r="BK455">
        <v>1</v>
      </c>
      <c r="BL455">
        <v>1</v>
      </c>
      <c r="BM455">
        <v>0</v>
      </c>
      <c r="BP455">
        <v>0</v>
      </c>
      <c r="BQ455">
        <v>0</v>
      </c>
      <c r="BX455" t="str">
        <f>"13:57:56.664"</f>
        <v>13:57:56.664</v>
      </c>
      <c r="BY455" t="str">
        <f>"664002043"</f>
        <v>664002043</v>
      </c>
      <c r="CL455">
        <v>0</v>
      </c>
      <c r="CM455">
        <v>2</v>
      </c>
      <c r="CN455">
        <v>0</v>
      </c>
      <c r="CO455">
        <v>2</v>
      </c>
      <c r="CP455">
        <v>0</v>
      </c>
      <c r="CQ455">
        <v>7</v>
      </c>
      <c r="CR455" t="s">
        <v>116</v>
      </c>
      <c r="CS455">
        <v>525</v>
      </c>
      <c r="CT455">
        <v>2</v>
      </c>
      <c r="CU455" t="s">
        <v>140</v>
      </c>
      <c r="CV455" t="s">
        <v>141</v>
      </c>
      <c r="CY455">
        <v>14251599</v>
      </c>
      <c r="CZ455" t="s">
        <v>119</v>
      </c>
    </row>
    <row r="456" spans="1:104" x14ac:dyDescent="0.25">
      <c r="A456" t="str">
        <f>"13:57:57.773"</f>
        <v>13:57:57.773</v>
      </c>
      <c r="B456" t="s">
        <v>108</v>
      </c>
      <c r="C456" t="str">
        <f t="shared" si="19"/>
        <v>ffdfd3c0</v>
      </c>
      <c r="D456" t="s">
        <v>109</v>
      </c>
      <c r="E456">
        <v>4</v>
      </c>
      <c r="F456">
        <v>1004</v>
      </c>
      <c r="G456" t="s">
        <v>110</v>
      </c>
      <c r="J456" t="s">
        <v>111</v>
      </c>
      <c r="K456">
        <v>0</v>
      </c>
      <c r="L456">
        <v>3</v>
      </c>
      <c r="M456">
        <v>0</v>
      </c>
      <c r="N456">
        <v>2</v>
      </c>
      <c r="O456">
        <v>1</v>
      </c>
      <c r="P456">
        <v>0</v>
      </c>
      <c r="Q456">
        <v>0</v>
      </c>
      <c r="R456" t="s">
        <v>112</v>
      </c>
      <c r="S456" t="str">
        <f>"13:57:57.602"</f>
        <v>13:57:57.602</v>
      </c>
      <c r="T456" t="str">
        <f>"13:57:57.203"</f>
        <v>13:57:57.203</v>
      </c>
      <c r="U456" t="str">
        <f t="shared" si="21"/>
        <v>ad5732</v>
      </c>
      <c r="V456">
        <v>0</v>
      </c>
      <c r="W456">
        <v>0</v>
      </c>
      <c r="X456">
        <v>1</v>
      </c>
      <c r="Z456">
        <v>0</v>
      </c>
      <c r="AA456">
        <v>9</v>
      </c>
      <c r="AB456">
        <v>3</v>
      </c>
      <c r="AC456">
        <v>0</v>
      </c>
      <c r="AD456">
        <v>10</v>
      </c>
      <c r="AE456">
        <v>0</v>
      </c>
      <c r="AF456">
        <v>3</v>
      </c>
      <c r="AG456">
        <v>2</v>
      </c>
      <c r="AH456">
        <v>0</v>
      </c>
      <c r="AI456" t="s">
        <v>1007</v>
      </c>
      <c r="AJ456">
        <v>39.229002000000001</v>
      </c>
      <c r="AK456" t="s">
        <v>1008</v>
      </c>
      <c r="AL456">
        <v>-77.390934999999999</v>
      </c>
      <c r="AM456">
        <v>100</v>
      </c>
      <c r="AN456">
        <v>7600</v>
      </c>
      <c r="AO456" t="s">
        <v>115</v>
      </c>
      <c r="AP456">
        <v>131</v>
      </c>
      <c r="AQ456">
        <v>54</v>
      </c>
      <c r="AR456">
        <v>832</v>
      </c>
      <c r="AZ456">
        <v>3614</v>
      </c>
      <c r="BA456">
        <v>1</v>
      </c>
      <c r="BB456" t="str">
        <f t="shared" si="20"/>
        <v xml:space="preserve">N959MJ  </v>
      </c>
      <c r="BC456">
        <v>1</v>
      </c>
      <c r="BE456">
        <v>0</v>
      </c>
      <c r="BF456">
        <v>0</v>
      </c>
      <c r="BG456">
        <v>0</v>
      </c>
      <c r="BH456">
        <v>7950</v>
      </c>
      <c r="BI456">
        <v>350</v>
      </c>
      <c r="BJ456">
        <v>1</v>
      </c>
      <c r="BK456">
        <v>1</v>
      </c>
      <c r="BL456">
        <v>1</v>
      </c>
      <c r="BM456">
        <v>0</v>
      </c>
      <c r="BP456">
        <v>0</v>
      </c>
      <c r="BQ456">
        <v>0</v>
      </c>
      <c r="BX456" t="str">
        <f>"13:57:57.602"</f>
        <v>13:57:57.602</v>
      </c>
      <c r="BY456" t="str">
        <f>"602820077"</f>
        <v>602820077</v>
      </c>
      <c r="CL456">
        <v>0</v>
      </c>
      <c r="CM456">
        <v>2</v>
      </c>
      <c r="CN456">
        <v>0</v>
      </c>
      <c r="CO456">
        <v>2</v>
      </c>
      <c r="CP456">
        <v>0</v>
      </c>
      <c r="CQ456">
        <v>7</v>
      </c>
      <c r="CR456" t="s">
        <v>116</v>
      </c>
      <c r="CS456">
        <v>525</v>
      </c>
      <c r="CT456">
        <v>2</v>
      </c>
      <c r="CU456" t="s">
        <v>140</v>
      </c>
      <c r="CV456" t="s">
        <v>141</v>
      </c>
      <c r="CY456">
        <v>14252994</v>
      </c>
      <c r="CZ456" t="s">
        <v>119</v>
      </c>
    </row>
    <row r="457" spans="1:104" x14ac:dyDescent="0.25">
      <c r="A457" t="str">
        <f>"13:57:58.883"</f>
        <v>13:57:58.883</v>
      </c>
      <c r="B457" t="s">
        <v>108</v>
      </c>
      <c r="C457" t="str">
        <f t="shared" si="19"/>
        <v>ffdfd3c0</v>
      </c>
      <c r="D457" t="s">
        <v>109</v>
      </c>
      <c r="E457">
        <v>4</v>
      </c>
      <c r="F457">
        <v>1004</v>
      </c>
      <c r="G457" t="s">
        <v>110</v>
      </c>
      <c r="J457" t="s">
        <v>111</v>
      </c>
      <c r="K457">
        <v>0</v>
      </c>
      <c r="L457">
        <v>3</v>
      </c>
      <c r="M457">
        <v>0</v>
      </c>
      <c r="N457">
        <v>2</v>
      </c>
      <c r="O457">
        <v>1</v>
      </c>
      <c r="P457">
        <v>0</v>
      </c>
      <c r="Q457">
        <v>0</v>
      </c>
      <c r="R457" t="s">
        <v>112</v>
      </c>
      <c r="S457" t="str">
        <f>"13:57:58.695"</f>
        <v>13:57:58.695</v>
      </c>
      <c r="T457" t="str">
        <f>"13:57:58.195"</f>
        <v>13:57:58.195</v>
      </c>
      <c r="U457" t="str">
        <f t="shared" si="21"/>
        <v>ad5732</v>
      </c>
      <c r="V457">
        <v>0</v>
      </c>
      <c r="W457">
        <v>0</v>
      </c>
      <c r="X457">
        <v>1</v>
      </c>
      <c r="Z457">
        <v>0</v>
      </c>
      <c r="AA457">
        <v>9</v>
      </c>
      <c r="AB457">
        <v>3</v>
      </c>
      <c r="AC457">
        <v>0</v>
      </c>
      <c r="AD457">
        <v>10</v>
      </c>
      <c r="AE457">
        <v>0</v>
      </c>
      <c r="AF457">
        <v>3</v>
      </c>
      <c r="AG457">
        <v>2</v>
      </c>
      <c r="AH457">
        <v>0</v>
      </c>
      <c r="AI457" t="s">
        <v>1009</v>
      </c>
      <c r="AJ457">
        <v>39.229301999999997</v>
      </c>
      <c r="AK457" t="s">
        <v>1010</v>
      </c>
      <c r="AL457">
        <v>-77.390034</v>
      </c>
      <c r="AM457">
        <v>100</v>
      </c>
      <c r="AN457">
        <v>7700</v>
      </c>
      <c r="AO457" t="s">
        <v>115</v>
      </c>
      <c r="AP457">
        <v>132</v>
      </c>
      <c r="AQ457">
        <v>53</v>
      </c>
      <c r="AR457">
        <v>768</v>
      </c>
      <c r="AZ457">
        <v>3614</v>
      </c>
      <c r="BA457">
        <v>1</v>
      </c>
      <c r="BB457" t="str">
        <f t="shared" si="20"/>
        <v xml:space="preserve">N959MJ  </v>
      </c>
      <c r="BC457">
        <v>1</v>
      </c>
      <c r="BE457">
        <v>0</v>
      </c>
      <c r="BF457">
        <v>0</v>
      </c>
      <c r="BG457">
        <v>0</v>
      </c>
      <c r="BH457">
        <v>7975</v>
      </c>
      <c r="BI457">
        <v>275</v>
      </c>
      <c r="BJ457">
        <v>1</v>
      </c>
      <c r="BK457">
        <v>1</v>
      </c>
      <c r="BL457">
        <v>1</v>
      </c>
      <c r="BM457">
        <v>0</v>
      </c>
      <c r="BP457">
        <v>0</v>
      </c>
      <c r="BQ457">
        <v>0</v>
      </c>
      <c r="BX457" t="str">
        <f>"13:57:58.695"</f>
        <v>13:57:58.695</v>
      </c>
      <c r="BY457" t="str">
        <f>"695650252"</f>
        <v>695650252</v>
      </c>
      <c r="CL457">
        <v>0</v>
      </c>
      <c r="CM457">
        <v>2</v>
      </c>
      <c r="CN457">
        <v>0</v>
      </c>
      <c r="CO457">
        <v>2</v>
      </c>
      <c r="CP457">
        <v>0</v>
      </c>
      <c r="CQ457">
        <v>7</v>
      </c>
      <c r="CR457" t="s">
        <v>116</v>
      </c>
      <c r="CS457">
        <v>525</v>
      </c>
      <c r="CT457">
        <v>2</v>
      </c>
      <c r="CU457" t="s">
        <v>140</v>
      </c>
      <c r="CV457" t="s">
        <v>141</v>
      </c>
      <c r="CY457">
        <v>14254527</v>
      </c>
      <c r="CZ457" t="s">
        <v>119</v>
      </c>
    </row>
    <row r="458" spans="1:104" x14ac:dyDescent="0.25">
      <c r="A458" t="str">
        <f>"13:57:59.945"</f>
        <v>13:57:59.945</v>
      </c>
      <c r="B458" t="s">
        <v>108</v>
      </c>
      <c r="C458" t="str">
        <f t="shared" ref="C458:C521" si="22">"ffdfd3c0"</f>
        <v>ffdfd3c0</v>
      </c>
      <c r="D458" t="s">
        <v>109</v>
      </c>
      <c r="E458">
        <v>4</v>
      </c>
      <c r="F458">
        <v>1004</v>
      </c>
      <c r="G458" t="s">
        <v>110</v>
      </c>
      <c r="J458" t="s">
        <v>111</v>
      </c>
      <c r="K458">
        <v>0</v>
      </c>
      <c r="L458">
        <v>3</v>
      </c>
      <c r="M458">
        <v>0</v>
      </c>
      <c r="N458">
        <v>2</v>
      </c>
      <c r="O458">
        <v>1</v>
      </c>
      <c r="P458">
        <v>0</v>
      </c>
      <c r="Q458">
        <v>0</v>
      </c>
      <c r="R458" t="s">
        <v>112</v>
      </c>
      <c r="S458" t="str">
        <f>"13:57:59.742"</f>
        <v>13:57:59.742</v>
      </c>
      <c r="T458" t="str">
        <f>"13:57:59.344"</f>
        <v>13:57:59.344</v>
      </c>
      <c r="U458" t="str">
        <f t="shared" si="21"/>
        <v>ad5732</v>
      </c>
      <c r="V458">
        <v>0</v>
      </c>
      <c r="W458">
        <v>0</v>
      </c>
      <c r="X458">
        <v>1</v>
      </c>
      <c r="Z458">
        <v>0</v>
      </c>
      <c r="AA458">
        <v>9</v>
      </c>
      <c r="AB458">
        <v>3</v>
      </c>
      <c r="AC458">
        <v>0</v>
      </c>
      <c r="AD458">
        <v>10</v>
      </c>
      <c r="AE458">
        <v>0</v>
      </c>
      <c r="AF458">
        <v>3</v>
      </c>
      <c r="AG458">
        <v>2</v>
      </c>
      <c r="AH458">
        <v>0</v>
      </c>
      <c r="AI458" t="s">
        <v>1011</v>
      </c>
      <c r="AJ458">
        <v>39.229517000000001</v>
      </c>
      <c r="AK458" t="s">
        <v>1012</v>
      </c>
      <c r="AL458">
        <v>-77.389240000000001</v>
      </c>
      <c r="AM458">
        <v>100</v>
      </c>
      <c r="AN458">
        <v>7700</v>
      </c>
      <c r="AO458" t="s">
        <v>115</v>
      </c>
      <c r="AP458">
        <v>133</v>
      </c>
      <c r="AQ458">
        <v>52</v>
      </c>
      <c r="AR458">
        <v>704</v>
      </c>
      <c r="AZ458">
        <v>3614</v>
      </c>
      <c r="BA458">
        <v>1</v>
      </c>
      <c r="BB458" t="str">
        <f t="shared" ref="BB458:BB521" si="23">"N959MJ  "</f>
        <v xml:space="preserve">N959MJ  </v>
      </c>
      <c r="BC458">
        <v>1</v>
      </c>
      <c r="BE458">
        <v>0</v>
      </c>
      <c r="BF458">
        <v>0</v>
      </c>
      <c r="BG458">
        <v>0</v>
      </c>
      <c r="BH458">
        <v>7975</v>
      </c>
      <c r="BI458">
        <v>275</v>
      </c>
      <c r="BJ458">
        <v>1</v>
      </c>
      <c r="BK458">
        <v>1</v>
      </c>
      <c r="BL458">
        <v>1</v>
      </c>
      <c r="BM458">
        <v>0</v>
      </c>
      <c r="BP458">
        <v>0</v>
      </c>
      <c r="BQ458">
        <v>0</v>
      </c>
      <c r="BX458" t="str">
        <f>"13:57:59.750"</f>
        <v>13:57:59.750</v>
      </c>
      <c r="BY458" t="str">
        <f>"749158107"</f>
        <v>749158107</v>
      </c>
      <c r="CL458">
        <v>0</v>
      </c>
      <c r="CM458">
        <v>2</v>
      </c>
      <c r="CN458">
        <v>0</v>
      </c>
      <c r="CO458">
        <v>2</v>
      </c>
      <c r="CP458">
        <v>0</v>
      </c>
      <c r="CQ458">
        <v>7</v>
      </c>
      <c r="CR458" t="s">
        <v>116</v>
      </c>
      <c r="CS458">
        <v>525</v>
      </c>
      <c r="CT458">
        <v>2</v>
      </c>
      <c r="CU458" t="s">
        <v>140</v>
      </c>
      <c r="CV458" t="s">
        <v>141</v>
      </c>
      <c r="CY458">
        <v>14255983</v>
      </c>
      <c r="CZ458" t="s">
        <v>119</v>
      </c>
    </row>
    <row r="459" spans="1:104" x14ac:dyDescent="0.25">
      <c r="A459" t="str">
        <f>"13:58:00.906"</f>
        <v>13:58:00.906</v>
      </c>
      <c r="B459" t="s">
        <v>108</v>
      </c>
      <c r="C459" t="str">
        <f t="shared" si="22"/>
        <v>ffdfd3c0</v>
      </c>
      <c r="D459" t="s">
        <v>109</v>
      </c>
      <c r="E459">
        <v>4</v>
      </c>
      <c r="F459">
        <v>1004</v>
      </c>
      <c r="G459" t="s">
        <v>110</v>
      </c>
      <c r="J459" t="s">
        <v>111</v>
      </c>
      <c r="K459">
        <v>0</v>
      </c>
      <c r="L459">
        <v>3</v>
      </c>
      <c r="M459">
        <v>0</v>
      </c>
      <c r="N459">
        <v>2</v>
      </c>
      <c r="O459">
        <v>1</v>
      </c>
      <c r="P459">
        <v>0</v>
      </c>
      <c r="Q459">
        <v>0</v>
      </c>
      <c r="R459" t="s">
        <v>112</v>
      </c>
      <c r="S459" t="str">
        <f>"13:58:00.703"</f>
        <v>13:58:00.703</v>
      </c>
      <c r="T459" t="str">
        <f>"13:58:00.305"</f>
        <v>13:58:00.305</v>
      </c>
      <c r="U459" t="str">
        <f t="shared" si="21"/>
        <v>ad5732</v>
      </c>
      <c r="V459">
        <v>0</v>
      </c>
      <c r="W459">
        <v>0</v>
      </c>
      <c r="X459">
        <v>1</v>
      </c>
      <c r="Z459">
        <v>0</v>
      </c>
      <c r="AA459">
        <v>9</v>
      </c>
      <c r="AB459">
        <v>3</v>
      </c>
      <c r="AC459">
        <v>0</v>
      </c>
      <c r="AD459">
        <v>10</v>
      </c>
      <c r="AE459">
        <v>0</v>
      </c>
      <c r="AF459">
        <v>3</v>
      </c>
      <c r="AG459">
        <v>2</v>
      </c>
      <c r="AH459">
        <v>0</v>
      </c>
      <c r="AI459" t="s">
        <v>1013</v>
      </c>
      <c r="AJ459">
        <v>39.229753000000002</v>
      </c>
      <c r="AK459" t="s">
        <v>1014</v>
      </c>
      <c r="AL459">
        <v>-77.388468000000003</v>
      </c>
      <c r="AM459">
        <v>100</v>
      </c>
      <c r="AN459">
        <v>7700</v>
      </c>
      <c r="AO459" t="s">
        <v>115</v>
      </c>
      <c r="AP459">
        <v>134</v>
      </c>
      <c r="AQ459">
        <v>51</v>
      </c>
      <c r="AR459">
        <v>704</v>
      </c>
      <c r="AZ459">
        <v>3614</v>
      </c>
      <c r="BA459">
        <v>1</v>
      </c>
      <c r="BB459" t="str">
        <f t="shared" si="23"/>
        <v xml:space="preserve">N959MJ  </v>
      </c>
      <c r="BC459">
        <v>1</v>
      </c>
      <c r="BE459">
        <v>0</v>
      </c>
      <c r="BF459">
        <v>0</v>
      </c>
      <c r="BG459">
        <v>0</v>
      </c>
      <c r="BH459">
        <v>8000</v>
      </c>
      <c r="BI459">
        <v>300</v>
      </c>
      <c r="BJ459">
        <v>1</v>
      </c>
      <c r="BK459">
        <v>1</v>
      </c>
      <c r="BL459">
        <v>1</v>
      </c>
      <c r="BM459">
        <v>0</v>
      </c>
      <c r="BP459">
        <v>0</v>
      </c>
      <c r="BQ459">
        <v>0</v>
      </c>
      <c r="BX459" t="str">
        <f>"13:58:00.711"</f>
        <v>13:58:00.711</v>
      </c>
      <c r="BY459" t="str">
        <f>"709717234"</f>
        <v>709717234</v>
      </c>
      <c r="CL459">
        <v>0</v>
      </c>
      <c r="CM459">
        <v>2</v>
      </c>
      <c r="CN459">
        <v>0</v>
      </c>
      <c r="CO459">
        <v>2</v>
      </c>
      <c r="CP459">
        <v>0</v>
      </c>
      <c r="CQ459">
        <v>3</v>
      </c>
      <c r="CR459" t="s">
        <v>116</v>
      </c>
      <c r="CS459">
        <v>398</v>
      </c>
      <c r="CT459">
        <v>0</v>
      </c>
      <c r="CU459" t="s">
        <v>1015</v>
      </c>
      <c r="CV459" t="s">
        <v>1016</v>
      </c>
      <c r="CY459">
        <v>14670984</v>
      </c>
      <c r="CZ459" t="s">
        <v>119</v>
      </c>
    </row>
    <row r="460" spans="1:104" x14ac:dyDescent="0.25">
      <c r="A460" t="str">
        <f>"13:58:01.914"</f>
        <v>13:58:01.914</v>
      </c>
      <c r="B460" t="s">
        <v>108</v>
      </c>
      <c r="C460" t="str">
        <f t="shared" si="22"/>
        <v>ffdfd3c0</v>
      </c>
      <c r="D460" t="s">
        <v>109</v>
      </c>
      <c r="E460">
        <v>4</v>
      </c>
      <c r="F460">
        <v>1004</v>
      </c>
      <c r="G460" t="s">
        <v>110</v>
      </c>
      <c r="J460" t="s">
        <v>111</v>
      </c>
      <c r="K460">
        <v>0</v>
      </c>
      <c r="L460">
        <v>3</v>
      </c>
      <c r="M460">
        <v>0</v>
      </c>
      <c r="N460">
        <v>2</v>
      </c>
      <c r="O460">
        <v>1</v>
      </c>
      <c r="P460">
        <v>0</v>
      </c>
      <c r="Q460">
        <v>0</v>
      </c>
      <c r="R460" t="s">
        <v>112</v>
      </c>
      <c r="S460" t="str">
        <f>"13:58:01.750"</f>
        <v>13:58:01.750</v>
      </c>
      <c r="T460" t="str">
        <f>"13:58:01.250"</f>
        <v>13:58:01.250</v>
      </c>
      <c r="U460" t="str">
        <f t="shared" si="21"/>
        <v>ad5732</v>
      </c>
      <c r="V460">
        <v>0</v>
      </c>
      <c r="W460">
        <v>0</v>
      </c>
      <c r="X460">
        <v>1</v>
      </c>
      <c r="Z460">
        <v>0</v>
      </c>
      <c r="AA460">
        <v>9</v>
      </c>
      <c r="AB460">
        <v>3</v>
      </c>
      <c r="AC460">
        <v>0</v>
      </c>
      <c r="AD460">
        <v>10</v>
      </c>
      <c r="AE460">
        <v>0</v>
      </c>
      <c r="AF460">
        <v>3</v>
      </c>
      <c r="AG460">
        <v>2</v>
      </c>
      <c r="AH460">
        <v>0</v>
      </c>
      <c r="AI460" t="s">
        <v>1017</v>
      </c>
      <c r="AJ460">
        <v>39.230032000000001</v>
      </c>
      <c r="AK460" t="s">
        <v>1018</v>
      </c>
      <c r="AL460">
        <v>-77.387630999999999</v>
      </c>
      <c r="AM460">
        <v>100</v>
      </c>
      <c r="AN460">
        <v>7700</v>
      </c>
      <c r="AO460" t="s">
        <v>115</v>
      </c>
      <c r="AP460">
        <v>134</v>
      </c>
      <c r="AQ460">
        <v>50</v>
      </c>
      <c r="AR460">
        <v>640</v>
      </c>
      <c r="AZ460">
        <v>3614</v>
      </c>
      <c r="BA460">
        <v>1</v>
      </c>
      <c r="BB460" t="str">
        <f t="shared" si="23"/>
        <v xml:space="preserve">N959MJ  </v>
      </c>
      <c r="BC460">
        <v>1</v>
      </c>
      <c r="BE460">
        <v>0</v>
      </c>
      <c r="BF460">
        <v>0</v>
      </c>
      <c r="BG460">
        <v>0</v>
      </c>
      <c r="BH460">
        <v>8000</v>
      </c>
      <c r="BI460">
        <v>300</v>
      </c>
      <c r="BJ460">
        <v>1</v>
      </c>
      <c r="BK460">
        <v>1</v>
      </c>
      <c r="BL460">
        <v>1</v>
      </c>
      <c r="BM460">
        <v>0</v>
      </c>
      <c r="BP460">
        <v>0</v>
      </c>
      <c r="BQ460">
        <v>0</v>
      </c>
      <c r="BX460" t="str">
        <f>"13:58:01.750"</f>
        <v>13:58:01.750</v>
      </c>
      <c r="BY460" t="str">
        <f>"751314617"</f>
        <v>751314617</v>
      </c>
      <c r="CL460">
        <v>0</v>
      </c>
      <c r="CM460">
        <v>2</v>
      </c>
      <c r="CN460">
        <v>0</v>
      </c>
      <c r="CO460">
        <v>2</v>
      </c>
      <c r="CP460">
        <v>0</v>
      </c>
      <c r="CQ460">
        <v>7</v>
      </c>
      <c r="CR460" t="s">
        <v>116</v>
      </c>
      <c r="CS460">
        <v>525</v>
      </c>
      <c r="CT460">
        <v>2</v>
      </c>
      <c r="CU460" t="s">
        <v>140</v>
      </c>
      <c r="CV460" t="s">
        <v>141</v>
      </c>
      <c r="CY460">
        <v>14259239</v>
      </c>
      <c r="CZ460" t="s">
        <v>119</v>
      </c>
    </row>
    <row r="461" spans="1:104" x14ac:dyDescent="0.25">
      <c r="A461" t="str">
        <f>"13:58:02.820"</f>
        <v>13:58:02.820</v>
      </c>
      <c r="B461" t="s">
        <v>108</v>
      </c>
      <c r="C461" t="str">
        <f t="shared" si="22"/>
        <v>ffdfd3c0</v>
      </c>
      <c r="D461" t="s">
        <v>109</v>
      </c>
      <c r="E461">
        <v>4</v>
      </c>
      <c r="F461">
        <v>1004</v>
      </c>
      <c r="G461" t="s">
        <v>110</v>
      </c>
      <c r="J461" t="s">
        <v>111</v>
      </c>
      <c r="K461">
        <v>0</v>
      </c>
      <c r="L461">
        <v>3</v>
      </c>
      <c r="M461">
        <v>0</v>
      </c>
      <c r="N461">
        <v>2</v>
      </c>
      <c r="O461">
        <v>1</v>
      </c>
      <c r="P461">
        <v>0</v>
      </c>
      <c r="Q461">
        <v>0</v>
      </c>
      <c r="R461" t="s">
        <v>112</v>
      </c>
      <c r="S461" t="str">
        <f>"13:58:02.664"</f>
        <v>13:58:02.664</v>
      </c>
      <c r="T461" t="str">
        <f>"13:58:02.266"</f>
        <v>13:58:02.266</v>
      </c>
      <c r="U461" t="str">
        <f t="shared" si="21"/>
        <v>ad5732</v>
      </c>
      <c r="V461">
        <v>0</v>
      </c>
      <c r="W461">
        <v>0</v>
      </c>
      <c r="X461">
        <v>1</v>
      </c>
      <c r="Z461">
        <v>0</v>
      </c>
      <c r="AA461">
        <v>9</v>
      </c>
      <c r="AB461">
        <v>3</v>
      </c>
      <c r="AC461">
        <v>0</v>
      </c>
      <c r="AD461">
        <v>10</v>
      </c>
      <c r="AE461">
        <v>0</v>
      </c>
      <c r="AF461">
        <v>3</v>
      </c>
      <c r="AG461">
        <v>2</v>
      </c>
      <c r="AH461">
        <v>0</v>
      </c>
      <c r="AI461" t="s">
        <v>1019</v>
      </c>
      <c r="AJ461">
        <v>39.230224999999997</v>
      </c>
      <c r="AK461" t="s">
        <v>1020</v>
      </c>
      <c r="AL461">
        <v>-77.386966000000001</v>
      </c>
      <c r="AM461">
        <v>100</v>
      </c>
      <c r="AN461">
        <v>7700</v>
      </c>
      <c r="AO461" t="s">
        <v>115</v>
      </c>
      <c r="AP461">
        <v>135</v>
      </c>
      <c r="AQ461">
        <v>49</v>
      </c>
      <c r="AR461">
        <v>640</v>
      </c>
      <c r="AZ461">
        <v>3614</v>
      </c>
      <c r="BA461">
        <v>1</v>
      </c>
      <c r="BB461" t="str">
        <f t="shared" si="23"/>
        <v xml:space="preserve">N959MJ  </v>
      </c>
      <c r="BC461">
        <v>1</v>
      </c>
      <c r="BE461">
        <v>0</v>
      </c>
      <c r="BF461">
        <v>0</v>
      </c>
      <c r="BG461">
        <v>0</v>
      </c>
      <c r="BH461">
        <v>8000</v>
      </c>
      <c r="BI461">
        <v>300</v>
      </c>
      <c r="BJ461">
        <v>1</v>
      </c>
      <c r="BK461">
        <v>1</v>
      </c>
      <c r="BL461">
        <v>1</v>
      </c>
      <c r="BM461">
        <v>0</v>
      </c>
      <c r="BP461">
        <v>0</v>
      </c>
      <c r="BQ461">
        <v>0</v>
      </c>
      <c r="BX461" t="str">
        <f>"13:58:02.664"</f>
        <v>13:58:02.664</v>
      </c>
      <c r="BY461" t="str">
        <f>"667409487"</f>
        <v>667409487</v>
      </c>
      <c r="CL461">
        <v>0</v>
      </c>
      <c r="CM461">
        <v>2</v>
      </c>
      <c r="CN461">
        <v>0</v>
      </c>
      <c r="CO461">
        <v>2</v>
      </c>
      <c r="CP461">
        <v>0</v>
      </c>
      <c r="CQ461">
        <v>6</v>
      </c>
      <c r="CR461" t="s">
        <v>116</v>
      </c>
      <c r="CS461">
        <v>373</v>
      </c>
      <c r="CT461">
        <v>3</v>
      </c>
      <c r="CU461" t="s">
        <v>224</v>
      </c>
      <c r="CV461" t="s">
        <v>225</v>
      </c>
      <c r="CY461">
        <v>2169749</v>
      </c>
      <c r="CZ461" t="s">
        <v>119</v>
      </c>
    </row>
    <row r="462" spans="1:104" x14ac:dyDescent="0.25">
      <c r="A462" t="str">
        <f>"13:58:03.828"</f>
        <v>13:58:03.828</v>
      </c>
      <c r="B462" t="s">
        <v>108</v>
      </c>
      <c r="C462" t="str">
        <f t="shared" si="22"/>
        <v>ffdfd3c0</v>
      </c>
      <c r="D462" t="s">
        <v>109</v>
      </c>
      <c r="E462">
        <v>4</v>
      </c>
      <c r="F462">
        <v>1004</v>
      </c>
      <c r="G462" t="s">
        <v>110</v>
      </c>
      <c r="J462" t="s">
        <v>111</v>
      </c>
      <c r="K462">
        <v>0</v>
      </c>
      <c r="L462">
        <v>3</v>
      </c>
      <c r="M462">
        <v>0</v>
      </c>
      <c r="N462">
        <v>2</v>
      </c>
      <c r="O462">
        <v>1</v>
      </c>
      <c r="P462">
        <v>0</v>
      </c>
      <c r="Q462">
        <v>0</v>
      </c>
      <c r="R462" t="s">
        <v>112</v>
      </c>
      <c r="S462" t="str">
        <f>"13:58:03.625"</f>
        <v>13:58:03.625</v>
      </c>
      <c r="T462" t="str">
        <f>"13:58:03.125"</f>
        <v>13:58:03.125</v>
      </c>
      <c r="U462" t="str">
        <f t="shared" si="21"/>
        <v>ad5732</v>
      </c>
      <c r="V462">
        <v>0</v>
      </c>
      <c r="W462">
        <v>0</v>
      </c>
      <c r="X462">
        <v>1</v>
      </c>
      <c r="Z462">
        <v>0</v>
      </c>
      <c r="AA462">
        <v>9</v>
      </c>
      <c r="AB462">
        <v>3</v>
      </c>
      <c r="AC462">
        <v>0</v>
      </c>
      <c r="AD462">
        <v>10</v>
      </c>
      <c r="AE462">
        <v>0</v>
      </c>
      <c r="AF462">
        <v>3</v>
      </c>
      <c r="AG462">
        <v>2</v>
      </c>
      <c r="AH462">
        <v>0</v>
      </c>
      <c r="AI462" t="s">
        <v>1021</v>
      </c>
      <c r="AJ462">
        <v>39.230460999999998</v>
      </c>
      <c r="AK462" t="s">
        <v>1022</v>
      </c>
      <c r="AL462">
        <v>-77.386106999999996</v>
      </c>
      <c r="AM462">
        <v>100</v>
      </c>
      <c r="AN462">
        <v>7700</v>
      </c>
      <c r="AO462" t="s">
        <v>115</v>
      </c>
      <c r="AP462">
        <v>136</v>
      </c>
      <c r="AQ462">
        <v>49</v>
      </c>
      <c r="AR462">
        <v>640</v>
      </c>
      <c r="AZ462">
        <v>3614</v>
      </c>
      <c r="BA462">
        <v>1</v>
      </c>
      <c r="BB462" t="str">
        <f t="shared" si="23"/>
        <v xml:space="preserve">N959MJ  </v>
      </c>
      <c r="BC462">
        <v>1</v>
      </c>
      <c r="BE462">
        <v>0</v>
      </c>
      <c r="BF462">
        <v>0</v>
      </c>
      <c r="BG462">
        <v>0</v>
      </c>
      <c r="BH462">
        <v>8025</v>
      </c>
      <c r="BI462">
        <v>325</v>
      </c>
      <c r="BJ462">
        <v>1</v>
      </c>
      <c r="BK462">
        <v>1</v>
      </c>
      <c r="BL462">
        <v>1</v>
      </c>
      <c r="BM462">
        <v>0</v>
      </c>
      <c r="BP462">
        <v>0</v>
      </c>
      <c r="BQ462">
        <v>0</v>
      </c>
      <c r="BX462" t="str">
        <f>"13:58:03.633"</f>
        <v>13:58:03.633</v>
      </c>
      <c r="BY462" t="str">
        <f>"632227665"</f>
        <v>632227665</v>
      </c>
      <c r="CL462">
        <v>0</v>
      </c>
      <c r="CM462">
        <v>2</v>
      </c>
      <c r="CN462">
        <v>0</v>
      </c>
      <c r="CO462">
        <v>2</v>
      </c>
      <c r="CP462">
        <v>0</v>
      </c>
      <c r="CQ462">
        <v>7</v>
      </c>
      <c r="CR462" t="s">
        <v>116</v>
      </c>
      <c r="CS462">
        <v>525</v>
      </c>
      <c r="CT462">
        <v>2</v>
      </c>
      <c r="CU462" t="s">
        <v>140</v>
      </c>
      <c r="CV462" t="s">
        <v>141</v>
      </c>
      <c r="CY462">
        <v>14261944</v>
      </c>
      <c r="CZ462" t="s">
        <v>119</v>
      </c>
    </row>
    <row r="463" spans="1:104" x14ac:dyDescent="0.25">
      <c r="A463" t="str">
        <f>"13:58:04.891"</f>
        <v>13:58:04.891</v>
      </c>
      <c r="B463" t="s">
        <v>108</v>
      </c>
      <c r="C463" t="str">
        <f t="shared" si="22"/>
        <v>ffdfd3c0</v>
      </c>
      <c r="D463" t="s">
        <v>109</v>
      </c>
      <c r="E463">
        <v>4</v>
      </c>
      <c r="F463">
        <v>1004</v>
      </c>
      <c r="G463" t="s">
        <v>110</v>
      </c>
      <c r="J463" t="s">
        <v>111</v>
      </c>
      <c r="K463">
        <v>0</v>
      </c>
      <c r="L463">
        <v>3</v>
      </c>
      <c r="M463">
        <v>0</v>
      </c>
      <c r="N463">
        <v>2</v>
      </c>
      <c r="O463">
        <v>1</v>
      </c>
      <c r="P463">
        <v>0</v>
      </c>
      <c r="Q463">
        <v>0</v>
      </c>
      <c r="R463" t="s">
        <v>112</v>
      </c>
      <c r="S463" t="str">
        <f>"13:58:04.695"</f>
        <v>13:58:04.695</v>
      </c>
      <c r="T463" t="str">
        <f>"13:58:04.195"</f>
        <v>13:58:04.195</v>
      </c>
      <c r="U463" t="str">
        <f t="shared" si="21"/>
        <v>ad5732</v>
      </c>
      <c r="V463">
        <v>0</v>
      </c>
      <c r="W463">
        <v>0</v>
      </c>
      <c r="X463">
        <v>1</v>
      </c>
      <c r="Z463">
        <v>0</v>
      </c>
      <c r="AA463">
        <v>9</v>
      </c>
      <c r="AB463">
        <v>3</v>
      </c>
      <c r="AC463">
        <v>0</v>
      </c>
      <c r="AD463">
        <v>10</v>
      </c>
      <c r="AE463">
        <v>0</v>
      </c>
      <c r="AF463">
        <v>3</v>
      </c>
      <c r="AG463">
        <v>2</v>
      </c>
      <c r="AH463">
        <v>0</v>
      </c>
      <c r="AI463" t="s">
        <v>1023</v>
      </c>
      <c r="AJ463">
        <v>39.230676000000003</v>
      </c>
      <c r="AK463" t="s">
        <v>1024</v>
      </c>
      <c r="AL463">
        <v>-77.385249000000002</v>
      </c>
      <c r="AM463">
        <v>100</v>
      </c>
      <c r="AN463">
        <v>7700</v>
      </c>
      <c r="AO463" t="s">
        <v>115</v>
      </c>
      <c r="AP463">
        <v>136</v>
      </c>
      <c r="AQ463">
        <v>49</v>
      </c>
      <c r="AR463">
        <v>640</v>
      </c>
      <c r="AZ463">
        <v>3614</v>
      </c>
      <c r="BA463">
        <v>1</v>
      </c>
      <c r="BB463" t="str">
        <f t="shared" si="23"/>
        <v xml:space="preserve">N959MJ  </v>
      </c>
      <c r="BC463">
        <v>1</v>
      </c>
      <c r="BE463">
        <v>0</v>
      </c>
      <c r="BF463">
        <v>0</v>
      </c>
      <c r="BG463">
        <v>0</v>
      </c>
      <c r="BH463">
        <v>8025</v>
      </c>
      <c r="BI463">
        <v>325</v>
      </c>
      <c r="BJ463">
        <v>1</v>
      </c>
      <c r="BK463">
        <v>1</v>
      </c>
      <c r="BL463">
        <v>1</v>
      </c>
      <c r="BM463">
        <v>0</v>
      </c>
      <c r="BP463">
        <v>0</v>
      </c>
      <c r="BQ463">
        <v>0</v>
      </c>
      <c r="BX463" t="str">
        <f>"13:58:04.695"</f>
        <v>13:58:04.695</v>
      </c>
      <c r="BY463" t="str">
        <f>"695566187"</f>
        <v>695566187</v>
      </c>
      <c r="CL463">
        <v>0</v>
      </c>
      <c r="CM463">
        <v>2</v>
      </c>
      <c r="CN463">
        <v>0</v>
      </c>
      <c r="CO463">
        <v>2</v>
      </c>
      <c r="CP463">
        <v>0</v>
      </c>
      <c r="CQ463">
        <v>7</v>
      </c>
      <c r="CR463" t="s">
        <v>116</v>
      </c>
      <c r="CS463">
        <v>525</v>
      </c>
      <c r="CT463">
        <v>2</v>
      </c>
      <c r="CU463" t="s">
        <v>140</v>
      </c>
      <c r="CV463" t="s">
        <v>141</v>
      </c>
      <c r="CY463">
        <v>14263465</v>
      </c>
      <c r="CZ463" t="s">
        <v>119</v>
      </c>
    </row>
    <row r="464" spans="1:104" x14ac:dyDescent="0.25">
      <c r="A464" t="str">
        <f>"13:58:05.852"</f>
        <v>13:58:05.852</v>
      </c>
      <c r="B464" t="s">
        <v>108</v>
      </c>
      <c r="C464" t="str">
        <f t="shared" si="22"/>
        <v>ffdfd3c0</v>
      </c>
      <c r="D464" t="s">
        <v>109</v>
      </c>
      <c r="E464">
        <v>4</v>
      </c>
      <c r="F464">
        <v>1004</v>
      </c>
      <c r="G464" t="s">
        <v>110</v>
      </c>
      <c r="J464" t="s">
        <v>111</v>
      </c>
      <c r="K464">
        <v>0</v>
      </c>
      <c r="L464">
        <v>3</v>
      </c>
      <c r="M464">
        <v>0</v>
      </c>
      <c r="N464">
        <v>2</v>
      </c>
      <c r="O464">
        <v>1</v>
      </c>
      <c r="P464">
        <v>0</v>
      </c>
      <c r="Q464">
        <v>0</v>
      </c>
      <c r="R464" t="s">
        <v>112</v>
      </c>
      <c r="S464" t="str">
        <f>"13:58:05.672"</f>
        <v>13:58:05.672</v>
      </c>
      <c r="T464" t="str">
        <f>"13:58:05.172"</f>
        <v>13:58:05.172</v>
      </c>
      <c r="U464" t="str">
        <f t="shared" si="21"/>
        <v>ad5732</v>
      </c>
      <c r="V464">
        <v>0</v>
      </c>
      <c r="W464">
        <v>0</v>
      </c>
      <c r="X464">
        <v>1</v>
      </c>
      <c r="Z464">
        <v>0</v>
      </c>
      <c r="AA464">
        <v>9</v>
      </c>
      <c r="AB464">
        <v>3</v>
      </c>
      <c r="AC464">
        <v>0</v>
      </c>
      <c r="AD464">
        <v>10</v>
      </c>
      <c r="AE464">
        <v>0</v>
      </c>
      <c r="AF464">
        <v>3</v>
      </c>
      <c r="AG464">
        <v>2</v>
      </c>
      <c r="AH464">
        <v>0</v>
      </c>
      <c r="AI464" t="s">
        <v>1025</v>
      </c>
      <c r="AJ464">
        <v>39.230890000000002</v>
      </c>
      <c r="AK464" t="s">
        <v>1026</v>
      </c>
      <c r="AL464">
        <v>-77.384411999999998</v>
      </c>
      <c r="AM464">
        <v>100</v>
      </c>
      <c r="AN464">
        <v>7700</v>
      </c>
      <c r="AO464" t="s">
        <v>115</v>
      </c>
      <c r="AP464">
        <v>137</v>
      </c>
      <c r="AQ464">
        <v>49</v>
      </c>
      <c r="AR464">
        <v>640</v>
      </c>
      <c r="AZ464">
        <v>3614</v>
      </c>
      <c r="BA464">
        <v>1</v>
      </c>
      <c r="BB464" t="str">
        <f t="shared" si="23"/>
        <v xml:space="preserve">N959MJ  </v>
      </c>
      <c r="BC464">
        <v>1</v>
      </c>
      <c r="BE464">
        <v>0</v>
      </c>
      <c r="BF464">
        <v>0</v>
      </c>
      <c r="BG464">
        <v>0</v>
      </c>
      <c r="BH464">
        <v>8050</v>
      </c>
      <c r="BI464">
        <v>350</v>
      </c>
      <c r="BJ464">
        <v>1</v>
      </c>
      <c r="BK464">
        <v>1</v>
      </c>
      <c r="BL464">
        <v>1</v>
      </c>
      <c r="BM464">
        <v>0</v>
      </c>
      <c r="BP464">
        <v>0</v>
      </c>
      <c r="BQ464">
        <v>0</v>
      </c>
      <c r="BX464" t="str">
        <f>"13:58:05.680"</f>
        <v>13:58:05.680</v>
      </c>
      <c r="BY464" t="str">
        <f>"676983315"</f>
        <v>676983315</v>
      </c>
      <c r="CL464">
        <v>0</v>
      </c>
      <c r="CM464">
        <v>2</v>
      </c>
      <c r="CN464">
        <v>0</v>
      </c>
      <c r="CO464">
        <v>2</v>
      </c>
      <c r="CP464">
        <v>0</v>
      </c>
      <c r="CQ464">
        <v>7</v>
      </c>
      <c r="CR464" t="s">
        <v>116</v>
      </c>
      <c r="CS464">
        <v>525</v>
      </c>
      <c r="CT464">
        <v>2</v>
      </c>
      <c r="CU464" t="s">
        <v>140</v>
      </c>
      <c r="CV464" t="s">
        <v>141</v>
      </c>
      <c r="CY464">
        <v>14265061</v>
      </c>
      <c r="CZ464" t="s">
        <v>119</v>
      </c>
    </row>
    <row r="465" spans="1:104" x14ac:dyDescent="0.25">
      <c r="A465" t="str">
        <f>"13:58:06.914"</f>
        <v>13:58:06.914</v>
      </c>
      <c r="B465" t="s">
        <v>108</v>
      </c>
      <c r="C465" t="str">
        <f t="shared" si="22"/>
        <v>ffdfd3c0</v>
      </c>
      <c r="D465" t="s">
        <v>109</v>
      </c>
      <c r="E465">
        <v>4</v>
      </c>
      <c r="F465">
        <v>1004</v>
      </c>
      <c r="G465" t="s">
        <v>110</v>
      </c>
      <c r="J465" t="s">
        <v>111</v>
      </c>
      <c r="K465">
        <v>0</v>
      </c>
      <c r="L465">
        <v>3</v>
      </c>
      <c r="M465">
        <v>0</v>
      </c>
      <c r="N465">
        <v>2</v>
      </c>
      <c r="O465">
        <v>1</v>
      </c>
      <c r="P465">
        <v>0</v>
      </c>
      <c r="Q465">
        <v>0</v>
      </c>
      <c r="R465" t="s">
        <v>112</v>
      </c>
      <c r="S465" t="str">
        <f>"13:58:06.750"</f>
        <v>13:58:06.750</v>
      </c>
      <c r="T465" t="str">
        <f>"13:58:06.352"</f>
        <v>13:58:06.352</v>
      </c>
      <c r="U465" t="str">
        <f t="shared" si="21"/>
        <v>ad5732</v>
      </c>
      <c r="V465">
        <v>0</v>
      </c>
      <c r="W465">
        <v>0</v>
      </c>
      <c r="X465">
        <v>1</v>
      </c>
      <c r="Z465">
        <v>0</v>
      </c>
      <c r="AA465">
        <v>9</v>
      </c>
      <c r="AB465">
        <v>3</v>
      </c>
      <c r="AC465">
        <v>0</v>
      </c>
      <c r="AD465">
        <v>10</v>
      </c>
      <c r="AE465">
        <v>0</v>
      </c>
      <c r="AF465">
        <v>3</v>
      </c>
      <c r="AG465">
        <v>2</v>
      </c>
      <c r="AH465">
        <v>0</v>
      </c>
      <c r="AI465" t="s">
        <v>1027</v>
      </c>
      <c r="AJ465">
        <v>39.231126000000003</v>
      </c>
      <c r="AK465" t="s">
        <v>1028</v>
      </c>
      <c r="AL465">
        <v>-77.383574999999993</v>
      </c>
      <c r="AM465">
        <v>100</v>
      </c>
      <c r="AN465">
        <v>7700</v>
      </c>
      <c r="AO465" t="s">
        <v>115</v>
      </c>
      <c r="AP465">
        <v>137</v>
      </c>
      <c r="AQ465">
        <v>48</v>
      </c>
      <c r="AR465">
        <v>704</v>
      </c>
      <c r="AZ465">
        <v>3614</v>
      </c>
      <c r="BA465">
        <v>1</v>
      </c>
      <c r="BB465" t="str">
        <f t="shared" si="23"/>
        <v xml:space="preserve">N959MJ  </v>
      </c>
      <c r="BC465">
        <v>1</v>
      </c>
      <c r="BE465">
        <v>0</v>
      </c>
      <c r="BF465">
        <v>0</v>
      </c>
      <c r="BG465">
        <v>0</v>
      </c>
      <c r="BH465">
        <v>8050</v>
      </c>
      <c r="BI465">
        <v>350</v>
      </c>
      <c r="BJ465">
        <v>1</v>
      </c>
      <c r="BK465">
        <v>1</v>
      </c>
      <c r="BL465">
        <v>1</v>
      </c>
      <c r="BM465">
        <v>0</v>
      </c>
      <c r="BP465">
        <v>0</v>
      </c>
      <c r="BQ465">
        <v>0</v>
      </c>
      <c r="BX465" t="str">
        <f>"13:58:06.750"</f>
        <v>13:58:06.750</v>
      </c>
      <c r="BY465" t="str">
        <f>"753429264"</f>
        <v>753429264</v>
      </c>
      <c r="CL465">
        <v>0</v>
      </c>
      <c r="CM465">
        <v>2</v>
      </c>
      <c r="CN465">
        <v>0</v>
      </c>
      <c r="CO465">
        <v>2</v>
      </c>
      <c r="CP465">
        <v>0</v>
      </c>
      <c r="CQ465">
        <v>7</v>
      </c>
      <c r="CR465" t="s">
        <v>116</v>
      </c>
      <c r="CS465">
        <v>525</v>
      </c>
      <c r="CT465">
        <v>3</v>
      </c>
      <c r="CU465" t="s">
        <v>140</v>
      </c>
      <c r="CV465" t="s">
        <v>141</v>
      </c>
      <c r="CY465">
        <v>626489</v>
      </c>
      <c r="CZ465" t="s">
        <v>119</v>
      </c>
    </row>
    <row r="466" spans="1:104" x14ac:dyDescent="0.25">
      <c r="A466" t="str">
        <f>"13:58:07.867"</f>
        <v>13:58:07.867</v>
      </c>
      <c r="B466" t="s">
        <v>108</v>
      </c>
      <c r="C466" t="str">
        <f t="shared" si="22"/>
        <v>ffdfd3c0</v>
      </c>
      <c r="D466" t="s">
        <v>109</v>
      </c>
      <c r="E466">
        <v>4</v>
      </c>
      <c r="F466">
        <v>1004</v>
      </c>
      <c r="G466" t="s">
        <v>110</v>
      </c>
      <c r="J466" t="s">
        <v>111</v>
      </c>
      <c r="K466">
        <v>0</v>
      </c>
      <c r="L466">
        <v>3</v>
      </c>
      <c r="M466">
        <v>0</v>
      </c>
      <c r="N466">
        <v>2</v>
      </c>
      <c r="O466">
        <v>1</v>
      </c>
      <c r="P466">
        <v>0</v>
      </c>
      <c r="Q466">
        <v>0</v>
      </c>
      <c r="R466" t="s">
        <v>112</v>
      </c>
      <c r="S466" t="str">
        <f>"13:58:07.711"</f>
        <v>13:58:07.711</v>
      </c>
      <c r="T466" t="str">
        <f>"13:58:06.813"</f>
        <v>13:58:06.813</v>
      </c>
      <c r="U466" t="str">
        <f t="shared" si="21"/>
        <v>ad5732</v>
      </c>
      <c r="V466">
        <v>0</v>
      </c>
      <c r="W466">
        <v>0</v>
      </c>
      <c r="X466">
        <v>1</v>
      </c>
      <c r="Z466">
        <v>0</v>
      </c>
      <c r="AA466">
        <v>9</v>
      </c>
      <c r="AB466">
        <v>3</v>
      </c>
      <c r="AC466">
        <v>0</v>
      </c>
      <c r="AD466">
        <v>10</v>
      </c>
      <c r="AE466">
        <v>0</v>
      </c>
      <c r="AF466">
        <v>3</v>
      </c>
      <c r="AG466">
        <v>2</v>
      </c>
      <c r="AH466">
        <v>0</v>
      </c>
      <c r="AI466" t="s">
        <v>1029</v>
      </c>
      <c r="AJ466">
        <v>39.231361999999997</v>
      </c>
      <c r="AK466" t="s">
        <v>1030</v>
      </c>
      <c r="AL466">
        <v>-77.382802999999996</v>
      </c>
      <c r="AM466">
        <v>100</v>
      </c>
      <c r="AN466">
        <v>7700</v>
      </c>
      <c r="AO466" t="s">
        <v>115</v>
      </c>
      <c r="AP466">
        <v>138</v>
      </c>
      <c r="AQ466">
        <v>48</v>
      </c>
      <c r="AR466">
        <v>704</v>
      </c>
      <c r="AZ466">
        <v>3614</v>
      </c>
      <c r="BA466">
        <v>1</v>
      </c>
      <c r="BB466" t="str">
        <f t="shared" si="23"/>
        <v xml:space="preserve">N959MJ  </v>
      </c>
      <c r="BC466">
        <v>1</v>
      </c>
      <c r="BE466">
        <v>0</v>
      </c>
      <c r="BF466">
        <v>0</v>
      </c>
      <c r="BG466">
        <v>0</v>
      </c>
      <c r="BH466">
        <v>8050</v>
      </c>
      <c r="BI466">
        <v>350</v>
      </c>
      <c r="BJ466">
        <v>1</v>
      </c>
      <c r="BK466">
        <v>1</v>
      </c>
      <c r="BL466">
        <v>1</v>
      </c>
      <c r="BM466">
        <v>0</v>
      </c>
      <c r="BP466">
        <v>0</v>
      </c>
      <c r="BQ466">
        <v>0</v>
      </c>
      <c r="BX466" t="str">
        <f>"13:58:07.719"</f>
        <v>13:58:07.719</v>
      </c>
      <c r="BY466" t="str">
        <f>"715701146"</f>
        <v>715701146</v>
      </c>
      <c r="CL466">
        <v>0</v>
      </c>
      <c r="CM466">
        <v>2</v>
      </c>
      <c r="CN466">
        <v>0</v>
      </c>
      <c r="CO466">
        <v>2</v>
      </c>
      <c r="CP466">
        <v>0</v>
      </c>
      <c r="CQ466">
        <v>5</v>
      </c>
      <c r="CR466" t="s">
        <v>116</v>
      </c>
      <c r="CS466">
        <v>148</v>
      </c>
      <c r="CT466">
        <v>2</v>
      </c>
      <c r="CU466" t="s">
        <v>470</v>
      </c>
      <c r="CV466" t="s">
        <v>471</v>
      </c>
      <c r="CY466">
        <v>3162557</v>
      </c>
      <c r="CZ466" t="s">
        <v>119</v>
      </c>
    </row>
    <row r="467" spans="1:104" x14ac:dyDescent="0.25">
      <c r="A467" t="str">
        <f>"13:58:08.828"</f>
        <v>13:58:08.828</v>
      </c>
      <c r="B467" t="s">
        <v>108</v>
      </c>
      <c r="C467" t="str">
        <f t="shared" si="22"/>
        <v>ffdfd3c0</v>
      </c>
      <c r="D467" t="s">
        <v>109</v>
      </c>
      <c r="E467">
        <v>4</v>
      </c>
      <c r="F467">
        <v>1004</v>
      </c>
      <c r="G467" t="s">
        <v>110</v>
      </c>
      <c r="J467" t="s">
        <v>111</v>
      </c>
      <c r="K467">
        <v>0</v>
      </c>
      <c r="L467">
        <v>3</v>
      </c>
      <c r="M467">
        <v>0</v>
      </c>
      <c r="N467">
        <v>2</v>
      </c>
      <c r="O467">
        <v>1</v>
      </c>
      <c r="P467">
        <v>0</v>
      </c>
      <c r="Q467">
        <v>0</v>
      </c>
      <c r="R467" t="s">
        <v>112</v>
      </c>
      <c r="S467" t="str">
        <f>"13:58:08.633"</f>
        <v>13:58:08.633</v>
      </c>
      <c r="T467" t="str">
        <f>"13:58:08.234"</f>
        <v>13:58:08.234</v>
      </c>
      <c r="U467" t="str">
        <f t="shared" si="21"/>
        <v>ad5732</v>
      </c>
      <c r="V467">
        <v>0</v>
      </c>
      <c r="W467">
        <v>0</v>
      </c>
      <c r="X467">
        <v>1</v>
      </c>
      <c r="Z467">
        <v>0</v>
      </c>
      <c r="AA467">
        <v>9</v>
      </c>
      <c r="AB467">
        <v>3</v>
      </c>
      <c r="AC467">
        <v>0</v>
      </c>
      <c r="AD467">
        <v>10</v>
      </c>
      <c r="AE467">
        <v>0</v>
      </c>
      <c r="AF467">
        <v>3</v>
      </c>
      <c r="AG467">
        <v>2</v>
      </c>
      <c r="AH467">
        <v>0</v>
      </c>
      <c r="AI467" t="s">
        <v>1031</v>
      </c>
      <c r="AJ467">
        <v>39.231577000000001</v>
      </c>
      <c r="AK467" t="s">
        <v>1032</v>
      </c>
      <c r="AL467">
        <v>-77.382008999999996</v>
      </c>
      <c r="AM467">
        <v>100</v>
      </c>
      <c r="AN467">
        <v>7800</v>
      </c>
      <c r="AO467" t="s">
        <v>115</v>
      </c>
      <c r="AP467">
        <v>138</v>
      </c>
      <c r="AQ467">
        <v>47</v>
      </c>
      <c r="AR467">
        <v>832</v>
      </c>
      <c r="AZ467">
        <v>3614</v>
      </c>
      <c r="BA467">
        <v>1</v>
      </c>
      <c r="BB467" t="str">
        <f t="shared" si="23"/>
        <v xml:space="preserve">N959MJ  </v>
      </c>
      <c r="BC467">
        <v>1</v>
      </c>
      <c r="BE467">
        <v>0</v>
      </c>
      <c r="BF467">
        <v>0</v>
      </c>
      <c r="BG467">
        <v>0</v>
      </c>
      <c r="BH467">
        <v>8075</v>
      </c>
      <c r="BI467">
        <v>275</v>
      </c>
      <c r="BJ467">
        <v>1</v>
      </c>
      <c r="BK467">
        <v>1</v>
      </c>
      <c r="BL467">
        <v>1</v>
      </c>
      <c r="BM467">
        <v>0</v>
      </c>
      <c r="BP467">
        <v>0</v>
      </c>
      <c r="BQ467">
        <v>0</v>
      </c>
      <c r="BX467" t="str">
        <f>"13:58:08.641"</f>
        <v>13:58:08.641</v>
      </c>
      <c r="BY467" t="str">
        <f>"639257590"</f>
        <v>639257590</v>
      </c>
      <c r="CL467">
        <v>0</v>
      </c>
      <c r="CM467">
        <v>2</v>
      </c>
      <c r="CN467">
        <v>0</v>
      </c>
      <c r="CO467">
        <v>2</v>
      </c>
      <c r="CP467">
        <v>0</v>
      </c>
      <c r="CQ467">
        <v>7</v>
      </c>
      <c r="CR467" t="s">
        <v>116</v>
      </c>
      <c r="CS467">
        <v>525</v>
      </c>
      <c r="CT467">
        <v>2</v>
      </c>
      <c r="CU467" t="s">
        <v>140</v>
      </c>
      <c r="CV467" t="s">
        <v>141</v>
      </c>
      <c r="CY467">
        <v>14269239</v>
      </c>
      <c r="CZ467" t="s">
        <v>119</v>
      </c>
    </row>
    <row r="468" spans="1:104" x14ac:dyDescent="0.25">
      <c r="A468" t="str">
        <f>"13:58:09.891"</f>
        <v>13:58:09.891</v>
      </c>
      <c r="B468" t="s">
        <v>108</v>
      </c>
      <c r="C468" t="str">
        <f t="shared" si="22"/>
        <v>ffdfd3c0</v>
      </c>
      <c r="D468" t="s">
        <v>109</v>
      </c>
      <c r="E468">
        <v>4</v>
      </c>
      <c r="F468">
        <v>1004</v>
      </c>
      <c r="G468" t="s">
        <v>110</v>
      </c>
      <c r="J468" t="s">
        <v>111</v>
      </c>
      <c r="K468">
        <v>0</v>
      </c>
      <c r="L468">
        <v>3</v>
      </c>
      <c r="M468">
        <v>0</v>
      </c>
      <c r="N468">
        <v>2</v>
      </c>
      <c r="O468">
        <v>1</v>
      </c>
      <c r="P468">
        <v>0</v>
      </c>
      <c r="Q468">
        <v>0</v>
      </c>
      <c r="R468" t="s">
        <v>112</v>
      </c>
      <c r="S468" t="str">
        <f>"13:58:09.680"</f>
        <v>13:58:09.680</v>
      </c>
      <c r="T468" t="str">
        <f>"13:58:09.180"</f>
        <v>13:58:09.180</v>
      </c>
      <c r="U468" t="str">
        <f t="shared" si="21"/>
        <v>ad5732</v>
      </c>
      <c r="V468">
        <v>0</v>
      </c>
      <c r="W468">
        <v>0</v>
      </c>
      <c r="X468">
        <v>1</v>
      </c>
      <c r="Z468">
        <v>0</v>
      </c>
      <c r="AA468">
        <v>9</v>
      </c>
      <c r="AB468">
        <v>3</v>
      </c>
      <c r="AC468">
        <v>0</v>
      </c>
      <c r="AD468">
        <v>10</v>
      </c>
      <c r="AE468">
        <v>0</v>
      </c>
      <c r="AF468">
        <v>3</v>
      </c>
      <c r="AG468">
        <v>2</v>
      </c>
      <c r="AH468">
        <v>0</v>
      </c>
      <c r="AI468" t="s">
        <v>1033</v>
      </c>
      <c r="AJ468">
        <v>39.231769999999997</v>
      </c>
      <c r="AK468" t="s">
        <v>1034</v>
      </c>
      <c r="AL468">
        <v>-77.381129000000001</v>
      </c>
      <c r="AM468">
        <v>100</v>
      </c>
      <c r="AN468">
        <v>7800</v>
      </c>
      <c r="AO468" t="s">
        <v>115</v>
      </c>
      <c r="AP468">
        <v>138</v>
      </c>
      <c r="AQ468">
        <v>46</v>
      </c>
      <c r="AR468">
        <v>896</v>
      </c>
      <c r="AZ468">
        <v>3614</v>
      </c>
      <c r="BA468">
        <v>1</v>
      </c>
      <c r="BB468" t="str">
        <f t="shared" si="23"/>
        <v xml:space="preserve">N959MJ  </v>
      </c>
      <c r="BC468">
        <v>1</v>
      </c>
      <c r="BE468">
        <v>0</v>
      </c>
      <c r="BF468">
        <v>0</v>
      </c>
      <c r="BG468">
        <v>0</v>
      </c>
      <c r="BH468">
        <v>8100</v>
      </c>
      <c r="BI468">
        <v>300</v>
      </c>
      <c r="BJ468">
        <v>1</v>
      </c>
      <c r="BK468">
        <v>1</v>
      </c>
      <c r="BL468">
        <v>1</v>
      </c>
      <c r="BM468">
        <v>0</v>
      </c>
      <c r="BP468">
        <v>0</v>
      </c>
      <c r="BQ468">
        <v>0</v>
      </c>
      <c r="BX468" t="str">
        <f>"13:58:09.688"</f>
        <v>13:58:09.688</v>
      </c>
      <c r="BY468" t="str">
        <f>"684829787"</f>
        <v>684829787</v>
      </c>
      <c r="CL468">
        <v>0</v>
      </c>
      <c r="CM468">
        <v>2</v>
      </c>
      <c r="CN468">
        <v>0</v>
      </c>
      <c r="CO468">
        <v>2</v>
      </c>
      <c r="CP468">
        <v>0</v>
      </c>
      <c r="CQ468">
        <v>4</v>
      </c>
      <c r="CR468" t="s">
        <v>116</v>
      </c>
      <c r="CS468">
        <v>372</v>
      </c>
      <c r="CT468">
        <v>2</v>
      </c>
      <c r="CU468" t="s">
        <v>877</v>
      </c>
      <c r="CV468" t="s">
        <v>878</v>
      </c>
      <c r="CY468">
        <v>8980863</v>
      </c>
      <c r="CZ468" t="s">
        <v>119</v>
      </c>
    </row>
    <row r="469" spans="1:104" x14ac:dyDescent="0.25">
      <c r="A469" t="str">
        <f>"13:58:11.000"</f>
        <v>13:58:11.000</v>
      </c>
      <c r="B469" t="s">
        <v>108</v>
      </c>
      <c r="C469" t="str">
        <f t="shared" si="22"/>
        <v>ffdfd3c0</v>
      </c>
      <c r="D469" t="s">
        <v>109</v>
      </c>
      <c r="E469">
        <v>4</v>
      </c>
      <c r="F469">
        <v>1004</v>
      </c>
      <c r="G469" t="s">
        <v>110</v>
      </c>
      <c r="J469" t="s">
        <v>111</v>
      </c>
      <c r="K469">
        <v>0</v>
      </c>
      <c r="L469">
        <v>3</v>
      </c>
      <c r="M469">
        <v>0</v>
      </c>
      <c r="N469">
        <v>2</v>
      </c>
      <c r="O469">
        <v>1</v>
      </c>
      <c r="P469">
        <v>0</v>
      </c>
      <c r="Q469">
        <v>0</v>
      </c>
      <c r="R469" t="s">
        <v>112</v>
      </c>
      <c r="S469" t="str">
        <f>"13:58:10.844"</f>
        <v>13:58:10.844</v>
      </c>
      <c r="T469" t="str">
        <f>"13:58:10.344"</f>
        <v>13:58:10.344</v>
      </c>
      <c r="U469" t="str">
        <f t="shared" si="21"/>
        <v>ad5732</v>
      </c>
      <c r="V469">
        <v>0</v>
      </c>
      <c r="W469">
        <v>0</v>
      </c>
      <c r="X469">
        <v>1</v>
      </c>
      <c r="Z469">
        <v>0</v>
      </c>
      <c r="AA469">
        <v>9</v>
      </c>
      <c r="AB469">
        <v>3</v>
      </c>
      <c r="AC469">
        <v>0</v>
      </c>
      <c r="AD469">
        <v>10</v>
      </c>
      <c r="AE469">
        <v>0</v>
      </c>
      <c r="AF469">
        <v>3</v>
      </c>
      <c r="AG469">
        <v>2</v>
      </c>
      <c r="AH469">
        <v>0</v>
      </c>
      <c r="AI469" t="s">
        <v>1035</v>
      </c>
      <c r="AJ469">
        <v>39.231985000000002</v>
      </c>
      <c r="AK469" t="s">
        <v>1036</v>
      </c>
      <c r="AL469">
        <v>-77.380184999999997</v>
      </c>
      <c r="AM469">
        <v>100</v>
      </c>
      <c r="AN469">
        <v>7800</v>
      </c>
      <c r="AO469" t="s">
        <v>115</v>
      </c>
      <c r="AP469">
        <v>139</v>
      </c>
      <c r="AQ469">
        <v>45</v>
      </c>
      <c r="AR469">
        <v>960</v>
      </c>
      <c r="AZ469">
        <v>3614</v>
      </c>
      <c r="BA469">
        <v>1</v>
      </c>
      <c r="BB469" t="str">
        <f t="shared" si="23"/>
        <v xml:space="preserve">N959MJ  </v>
      </c>
      <c r="BC469">
        <v>1</v>
      </c>
      <c r="BE469">
        <v>0</v>
      </c>
      <c r="BF469">
        <v>0</v>
      </c>
      <c r="BG469">
        <v>0</v>
      </c>
      <c r="BH469">
        <v>8100</v>
      </c>
      <c r="BI469">
        <v>300</v>
      </c>
      <c r="BJ469">
        <v>1</v>
      </c>
      <c r="BK469">
        <v>1</v>
      </c>
      <c r="BL469">
        <v>1</v>
      </c>
      <c r="BM469">
        <v>0</v>
      </c>
      <c r="BP469">
        <v>0</v>
      </c>
      <c r="BQ469">
        <v>0</v>
      </c>
      <c r="BX469" t="str">
        <f>"13:58:10.844"</f>
        <v>13:58:10.844</v>
      </c>
      <c r="BY469" t="str">
        <f>"846217377"</f>
        <v>846217377</v>
      </c>
      <c r="CL469">
        <v>0</v>
      </c>
      <c r="CM469">
        <v>2</v>
      </c>
      <c r="CN469">
        <v>0</v>
      </c>
      <c r="CO469">
        <v>2</v>
      </c>
      <c r="CP469">
        <v>0</v>
      </c>
      <c r="CQ469">
        <v>7</v>
      </c>
      <c r="CR469" t="s">
        <v>116</v>
      </c>
      <c r="CS469">
        <v>525</v>
      </c>
      <c r="CT469">
        <v>2</v>
      </c>
      <c r="CU469" t="s">
        <v>140</v>
      </c>
      <c r="CV469" t="s">
        <v>141</v>
      </c>
      <c r="CY469">
        <v>14272701</v>
      </c>
      <c r="CZ469" t="s">
        <v>119</v>
      </c>
    </row>
    <row r="470" spans="1:104" x14ac:dyDescent="0.25">
      <c r="A470" t="str">
        <f>"13:58:12.109"</f>
        <v>13:58:12.109</v>
      </c>
      <c r="B470" t="s">
        <v>108</v>
      </c>
      <c r="C470" t="str">
        <f t="shared" si="22"/>
        <v>ffdfd3c0</v>
      </c>
      <c r="D470" t="s">
        <v>109</v>
      </c>
      <c r="E470">
        <v>4</v>
      </c>
      <c r="F470">
        <v>1004</v>
      </c>
      <c r="G470" t="s">
        <v>110</v>
      </c>
      <c r="J470" t="s">
        <v>111</v>
      </c>
      <c r="K470">
        <v>0</v>
      </c>
      <c r="L470">
        <v>3</v>
      </c>
      <c r="M470">
        <v>0</v>
      </c>
      <c r="N470">
        <v>2</v>
      </c>
      <c r="O470">
        <v>1</v>
      </c>
      <c r="P470">
        <v>0</v>
      </c>
      <c r="Q470">
        <v>0</v>
      </c>
      <c r="R470" t="s">
        <v>112</v>
      </c>
      <c r="S470" t="str">
        <f>"13:58:11.945"</f>
        <v>13:58:11.945</v>
      </c>
      <c r="T470" t="str">
        <f>"13:58:11.445"</f>
        <v>13:58:11.445</v>
      </c>
      <c r="U470" t="str">
        <f t="shared" si="21"/>
        <v>ad5732</v>
      </c>
      <c r="V470">
        <v>0</v>
      </c>
      <c r="W470">
        <v>0</v>
      </c>
      <c r="X470">
        <v>1</v>
      </c>
      <c r="Z470">
        <v>0</v>
      </c>
      <c r="AA470">
        <v>9</v>
      </c>
      <c r="AB470">
        <v>3</v>
      </c>
      <c r="AC470">
        <v>0</v>
      </c>
      <c r="AD470">
        <v>10</v>
      </c>
      <c r="AE470">
        <v>0</v>
      </c>
      <c r="AF470">
        <v>3</v>
      </c>
      <c r="AG470">
        <v>2</v>
      </c>
      <c r="AH470">
        <v>0</v>
      </c>
      <c r="AI470" t="s">
        <v>1037</v>
      </c>
      <c r="AJ470">
        <v>39.232221000000003</v>
      </c>
      <c r="AK470" t="s">
        <v>1038</v>
      </c>
      <c r="AL470">
        <v>-77.379283999999998</v>
      </c>
      <c r="AM470">
        <v>100</v>
      </c>
      <c r="AN470">
        <v>7800</v>
      </c>
      <c r="AO470" t="s">
        <v>115</v>
      </c>
      <c r="AP470">
        <v>139</v>
      </c>
      <c r="AQ470">
        <v>43</v>
      </c>
      <c r="AR470">
        <v>960</v>
      </c>
      <c r="AZ470">
        <v>3614</v>
      </c>
      <c r="BA470">
        <v>1</v>
      </c>
      <c r="BB470" t="str">
        <f t="shared" si="23"/>
        <v xml:space="preserve">N959MJ  </v>
      </c>
      <c r="BC470">
        <v>1</v>
      </c>
      <c r="BE470">
        <v>0</v>
      </c>
      <c r="BF470">
        <v>0</v>
      </c>
      <c r="BG470">
        <v>0</v>
      </c>
      <c r="BH470">
        <v>8125</v>
      </c>
      <c r="BI470">
        <v>325</v>
      </c>
      <c r="BJ470">
        <v>1</v>
      </c>
      <c r="BK470">
        <v>1</v>
      </c>
      <c r="BL470">
        <v>1</v>
      </c>
      <c r="BM470">
        <v>0</v>
      </c>
      <c r="BP470">
        <v>0</v>
      </c>
      <c r="BQ470">
        <v>0</v>
      </c>
      <c r="BX470" t="str">
        <f>"13:58:11.945"</f>
        <v>13:58:11.945</v>
      </c>
      <c r="BY470" t="str">
        <f>"945601243"</f>
        <v>945601243</v>
      </c>
      <c r="CL470">
        <v>0</v>
      </c>
      <c r="CM470">
        <v>2</v>
      </c>
      <c r="CN470">
        <v>0</v>
      </c>
      <c r="CO470">
        <v>2</v>
      </c>
      <c r="CP470">
        <v>0</v>
      </c>
      <c r="CQ470">
        <v>7</v>
      </c>
      <c r="CR470" t="s">
        <v>116</v>
      </c>
      <c r="CS470">
        <v>525</v>
      </c>
      <c r="CT470">
        <v>2</v>
      </c>
      <c r="CU470" t="s">
        <v>140</v>
      </c>
      <c r="CV470" t="s">
        <v>141</v>
      </c>
      <c r="CY470">
        <v>14274274</v>
      </c>
      <c r="CZ470" t="s">
        <v>119</v>
      </c>
    </row>
    <row r="471" spans="1:104" x14ac:dyDescent="0.25">
      <c r="A471" t="str">
        <f>"13:58:13.070"</f>
        <v>13:58:13.070</v>
      </c>
      <c r="B471" t="s">
        <v>108</v>
      </c>
      <c r="C471" t="str">
        <f t="shared" si="22"/>
        <v>ffdfd3c0</v>
      </c>
      <c r="D471" t="s">
        <v>109</v>
      </c>
      <c r="E471">
        <v>4</v>
      </c>
      <c r="F471">
        <v>1004</v>
      </c>
      <c r="G471" t="s">
        <v>110</v>
      </c>
      <c r="J471" t="s">
        <v>111</v>
      </c>
      <c r="K471">
        <v>0</v>
      </c>
      <c r="L471">
        <v>3</v>
      </c>
      <c r="M471">
        <v>0</v>
      </c>
      <c r="N471">
        <v>2</v>
      </c>
      <c r="O471">
        <v>1</v>
      </c>
      <c r="P471">
        <v>0</v>
      </c>
      <c r="Q471">
        <v>0</v>
      </c>
      <c r="R471" t="s">
        <v>112</v>
      </c>
      <c r="S471" t="str">
        <f>"13:58:12.898"</f>
        <v>13:58:12.898</v>
      </c>
      <c r="T471" t="str">
        <f>"13:58:12.398"</f>
        <v>13:58:12.398</v>
      </c>
      <c r="U471" t="str">
        <f t="shared" si="21"/>
        <v>ad5732</v>
      </c>
      <c r="V471">
        <v>0</v>
      </c>
      <c r="W471">
        <v>0</v>
      </c>
      <c r="X471">
        <v>1</v>
      </c>
      <c r="Z471">
        <v>0</v>
      </c>
      <c r="AA471">
        <v>9</v>
      </c>
      <c r="AB471">
        <v>3</v>
      </c>
      <c r="AC471">
        <v>0</v>
      </c>
      <c r="AD471">
        <v>10</v>
      </c>
      <c r="AE471">
        <v>0</v>
      </c>
      <c r="AF471">
        <v>3</v>
      </c>
      <c r="AG471">
        <v>2</v>
      </c>
      <c r="AH471">
        <v>0</v>
      </c>
      <c r="AI471" t="s">
        <v>1039</v>
      </c>
      <c r="AJ471">
        <v>39.232413999999999</v>
      </c>
      <c r="AK471" t="s">
        <v>1040</v>
      </c>
      <c r="AL471">
        <v>-77.378446999999994</v>
      </c>
      <c r="AM471">
        <v>100</v>
      </c>
      <c r="AN471">
        <v>7800</v>
      </c>
      <c r="AO471" t="s">
        <v>115</v>
      </c>
      <c r="AP471">
        <v>140</v>
      </c>
      <c r="AQ471">
        <v>42</v>
      </c>
      <c r="AR471">
        <v>1024</v>
      </c>
      <c r="AZ471">
        <v>3614</v>
      </c>
      <c r="BA471">
        <v>1</v>
      </c>
      <c r="BB471" t="str">
        <f t="shared" si="23"/>
        <v xml:space="preserve">N959MJ  </v>
      </c>
      <c r="BC471">
        <v>1</v>
      </c>
      <c r="BE471">
        <v>0</v>
      </c>
      <c r="BF471">
        <v>0</v>
      </c>
      <c r="BG471">
        <v>0</v>
      </c>
      <c r="BH471">
        <v>8150</v>
      </c>
      <c r="BI471">
        <v>350</v>
      </c>
      <c r="BJ471">
        <v>1</v>
      </c>
      <c r="BK471">
        <v>1</v>
      </c>
      <c r="BL471">
        <v>1</v>
      </c>
      <c r="BM471">
        <v>0</v>
      </c>
      <c r="BP471">
        <v>0</v>
      </c>
      <c r="BQ471">
        <v>0</v>
      </c>
      <c r="BX471" t="str">
        <f>"13:58:12.906"</f>
        <v>13:58:12.906</v>
      </c>
      <c r="BY471" t="str">
        <f>"902442047"</f>
        <v>902442047</v>
      </c>
      <c r="CL471">
        <v>0</v>
      </c>
      <c r="CM471">
        <v>2</v>
      </c>
      <c r="CN471">
        <v>0</v>
      </c>
      <c r="CO471">
        <v>2</v>
      </c>
      <c r="CP471">
        <v>0</v>
      </c>
      <c r="CQ471">
        <v>7</v>
      </c>
      <c r="CR471" t="s">
        <v>116</v>
      </c>
      <c r="CS471">
        <v>525</v>
      </c>
      <c r="CT471">
        <v>2</v>
      </c>
      <c r="CU471" t="s">
        <v>140</v>
      </c>
      <c r="CV471" t="s">
        <v>141</v>
      </c>
      <c r="CY471">
        <v>14275561</v>
      </c>
      <c r="CZ471" t="s">
        <v>119</v>
      </c>
    </row>
    <row r="472" spans="1:104" x14ac:dyDescent="0.25">
      <c r="A472" t="str">
        <f>"13:58:14.180"</f>
        <v>13:58:14.180</v>
      </c>
      <c r="B472" t="s">
        <v>108</v>
      </c>
      <c r="C472" t="str">
        <f t="shared" si="22"/>
        <v>ffdfd3c0</v>
      </c>
      <c r="D472" t="s">
        <v>109</v>
      </c>
      <c r="E472">
        <v>4</v>
      </c>
      <c r="F472">
        <v>1004</v>
      </c>
      <c r="G472" t="s">
        <v>110</v>
      </c>
      <c r="J472" t="s">
        <v>111</v>
      </c>
      <c r="K472">
        <v>0</v>
      </c>
      <c r="L472">
        <v>3</v>
      </c>
      <c r="M472">
        <v>0</v>
      </c>
      <c r="N472">
        <v>2</v>
      </c>
      <c r="O472">
        <v>1</v>
      </c>
      <c r="P472">
        <v>0</v>
      </c>
      <c r="Q472">
        <v>0</v>
      </c>
      <c r="R472" t="s">
        <v>112</v>
      </c>
      <c r="S472" t="str">
        <f>"13:58:13.984"</f>
        <v>13:58:13.984</v>
      </c>
      <c r="T472" t="str">
        <f>"13:58:13.484"</f>
        <v>13:58:13.484</v>
      </c>
      <c r="U472" t="str">
        <f t="shared" si="21"/>
        <v>ad5732</v>
      </c>
      <c r="V472">
        <v>0</v>
      </c>
      <c r="W472">
        <v>0</v>
      </c>
      <c r="X472">
        <v>1</v>
      </c>
      <c r="Z472">
        <v>0</v>
      </c>
      <c r="AA472">
        <v>9</v>
      </c>
      <c r="AB472">
        <v>3</v>
      </c>
      <c r="AC472">
        <v>0</v>
      </c>
      <c r="AD472">
        <v>10</v>
      </c>
      <c r="AE472">
        <v>0</v>
      </c>
      <c r="AF472">
        <v>3</v>
      </c>
      <c r="AG472">
        <v>2</v>
      </c>
      <c r="AH472">
        <v>0</v>
      </c>
      <c r="AI472" t="s">
        <v>1041</v>
      </c>
      <c r="AJ472">
        <v>39.23265</v>
      </c>
      <c r="AK472" t="s">
        <v>1042</v>
      </c>
      <c r="AL472">
        <v>-77.377566999999999</v>
      </c>
      <c r="AM472">
        <v>100</v>
      </c>
      <c r="AN472">
        <v>7800</v>
      </c>
      <c r="AO472" t="s">
        <v>115</v>
      </c>
      <c r="AP472">
        <v>140</v>
      </c>
      <c r="AQ472">
        <v>41</v>
      </c>
      <c r="AR472">
        <v>1088</v>
      </c>
      <c r="AZ472">
        <v>3614</v>
      </c>
      <c r="BA472">
        <v>1</v>
      </c>
      <c r="BB472" t="str">
        <f t="shared" si="23"/>
        <v xml:space="preserve">N959MJ  </v>
      </c>
      <c r="BC472">
        <v>1</v>
      </c>
      <c r="BE472">
        <v>0</v>
      </c>
      <c r="BF472">
        <v>0</v>
      </c>
      <c r="BG472">
        <v>0</v>
      </c>
      <c r="BH472">
        <v>8175</v>
      </c>
      <c r="BI472">
        <v>375</v>
      </c>
      <c r="BJ472">
        <v>1</v>
      </c>
      <c r="BK472">
        <v>1</v>
      </c>
      <c r="BL472">
        <v>1</v>
      </c>
      <c r="BM472">
        <v>0</v>
      </c>
      <c r="BP472">
        <v>0</v>
      </c>
      <c r="BQ472">
        <v>0</v>
      </c>
      <c r="BX472" t="str">
        <f>"13:58:13.992"</f>
        <v>13:58:13.992</v>
      </c>
      <c r="BY472" t="str">
        <f>"988718506"</f>
        <v>988718506</v>
      </c>
      <c r="CL472">
        <v>0</v>
      </c>
      <c r="CM472">
        <v>2</v>
      </c>
      <c r="CN472">
        <v>0</v>
      </c>
      <c r="CO472">
        <v>2</v>
      </c>
      <c r="CP472">
        <v>0</v>
      </c>
      <c r="CQ472">
        <v>7</v>
      </c>
      <c r="CR472" t="s">
        <v>116</v>
      </c>
      <c r="CS472">
        <v>525</v>
      </c>
      <c r="CT472">
        <v>2</v>
      </c>
      <c r="CU472" t="s">
        <v>140</v>
      </c>
      <c r="CV472" t="s">
        <v>141</v>
      </c>
      <c r="CY472">
        <v>14277131</v>
      </c>
      <c r="CZ472" t="s">
        <v>119</v>
      </c>
    </row>
    <row r="473" spans="1:104" x14ac:dyDescent="0.25">
      <c r="A473" t="str">
        <f>"13:58:15.242"</f>
        <v>13:58:15.242</v>
      </c>
      <c r="B473" t="s">
        <v>108</v>
      </c>
      <c r="C473" t="str">
        <f t="shared" si="22"/>
        <v>ffdfd3c0</v>
      </c>
      <c r="D473" t="s">
        <v>109</v>
      </c>
      <c r="E473">
        <v>4</v>
      </c>
      <c r="F473">
        <v>1004</v>
      </c>
      <c r="G473" t="s">
        <v>110</v>
      </c>
      <c r="J473" t="s">
        <v>111</v>
      </c>
      <c r="K473">
        <v>0</v>
      </c>
      <c r="L473">
        <v>3</v>
      </c>
      <c r="M473">
        <v>0</v>
      </c>
      <c r="N473">
        <v>2</v>
      </c>
      <c r="O473">
        <v>1</v>
      </c>
      <c r="P473">
        <v>0</v>
      </c>
      <c r="Q473">
        <v>0</v>
      </c>
      <c r="R473" t="s">
        <v>112</v>
      </c>
      <c r="S473" t="str">
        <f>"13:58:15.063"</f>
        <v>13:58:15.063</v>
      </c>
      <c r="T473" t="str">
        <f>"13:58:14.563"</f>
        <v>13:58:14.563</v>
      </c>
      <c r="U473" t="str">
        <f t="shared" si="21"/>
        <v>ad5732</v>
      </c>
      <c r="V473">
        <v>0</v>
      </c>
      <c r="W473">
        <v>0</v>
      </c>
      <c r="X473">
        <v>1</v>
      </c>
      <c r="Z473">
        <v>0</v>
      </c>
      <c r="AA473">
        <v>9</v>
      </c>
      <c r="AB473">
        <v>3</v>
      </c>
      <c r="AC473">
        <v>0</v>
      </c>
      <c r="AD473">
        <v>10</v>
      </c>
      <c r="AE473">
        <v>0</v>
      </c>
      <c r="AF473">
        <v>3</v>
      </c>
      <c r="AG473">
        <v>2</v>
      </c>
      <c r="AH473">
        <v>0</v>
      </c>
      <c r="AI473" t="s">
        <v>1043</v>
      </c>
      <c r="AJ473">
        <v>39.232821000000001</v>
      </c>
      <c r="AK473" t="s">
        <v>1044</v>
      </c>
      <c r="AL473">
        <v>-77.376709000000005</v>
      </c>
      <c r="AM473">
        <v>100</v>
      </c>
      <c r="AN473">
        <v>7900</v>
      </c>
      <c r="AO473" t="s">
        <v>115</v>
      </c>
      <c r="AP473">
        <v>139</v>
      </c>
      <c r="AQ473">
        <v>41</v>
      </c>
      <c r="AR473">
        <v>1088</v>
      </c>
      <c r="AZ473">
        <v>3614</v>
      </c>
      <c r="BA473">
        <v>1</v>
      </c>
      <c r="BB473" t="str">
        <f t="shared" si="23"/>
        <v xml:space="preserve">N959MJ  </v>
      </c>
      <c r="BC473">
        <v>1</v>
      </c>
      <c r="BE473">
        <v>0</v>
      </c>
      <c r="BF473">
        <v>0</v>
      </c>
      <c r="BG473">
        <v>0</v>
      </c>
      <c r="BH473">
        <v>8175</v>
      </c>
      <c r="BI473">
        <v>275</v>
      </c>
      <c r="BJ473">
        <v>1</v>
      </c>
      <c r="BK473">
        <v>1</v>
      </c>
      <c r="BL473">
        <v>1</v>
      </c>
      <c r="BM473">
        <v>0</v>
      </c>
      <c r="BP473">
        <v>0</v>
      </c>
      <c r="BQ473">
        <v>0</v>
      </c>
      <c r="BX473" t="str">
        <f>"13:58:15.063"</f>
        <v>13:58:15.063</v>
      </c>
      <c r="BY473" t="str">
        <f>"063525998"</f>
        <v>063525998</v>
      </c>
      <c r="CL473">
        <v>0</v>
      </c>
      <c r="CM473">
        <v>2</v>
      </c>
      <c r="CN473">
        <v>0</v>
      </c>
      <c r="CO473">
        <v>2</v>
      </c>
      <c r="CP473">
        <v>0</v>
      </c>
      <c r="CQ473">
        <v>7</v>
      </c>
      <c r="CR473" t="s">
        <v>116</v>
      </c>
      <c r="CS473">
        <v>525</v>
      </c>
      <c r="CT473">
        <v>2</v>
      </c>
      <c r="CU473" t="s">
        <v>140</v>
      </c>
      <c r="CV473" t="s">
        <v>141</v>
      </c>
      <c r="CY473">
        <v>14278822</v>
      </c>
      <c r="CZ473" t="s">
        <v>119</v>
      </c>
    </row>
    <row r="474" spans="1:104" x14ac:dyDescent="0.25">
      <c r="A474" t="str">
        <f>"13:58:16.352"</f>
        <v>13:58:16.352</v>
      </c>
      <c r="B474" t="s">
        <v>108</v>
      </c>
      <c r="C474" t="str">
        <f t="shared" si="22"/>
        <v>ffdfd3c0</v>
      </c>
      <c r="D474" t="s">
        <v>109</v>
      </c>
      <c r="E474">
        <v>4</v>
      </c>
      <c r="F474">
        <v>1004</v>
      </c>
      <c r="G474" t="s">
        <v>110</v>
      </c>
      <c r="J474" t="s">
        <v>111</v>
      </c>
      <c r="K474">
        <v>0</v>
      </c>
      <c r="L474">
        <v>3</v>
      </c>
      <c r="M474">
        <v>0</v>
      </c>
      <c r="N474">
        <v>2</v>
      </c>
      <c r="O474">
        <v>1</v>
      </c>
      <c r="P474">
        <v>0</v>
      </c>
      <c r="Q474">
        <v>0</v>
      </c>
      <c r="R474" t="s">
        <v>112</v>
      </c>
      <c r="S474" t="str">
        <f>"13:58:16.188"</f>
        <v>13:58:16.188</v>
      </c>
      <c r="T474" t="str">
        <f>"13:58:15.688"</f>
        <v>13:58:15.688</v>
      </c>
      <c r="U474" t="str">
        <f t="shared" si="21"/>
        <v>ad5732</v>
      </c>
      <c r="V474">
        <v>0</v>
      </c>
      <c r="W474">
        <v>0</v>
      </c>
      <c r="X474">
        <v>1</v>
      </c>
      <c r="Z474">
        <v>0</v>
      </c>
      <c r="AA474">
        <v>9</v>
      </c>
      <c r="AB474">
        <v>3</v>
      </c>
      <c r="AC474">
        <v>0</v>
      </c>
      <c r="AD474">
        <v>10</v>
      </c>
      <c r="AE474">
        <v>0</v>
      </c>
      <c r="AF474">
        <v>3</v>
      </c>
      <c r="AG474">
        <v>2</v>
      </c>
      <c r="AH474">
        <v>0</v>
      </c>
      <c r="AI474" t="s">
        <v>1045</v>
      </c>
      <c r="AJ474">
        <v>39.233057000000002</v>
      </c>
      <c r="AK474" t="s">
        <v>1046</v>
      </c>
      <c r="AL474">
        <v>-77.375721999999996</v>
      </c>
      <c r="AM474">
        <v>100</v>
      </c>
      <c r="AN474">
        <v>7900</v>
      </c>
      <c r="AO474" t="s">
        <v>115</v>
      </c>
      <c r="AP474">
        <v>139</v>
      </c>
      <c r="AQ474">
        <v>41</v>
      </c>
      <c r="AR474">
        <v>1152</v>
      </c>
      <c r="AZ474">
        <v>3614</v>
      </c>
      <c r="BA474">
        <v>1</v>
      </c>
      <c r="BB474" t="str">
        <f t="shared" si="23"/>
        <v xml:space="preserve">N959MJ  </v>
      </c>
      <c r="BC474">
        <v>1</v>
      </c>
      <c r="BE474">
        <v>0</v>
      </c>
      <c r="BF474">
        <v>0</v>
      </c>
      <c r="BG474">
        <v>0</v>
      </c>
      <c r="BH474">
        <v>8200</v>
      </c>
      <c r="BI474">
        <v>300</v>
      </c>
      <c r="BJ474">
        <v>1</v>
      </c>
      <c r="BK474">
        <v>1</v>
      </c>
      <c r="BL474">
        <v>1</v>
      </c>
      <c r="BM474">
        <v>0</v>
      </c>
      <c r="BP474">
        <v>0</v>
      </c>
      <c r="BQ474">
        <v>0</v>
      </c>
      <c r="BX474" t="str">
        <f>"13:58:16.188"</f>
        <v>13:58:16.188</v>
      </c>
      <c r="BY474" t="str">
        <f>"189124697"</f>
        <v>189124697</v>
      </c>
      <c r="CL474">
        <v>0</v>
      </c>
      <c r="CM474">
        <v>2</v>
      </c>
      <c r="CN474">
        <v>0</v>
      </c>
      <c r="CO474">
        <v>2</v>
      </c>
      <c r="CP474">
        <v>0</v>
      </c>
      <c r="CQ474">
        <v>7</v>
      </c>
      <c r="CR474" t="s">
        <v>116</v>
      </c>
      <c r="CS474">
        <v>525</v>
      </c>
      <c r="CT474">
        <v>2</v>
      </c>
      <c r="CU474" t="s">
        <v>140</v>
      </c>
      <c r="CV474" t="s">
        <v>141</v>
      </c>
      <c r="CY474">
        <v>14280472</v>
      </c>
      <c r="CZ474" t="s">
        <v>119</v>
      </c>
    </row>
    <row r="475" spans="1:104" x14ac:dyDescent="0.25">
      <c r="A475" t="str">
        <f>"13:58:17.359"</f>
        <v>13:58:17.359</v>
      </c>
      <c r="B475" t="s">
        <v>108</v>
      </c>
      <c r="C475" t="str">
        <f t="shared" si="22"/>
        <v>ffdfd3c0</v>
      </c>
      <c r="D475" t="s">
        <v>109</v>
      </c>
      <c r="E475">
        <v>4</v>
      </c>
      <c r="F475">
        <v>1004</v>
      </c>
      <c r="G475" t="s">
        <v>110</v>
      </c>
      <c r="J475" t="s">
        <v>111</v>
      </c>
      <c r="K475">
        <v>0</v>
      </c>
      <c r="L475">
        <v>3</v>
      </c>
      <c r="M475">
        <v>0</v>
      </c>
      <c r="N475">
        <v>2</v>
      </c>
      <c r="O475">
        <v>1</v>
      </c>
      <c r="P475">
        <v>0</v>
      </c>
      <c r="Q475">
        <v>0</v>
      </c>
      <c r="R475" t="s">
        <v>112</v>
      </c>
      <c r="S475" t="str">
        <f>"13:58:17.156"</f>
        <v>13:58:17.156</v>
      </c>
      <c r="T475" t="str">
        <f>"13:58:16.758"</f>
        <v>13:58:16.758</v>
      </c>
      <c r="U475" t="str">
        <f t="shared" si="21"/>
        <v>ad5732</v>
      </c>
      <c r="V475">
        <v>0</v>
      </c>
      <c r="W475">
        <v>0</v>
      </c>
      <c r="X475">
        <v>1</v>
      </c>
      <c r="Z475">
        <v>0</v>
      </c>
      <c r="AA475">
        <v>9</v>
      </c>
      <c r="AB475">
        <v>3</v>
      </c>
      <c r="AC475">
        <v>0</v>
      </c>
      <c r="AD475">
        <v>10</v>
      </c>
      <c r="AE475">
        <v>0</v>
      </c>
      <c r="AF475">
        <v>3</v>
      </c>
      <c r="AG475">
        <v>2</v>
      </c>
      <c r="AH475">
        <v>0</v>
      </c>
      <c r="AI475" t="s">
        <v>1047</v>
      </c>
      <c r="AJ475">
        <v>39.233229000000001</v>
      </c>
      <c r="AK475" t="s">
        <v>1048</v>
      </c>
      <c r="AL475">
        <v>-77.374971000000002</v>
      </c>
      <c r="AM475">
        <v>100</v>
      </c>
      <c r="AN475">
        <v>7900</v>
      </c>
      <c r="AO475" t="s">
        <v>115</v>
      </c>
      <c r="AP475">
        <v>138</v>
      </c>
      <c r="AQ475">
        <v>41</v>
      </c>
      <c r="AR475">
        <v>1152</v>
      </c>
      <c r="AZ475">
        <v>3614</v>
      </c>
      <c r="BA475">
        <v>1</v>
      </c>
      <c r="BB475" t="str">
        <f t="shared" si="23"/>
        <v xml:space="preserve">N959MJ  </v>
      </c>
      <c r="BC475">
        <v>1</v>
      </c>
      <c r="BE475">
        <v>0</v>
      </c>
      <c r="BF475">
        <v>0</v>
      </c>
      <c r="BG475">
        <v>0</v>
      </c>
      <c r="BH475">
        <v>8225</v>
      </c>
      <c r="BI475">
        <v>325</v>
      </c>
      <c r="BJ475">
        <v>1</v>
      </c>
      <c r="BK475">
        <v>1</v>
      </c>
      <c r="BL475">
        <v>1</v>
      </c>
      <c r="BM475">
        <v>0</v>
      </c>
      <c r="BP475">
        <v>0</v>
      </c>
      <c r="BQ475">
        <v>0</v>
      </c>
      <c r="BX475" t="str">
        <f>"13:58:17.156"</f>
        <v>13:58:17.156</v>
      </c>
      <c r="BY475" t="str">
        <f>"157434499"</f>
        <v>157434499</v>
      </c>
      <c r="CL475">
        <v>0</v>
      </c>
      <c r="CM475">
        <v>2</v>
      </c>
      <c r="CN475">
        <v>0</v>
      </c>
      <c r="CO475">
        <v>2</v>
      </c>
      <c r="CP475">
        <v>0</v>
      </c>
      <c r="CQ475">
        <v>7</v>
      </c>
      <c r="CR475" t="s">
        <v>116</v>
      </c>
      <c r="CS475">
        <v>525</v>
      </c>
      <c r="CT475">
        <v>2</v>
      </c>
      <c r="CU475" t="s">
        <v>140</v>
      </c>
      <c r="CV475" t="s">
        <v>141</v>
      </c>
      <c r="CY475">
        <v>14281805</v>
      </c>
      <c r="CZ475" t="s">
        <v>119</v>
      </c>
    </row>
    <row r="476" spans="1:104" x14ac:dyDescent="0.25">
      <c r="A476" t="str">
        <f>"13:58:18.320"</f>
        <v>13:58:18.320</v>
      </c>
      <c r="B476" t="s">
        <v>108</v>
      </c>
      <c r="C476" t="str">
        <f t="shared" si="22"/>
        <v>ffdfd3c0</v>
      </c>
      <c r="D476" t="s">
        <v>109</v>
      </c>
      <c r="E476">
        <v>4</v>
      </c>
      <c r="F476">
        <v>1004</v>
      </c>
      <c r="G476" t="s">
        <v>110</v>
      </c>
      <c r="J476" t="s">
        <v>111</v>
      </c>
      <c r="K476">
        <v>0</v>
      </c>
      <c r="L476">
        <v>3</v>
      </c>
      <c r="M476">
        <v>0</v>
      </c>
      <c r="N476">
        <v>2</v>
      </c>
      <c r="O476">
        <v>1</v>
      </c>
      <c r="P476">
        <v>0</v>
      </c>
      <c r="Q476">
        <v>0</v>
      </c>
      <c r="R476" t="s">
        <v>112</v>
      </c>
      <c r="S476" t="str">
        <f>"13:58:18.141"</f>
        <v>13:58:18.141</v>
      </c>
      <c r="T476" t="str">
        <f>"13:58:17.742"</f>
        <v>13:58:17.742</v>
      </c>
      <c r="U476" t="str">
        <f t="shared" si="21"/>
        <v>ad5732</v>
      </c>
      <c r="V476">
        <v>0</v>
      </c>
      <c r="W476">
        <v>0</v>
      </c>
      <c r="X476">
        <v>1</v>
      </c>
      <c r="Z476">
        <v>0</v>
      </c>
      <c r="AA476">
        <v>9</v>
      </c>
      <c r="AB476">
        <v>3</v>
      </c>
      <c r="AC476">
        <v>0</v>
      </c>
      <c r="AD476">
        <v>10</v>
      </c>
      <c r="AE476">
        <v>0</v>
      </c>
      <c r="AF476">
        <v>3</v>
      </c>
      <c r="AG476">
        <v>2</v>
      </c>
      <c r="AH476">
        <v>0</v>
      </c>
      <c r="AI476" t="s">
        <v>1049</v>
      </c>
      <c r="AJ476">
        <v>39.233421999999997</v>
      </c>
      <c r="AK476" t="s">
        <v>1050</v>
      </c>
      <c r="AL476">
        <v>-77.374133999999998</v>
      </c>
      <c r="AM476">
        <v>100</v>
      </c>
      <c r="AN476">
        <v>7900</v>
      </c>
      <c r="AO476" t="s">
        <v>115</v>
      </c>
      <c r="AP476">
        <v>138</v>
      </c>
      <c r="AQ476">
        <v>41</v>
      </c>
      <c r="AR476">
        <v>1152</v>
      </c>
      <c r="AZ476">
        <v>3614</v>
      </c>
      <c r="BA476">
        <v>1</v>
      </c>
      <c r="BB476" t="str">
        <f t="shared" si="23"/>
        <v xml:space="preserve">N959MJ  </v>
      </c>
      <c r="BC476">
        <v>1</v>
      </c>
      <c r="BE476">
        <v>0</v>
      </c>
      <c r="BF476">
        <v>0</v>
      </c>
      <c r="BG476">
        <v>0</v>
      </c>
      <c r="BH476">
        <v>8250</v>
      </c>
      <c r="BI476">
        <v>350</v>
      </c>
      <c r="BJ476">
        <v>1</v>
      </c>
      <c r="BK476">
        <v>1</v>
      </c>
      <c r="BL476">
        <v>1</v>
      </c>
      <c r="BM476">
        <v>0</v>
      </c>
      <c r="BP476">
        <v>0</v>
      </c>
      <c r="BQ476">
        <v>0</v>
      </c>
      <c r="BX476" t="str">
        <f>"13:58:18.141"</f>
        <v>13:58:18.141</v>
      </c>
      <c r="BY476" t="str">
        <f>"142128568"</f>
        <v>142128568</v>
      </c>
      <c r="CL476">
        <v>0</v>
      </c>
      <c r="CM476">
        <v>2</v>
      </c>
      <c r="CN476">
        <v>0</v>
      </c>
      <c r="CO476">
        <v>2</v>
      </c>
      <c r="CP476">
        <v>0</v>
      </c>
      <c r="CQ476">
        <v>7</v>
      </c>
      <c r="CR476" t="s">
        <v>116</v>
      </c>
      <c r="CS476">
        <v>525</v>
      </c>
      <c r="CT476">
        <v>2</v>
      </c>
      <c r="CU476" t="s">
        <v>140</v>
      </c>
      <c r="CV476" t="s">
        <v>141</v>
      </c>
      <c r="CY476">
        <v>14283164</v>
      </c>
      <c r="CZ476" t="s">
        <v>119</v>
      </c>
    </row>
    <row r="477" spans="1:104" x14ac:dyDescent="0.25">
      <c r="A477" t="str">
        <f>"13:58:19.375"</f>
        <v>13:58:19.375</v>
      </c>
      <c r="B477" t="s">
        <v>108</v>
      </c>
      <c r="C477" t="str">
        <f t="shared" si="22"/>
        <v>ffdfd3c0</v>
      </c>
      <c r="D477" t="s">
        <v>109</v>
      </c>
      <c r="E477">
        <v>4</v>
      </c>
      <c r="F477">
        <v>1004</v>
      </c>
      <c r="G477" t="s">
        <v>110</v>
      </c>
      <c r="J477" t="s">
        <v>111</v>
      </c>
      <c r="K477">
        <v>0</v>
      </c>
      <c r="L477">
        <v>3</v>
      </c>
      <c r="M477">
        <v>0</v>
      </c>
      <c r="N477">
        <v>2</v>
      </c>
      <c r="O477">
        <v>1</v>
      </c>
      <c r="P477">
        <v>0</v>
      </c>
      <c r="Q477">
        <v>0</v>
      </c>
      <c r="R477" t="s">
        <v>112</v>
      </c>
      <c r="S477" t="str">
        <f>"13:58:19.188"</f>
        <v>13:58:19.188</v>
      </c>
      <c r="T477" t="str">
        <f>"13:58:18.688"</f>
        <v>13:58:18.688</v>
      </c>
      <c r="U477" t="str">
        <f t="shared" si="21"/>
        <v>ad5732</v>
      </c>
      <c r="V477">
        <v>0</v>
      </c>
      <c r="W477">
        <v>0</v>
      </c>
      <c r="X477">
        <v>1</v>
      </c>
      <c r="Z477">
        <v>0</v>
      </c>
      <c r="AA477">
        <v>9</v>
      </c>
      <c r="AB477">
        <v>3</v>
      </c>
      <c r="AC477">
        <v>0</v>
      </c>
      <c r="AD477">
        <v>10</v>
      </c>
      <c r="AE477">
        <v>0</v>
      </c>
      <c r="AF477">
        <v>3</v>
      </c>
      <c r="AG477">
        <v>2</v>
      </c>
      <c r="AH477">
        <v>0</v>
      </c>
      <c r="AI477" t="s">
        <v>1051</v>
      </c>
      <c r="AJ477">
        <v>39.233615</v>
      </c>
      <c r="AK477" t="s">
        <v>1052</v>
      </c>
      <c r="AL477">
        <v>-77.373296999999994</v>
      </c>
      <c r="AM477">
        <v>100</v>
      </c>
      <c r="AN477">
        <v>8000</v>
      </c>
      <c r="AO477" t="s">
        <v>115</v>
      </c>
      <c r="AP477">
        <v>138</v>
      </c>
      <c r="AQ477">
        <v>41</v>
      </c>
      <c r="AR477">
        <v>1152</v>
      </c>
      <c r="AZ477">
        <v>3614</v>
      </c>
      <c r="BA477">
        <v>1</v>
      </c>
      <c r="BB477" t="str">
        <f t="shared" si="23"/>
        <v xml:space="preserve">N959MJ  </v>
      </c>
      <c r="BC477">
        <v>1</v>
      </c>
      <c r="BE477">
        <v>0</v>
      </c>
      <c r="BF477">
        <v>0</v>
      </c>
      <c r="BG477">
        <v>0</v>
      </c>
      <c r="BH477">
        <v>8275</v>
      </c>
      <c r="BI477">
        <v>275</v>
      </c>
      <c r="BJ477">
        <v>1</v>
      </c>
      <c r="BK477">
        <v>1</v>
      </c>
      <c r="BL477">
        <v>1</v>
      </c>
      <c r="BM477">
        <v>0</v>
      </c>
      <c r="BP477">
        <v>0</v>
      </c>
      <c r="BQ477">
        <v>0</v>
      </c>
      <c r="BX477" t="str">
        <f>"13:58:19.195"</f>
        <v>13:58:19.195</v>
      </c>
      <c r="BY477" t="str">
        <f>"193998083"</f>
        <v>193998083</v>
      </c>
      <c r="CL477">
        <v>0</v>
      </c>
      <c r="CM477">
        <v>2</v>
      </c>
      <c r="CN477">
        <v>0</v>
      </c>
      <c r="CO477">
        <v>2</v>
      </c>
      <c r="CP477">
        <v>0</v>
      </c>
      <c r="CQ477">
        <v>7</v>
      </c>
      <c r="CR477" t="s">
        <v>116</v>
      </c>
      <c r="CS477">
        <v>525</v>
      </c>
      <c r="CT477">
        <v>2</v>
      </c>
      <c r="CU477" t="s">
        <v>140</v>
      </c>
      <c r="CV477" t="s">
        <v>141</v>
      </c>
      <c r="CY477">
        <v>14284841</v>
      </c>
      <c r="CZ477" t="s">
        <v>119</v>
      </c>
    </row>
    <row r="478" spans="1:104" x14ac:dyDescent="0.25">
      <c r="A478" t="str">
        <f>"13:58:20.438"</f>
        <v>13:58:20.438</v>
      </c>
      <c r="B478" t="s">
        <v>108</v>
      </c>
      <c r="C478" t="str">
        <f t="shared" si="22"/>
        <v>ffdfd3c0</v>
      </c>
      <c r="D478" t="s">
        <v>109</v>
      </c>
      <c r="E478">
        <v>4</v>
      </c>
      <c r="F478">
        <v>1004</v>
      </c>
      <c r="G478" t="s">
        <v>110</v>
      </c>
      <c r="J478" t="s">
        <v>111</v>
      </c>
      <c r="K478">
        <v>0</v>
      </c>
      <c r="L478">
        <v>3</v>
      </c>
      <c r="M478">
        <v>0</v>
      </c>
      <c r="N478">
        <v>2</v>
      </c>
      <c r="O478">
        <v>1</v>
      </c>
      <c r="P478">
        <v>0</v>
      </c>
      <c r="Q478">
        <v>0</v>
      </c>
      <c r="R478" t="s">
        <v>112</v>
      </c>
      <c r="S478" t="str">
        <f>"13:58:20.227"</f>
        <v>13:58:20.227</v>
      </c>
      <c r="T478" t="str">
        <f>"13:58:19.727"</f>
        <v>13:58:19.727</v>
      </c>
      <c r="U478" t="str">
        <f t="shared" si="21"/>
        <v>ad5732</v>
      </c>
      <c r="V478">
        <v>0</v>
      </c>
      <c r="W478">
        <v>0</v>
      </c>
      <c r="X478">
        <v>1</v>
      </c>
      <c r="Z478">
        <v>0</v>
      </c>
      <c r="AA478">
        <v>9</v>
      </c>
      <c r="AB478">
        <v>3</v>
      </c>
      <c r="AC478">
        <v>0</v>
      </c>
      <c r="AD478">
        <v>10</v>
      </c>
      <c r="AE478">
        <v>0</v>
      </c>
      <c r="AF478">
        <v>3</v>
      </c>
      <c r="AG478">
        <v>2</v>
      </c>
      <c r="AH478">
        <v>0</v>
      </c>
      <c r="AI478" t="s">
        <v>1053</v>
      </c>
      <c r="AJ478">
        <v>39.233809000000001</v>
      </c>
      <c r="AK478" t="s">
        <v>1054</v>
      </c>
      <c r="AL478">
        <v>-77.372439</v>
      </c>
      <c r="AM478">
        <v>100</v>
      </c>
      <c r="AN478">
        <v>8000</v>
      </c>
      <c r="AO478" t="s">
        <v>115</v>
      </c>
      <c r="AP478">
        <v>137</v>
      </c>
      <c r="AQ478">
        <v>42</v>
      </c>
      <c r="AR478">
        <v>1152</v>
      </c>
      <c r="AZ478">
        <v>3614</v>
      </c>
      <c r="BA478">
        <v>1</v>
      </c>
      <c r="BB478" t="str">
        <f t="shared" si="23"/>
        <v xml:space="preserve">N959MJ  </v>
      </c>
      <c r="BC478">
        <v>1</v>
      </c>
      <c r="BE478">
        <v>0</v>
      </c>
      <c r="BF478">
        <v>0</v>
      </c>
      <c r="BG478">
        <v>0</v>
      </c>
      <c r="BH478">
        <v>8275</v>
      </c>
      <c r="BI478">
        <v>275</v>
      </c>
      <c r="BJ478">
        <v>1</v>
      </c>
      <c r="BK478">
        <v>1</v>
      </c>
      <c r="BL478">
        <v>1</v>
      </c>
      <c r="BM478">
        <v>0</v>
      </c>
      <c r="BP478">
        <v>0</v>
      </c>
      <c r="BQ478">
        <v>0</v>
      </c>
      <c r="BX478" t="str">
        <f>"13:58:20.234"</f>
        <v>13:58:20.234</v>
      </c>
      <c r="BY478" t="str">
        <f>"231121818"</f>
        <v>231121818</v>
      </c>
      <c r="CL478">
        <v>0</v>
      </c>
      <c r="CM478">
        <v>2</v>
      </c>
      <c r="CN478">
        <v>0</v>
      </c>
      <c r="CO478">
        <v>2</v>
      </c>
      <c r="CP478">
        <v>0</v>
      </c>
      <c r="CQ478">
        <v>7</v>
      </c>
      <c r="CR478" t="s">
        <v>116</v>
      </c>
      <c r="CS478">
        <v>525</v>
      </c>
      <c r="CT478">
        <v>2</v>
      </c>
      <c r="CU478" t="s">
        <v>140</v>
      </c>
      <c r="CV478" t="s">
        <v>141</v>
      </c>
      <c r="CY478">
        <v>14286434</v>
      </c>
      <c r="CZ478" t="s">
        <v>119</v>
      </c>
    </row>
    <row r="479" spans="1:104" x14ac:dyDescent="0.25">
      <c r="A479" t="str">
        <f>"13:58:21.398"</f>
        <v>13:58:21.398</v>
      </c>
      <c r="B479" t="s">
        <v>108</v>
      </c>
      <c r="C479" t="str">
        <f t="shared" si="22"/>
        <v>ffdfd3c0</v>
      </c>
      <c r="D479" t="s">
        <v>109</v>
      </c>
      <c r="E479">
        <v>4</v>
      </c>
      <c r="F479">
        <v>1004</v>
      </c>
      <c r="G479" t="s">
        <v>110</v>
      </c>
      <c r="J479" t="s">
        <v>111</v>
      </c>
      <c r="K479">
        <v>0</v>
      </c>
      <c r="L479">
        <v>3</v>
      </c>
      <c r="M479">
        <v>0</v>
      </c>
      <c r="N479">
        <v>2</v>
      </c>
      <c r="O479">
        <v>1</v>
      </c>
      <c r="P479">
        <v>0</v>
      </c>
      <c r="Q479">
        <v>0</v>
      </c>
      <c r="R479" t="s">
        <v>112</v>
      </c>
      <c r="S479" t="str">
        <f>"13:58:21.219"</f>
        <v>13:58:21.219</v>
      </c>
      <c r="T479" t="str">
        <f>"13:58:20.719"</f>
        <v>13:58:20.719</v>
      </c>
      <c r="U479" t="str">
        <f t="shared" si="21"/>
        <v>ad5732</v>
      </c>
      <c r="V479">
        <v>0</v>
      </c>
      <c r="W479">
        <v>0</v>
      </c>
      <c r="X479">
        <v>1</v>
      </c>
      <c r="Z479">
        <v>0</v>
      </c>
      <c r="AA479">
        <v>9</v>
      </c>
      <c r="AB479">
        <v>3</v>
      </c>
      <c r="AC479">
        <v>0</v>
      </c>
      <c r="AD479">
        <v>10</v>
      </c>
      <c r="AE479">
        <v>0</v>
      </c>
      <c r="AF479">
        <v>3</v>
      </c>
      <c r="AG479">
        <v>2</v>
      </c>
      <c r="AH479">
        <v>0</v>
      </c>
      <c r="AI479" t="s">
        <v>1055</v>
      </c>
      <c r="AJ479">
        <v>39.234045000000002</v>
      </c>
      <c r="AK479" t="s">
        <v>1056</v>
      </c>
      <c r="AL479">
        <v>-77.371645000000001</v>
      </c>
      <c r="AM479">
        <v>100</v>
      </c>
      <c r="AN479">
        <v>8000</v>
      </c>
      <c r="AO479" t="s">
        <v>115</v>
      </c>
      <c r="AP479">
        <v>137</v>
      </c>
      <c r="AQ479">
        <v>42</v>
      </c>
      <c r="AR479">
        <v>1152</v>
      </c>
      <c r="AZ479">
        <v>3614</v>
      </c>
      <c r="BA479">
        <v>1</v>
      </c>
      <c r="BB479" t="str">
        <f t="shared" si="23"/>
        <v xml:space="preserve">N959MJ  </v>
      </c>
      <c r="BC479">
        <v>1</v>
      </c>
      <c r="BE479">
        <v>0</v>
      </c>
      <c r="BF479">
        <v>0</v>
      </c>
      <c r="BG479">
        <v>0</v>
      </c>
      <c r="BH479">
        <v>8300</v>
      </c>
      <c r="BI479">
        <v>300</v>
      </c>
      <c r="BJ479">
        <v>1</v>
      </c>
      <c r="BK479">
        <v>1</v>
      </c>
      <c r="BL479">
        <v>1</v>
      </c>
      <c r="BM479">
        <v>0</v>
      </c>
      <c r="BP479">
        <v>0</v>
      </c>
      <c r="BQ479">
        <v>0</v>
      </c>
      <c r="BX479" t="str">
        <f>"13:58:21.227"</f>
        <v>13:58:21.227</v>
      </c>
      <c r="BY479" t="str">
        <f>"224007973"</f>
        <v>224007973</v>
      </c>
      <c r="CL479">
        <v>0</v>
      </c>
      <c r="CM479">
        <v>2</v>
      </c>
      <c r="CN479">
        <v>0</v>
      </c>
      <c r="CO479">
        <v>2</v>
      </c>
      <c r="CP479">
        <v>0</v>
      </c>
      <c r="CQ479">
        <v>7</v>
      </c>
      <c r="CR479" t="s">
        <v>116</v>
      </c>
      <c r="CS479">
        <v>525</v>
      </c>
      <c r="CT479">
        <v>2</v>
      </c>
      <c r="CU479" t="s">
        <v>140</v>
      </c>
      <c r="CV479" t="s">
        <v>141</v>
      </c>
      <c r="CY479">
        <v>14287920</v>
      </c>
      <c r="CZ479" t="s">
        <v>119</v>
      </c>
    </row>
    <row r="480" spans="1:104" x14ac:dyDescent="0.25">
      <c r="A480" t="str">
        <f>"13:58:22.359"</f>
        <v>13:58:22.359</v>
      </c>
      <c r="B480" t="s">
        <v>108</v>
      </c>
      <c r="C480" t="str">
        <f t="shared" si="22"/>
        <v>ffdfd3c0</v>
      </c>
      <c r="D480" t="s">
        <v>109</v>
      </c>
      <c r="E480">
        <v>4</v>
      </c>
      <c r="F480">
        <v>1004</v>
      </c>
      <c r="G480" t="s">
        <v>110</v>
      </c>
      <c r="J480" t="s">
        <v>111</v>
      </c>
      <c r="K480">
        <v>0</v>
      </c>
      <c r="L480">
        <v>3</v>
      </c>
      <c r="M480">
        <v>0</v>
      </c>
      <c r="N480">
        <v>2</v>
      </c>
      <c r="O480">
        <v>1</v>
      </c>
      <c r="P480">
        <v>0</v>
      </c>
      <c r="Q480">
        <v>0</v>
      </c>
      <c r="R480" t="s">
        <v>112</v>
      </c>
      <c r="S480" t="str">
        <f>"13:58:22.172"</f>
        <v>13:58:22.172</v>
      </c>
      <c r="T480" t="str">
        <f>"13:58:21.773"</f>
        <v>13:58:21.773</v>
      </c>
      <c r="U480" t="str">
        <f t="shared" si="21"/>
        <v>ad5732</v>
      </c>
      <c r="V480">
        <v>0</v>
      </c>
      <c r="W480">
        <v>0</v>
      </c>
      <c r="X480">
        <v>1</v>
      </c>
      <c r="Z480">
        <v>0</v>
      </c>
      <c r="AA480">
        <v>9</v>
      </c>
      <c r="AB480">
        <v>3</v>
      </c>
      <c r="AC480">
        <v>0</v>
      </c>
      <c r="AD480">
        <v>10</v>
      </c>
      <c r="AE480">
        <v>0</v>
      </c>
      <c r="AF480">
        <v>3</v>
      </c>
      <c r="AG480">
        <v>2</v>
      </c>
      <c r="AH480">
        <v>0</v>
      </c>
      <c r="AI480" t="s">
        <v>1057</v>
      </c>
      <c r="AJ480">
        <v>39.234216000000004</v>
      </c>
      <c r="AK480" t="s">
        <v>1058</v>
      </c>
      <c r="AL480">
        <v>-77.370851000000002</v>
      </c>
      <c r="AM480">
        <v>100</v>
      </c>
      <c r="AN480">
        <v>8000</v>
      </c>
      <c r="AO480" t="s">
        <v>115</v>
      </c>
      <c r="AP480">
        <v>136</v>
      </c>
      <c r="AQ480">
        <v>43</v>
      </c>
      <c r="AR480">
        <v>1152</v>
      </c>
      <c r="AZ480">
        <v>3614</v>
      </c>
      <c r="BA480">
        <v>1</v>
      </c>
      <c r="BB480" t="str">
        <f t="shared" si="23"/>
        <v xml:space="preserve">N959MJ  </v>
      </c>
      <c r="BC480">
        <v>1</v>
      </c>
      <c r="BE480">
        <v>0</v>
      </c>
      <c r="BF480">
        <v>0</v>
      </c>
      <c r="BG480">
        <v>0</v>
      </c>
      <c r="BH480">
        <v>8325</v>
      </c>
      <c r="BI480">
        <v>325</v>
      </c>
      <c r="BJ480">
        <v>1</v>
      </c>
      <c r="BK480">
        <v>1</v>
      </c>
      <c r="BL480">
        <v>1</v>
      </c>
      <c r="BM480">
        <v>0</v>
      </c>
      <c r="BP480">
        <v>0</v>
      </c>
      <c r="BQ480">
        <v>0</v>
      </c>
      <c r="BX480" t="str">
        <f>"13:58:22.180"</f>
        <v>13:58:22.180</v>
      </c>
      <c r="BY480" t="str">
        <f>"179210365"</f>
        <v>179210365</v>
      </c>
      <c r="CL480">
        <v>0</v>
      </c>
      <c r="CM480">
        <v>2</v>
      </c>
      <c r="CN480">
        <v>0</v>
      </c>
      <c r="CO480">
        <v>2</v>
      </c>
      <c r="CP480">
        <v>0</v>
      </c>
      <c r="CQ480">
        <v>7</v>
      </c>
      <c r="CR480" t="s">
        <v>116</v>
      </c>
      <c r="CS480">
        <v>525</v>
      </c>
      <c r="CT480">
        <v>2</v>
      </c>
      <c r="CU480" t="s">
        <v>140</v>
      </c>
      <c r="CV480" t="s">
        <v>141</v>
      </c>
      <c r="CY480">
        <v>14289192</v>
      </c>
      <c r="CZ480" t="s">
        <v>119</v>
      </c>
    </row>
    <row r="481" spans="1:104" x14ac:dyDescent="0.25">
      <c r="A481" t="str">
        <f>"13:58:23.469"</f>
        <v>13:58:23.469</v>
      </c>
      <c r="B481" t="s">
        <v>108</v>
      </c>
      <c r="C481" t="str">
        <f t="shared" si="22"/>
        <v>ffdfd3c0</v>
      </c>
      <c r="D481" t="s">
        <v>109</v>
      </c>
      <c r="E481">
        <v>4</v>
      </c>
      <c r="F481">
        <v>1004</v>
      </c>
      <c r="G481" t="s">
        <v>110</v>
      </c>
      <c r="J481" t="s">
        <v>111</v>
      </c>
      <c r="K481">
        <v>0</v>
      </c>
      <c r="L481">
        <v>3</v>
      </c>
      <c r="M481">
        <v>0</v>
      </c>
      <c r="N481">
        <v>2</v>
      </c>
      <c r="O481">
        <v>1</v>
      </c>
      <c r="P481">
        <v>0</v>
      </c>
      <c r="Q481">
        <v>0</v>
      </c>
      <c r="R481" t="s">
        <v>112</v>
      </c>
      <c r="S481" t="str">
        <f>"13:58:23.297"</f>
        <v>13:58:23.297</v>
      </c>
      <c r="T481" t="str">
        <f>"13:58:22.797"</f>
        <v>13:58:22.797</v>
      </c>
      <c r="U481" t="str">
        <f t="shared" si="21"/>
        <v>ad5732</v>
      </c>
      <c r="V481">
        <v>0</v>
      </c>
      <c r="W481">
        <v>0</v>
      </c>
      <c r="X481">
        <v>1</v>
      </c>
      <c r="Z481">
        <v>0</v>
      </c>
      <c r="AA481">
        <v>9</v>
      </c>
      <c r="AB481">
        <v>3</v>
      </c>
      <c r="AC481">
        <v>0</v>
      </c>
      <c r="AD481">
        <v>10</v>
      </c>
      <c r="AE481">
        <v>0</v>
      </c>
      <c r="AF481">
        <v>3</v>
      </c>
      <c r="AG481">
        <v>2</v>
      </c>
      <c r="AH481">
        <v>0</v>
      </c>
      <c r="AI481" t="s">
        <v>1059</v>
      </c>
      <c r="AJ481">
        <v>39.234431000000001</v>
      </c>
      <c r="AK481" t="s">
        <v>1060</v>
      </c>
      <c r="AL481">
        <v>-77.369971000000007</v>
      </c>
      <c r="AM481">
        <v>100</v>
      </c>
      <c r="AN481">
        <v>8000</v>
      </c>
      <c r="AO481" t="s">
        <v>115</v>
      </c>
      <c r="AP481">
        <v>136</v>
      </c>
      <c r="AQ481">
        <v>43</v>
      </c>
      <c r="AR481">
        <v>1152</v>
      </c>
      <c r="AZ481">
        <v>3614</v>
      </c>
      <c r="BA481">
        <v>1</v>
      </c>
      <c r="BB481" t="str">
        <f t="shared" si="23"/>
        <v xml:space="preserve">N959MJ  </v>
      </c>
      <c r="BC481">
        <v>1</v>
      </c>
      <c r="BE481">
        <v>0</v>
      </c>
      <c r="BF481">
        <v>0</v>
      </c>
      <c r="BG481">
        <v>0</v>
      </c>
      <c r="BH481">
        <v>8350</v>
      </c>
      <c r="BI481">
        <v>350</v>
      </c>
      <c r="BJ481">
        <v>1</v>
      </c>
      <c r="BK481">
        <v>1</v>
      </c>
      <c r="BL481">
        <v>1</v>
      </c>
      <c r="BM481">
        <v>0</v>
      </c>
      <c r="BP481">
        <v>0</v>
      </c>
      <c r="BQ481">
        <v>0</v>
      </c>
      <c r="BX481" t="str">
        <f>"13:58:23.305"</f>
        <v>13:58:23.305</v>
      </c>
      <c r="BY481" t="str">
        <f>"301532222"</f>
        <v>301532222</v>
      </c>
      <c r="CL481">
        <v>0</v>
      </c>
      <c r="CM481">
        <v>2</v>
      </c>
      <c r="CN481">
        <v>0</v>
      </c>
      <c r="CO481">
        <v>2</v>
      </c>
      <c r="CP481">
        <v>0</v>
      </c>
      <c r="CQ481">
        <v>7</v>
      </c>
      <c r="CR481" t="s">
        <v>116</v>
      </c>
      <c r="CS481">
        <v>525</v>
      </c>
      <c r="CT481">
        <v>2</v>
      </c>
      <c r="CU481" t="s">
        <v>140</v>
      </c>
      <c r="CV481" t="s">
        <v>141</v>
      </c>
      <c r="CY481">
        <v>14290872</v>
      </c>
      <c r="CZ481" t="s">
        <v>119</v>
      </c>
    </row>
    <row r="482" spans="1:104" x14ac:dyDescent="0.25">
      <c r="A482" t="str">
        <f>"13:58:24.422"</f>
        <v>13:58:24.422</v>
      </c>
      <c r="B482" t="s">
        <v>108</v>
      </c>
      <c r="C482" t="str">
        <f t="shared" si="22"/>
        <v>ffdfd3c0</v>
      </c>
      <c r="D482" t="s">
        <v>109</v>
      </c>
      <c r="E482">
        <v>4</v>
      </c>
      <c r="F482">
        <v>1004</v>
      </c>
      <c r="G482" t="s">
        <v>110</v>
      </c>
      <c r="J482" t="s">
        <v>111</v>
      </c>
      <c r="K482">
        <v>0</v>
      </c>
      <c r="L482">
        <v>3</v>
      </c>
      <c r="M482">
        <v>0</v>
      </c>
      <c r="N482">
        <v>2</v>
      </c>
      <c r="O482">
        <v>1</v>
      </c>
      <c r="P482">
        <v>0</v>
      </c>
      <c r="Q482">
        <v>0</v>
      </c>
      <c r="R482" t="s">
        <v>112</v>
      </c>
      <c r="S482" t="str">
        <f>"13:58:24.266"</f>
        <v>13:58:24.266</v>
      </c>
      <c r="T482" t="str">
        <f>"13:58:23.766"</f>
        <v>13:58:23.766</v>
      </c>
      <c r="U482" t="str">
        <f t="shared" si="21"/>
        <v>ad5732</v>
      </c>
      <c r="V482">
        <v>0</v>
      </c>
      <c r="W482">
        <v>0</v>
      </c>
      <c r="X482">
        <v>1</v>
      </c>
      <c r="Z482">
        <v>0</v>
      </c>
      <c r="AA482">
        <v>9</v>
      </c>
      <c r="AB482">
        <v>3</v>
      </c>
      <c r="AC482">
        <v>0</v>
      </c>
      <c r="AD482">
        <v>10</v>
      </c>
      <c r="AE482">
        <v>0</v>
      </c>
      <c r="AF482">
        <v>3</v>
      </c>
      <c r="AG482">
        <v>2</v>
      </c>
      <c r="AH482">
        <v>0</v>
      </c>
      <c r="AI482" t="s">
        <v>1061</v>
      </c>
      <c r="AJ482">
        <v>39.234645</v>
      </c>
      <c r="AK482" t="s">
        <v>1062</v>
      </c>
      <c r="AL482">
        <v>-77.369198999999995</v>
      </c>
      <c r="AM482">
        <v>100</v>
      </c>
      <c r="AN482">
        <v>8000</v>
      </c>
      <c r="AO482" t="s">
        <v>115</v>
      </c>
      <c r="AP482">
        <v>135</v>
      </c>
      <c r="AQ482">
        <v>44</v>
      </c>
      <c r="AR482">
        <v>1088</v>
      </c>
      <c r="AZ482">
        <v>3614</v>
      </c>
      <c r="BA482">
        <v>1</v>
      </c>
      <c r="BB482" t="str">
        <f t="shared" si="23"/>
        <v xml:space="preserve">N959MJ  </v>
      </c>
      <c r="BC482">
        <v>1</v>
      </c>
      <c r="BE482">
        <v>0</v>
      </c>
      <c r="BF482">
        <v>0</v>
      </c>
      <c r="BG482">
        <v>0</v>
      </c>
      <c r="BH482">
        <v>8350</v>
      </c>
      <c r="BI482">
        <v>350</v>
      </c>
      <c r="BJ482">
        <v>1</v>
      </c>
      <c r="BK482">
        <v>1</v>
      </c>
      <c r="BL482">
        <v>1</v>
      </c>
      <c r="BM482">
        <v>0</v>
      </c>
      <c r="BP482">
        <v>0</v>
      </c>
      <c r="BQ482">
        <v>0</v>
      </c>
      <c r="BX482" t="str">
        <f>"13:58:24.266"</f>
        <v>13:58:24.266</v>
      </c>
      <c r="BY482" t="str">
        <f>"268458015"</f>
        <v>268458015</v>
      </c>
      <c r="CL482">
        <v>0</v>
      </c>
      <c r="CM482">
        <v>2</v>
      </c>
      <c r="CN482">
        <v>0</v>
      </c>
      <c r="CO482">
        <v>2</v>
      </c>
      <c r="CP482">
        <v>0</v>
      </c>
      <c r="CQ482">
        <v>5</v>
      </c>
      <c r="CR482" t="s">
        <v>116</v>
      </c>
      <c r="CS482">
        <v>372</v>
      </c>
      <c r="CT482">
        <v>2</v>
      </c>
      <c r="CU482" t="s">
        <v>877</v>
      </c>
      <c r="CV482" t="s">
        <v>878</v>
      </c>
      <c r="CY482">
        <v>9005317</v>
      </c>
      <c r="CZ482" t="s">
        <v>119</v>
      </c>
    </row>
    <row r="483" spans="1:104" x14ac:dyDescent="0.25">
      <c r="A483" t="str">
        <f>"13:58:25.484"</f>
        <v>13:58:25.484</v>
      </c>
      <c r="B483" t="s">
        <v>108</v>
      </c>
      <c r="C483" t="str">
        <f t="shared" si="22"/>
        <v>ffdfd3c0</v>
      </c>
      <c r="D483" t="s">
        <v>109</v>
      </c>
      <c r="E483">
        <v>4</v>
      </c>
      <c r="F483">
        <v>1004</v>
      </c>
      <c r="G483" t="s">
        <v>110</v>
      </c>
      <c r="J483" t="s">
        <v>111</v>
      </c>
      <c r="K483">
        <v>0</v>
      </c>
      <c r="L483">
        <v>3</v>
      </c>
      <c r="M483">
        <v>0</v>
      </c>
      <c r="N483">
        <v>2</v>
      </c>
      <c r="O483">
        <v>1</v>
      </c>
      <c r="P483">
        <v>0</v>
      </c>
      <c r="Q483">
        <v>0</v>
      </c>
      <c r="R483" t="s">
        <v>112</v>
      </c>
      <c r="S483" t="str">
        <f>"13:58:25.305"</f>
        <v>13:58:25.305</v>
      </c>
      <c r="T483" t="str">
        <f>"13:58:24.805"</f>
        <v>13:58:24.805</v>
      </c>
      <c r="U483" t="str">
        <f t="shared" si="21"/>
        <v>ad5732</v>
      </c>
      <c r="V483">
        <v>0</v>
      </c>
      <c r="W483">
        <v>0</v>
      </c>
      <c r="X483">
        <v>1</v>
      </c>
      <c r="Z483">
        <v>0</v>
      </c>
      <c r="AA483">
        <v>9</v>
      </c>
      <c r="AB483">
        <v>3</v>
      </c>
      <c r="AC483">
        <v>0</v>
      </c>
      <c r="AD483">
        <v>10</v>
      </c>
      <c r="AE483">
        <v>0</v>
      </c>
      <c r="AF483">
        <v>3</v>
      </c>
      <c r="AG483">
        <v>2</v>
      </c>
      <c r="AH483">
        <v>0</v>
      </c>
      <c r="AI483" t="s">
        <v>1063</v>
      </c>
      <c r="AJ483">
        <v>39.234881000000001</v>
      </c>
      <c r="AK483" t="s">
        <v>1064</v>
      </c>
      <c r="AL483">
        <v>-77.368340000000003</v>
      </c>
      <c r="AM483">
        <v>100</v>
      </c>
      <c r="AN483">
        <v>8000</v>
      </c>
      <c r="AO483" t="s">
        <v>115</v>
      </c>
      <c r="AP483">
        <v>135</v>
      </c>
      <c r="AQ483">
        <v>45</v>
      </c>
      <c r="AR483">
        <v>1088</v>
      </c>
      <c r="AZ483">
        <v>3614</v>
      </c>
      <c r="BA483">
        <v>1</v>
      </c>
      <c r="BB483" t="str">
        <f t="shared" si="23"/>
        <v xml:space="preserve">N959MJ  </v>
      </c>
      <c r="BC483">
        <v>1</v>
      </c>
      <c r="BE483">
        <v>0</v>
      </c>
      <c r="BF483">
        <v>0</v>
      </c>
      <c r="BG483">
        <v>0</v>
      </c>
      <c r="BH483">
        <v>8375</v>
      </c>
      <c r="BI483">
        <v>375</v>
      </c>
      <c r="BJ483">
        <v>1</v>
      </c>
      <c r="BK483">
        <v>1</v>
      </c>
      <c r="BL483">
        <v>1</v>
      </c>
      <c r="BM483">
        <v>0</v>
      </c>
      <c r="BP483">
        <v>0</v>
      </c>
      <c r="BQ483">
        <v>0</v>
      </c>
      <c r="BX483" t="str">
        <f>"13:58:25.305"</f>
        <v>13:58:25.305</v>
      </c>
      <c r="BY483" t="str">
        <f>"305327298"</f>
        <v>305327298</v>
      </c>
      <c r="CL483">
        <v>0</v>
      </c>
      <c r="CM483">
        <v>2</v>
      </c>
      <c r="CN483">
        <v>0</v>
      </c>
      <c r="CO483">
        <v>2</v>
      </c>
      <c r="CP483">
        <v>0</v>
      </c>
      <c r="CQ483">
        <v>7</v>
      </c>
      <c r="CR483" t="s">
        <v>116</v>
      </c>
      <c r="CS483">
        <v>525</v>
      </c>
      <c r="CT483">
        <v>2</v>
      </c>
      <c r="CU483" t="s">
        <v>140</v>
      </c>
      <c r="CV483" t="s">
        <v>141</v>
      </c>
      <c r="CY483">
        <v>14293903</v>
      </c>
      <c r="CZ483" t="s">
        <v>119</v>
      </c>
    </row>
    <row r="484" spans="1:104" x14ac:dyDescent="0.25">
      <c r="A484" t="str">
        <f>"13:58:26.500"</f>
        <v>13:58:26.500</v>
      </c>
      <c r="B484" t="s">
        <v>108</v>
      </c>
      <c r="C484" t="str">
        <f t="shared" si="22"/>
        <v>ffdfd3c0</v>
      </c>
      <c r="D484" t="s">
        <v>109</v>
      </c>
      <c r="E484">
        <v>4</v>
      </c>
      <c r="F484">
        <v>1004</v>
      </c>
      <c r="G484" t="s">
        <v>110</v>
      </c>
      <c r="J484" t="s">
        <v>111</v>
      </c>
      <c r="K484">
        <v>0</v>
      </c>
      <c r="L484">
        <v>3</v>
      </c>
      <c r="M484">
        <v>0</v>
      </c>
      <c r="N484">
        <v>2</v>
      </c>
      <c r="O484">
        <v>1</v>
      </c>
      <c r="P484">
        <v>0</v>
      </c>
      <c r="Q484">
        <v>0</v>
      </c>
      <c r="R484" t="s">
        <v>112</v>
      </c>
      <c r="S484" t="str">
        <f>"13:58:26.336"</f>
        <v>13:58:26.336</v>
      </c>
      <c r="T484" t="str">
        <f>"13:58:25.938"</f>
        <v>13:58:25.938</v>
      </c>
      <c r="U484" t="str">
        <f t="shared" si="21"/>
        <v>ad5732</v>
      </c>
      <c r="V484">
        <v>0</v>
      </c>
      <c r="W484">
        <v>0</v>
      </c>
      <c r="X484">
        <v>1</v>
      </c>
      <c r="Z484">
        <v>0</v>
      </c>
      <c r="AA484">
        <v>9</v>
      </c>
      <c r="AB484">
        <v>3</v>
      </c>
      <c r="AC484">
        <v>0</v>
      </c>
      <c r="AD484">
        <v>10</v>
      </c>
      <c r="AE484">
        <v>0</v>
      </c>
      <c r="AF484">
        <v>3</v>
      </c>
      <c r="AG484">
        <v>2</v>
      </c>
      <c r="AH484">
        <v>0</v>
      </c>
      <c r="AI484" t="s">
        <v>1065</v>
      </c>
      <c r="AJ484">
        <v>39.235053000000001</v>
      </c>
      <c r="AK484" t="s">
        <v>1066</v>
      </c>
      <c r="AL484">
        <v>-77.367503999999997</v>
      </c>
      <c r="AM484">
        <v>100</v>
      </c>
      <c r="AN484">
        <v>8100</v>
      </c>
      <c r="AO484" t="s">
        <v>115</v>
      </c>
      <c r="AP484">
        <v>134</v>
      </c>
      <c r="AQ484">
        <v>45</v>
      </c>
      <c r="AR484">
        <v>1024</v>
      </c>
      <c r="AZ484">
        <v>3614</v>
      </c>
      <c r="BA484">
        <v>1</v>
      </c>
      <c r="BB484" t="str">
        <f t="shared" si="23"/>
        <v xml:space="preserve">N959MJ  </v>
      </c>
      <c r="BC484">
        <v>1</v>
      </c>
      <c r="BE484">
        <v>0</v>
      </c>
      <c r="BF484">
        <v>0</v>
      </c>
      <c r="BG484">
        <v>0</v>
      </c>
      <c r="BH484">
        <v>8400</v>
      </c>
      <c r="BI484">
        <v>300</v>
      </c>
      <c r="BJ484">
        <v>1</v>
      </c>
      <c r="BK484">
        <v>1</v>
      </c>
      <c r="BL484">
        <v>1</v>
      </c>
      <c r="BM484">
        <v>0</v>
      </c>
      <c r="BP484">
        <v>0</v>
      </c>
      <c r="BQ484">
        <v>0</v>
      </c>
      <c r="BX484" t="str">
        <f>"13:58:26.336"</f>
        <v>13:58:26.336</v>
      </c>
      <c r="BY484" t="str">
        <f>"337535720"</f>
        <v>337535720</v>
      </c>
      <c r="CL484">
        <v>0</v>
      </c>
      <c r="CM484">
        <v>2</v>
      </c>
      <c r="CN484">
        <v>0</v>
      </c>
      <c r="CO484">
        <v>2</v>
      </c>
      <c r="CP484">
        <v>0</v>
      </c>
      <c r="CQ484">
        <v>7</v>
      </c>
      <c r="CR484" t="s">
        <v>116</v>
      </c>
      <c r="CS484">
        <v>525</v>
      </c>
      <c r="CT484">
        <v>2</v>
      </c>
      <c r="CU484" t="s">
        <v>140</v>
      </c>
      <c r="CV484" t="s">
        <v>141</v>
      </c>
      <c r="CY484">
        <v>14295409</v>
      </c>
      <c r="CZ484" t="s">
        <v>119</v>
      </c>
    </row>
    <row r="485" spans="1:104" x14ac:dyDescent="0.25">
      <c r="A485" t="str">
        <f>"13:58:27.555"</f>
        <v>13:58:27.555</v>
      </c>
      <c r="B485" t="s">
        <v>108</v>
      </c>
      <c r="C485" t="str">
        <f t="shared" si="22"/>
        <v>ffdfd3c0</v>
      </c>
      <c r="D485" t="s">
        <v>109</v>
      </c>
      <c r="E485">
        <v>4</v>
      </c>
      <c r="F485">
        <v>1004</v>
      </c>
      <c r="G485" t="s">
        <v>110</v>
      </c>
      <c r="J485" t="s">
        <v>111</v>
      </c>
      <c r="K485">
        <v>0</v>
      </c>
      <c r="L485">
        <v>3</v>
      </c>
      <c r="M485">
        <v>0</v>
      </c>
      <c r="N485">
        <v>2</v>
      </c>
      <c r="O485">
        <v>1</v>
      </c>
      <c r="P485">
        <v>0</v>
      </c>
      <c r="Q485">
        <v>0</v>
      </c>
      <c r="R485" t="s">
        <v>112</v>
      </c>
      <c r="S485" t="str">
        <f>"13:58:27.344"</f>
        <v>13:58:27.344</v>
      </c>
      <c r="T485" t="str">
        <f>"13:58:26.945"</f>
        <v>13:58:26.945</v>
      </c>
      <c r="U485" t="str">
        <f t="shared" si="21"/>
        <v>ad5732</v>
      </c>
      <c r="V485">
        <v>0</v>
      </c>
      <c r="W485">
        <v>0</v>
      </c>
      <c r="X485">
        <v>1</v>
      </c>
      <c r="Z485">
        <v>0</v>
      </c>
      <c r="AA485">
        <v>9</v>
      </c>
      <c r="AB485">
        <v>3</v>
      </c>
      <c r="AC485">
        <v>0</v>
      </c>
      <c r="AD485">
        <v>10</v>
      </c>
      <c r="AE485">
        <v>0</v>
      </c>
      <c r="AF485">
        <v>3</v>
      </c>
      <c r="AG485">
        <v>2</v>
      </c>
      <c r="AH485">
        <v>0</v>
      </c>
      <c r="AI485" t="s">
        <v>1067</v>
      </c>
      <c r="AJ485">
        <v>39.235289000000002</v>
      </c>
      <c r="AK485" t="s">
        <v>1068</v>
      </c>
      <c r="AL485">
        <v>-77.366731000000001</v>
      </c>
      <c r="AM485">
        <v>100</v>
      </c>
      <c r="AN485">
        <v>8100</v>
      </c>
      <c r="AO485" t="s">
        <v>115</v>
      </c>
      <c r="AP485">
        <v>134</v>
      </c>
      <c r="AQ485">
        <v>46</v>
      </c>
      <c r="AR485">
        <v>960</v>
      </c>
      <c r="AZ485">
        <v>3614</v>
      </c>
      <c r="BA485">
        <v>1</v>
      </c>
      <c r="BB485" t="str">
        <f t="shared" si="23"/>
        <v xml:space="preserve">N959MJ  </v>
      </c>
      <c r="BC485">
        <v>1</v>
      </c>
      <c r="BE485">
        <v>0</v>
      </c>
      <c r="BF485">
        <v>0</v>
      </c>
      <c r="BG485">
        <v>0</v>
      </c>
      <c r="BH485">
        <v>8425</v>
      </c>
      <c r="BI485">
        <v>325</v>
      </c>
      <c r="BJ485">
        <v>1</v>
      </c>
      <c r="BK485">
        <v>1</v>
      </c>
      <c r="BL485">
        <v>1</v>
      </c>
      <c r="BM485">
        <v>0</v>
      </c>
      <c r="BP485">
        <v>0</v>
      </c>
      <c r="BQ485">
        <v>0</v>
      </c>
      <c r="BX485" t="str">
        <f>"13:58:27.352"</f>
        <v>13:58:27.352</v>
      </c>
      <c r="BY485" t="str">
        <f>"348444672"</f>
        <v>348444672</v>
      </c>
      <c r="CL485">
        <v>0</v>
      </c>
      <c r="CM485">
        <v>2</v>
      </c>
      <c r="CN485">
        <v>0</v>
      </c>
      <c r="CO485">
        <v>2</v>
      </c>
      <c r="CP485">
        <v>0</v>
      </c>
      <c r="CQ485">
        <v>5</v>
      </c>
      <c r="CR485" t="s">
        <v>116</v>
      </c>
      <c r="CS485">
        <v>525</v>
      </c>
      <c r="CT485">
        <v>3</v>
      </c>
      <c r="CU485" t="s">
        <v>140</v>
      </c>
      <c r="CV485" t="s">
        <v>141</v>
      </c>
      <c r="CY485">
        <v>654581</v>
      </c>
      <c r="CZ485" t="s">
        <v>119</v>
      </c>
    </row>
    <row r="486" spans="1:104" x14ac:dyDescent="0.25">
      <c r="A486" t="str">
        <f>"13:58:28.516"</f>
        <v>13:58:28.516</v>
      </c>
      <c r="B486" t="s">
        <v>108</v>
      </c>
      <c r="C486" t="str">
        <f t="shared" si="22"/>
        <v>ffdfd3c0</v>
      </c>
      <c r="D486" t="s">
        <v>109</v>
      </c>
      <c r="E486">
        <v>4</v>
      </c>
      <c r="F486">
        <v>1004</v>
      </c>
      <c r="G486" t="s">
        <v>110</v>
      </c>
      <c r="J486" t="s">
        <v>111</v>
      </c>
      <c r="K486">
        <v>0</v>
      </c>
      <c r="L486">
        <v>3</v>
      </c>
      <c r="M486">
        <v>0</v>
      </c>
      <c r="N486">
        <v>2</v>
      </c>
      <c r="O486">
        <v>1</v>
      </c>
      <c r="P486">
        <v>0</v>
      </c>
      <c r="Q486">
        <v>0</v>
      </c>
      <c r="R486" t="s">
        <v>112</v>
      </c>
      <c r="S486" t="str">
        <f>"13:58:28.320"</f>
        <v>13:58:28.320</v>
      </c>
      <c r="T486" t="str">
        <f>"13:58:27.820"</f>
        <v>13:58:27.820</v>
      </c>
      <c r="U486" t="str">
        <f t="shared" si="21"/>
        <v>ad5732</v>
      </c>
      <c r="V486">
        <v>0</v>
      </c>
      <c r="W486">
        <v>0</v>
      </c>
      <c r="X486">
        <v>1</v>
      </c>
      <c r="Z486">
        <v>0</v>
      </c>
      <c r="AA486">
        <v>9</v>
      </c>
      <c r="AB486">
        <v>3</v>
      </c>
      <c r="AC486">
        <v>0</v>
      </c>
      <c r="AD486">
        <v>10</v>
      </c>
      <c r="AE486">
        <v>0</v>
      </c>
      <c r="AF486">
        <v>3</v>
      </c>
      <c r="AG486">
        <v>2</v>
      </c>
      <c r="AH486">
        <v>0</v>
      </c>
      <c r="AI486" t="s">
        <v>1069</v>
      </c>
      <c r="AJ486">
        <v>39.235481999999998</v>
      </c>
      <c r="AK486" t="s">
        <v>1070</v>
      </c>
      <c r="AL486">
        <v>-77.365959000000004</v>
      </c>
      <c r="AM486">
        <v>100</v>
      </c>
      <c r="AN486">
        <v>8100</v>
      </c>
      <c r="AO486" t="s">
        <v>115</v>
      </c>
      <c r="AP486">
        <v>134</v>
      </c>
      <c r="AQ486">
        <v>45</v>
      </c>
      <c r="AR486">
        <v>896</v>
      </c>
      <c r="AZ486">
        <v>3614</v>
      </c>
      <c r="BA486">
        <v>1</v>
      </c>
      <c r="BB486" t="str">
        <f t="shared" si="23"/>
        <v xml:space="preserve">N959MJ  </v>
      </c>
      <c r="BC486">
        <v>1</v>
      </c>
      <c r="BE486">
        <v>0</v>
      </c>
      <c r="BF486">
        <v>0</v>
      </c>
      <c r="BG486">
        <v>0</v>
      </c>
      <c r="BH486">
        <v>8425</v>
      </c>
      <c r="BI486">
        <v>325</v>
      </c>
      <c r="BJ486">
        <v>1</v>
      </c>
      <c r="BK486">
        <v>1</v>
      </c>
      <c r="BL486">
        <v>1</v>
      </c>
      <c r="BM486">
        <v>0</v>
      </c>
      <c r="BP486">
        <v>0</v>
      </c>
      <c r="BQ486">
        <v>0</v>
      </c>
      <c r="BX486" t="str">
        <f>"13:58:28.328"</f>
        <v>13:58:28.328</v>
      </c>
      <c r="BY486" t="str">
        <f>"326793226"</f>
        <v>326793226</v>
      </c>
      <c r="CL486">
        <v>0</v>
      </c>
      <c r="CM486">
        <v>2</v>
      </c>
      <c r="CN486">
        <v>0</v>
      </c>
      <c r="CO486">
        <v>2</v>
      </c>
      <c r="CP486">
        <v>0</v>
      </c>
      <c r="CQ486">
        <v>5</v>
      </c>
      <c r="CR486" t="s">
        <v>116</v>
      </c>
      <c r="CS486">
        <v>152</v>
      </c>
      <c r="CT486">
        <v>0</v>
      </c>
      <c r="CU486" t="s">
        <v>134</v>
      </c>
      <c r="CV486" t="s">
        <v>135</v>
      </c>
      <c r="CY486">
        <v>16438119</v>
      </c>
      <c r="CZ486" t="s">
        <v>119</v>
      </c>
    </row>
    <row r="487" spans="1:104" x14ac:dyDescent="0.25">
      <c r="A487" t="str">
        <f>"13:58:29.367"</f>
        <v>13:58:29.367</v>
      </c>
      <c r="B487" t="s">
        <v>108</v>
      </c>
      <c r="C487" t="str">
        <f t="shared" si="22"/>
        <v>ffdfd3c0</v>
      </c>
      <c r="D487" t="s">
        <v>109</v>
      </c>
      <c r="E487">
        <v>4</v>
      </c>
      <c r="F487">
        <v>1004</v>
      </c>
      <c r="G487" t="s">
        <v>110</v>
      </c>
      <c r="J487" t="s">
        <v>111</v>
      </c>
      <c r="K487">
        <v>0</v>
      </c>
      <c r="L487">
        <v>3</v>
      </c>
      <c r="M487">
        <v>0</v>
      </c>
      <c r="N487">
        <v>2</v>
      </c>
      <c r="O487">
        <v>1</v>
      </c>
      <c r="P487">
        <v>0</v>
      </c>
      <c r="Q487">
        <v>0</v>
      </c>
      <c r="R487" t="s">
        <v>112</v>
      </c>
      <c r="S487" t="str">
        <f>"13:58:29.195"</f>
        <v>13:58:29.195</v>
      </c>
      <c r="T487" t="str">
        <f>"13:58:28.797"</f>
        <v>13:58:28.797</v>
      </c>
      <c r="U487" t="str">
        <f t="shared" si="21"/>
        <v>ad5732</v>
      </c>
      <c r="V487">
        <v>0</v>
      </c>
      <c r="W487">
        <v>0</v>
      </c>
      <c r="X487">
        <v>1</v>
      </c>
      <c r="Z487">
        <v>0</v>
      </c>
      <c r="AA487">
        <v>9</v>
      </c>
      <c r="AB487">
        <v>3</v>
      </c>
      <c r="AC487">
        <v>0</v>
      </c>
      <c r="AD487">
        <v>10</v>
      </c>
      <c r="AE487">
        <v>0</v>
      </c>
      <c r="AF487">
        <v>3</v>
      </c>
      <c r="AG487">
        <v>2</v>
      </c>
      <c r="AH487">
        <v>0</v>
      </c>
      <c r="AI487" t="s">
        <v>1071</v>
      </c>
      <c r="AJ487">
        <v>39.235675000000001</v>
      </c>
      <c r="AK487" t="s">
        <v>1072</v>
      </c>
      <c r="AL487">
        <v>-77.365228999999999</v>
      </c>
      <c r="AM487">
        <v>100</v>
      </c>
      <c r="AN487">
        <v>8100</v>
      </c>
      <c r="AO487" t="s">
        <v>115</v>
      </c>
      <c r="AP487">
        <v>135</v>
      </c>
      <c r="AQ487">
        <v>45</v>
      </c>
      <c r="AR487">
        <v>832</v>
      </c>
      <c r="AZ487">
        <v>3614</v>
      </c>
      <c r="BA487">
        <v>1</v>
      </c>
      <c r="BB487" t="str">
        <f t="shared" si="23"/>
        <v xml:space="preserve">N959MJ  </v>
      </c>
      <c r="BC487">
        <v>1</v>
      </c>
      <c r="BE487">
        <v>0</v>
      </c>
      <c r="BF487">
        <v>0</v>
      </c>
      <c r="BG487">
        <v>0</v>
      </c>
      <c r="BH487">
        <v>8450</v>
      </c>
      <c r="BI487">
        <v>350</v>
      </c>
      <c r="BJ487">
        <v>1</v>
      </c>
      <c r="BK487">
        <v>1</v>
      </c>
      <c r="BL487">
        <v>1</v>
      </c>
      <c r="BM487">
        <v>0</v>
      </c>
      <c r="BP487">
        <v>0</v>
      </c>
      <c r="BQ487">
        <v>0</v>
      </c>
      <c r="BX487" t="str">
        <f>"13:58:29.203"</f>
        <v>13:58:29.203</v>
      </c>
      <c r="BY487" t="str">
        <f>"201504584"</f>
        <v>201504584</v>
      </c>
      <c r="CL487">
        <v>0</v>
      </c>
      <c r="CM487">
        <v>2</v>
      </c>
      <c r="CN487">
        <v>0</v>
      </c>
      <c r="CO487">
        <v>2</v>
      </c>
      <c r="CP487">
        <v>0</v>
      </c>
      <c r="CQ487">
        <v>7</v>
      </c>
      <c r="CR487" t="s">
        <v>116</v>
      </c>
      <c r="CS487">
        <v>525</v>
      </c>
      <c r="CT487">
        <v>2</v>
      </c>
      <c r="CU487" t="s">
        <v>140</v>
      </c>
      <c r="CV487" t="s">
        <v>141</v>
      </c>
      <c r="CY487">
        <v>14299651</v>
      </c>
      <c r="CZ487" t="s">
        <v>119</v>
      </c>
    </row>
    <row r="488" spans="1:104" x14ac:dyDescent="0.25">
      <c r="A488" t="str">
        <f>"13:58:30.430"</f>
        <v>13:58:30.430</v>
      </c>
      <c r="B488" t="s">
        <v>108</v>
      </c>
      <c r="C488" t="str">
        <f t="shared" si="22"/>
        <v>ffdfd3c0</v>
      </c>
      <c r="D488" t="s">
        <v>109</v>
      </c>
      <c r="E488">
        <v>4</v>
      </c>
      <c r="F488">
        <v>1004</v>
      </c>
      <c r="G488" t="s">
        <v>110</v>
      </c>
      <c r="J488" t="s">
        <v>111</v>
      </c>
      <c r="K488">
        <v>0</v>
      </c>
      <c r="L488">
        <v>3</v>
      </c>
      <c r="M488">
        <v>0</v>
      </c>
      <c r="N488">
        <v>2</v>
      </c>
      <c r="O488">
        <v>1</v>
      </c>
      <c r="P488">
        <v>0</v>
      </c>
      <c r="Q488">
        <v>0</v>
      </c>
      <c r="R488" t="s">
        <v>112</v>
      </c>
      <c r="S488" t="str">
        <f>"13:58:30.242"</f>
        <v>13:58:30.242</v>
      </c>
      <c r="T488" t="str">
        <f>"13:58:29.742"</f>
        <v>13:58:29.742</v>
      </c>
      <c r="U488" t="str">
        <f t="shared" si="21"/>
        <v>ad5732</v>
      </c>
      <c r="V488">
        <v>0</v>
      </c>
      <c r="W488">
        <v>0</v>
      </c>
      <c r="X488">
        <v>1</v>
      </c>
      <c r="Z488">
        <v>0</v>
      </c>
      <c r="AA488">
        <v>9</v>
      </c>
      <c r="AB488">
        <v>3</v>
      </c>
      <c r="AC488">
        <v>0</v>
      </c>
      <c r="AD488">
        <v>10</v>
      </c>
      <c r="AE488">
        <v>0</v>
      </c>
      <c r="AF488">
        <v>3</v>
      </c>
      <c r="AG488">
        <v>2</v>
      </c>
      <c r="AH488">
        <v>0</v>
      </c>
      <c r="AI488" t="s">
        <v>1073</v>
      </c>
      <c r="AJ488">
        <v>39.235911000000002</v>
      </c>
      <c r="AK488" t="s">
        <v>1074</v>
      </c>
      <c r="AL488">
        <v>-77.364435</v>
      </c>
      <c r="AM488">
        <v>100</v>
      </c>
      <c r="AN488">
        <v>8100</v>
      </c>
      <c r="AO488" t="s">
        <v>115</v>
      </c>
      <c r="AP488">
        <v>135</v>
      </c>
      <c r="AQ488">
        <v>45</v>
      </c>
      <c r="AR488">
        <v>768</v>
      </c>
      <c r="AZ488">
        <v>3614</v>
      </c>
      <c r="BA488">
        <v>1</v>
      </c>
      <c r="BB488" t="str">
        <f t="shared" si="23"/>
        <v xml:space="preserve">N959MJ  </v>
      </c>
      <c r="BC488">
        <v>1</v>
      </c>
      <c r="BE488">
        <v>0</v>
      </c>
      <c r="BF488">
        <v>0</v>
      </c>
      <c r="BG488">
        <v>0</v>
      </c>
      <c r="BH488">
        <v>8450</v>
      </c>
      <c r="BI488">
        <v>350</v>
      </c>
      <c r="BJ488">
        <v>1</v>
      </c>
      <c r="BK488">
        <v>1</v>
      </c>
      <c r="BL488">
        <v>1</v>
      </c>
      <c r="BM488">
        <v>0</v>
      </c>
      <c r="BP488">
        <v>0</v>
      </c>
      <c r="BQ488">
        <v>0</v>
      </c>
      <c r="BX488" t="str">
        <f>"13:58:30.242"</f>
        <v>13:58:30.242</v>
      </c>
      <c r="BY488" t="str">
        <f>"245181913"</f>
        <v>245181913</v>
      </c>
      <c r="CL488">
        <v>0</v>
      </c>
      <c r="CM488">
        <v>2</v>
      </c>
      <c r="CN488">
        <v>0</v>
      </c>
      <c r="CO488">
        <v>2</v>
      </c>
      <c r="CP488">
        <v>0</v>
      </c>
      <c r="CQ488">
        <v>7</v>
      </c>
      <c r="CR488" t="s">
        <v>116</v>
      </c>
      <c r="CS488">
        <v>525</v>
      </c>
      <c r="CT488">
        <v>2</v>
      </c>
      <c r="CU488" t="s">
        <v>140</v>
      </c>
      <c r="CV488" t="s">
        <v>141</v>
      </c>
      <c r="CY488">
        <v>14301256</v>
      </c>
      <c r="CZ488" t="s">
        <v>119</v>
      </c>
    </row>
    <row r="489" spans="1:104" x14ac:dyDescent="0.25">
      <c r="A489" t="str">
        <f>"13:58:31.438"</f>
        <v>13:58:31.438</v>
      </c>
      <c r="B489" t="s">
        <v>108</v>
      </c>
      <c r="C489" t="str">
        <f t="shared" si="22"/>
        <v>ffdfd3c0</v>
      </c>
      <c r="D489" t="s">
        <v>109</v>
      </c>
      <c r="E489">
        <v>4</v>
      </c>
      <c r="F489">
        <v>1004</v>
      </c>
      <c r="G489" t="s">
        <v>110</v>
      </c>
      <c r="J489" t="s">
        <v>111</v>
      </c>
      <c r="K489">
        <v>0</v>
      </c>
      <c r="L489">
        <v>3</v>
      </c>
      <c r="M489">
        <v>0</v>
      </c>
      <c r="N489">
        <v>2</v>
      </c>
      <c r="O489">
        <v>1</v>
      </c>
      <c r="P489">
        <v>0</v>
      </c>
      <c r="Q489">
        <v>0</v>
      </c>
      <c r="R489" t="s">
        <v>112</v>
      </c>
      <c r="S489" t="str">
        <f>"13:58:31.250"</f>
        <v>13:58:31.250</v>
      </c>
      <c r="T489" t="str">
        <f>"13:58:30.750"</f>
        <v>13:58:30.750</v>
      </c>
      <c r="U489" t="str">
        <f t="shared" si="21"/>
        <v>ad5732</v>
      </c>
      <c r="V489">
        <v>0</v>
      </c>
      <c r="W489">
        <v>0</v>
      </c>
      <c r="X489">
        <v>1</v>
      </c>
      <c r="Z489">
        <v>0</v>
      </c>
      <c r="AA489">
        <v>9</v>
      </c>
      <c r="AB489">
        <v>3</v>
      </c>
      <c r="AC489">
        <v>0</v>
      </c>
      <c r="AD489">
        <v>10</v>
      </c>
      <c r="AE489">
        <v>0</v>
      </c>
      <c r="AF489">
        <v>3</v>
      </c>
      <c r="AG489">
        <v>2</v>
      </c>
      <c r="AH489">
        <v>0</v>
      </c>
      <c r="AI489" t="s">
        <v>1075</v>
      </c>
      <c r="AJ489">
        <v>39.236083000000001</v>
      </c>
      <c r="AK489" t="s">
        <v>1076</v>
      </c>
      <c r="AL489">
        <v>-77.363577000000006</v>
      </c>
      <c r="AM489">
        <v>100</v>
      </c>
      <c r="AN489">
        <v>8100</v>
      </c>
      <c r="AO489" t="s">
        <v>115</v>
      </c>
      <c r="AP489">
        <v>135</v>
      </c>
      <c r="AQ489">
        <v>46</v>
      </c>
      <c r="AR489">
        <v>704</v>
      </c>
      <c r="AZ489">
        <v>3614</v>
      </c>
      <c r="BA489">
        <v>1</v>
      </c>
      <c r="BB489" t="str">
        <f t="shared" si="23"/>
        <v xml:space="preserve">N959MJ  </v>
      </c>
      <c r="BC489">
        <v>1</v>
      </c>
      <c r="BE489">
        <v>0</v>
      </c>
      <c r="BF489">
        <v>0</v>
      </c>
      <c r="BG489">
        <v>0</v>
      </c>
      <c r="BH489">
        <v>8475</v>
      </c>
      <c r="BI489">
        <v>375</v>
      </c>
      <c r="BJ489">
        <v>1</v>
      </c>
      <c r="BK489">
        <v>1</v>
      </c>
      <c r="BL489">
        <v>1</v>
      </c>
      <c r="BM489">
        <v>0</v>
      </c>
      <c r="BP489">
        <v>0</v>
      </c>
      <c r="BQ489">
        <v>0</v>
      </c>
      <c r="BX489" t="str">
        <f>"13:58:31.258"</f>
        <v>13:58:31.258</v>
      </c>
      <c r="BY489" t="str">
        <f>"256090936"</f>
        <v>256090936</v>
      </c>
      <c r="CL489">
        <v>0</v>
      </c>
      <c r="CM489">
        <v>2</v>
      </c>
      <c r="CN489">
        <v>0</v>
      </c>
      <c r="CO489">
        <v>2</v>
      </c>
      <c r="CP489">
        <v>0</v>
      </c>
      <c r="CQ489">
        <v>7</v>
      </c>
      <c r="CR489" t="s">
        <v>116</v>
      </c>
      <c r="CS489">
        <v>525</v>
      </c>
      <c r="CT489">
        <v>2</v>
      </c>
      <c r="CU489" t="s">
        <v>140</v>
      </c>
      <c r="CV489" t="s">
        <v>141</v>
      </c>
      <c r="CY489">
        <v>14302681</v>
      </c>
      <c r="CZ489" t="s">
        <v>119</v>
      </c>
    </row>
    <row r="490" spans="1:104" x14ac:dyDescent="0.25">
      <c r="A490" t="str">
        <f>"13:58:32.398"</f>
        <v>13:58:32.398</v>
      </c>
      <c r="B490" t="s">
        <v>108</v>
      </c>
      <c r="C490" t="str">
        <f t="shared" si="22"/>
        <v>ffdfd3c0</v>
      </c>
      <c r="D490" t="s">
        <v>109</v>
      </c>
      <c r="E490">
        <v>4</v>
      </c>
      <c r="F490">
        <v>1004</v>
      </c>
      <c r="G490" t="s">
        <v>110</v>
      </c>
      <c r="J490" t="s">
        <v>111</v>
      </c>
      <c r="K490">
        <v>0</v>
      </c>
      <c r="L490">
        <v>3</v>
      </c>
      <c r="M490">
        <v>0</v>
      </c>
      <c r="N490">
        <v>2</v>
      </c>
      <c r="O490">
        <v>1</v>
      </c>
      <c r="P490">
        <v>0</v>
      </c>
      <c r="Q490">
        <v>0</v>
      </c>
      <c r="R490" t="s">
        <v>112</v>
      </c>
      <c r="S490" t="str">
        <f>"13:58:32.242"</f>
        <v>13:58:32.242</v>
      </c>
      <c r="T490" t="str">
        <f>"13:58:31.844"</f>
        <v>13:58:31.844</v>
      </c>
      <c r="U490" t="str">
        <f t="shared" si="21"/>
        <v>ad5732</v>
      </c>
      <c r="V490">
        <v>0</v>
      </c>
      <c r="W490">
        <v>0</v>
      </c>
      <c r="X490">
        <v>1</v>
      </c>
      <c r="Z490">
        <v>0</v>
      </c>
      <c r="AA490">
        <v>9</v>
      </c>
      <c r="AB490">
        <v>3</v>
      </c>
      <c r="AC490">
        <v>0</v>
      </c>
      <c r="AD490">
        <v>10</v>
      </c>
      <c r="AE490">
        <v>0</v>
      </c>
      <c r="AF490">
        <v>3</v>
      </c>
      <c r="AG490">
        <v>2</v>
      </c>
      <c r="AH490">
        <v>0</v>
      </c>
      <c r="AI490" t="s">
        <v>1077</v>
      </c>
      <c r="AJ490">
        <v>39.236319000000002</v>
      </c>
      <c r="AK490" t="s">
        <v>1078</v>
      </c>
      <c r="AL490">
        <v>-77.362782999999993</v>
      </c>
      <c r="AM490">
        <v>100</v>
      </c>
      <c r="AN490">
        <v>8100</v>
      </c>
      <c r="AO490" t="s">
        <v>115</v>
      </c>
      <c r="AP490">
        <v>136</v>
      </c>
      <c r="AQ490">
        <v>46</v>
      </c>
      <c r="AR490">
        <v>640</v>
      </c>
      <c r="AZ490">
        <v>3614</v>
      </c>
      <c r="BA490">
        <v>1</v>
      </c>
      <c r="BB490" t="str">
        <f t="shared" si="23"/>
        <v xml:space="preserve">N959MJ  </v>
      </c>
      <c r="BC490">
        <v>1</v>
      </c>
      <c r="BE490">
        <v>0</v>
      </c>
      <c r="BF490">
        <v>0</v>
      </c>
      <c r="BG490">
        <v>0</v>
      </c>
      <c r="BH490">
        <v>8475</v>
      </c>
      <c r="BI490">
        <v>375</v>
      </c>
      <c r="BJ490">
        <v>1</v>
      </c>
      <c r="BK490">
        <v>1</v>
      </c>
      <c r="BL490">
        <v>1</v>
      </c>
      <c r="BM490">
        <v>0</v>
      </c>
      <c r="BP490">
        <v>0</v>
      </c>
      <c r="BQ490">
        <v>0</v>
      </c>
      <c r="BX490" t="str">
        <f>"13:58:32.242"</f>
        <v>13:58:32.242</v>
      </c>
      <c r="BY490" t="str">
        <f>"245700152"</f>
        <v>245700152</v>
      </c>
      <c r="CL490">
        <v>0</v>
      </c>
      <c r="CM490">
        <v>2</v>
      </c>
      <c r="CN490">
        <v>0</v>
      </c>
      <c r="CO490">
        <v>2</v>
      </c>
      <c r="CP490">
        <v>0</v>
      </c>
      <c r="CQ490">
        <v>7</v>
      </c>
      <c r="CR490" t="s">
        <v>116</v>
      </c>
      <c r="CS490">
        <v>525</v>
      </c>
      <c r="CT490">
        <v>2</v>
      </c>
      <c r="CU490" t="s">
        <v>140</v>
      </c>
      <c r="CV490" t="s">
        <v>141</v>
      </c>
      <c r="CY490">
        <v>14304096</v>
      </c>
      <c r="CZ490" t="s">
        <v>119</v>
      </c>
    </row>
    <row r="491" spans="1:104" x14ac:dyDescent="0.25">
      <c r="A491" t="str">
        <f>"13:58:33.359"</f>
        <v>13:58:33.359</v>
      </c>
      <c r="B491" t="s">
        <v>108</v>
      </c>
      <c r="C491" t="str">
        <f t="shared" si="22"/>
        <v>ffdfd3c0</v>
      </c>
      <c r="D491" t="s">
        <v>109</v>
      </c>
      <c r="E491">
        <v>4</v>
      </c>
      <c r="F491">
        <v>1004</v>
      </c>
      <c r="G491" t="s">
        <v>110</v>
      </c>
      <c r="J491" t="s">
        <v>111</v>
      </c>
      <c r="K491">
        <v>0</v>
      </c>
      <c r="L491">
        <v>3</v>
      </c>
      <c r="M491">
        <v>0</v>
      </c>
      <c r="N491">
        <v>2</v>
      </c>
      <c r="O491">
        <v>1</v>
      </c>
      <c r="P491">
        <v>0</v>
      </c>
      <c r="Q491">
        <v>0</v>
      </c>
      <c r="R491" t="s">
        <v>112</v>
      </c>
      <c r="S491" t="str">
        <f>"13:58:33.172"</f>
        <v>13:58:33.172</v>
      </c>
      <c r="T491" t="str">
        <f>"13:58:32.773"</f>
        <v>13:58:32.773</v>
      </c>
      <c r="U491" t="str">
        <f t="shared" si="21"/>
        <v>ad5732</v>
      </c>
      <c r="V491">
        <v>0</v>
      </c>
      <c r="W491">
        <v>0</v>
      </c>
      <c r="X491">
        <v>1</v>
      </c>
      <c r="Z491">
        <v>0</v>
      </c>
      <c r="AA491">
        <v>9</v>
      </c>
      <c r="AB491">
        <v>3</v>
      </c>
      <c r="AC491">
        <v>0</v>
      </c>
      <c r="AD491">
        <v>10</v>
      </c>
      <c r="AE491">
        <v>0</v>
      </c>
      <c r="AF491">
        <v>3</v>
      </c>
      <c r="AG491">
        <v>2</v>
      </c>
      <c r="AH491">
        <v>0</v>
      </c>
      <c r="AI491" t="s">
        <v>1079</v>
      </c>
      <c r="AJ491">
        <v>39.236555000000003</v>
      </c>
      <c r="AK491" t="s">
        <v>1080</v>
      </c>
      <c r="AL491">
        <v>-77.361988999999994</v>
      </c>
      <c r="AM491">
        <v>100</v>
      </c>
      <c r="AN491">
        <v>8200</v>
      </c>
      <c r="AO491" t="s">
        <v>115</v>
      </c>
      <c r="AP491">
        <v>136</v>
      </c>
      <c r="AQ491">
        <v>47</v>
      </c>
      <c r="AR491">
        <v>640</v>
      </c>
      <c r="AZ491">
        <v>3614</v>
      </c>
      <c r="BA491">
        <v>1</v>
      </c>
      <c r="BB491" t="str">
        <f t="shared" si="23"/>
        <v xml:space="preserve">N959MJ  </v>
      </c>
      <c r="BC491">
        <v>1</v>
      </c>
      <c r="BE491">
        <v>0</v>
      </c>
      <c r="BF491">
        <v>0</v>
      </c>
      <c r="BG491">
        <v>0</v>
      </c>
      <c r="BH491">
        <v>8500</v>
      </c>
      <c r="BI491">
        <v>300</v>
      </c>
      <c r="BJ491">
        <v>1</v>
      </c>
      <c r="BK491">
        <v>1</v>
      </c>
      <c r="BL491">
        <v>1</v>
      </c>
      <c r="BM491">
        <v>0</v>
      </c>
      <c r="BP491">
        <v>0</v>
      </c>
      <c r="BQ491">
        <v>0</v>
      </c>
      <c r="BX491" t="str">
        <f>"13:58:33.180"</f>
        <v>13:58:33.180</v>
      </c>
      <c r="BY491" t="str">
        <f>"179603052"</f>
        <v>179603052</v>
      </c>
      <c r="CL491">
        <v>0</v>
      </c>
      <c r="CM491">
        <v>2</v>
      </c>
      <c r="CN491">
        <v>0</v>
      </c>
      <c r="CO491">
        <v>2</v>
      </c>
      <c r="CP491">
        <v>0</v>
      </c>
      <c r="CQ491">
        <v>7</v>
      </c>
      <c r="CR491" t="s">
        <v>116</v>
      </c>
      <c r="CS491">
        <v>525</v>
      </c>
      <c r="CT491">
        <v>2</v>
      </c>
      <c r="CU491" t="s">
        <v>140</v>
      </c>
      <c r="CV491" t="s">
        <v>141</v>
      </c>
      <c r="CY491">
        <v>14305536</v>
      </c>
      <c r="CZ491" t="s">
        <v>119</v>
      </c>
    </row>
    <row r="492" spans="1:104" x14ac:dyDescent="0.25">
      <c r="A492" t="str">
        <f>"13:58:34.422"</f>
        <v>13:58:34.422</v>
      </c>
      <c r="B492" t="s">
        <v>108</v>
      </c>
      <c r="C492" t="str">
        <f t="shared" si="22"/>
        <v>ffdfd3c0</v>
      </c>
      <c r="D492" t="s">
        <v>109</v>
      </c>
      <c r="E492">
        <v>4</v>
      </c>
      <c r="F492">
        <v>1004</v>
      </c>
      <c r="G492" t="s">
        <v>110</v>
      </c>
      <c r="J492" t="s">
        <v>111</v>
      </c>
      <c r="K492">
        <v>0</v>
      </c>
      <c r="L492">
        <v>3</v>
      </c>
      <c r="M492">
        <v>0</v>
      </c>
      <c r="N492">
        <v>2</v>
      </c>
      <c r="O492">
        <v>1</v>
      </c>
      <c r="P492">
        <v>0</v>
      </c>
      <c r="Q492">
        <v>0</v>
      </c>
      <c r="R492" t="s">
        <v>112</v>
      </c>
      <c r="S492" t="str">
        <f>"13:58:34.258"</f>
        <v>13:58:34.258</v>
      </c>
      <c r="T492" t="str">
        <f>"13:58:33.859"</f>
        <v>13:58:33.859</v>
      </c>
      <c r="U492" t="str">
        <f t="shared" si="21"/>
        <v>ad5732</v>
      </c>
      <c r="V492">
        <v>0</v>
      </c>
      <c r="W492">
        <v>0</v>
      </c>
      <c r="X492">
        <v>1</v>
      </c>
      <c r="Z492">
        <v>0</v>
      </c>
      <c r="AA492">
        <v>9</v>
      </c>
      <c r="AB492">
        <v>3</v>
      </c>
      <c r="AC492">
        <v>0</v>
      </c>
      <c r="AD492">
        <v>10</v>
      </c>
      <c r="AE492">
        <v>0</v>
      </c>
      <c r="AF492">
        <v>3</v>
      </c>
      <c r="AG492">
        <v>2</v>
      </c>
      <c r="AH492">
        <v>0</v>
      </c>
      <c r="AI492" t="s">
        <v>1081</v>
      </c>
      <c r="AJ492">
        <v>39.236747999999999</v>
      </c>
      <c r="AK492" t="s">
        <v>1082</v>
      </c>
      <c r="AL492">
        <v>-77.361216999999996</v>
      </c>
      <c r="AM492">
        <v>100</v>
      </c>
      <c r="AN492">
        <v>8200</v>
      </c>
      <c r="AO492" t="s">
        <v>115</v>
      </c>
      <c r="AP492">
        <v>136</v>
      </c>
      <c r="AQ492">
        <v>47</v>
      </c>
      <c r="AR492">
        <v>640</v>
      </c>
      <c r="AZ492">
        <v>3614</v>
      </c>
      <c r="BA492">
        <v>1</v>
      </c>
      <c r="BB492" t="str">
        <f t="shared" si="23"/>
        <v xml:space="preserve">N959MJ  </v>
      </c>
      <c r="BC492">
        <v>1</v>
      </c>
      <c r="BE492">
        <v>0</v>
      </c>
      <c r="BF492">
        <v>0</v>
      </c>
      <c r="BG492">
        <v>0</v>
      </c>
      <c r="BH492">
        <v>8500</v>
      </c>
      <c r="BI492">
        <v>300</v>
      </c>
      <c r="BJ492">
        <v>1</v>
      </c>
      <c r="BK492">
        <v>1</v>
      </c>
      <c r="BL492">
        <v>1</v>
      </c>
      <c r="BM492">
        <v>0</v>
      </c>
      <c r="BP492">
        <v>0</v>
      </c>
      <c r="BQ492">
        <v>0</v>
      </c>
      <c r="BX492" t="str">
        <f>"13:58:34.258"</f>
        <v>13:58:34.258</v>
      </c>
      <c r="BY492" t="str">
        <f>"259325859"</f>
        <v>259325859</v>
      </c>
      <c r="CL492">
        <v>0</v>
      </c>
      <c r="CM492">
        <v>2</v>
      </c>
      <c r="CN492">
        <v>0</v>
      </c>
      <c r="CO492">
        <v>2</v>
      </c>
      <c r="CP492">
        <v>0</v>
      </c>
      <c r="CQ492">
        <v>7</v>
      </c>
      <c r="CR492" t="s">
        <v>116</v>
      </c>
      <c r="CS492">
        <v>525</v>
      </c>
      <c r="CT492">
        <v>2</v>
      </c>
      <c r="CU492" t="s">
        <v>140</v>
      </c>
      <c r="CV492" t="s">
        <v>141</v>
      </c>
      <c r="CY492">
        <v>14307083</v>
      </c>
      <c r="CZ492" t="s">
        <v>119</v>
      </c>
    </row>
    <row r="493" spans="1:104" x14ac:dyDescent="0.25">
      <c r="A493" t="str">
        <f>"13:58:35.375"</f>
        <v>13:58:35.375</v>
      </c>
      <c r="B493" t="s">
        <v>108</v>
      </c>
      <c r="C493" t="str">
        <f t="shared" si="22"/>
        <v>ffdfd3c0</v>
      </c>
      <c r="D493" t="s">
        <v>109</v>
      </c>
      <c r="E493">
        <v>4</v>
      </c>
      <c r="F493">
        <v>1004</v>
      </c>
      <c r="G493" t="s">
        <v>110</v>
      </c>
      <c r="J493" t="s">
        <v>111</v>
      </c>
      <c r="K493">
        <v>0</v>
      </c>
      <c r="L493">
        <v>3</v>
      </c>
      <c r="M493">
        <v>0</v>
      </c>
      <c r="N493">
        <v>2</v>
      </c>
      <c r="O493">
        <v>1</v>
      </c>
      <c r="P493">
        <v>0</v>
      </c>
      <c r="Q493">
        <v>0</v>
      </c>
      <c r="R493" t="s">
        <v>112</v>
      </c>
      <c r="S493" t="str">
        <f>"13:58:35.227"</f>
        <v>13:58:35.227</v>
      </c>
      <c r="T493" t="str">
        <f>"13:58:34.828"</f>
        <v>13:58:34.828</v>
      </c>
      <c r="U493" t="str">
        <f t="shared" si="21"/>
        <v>ad5732</v>
      </c>
      <c r="V493">
        <v>0</v>
      </c>
      <c r="W493">
        <v>0</v>
      </c>
      <c r="X493">
        <v>1</v>
      </c>
      <c r="Z493">
        <v>0</v>
      </c>
      <c r="AA493">
        <v>9</v>
      </c>
      <c r="AB493">
        <v>3</v>
      </c>
      <c r="AC493">
        <v>0</v>
      </c>
      <c r="AD493">
        <v>10</v>
      </c>
      <c r="AE493">
        <v>0</v>
      </c>
      <c r="AF493">
        <v>3</v>
      </c>
      <c r="AG493">
        <v>2</v>
      </c>
      <c r="AH493">
        <v>0</v>
      </c>
      <c r="AI493" t="s">
        <v>1083</v>
      </c>
      <c r="AJ493">
        <v>39.236963000000003</v>
      </c>
      <c r="AK493" t="s">
        <v>1084</v>
      </c>
      <c r="AL493">
        <v>-77.360358000000005</v>
      </c>
      <c r="AM493">
        <v>100</v>
      </c>
      <c r="AN493">
        <v>8200</v>
      </c>
      <c r="AO493" t="s">
        <v>115</v>
      </c>
      <c r="AP493">
        <v>136</v>
      </c>
      <c r="AQ493">
        <v>48</v>
      </c>
      <c r="AR493">
        <v>640</v>
      </c>
      <c r="AZ493">
        <v>3614</v>
      </c>
      <c r="BA493">
        <v>1</v>
      </c>
      <c r="BB493" t="str">
        <f t="shared" si="23"/>
        <v xml:space="preserve">N959MJ  </v>
      </c>
      <c r="BC493">
        <v>1</v>
      </c>
      <c r="BE493">
        <v>0</v>
      </c>
      <c r="BF493">
        <v>0</v>
      </c>
      <c r="BG493">
        <v>0</v>
      </c>
      <c r="BH493">
        <v>8525</v>
      </c>
      <c r="BI493">
        <v>325</v>
      </c>
      <c r="BJ493">
        <v>1</v>
      </c>
      <c r="BK493">
        <v>1</v>
      </c>
      <c r="BL493">
        <v>1</v>
      </c>
      <c r="BM493">
        <v>0</v>
      </c>
      <c r="BP493">
        <v>0</v>
      </c>
      <c r="BQ493">
        <v>0</v>
      </c>
      <c r="BX493" t="str">
        <f>"13:58:35.227"</f>
        <v>13:58:35.227</v>
      </c>
      <c r="BY493" t="str">
        <f>"229274045"</f>
        <v>229274045</v>
      </c>
      <c r="CL493">
        <v>0</v>
      </c>
      <c r="CM493">
        <v>2</v>
      </c>
      <c r="CN493">
        <v>0</v>
      </c>
      <c r="CO493">
        <v>2</v>
      </c>
      <c r="CP493">
        <v>0</v>
      </c>
      <c r="CQ493">
        <v>7</v>
      </c>
      <c r="CR493" t="s">
        <v>116</v>
      </c>
      <c r="CS493">
        <v>525</v>
      </c>
      <c r="CT493">
        <v>2</v>
      </c>
      <c r="CU493" t="s">
        <v>140</v>
      </c>
      <c r="CV493" t="s">
        <v>141</v>
      </c>
      <c r="CY493">
        <v>14308537</v>
      </c>
      <c r="CZ493" t="s">
        <v>119</v>
      </c>
    </row>
    <row r="494" spans="1:104" x14ac:dyDescent="0.25">
      <c r="A494" t="str">
        <f>"13:58:36.336"</f>
        <v>13:58:36.336</v>
      </c>
      <c r="B494" t="s">
        <v>108</v>
      </c>
      <c r="C494" t="str">
        <f t="shared" si="22"/>
        <v>ffdfd3c0</v>
      </c>
      <c r="D494" t="s">
        <v>109</v>
      </c>
      <c r="E494">
        <v>4</v>
      </c>
      <c r="F494">
        <v>1004</v>
      </c>
      <c r="G494" t="s">
        <v>110</v>
      </c>
      <c r="J494" t="s">
        <v>111</v>
      </c>
      <c r="K494">
        <v>0</v>
      </c>
      <c r="L494">
        <v>3</v>
      </c>
      <c r="M494">
        <v>0</v>
      </c>
      <c r="N494">
        <v>2</v>
      </c>
      <c r="O494">
        <v>1</v>
      </c>
      <c r="P494">
        <v>0</v>
      </c>
      <c r="Q494">
        <v>0</v>
      </c>
      <c r="R494" t="s">
        <v>112</v>
      </c>
      <c r="S494" t="str">
        <f>"13:58:36.156"</f>
        <v>13:58:36.156</v>
      </c>
      <c r="T494" t="str">
        <f>"13:58:35.758"</f>
        <v>13:58:35.758</v>
      </c>
      <c r="U494" t="str">
        <f t="shared" si="21"/>
        <v>ad5732</v>
      </c>
      <c r="V494">
        <v>0</v>
      </c>
      <c r="W494">
        <v>0</v>
      </c>
      <c r="X494">
        <v>1</v>
      </c>
      <c r="Z494">
        <v>0</v>
      </c>
      <c r="AA494">
        <v>9</v>
      </c>
      <c r="AB494">
        <v>3</v>
      </c>
      <c r="AC494">
        <v>0</v>
      </c>
      <c r="AD494">
        <v>10</v>
      </c>
      <c r="AE494">
        <v>0</v>
      </c>
      <c r="AF494">
        <v>3</v>
      </c>
      <c r="AG494">
        <v>2</v>
      </c>
      <c r="AH494">
        <v>0</v>
      </c>
      <c r="AI494" t="s">
        <v>1085</v>
      </c>
      <c r="AJ494">
        <v>39.237177000000003</v>
      </c>
      <c r="AK494" t="s">
        <v>1086</v>
      </c>
      <c r="AL494">
        <v>-77.359628999999998</v>
      </c>
      <c r="AM494">
        <v>100</v>
      </c>
      <c r="AN494">
        <v>8200</v>
      </c>
      <c r="AO494" t="s">
        <v>115</v>
      </c>
      <c r="AP494">
        <v>136</v>
      </c>
      <c r="AQ494">
        <v>48</v>
      </c>
      <c r="AR494">
        <v>640</v>
      </c>
      <c r="AZ494">
        <v>3614</v>
      </c>
      <c r="BA494">
        <v>1</v>
      </c>
      <c r="BB494" t="str">
        <f t="shared" si="23"/>
        <v xml:space="preserve">N959MJ  </v>
      </c>
      <c r="BC494">
        <v>1</v>
      </c>
      <c r="BE494">
        <v>0</v>
      </c>
      <c r="BF494">
        <v>0</v>
      </c>
      <c r="BG494">
        <v>0</v>
      </c>
      <c r="BH494">
        <v>8525</v>
      </c>
      <c r="BI494">
        <v>325</v>
      </c>
      <c r="BJ494">
        <v>1</v>
      </c>
      <c r="BK494">
        <v>1</v>
      </c>
      <c r="BL494">
        <v>1</v>
      </c>
      <c r="BM494">
        <v>0</v>
      </c>
      <c r="BP494">
        <v>0</v>
      </c>
      <c r="BQ494">
        <v>0</v>
      </c>
      <c r="BX494" t="str">
        <f>"13:58:36.164"</f>
        <v>13:58:36.164</v>
      </c>
      <c r="BY494" t="str">
        <f>"161538534"</f>
        <v>161538534</v>
      </c>
      <c r="CL494">
        <v>0</v>
      </c>
      <c r="CM494">
        <v>2</v>
      </c>
      <c r="CN494">
        <v>0</v>
      </c>
      <c r="CO494">
        <v>2</v>
      </c>
      <c r="CP494">
        <v>0</v>
      </c>
      <c r="CQ494">
        <v>7</v>
      </c>
      <c r="CR494" t="s">
        <v>116</v>
      </c>
      <c r="CS494">
        <v>525</v>
      </c>
      <c r="CT494">
        <v>2</v>
      </c>
      <c r="CU494" t="s">
        <v>140</v>
      </c>
      <c r="CV494" t="s">
        <v>141</v>
      </c>
      <c r="CY494">
        <v>14309714</v>
      </c>
      <c r="CZ494" t="s">
        <v>119</v>
      </c>
    </row>
    <row r="495" spans="1:104" x14ac:dyDescent="0.25">
      <c r="A495" t="str">
        <f>"13:58:37.242"</f>
        <v>13:58:37.242</v>
      </c>
      <c r="B495" t="s">
        <v>108</v>
      </c>
      <c r="C495" t="str">
        <f t="shared" si="22"/>
        <v>ffdfd3c0</v>
      </c>
      <c r="D495" t="s">
        <v>109</v>
      </c>
      <c r="E495">
        <v>4</v>
      </c>
      <c r="F495">
        <v>1004</v>
      </c>
      <c r="G495" t="s">
        <v>110</v>
      </c>
      <c r="J495" t="s">
        <v>111</v>
      </c>
      <c r="K495">
        <v>0</v>
      </c>
      <c r="L495">
        <v>3</v>
      </c>
      <c r="M495">
        <v>0</v>
      </c>
      <c r="N495">
        <v>2</v>
      </c>
      <c r="O495">
        <v>1</v>
      </c>
      <c r="P495">
        <v>0</v>
      </c>
      <c r="Q495">
        <v>0</v>
      </c>
      <c r="R495" t="s">
        <v>112</v>
      </c>
      <c r="S495" t="str">
        <f>"13:58:37.086"</f>
        <v>13:58:37.086</v>
      </c>
      <c r="T495" t="str">
        <f>"13:58:36.688"</f>
        <v>13:58:36.688</v>
      </c>
      <c r="U495" t="str">
        <f t="shared" si="21"/>
        <v>ad5732</v>
      </c>
      <c r="V495">
        <v>0</v>
      </c>
      <c r="W495">
        <v>0</v>
      </c>
      <c r="X495">
        <v>1</v>
      </c>
      <c r="Z495">
        <v>0</v>
      </c>
      <c r="AA495">
        <v>9</v>
      </c>
      <c r="AB495">
        <v>3</v>
      </c>
      <c r="AC495">
        <v>0</v>
      </c>
      <c r="AD495">
        <v>10</v>
      </c>
      <c r="AE495">
        <v>0</v>
      </c>
      <c r="AF495">
        <v>3</v>
      </c>
      <c r="AG495">
        <v>2</v>
      </c>
      <c r="AH495">
        <v>0</v>
      </c>
      <c r="AI495" t="s">
        <v>1087</v>
      </c>
      <c r="AJ495">
        <v>39.237392</v>
      </c>
      <c r="AK495" t="s">
        <v>1088</v>
      </c>
      <c r="AL495">
        <v>-77.358791999999994</v>
      </c>
      <c r="AM495">
        <v>100</v>
      </c>
      <c r="AN495">
        <v>8200</v>
      </c>
      <c r="AO495" t="s">
        <v>115</v>
      </c>
      <c r="AP495">
        <v>137</v>
      </c>
      <c r="AQ495">
        <v>49</v>
      </c>
      <c r="AR495">
        <v>640</v>
      </c>
      <c r="AZ495">
        <v>3614</v>
      </c>
      <c r="BA495">
        <v>1</v>
      </c>
      <c r="BB495" t="str">
        <f t="shared" si="23"/>
        <v xml:space="preserve">N959MJ  </v>
      </c>
      <c r="BC495">
        <v>1</v>
      </c>
      <c r="BE495">
        <v>0</v>
      </c>
      <c r="BF495">
        <v>0</v>
      </c>
      <c r="BG495">
        <v>0</v>
      </c>
      <c r="BH495">
        <v>8525</v>
      </c>
      <c r="BI495">
        <v>325</v>
      </c>
      <c r="BJ495">
        <v>1</v>
      </c>
      <c r="BK495">
        <v>1</v>
      </c>
      <c r="BL495">
        <v>1</v>
      </c>
      <c r="BM495">
        <v>0</v>
      </c>
      <c r="BP495">
        <v>0</v>
      </c>
      <c r="BQ495">
        <v>0</v>
      </c>
      <c r="BX495" t="str">
        <f>"13:58:37.086"</f>
        <v>13:58:37.086</v>
      </c>
      <c r="BY495" t="str">
        <f>"088887641"</f>
        <v>088887641</v>
      </c>
      <c r="CL495">
        <v>0</v>
      </c>
      <c r="CM495">
        <v>2</v>
      </c>
      <c r="CN495">
        <v>0</v>
      </c>
      <c r="CO495">
        <v>2</v>
      </c>
      <c r="CP495">
        <v>0</v>
      </c>
      <c r="CQ495">
        <v>7</v>
      </c>
      <c r="CR495" t="s">
        <v>116</v>
      </c>
      <c r="CS495">
        <v>525</v>
      </c>
      <c r="CT495">
        <v>2</v>
      </c>
      <c r="CU495" t="s">
        <v>140</v>
      </c>
      <c r="CV495" t="s">
        <v>141</v>
      </c>
      <c r="CY495">
        <v>14311121</v>
      </c>
      <c r="CZ495" t="s">
        <v>119</v>
      </c>
    </row>
    <row r="496" spans="1:104" x14ac:dyDescent="0.25">
      <c r="A496" t="str">
        <f>"13:58:38.305"</f>
        <v>13:58:38.305</v>
      </c>
      <c r="B496" t="s">
        <v>108</v>
      </c>
      <c r="C496" t="str">
        <f t="shared" si="22"/>
        <v>ffdfd3c0</v>
      </c>
      <c r="D496" t="s">
        <v>109</v>
      </c>
      <c r="E496">
        <v>4</v>
      </c>
      <c r="F496">
        <v>1004</v>
      </c>
      <c r="G496" t="s">
        <v>110</v>
      </c>
      <c r="J496" t="s">
        <v>111</v>
      </c>
      <c r="K496">
        <v>0</v>
      </c>
      <c r="L496">
        <v>3</v>
      </c>
      <c r="M496">
        <v>0</v>
      </c>
      <c r="N496">
        <v>2</v>
      </c>
      <c r="O496">
        <v>1</v>
      </c>
      <c r="P496">
        <v>0</v>
      </c>
      <c r="Q496">
        <v>0</v>
      </c>
      <c r="R496" t="s">
        <v>112</v>
      </c>
      <c r="S496" t="str">
        <f>"13:58:38.094"</f>
        <v>13:58:38.094</v>
      </c>
      <c r="T496" t="str">
        <f>"13:58:37.695"</f>
        <v>13:58:37.695</v>
      </c>
      <c r="U496" t="str">
        <f t="shared" si="21"/>
        <v>ad5732</v>
      </c>
      <c r="V496">
        <v>0</v>
      </c>
      <c r="W496">
        <v>0</v>
      </c>
      <c r="X496">
        <v>1</v>
      </c>
      <c r="Z496">
        <v>0</v>
      </c>
      <c r="AA496">
        <v>9</v>
      </c>
      <c r="AB496">
        <v>3</v>
      </c>
      <c r="AC496">
        <v>0</v>
      </c>
      <c r="AD496">
        <v>10</v>
      </c>
      <c r="AE496">
        <v>0</v>
      </c>
      <c r="AF496">
        <v>3</v>
      </c>
      <c r="AG496">
        <v>2</v>
      </c>
      <c r="AH496">
        <v>0</v>
      </c>
      <c r="AI496" t="s">
        <v>1089</v>
      </c>
      <c r="AJ496">
        <v>39.237628000000001</v>
      </c>
      <c r="AK496" t="s">
        <v>1090</v>
      </c>
      <c r="AL496">
        <v>-77.358018999999999</v>
      </c>
      <c r="AM496">
        <v>100</v>
      </c>
      <c r="AN496">
        <v>8200</v>
      </c>
      <c r="AO496" t="s">
        <v>115</v>
      </c>
      <c r="AP496">
        <v>137</v>
      </c>
      <c r="AQ496">
        <v>49</v>
      </c>
      <c r="AR496">
        <v>640</v>
      </c>
      <c r="AZ496">
        <v>3614</v>
      </c>
      <c r="BA496">
        <v>1</v>
      </c>
      <c r="BB496" t="str">
        <f t="shared" si="23"/>
        <v xml:space="preserve">N959MJ  </v>
      </c>
      <c r="BC496">
        <v>1</v>
      </c>
      <c r="BE496">
        <v>0</v>
      </c>
      <c r="BF496">
        <v>0</v>
      </c>
      <c r="BG496">
        <v>0</v>
      </c>
      <c r="BH496">
        <v>8550</v>
      </c>
      <c r="BI496">
        <v>350</v>
      </c>
      <c r="BJ496">
        <v>1</v>
      </c>
      <c r="BK496">
        <v>1</v>
      </c>
      <c r="BL496">
        <v>1</v>
      </c>
      <c r="BM496">
        <v>0</v>
      </c>
      <c r="BP496">
        <v>0</v>
      </c>
      <c r="BQ496">
        <v>0</v>
      </c>
      <c r="BX496" t="str">
        <f>"13:58:38.102"</f>
        <v>13:58:38.102</v>
      </c>
      <c r="BY496" t="str">
        <f>"098158130"</f>
        <v>098158130</v>
      </c>
      <c r="CL496">
        <v>0</v>
      </c>
      <c r="CM496">
        <v>2</v>
      </c>
      <c r="CN496">
        <v>0</v>
      </c>
      <c r="CO496">
        <v>2</v>
      </c>
      <c r="CP496">
        <v>0</v>
      </c>
      <c r="CQ496">
        <v>7</v>
      </c>
      <c r="CR496" t="s">
        <v>116</v>
      </c>
      <c r="CS496">
        <v>525</v>
      </c>
      <c r="CT496">
        <v>2</v>
      </c>
      <c r="CU496" t="s">
        <v>140</v>
      </c>
      <c r="CV496" t="s">
        <v>141</v>
      </c>
      <c r="CY496">
        <v>14312668</v>
      </c>
      <c r="CZ496" t="s">
        <v>119</v>
      </c>
    </row>
    <row r="497" spans="1:104" x14ac:dyDescent="0.25">
      <c r="A497" t="str">
        <f>"13:58:39.164"</f>
        <v>13:58:39.164</v>
      </c>
      <c r="B497" t="s">
        <v>108</v>
      </c>
      <c r="C497" t="str">
        <f t="shared" si="22"/>
        <v>ffdfd3c0</v>
      </c>
      <c r="D497" t="s">
        <v>109</v>
      </c>
      <c r="E497">
        <v>4</v>
      </c>
      <c r="F497">
        <v>1004</v>
      </c>
      <c r="G497" t="s">
        <v>110</v>
      </c>
      <c r="J497" t="s">
        <v>111</v>
      </c>
      <c r="K497">
        <v>0</v>
      </c>
      <c r="L497">
        <v>3</v>
      </c>
      <c r="M497">
        <v>0</v>
      </c>
      <c r="N497">
        <v>2</v>
      </c>
      <c r="O497">
        <v>1</v>
      </c>
      <c r="P497">
        <v>0</v>
      </c>
      <c r="Q497">
        <v>0</v>
      </c>
      <c r="R497" t="s">
        <v>112</v>
      </c>
      <c r="S497" t="str">
        <f>"13:58:38.977"</f>
        <v>13:58:38.977</v>
      </c>
      <c r="T497" t="str">
        <f>"13:58:38.578"</f>
        <v>13:58:38.578</v>
      </c>
      <c r="U497" t="str">
        <f t="shared" si="21"/>
        <v>ad5732</v>
      </c>
      <c r="V497">
        <v>0</v>
      </c>
      <c r="W497">
        <v>0</v>
      </c>
      <c r="X497">
        <v>1</v>
      </c>
      <c r="Z497">
        <v>0</v>
      </c>
      <c r="AA497">
        <v>9</v>
      </c>
      <c r="AB497">
        <v>3</v>
      </c>
      <c r="AC497">
        <v>0</v>
      </c>
      <c r="AD497">
        <v>10</v>
      </c>
      <c r="AE497">
        <v>0</v>
      </c>
      <c r="AF497">
        <v>3</v>
      </c>
      <c r="AG497">
        <v>2</v>
      </c>
      <c r="AH497">
        <v>0</v>
      </c>
      <c r="AI497" t="s">
        <v>1091</v>
      </c>
      <c r="AJ497">
        <v>39.237864000000002</v>
      </c>
      <c r="AK497" t="s">
        <v>1092</v>
      </c>
      <c r="AL497">
        <v>-77.357247000000001</v>
      </c>
      <c r="AM497">
        <v>100</v>
      </c>
      <c r="AN497">
        <v>8200</v>
      </c>
      <c r="AO497" t="s">
        <v>115</v>
      </c>
      <c r="AP497">
        <v>137</v>
      </c>
      <c r="AQ497">
        <v>49</v>
      </c>
      <c r="AR497">
        <v>576</v>
      </c>
      <c r="AZ497">
        <v>3614</v>
      </c>
      <c r="BA497">
        <v>1</v>
      </c>
      <c r="BB497" t="str">
        <f t="shared" si="23"/>
        <v xml:space="preserve">N959MJ  </v>
      </c>
      <c r="BC497">
        <v>1</v>
      </c>
      <c r="BE497">
        <v>0</v>
      </c>
      <c r="BF497">
        <v>0</v>
      </c>
      <c r="BG497">
        <v>0</v>
      </c>
      <c r="BH497">
        <v>8550</v>
      </c>
      <c r="BI497">
        <v>350</v>
      </c>
      <c r="BJ497">
        <v>1</v>
      </c>
      <c r="BK497">
        <v>1</v>
      </c>
      <c r="BL497">
        <v>1</v>
      </c>
      <c r="BM497">
        <v>0</v>
      </c>
      <c r="BP497">
        <v>0</v>
      </c>
      <c r="BQ497">
        <v>0</v>
      </c>
      <c r="BX497" t="str">
        <f>"13:58:38.984"</f>
        <v>13:58:38.984</v>
      </c>
      <c r="BY497" t="str">
        <f>"981269776"</f>
        <v>981269776</v>
      </c>
      <c r="CL497">
        <v>0</v>
      </c>
      <c r="CM497">
        <v>2</v>
      </c>
      <c r="CN497">
        <v>0</v>
      </c>
      <c r="CO497">
        <v>2</v>
      </c>
      <c r="CP497">
        <v>0</v>
      </c>
      <c r="CQ497">
        <v>7</v>
      </c>
      <c r="CR497" t="s">
        <v>116</v>
      </c>
      <c r="CS497">
        <v>525</v>
      </c>
      <c r="CT497">
        <v>2</v>
      </c>
      <c r="CU497" t="s">
        <v>140</v>
      </c>
      <c r="CV497" t="s">
        <v>141</v>
      </c>
      <c r="CY497">
        <v>14313969</v>
      </c>
      <c r="CZ497" t="s">
        <v>119</v>
      </c>
    </row>
    <row r="498" spans="1:104" x14ac:dyDescent="0.25">
      <c r="A498" t="str">
        <f>"13:58:40.070"</f>
        <v>13:58:40.070</v>
      </c>
      <c r="B498" t="s">
        <v>108</v>
      </c>
      <c r="C498" t="str">
        <f t="shared" si="22"/>
        <v>ffdfd3c0</v>
      </c>
      <c r="D498" t="s">
        <v>109</v>
      </c>
      <c r="E498">
        <v>4</v>
      </c>
      <c r="F498">
        <v>1004</v>
      </c>
      <c r="G498" t="s">
        <v>110</v>
      </c>
      <c r="J498" t="s">
        <v>111</v>
      </c>
      <c r="K498">
        <v>0</v>
      </c>
      <c r="L498">
        <v>3</v>
      </c>
      <c r="M498">
        <v>0</v>
      </c>
      <c r="N498">
        <v>2</v>
      </c>
      <c r="O498">
        <v>1</v>
      </c>
      <c r="P498">
        <v>0</v>
      </c>
      <c r="Q498">
        <v>0</v>
      </c>
      <c r="R498" t="s">
        <v>112</v>
      </c>
      <c r="S498" t="str">
        <f>"13:58:39.914"</f>
        <v>13:58:39.914</v>
      </c>
      <c r="T498" t="str">
        <f>"13:58:39.516"</f>
        <v>13:58:39.516</v>
      </c>
      <c r="U498" t="str">
        <f t="shared" si="21"/>
        <v>ad5732</v>
      </c>
      <c r="V498">
        <v>0</v>
      </c>
      <c r="W498">
        <v>0</v>
      </c>
      <c r="X498">
        <v>1</v>
      </c>
      <c r="Z498">
        <v>0</v>
      </c>
      <c r="AA498">
        <v>9</v>
      </c>
      <c r="AB498">
        <v>3</v>
      </c>
      <c r="AC498">
        <v>0</v>
      </c>
      <c r="AD498">
        <v>10</v>
      </c>
      <c r="AE498">
        <v>0</v>
      </c>
      <c r="AF498">
        <v>3</v>
      </c>
      <c r="AG498">
        <v>2</v>
      </c>
      <c r="AH498">
        <v>0</v>
      </c>
      <c r="AI498" t="s">
        <v>1093</v>
      </c>
      <c r="AJ498">
        <v>39.238036000000001</v>
      </c>
      <c r="AK498" t="s">
        <v>1094</v>
      </c>
      <c r="AL498">
        <v>-77.356516999999997</v>
      </c>
      <c r="AM498">
        <v>100</v>
      </c>
      <c r="AN498">
        <v>8200</v>
      </c>
      <c r="AO498" t="s">
        <v>115</v>
      </c>
      <c r="AP498">
        <v>138</v>
      </c>
      <c r="AQ498">
        <v>50</v>
      </c>
      <c r="AR498">
        <v>576</v>
      </c>
      <c r="AZ498">
        <v>3614</v>
      </c>
      <c r="BA498">
        <v>1</v>
      </c>
      <c r="BB498" t="str">
        <f t="shared" si="23"/>
        <v xml:space="preserve">N959MJ  </v>
      </c>
      <c r="BC498">
        <v>1</v>
      </c>
      <c r="BE498">
        <v>0</v>
      </c>
      <c r="BF498">
        <v>0</v>
      </c>
      <c r="BG498">
        <v>0</v>
      </c>
      <c r="BH498">
        <v>8575</v>
      </c>
      <c r="BI498">
        <v>375</v>
      </c>
      <c r="BJ498">
        <v>1</v>
      </c>
      <c r="BK498">
        <v>1</v>
      </c>
      <c r="BL498">
        <v>1</v>
      </c>
      <c r="BM498">
        <v>0</v>
      </c>
      <c r="BP498">
        <v>0</v>
      </c>
      <c r="BQ498">
        <v>0</v>
      </c>
      <c r="BX498" t="str">
        <f>"13:58:39.914"</f>
        <v>13:58:39.914</v>
      </c>
      <c r="BY498" t="str">
        <f>"915425131"</f>
        <v>915425131</v>
      </c>
      <c r="CL498">
        <v>0</v>
      </c>
      <c r="CM498">
        <v>2</v>
      </c>
      <c r="CN498">
        <v>0</v>
      </c>
      <c r="CO498">
        <v>2</v>
      </c>
      <c r="CP498">
        <v>0</v>
      </c>
      <c r="CQ498">
        <v>5</v>
      </c>
      <c r="CR498" t="s">
        <v>116</v>
      </c>
      <c r="CS498">
        <v>372</v>
      </c>
      <c r="CT498">
        <v>2</v>
      </c>
      <c r="CU498" t="s">
        <v>877</v>
      </c>
      <c r="CV498" t="s">
        <v>878</v>
      </c>
      <c r="CY498">
        <v>9031883</v>
      </c>
      <c r="CZ498" t="s">
        <v>119</v>
      </c>
    </row>
    <row r="499" spans="1:104" x14ac:dyDescent="0.25">
      <c r="A499" t="str">
        <f>"13:58:41.133"</f>
        <v>13:58:41.133</v>
      </c>
      <c r="B499" t="s">
        <v>108</v>
      </c>
      <c r="C499" t="str">
        <f t="shared" si="22"/>
        <v>ffdfd3c0</v>
      </c>
      <c r="D499" t="s">
        <v>109</v>
      </c>
      <c r="E499">
        <v>4</v>
      </c>
      <c r="F499">
        <v>1004</v>
      </c>
      <c r="G499" t="s">
        <v>110</v>
      </c>
      <c r="J499" t="s">
        <v>111</v>
      </c>
      <c r="K499">
        <v>0</v>
      </c>
      <c r="L499">
        <v>3</v>
      </c>
      <c r="M499">
        <v>0</v>
      </c>
      <c r="N499">
        <v>2</v>
      </c>
      <c r="O499">
        <v>1</v>
      </c>
      <c r="P499">
        <v>0</v>
      </c>
      <c r="Q499">
        <v>0</v>
      </c>
      <c r="R499" t="s">
        <v>112</v>
      </c>
      <c r="S499" t="str">
        <f>"13:58:40.945"</f>
        <v>13:58:40.945</v>
      </c>
      <c r="T499" t="str">
        <f>"13:58:40.445"</f>
        <v>13:58:40.445</v>
      </c>
      <c r="U499" t="str">
        <f t="shared" si="21"/>
        <v>ad5732</v>
      </c>
      <c r="V499">
        <v>0</v>
      </c>
      <c r="W499">
        <v>0</v>
      </c>
      <c r="X499">
        <v>1</v>
      </c>
      <c r="Z499">
        <v>0</v>
      </c>
      <c r="AA499">
        <v>9</v>
      </c>
      <c r="AB499">
        <v>3</v>
      </c>
      <c r="AC499">
        <v>0</v>
      </c>
      <c r="AD499">
        <v>10</v>
      </c>
      <c r="AE499">
        <v>0</v>
      </c>
      <c r="AF499">
        <v>3</v>
      </c>
      <c r="AG499">
        <v>2</v>
      </c>
      <c r="AH499">
        <v>0</v>
      </c>
      <c r="AI499" t="s">
        <v>1095</v>
      </c>
      <c r="AJ499">
        <v>39.238272000000002</v>
      </c>
      <c r="AK499" t="s">
        <v>1096</v>
      </c>
      <c r="AL499">
        <v>-77.355701999999994</v>
      </c>
      <c r="AM499">
        <v>100</v>
      </c>
      <c r="AN499">
        <v>8200</v>
      </c>
      <c r="AO499" t="s">
        <v>115</v>
      </c>
      <c r="AP499">
        <v>138</v>
      </c>
      <c r="AQ499">
        <v>50</v>
      </c>
      <c r="AR499">
        <v>512</v>
      </c>
      <c r="AZ499">
        <v>3614</v>
      </c>
      <c r="BA499">
        <v>1</v>
      </c>
      <c r="BB499" t="str">
        <f t="shared" si="23"/>
        <v xml:space="preserve">N959MJ  </v>
      </c>
      <c r="BC499">
        <v>1</v>
      </c>
      <c r="BE499">
        <v>0</v>
      </c>
      <c r="BF499">
        <v>0</v>
      </c>
      <c r="BG499">
        <v>0</v>
      </c>
      <c r="BH499">
        <v>8575</v>
      </c>
      <c r="BI499">
        <v>375</v>
      </c>
      <c r="BJ499">
        <v>1</v>
      </c>
      <c r="BK499">
        <v>1</v>
      </c>
      <c r="BL499">
        <v>1</v>
      </c>
      <c r="BM499">
        <v>0</v>
      </c>
      <c r="BP499">
        <v>0</v>
      </c>
      <c r="BQ499">
        <v>0</v>
      </c>
      <c r="BX499" t="str">
        <f>"13:58:40.945"</f>
        <v>13:58:40.945</v>
      </c>
      <c r="BY499" t="str">
        <f>"945742679"</f>
        <v>945742679</v>
      </c>
      <c r="CL499">
        <v>0</v>
      </c>
      <c r="CM499">
        <v>2</v>
      </c>
      <c r="CN499">
        <v>0</v>
      </c>
      <c r="CO499">
        <v>2</v>
      </c>
      <c r="CP499">
        <v>0</v>
      </c>
      <c r="CQ499">
        <v>7</v>
      </c>
      <c r="CR499" t="s">
        <v>116</v>
      </c>
      <c r="CS499">
        <v>525</v>
      </c>
      <c r="CT499">
        <v>2</v>
      </c>
      <c r="CU499" t="s">
        <v>140</v>
      </c>
      <c r="CV499" t="s">
        <v>141</v>
      </c>
      <c r="CY499">
        <v>14316778</v>
      </c>
      <c r="CZ499" t="s">
        <v>119</v>
      </c>
    </row>
    <row r="500" spans="1:104" x14ac:dyDescent="0.25">
      <c r="A500" t="str">
        <f>"13:58:42.188"</f>
        <v>13:58:42.188</v>
      </c>
      <c r="B500" t="s">
        <v>108</v>
      </c>
      <c r="C500" t="str">
        <f t="shared" si="22"/>
        <v>ffdfd3c0</v>
      </c>
      <c r="D500" t="s">
        <v>109</v>
      </c>
      <c r="E500">
        <v>4</v>
      </c>
      <c r="F500">
        <v>1004</v>
      </c>
      <c r="G500" t="s">
        <v>110</v>
      </c>
      <c r="J500" t="s">
        <v>111</v>
      </c>
      <c r="K500">
        <v>0</v>
      </c>
      <c r="L500">
        <v>3</v>
      </c>
      <c r="M500">
        <v>0</v>
      </c>
      <c r="N500">
        <v>2</v>
      </c>
      <c r="O500">
        <v>1</v>
      </c>
      <c r="P500">
        <v>0</v>
      </c>
      <c r="Q500">
        <v>0</v>
      </c>
      <c r="R500" t="s">
        <v>112</v>
      </c>
      <c r="S500" t="str">
        <f>"13:58:41.992"</f>
        <v>13:58:41.992</v>
      </c>
      <c r="T500" t="str">
        <f>"13:58:41.492"</f>
        <v>13:58:41.492</v>
      </c>
      <c r="U500" t="str">
        <f t="shared" si="21"/>
        <v>ad5732</v>
      </c>
      <c r="V500">
        <v>0</v>
      </c>
      <c r="W500">
        <v>0</v>
      </c>
      <c r="X500">
        <v>1</v>
      </c>
      <c r="Z500">
        <v>0</v>
      </c>
      <c r="AA500">
        <v>9</v>
      </c>
      <c r="AB500">
        <v>3</v>
      </c>
      <c r="AC500">
        <v>0</v>
      </c>
      <c r="AD500">
        <v>10</v>
      </c>
      <c r="AE500">
        <v>0</v>
      </c>
      <c r="AF500">
        <v>3</v>
      </c>
      <c r="AG500">
        <v>2</v>
      </c>
      <c r="AH500">
        <v>0</v>
      </c>
      <c r="AI500" t="s">
        <v>1097</v>
      </c>
      <c r="AJ500">
        <v>39.238551000000001</v>
      </c>
      <c r="AK500" t="s">
        <v>1098</v>
      </c>
      <c r="AL500">
        <v>-77.354800999999995</v>
      </c>
      <c r="AM500">
        <v>100</v>
      </c>
      <c r="AN500">
        <v>8300</v>
      </c>
      <c r="AO500" t="s">
        <v>115</v>
      </c>
      <c r="AP500">
        <v>139</v>
      </c>
      <c r="AQ500">
        <v>50</v>
      </c>
      <c r="AR500">
        <v>512</v>
      </c>
      <c r="AZ500">
        <v>3614</v>
      </c>
      <c r="BA500">
        <v>1</v>
      </c>
      <c r="BB500" t="str">
        <f t="shared" si="23"/>
        <v xml:space="preserve">N959MJ  </v>
      </c>
      <c r="BC500">
        <v>1</v>
      </c>
      <c r="BE500">
        <v>0</v>
      </c>
      <c r="BF500">
        <v>0</v>
      </c>
      <c r="BG500">
        <v>0</v>
      </c>
      <c r="BH500">
        <v>8575</v>
      </c>
      <c r="BI500">
        <v>275</v>
      </c>
      <c r="BJ500">
        <v>1</v>
      </c>
      <c r="BK500">
        <v>1</v>
      </c>
      <c r="BL500">
        <v>1</v>
      </c>
      <c r="BM500">
        <v>0</v>
      </c>
      <c r="BP500">
        <v>0</v>
      </c>
      <c r="BQ500">
        <v>0</v>
      </c>
      <c r="BX500" t="str">
        <f>"13:58:41.992"</f>
        <v>13:58:41.992</v>
      </c>
      <c r="BY500" t="str">
        <f>"995973804"</f>
        <v>995973804</v>
      </c>
      <c r="CL500">
        <v>0</v>
      </c>
      <c r="CM500">
        <v>2</v>
      </c>
      <c r="CN500">
        <v>0</v>
      </c>
      <c r="CO500">
        <v>2</v>
      </c>
      <c r="CP500">
        <v>0</v>
      </c>
      <c r="CQ500">
        <v>7</v>
      </c>
      <c r="CR500" t="s">
        <v>116</v>
      </c>
      <c r="CS500">
        <v>525</v>
      </c>
      <c r="CT500">
        <v>2</v>
      </c>
      <c r="CU500" t="s">
        <v>140</v>
      </c>
      <c r="CV500" t="s">
        <v>141</v>
      </c>
      <c r="CY500">
        <v>14318448</v>
      </c>
      <c r="CZ500" t="s">
        <v>119</v>
      </c>
    </row>
    <row r="501" spans="1:104" x14ac:dyDescent="0.25">
      <c r="A501" t="str">
        <f>"13:58:43.148"</f>
        <v>13:58:43.148</v>
      </c>
      <c r="B501" t="s">
        <v>108</v>
      </c>
      <c r="C501" t="str">
        <f t="shared" si="22"/>
        <v>ffdfd3c0</v>
      </c>
      <c r="D501" t="s">
        <v>109</v>
      </c>
      <c r="E501">
        <v>4</v>
      </c>
      <c r="F501">
        <v>1004</v>
      </c>
      <c r="G501" t="s">
        <v>110</v>
      </c>
      <c r="J501" t="s">
        <v>111</v>
      </c>
      <c r="K501">
        <v>0</v>
      </c>
      <c r="L501">
        <v>3</v>
      </c>
      <c r="M501">
        <v>0</v>
      </c>
      <c r="N501">
        <v>2</v>
      </c>
      <c r="O501">
        <v>1</v>
      </c>
      <c r="P501">
        <v>0</v>
      </c>
      <c r="Q501">
        <v>0</v>
      </c>
      <c r="R501" t="s">
        <v>112</v>
      </c>
      <c r="S501" t="str">
        <f>"13:58:42.977"</f>
        <v>13:58:42.977</v>
      </c>
      <c r="T501" t="str">
        <f>"13:58:42.578"</f>
        <v>13:58:42.578</v>
      </c>
      <c r="U501" t="str">
        <f t="shared" si="21"/>
        <v>ad5732</v>
      </c>
      <c r="V501">
        <v>0</v>
      </c>
      <c r="W501">
        <v>0</v>
      </c>
      <c r="X501">
        <v>1</v>
      </c>
      <c r="Z501">
        <v>0</v>
      </c>
      <c r="AA501">
        <v>9</v>
      </c>
      <c r="AB501">
        <v>3</v>
      </c>
      <c r="AC501">
        <v>0</v>
      </c>
      <c r="AD501">
        <v>10</v>
      </c>
      <c r="AE501">
        <v>0</v>
      </c>
      <c r="AF501">
        <v>3</v>
      </c>
      <c r="AG501">
        <v>2</v>
      </c>
      <c r="AH501">
        <v>0</v>
      </c>
      <c r="AI501" t="s">
        <v>1099</v>
      </c>
      <c r="AJ501">
        <v>39.238787000000002</v>
      </c>
      <c r="AK501" t="s">
        <v>1100</v>
      </c>
      <c r="AL501">
        <v>-77.353942000000004</v>
      </c>
      <c r="AM501">
        <v>100</v>
      </c>
      <c r="AN501">
        <v>8300</v>
      </c>
      <c r="AO501" t="s">
        <v>115</v>
      </c>
      <c r="AP501">
        <v>139</v>
      </c>
      <c r="AQ501">
        <v>51</v>
      </c>
      <c r="AR501">
        <v>512</v>
      </c>
      <c r="AZ501">
        <v>3614</v>
      </c>
      <c r="BA501">
        <v>1</v>
      </c>
      <c r="BB501" t="str">
        <f t="shared" si="23"/>
        <v xml:space="preserve">N959MJ  </v>
      </c>
      <c r="BC501">
        <v>1</v>
      </c>
      <c r="BE501">
        <v>0</v>
      </c>
      <c r="BF501">
        <v>0</v>
      </c>
      <c r="BG501">
        <v>0</v>
      </c>
      <c r="BH501">
        <v>8600</v>
      </c>
      <c r="BI501">
        <v>300</v>
      </c>
      <c r="BJ501">
        <v>1</v>
      </c>
      <c r="BK501">
        <v>1</v>
      </c>
      <c r="BL501">
        <v>1</v>
      </c>
      <c r="BM501">
        <v>0</v>
      </c>
      <c r="BP501">
        <v>0</v>
      </c>
      <c r="BQ501">
        <v>0</v>
      </c>
      <c r="BX501" t="str">
        <f>"13:58:42.977"</f>
        <v>13:58:42.977</v>
      </c>
      <c r="BY501" t="str">
        <f>"977391097"</f>
        <v>977391097</v>
      </c>
      <c r="CL501">
        <v>0</v>
      </c>
      <c r="CM501">
        <v>2</v>
      </c>
      <c r="CN501">
        <v>0</v>
      </c>
      <c r="CO501">
        <v>2</v>
      </c>
      <c r="CP501">
        <v>0</v>
      </c>
      <c r="CQ501">
        <v>7</v>
      </c>
      <c r="CR501" t="s">
        <v>116</v>
      </c>
      <c r="CS501">
        <v>525</v>
      </c>
      <c r="CT501">
        <v>2</v>
      </c>
      <c r="CU501" t="s">
        <v>140</v>
      </c>
      <c r="CV501" t="s">
        <v>141</v>
      </c>
      <c r="CY501">
        <v>14319891</v>
      </c>
      <c r="CZ501" t="s">
        <v>119</v>
      </c>
    </row>
    <row r="502" spans="1:104" x14ac:dyDescent="0.25">
      <c r="A502" t="str">
        <f>"13:58:44.313"</f>
        <v>13:58:44.313</v>
      </c>
      <c r="B502" t="s">
        <v>108</v>
      </c>
      <c r="C502" t="str">
        <f t="shared" si="22"/>
        <v>ffdfd3c0</v>
      </c>
      <c r="D502" t="s">
        <v>109</v>
      </c>
      <c r="E502">
        <v>4</v>
      </c>
      <c r="F502">
        <v>1004</v>
      </c>
      <c r="G502" t="s">
        <v>110</v>
      </c>
      <c r="J502" t="s">
        <v>111</v>
      </c>
      <c r="K502">
        <v>0</v>
      </c>
      <c r="L502">
        <v>3</v>
      </c>
      <c r="M502">
        <v>0</v>
      </c>
      <c r="N502">
        <v>2</v>
      </c>
      <c r="O502">
        <v>1</v>
      </c>
      <c r="P502">
        <v>0</v>
      </c>
      <c r="Q502">
        <v>0</v>
      </c>
      <c r="R502" t="s">
        <v>112</v>
      </c>
      <c r="S502" t="str">
        <f>"13:58:44.109"</f>
        <v>13:58:44.109</v>
      </c>
      <c r="T502" t="str">
        <f>"13:58:43.609"</f>
        <v>13:58:43.609</v>
      </c>
      <c r="U502" t="str">
        <f t="shared" si="21"/>
        <v>ad5732</v>
      </c>
      <c r="V502">
        <v>0</v>
      </c>
      <c r="W502">
        <v>0</v>
      </c>
      <c r="X502">
        <v>1</v>
      </c>
      <c r="Z502">
        <v>0</v>
      </c>
      <c r="AA502">
        <v>9</v>
      </c>
      <c r="AB502">
        <v>3</v>
      </c>
      <c r="AC502">
        <v>0</v>
      </c>
      <c r="AD502">
        <v>10</v>
      </c>
      <c r="AE502">
        <v>0</v>
      </c>
      <c r="AF502">
        <v>3</v>
      </c>
      <c r="AG502">
        <v>2</v>
      </c>
      <c r="AH502">
        <v>0</v>
      </c>
      <c r="AI502" t="s">
        <v>1101</v>
      </c>
      <c r="AJ502">
        <v>39.239044</v>
      </c>
      <c r="AK502" t="s">
        <v>1102</v>
      </c>
      <c r="AL502">
        <v>-77.353063000000006</v>
      </c>
      <c r="AM502">
        <v>100</v>
      </c>
      <c r="AN502">
        <v>8300</v>
      </c>
      <c r="AO502" t="s">
        <v>115</v>
      </c>
      <c r="AP502">
        <v>140</v>
      </c>
      <c r="AQ502">
        <v>51</v>
      </c>
      <c r="AR502">
        <v>512</v>
      </c>
      <c r="AZ502">
        <v>3614</v>
      </c>
      <c r="BA502">
        <v>1</v>
      </c>
      <c r="BB502" t="str">
        <f t="shared" si="23"/>
        <v xml:space="preserve">N959MJ  </v>
      </c>
      <c r="BC502">
        <v>1</v>
      </c>
      <c r="BE502">
        <v>0</v>
      </c>
      <c r="BF502">
        <v>0</v>
      </c>
      <c r="BG502">
        <v>0</v>
      </c>
      <c r="BH502">
        <v>8600</v>
      </c>
      <c r="BI502">
        <v>300</v>
      </c>
      <c r="BJ502">
        <v>1</v>
      </c>
      <c r="BK502">
        <v>1</v>
      </c>
      <c r="BL502">
        <v>1</v>
      </c>
      <c r="BM502">
        <v>0</v>
      </c>
      <c r="BP502">
        <v>0</v>
      </c>
      <c r="BQ502">
        <v>0</v>
      </c>
      <c r="BX502" t="str">
        <f>"13:58:44.109"</f>
        <v>13:58:44.109</v>
      </c>
      <c r="BY502" t="str">
        <f>"112820343"</f>
        <v>112820343</v>
      </c>
      <c r="CL502">
        <v>0</v>
      </c>
      <c r="CM502">
        <v>2</v>
      </c>
      <c r="CN502">
        <v>0</v>
      </c>
      <c r="CO502">
        <v>2</v>
      </c>
      <c r="CP502">
        <v>0</v>
      </c>
      <c r="CQ502">
        <v>7</v>
      </c>
      <c r="CR502" t="s">
        <v>116</v>
      </c>
      <c r="CS502">
        <v>525</v>
      </c>
      <c r="CT502">
        <v>2</v>
      </c>
      <c r="CU502" t="s">
        <v>140</v>
      </c>
      <c r="CV502" t="s">
        <v>141</v>
      </c>
      <c r="CY502">
        <v>14321601</v>
      </c>
      <c r="CZ502" t="s">
        <v>119</v>
      </c>
    </row>
    <row r="503" spans="1:104" x14ac:dyDescent="0.25">
      <c r="A503" t="str">
        <f>"13:58:45.367"</f>
        <v>13:58:45.367</v>
      </c>
      <c r="B503" t="s">
        <v>108</v>
      </c>
      <c r="C503" t="str">
        <f t="shared" si="22"/>
        <v>ffdfd3c0</v>
      </c>
      <c r="D503" t="s">
        <v>109</v>
      </c>
      <c r="E503">
        <v>4</v>
      </c>
      <c r="F503">
        <v>1004</v>
      </c>
      <c r="G503" t="s">
        <v>110</v>
      </c>
      <c r="J503" t="s">
        <v>111</v>
      </c>
      <c r="K503">
        <v>0</v>
      </c>
      <c r="L503">
        <v>3</v>
      </c>
      <c r="M503">
        <v>0</v>
      </c>
      <c r="N503">
        <v>2</v>
      </c>
      <c r="O503">
        <v>1</v>
      </c>
      <c r="P503">
        <v>0</v>
      </c>
      <c r="Q503">
        <v>0</v>
      </c>
      <c r="R503" t="s">
        <v>112</v>
      </c>
      <c r="S503" t="str">
        <f>"13:58:45.195"</f>
        <v>13:58:45.195</v>
      </c>
      <c r="T503" t="str">
        <f>"13:58:44.695"</f>
        <v>13:58:44.695</v>
      </c>
      <c r="U503" t="str">
        <f t="shared" si="21"/>
        <v>ad5732</v>
      </c>
      <c r="V503">
        <v>0</v>
      </c>
      <c r="W503">
        <v>0</v>
      </c>
      <c r="X503">
        <v>1</v>
      </c>
      <c r="Z503">
        <v>0</v>
      </c>
      <c r="AA503">
        <v>9</v>
      </c>
      <c r="AB503">
        <v>3</v>
      </c>
      <c r="AC503">
        <v>0</v>
      </c>
      <c r="AD503">
        <v>10</v>
      </c>
      <c r="AE503">
        <v>0</v>
      </c>
      <c r="AF503">
        <v>3</v>
      </c>
      <c r="AG503">
        <v>2</v>
      </c>
      <c r="AH503">
        <v>0</v>
      </c>
      <c r="AI503" t="s">
        <v>1103</v>
      </c>
      <c r="AJ503">
        <v>39.239302000000002</v>
      </c>
      <c r="AK503" t="s">
        <v>1104</v>
      </c>
      <c r="AL503">
        <v>-77.352118000000004</v>
      </c>
      <c r="AM503">
        <v>100</v>
      </c>
      <c r="AN503">
        <v>8300</v>
      </c>
      <c r="AO503" t="s">
        <v>115</v>
      </c>
      <c r="AP503">
        <v>140</v>
      </c>
      <c r="AQ503">
        <v>52</v>
      </c>
      <c r="AR503">
        <v>512</v>
      </c>
      <c r="AZ503">
        <v>3614</v>
      </c>
      <c r="BA503">
        <v>1</v>
      </c>
      <c r="BB503" t="str">
        <f t="shared" si="23"/>
        <v xml:space="preserve">N959MJ  </v>
      </c>
      <c r="BC503">
        <v>1</v>
      </c>
      <c r="BE503">
        <v>0</v>
      </c>
      <c r="BF503">
        <v>0</v>
      </c>
      <c r="BG503">
        <v>0</v>
      </c>
      <c r="BH503">
        <v>8600</v>
      </c>
      <c r="BI503">
        <v>300</v>
      </c>
      <c r="BJ503">
        <v>1</v>
      </c>
      <c r="BK503">
        <v>1</v>
      </c>
      <c r="BL503">
        <v>1</v>
      </c>
      <c r="BM503">
        <v>0</v>
      </c>
      <c r="BP503">
        <v>0</v>
      </c>
      <c r="BQ503">
        <v>0</v>
      </c>
      <c r="BX503" t="str">
        <f>"13:58:45.203"</f>
        <v>13:58:45.203</v>
      </c>
      <c r="BY503" t="str">
        <f>"202373696"</f>
        <v>202373696</v>
      </c>
      <c r="CL503">
        <v>0</v>
      </c>
      <c r="CM503">
        <v>2</v>
      </c>
      <c r="CN503">
        <v>0</v>
      </c>
      <c r="CO503">
        <v>2</v>
      </c>
      <c r="CP503">
        <v>0</v>
      </c>
      <c r="CQ503">
        <v>7</v>
      </c>
      <c r="CR503" t="s">
        <v>116</v>
      </c>
      <c r="CS503">
        <v>525</v>
      </c>
      <c r="CT503">
        <v>2</v>
      </c>
      <c r="CU503" t="s">
        <v>140</v>
      </c>
      <c r="CV503" t="s">
        <v>141</v>
      </c>
      <c r="CY503">
        <v>14323051</v>
      </c>
      <c r="CZ503" t="s">
        <v>119</v>
      </c>
    </row>
    <row r="504" spans="1:104" x14ac:dyDescent="0.25">
      <c r="A504" t="str">
        <f>"13:58:46.375"</f>
        <v>13:58:46.375</v>
      </c>
      <c r="B504" t="s">
        <v>108</v>
      </c>
      <c r="C504" t="str">
        <f t="shared" si="22"/>
        <v>ffdfd3c0</v>
      </c>
      <c r="D504" t="s">
        <v>109</v>
      </c>
      <c r="E504">
        <v>4</v>
      </c>
      <c r="F504">
        <v>1004</v>
      </c>
      <c r="G504" t="s">
        <v>110</v>
      </c>
      <c r="J504" t="s">
        <v>111</v>
      </c>
      <c r="K504">
        <v>0</v>
      </c>
      <c r="L504">
        <v>3</v>
      </c>
      <c r="M504">
        <v>0</v>
      </c>
      <c r="N504">
        <v>2</v>
      </c>
      <c r="O504">
        <v>1</v>
      </c>
      <c r="P504">
        <v>0</v>
      </c>
      <c r="Q504">
        <v>0</v>
      </c>
      <c r="R504" t="s">
        <v>112</v>
      </c>
      <c r="S504" t="str">
        <f>"13:58:46.203"</f>
        <v>13:58:46.203</v>
      </c>
      <c r="T504" t="str">
        <f>"13:58:45.703"</f>
        <v>13:58:45.703</v>
      </c>
      <c r="U504" t="str">
        <f t="shared" si="21"/>
        <v>ad5732</v>
      </c>
      <c r="V504">
        <v>0</v>
      </c>
      <c r="W504">
        <v>0</v>
      </c>
      <c r="X504">
        <v>1</v>
      </c>
      <c r="Z504">
        <v>0</v>
      </c>
      <c r="AA504">
        <v>9</v>
      </c>
      <c r="AB504">
        <v>3</v>
      </c>
      <c r="AC504">
        <v>0</v>
      </c>
      <c r="AD504">
        <v>10</v>
      </c>
      <c r="AE504">
        <v>0</v>
      </c>
      <c r="AF504">
        <v>3</v>
      </c>
      <c r="AG504">
        <v>2</v>
      </c>
      <c r="AH504">
        <v>0</v>
      </c>
      <c r="AI504" t="s">
        <v>1105</v>
      </c>
      <c r="AJ504">
        <v>39.239538000000003</v>
      </c>
      <c r="AK504" t="s">
        <v>1106</v>
      </c>
      <c r="AL504">
        <v>-77.351325000000003</v>
      </c>
      <c r="AM504">
        <v>100</v>
      </c>
      <c r="AN504">
        <v>8300</v>
      </c>
      <c r="AO504" t="s">
        <v>115</v>
      </c>
      <c r="AP504">
        <v>140</v>
      </c>
      <c r="AQ504">
        <v>53</v>
      </c>
      <c r="AR504">
        <v>576</v>
      </c>
      <c r="AZ504">
        <v>3614</v>
      </c>
      <c r="BA504">
        <v>1</v>
      </c>
      <c r="BB504" t="str">
        <f t="shared" si="23"/>
        <v xml:space="preserve">N959MJ  </v>
      </c>
      <c r="BC504">
        <v>1</v>
      </c>
      <c r="BE504">
        <v>0</v>
      </c>
      <c r="BF504">
        <v>0</v>
      </c>
      <c r="BG504">
        <v>0</v>
      </c>
      <c r="BH504">
        <v>8625</v>
      </c>
      <c r="BI504">
        <v>325</v>
      </c>
      <c r="BJ504">
        <v>1</v>
      </c>
      <c r="BK504">
        <v>1</v>
      </c>
      <c r="BL504">
        <v>1</v>
      </c>
      <c r="BM504">
        <v>0</v>
      </c>
      <c r="BP504">
        <v>0</v>
      </c>
      <c r="BQ504">
        <v>0</v>
      </c>
      <c r="BX504" t="str">
        <f>"13:58:46.211"</f>
        <v>13:58:46.211</v>
      </c>
      <c r="BY504" t="str">
        <f>"208413510"</f>
        <v>208413510</v>
      </c>
      <c r="CL504">
        <v>0</v>
      </c>
      <c r="CM504">
        <v>2</v>
      </c>
      <c r="CN504">
        <v>0</v>
      </c>
      <c r="CO504">
        <v>2</v>
      </c>
      <c r="CP504">
        <v>0</v>
      </c>
      <c r="CQ504">
        <v>7</v>
      </c>
      <c r="CR504" t="s">
        <v>116</v>
      </c>
      <c r="CS504">
        <v>525</v>
      </c>
      <c r="CT504">
        <v>2</v>
      </c>
      <c r="CU504" t="s">
        <v>140</v>
      </c>
      <c r="CV504" t="s">
        <v>141</v>
      </c>
      <c r="CY504">
        <v>14324549</v>
      </c>
      <c r="CZ504" t="s">
        <v>119</v>
      </c>
    </row>
    <row r="505" spans="1:104" x14ac:dyDescent="0.25">
      <c r="A505" t="str">
        <f>"13:58:47.391"</f>
        <v>13:58:47.391</v>
      </c>
      <c r="B505" t="s">
        <v>108</v>
      </c>
      <c r="C505" t="str">
        <f t="shared" si="22"/>
        <v>ffdfd3c0</v>
      </c>
      <c r="D505" t="s">
        <v>109</v>
      </c>
      <c r="E505">
        <v>4</v>
      </c>
      <c r="F505">
        <v>1004</v>
      </c>
      <c r="G505" t="s">
        <v>110</v>
      </c>
      <c r="J505" t="s">
        <v>111</v>
      </c>
      <c r="K505">
        <v>0</v>
      </c>
      <c r="L505">
        <v>3</v>
      </c>
      <c r="M505">
        <v>0</v>
      </c>
      <c r="N505">
        <v>2</v>
      </c>
      <c r="O505">
        <v>1</v>
      </c>
      <c r="P505">
        <v>0</v>
      </c>
      <c r="Q505">
        <v>0</v>
      </c>
      <c r="R505" t="s">
        <v>112</v>
      </c>
      <c r="S505" t="str">
        <f>"13:58:47.227"</f>
        <v>13:58:47.227</v>
      </c>
      <c r="T505" t="str">
        <f>"13:58:46.727"</f>
        <v>13:58:46.727</v>
      </c>
      <c r="U505" t="str">
        <f t="shared" si="21"/>
        <v>ad5732</v>
      </c>
      <c r="V505">
        <v>0</v>
      </c>
      <c r="W505">
        <v>0</v>
      </c>
      <c r="X505">
        <v>1</v>
      </c>
      <c r="Z505">
        <v>0</v>
      </c>
      <c r="AA505">
        <v>9</v>
      </c>
      <c r="AB505">
        <v>3</v>
      </c>
      <c r="AC505">
        <v>0</v>
      </c>
      <c r="AD505">
        <v>10</v>
      </c>
      <c r="AE505">
        <v>0</v>
      </c>
      <c r="AF505">
        <v>3</v>
      </c>
      <c r="AG505">
        <v>2</v>
      </c>
      <c r="AH505">
        <v>0</v>
      </c>
      <c r="AI505" t="s">
        <v>1107</v>
      </c>
      <c r="AJ505">
        <v>39.239817000000002</v>
      </c>
      <c r="AK505" t="s">
        <v>1108</v>
      </c>
      <c r="AL505">
        <v>-77.350465999999997</v>
      </c>
      <c r="AM505">
        <v>100</v>
      </c>
      <c r="AN505">
        <v>8300</v>
      </c>
      <c r="AO505" t="s">
        <v>115</v>
      </c>
      <c r="AP505">
        <v>140</v>
      </c>
      <c r="AQ505">
        <v>55</v>
      </c>
      <c r="AR505">
        <v>640</v>
      </c>
      <c r="AZ505">
        <v>3614</v>
      </c>
      <c r="BA505">
        <v>1</v>
      </c>
      <c r="BB505" t="str">
        <f t="shared" si="23"/>
        <v xml:space="preserve">N959MJ  </v>
      </c>
      <c r="BC505">
        <v>1</v>
      </c>
      <c r="BE505">
        <v>0</v>
      </c>
      <c r="BF505">
        <v>0</v>
      </c>
      <c r="BG505">
        <v>0</v>
      </c>
      <c r="BH505">
        <v>8625</v>
      </c>
      <c r="BI505">
        <v>325</v>
      </c>
      <c r="BJ505">
        <v>1</v>
      </c>
      <c r="BK505">
        <v>1</v>
      </c>
      <c r="BL505">
        <v>1</v>
      </c>
      <c r="BM505">
        <v>0</v>
      </c>
      <c r="BP505">
        <v>0</v>
      </c>
      <c r="BQ505">
        <v>0</v>
      </c>
      <c r="BX505" t="str">
        <f>"13:58:47.234"</f>
        <v>13:58:47.234</v>
      </c>
      <c r="BY505" t="str">
        <f>"234022110"</f>
        <v>234022110</v>
      </c>
      <c r="CL505">
        <v>0</v>
      </c>
      <c r="CM505">
        <v>2</v>
      </c>
      <c r="CN505">
        <v>0</v>
      </c>
      <c r="CO505">
        <v>2</v>
      </c>
      <c r="CP505">
        <v>0</v>
      </c>
      <c r="CQ505">
        <v>7</v>
      </c>
      <c r="CR505" t="s">
        <v>116</v>
      </c>
      <c r="CS505">
        <v>525</v>
      </c>
      <c r="CT505">
        <v>2</v>
      </c>
      <c r="CU505" t="s">
        <v>140</v>
      </c>
      <c r="CV505" t="s">
        <v>141</v>
      </c>
      <c r="CY505">
        <v>14326110</v>
      </c>
      <c r="CZ505" t="s">
        <v>119</v>
      </c>
    </row>
    <row r="506" spans="1:104" x14ac:dyDescent="0.25">
      <c r="A506" t="str">
        <f>"13:58:48.250"</f>
        <v>13:58:48.250</v>
      </c>
      <c r="B506" t="s">
        <v>108</v>
      </c>
      <c r="C506" t="str">
        <f t="shared" si="22"/>
        <v>ffdfd3c0</v>
      </c>
      <c r="D506" t="s">
        <v>109</v>
      </c>
      <c r="E506">
        <v>4</v>
      </c>
      <c r="F506">
        <v>1004</v>
      </c>
      <c r="G506" t="s">
        <v>110</v>
      </c>
      <c r="J506" t="s">
        <v>111</v>
      </c>
      <c r="K506">
        <v>0</v>
      </c>
      <c r="L506">
        <v>3</v>
      </c>
      <c r="M506">
        <v>0</v>
      </c>
      <c r="N506">
        <v>2</v>
      </c>
      <c r="O506">
        <v>1</v>
      </c>
      <c r="P506">
        <v>0</v>
      </c>
      <c r="Q506">
        <v>0</v>
      </c>
      <c r="R506" t="s">
        <v>112</v>
      </c>
      <c r="S506" t="str">
        <f>"13:58:48.039"</f>
        <v>13:58:48.039</v>
      </c>
      <c r="T506" t="str">
        <f>"13:58:47.641"</f>
        <v>13:58:47.641</v>
      </c>
      <c r="U506" t="str">
        <f t="shared" si="21"/>
        <v>ad5732</v>
      </c>
      <c r="V506">
        <v>0</v>
      </c>
      <c r="W506">
        <v>0</v>
      </c>
      <c r="X506">
        <v>1</v>
      </c>
      <c r="Z506">
        <v>0</v>
      </c>
      <c r="AA506">
        <v>9</v>
      </c>
      <c r="AB506">
        <v>3</v>
      </c>
      <c r="AC506">
        <v>0</v>
      </c>
      <c r="AD506">
        <v>10</v>
      </c>
      <c r="AE506">
        <v>0</v>
      </c>
      <c r="AF506">
        <v>3</v>
      </c>
      <c r="AG506">
        <v>2</v>
      </c>
      <c r="AH506">
        <v>0</v>
      </c>
      <c r="AI506" t="s">
        <v>1109</v>
      </c>
      <c r="AJ506">
        <v>39.239987999999997</v>
      </c>
      <c r="AK506" t="s">
        <v>1110</v>
      </c>
      <c r="AL506">
        <v>-77.349800999999999</v>
      </c>
      <c r="AM506">
        <v>100</v>
      </c>
      <c r="AN506">
        <v>8300</v>
      </c>
      <c r="AO506" t="s">
        <v>115</v>
      </c>
      <c r="AP506">
        <v>139</v>
      </c>
      <c r="AQ506">
        <v>57</v>
      </c>
      <c r="AR506">
        <v>704</v>
      </c>
      <c r="AZ506">
        <v>3614</v>
      </c>
      <c r="BA506">
        <v>1</v>
      </c>
      <c r="BB506" t="str">
        <f t="shared" si="23"/>
        <v xml:space="preserve">N959MJ  </v>
      </c>
      <c r="BC506">
        <v>1</v>
      </c>
      <c r="BE506">
        <v>0</v>
      </c>
      <c r="BF506">
        <v>0</v>
      </c>
      <c r="BG506">
        <v>0</v>
      </c>
      <c r="BH506">
        <v>8650</v>
      </c>
      <c r="BI506">
        <v>350</v>
      </c>
      <c r="BJ506">
        <v>1</v>
      </c>
      <c r="BK506">
        <v>1</v>
      </c>
      <c r="BL506">
        <v>1</v>
      </c>
      <c r="BM506">
        <v>0</v>
      </c>
      <c r="BP506">
        <v>0</v>
      </c>
      <c r="BQ506">
        <v>0</v>
      </c>
      <c r="BX506" t="str">
        <f>"13:58:48.047"</f>
        <v>13:58:48.047</v>
      </c>
      <c r="BY506" t="str">
        <f>"045042980"</f>
        <v>045042980</v>
      </c>
      <c r="CL506">
        <v>0</v>
      </c>
      <c r="CM506">
        <v>2</v>
      </c>
      <c r="CN506">
        <v>0</v>
      </c>
      <c r="CO506">
        <v>2</v>
      </c>
      <c r="CP506">
        <v>0</v>
      </c>
      <c r="CQ506">
        <v>7</v>
      </c>
      <c r="CR506" t="s">
        <v>116</v>
      </c>
      <c r="CS506">
        <v>525</v>
      </c>
      <c r="CT506">
        <v>2</v>
      </c>
      <c r="CU506" t="s">
        <v>140</v>
      </c>
      <c r="CV506" t="s">
        <v>141</v>
      </c>
      <c r="CY506">
        <v>14327295</v>
      </c>
      <c r="CZ506" t="s">
        <v>119</v>
      </c>
    </row>
    <row r="507" spans="1:104" x14ac:dyDescent="0.25">
      <c r="A507" t="str">
        <f>"13:58:49.203"</f>
        <v>13:58:49.203</v>
      </c>
      <c r="B507" t="s">
        <v>108</v>
      </c>
      <c r="C507" t="str">
        <f t="shared" si="22"/>
        <v>ffdfd3c0</v>
      </c>
      <c r="D507" t="s">
        <v>109</v>
      </c>
      <c r="E507">
        <v>4</v>
      </c>
      <c r="F507">
        <v>1004</v>
      </c>
      <c r="G507" t="s">
        <v>110</v>
      </c>
      <c r="J507" t="s">
        <v>111</v>
      </c>
      <c r="K507">
        <v>0</v>
      </c>
      <c r="L507">
        <v>3</v>
      </c>
      <c r="M507">
        <v>0</v>
      </c>
      <c r="N507">
        <v>2</v>
      </c>
      <c r="O507">
        <v>1</v>
      </c>
      <c r="P507">
        <v>0</v>
      </c>
      <c r="Q507">
        <v>0</v>
      </c>
      <c r="R507" t="s">
        <v>112</v>
      </c>
      <c r="S507" t="str">
        <f>"13:58:49.008"</f>
        <v>13:58:49.008</v>
      </c>
      <c r="T507" t="str">
        <f>"13:58:48.609"</f>
        <v>13:58:48.609</v>
      </c>
      <c r="U507" t="str">
        <f t="shared" si="21"/>
        <v>ad5732</v>
      </c>
      <c r="V507">
        <v>0</v>
      </c>
      <c r="W507">
        <v>0</v>
      </c>
      <c r="X507">
        <v>1</v>
      </c>
      <c r="Z507">
        <v>0</v>
      </c>
      <c r="AA507">
        <v>9</v>
      </c>
      <c r="AB507">
        <v>3</v>
      </c>
      <c r="AC507">
        <v>0</v>
      </c>
      <c r="AD507">
        <v>10</v>
      </c>
      <c r="AE507">
        <v>0</v>
      </c>
      <c r="AF507">
        <v>3</v>
      </c>
      <c r="AG507">
        <v>2</v>
      </c>
      <c r="AH507">
        <v>0</v>
      </c>
      <c r="AI507" t="s">
        <v>1111</v>
      </c>
      <c r="AJ507">
        <v>39.240267000000003</v>
      </c>
      <c r="AK507" t="s">
        <v>1112</v>
      </c>
      <c r="AL507">
        <v>-77.349007</v>
      </c>
      <c r="AM507">
        <v>100</v>
      </c>
      <c r="AN507">
        <v>8300</v>
      </c>
      <c r="AO507" t="s">
        <v>115</v>
      </c>
      <c r="AP507">
        <v>138</v>
      </c>
      <c r="AQ507">
        <v>59</v>
      </c>
      <c r="AR507">
        <v>768</v>
      </c>
      <c r="AZ507">
        <v>3614</v>
      </c>
      <c r="BA507">
        <v>1</v>
      </c>
      <c r="BB507" t="str">
        <f t="shared" si="23"/>
        <v xml:space="preserve">N959MJ  </v>
      </c>
      <c r="BC507">
        <v>1</v>
      </c>
      <c r="BE507">
        <v>0</v>
      </c>
      <c r="BF507">
        <v>0</v>
      </c>
      <c r="BG507">
        <v>0</v>
      </c>
      <c r="BH507">
        <v>8650</v>
      </c>
      <c r="BI507">
        <v>350</v>
      </c>
      <c r="BJ507">
        <v>1</v>
      </c>
      <c r="BK507">
        <v>1</v>
      </c>
      <c r="BL507">
        <v>1</v>
      </c>
      <c r="BM507">
        <v>0</v>
      </c>
      <c r="BP507">
        <v>0</v>
      </c>
      <c r="BQ507">
        <v>0</v>
      </c>
      <c r="BX507" t="str">
        <f>"13:58:49.008"</f>
        <v>13:58:49.008</v>
      </c>
      <c r="BY507" t="str">
        <f>"008437587"</f>
        <v>008437587</v>
      </c>
      <c r="CL507">
        <v>0</v>
      </c>
      <c r="CM507">
        <v>2</v>
      </c>
      <c r="CN507">
        <v>0</v>
      </c>
      <c r="CO507">
        <v>2</v>
      </c>
      <c r="CP507">
        <v>0</v>
      </c>
      <c r="CQ507">
        <v>7</v>
      </c>
      <c r="CR507" t="s">
        <v>116</v>
      </c>
      <c r="CS507">
        <v>525</v>
      </c>
      <c r="CT507">
        <v>2</v>
      </c>
      <c r="CU507" t="s">
        <v>140</v>
      </c>
      <c r="CV507" t="s">
        <v>141</v>
      </c>
      <c r="CY507">
        <v>14328801</v>
      </c>
      <c r="CZ507" t="s">
        <v>119</v>
      </c>
    </row>
    <row r="508" spans="1:104" x14ac:dyDescent="0.25">
      <c r="A508" t="str">
        <f>"13:58:50.266"</f>
        <v>13:58:50.266</v>
      </c>
      <c r="B508" t="s">
        <v>108</v>
      </c>
      <c r="C508" t="str">
        <f t="shared" si="22"/>
        <v>ffdfd3c0</v>
      </c>
      <c r="D508" t="s">
        <v>109</v>
      </c>
      <c r="E508">
        <v>4</v>
      </c>
      <c r="F508">
        <v>1004</v>
      </c>
      <c r="G508" t="s">
        <v>110</v>
      </c>
      <c r="J508" t="s">
        <v>111</v>
      </c>
      <c r="K508">
        <v>0</v>
      </c>
      <c r="L508">
        <v>3</v>
      </c>
      <c r="M508">
        <v>0</v>
      </c>
      <c r="N508">
        <v>2</v>
      </c>
      <c r="O508">
        <v>1</v>
      </c>
      <c r="P508">
        <v>0</v>
      </c>
      <c r="Q508">
        <v>0</v>
      </c>
      <c r="R508" t="s">
        <v>112</v>
      </c>
      <c r="S508" t="str">
        <f>"13:58:50.109"</f>
        <v>13:58:50.109</v>
      </c>
      <c r="T508" t="str">
        <f>"13:58:49.609"</f>
        <v>13:58:49.609</v>
      </c>
      <c r="U508" t="str">
        <f t="shared" si="21"/>
        <v>ad5732</v>
      </c>
      <c r="V508">
        <v>0</v>
      </c>
      <c r="W508">
        <v>0</v>
      </c>
      <c r="X508">
        <v>1</v>
      </c>
      <c r="Z508">
        <v>0</v>
      </c>
      <c r="AA508">
        <v>9</v>
      </c>
      <c r="AB508">
        <v>3</v>
      </c>
      <c r="AC508">
        <v>0</v>
      </c>
      <c r="AD508">
        <v>10</v>
      </c>
      <c r="AE508">
        <v>0</v>
      </c>
      <c r="AF508">
        <v>3</v>
      </c>
      <c r="AG508">
        <v>2</v>
      </c>
      <c r="AH508">
        <v>0</v>
      </c>
      <c r="AI508" t="s">
        <v>1113</v>
      </c>
      <c r="AJ508">
        <v>39.240611000000001</v>
      </c>
      <c r="AK508" t="s">
        <v>1114</v>
      </c>
      <c r="AL508">
        <v>-77.348042000000007</v>
      </c>
      <c r="AM508">
        <v>100</v>
      </c>
      <c r="AN508">
        <v>8300</v>
      </c>
      <c r="AO508" t="s">
        <v>115</v>
      </c>
      <c r="AP508">
        <v>137</v>
      </c>
      <c r="AQ508">
        <v>62</v>
      </c>
      <c r="AR508">
        <v>768</v>
      </c>
      <c r="AZ508">
        <v>3614</v>
      </c>
      <c r="BA508">
        <v>1</v>
      </c>
      <c r="BB508" t="str">
        <f t="shared" si="23"/>
        <v xml:space="preserve">N959MJ  </v>
      </c>
      <c r="BC508">
        <v>1</v>
      </c>
      <c r="BE508">
        <v>0</v>
      </c>
      <c r="BF508">
        <v>0</v>
      </c>
      <c r="BG508">
        <v>0</v>
      </c>
      <c r="BH508">
        <v>8675</v>
      </c>
      <c r="BI508">
        <v>375</v>
      </c>
      <c r="BJ508">
        <v>1</v>
      </c>
      <c r="BK508">
        <v>1</v>
      </c>
      <c r="BL508">
        <v>1</v>
      </c>
      <c r="BM508">
        <v>0</v>
      </c>
      <c r="BP508">
        <v>0</v>
      </c>
      <c r="BQ508">
        <v>0</v>
      </c>
      <c r="BX508" t="str">
        <f>"13:58:50.109"</f>
        <v>13:58:50.109</v>
      </c>
      <c r="BY508" t="str">
        <f>"111098329"</f>
        <v>111098329</v>
      </c>
      <c r="CL508">
        <v>0</v>
      </c>
      <c r="CM508">
        <v>2</v>
      </c>
      <c r="CN508">
        <v>0</v>
      </c>
      <c r="CO508">
        <v>2</v>
      </c>
      <c r="CP508">
        <v>0</v>
      </c>
      <c r="CQ508">
        <v>7</v>
      </c>
      <c r="CR508" t="s">
        <v>116</v>
      </c>
      <c r="CS508">
        <v>525</v>
      </c>
      <c r="CT508">
        <v>2</v>
      </c>
      <c r="CU508" t="s">
        <v>140</v>
      </c>
      <c r="CV508" t="s">
        <v>141</v>
      </c>
      <c r="CY508">
        <v>14330284</v>
      </c>
      <c r="CZ508" t="s">
        <v>119</v>
      </c>
    </row>
    <row r="509" spans="1:104" x14ac:dyDescent="0.25">
      <c r="A509" t="str">
        <f>"13:58:51.172"</f>
        <v>13:58:51.172</v>
      </c>
      <c r="B509" t="s">
        <v>108</v>
      </c>
      <c r="C509" t="str">
        <f t="shared" si="22"/>
        <v>ffdfd3c0</v>
      </c>
      <c r="D509" t="s">
        <v>109</v>
      </c>
      <c r="E509">
        <v>4</v>
      </c>
      <c r="F509">
        <v>1004</v>
      </c>
      <c r="G509" t="s">
        <v>110</v>
      </c>
      <c r="J509" t="s">
        <v>111</v>
      </c>
      <c r="K509">
        <v>0</v>
      </c>
      <c r="L509">
        <v>3</v>
      </c>
      <c r="M509">
        <v>0</v>
      </c>
      <c r="N509">
        <v>2</v>
      </c>
      <c r="O509">
        <v>1</v>
      </c>
      <c r="P509">
        <v>0</v>
      </c>
      <c r="Q509">
        <v>0</v>
      </c>
      <c r="R509" t="s">
        <v>112</v>
      </c>
      <c r="S509" t="str">
        <f>"13:58:50.992"</f>
        <v>13:58:50.992</v>
      </c>
      <c r="T509" t="str">
        <f>"13:58:50.594"</f>
        <v>13:58:50.594</v>
      </c>
      <c r="U509" t="str">
        <f t="shared" si="21"/>
        <v>ad5732</v>
      </c>
      <c r="V509">
        <v>0</v>
      </c>
      <c r="W509">
        <v>0</v>
      </c>
      <c r="X509">
        <v>1</v>
      </c>
      <c r="Z509">
        <v>0</v>
      </c>
      <c r="AA509">
        <v>9</v>
      </c>
      <c r="AB509">
        <v>3</v>
      </c>
      <c r="AC509">
        <v>0</v>
      </c>
      <c r="AD509">
        <v>10</v>
      </c>
      <c r="AE509">
        <v>0</v>
      </c>
      <c r="AF509">
        <v>3</v>
      </c>
      <c r="AG509">
        <v>2</v>
      </c>
      <c r="AH509">
        <v>0</v>
      </c>
      <c r="AI509" t="s">
        <v>1115</v>
      </c>
      <c r="AJ509">
        <v>39.24089</v>
      </c>
      <c r="AK509" t="s">
        <v>1116</v>
      </c>
      <c r="AL509">
        <v>-77.347354999999993</v>
      </c>
      <c r="AM509">
        <v>100</v>
      </c>
      <c r="AN509">
        <v>8300</v>
      </c>
      <c r="AO509" t="s">
        <v>115</v>
      </c>
      <c r="AP509">
        <v>137</v>
      </c>
      <c r="AQ509">
        <v>63</v>
      </c>
      <c r="AR509">
        <v>768</v>
      </c>
      <c r="AZ509">
        <v>3614</v>
      </c>
      <c r="BA509">
        <v>1</v>
      </c>
      <c r="BB509" t="str">
        <f t="shared" si="23"/>
        <v xml:space="preserve">N959MJ  </v>
      </c>
      <c r="BC509">
        <v>1</v>
      </c>
      <c r="BE509">
        <v>0</v>
      </c>
      <c r="BF509">
        <v>0</v>
      </c>
      <c r="BG509">
        <v>0</v>
      </c>
      <c r="BH509">
        <v>8675</v>
      </c>
      <c r="BI509">
        <v>375</v>
      </c>
      <c r="BJ509">
        <v>1</v>
      </c>
      <c r="BK509">
        <v>1</v>
      </c>
      <c r="BL509">
        <v>1</v>
      </c>
      <c r="BM509">
        <v>0</v>
      </c>
      <c r="BP509">
        <v>0</v>
      </c>
      <c r="BQ509">
        <v>0</v>
      </c>
      <c r="BX509" t="str">
        <f>"13:58:50.992"</f>
        <v>13:58:50.992</v>
      </c>
      <c r="BY509" t="str">
        <f>"992571516"</f>
        <v>992571516</v>
      </c>
      <c r="CL509">
        <v>0</v>
      </c>
      <c r="CM509">
        <v>2</v>
      </c>
      <c r="CN509">
        <v>0</v>
      </c>
      <c r="CO509">
        <v>2</v>
      </c>
      <c r="CP509">
        <v>0</v>
      </c>
      <c r="CQ509">
        <v>7</v>
      </c>
      <c r="CR509" t="s">
        <v>116</v>
      </c>
      <c r="CS509">
        <v>525</v>
      </c>
      <c r="CT509">
        <v>2</v>
      </c>
      <c r="CU509" t="s">
        <v>140</v>
      </c>
      <c r="CV509" t="s">
        <v>141</v>
      </c>
      <c r="CY509">
        <v>14331626</v>
      </c>
      <c r="CZ509" t="s">
        <v>119</v>
      </c>
    </row>
    <row r="510" spans="1:104" x14ac:dyDescent="0.25">
      <c r="A510" t="str">
        <f>"13:58:52.086"</f>
        <v>13:58:52.086</v>
      </c>
      <c r="B510" t="s">
        <v>108</v>
      </c>
      <c r="C510" t="str">
        <f t="shared" si="22"/>
        <v>ffdfd3c0</v>
      </c>
      <c r="D510" t="s">
        <v>109</v>
      </c>
      <c r="E510">
        <v>4</v>
      </c>
      <c r="F510">
        <v>1004</v>
      </c>
      <c r="G510" t="s">
        <v>110</v>
      </c>
      <c r="J510" t="s">
        <v>111</v>
      </c>
      <c r="K510">
        <v>0</v>
      </c>
      <c r="L510">
        <v>3</v>
      </c>
      <c r="M510">
        <v>0</v>
      </c>
      <c r="N510">
        <v>2</v>
      </c>
      <c r="O510">
        <v>1</v>
      </c>
      <c r="P510">
        <v>0</v>
      </c>
      <c r="Q510">
        <v>0</v>
      </c>
      <c r="R510" t="s">
        <v>112</v>
      </c>
      <c r="S510" t="str">
        <f>"13:58:51.898"</f>
        <v>13:58:51.898</v>
      </c>
      <c r="T510" t="str">
        <f>"13:58:51.500"</f>
        <v>13:58:51.500</v>
      </c>
      <c r="U510" t="str">
        <f t="shared" si="21"/>
        <v>ad5732</v>
      </c>
      <c r="V510">
        <v>0</v>
      </c>
      <c r="W510">
        <v>0</v>
      </c>
      <c r="X510">
        <v>1</v>
      </c>
      <c r="Z510">
        <v>0</v>
      </c>
      <c r="AA510">
        <v>9</v>
      </c>
      <c r="AB510">
        <v>3</v>
      </c>
      <c r="AC510">
        <v>0</v>
      </c>
      <c r="AD510">
        <v>10</v>
      </c>
      <c r="AE510">
        <v>0</v>
      </c>
      <c r="AF510">
        <v>3</v>
      </c>
      <c r="AG510">
        <v>2</v>
      </c>
      <c r="AH510">
        <v>0</v>
      </c>
      <c r="AI510" t="s">
        <v>1117</v>
      </c>
      <c r="AJ510">
        <v>39.241146999999998</v>
      </c>
      <c r="AK510" t="s">
        <v>1118</v>
      </c>
      <c r="AL510">
        <v>-77.346625000000003</v>
      </c>
      <c r="AM510">
        <v>100</v>
      </c>
      <c r="AN510">
        <v>8300</v>
      </c>
      <c r="AO510" t="s">
        <v>115</v>
      </c>
      <c r="AP510">
        <v>136</v>
      </c>
      <c r="AQ510">
        <v>65</v>
      </c>
      <c r="AR510">
        <v>832</v>
      </c>
      <c r="AZ510">
        <v>3614</v>
      </c>
      <c r="BA510">
        <v>1</v>
      </c>
      <c r="BB510" t="str">
        <f t="shared" si="23"/>
        <v xml:space="preserve">N959MJ  </v>
      </c>
      <c r="BC510">
        <v>1</v>
      </c>
      <c r="BE510">
        <v>0</v>
      </c>
      <c r="BF510">
        <v>0</v>
      </c>
      <c r="BG510">
        <v>0</v>
      </c>
      <c r="BH510">
        <v>8700</v>
      </c>
      <c r="BI510">
        <v>400</v>
      </c>
      <c r="BJ510">
        <v>1</v>
      </c>
      <c r="BK510">
        <v>1</v>
      </c>
      <c r="BL510">
        <v>1</v>
      </c>
      <c r="BM510">
        <v>0</v>
      </c>
      <c r="BP510">
        <v>0</v>
      </c>
      <c r="BQ510">
        <v>0</v>
      </c>
      <c r="BX510" t="str">
        <f>"13:58:51.898"</f>
        <v>13:58:51.898</v>
      </c>
      <c r="BY510" t="str">
        <f>"900259655"</f>
        <v>900259655</v>
      </c>
      <c r="CL510">
        <v>0</v>
      </c>
      <c r="CM510">
        <v>2</v>
      </c>
      <c r="CN510">
        <v>0</v>
      </c>
      <c r="CO510">
        <v>2</v>
      </c>
      <c r="CP510">
        <v>0</v>
      </c>
      <c r="CQ510">
        <v>7</v>
      </c>
      <c r="CR510" t="s">
        <v>116</v>
      </c>
      <c r="CS510">
        <v>525</v>
      </c>
      <c r="CT510">
        <v>2</v>
      </c>
      <c r="CU510" t="s">
        <v>140</v>
      </c>
      <c r="CV510" t="s">
        <v>141</v>
      </c>
      <c r="CY510">
        <v>14333003</v>
      </c>
      <c r="CZ510" t="s">
        <v>119</v>
      </c>
    </row>
    <row r="511" spans="1:104" x14ac:dyDescent="0.25">
      <c r="A511" t="str">
        <f>"13:58:52.992"</f>
        <v>13:58:52.992</v>
      </c>
      <c r="B511" t="s">
        <v>108</v>
      </c>
      <c r="C511" t="str">
        <f t="shared" si="22"/>
        <v>ffdfd3c0</v>
      </c>
      <c r="D511" t="s">
        <v>109</v>
      </c>
      <c r="E511">
        <v>4</v>
      </c>
      <c r="F511">
        <v>1004</v>
      </c>
      <c r="G511" t="s">
        <v>110</v>
      </c>
      <c r="J511" t="s">
        <v>111</v>
      </c>
      <c r="K511">
        <v>0</v>
      </c>
      <c r="L511">
        <v>3</v>
      </c>
      <c r="M511">
        <v>0</v>
      </c>
      <c r="N511">
        <v>2</v>
      </c>
      <c r="O511">
        <v>1</v>
      </c>
      <c r="P511">
        <v>0</v>
      </c>
      <c r="Q511">
        <v>0</v>
      </c>
      <c r="R511" t="s">
        <v>112</v>
      </c>
      <c r="S511" t="str">
        <f>"13:58:52.805"</f>
        <v>13:58:52.805</v>
      </c>
      <c r="T511" t="str">
        <f>"13:58:52.406"</f>
        <v>13:58:52.406</v>
      </c>
      <c r="U511" t="str">
        <f t="shared" si="21"/>
        <v>ad5732</v>
      </c>
      <c r="V511">
        <v>0</v>
      </c>
      <c r="W511">
        <v>0</v>
      </c>
      <c r="X511">
        <v>1</v>
      </c>
      <c r="Z511">
        <v>0</v>
      </c>
      <c r="AA511">
        <v>9</v>
      </c>
      <c r="AB511">
        <v>3</v>
      </c>
      <c r="AC511">
        <v>0</v>
      </c>
      <c r="AD511">
        <v>10</v>
      </c>
      <c r="AE511">
        <v>0</v>
      </c>
      <c r="AF511">
        <v>3</v>
      </c>
      <c r="AG511">
        <v>2</v>
      </c>
      <c r="AH511">
        <v>0</v>
      </c>
      <c r="AI511" t="s">
        <v>1119</v>
      </c>
      <c r="AJ511">
        <v>39.241405</v>
      </c>
      <c r="AK511" t="s">
        <v>1120</v>
      </c>
      <c r="AL511">
        <v>-77.345895999999996</v>
      </c>
      <c r="AM511">
        <v>100</v>
      </c>
      <c r="AN511">
        <v>8300</v>
      </c>
      <c r="AO511" t="s">
        <v>115</v>
      </c>
      <c r="AP511">
        <v>136</v>
      </c>
      <c r="AQ511">
        <v>65</v>
      </c>
      <c r="AR511">
        <v>832</v>
      </c>
      <c r="AZ511">
        <v>3614</v>
      </c>
      <c r="BA511">
        <v>1</v>
      </c>
      <c r="BB511" t="str">
        <f t="shared" si="23"/>
        <v xml:space="preserve">N959MJ  </v>
      </c>
      <c r="BC511">
        <v>1</v>
      </c>
      <c r="BE511">
        <v>0</v>
      </c>
      <c r="BF511">
        <v>0</v>
      </c>
      <c r="BG511">
        <v>0</v>
      </c>
      <c r="BH511">
        <v>8700</v>
      </c>
      <c r="BI511">
        <v>400</v>
      </c>
      <c r="BJ511">
        <v>1</v>
      </c>
      <c r="BK511">
        <v>1</v>
      </c>
      <c r="BL511">
        <v>1</v>
      </c>
      <c r="BM511">
        <v>0</v>
      </c>
      <c r="BP511">
        <v>0</v>
      </c>
      <c r="BQ511">
        <v>0</v>
      </c>
      <c r="BX511" t="str">
        <f>"13:58:52.813"</f>
        <v>13:58:52.813</v>
      </c>
      <c r="BY511" t="str">
        <f>"811224469"</f>
        <v>811224469</v>
      </c>
      <c r="CL511">
        <v>0</v>
      </c>
      <c r="CM511">
        <v>2</v>
      </c>
      <c r="CN511">
        <v>0</v>
      </c>
      <c r="CO511">
        <v>2</v>
      </c>
      <c r="CP511">
        <v>0</v>
      </c>
      <c r="CQ511">
        <v>7</v>
      </c>
      <c r="CR511" t="s">
        <v>116</v>
      </c>
      <c r="CS511">
        <v>525</v>
      </c>
      <c r="CT511">
        <v>2</v>
      </c>
      <c r="CU511" t="s">
        <v>140</v>
      </c>
      <c r="CV511" t="s">
        <v>141</v>
      </c>
      <c r="CY511">
        <v>14334291</v>
      </c>
      <c r="CZ511" t="s">
        <v>119</v>
      </c>
    </row>
    <row r="512" spans="1:104" x14ac:dyDescent="0.25">
      <c r="A512" t="str">
        <f>"13:58:54.055"</f>
        <v>13:58:54.055</v>
      </c>
      <c r="B512" t="s">
        <v>108</v>
      </c>
      <c r="C512" t="str">
        <f t="shared" si="22"/>
        <v>ffdfd3c0</v>
      </c>
      <c r="D512" t="s">
        <v>109</v>
      </c>
      <c r="E512">
        <v>4</v>
      </c>
      <c r="F512">
        <v>1004</v>
      </c>
      <c r="G512" t="s">
        <v>110</v>
      </c>
      <c r="J512" t="s">
        <v>111</v>
      </c>
      <c r="K512">
        <v>0</v>
      </c>
      <c r="L512">
        <v>3</v>
      </c>
      <c r="M512">
        <v>0</v>
      </c>
      <c r="N512">
        <v>2</v>
      </c>
      <c r="O512">
        <v>1</v>
      </c>
      <c r="P512">
        <v>0</v>
      </c>
      <c r="Q512">
        <v>0</v>
      </c>
      <c r="R512" t="s">
        <v>112</v>
      </c>
      <c r="S512" t="str">
        <f>"13:58:53.891"</f>
        <v>13:58:53.891</v>
      </c>
      <c r="T512" t="str">
        <f>"13:58:53.391"</f>
        <v>13:58:53.391</v>
      </c>
      <c r="U512" t="str">
        <f t="shared" si="21"/>
        <v>ad5732</v>
      </c>
      <c r="V512">
        <v>0</v>
      </c>
      <c r="W512">
        <v>0</v>
      </c>
      <c r="X512">
        <v>1</v>
      </c>
      <c r="Z512">
        <v>0</v>
      </c>
      <c r="AA512">
        <v>9</v>
      </c>
      <c r="AB512">
        <v>3</v>
      </c>
      <c r="AC512">
        <v>0</v>
      </c>
      <c r="AD512">
        <v>10</v>
      </c>
      <c r="AE512">
        <v>0</v>
      </c>
      <c r="AF512">
        <v>3</v>
      </c>
      <c r="AG512">
        <v>2</v>
      </c>
      <c r="AH512">
        <v>0</v>
      </c>
      <c r="AI512" t="s">
        <v>1121</v>
      </c>
      <c r="AJ512">
        <v>39.241748000000001</v>
      </c>
      <c r="AK512" t="s">
        <v>1122</v>
      </c>
      <c r="AL512">
        <v>-77.344994999999997</v>
      </c>
      <c r="AM512">
        <v>100</v>
      </c>
      <c r="AN512">
        <v>8400</v>
      </c>
      <c r="AO512" t="s">
        <v>115</v>
      </c>
      <c r="AP512">
        <v>137</v>
      </c>
      <c r="AQ512">
        <v>64</v>
      </c>
      <c r="AR512">
        <v>832</v>
      </c>
      <c r="AZ512">
        <v>3614</v>
      </c>
      <c r="BA512">
        <v>1</v>
      </c>
      <c r="BB512" t="str">
        <f t="shared" si="23"/>
        <v xml:space="preserve">N959MJ  </v>
      </c>
      <c r="BC512">
        <v>1</v>
      </c>
      <c r="BE512">
        <v>0</v>
      </c>
      <c r="BF512">
        <v>0</v>
      </c>
      <c r="BG512">
        <v>0</v>
      </c>
      <c r="BH512">
        <v>8725</v>
      </c>
      <c r="BI512">
        <v>325</v>
      </c>
      <c r="BJ512">
        <v>1</v>
      </c>
      <c r="BK512">
        <v>1</v>
      </c>
      <c r="BL512">
        <v>1</v>
      </c>
      <c r="BM512">
        <v>0</v>
      </c>
      <c r="BP512">
        <v>0</v>
      </c>
      <c r="BQ512">
        <v>0</v>
      </c>
      <c r="BX512" t="str">
        <f>"13:58:53.891"</f>
        <v>13:58:53.891</v>
      </c>
      <c r="BY512" t="str">
        <f>"892585746"</f>
        <v>892585746</v>
      </c>
      <c r="CL512">
        <v>0</v>
      </c>
      <c r="CM512">
        <v>2</v>
      </c>
      <c r="CN512">
        <v>0</v>
      </c>
      <c r="CO512">
        <v>2</v>
      </c>
      <c r="CP512">
        <v>0</v>
      </c>
      <c r="CQ512">
        <v>7</v>
      </c>
      <c r="CR512" t="s">
        <v>116</v>
      </c>
      <c r="CS512">
        <v>525</v>
      </c>
      <c r="CT512">
        <v>2</v>
      </c>
      <c r="CU512" t="s">
        <v>140</v>
      </c>
      <c r="CV512" t="s">
        <v>141</v>
      </c>
      <c r="CY512">
        <v>14335893</v>
      </c>
      <c r="CZ512" t="s">
        <v>119</v>
      </c>
    </row>
    <row r="513" spans="1:104" x14ac:dyDescent="0.25">
      <c r="A513" t="str">
        <f>"13:58:55.109"</f>
        <v>13:58:55.109</v>
      </c>
      <c r="B513" t="s">
        <v>108</v>
      </c>
      <c r="C513" t="str">
        <f t="shared" si="22"/>
        <v>ffdfd3c0</v>
      </c>
      <c r="D513" t="s">
        <v>109</v>
      </c>
      <c r="E513">
        <v>4</v>
      </c>
      <c r="F513">
        <v>1004</v>
      </c>
      <c r="G513" t="s">
        <v>110</v>
      </c>
      <c r="J513" t="s">
        <v>111</v>
      </c>
      <c r="K513">
        <v>0</v>
      </c>
      <c r="L513">
        <v>3</v>
      </c>
      <c r="M513">
        <v>0</v>
      </c>
      <c r="N513">
        <v>2</v>
      </c>
      <c r="O513">
        <v>1</v>
      </c>
      <c r="P513">
        <v>0</v>
      </c>
      <c r="Q513">
        <v>0</v>
      </c>
      <c r="R513" t="s">
        <v>112</v>
      </c>
      <c r="S513" t="str">
        <f>"13:58:54.906"</f>
        <v>13:58:54.906</v>
      </c>
      <c r="T513" t="str">
        <f>"13:58:54.406"</f>
        <v>13:58:54.406</v>
      </c>
      <c r="U513" t="str">
        <f t="shared" si="21"/>
        <v>ad5732</v>
      </c>
      <c r="V513">
        <v>0</v>
      </c>
      <c r="W513">
        <v>0</v>
      </c>
      <c r="X513">
        <v>1</v>
      </c>
      <c r="Z513">
        <v>0</v>
      </c>
      <c r="AA513">
        <v>9</v>
      </c>
      <c r="AB513">
        <v>3</v>
      </c>
      <c r="AC513">
        <v>0</v>
      </c>
      <c r="AD513">
        <v>10</v>
      </c>
      <c r="AE513">
        <v>0</v>
      </c>
      <c r="AF513">
        <v>3</v>
      </c>
      <c r="AG513">
        <v>2</v>
      </c>
      <c r="AH513">
        <v>0</v>
      </c>
      <c r="AI513" t="s">
        <v>1123</v>
      </c>
      <c r="AJ513">
        <v>39.242027</v>
      </c>
      <c r="AK513" t="s">
        <v>1124</v>
      </c>
      <c r="AL513">
        <v>-77.344157999999993</v>
      </c>
      <c r="AM513">
        <v>100</v>
      </c>
      <c r="AN513">
        <v>8400</v>
      </c>
      <c r="AO513" t="s">
        <v>115</v>
      </c>
      <c r="AP513">
        <v>137</v>
      </c>
      <c r="AQ513">
        <v>63</v>
      </c>
      <c r="AR513">
        <v>896</v>
      </c>
      <c r="AZ513">
        <v>3614</v>
      </c>
      <c r="BA513">
        <v>1</v>
      </c>
      <c r="BB513" t="str">
        <f t="shared" si="23"/>
        <v xml:space="preserve">N959MJ  </v>
      </c>
      <c r="BC513">
        <v>1</v>
      </c>
      <c r="BE513">
        <v>0</v>
      </c>
      <c r="BF513">
        <v>0</v>
      </c>
      <c r="BG513">
        <v>0</v>
      </c>
      <c r="BH513">
        <v>8725</v>
      </c>
      <c r="BI513">
        <v>325</v>
      </c>
      <c r="BJ513">
        <v>1</v>
      </c>
      <c r="BK513">
        <v>1</v>
      </c>
      <c r="BL513">
        <v>1</v>
      </c>
      <c r="BM513">
        <v>0</v>
      </c>
      <c r="BP513">
        <v>0</v>
      </c>
      <c r="BQ513">
        <v>0</v>
      </c>
      <c r="BX513" t="str">
        <f>"13:58:54.914"</f>
        <v>13:58:54.914</v>
      </c>
      <c r="BY513" t="str">
        <f>"913325153"</f>
        <v>913325153</v>
      </c>
      <c r="CL513">
        <v>0</v>
      </c>
      <c r="CM513">
        <v>2</v>
      </c>
      <c r="CN513">
        <v>0</v>
      </c>
      <c r="CO513">
        <v>2</v>
      </c>
      <c r="CP513">
        <v>0</v>
      </c>
      <c r="CQ513">
        <v>7</v>
      </c>
      <c r="CR513" t="s">
        <v>116</v>
      </c>
      <c r="CS513">
        <v>525</v>
      </c>
      <c r="CT513">
        <v>2</v>
      </c>
      <c r="CU513" t="s">
        <v>140</v>
      </c>
      <c r="CV513" t="s">
        <v>141</v>
      </c>
      <c r="CY513">
        <v>14337270</v>
      </c>
      <c r="CZ513" t="s">
        <v>119</v>
      </c>
    </row>
    <row r="514" spans="1:104" x14ac:dyDescent="0.25">
      <c r="A514" t="str">
        <f>"13:58:56.125"</f>
        <v>13:58:56.125</v>
      </c>
      <c r="B514" t="s">
        <v>108</v>
      </c>
      <c r="C514" t="str">
        <f t="shared" si="22"/>
        <v>ffdfd3c0</v>
      </c>
      <c r="D514" t="s">
        <v>109</v>
      </c>
      <c r="E514">
        <v>4</v>
      </c>
      <c r="F514">
        <v>1004</v>
      </c>
      <c r="G514" t="s">
        <v>110</v>
      </c>
      <c r="J514" t="s">
        <v>111</v>
      </c>
      <c r="K514">
        <v>0</v>
      </c>
      <c r="L514">
        <v>3</v>
      </c>
      <c r="M514">
        <v>0</v>
      </c>
      <c r="N514">
        <v>2</v>
      </c>
      <c r="O514">
        <v>1</v>
      </c>
      <c r="P514">
        <v>0</v>
      </c>
      <c r="Q514">
        <v>0</v>
      </c>
      <c r="R514" t="s">
        <v>112</v>
      </c>
      <c r="S514" t="str">
        <f>"13:58:55.914"</f>
        <v>13:58:55.914</v>
      </c>
      <c r="T514" t="str">
        <f>"13:58:55.516"</f>
        <v>13:58:55.516</v>
      </c>
      <c r="U514" t="str">
        <f t="shared" ref="U514:U577" si="24">"ad5732"</f>
        <v>ad5732</v>
      </c>
      <c r="V514">
        <v>0</v>
      </c>
      <c r="W514">
        <v>0</v>
      </c>
      <c r="X514">
        <v>1</v>
      </c>
      <c r="Z514">
        <v>0</v>
      </c>
      <c r="AA514">
        <v>9</v>
      </c>
      <c r="AB514">
        <v>3</v>
      </c>
      <c r="AC514">
        <v>0</v>
      </c>
      <c r="AD514">
        <v>10</v>
      </c>
      <c r="AE514">
        <v>0</v>
      </c>
      <c r="AF514">
        <v>3</v>
      </c>
      <c r="AG514">
        <v>2</v>
      </c>
      <c r="AH514">
        <v>0</v>
      </c>
      <c r="AI514" t="s">
        <v>1125</v>
      </c>
      <c r="AJ514">
        <v>39.242283999999998</v>
      </c>
      <c r="AK514" t="s">
        <v>1126</v>
      </c>
      <c r="AL514">
        <v>-77.343342000000007</v>
      </c>
      <c r="AM514">
        <v>100</v>
      </c>
      <c r="AN514">
        <v>8400</v>
      </c>
      <c r="AO514" t="s">
        <v>115</v>
      </c>
      <c r="AP514">
        <v>137</v>
      </c>
      <c r="AQ514">
        <v>62</v>
      </c>
      <c r="AR514">
        <v>896</v>
      </c>
      <c r="AZ514">
        <v>3614</v>
      </c>
      <c r="BA514">
        <v>1</v>
      </c>
      <c r="BB514" t="str">
        <f t="shared" si="23"/>
        <v xml:space="preserve">N959MJ  </v>
      </c>
      <c r="BC514">
        <v>1</v>
      </c>
      <c r="BE514">
        <v>0</v>
      </c>
      <c r="BF514">
        <v>0</v>
      </c>
      <c r="BG514">
        <v>0</v>
      </c>
      <c r="BH514">
        <v>8750</v>
      </c>
      <c r="BI514">
        <v>350</v>
      </c>
      <c r="BJ514">
        <v>1</v>
      </c>
      <c r="BK514">
        <v>1</v>
      </c>
      <c r="BL514">
        <v>1</v>
      </c>
      <c r="BM514">
        <v>0</v>
      </c>
      <c r="BP514">
        <v>0</v>
      </c>
      <c r="BQ514">
        <v>0</v>
      </c>
      <c r="BX514" t="str">
        <f>"13:58:55.922"</f>
        <v>13:58:55.922</v>
      </c>
      <c r="BY514" t="str">
        <f>"919318784"</f>
        <v>919318784</v>
      </c>
      <c r="CL514">
        <v>0</v>
      </c>
      <c r="CM514">
        <v>2</v>
      </c>
      <c r="CN514">
        <v>0</v>
      </c>
      <c r="CO514">
        <v>2</v>
      </c>
      <c r="CP514">
        <v>0</v>
      </c>
      <c r="CQ514">
        <v>7</v>
      </c>
      <c r="CR514" t="s">
        <v>116</v>
      </c>
      <c r="CS514">
        <v>525</v>
      </c>
      <c r="CT514">
        <v>2</v>
      </c>
      <c r="CU514" t="s">
        <v>140</v>
      </c>
      <c r="CV514" t="s">
        <v>141</v>
      </c>
      <c r="CY514">
        <v>14338781</v>
      </c>
      <c r="CZ514" t="s">
        <v>119</v>
      </c>
    </row>
    <row r="515" spans="1:104" x14ac:dyDescent="0.25">
      <c r="A515" t="str">
        <f>"13:58:57.133"</f>
        <v>13:58:57.133</v>
      </c>
      <c r="B515" t="s">
        <v>108</v>
      </c>
      <c r="C515" t="str">
        <f t="shared" si="22"/>
        <v>ffdfd3c0</v>
      </c>
      <c r="D515" t="s">
        <v>109</v>
      </c>
      <c r="E515">
        <v>4</v>
      </c>
      <c r="F515">
        <v>1004</v>
      </c>
      <c r="G515" t="s">
        <v>110</v>
      </c>
      <c r="J515" t="s">
        <v>111</v>
      </c>
      <c r="K515">
        <v>0</v>
      </c>
      <c r="L515">
        <v>3</v>
      </c>
      <c r="M515">
        <v>0</v>
      </c>
      <c r="N515">
        <v>2</v>
      </c>
      <c r="O515">
        <v>1</v>
      </c>
      <c r="P515">
        <v>0</v>
      </c>
      <c r="Q515">
        <v>0</v>
      </c>
      <c r="R515" t="s">
        <v>112</v>
      </c>
      <c r="S515" t="str">
        <f>"13:58:56.953"</f>
        <v>13:58:56.953</v>
      </c>
      <c r="T515" t="str">
        <f>"13:58:56.555"</f>
        <v>13:58:56.555</v>
      </c>
      <c r="U515" t="str">
        <f t="shared" si="24"/>
        <v>ad5732</v>
      </c>
      <c r="V515">
        <v>0</v>
      </c>
      <c r="W515">
        <v>0</v>
      </c>
      <c r="X515">
        <v>1</v>
      </c>
      <c r="Z515">
        <v>0</v>
      </c>
      <c r="AA515">
        <v>9</v>
      </c>
      <c r="AB515">
        <v>3</v>
      </c>
      <c r="AC515">
        <v>0</v>
      </c>
      <c r="AD515">
        <v>10</v>
      </c>
      <c r="AE515">
        <v>0</v>
      </c>
      <c r="AF515">
        <v>3</v>
      </c>
      <c r="AG515">
        <v>2</v>
      </c>
      <c r="AH515">
        <v>0</v>
      </c>
      <c r="AI515" t="s">
        <v>1127</v>
      </c>
      <c r="AJ515">
        <v>39.242606000000002</v>
      </c>
      <c r="AK515" t="s">
        <v>1128</v>
      </c>
      <c r="AL515">
        <v>-77.342547999999994</v>
      </c>
      <c r="AM515">
        <v>100</v>
      </c>
      <c r="AN515">
        <v>8400</v>
      </c>
      <c r="AO515" t="s">
        <v>115</v>
      </c>
      <c r="AP515">
        <v>138</v>
      </c>
      <c r="AQ515">
        <v>62</v>
      </c>
      <c r="AR515">
        <v>832</v>
      </c>
      <c r="AZ515">
        <v>3614</v>
      </c>
      <c r="BA515">
        <v>1</v>
      </c>
      <c r="BB515" t="str">
        <f t="shared" si="23"/>
        <v xml:space="preserve">N959MJ  </v>
      </c>
      <c r="BC515">
        <v>1</v>
      </c>
      <c r="BE515">
        <v>0</v>
      </c>
      <c r="BF515">
        <v>0</v>
      </c>
      <c r="BG515">
        <v>0</v>
      </c>
      <c r="BH515">
        <v>8750</v>
      </c>
      <c r="BI515">
        <v>350</v>
      </c>
      <c r="BJ515">
        <v>1</v>
      </c>
      <c r="BK515">
        <v>1</v>
      </c>
      <c r="BL515">
        <v>1</v>
      </c>
      <c r="BM515">
        <v>0</v>
      </c>
      <c r="BP515">
        <v>0</v>
      </c>
      <c r="BQ515">
        <v>0</v>
      </c>
      <c r="BX515" t="str">
        <f>"13:58:56.961"</f>
        <v>13:58:56.961</v>
      </c>
      <c r="BY515" t="str">
        <f>"958081045"</f>
        <v>958081045</v>
      </c>
      <c r="CL515">
        <v>0</v>
      </c>
      <c r="CM515">
        <v>2</v>
      </c>
      <c r="CN515">
        <v>0</v>
      </c>
      <c r="CO515">
        <v>2</v>
      </c>
      <c r="CP515">
        <v>0</v>
      </c>
      <c r="CQ515">
        <v>7</v>
      </c>
      <c r="CR515" t="s">
        <v>116</v>
      </c>
      <c r="CS515">
        <v>525</v>
      </c>
      <c r="CT515">
        <v>2</v>
      </c>
      <c r="CU515" t="s">
        <v>140</v>
      </c>
      <c r="CV515" t="s">
        <v>141</v>
      </c>
      <c r="CY515">
        <v>14340327</v>
      </c>
      <c r="CZ515" t="s">
        <v>119</v>
      </c>
    </row>
    <row r="516" spans="1:104" x14ac:dyDescent="0.25">
      <c r="A516" t="str">
        <f>"13:58:58.141"</f>
        <v>13:58:58.141</v>
      </c>
      <c r="B516" t="s">
        <v>108</v>
      </c>
      <c r="C516" t="str">
        <f t="shared" si="22"/>
        <v>ffdfd3c0</v>
      </c>
      <c r="D516" t="s">
        <v>109</v>
      </c>
      <c r="E516">
        <v>4</v>
      </c>
      <c r="F516">
        <v>1004</v>
      </c>
      <c r="G516" t="s">
        <v>110</v>
      </c>
      <c r="J516" t="s">
        <v>111</v>
      </c>
      <c r="K516">
        <v>0</v>
      </c>
      <c r="L516">
        <v>3</v>
      </c>
      <c r="M516">
        <v>0</v>
      </c>
      <c r="N516">
        <v>2</v>
      </c>
      <c r="O516">
        <v>1</v>
      </c>
      <c r="P516">
        <v>0</v>
      </c>
      <c r="Q516">
        <v>0</v>
      </c>
      <c r="R516" t="s">
        <v>112</v>
      </c>
      <c r="S516" t="str">
        <f>"13:58:57.945"</f>
        <v>13:58:57.945</v>
      </c>
      <c r="T516" t="str">
        <f>"13:58:57.445"</f>
        <v>13:58:57.445</v>
      </c>
      <c r="U516" t="str">
        <f t="shared" si="24"/>
        <v>ad5732</v>
      </c>
      <c r="V516">
        <v>0</v>
      </c>
      <c r="W516">
        <v>0</v>
      </c>
      <c r="X516">
        <v>1</v>
      </c>
      <c r="Z516">
        <v>0</v>
      </c>
      <c r="AA516">
        <v>9</v>
      </c>
      <c r="AB516">
        <v>3</v>
      </c>
      <c r="AC516">
        <v>0</v>
      </c>
      <c r="AD516">
        <v>10</v>
      </c>
      <c r="AE516">
        <v>0</v>
      </c>
      <c r="AF516">
        <v>3</v>
      </c>
      <c r="AG516">
        <v>2</v>
      </c>
      <c r="AH516">
        <v>0</v>
      </c>
      <c r="AI516" t="s">
        <v>1129</v>
      </c>
      <c r="AJ516">
        <v>39.242885000000001</v>
      </c>
      <c r="AK516" t="s">
        <v>1130</v>
      </c>
      <c r="AL516">
        <v>-77.341712000000001</v>
      </c>
      <c r="AM516">
        <v>100</v>
      </c>
      <c r="AN516">
        <v>8400</v>
      </c>
      <c r="AO516" t="s">
        <v>115</v>
      </c>
      <c r="AP516">
        <v>138</v>
      </c>
      <c r="AQ516">
        <v>61</v>
      </c>
      <c r="AR516">
        <v>832</v>
      </c>
      <c r="AZ516">
        <v>3614</v>
      </c>
      <c r="BA516">
        <v>1</v>
      </c>
      <c r="BB516" t="str">
        <f t="shared" si="23"/>
        <v xml:space="preserve">N959MJ  </v>
      </c>
      <c r="BC516">
        <v>1</v>
      </c>
      <c r="BE516">
        <v>0</v>
      </c>
      <c r="BF516">
        <v>0</v>
      </c>
      <c r="BG516">
        <v>0</v>
      </c>
      <c r="BH516">
        <v>8775</v>
      </c>
      <c r="BI516">
        <v>375</v>
      </c>
      <c r="BJ516">
        <v>1</v>
      </c>
      <c r="BK516">
        <v>1</v>
      </c>
      <c r="BL516">
        <v>1</v>
      </c>
      <c r="BM516">
        <v>0</v>
      </c>
      <c r="BP516">
        <v>0</v>
      </c>
      <c r="BQ516">
        <v>0</v>
      </c>
      <c r="BX516" t="str">
        <f>"13:58:57.953"</f>
        <v>13:58:57.953</v>
      </c>
      <c r="BY516" t="str">
        <f>"952605611"</f>
        <v>952605611</v>
      </c>
      <c r="CL516">
        <v>0</v>
      </c>
      <c r="CM516">
        <v>2</v>
      </c>
      <c r="CN516">
        <v>0</v>
      </c>
      <c r="CO516">
        <v>2</v>
      </c>
      <c r="CP516">
        <v>0</v>
      </c>
      <c r="CQ516">
        <v>7</v>
      </c>
      <c r="CR516" t="s">
        <v>116</v>
      </c>
      <c r="CS516">
        <v>525</v>
      </c>
      <c r="CT516">
        <v>2</v>
      </c>
      <c r="CU516" t="s">
        <v>140</v>
      </c>
      <c r="CV516" t="s">
        <v>141</v>
      </c>
      <c r="CY516">
        <v>14341802</v>
      </c>
      <c r="CZ516" t="s">
        <v>119</v>
      </c>
    </row>
    <row r="517" spans="1:104" x14ac:dyDescent="0.25">
      <c r="A517" t="str">
        <f>"13:58:59.047"</f>
        <v>13:58:59.047</v>
      </c>
      <c r="B517" t="s">
        <v>108</v>
      </c>
      <c r="C517" t="str">
        <f t="shared" si="22"/>
        <v>ffdfd3c0</v>
      </c>
      <c r="D517" t="s">
        <v>109</v>
      </c>
      <c r="E517">
        <v>4</v>
      </c>
      <c r="F517">
        <v>1004</v>
      </c>
      <c r="G517" t="s">
        <v>110</v>
      </c>
      <c r="J517" t="s">
        <v>111</v>
      </c>
      <c r="K517">
        <v>0</v>
      </c>
      <c r="L517">
        <v>3</v>
      </c>
      <c r="M517">
        <v>0</v>
      </c>
      <c r="N517">
        <v>2</v>
      </c>
      <c r="O517">
        <v>1</v>
      </c>
      <c r="P517">
        <v>0</v>
      </c>
      <c r="Q517">
        <v>0</v>
      </c>
      <c r="R517" t="s">
        <v>112</v>
      </c>
      <c r="S517" t="str">
        <f>"13:58:58.867"</f>
        <v>13:58:58.867</v>
      </c>
      <c r="T517" t="str">
        <f>"13:58:58.469"</f>
        <v>13:58:58.469</v>
      </c>
      <c r="U517" t="str">
        <f t="shared" si="24"/>
        <v>ad5732</v>
      </c>
      <c r="V517">
        <v>0</v>
      </c>
      <c r="W517">
        <v>0</v>
      </c>
      <c r="X517">
        <v>1</v>
      </c>
      <c r="Z517">
        <v>0</v>
      </c>
      <c r="AA517">
        <v>9</v>
      </c>
      <c r="AB517">
        <v>3</v>
      </c>
      <c r="AC517">
        <v>0</v>
      </c>
      <c r="AD517">
        <v>10</v>
      </c>
      <c r="AE517">
        <v>0</v>
      </c>
      <c r="AF517">
        <v>3</v>
      </c>
      <c r="AG517">
        <v>2</v>
      </c>
      <c r="AH517">
        <v>0</v>
      </c>
      <c r="AI517" t="s">
        <v>1131</v>
      </c>
      <c r="AJ517">
        <v>39.243121000000002</v>
      </c>
      <c r="AK517" t="s">
        <v>1132</v>
      </c>
      <c r="AL517">
        <v>-77.340939000000006</v>
      </c>
      <c r="AM517">
        <v>100</v>
      </c>
      <c r="AN517">
        <v>8500</v>
      </c>
      <c r="AO517" t="s">
        <v>115</v>
      </c>
      <c r="AP517">
        <v>138</v>
      </c>
      <c r="AQ517">
        <v>60</v>
      </c>
      <c r="AR517">
        <v>896</v>
      </c>
      <c r="AZ517">
        <v>3614</v>
      </c>
      <c r="BA517">
        <v>1</v>
      </c>
      <c r="BB517" t="str">
        <f t="shared" si="23"/>
        <v xml:space="preserve">N959MJ  </v>
      </c>
      <c r="BC517">
        <v>1</v>
      </c>
      <c r="BE517">
        <v>0</v>
      </c>
      <c r="BF517">
        <v>0</v>
      </c>
      <c r="BG517">
        <v>0</v>
      </c>
      <c r="BH517">
        <v>8775</v>
      </c>
      <c r="BI517">
        <v>275</v>
      </c>
      <c r="BJ517">
        <v>1</v>
      </c>
      <c r="BK517">
        <v>1</v>
      </c>
      <c r="BL517">
        <v>1</v>
      </c>
      <c r="BM517">
        <v>0</v>
      </c>
      <c r="BP517">
        <v>0</v>
      </c>
      <c r="BQ517">
        <v>0</v>
      </c>
      <c r="BX517" t="str">
        <f>"13:58:58.867"</f>
        <v>13:58:58.867</v>
      </c>
      <c r="BY517" t="str">
        <f>"870124226"</f>
        <v>870124226</v>
      </c>
      <c r="CL517">
        <v>0</v>
      </c>
      <c r="CM517">
        <v>2</v>
      </c>
      <c r="CN517">
        <v>0</v>
      </c>
      <c r="CO517">
        <v>2</v>
      </c>
      <c r="CP517">
        <v>0</v>
      </c>
      <c r="CQ517">
        <v>7</v>
      </c>
      <c r="CR517" t="s">
        <v>116</v>
      </c>
      <c r="CS517">
        <v>525</v>
      </c>
      <c r="CT517">
        <v>2</v>
      </c>
      <c r="CU517" t="s">
        <v>140</v>
      </c>
      <c r="CV517" t="s">
        <v>141</v>
      </c>
      <c r="CY517">
        <v>14343055</v>
      </c>
      <c r="CZ517" t="s">
        <v>119</v>
      </c>
    </row>
    <row r="518" spans="1:104" x14ac:dyDescent="0.25">
      <c r="A518" t="str">
        <f>"13:59:00.211"</f>
        <v>13:59:00.211</v>
      </c>
      <c r="B518" t="s">
        <v>108</v>
      </c>
      <c r="C518" t="str">
        <f t="shared" si="22"/>
        <v>ffdfd3c0</v>
      </c>
      <c r="D518" t="s">
        <v>109</v>
      </c>
      <c r="E518">
        <v>4</v>
      </c>
      <c r="F518">
        <v>1004</v>
      </c>
      <c r="G518" t="s">
        <v>110</v>
      </c>
      <c r="J518" t="s">
        <v>111</v>
      </c>
      <c r="K518">
        <v>0</v>
      </c>
      <c r="L518">
        <v>3</v>
      </c>
      <c r="M518">
        <v>0</v>
      </c>
      <c r="N518">
        <v>2</v>
      </c>
      <c r="O518">
        <v>1</v>
      </c>
      <c r="P518">
        <v>0</v>
      </c>
      <c r="Q518">
        <v>0</v>
      </c>
      <c r="R518" t="s">
        <v>112</v>
      </c>
      <c r="S518" t="str">
        <f>"13:59:00.008"</f>
        <v>13:59:00.008</v>
      </c>
      <c r="T518" t="str">
        <f>"13:58:59.508"</f>
        <v>13:58:59.508</v>
      </c>
      <c r="U518" t="str">
        <f t="shared" si="24"/>
        <v>ad5732</v>
      </c>
      <c r="V518">
        <v>0</v>
      </c>
      <c r="W518">
        <v>0</v>
      </c>
      <c r="X518">
        <v>1</v>
      </c>
      <c r="Z518">
        <v>0</v>
      </c>
      <c r="AA518">
        <v>9</v>
      </c>
      <c r="AB518">
        <v>3</v>
      </c>
      <c r="AC518">
        <v>0</v>
      </c>
      <c r="AD518">
        <v>10</v>
      </c>
      <c r="AE518">
        <v>0</v>
      </c>
      <c r="AF518">
        <v>3</v>
      </c>
      <c r="AG518">
        <v>2</v>
      </c>
      <c r="AH518">
        <v>0</v>
      </c>
      <c r="AI518" t="s">
        <v>1133</v>
      </c>
      <c r="AJ518">
        <v>39.243442999999999</v>
      </c>
      <c r="AK518" t="s">
        <v>1134</v>
      </c>
      <c r="AL518">
        <v>-77.339973000000001</v>
      </c>
      <c r="AM518">
        <v>100</v>
      </c>
      <c r="AN518">
        <v>8500</v>
      </c>
      <c r="AO518" t="s">
        <v>115</v>
      </c>
      <c r="AP518">
        <v>138</v>
      </c>
      <c r="AQ518">
        <v>59</v>
      </c>
      <c r="AR518">
        <v>960</v>
      </c>
      <c r="AZ518">
        <v>3614</v>
      </c>
      <c r="BA518">
        <v>1</v>
      </c>
      <c r="BB518" t="str">
        <f t="shared" si="23"/>
        <v xml:space="preserve">N959MJ  </v>
      </c>
      <c r="BC518">
        <v>1</v>
      </c>
      <c r="BE518">
        <v>0</v>
      </c>
      <c r="BF518">
        <v>0</v>
      </c>
      <c r="BG518">
        <v>0</v>
      </c>
      <c r="BH518">
        <v>8800</v>
      </c>
      <c r="BI518">
        <v>300</v>
      </c>
      <c r="BJ518">
        <v>1</v>
      </c>
      <c r="BK518">
        <v>1</v>
      </c>
      <c r="BL518">
        <v>1</v>
      </c>
      <c r="BM518">
        <v>0</v>
      </c>
      <c r="BP518">
        <v>0</v>
      </c>
      <c r="BQ518">
        <v>0</v>
      </c>
      <c r="BX518" t="str">
        <f>"13:59:00.016"</f>
        <v>13:59:00.016</v>
      </c>
      <c r="BY518" t="str">
        <f>"013745682"</f>
        <v>013745682</v>
      </c>
      <c r="CL518">
        <v>0</v>
      </c>
      <c r="CM518">
        <v>2</v>
      </c>
      <c r="CN518">
        <v>0</v>
      </c>
      <c r="CO518">
        <v>2</v>
      </c>
      <c r="CP518">
        <v>0</v>
      </c>
      <c r="CQ518">
        <v>7</v>
      </c>
      <c r="CR518" t="s">
        <v>116</v>
      </c>
      <c r="CS518">
        <v>525</v>
      </c>
      <c r="CT518">
        <v>2</v>
      </c>
      <c r="CU518" t="s">
        <v>140</v>
      </c>
      <c r="CV518" t="s">
        <v>141</v>
      </c>
      <c r="CY518">
        <v>14344679</v>
      </c>
      <c r="CZ518" t="s">
        <v>119</v>
      </c>
    </row>
    <row r="519" spans="1:104" x14ac:dyDescent="0.25">
      <c r="A519" t="str">
        <f>"13:59:01.219"</f>
        <v>13:59:01.219</v>
      </c>
      <c r="B519" t="s">
        <v>108</v>
      </c>
      <c r="C519" t="str">
        <f t="shared" si="22"/>
        <v>ffdfd3c0</v>
      </c>
      <c r="D519" t="s">
        <v>109</v>
      </c>
      <c r="E519">
        <v>4</v>
      </c>
      <c r="F519">
        <v>1004</v>
      </c>
      <c r="G519" t="s">
        <v>110</v>
      </c>
      <c r="J519" t="s">
        <v>111</v>
      </c>
      <c r="K519">
        <v>0</v>
      </c>
      <c r="L519">
        <v>3</v>
      </c>
      <c r="M519">
        <v>0</v>
      </c>
      <c r="N519">
        <v>2</v>
      </c>
      <c r="O519">
        <v>1</v>
      </c>
      <c r="P519">
        <v>0</v>
      </c>
      <c r="Q519">
        <v>0</v>
      </c>
      <c r="R519" t="s">
        <v>112</v>
      </c>
      <c r="S519" t="str">
        <f>"13:59:01.039"</f>
        <v>13:59:01.039</v>
      </c>
      <c r="T519" t="str">
        <f>"13:59:00.539"</f>
        <v>13:59:00.539</v>
      </c>
      <c r="U519" t="str">
        <f t="shared" si="24"/>
        <v>ad5732</v>
      </c>
      <c r="V519">
        <v>0</v>
      </c>
      <c r="W519">
        <v>0</v>
      </c>
      <c r="X519">
        <v>1</v>
      </c>
      <c r="Z519">
        <v>0</v>
      </c>
      <c r="AA519">
        <v>9</v>
      </c>
      <c r="AB519">
        <v>3</v>
      </c>
      <c r="AC519">
        <v>0</v>
      </c>
      <c r="AD519">
        <v>10</v>
      </c>
      <c r="AE519">
        <v>0</v>
      </c>
      <c r="AF519">
        <v>3</v>
      </c>
      <c r="AG519">
        <v>2</v>
      </c>
      <c r="AH519">
        <v>0</v>
      </c>
      <c r="AI519" t="s">
        <v>1135</v>
      </c>
      <c r="AJ519">
        <v>39.243721999999998</v>
      </c>
      <c r="AK519" t="s">
        <v>1136</v>
      </c>
      <c r="AL519">
        <v>-77.339179999999999</v>
      </c>
      <c r="AM519">
        <v>100</v>
      </c>
      <c r="AN519">
        <v>8500</v>
      </c>
      <c r="AO519" t="s">
        <v>115</v>
      </c>
      <c r="AP519">
        <v>138</v>
      </c>
      <c r="AQ519">
        <v>59</v>
      </c>
      <c r="AR519">
        <v>1024</v>
      </c>
      <c r="AZ519">
        <v>3614</v>
      </c>
      <c r="BA519">
        <v>1</v>
      </c>
      <c r="BB519" t="str">
        <f t="shared" si="23"/>
        <v xml:space="preserve">N959MJ  </v>
      </c>
      <c r="BC519">
        <v>1</v>
      </c>
      <c r="BE519">
        <v>0</v>
      </c>
      <c r="BF519">
        <v>0</v>
      </c>
      <c r="BG519">
        <v>0</v>
      </c>
      <c r="BH519">
        <v>8825</v>
      </c>
      <c r="BI519">
        <v>325</v>
      </c>
      <c r="BJ519">
        <v>1</v>
      </c>
      <c r="BK519">
        <v>1</v>
      </c>
      <c r="BL519">
        <v>1</v>
      </c>
      <c r="BM519">
        <v>0</v>
      </c>
      <c r="BP519">
        <v>0</v>
      </c>
      <c r="BQ519">
        <v>0</v>
      </c>
      <c r="BX519" t="str">
        <f>"13:59:01.047"</f>
        <v>13:59:01.047</v>
      </c>
      <c r="BY519" t="str">
        <f>"045954140"</f>
        <v>045954140</v>
      </c>
      <c r="CL519">
        <v>0</v>
      </c>
      <c r="CM519">
        <v>2</v>
      </c>
      <c r="CN519">
        <v>0</v>
      </c>
      <c r="CO519">
        <v>2</v>
      </c>
      <c r="CP519">
        <v>0</v>
      </c>
      <c r="CQ519">
        <v>7</v>
      </c>
      <c r="CR519" t="s">
        <v>116</v>
      </c>
      <c r="CS519">
        <v>525</v>
      </c>
      <c r="CT519">
        <v>2</v>
      </c>
      <c r="CU519" t="s">
        <v>140</v>
      </c>
      <c r="CV519" t="s">
        <v>141</v>
      </c>
      <c r="CY519">
        <v>14346329</v>
      </c>
      <c r="CZ519" t="s">
        <v>119</v>
      </c>
    </row>
    <row r="520" spans="1:104" x14ac:dyDescent="0.25">
      <c r="A520" t="str">
        <f>"13:59:02.180"</f>
        <v>13:59:02.180</v>
      </c>
      <c r="B520" t="s">
        <v>108</v>
      </c>
      <c r="C520" t="str">
        <f t="shared" si="22"/>
        <v>ffdfd3c0</v>
      </c>
      <c r="D520" t="s">
        <v>109</v>
      </c>
      <c r="E520">
        <v>4</v>
      </c>
      <c r="F520">
        <v>1004</v>
      </c>
      <c r="G520" t="s">
        <v>110</v>
      </c>
      <c r="J520" t="s">
        <v>111</v>
      </c>
      <c r="K520">
        <v>0</v>
      </c>
      <c r="L520">
        <v>3</v>
      </c>
      <c r="M520">
        <v>0</v>
      </c>
      <c r="N520">
        <v>2</v>
      </c>
      <c r="O520">
        <v>1</v>
      </c>
      <c r="P520">
        <v>0</v>
      </c>
      <c r="Q520">
        <v>0</v>
      </c>
      <c r="R520" t="s">
        <v>112</v>
      </c>
      <c r="S520" t="str">
        <f>"13:59:02.016"</f>
        <v>13:59:02.016</v>
      </c>
      <c r="T520" t="str">
        <f>"13:59:01.617"</f>
        <v>13:59:01.617</v>
      </c>
      <c r="U520" t="str">
        <f t="shared" si="24"/>
        <v>ad5732</v>
      </c>
      <c r="V520">
        <v>0</v>
      </c>
      <c r="W520">
        <v>0</v>
      </c>
      <c r="X520">
        <v>1</v>
      </c>
      <c r="Z520">
        <v>0</v>
      </c>
      <c r="AA520">
        <v>9</v>
      </c>
      <c r="AB520">
        <v>3</v>
      </c>
      <c r="AC520">
        <v>0</v>
      </c>
      <c r="AD520">
        <v>10</v>
      </c>
      <c r="AE520">
        <v>0</v>
      </c>
      <c r="AF520">
        <v>3</v>
      </c>
      <c r="AG520">
        <v>2</v>
      </c>
      <c r="AH520">
        <v>0</v>
      </c>
      <c r="AI520" t="s">
        <v>1137</v>
      </c>
      <c r="AJ520">
        <v>39.244000999999997</v>
      </c>
      <c r="AK520" t="s">
        <v>1138</v>
      </c>
      <c r="AL520">
        <v>-77.338320999999993</v>
      </c>
      <c r="AM520">
        <v>100</v>
      </c>
      <c r="AN520">
        <v>8500</v>
      </c>
      <c r="AO520" t="s">
        <v>115</v>
      </c>
      <c r="AP520">
        <v>138</v>
      </c>
      <c r="AQ520">
        <v>59</v>
      </c>
      <c r="AR520">
        <v>1024</v>
      </c>
      <c r="AZ520">
        <v>3614</v>
      </c>
      <c r="BA520">
        <v>1</v>
      </c>
      <c r="BB520" t="str">
        <f t="shared" si="23"/>
        <v xml:space="preserve">N959MJ  </v>
      </c>
      <c r="BC520">
        <v>1</v>
      </c>
      <c r="BE520">
        <v>0</v>
      </c>
      <c r="BF520">
        <v>0</v>
      </c>
      <c r="BG520">
        <v>0</v>
      </c>
      <c r="BH520">
        <v>8825</v>
      </c>
      <c r="BI520">
        <v>325</v>
      </c>
      <c r="BJ520">
        <v>1</v>
      </c>
      <c r="BK520">
        <v>1</v>
      </c>
      <c r="BL520">
        <v>1</v>
      </c>
      <c r="BM520">
        <v>0</v>
      </c>
      <c r="BP520">
        <v>0</v>
      </c>
      <c r="BQ520">
        <v>0</v>
      </c>
      <c r="BX520" t="str">
        <f>"13:59:02.016"</f>
        <v>13:59:02.016</v>
      </c>
      <c r="BY520" t="str">
        <f>"017540893"</f>
        <v>017540893</v>
      </c>
      <c r="CL520">
        <v>0</v>
      </c>
      <c r="CM520">
        <v>2</v>
      </c>
      <c r="CN520">
        <v>0</v>
      </c>
      <c r="CO520">
        <v>2</v>
      </c>
      <c r="CP520">
        <v>0</v>
      </c>
      <c r="CQ520">
        <v>7</v>
      </c>
      <c r="CR520" t="s">
        <v>116</v>
      </c>
      <c r="CS520">
        <v>525</v>
      </c>
      <c r="CT520">
        <v>2</v>
      </c>
      <c r="CU520" t="s">
        <v>140</v>
      </c>
      <c r="CV520" t="s">
        <v>141</v>
      </c>
      <c r="CY520">
        <v>14347726</v>
      </c>
      <c r="CZ520" t="s">
        <v>119</v>
      </c>
    </row>
    <row r="521" spans="1:104" x14ac:dyDescent="0.25">
      <c r="A521" t="str">
        <f>"13:59:03.031"</f>
        <v>13:59:03.031</v>
      </c>
      <c r="B521" t="s">
        <v>108</v>
      </c>
      <c r="C521" t="str">
        <f t="shared" si="22"/>
        <v>ffdfd3c0</v>
      </c>
      <c r="D521" t="s">
        <v>109</v>
      </c>
      <c r="E521">
        <v>4</v>
      </c>
      <c r="F521">
        <v>1004</v>
      </c>
      <c r="G521" t="s">
        <v>110</v>
      </c>
      <c r="J521" t="s">
        <v>111</v>
      </c>
      <c r="K521">
        <v>0</v>
      </c>
      <c r="L521">
        <v>3</v>
      </c>
      <c r="M521">
        <v>0</v>
      </c>
      <c r="N521">
        <v>2</v>
      </c>
      <c r="O521">
        <v>1</v>
      </c>
      <c r="P521">
        <v>0</v>
      </c>
      <c r="Q521">
        <v>0</v>
      </c>
      <c r="R521" t="s">
        <v>112</v>
      </c>
      <c r="S521" t="str">
        <f>"13:59:02.883"</f>
        <v>13:59:02.883</v>
      </c>
      <c r="T521" t="str">
        <f>"13:59:02.484"</f>
        <v>13:59:02.484</v>
      </c>
      <c r="U521" t="str">
        <f t="shared" si="24"/>
        <v>ad5732</v>
      </c>
      <c r="V521">
        <v>0</v>
      </c>
      <c r="W521">
        <v>0</v>
      </c>
      <c r="X521">
        <v>1</v>
      </c>
      <c r="Z521">
        <v>0</v>
      </c>
      <c r="AA521">
        <v>9</v>
      </c>
      <c r="AB521">
        <v>3</v>
      </c>
      <c r="AC521">
        <v>0</v>
      </c>
      <c r="AD521">
        <v>10</v>
      </c>
      <c r="AE521">
        <v>0</v>
      </c>
      <c r="AF521">
        <v>3</v>
      </c>
      <c r="AG521">
        <v>2</v>
      </c>
      <c r="AH521">
        <v>0</v>
      </c>
      <c r="AI521" t="s">
        <v>1139</v>
      </c>
      <c r="AJ521">
        <v>39.244258000000002</v>
      </c>
      <c r="AK521" t="s">
        <v>1140</v>
      </c>
      <c r="AL521">
        <v>-77.337592000000001</v>
      </c>
      <c r="AM521">
        <v>100</v>
      </c>
      <c r="AN521">
        <v>8500</v>
      </c>
      <c r="AO521" t="s">
        <v>115</v>
      </c>
      <c r="AP521">
        <v>138</v>
      </c>
      <c r="AQ521">
        <v>59</v>
      </c>
      <c r="AR521">
        <v>1088</v>
      </c>
      <c r="AZ521">
        <v>3614</v>
      </c>
      <c r="BA521">
        <v>1</v>
      </c>
      <c r="BB521" t="str">
        <f t="shared" si="23"/>
        <v xml:space="preserve">N959MJ  </v>
      </c>
      <c r="BC521">
        <v>1</v>
      </c>
      <c r="BE521">
        <v>0</v>
      </c>
      <c r="BF521">
        <v>0</v>
      </c>
      <c r="BG521">
        <v>0</v>
      </c>
      <c r="BH521">
        <v>8850</v>
      </c>
      <c r="BI521">
        <v>350</v>
      </c>
      <c r="BJ521">
        <v>1</v>
      </c>
      <c r="BK521">
        <v>1</v>
      </c>
      <c r="BL521">
        <v>1</v>
      </c>
      <c r="BM521">
        <v>0</v>
      </c>
      <c r="BP521">
        <v>0</v>
      </c>
      <c r="BQ521">
        <v>0</v>
      </c>
      <c r="BX521" t="str">
        <f>"13:59:02.891"</f>
        <v>13:59:02.891</v>
      </c>
      <c r="BY521" t="str">
        <f>"889183535"</f>
        <v>889183535</v>
      </c>
      <c r="CL521">
        <v>0</v>
      </c>
      <c r="CM521">
        <v>2</v>
      </c>
      <c r="CN521">
        <v>0</v>
      </c>
      <c r="CO521">
        <v>2</v>
      </c>
      <c r="CP521">
        <v>0</v>
      </c>
      <c r="CQ521">
        <v>7</v>
      </c>
      <c r="CR521" t="s">
        <v>116</v>
      </c>
      <c r="CS521">
        <v>525</v>
      </c>
      <c r="CT521">
        <v>2</v>
      </c>
      <c r="CU521" t="s">
        <v>140</v>
      </c>
      <c r="CV521" t="s">
        <v>141</v>
      </c>
      <c r="CY521">
        <v>14349075</v>
      </c>
      <c r="CZ521" t="s">
        <v>119</v>
      </c>
    </row>
    <row r="522" spans="1:104" x14ac:dyDescent="0.25">
      <c r="A522" t="str">
        <f>"13:59:04.195"</f>
        <v>13:59:04.195</v>
      </c>
      <c r="B522" t="s">
        <v>108</v>
      </c>
      <c r="C522" t="str">
        <f t="shared" ref="C522:C585" si="25">"ffdfd3c0"</f>
        <v>ffdfd3c0</v>
      </c>
      <c r="D522" t="s">
        <v>109</v>
      </c>
      <c r="E522">
        <v>4</v>
      </c>
      <c r="F522">
        <v>1004</v>
      </c>
      <c r="G522" t="s">
        <v>110</v>
      </c>
      <c r="J522" t="s">
        <v>111</v>
      </c>
      <c r="K522">
        <v>0</v>
      </c>
      <c r="L522">
        <v>3</v>
      </c>
      <c r="M522">
        <v>0</v>
      </c>
      <c r="N522">
        <v>2</v>
      </c>
      <c r="O522">
        <v>1</v>
      </c>
      <c r="P522">
        <v>0</v>
      </c>
      <c r="Q522">
        <v>0</v>
      </c>
      <c r="R522" t="s">
        <v>112</v>
      </c>
      <c r="S522" t="str">
        <f>"13:59:03.992"</f>
        <v>13:59:03.992</v>
      </c>
      <c r="T522" t="str">
        <f>"13:59:03.492"</f>
        <v>13:59:03.492</v>
      </c>
      <c r="U522" t="str">
        <f t="shared" si="24"/>
        <v>ad5732</v>
      </c>
      <c r="V522">
        <v>0</v>
      </c>
      <c r="W522">
        <v>0</v>
      </c>
      <c r="X522">
        <v>1</v>
      </c>
      <c r="Z522">
        <v>0</v>
      </c>
      <c r="AA522">
        <v>9</v>
      </c>
      <c r="AB522">
        <v>3</v>
      </c>
      <c r="AC522">
        <v>0</v>
      </c>
      <c r="AD522">
        <v>10</v>
      </c>
      <c r="AE522">
        <v>0</v>
      </c>
      <c r="AF522">
        <v>3</v>
      </c>
      <c r="AG522">
        <v>2</v>
      </c>
      <c r="AH522">
        <v>0</v>
      </c>
      <c r="AI522" t="s">
        <v>1141</v>
      </c>
      <c r="AJ522">
        <v>39.244559000000002</v>
      </c>
      <c r="AK522" t="s">
        <v>1142</v>
      </c>
      <c r="AL522">
        <v>-77.336669000000001</v>
      </c>
      <c r="AM522">
        <v>100</v>
      </c>
      <c r="AN522">
        <v>8500</v>
      </c>
      <c r="AO522" t="s">
        <v>115</v>
      </c>
      <c r="AP522">
        <v>138</v>
      </c>
      <c r="AQ522">
        <v>59</v>
      </c>
      <c r="AR522">
        <v>1088</v>
      </c>
      <c r="AZ522">
        <v>3614</v>
      </c>
      <c r="BA522">
        <v>1</v>
      </c>
      <c r="BB522" t="str">
        <f t="shared" ref="BB522:BB585" si="26">"N959MJ  "</f>
        <v xml:space="preserve">N959MJ  </v>
      </c>
      <c r="BC522">
        <v>1</v>
      </c>
      <c r="BE522">
        <v>0</v>
      </c>
      <c r="BF522">
        <v>0</v>
      </c>
      <c r="BG522">
        <v>0</v>
      </c>
      <c r="BH522">
        <v>8875</v>
      </c>
      <c r="BI522">
        <v>375</v>
      </c>
      <c r="BJ522">
        <v>1</v>
      </c>
      <c r="BK522">
        <v>1</v>
      </c>
      <c r="BL522">
        <v>1</v>
      </c>
      <c r="BM522">
        <v>0</v>
      </c>
      <c r="BP522">
        <v>0</v>
      </c>
      <c r="BQ522">
        <v>0</v>
      </c>
      <c r="BX522" t="str">
        <f>"13:59:03.992"</f>
        <v>13:59:03.992</v>
      </c>
      <c r="BY522" t="str">
        <f>"995121198"</f>
        <v>995121198</v>
      </c>
      <c r="CL522">
        <v>0</v>
      </c>
      <c r="CM522">
        <v>2</v>
      </c>
      <c r="CN522">
        <v>0</v>
      </c>
      <c r="CO522">
        <v>2</v>
      </c>
      <c r="CP522">
        <v>0</v>
      </c>
      <c r="CQ522">
        <v>7</v>
      </c>
      <c r="CR522" t="s">
        <v>116</v>
      </c>
      <c r="CS522">
        <v>525</v>
      </c>
      <c r="CT522">
        <v>2</v>
      </c>
      <c r="CU522" t="s">
        <v>140</v>
      </c>
      <c r="CV522" t="s">
        <v>141</v>
      </c>
      <c r="CY522">
        <v>14350539</v>
      </c>
      <c r="CZ522" t="s">
        <v>119</v>
      </c>
    </row>
    <row r="523" spans="1:104" x14ac:dyDescent="0.25">
      <c r="A523" t="str">
        <f>"13:59:05.102"</f>
        <v>13:59:05.102</v>
      </c>
      <c r="B523" t="s">
        <v>108</v>
      </c>
      <c r="C523" t="str">
        <f t="shared" si="25"/>
        <v>ffdfd3c0</v>
      </c>
      <c r="D523" t="s">
        <v>109</v>
      </c>
      <c r="E523">
        <v>4</v>
      </c>
      <c r="F523">
        <v>1004</v>
      </c>
      <c r="G523" t="s">
        <v>110</v>
      </c>
      <c r="J523" t="s">
        <v>111</v>
      </c>
      <c r="K523">
        <v>0</v>
      </c>
      <c r="L523">
        <v>3</v>
      </c>
      <c r="M523">
        <v>0</v>
      </c>
      <c r="N523">
        <v>2</v>
      </c>
      <c r="O523">
        <v>1</v>
      </c>
      <c r="P523">
        <v>0</v>
      </c>
      <c r="Q523">
        <v>0</v>
      </c>
      <c r="R523" t="s">
        <v>112</v>
      </c>
      <c r="S523" t="str">
        <f>"13:59:04.930"</f>
        <v>13:59:04.930</v>
      </c>
      <c r="T523" t="str">
        <f>"13:59:04.531"</f>
        <v>13:59:04.531</v>
      </c>
      <c r="U523" t="str">
        <f t="shared" si="24"/>
        <v>ad5732</v>
      </c>
      <c r="V523">
        <v>0</v>
      </c>
      <c r="W523">
        <v>0</v>
      </c>
      <c r="X523">
        <v>1</v>
      </c>
      <c r="Z523">
        <v>0</v>
      </c>
      <c r="AA523">
        <v>9</v>
      </c>
      <c r="AB523">
        <v>3</v>
      </c>
      <c r="AC523">
        <v>0</v>
      </c>
      <c r="AD523">
        <v>10</v>
      </c>
      <c r="AE523">
        <v>0</v>
      </c>
      <c r="AF523">
        <v>3</v>
      </c>
      <c r="AG523">
        <v>2</v>
      </c>
      <c r="AH523">
        <v>0</v>
      </c>
      <c r="AI523" t="s">
        <v>1143</v>
      </c>
      <c r="AJ523">
        <v>39.244816</v>
      </c>
      <c r="AK523" t="s">
        <v>1144</v>
      </c>
      <c r="AL523">
        <v>-77.335918000000007</v>
      </c>
      <c r="AM523">
        <v>100</v>
      </c>
      <c r="AN523">
        <v>8500</v>
      </c>
      <c r="AO523" t="s">
        <v>115</v>
      </c>
      <c r="AP523">
        <v>137</v>
      </c>
      <c r="AQ523">
        <v>59</v>
      </c>
      <c r="AR523">
        <v>1088</v>
      </c>
      <c r="AZ523">
        <v>3614</v>
      </c>
      <c r="BA523">
        <v>1</v>
      </c>
      <c r="BB523" t="str">
        <f t="shared" si="26"/>
        <v xml:space="preserve">N959MJ  </v>
      </c>
      <c r="BC523">
        <v>1</v>
      </c>
      <c r="BE523">
        <v>0</v>
      </c>
      <c r="BF523">
        <v>0</v>
      </c>
      <c r="BG523">
        <v>0</v>
      </c>
      <c r="BH523">
        <v>8900</v>
      </c>
      <c r="BI523">
        <v>400</v>
      </c>
      <c r="BJ523">
        <v>1</v>
      </c>
      <c r="BK523">
        <v>1</v>
      </c>
      <c r="BL523">
        <v>1</v>
      </c>
      <c r="BM523">
        <v>0</v>
      </c>
      <c r="BP523">
        <v>0</v>
      </c>
      <c r="BQ523">
        <v>0</v>
      </c>
      <c r="BX523" t="str">
        <f>"13:59:04.938"</f>
        <v>13:59:04.938</v>
      </c>
      <c r="BY523" t="str">
        <f>"935577844"</f>
        <v>935577844</v>
      </c>
      <c r="CL523">
        <v>0</v>
      </c>
      <c r="CM523">
        <v>2</v>
      </c>
      <c r="CN523">
        <v>0</v>
      </c>
      <c r="CO523">
        <v>2</v>
      </c>
      <c r="CP523">
        <v>0</v>
      </c>
      <c r="CQ523">
        <v>7</v>
      </c>
      <c r="CR523" t="s">
        <v>116</v>
      </c>
      <c r="CS523">
        <v>525</v>
      </c>
      <c r="CT523">
        <v>2</v>
      </c>
      <c r="CU523" t="s">
        <v>140</v>
      </c>
      <c r="CV523" t="s">
        <v>141</v>
      </c>
      <c r="CY523">
        <v>14351974</v>
      </c>
      <c r="CZ523" t="s">
        <v>119</v>
      </c>
    </row>
    <row r="524" spans="1:104" x14ac:dyDescent="0.25">
      <c r="A524" t="str">
        <f>"13:59:06.109"</f>
        <v>13:59:06.109</v>
      </c>
      <c r="B524" t="s">
        <v>108</v>
      </c>
      <c r="C524" t="str">
        <f t="shared" si="25"/>
        <v>ffdfd3c0</v>
      </c>
      <c r="D524" t="s">
        <v>109</v>
      </c>
      <c r="E524">
        <v>4</v>
      </c>
      <c r="F524">
        <v>1004</v>
      </c>
      <c r="G524" t="s">
        <v>110</v>
      </c>
      <c r="J524" t="s">
        <v>111</v>
      </c>
      <c r="K524">
        <v>0</v>
      </c>
      <c r="L524">
        <v>3</v>
      </c>
      <c r="M524">
        <v>0</v>
      </c>
      <c r="N524">
        <v>2</v>
      </c>
      <c r="O524">
        <v>1</v>
      </c>
      <c r="P524">
        <v>0</v>
      </c>
      <c r="Q524">
        <v>0</v>
      </c>
      <c r="R524" t="s">
        <v>112</v>
      </c>
      <c r="S524" t="str">
        <f>"13:59:05.945"</f>
        <v>13:59:05.945</v>
      </c>
      <c r="T524" t="str">
        <f>"13:59:05.547"</f>
        <v>13:59:05.547</v>
      </c>
      <c r="U524" t="str">
        <f t="shared" si="24"/>
        <v>ad5732</v>
      </c>
      <c r="V524">
        <v>0</v>
      </c>
      <c r="W524">
        <v>0</v>
      </c>
      <c r="X524">
        <v>1</v>
      </c>
      <c r="Z524">
        <v>0</v>
      </c>
      <c r="AA524">
        <v>9</v>
      </c>
      <c r="AB524">
        <v>3</v>
      </c>
      <c r="AC524">
        <v>0</v>
      </c>
      <c r="AD524">
        <v>10</v>
      </c>
      <c r="AE524">
        <v>0</v>
      </c>
      <c r="AF524">
        <v>3</v>
      </c>
      <c r="AG524">
        <v>2</v>
      </c>
      <c r="AH524">
        <v>0</v>
      </c>
      <c r="AI524" t="s">
        <v>1145</v>
      </c>
      <c r="AJ524">
        <v>39.245030999999997</v>
      </c>
      <c r="AK524" t="s">
        <v>1146</v>
      </c>
      <c r="AL524">
        <v>-77.335144999999997</v>
      </c>
      <c r="AM524">
        <v>100</v>
      </c>
      <c r="AN524">
        <v>8500</v>
      </c>
      <c r="AO524" t="s">
        <v>115</v>
      </c>
      <c r="AP524">
        <v>137</v>
      </c>
      <c r="AQ524">
        <v>58</v>
      </c>
      <c r="AR524">
        <v>1088</v>
      </c>
      <c r="AZ524">
        <v>3614</v>
      </c>
      <c r="BA524">
        <v>1</v>
      </c>
      <c r="BB524" t="str">
        <f t="shared" si="26"/>
        <v xml:space="preserve">N959MJ  </v>
      </c>
      <c r="BC524">
        <v>1</v>
      </c>
      <c r="BE524">
        <v>0</v>
      </c>
      <c r="BF524">
        <v>0</v>
      </c>
      <c r="BG524">
        <v>0</v>
      </c>
      <c r="BH524">
        <v>8900</v>
      </c>
      <c r="BI524">
        <v>400</v>
      </c>
      <c r="BJ524">
        <v>1</v>
      </c>
      <c r="BK524">
        <v>1</v>
      </c>
      <c r="BL524">
        <v>1</v>
      </c>
      <c r="BM524">
        <v>0</v>
      </c>
      <c r="BP524">
        <v>0</v>
      </c>
      <c r="BQ524">
        <v>0</v>
      </c>
      <c r="BX524" t="str">
        <f>"13:59:05.953"</f>
        <v>13:59:05.953</v>
      </c>
      <c r="BY524" t="str">
        <f>"949763539"</f>
        <v>949763539</v>
      </c>
      <c r="CL524">
        <v>0</v>
      </c>
      <c r="CM524">
        <v>2</v>
      </c>
      <c r="CN524">
        <v>0</v>
      </c>
      <c r="CO524">
        <v>2</v>
      </c>
      <c r="CP524">
        <v>0</v>
      </c>
      <c r="CQ524">
        <v>7</v>
      </c>
      <c r="CR524" t="s">
        <v>116</v>
      </c>
      <c r="CS524">
        <v>525</v>
      </c>
      <c r="CT524">
        <v>2</v>
      </c>
      <c r="CU524" t="s">
        <v>140</v>
      </c>
      <c r="CV524" t="s">
        <v>141</v>
      </c>
      <c r="CY524">
        <v>14353584</v>
      </c>
      <c r="CZ524" t="s">
        <v>119</v>
      </c>
    </row>
    <row r="525" spans="1:104" x14ac:dyDescent="0.25">
      <c r="A525" t="str">
        <f>"13:59:07.070"</f>
        <v>13:59:07.070</v>
      </c>
      <c r="B525" t="s">
        <v>108</v>
      </c>
      <c r="C525" t="str">
        <f t="shared" si="25"/>
        <v>ffdfd3c0</v>
      </c>
      <c r="D525" t="s">
        <v>109</v>
      </c>
      <c r="E525">
        <v>4</v>
      </c>
      <c r="F525">
        <v>1004</v>
      </c>
      <c r="G525" t="s">
        <v>110</v>
      </c>
      <c r="J525" t="s">
        <v>111</v>
      </c>
      <c r="K525">
        <v>0</v>
      </c>
      <c r="L525">
        <v>3</v>
      </c>
      <c r="M525">
        <v>0</v>
      </c>
      <c r="N525">
        <v>2</v>
      </c>
      <c r="O525">
        <v>1</v>
      </c>
      <c r="P525">
        <v>0</v>
      </c>
      <c r="Q525">
        <v>0</v>
      </c>
      <c r="R525" t="s">
        <v>112</v>
      </c>
      <c r="S525" t="str">
        <f>"13:59:06.891"</f>
        <v>13:59:06.891</v>
      </c>
      <c r="T525" t="str">
        <f>"13:59:06.492"</f>
        <v>13:59:06.492</v>
      </c>
      <c r="U525" t="str">
        <f t="shared" si="24"/>
        <v>ad5732</v>
      </c>
      <c r="V525">
        <v>0</v>
      </c>
      <c r="W525">
        <v>0</v>
      </c>
      <c r="X525">
        <v>1</v>
      </c>
      <c r="Z525">
        <v>0</v>
      </c>
      <c r="AA525">
        <v>9</v>
      </c>
      <c r="AB525">
        <v>3</v>
      </c>
      <c r="AC525">
        <v>0</v>
      </c>
      <c r="AD525">
        <v>10</v>
      </c>
      <c r="AE525">
        <v>0</v>
      </c>
      <c r="AF525">
        <v>3</v>
      </c>
      <c r="AG525">
        <v>2</v>
      </c>
      <c r="AH525">
        <v>0</v>
      </c>
      <c r="AI525" t="s">
        <v>1147</v>
      </c>
      <c r="AJ525">
        <v>39.245310000000003</v>
      </c>
      <c r="AK525" t="s">
        <v>1148</v>
      </c>
      <c r="AL525">
        <v>-77.334309000000005</v>
      </c>
      <c r="AM525">
        <v>100</v>
      </c>
      <c r="AN525">
        <v>8600</v>
      </c>
      <c r="AO525" t="s">
        <v>115</v>
      </c>
      <c r="AP525">
        <v>137</v>
      </c>
      <c r="AQ525">
        <v>58</v>
      </c>
      <c r="AR525">
        <v>1024</v>
      </c>
      <c r="AZ525">
        <v>3614</v>
      </c>
      <c r="BA525">
        <v>1</v>
      </c>
      <c r="BB525" t="str">
        <f t="shared" si="26"/>
        <v xml:space="preserve">N959MJ  </v>
      </c>
      <c r="BC525">
        <v>1</v>
      </c>
      <c r="BE525">
        <v>0</v>
      </c>
      <c r="BF525">
        <v>0</v>
      </c>
      <c r="BG525">
        <v>0</v>
      </c>
      <c r="BH525">
        <v>8925</v>
      </c>
      <c r="BI525">
        <v>325</v>
      </c>
      <c r="BJ525">
        <v>1</v>
      </c>
      <c r="BK525">
        <v>1</v>
      </c>
      <c r="BL525">
        <v>1</v>
      </c>
      <c r="BM525">
        <v>0</v>
      </c>
      <c r="BP525">
        <v>0</v>
      </c>
      <c r="BQ525">
        <v>0</v>
      </c>
      <c r="BX525" t="str">
        <f>"13:59:06.898"</f>
        <v>13:59:06.898</v>
      </c>
      <c r="BY525" t="str">
        <f>"895135483"</f>
        <v>895135483</v>
      </c>
      <c r="CL525">
        <v>0</v>
      </c>
      <c r="CM525">
        <v>2</v>
      </c>
      <c r="CN525">
        <v>0</v>
      </c>
      <c r="CO525">
        <v>2</v>
      </c>
      <c r="CP525">
        <v>0</v>
      </c>
      <c r="CQ525">
        <v>7</v>
      </c>
      <c r="CR525" t="s">
        <v>116</v>
      </c>
      <c r="CS525">
        <v>525</v>
      </c>
      <c r="CT525">
        <v>2</v>
      </c>
      <c r="CU525" t="s">
        <v>140</v>
      </c>
      <c r="CV525" t="s">
        <v>141</v>
      </c>
      <c r="CY525">
        <v>14354992</v>
      </c>
      <c r="CZ525" t="s">
        <v>119</v>
      </c>
    </row>
    <row r="526" spans="1:104" x14ac:dyDescent="0.25">
      <c r="A526" t="str">
        <f>"13:59:07.930"</f>
        <v>13:59:07.930</v>
      </c>
      <c r="B526" t="s">
        <v>108</v>
      </c>
      <c r="C526" t="str">
        <f t="shared" si="25"/>
        <v>ffdfd3c0</v>
      </c>
      <c r="D526" t="s">
        <v>109</v>
      </c>
      <c r="E526">
        <v>4</v>
      </c>
      <c r="F526">
        <v>1004</v>
      </c>
      <c r="G526" t="s">
        <v>110</v>
      </c>
      <c r="J526" t="s">
        <v>111</v>
      </c>
      <c r="K526">
        <v>0</v>
      </c>
      <c r="L526">
        <v>3</v>
      </c>
      <c r="M526">
        <v>0</v>
      </c>
      <c r="N526">
        <v>2</v>
      </c>
      <c r="O526">
        <v>1</v>
      </c>
      <c r="P526">
        <v>0</v>
      </c>
      <c r="Q526">
        <v>0</v>
      </c>
      <c r="R526" t="s">
        <v>112</v>
      </c>
      <c r="S526" t="str">
        <f>"13:59:07.750"</f>
        <v>13:59:07.750</v>
      </c>
      <c r="T526" t="str">
        <f>"13:59:07.352"</f>
        <v>13:59:07.352</v>
      </c>
      <c r="U526" t="str">
        <f t="shared" si="24"/>
        <v>ad5732</v>
      </c>
      <c r="V526">
        <v>0</v>
      </c>
      <c r="W526">
        <v>0</v>
      </c>
      <c r="X526">
        <v>1</v>
      </c>
      <c r="Z526">
        <v>0</v>
      </c>
      <c r="AA526">
        <v>9</v>
      </c>
      <c r="AB526">
        <v>3</v>
      </c>
      <c r="AC526">
        <v>0</v>
      </c>
      <c r="AD526">
        <v>10</v>
      </c>
      <c r="AE526">
        <v>0</v>
      </c>
      <c r="AF526">
        <v>3</v>
      </c>
      <c r="AG526">
        <v>2</v>
      </c>
      <c r="AH526">
        <v>0</v>
      </c>
      <c r="AI526" t="s">
        <v>1149</v>
      </c>
      <c r="AJ526">
        <v>39.245545999999997</v>
      </c>
      <c r="AK526" t="s">
        <v>1150</v>
      </c>
      <c r="AL526">
        <v>-77.333664999999996</v>
      </c>
      <c r="AM526">
        <v>100</v>
      </c>
      <c r="AN526">
        <v>8600</v>
      </c>
      <c r="AO526" t="s">
        <v>115</v>
      </c>
      <c r="AP526">
        <v>137</v>
      </c>
      <c r="AQ526">
        <v>57</v>
      </c>
      <c r="AR526">
        <v>1024</v>
      </c>
      <c r="AZ526">
        <v>3614</v>
      </c>
      <c r="BA526">
        <v>1</v>
      </c>
      <c r="BB526" t="str">
        <f t="shared" si="26"/>
        <v xml:space="preserve">N959MJ  </v>
      </c>
      <c r="BC526">
        <v>1</v>
      </c>
      <c r="BE526">
        <v>0</v>
      </c>
      <c r="BF526">
        <v>0</v>
      </c>
      <c r="BG526">
        <v>0</v>
      </c>
      <c r="BH526">
        <v>8950</v>
      </c>
      <c r="BI526">
        <v>350</v>
      </c>
      <c r="BJ526">
        <v>1</v>
      </c>
      <c r="BK526">
        <v>1</v>
      </c>
      <c r="BL526">
        <v>1</v>
      </c>
      <c r="BM526">
        <v>0</v>
      </c>
      <c r="BP526">
        <v>0</v>
      </c>
      <c r="BQ526">
        <v>0</v>
      </c>
      <c r="BX526" t="str">
        <f>"13:59:07.750"</f>
        <v>13:59:07.750</v>
      </c>
      <c r="BY526" t="str">
        <f>"753670795"</f>
        <v>753670795</v>
      </c>
      <c r="CL526">
        <v>0</v>
      </c>
      <c r="CM526">
        <v>2</v>
      </c>
      <c r="CN526">
        <v>0</v>
      </c>
      <c r="CO526">
        <v>2</v>
      </c>
      <c r="CP526">
        <v>0</v>
      </c>
      <c r="CQ526">
        <v>7</v>
      </c>
      <c r="CR526" t="s">
        <v>116</v>
      </c>
      <c r="CS526">
        <v>525</v>
      </c>
      <c r="CT526">
        <v>2</v>
      </c>
      <c r="CU526" t="s">
        <v>140</v>
      </c>
      <c r="CV526" t="s">
        <v>141</v>
      </c>
      <c r="CY526">
        <v>14356236</v>
      </c>
      <c r="CZ526" t="s">
        <v>119</v>
      </c>
    </row>
    <row r="527" spans="1:104" x14ac:dyDescent="0.25">
      <c r="A527" t="str">
        <f>"13:59:08.836"</f>
        <v>13:59:08.836</v>
      </c>
      <c r="B527" t="s">
        <v>108</v>
      </c>
      <c r="C527" t="str">
        <f t="shared" si="25"/>
        <v>ffdfd3c0</v>
      </c>
      <c r="D527" t="s">
        <v>109</v>
      </c>
      <c r="E527">
        <v>4</v>
      </c>
      <c r="F527">
        <v>1004</v>
      </c>
      <c r="G527" t="s">
        <v>110</v>
      </c>
      <c r="J527" t="s">
        <v>111</v>
      </c>
      <c r="K527">
        <v>0</v>
      </c>
      <c r="L527">
        <v>3</v>
      </c>
      <c r="M527">
        <v>0</v>
      </c>
      <c r="N527">
        <v>2</v>
      </c>
      <c r="O527">
        <v>1</v>
      </c>
      <c r="P527">
        <v>0</v>
      </c>
      <c r="Q527">
        <v>0</v>
      </c>
      <c r="R527" t="s">
        <v>112</v>
      </c>
      <c r="S527" t="str">
        <f>"13:59:08.633"</f>
        <v>13:59:08.633</v>
      </c>
      <c r="T527" t="str">
        <f>"13:59:08.234"</f>
        <v>13:59:08.234</v>
      </c>
      <c r="U527" t="str">
        <f t="shared" si="24"/>
        <v>ad5732</v>
      </c>
      <c r="V527">
        <v>0</v>
      </c>
      <c r="W527">
        <v>0</v>
      </c>
      <c r="X527">
        <v>1</v>
      </c>
      <c r="Z527">
        <v>0</v>
      </c>
      <c r="AA527">
        <v>9</v>
      </c>
      <c r="AB527">
        <v>3</v>
      </c>
      <c r="AC527">
        <v>0</v>
      </c>
      <c r="AD527">
        <v>10</v>
      </c>
      <c r="AE527">
        <v>0</v>
      </c>
      <c r="AF527">
        <v>3</v>
      </c>
      <c r="AG527">
        <v>2</v>
      </c>
      <c r="AH527">
        <v>0</v>
      </c>
      <c r="AI527" t="s">
        <v>1151</v>
      </c>
      <c r="AJ527">
        <v>39.245759999999997</v>
      </c>
      <c r="AK527" t="s">
        <v>1152</v>
      </c>
      <c r="AL527">
        <v>-77.332956999999993</v>
      </c>
      <c r="AM527">
        <v>100</v>
      </c>
      <c r="AN527">
        <v>8600</v>
      </c>
      <c r="AO527" t="s">
        <v>115</v>
      </c>
      <c r="AP527">
        <v>138</v>
      </c>
      <c r="AQ527">
        <v>57</v>
      </c>
      <c r="AR527">
        <v>1024</v>
      </c>
      <c r="AZ527">
        <v>3614</v>
      </c>
      <c r="BA527">
        <v>1</v>
      </c>
      <c r="BB527" t="str">
        <f t="shared" si="26"/>
        <v xml:space="preserve">N959MJ  </v>
      </c>
      <c r="BC527">
        <v>1</v>
      </c>
      <c r="BE527">
        <v>0</v>
      </c>
      <c r="BF527">
        <v>0</v>
      </c>
      <c r="BG527">
        <v>0</v>
      </c>
      <c r="BH527">
        <v>8950</v>
      </c>
      <c r="BI527">
        <v>350</v>
      </c>
      <c r="BJ527">
        <v>1</v>
      </c>
      <c r="BK527">
        <v>1</v>
      </c>
      <c r="BL527">
        <v>1</v>
      </c>
      <c r="BM527">
        <v>0</v>
      </c>
      <c r="BP527">
        <v>0</v>
      </c>
      <c r="BQ527">
        <v>0</v>
      </c>
      <c r="BX527" t="str">
        <f>"13:59:08.641"</f>
        <v>13:59:08.641</v>
      </c>
      <c r="BY527" t="str">
        <f>"638420917"</f>
        <v>638420917</v>
      </c>
      <c r="CL527">
        <v>0</v>
      </c>
      <c r="CM527">
        <v>2</v>
      </c>
      <c r="CN527">
        <v>0</v>
      </c>
      <c r="CO527">
        <v>2</v>
      </c>
      <c r="CP527">
        <v>0</v>
      </c>
      <c r="CQ527">
        <v>7</v>
      </c>
      <c r="CR527" t="s">
        <v>116</v>
      </c>
      <c r="CS527">
        <v>525</v>
      </c>
      <c r="CT527">
        <v>2</v>
      </c>
      <c r="CU527" t="s">
        <v>140</v>
      </c>
      <c r="CV527" t="s">
        <v>141</v>
      </c>
      <c r="CY527">
        <v>14357408</v>
      </c>
      <c r="CZ527" t="s">
        <v>119</v>
      </c>
    </row>
    <row r="528" spans="1:104" x14ac:dyDescent="0.25">
      <c r="A528" t="str">
        <f>"13:59:09.695"</f>
        <v>13:59:09.695</v>
      </c>
      <c r="B528" t="s">
        <v>108</v>
      </c>
      <c r="C528" t="str">
        <f t="shared" si="25"/>
        <v>ffdfd3c0</v>
      </c>
      <c r="D528" t="s">
        <v>109</v>
      </c>
      <c r="E528">
        <v>4</v>
      </c>
      <c r="F528">
        <v>1004</v>
      </c>
      <c r="G528" t="s">
        <v>110</v>
      </c>
      <c r="J528" t="s">
        <v>111</v>
      </c>
      <c r="K528">
        <v>0</v>
      </c>
      <c r="L528">
        <v>3</v>
      </c>
      <c r="M528">
        <v>0</v>
      </c>
      <c r="N528">
        <v>2</v>
      </c>
      <c r="O528">
        <v>1</v>
      </c>
      <c r="P528">
        <v>0</v>
      </c>
      <c r="Q528">
        <v>0</v>
      </c>
      <c r="R528" t="s">
        <v>112</v>
      </c>
      <c r="S528" t="str">
        <f>"13:59:09.531"</f>
        <v>13:59:09.531</v>
      </c>
      <c r="T528" t="str">
        <f>"13:59:09.133"</f>
        <v>13:59:09.133</v>
      </c>
      <c r="U528" t="str">
        <f t="shared" si="24"/>
        <v>ad5732</v>
      </c>
      <c r="V528">
        <v>0</v>
      </c>
      <c r="W528">
        <v>0</v>
      </c>
      <c r="X528">
        <v>1</v>
      </c>
      <c r="Z528">
        <v>0</v>
      </c>
      <c r="AA528">
        <v>9</v>
      </c>
      <c r="AB528">
        <v>3</v>
      </c>
      <c r="AC528">
        <v>0</v>
      </c>
      <c r="AD528">
        <v>10</v>
      </c>
      <c r="AE528">
        <v>0</v>
      </c>
      <c r="AF528">
        <v>3</v>
      </c>
      <c r="AG528">
        <v>2</v>
      </c>
      <c r="AH528">
        <v>0</v>
      </c>
      <c r="AI528" t="s">
        <v>1153</v>
      </c>
      <c r="AJ528">
        <v>39.245995999999998</v>
      </c>
      <c r="AK528" t="s">
        <v>1154</v>
      </c>
      <c r="AL528">
        <v>-77.332162999999994</v>
      </c>
      <c r="AM528">
        <v>100</v>
      </c>
      <c r="AN528">
        <v>8600</v>
      </c>
      <c r="AO528" t="s">
        <v>115</v>
      </c>
      <c r="AP528">
        <v>138</v>
      </c>
      <c r="AQ528">
        <v>57</v>
      </c>
      <c r="AR528">
        <v>960</v>
      </c>
      <c r="AZ528">
        <v>3614</v>
      </c>
      <c r="BA528">
        <v>1</v>
      </c>
      <c r="BB528" t="str">
        <f t="shared" si="26"/>
        <v xml:space="preserve">N959MJ  </v>
      </c>
      <c r="BC528">
        <v>1</v>
      </c>
      <c r="BE528">
        <v>0</v>
      </c>
      <c r="BF528">
        <v>0</v>
      </c>
      <c r="BG528">
        <v>0</v>
      </c>
      <c r="BH528">
        <v>8975</v>
      </c>
      <c r="BI528">
        <v>375</v>
      </c>
      <c r="BJ528">
        <v>1</v>
      </c>
      <c r="BK528">
        <v>1</v>
      </c>
      <c r="BL528">
        <v>1</v>
      </c>
      <c r="BM528">
        <v>0</v>
      </c>
      <c r="BP528">
        <v>0</v>
      </c>
      <c r="BQ528">
        <v>0</v>
      </c>
      <c r="BX528" t="str">
        <f>"13:59:09.531"</f>
        <v>13:59:09.531</v>
      </c>
      <c r="BY528" t="str">
        <f>"533001614"</f>
        <v>533001614</v>
      </c>
      <c r="CL528">
        <v>0</v>
      </c>
      <c r="CM528">
        <v>2</v>
      </c>
      <c r="CN528">
        <v>0</v>
      </c>
      <c r="CO528">
        <v>2</v>
      </c>
      <c r="CP528">
        <v>0</v>
      </c>
      <c r="CQ528">
        <v>7</v>
      </c>
      <c r="CR528" t="s">
        <v>116</v>
      </c>
      <c r="CS528">
        <v>525</v>
      </c>
      <c r="CT528">
        <v>2</v>
      </c>
      <c r="CU528" t="s">
        <v>140</v>
      </c>
      <c r="CV528" t="s">
        <v>141</v>
      </c>
      <c r="CY528">
        <v>14358699</v>
      </c>
      <c r="CZ528" t="s">
        <v>119</v>
      </c>
    </row>
    <row r="529" spans="1:104" x14ac:dyDescent="0.25">
      <c r="A529" t="str">
        <f>"13:59:10.703"</f>
        <v>13:59:10.703</v>
      </c>
      <c r="B529" t="s">
        <v>108</v>
      </c>
      <c r="C529" t="str">
        <f t="shared" si="25"/>
        <v>ffdfd3c0</v>
      </c>
      <c r="D529" t="s">
        <v>109</v>
      </c>
      <c r="E529">
        <v>4</v>
      </c>
      <c r="F529">
        <v>1004</v>
      </c>
      <c r="G529" t="s">
        <v>110</v>
      </c>
      <c r="J529" t="s">
        <v>111</v>
      </c>
      <c r="K529">
        <v>0</v>
      </c>
      <c r="L529">
        <v>3</v>
      </c>
      <c r="M529">
        <v>0</v>
      </c>
      <c r="N529">
        <v>2</v>
      </c>
      <c r="O529">
        <v>1</v>
      </c>
      <c r="P529">
        <v>0</v>
      </c>
      <c r="Q529">
        <v>0</v>
      </c>
      <c r="R529" t="s">
        <v>112</v>
      </c>
      <c r="S529" t="str">
        <f>"13:59:10.547"</f>
        <v>13:59:10.547</v>
      </c>
      <c r="T529" t="str">
        <f>"13:59:10.047"</f>
        <v>13:59:10.047</v>
      </c>
      <c r="U529" t="str">
        <f t="shared" si="24"/>
        <v>ad5732</v>
      </c>
      <c r="V529">
        <v>0</v>
      </c>
      <c r="W529">
        <v>0</v>
      </c>
      <c r="X529">
        <v>1</v>
      </c>
      <c r="Z529">
        <v>0</v>
      </c>
      <c r="AA529">
        <v>9</v>
      </c>
      <c r="AB529">
        <v>3</v>
      </c>
      <c r="AC529">
        <v>0</v>
      </c>
      <c r="AD529">
        <v>10</v>
      </c>
      <c r="AE529">
        <v>0</v>
      </c>
      <c r="AF529">
        <v>3</v>
      </c>
      <c r="AG529">
        <v>2</v>
      </c>
      <c r="AH529">
        <v>0</v>
      </c>
      <c r="AI529" t="s">
        <v>1155</v>
      </c>
      <c r="AJ529">
        <v>39.246274999999997</v>
      </c>
      <c r="AK529" t="s">
        <v>1156</v>
      </c>
      <c r="AL529">
        <v>-77.331389999999999</v>
      </c>
      <c r="AM529">
        <v>100</v>
      </c>
      <c r="AN529">
        <v>8600</v>
      </c>
      <c r="AO529" t="s">
        <v>115</v>
      </c>
      <c r="AP529">
        <v>138</v>
      </c>
      <c r="AQ529">
        <v>57</v>
      </c>
      <c r="AR529">
        <v>832</v>
      </c>
      <c r="AZ529">
        <v>3614</v>
      </c>
      <c r="BA529">
        <v>1</v>
      </c>
      <c r="BB529" t="str">
        <f t="shared" si="26"/>
        <v xml:space="preserve">N959MJ  </v>
      </c>
      <c r="BC529">
        <v>1</v>
      </c>
      <c r="BE529">
        <v>0</v>
      </c>
      <c r="BF529">
        <v>0</v>
      </c>
      <c r="BG529">
        <v>0</v>
      </c>
      <c r="BH529">
        <v>8975</v>
      </c>
      <c r="BI529">
        <v>375</v>
      </c>
      <c r="BJ529">
        <v>1</v>
      </c>
      <c r="BK529">
        <v>1</v>
      </c>
      <c r="BL529">
        <v>1</v>
      </c>
      <c r="BM529">
        <v>0</v>
      </c>
      <c r="BP529">
        <v>0</v>
      </c>
      <c r="BQ529">
        <v>0</v>
      </c>
      <c r="BX529" t="str">
        <f>"13:59:10.547"</f>
        <v>13:59:10.547</v>
      </c>
      <c r="BY529" t="str">
        <f>"548825888"</f>
        <v>548825888</v>
      </c>
      <c r="CL529">
        <v>0</v>
      </c>
      <c r="CM529">
        <v>2</v>
      </c>
      <c r="CN529">
        <v>0</v>
      </c>
      <c r="CO529">
        <v>2</v>
      </c>
      <c r="CP529">
        <v>0</v>
      </c>
      <c r="CQ529">
        <v>7</v>
      </c>
      <c r="CR529" t="s">
        <v>116</v>
      </c>
      <c r="CS529">
        <v>525</v>
      </c>
      <c r="CT529">
        <v>2</v>
      </c>
      <c r="CU529" t="s">
        <v>140</v>
      </c>
      <c r="CV529" t="s">
        <v>141</v>
      </c>
      <c r="CY529">
        <v>14360297</v>
      </c>
      <c r="CZ529" t="s">
        <v>119</v>
      </c>
    </row>
    <row r="530" spans="1:104" x14ac:dyDescent="0.25">
      <c r="A530" t="str">
        <f>"13:59:11.617"</f>
        <v>13:59:11.617</v>
      </c>
      <c r="B530" t="s">
        <v>108</v>
      </c>
      <c r="C530" t="str">
        <f t="shared" si="25"/>
        <v>ffdfd3c0</v>
      </c>
      <c r="D530" t="s">
        <v>109</v>
      </c>
      <c r="E530">
        <v>4</v>
      </c>
      <c r="F530">
        <v>1004</v>
      </c>
      <c r="G530" t="s">
        <v>110</v>
      </c>
      <c r="J530" t="s">
        <v>111</v>
      </c>
      <c r="K530">
        <v>0</v>
      </c>
      <c r="L530">
        <v>3</v>
      </c>
      <c r="M530">
        <v>0</v>
      </c>
      <c r="N530">
        <v>2</v>
      </c>
      <c r="O530">
        <v>1</v>
      </c>
      <c r="P530">
        <v>0</v>
      </c>
      <c r="Q530">
        <v>0</v>
      </c>
      <c r="R530" t="s">
        <v>112</v>
      </c>
      <c r="S530" t="str">
        <f>"13:59:11.438"</f>
        <v>13:59:11.438</v>
      </c>
      <c r="T530" t="str">
        <f>"13:59:11.039"</f>
        <v>13:59:11.039</v>
      </c>
      <c r="U530" t="str">
        <f t="shared" si="24"/>
        <v>ad5732</v>
      </c>
      <c r="V530">
        <v>0</v>
      </c>
      <c r="W530">
        <v>0</v>
      </c>
      <c r="X530">
        <v>1</v>
      </c>
      <c r="Z530">
        <v>0</v>
      </c>
      <c r="AA530">
        <v>9</v>
      </c>
      <c r="AB530">
        <v>3</v>
      </c>
      <c r="AC530">
        <v>0</v>
      </c>
      <c r="AD530">
        <v>10</v>
      </c>
      <c r="AE530">
        <v>0</v>
      </c>
      <c r="AF530">
        <v>3</v>
      </c>
      <c r="AG530">
        <v>2</v>
      </c>
      <c r="AH530">
        <v>0</v>
      </c>
      <c r="AI530" t="s">
        <v>1157</v>
      </c>
      <c r="AJ530">
        <v>39.246510999999998</v>
      </c>
      <c r="AK530" t="s">
        <v>1158</v>
      </c>
      <c r="AL530">
        <v>-77.330618000000001</v>
      </c>
      <c r="AM530">
        <v>100</v>
      </c>
      <c r="AN530">
        <v>8600</v>
      </c>
      <c r="AO530" t="s">
        <v>115</v>
      </c>
      <c r="AP530">
        <v>138</v>
      </c>
      <c r="AQ530">
        <v>58</v>
      </c>
      <c r="AR530">
        <v>640</v>
      </c>
      <c r="AZ530">
        <v>3614</v>
      </c>
      <c r="BA530">
        <v>1</v>
      </c>
      <c r="BB530" t="str">
        <f t="shared" si="26"/>
        <v xml:space="preserve">N959MJ  </v>
      </c>
      <c r="BC530">
        <v>1</v>
      </c>
      <c r="BE530">
        <v>0</v>
      </c>
      <c r="BF530">
        <v>0</v>
      </c>
      <c r="BG530">
        <v>0</v>
      </c>
      <c r="BH530">
        <v>9000</v>
      </c>
      <c r="BI530">
        <v>400</v>
      </c>
      <c r="BJ530">
        <v>1</v>
      </c>
      <c r="BK530">
        <v>1</v>
      </c>
      <c r="BL530">
        <v>1</v>
      </c>
      <c r="BM530">
        <v>0</v>
      </c>
      <c r="BP530">
        <v>0</v>
      </c>
      <c r="BQ530">
        <v>0</v>
      </c>
      <c r="BX530" t="str">
        <f>"13:59:11.445"</f>
        <v>13:59:11.445</v>
      </c>
      <c r="BY530" t="str">
        <f>"445044952"</f>
        <v>445044952</v>
      </c>
      <c r="CL530">
        <v>0</v>
      </c>
      <c r="CM530">
        <v>2</v>
      </c>
      <c r="CN530">
        <v>0</v>
      </c>
      <c r="CO530">
        <v>2</v>
      </c>
      <c r="CP530">
        <v>0</v>
      </c>
      <c r="CQ530">
        <v>7</v>
      </c>
      <c r="CR530" t="s">
        <v>116</v>
      </c>
      <c r="CS530">
        <v>525</v>
      </c>
      <c r="CT530">
        <v>2</v>
      </c>
      <c r="CU530" t="s">
        <v>140</v>
      </c>
      <c r="CV530" t="s">
        <v>141</v>
      </c>
      <c r="CY530">
        <v>14361556</v>
      </c>
      <c r="CZ530" t="s">
        <v>119</v>
      </c>
    </row>
    <row r="531" spans="1:104" x14ac:dyDescent="0.25">
      <c r="A531" t="str">
        <f>"13:59:12.523"</f>
        <v>13:59:12.523</v>
      </c>
      <c r="B531" t="s">
        <v>108</v>
      </c>
      <c r="C531" t="str">
        <f t="shared" si="25"/>
        <v>ffdfd3c0</v>
      </c>
      <c r="D531" t="s">
        <v>109</v>
      </c>
      <c r="E531">
        <v>4</v>
      </c>
      <c r="F531">
        <v>1004</v>
      </c>
      <c r="G531" t="s">
        <v>110</v>
      </c>
      <c r="J531" t="s">
        <v>111</v>
      </c>
      <c r="K531">
        <v>0</v>
      </c>
      <c r="L531">
        <v>3</v>
      </c>
      <c r="M531">
        <v>0</v>
      </c>
      <c r="N531">
        <v>2</v>
      </c>
      <c r="O531">
        <v>1</v>
      </c>
      <c r="P531">
        <v>0</v>
      </c>
      <c r="Q531">
        <v>0</v>
      </c>
      <c r="R531" t="s">
        <v>112</v>
      </c>
      <c r="S531" t="str">
        <f>"13:59:12.344"</f>
        <v>13:59:12.344</v>
      </c>
      <c r="T531" t="str">
        <f>"13:59:11.945"</f>
        <v>13:59:11.945</v>
      </c>
      <c r="U531" t="str">
        <f t="shared" si="24"/>
        <v>ad5732</v>
      </c>
      <c r="V531">
        <v>0</v>
      </c>
      <c r="W531">
        <v>0</v>
      </c>
      <c r="X531">
        <v>1</v>
      </c>
      <c r="Z531">
        <v>0</v>
      </c>
      <c r="AA531">
        <v>9</v>
      </c>
      <c r="AB531">
        <v>3</v>
      </c>
      <c r="AC531">
        <v>0</v>
      </c>
      <c r="AD531">
        <v>10</v>
      </c>
      <c r="AE531">
        <v>0</v>
      </c>
      <c r="AF531">
        <v>3</v>
      </c>
      <c r="AG531">
        <v>2</v>
      </c>
      <c r="AH531">
        <v>0</v>
      </c>
      <c r="AI531" t="s">
        <v>1159</v>
      </c>
      <c r="AJ531">
        <v>39.246789999999997</v>
      </c>
      <c r="AK531" t="s">
        <v>1160</v>
      </c>
      <c r="AL531">
        <v>-77.329887999999997</v>
      </c>
      <c r="AM531">
        <v>100</v>
      </c>
      <c r="AN531">
        <v>8700</v>
      </c>
      <c r="AO531" t="s">
        <v>115</v>
      </c>
      <c r="AP531">
        <v>139</v>
      </c>
      <c r="AQ531">
        <v>58</v>
      </c>
      <c r="AR531">
        <v>448</v>
      </c>
      <c r="AZ531">
        <v>3614</v>
      </c>
      <c r="BA531">
        <v>1</v>
      </c>
      <c r="BB531" t="str">
        <f t="shared" si="26"/>
        <v xml:space="preserve">N959MJ  </v>
      </c>
      <c r="BC531">
        <v>1</v>
      </c>
      <c r="BE531">
        <v>0</v>
      </c>
      <c r="BF531">
        <v>0</v>
      </c>
      <c r="BG531">
        <v>0</v>
      </c>
      <c r="BH531">
        <v>9000</v>
      </c>
      <c r="BI531">
        <v>300</v>
      </c>
      <c r="BJ531">
        <v>1</v>
      </c>
      <c r="BK531">
        <v>1</v>
      </c>
      <c r="BL531">
        <v>1</v>
      </c>
      <c r="BM531">
        <v>0</v>
      </c>
      <c r="BP531">
        <v>0</v>
      </c>
      <c r="BQ531">
        <v>0</v>
      </c>
      <c r="BX531" t="str">
        <f>"13:59:12.344"</f>
        <v>13:59:12.344</v>
      </c>
      <c r="BY531" t="str">
        <f>"344540913"</f>
        <v>344540913</v>
      </c>
      <c r="CL531">
        <v>0</v>
      </c>
      <c r="CM531">
        <v>2</v>
      </c>
      <c r="CN531">
        <v>0</v>
      </c>
      <c r="CO531">
        <v>2</v>
      </c>
      <c r="CP531">
        <v>0</v>
      </c>
      <c r="CQ531">
        <v>7</v>
      </c>
      <c r="CR531" t="s">
        <v>116</v>
      </c>
      <c r="CS531">
        <v>525</v>
      </c>
      <c r="CT531">
        <v>2</v>
      </c>
      <c r="CU531" t="s">
        <v>140</v>
      </c>
      <c r="CV531" t="s">
        <v>141</v>
      </c>
      <c r="CY531">
        <v>14362854</v>
      </c>
      <c r="CZ531" t="s">
        <v>119</v>
      </c>
    </row>
    <row r="532" spans="1:104" x14ac:dyDescent="0.25">
      <c r="A532" t="str">
        <f>"13:59:13.633"</f>
        <v>13:59:13.633</v>
      </c>
      <c r="B532" t="s">
        <v>108</v>
      </c>
      <c r="C532" t="str">
        <f t="shared" si="25"/>
        <v>ffdfd3c0</v>
      </c>
      <c r="D532" t="s">
        <v>109</v>
      </c>
      <c r="E532">
        <v>4</v>
      </c>
      <c r="F532">
        <v>1004</v>
      </c>
      <c r="G532" t="s">
        <v>110</v>
      </c>
      <c r="J532" t="s">
        <v>111</v>
      </c>
      <c r="K532">
        <v>0</v>
      </c>
      <c r="L532">
        <v>3</v>
      </c>
      <c r="M532">
        <v>0</v>
      </c>
      <c r="N532">
        <v>2</v>
      </c>
      <c r="O532">
        <v>1</v>
      </c>
      <c r="P532">
        <v>0</v>
      </c>
      <c r="Q532">
        <v>0</v>
      </c>
      <c r="R532" t="s">
        <v>112</v>
      </c>
      <c r="S532" t="str">
        <f>"13:59:13.414"</f>
        <v>13:59:13.414</v>
      </c>
      <c r="T532" t="str">
        <f>"13:59:12.914"</f>
        <v>13:59:12.914</v>
      </c>
      <c r="U532" t="str">
        <f t="shared" si="24"/>
        <v>ad5732</v>
      </c>
      <c r="V532">
        <v>0</v>
      </c>
      <c r="W532">
        <v>0</v>
      </c>
      <c r="X532">
        <v>1</v>
      </c>
      <c r="Z532">
        <v>0</v>
      </c>
      <c r="AA532">
        <v>9</v>
      </c>
      <c r="AB532">
        <v>3</v>
      </c>
      <c r="AC532">
        <v>0</v>
      </c>
      <c r="AD532">
        <v>10</v>
      </c>
      <c r="AE532">
        <v>0</v>
      </c>
      <c r="AF532">
        <v>3</v>
      </c>
      <c r="AG532">
        <v>2</v>
      </c>
      <c r="AH532">
        <v>0</v>
      </c>
      <c r="AI532" t="s">
        <v>1161</v>
      </c>
      <c r="AJ532">
        <v>39.247069000000003</v>
      </c>
      <c r="AK532" t="s">
        <v>1162</v>
      </c>
      <c r="AL532">
        <v>-77.328986999999998</v>
      </c>
      <c r="AM532">
        <v>100</v>
      </c>
      <c r="AN532">
        <v>8700</v>
      </c>
      <c r="AO532" t="s">
        <v>115</v>
      </c>
      <c r="AP532">
        <v>140</v>
      </c>
      <c r="AQ532">
        <v>58</v>
      </c>
      <c r="AR532">
        <v>192</v>
      </c>
      <c r="AZ532">
        <v>3614</v>
      </c>
      <c r="BA532">
        <v>1</v>
      </c>
      <c r="BB532" t="str">
        <f t="shared" si="26"/>
        <v xml:space="preserve">N959MJ  </v>
      </c>
      <c r="BC532">
        <v>1</v>
      </c>
      <c r="BE532">
        <v>0</v>
      </c>
      <c r="BF532">
        <v>0</v>
      </c>
      <c r="BG532">
        <v>0</v>
      </c>
      <c r="BH532">
        <v>9000</v>
      </c>
      <c r="BI532">
        <v>300</v>
      </c>
      <c r="BJ532">
        <v>1</v>
      </c>
      <c r="BK532">
        <v>1</v>
      </c>
      <c r="BL532">
        <v>1</v>
      </c>
      <c r="BM532">
        <v>0</v>
      </c>
      <c r="BP532">
        <v>0</v>
      </c>
      <c r="BQ532">
        <v>0</v>
      </c>
      <c r="BX532" t="str">
        <f>"13:59:13.422"</f>
        <v>13:59:13.422</v>
      </c>
      <c r="BY532" t="str">
        <f>"420986918"</f>
        <v>420986918</v>
      </c>
      <c r="CL532">
        <v>0</v>
      </c>
      <c r="CM532">
        <v>2</v>
      </c>
      <c r="CN532">
        <v>0</v>
      </c>
      <c r="CO532">
        <v>2</v>
      </c>
      <c r="CP532">
        <v>0</v>
      </c>
      <c r="CQ532">
        <v>7</v>
      </c>
      <c r="CR532" t="s">
        <v>116</v>
      </c>
      <c r="CS532">
        <v>525</v>
      </c>
      <c r="CT532">
        <v>2</v>
      </c>
      <c r="CU532" t="s">
        <v>140</v>
      </c>
      <c r="CV532" t="s">
        <v>141</v>
      </c>
      <c r="CY532">
        <v>14364341</v>
      </c>
      <c r="CZ532" t="s">
        <v>119</v>
      </c>
    </row>
    <row r="533" spans="1:104" x14ac:dyDescent="0.25">
      <c r="A533" t="str">
        <f>"13:59:14.641"</f>
        <v>13:59:14.641</v>
      </c>
      <c r="B533" t="s">
        <v>108</v>
      </c>
      <c r="C533" t="str">
        <f t="shared" si="25"/>
        <v>ffdfd3c0</v>
      </c>
      <c r="D533" t="s">
        <v>109</v>
      </c>
      <c r="E533">
        <v>4</v>
      </c>
      <c r="F533">
        <v>1004</v>
      </c>
      <c r="G533" t="s">
        <v>110</v>
      </c>
      <c r="J533" t="s">
        <v>111</v>
      </c>
      <c r="K533">
        <v>0</v>
      </c>
      <c r="L533">
        <v>3</v>
      </c>
      <c r="M533">
        <v>0</v>
      </c>
      <c r="N533">
        <v>2</v>
      </c>
      <c r="O533">
        <v>1</v>
      </c>
      <c r="P533">
        <v>0</v>
      </c>
      <c r="Q533">
        <v>0</v>
      </c>
      <c r="R533" t="s">
        <v>112</v>
      </c>
      <c r="S533" t="str">
        <f>"13:59:14.461"</f>
        <v>13:59:14.461</v>
      </c>
      <c r="T533" t="str">
        <f>"13:59:14.063"</f>
        <v>13:59:14.063</v>
      </c>
      <c r="U533" t="str">
        <f t="shared" si="24"/>
        <v>ad5732</v>
      </c>
      <c r="V533">
        <v>0</v>
      </c>
      <c r="W533">
        <v>0</v>
      </c>
      <c r="X533">
        <v>1</v>
      </c>
      <c r="Z533">
        <v>0</v>
      </c>
      <c r="AA533">
        <v>9</v>
      </c>
      <c r="AB533">
        <v>3</v>
      </c>
      <c r="AC533">
        <v>0</v>
      </c>
      <c r="AD533">
        <v>10</v>
      </c>
      <c r="AE533">
        <v>0</v>
      </c>
      <c r="AF533">
        <v>3</v>
      </c>
      <c r="AG533">
        <v>2</v>
      </c>
      <c r="AH533">
        <v>0</v>
      </c>
      <c r="AI533" t="s">
        <v>1163</v>
      </c>
      <c r="AJ533">
        <v>39.247304999999997</v>
      </c>
      <c r="AK533" t="s">
        <v>1164</v>
      </c>
      <c r="AL533">
        <v>-77.328129000000004</v>
      </c>
      <c r="AM533">
        <v>100</v>
      </c>
      <c r="AN533">
        <v>8700</v>
      </c>
      <c r="AO533" t="s">
        <v>115</v>
      </c>
      <c r="AP533">
        <v>142</v>
      </c>
      <c r="AQ533">
        <v>58</v>
      </c>
      <c r="AR533">
        <v>-64</v>
      </c>
      <c r="AZ533">
        <v>3614</v>
      </c>
      <c r="BA533">
        <v>1</v>
      </c>
      <c r="BB533" t="str">
        <f t="shared" si="26"/>
        <v xml:space="preserve">N959MJ  </v>
      </c>
      <c r="BC533">
        <v>1</v>
      </c>
      <c r="BE533">
        <v>0</v>
      </c>
      <c r="BF533">
        <v>0</v>
      </c>
      <c r="BG533">
        <v>0</v>
      </c>
      <c r="BH533">
        <v>9000</v>
      </c>
      <c r="BI533">
        <v>300</v>
      </c>
      <c r="BJ533">
        <v>1</v>
      </c>
      <c r="BK533">
        <v>1</v>
      </c>
      <c r="BL533">
        <v>1</v>
      </c>
      <c r="BM533">
        <v>0</v>
      </c>
      <c r="BP533">
        <v>0</v>
      </c>
      <c r="BQ533">
        <v>0</v>
      </c>
      <c r="BX533" t="str">
        <f>"13:59:14.469"</f>
        <v>13:59:14.469</v>
      </c>
      <c r="BY533" t="str">
        <f>"467941294"</f>
        <v>467941294</v>
      </c>
      <c r="CL533">
        <v>0</v>
      </c>
      <c r="CM533">
        <v>2</v>
      </c>
      <c r="CN533">
        <v>0</v>
      </c>
      <c r="CO533">
        <v>2</v>
      </c>
      <c r="CP533">
        <v>0</v>
      </c>
      <c r="CQ533">
        <v>7</v>
      </c>
      <c r="CR533" t="s">
        <v>116</v>
      </c>
      <c r="CS533">
        <v>525</v>
      </c>
      <c r="CT533">
        <v>2</v>
      </c>
      <c r="CU533" t="s">
        <v>140</v>
      </c>
      <c r="CV533" t="s">
        <v>141</v>
      </c>
      <c r="CY533">
        <v>14365992</v>
      </c>
      <c r="CZ533" t="s">
        <v>119</v>
      </c>
    </row>
    <row r="534" spans="1:104" x14ac:dyDescent="0.25">
      <c r="A534" t="str">
        <f>"13:59:15.648"</f>
        <v>13:59:15.648</v>
      </c>
      <c r="B534" t="s">
        <v>108</v>
      </c>
      <c r="C534" t="str">
        <f t="shared" si="25"/>
        <v>ffdfd3c0</v>
      </c>
      <c r="D534" t="s">
        <v>109</v>
      </c>
      <c r="E534">
        <v>4</v>
      </c>
      <c r="F534">
        <v>1004</v>
      </c>
      <c r="G534" t="s">
        <v>110</v>
      </c>
      <c r="J534" t="s">
        <v>111</v>
      </c>
      <c r="K534">
        <v>0</v>
      </c>
      <c r="L534">
        <v>3</v>
      </c>
      <c r="M534">
        <v>0</v>
      </c>
      <c r="N534">
        <v>2</v>
      </c>
      <c r="O534">
        <v>1</v>
      </c>
      <c r="P534">
        <v>0</v>
      </c>
      <c r="Q534">
        <v>0</v>
      </c>
      <c r="R534" t="s">
        <v>112</v>
      </c>
      <c r="S534" t="str">
        <f>"13:59:15.492"</f>
        <v>13:59:15.492</v>
      </c>
      <c r="T534" t="str">
        <f>"13:59:15.094"</f>
        <v>13:59:15.094</v>
      </c>
      <c r="U534" t="str">
        <f t="shared" si="24"/>
        <v>ad5732</v>
      </c>
      <c r="V534">
        <v>0</v>
      </c>
      <c r="W534">
        <v>0</v>
      </c>
      <c r="X534">
        <v>1</v>
      </c>
      <c r="Z534">
        <v>0</v>
      </c>
      <c r="AA534">
        <v>9</v>
      </c>
      <c r="AB534">
        <v>3</v>
      </c>
      <c r="AC534">
        <v>0</v>
      </c>
      <c r="AD534">
        <v>10</v>
      </c>
      <c r="AE534">
        <v>0</v>
      </c>
      <c r="AF534">
        <v>3</v>
      </c>
      <c r="AG534">
        <v>2</v>
      </c>
      <c r="AH534">
        <v>0</v>
      </c>
      <c r="AI534" t="s">
        <v>1165</v>
      </c>
      <c r="AJ534">
        <v>39.247605999999998</v>
      </c>
      <c r="AK534" t="s">
        <v>1166</v>
      </c>
      <c r="AL534">
        <v>-77.327141999999995</v>
      </c>
      <c r="AM534">
        <v>100</v>
      </c>
      <c r="AN534">
        <v>8700</v>
      </c>
      <c r="AO534" t="s">
        <v>115</v>
      </c>
      <c r="AP534">
        <v>144</v>
      </c>
      <c r="AQ534">
        <v>58</v>
      </c>
      <c r="AR534">
        <v>-320</v>
      </c>
      <c r="AZ534">
        <v>3614</v>
      </c>
      <c r="BA534">
        <v>1</v>
      </c>
      <c r="BB534" t="str">
        <f t="shared" si="26"/>
        <v xml:space="preserve">N959MJ  </v>
      </c>
      <c r="BC534">
        <v>1</v>
      </c>
      <c r="BE534">
        <v>0</v>
      </c>
      <c r="BF534">
        <v>0</v>
      </c>
      <c r="BG534">
        <v>0</v>
      </c>
      <c r="BH534">
        <v>9000</v>
      </c>
      <c r="BI534">
        <v>300</v>
      </c>
      <c r="BJ534">
        <v>1</v>
      </c>
      <c r="BK534">
        <v>1</v>
      </c>
      <c r="BL534">
        <v>1</v>
      </c>
      <c r="BM534">
        <v>0</v>
      </c>
      <c r="BP534">
        <v>0</v>
      </c>
      <c r="BQ534">
        <v>0</v>
      </c>
      <c r="BX534" t="str">
        <f>"13:59:15.500"</f>
        <v>13:59:15.500</v>
      </c>
      <c r="BY534" t="str">
        <f>"496872881"</f>
        <v>496872881</v>
      </c>
      <c r="CL534">
        <v>0</v>
      </c>
      <c r="CM534">
        <v>2</v>
      </c>
      <c r="CN534">
        <v>0</v>
      </c>
      <c r="CO534">
        <v>2</v>
      </c>
      <c r="CP534">
        <v>0</v>
      </c>
      <c r="CQ534">
        <v>7</v>
      </c>
      <c r="CR534" t="s">
        <v>116</v>
      </c>
      <c r="CS534">
        <v>525</v>
      </c>
      <c r="CT534">
        <v>2</v>
      </c>
      <c r="CU534" t="s">
        <v>140</v>
      </c>
      <c r="CV534" t="s">
        <v>141</v>
      </c>
      <c r="CY534">
        <v>14367512</v>
      </c>
      <c r="CZ534" t="s">
        <v>119</v>
      </c>
    </row>
    <row r="535" spans="1:104" x14ac:dyDescent="0.25">
      <c r="A535" t="str">
        <f>"13:59:16.609"</f>
        <v>13:59:16.609</v>
      </c>
      <c r="B535" t="s">
        <v>108</v>
      </c>
      <c r="C535" t="str">
        <f t="shared" si="25"/>
        <v>ffdfd3c0</v>
      </c>
      <c r="D535" t="s">
        <v>109</v>
      </c>
      <c r="E535">
        <v>4</v>
      </c>
      <c r="F535">
        <v>1004</v>
      </c>
      <c r="G535" t="s">
        <v>110</v>
      </c>
      <c r="J535" t="s">
        <v>111</v>
      </c>
      <c r="K535">
        <v>0</v>
      </c>
      <c r="L535">
        <v>3</v>
      </c>
      <c r="M535">
        <v>0</v>
      </c>
      <c r="N535">
        <v>2</v>
      </c>
      <c r="O535">
        <v>1</v>
      </c>
      <c r="P535">
        <v>0</v>
      </c>
      <c r="Q535">
        <v>0</v>
      </c>
      <c r="R535" t="s">
        <v>112</v>
      </c>
      <c r="S535" t="str">
        <f>"13:59:16.398"</f>
        <v>13:59:16.398</v>
      </c>
      <c r="T535" t="str">
        <f>"13:59:16.000"</f>
        <v>13:59:16.000</v>
      </c>
      <c r="U535" t="str">
        <f t="shared" si="24"/>
        <v>ad5732</v>
      </c>
      <c r="V535">
        <v>0</v>
      </c>
      <c r="W535">
        <v>0</v>
      </c>
      <c r="X535">
        <v>1</v>
      </c>
      <c r="Z535">
        <v>0</v>
      </c>
      <c r="AA535">
        <v>9</v>
      </c>
      <c r="AB535">
        <v>3</v>
      </c>
      <c r="AC535">
        <v>0</v>
      </c>
      <c r="AD535">
        <v>10</v>
      </c>
      <c r="AE535">
        <v>0</v>
      </c>
      <c r="AF535">
        <v>3</v>
      </c>
      <c r="AG535">
        <v>2</v>
      </c>
      <c r="AH535">
        <v>0</v>
      </c>
      <c r="AI535" t="s">
        <v>1167</v>
      </c>
      <c r="AJ535">
        <v>39.247863000000002</v>
      </c>
      <c r="AK535" t="s">
        <v>1168</v>
      </c>
      <c r="AL535">
        <v>-77.326347999999996</v>
      </c>
      <c r="AM535">
        <v>100</v>
      </c>
      <c r="AN535">
        <v>8700</v>
      </c>
      <c r="AO535" t="s">
        <v>115</v>
      </c>
      <c r="AP535">
        <v>146</v>
      </c>
      <c r="AQ535">
        <v>58</v>
      </c>
      <c r="AR535">
        <v>-448</v>
      </c>
      <c r="AZ535">
        <v>3614</v>
      </c>
      <c r="BA535">
        <v>1</v>
      </c>
      <c r="BB535" t="str">
        <f t="shared" si="26"/>
        <v xml:space="preserve">N959MJ  </v>
      </c>
      <c r="BC535">
        <v>1</v>
      </c>
      <c r="BE535">
        <v>0</v>
      </c>
      <c r="BF535">
        <v>0</v>
      </c>
      <c r="BG535">
        <v>0</v>
      </c>
      <c r="BH535">
        <v>9000</v>
      </c>
      <c r="BI535">
        <v>300</v>
      </c>
      <c r="BJ535">
        <v>1</v>
      </c>
      <c r="BK535">
        <v>1</v>
      </c>
      <c r="BL535">
        <v>1</v>
      </c>
      <c r="BM535">
        <v>0</v>
      </c>
      <c r="BP535">
        <v>0</v>
      </c>
      <c r="BQ535">
        <v>0</v>
      </c>
      <c r="BX535" t="str">
        <f>"13:59:16.406"</f>
        <v>13:59:16.406</v>
      </c>
      <c r="BY535" t="str">
        <f>"406199405"</f>
        <v>406199405</v>
      </c>
      <c r="CL535">
        <v>0</v>
      </c>
      <c r="CM535">
        <v>2</v>
      </c>
      <c r="CN535">
        <v>0</v>
      </c>
      <c r="CO535">
        <v>2</v>
      </c>
      <c r="CP535">
        <v>0</v>
      </c>
      <c r="CQ535">
        <v>7</v>
      </c>
      <c r="CR535" t="s">
        <v>116</v>
      </c>
      <c r="CS535">
        <v>525</v>
      </c>
      <c r="CT535">
        <v>2</v>
      </c>
      <c r="CU535" t="s">
        <v>140</v>
      </c>
      <c r="CV535" t="s">
        <v>141</v>
      </c>
      <c r="CY535">
        <v>14368862</v>
      </c>
      <c r="CZ535" t="s">
        <v>119</v>
      </c>
    </row>
    <row r="536" spans="1:104" x14ac:dyDescent="0.25">
      <c r="A536" t="str">
        <f>"13:59:17.469"</f>
        <v>13:59:17.469</v>
      </c>
      <c r="B536" t="s">
        <v>108</v>
      </c>
      <c r="C536" t="str">
        <f t="shared" si="25"/>
        <v>ffdfd3c0</v>
      </c>
      <c r="D536" t="s">
        <v>109</v>
      </c>
      <c r="E536">
        <v>4</v>
      </c>
      <c r="F536">
        <v>1004</v>
      </c>
      <c r="G536" t="s">
        <v>110</v>
      </c>
      <c r="J536" t="s">
        <v>111</v>
      </c>
      <c r="K536">
        <v>0</v>
      </c>
      <c r="L536">
        <v>3</v>
      </c>
      <c r="M536">
        <v>0</v>
      </c>
      <c r="N536">
        <v>2</v>
      </c>
      <c r="O536">
        <v>1</v>
      </c>
      <c r="P536">
        <v>0</v>
      </c>
      <c r="Q536">
        <v>0</v>
      </c>
      <c r="R536" t="s">
        <v>112</v>
      </c>
      <c r="S536" t="str">
        <f>"13:59:17.305"</f>
        <v>13:59:17.305</v>
      </c>
      <c r="T536" t="str">
        <f>"13:59:16.906"</f>
        <v>13:59:16.906</v>
      </c>
      <c r="U536" t="str">
        <f t="shared" si="24"/>
        <v>ad5732</v>
      </c>
      <c r="V536">
        <v>0</v>
      </c>
      <c r="W536">
        <v>0</v>
      </c>
      <c r="X536">
        <v>1</v>
      </c>
      <c r="Z536">
        <v>0</v>
      </c>
      <c r="AA536">
        <v>9</v>
      </c>
      <c r="AB536">
        <v>3</v>
      </c>
      <c r="AC536">
        <v>0</v>
      </c>
      <c r="AD536">
        <v>10</v>
      </c>
      <c r="AE536">
        <v>0</v>
      </c>
      <c r="AF536">
        <v>3</v>
      </c>
      <c r="AG536">
        <v>2</v>
      </c>
      <c r="AH536">
        <v>0</v>
      </c>
      <c r="AI536" t="s">
        <v>1169</v>
      </c>
      <c r="AJ536">
        <v>39.248099000000003</v>
      </c>
      <c r="AK536" t="s">
        <v>1170</v>
      </c>
      <c r="AL536">
        <v>-77.325597000000002</v>
      </c>
      <c r="AM536">
        <v>100</v>
      </c>
      <c r="AN536">
        <v>8700</v>
      </c>
      <c r="AO536" t="s">
        <v>115</v>
      </c>
      <c r="AP536">
        <v>148</v>
      </c>
      <c r="AQ536">
        <v>58</v>
      </c>
      <c r="AR536">
        <v>-448</v>
      </c>
      <c r="AZ536">
        <v>3614</v>
      </c>
      <c r="BA536">
        <v>1</v>
      </c>
      <c r="BB536" t="str">
        <f t="shared" si="26"/>
        <v xml:space="preserve">N959MJ  </v>
      </c>
      <c r="BC536">
        <v>1</v>
      </c>
      <c r="BE536">
        <v>0</v>
      </c>
      <c r="BF536">
        <v>0</v>
      </c>
      <c r="BG536">
        <v>0</v>
      </c>
      <c r="BH536">
        <v>9000</v>
      </c>
      <c r="BI536">
        <v>300</v>
      </c>
      <c r="BJ536">
        <v>1</v>
      </c>
      <c r="BK536">
        <v>1</v>
      </c>
      <c r="BL536">
        <v>1</v>
      </c>
      <c r="BM536">
        <v>0</v>
      </c>
      <c r="BP536">
        <v>0</v>
      </c>
      <c r="BQ536">
        <v>0</v>
      </c>
      <c r="BX536" t="str">
        <f>"13:59:17.313"</f>
        <v>13:59:17.313</v>
      </c>
      <c r="BY536" t="str">
        <f>"310610675"</f>
        <v>310610675</v>
      </c>
      <c r="CL536">
        <v>0</v>
      </c>
      <c r="CM536">
        <v>2</v>
      </c>
      <c r="CN536">
        <v>0</v>
      </c>
      <c r="CO536">
        <v>2</v>
      </c>
      <c r="CP536">
        <v>0</v>
      </c>
      <c r="CQ536">
        <v>7</v>
      </c>
      <c r="CR536" t="s">
        <v>116</v>
      </c>
      <c r="CS536">
        <v>525</v>
      </c>
      <c r="CT536">
        <v>2</v>
      </c>
      <c r="CU536" t="s">
        <v>140</v>
      </c>
      <c r="CV536" t="s">
        <v>141</v>
      </c>
      <c r="CY536">
        <v>14370145</v>
      </c>
      <c r="CZ536" t="s">
        <v>119</v>
      </c>
    </row>
    <row r="537" spans="1:104" x14ac:dyDescent="0.25">
      <c r="A537" t="str">
        <f>"13:59:18.375"</f>
        <v>13:59:18.375</v>
      </c>
      <c r="B537" t="s">
        <v>108</v>
      </c>
      <c r="C537" t="str">
        <f t="shared" si="25"/>
        <v>ffdfd3c0</v>
      </c>
      <c r="D537" t="s">
        <v>109</v>
      </c>
      <c r="E537">
        <v>4</v>
      </c>
      <c r="F537">
        <v>1004</v>
      </c>
      <c r="G537" t="s">
        <v>110</v>
      </c>
      <c r="J537" t="s">
        <v>111</v>
      </c>
      <c r="K537">
        <v>0</v>
      </c>
      <c r="L537">
        <v>3</v>
      </c>
      <c r="M537">
        <v>0</v>
      </c>
      <c r="N537">
        <v>2</v>
      </c>
      <c r="O537">
        <v>1</v>
      </c>
      <c r="P537">
        <v>0</v>
      </c>
      <c r="Q537">
        <v>0</v>
      </c>
      <c r="R537" t="s">
        <v>112</v>
      </c>
      <c r="S537" t="str">
        <f>"13:59:18.188"</f>
        <v>13:59:18.188</v>
      </c>
      <c r="T537" t="str">
        <f>"13:59:17.789"</f>
        <v>13:59:17.789</v>
      </c>
      <c r="U537" t="str">
        <f t="shared" si="24"/>
        <v>ad5732</v>
      </c>
      <c r="V537">
        <v>0</v>
      </c>
      <c r="W537">
        <v>0</v>
      </c>
      <c r="X537">
        <v>1</v>
      </c>
      <c r="Z537">
        <v>0</v>
      </c>
      <c r="AA537">
        <v>9</v>
      </c>
      <c r="AB537">
        <v>3</v>
      </c>
      <c r="AC537">
        <v>0</v>
      </c>
      <c r="AD537">
        <v>10</v>
      </c>
      <c r="AE537">
        <v>0</v>
      </c>
      <c r="AF537">
        <v>3</v>
      </c>
      <c r="AG537">
        <v>2</v>
      </c>
      <c r="AH537">
        <v>0</v>
      </c>
      <c r="AI537" t="s">
        <v>1171</v>
      </c>
      <c r="AJ537">
        <v>39.248334999999997</v>
      </c>
      <c r="AK537" t="s">
        <v>1172</v>
      </c>
      <c r="AL537">
        <v>-77.324759999999998</v>
      </c>
      <c r="AM537">
        <v>100</v>
      </c>
      <c r="AN537">
        <v>8700</v>
      </c>
      <c r="AO537" t="s">
        <v>115</v>
      </c>
      <c r="AP537">
        <v>149</v>
      </c>
      <c r="AQ537">
        <v>58</v>
      </c>
      <c r="AR537">
        <v>-384</v>
      </c>
      <c r="AZ537">
        <v>3614</v>
      </c>
      <c r="BA537">
        <v>1</v>
      </c>
      <c r="BB537" t="str">
        <f t="shared" si="26"/>
        <v xml:space="preserve">N959MJ  </v>
      </c>
      <c r="BC537">
        <v>1</v>
      </c>
      <c r="BE537">
        <v>0</v>
      </c>
      <c r="BF537">
        <v>0</v>
      </c>
      <c r="BG537">
        <v>0</v>
      </c>
      <c r="BH537">
        <v>8975</v>
      </c>
      <c r="BI537">
        <v>275</v>
      </c>
      <c r="BJ537">
        <v>1</v>
      </c>
      <c r="BK537">
        <v>1</v>
      </c>
      <c r="BL537">
        <v>1</v>
      </c>
      <c r="BM537">
        <v>0</v>
      </c>
      <c r="BP537">
        <v>0</v>
      </c>
      <c r="BQ537">
        <v>0</v>
      </c>
      <c r="BX537" t="str">
        <f>"13:59:18.195"</f>
        <v>13:59:18.195</v>
      </c>
      <c r="BY537" t="str">
        <f>"192083958"</f>
        <v>192083958</v>
      </c>
      <c r="CL537">
        <v>0</v>
      </c>
      <c r="CM537">
        <v>2</v>
      </c>
      <c r="CN537">
        <v>0</v>
      </c>
      <c r="CO537">
        <v>2</v>
      </c>
      <c r="CP537">
        <v>0</v>
      </c>
      <c r="CQ537">
        <v>7</v>
      </c>
      <c r="CR537" t="s">
        <v>116</v>
      </c>
      <c r="CS537">
        <v>525</v>
      </c>
      <c r="CT537">
        <v>2</v>
      </c>
      <c r="CU537" t="s">
        <v>140</v>
      </c>
      <c r="CV537" t="s">
        <v>141</v>
      </c>
      <c r="CY537">
        <v>14371478</v>
      </c>
      <c r="CZ537" t="s">
        <v>119</v>
      </c>
    </row>
    <row r="538" spans="1:104" x14ac:dyDescent="0.25">
      <c r="A538" t="str">
        <f>"13:59:19.391"</f>
        <v>13:59:19.391</v>
      </c>
      <c r="B538" t="s">
        <v>108</v>
      </c>
      <c r="C538" t="str">
        <f t="shared" si="25"/>
        <v>ffdfd3c0</v>
      </c>
      <c r="D538" t="s">
        <v>109</v>
      </c>
      <c r="E538">
        <v>4</v>
      </c>
      <c r="F538">
        <v>1004</v>
      </c>
      <c r="G538" t="s">
        <v>110</v>
      </c>
      <c r="J538" t="s">
        <v>111</v>
      </c>
      <c r="K538">
        <v>0</v>
      </c>
      <c r="L538">
        <v>3</v>
      </c>
      <c r="M538">
        <v>0</v>
      </c>
      <c r="N538">
        <v>2</v>
      </c>
      <c r="O538">
        <v>1</v>
      </c>
      <c r="P538">
        <v>0</v>
      </c>
      <c r="Q538">
        <v>0</v>
      </c>
      <c r="R538" t="s">
        <v>112</v>
      </c>
      <c r="S538" t="str">
        <f>"13:59:19.219"</f>
        <v>13:59:19.219</v>
      </c>
      <c r="T538" t="str">
        <f>"13:59:18.820"</f>
        <v>13:59:18.820</v>
      </c>
      <c r="U538" t="str">
        <f t="shared" si="24"/>
        <v>ad5732</v>
      </c>
      <c r="V538">
        <v>0</v>
      </c>
      <c r="W538">
        <v>0</v>
      </c>
      <c r="X538">
        <v>1</v>
      </c>
      <c r="Z538">
        <v>0</v>
      </c>
      <c r="AA538">
        <v>9</v>
      </c>
      <c r="AB538">
        <v>3</v>
      </c>
      <c r="AC538">
        <v>0</v>
      </c>
      <c r="AD538">
        <v>10</v>
      </c>
      <c r="AE538">
        <v>0</v>
      </c>
      <c r="AF538">
        <v>3</v>
      </c>
      <c r="AG538">
        <v>2</v>
      </c>
      <c r="AH538">
        <v>0</v>
      </c>
      <c r="AI538" t="s">
        <v>1173</v>
      </c>
      <c r="AJ538">
        <v>39.248614000000003</v>
      </c>
      <c r="AK538" t="s">
        <v>1174</v>
      </c>
      <c r="AL538">
        <v>-77.323922999999994</v>
      </c>
      <c r="AM538">
        <v>100</v>
      </c>
      <c r="AN538">
        <v>8700</v>
      </c>
      <c r="AO538" t="s">
        <v>115</v>
      </c>
      <c r="AP538">
        <v>150</v>
      </c>
      <c r="AQ538">
        <v>59</v>
      </c>
      <c r="AR538">
        <v>-256</v>
      </c>
      <c r="AZ538">
        <v>3614</v>
      </c>
      <c r="BA538">
        <v>1</v>
      </c>
      <c r="BB538" t="str">
        <f t="shared" si="26"/>
        <v xml:space="preserve">N959MJ  </v>
      </c>
      <c r="BC538">
        <v>1</v>
      </c>
      <c r="BE538">
        <v>0</v>
      </c>
      <c r="BF538">
        <v>0</v>
      </c>
      <c r="BG538">
        <v>0</v>
      </c>
      <c r="BH538">
        <v>8975</v>
      </c>
      <c r="BI538">
        <v>275</v>
      </c>
      <c r="BJ538">
        <v>1</v>
      </c>
      <c r="BK538">
        <v>1</v>
      </c>
      <c r="BL538">
        <v>1</v>
      </c>
      <c r="BM538">
        <v>0</v>
      </c>
      <c r="BP538">
        <v>0</v>
      </c>
      <c r="BQ538">
        <v>0</v>
      </c>
      <c r="BX538" t="str">
        <f>"13:59:19.219"</f>
        <v>13:59:19.219</v>
      </c>
      <c r="BY538" t="str">
        <f>"221015617"</f>
        <v>221015617</v>
      </c>
      <c r="CL538">
        <v>0</v>
      </c>
      <c r="CM538">
        <v>2</v>
      </c>
      <c r="CN538">
        <v>0</v>
      </c>
      <c r="CO538">
        <v>2</v>
      </c>
      <c r="CP538">
        <v>0</v>
      </c>
      <c r="CQ538">
        <v>7</v>
      </c>
      <c r="CR538" t="s">
        <v>116</v>
      </c>
      <c r="CS538">
        <v>525</v>
      </c>
      <c r="CT538">
        <v>2</v>
      </c>
      <c r="CU538" t="s">
        <v>140</v>
      </c>
      <c r="CV538" t="s">
        <v>141</v>
      </c>
      <c r="CY538">
        <v>14373049</v>
      </c>
      <c r="CZ538" t="s">
        <v>119</v>
      </c>
    </row>
    <row r="539" spans="1:104" x14ac:dyDescent="0.25">
      <c r="A539" t="str">
        <f>"13:59:20.547"</f>
        <v>13:59:20.547</v>
      </c>
      <c r="B539" t="s">
        <v>108</v>
      </c>
      <c r="C539" t="str">
        <f t="shared" si="25"/>
        <v>ffdfd3c0</v>
      </c>
      <c r="D539" t="s">
        <v>109</v>
      </c>
      <c r="E539">
        <v>4</v>
      </c>
      <c r="F539">
        <v>1004</v>
      </c>
      <c r="G539" t="s">
        <v>110</v>
      </c>
      <c r="J539" t="s">
        <v>111</v>
      </c>
      <c r="K539">
        <v>0</v>
      </c>
      <c r="L539">
        <v>3</v>
      </c>
      <c r="M539">
        <v>0</v>
      </c>
      <c r="N539">
        <v>2</v>
      </c>
      <c r="O539">
        <v>1</v>
      </c>
      <c r="P539">
        <v>0</v>
      </c>
      <c r="Q539">
        <v>0</v>
      </c>
      <c r="R539" t="s">
        <v>112</v>
      </c>
      <c r="S539" t="str">
        <f>"13:59:20.375"</f>
        <v>13:59:20.375</v>
      </c>
      <c r="T539" t="str">
        <f>"13:59:19.875"</f>
        <v>13:59:19.875</v>
      </c>
      <c r="U539" t="str">
        <f t="shared" si="24"/>
        <v>ad5732</v>
      </c>
      <c r="V539">
        <v>0</v>
      </c>
      <c r="W539">
        <v>0</v>
      </c>
      <c r="X539">
        <v>1</v>
      </c>
      <c r="Z539">
        <v>0</v>
      </c>
      <c r="AA539">
        <v>9</v>
      </c>
      <c r="AB539">
        <v>3</v>
      </c>
      <c r="AC539">
        <v>0</v>
      </c>
      <c r="AD539">
        <v>10</v>
      </c>
      <c r="AE539">
        <v>0</v>
      </c>
      <c r="AF539">
        <v>3</v>
      </c>
      <c r="AG539">
        <v>2</v>
      </c>
      <c r="AH539">
        <v>0</v>
      </c>
      <c r="AI539" t="s">
        <v>1175</v>
      </c>
      <c r="AJ539">
        <v>39.248936</v>
      </c>
      <c r="AK539" t="s">
        <v>1176</v>
      </c>
      <c r="AL539">
        <v>-77.322806999999997</v>
      </c>
      <c r="AM539">
        <v>100</v>
      </c>
      <c r="AN539">
        <v>8600</v>
      </c>
      <c r="AO539" t="s">
        <v>115</v>
      </c>
      <c r="AP539">
        <v>152</v>
      </c>
      <c r="AQ539">
        <v>59</v>
      </c>
      <c r="AR539">
        <v>-64</v>
      </c>
      <c r="AZ539">
        <v>3614</v>
      </c>
      <c r="BA539">
        <v>1</v>
      </c>
      <c r="BB539" t="str">
        <f t="shared" si="26"/>
        <v xml:space="preserve">N959MJ  </v>
      </c>
      <c r="BC539">
        <v>1</v>
      </c>
      <c r="BE539">
        <v>0</v>
      </c>
      <c r="BF539">
        <v>0</v>
      </c>
      <c r="BG539">
        <v>0</v>
      </c>
      <c r="BH539">
        <v>8975</v>
      </c>
      <c r="BI539">
        <v>375</v>
      </c>
      <c r="BJ539">
        <v>1</v>
      </c>
      <c r="BK539">
        <v>1</v>
      </c>
      <c r="BL539">
        <v>1</v>
      </c>
      <c r="BM539">
        <v>0</v>
      </c>
      <c r="BP539">
        <v>0</v>
      </c>
      <c r="BQ539">
        <v>0</v>
      </c>
      <c r="BX539" t="str">
        <f>"13:59:20.375"</f>
        <v>13:59:20.375</v>
      </c>
      <c r="BY539" t="str">
        <f>"377744516"</f>
        <v>377744516</v>
      </c>
      <c r="CL539">
        <v>0</v>
      </c>
      <c r="CM539">
        <v>2</v>
      </c>
      <c r="CN539">
        <v>0</v>
      </c>
      <c r="CO539">
        <v>2</v>
      </c>
      <c r="CP539">
        <v>0</v>
      </c>
      <c r="CQ539">
        <v>7</v>
      </c>
      <c r="CR539" t="s">
        <v>116</v>
      </c>
      <c r="CS539">
        <v>525</v>
      </c>
      <c r="CT539">
        <v>2</v>
      </c>
      <c r="CU539" t="s">
        <v>140</v>
      </c>
      <c r="CV539" t="s">
        <v>141</v>
      </c>
      <c r="CY539">
        <v>14374779</v>
      </c>
      <c r="CZ539" t="s">
        <v>119</v>
      </c>
    </row>
    <row r="540" spans="1:104" x14ac:dyDescent="0.25">
      <c r="A540" t="str">
        <f>"13:59:21.555"</f>
        <v>13:59:21.555</v>
      </c>
      <c r="B540" t="s">
        <v>108</v>
      </c>
      <c r="C540" t="str">
        <f t="shared" si="25"/>
        <v>ffdfd3c0</v>
      </c>
      <c r="D540" t="s">
        <v>109</v>
      </c>
      <c r="E540">
        <v>4</v>
      </c>
      <c r="F540">
        <v>1004</v>
      </c>
      <c r="G540" t="s">
        <v>110</v>
      </c>
      <c r="J540" t="s">
        <v>111</v>
      </c>
      <c r="K540">
        <v>0</v>
      </c>
      <c r="L540">
        <v>3</v>
      </c>
      <c r="M540">
        <v>0</v>
      </c>
      <c r="N540">
        <v>2</v>
      </c>
      <c r="O540">
        <v>1</v>
      </c>
      <c r="P540">
        <v>0</v>
      </c>
      <c r="Q540">
        <v>0</v>
      </c>
      <c r="R540" t="s">
        <v>112</v>
      </c>
      <c r="S540" t="str">
        <f>"13:59:21.375"</f>
        <v>13:59:21.375</v>
      </c>
      <c r="T540" t="str">
        <f>"13:59:20.875"</f>
        <v>13:59:20.875</v>
      </c>
      <c r="U540" t="str">
        <f t="shared" si="24"/>
        <v>ad5732</v>
      </c>
      <c r="V540">
        <v>0</v>
      </c>
      <c r="W540">
        <v>0</v>
      </c>
      <c r="X540">
        <v>1</v>
      </c>
      <c r="Z540">
        <v>0</v>
      </c>
      <c r="AA540">
        <v>9</v>
      </c>
      <c r="AB540">
        <v>3</v>
      </c>
      <c r="AC540">
        <v>0</v>
      </c>
      <c r="AD540">
        <v>10</v>
      </c>
      <c r="AE540">
        <v>0</v>
      </c>
      <c r="AF540">
        <v>3</v>
      </c>
      <c r="AG540">
        <v>2</v>
      </c>
      <c r="AH540">
        <v>0</v>
      </c>
      <c r="AI540" t="s">
        <v>1177</v>
      </c>
      <c r="AJ540">
        <v>39.249215</v>
      </c>
      <c r="AK540" t="s">
        <v>1178</v>
      </c>
      <c r="AL540">
        <v>-77.321905999999998</v>
      </c>
      <c r="AM540">
        <v>100</v>
      </c>
      <c r="AN540">
        <v>8600</v>
      </c>
      <c r="AO540" t="s">
        <v>115</v>
      </c>
      <c r="AP540">
        <v>153</v>
      </c>
      <c r="AQ540">
        <v>60</v>
      </c>
      <c r="AR540">
        <v>0</v>
      </c>
      <c r="AZ540">
        <v>3614</v>
      </c>
      <c r="BA540">
        <v>1</v>
      </c>
      <c r="BB540" t="str">
        <f t="shared" si="26"/>
        <v xml:space="preserve">N959MJ  </v>
      </c>
      <c r="BC540">
        <v>1</v>
      </c>
      <c r="BE540">
        <v>0</v>
      </c>
      <c r="BF540">
        <v>0</v>
      </c>
      <c r="BG540">
        <v>0</v>
      </c>
      <c r="BH540">
        <v>8975</v>
      </c>
      <c r="BI540">
        <v>375</v>
      </c>
      <c r="BJ540">
        <v>1</v>
      </c>
      <c r="BK540">
        <v>1</v>
      </c>
      <c r="BL540">
        <v>1</v>
      </c>
      <c r="BM540">
        <v>0</v>
      </c>
      <c r="BP540">
        <v>0</v>
      </c>
      <c r="BQ540">
        <v>0</v>
      </c>
      <c r="BX540" t="str">
        <f>"13:59:21.375"</f>
        <v>13:59:21.375</v>
      </c>
      <c r="BY540" t="str">
        <f>"377184493"</f>
        <v>377184493</v>
      </c>
      <c r="CL540">
        <v>0</v>
      </c>
      <c r="CM540">
        <v>2</v>
      </c>
      <c r="CN540">
        <v>0</v>
      </c>
      <c r="CO540">
        <v>2</v>
      </c>
      <c r="CP540">
        <v>0</v>
      </c>
      <c r="CQ540">
        <v>7</v>
      </c>
      <c r="CR540" t="s">
        <v>116</v>
      </c>
      <c r="CS540">
        <v>525</v>
      </c>
      <c r="CT540">
        <v>2</v>
      </c>
      <c r="CU540" t="s">
        <v>140</v>
      </c>
      <c r="CV540" t="s">
        <v>141</v>
      </c>
      <c r="CY540">
        <v>14376278</v>
      </c>
      <c r="CZ540" t="s">
        <v>119</v>
      </c>
    </row>
    <row r="541" spans="1:104" x14ac:dyDescent="0.25">
      <c r="A541" t="str">
        <f>"13:59:22.570"</f>
        <v>13:59:22.570</v>
      </c>
      <c r="B541" t="s">
        <v>108</v>
      </c>
      <c r="C541" t="str">
        <f t="shared" si="25"/>
        <v>ffdfd3c0</v>
      </c>
      <c r="D541" t="s">
        <v>109</v>
      </c>
      <c r="E541">
        <v>4</v>
      </c>
      <c r="F541">
        <v>1004</v>
      </c>
      <c r="G541" t="s">
        <v>110</v>
      </c>
      <c r="J541" t="s">
        <v>111</v>
      </c>
      <c r="K541">
        <v>0</v>
      </c>
      <c r="L541">
        <v>3</v>
      </c>
      <c r="M541">
        <v>0</v>
      </c>
      <c r="N541">
        <v>2</v>
      </c>
      <c r="O541">
        <v>1</v>
      </c>
      <c r="P541">
        <v>0</v>
      </c>
      <c r="Q541">
        <v>0</v>
      </c>
      <c r="R541" t="s">
        <v>112</v>
      </c>
      <c r="S541" t="str">
        <f>"13:59:22.391"</f>
        <v>13:59:22.391</v>
      </c>
      <c r="T541" t="str">
        <f>"13:59:21.992"</f>
        <v>13:59:21.992</v>
      </c>
      <c r="U541" t="str">
        <f t="shared" si="24"/>
        <v>ad5732</v>
      </c>
      <c r="V541">
        <v>0</v>
      </c>
      <c r="W541">
        <v>0</v>
      </c>
      <c r="X541">
        <v>1</v>
      </c>
      <c r="Z541">
        <v>0</v>
      </c>
      <c r="AA541">
        <v>9</v>
      </c>
      <c r="AB541">
        <v>3</v>
      </c>
      <c r="AC541">
        <v>0</v>
      </c>
      <c r="AD541">
        <v>10</v>
      </c>
      <c r="AE541">
        <v>0</v>
      </c>
      <c r="AF541">
        <v>3</v>
      </c>
      <c r="AG541">
        <v>2</v>
      </c>
      <c r="AH541">
        <v>0</v>
      </c>
      <c r="AI541" t="s">
        <v>1179</v>
      </c>
      <c r="AJ541">
        <v>39.249493999999999</v>
      </c>
      <c r="AK541" t="s">
        <v>1180</v>
      </c>
      <c r="AL541">
        <v>-77.320982999999998</v>
      </c>
      <c r="AM541">
        <v>100</v>
      </c>
      <c r="AN541">
        <v>8600</v>
      </c>
      <c r="AO541" t="s">
        <v>115</v>
      </c>
      <c r="AP541">
        <v>154</v>
      </c>
      <c r="AQ541">
        <v>59</v>
      </c>
      <c r="AR541">
        <v>64</v>
      </c>
      <c r="AZ541">
        <v>3614</v>
      </c>
      <c r="BA541">
        <v>1</v>
      </c>
      <c r="BB541" t="str">
        <f t="shared" si="26"/>
        <v xml:space="preserve">N959MJ  </v>
      </c>
      <c r="BC541">
        <v>1</v>
      </c>
      <c r="BE541">
        <v>0</v>
      </c>
      <c r="BF541">
        <v>0</v>
      </c>
      <c r="BG541">
        <v>0</v>
      </c>
      <c r="BH541">
        <v>8975</v>
      </c>
      <c r="BI541">
        <v>375</v>
      </c>
      <c r="BJ541">
        <v>1</v>
      </c>
      <c r="BK541">
        <v>1</v>
      </c>
      <c r="BL541">
        <v>1</v>
      </c>
      <c r="BM541">
        <v>0</v>
      </c>
      <c r="BP541">
        <v>0</v>
      </c>
      <c r="BQ541">
        <v>0</v>
      </c>
      <c r="BX541" t="str">
        <f>"13:59:22.398"</f>
        <v>13:59:22.398</v>
      </c>
      <c r="BY541" t="str">
        <f>"394647172"</f>
        <v>394647172</v>
      </c>
      <c r="CL541">
        <v>0</v>
      </c>
      <c r="CM541">
        <v>2</v>
      </c>
      <c r="CN541">
        <v>0</v>
      </c>
      <c r="CO541">
        <v>2</v>
      </c>
      <c r="CP541">
        <v>0</v>
      </c>
      <c r="CQ541">
        <v>7</v>
      </c>
      <c r="CR541" t="s">
        <v>116</v>
      </c>
      <c r="CS541">
        <v>525</v>
      </c>
      <c r="CT541">
        <v>2</v>
      </c>
      <c r="CU541" t="s">
        <v>140</v>
      </c>
      <c r="CV541" t="s">
        <v>141</v>
      </c>
      <c r="CY541">
        <v>14377637</v>
      </c>
      <c r="CZ541" t="s">
        <v>119</v>
      </c>
    </row>
    <row r="542" spans="1:104" x14ac:dyDescent="0.25">
      <c r="A542" t="str">
        <f>"13:59:23.578"</f>
        <v>13:59:23.578</v>
      </c>
      <c r="B542" t="s">
        <v>108</v>
      </c>
      <c r="C542" t="str">
        <f t="shared" si="25"/>
        <v>ffdfd3c0</v>
      </c>
      <c r="D542" t="s">
        <v>109</v>
      </c>
      <c r="E542">
        <v>4</v>
      </c>
      <c r="F542">
        <v>1004</v>
      </c>
      <c r="G542" t="s">
        <v>110</v>
      </c>
      <c r="J542" t="s">
        <v>111</v>
      </c>
      <c r="K542">
        <v>0</v>
      </c>
      <c r="L542">
        <v>3</v>
      </c>
      <c r="M542">
        <v>0</v>
      </c>
      <c r="N542">
        <v>2</v>
      </c>
      <c r="O542">
        <v>1</v>
      </c>
      <c r="P542">
        <v>0</v>
      </c>
      <c r="Q542">
        <v>0</v>
      </c>
      <c r="R542" t="s">
        <v>112</v>
      </c>
      <c r="S542" t="str">
        <f>"13:59:23.406"</f>
        <v>13:59:23.406</v>
      </c>
      <c r="T542" t="str">
        <f>"13:59:22.906"</f>
        <v>13:59:22.906</v>
      </c>
      <c r="U542" t="str">
        <f t="shared" si="24"/>
        <v>ad5732</v>
      </c>
      <c r="V542">
        <v>0</v>
      </c>
      <c r="W542">
        <v>0</v>
      </c>
      <c r="X542">
        <v>1</v>
      </c>
      <c r="Z542">
        <v>0</v>
      </c>
      <c r="AA542">
        <v>9</v>
      </c>
      <c r="AB542">
        <v>3</v>
      </c>
      <c r="AC542">
        <v>0</v>
      </c>
      <c r="AD542">
        <v>10</v>
      </c>
      <c r="AE542">
        <v>0</v>
      </c>
      <c r="AF542">
        <v>3</v>
      </c>
      <c r="AG542">
        <v>2</v>
      </c>
      <c r="AH542">
        <v>0</v>
      </c>
      <c r="AI542" t="s">
        <v>1181</v>
      </c>
      <c r="AJ542">
        <v>39.249772999999998</v>
      </c>
      <c r="AK542" t="s">
        <v>1182</v>
      </c>
      <c r="AL542">
        <v>-77.320018000000005</v>
      </c>
      <c r="AM542">
        <v>100</v>
      </c>
      <c r="AN542">
        <v>8600</v>
      </c>
      <c r="AO542" t="s">
        <v>115</v>
      </c>
      <c r="AP542">
        <v>156</v>
      </c>
      <c r="AQ542">
        <v>59</v>
      </c>
      <c r="AR542">
        <v>64</v>
      </c>
      <c r="AZ542">
        <v>3614</v>
      </c>
      <c r="BA542">
        <v>1</v>
      </c>
      <c r="BB542" t="str">
        <f t="shared" si="26"/>
        <v xml:space="preserve">N959MJ  </v>
      </c>
      <c r="BC542">
        <v>1</v>
      </c>
      <c r="BE542">
        <v>0</v>
      </c>
      <c r="BF542">
        <v>0</v>
      </c>
      <c r="BG542">
        <v>0</v>
      </c>
      <c r="BH542">
        <v>8975</v>
      </c>
      <c r="BI542">
        <v>375</v>
      </c>
      <c r="BJ542">
        <v>1</v>
      </c>
      <c r="BK542">
        <v>1</v>
      </c>
      <c r="BL542">
        <v>1</v>
      </c>
      <c r="BM542">
        <v>0</v>
      </c>
      <c r="BP542">
        <v>0</v>
      </c>
      <c r="BQ542">
        <v>0</v>
      </c>
      <c r="BX542" t="str">
        <f>"13:59:23.406"</f>
        <v>13:59:23.406</v>
      </c>
      <c r="BY542" t="str">
        <f>"407194574"</f>
        <v>407194574</v>
      </c>
      <c r="CL542">
        <v>0</v>
      </c>
      <c r="CM542">
        <v>2</v>
      </c>
      <c r="CN542">
        <v>0</v>
      </c>
      <c r="CO542">
        <v>2</v>
      </c>
      <c r="CP542">
        <v>0</v>
      </c>
      <c r="CQ542">
        <v>7</v>
      </c>
      <c r="CR542" t="s">
        <v>116</v>
      </c>
      <c r="CS542">
        <v>525</v>
      </c>
      <c r="CT542">
        <v>2</v>
      </c>
      <c r="CU542" t="s">
        <v>140</v>
      </c>
      <c r="CV542" t="s">
        <v>141</v>
      </c>
      <c r="CY542">
        <v>14379215</v>
      </c>
      <c r="CZ542" t="s">
        <v>119</v>
      </c>
    </row>
    <row r="543" spans="1:104" x14ac:dyDescent="0.25">
      <c r="A543" t="str">
        <f>"13:59:24.633"</f>
        <v>13:59:24.633</v>
      </c>
      <c r="B543" t="s">
        <v>108</v>
      </c>
      <c r="C543" t="str">
        <f t="shared" si="25"/>
        <v>ffdfd3c0</v>
      </c>
      <c r="D543" t="s">
        <v>109</v>
      </c>
      <c r="E543">
        <v>4</v>
      </c>
      <c r="F543">
        <v>1004</v>
      </c>
      <c r="G543" t="s">
        <v>110</v>
      </c>
      <c r="J543" t="s">
        <v>111</v>
      </c>
      <c r="K543">
        <v>0</v>
      </c>
      <c r="L543">
        <v>3</v>
      </c>
      <c r="M543">
        <v>0</v>
      </c>
      <c r="N543">
        <v>2</v>
      </c>
      <c r="O543">
        <v>1</v>
      </c>
      <c r="P543">
        <v>0</v>
      </c>
      <c r="Q543">
        <v>0</v>
      </c>
      <c r="R543" t="s">
        <v>112</v>
      </c>
      <c r="S543" t="str">
        <f>"13:59:24.453"</f>
        <v>13:59:24.453</v>
      </c>
      <c r="T543" t="str">
        <f>"13:59:23.953"</f>
        <v>13:59:23.953</v>
      </c>
      <c r="U543" t="str">
        <f t="shared" si="24"/>
        <v>ad5732</v>
      </c>
      <c r="V543">
        <v>0</v>
      </c>
      <c r="W543">
        <v>0</v>
      </c>
      <c r="X543">
        <v>1</v>
      </c>
      <c r="Z543">
        <v>0</v>
      </c>
      <c r="AA543">
        <v>9</v>
      </c>
      <c r="AB543">
        <v>3</v>
      </c>
      <c r="AC543">
        <v>0</v>
      </c>
      <c r="AD543">
        <v>10</v>
      </c>
      <c r="AE543">
        <v>0</v>
      </c>
      <c r="AF543">
        <v>3</v>
      </c>
      <c r="AG543">
        <v>2</v>
      </c>
      <c r="AH543">
        <v>0</v>
      </c>
      <c r="AI543" t="s">
        <v>1183</v>
      </c>
      <c r="AJ543">
        <v>39.250051999999997</v>
      </c>
      <c r="AK543" t="s">
        <v>1184</v>
      </c>
      <c r="AL543">
        <v>-77.319095000000004</v>
      </c>
      <c r="AM543">
        <v>100</v>
      </c>
      <c r="AN543">
        <v>8600</v>
      </c>
      <c r="AO543" t="s">
        <v>115</v>
      </c>
      <c r="AP543">
        <v>157</v>
      </c>
      <c r="AQ543">
        <v>59</v>
      </c>
      <c r="AR543">
        <v>128</v>
      </c>
      <c r="AZ543">
        <v>3614</v>
      </c>
      <c r="BA543">
        <v>1</v>
      </c>
      <c r="BB543" t="str">
        <f t="shared" si="26"/>
        <v xml:space="preserve">N959MJ  </v>
      </c>
      <c r="BC543">
        <v>1</v>
      </c>
      <c r="BE543">
        <v>0</v>
      </c>
      <c r="BF543">
        <v>0</v>
      </c>
      <c r="BG543">
        <v>0</v>
      </c>
      <c r="BH543">
        <v>8975</v>
      </c>
      <c r="BI543">
        <v>375</v>
      </c>
      <c r="BJ543">
        <v>1</v>
      </c>
      <c r="BK543">
        <v>1</v>
      </c>
      <c r="BL543">
        <v>1</v>
      </c>
      <c r="BM543">
        <v>0</v>
      </c>
      <c r="BP543">
        <v>0</v>
      </c>
      <c r="BQ543">
        <v>0</v>
      </c>
      <c r="BX543" t="str">
        <f>"13:59:24.453"</f>
        <v>13:59:24.453</v>
      </c>
      <c r="BY543" t="str">
        <f>"455787351"</f>
        <v>455787351</v>
      </c>
      <c r="CL543">
        <v>0</v>
      </c>
      <c r="CM543">
        <v>2</v>
      </c>
      <c r="CN543">
        <v>0</v>
      </c>
      <c r="CO543">
        <v>2</v>
      </c>
      <c r="CP543">
        <v>0</v>
      </c>
      <c r="CQ543">
        <v>7</v>
      </c>
      <c r="CR543" t="s">
        <v>116</v>
      </c>
      <c r="CS543">
        <v>525</v>
      </c>
      <c r="CT543">
        <v>2</v>
      </c>
      <c r="CU543" t="s">
        <v>140</v>
      </c>
      <c r="CV543" t="s">
        <v>141</v>
      </c>
      <c r="CY543">
        <v>14380696</v>
      </c>
      <c r="CZ543" t="s">
        <v>119</v>
      </c>
    </row>
    <row r="544" spans="1:104" x14ac:dyDescent="0.25">
      <c r="A544" t="str">
        <f>"13:59:25.797"</f>
        <v>13:59:25.797</v>
      </c>
      <c r="B544" t="s">
        <v>108</v>
      </c>
      <c r="C544" t="str">
        <f t="shared" si="25"/>
        <v>ffdfd3c0</v>
      </c>
      <c r="D544" t="s">
        <v>109</v>
      </c>
      <c r="E544">
        <v>4</v>
      </c>
      <c r="F544">
        <v>1004</v>
      </c>
      <c r="G544" t="s">
        <v>110</v>
      </c>
      <c r="J544" t="s">
        <v>111</v>
      </c>
      <c r="K544">
        <v>0</v>
      </c>
      <c r="L544">
        <v>3</v>
      </c>
      <c r="M544">
        <v>0</v>
      </c>
      <c r="N544">
        <v>2</v>
      </c>
      <c r="O544">
        <v>1</v>
      </c>
      <c r="P544">
        <v>0</v>
      </c>
      <c r="Q544">
        <v>0</v>
      </c>
      <c r="R544" t="s">
        <v>112</v>
      </c>
      <c r="S544" t="str">
        <f>"13:59:25.609"</f>
        <v>13:59:25.609</v>
      </c>
      <c r="T544" t="str">
        <f>"13:59:25.109"</f>
        <v>13:59:25.109</v>
      </c>
      <c r="U544" t="str">
        <f t="shared" si="24"/>
        <v>ad5732</v>
      </c>
      <c r="V544">
        <v>0</v>
      </c>
      <c r="W544">
        <v>0</v>
      </c>
      <c r="X544">
        <v>1</v>
      </c>
      <c r="Z544">
        <v>0</v>
      </c>
      <c r="AA544">
        <v>9</v>
      </c>
      <c r="AB544">
        <v>3</v>
      </c>
      <c r="AC544">
        <v>0</v>
      </c>
      <c r="AD544">
        <v>10</v>
      </c>
      <c r="AE544">
        <v>0</v>
      </c>
      <c r="AF544">
        <v>3</v>
      </c>
      <c r="AG544">
        <v>2</v>
      </c>
      <c r="AH544">
        <v>0</v>
      </c>
      <c r="AI544" t="s">
        <v>1185</v>
      </c>
      <c r="AJ544">
        <v>39.250374000000001</v>
      </c>
      <c r="AK544" t="s">
        <v>1186</v>
      </c>
      <c r="AL544">
        <v>-77.318000999999995</v>
      </c>
      <c r="AM544">
        <v>100</v>
      </c>
      <c r="AN544">
        <v>8600</v>
      </c>
      <c r="AO544" t="s">
        <v>115</v>
      </c>
      <c r="AP544">
        <v>158</v>
      </c>
      <c r="AQ544">
        <v>59</v>
      </c>
      <c r="AR544">
        <v>192</v>
      </c>
      <c r="AZ544">
        <v>3614</v>
      </c>
      <c r="BA544">
        <v>1</v>
      </c>
      <c r="BB544" t="str">
        <f t="shared" si="26"/>
        <v xml:space="preserve">N959MJ  </v>
      </c>
      <c r="BC544">
        <v>1</v>
      </c>
      <c r="BE544">
        <v>0</v>
      </c>
      <c r="BF544">
        <v>0</v>
      </c>
      <c r="BG544">
        <v>0</v>
      </c>
      <c r="BH544">
        <v>8975</v>
      </c>
      <c r="BI544">
        <v>375</v>
      </c>
      <c r="BJ544">
        <v>1</v>
      </c>
      <c r="BK544">
        <v>1</v>
      </c>
      <c r="BL544">
        <v>1</v>
      </c>
      <c r="BM544">
        <v>0</v>
      </c>
      <c r="BP544">
        <v>0</v>
      </c>
      <c r="BQ544">
        <v>0</v>
      </c>
      <c r="BX544" t="str">
        <f>"13:59:25.609"</f>
        <v>13:59:25.609</v>
      </c>
      <c r="BY544" t="str">
        <f>"610877891"</f>
        <v>610877891</v>
      </c>
      <c r="CL544">
        <v>0</v>
      </c>
      <c r="CM544">
        <v>2</v>
      </c>
      <c r="CN544">
        <v>0</v>
      </c>
      <c r="CO544">
        <v>2</v>
      </c>
      <c r="CP544">
        <v>0</v>
      </c>
      <c r="CQ544">
        <v>7</v>
      </c>
      <c r="CR544" t="s">
        <v>116</v>
      </c>
      <c r="CS544">
        <v>525</v>
      </c>
      <c r="CT544">
        <v>2</v>
      </c>
      <c r="CU544" t="s">
        <v>140</v>
      </c>
      <c r="CV544" t="s">
        <v>141</v>
      </c>
      <c r="CY544">
        <v>14382381</v>
      </c>
      <c r="CZ544" t="s">
        <v>119</v>
      </c>
    </row>
    <row r="545" spans="1:104" x14ac:dyDescent="0.25">
      <c r="A545" t="str">
        <f>"13:59:26.703"</f>
        <v>13:59:26.703</v>
      </c>
      <c r="B545" t="s">
        <v>108</v>
      </c>
      <c r="C545" t="str">
        <f t="shared" si="25"/>
        <v>ffdfd3c0</v>
      </c>
      <c r="D545" t="s">
        <v>109</v>
      </c>
      <c r="E545">
        <v>4</v>
      </c>
      <c r="F545">
        <v>1004</v>
      </c>
      <c r="G545" t="s">
        <v>110</v>
      </c>
      <c r="J545" t="s">
        <v>111</v>
      </c>
      <c r="K545">
        <v>0</v>
      </c>
      <c r="L545">
        <v>3</v>
      </c>
      <c r="M545">
        <v>0</v>
      </c>
      <c r="N545">
        <v>2</v>
      </c>
      <c r="O545">
        <v>1</v>
      </c>
      <c r="P545">
        <v>0</v>
      </c>
      <c r="Q545">
        <v>0</v>
      </c>
      <c r="R545" t="s">
        <v>112</v>
      </c>
      <c r="S545" t="str">
        <f>"13:59:26.492"</f>
        <v>13:59:26.492</v>
      </c>
      <c r="T545" t="str">
        <f>"13:59:26.094"</f>
        <v>13:59:26.094</v>
      </c>
      <c r="U545" t="str">
        <f t="shared" si="24"/>
        <v>ad5732</v>
      </c>
      <c r="V545">
        <v>0</v>
      </c>
      <c r="W545">
        <v>0</v>
      </c>
      <c r="X545">
        <v>1</v>
      </c>
      <c r="Z545">
        <v>0</v>
      </c>
      <c r="AA545">
        <v>9</v>
      </c>
      <c r="AB545">
        <v>3</v>
      </c>
      <c r="AC545">
        <v>0</v>
      </c>
      <c r="AD545">
        <v>10</v>
      </c>
      <c r="AE545">
        <v>0</v>
      </c>
      <c r="AF545">
        <v>3</v>
      </c>
      <c r="AG545">
        <v>2</v>
      </c>
      <c r="AH545">
        <v>0</v>
      </c>
      <c r="AI545" t="s">
        <v>1187</v>
      </c>
      <c r="AJ545">
        <v>39.250630999999998</v>
      </c>
      <c r="AK545" t="s">
        <v>1188</v>
      </c>
      <c r="AL545">
        <v>-77.317121</v>
      </c>
      <c r="AM545">
        <v>100</v>
      </c>
      <c r="AN545">
        <v>8600</v>
      </c>
      <c r="AO545" t="s">
        <v>115</v>
      </c>
      <c r="AP545">
        <v>159</v>
      </c>
      <c r="AQ545">
        <v>58</v>
      </c>
      <c r="AR545">
        <v>256</v>
      </c>
      <c r="AZ545">
        <v>3614</v>
      </c>
      <c r="BA545">
        <v>1</v>
      </c>
      <c r="BB545" t="str">
        <f t="shared" si="26"/>
        <v xml:space="preserve">N959MJ  </v>
      </c>
      <c r="BC545">
        <v>1</v>
      </c>
      <c r="BE545">
        <v>0</v>
      </c>
      <c r="BF545">
        <v>0</v>
      </c>
      <c r="BG545">
        <v>0</v>
      </c>
      <c r="BH545">
        <v>8975</v>
      </c>
      <c r="BI545">
        <v>375</v>
      </c>
      <c r="BJ545">
        <v>1</v>
      </c>
      <c r="BK545">
        <v>1</v>
      </c>
      <c r="BL545">
        <v>1</v>
      </c>
      <c r="BM545">
        <v>0</v>
      </c>
      <c r="BP545">
        <v>0</v>
      </c>
      <c r="BQ545">
        <v>0</v>
      </c>
      <c r="BX545" t="str">
        <f>"13:59:26.500"</f>
        <v>13:59:26.500</v>
      </c>
      <c r="BY545" t="str">
        <f>"497276979"</f>
        <v>497276979</v>
      </c>
      <c r="CL545">
        <v>0</v>
      </c>
      <c r="CM545">
        <v>2</v>
      </c>
      <c r="CN545">
        <v>0</v>
      </c>
      <c r="CO545">
        <v>2</v>
      </c>
      <c r="CP545">
        <v>0</v>
      </c>
      <c r="CQ545">
        <v>7</v>
      </c>
      <c r="CR545" t="s">
        <v>116</v>
      </c>
      <c r="CS545">
        <v>147</v>
      </c>
      <c r="CT545">
        <v>3</v>
      </c>
      <c r="CU545" t="s">
        <v>117</v>
      </c>
      <c r="CV545" t="s">
        <v>118</v>
      </c>
      <c r="CY545">
        <v>16661738</v>
      </c>
      <c r="CZ545" t="s">
        <v>119</v>
      </c>
    </row>
    <row r="546" spans="1:104" x14ac:dyDescent="0.25">
      <c r="A546" t="str">
        <f>"13:59:27.813"</f>
        <v>13:59:27.813</v>
      </c>
      <c r="B546" t="s">
        <v>108</v>
      </c>
      <c r="C546" t="str">
        <f t="shared" si="25"/>
        <v>ffdfd3c0</v>
      </c>
      <c r="D546" t="s">
        <v>109</v>
      </c>
      <c r="E546">
        <v>4</v>
      </c>
      <c r="F546">
        <v>1004</v>
      </c>
      <c r="G546" t="s">
        <v>110</v>
      </c>
      <c r="J546" t="s">
        <v>111</v>
      </c>
      <c r="K546">
        <v>0</v>
      </c>
      <c r="L546">
        <v>3</v>
      </c>
      <c r="M546">
        <v>0</v>
      </c>
      <c r="N546">
        <v>2</v>
      </c>
      <c r="O546">
        <v>1</v>
      </c>
      <c r="P546">
        <v>0</v>
      </c>
      <c r="Q546">
        <v>0</v>
      </c>
      <c r="R546" t="s">
        <v>112</v>
      </c>
      <c r="S546" t="str">
        <f>"13:59:27.617"</f>
        <v>13:59:27.617</v>
      </c>
      <c r="T546" t="str">
        <f>"13:59:27.117"</f>
        <v>13:59:27.117</v>
      </c>
      <c r="U546" t="str">
        <f t="shared" si="24"/>
        <v>ad5732</v>
      </c>
      <c r="V546">
        <v>0</v>
      </c>
      <c r="W546">
        <v>0</v>
      </c>
      <c r="X546">
        <v>1</v>
      </c>
      <c r="Z546">
        <v>0</v>
      </c>
      <c r="AA546">
        <v>9</v>
      </c>
      <c r="AB546">
        <v>3</v>
      </c>
      <c r="AC546">
        <v>0</v>
      </c>
      <c r="AD546">
        <v>10</v>
      </c>
      <c r="AE546">
        <v>0</v>
      </c>
      <c r="AF546">
        <v>3</v>
      </c>
      <c r="AG546">
        <v>2</v>
      </c>
      <c r="AH546">
        <v>0</v>
      </c>
      <c r="AI546" t="s">
        <v>1189</v>
      </c>
      <c r="AJ546">
        <v>39.250889000000001</v>
      </c>
      <c r="AK546" t="s">
        <v>1190</v>
      </c>
      <c r="AL546">
        <v>-77.316047999999995</v>
      </c>
      <c r="AM546">
        <v>100</v>
      </c>
      <c r="AN546">
        <v>8700</v>
      </c>
      <c r="AO546" t="s">
        <v>115</v>
      </c>
      <c r="AP546">
        <v>160</v>
      </c>
      <c r="AQ546">
        <v>58</v>
      </c>
      <c r="AR546">
        <v>256</v>
      </c>
      <c r="AZ546">
        <v>3614</v>
      </c>
      <c r="BA546">
        <v>1</v>
      </c>
      <c r="BB546" t="str">
        <f t="shared" si="26"/>
        <v xml:space="preserve">N959MJ  </v>
      </c>
      <c r="BC546">
        <v>1</v>
      </c>
      <c r="BE546">
        <v>0</v>
      </c>
      <c r="BF546">
        <v>0</v>
      </c>
      <c r="BG546">
        <v>0</v>
      </c>
      <c r="BH546">
        <v>9000</v>
      </c>
      <c r="BI546">
        <v>300</v>
      </c>
      <c r="BJ546">
        <v>1</v>
      </c>
      <c r="BK546">
        <v>1</v>
      </c>
      <c r="BL546">
        <v>1</v>
      </c>
      <c r="BM546">
        <v>0</v>
      </c>
      <c r="BP546">
        <v>0</v>
      </c>
      <c r="BQ546">
        <v>0</v>
      </c>
      <c r="BX546" t="str">
        <f>"13:59:27.617"</f>
        <v>13:59:27.617</v>
      </c>
      <c r="BY546" t="str">
        <f>"617949979"</f>
        <v>617949979</v>
      </c>
      <c r="CL546">
        <v>0</v>
      </c>
      <c r="CM546">
        <v>2</v>
      </c>
      <c r="CN546">
        <v>0</v>
      </c>
      <c r="CO546">
        <v>2</v>
      </c>
      <c r="CP546">
        <v>0</v>
      </c>
      <c r="CQ546">
        <v>7</v>
      </c>
      <c r="CR546" t="s">
        <v>116</v>
      </c>
      <c r="CS546">
        <v>525</v>
      </c>
      <c r="CT546">
        <v>2</v>
      </c>
      <c r="CU546" t="s">
        <v>140</v>
      </c>
      <c r="CV546" t="s">
        <v>141</v>
      </c>
      <c r="CY546">
        <v>14385340</v>
      </c>
      <c r="CZ546" t="s">
        <v>119</v>
      </c>
    </row>
    <row r="547" spans="1:104" x14ac:dyDescent="0.25">
      <c r="A547" t="str">
        <f>"13:59:28.680"</f>
        <v>13:59:28.680</v>
      </c>
      <c r="B547" t="s">
        <v>108</v>
      </c>
      <c r="C547" t="str">
        <f t="shared" si="25"/>
        <v>ffdfd3c0</v>
      </c>
      <c r="D547" t="s">
        <v>109</v>
      </c>
      <c r="E547">
        <v>4</v>
      </c>
      <c r="F547">
        <v>1004</v>
      </c>
      <c r="G547" t="s">
        <v>110</v>
      </c>
      <c r="J547" t="s">
        <v>111</v>
      </c>
      <c r="K547">
        <v>0</v>
      </c>
      <c r="L547">
        <v>3</v>
      </c>
      <c r="M547">
        <v>0</v>
      </c>
      <c r="N547">
        <v>2</v>
      </c>
      <c r="O547">
        <v>1</v>
      </c>
      <c r="P547">
        <v>0</v>
      </c>
      <c r="Q547">
        <v>0</v>
      </c>
      <c r="R547" t="s">
        <v>112</v>
      </c>
      <c r="S547" t="str">
        <f>"13:59:28.523"</f>
        <v>13:59:28.523</v>
      </c>
      <c r="T547" t="str">
        <f>"13:59:28.125"</f>
        <v>13:59:28.125</v>
      </c>
      <c r="U547" t="str">
        <f t="shared" si="24"/>
        <v>ad5732</v>
      </c>
      <c r="V547">
        <v>0</v>
      </c>
      <c r="W547">
        <v>0</v>
      </c>
      <c r="X547">
        <v>1</v>
      </c>
      <c r="Z547">
        <v>0</v>
      </c>
      <c r="AA547">
        <v>9</v>
      </c>
      <c r="AB547">
        <v>3</v>
      </c>
      <c r="AC547">
        <v>0</v>
      </c>
      <c r="AD547">
        <v>10</v>
      </c>
      <c r="AE547">
        <v>0</v>
      </c>
      <c r="AF547">
        <v>3</v>
      </c>
      <c r="AG547">
        <v>2</v>
      </c>
      <c r="AH547">
        <v>0</v>
      </c>
      <c r="AI547" t="s">
        <v>1191</v>
      </c>
      <c r="AJ547">
        <v>39.251125000000002</v>
      </c>
      <c r="AK547" t="s">
        <v>1192</v>
      </c>
      <c r="AL547">
        <v>-77.315211000000005</v>
      </c>
      <c r="AM547">
        <v>100</v>
      </c>
      <c r="AN547">
        <v>8700</v>
      </c>
      <c r="AO547" t="s">
        <v>115</v>
      </c>
      <c r="AP547">
        <v>161</v>
      </c>
      <c r="AQ547">
        <v>57</v>
      </c>
      <c r="AR547">
        <v>320</v>
      </c>
      <c r="AZ547">
        <v>3614</v>
      </c>
      <c r="BA547">
        <v>1</v>
      </c>
      <c r="BB547" t="str">
        <f t="shared" si="26"/>
        <v xml:space="preserve">N959MJ  </v>
      </c>
      <c r="BC547">
        <v>1</v>
      </c>
      <c r="BE547">
        <v>0</v>
      </c>
      <c r="BF547">
        <v>0</v>
      </c>
      <c r="BG547">
        <v>0</v>
      </c>
      <c r="BH547">
        <v>9000</v>
      </c>
      <c r="BI547">
        <v>300</v>
      </c>
      <c r="BJ547">
        <v>1</v>
      </c>
      <c r="BK547">
        <v>1</v>
      </c>
      <c r="BL547">
        <v>1</v>
      </c>
      <c r="BM547">
        <v>0</v>
      </c>
      <c r="BP547">
        <v>0</v>
      </c>
      <c r="BQ547">
        <v>0</v>
      </c>
      <c r="BX547" t="str">
        <f>"13:59:28.523"</f>
        <v>13:59:28.523</v>
      </c>
      <c r="BY547" t="str">
        <f>"524010083"</f>
        <v>524010083</v>
      </c>
      <c r="CL547">
        <v>0</v>
      </c>
      <c r="CM547">
        <v>2</v>
      </c>
      <c r="CN547">
        <v>0</v>
      </c>
      <c r="CO547">
        <v>2</v>
      </c>
      <c r="CP547">
        <v>0</v>
      </c>
      <c r="CQ547">
        <v>7</v>
      </c>
      <c r="CR547" t="s">
        <v>116</v>
      </c>
      <c r="CS547">
        <v>147</v>
      </c>
      <c r="CT547">
        <v>3</v>
      </c>
      <c r="CU547" t="s">
        <v>117</v>
      </c>
      <c r="CV547" t="s">
        <v>118</v>
      </c>
      <c r="CY547">
        <v>16664932</v>
      </c>
      <c r="CZ547" t="s">
        <v>119</v>
      </c>
    </row>
    <row r="548" spans="1:104" x14ac:dyDescent="0.25">
      <c r="A548" t="str">
        <f>"13:59:29.734"</f>
        <v>13:59:29.734</v>
      </c>
      <c r="B548" t="s">
        <v>108</v>
      </c>
      <c r="C548" t="str">
        <f t="shared" si="25"/>
        <v>ffdfd3c0</v>
      </c>
      <c r="D548" t="s">
        <v>109</v>
      </c>
      <c r="E548">
        <v>4</v>
      </c>
      <c r="F548">
        <v>1004</v>
      </c>
      <c r="G548" t="s">
        <v>110</v>
      </c>
      <c r="J548" t="s">
        <v>111</v>
      </c>
      <c r="K548">
        <v>0</v>
      </c>
      <c r="L548">
        <v>3</v>
      </c>
      <c r="M548">
        <v>0</v>
      </c>
      <c r="N548">
        <v>2</v>
      </c>
      <c r="O548">
        <v>1</v>
      </c>
      <c r="P548">
        <v>0</v>
      </c>
      <c r="Q548">
        <v>0</v>
      </c>
      <c r="R548" t="s">
        <v>112</v>
      </c>
      <c r="S548" t="str">
        <f>"13:59:29.555"</f>
        <v>13:59:29.555</v>
      </c>
      <c r="T548" t="str">
        <f>"13:59:29.055"</f>
        <v>13:59:29.055</v>
      </c>
      <c r="U548" t="str">
        <f t="shared" si="24"/>
        <v>ad5732</v>
      </c>
      <c r="V548">
        <v>0</v>
      </c>
      <c r="W548">
        <v>0</v>
      </c>
      <c r="X548">
        <v>1</v>
      </c>
      <c r="Z548">
        <v>0</v>
      </c>
      <c r="AA548">
        <v>9</v>
      </c>
      <c r="AB548">
        <v>3</v>
      </c>
      <c r="AC548">
        <v>0</v>
      </c>
      <c r="AD548">
        <v>10</v>
      </c>
      <c r="AE548">
        <v>0</v>
      </c>
      <c r="AF548">
        <v>3</v>
      </c>
      <c r="AG548">
        <v>2</v>
      </c>
      <c r="AH548">
        <v>0</v>
      </c>
      <c r="AI548" t="s">
        <v>1193</v>
      </c>
      <c r="AJ548">
        <v>39.251404000000001</v>
      </c>
      <c r="AK548" t="s">
        <v>1194</v>
      </c>
      <c r="AL548">
        <v>-77.314245999999997</v>
      </c>
      <c r="AM548">
        <v>100</v>
      </c>
      <c r="AN548">
        <v>8700</v>
      </c>
      <c r="AO548" t="s">
        <v>115</v>
      </c>
      <c r="AP548">
        <v>162</v>
      </c>
      <c r="AQ548">
        <v>56</v>
      </c>
      <c r="AR548">
        <v>320</v>
      </c>
      <c r="AZ548">
        <v>3614</v>
      </c>
      <c r="BA548">
        <v>1</v>
      </c>
      <c r="BB548" t="str">
        <f t="shared" si="26"/>
        <v xml:space="preserve">N959MJ  </v>
      </c>
      <c r="BC548">
        <v>1</v>
      </c>
      <c r="BE548">
        <v>0</v>
      </c>
      <c r="BF548">
        <v>0</v>
      </c>
      <c r="BG548">
        <v>0</v>
      </c>
      <c r="BH548">
        <v>9000</v>
      </c>
      <c r="BI548">
        <v>300</v>
      </c>
      <c r="BJ548">
        <v>1</v>
      </c>
      <c r="BK548">
        <v>1</v>
      </c>
      <c r="BL548">
        <v>1</v>
      </c>
      <c r="BM548">
        <v>0</v>
      </c>
      <c r="BP548">
        <v>0</v>
      </c>
      <c r="BQ548">
        <v>0</v>
      </c>
      <c r="BX548" t="str">
        <f>"13:59:29.563"</f>
        <v>13:59:29.563</v>
      </c>
      <c r="BY548" t="str">
        <f>"559485189"</f>
        <v>559485189</v>
      </c>
      <c r="CL548">
        <v>0</v>
      </c>
      <c r="CM548">
        <v>2</v>
      </c>
      <c r="CN548">
        <v>0</v>
      </c>
      <c r="CO548">
        <v>2</v>
      </c>
      <c r="CP548">
        <v>0</v>
      </c>
      <c r="CQ548">
        <v>7</v>
      </c>
      <c r="CR548" t="s">
        <v>116</v>
      </c>
      <c r="CS548">
        <v>525</v>
      </c>
      <c r="CT548">
        <v>2</v>
      </c>
      <c r="CU548" t="s">
        <v>140</v>
      </c>
      <c r="CV548" t="s">
        <v>141</v>
      </c>
      <c r="CY548">
        <v>14388160</v>
      </c>
      <c r="CZ548" t="s">
        <v>119</v>
      </c>
    </row>
    <row r="549" spans="1:104" x14ac:dyDescent="0.25">
      <c r="A549" t="str">
        <f>"13:59:30.695"</f>
        <v>13:59:30.695</v>
      </c>
      <c r="B549" t="s">
        <v>108</v>
      </c>
      <c r="C549" t="str">
        <f t="shared" si="25"/>
        <v>ffdfd3c0</v>
      </c>
      <c r="D549" t="s">
        <v>109</v>
      </c>
      <c r="E549">
        <v>4</v>
      </c>
      <c r="F549">
        <v>1004</v>
      </c>
      <c r="G549" t="s">
        <v>110</v>
      </c>
      <c r="J549" t="s">
        <v>111</v>
      </c>
      <c r="K549">
        <v>0</v>
      </c>
      <c r="L549">
        <v>3</v>
      </c>
      <c r="M549">
        <v>0</v>
      </c>
      <c r="N549">
        <v>2</v>
      </c>
      <c r="O549">
        <v>1</v>
      </c>
      <c r="P549">
        <v>0</v>
      </c>
      <c r="Q549">
        <v>0</v>
      </c>
      <c r="R549" t="s">
        <v>112</v>
      </c>
      <c r="S549" t="str">
        <f>"13:59:30.492"</f>
        <v>13:59:30.492</v>
      </c>
      <c r="T549" t="str">
        <f>"13:59:30.195"</f>
        <v>13:59:30.195</v>
      </c>
      <c r="U549" t="str">
        <f t="shared" si="24"/>
        <v>ad5732</v>
      </c>
      <c r="V549">
        <v>0</v>
      </c>
      <c r="W549">
        <v>0</v>
      </c>
      <c r="X549">
        <v>1</v>
      </c>
      <c r="Z549">
        <v>0</v>
      </c>
      <c r="AA549">
        <v>9</v>
      </c>
      <c r="AB549">
        <v>3</v>
      </c>
      <c r="AC549">
        <v>0</v>
      </c>
      <c r="AD549">
        <v>10</v>
      </c>
      <c r="AE549">
        <v>0</v>
      </c>
      <c r="AF549">
        <v>3</v>
      </c>
      <c r="AG549">
        <v>2</v>
      </c>
      <c r="AH549">
        <v>0</v>
      </c>
      <c r="AI549" t="s">
        <v>1195</v>
      </c>
      <c r="AJ549">
        <v>39.251683</v>
      </c>
      <c r="AK549" t="s">
        <v>1196</v>
      </c>
      <c r="AL549">
        <v>-77.313237000000001</v>
      </c>
      <c r="AM549">
        <v>100</v>
      </c>
      <c r="AN549">
        <v>8700</v>
      </c>
      <c r="AO549" t="s">
        <v>115</v>
      </c>
      <c r="AP549">
        <v>163</v>
      </c>
      <c r="AQ549">
        <v>55</v>
      </c>
      <c r="AR549">
        <v>448</v>
      </c>
      <c r="AZ549">
        <v>3614</v>
      </c>
      <c r="BA549">
        <v>1</v>
      </c>
      <c r="BB549" t="str">
        <f t="shared" si="26"/>
        <v xml:space="preserve">N959MJ  </v>
      </c>
      <c r="BC549">
        <v>1</v>
      </c>
      <c r="BE549">
        <v>0</v>
      </c>
      <c r="BF549">
        <v>0</v>
      </c>
      <c r="BG549">
        <v>0</v>
      </c>
      <c r="BH549">
        <v>9000</v>
      </c>
      <c r="BI549">
        <v>300</v>
      </c>
      <c r="BJ549">
        <v>1</v>
      </c>
      <c r="BK549">
        <v>1</v>
      </c>
      <c r="BL549">
        <v>1</v>
      </c>
      <c r="BM549">
        <v>0</v>
      </c>
      <c r="BP549">
        <v>0</v>
      </c>
      <c r="BQ549">
        <v>0</v>
      </c>
      <c r="BX549" t="str">
        <f>"13:59:30.500"</f>
        <v>13:59:30.500</v>
      </c>
      <c r="BY549" t="str">
        <f>"496664913"</f>
        <v>496664913</v>
      </c>
      <c r="CL549">
        <v>0</v>
      </c>
      <c r="CM549">
        <v>2</v>
      </c>
      <c r="CN549">
        <v>0</v>
      </c>
      <c r="CO549">
        <v>2</v>
      </c>
      <c r="CP549">
        <v>0</v>
      </c>
      <c r="CQ549">
        <v>7</v>
      </c>
      <c r="CR549" t="s">
        <v>116</v>
      </c>
      <c r="CS549">
        <v>525</v>
      </c>
      <c r="CT549">
        <v>2</v>
      </c>
      <c r="CU549" t="s">
        <v>140</v>
      </c>
      <c r="CV549" t="s">
        <v>141</v>
      </c>
      <c r="CY549">
        <v>14389571</v>
      </c>
      <c r="CZ549" t="s">
        <v>119</v>
      </c>
    </row>
    <row r="550" spans="1:104" x14ac:dyDescent="0.25">
      <c r="A550" t="str">
        <f>"13:59:31.648"</f>
        <v>13:59:31.648</v>
      </c>
      <c r="B550" t="s">
        <v>108</v>
      </c>
      <c r="C550" t="str">
        <f t="shared" si="25"/>
        <v>ffdfd3c0</v>
      </c>
      <c r="D550" t="s">
        <v>109</v>
      </c>
      <c r="E550">
        <v>4</v>
      </c>
      <c r="F550">
        <v>1004</v>
      </c>
      <c r="G550" t="s">
        <v>110</v>
      </c>
      <c r="J550" t="s">
        <v>111</v>
      </c>
      <c r="K550">
        <v>0</v>
      </c>
      <c r="L550">
        <v>3</v>
      </c>
      <c r="M550">
        <v>0</v>
      </c>
      <c r="N550">
        <v>2</v>
      </c>
      <c r="O550">
        <v>1</v>
      </c>
      <c r="P550">
        <v>0</v>
      </c>
      <c r="Q550">
        <v>0</v>
      </c>
      <c r="R550" t="s">
        <v>112</v>
      </c>
      <c r="S550" t="str">
        <f>"13:59:31.453"</f>
        <v>13:59:31.453</v>
      </c>
      <c r="T550" t="str">
        <f>"13:59:31.055"</f>
        <v>13:59:31.055</v>
      </c>
      <c r="U550" t="str">
        <f t="shared" si="24"/>
        <v>ad5732</v>
      </c>
      <c r="V550">
        <v>0</v>
      </c>
      <c r="W550">
        <v>0</v>
      </c>
      <c r="X550">
        <v>1</v>
      </c>
      <c r="Z550">
        <v>0</v>
      </c>
      <c r="AA550">
        <v>9</v>
      </c>
      <c r="AB550">
        <v>3</v>
      </c>
      <c r="AC550">
        <v>0</v>
      </c>
      <c r="AD550">
        <v>10</v>
      </c>
      <c r="AE550">
        <v>0</v>
      </c>
      <c r="AF550">
        <v>3</v>
      </c>
      <c r="AG550">
        <v>2</v>
      </c>
      <c r="AH550">
        <v>0</v>
      </c>
      <c r="AI550" t="s">
        <v>1197</v>
      </c>
      <c r="AJ550">
        <v>39.251876000000003</v>
      </c>
      <c r="AK550" t="s">
        <v>1198</v>
      </c>
      <c r="AL550">
        <v>-77.312379000000007</v>
      </c>
      <c r="AM550">
        <v>100</v>
      </c>
      <c r="AN550">
        <v>8700</v>
      </c>
      <c r="AO550" t="s">
        <v>115</v>
      </c>
      <c r="AP550">
        <v>163</v>
      </c>
      <c r="AQ550">
        <v>55</v>
      </c>
      <c r="AR550">
        <v>512</v>
      </c>
      <c r="AZ550">
        <v>3614</v>
      </c>
      <c r="BA550">
        <v>1</v>
      </c>
      <c r="BB550" t="str">
        <f t="shared" si="26"/>
        <v xml:space="preserve">N959MJ  </v>
      </c>
      <c r="BC550">
        <v>1</v>
      </c>
      <c r="BE550">
        <v>0</v>
      </c>
      <c r="BF550">
        <v>0</v>
      </c>
      <c r="BG550">
        <v>0</v>
      </c>
      <c r="BH550">
        <v>9025</v>
      </c>
      <c r="BI550">
        <v>325</v>
      </c>
      <c r="BJ550">
        <v>1</v>
      </c>
      <c r="BK550">
        <v>1</v>
      </c>
      <c r="BL550">
        <v>1</v>
      </c>
      <c r="BM550">
        <v>0</v>
      </c>
      <c r="BP550">
        <v>0</v>
      </c>
      <c r="BQ550">
        <v>0</v>
      </c>
      <c r="BX550" t="str">
        <f>"13:59:31.461"</f>
        <v>13:59:31.461</v>
      </c>
      <c r="BY550" t="str">
        <f>"460059649"</f>
        <v>460059649</v>
      </c>
      <c r="CL550">
        <v>0</v>
      </c>
      <c r="CM550">
        <v>2</v>
      </c>
      <c r="CN550">
        <v>0</v>
      </c>
      <c r="CO550">
        <v>2</v>
      </c>
      <c r="CP550">
        <v>0</v>
      </c>
      <c r="CQ550">
        <v>7</v>
      </c>
      <c r="CR550" t="s">
        <v>116</v>
      </c>
      <c r="CS550">
        <v>525</v>
      </c>
      <c r="CT550">
        <v>2</v>
      </c>
      <c r="CU550" t="s">
        <v>140</v>
      </c>
      <c r="CV550" t="s">
        <v>141</v>
      </c>
      <c r="CY550">
        <v>14390919</v>
      </c>
      <c r="CZ550" t="s">
        <v>119</v>
      </c>
    </row>
    <row r="551" spans="1:104" x14ac:dyDescent="0.25">
      <c r="A551" t="str">
        <f>"13:59:32.563"</f>
        <v>13:59:32.563</v>
      </c>
      <c r="B551" t="s">
        <v>108</v>
      </c>
      <c r="C551" t="str">
        <f t="shared" si="25"/>
        <v>ffdfd3c0</v>
      </c>
      <c r="D551" t="s">
        <v>109</v>
      </c>
      <c r="E551">
        <v>4</v>
      </c>
      <c r="F551">
        <v>1004</v>
      </c>
      <c r="G551" t="s">
        <v>110</v>
      </c>
      <c r="J551" t="s">
        <v>111</v>
      </c>
      <c r="K551">
        <v>0</v>
      </c>
      <c r="L551">
        <v>3</v>
      </c>
      <c r="M551">
        <v>0</v>
      </c>
      <c r="N551">
        <v>2</v>
      </c>
      <c r="O551">
        <v>1</v>
      </c>
      <c r="P551">
        <v>0</v>
      </c>
      <c r="Q551">
        <v>0</v>
      </c>
      <c r="R551" t="s">
        <v>112</v>
      </c>
      <c r="S551" t="str">
        <f>"13:59:32.375"</f>
        <v>13:59:32.375</v>
      </c>
      <c r="T551" t="str">
        <f>"13:59:31.977"</f>
        <v>13:59:31.977</v>
      </c>
      <c r="U551" t="str">
        <f t="shared" si="24"/>
        <v>ad5732</v>
      </c>
      <c r="V551">
        <v>0</v>
      </c>
      <c r="W551">
        <v>0</v>
      </c>
      <c r="X551">
        <v>1</v>
      </c>
      <c r="Z551">
        <v>0</v>
      </c>
      <c r="AA551">
        <v>9</v>
      </c>
      <c r="AB551">
        <v>3</v>
      </c>
      <c r="AC551">
        <v>0</v>
      </c>
      <c r="AD551">
        <v>10</v>
      </c>
      <c r="AE551">
        <v>0</v>
      </c>
      <c r="AF551">
        <v>3</v>
      </c>
      <c r="AG551">
        <v>2</v>
      </c>
      <c r="AH551">
        <v>0</v>
      </c>
      <c r="AI551" t="s">
        <v>1199</v>
      </c>
      <c r="AJ551">
        <v>39.252155000000002</v>
      </c>
      <c r="AK551" t="s">
        <v>1200</v>
      </c>
      <c r="AL551">
        <v>-77.311391999999998</v>
      </c>
      <c r="AM551">
        <v>100</v>
      </c>
      <c r="AN551">
        <v>8700</v>
      </c>
      <c r="AO551" t="s">
        <v>115</v>
      </c>
      <c r="AP551">
        <v>163</v>
      </c>
      <c r="AQ551">
        <v>54</v>
      </c>
      <c r="AR551">
        <v>512</v>
      </c>
      <c r="AZ551">
        <v>3614</v>
      </c>
      <c r="BA551">
        <v>1</v>
      </c>
      <c r="BB551" t="str">
        <f t="shared" si="26"/>
        <v xml:space="preserve">N959MJ  </v>
      </c>
      <c r="BC551">
        <v>1</v>
      </c>
      <c r="BE551">
        <v>0</v>
      </c>
      <c r="BF551">
        <v>0</v>
      </c>
      <c r="BG551">
        <v>0</v>
      </c>
      <c r="BH551">
        <v>9025</v>
      </c>
      <c r="BI551">
        <v>325</v>
      </c>
      <c r="BJ551">
        <v>1</v>
      </c>
      <c r="BK551">
        <v>1</v>
      </c>
      <c r="BL551">
        <v>1</v>
      </c>
      <c r="BM551">
        <v>0</v>
      </c>
      <c r="BP551">
        <v>0</v>
      </c>
      <c r="BQ551">
        <v>0</v>
      </c>
      <c r="BX551" t="str">
        <f>"13:59:32.383"</f>
        <v>13:59:32.383</v>
      </c>
      <c r="BY551" t="str">
        <f>"382503533"</f>
        <v>382503533</v>
      </c>
      <c r="CL551">
        <v>0</v>
      </c>
      <c r="CM551">
        <v>2</v>
      </c>
      <c r="CN551">
        <v>0</v>
      </c>
      <c r="CO551">
        <v>2</v>
      </c>
      <c r="CP551">
        <v>0</v>
      </c>
      <c r="CQ551">
        <v>7</v>
      </c>
      <c r="CR551" t="s">
        <v>116</v>
      </c>
      <c r="CS551">
        <v>147</v>
      </c>
      <c r="CT551">
        <v>3</v>
      </c>
      <c r="CU551" t="s">
        <v>117</v>
      </c>
      <c r="CV551" t="s">
        <v>118</v>
      </c>
      <c r="CY551">
        <v>16671090</v>
      </c>
      <c r="CZ551" t="s">
        <v>119</v>
      </c>
    </row>
    <row r="552" spans="1:104" x14ac:dyDescent="0.25">
      <c r="A552" t="str">
        <f>"13:59:33.523"</f>
        <v>13:59:33.523</v>
      </c>
      <c r="B552" t="s">
        <v>108</v>
      </c>
      <c r="C552" t="str">
        <f t="shared" si="25"/>
        <v>ffdfd3c0</v>
      </c>
      <c r="D552" t="s">
        <v>109</v>
      </c>
      <c r="E552">
        <v>4</v>
      </c>
      <c r="F552">
        <v>1004</v>
      </c>
      <c r="G552" t="s">
        <v>110</v>
      </c>
      <c r="J552" t="s">
        <v>111</v>
      </c>
      <c r="K552">
        <v>0</v>
      </c>
      <c r="L552">
        <v>3</v>
      </c>
      <c r="M552">
        <v>0</v>
      </c>
      <c r="N552">
        <v>2</v>
      </c>
      <c r="O552">
        <v>1</v>
      </c>
      <c r="P552">
        <v>0</v>
      </c>
      <c r="Q552">
        <v>0</v>
      </c>
      <c r="R552" t="s">
        <v>112</v>
      </c>
      <c r="S552" t="str">
        <f>"13:59:33.328"</f>
        <v>13:59:33.328</v>
      </c>
      <c r="T552" t="str">
        <f>"13:59:32.930"</f>
        <v>13:59:32.930</v>
      </c>
      <c r="U552" t="str">
        <f t="shared" si="24"/>
        <v>ad5732</v>
      </c>
      <c r="V552">
        <v>0</v>
      </c>
      <c r="W552">
        <v>0</v>
      </c>
      <c r="X552">
        <v>1</v>
      </c>
      <c r="Z552">
        <v>0</v>
      </c>
      <c r="AA552">
        <v>9</v>
      </c>
      <c r="AB552">
        <v>3</v>
      </c>
      <c r="AC552">
        <v>0</v>
      </c>
      <c r="AD552">
        <v>10</v>
      </c>
      <c r="AE552">
        <v>0</v>
      </c>
      <c r="AF552">
        <v>3</v>
      </c>
      <c r="AG552">
        <v>2</v>
      </c>
      <c r="AH552">
        <v>0</v>
      </c>
      <c r="AI552" t="s">
        <v>1201</v>
      </c>
      <c r="AJ552">
        <v>39.252369000000002</v>
      </c>
      <c r="AK552" t="s">
        <v>1202</v>
      </c>
      <c r="AL552">
        <v>-77.310554999999994</v>
      </c>
      <c r="AM552">
        <v>100</v>
      </c>
      <c r="AN552">
        <v>8700</v>
      </c>
      <c r="AO552" t="s">
        <v>115</v>
      </c>
      <c r="AP552">
        <v>164</v>
      </c>
      <c r="AQ552">
        <v>54</v>
      </c>
      <c r="AR552">
        <v>320</v>
      </c>
      <c r="AZ552">
        <v>3614</v>
      </c>
      <c r="BA552">
        <v>1</v>
      </c>
      <c r="BB552" t="str">
        <f t="shared" si="26"/>
        <v xml:space="preserve">N959MJ  </v>
      </c>
      <c r="BC552">
        <v>1</v>
      </c>
      <c r="BE552">
        <v>0</v>
      </c>
      <c r="BF552">
        <v>0</v>
      </c>
      <c r="BG552">
        <v>0</v>
      </c>
      <c r="BH552">
        <v>9025</v>
      </c>
      <c r="BI552">
        <v>325</v>
      </c>
      <c r="BJ552">
        <v>1</v>
      </c>
      <c r="BK552">
        <v>1</v>
      </c>
      <c r="BL552">
        <v>1</v>
      </c>
      <c r="BM552">
        <v>0</v>
      </c>
      <c r="BP552">
        <v>0</v>
      </c>
      <c r="BQ552">
        <v>0</v>
      </c>
      <c r="BX552" t="str">
        <f>"13:59:33.328"</f>
        <v>13:59:33.328</v>
      </c>
      <c r="BY552" t="str">
        <f>"331142359"</f>
        <v>331142359</v>
      </c>
      <c r="CL552">
        <v>0</v>
      </c>
      <c r="CM552">
        <v>2</v>
      </c>
      <c r="CN552">
        <v>0</v>
      </c>
      <c r="CO552">
        <v>2</v>
      </c>
      <c r="CP552">
        <v>0</v>
      </c>
      <c r="CQ552">
        <v>7</v>
      </c>
      <c r="CR552" t="s">
        <v>116</v>
      </c>
      <c r="CS552">
        <v>525</v>
      </c>
      <c r="CT552">
        <v>2</v>
      </c>
      <c r="CU552" t="s">
        <v>140</v>
      </c>
      <c r="CV552" t="s">
        <v>141</v>
      </c>
      <c r="CY552">
        <v>14393704</v>
      </c>
      <c r="CZ552" t="s">
        <v>119</v>
      </c>
    </row>
    <row r="553" spans="1:104" x14ac:dyDescent="0.25">
      <c r="A553" t="str">
        <f>"13:59:34.477"</f>
        <v>13:59:34.477</v>
      </c>
      <c r="B553" t="s">
        <v>108</v>
      </c>
      <c r="C553" t="str">
        <f t="shared" si="25"/>
        <v>ffdfd3c0</v>
      </c>
      <c r="D553" t="s">
        <v>109</v>
      </c>
      <c r="E553">
        <v>4</v>
      </c>
      <c r="F553">
        <v>1004</v>
      </c>
      <c r="G553" t="s">
        <v>110</v>
      </c>
      <c r="J553" t="s">
        <v>111</v>
      </c>
      <c r="K553">
        <v>0</v>
      </c>
      <c r="L553">
        <v>3</v>
      </c>
      <c r="M553">
        <v>0</v>
      </c>
      <c r="N553">
        <v>2</v>
      </c>
      <c r="O553">
        <v>1</v>
      </c>
      <c r="P553">
        <v>0</v>
      </c>
      <c r="Q553">
        <v>0</v>
      </c>
      <c r="R553" t="s">
        <v>112</v>
      </c>
      <c r="S553" t="str">
        <f>"13:59:34.289"</f>
        <v>13:59:34.289</v>
      </c>
      <c r="T553" t="str">
        <f>"13:59:33.891"</f>
        <v>13:59:33.891</v>
      </c>
      <c r="U553" t="str">
        <f t="shared" si="24"/>
        <v>ad5732</v>
      </c>
      <c r="V553">
        <v>0</v>
      </c>
      <c r="W553">
        <v>0</v>
      </c>
      <c r="X553">
        <v>1</v>
      </c>
      <c r="Z553">
        <v>0</v>
      </c>
      <c r="AA553">
        <v>9</v>
      </c>
      <c r="AB553">
        <v>3</v>
      </c>
      <c r="AC553">
        <v>0</v>
      </c>
      <c r="AD553">
        <v>10</v>
      </c>
      <c r="AE553">
        <v>0</v>
      </c>
      <c r="AF553">
        <v>3</v>
      </c>
      <c r="AG553">
        <v>2</v>
      </c>
      <c r="AH553">
        <v>0</v>
      </c>
      <c r="AI553" t="s">
        <v>1203</v>
      </c>
      <c r="AJ553">
        <v>39.252648000000001</v>
      </c>
      <c r="AK553" t="s">
        <v>1204</v>
      </c>
      <c r="AL553">
        <v>-77.309545999999997</v>
      </c>
      <c r="AM553">
        <v>100</v>
      </c>
      <c r="AN553">
        <v>8700</v>
      </c>
      <c r="AO553" t="s">
        <v>115</v>
      </c>
      <c r="AP553">
        <v>165</v>
      </c>
      <c r="AQ553">
        <v>55</v>
      </c>
      <c r="AR553">
        <v>192</v>
      </c>
      <c r="AZ553">
        <v>3614</v>
      </c>
      <c r="BA553">
        <v>1</v>
      </c>
      <c r="BB553" t="str">
        <f t="shared" si="26"/>
        <v xml:space="preserve">N959MJ  </v>
      </c>
      <c r="BC553">
        <v>1</v>
      </c>
      <c r="BE553">
        <v>0</v>
      </c>
      <c r="BF553">
        <v>0</v>
      </c>
      <c r="BG553">
        <v>0</v>
      </c>
      <c r="BH553">
        <v>9025</v>
      </c>
      <c r="BI553">
        <v>325</v>
      </c>
      <c r="BJ553">
        <v>1</v>
      </c>
      <c r="BK553">
        <v>1</v>
      </c>
      <c r="BL553">
        <v>1</v>
      </c>
      <c r="BM553">
        <v>0</v>
      </c>
      <c r="BP553">
        <v>0</v>
      </c>
      <c r="BQ553">
        <v>0</v>
      </c>
      <c r="BX553" t="str">
        <f>"13:59:34.289"</f>
        <v>13:59:34.289</v>
      </c>
      <c r="BY553" t="str">
        <f>"289631529"</f>
        <v>289631529</v>
      </c>
      <c r="CL553">
        <v>0</v>
      </c>
      <c r="CM553">
        <v>2</v>
      </c>
      <c r="CN553">
        <v>0</v>
      </c>
      <c r="CO553">
        <v>2</v>
      </c>
      <c r="CP553">
        <v>0</v>
      </c>
      <c r="CQ553">
        <v>7</v>
      </c>
      <c r="CR553" t="s">
        <v>116</v>
      </c>
      <c r="CS553">
        <v>147</v>
      </c>
      <c r="CT553">
        <v>3</v>
      </c>
      <c r="CU553" t="s">
        <v>117</v>
      </c>
      <c r="CV553" t="s">
        <v>118</v>
      </c>
      <c r="CY553">
        <v>16674123</v>
      </c>
      <c r="CZ553" t="s">
        <v>119</v>
      </c>
    </row>
    <row r="554" spans="1:104" x14ac:dyDescent="0.25">
      <c r="A554" t="str">
        <f>"13:59:35.539"</f>
        <v>13:59:35.539</v>
      </c>
      <c r="B554" t="s">
        <v>108</v>
      </c>
      <c r="C554" t="str">
        <f t="shared" si="25"/>
        <v>ffdfd3c0</v>
      </c>
      <c r="D554" t="s">
        <v>109</v>
      </c>
      <c r="E554">
        <v>4</v>
      </c>
      <c r="F554">
        <v>1004</v>
      </c>
      <c r="G554" t="s">
        <v>110</v>
      </c>
      <c r="J554" t="s">
        <v>111</v>
      </c>
      <c r="K554">
        <v>0</v>
      </c>
      <c r="L554">
        <v>3</v>
      </c>
      <c r="M554">
        <v>0</v>
      </c>
      <c r="N554">
        <v>2</v>
      </c>
      <c r="O554">
        <v>1</v>
      </c>
      <c r="P554">
        <v>0</v>
      </c>
      <c r="Q554">
        <v>0</v>
      </c>
      <c r="R554" t="s">
        <v>112</v>
      </c>
      <c r="S554" t="str">
        <f>"13:59:35.367"</f>
        <v>13:59:35.367</v>
      </c>
      <c r="T554" t="str">
        <f>"13:59:34.867"</f>
        <v>13:59:34.867</v>
      </c>
      <c r="U554" t="str">
        <f t="shared" si="24"/>
        <v>ad5732</v>
      </c>
      <c r="V554">
        <v>0</v>
      </c>
      <c r="W554">
        <v>0</v>
      </c>
      <c r="X554">
        <v>1</v>
      </c>
      <c r="Z554">
        <v>0</v>
      </c>
      <c r="AA554">
        <v>9</v>
      </c>
      <c r="AB554">
        <v>3</v>
      </c>
      <c r="AC554">
        <v>0</v>
      </c>
      <c r="AD554">
        <v>10</v>
      </c>
      <c r="AE554">
        <v>0</v>
      </c>
      <c r="AF554">
        <v>3</v>
      </c>
      <c r="AG554">
        <v>2</v>
      </c>
      <c r="AH554">
        <v>0</v>
      </c>
      <c r="AI554" t="s">
        <v>1205</v>
      </c>
      <c r="AJ554">
        <v>39.252862999999998</v>
      </c>
      <c r="AK554" t="s">
        <v>1206</v>
      </c>
      <c r="AL554">
        <v>-77.308581000000004</v>
      </c>
      <c r="AM554">
        <v>100</v>
      </c>
      <c r="AN554">
        <v>8700</v>
      </c>
      <c r="AO554" t="s">
        <v>115</v>
      </c>
      <c r="AP554">
        <v>166</v>
      </c>
      <c r="AQ554">
        <v>55</v>
      </c>
      <c r="AR554">
        <v>64</v>
      </c>
      <c r="AZ554">
        <v>3614</v>
      </c>
      <c r="BA554">
        <v>1</v>
      </c>
      <c r="BB554" t="str">
        <f t="shared" si="26"/>
        <v xml:space="preserve">N959MJ  </v>
      </c>
      <c r="BC554">
        <v>1</v>
      </c>
      <c r="BE554">
        <v>0</v>
      </c>
      <c r="BF554">
        <v>0</v>
      </c>
      <c r="BG554">
        <v>0</v>
      </c>
      <c r="BH554">
        <v>9025</v>
      </c>
      <c r="BI554">
        <v>325</v>
      </c>
      <c r="BJ554">
        <v>1</v>
      </c>
      <c r="BK554">
        <v>1</v>
      </c>
      <c r="BL554">
        <v>1</v>
      </c>
      <c r="BM554">
        <v>0</v>
      </c>
      <c r="BP554">
        <v>0</v>
      </c>
      <c r="BQ554">
        <v>0</v>
      </c>
      <c r="BX554" t="str">
        <f>"13:59:35.367"</f>
        <v>13:59:35.367</v>
      </c>
      <c r="BY554" t="str">
        <f>"370992772"</f>
        <v>370992772</v>
      </c>
      <c r="CL554">
        <v>0</v>
      </c>
      <c r="CM554">
        <v>2</v>
      </c>
      <c r="CN554">
        <v>0</v>
      </c>
      <c r="CO554">
        <v>2</v>
      </c>
      <c r="CP554">
        <v>0</v>
      </c>
      <c r="CQ554">
        <v>7</v>
      </c>
      <c r="CR554" t="s">
        <v>116</v>
      </c>
      <c r="CS554">
        <v>147</v>
      </c>
      <c r="CT554">
        <v>3</v>
      </c>
      <c r="CU554" t="s">
        <v>117</v>
      </c>
      <c r="CV554" t="s">
        <v>118</v>
      </c>
      <c r="CY554">
        <v>16675973</v>
      </c>
      <c r="CZ554" t="s">
        <v>119</v>
      </c>
    </row>
    <row r="555" spans="1:104" x14ac:dyDescent="0.25">
      <c r="A555" t="str">
        <f>"13:59:36.445"</f>
        <v>13:59:36.445</v>
      </c>
      <c r="B555" t="s">
        <v>108</v>
      </c>
      <c r="C555" t="str">
        <f t="shared" si="25"/>
        <v>ffdfd3c0</v>
      </c>
      <c r="D555" t="s">
        <v>109</v>
      </c>
      <c r="E555">
        <v>4</v>
      </c>
      <c r="F555">
        <v>1004</v>
      </c>
      <c r="G555" t="s">
        <v>110</v>
      </c>
      <c r="J555" t="s">
        <v>111</v>
      </c>
      <c r="K555">
        <v>0</v>
      </c>
      <c r="L555">
        <v>3</v>
      </c>
      <c r="M555">
        <v>0</v>
      </c>
      <c r="N555">
        <v>2</v>
      </c>
      <c r="O555">
        <v>1</v>
      </c>
      <c r="P555">
        <v>0</v>
      </c>
      <c r="Q555">
        <v>0</v>
      </c>
      <c r="R555" t="s">
        <v>112</v>
      </c>
      <c r="S555" t="str">
        <f>"13:59:36.297"</f>
        <v>13:59:36.297</v>
      </c>
      <c r="T555" t="str">
        <f>"13:59:35.898"</f>
        <v>13:59:35.898</v>
      </c>
      <c r="U555" t="str">
        <f t="shared" si="24"/>
        <v>ad5732</v>
      </c>
      <c r="V555">
        <v>0</v>
      </c>
      <c r="W555">
        <v>0</v>
      </c>
      <c r="X555">
        <v>1</v>
      </c>
      <c r="Z555">
        <v>0</v>
      </c>
      <c r="AA555">
        <v>9</v>
      </c>
      <c r="AB555">
        <v>3</v>
      </c>
      <c r="AC555">
        <v>0</v>
      </c>
      <c r="AD555">
        <v>10</v>
      </c>
      <c r="AE555">
        <v>0</v>
      </c>
      <c r="AF555">
        <v>3</v>
      </c>
      <c r="AG555">
        <v>2</v>
      </c>
      <c r="AH555">
        <v>0</v>
      </c>
      <c r="AI555" t="s">
        <v>1207</v>
      </c>
      <c r="AJ555">
        <v>39.253141999999997</v>
      </c>
      <c r="AK555" t="s">
        <v>1208</v>
      </c>
      <c r="AL555">
        <v>-77.307571999999993</v>
      </c>
      <c r="AM555">
        <v>100</v>
      </c>
      <c r="AN555">
        <v>8700</v>
      </c>
      <c r="AO555" t="s">
        <v>115</v>
      </c>
      <c r="AP555">
        <v>166</v>
      </c>
      <c r="AQ555">
        <v>55</v>
      </c>
      <c r="AR555">
        <v>0</v>
      </c>
      <c r="AZ555">
        <v>3614</v>
      </c>
      <c r="BA555">
        <v>1</v>
      </c>
      <c r="BB555" t="str">
        <f t="shared" si="26"/>
        <v xml:space="preserve">N959MJ  </v>
      </c>
      <c r="BC555">
        <v>1</v>
      </c>
      <c r="BE555">
        <v>0</v>
      </c>
      <c r="BF555">
        <v>0</v>
      </c>
      <c r="BG555">
        <v>0</v>
      </c>
      <c r="BH555">
        <v>9025</v>
      </c>
      <c r="BI555">
        <v>325</v>
      </c>
      <c r="BJ555">
        <v>1</v>
      </c>
      <c r="BK555">
        <v>1</v>
      </c>
      <c r="BL555">
        <v>1</v>
      </c>
      <c r="BM555">
        <v>0</v>
      </c>
      <c r="BP555">
        <v>0</v>
      </c>
      <c r="BQ555">
        <v>0</v>
      </c>
      <c r="BX555" t="str">
        <f>"13:59:36.305"</f>
        <v>13:59:36.305</v>
      </c>
      <c r="BY555" t="str">
        <f>"301609181"</f>
        <v>301609181</v>
      </c>
      <c r="CL555">
        <v>0</v>
      </c>
      <c r="CM555">
        <v>2</v>
      </c>
      <c r="CN555">
        <v>0</v>
      </c>
      <c r="CO555">
        <v>2</v>
      </c>
      <c r="CP555">
        <v>0</v>
      </c>
      <c r="CQ555">
        <v>7</v>
      </c>
      <c r="CR555" t="s">
        <v>116</v>
      </c>
      <c r="CS555">
        <v>525</v>
      </c>
      <c r="CT555">
        <v>1</v>
      </c>
      <c r="CU555" t="s">
        <v>140</v>
      </c>
      <c r="CV555" t="s">
        <v>141</v>
      </c>
      <c r="CY555">
        <v>7982132</v>
      </c>
      <c r="CZ555" t="s">
        <v>119</v>
      </c>
    </row>
    <row r="556" spans="1:104" x14ac:dyDescent="0.25">
      <c r="A556" t="str">
        <f>"13:59:37.555"</f>
        <v>13:59:37.555</v>
      </c>
      <c r="B556" t="s">
        <v>108</v>
      </c>
      <c r="C556" t="str">
        <f t="shared" si="25"/>
        <v>ffdfd3c0</v>
      </c>
      <c r="D556" t="s">
        <v>109</v>
      </c>
      <c r="E556">
        <v>4</v>
      </c>
      <c r="F556">
        <v>1004</v>
      </c>
      <c r="G556" t="s">
        <v>110</v>
      </c>
      <c r="J556" t="s">
        <v>111</v>
      </c>
      <c r="K556">
        <v>0</v>
      </c>
      <c r="L556">
        <v>3</v>
      </c>
      <c r="M556">
        <v>0</v>
      </c>
      <c r="N556">
        <v>2</v>
      </c>
      <c r="O556">
        <v>1</v>
      </c>
      <c r="P556">
        <v>0</v>
      </c>
      <c r="Q556">
        <v>0</v>
      </c>
      <c r="R556" t="s">
        <v>112</v>
      </c>
      <c r="S556" t="str">
        <f>"13:59:37.406"</f>
        <v>13:59:37.406</v>
      </c>
      <c r="T556" t="str">
        <f>"13:59:36.906"</f>
        <v>13:59:36.906</v>
      </c>
      <c r="U556" t="str">
        <f t="shared" si="24"/>
        <v>ad5732</v>
      </c>
      <c r="V556">
        <v>0</v>
      </c>
      <c r="W556">
        <v>0</v>
      </c>
      <c r="X556">
        <v>1</v>
      </c>
      <c r="Z556">
        <v>0</v>
      </c>
      <c r="AA556">
        <v>9</v>
      </c>
      <c r="AB556">
        <v>3</v>
      </c>
      <c r="AC556">
        <v>0</v>
      </c>
      <c r="AD556">
        <v>10</v>
      </c>
      <c r="AE556">
        <v>0</v>
      </c>
      <c r="AF556">
        <v>3</v>
      </c>
      <c r="AG556">
        <v>2</v>
      </c>
      <c r="AH556">
        <v>0</v>
      </c>
      <c r="AI556" t="s">
        <v>1209</v>
      </c>
      <c r="AJ556">
        <v>39.253399000000002</v>
      </c>
      <c r="AK556" t="s">
        <v>1210</v>
      </c>
      <c r="AL556">
        <v>-77.306456999999995</v>
      </c>
      <c r="AM556">
        <v>100</v>
      </c>
      <c r="AN556">
        <v>8700</v>
      </c>
      <c r="AO556" t="s">
        <v>115</v>
      </c>
      <c r="AP556">
        <v>167</v>
      </c>
      <c r="AQ556">
        <v>55</v>
      </c>
      <c r="AR556">
        <v>0</v>
      </c>
      <c r="AZ556">
        <v>3614</v>
      </c>
      <c r="BA556">
        <v>1</v>
      </c>
      <c r="BB556" t="str">
        <f t="shared" si="26"/>
        <v xml:space="preserve">N959MJ  </v>
      </c>
      <c r="BC556">
        <v>1</v>
      </c>
      <c r="BE556">
        <v>0</v>
      </c>
      <c r="BF556">
        <v>0</v>
      </c>
      <c r="BG556">
        <v>0</v>
      </c>
      <c r="BH556">
        <v>9025</v>
      </c>
      <c r="BI556">
        <v>325</v>
      </c>
      <c r="BJ556">
        <v>1</v>
      </c>
      <c r="BK556">
        <v>1</v>
      </c>
      <c r="BL556">
        <v>1</v>
      </c>
      <c r="BM556">
        <v>0</v>
      </c>
      <c r="BP556">
        <v>0</v>
      </c>
      <c r="BQ556">
        <v>0</v>
      </c>
      <c r="BX556" t="str">
        <f>"13:59:37.414"</f>
        <v>13:59:37.414</v>
      </c>
      <c r="BY556" t="str">
        <f>"410833337"</f>
        <v>410833337</v>
      </c>
      <c r="CL556">
        <v>0</v>
      </c>
      <c r="CM556">
        <v>2</v>
      </c>
      <c r="CN556">
        <v>0</v>
      </c>
      <c r="CO556">
        <v>2</v>
      </c>
      <c r="CP556">
        <v>0</v>
      </c>
      <c r="CQ556">
        <v>7</v>
      </c>
      <c r="CR556" t="s">
        <v>116</v>
      </c>
      <c r="CS556">
        <v>147</v>
      </c>
      <c r="CT556">
        <v>3</v>
      </c>
      <c r="CU556" t="s">
        <v>117</v>
      </c>
      <c r="CV556" t="s">
        <v>118</v>
      </c>
      <c r="CY556">
        <v>16679245</v>
      </c>
      <c r="CZ556" t="s">
        <v>119</v>
      </c>
    </row>
    <row r="557" spans="1:104" x14ac:dyDescent="0.25">
      <c r="A557" t="str">
        <f>"13:59:38.617"</f>
        <v>13:59:38.617</v>
      </c>
      <c r="B557" t="s">
        <v>108</v>
      </c>
      <c r="C557" t="str">
        <f t="shared" si="25"/>
        <v>ffdfd3c0</v>
      </c>
      <c r="D557" t="s">
        <v>109</v>
      </c>
      <c r="E557">
        <v>4</v>
      </c>
      <c r="F557">
        <v>1004</v>
      </c>
      <c r="G557" t="s">
        <v>110</v>
      </c>
      <c r="J557" t="s">
        <v>111</v>
      </c>
      <c r="K557">
        <v>0</v>
      </c>
      <c r="L557">
        <v>3</v>
      </c>
      <c r="M557">
        <v>0</v>
      </c>
      <c r="N557">
        <v>2</v>
      </c>
      <c r="O557">
        <v>1</v>
      </c>
      <c r="P557">
        <v>0</v>
      </c>
      <c r="Q557">
        <v>0</v>
      </c>
      <c r="R557" t="s">
        <v>112</v>
      </c>
      <c r="S557" t="str">
        <f>"13:59:38.430"</f>
        <v>13:59:38.430</v>
      </c>
      <c r="T557" t="str">
        <f>"13:59:37.930"</f>
        <v>13:59:37.930</v>
      </c>
      <c r="U557" t="str">
        <f t="shared" si="24"/>
        <v>ad5732</v>
      </c>
      <c r="V557">
        <v>0</v>
      </c>
      <c r="W557">
        <v>0</v>
      </c>
      <c r="X557">
        <v>1</v>
      </c>
      <c r="Z557">
        <v>0</v>
      </c>
      <c r="AA557">
        <v>9</v>
      </c>
      <c r="AB557">
        <v>3</v>
      </c>
      <c r="AC557">
        <v>0</v>
      </c>
      <c r="AD557">
        <v>10</v>
      </c>
      <c r="AE557">
        <v>0</v>
      </c>
      <c r="AF557">
        <v>3</v>
      </c>
      <c r="AG557">
        <v>2</v>
      </c>
      <c r="AH557">
        <v>0</v>
      </c>
      <c r="AI557" t="s">
        <v>1211</v>
      </c>
      <c r="AJ557">
        <v>39.253678000000001</v>
      </c>
      <c r="AK557" t="s">
        <v>1212</v>
      </c>
      <c r="AL557">
        <v>-77.305491000000004</v>
      </c>
      <c r="AM557">
        <v>100</v>
      </c>
      <c r="AN557">
        <v>8700</v>
      </c>
      <c r="AO557" t="s">
        <v>115</v>
      </c>
      <c r="AP557">
        <v>168</v>
      </c>
      <c r="AQ557">
        <v>55</v>
      </c>
      <c r="AR557">
        <v>-64</v>
      </c>
      <c r="AZ557">
        <v>3614</v>
      </c>
      <c r="BA557">
        <v>1</v>
      </c>
      <c r="BB557" t="str">
        <f t="shared" si="26"/>
        <v xml:space="preserve">N959MJ  </v>
      </c>
      <c r="BC557">
        <v>1</v>
      </c>
      <c r="BE557">
        <v>0</v>
      </c>
      <c r="BF557">
        <v>0</v>
      </c>
      <c r="BG557">
        <v>0</v>
      </c>
      <c r="BH557">
        <v>9025</v>
      </c>
      <c r="BI557">
        <v>325</v>
      </c>
      <c r="BJ557">
        <v>1</v>
      </c>
      <c r="BK557">
        <v>1</v>
      </c>
      <c r="BL557">
        <v>1</v>
      </c>
      <c r="BM557">
        <v>0</v>
      </c>
      <c r="BP557">
        <v>0</v>
      </c>
      <c r="BQ557">
        <v>0</v>
      </c>
      <c r="BX557" t="str">
        <f>"13:59:38.430"</f>
        <v>13:59:38.430</v>
      </c>
      <c r="BY557" t="str">
        <f>"429934334"</f>
        <v>429934334</v>
      </c>
      <c r="CL557">
        <v>0</v>
      </c>
      <c r="CM557">
        <v>2</v>
      </c>
      <c r="CN557">
        <v>0</v>
      </c>
      <c r="CO557">
        <v>2</v>
      </c>
      <c r="CP557">
        <v>0</v>
      </c>
      <c r="CQ557">
        <v>7</v>
      </c>
      <c r="CR557" t="s">
        <v>116</v>
      </c>
      <c r="CS557">
        <v>147</v>
      </c>
      <c r="CT557">
        <v>3</v>
      </c>
      <c r="CU557" t="s">
        <v>117</v>
      </c>
      <c r="CV557" t="s">
        <v>118</v>
      </c>
      <c r="CY557">
        <v>16680921</v>
      </c>
      <c r="CZ557" t="s">
        <v>119</v>
      </c>
    </row>
    <row r="558" spans="1:104" x14ac:dyDescent="0.25">
      <c r="A558" t="str">
        <f>"13:59:39.625"</f>
        <v>13:59:39.625</v>
      </c>
      <c r="B558" t="s">
        <v>108</v>
      </c>
      <c r="C558" t="str">
        <f t="shared" si="25"/>
        <v>ffdfd3c0</v>
      </c>
      <c r="D558" t="s">
        <v>109</v>
      </c>
      <c r="E558">
        <v>4</v>
      </c>
      <c r="F558">
        <v>1004</v>
      </c>
      <c r="G558" t="s">
        <v>110</v>
      </c>
      <c r="J558" t="s">
        <v>111</v>
      </c>
      <c r="K558">
        <v>0</v>
      </c>
      <c r="L558">
        <v>3</v>
      </c>
      <c r="M558">
        <v>0</v>
      </c>
      <c r="N558">
        <v>2</v>
      </c>
      <c r="O558">
        <v>1</v>
      </c>
      <c r="P558">
        <v>0</v>
      </c>
      <c r="Q558">
        <v>0</v>
      </c>
      <c r="R558" t="s">
        <v>112</v>
      </c>
      <c r="S558" t="str">
        <f>"13:59:39.422"</f>
        <v>13:59:39.422</v>
      </c>
      <c r="T558" t="str">
        <f>"13:59:39.023"</f>
        <v>13:59:39.023</v>
      </c>
      <c r="U558" t="str">
        <f t="shared" si="24"/>
        <v>ad5732</v>
      </c>
      <c r="V558">
        <v>0</v>
      </c>
      <c r="W558">
        <v>0</v>
      </c>
      <c r="X558">
        <v>1</v>
      </c>
      <c r="Z558">
        <v>0</v>
      </c>
      <c r="AA558">
        <v>9</v>
      </c>
      <c r="AB558">
        <v>3</v>
      </c>
      <c r="AC558">
        <v>0</v>
      </c>
      <c r="AD558">
        <v>10</v>
      </c>
      <c r="AE558">
        <v>0</v>
      </c>
      <c r="AF558">
        <v>3</v>
      </c>
      <c r="AG558">
        <v>2</v>
      </c>
      <c r="AH558">
        <v>0</v>
      </c>
      <c r="AI558" t="s">
        <v>1213</v>
      </c>
      <c r="AJ558">
        <v>39.253914000000002</v>
      </c>
      <c r="AK558" t="s">
        <v>1214</v>
      </c>
      <c r="AL558">
        <v>-77.30444</v>
      </c>
      <c r="AM558">
        <v>100</v>
      </c>
      <c r="AN558">
        <v>8700</v>
      </c>
      <c r="AO558" t="s">
        <v>115</v>
      </c>
      <c r="AP558">
        <v>169</v>
      </c>
      <c r="AQ558">
        <v>56</v>
      </c>
      <c r="AR558">
        <v>-64</v>
      </c>
      <c r="AZ558">
        <v>3614</v>
      </c>
      <c r="BA558">
        <v>1</v>
      </c>
      <c r="BB558" t="str">
        <f t="shared" si="26"/>
        <v xml:space="preserve">N959MJ  </v>
      </c>
      <c r="BC558">
        <v>1</v>
      </c>
      <c r="BE558">
        <v>0</v>
      </c>
      <c r="BF558">
        <v>0</v>
      </c>
      <c r="BG558">
        <v>0</v>
      </c>
      <c r="BH558">
        <v>9025</v>
      </c>
      <c r="BI558">
        <v>325</v>
      </c>
      <c r="BJ558">
        <v>1</v>
      </c>
      <c r="BK558">
        <v>1</v>
      </c>
      <c r="BL558">
        <v>1</v>
      </c>
      <c r="BM558">
        <v>0</v>
      </c>
      <c r="BP558">
        <v>0</v>
      </c>
      <c r="BQ558">
        <v>0</v>
      </c>
      <c r="BX558" t="str">
        <f>"13:59:39.430"</f>
        <v>13:59:39.430</v>
      </c>
      <c r="BY558" t="str">
        <f>"429364963"</f>
        <v>429364963</v>
      </c>
      <c r="CL558">
        <v>0</v>
      </c>
      <c r="CM558">
        <v>2</v>
      </c>
      <c r="CN558">
        <v>0</v>
      </c>
      <c r="CO558">
        <v>2</v>
      </c>
      <c r="CP558">
        <v>0</v>
      </c>
      <c r="CQ558">
        <v>7</v>
      </c>
      <c r="CR558" t="s">
        <v>116</v>
      </c>
      <c r="CS558">
        <v>525</v>
      </c>
      <c r="CT558">
        <v>1</v>
      </c>
      <c r="CU558" t="s">
        <v>140</v>
      </c>
      <c r="CV558" t="s">
        <v>141</v>
      </c>
      <c r="CY558">
        <v>7986369</v>
      </c>
      <c r="CZ558" t="s">
        <v>119</v>
      </c>
    </row>
    <row r="559" spans="1:104" x14ac:dyDescent="0.25">
      <c r="A559" t="str">
        <f>"13:59:40.539"</f>
        <v>13:59:40.539</v>
      </c>
      <c r="B559" t="s">
        <v>108</v>
      </c>
      <c r="C559" t="str">
        <f t="shared" si="25"/>
        <v>ffdfd3c0</v>
      </c>
      <c r="D559" t="s">
        <v>109</v>
      </c>
      <c r="E559">
        <v>4</v>
      </c>
      <c r="F559">
        <v>1004</v>
      </c>
      <c r="G559" t="s">
        <v>110</v>
      </c>
      <c r="J559" t="s">
        <v>111</v>
      </c>
      <c r="K559">
        <v>0</v>
      </c>
      <c r="L559">
        <v>3</v>
      </c>
      <c r="M559">
        <v>0</v>
      </c>
      <c r="N559">
        <v>2</v>
      </c>
      <c r="O559">
        <v>1</v>
      </c>
      <c r="P559">
        <v>0</v>
      </c>
      <c r="Q559">
        <v>0</v>
      </c>
      <c r="R559" t="s">
        <v>112</v>
      </c>
      <c r="S559" t="str">
        <f>"13:59:40.367"</f>
        <v>13:59:40.367</v>
      </c>
      <c r="T559" t="str">
        <f>"13:59:39.867"</f>
        <v>13:59:39.867</v>
      </c>
      <c r="U559" t="str">
        <f t="shared" si="24"/>
        <v>ad5732</v>
      </c>
      <c r="V559">
        <v>0</v>
      </c>
      <c r="W559">
        <v>0</v>
      </c>
      <c r="X559">
        <v>1</v>
      </c>
      <c r="Z559">
        <v>0</v>
      </c>
      <c r="AA559">
        <v>9</v>
      </c>
      <c r="AB559">
        <v>3</v>
      </c>
      <c r="AC559">
        <v>0</v>
      </c>
      <c r="AD559">
        <v>10</v>
      </c>
      <c r="AE559">
        <v>0</v>
      </c>
      <c r="AF559">
        <v>3</v>
      </c>
      <c r="AG559">
        <v>2</v>
      </c>
      <c r="AH559">
        <v>0</v>
      </c>
      <c r="AI559" t="s">
        <v>1215</v>
      </c>
      <c r="AJ559">
        <v>39.254150000000003</v>
      </c>
      <c r="AK559" t="s">
        <v>1216</v>
      </c>
      <c r="AL559">
        <v>-77.303560000000004</v>
      </c>
      <c r="AM559">
        <v>100</v>
      </c>
      <c r="AN559">
        <v>8700</v>
      </c>
      <c r="AO559" t="s">
        <v>115</v>
      </c>
      <c r="AP559">
        <v>170</v>
      </c>
      <c r="AQ559">
        <v>57</v>
      </c>
      <c r="AR559">
        <v>-64</v>
      </c>
      <c r="AZ559">
        <v>3614</v>
      </c>
      <c r="BA559">
        <v>1</v>
      </c>
      <c r="BB559" t="str">
        <f t="shared" si="26"/>
        <v xml:space="preserve">N959MJ  </v>
      </c>
      <c r="BC559">
        <v>1</v>
      </c>
      <c r="BE559">
        <v>0</v>
      </c>
      <c r="BF559">
        <v>0</v>
      </c>
      <c r="BG559">
        <v>0</v>
      </c>
      <c r="BH559">
        <v>9025</v>
      </c>
      <c r="BI559">
        <v>325</v>
      </c>
      <c r="BJ559">
        <v>1</v>
      </c>
      <c r="BK559">
        <v>1</v>
      </c>
      <c r="BL559">
        <v>1</v>
      </c>
      <c r="BM559">
        <v>0</v>
      </c>
      <c r="BP559">
        <v>0</v>
      </c>
      <c r="BQ559">
        <v>0</v>
      </c>
      <c r="BX559" t="str">
        <f>"13:59:40.367"</f>
        <v>13:59:40.367</v>
      </c>
      <c r="BY559" t="str">
        <f>"368192452"</f>
        <v>368192452</v>
      </c>
      <c r="CL559">
        <v>0</v>
      </c>
      <c r="CM559">
        <v>2</v>
      </c>
      <c r="CN559">
        <v>0</v>
      </c>
      <c r="CO559">
        <v>2</v>
      </c>
      <c r="CP559">
        <v>0</v>
      </c>
      <c r="CQ559">
        <v>7</v>
      </c>
      <c r="CR559" t="s">
        <v>116</v>
      </c>
      <c r="CS559">
        <v>147</v>
      </c>
      <c r="CT559">
        <v>3</v>
      </c>
      <c r="CU559" t="s">
        <v>117</v>
      </c>
      <c r="CV559" t="s">
        <v>118</v>
      </c>
      <c r="CY559">
        <v>16684085</v>
      </c>
      <c r="CZ559" t="s">
        <v>119</v>
      </c>
    </row>
    <row r="560" spans="1:104" x14ac:dyDescent="0.25">
      <c r="A560" t="str">
        <f>"13:59:41.594"</f>
        <v>13:59:41.594</v>
      </c>
      <c r="B560" t="s">
        <v>108</v>
      </c>
      <c r="C560" t="str">
        <f t="shared" si="25"/>
        <v>ffdfd3c0</v>
      </c>
      <c r="D560" t="s">
        <v>109</v>
      </c>
      <c r="E560">
        <v>4</v>
      </c>
      <c r="F560">
        <v>1004</v>
      </c>
      <c r="G560" t="s">
        <v>110</v>
      </c>
      <c r="J560" t="s">
        <v>111</v>
      </c>
      <c r="K560">
        <v>0</v>
      </c>
      <c r="L560">
        <v>3</v>
      </c>
      <c r="M560">
        <v>0</v>
      </c>
      <c r="N560">
        <v>2</v>
      </c>
      <c r="O560">
        <v>1</v>
      </c>
      <c r="P560">
        <v>0</v>
      </c>
      <c r="Q560">
        <v>0</v>
      </c>
      <c r="R560" t="s">
        <v>112</v>
      </c>
      <c r="S560" t="str">
        <f>"13:59:41.414"</f>
        <v>13:59:41.414</v>
      </c>
      <c r="T560" t="str">
        <f>"13:59:40.914"</f>
        <v>13:59:40.914</v>
      </c>
      <c r="U560" t="str">
        <f t="shared" si="24"/>
        <v>ad5732</v>
      </c>
      <c r="V560">
        <v>0</v>
      </c>
      <c r="W560">
        <v>0</v>
      </c>
      <c r="X560">
        <v>1</v>
      </c>
      <c r="Z560">
        <v>0</v>
      </c>
      <c r="AA560">
        <v>9</v>
      </c>
      <c r="AB560">
        <v>3</v>
      </c>
      <c r="AC560">
        <v>0</v>
      </c>
      <c r="AD560">
        <v>10</v>
      </c>
      <c r="AE560">
        <v>0</v>
      </c>
      <c r="AF560">
        <v>3</v>
      </c>
      <c r="AG560">
        <v>2</v>
      </c>
      <c r="AH560">
        <v>0</v>
      </c>
      <c r="AI560" t="s">
        <v>1217</v>
      </c>
      <c r="AJ560">
        <v>39.254472</v>
      </c>
      <c r="AK560" t="s">
        <v>1218</v>
      </c>
      <c r="AL560">
        <v>-77.302423000000005</v>
      </c>
      <c r="AM560">
        <v>100</v>
      </c>
      <c r="AN560">
        <v>8700</v>
      </c>
      <c r="AO560" t="s">
        <v>115</v>
      </c>
      <c r="AP560">
        <v>170</v>
      </c>
      <c r="AQ560">
        <v>58</v>
      </c>
      <c r="AR560">
        <v>-64</v>
      </c>
      <c r="AZ560">
        <v>3614</v>
      </c>
      <c r="BA560">
        <v>1</v>
      </c>
      <c r="BB560" t="str">
        <f t="shared" si="26"/>
        <v xml:space="preserve">N959MJ  </v>
      </c>
      <c r="BC560">
        <v>1</v>
      </c>
      <c r="BE560">
        <v>0</v>
      </c>
      <c r="BF560">
        <v>0</v>
      </c>
      <c r="BG560">
        <v>0</v>
      </c>
      <c r="BH560">
        <v>9025</v>
      </c>
      <c r="BI560">
        <v>325</v>
      </c>
      <c r="BJ560">
        <v>1</v>
      </c>
      <c r="BK560">
        <v>1</v>
      </c>
      <c r="BL560">
        <v>1</v>
      </c>
      <c r="BM560">
        <v>0</v>
      </c>
      <c r="BP560">
        <v>0</v>
      </c>
      <c r="BQ560">
        <v>0</v>
      </c>
      <c r="BX560" t="str">
        <f>"13:59:41.422"</f>
        <v>13:59:41.422</v>
      </c>
      <c r="BY560" t="str">
        <f>"421700494"</f>
        <v>421700494</v>
      </c>
      <c r="CL560">
        <v>0</v>
      </c>
      <c r="CM560">
        <v>2</v>
      </c>
      <c r="CN560">
        <v>0</v>
      </c>
      <c r="CO560">
        <v>2</v>
      </c>
      <c r="CP560">
        <v>0</v>
      </c>
      <c r="CQ560">
        <v>7</v>
      </c>
      <c r="CR560" t="s">
        <v>116</v>
      </c>
      <c r="CS560">
        <v>147</v>
      </c>
      <c r="CT560">
        <v>0</v>
      </c>
      <c r="CU560" t="s">
        <v>117</v>
      </c>
      <c r="CV560" t="s">
        <v>118</v>
      </c>
      <c r="CY560">
        <v>4800499</v>
      </c>
      <c r="CZ560" t="s">
        <v>119</v>
      </c>
    </row>
    <row r="561" spans="1:104" x14ac:dyDescent="0.25">
      <c r="A561" t="str">
        <f>"13:59:42.602"</f>
        <v>13:59:42.602</v>
      </c>
      <c r="B561" t="s">
        <v>108</v>
      </c>
      <c r="C561" t="str">
        <f t="shared" si="25"/>
        <v>ffdfd3c0</v>
      </c>
      <c r="D561" t="s">
        <v>109</v>
      </c>
      <c r="E561">
        <v>4</v>
      </c>
      <c r="F561">
        <v>1004</v>
      </c>
      <c r="G561" t="s">
        <v>110</v>
      </c>
      <c r="J561" t="s">
        <v>111</v>
      </c>
      <c r="K561">
        <v>0</v>
      </c>
      <c r="L561">
        <v>3</v>
      </c>
      <c r="M561">
        <v>0</v>
      </c>
      <c r="N561">
        <v>2</v>
      </c>
      <c r="O561">
        <v>1</v>
      </c>
      <c r="P561">
        <v>0</v>
      </c>
      <c r="Q561">
        <v>0</v>
      </c>
      <c r="R561" t="s">
        <v>112</v>
      </c>
      <c r="S561" t="str">
        <f>"13:59:42.406"</f>
        <v>13:59:42.406</v>
      </c>
      <c r="T561" t="str">
        <f>"13:59:42.008"</f>
        <v>13:59:42.008</v>
      </c>
      <c r="U561" t="str">
        <f t="shared" si="24"/>
        <v>ad5732</v>
      </c>
      <c r="V561">
        <v>0</v>
      </c>
      <c r="W561">
        <v>0</v>
      </c>
      <c r="X561">
        <v>1</v>
      </c>
      <c r="Z561">
        <v>0</v>
      </c>
      <c r="AA561">
        <v>9</v>
      </c>
      <c r="AB561">
        <v>3</v>
      </c>
      <c r="AC561">
        <v>0</v>
      </c>
      <c r="AD561">
        <v>10</v>
      </c>
      <c r="AE561">
        <v>0</v>
      </c>
      <c r="AF561">
        <v>3</v>
      </c>
      <c r="AG561">
        <v>2</v>
      </c>
      <c r="AH561">
        <v>0</v>
      </c>
      <c r="AI561" t="s">
        <v>1219</v>
      </c>
      <c r="AJ561">
        <v>39.254750999999999</v>
      </c>
      <c r="AK561" t="s">
        <v>1220</v>
      </c>
      <c r="AL561">
        <v>-77.301393000000004</v>
      </c>
      <c r="AM561">
        <v>100</v>
      </c>
      <c r="AN561">
        <v>8700</v>
      </c>
      <c r="AO561" t="s">
        <v>115</v>
      </c>
      <c r="AP561">
        <v>170</v>
      </c>
      <c r="AQ561">
        <v>61</v>
      </c>
      <c r="AR561">
        <v>-64</v>
      </c>
      <c r="AZ561">
        <v>3614</v>
      </c>
      <c r="BA561">
        <v>1</v>
      </c>
      <c r="BB561" t="str">
        <f t="shared" si="26"/>
        <v xml:space="preserve">N959MJ  </v>
      </c>
      <c r="BC561">
        <v>1</v>
      </c>
      <c r="BE561">
        <v>0</v>
      </c>
      <c r="BF561">
        <v>0</v>
      </c>
      <c r="BG561">
        <v>0</v>
      </c>
      <c r="BH561">
        <v>9025</v>
      </c>
      <c r="BI561">
        <v>325</v>
      </c>
      <c r="BJ561">
        <v>1</v>
      </c>
      <c r="BK561">
        <v>1</v>
      </c>
      <c r="BL561">
        <v>1</v>
      </c>
      <c r="BM561">
        <v>0</v>
      </c>
      <c r="BP561">
        <v>0</v>
      </c>
      <c r="BQ561">
        <v>0</v>
      </c>
      <c r="BX561" t="str">
        <f>"13:59:42.414"</f>
        <v>13:59:42.414</v>
      </c>
      <c r="BY561" t="str">
        <f>"412939311"</f>
        <v>412939311</v>
      </c>
      <c r="CL561">
        <v>0</v>
      </c>
      <c r="CM561">
        <v>2</v>
      </c>
      <c r="CN561">
        <v>0</v>
      </c>
      <c r="CO561">
        <v>2</v>
      </c>
      <c r="CP561">
        <v>0</v>
      </c>
      <c r="CQ561">
        <v>7</v>
      </c>
      <c r="CR561" t="s">
        <v>116</v>
      </c>
      <c r="CS561">
        <v>525</v>
      </c>
      <c r="CT561">
        <v>2</v>
      </c>
      <c r="CU561" t="s">
        <v>140</v>
      </c>
      <c r="CV561" t="s">
        <v>141</v>
      </c>
      <c r="CY561">
        <v>14407111</v>
      </c>
      <c r="CZ561" t="s">
        <v>119</v>
      </c>
    </row>
    <row r="562" spans="1:104" x14ac:dyDescent="0.25">
      <c r="A562" t="str">
        <f>"13:59:43.719"</f>
        <v>13:59:43.719</v>
      </c>
      <c r="B562" t="s">
        <v>108</v>
      </c>
      <c r="C562" t="str">
        <f t="shared" si="25"/>
        <v>ffdfd3c0</v>
      </c>
      <c r="D562" t="s">
        <v>109</v>
      </c>
      <c r="E562">
        <v>4</v>
      </c>
      <c r="F562">
        <v>1004</v>
      </c>
      <c r="G562" t="s">
        <v>110</v>
      </c>
      <c r="J562" t="s">
        <v>111</v>
      </c>
      <c r="K562">
        <v>0</v>
      </c>
      <c r="L562">
        <v>3</v>
      </c>
      <c r="M562">
        <v>0</v>
      </c>
      <c r="N562">
        <v>2</v>
      </c>
      <c r="O562">
        <v>1</v>
      </c>
      <c r="P562">
        <v>0</v>
      </c>
      <c r="Q562">
        <v>0</v>
      </c>
      <c r="R562" t="s">
        <v>112</v>
      </c>
      <c r="S562" t="str">
        <f>"13:59:43.523"</f>
        <v>13:59:43.523</v>
      </c>
      <c r="T562" t="str">
        <f>"13:59:43.023"</f>
        <v>13:59:43.023</v>
      </c>
      <c r="U562" t="str">
        <f t="shared" si="24"/>
        <v>ad5732</v>
      </c>
      <c r="V562">
        <v>0</v>
      </c>
      <c r="W562">
        <v>0</v>
      </c>
      <c r="X562">
        <v>1</v>
      </c>
      <c r="Z562">
        <v>0</v>
      </c>
      <c r="AA562">
        <v>9</v>
      </c>
      <c r="AB562">
        <v>3</v>
      </c>
      <c r="AC562">
        <v>0</v>
      </c>
      <c r="AD562">
        <v>10</v>
      </c>
      <c r="AE562">
        <v>0</v>
      </c>
      <c r="AF562">
        <v>3</v>
      </c>
      <c r="AG562">
        <v>2</v>
      </c>
      <c r="AH562">
        <v>0</v>
      </c>
      <c r="AI562" t="s">
        <v>1221</v>
      </c>
      <c r="AJ562">
        <v>39.255073000000003</v>
      </c>
      <c r="AK562" t="s">
        <v>1222</v>
      </c>
      <c r="AL562">
        <v>-77.300276999999994</v>
      </c>
      <c r="AM562">
        <v>100</v>
      </c>
      <c r="AN562">
        <v>8700</v>
      </c>
      <c r="AO562" t="s">
        <v>115</v>
      </c>
      <c r="AP562">
        <v>170</v>
      </c>
      <c r="AQ562">
        <v>63</v>
      </c>
      <c r="AR562">
        <v>-64</v>
      </c>
      <c r="AZ562">
        <v>3614</v>
      </c>
      <c r="BA562">
        <v>1</v>
      </c>
      <c r="BB562" t="str">
        <f t="shared" si="26"/>
        <v xml:space="preserve">N959MJ  </v>
      </c>
      <c r="BC562">
        <v>1</v>
      </c>
      <c r="BE562">
        <v>0</v>
      </c>
      <c r="BF562">
        <v>0</v>
      </c>
      <c r="BG562">
        <v>0</v>
      </c>
      <c r="BH562">
        <v>9025</v>
      </c>
      <c r="BI562">
        <v>325</v>
      </c>
      <c r="BJ562">
        <v>1</v>
      </c>
      <c r="BK562">
        <v>1</v>
      </c>
      <c r="BL562">
        <v>1</v>
      </c>
      <c r="BM562">
        <v>0</v>
      </c>
      <c r="BP562">
        <v>0</v>
      </c>
      <c r="BQ562">
        <v>0</v>
      </c>
      <c r="BX562" t="str">
        <f>"13:59:43.523"</f>
        <v>13:59:43.523</v>
      </c>
      <c r="BY562" t="str">
        <f>"523801220"</f>
        <v>523801220</v>
      </c>
      <c r="CL562">
        <v>0</v>
      </c>
      <c r="CM562">
        <v>2</v>
      </c>
      <c r="CN562">
        <v>0</v>
      </c>
      <c r="CO562">
        <v>2</v>
      </c>
      <c r="CP562">
        <v>0</v>
      </c>
      <c r="CQ562">
        <v>7</v>
      </c>
      <c r="CR562" t="s">
        <v>116</v>
      </c>
      <c r="CS562">
        <v>147</v>
      </c>
      <c r="CT562">
        <v>3</v>
      </c>
      <c r="CU562" t="s">
        <v>117</v>
      </c>
      <c r="CV562" t="s">
        <v>118</v>
      </c>
      <c r="CY562">
        <v>16689179</v>
      </c>
      <c r="CZ562" t="s">
        <v>119</v>
      </c>
    </row>
    <row r="563" spans="1:104" x14ac:dyDescent="0.25">
      <c r="A563" t="str">
        <f>"13:59:44.523"</f>
        <v>13:59:44.523</v>
      </c>
      <c r="B563" t="s">
        <v>108</v>
      </c>
      <c r="C563" t="str">
        <f t="shared" si="25"/>
        <v>ffdfd3c0</v>
      </c>
      <c r="D563" t="s">
        <v>109</v>
      </c>
      <c r="E563">
        <v>4</v>
      </c>
      <c r="F563">
        <v>1004</v>
      </c>
      <c r="G563" t="s">
        <v>110</v>
      </c>
      <c r="J563" t="s">
        <v>111</v>
      </c>
      <c r="K563">
        <v>0</v>
      </c>
      <c r="L563">
        <v>3</v>
      </c>
      <c r="M563">
        <v>0</v>
      </c>
      <c r="N563">
        <v>2</v>
      </c>
      <c r="O563">
        <v>1</v>
      </c>
      <c r="P563">
        <v>0</v>
      </c>
      <c r="Q563">
        <v>0</v>
      </c>
      <c r="R563" t="s">
        <v>112</v>
      </c>
      <c r="S563" t="str">
        <f>"13:59:44.352"</f>
        <v>13:59:44.352</v>
      </c>
      <c r="T563" t="str">
        <f>"13:59:43.953"</f>
        <v>13:59:43.953</v>
      </c>
      <c r="U563" t="str">
        <f t="shared" si="24"/>
        <v>ad5732</v>
      </c>
      <c r="V563">
        <v>0</v>
      </c>
      <c r="W563">
        <v>0</v>
      </c>
      <c r="X563">
        <v>1</v>
      </c>
      <c r="Z563">
        <v>0</v>
      </c>
      <c r="AA563">
        <v>9</v>
      </c>
      <c r="AB563">
        <v>3</v>
      </c>
      <c r="AC563">
        <v>0</v>
      </c>
      <c r="AD563">
        <v>10</v>
      </c>
      <c r="AE563">
        <v>0</v>
      </c>
      <c r="AF563">
        <v>3</v>
      </c>
      <c r="AG563">
        <v>2</v>
      </c>
      <c r="AH563">
        <v>0</v>
      </c>
      <c r="AI563" t="s">
        <v>1223</v>
      </c>
      <c r="AJ563">
        <v>39.255288</v>
      </c>
      <c r="AK563" t="s">
        <v>1224</v>
      </c>
      <c r="AL563">
        <v>-77.299503999999999</v>
      </c>
      <c r="AM563">
        <v>100</v>
      </c>
      <c r="AN563">
        <v>8700</v>
      </c>
      <c r="AO563" t="s">
        <v>115</v>
      </c>
      <c r="AP563">
        <v>170</v>
      </c>
      <c r="AQ563">
        <v>66</v>
      </c>
      <c r="AR563">
        <v>-64</v>
      </c>
      <c r="AZ563">
        <v>3614</v>
      </c>
      <c r="BA563">
        <v>1</v>
      </c>
      <c r="BB563" t="str">
        <f t="shared" si="26"/>
        <v xml:space="preserve">N959MJ  </v>
      </c>
      <c r="BC563">
        <v>1</v>
      </c>
      <c r="BE563">
        <v>0</v>
      </c>
      <c r="BF563">
        <v>0</v>
      </c>
      <c r="BG563">
        <v>0</v>
      </c>
      <c r="BH563">
        <v>9025</v>
      </c>
      <c r="BI563">
        <v>325</v>
      </c>
      <c r="BJ563">
        <v>1</v>
      </c>
      <c r="BK563">
        <v>1</v>
      </c>
      <c r="BL563">
        <v>1</v>
      </c>
      <c r="BM563">
        <v>0</v>
      </c>
      <c r="BP563">
        <v>0</v>
      </c>
      <c r="BQ563">
        <v>0</v>
      </c>
      <c r="BX563" t="str">
        <f>"13:59:44.359"</f>
        <v>13:59:44.359</v>
      </c>
      <c r="BY563" t="str">
        <f>"356112891"</f>
        <v>356112891</v>
      </c>
      <c r="CL563">
        <v>0</v>
      </c>
      <c r="CM563">
        <v>2</v>
      </c>
      <c r="CN563">
        <v>0</v>
      </c>
      <c r="CO563">
        <v>2</v>
      </c>
      <c r="CP563">
        <v>0</v>
      </c>
      <c r="CQ563">
        <v>7</v>
      </c>
      <c r="CR563" t="s">
        <v>116</v>
      </c>
      <c r="CS563">
        <v>525</v>
      </c>
      <c r="CT563">
        <v>2</v>
      </c>
      <c r="CU563" t="s">
        <v>140</v>
      </c>
      <c r="CV563" t="s">
        <v>141</v>
      </c>
      <c r="CY563">
        <v>14409919</v>
      </c>
      <c r="CZ563" t="s">
        <v>119</v>
      </c>
    </row>
    <row r="564" spans="1:104" x14ac:dyDescent="0.25">
      <c r="A564" t="str">
        <f>"13:59:45.633"</f>
        <v>13:59:45.633</v>
      </c>
      <c r="B564" t="s">
        <v>108</v>
      </c>
      <c r="C564" t="str">
        <f t="shared" si="25"/>
        <v>ffdfd3c0</v>
      </c>
      <c r="D564" t="s">
        <v>109</v>
      </c>
      <c r="E564">
        <v>4</v>
      </c>
      <c r="F564">
        <v>1004</v>
      </c>
      <c r="G564" t="s">
        <v>110</v>
      </c>
      <c r="J564" t="s">
        <v>111</v>
      </c>
      <c r="K564">
        <v>0</v>
      </c>
      <c r="L564">
        <v>3</v>
      </c>
      <c r="M564">
        <v>0</v>
      </c>
      <c r="N564">
        <v>2</v>
      </c>
      <c r="O564">
        <v>1</v>
      </c>
      <c r="P564">
        <v>0</v>
      </c>
      <c r="Q564">
        <v>0</v>
      </c>
      <c r="R564" t="s">
        <v>112</v>
      </c>
      <c r="S564" t="str">
        <f>"13:59:45.430"</f>
        <v>13:59:45.430</v>
      </c>
      <c r="T564" t="str">
        <f>"13:59:44.930"</f>
        <v>13:59:44.930</v>
      </c>
      <c r="U564" t="str">
        <f t="shared" si="24"/>
        <v>ad5732</v>
      </c>
      <c r="V564">
        <v>0</v>
      </c>
      <c r="W564">
        <v>0</v>
      </c>
      <c r="X564">
        <v>1</v>
      </c>
      <c r="Z564">
        <v>0</v>
      </c>
      <c r="AA564">
        <v>9</v>
      </c>
      <c r="AB564">
        <v>3</v>
      </c>
      <c r="AC564">
        <v>0</v>
      </c>
      <c r="AD564">
        <v>10</v>
      </c>
      <c r="AE564">
        <v>0</v>
      </c>
      <c r="AF564">
        <v>3</v>
      </c>
      <c r="AG564">
        <v>2</v>
      </c>
      <c r="AH564">
        <v>0</v>
      </c>
      <c r="AI564" t="s">
        <v>1225</v>
      </c>
      <c r="AJ564">
        <v>39.255695000000003</v>
      </c>
      <c r="AK564" t="s">
        <v>1226</v>
      </c>
      <c r="AL564">
        <v>-77.298410000000004</v>
      </c>
      <c r="AM564">
        <v>100</v>
      </c>
      <c r="AN564">
        <v>8700</v>
      </c>
      <c r="AO564" t="s">
        <v>115</v>
      </c>
      <c r="AP564">
        <v>169</v>
      </c>
      <c r="AQ564">
        <v>69</v>
      </c>
      <c r="AR564">
        <v>-64</v>
      </c>
      <c r="AZ564">
        <v>3614</v>
      </c>
      <c r="BA564">
        <v>1</v>
      </c>
      <c r="BB564" t="str">
        <f t="shared" si="26"/>
        <v xml:space="preserve">N959MJ  </v>
      </c>
      <c r="BC564">
        <v>1</v>
      </c>
      <c r="BE564">
        <v>0</v>
      </c>
      <c r="BF564">
        <v>0</v>
      </c>
      <c r="BG564">
        <v>0</v>
      </c>
      <c r="BH564">
        <v>9025</v>
      </c>
      <c r="BI564">
        <v>325</v>
      </c>
      <c r="BJ564">
        <v>1</v>
      </c>
      <c r="BK564">
        <v>1</v>
      </c>
      <c r="BL564">
        <v>1</v>
      </c>
      <c r="BM564">
        <v>0</v>
      </c>
      <c r="BP564">
        <v>0</v>
      </c>
      <c r="BQ564">
        <v>0</v>
      </c>
      <c r="BX564" t="str">
        <f>"13:59:45.438"</f>
        <v>13:59:45.438</v>
      </c>
      <c r="BY564" t="str">
        <f>"437474183"</f>
        <v>437474183</v>
      </c>
      <c r="CL564">
        <v>0</v>
      </c>
      <c r="CM564">
        <v>2</v>
      </c>
      <c r="CN564">
        <v>0</v>
      </c>
      <c r="CO564">
        <v>2</v>
      </c>
      <c r="CP564">
        <v>0</v>
      </c>
      <c r="CQ564">
        <v>7</v>
      </c>
      <c r="CR564" t="s">
        <v>116</v>
      </c>
      <c r="CS564">
        <v>525</v>
      </c>
      <c r="CT564">
        <v>1</v>
      </c>
      <c r="CU564" t="s">
        <v>140</v>
      </c>
      <c r="CV564" t="s">
        <v>141</v>
      </c>
      <c r="CY564">
        <v>7994399</v>
      </c>
      <c r="CZ564" t="s">
        <v>119</v>
      </c>
    </row>
    <row r="565" spans="1:104" x14ac:dyDescent="0.25">
      <c r="A565" t="str">
        <f>"13:59:46.492"</f>
        <v>13:59:46.492</v>
      </c>
      <c r="B565" t="s">
        <v>108</v>
      </c>
      <c r="C565" t="str">
        <f t="shared" si="25"/>
        <v>ffdfd3c0</v>
      </c>
      <c r="D565" t="s">
        <v>109</v>
      </c>
      <c r="E565">
        <v>4</v>
      </c>
      <c r="F565">
        <v>1004</v>
      </c>
      <c r="G565" t="s">
        <v>110</v>
      </c>
      <c r="J565" t="s">
        <v>111</v>
      </c>
      <c r="K565">
        <v>0</v>
      </c>
      <c r="L565">
        <v>3</v>
      </c>
      <c r="M565">
        <v>0</v>
      </c>
      <c r="N565">
        <v>2</v>
      </c>
      <c r="O565">
        <v>1</v>
      </c>
      <c r="P565">
        <v>0</v>
      </c>
      <c r="Q565">
        <v>0</v>
      </c>
      <c r="R565" t="s">
        <v>112</v>
      </c>
      <c r="S565" t="str">
        <f>"13:59:46.328"</f>
        <v>13:59:46.328</v>
      </c>
      <c r="T565" t="str">
        <f>"13:59:45.930"</f>
        <v>13:59:45.930</v>
      </c>
      <c r="U565" t="str">
        <f t="shared" si="24"/>
        <v>ad5732</v>
      </c>
      <c r="V565">
        <v>0</v>
      </c>
      <c r="W565">
        <v>0</v>
      </c>
      <c r="X565">
        <v>1</v>
      </c>
      <c r="Z565">
        <v>0</v>
      </c>
      <c r="AA565">
        <v>9</v>
      </c>
      <c r="AB565">
        <v>3</v>
      </c>
      <c r="AC565">
        <v>0</v>
      </c>
      <c r="AD565">
        <v>10</v>
      </c>
      <c r="AE565">
        <v>0</v>
      </c>
      <c r="AF565">
        <v>3</v>
      </c>
      <c r="AG565">
        <v>2</v>
      </c>
      <c r="AH565">
        <v>0</v>
      </c>
      <c r="AI565" t="s">
        <v>1227</v>
      </c>
      <c r="AJ565">
        <v>39.255974000000002</v>
      </c>
      <c r="AK565" t="s">
        <v>1228</v>
      </c>
      <c r="AL565">
        <v>-77.297466</v>
      </c>
      <c r="AM565">
        <v>100</v>
      </c>
      <c r="AN565">
        <v>8700</v>
      </c>
      <c r="AO565" t="s">
        <v>115</v>
      </c>
      <c r="AP565">
        <v>169</v>
      </c>
      <c r="AQ565">
        <v>71</v>
      </c>
      <c r="AR565">
        <v>64</v>
      </c>
      <c r="AZ565">
        <v>3614</v>
      </c>
      <c r="BA565">
        <v>1</v>
      </c>
      <c r="BB565" t="str">
        <f t="shared" si="26"/>
        <v xml:space="preserve">N959MJ  </v>
      </c>
      <c r="BC565">
        <v>1</v>
      </c>
      <c r="BE565">
        <v>0</v>
      </c>
      <c r="BF565">
        <v>0</v>
      </c>
      <c r="BG565">
        <v>0</v>
      </c>
      <c r="BH565">
        <v>9025</v>
      </c>
      <c r="BI565">
        <v>325</v>
      </c>
      <c r="BJ565">
        <v>1</v>
      </c>
      <c r="BK565">
        <v>1</v>
      </c>
      <c r="BL565">
        <v>1</v>
      </c>
      <c r="BM565">
        <v>0</v>
      </c>
      <c r="BP565">
        <v>0</v>
      </c>
      <c r="BQ565">
        <v>0</v>
      </c>
      <c r="BX565" t="str">
        <f>"13:59:46.328"</f>
        <v>13:59:46.328</v>
      </c>
      <c r="BY565" t="str">
        <f>"330416543"</f>
        <v>330416543</v>
      </c>
      <c r="CL565">
        <v>0</v>
      </c>
      <c r="CM565">
        <v>2</v>
      </c>
      <c r="CN565">
        <v>0</v>
      </c>
      <c r="CO565">
        <v>2</v>
      </c>
      <c r="CP565">
        <v>0</v>
      </c>
      <c r="CQ565">
        <v>7</v>
      </c>
      <c r="CR565" t="s">
        <v>116</v>
      </c>
      <c r="CS565">
        <v>525</v>
      </c>
      <c r="CT565">
        <v>2</v>
      </c>
      <c r="CU565" t="s">
        <v>140</v>
      </c>
      <c r="CV565" t="s">
        <v>141</v>
      </c>
      <c r="CY565">
        <v>14412806</v>
      </c>
      <c r="CZ565" t="s">
        <v>119</v>
      </c>
    </row>
    <row r="566" spans="1:104" x14ac:dyDescent="0.25">
      <c r="A566" t="str">
        <f>"13:59:47.555"</f>
        <v>13:59:47.555</v>
      </c>
      <c r="B566" t="s">
        <v>108</v>
      </c>
      <c r="C566" t="str">
        <f t="shared" si="25"/>
        <v>ffdfd3c0</v>
      </c>
      <c r="D566" t="s">
        <v>109</v>
      </c>
      <c r="E566">
        <v>4</v>
      </c>
      <c r="F566">
        <v>1004</v>
      </c>
      <c r="G566" t="s">
        <v>110</v>
      </c>
      <c r="J566" t="s">
        <v>111</v>
      </c>
      <c r="K566">
        <v>0</v>
      </c>
      <c r="L566">
        <v>3</v>
      </c>
      <c r="M566">
        <v>0</v>
      </c>
      <c r="N566">
        <v>2</v>
      </c>
      <c r="O566">
        <v>1</v>
      </c>
      <c r="P566">
        <v>0</v>
      </c>
      <c r="Q566">
        <v>0</v>
      </c>
      <c r="R566" t="s">
        <v>112</v>
      </c>
      <c r="S566" t="str">
        <f>"13:59:47.352"</f>
        <v>13:59:47.352</v>
      </c>
      <c r="T566" t="str">
        <f>"13:59:46.852"</f>
        <v>13:59:46.852</v>
      </c>
      <c r="U566" t="str">
        <f t="shared" si="24"/>
        <v>ad5732</v>
      </c>
      <c r="V566">
        <v>0</v>
      </c>
      <c r="W566">
        <v>0</v>
      </c>
      <c r="X566">
        <v>1</v>
      </c>
      <c r="Z566">
        <v>0</v>
      </c>
      <c r="AA566">
        <v>9</v>
      </c>
      <c r="AB566">
        <v>3</v>
      </c>
      <c r="AC566">
        <v>0</v>
      </c>
      <c r="AD566">
        <v>10</v>
      </c>
      <c r="AE566">
        <v>0</v>
      </c>
      <c r="AF566">
        <v>3</v>
      </c>
      <c r="AG566">
        <v>2</v>
      </c>
      <c r="AH566">
        <v>0</v>
      </c>
      <c r="AI566" t="s">
        <v>1229</v>
      </c>
      <c r="AJ566">
        <v>39.256295999999999</v>
      </c>
      <c r="AK566" t="s">
        <v>1230</v>
      </c>
      <c r="AL566">
        <v>-77.296457000000004</v>
      </c>
      <c r="AM566">
        <v>100</v>
      </c>
      <c r="AN566">
        <v>8700</v>
      </c>
      <c r="AO566" t="s">
        <v>115</v>
      </c>
      <c r="AP566">
        <v>169</v>
      </c>
      <c r="AQ566">
        <v>73</v>
      </c>
      <c r="AR566">
        <v>128</v>
      </c>
      <c r="AZ566">
        <v>3614</v>
      </c>
      <c r="BA566">
        <v>1</v>
      </c>
      <c r="BB566" t="str">
        <f t="shared" si="26"/>
        <v xml:space="preserve">N959MJ  </v>
      </c>
      <c r="BC566">
        <v>1</v>
      </c>
      <c r="BE566">
        <v>0</v>
      </c>
      <c r="BF566">
        <v>0</v>
      </c>
      <c r="BG566">
        <v>0</v>
      </c>
      <c r="BH566">
        <v>9025</v>
      </c>
      <c r="BI566">
        <v>325</v>
      </c>
      <c r="BJ566">
        <v>1</v>
      </c>
      <c r="BK566">
        <v>1</v>
      </c>
      <c r="BL566">
        <v>1</v>
      </c>
      <c r="BM566">
        <v>0</v>
      </c>
      <c r="BP566">
        <v>0</v>
      </c>
      <c r="BQ566">
        <v>0</v>
      </c>
      <c r="BX566" t="str">
        <f>"13:59:47.359"</f>
        <v>13:59:47.359</v>
      </c>
      <c r="BY566" t="str">
        <f>"357718479"</f>
        <v>357718479</v>
      </c>
      <c r="CL566">
        <v>0</v>
      </c>
      <c r="CM566">
        <v>2</v>
      </c>
      <c r="CN566">
        <v>0</v>
      </c>
      <c r="CO566">
        <v>2</v>
      </c>
      <c r="CP566">
        <v>0</v>
      </c>
      <c r="CQ566">
        <v>7</v>
      </c>
      <c r="CR566" t="s">
        <v>116</v>
      </c>
      <c r="CS566">
        <v>147</v>
      </c>
      <c r="CT566">
        <v>0</v>
      </c>
      <c r="CU566" t="s">
        <v>117</v>
      </c>
      <c r="CV566" t="s">
        <v>118</v>
      </c>
      <c r="CY566">
        <v>4809796</v>
      </c>
      <c r="CZ566" t="s">
        <v>119</v>
      </c>
    </row>
    <row r="567" spans="1:104" x14ac:dyDescent="0.25">
      <c r="A567" t="str">
        <f>"13:59:48.508"</f>
        <v>13:59:48.508</v>
      </c>
      <c r="B567" t="s">
        <v>108</v>
      </c>
      <c r="C567" t="str">
        <f t="shared" si="25"/>
        <v>ffdfd3c0</v>
      </c>
      <c r="D567" t="s">
        <v>109</v>
      </c>
      <c r="E567">
        <v>4</v>
      </c>
      <c r="F567">
        <v>1004</v>
      </c>
      <c r="G567" t="s">
        <v>110</v>
      </c>
      <c r="J567" t="s">
        <v>111</v>
      </c>
      <c r="K567">
        <v>0</v>
      </c>
      <c r="L567">
        <v>3</v>
      </c>
      <c r="M567">
        <v>0</v>
      </c>
      <c r="N567">
        <v>2</v>
      </c>
      <c r="O567">
        <v>1</v>
      </c>
      <c r="P567">
        <v>0</v>
      </c>
      <c r="Q567">
        <v>0</v>
      </c>
      <c r="R567" t="s">
        <v>112</v>
      </c>
      <c r="S567" t="str">
        <f>"13:59:48.313"</f>
        <v>13:59:48.313</v>
      </c>
      <c r="T567" t="str">
        <f>"13:59:47.813"</f>
        <v>13:59:47.813</v>
      </c>
      <c r="U567" t="str">
        <f t="shared" si="24"/>
        <v>ad5732</v>
      </c>
      <c r="V567">
        <v>0</v>
      </c>
      <c r="W567">
        <v>0</v>
      </c>
      <c r="X567">
        <v>1</v>
      </c>
      <c r="Z567">
        <v>0</v>
      </c>
      <c r="AA567">
        <v>9</v>
      </c>
      <c r="AB567">
        <v>3</v>
      </c>
      <c r="AC567">
        <v>0</v>
      </c>
      <c r="AD567">
        <v>10</v>
      </c>
      <c r="AE567">
        <v>0</v>
      </c>
      <c r="AF567">
        <v>3</v>
      </c>
      <c r="AG567">
        <v>2</v>
      </c>
      <c r="AH567">
        <v>0</v>
      </c>
      <c r="AI567" t="s">
        <v>1231</v>
      </c>
      <c r="AJ567">
        <v>39.256618000000003</v>
      </c>
      <c r="AK567" t="s">
        <v>1232</v>
      </c>
      <c r="AL567">
        <v>-77.295449000000005</v>
      </c>
      <c r="AM567">
        <v>100</v>
      </c>
      <c r="AN567">
        <v>8700</v>
      </c>
      <c r="AO567" t="s">
        <v>115</v>
      </c>
      <c r="AP567">
        <v>169</v>
      </c>
      <c r="AQ567">
        <v>73</v>
      </c>
      <c r="AR567">
        <v>128</v>
      </c>
      <c r="AZ567">
        <v>3614</v>
      </c>
      <c r="BA567">
        <v>1</v>
      </c>
      <c r="BB567" t="str">
        <f t="shared" si="26"/>
        <v xml:space="preserve">N959MJ  </v>
      </c>
      <c r="BC567">
        <v>1</v>
      </c>
      <c r="BE567">
        <v>0</v>
      </c>
      <c r="BF567">
        <v>0</v>
      </c>
      <c r="BG567">
        <v>0</v>
      </c>
      <c r="BH567">
        <v>9025</v>
      </c>
      <c r="BI567">
        <v>325</v>
      </c>
      <c r="BJ567">
        <v>1</v>
      </c>
      <c r="BK567">
        <v>1</v>
      </c>
      <c r="BL567">
        <v>1</v>
      </c>
      <c r="BM567">
        <v>0</v>
      </c>
      <c r="BP567">
        <v>0</v>
      </c>
      <c r="BQ567">
        <v>0</v>
      </c>
      <c r="BX567" t="str">
        <f>"13:59:48.320"</f>
        <v>13:59:48.320</v>
      </c>
      <c r="BY567" t="str">
        <f>"319474662"</f>
        <v>319474662</v>
      </c>
      <c r="CL567">
        <v>0</v>
      </c>
      <c r="CM567">
        <v>2</v>
      </c>
      <c r="CN567">
        <v>0</v>
      </c>
      <c r="CO567">
        <v>2</v>
      </c>
      <c r="CP567">
        <v>0</v>
      </c>
      <c r="CQ567">
        <v>7</v>
      </c>
      <c r="CR567" t="s">
        <v>116</v>
      </c>
      <c r="CS567">
        <v>147</v>
      </c>
      <c r="CT567">
        <v>3</v>
      </c>
      <c r="CU567" t="s">
        <v>117</v>
      </c>
      <c r="CV567" t="s">
        <v>118</v>
      </c>
      <c r="CY567">
        <v>16696960</v>
      </c>
      <c r="CZ567" t="s">
        <v>119</v>
      </c>
    </row>
    <row r="568" spans="1:104" x14ac:dyDescent="0.25">
      <c r="A568" t="str">
        <f>"13:59:49.570"</f>
        <v>13:59:49.570</v>
      </c>
      <c r="B568" t="s">
        <v>108</v>
      </c>
      <c r="C568" t="str">
        <f t="shared" si="25"/>
        <v>ffdfd3c0</v>
      </c>
      <c r="D568" t="s">
        <v>109</v>
      </c>
      <c r="E568">
        <v>4</v>
      </c>
      <c r="F568">
        <v>1004</v>
      </c>
      <c r="G568" t="s">
        <v>110</v>
      </c>
      <c r="J568" t="s">
        <v>111</v>
      </c>
      <c r="K568">
        <v>0</v>
      </c>
      <c r="L568">
        <v>3</v>
      </c>
      <c r="M568">
        <v>0</v>
      </c>
      <c r="N568">
        <v>2</v>
      </c>
      <c r="O568">
        <v>1</v>
      </c>
      <c r="P568">
        <v>0</v>
      </c>
      <c r="Q568">
        <v>0</v>
      </c>
      <c r="R568" t="s">
        <v>112</v>
      </c>
      <c r="S568" t="str">
        <f>"13:59:49.391"</f>
        <v>13:59:49.391</v>
      </c>
      <c r="T568" t="str">
        <f>"13:59:48.891"</f>
        <v>13:59:48.891</v>
      </c>
      <c r="U568" t="str">
        <f t="shared" si="24"/>
        <v>ad5732</v>
      </c>
      <c r="V568">
        <v>0</v>
      </c>
      <c r="W568">
        <v>0</v>
      </c>
      <c r="X568">
        <v>1</v>
      </c>
      <c r="Z568">
        <v>0</v>
      </c>
      <c r="AA568">
        <v>9</v>
      </c>
      <c r="AB568">
        <v>3</v>
      </c>
      <c r="AC568">
        <v>0</v>
      </c>
      <c r="AD568">
        <v>10</v>
      </c>
      <c r="AE568">
        <v>0</v>
      </c>
      <c r="AF568">
        <v>3</v>
      </c>
      <c r="AG568">
        <v>2</v>
      </c>
      <c r="AH568">
        <v>0</v>
      </c>
      <c r="AI568" t="s">
        <v>1233</v>
      </c>
      <c r="AJ568">
        <v>39.257047</v>
      </c>
      <c r="AK568" t="s">
        <v>1234</v>
      </c>
      <c r="AL568">
        <v>-77.294376</v>
      </c>
      <c r="AM568">
        <v>100</v>
      </c>
      <c r="AN568">
        <v>8700</v>
      </c>
      <c r="AO568" t="s">
        <v>115</v>
      </c>
      <c r="AP568">
        <v>170</v>
      </c>
      <c r="AQ568">
        <v>74</v>
      </c>
      <c r="AR568">
        <v>-64</v>
      </c>
      <c r="AZ568">
        <v>3614</v>
      </c>
      <c r="BA568">
        <v>1</v>
      </c>
      <c r="BB568" t="str">
        <f t="shared" si="26"/>
        <v xml:space="preserve">N959MJ  </v>
      </c>
      <c r="BC568">
        <v>1</v>
      </c>
      <c r="BE568">
        <v>0</v>
      </c>
      <c r="BF568">
        <v>0</v>
      </c>
      <c r="BG568">
        <v>0</v>
      </c>
      <c r="BH568">
        <v>9025</v>
      </c>
      <c r="BI568">
        <v>325</v>
      </c>
      <c r="BJ568">
        <v>1</v>
      </c>
      <c r="BK568">
        <v>1</v>
      </c>
      <c r="BL568">
        <v>1</v>
      </c>
      <c r="BM568">
        <v>0</v>
      </c>
      <c r="BP568">
        <v>0</v>
      </c>
      <c r="BQ568">
        <v>0</v>
      </c>
      <c r="BX568" t="str">
        <f>"13:59:49.398"</f>
        <v>13:59:49.398</v>
      </c>
      <c r="BY568" t="str">
        <f>"395912124"</f>
        <v>395912124</v>
      </c>
      <c r="CL568">
        <v>0</v>
      </c>
      <c r="CM568">
        <v>2</v>
      </c>
      <c r="CN568">
        <v>0</v>
      </c>
      <c r="CO568">
        <v>2</v>
      </c>
      <c r="CP568">
        <v>0</v>
      </c>
      <c r="CQ568">
        <v>7</v>
      </c>
      <c r="CR568" t="s">
        <v>116</v>
      </c>
      <c r="CS568">
        <v>525</v>
      </c>
      <c r="CT568">
        <v>2</v>
      </c>
      <c r="CU568" t="s">
        <v>140</v>
      </c>
      <c r="CV568" t="s">
        <v>141</v>
      </c>
      <c r="CY568">
        <v>14417241</v>
      </c>
      <c r="CZ568" t="s">
        <v>119</v>
      </c>
    </row>
    <row r="569" spans="1:104" x14ac:dyDescent="0.25">
      <c r="A569" t="str">
        <f>"13:59:50.531"</f>
        <v>13:59:50.531</v>
      </c>
      <c r="B569" t="s">
        <v>108</v>
      </c>
      <c r="C569" t="str">
        <f t="shared" si="25"/>
        <v>ffdfd3c0</v>
      </c>
      <c r="D569" t="s">
        <v>109</v>
      </c>
      <c r="E569">
        <v>4</v>
      </c>
      <c r="F569">
        <v>1004</v>
      </c>
      <c r="G569" t="s">
        <v>110</v>
      </c>
      <c r="J569" t="s">
        <v>111</v>
      </c>
      <c r="K569">
        <v>0</v>
      </c>
      <c r="L569">
        <v>3</v>
      </c>
      <c r="M569">
        <v>0</v>
      </c>
      <c r="N569">
        <v>2</v>
      </c>
      <c r="O569">
        <v>1</v>
      </c>
      <c r="P569">
        <v>0</v>
      </c>
      <c r="Q569">
        <v>0</v>
      </c>
      <c r="R569" t="s">
        <v>112</v>
      </c>
      <c r="S569" t="str">
        <f>"13:59:50.320"</f>
        <v>13:59:50.320</v>
      </c>
      <c r="T569" t="str">
        <f>"13:59:49.922"</f>
        <v>13:59:49.922</v>
      </c>
      <c r="U569" t="str">
        <f t="shared" si="24"/>
        <v>ad5732</v>
      </c>
      <c r="V569">
        <v>0</v>
      </c>
      <c r="W569">
        <v>0</v>
      </c>
      <c r="X569">
        <v>1</v>
      </c>
      <c r="Z569">
        <v>0</v>
      </c>
      <c r="AA569">
        <v>9</v>
      </c>
      <c r="AB569">
        <v>3</v>
      </c>
      <c r="AC569">
        <v>0</v>
      </c>
      <c r="AD569">
        <v>10</v>
      </c>
      <c r="AE569">
        <v>0</v>
      </c>
      <c r="AF569">
        <v>3</v>
      </c>
      <c r="AG569">
        <v>2</v>
      </c>
      <c r="AH569">
        <v>0</v>
      </c>
      <c r="AI569" t="s">
        <v>1235</v>
      </c>
      <c r="AJ569">
        <v>39.257305000000002</v>
      </c>
      <c r="AK569" t="s">
        <v>1236</v>
      </c>
      <c r="AL569">
        <v>-77.293409999999994</v>
      </c>
      <c r="AM569">
        <v>100</v>
      </c>
      <c r="AN569">
        <v>8700</v>
      </c>
      <c r="AO569" t="s">
        <v>115</v>
      </c>
      <c r="AP569">
        <v>170</v>
      </c>
      <c r="AQ569">
        <v>74</v>
      </c>
      <c r="AR569">
        <v>-128</v>
      </c>
      <c r="AZ569">
        <v>3614</v>
      </c>
      <c r="BA569">
        <v>1</v>
      </c>
      <c r="BB569" t="str">
        <f t="shared" si="26"/>
        <v xml:space="preserve">N959MJ  </v>
      </c>
      <c r="BC569">
        <v>1</v>
      </c>
      <c r="BE569">
        <v>0</v>
      </c>
      <c r="BF569">
        <v>0</v>
      </c>
      <c r="BG569">
        <v>0</v>
      </c>
      <c r="BH569">
        <v>9025</v>
      </c>
      <c r="BI569">
        <v>325</v>
      </c>
      <c r="BJ569">
        <v>1</v>
      </c>
      <c r="BK569">
        <v>1</v>
      </c>
      <c r="BL569">
        <v>1</v>
      </c>
      <c r="BM569">
        <v>0</v>
      </c>
      <c r="BP569">
        <v>0</v>
      </c>
      <c r="BQ569">
        <v>0</v>
      </c>
      <c r="BX569" t="str">
        <f>"13:59:50.328"</f>
        <v>13:59:50.328</v>
      </c>
      <c r="BY569" t="str">
        <f>"324899739"</f>
        <v>324899739</v>
      </c>
      <c r="CL569">
        <v>0</v>
      </c>
      <c r="CM569">
        <v>2</v>
      </c>
      <c r="CN569">
        <v>0</v>
      </c>
      <c r="CO569">
        <v>2</v>
      </c>
      <c r="CP569">
        <v>0</v>
      </c>
      <c r="CQ569">
        <v>7</v>
      </c>
      <c r="CR569" t="s">
        <v>116</v>
      </c>
      <c r="CS569">
        <v>525</v>
      </c>
      <c r="CT569">
        <v>2</v>
      </c>
      <c r="CU569" t="s">
        <v>140</v>
      </c>
      <c r="CV569" t="s">
        <v>141</v>
      </c>
      <c r="CY569">
        <v>14418514</v>
      </c>
      <c r="CZ569" t="s">
        <v>119</v>
      </c>
    </row>
    <row r="570" spans="1:104" x14ac:dyDescent="0.25">
      <c r="A570" t="str">
        <f>"13:59:51.484"</f>
        <v>13:59:51.484</v>
      </c>
      <c r="B570" t="s">
        <v>108</v>
      </c>
      <c r="C570" t="str">
        <f t="shared" si="25"/>
        <v>ffdfd3c0</v>
      </c>
      <c r="D570" t="s">
        <v>109</v>
      </c>
      <c r="E570">
        <v>4</v>
      </c>
      <c r="F570">
        <v>1004</v>
      </c>
      <c r="G570" t="s">
        <v>110</v>
      </c>
      <c r="J570" t="s">
        <v>111</v>
      </c>
      <c r="K570">
        <v>0</v>
      </c>
      <c r="L570">
        <v>3</v>
      </c>
      <c r="M570">
        <v>0</v>
      </c>
      <c r="N570">
        <v>2</v>
      </c>
      <c r="O570">
        <v>1</v>
      </c>
      <c r="P570">
        <v>0</v>
      </c>
      <c r="Q570">
        <v>0</v>
      </c>
      <c r="R570" t="s">
        <v>112</v>
      </c>
      <c r="S570" t="str">
        <f>"13:59:51.289"</f>
        <v>13:59:51.289</v>
      </c>
      <c r="T570" t="str">
        <f>"13:59:50.891"</f>
        <v>13:59:50.891</v>
      </c>
      <c r="U570" t="str">
        <f t="shared" si="24"/>
        <v>ad5732</v>
      </c>
      <c r="V570">
        <v>0</v>
      </c>
      <c r="W570">
        <v>0</v>
      </c>
      <c r="X570">
        <v>1</v>
      </c>
      <c r="Z570">
        <v>0</v>
      </c>
      <c r="AA570">
        <v>9</v>
      </c>
      <c r="AB570">
        <v>3</v>
      </c>
      <c r="AC570">
        <v>0</v>
      </c>
      <c r="AD570">
        <v>10</v>
      </c>
      <c r="AE570">
        <v>0</v>
      </c>
      <c r="AF570">
        <v>3</v>
      </c>
      <c r="AG570">
        <v>2</v>
      </c>
      <c r="AH570">
        <v>0</v>
      </c>
      <c r="AI570" t="s">
        <v>1237</v>
      </c>
      <c r="AJ570">
        <v>39.257669</v>
      </c>
      <c r="AK570" t="s">
        <v>1238</v>
      </c>
      <c r="AL570">
        <v>-77.292401999999996</v>
      </c>
      <c r="AM570">
        <v>100</v>
      </c>
      <c r="AN570">
        <v>8700</v>
      </c>
      <c r="AO570" t="s">
        <v>115</v>
      </c>
      <c r="AP570">
        <v>171</v>
      </c>
      <c r="AQ570">
        <v>74</v>
      </c>
      <c r="AR570">
        <v>-256</v>
      </c>
      <c r="AZ570">
        <v>3614</v>
      </c>
      <c r="BA570">
        <v>1</v>
      </c>
      <c r="BB570" t="str">
        <f t="shared" si="26"/>
        <v xml:space="preserve">N959MJ  </v>
      </c>
      <c r="BC570">
        <v>1</v>
      </c>
      <c r="BE570">
        <v>0</v>
      </c>
      <c r="BF570">
        <v>0</v>
      </c>
      <c r="BG570">
        <v>0</v>
      </c>
      <c r="BH570">
        <v>9025</v>
      </c>
      <c r="BI570">
        <v>325</v>
      </c>
      <c r="BJ570">
        <v>1</v>
      </c>
      <c r="BK570">
        <v>1</v>
      </c>
      <c r="BL570">
        <v>1</v>
      </c>
      <c r="BM570">
        <v>0</v>
      </c>
      <c r="BP570">
        <v>0</v>
      </c>
      <c r="BQ570">
        <v>0</v>
      </c>
      <c r="BX570" t="str">
        <f>"13:59:51.297"</f>
        <v>13:59:51.297</v>
      </c>
      <c r="BY570" t="str">
        <f>"294856643"</f>
        <v>294856643</v>
      </c>
      <c r="CL570">
        <v>0</v>
      </c>
      <c r="CM570">
        <v>2</v>
      </c>
      <c r="CN570">
        <v>0</v>
      </c>
      <c r="CO570">
        <v>2</v>
      </c>
      <c r="CP570">
        <v>0</v>
      </c>
      <c r="CQ570">
        <v>7</v>
      </c>
      <c r="CR570" t="s">
        <v>116</v>
      </c>
      <c r="CS570">
        <v>147</v>
      </c>
      <c r="CT570">
        <v>0</v>
      </c>
      <c r="CU570" t="s">
        <v>117</v>
      </c>
      <c r="CV570" t="s">
        <v>118</v>
      </c>
      <c r="CY570">
        <v>4815843</v>
      </c>
      <c r="CZ570" t="s">
        <v>119</v>
      </c>
    </row>
    <row r="571" spans="1:104" x14ac:dyDescent="0.25">
      <c r="A571" t="str">
        <f>"13:59:52.344"</f>
        <v>13:59:52.344</v>
      </c>
      <c r="B571" t="s">
        <v>108</v>
      </c>
      <c r="C571" t="str">
        <f t="shared" si="25"/>
        <v>ffdfd3c0</v>
      </c>
      <c r="D571" t="s">
        <v>109</v>
      </c>
      <c r="E571">
        <v>4</v>
      </c>
      <c r="F571">
        <v>1004</v>
      </c>
      <c r="G571" t="s">
        <v>110</v>
      </c>
      <c r="J571" t="s">
        <v>111</v>
      </c>
      <c r="K571">
        <v>0</v>
      </c>
      <c r="L571">
        <v>3</v>
      </c>
      <c r="M571">
        <v>0</v>
      </c>
      <c r="N571">
        <v>2</v>
      </c>
      <c r="O571">
        <v>1</v>
      </c>
      <c r="P571">
        <v>0</v>
      </c>
      <c r="Q571">
        <v>0</v>
      </c>
      <c r="R571" t="s">
        <v>112</v>
      </c>
      <c r="S571" t="str">
        <f>"13:59:52.156"</f>
        <v>13:59:52.156</v>
      </c>
      <c r="T571" t="str">
        <f>"13:59:51.758"</f>
        <v>13:59:51.758</v>
      </c>
      <c r="U571" t="str">
        <f t="shared" si="24"/>
        <v>ad5732</v>
      </c>
      <c r="V571">
        <v>0</v>
      </c>
      <c r="W571">
        <v>0</v>
      </c>
      <c r="X571">
        <v>1</v>
      </c>
      <c r="Z571">
        <v>0</v>
      </c>
      <c r="AA571">
        <v>9</v>
      </c>
      <c r="AB571">
        <v>3</v>
      </c>
      <c r="AC571">
        <v>0</v>
      </c>
      <c r="AD571">
        <v>10</v>
      </c>
      <c r="AE571">
        <v>0</v>
      </c>
      <c r="AF571">
        <v>3</v>
      </c>
      <c r="AG571">
        <v>2</v>
      </c>
      <c r="AH571">
        <v>0</v>
      </c>
      <c r="AI571" t="s">
        <v>1239</v>
      </c>
      <c r="AJ571">
        <v>39.257947999999999</v>
      </c>
      <c r="AK571" t="s">
        <v>1240</v>
      </c>
      <c r="AL571">
        <v>-77.291629</v>
      </c>
      <c r="AM571">
        <v>100</v>
      </c>
      <c r="AN571">
        <v>8700</v>
      </c>
      <c r="AO571" t="s">
        <v>115</v>
      </c>
      <c r="AP571">
        <v>172</v>
      </c>
      <c r="AQ571">
        <v>74</v>
      </c>
      <c r="AR571">
        <v>-320</v>
      </c>
      <c r="AZ571">
        <v>3614</v>
      </c>
      <c r="BA571">
        <v>1</v>
      </c>
      <c r="BB571" t="str">
        <f t="shared" si="26"/>
        <v xml:space="preserve">N959MJ  </v>
      </c>
      <c r="BC571">
        <v>1</v>
      </c>
      <c r="BE571">
        <v>0</v>
      </c>
      <c r="BF571">
        <v>0</v>
      </c>
      <c r="BG571">
        <v>0</v>
      </c>
      <c r="BH571">
        <v>9025</v>
      </c>
      <c r="BI571">
        <v>325</v>
      </c>
      <c r="BJ571">
        <v>1</v>
      </c>
      <c r="BK571">
        <v>1</v>
      </c>
      <c r="BL571">
        <v>1</v>
      </c>
      <c r="BM571">
        <v>0</v>
      </c>
      <c r="BP571">
        <v>0</v>
      </c>
      <c r="BQ571">
        <v>0</v>
      </c>
      <c r="BX571" t="str">
        <f>"13:59:52.164"</f>
        <v>13:59:52.164</v>
      </c>
      <c r="BY571" t="str">
        <f>"163222543"</f>
        <v>163222543</v>
      </c>
      <c r="CL571">
        <v>0</v>
      </c>
      <c r="CM571">
        <v>2</v>
      </c>
      <c r="CN571">
        <v>0</v>
      </c>
      <c r="CO571">
        <v>2</v>
      </c>
      <c r="CP571">
        <v>0</v>
      </c>
      <c r="CQ571">
        <v>7</v>
      </c>
      <c r="CR571" t="s">
        <v>116</v>
      </c>
      <c r="CS571">
        <v>147</v>
      </c>
      <c r="CT571">
        <v>3</v>
      </c>
      <c r="CU571" t="s">
        <v>117</v>
      </c>
      <c r="CV571" t="s">
        <v>118</v>
      </c>
      <c r="CY571">
        <v>16703162</v>
      </c>
      <c r="CZ571" t="s">
        <v>119</v>
      </c>
    </row>
    <row r="572" spans="1:104" x14ac:dyDescent="0.25">
      <c r="A572" t="str">
        <f>"13:59:53.352"</f>
        <v>13:59:53.352</v>
      </c>
      <c r="B572" t="s">
        <v>108</v>
      </c>
      <c r="C572" t="str">
        <f t="shared" si="25"/>
        <v>ffdfd3c0</v>
      </c>
      <c r="D572" t="s">
        <v>109</v>
      </c>
      <c r="E572">
        <v>4</v>
      </c>
      <c r="F572">
        <v>1004</v>
      </c>
      <c r="G572" t="s">
        <v>110</v>
      </c>
      <c r="J572" t="s">
        <v>111</v>
      </c>
      <c r="K572">
        <v>0</v>
      </c>
      <c r="L572">
        <v>3</v>
      </c>
      <c r="M572">
        <v>0</v>
      </c>
      <c r="N572">
        <v>2</v>
      </c>
      <c r="O572">
        <v>1</v>
      </c>
      <c r="P572">
        <v>0</v>
      </c>
      <c r="Q572">
        <v>0</v>
      </c>
      <c r="R572" t="s">
        <v>112</v>
      </c>
      <c r="S572" t="str">
        <f>"13:59:53.164"</f>
        <v>13:59:53.164</v>
      </c>
      <c r="T572" t="str">
        <f>"13:59:52.664"</f>
        <v>13:59:52.664</v>
      </c>
      <c r="U572" t="str">
        <f t="shared" si="24"/>
        <v>ad5732</v>
      </c>
      <c r="V572">
        <v>0</v>
      </c>
      <c r="W572">
        <v>0</v>
      </c>
      <c r="X572">
        <v>1</v>
      </c>
      <c r="Z572">
        <v>0</v>
      </c>
      <c r="AA572">
        <v>9</v>
      </c>
      <c r="AB572">
        <v>3</v>
      </c>
      <c r="AC572">
        <v>0</v>
      </c>
      <c r="AD572">
        <v>10</v>
      </c>
      <c r="AE572">
        <v>0</v>
      </c>
      <c r="AF572">
        <v>3</v>
      </c>
      <c r="AG572">
        <v>2</v>
      </c>
      <c r="AH572">
        <v>0</v>
      </c>
      <c r="AI572" t="s">
        <v>1241</v>
      </c>
      <c r="AJ572">
        <v>39.258270000000003</v>
      </c>
      <c r="AK572" t="s">
        <v>1242</v>
      </c>
      <c r="AL572">
        <v>-77.290555999999995</v>
      </c>
      <c r="AM572">
        <v>100</v>
      </c>
      <c r="AN572">
        <v>8700</v>
      </c>
      <c r="AO572" t="s">
        <v>115</v>
      </c>
      <c r="AP572">
        <v>173</v>
      </c>
      <c r="AQ572">
        <v>74</v>
      </c>
      <c r="AR572">
        <v>-384</v>
      </c>
      <c r="AZ572">
        <v>3614</v>
      </c>
      <c r="BA572">
        <v>1</v>
      </c>
      <c r="BB572" t="str">
        <f t="shared" si="26"/>
        <v xml:space="preserve">N959MJ  </v>
      </c>
      <c r="BC572">
        <v>1</v>
      </c>
      <c r="BE572">
        <v>0</v>
      </c>
      <c r="BF572">
        <v>0</v>
      </c>
      <c r="BG572">
        <v>0</v>
      </c>
      <c r="BH572">
        <v>9025</v>
      </c>
      <c r="BI572">
        <v>325</v>
      </c>
      <c r="BJ572">
        <v>1</v>
      </c>
      <c r="BK572">
        <v>1</v>
      </c>
      <c r="BL572">
        <v>1</v>
      </c>
      <c r="BM572">
        <v>0</v>
      </c>
      <c r="BP572">
        <v>0</v>
      </c>
      <c r="BQ572">
        <v>0</v>
      </c>
      <c r="BX572" t="str">
        <f>"13:59:53.172"</f>
        <v>13:59:53.172</v>
      </c>
      <c r="BY572" t="str">
        <f>"169207949"</f>
        <v>169207949</v>
      </c>
      <c r="CL572">
        <v>0</v>
      </c>
      <c r="CM572">
        <v>2</v>
      </c>
      <c r="CN572">
        <v>0</v>
      </c>
      <c r="CO572">
        <v>2</v>
      </c>
      <c r="CP572">
        <v>0</v>
      </c>
      <c r="CQ572">
        <v>7</v>
      </c>
      <c r="CR572" t="s">
        <v>116</v>
      </c>
      <c r="CS572">
        <v>525</v>
      </c>
      <c r="CT572">
        <v>2</v>
      </c>
      <c r="CU572" t="s">
        <v>140</v>
      </c>
      <c r="CV572" t="s">
        <v>141</v>
      </c>
      <c r="CY572">
        <v>14422709</v>
      </c>
      <c r="CZ572" t="s">
        <v>119</v>
      </c>
    </row>
    <row r="573" spans="1:104" x14ac:dyDescent="0.25">
      <c r="A573" t="str">
        <f>"13:59:54.313"</f>
        <v>13:59:54.313</v>
      </c>
      <c r="B573" t="s">
        <v>108</v>
      </c>
      <c r="C573" t="str">
        <f t="shared" si="25"/>
        <v>ffdfd3c0</v>
      </c>
      <c r="D573" t="s">
        <v>109</v>
      </c>
      <c r="E573">
        <v>4</v>
      </c>
      <c r="F573">
        <v>1004</v>
      </c>
      <c r="G573" t="s">
        <v>110</v>
      </c>
      <c r="J573" t="s">
        <v>111</v>
      </c>
      <c r="K573">
        <v>0</v>
      </c>
      <c r="L573">
        <v>3</v>
      </c>
      <c r="M573">
        <v>0</v>
      </c>
      <c r="N573">
        <v>2</v>
      </c>
      <c r="O573">
        <v>1</v>
      </c>
      <c r="P573">
        <v>0</v>
      </c>
      <c r="Q573">
        <v>0</v>
      </c>
      <c r="R573" t="s">
        <v>112</v>
      </c>
      <c r="S573" t="str">
        <f>"13:59:54.141"</f>
        <v>13:59:54.141</v>
      </c>
      <c r="T573" t="str">
        <f>"13:59:53.742"</f>
        <v>13:59:53.742</v>
      </c>
      <c r="U573" t="str">
        <f t="shared" si="24"/>
        <v>ad5732</v>
      </c>
      <c r="V573">
        <v>0</v>
      </c>
      <c r="W573">
        <v>0</v>
      </c>
      <c r="X573">
        <v>1</v>
      </c>
      <c r="Z573">
        <v>0</v>
      </c>
      <c r="AA573">
        <v>9</v>
      </c>
      <c r="AB573">
        <v>3</v>
      </c>
      <c r="AC573">
        <v>0</v>
      </c>
      <c r="AD573">
        <v>10</v>
      </c>
      <c r="AE573">
        <v>0</v>
      </c>
      <c r="AF573">
        <v>3</v>
      </c>
      <c r="AG573">
        <v>2</v>
      </c>
      <c r="AH573">
        <v>0</v>
      </c>
      <c r="AI573" t="s">
        <v>1243</v>
      </c>
      <c r="AJ573">
        <v>39.258634999999998</v>
      </c>
      <c r="AK573" t="s">
        <v>1244</v>
      </c>
      <c r="AL573">
        <v>-77.289525999999995</v>
      </c>
      <c r="AM573">
        <v>100</v>
      </c>
      <c r="AN573">
        <v>8700</v>
      </c>
      <c r="AO573" t="s">
        <v>115</v>
      </c>
      <c r="AP573">
        <v>174</v>
      </c>
      <c r="AQ573">
        <v>74</v>
      </c>
      <c r="AR573">
        <v>-448</v>
      </c>
      <c r="AZ573">
        <v>3614</v>
      </c>
      <c r="BA573">
        <v>1</v>
      </c>
      <c r="BB573" t="str">
        <f t="shared" si="26"/>
        <v xml:space="preserve">N959MJ  </v>
      </c>
      <c r="BC573">
        <v>1</v>
      </c>
      <c r="BE573">
        <v>0</v>
      </c>
      <c r="BF573">
        <v>0</v>
      </c>
      <c r="BG573">
        <v>0</v>
      </c>
      <c r="BH573">
        <v>9000</v>
      </c>
      <c r="BI573">
        <v>300</v>
      </c>
      <c r="BJ573">
        <v>1</v>
      </c>
      <c r="BK573">
        <v>1</v>
      </c>
      <c r="BL573">
        <v>1</v>
      </c>
      <c r="BM573">
        <v>0</v>
      </c>
      <c r="BP573">
        <v>0</v>
      </c>
      <c r="BQ573">
        <v>0</v>
      </c>
      <c r="BX573" t="str">
        <f>"13:59:54.148"</f>
        <v>13:59:54.148</v>
      </c>
      <c r="BY573" t="str">
        <f>"147348358"</f>
        <v>147348358</v>
      </c>
      <c r="CL573">
        <v>0</v>
      </c>
      <c r="CM573">
        <v>2</v>
      </c>
      <c r="CN573">
        <v>0</v>
      </c>
      <c r="CO573">
        <v>2</v>
      </c>
      <c r="CP573">
        <v>0</v>
      </c>
      <c r="CQ573">
        <v>7</v>
      </c>
      <c r="CR573" t="s">
        <v>116</v>
      </c>
      <c r="CS573">
        <v>525</v>
      </c>
      <c r="CT573">
        <v>1</v>
      </c>
      <c r="CU573" t="s">
        <v>140</v>
      </c>
      <c r="CV573" t="s">
        <v>141</v>
      </c>
      <c r="CY573">
        <v>8006000</v>
      </c>
      <c r="CZ573" t="s">
        <v>119</v>
      </c>
    </row>
    <row r="574" spans="1:104" x14ac:dyDescent="0.25">
      <c r="A574" t="str">
        <f>"13:59:55.273"</f>
        <v>13:59:55.273</v>
      </c>
      <c r="B574" t="s">
        <v>108</v>
      </c>
      <c r="C574" t="str">
        <f t="shared" si="25"/>
        <v>ffdfd3c0</v>
      </c>
      <c r="D574" t="s">
        <v>109</v>
      </c>
      <c r="E574">
        <v>4</v>
      </c>
      <c r="F574">
        <v>1004</v>
      </c>
      <c r="G574" t="s">
        <v>110</v>
      </c>
      <c r="J574" t="s">
        <v>111</v>
      </c>
      <c r="K574">
        <v>0</v>
      </c>
      <c r="L574">
        <v>3</v>
      </c>
      <c r="M574">
        <v>0</v>
      </c>
      <c r="N574">
        <v>2</v>
      </c>
      <c r="O574">
        <v>1</v>
      </c>
      <c r="P574">
        <v>0</v>
      </c>
      <c r="Q574">
        <v>0</v>
      </c>
      <c r="R574" t="s">
        <v>112</v>
      </c>
      <c r="S574" t="str">
        <f>"13:59:55.078"</f>
        <v>13:59:55.078</v>
      </c>
      <c r="T574" t="str">
        <f>"13:59:54.680"</f>
        <v>13:59:54.680</v>
      </c>
      <c r="U574" t="str">
        <f t="shared" si="24"/>
        <v>ad5732</v>
      </c>
      <c r="V574">
        <v>0</v>
      </c>
      <c r="W574">
        <v>0</v>
      </c>
      <c r="X574">
        <v>1</v>
      </c>
      <c r="Z574">
        <v>0</v>
      </c>
      <c r="AA574">
        <v>9</v>
      </c>
      <c r="AB574">
        <v>3</v>
      </c>
      <c r="AC574">
        <v>0</v>
      </c>
      <c r="AD574">
        <v>10</v>
      </c>
      <c r="AE574">
        <v>0</v>
      </c>
      <c r="AF574">
        <v>3</v>
      </c>
      <c r="AG574">
        <v>2</v>
      </c>
      <c r="AH574">
        <v>0</v>
      </c>
      <c r="AI574" t="s">
        <v>1245</v>
      </c>
      <c r="AJ574">
        <v>39.259</v>
      </c>
      <c r="AK574" t="s">
        <v>1246</v>
      </c>
      <c r="AL574">
        <v>-77.288517999999996</v>
      </c>
      <c r="AM574">
        <v>100</v>
      </c>
      <c r="AN574">
        <v>8700</v>
      </c>
      <c r="AO574" t="s">
        <v>115</v>
      </c>
      <c r="AP574">
        <v>174</v>
      </c>
      <c r="AQ574">
        <v>74</v>
      </c>
      <c r="AR574">
        <v>-448</v>
      </c>
      <c r="AZ574">
        <v>3614</v>
      </c>
      <c r="BA574">
        <v>1</v>
      </c>
      <c r="BB574" t="str">
        <f t="shared" si="26"/>
        <v xml:space="preserve">N959MJ  </v>
      </c>
      <c r="BC574">
        <v>1</v>
      </c>
      <c r="BE574">
        <v>0</v>
      </c>
      <c r="BF574">
        <v>0</v>
      </c>
      <c r="BG574">
        <v>0</v>
      </c>
      <c r="BH574">
        <v>9000</v>
      </c>
      <c r="BI574">
        <v>300</v>
      </c>
      <c r="BJ574">
        <v>1</v>
      </c>
      <c r="BK574">
        <v>1</v>
      </c>
      <c r="BL574">
        <v>1</v>
      </c>
      <c r="BM574">
        <v>0</v>
      </c>
      <c r="BP574">
        <v>0</v>
      </c>
      <c r="BQ574">
        <v>0</v>
      </c>
      <c r="BX574" t="str">
        <f>"13:59:55.078"</f>
        <v>13:59:55.078</v>
      </c>
      <c r="BY574" t="str">
        <f>"081251355"</f>
        <v>081251355</v>
      </c>
      <c r="CL574">
        <v>0</v>
      </c>
      <c r="CM574">
        <v>2</v>
      </c>
      <c r="CN574">
        <v>0</v>
      </c>
      <c r="CO574">
        <v>2</v>
      </c>
      <c r="CP574">
        <v>0</v>
      </c>
      <c r="CQ574">
        <v>7</v>
      </c>
      <c r="CR574" t="s">
        <v>116</v>
      </c>
      <c r="CS574">
        <v>525</v>
      </c>
      <c r="CT574">
        <v>2</v>
      </c>
      <c r="CU574" t="s">
        <v>140</v>
      </c>
      <c r="CV574" t="s">
        <v>141</v>
      </c>
      <c r="CY574">
        <v>14425357</v>
      </c>
      <c r="CZ574" t="s">
        <v>119</v>
      </c>
    </row>
    <row r="575" spans="1:104" x14ac:dyDescent="0.25">
      <c r="A575" t="str">
        <f>"13:59:56.133"</f>
        <v>13:59:56.133</v>
      </c>
      <c r="B575" t="s">
        <v>108</v>
      </c>
      <c r="C575" t="str">
        <f t="shared" si="25"/>
        <v>ffdfd3c0</v>
      </c>
      <c r="D575" t="s">
        <v>109</v>
      </c>
      <c r="E575">
        <v>4</v>
      </c>
      <c r="F575">
        <v>1004</v>
      </c>
      <c r="G575" t="s">
        <v>110</v>
      </c>
      <c r="J575" t="s">
        <v>111</v>
      </c>
      <c r="K575">
        <v>0</v>
      </c>
      <c r="L575">
        <v>3</v>
      </c>
      <c r="M575">
        <v>0</v>
      </c>
      <c r="N575">
        <v>2</v>
      </c>
      <c r="O575">
        <v>1</v>
      </c>
      <c r="P575">
        <v>0</v>
      </c>
      <c r="Q575">
        <v>0</v>
      </c>
      <c r="R575" t="s">
        <v>112</v>
      </c>
      <c r="S575" t="str">
        <f>"13:59:55.945"</f>
        <v>13:59:55.945</v>
      </c>
      <c r="T575" t="str">
        <f>"13:59:55.547"</f>
        <v>13:59:55.547</v>
      </c>
      <c r="U575" t="str">
        <f t="shared" si="24"/>
        <v>ad5732</v>
      </c>
      <c r="V575">
        <v>0</v>
      </c>
      <c r="W575">
        <v>0</v>
      </c>
      <c r="X575">
        <v>1</v>
      </c>
      <c r="Z575">
        <v>0</v>
      </c>
      <c r="AA575">
        <v>9</v>
      </c>
      <c r="AB575">
        <v>3</v>
      </c>
      <c r="AC575">
        <v>0</v>
      </c>
      <c r="AD575">
        <v>10</v>
      </c>
      <c r="AE575">
        <v>0</v>
      </c>
      <c r="AF575">
        <v>3</v>
      </c>
      <c r="AG575">
        <v>2</v>
      </c>
      <c r="AH575">
        <v>0</v>
      </c>
      <c r="AI575" t="s">
        <v>1247</v>
      </c>
      <c r="AJ575">
        <v>39.259278999999999</v>
      </c>
      <c r="AK575" t="s">
        <v>1248</v>
      </c>
      <c r="AL575">
        <v>-77.287681000000006</v>
      </c>
      <c r="AM575">
        <v>100</v>
      </c>
      <c r="AN575">
        <v>8700</v>
      </c>
      <c r="AO575" t="s">
        <v>115</v>
      </c>
      <c r="AP575">
        <v>175</v>
      </c>
      <c r="AQ575">
        <v>74</v>
      </c>
      <c r="AR575">
        <v>-448</v>
      </c>
      <c r="AZ575">
        <v>3614</v>
      </c>
      <c r="BA575">
        <v>1</v>
      </c>
      <c r="BB575" t="str">
        <f t="shared" si="26"/>
        <v xml:space="preserve">N959MJ  </v>
      </c>
      <c r="BC575">
        <v>1</v>
      </c>
      <c r="BE575">
        <v>0</v>
      </c>
      <c r="BF575">
        <v>0</v>
      </c>
      <c r="BG575">
        <v>0</v>
      </c>
      <c r="BH575">
        <v>9000</v>
      </c>
      <c r="BI575">
        <v>300</v>
      </c>
      <c r="BJ575">
        <v>1</v>
      </c>
      <c r="BK575">
        <v>1</v>
      </c>
      <c r="BL575">
        <v>1</v>
      </c>
      <c r="BM575">
        <v>0</v>
      </c>
      <c r="BP575">
        <v>0</v>
      </c>
      <c r="BQ575">
        <v>0</v>
      </c>
      <c r="BX575" t="str">
        <f>"13:59:55.953"</f>
        <v>13:59:55.953</v>
      </c>
      <c r="BY575" t="str">
        <f>"951264205"</f>
        <v>951264205</v>
      </c>
      <c r="CL575">
        <v>0</v>
      </c>
      <c r="CM575">
        <v>2</v>
      </c>
      <c r="CN575">
        <v>0</v>
      </c>
      <c r="CO575">
        <v>2</v>
      </c>
      <c r="CP575">
        <v>0</v>
      </c>
      <c r="CQ575">
        <v>7</v>
      </c>
      <c r="CR575" t="s">
        <v>116</v>
      </c>
      <c r="CS575">
        <v>147</v>
      </c>
      <c r="CT575">
        <v>3</v>
      </c>
      <c r="CU575" t="s">
        <v>117</v>
      </c>
      <c r="CV575" t="s">
        <v>118</v>
      </c>
      <c r="CY575">
        <v>16709185</v>
      </c>
      <c r="CZ575" t="s">
        <v>119</v>
      </c>
    </row>
    <row r="576" spans="1:104" x14ac:dyDescent="0.25">
      <c r="A576" t="str">
        <f>"13:59:56.938"</f>
        <v>13:59:56.938</v>
      </c>
      <c r="B576" t="s">
        <v>108</v>
      </c>
      <c r="C576" t="str">
        <f t="shared" si="25"/>
        <v>ffdfd3c0</v>
      </c>
      <c r="D576" t="s">
        <v>109</v>
      </c>
      <c r="E576">
        <v>4</v>
      </c>
      <c r="F576">
        <v>1004</v>
      </c>
      <c r="G576" t="s">
        <v>110</v>
      </c>
      <c r="J576" t="s">
        <v>111</v>
      </c>
      <c r="K576">
        <v>0</v>
      </c>
      <c r="L576">
        <v>3</v>
      </c>
      <c r="M576">
        <v>0</v>
      </c>
      <c r="N576">
        <v>2</v>
      </c>
      <c r="O576">
        <v>1</v>
      </c>
      <c r="P576">
        <v>0</v>
      </c>
      <c r="Q576">
        <v>0</v>
      </c>
      <c r="R576" t="s">
        <v>112</v>
      </c>
      <c r="S576" t="str">
        <f>"13:59:56.758"</f>
        <v>13:59:56.758</v>
      </c>
      <c r="T576" t="str">
        <f>"13:59:56.359"</f>
        <v>13:59:56.359</v>
      </c>
      <c r="U576" t="str">
        <f t="shared" si="24"/>
        <v>ad5732</v>
      </c>
      <c r="V576">
        <v>0</v>
      </c>
      <c r="W576">
        <v>0</v>
      </c>
      <c r="X576">
        <v>1</v>
      </c>
      <c r="Z576">
        <v>0</v>
      </c>
      <c r="AA576">
        <v>9</v>
      </c>
      <c r="AB576">
        <v>3</v>
      </c>
      <c r="AC576">
        <v>0</v>
      </c>
      <c r="AD576">
        <v>10</v>
      </c>
      <c r="AE576">
        <v>0</v>
      </c>
      <c r="AF576">
        <v>3</v>
      </c>
      <c r="AG576">
        <v>2</v>
      </c>
      <c r="AH576">
        <v>0</v>
      </c>
      <c r="AI576" t="s">
        <v>1249</v>
      </c>
      <c r="AJ576">
        <v>39.259557999999998</v>
      </c>
      <c r="AK576" t="s">
        <v>1250</v>
      </c>
      <c r="AL576">
        <v>-77.286844000000002</v>
      </c>
      <c r="AM576">
        <v>100</v>
      </c>
      <c r="AN576">
        <v>8700</v>
      </c>
      <c r="AO576" t="s">
        <v>115</v>
      </c>
      <c r="AP576">
        <v>176</v>
      </c>
      <c r="AQ576">
        <v>74</v>
      </c>
      <c r="AR576">
        <v>-448</v>
      </c>
      <c r="AZ576">
        <v>3614</v>
      </c>
      <c r="BA576">
        <v>1</v>
      </c>
      <c r="BB576" t="str">
        <f t="shared" si="26"/>
        <v xml:space="preserve">N959MJ  </v>
      </c>
      <c r="BC576">
        <v>1</v>
      </c>
      <c r="BE576">
        <v>0</v>
      </c>
      <c r="BF576">
        <v>0</v>
      </c>
      <c r="BG576">
        <v>0</v>
      </c>
      <c r="BH576">
        <v>9000</v>
      </c>
      <c r="BI576">
        <v>300</v>
      </c>
      <c r="BJ576">
        <v>1</v>
      </c>
      <c r="BK576">
        <v>1</v>
      </c>
      <c r="BL576">
        <v>1</v>
      </c>
      <c r="BM576">
        <v>0</v>
      </c>
      <c r="BP576">
        <v>0</v>
      </c>
      <c r="BQ576">
        <v>0</v>
      </c>
      <c r="BX576" t="str">
        <f>"13:59:56.766"</f>
        <v>13:59:56.766</v>
      </c>
      <c r="BY576" t="str">
        <f>"762284927"</f>
        <v>762284927</v>
      </c>
      <c r="CL576">
        <v>0</v>
      </c>
      <c r="CM576">
        <v>2</v>
      </c>
      <c r="CN576">
        <v>0</v>
      </c>
      <c r="CO576">
        <v>2</v>
      </c>
      <c r="CP576">
        <v>0</v>
      </c>
      <c r="CQ576">
        <v>7</v>
      </c>
      <c r="CR576" t="s">
        <v>116</v>
      </c>
      <c r="CS576">
        <v>147</v>
      </c>
      <c r="CT576">
        <v>0</v>
      </c>
      <c r="CU576" t="s">
        <v>117</v>
      </c>
      <c r="CV576" t="s">
        <v>118</v>
      </c>
      <c r="CY576">
        <v>4824296</v>
      </c>
      <c r="CZ576" t="s">
        <v>119</v>
      </c>
    </row>
    <row r="577" spans="1:104" x14ac:dyDescent="0.25">
      <c r="A577" t="str">
        <f>"13:59:58.047"</f>
        <v>13:59:58.047</v>
      </c>
      <c r="B577" t="s">
        <v>108</v>
      </c>
      <c r="C577" t="str">
        <f t="shared" si="25"/>
        <v>ffdfd3c0</v>
      </c>
      <c r="D577" t="s">
        <v>109</v>
      </c>
      <c r="E577">
        <v>4</v>
      </c>
      <c r="F577">
        <v>1004</v>
      </c>
      <c r="G577" t="s">
        <v>110</v>
      </c>
      <c r="J577" t="s">
        <v>111</v>
      </c>
      <c r="K577">
        <v>0</v>
      </c>
      <c r="L577">
        <v>3</v>
      </c>
      <c r="M577">
        <v>0</v>
      </c>
      <c r="N577">
        <v>2</v>
      </c>
      <c r="O577">
        <v>1</v>
      </c>
      <c r="P577">
        <v>0</v>
      </c>
      <c r="Q577">
        <v>0</v>
      </c>
      <c r="R577" t="s">
        <v>112</v>
      </c>
      <c r="S577" t="str">
        <f>"13:59:57.828"</f>
        <v>13:59:57.828</v>
      </c>
      <c r="T577" t="str">
        <f>"13:59:57.328"</f>
        <v>13:59:57.328</v>
      </c>
      <c r="U577" t="str">
        <f t="shared" si="24"/>
        <v>ad5732</v>
      </c>
      <c r="V577">
        <v>0</v>
      </c>
      <c r="W577">
        <v>0</v>
      </c>
      <c r="X577">
        <v>1</v>
      </c>
      <c r="Z577">
        <v>0</v>
      </c>
      <c r="AA577">
        <v>9</v>
      </c>
      <c r="AB577">
        <v>3</v>
      </c>
      <c r="AC577">
        <v>0</v>
      </c>
      <c r="AD577">
        <v>10</v>
      </c>
      <c r="AE577">
        <v>0</v>
      </c>
      <c r="AF577">
        <v>3</v>
      </c>
      <c r="AG577">
        <v>2</v>
      </c>
      <c r="AH577">
        <v>0</v>
      </c>
      <c r="AI577" t="s">
        <v>1251</v>
      </c>
      <c r="AJ577">
        <v>39.259923000000001</v>
      </c>
      <c r="AK577" t="s">
        <v>1252</v>
      </c>
      <c r="AL577">
        <v>-77.285642999999993</v>
      </c>
      <c r="AM577">
        <v>100</v>
      </c>
      <c r="AN577">
        <v>8700</v>
      </c>
      <c r="AO577" t="s">
        <v>115</v>
      </c>
      <c r="AP577">
        <v>176</v>
      </c>
      <c r="AQ577">
        <v>74</v>
      </c>
      <c r="AR577">
        <v>-384</v>
      </c>
      <c r="AZ577">
        <v>3614</v>
      </c>
      <c r="BA577">
        <v>1</v>
      </c>
      <c r="BB577" t="str">
        <f t="shared" si="26"/>
        <v xml:space="preserve">N959MJ  </v>
      </c>
      <c r="BC577">
        <v>1</v>
      </c>
      <c r="BE577">
        <v>0</v>
      </c>
      <c r="BF577">
        <v>0</v>
      </c>
      <c r="BG577">
        <v>0</v>
      </c>
      <c r="BH577">
        <v>8975</v>
      </c>
      <c r="BI577">
        <v>275</v>
      </c>
      <c r="BJ577">
        <v>1</v>
      </c>
      <c r="BK577">
        <v>1</v>
      </c>
      <c r="BL577">
        <v>1</v>
      </c>
      <c r="BM577">
        <v>0</v>
      </c>
      <c r="BP577">
        <v>0</v>
      </c>
      <c r="BQ577">
        <v>0</v>
      </c>
      <c r="BX577" t="str">
        <f>"13:59:57.836"</f>
        <v>13:59:57.836</v>
      </c>
      <c r="BY577" t="str">
        <f>"833807578"</f>
        <v>833807578</v>
      </c>
      <c r="CL577">
        <v>0</v>
      </c>
      <c r="CM577">
        <v>2</v>
      </c>
      <c r="CN577">
        <v>0</v>
      </c>
      <c r="CO577">
        <v>2</v>
      </c>
      <c r="CP577">
        <v>0</v>
      </c>
      <c r="CQ577">
        <v>7</v>
      </c>
      <c r="CR577" t="s">
        <v>116</v>
      </c>
      <c r="CS577">
        <v>525</v>
      </c>
      <c r="CT577">
        <v>2</v>
      </c>
      <c r="CU577" t="s">
        <v>140</v>
      </c>
      <c r="CV577" t="s">
        <v>141</v>
      </c>
      <c r="CY577">
        <v>14429535</v>
      </c>
      <c r="CZ577" t="s">
        <v>119</v>
      </c>
    </row>
    <row r="578" spans="1:104" x14ac:dyDescent="0.25">
      <c r="A578" t="str">
        <f>"13:59:59.008"</f>
        <v>13:59:59.008</v>
      </c>
      <c r="B578" t="s">
        <v>108</v>
      </c>
      <c r="C578" t="str">
        <f t="shared" si="25"/>
        <v>ffdfd3c0</v>
      </c>
      <c r="D578" t="s">
        <v>109</v>
      </c>
      <c r="E578">
        <v>4</v>
      </c>
      <c r="F578">
        <v>1004</v>
      </c>
      <c r="G578" t="s">
        <v>110</v>
      </c>
      <c r="J578" t="s">
        <v>111</v>
      </c>
      <c r="K578">
        <v>0</v>
      </c>
      <c r="L578">
        <v>3</v>
      </c>
      <c r="M578">
        <v>0</v>
      </c>
      <c r="N578">
        <v>2</v>
      </c>
      <c r="O578">
        <v>1</v>
      </c>
      <c r="P578">
        <v>0</v>
      </c>
      <c r="Q578">
        <v>0</v>
      </c>
      <c r="R578" t="s">
        <v>112</v>
      </c>
      <c r="S578" t="str">
        <f>"13:59:58.836"</f>
        <v>13:59:58.836</v>
      </c>
      <c r="T578" t="str">
        <f>"13:59:58.336"</f>
        <v>13:59:58.336</v>
      </c>
      <c r="U578" t="str">
        <f t="shared" ref="U578:U641" si="27">"ad5732"</f>
        <v>ad5732</v>
      </c>
      <c r="V578">
        <v>0</v>
      </c>
      <c r="W578">
        <v>0</v>
      </c>
      <c r="X578">
        <v>1</v>
      </c>
      <c r="Z578">
        <v>0</v>
      </c>
      <c r="AA578">
        <v>9</v>
      </c>
      <c r="AB578">
        <v>3</v>
      </c>
      <c r="AC578">
        <v>0</v>
      </c>
      <c r="AD578">
        <v>10</v>
      </c>
      <c r="AE578">
        <v>0</v>
      </c>
      <c r="AF578">
        <v>3</v>
      </c>
      <c r="AG578">
        <v>2</v>
      </c>
      <c r="AH578">
        <v>0</v>
      </c>
      <c r="AI578" t="s">
        <v>1253</v>
      </c>
      <c r="AJ578">
        <v>39.260244</v>
      </c>
      <c r="AK578" t="s">
        <v>1254</v>
      </c>
      <c r="AL578">
        <v>-77.284612999999993</v>
      </c>
      <c r="AM578">
        <v>100</v>
      </c>
      <c r="AN578">
        <v>8700</v>
      </c>
      <c r="AO578" t="s">
        <v>115</v>
      </c>
      <c r="AP578">
        <v>177</v>
      </c>
      <c r="AQ578">
        <v>74</v>
      </c>
      <c r="AR578">
        <v>-320</v>
      </c>
      <c r="AZ578">
        <v>3614</v>
      </c>
      <c r="BA578">
        <v>1</v>
      </c>
      <c r="BB578" t="str">
        <f t="shared" si="26"/>
        <v xml:space="preserve">N959MJ  </v>
      </c>
      <c r="BC578">
        <v>1</v>
      </c>
      <c r="BE578">
        <v>0</v>
      </c>
      <c r="BF578">
        <v>0</v>
      </c>
      <c r="BG578">
        <v>0</v>
      </c>
      <c r="BH578">
        <v>8975</v>
      </c>
      <c r="BI578">
        <v>275</v>
      </c>
      <c r="BJ578">
        <v>1</v>
      </c>
      <c r="BK578">
        <v>1</v>
      </c>
      <c r="BL578">
        <v>1</v>
      </c>
      <c r="BM578">
        <v>0</v>
      </c>
      <c r="BP578">
        <v>0</v>
      </c>
      <c r="BQ578">
        <v>0</v>
      </c>
      <c r="BX578" t="str">
        <f>"13:59:58.836"</f>
        <v>13:59:58.836</v>
      </c>
      <c r="BY578" t="str">
        <f>"839809394"</f>
        <v>839809394</v>
      </c>
      <c r="CL578">
        <v>0</v>
      </c>
      <c r="CM578">
        <v>2</v>
      </c>
      <c r="CN578">
        <v>0</v>
      </c>
      <c r="CO578">
        <v>2</v>
      </c>
      <c r="CP578">
        <v>0</v>
      </c>
      <c r="CQ578">
        <v>7</v>
      </c>
      <c r="CR578" t="s">
        <v>116</v>
      </c>
      <c r="CS578">
        <v>147</v>
      </c>
      <c r="CT578">
        <v>3</v>
      </c>
      <c r="CU578" t="s">
        <v>117</v>
      </c>
      <c r="CV578" t="s">
        <v>118</v>
      </c>
      <c r="CY578">
        <v>16713828</v>
      </c>
      <c r="CZ578" t="s">
        <v>119</v>
      </c>
    </row>
    <row r="579" spans="1:104" x14ac:dyDescent="0.25">
      <c r="A579" t="str">
        <f>"13:59:59.914"</f>
        <v>13:59:59.914</v>
      </c>
      <c r="B579" t="s">
        <v>108</v>
      </c>
      <c r="C579" t="str">
        <f t="shared" si="25"/>
        <v>ffdfd3c0</v>
      </c>
      <c r="D579" t="s">
        <v>109</v>
      </c>
      <c r="E579">
        <v>4</v>
      </c>
      <c r="F579">
        <v>1004</v>
      </c>
      <c r="G579" t="s">
        <v>110</v>
      </c>
      <c r="J579" t="s">
        <v>111</v>
      </c>
      <c r="K579">
        <v>0</v>
      </c>
      <c r="L579">
        <v>3</v>
      </c>
      <c r="M579">
        <v>0</v>
      </c>
      <c r="N579">
        <v>2</v>
      </c>
      <c r="O579">
        <v>1</v>
      </c>
      <c r="P579">
        <v>0</v>
      </c>
      <c r="Q579">
        <v>0</v>
      </c>
      <c r="R579" t="s">
        <v>112</v>
      </c>
      <c r="S579" t="str">
        <f>"13:59:59.742"</f>
        <v>13:59:59.742</v>
      </c>
      <c r="T579" t="str">
        <f>"13:59:59.344"</f>
        <v>13:59:59.344</v>
      </c>
      <c r="U579" t="str">
        <f t="shared" si="27"/>
        <v>ad5732</v>
      </c>
      <c r="V579">
        <v>0</v>
      </c>
      <c r="W579">
        <v>0</v>
      </c>
      <c r="X579">
        <v>1</v>
      </c>
      <c r="Z579">
        <v>0</v>
      </c>
      <c r="AA579">
        <v>9</v>
      </c>
      <c r="AB579">
        <v>3</v>
      </c>
      <c r="AC579">
        <v>0</v>
      </c>
      <c r="AD579">
        <v>10</v>
      </c>
      <c r="AE579">
        <v>0</v>
      </c>
      <c r="AF579">
        <v>3</v>
      </c>
      <c r="AG579">
        <v>2</v>
      </c>
      <c r="AH579">
        <v>0</v>
      </c>
      <c r="AI579" t="s">
        <v>1255</v>
      </c>
      <c r="AJ579">
        <v>39.260565999999997</v>
      </c>
      <c r="AK579" t="s">
        <v>1256</v>
      </c>
      <c r="AL579">
        <v>-77.283690000000007</v>
      </c>
      <c r="AM579">
        <v>100</v>
      </c>
      <c r="AN579">
        <v>8700</v>
      </c>
      <c r="AO579" t="s">
        <v>115</v>
      </c>
      <c r="AP579">
        <v>177</v>
      </c>
      <c r="AQ579">
        <v>73</v>
      </c>
      <c r="AR579">
        <v>-256</v>
      </c>
      <c r="AZ579">
        <v>3614</v>
      </c>
      <c r="BA579">
        <v>1</v>
      </c>
      <c r="BB579" t="str">
        <f t="shared" si="26"/>
        <v xml:space="preserve">N959MJ  </v>
      </c>
      <c r="BC579">
        <v>1</v>
      </c>
      <c r="BE579">
        <v>0</v>
      </c>
      <c r="BF579">
        <v>0</v>
      </c>
      <c r="BG579">
        <v>0</v>
      </c>
      <c r="BH579">
        <v>8975</v>
      </c>
      <c r="BI579">
        <v>275</v>
      </c>
      <c r="BJ579">
        <v>1</v>
      </c>
      <c r="BK579">
        <v>1</v>
      </c>
      <c r="BL579">
        <v>1</v>
      </c>
      <c r="BM579">
        <v>0</v>
      </c>
      <c r="BP579">
        <v>0</v>
      </c>
      <c r="BQ579">
        <v>0</v>
      </c>
      <c r="BX579" t="str">
        <f>"13:59:59.742"</f>
        <v>13:59:59.742</v>
      </c>
      <c r="BY579" t="str">
        <f>"742582233"</f>
        <v>742582233</v>
      </c>
      <c r="CL579">
        <v>0</v>
      </c>
      <c r="CM579">
        <v>2</v>
      </c>
      <c r="CN579">
        <v>0</v>
      </c>
      <c r="CO579">
        <v>2</v>
      </c>
      <c r="CP579">
        <v>0</v>
      </c>
      <c r="CQ579">
        <v>7</v>
      </c>
      <c r="CR579" t="s">
        <v>116</v>
      </c>
      <c r="CS579">
        <v>147</v>
      </c>
      <c r="CT579">
        <v>0</v>
      </c>
      <c r="CU579" t="s">
        <v>117</v>
      </c>
      <c r="CV579" t="s">
        <v>118</v>
      </c>
      <c r="CY579">
        <v>4828955</v>
      </c>
      <c r="CZ579" t="s">
        <v>119</v>
      </c>
    </row>
    <row r="580" spans="1:104" x14ac:dyDescent="0.25">
      <c r="A580" t="str">
        <f>"14:00:00.883"</f>
        <v>14:00:00.883</v>
      </c>
      <c r="B580" t="s">
        <v>108</v>
      </c>
      <c r="C580" t="str">
        <f t="shared" si="25"/>
        <v>ffdfd3c0</v>
      </c>
      <c r="D580" t="s">
        <v>109</v>
      </c>
      <c r="E580">
        <v>4</v>
      </c>
      <c r="F580">
        <v>1004</v>
      </c>
      <c r="G580" t="s">
        <v>110</v>
      </c>
      <c r="J580" t="s">
        <v>111</v>
      </c>
      <c r="K580">
        <v>0</v>
      </c>
      <c r="L580">
        <v>3</v>
      </c>
      <c r="M580">
        <v>0</v>
      </c>
      <c r="N580">
        <v>2</v>
      </c>
      <c r="O580">
        <v>1</v>
      </c>
      <c r="P580">
        <v>0</v>
      </c>
      <c r="Q580">
        <v>0</v>
      </c>
      <c r="R580" t="s">
        <v>112</v>
      </c>
      <c r="S580" t="str">
        <f>"14:00:00.695"</f>
        <v>14:00:00.695</v>
      </c>
      <c r="T580" t="str">
        <f>"14:00:00.297"</f>
        <v>14:00:00.297</v>
      </c>
      <c r="U580" t="str">
        <f t="shared" si="27"/>
        <v>ad5732</v>
      </c>
      <c r="V580">
        <v>0</v>
      </c>
      <c r="W580">
        <v>0</v>
      </c>
      <c r="X580">
        <v>1</v>
      </c>
      <c r="Z580">
        <v>0</v>
      </c>
      <c r="AA580">
        <v>9</v>
      </c>
      <c r="AB580">
        <v>3</v>
      </c>
      <c r="AC580">
        <v>0</v>
      </c>
      <c r="AD580">
        <v>10</v>
      </c>
      <c r="AE580">
        <v>0</v>
      </c>
      <c r="AF580">
        <v>3</v>
      </c>
      <c r="AG580">
        <v>2</v>
      </c>
      <c r="AH580">
        <v>0</v>
      </c>
      <c r="AI580" t="s">
        <v>1257</v>
      </c>
      <c r="AJ580">
        <v>39.260888000000001</v>
      </c>
      <c r="AK580" t="s">
        <v>1258</v>
      </c>
      <c r="AL580">
        <v>-77.282617000000002</v>
      </c>
      <c r="AM580">
        <v>100</v>
      </c>
      <c r="AN580">
        <v>8700</v>
      </c>
      <c r="AO580" t="s">
        <v>115</v>
      </c>
      <c r="AP580">
        <v>178</v>
      </c>
      <c r="AQ580">
        <v>73</v>
      </c>
      <c r="AR580">
        <v>-192</v>
      </c>
      <c r="AZ580">
        <v>3614</v>
      </c>
      <c r="BA580">
        <v>1</v>
      </c>
      <c r="BB580" t="str">
        <f t="shared" si="26"/>
        <v xml:space="preserve">N959MJ  </v>
      </c>
      <c r="BC580">
        <v>1</v>
      </c>
      <c r="BE580">
        <v>0</v>
      </c>
      <c r="BF580">
        <v>0</v>
      </c>
      <c r="BG580">
        <v>0</v>
      </c>
      <c r="BH580">
        <v>8975</v>
      </c>
      <c r="BI580">
        <v>275</v>
      </c>
      <c r="BJ580">
        <v>1</v>
      </c>
      <c r="BK580">
        <v>1</v>
      </c>
      <c r="BL580">
        <v>1</v>
      </c>
      <c r="BM580">
        <v>0</v>
      </c>
      <c r="BP580">
        <v>0</v>
      </c>
      <c r="BQ580">
        <v>0</v>
      </c>
      <c r="BX580" t="str">
        <f>"14:00:00.703"</f>
        <v>14:00:00.703</v>
      </c>
      <c r="BY580" t="str">
        <f>"702700023"</f>
        <v>702700023</v>
      </c>
      <c r="CL580">
        <v>0</v>
      </c>
      <c r="CM580">
        <v>2</v>
      </c>
      <c r="CN580">
        <v>0</v>
      </c>
      <c r="CO580">
        <v>2</v>
      </c>
      <c r="CP580">
        <v>0</v>
      </c>
      <c r="CQ580">
        <v>7</v>
      </c>
      <c r="CR580" t="s">
        <v>116</v>
      </c>
      <c r="CS580">
        <v>147</v>
      </c>
      <c r="CT580">
        <v>3</v>
      </c>
      <c r="CU580" t="s">
        <v>117</v>
      </c>
      <c r="CV580" t="s">
        <v>118</v>
      </c>
      <c r="CY580">
        <v>16716687</v>
      </c>
      <c r="CZ580" t="s">
        <v>119</v>
      </c>
    </row>
    <row r="581" spans="1:104" x14ac:dyDescent="0.25">
      <c r="A581" t="str">
        <f>"14:00:01.883"</f>
        <v>14:00:01.883</v>
      </c>
      <c r="B581" t="s">
        <v>108</v>
      </c>
      <c r="C581" t="str">
        <f t="shared" si="25"/>
        <v>ffdfd3c0</v>
      </c>
      <c r="D581" t="s">
        <v>109</v>
      </c>
      <c r="E581">
        <v>4</v>
      </c>
      <c r="F581">
        <v>1004</v>
      </c>
      <c r="G581" t="s">
        <v>110</v>
      </c>
      <c r="J581" t="s">
        <v>111</v>
      </c>
      <c r="K581">
        <v>0</v>
      </c>
      <c r="L581">
        <v>3</v>
      </c>
      <c r="M581">
        <v>0</v>
      </c>
      <c r="N581">
        <v>2</v>
      </c>
      <c r="O581">
        <v>1</v>
      </c>
      <c r="P581">
        <v>0</v>
      </c>
      <c r="Q581">
        <v>0</v>
      </c>
      <c r="R581" t="s">
        <v>112</v>
      </c>
      <c r="S581" t="str">
        <f>"14:00:01.703"</f>
        <v>14:00:01.703</v>
      </c>
      <c r="T581" t="str">
        <f>"14:00:01.203"</f>
        <v>14:00:01.203</v>
      </c>
      <c r="U581" t="str">
        <f t="shared" si="27"/>
        <v>ad5732</v>
      </c>
      <c r="V581">
        <v>0</v>
      </c>
      <c r="W581">
        <v>0</v>
      </c>
      <c r="X581">
        <v>1</v>
      </c>
      <c r="Z581">
        <v>0</v>
      </c>
      <c r="AA581">
        <v>9</v>
      </c>
      <c r="AB581">
        <v>3</v>
      </c>
      <c r="AC581">
        <v>0</v>
      </c>
      <c r="AD581">
        <v>10</v>
      </c>
      <c r="AE581">
        <v>0</v>
      </c>
      <c r="AF581">
        <v>3</v>
      </c>
      <c r="AG581">
        <v>2</v>
      </c>
      <c r="AH581">
        <v>0</v>
      </c>
      <c r="AI581" t="s">
        <v>1259</v>
      </c>
      <c r="AJ581">
        <v>39.261253000000004</v>
      </c>
      <c r="AK581" t="s">
        <v>1260</v>
      </c>
      <c r="AL581">
        <v>-77.281543999999997</v>
      </c>
      <c r="AM581">
        <v>100</v>
      </c>
      <c r="AN581">
        <v>8700</v>
      </c>
      <c r="AO581" t="s">
        <v>115</v>
      </c>
      <c r="AP581">
        <v>178</v>
      </c>
      <c r="AQ581">
        <v>73</v>
      </c>
      <c r="AR581">
        <v>-128</v>
      </c>
      <c r="AZ581">
        <v>3614</v>
      </c>
      <c r="BA581">
        <v>1</v>
      </c>
      <c r="BB581" t="str">
        <f t="shared" si="26"/>
        <v xml:space="preserve">N959MJ  </v>
      </c>
      <c r="BC581">
        <v>1</v>
      </c>
      <c r="BE581">
        <v>0</v>
      </c>
      <c r="BF581">
        <v>0</v>
      </c>
      <c r="BG581">
        <v>0</v>
      </c>
      <c r="BH581">
        <v>8975</v>
      </c>
      <c r="BI581">
        <v>275</v>
      </c>
      <c r="BJ581">
        <v>1</v>
      </c>
      <c r="BK581">
        <v>1</v>
      </c>
      <c r="BL581">
        <v>1</v>
      </c>
      <c r="BM581">
        <v>0</v>
      </c>
      <c r="BP581">
        <v>0</v>
      </c>
      <c r="BQ581">
        <v>0</v>
      </c>
      <c r="BX581" t="str">
        <f>"14:00:01.703"</f>
        <v>14:00:01.703</v>
      </c>
      <c r="BY581" t="str">
        <f>"705409012"</f>
        <v>705409012</v>
      </c>
      <c r="CL581">
        <v>0</v>
      </c>
      <c r="CM581">
        <v>2</v>
      </c>
      <c r="CN581">
        <v>0</v>
      </c>
      <c r="CO581">
        <v>2</v>
      </c>
      <c r="CP581">
        <v>0</v>
      </c>
      <c r="CQ581">
        <v>7</v>
      </c>
      <c r="CR581" t="s">
        <v>116</v>
      </c>
      <c r="CS581">
        <v>525</v>
      </c>
      <c r="CT581">
        <v>2</v>
      </c>
      <c r="CU581" t="s">
        <v>140</v>
      </c>
      <c r="CV581" t="s">
        <v>141</v>
      </c>
      <c r="CY581">
        <v>14435158</v>
      </c>
      <c r="CZ581" t="s">
        <v>119</v>
      </c>
    </row>
    <row r="582" spans="1:104" x14ac:dyDescent="0.25">
      <c r="A582" t="str">
        <f>"14:00:02.797"</f>
        <v>14:00:02.797</v>
      </c>
      <c r="B582" t="s">
        <v>108</v>
      </c>
      <c r="C582" t="str">
        <f t="shared" si="25"/>
        <v>ffdfd3c0</v>
      </c>
      <c r="D582" t="s">
        <v>109</v>
      </c>
      <c r="E582">
        <v>4</v>
      </c>
      <c r="F582">
        <v>1004</v>
      </c>
      <c r="G582" t="s">
        <v>110</v>
      </c>
      <c r="J582" t="s">
        <v>111</v>
      </c>
      <c r="K582">
        <v>0</v>
      </c>
      <c r="L582">
        <v>3</v>
      </c>
      <c r="M582">
        <v>0</v>
      </c>
      <c r="N582">
        <v>2</v>
      </c>
      <c r="O582">
        <v>1</v>
      </c>
      <c r="P582">
        <v>0</v>
      </c>
      <c r="Q582">
        <v>0</v>
      </c>
      <c r="R582" t="s">
        <v>112</v>
      </c>
      <c r="S582" t="str">
        <f>"14:00:02.602"</f>
        <v>14:00:02.602</v>
      </c>
      <c r="T582" t="str">
        <f>"14:00:02.203"</f>
        <v>14:00:02.203</v>
      </c>
      <c r="U582" t="str">
        <f t="shared" si="27"/>
        <v>ad5732</v>
      </c>
      <c r="V582">
        <v>0</v>
      </c>
      <c r="W582">
        <v>0</v>
      </c>
      <c r="X582">
        <v>1</v>
      </c>
      <c r="Z582">
        <v>0</v>
      </c>
      <c r="AA582">
        <v>9</v>
      </c>
      <c r="AB582">
        <v>3</v>
      </c>
      <c r="AC582">
        <v>0</v>
      </c>
      <c r="AD582">
        <v>10</v>
      </c>
      <c r="AE582">
        <v>0</v>
      </c>
      <c r="AF582">
        <v>3</v>
      </c>
      <c r="AG582">
        <v>2</v>
      </c>
      <c r="AH582">
        <v>0</v>
      </c>
      <c r="AI582" t="s">
        <v>1261</v>
      </c>
      <c r="AJ582">
        <v>39.261552999999999</v>
      </c>
      <c r="AK582" t="s">
        <v>1262</v>
      </c>
      <c r="AL582">
        <v>-77.280579000000003</v>
      </c>
      <c r="AM582">
        <v>100</v>
      </c>
      <c r="AN582">
        <v>8700</v>
      </c>
      <c r="AO582" t="s">
        <v>115</v>
      </c>
      <c r="AP582">
        <v>178</v>
      </c>
      <c r="AQ582">
        <v>72</v>
      </c>
      <c r="AR582">
        <v>0</v>
      </c>
      <c r="AZ582">
        <v>3614</v>
      </c>
      <c r="BA582">
        <v>1</v>
      </c>
      <c r="BB582" t="str">
        <f t="shared" si="26"/>
        <v xml:space="preserve">N959MJ  </v>
      </c>
      <c r="BC582">
        <v>1</v>
      </c>
      <c r="BE582">
        <v>0</v>
      </c>
      <c r="BF582">
        <v>0</v>
      </c>
      <c r="BG582">
        <v>0</v>
      </c>
      <c r="BH582">
        <v>8975</v>
      </c>
      <c r="BI582">
        <v>275</v>
      </c>
      <c r="BJ582">
        <v>1</v>
      </c>
      <c r="BK582">
        <v>1</v>
      </c>
      <c r="BL582">
        <v>1</v>
      </c>
      <c r="BM582">
        <v>0</v>
      </c>
      <c r="BP582">
        <v>0</v>
      </c>
      <c r="BQ582">
        <v>0</v>
      </c>
      <c r="BX582" t="str">
        <f>"14:00:02.609"</f>
        <v>14:00:02.609</v>
      </c>
      <c r="BY582" t="str">
        <f>"606543555"</f>
        <v>606543555</v>
      </c>
      <c r="CL582">
        <v>0</v>
      </c>
      <c r="CM582">
        <v>2</v>
      </c>
      <c r="CN582">
        <v>0</v>
      </c>
      <c r="CO582">
        <v>2</v>
      </c>
      <c r="CP582">
        <v>0</v>
      </c>
      <c r="CQ582">
        <v>7</v>
      </c>
      <c r="CR582" t="s">
        <v>116</v>
      </c>
      <c r="CS582">
        <v>525</v>
      </c>
      <c r="CT582">
        <v>2</v>
      </c>
      <c r="CU582" t="s">
        <v>140</v>
      </c>
      <c r="CV582" t="s">
        <v>141</v>
      </c>
      <c r="CY582">
        <v>14436492</v>
      </c>
      <c r="CZ582" t="s">
        <v>119</v>
      </c>
    </row>
    <row r="583" spans="1:104" x14ac:dyDescent="0.25">
      <c r="A583" t="str">
        <f>"14:00:03.648"</f>
        <v>14:00:03.648</v>
      </c>
      <c r="B583" t="s">
        <v>108</v>
      </c>
      <c r="C583" t="str">
        <f t="shared" si="25"/>
        <v>ffdfd3c0</v>
      </c>
      <c r="D583" t="s">
        <v>109</v>
      </c>
      <c r="E583">
        <v>4</v>
      </c>
      <c r="F583">
        <v>1004</v>
      </c>
      <c r="G583" t="s">
        <v>110</v>
      </c>
      <c r="J583" t="s">
        <v>111</v>
      </c>
      <c r="K583">
        <v>0</v>
      </c>
      <c r="L583">
        <v>3</v>
      </c>
      <c r="M583">
        <v>0</v>
      </c>
      <c r="N583">
        <v>2</v>
      </c>
      <c r="O583">
        <v>1</v>
      </c>
      <c r="P583">
        <v>0</v>
      </c>
      <c r="Q583">
        <v>0</v>
      </c>
      <c r="R583" t="s">
        <v>112</v>
      </c>
      <c r="S583" t="str">
        <f>"14:00:03.461"</f>
        <v>14:00:03.461</v>
      </c>
      <c r="T583" t="str">
        <f>"14:00:03.063"</f>
        <v>14:00:03.063</v>
      </c>
      <c r="U583" t="str">
        <f t="shared" si="27"/>
        <v>ad5732</v>
      </c>
      <c r="V583">
        <v>0</v>
      </c>
      <c r="W583">
        <v>0</v>
      </c>
      <c r="X583">
        <v>1</v>
      </c>
      <c r="Z583">
        <v>0</v>
      </c>
      <c r="AA583">
        <v>9</v>
      </c>
      <c r="AB583">
        <v>3</v>
      </c>
      <c r="AC583">
        <v>0</v>
      </c>
      <c r="AD583">
        <v>10</v>
      </c>
      <c r="AE583">
        <v>0</v>
      </c>
      <c r="AF583">
        <v>3</v>
      </c>
      <c r="AG583">
        <v>2</v>
      </c>
      <c r="AH583">
        <v>0</v>
      </c>
      <c r="AI583" t="s">
        <v>1263</v>
      </c>
      <c r="AJ583">
        <v>39.261789</v>
      </c>
      <c r="AK583" t="s">
        <v>1264</v>
      </c>
      <c r="AL583">
        <v>-77.279719999999998</v>
      </c>
      <c r="AM583">
        <v>100</v>
      </c>
      <c r="AN583">
        <v>8700</v>
      </c>
      <c r="AO583" t="s">
        <v>115</v>
      </c>
      <c r="AP583">
        <v>178</v>
      </c>
      <c r="AQ583">
        <v>72</v>
      </c>
      <c r="AR583">
        <v>64</v>
      </c>
      <c r="AZ583">
        <v>3614</v>
      </c>
      <c r="BA583">
        <v>1</v>
      </c>
      <c r="BB583" t="str">
        <f t="shared" si="26"/>
        <v xml:space="preserve">N959MJ  </v>
      </c>
      <c r="BC583">
        <v>1</v>
      </c>
      <c r="BE583">
        <v>0</v>
      </c>
      <c r="BF583">
        <v>0</v>
      </c>
      <c r="BG583">
        <v>0</v>
      </c>
      <c r="BH583">
        <v>8975</v>
      </c>
      <c r="BI583">
        <v>275</v>
      </c>
      <c r="BJ583">
        <v>1</v>
      </c>
      <c r="BK583">
        <v>1</v>
      </c>
      <c r="BL583">
        <v>1</v>
      </c>
      <c r="BM583">
        <v>0</v>
      </c>
      <c r="BP583">
        <v>0</v>
      </c>
      <c r="BQ583">
        <v>0</v>
      </c>
      <c r="BX583" t="str">
        <f>"14:00:03.469"</f>
        <v>14:00:03.469</v>
      </c>
      <c r="BY583" t="str">
        <f>"468355817"</f>
        <v>468355817</v>
      </c>
      <c r="CL583">
        <v>0</v>
      </c>
      <c r="CM583">
        <v>2</v>
      </c>
      <c r="CN583">
        <v>0</v>
      </c>
      <c r="CO583">
        <v>2</v>
      </c>
      <c r="CP583">
        <v>0</v>
      </c>
      <c r="CQ583">
        <v>7</v>
      </c>
      <c r="CR583" t="s">
        <v>116</v>
      </c>
      <c r="CS583">
        <v>525</v>
      </c>
      <c r="CT583">
        <v>2</v>
      </c>
      <c r="CU583" t="s">
        <v>140</v>
      </c>
      <c r="CV583" t="s">
        <v>141</v>
      </c>
      <c r="CY583">
        <v>14437706</v>
      </c>
      <c r="CZ583" t="s">
        <v>119</v>
      </c>
    </row>
    <row r="584" spans="1:104" x14ac:dyDescent="0.25">
      <c r="A584" t="str">
        <f>"14:00:04.664"</f>
        <v>14:00:04.664</v>
      </c>
      <c r="B584" t="s">
        <v>108</v>
      </c>
      <c r="C584" t="str">
        <f t="shared" si="25"/>
        <v>ffdfd3c0</v>
      </c>
      <c r="D584" t="s">
        <v>109</v>
      </c>
      <c r="E584">
        <v>4</v>
      </c>
      <c r="F584">
        <v>1004</v>
      </c>
      <c r="G584" t="s">
        <v>110</v>
      </c>
      <c r="J584" t="s">
        <v>111</v>
      </c>
      <c r="K584">
        <v>0</v>
      </c>
      <c r="L584">
        <v>3</v>
      </c>
      <c r="M584">
        <v>0</v>
      </c>
      <c r="N584">
        <v>2</v>
      </c>
      <c r="O584">
        <v>1</v>
      </c>
      <c r="P584">
        <v>0</v>
      </c>
      <c r="Q584">
        <v>0</v>
      </c>
      <c r="R584" t="s">
        <v>112</v>
      </c>
      <c r="S584" t="str">
        <f>"14:00:04.477"</f>
        <v>14:00:04.477</v>
      </c>
      <c r="T584" t="str">
        <f>"14:00:03.977"</f>
        <v>14:00:03.977</v>
      </c>
      <c r="U584" t="str">
        <f t="shared" si="27"/>
        <v>ad5732</v>
      </c>
      <c r="V584">
        <v>0</v>
      </c>
      <c r="W584">
        <v>0</v>
      </c>
      <c r="X584">
        <v>1</v>
      </c>
      <c r="Z584">
        <v>0</v>
      </c>
      <c r="AA584">
        <v>9</v>
      </c>
      <c r="AB584">
        <v>3</v>
      </c>
      <c r="AC584">
        <v>0</v>
      </c>
      <c r="AD584">
        <v>10</v>
      </c>
      <c r="AE584">
        <v>0</v>
      </c>
      <c r="AF584">
        <v>3</v>
      </c>
      <c r="AG584">
        <v>2</v>
      </c>
      <c r="AH584">
        <v>0</v>
      </c>
      <c r="AI584" t="s">
        <v>1265</v>
      </c>
      <c r="AJ584">
        <v>39.262154000000002</v>
      </c>
      <c r="AK584" t="s">
        <v>1266</v>
      </c>
      <c r="AL584">
        <v>-77.278540000000007</v>
      </c>
      <c r="AM584">
        <v>100</v>
      </c>
      <c r="AN584">
        <v>8700</v>
      </c>
      <c r="AO584" t="s">
        <v>115</v>
      </c>
      <c r="AP584">
        <v>178</v>
      </c>
      <c r="AQ584">
        <v>71</v>
      </c>
      <c r="AR584">
        <v>64</v>
      </c>
      <c r="AZ584">
        <v>3614</v>
      </c>
      <c r="BA584">
        <v>1</v>
      </c>
      <c r="BB584" t="str">
        <f t="shared" si="26"/>
        <v xml:space="preserve">N959MJ  </v>
      </c>
      <c r="BC584">
        <v>1</v>
      </c>
      <c r="BE584">
        <v>0</v>
      </c>
      <c r="BF584">
        <v>0</v>
      </c>
      <c r="BG584">
        <v>0</v>
      </c>
      <c r="BH584">
        <v>8975</v>
      </c>
      <c r="BI584">
        <v>275</v>
      </c>
      <c r="BJ584">
        <v>1</v>
      </c>
      <c r="BK584">
        <v>1</v>
      </c>
      <c r="BL584">
        <v>1</v>
      </c>
      <c r="BM584">
        <v>0</v>
      </c>
      <c r="BP584">
        <v>0</v>
      </c>
      <c r="BQ584">
        <v>0</v>
      </c>
      <c r="BX584" t="str">
        <f>"14:00:04.477"</f>
        <v>14:00:04.477</v>
      </c>
      <c r="BY584" t="str">
        <f>"479272502"</f>
        <v>479272502</v>
      </c>
      <c r="CL584">
        <v>0</v>
      </c>
      <c r="CM584">
        <v>2</v>
      </c>
      <c r="CN584">
        <v>0</v>
      </c>
      <c r="CO584">
        <v>2</v>
      </c>
      <c r="CP584">
        <v>0</v>
      </c>
      <c r="CQ584">
        <v>7</v>
      </c>
      <c r="CR584" t="s">
        <v>116</v>
      </c>
      <c r="CS584">
        <v>147</v>
      </c>
      <c r="CT584">
        <v>3</v>
      </c>
      <c r="CU584" t="s">
        <v>117</v>
      </c>
      <c r="CV584" t="s">
        <v>118</v>
      </c>
      <c r="CY584">
        <v>16722586</v>
      </c>
      <c r="CZ584" t="s">
        <v>119</v>
      </c>
    </row>
    <row r="585" spans="1:104" x14ac:dyDescent="0.25">
      <c r="A585" t="str">
        <f>"14:00:05.773"</f>
        <v>14:00:05.773</v>
      </c>
      <c r="B585" t="s">
        <v>108</v>
      </c>
      <c r="C585" t="str">
        <f t="shared" si="25"/>
        <v>ffdfd3c0</v>
      </c>
      <c r="D585" t="s">
        <v>109</v>
      </c>
      <c r="E585">
        <v>4</v>
      </c>
      <c r="F585">
        <v>1004</v>
      </c>
      <c r="G585" t="s">
        <v>110</v>
      </c>
      <c r="J585" t="s">
        <v>111</v>
      </c>
      <c r="K585">
        <v>0</v>
      </c>
      <c r="L585">
        <v>3</v>
      </c>
      <c r="M585">
        <v>0</v>
      </c>
      <c r="N585">
        <v>2</v>
      </c>
      <c r="O585">
        <v>1</v>
      </c>
      <c r="P585">
        <v>0</v>
      </c>
      <c r="Q585">
        <v>0</v>
      </c>
      <c r="R585" t="s">
        <v>112</v>
      </c>
      <c r="S585" t="str">
        <f>"14:00:05.578"</f>
        <v>14:00:05.578</v>
      </c>
      <c r="T585" t="str">
        <f>"14:00:05.078"</f>
        <v>14:00:05.078</v>
      </c>
      <c r="U585" t="str">
        <f t="shared" si="27"/>
        <v>ad5732</v>
      </c>
      <c r="V585">
        <v>0</v>
      </c>
      <c r="W585">
        <v>0</v>
      </c>
      <c r="X585">
        <v>1</v>
      </c>
      <c r="Z585">
        <v>0</v>
      </c>
      <c r="AA585">
        <v>9</v>
      </c>
      <c r="AB585">
        <v>3</v>
      </c>
      <c r="AC585">
        <v>0</v>
      </c>
      <c r="AD585">
        <v>10</v>
      </c>
      <c r="AE585">
        <v>0</v>
      </c>
      <c r="AF585">
        <v>3</v>
      </c>
      <c r="AG585">
        <v>2</v>
      </c>
      <c r="AH585">
        <v>0</v>
      </c>
      <c r="AI585" t="s">
        <v>1267</v>
      </c>
      <c r="AJ585">
        <v>39.262540000000001</v>
      </c>
      <c r="AK585" t="s">
        <v>1268</v>
      </c>
      <c r="AL585">
        <v>-77.277403000000007</v>
      </c>
      <c r="AM585">
        <v>100</v>
      </c>
      <c r="AN585">
        <v>8700</v>
      </c>
      <c r="AO585" t="s">
        <v>115</v>
      </c>
      <c r="AP585">
        <v>178</v>
      </c>
      <c r="AQ585">
        <v>71</v>
      </c>
      <c r="AR585">
        <v>64</v>
      </c>
      <c r="AZ585">
        <v>3614</v>
      </c>
      <c r="BA585">
        <v>1</v>
      </c>
      <c r="BB585" t="str">
        <f t="shared" si="26"/>
        <v xml:space="preserve">N959MJ  </v>
      </c>
      <c r="BC585">
        <v>1</v>
      </c>
      <c r="BE585">
        <v>0</v>
      </c>
      <c r="BF585">
        <v>0</v>
      </c>
      <c r="BG585">
        <v>0</v>
      </c>
      <c r="BH585">
        <v>8975</v>
      </c>
      <c r="BI585">
        <v>275</v>
      </c>
      <c r="BJ585">
        <v>1</v>
      </c>
      <c r="BK585">
        <v>1</v>
      </c>
      <c r="BL585">
        <v>1</v>
      </c>
      <c r="BM585">
        <v>0</v>
      </c>
      <c r="BP585">
        <v>0</v>
      </c>
      <c r="BQ585">
        <v>0</v>
      </c>
      <c r="BX585" t="str">
        <f>"14:00:05.578"</f>
        <v>14:00:05.578</v>
      </c>
      <c r="BY585" t="str">
        <f>"580287418"</f>
        <v>580287418</v>
      </c>
      <c r="CL585">
        <v>0</v>
      </c>
      <c r="CM585">
        <v>2</v>
      </c>
      <c r="CN585">
        <v>0</v>
      </c>
      <c r="CO585">
        <v>2</v>
      </c>
      <c r="CP585">
        <v>0</v>
      </c>
      <c r="CQ585">
        <v>7</v>
      </c>
      <c r="CR585" t="s">
        <v>116</v>
      </c>
      <c r="CS585">
        <v>525</v>
      </c>
      <c r="CT585">
        <v>2</v>
      </c>
      <c r="CU585" t="s">
        <v>140</v>
      </c>
      <c r="CV585" t="s">
        <v>141</v>
      </c>
      <c r="CY585">
        <v>14440925</v>
      </c>
      <c r="CZ585" t="s">
        <v>119</v>
      </c>
    </row>
    <row r="586" spans="1:104" x14ac:dyDescent="0.25">
      <c r="A586" t="str">
        <f>"14:00:06.781"</f>
        <v>14:00:06.781</v>
      </c>
      <c r="B586" t="s">
        <v>108</v>
      </c>
      <c r="C586" t="str">
        <f t="shared" ref="C586:C649" si="28">"ffdfd3c0"</f>
        <v>ffdfd3c0</v>
      </c>
      <c r="D586" t="s">
        <v>109</v>
      </c>
      <c r="E586">
        <v>4</v>
      </c>
      <c r="F586">
        <v>1004</v>
      </c>
      <c r="G586" t="s">
        <v>110</v>
      </c>
      <c r="J586" t="s">
        <v>111</v>
      </c>
      <c r="K586">
        <v>0</v>
      </c>
      <c r="L586">
        <v>3</v>
      </c>
      <c r="M586">
        <v>0</v>
      </c>
      <c r="N586">
        <v>2</v>
      </c>
      <c r="O586">
        <v>1</v>
      </c>
      <c r="P586">
        <v>0</v>
      </c>
      <c r="Q586">
        <v>0</v>
      </c>
      <c r="R586" t="s">
        <v>112</v>
      </c>
      <c r="S586" t="str">
        <f>"14:00:06.602"</f>
        <v>14:00:06.602</v>
      </c>
      <c r="T586" t="str">
        <f>"14:00:06.102"</f>
        <v>14:00:06.102</v>
      </c>
      <c r="U586" t="str">
        <f t="shared" si="27"/>
        <v>ad5732</v>
      </c>
      <c r="V586">
        <v>0</v>
      </c>
      <c r="W586">
        <v>0</v>
      </c>
      <c r="X586">
        <v>1</v>
      </c>
      <c r="Z586">
        <v>0</v>
      </c>
      <c r="AA586">
        <v>9</v>
      </c>
      <c r="AB586">
        <v>3</v>
      </c>
      <c r="AC586">
        <v>0</v>
      </c>
      <c r="AD586">
        <v>10</v>
      </c>
      <c r="AE586">
        <v>0</v>
      </c>
      <c r="AF586">
        <v>3</v>
      </c>
      <c r="AG586">
        <v>2</v>
      </c>
      <c r="AH586">
        <v>0</v>
      </c>
      <c r="AI586" t="s">
        <v>1269</v>
      </c>
      <c r="AJ586">
        <v>39.262861999999998</v>
      </c>
      <c r="AK586" t="s">
        <v>1270</v>
      </c>
      <c r="AL586">
        <v>-77.276308999999998</v>
      </c>
      <c r="AM586">
        <v>100</v>
      </c>
      <c r="AN586">
        <v>8700</v>
      </c>
      <c r="AO586" t="s">
        <v>115</v>
      </c>
      <c r="AP586">
        <v>178</v>
      </c>
      <c r="AQ586">
        <v>70</v>
      </c>
      <c r="AR586">
        <v>192</v>
      </c>
      <c r="AZ586">
        <v>3614</v>
      </c>
      <c r="BA586">
        <v>1</v>
      </c>
      <c r="BB586" t="str">
        <f t="shared" ref="BB586:BB649" si="29">"N959MJ  "</f>
        <v xml:space="preserve">N959MJ  </v>
      </c>
      <c r="BC586">
        <v>1</v>
      </c>
      <c r="BE586">
        <v>0</v>
      </c>
      <c r="BF586">
        <v>0</v>
      </c>
      <c r="BG586">
        <v>0</v>
      </c>
      <c r="BH586">
        <v>8975</v>
      </c>
      <c r="BI586">
        <v>275</v>
      </c>
      <c r="BJ586">
        <v>1</v>
      </c>
      <c r="BK586">
        <v>1</v>
      </c>
      <c r="BL586">
        <v>1</v>
      </c>
      <c r="BM586">
        <v>0</v>
      </c>
      <c r="BP586">
        <v>0</v>
      </c>
      <c r="BQ586">
        <v>0</v>
      </c>
      <c r="BX586" t="str">
        <f>"14:00:06.609"</f>
        <v>14:00:06.609</v>
      </c>
      <c r="BY586" t="str">
        <f>"609226663"</f>
        <v>609226663</v>
      </c>
      <c r="CL586">
        <v>0</v>
      </c>
      <c r="CM586">
        <v>2</v>
      </c>
      <c r="CN586">
        <v>0</v>
      </c>
      <c r="CO586">
        <v>2</v>
      </c>
      <c r="CP586">
        <v>0</v>
      </c>
      <c r="CQ586">
        <v>7</v>
      </c>
      <c r="CR586" t="s">
        <v>116</v>
      </c>
      <c r="CS586">
        <v>147</v>
      </c>
      <c r="CT586">
        <v>3</v>
      </c>
      <c r="CU586" t="s">
        <v>117</v>
      </c>
      <c r="CV586" t="s">
        <v>118</v>
      </c>
      <c r="CY586">
        <v>16726185</v>
      </c>
      <c r="CZ586" t="s">
        <v>119</v>
      </c>
    </row>
    <row r="587" spans="1:104" x14ac:dyDescent="0.25">
      <c r="A587" t="str">
        <f>"14:00:07.789"</f>
        <v>14:00:07.789</v>
      </c>
      <c r="B587" t="s">
        <v>108</v>
      </c>
      <c r="C587" t="str">
        <f t="shared" si="28"/>
        <v>ffdfd3c0</v>
      </c>
      <c r="D587" t="s">
        <v>109</v>
      </c>
      <c r="E587">
        <v>4</v>
      </c>
      <c r="F587">
        <v>1004</v>
      </c>
      <c r="G587" t="s">
        <v>110</v>
      </c>
      <c r="J587" t="s">
        <v>111</v>
      </c>
      <c r="K587">
        <v>0</v>
      </c>
      <c r="L587">
        <v>3</v>
      </c>
      <c r="M587">
        <v>0</v>
      </c>
      <c r="N587">
        <v>2</v>
      </c>
      <c r="O587">
        <v>1</v>
      </c>
      <c r="P587">
        <v>0</v>
      </c>
      <c r="Q587">
        <v>0</v>
      </c>
      <c r="R587" t="s">
        <v>112</v>
      </c>
      <c r="S587" t="str">
        <f>"14:00:07.625"</f>
        <v>14:00:07.625</v>
      </c>
      <c r="T587" t="str">
        <f>"14:00:07.227"</f>
        <v>14:00:07.227</v>
      </c>
      <c r="U587" t="str">
        <f t="shared" si="27"/>
        <v>ad5732</v>
      </c>
      <c r="V587">
        <v>0</v>
      </c>
      <c r="W587">
        <v>0</v>
      </c>
      <c r="X587">
        <v>1</v>
      </c>
      <c r="Z587">
        <v>0</v>
      </c>
      <c r="AA587">
        <v>9</v>
      </c>
      <c r="AB587">
        <v>3</v>
      </c>
      <c r="AC587">
        <v>0</v>
      </c>
      <c r="AD587">
        <v>10</v>
      </c>
      <c r="AE587">
        <v>0</v>
      </c>
      <c r="AF587">
        <v>3</v>
      </c>
      <c r="AG587">
        <v>2</v>
      </c>
      <c r="AH587">
        <v>0</v>
      </c>
      <c r="AI587" t="s">
        <v>1271</v>
      </c>
      <c r="AJ587">
        <v>39.263140999999997</v>
      </c>
      <c r="AK587" t="s">
        <v>1272</v>
      </c>
      <c r="AL587">
        <v>-77.275278999999998</v>
      </c>
      <c r="AM587">
        <v>100</v>
      </c>
      <c r="AN587">
        <v>8700</v>
      </c>
      <c r="AO587" t="s">
        <v>115</v>
      </c>
      <c r="AP587">
        <v>179</v>
      </c>
      <c r="AQ587">
        <v>68</v>
      </c>
      <c r="AR587">
        <v>256</v>
      </c>
      <c r="AZ587">
        <v>3614</v>
      </c>
      <c r="BA587">
        <v>1</v>
      </c>
      <c r="BB587" t="str">
        <f t="shared" si="29"/>
        <v xml:space="preserve">N959MJ  </v>
      </c>
      <c r="BC587">
        <v>1</v>
      </c>
      <c r="BE587">
        <v>0</v>
      </c>
      <c r="BF587">
        <v>0</v>
      </c>
      <c r="BG587">
        <v>0</v>
      </c>
      <c r="BH587">
        <v>8975</v>
      </c>
      <c r="BI587">
        <v>275</v>
      </c>
      <c r="BJ587">
        <v>1</v>
      </c>
      <c r="BK587">
        <v>1</v>
      </c>
      <c r="BL587">
        <v>1</v>
      </c>
      <c r="BM587">
        <v>0</v>
      </c>
      <c r="BP587">
        <v>0</v>
      </c>
      <c r="BQ587">
        <v>0</v>
      </c>
      <c r="BX587" t="str">
        <f>"14:00:07.625"</f>
        <v>14:00:07.625</v>
      </c>
      <c r="BY587" t="str">
        <f>"628320448"</f>
        <v>628320448</v>
      </c>
      <c r="CL587">
        <v>0</v>
      </c>
      <c r="CM587">
        <v>2</v>
      </c>
      <c r="CN587">
        <v>0</v>
      </c>
      <c r="CO587">
        <v>2</v>
      </c>
      <c r="CP587">
        <v>0</v>
      </c>
      <c r="CQ587">
        <v>7</v>
      </c>
      <c r="CR587" t="s">
        <v>116</v>
      </c>
      <c r="CS587">
        <v>525</v>
      </c>
      <c r="CT587">
        <v>2</v>
      </c>
      <c r="CU587" t="s">
        <v>140</v>
      </c>
      <c r="CV587" t="s">
        <v>141</v>
      </c>
      <c r="CY587">
        <v>14443975</v>
      </c>
      <c r="CZ587" t="s">
        <v>119</v>
      </c>
    </row>
    <row r="588" spans="1:104" x14ac:dyDescent="0.25">
      <c r="A588" t="str">
        <f>"14:00:08.852"</f>
        <v>14:00:08.852</v>
      </c>
      <c r="B588" t="s">
        <v>108</v>
      </c>
      <c r="C588" t="str">
        <f t="shared" si="28"/>
        <v>ffdfd3c0</v>
      </c>
      <c r="D588" t="s">
        <v>109</v>
      </c>
      <c r="E588">
        <v>4</v>
      </c>
      <c r="F588">
        <v>1004</v>
      </c>
      <c r="G588" t="s">
        <v>110</v>
      </c>
      <c r="J588" t="s">
        <v>111</v>
      </c>
      <c r="K588">
        <v>0</v>
      </c>
      <c r="L588">
        <v>3</v>
      </c>
      <c r="M588">
        <v>0</v>
      </c>
      <c r="N588">
        <v>2</v>
      </c>
      <c r="O588">
        <v>1</v>
      </c>
      <c r="P588">
        <v>0</v>
      </c>
      <c r="Q588">
        <v>0</v>
      </c>
      <c r="R588" t="s">
        <v>112</v>
      </c>
      <c r="S588" t="str">
        <f>"14:00:08.680"</f>
        <v>14:00:08.680</v>
      </c>
      <c r="T588" t="str">
        <f>"14:00:08.281"</f>
        <v>14:00:08.281</v>
      </c>
      <c r="U588" t="str">
        <f t="shared" si="27"/>
        <v>ad5732</v>
      </c>
      <c r="V588">
        <v>0</v>
      </c>
      <c r="W588">
        <v>0</v>
      </c>
      <c r="X588">
        <v>1</v>
      </c>
      <c r="Z588">
        <v>0</v>
      </c>
      <c r="AA588">
        <v>9</v>
      </c>
      <c r="AB588">
        <v>3</v>
      </c>
      <c r="AC588">
        <v>0</v>
      </c>
      <c r="AD588">
        <v>10</v>
      </c>
      <c r="AE588">
        <v>0</v>
      </c>
      <c r="AF588">
        <v>3</v>
      </c>
      <c r="AG588">
        <v>2</v>
      </c>
      <c r="AH588">
        <v>0</v>
      </c>
      <c r="AI588" t="s">
        <v>1273</v>
      </c>
      <c r="AJ588">
        <v>39.263483999999998</v>
      </c>
      <c r="AK588" t="s">
        <v>1274</v>
      </c>
      <c r="AL588">
        <v>-77.274077000000005</v>
      </c>
      <c r="AM588">
        <v>100</v>
      </c>
      <c r="AN588">
        <v>8700</v>
      </c>
      <c r="AO588" t="s">
        <v>115</v>
      </c>
      <c r="AP588">
        <v>179</v>
      </c>
      <c r="AQ588">
        <v>66</v>
      </c>
      <c r="AR588">
        <v>320</v>
      </c>
      <c r="AZ588">
        <v>3614</v>
      </c>
      <c r="BA588">
        <v>1</v>
      </c>
      <c r="BB588" t="str">
        <f t="shared" si="29"/>
        <v xml:space="preserve">N959MJ  </v>
      </c>
      <c r="BC588">
        <v>1</v>
      </c>
      <c r="BE588">
        <v>0</v>
      </c>
      <c r="BF588">
        <v>0</v>
      </c>
      <c r="BG588">
        <v>0</v>
      </c>
      <c r="BH588">
        <v>8975</v>
      </c>
      <c r="BI588">
        <v>275</v>
      </c>
      <c r="BJ588">
        <v>1</v>
      </c>
      <c r="BK588">
        <v>1</v>
      </c>
      <c r="BL588">
        <v>1</v>
      </c>
      <c r="BM588">
        <v>0</v>
      </c>
      <c r="BP588">
        <v>0</v>
      </c>
      <c r="BQ588">
        <v>0</v>
      </c>
      <c r="BX588" t="str">
        <f>"14:00:08.680"</f>
        <v>14:00:08.680</v>
      </c>
      <c r="BY588" t="str">
        <f>"681828533"</f>
        <v>681828533</v>
      </c>
      <c r="CL588">
        <v>0</v>
      </c>
      <c r="CM588">
        <v>2</v>
      </c>
      <c r="CN588">
        <v>0</v>
      </c>
      <c r="CO588">
        <v>2</v>
      </c>
      <c r="CP588">
        <v>0</v>
      </c>
      <c r="CQ588">
        <v>7</v>
      </c>
      <c r="CR588" t="s">
        <v>116</v>
      </c>
      <c r="CS588">
        <v>525</v>
      </c>
      <c r="CT588">
        <v>2</v>
      </c>
      <c r="CU588" t="s">
        <v>140</v>
      </c>
      <c r="CV588" t="s">
        <v>141</v>
      </c>
      <c r="CY588">
        <v>14445389</v>
      </c>
      <c r="CZ588" t="s">
        <v>119</v>
      </c>
    </row>
    <row r="589" spans="1:104" x14ac:dyDescent="0.25">
      <c r="A589" t="str">
        <f>"14:00:09.813"</f>
        <v>14:00:09.813</v>
      </c>
      <c r="B589" t="s">
        <v>108</v>
      </c>
      <c r="C589" t="str">
        <f t="shared" si="28"/>
        <v>ffdfd3c0</v>
      </c>
      <c r="D589" t="s">
        <v>109</v>
      </c>
      <c r="E589">
        <v>4</v>
      </c>
      <c r="F589">
        <v>1004</v>
      </c>
      <c r="G589" t="s">
        <v>110</v>
      </c>
      <c r="J589" t="s">
        <v>111</v>
      </c>
      <c r="K589">
        <v>0</v>
      </c>
      <c r="L589">
        <v>3</v>
      </c>
      <c r="M589">
        <v>0</v>
      </c>
      <c r="N589">
        <v>2</v>
      </c>
      <c r="O589">
        <v>1</v>
      </c>
      <c r="P589">
        <v>0</v>
      </c>
      <c r="Q589">
        <v>0</v>
      </c>
      <c r="R589" t="s">
        <v>112</v>
      </c>
      <c r="S589" t="str">
        <f>"14:00:09.602"</f>
        <v>14:00:09.602</v>
      </c>
      <c r="T589" t="str">
        <f>"14:00:09.203"</f>
        <v>14:00:09.203</v>
      </c>
      <c r="U589" t="str">
        <f t="shared" si="27"/>
        <v>ad5732</v>
      </c>
      <c r="V589">
        <v>0</v>
      </c>
      <c r="W589">
        <v>0</v>
      </c>
      <c r="X589">
        <v>1</v>
      </c>
      <c r="Z589">
        <v>0</v>
      </c>
      <c r="AA589">
        <v>9</v>
      </c>
      <c r="AB589">
        <v>3</v>
      </c>
      <c r="AC589">
        <v>0</v>
      </c>
      <c r="AD589">
        <v>10</v>
      </c>
      <c r="AE589">
        <v>0</v>
      </c>
      <c r="AF589">
        <v>3</v>
      </c>
      <c r="AG589">
        <v>2</v>
      </c>
      <c r="AH589">
        <v>0</v>
      </c>
      <c r="AI589" t="s">
        <v>1275</v>
      </c>
      <c r="AJ589">
        <v>39.263742000000001</v>
      </c>
      <c r="AK589" t="s">
        <v>1276</v>
      </c>
      <c r="AL589">
        <v>-77.273133000000001</v>
      </c>
      <c r="AM589">
        <v>100</v>
      </c>
      <c r="AN589">
        <v>8700</v>
      </c>
      <c r="AO589" t="s">
        <v>115</v>
      </c>
      <c r="AP589">
        <v>179</v>
      </c>
      <c r="AQ589">
        <v>65</v>
      </c>
      <c r="AR589">
        <v>320</v>
      </c>
      <c r="AZ589">
        <v>3614</v>
      </c>
      <c r="BA589">
        <v>1</v>
      </c>
      <c r="BB589" t="str">
        <f t="shared" si="29"/>
        <v xml:space="preserve">N959MJ  </v>
      </c>
      <c r="BC589">
        <v>1</v>
      </c>
      <c r="BE589">
        <v>0</v>
      </c>
      <c r="BF589">
        <v>0</v>
      </c>
      <c r="BG589">
        <v>0</v>
      </c>
      <c r="BH589">
        <v>8975</v>
      </c>
      <c r="BI589">
        <v>275</v>
      </c>
      <c r="BJ589">
        <v>1</v>
      </c>
      <c r="BK589">
        <v>1</v>
      </c>
      <c r="BL589">
        <v>1</v>
      </c>
      <c r="BM589">
        <v>0</v>
      </c>
      <c r="BP589">
        <v>0</v>
      </c>
      <c r="BQ589">
        <v>0</v>
      </c>
      <c r="BX589" t="str">
        <f>"14:00:09.602"</f>
        <v>14:00:09.602</v>
      </c>
      <c r="BY589" t="str">
        <f>"602624178"</f>
        <v>602624178</v>
      </c>
      <c r="CL589">
        <v>0</v>
      </c>
      <c r="CM589">
        <v>2</v>
      </c>
      <c r="CN589">
        <v>0</v>
      </c>
      <c r="CO589">
        <v>2</v>
      </c>
      <c r="CP589">
        <v>0</v>
      </c>
      <c r="CQ589">
        <v>7</v>
      </c>
      <c r="CR589" t="s">
        <v>116</v>
      </c>
      <c r="CS589">
        <v>525</v>
      </c>
      <c r="CT589">
        <v>2</v>
      </c>
      <c r="CU589" t="s">
        <v>140</v>
      </c>
      <c r="CV589" t="s">
        <v>141</v>
      </c>
      <c r="CY589">
        <v>14446808</v>
      </c>
      <c r="CZ589" t="s">
        <v>119</v>
      </c>
    </row>
    <row r="590" spans="1:104" x14ac:dyDescent="0.25">
      <c r="A590" t="str">
        <f>"14:00:10.820"</f>
        <v>14:00:10.820</v>
      </c>
      <c r="B590" t="s">
        <v>108</v>
      </c>
      <c r="C590" t="str">
        <f t="shared" si="28"/>
        <v>ffdfd3c0</v>
      </c>
      <c r="D590" t="s">
        <v>109</v>
      </c>
      <c r="E590">
        <v>4</v>
      </c>
      <c r="F590">
        <v>1004</v>
      </c>
      <c r="G590" t="s">
        <v>110</v>
      </c>
      <c r="J590" t="s">
        <v>111</v>
      </c>
      <c r="K590">
        <v>0</v>
      </c>
      <c r="L590">
        <v>3</v>
      </c>
      <c r="M590">
        <v>0</v>
      </c>
      <c r="N590">
        <v>2</v>
      </c>
      <c r="O590">
        <v>1</v>
      </c>
      <c r="P590">
        <v>0</v>
      </c>
      <c r="Q590">
        <v>0</v>
      </c>
      <c r="R590" t="s">
        <v>112</v>
      </c>
      <c r="S590" t="str">
        <f>"14:00:10.625"</f>
        <v>14:00:10.625</v>
      </c>
      <c r="T590" t="str">
        <f>"14:00:10.125"</f>
        <v>14:00:10.125</v>
      </c>
      <c r="U590" t="str">
        <f t="shared" si="27"/>
        <v>ad5732</v>
      </c>
      <c r="V590">
        <v>0</v>
      </c>
      <c r="W590">
        <v>0</v>
      </c>
      <c r="X590">
        <v>1</v>
      </c>
      <c r="Z590">
        <v>0</v>
      </c>
      <c r="AA590">
        <v>9</v>
      </c>
      <c r="AB590">
        <v>3</v>
      </c>
      <c r="AC590">
        <v>0</v>
      </c>
      <c r="AD590">
        <v>10</v>
      </c>
      <c r="AE590">
        <v>0</v>
      </c>
      <c r="AF590">
        <v>3</v>
      </c>
      <c r="AG590">
        <v>2</v>
      </c>
      <c r="AH590">
        <v>0</v>
      </c>
      <c r="AI590" t="s">
        <v>1277</v>
      </c>
      <c r="AJ590">
        <v>39.264063999999998</v>
      </c>
      <c r="AK590" t="s">
        <v>1278</v>
      </c>
      <c r="AL590">
        <v>-77.272103000000001</v>
      </c>
      <c r="AM590">
        <v>100</v>
      </c>
      <c r="AN590">
        <v>8700</v>
      </c>
      <c r="AO590" t="s">
        <v>115</v>
      </c>
      <c r="AP590">
        <v>179</v>
      </c>
      <c r="AQ590">
        <v>63</v>
      </c>
      <c r="AR590">
        <v>384</v>
      </c>
      <c r="AZ590">
        <v>3614</v>
      </c>
      <c r="BA590">
        <v>1</v>
      </c>
      <c r="BB590" t="str">
        <f t="shared" si="29"/>
        <v xml:space="preserve">N959MJ  </v>
      </c>
      <c r="BC590">
        <v>1</v>
      </c>
      <c r="BE590">
        <v>0</v>
      </c>
      <c r="BF590">
        <v>0</v>
      </c>
      <c r="BG590">
        <v>0</v>
      </c>
      <c r="BH590">
        <v>9000</v>
      </c>
      <c r="BI590">
        <v>300</v>
      </c>
      <c r="BJ590">
        <v>1</v>
      </c>
      <c r="BK590">
        <v>1</v>
      </c>
      <c r="BL590">
        <v>1</v>
      </c>
      <c r="BM590">
        <v>0</v>
      </c>
      <c r="BP590">
        <v>0</v>
      </c>
      <c r="BQ590">
        <v>0</v>
      </c>
      <c r="BX590" t="str">
        <f>"14:00:10.633"</f>
        <v>14:00:10.633</v>
      </c>
      <c r="BY590" t="str">
        <f>"629917545"</f>
        <v>629917545</v>
      </c>
      <c r="CL590">
        <v>0</v>
      </c>
      <c r="CM590">
        <v>2</v>
      </c>
      <c r="CN590">
        <v>0</v>
      </c>
      <c r="CO590">
        <v>2</v>
      </c>
      <c r="CP590">
        <v>0</v>
      </c>
      <c r="CQ590">
        <v>7</v>
      </c>
      <c r="CR590" t="s">
        <v>116</v>
      </c>
      <c r="CS590">
        <v>525</v>
      </c>
      <c r="CT590">
        <v>1</v>
      </c>
      <c r="CU590" t="s">
        <v>140</v>
      </c>
      <c r="CV590" t="s">
        <v>141</v>
      </c>
      <c r="CY590">
        <v>8028058</v>
      </c>
      <c r="CZ590" t="s">
        <v>119</v>
      </c>
    </row>
    <row r="591" spans="1:104" x14ac:dyDescent="0.25">
      <c r="A591" t="str">
        <f>"14:00:11.773"</f>
        <v>14:00:11.773</v>
      </c>
      <c r="B591" t="s">
        <v>108</v>
      </c>
      <c r="C591" t="str">
        <f t="shared" si="28"/>
        <v>ffdfd3c0</v>
      </c>
      <c r="D591" t="s">
        <v>109</v>
      </c>
      <c r="E591">
        <v>4</v>
      </c>
      <c r="F591">
        <v>1004</v>
      </c>
      <c r="G591" t="s">
        <v>110</v>
      </c>
      <c r="J591" t="s">
        <v>111</v>
      </c>
      <c r="K591">
        <v>0</v>
      </c>
      <c r="L591">
        <v>3</v>
      </c>
      <c r="M591">
        <v>0</v>
      </c>
      <c r="N591">
        <v>2</v>
      </c>
      <c r="O591">
        <v>1</v>
      </c>
      <c r="P591">
        <v>0</v>
      </c>
      <c r="Q591">
        <v>0</v>
      </c>
      <c r="R591" t="s">
        <v>112</v>
      </c>
      <c r="S591" t="str">
        <f>"14:00:11.617"</f>
        <v>14:00:11.617</v>
      </c>
      <c r="T591" t="str">
        <f>"14:00:11.117"</f>
        <v>14:00:11.117</v>
      </c>
      <c r="U591" t="str">
        <f t="shared" si="27"/>
        <v>ad5732</v>
      </c>
      <c r="V591">
        <v>0</v>
      </c>
      <c r="W591">
        <v>0</v>
      </c>
      <c r="X591">
        <v>1</v>
      </c>
      <c r="Z591">
        <v>0</v>
      </c>
      <c r="AA591">
        <v>9</v>
      </c>
      <c r="AB591">
        <v>3</v>
      </c>
      <c r="AC591">
        <v>0</v>
      </c>
      <c r="AD591">
        <v>10</v>
      </c>
      <c r="AE591">
        <v>0</v>
      </c>
      <c r="AF591">
        <v>3</v>
      </c>
      <c r="AG591">
        <v>2</v>
      </c>
      <c r="AH591">
        <v>0</v>
      </c>
      <c r="AI591" t="s">
        <v>1279</v>
      </c>
      <c r="AJ591">
        <v>39.264342999999997</v>
      </c>
      <c r="AK591" t="s">
        <v>1280</v>
      </c>
      <c r="AL591">
        <v>-77.270987000000005</v>
      </c>
      <c r="AM591">
        <v>100</v>
      </c>
      <c r="AN591">
        <v>8700</v>
      </c>
      <c r="AO591" t="s">
        <v>115</v>
      </c>
      <c r="AP591">
        <v>179</v>
      </c>
      <c r="AQ591">
        <v>61</v>
      </c>
      <c r="AR591">
        <v>448</v>
      </c>
      <c r="AZ591">
        <v>3614</v>
      </c>
      <c r="BA591">
        <v>1</v>
      </c>
      <c r="BB591" t="str">
        <f t="shared" si="29"/>
        <v xml:space="preserve">N959MJ  </v>
      </c>
      <c r="BC591">
        <v>1</v>
      </c>
      <c r="BE591">
        <v>0</v>
      </c>
      <c r="BF591">
        <v>0</v>
      </c>
      <c r="BG591">
        <v>0</v>
      </c>
      <c r="BH591">
        <v>9000</v>
      </c>
      <c r="BI591">
        <v>300</v>
      </c>
      <c r="BJ591">
        <v>1</v>
      </c>
      <c r="BK591">
        <v>1</v>
      </c>
      <c r="BL591">
        <v>1</v>
      </c>
      <c r="BM591">
        <v>0</v>
      </c>
      <c r="BP591">
        <v>0</v>
      </c>
      <c r="BQ591">
        <v>0</v>
      </c>
      <c r="BX591" t="str">
        <f>"14:00:11.617"</f>
        <v>14:00:11.617</v>
      </c>
      <c r="BY591" t="str">
        <f>"619527160"</f>
        <v>619527160</v>
      </c>
      <c r="CL591">
        <v>0</v>
      </c>
      <c r="CM591">
        <v>2</v>
      </c>
      <c r="CN591">
        <v>0</v>
      </c>
      <c r="CO591">
        <v>2</v>
      </c>
      <c r="CP591">
        <v>0</v>
      </c>
      <c r="CQ591">
        <v>7</v>
      </c>
      <c r="CR591" t="s">
        <v>116</v>
      </c>
      <c r="CS591">
        <v>525</v>
      </c>
      <c r="CT591">
        <v>1</v>
      </c>
      <c r="CU591" t="s">
        <v>140</v>
      </c>
      <c r="CV591" t="s">
        <v>141</v>
      </c>
      <c r="CY591">
        <v>8029384</v>
      </c>
      <c r="CZ591" t="s">
        <v>119</v>
      </c>
    </row>
    <row r="592" spans="1:104" x14ac:dyDescent="0.25">
      <c r="A592" t="str">
        <f>"14:00:12.891"</f>
        <v>14:00:12.891</v>
      </c>
      <c r="B592" t="s">
        <v>108</v>
      </c>
      <c r="C592" t="str">
        <f t="shared" si="28"/>
        <v>ffdfd3c0</v>
      </c>
      <c r="D592" t="s">
        <v>109</v>
      </c>
      <c r="E592">
        <v>4</v>
      </c>
      <c r="F592">
        <v>1004</v>
      </c>
      <c r="G592" t="s">
        <v>110</v>
      </c>
      <c r="J592" t="s">
        <v>111</v>
      </c>
      <c r="K592">
        <v>0</v>
      </c>
      <c r="L592">
        <v>3</v>
      </c>
      <c r="M592">
        <v>0</v>
      </c>
      <c r="N592">
        <v>2</v>
      </c>
      <c r="O592">
        <v>1</v>
      </c>
      <c r="P592">
        <v>0</v>
      </c>
      <c r="Q592">
        <v>0</v>
      </c>
      <c r="R592" t="s">
        <v>112</v>
      </c>
      <c r="S592" t="str">
        <f>"14:00:12.727"</f>
        <v>14:00:12.727</v>
      </c>
      <c r="T592" t="str">
        <f>"14:00:12.227"</f>
        <v>14:00:12.227</v>
      </c>
      <c r="U592" t="str">
        <f t="shared" si="27"/>
        <v>ad5732</v>
      </c>
      <c r="V592">
        <v>0</v>
      </c>
      <c r="W592">
        <v>0</v>
      </c>
      <c r="X592">
        <v>1</v>
      </c>
      <c r="Z592">
        <v>0</v>
      </c>
      <c r="AA592">
        <v>9</v>
      </c>
      <c r="AB592">
        <v>3</v>
      </c>
      <c r="AC592">
        <v>0</v>
      </c>
      <c r="AD592">
        <v>10</v>
      </c>
      <c r="AE592">
        <v>0</v>
      </c>
      <c r="AF592">
        <v>3</v>
      </c>
      <c r="AG592">
        <v>2</v>
      </c>
      <c r="AH592">
        <v>0</v>
      </c>
      <c r="AI592" t="s">
        <v>1281</v>
      </c>
      <c r="AJ592">
        <v>39.264643</v>
      </c>
      <c r="AK592" t="s">
        <v>1282</v>
      </c>
      <c r="AL592">
        <v>-77.269828000000004</v>
      </c>
      <c r="AM592">
        <v>100</v>
      </c>
      <c r="AN592">
        <v>8700</v>
      </c>
      <c r="AO592" t="s">
        <v>115</v>
      </c>
      <c r="AP592">
        <v>179</v>
      </c>
      <c r="AQ592">
        <v>59</v>
      </c>
      <c r="AR592">
        <v>448</v>
      </c>
      <c r="AZ592">
        <v>3614</v>
      </c>
      <c r="BA592">
        <v>1</v>
      </c>
      <c r="BB592" t="str">
        <f t="shared" si="29"/>
        <v xml:space="preserve">N959MJ  </v>
      </c>
      <c r="BC592">
        <v>1</v>
      </c>
      <c r="BE592">
        <v>0</v>
      </c>
      <c r="BF592">
        <v>0</v>
      </c>
      <c r="BG592">
        <v>0</v>
      </c>
      <c r="BH592">
        <v>9000</v>
      </c>
      <c r="BI592">
        <v>300</v>
      </c>
      <c r="BJ592">
        <v>1</v>
      </c>
      <c r="BK592">
        <v>1</v>
      </c>
      <c r="BL592">
        <v>1</v>
      </c>
      <c r="BM592">
        <v>0</v>
      </c>
      <c r="BP592">
        <v>0</v>
      </c>
      <c r="BQ592">
        <v>0</v>
      </c>
      <c r="BX592" t="str">
        <f>"14:00:12.727"</f>
        <v>14:00:12.727</v>
      </c>
      <c r="BY592" t="str">
        <f>"730380226"</f>
        <v>730380226</v>
      </c>
      <c r="CL592">
        <v>0</v>
      </c>
      <c r="CM592">
        <v>2</v>
      </c>
      <c r="CN592">
        <v>0</v>
      </c>
      <c r="CO592">
        <v>2</v>
      </c>
      <c r="CP592">
        <v>0</v>
      </c>
      <c r="CQ592">
        <v>7</v>
      </c>
      <c r="CR592" t="s">
        <v>116</v>
      </c>
      <c r="CS592">
        <v>525</v>
      </c>
      <c r="CT592">
        <v>2</v>
      </c>
      <c r="CU592" t="s">
        <v>140</v>
      </c>
      <c r="CV592" t="s">
        <v>141</v>
      </c>
      <c r="CY592">
        <v>14451201</v>
      </c>
      <c r="CZ592" t="s">
        <v>119</v>
      </c>
    </row>
    <row r="593" spans="1:104" x14ac:dyDescent="0.25">
      <c r="A593" t="str">
        <f>"14:00:13.797"</f>
        <v>14:00:13.797</v>
      </c>
      <c r="B593" t="s">
        <v>108</v>
      </c>
      <c r="C593" t="str">
        <f t="shared" si="28"/>
        <v>ffdfd3c0</v>
      </c>
      <c r="D593" t="s">
        <v>109</v>
      </c>
      <c r="E593">
        <v>4</v>
      </c>
      <c r="F593">
        <v>1004</v>
      </c>
      <c r="G593" t="s">
        <v>110</v>
      </c>
      <c r="J593" t="s">
        <v>111</v>
      </c>
      <c r="K593">
        <v>0</v>
      </c>
      <c r="L593">
        <v>3</v>
      </c>
      <c r="M593">
        <v>0</v>
      </c>
      <c r="N593">
        <v>2</v>
      </c>
      <c r="O593">
        <v>1</v>
      </c>
      <c r="P593">
        <v>0</v>
      </c>
      <c r="Q593">
        <v>0</v>
      </c>
      <c r="R593" t="s">
        <v>112</v>
      </c>
      <c r="S593" t="str">
        <f>"14:00:13.617"</f>
        <v>14:00:13.617</v>
      </c>
      <c r="T593" t="str">
        <f>"14:00:13.219"</f>
        <v>14:00:13.219</v>
      </c>
      <c r="U593" t="str">
        <f t="shared" si="27"/>
        <v>ad5732</v>
      </c>
      <c r="V593">
        <v>0</v>
      </c>
      <c r="W593">
        <v>0</v>
      </c>
      <c r="X593">
        <v>1</v>
      </c>
      <c r="Z593">
        <v>0</v>
      </c>
      <c r="AA593">
        <v>9</v>
      </c>
      <c r="AB593">
        <v>3</v>
      </c>
      <c r="AC593">
        <v>0</v>
      </c>
      <c r="AD593">
        <v>10</v>
      </c>
      <c r="AE593">
        <v>0</v>
      </c>
      <c r="AF593">
        <v>3</v>
      </c>
      <c r="AG593">
        <v>2</v>
      </c>
      <c r="AH593">
        <v>0</v>
      </c>
      <c r="AI593" t="s">
        <v>1283</v>
      </c>
      <c r="AJ593">
        <v>39.264857999999997</v>
      </c>
      <c r="AK593" t="s">
        <v>1284</v>
      </c>
      <c r="AL593">
        <v>-77.268862999999996</v>
      </c>
      <c r="AM593">
        <v>100</v>
      </c>
      <c r="AN593">
        <v>8700</v>
      </c>
      <c r="AO593" t="s">
        <v>115</v>
      </c>
      <c r="AP593">
        <v>179</v>
      </c>
      <c r="AQ593">
        <v>57</v>
      </c>
      <c r="AR593">
        <v>512</v>
      </c>
      <c r="AZ593">
        <v>3614</v>
      </c>
      <c r="BA593">
        <v>1</v>
      </c>
      <c r="BB593" t="str">
        <f t="shared" si="29"/>
        <v xml:space="preserve">N959MJ  </v>
      </c>
      <c r="BC593">
        <v>1</v>
      </c>
      <c r="BE593">
        <v>0</v>
      </c>
      <c r="BF593">
        <v>0</v>
      </c>
      <c r="BG593">
        <v>0</v>
      </c>
      <c r="BH593">
        <v>9025</v>
      </c>
      <c r="BI593">
        <v>325</v>
      </c>
      <c r="BJ593">
        <v>1</v>
      </c>
      <c r="BK593">
        <v>1</v>
      </c>
      <c r="BL593">
        <v>1</v>
      </c>
      <c r="BM593">
        <v>0</v>
      </c>
      <c r="BP593">
        <v>0</v>
      </c>
      <c r="BQ593">
        <v>0</v>
      </c>
      <c r="BX593" t="str">
        <f>"14:00:13.617"</f>
        <v>14:00:13.617</v>
      </c>
      <c r="BY593" t="str">
        <f>"620045782"</f>
        <v>620045782</v>
      </c>
      <c r="CL593">
        <v>0</v>
      </c>
      <c r="CM593">
        <v>2</v>
      </c>
      <c r="CN593">
        <v>0</v>
      </c>
      <c r="CO593">
        <v>2</v>
      </c>
      <c r="CP593">
        <v>0</v>
      </c>
      <c r="CQ593">
        <v>7</v>
      </c>
      <c r="CR593" t="s">
        <v>116</v>
      </c>
      <c r="CS593">
        <v>525</v>
      </c>
      <c r="CT593">
        <v>2</v>
      </c>
      <c r="CU593" t="s">
        <v>140</v>
      </c>
      <c r="CV593" t="s">
        <v>141</v>
      </c>
      <c r="CY593">
        <v>14452482</v>
      </c>
      <c r="CZ593" t="s">
        <v>119</v>
      </c>
    </row>
    <row r="594" spans="1:104" x14ac:dyDescent="0.25">
      <c r="A594" t="str">
        <f>"14:00:14.852"</f>
        <v>14:00:14.852</v>
      </c>
      <c r="B594" t="s">
        <v>108</v>
      </c>
      <c r="C594" t="str">
        <f t="shared" si="28"/>
        <v>ffdfd3c0</v>
      </c>
      <c r="D594" t="s">
        <v>109</v>
      </c>
      <c r="E594">
        <v>4</v>
      </c>
      <c r="F594">
        <v>1004</v>
      </c>
      <c r="G594" t="s">
        <v>110</v>
      </c>
      <c r="J594" t="s">
        <v>111</v>
      </c>
      <c r="K594">
        <v>0</v>
      </c>
      <c r="L594">
        <v>3</v>
      </c>
      <c r="M594">
        <v>0</v>
      </c>
      <c r="N594">
        <v>2</v>
      </c>
      <c r="O594">
        <v>1</v>
      </c>
      <c r="P594">
        <v>0</v>
      </c>
      <c r="Q594">
        <v>0</v>
      </c>
      <c r="R594" t="s">
        <v>112</v>
      </c>
      <c r="S594" t="str">
        <f>"14:00:14.688"</f>
        <v>14:00:14.688</v>
      </c>
      <c r="T594" t="str">
        <f>"14:00:14.188"</f>
        <v>14:00:14.188</v>
      </c>
      <c r="U594" t="str">
        <f t="shared" si="27"/>
        <v>ad5732</v>
      </c>
      <c r="V594">
        <v>0</v>
      </c>
      <c r="W594">
        <v>0</v>
      </c>
      <c r="X594">
        <v>1</v>
      </c>
      <c r="Z594">
        <v>0</v>
      </c>
      <c r="AA594">
        <v>9</v>
      </c>
      <c r="AB594">
        <v>3</v>
      </c>
      <c r="AC594">
        <v>0</v>
      </c>
      <c r="AD594">
        <v>10</v>
      </c>
      <c r="AE594">
        <v>0</v>
      </c>
      <c r="AF594">
        <v>3</v>
      </c>
      <c r="AG594">
        <v>2</v>
      </c>
      <c r="AH594">
        <v>0</v>
      </c>
      <c r="AI594" t="s">
        <v>1285</v>
      </c>
      <c r="AJ594">
        <v>39.265137000000003</v>
      </c>
      <c r="AK594" t="s">
        <v>1286</v>
      </c>
      <c r="AL594">
        <v>-77.267683000000005</v>
      </c>
      <c r="AM594">
        <v>100</v>
      </c>
      <c r="AN594">
        <v>8700</v>
      </c>
      <c r="AO594" t="s">
        <v>115</v>
      </c>
      <c r="AP594">
        <v>179</v>
      </c>
      <c r="AQ594">
        <v>56</v>
      </c>
      <c r="AR594">
        <v>512</v>
      </c>
      <c r="AZ594">
        <v>3614</v>
      </c>
      <c r="BA594">
        <v>1</v>
      </c>
      <c r="BB594" t="str">
        <f t="shared" si="29"/>
        <v xml:space="preserve">N959MJ  </v>
      </c>
      <c r="BC594">
        <v>1</v>
      </c>
      <c r="BE594">
        <v>0</v>
      </c>
      <c r="BF594">
        <v>0</v>
      </c>
      <c r="BG594">
        <v>0</v>
      </c>
      <c r="BH594">
        <v>9025</v>
      </c>
      <c r="BI594">
        <v>325</v>
      </c>
      <c r="BJ594">
        <v>1</v>
      </c>
      <c r="BK594">
        <v>1</v>
      </c>
      <c r="BL594">
        <v>1</v>
      </c>
      <c r="BM594">
        <v>0</v>
      </c>
      <c r="BP594">
        <v>0</v>
      </c>
      <c r="BQ594">
        <v>0</v>
      </c>
      <c r="BX594" t="str">
        <f>"14:00:14.688"</f>
        <v>14:00:14.688</v>
      </c>
      <c r="BY594" t="str">
        <f>"689938265"</f>
        <v>689938265</v>
      </c>
      <c r="CL594">
        <v>0</v>
      </c>
      <c r="CM594">
        <v>2</v>
      </c>
      <c r="CN594">
        <v>0</v>
      </c>
      <c r="CO594">
        <v>2</v>
      </c>
      <c r="CP594">
        <v>0</v>
      </c>
      <c r="CQ594">
        <v>7</v>
      </c>
      <c r="CR594" t="s">
        <v>116</v>
      </c>
      <c r="CS594">
        <v>525</v>
      </c>
      <c r="CT594">
        <v>2</v>
      </c>
      <c r="CU594" t="s">
        <v>140</v>
      </c>
      <c r="CV594" t="s">
        <v>141</v>
      </c>
      <c r="CY594">
        <v>14454242</v>
      </c>
      <c r="CZ594" t="s">
        <v>119</v>
      </c>
    </row>
    <row r="595" spans="1:104" x14ac:dyDescent="0.25">
      <c r="A595" t="str">
        <f>"14:00:15.914"</f>
        <v>14:00:15.914</v>
      </c>
      <c r="B595" t="s">
        <v>108</v>
      </c>
      <c r="C595" t="str">
        <f t="shared" si="28"/>
        <v>ffdfd3c0</v>
      </c>
      <c r="D595" t="s">
        <v>109</v>
      </c>
      <c r="E595">
        <v>4</v>
      </c>
      <c r="F595">
        <v>1004</v>
      </c>
      <c r="G595" t="s">
        <v>110</v>
      </c>
      <c r="J595" t="s">
        <v>111</v>
      </c>
      <c r="K595">
        <v>0</v>
      </c>
      <c r="L595">
        <v>3</v>
      </c>
      <c r="M595">
        <v>0</v>
      </c>
      <c r="N595">
        <v>2</v>
      </c>
      <c r="O595">
        <v>1</v>
      </c>
      <c r="P595">
        <v>0</v>
      </c>
      <c r="Q595">
        <v>0</v>
      </c>
      <c r="R595" t="s">
        <v>112</v>
      </c>
      <c r="S595" t="str">
        <f>"14:00:15.711"</f>
        <v>14:00:15.711</v>
      </c>
      <c r="T595" t="str">
        <f>"14:00:15.313"</f>
        <v>14:00:15.313</v>
      </c>
      <c r="U595" t="str">
        <f t="shared" si="27"/>
        <v>ad5732</v>
      </c>
      <c r="V595">
        <v>0</v>
      </c>
      <c r="W595">
        <v>0</v>
      </c>
      <c r="X595">
        <v>1</v>
      </c>
      <c r="Z595">
        <v>0</v>
      </c>
      <c r="AA595">
        <v>9</v>
      </c>
      <c r="AB595">
        <v>3</v>
      </c>
      <c r="AC595">
        <v>0</v>
      </c>
      <c r="AD595">
        <v>10</v>
      </c>
      <c r="AE595">
        <v>0</v>
      </c>
      <c r="AF595">
        <v>3</v>
      </c>
      <c r="AG595">
        <v>2</v>
      </c>
      <c r="AH595">
        <v>0</v>
      </c>
      <c r="AI595" t="s">
        <v>1287</v>
      </c>
      <c r="AJ595">
        <v>39.265372999999997</v>
      </c>
      <c r="AK595" t="s">
        <v>1288</v>
      </c>
      <c r="AL595">
        <v>-77.26661</v>
      </c>
      <c r="AM595">
        <v>100</v>
      </c>
      <c r="AN595">
        <v>8700</v>
      </c>
      <c r="AO595" t="s">
        <v>115</v>
      </c>
      <c r="AP595">
        <v>179</v>
      </c>
      <c r="AQ595">
        <v>54</v>
      </c>
      <c r="AR595">
        <v>512</v>
      </c>
      <c r="AZ595">
        <v>3614</v>
      </c>
      <c r="BA595">
        <v>1</v>
      </c>
      <c r="BB595" t="str">
        <f t="shared" si="29"/>
        <v xml:space="preserve">N959MJ  </v>
      </c>
      <c r="BC595">
        <v>1</v>
      </c>
      <c r="BE595">
        <v>0</v>
      </c>
      <c r="BF595">
        <v>0</v>
      </c>
      <c r="BG595">
        <v>0</v>
      </c>
      <c r="BH595">
        <v>9025</v>
      </c>
      <c r="BI595">
        <v>325</v>
      </c>
      <c r="BJ595">
        <v>1</v>
      </c>
      <c r="BK595">
        <v>1</v>
      </c>
      <c r="BL595">
        <v>1</v>
      </c>
      <c r="BM595">
        <v>0</v>
      </c>
      <c r="BP595">
        <v>0</v>
      </c>
      <c r="BQ595">
        <v>0</v>
      </c>
      <c r="BX595" t="str">
        <f>"14:00:15.711"</f>
        <v>14:00:15.711</v>
      </c>
      <c r="BY595" t="str">
        <f>"712316374"</f>
        <v>712316374</v>
      </c>
      <c r="CL595">
        <v>0</v>
      </c>
      <c r="CM595">
        <v>2</v>
      </c>
      <c r="CN595">
        <v>0</v>
      </c>
      <c r="CO595">
        <v>2</v>
      </c>
      <c r="CP595">
        <v>0</v>
      </c>
      <c r="CQ595">
        <v>7</v>
      </c>
      <c r="CR595" t="s">
        <v>116</v>
      </c>
      <c r="CS595">
        <v>525</v>
      </c>
      <c r="CT595">
        <v>2</v>
      </c>
      <c r="CU595" t="s">
        <v>140</v>
      </c>
      <c r="CV595" t="s">
        <v>141</v>
      </c>
      <c r="CY595">
        <v>14455723</v>
      </c>
      <c r="CZ595" t="s">
        <v>119</v>
      </c>
    </row>
    <row r="596" spans="1:104" x14ac:dyDescent="0.25">
      <c r="A596" t="str">
        <f>"14:00:17.078"</f>
        <v>14:00:17.078</v>
      </c>
      <c r="B596" t="s">
        <v>108</v>
      </c>
      <c r="C596" t="str">
        <f t="shared" si="28"/>
        <v>ffdfd3c0</v>
      </c>
      <c r="D596" t="s">
        <v>109</v>
      </c>
      <c r="E596">
        <v>4</v>
      </c>
      <c r="F596">
        <v>1004</v>
      </c>
      <c r="G596" t="s">
        <v>110</v>
      </c>
      <c r="J596" t="s">
        <v>111</v>
      </c>
      <c r="K596">
        <v>0</v>
      </c>
      <c r="L596">
        <v>3</v>
      </c>
      <c r="M596">
        <v>0</v>
      </c>
      <c r="N596">
        <v>2</v>
      </c>
      <c r="O596">
        <v>1</v>
      </c>
      <c r="P596">
        <v>0</v>
      </c>
      <c r="Q596">
        <v>0</v>
      </c>
      <c r="R596" t="s">
        <v>112</v>
      </c>
      <c r="S596" t="str">
        <f>"14:00:16.891"</f>
        <v>14:00:16.891</v>
      </c>
      <c r="T596" t="str">
        <f>"14:00:16.391"</f>
        <v>14:00:16.391</v>
      </c>
      <c r="U596" t="str">
        <f t="shared" si="27"/>
        <v>ad5732</v>
      </c>
      <c r="V596">
        <v>0</v>
      </c>
      <c r="W596">
        <v>0</v>
      </c>
      <c r="X596">
        <v>1</v>
      </c>
      <c r="Z596">
        <v>0</v>
      </c>
      <c r="AA596">
        <v>9</v>
      </c>
      <c r="AB596">
        <v>3</v>
      </c>
      <c r="AC596">
        <v>0</v>
      </c>
      <c r="AD596">
        <v>10</v>
      </c>
      <c r="AE596">
        <v>0</v>
      </c>
      <c r="AF596">
        <v>3</v>
      </c>
      <c r="AG596">
        <v>2</v>
      </c>
      <c r="AH596">
        <v>0</v>
      </c>
      <c r="AI596" t="s">
        <v>1289</v>
      </c>
      <c r="AJ596">
        <v>39.265695000000001</v>
      </c>
      <c r="AK596" t="s">
        <v>1290</v>
      </c>
      <c r="AL596">
        <v>-77.265343999999999</v>
      </c>
      <c r="AM596">
        <v>100</v>
      </c>
      <c r="AN596">
        <v>8700</v>
      </c>
      <c r="AO596" t="s">
        <v>115</v>
      </c>
      <c r="AP596">
        <v>178</v>
      </c>
      <c r="AQ596">
        <v>53</v>
      </c>
      <c r="AR596">
        <v>576</v>
      </c>
      <c r="AZ596">
        <v>3614</v>
      </c>
      <c r="BA596">
        <v>1</v>
      </c>
      <c r="BB596" t="str">
        <f t="shared" si="29"/>
        <v xml:space="preserve">N959MJ  </v>
      </c>
      <c r="BC596">
        <v>1</v>
      </c>
      <c r="BE596">
        <v>0</v>
      </c>
      <c r="BF596">
        <v>0</v>
      </c>
      <c r="BG596">
        <v>0</v>
      </c>
      <c r="BH596">
        <v>9050</v>
      </c>
      <c r="BI596">
        <v>350</v>
      </c>
      <c r="BJ596">
        <v>1</v>
      </c>
      <c r="BK596">
        <v>1</v>
      </c>
      <c r="BL596">
        <v>1</v>
      </c>
      <c r="BM596">
        <v>0</v>
      </c>
      <c r="BP596">
        <v>0</v>
      </c>
      <c r="BQ596">
        <v>0</v>
      </c>
      <c r="BX596" t="str">
        <f>"14:00:16.898"</f>
        <v>14:00:16.898</v>
      </c>
      <c r="BY596" t="str">
        <f>"895266565"</f>
        <v>895266565</v>
      </c>
      <c r="CL596">
        <v>0</v>
      </c>
      <c r="CM596">
        <v>2</v>
      </c>
      <c r="CN596">
        <v>0</v>
      </c>
      <c r="CO596">
        <v>2</v>
      </c>
      <c r="CP596">
        <v>0</v>
      </c>
      <c r="CQ596">
        <v>7</v>
      </c>
      <c r="CR596" t="s">
        <v>116</v>
      </c>
      <c r="CS596">
        <v>147</v>
      </c>
      <c r="CT596">
        <v>0</v>
      </c>
      <c r="CU596" t="s">
        <v>117</v>
      </c>
      <c r="CV596" t="s">
        <v>118</v>
      </c>
      <c r="CY596">
        <v>4855704</v>
      </c>
      <c r="CZ596" t="s">
        <v>119</v>
      </c>
    </row>
    <row r="597" spans="1:104" x14ac:dyDescent="0.25">
      <c r="A597" t="str">
        <f>"14:00:18.086"</f>
        <v>14:00:18.086</v>
      </c>
      <c r="B597" t="s">
        <v>108</v>
      </c>
      <c r="C597" t="str">
        <f t="shared" si="28"/>
        <v>ffdfd3c0</v>
      </c>
      <c r="D597" t="s">
        <v>109</v>
      </c>
      <c r="E597">
        <v>4</v>
      </c>
      <c r="F597">
        <v>1004</v>
      </c>
      <c r="G597" t="s">
        <v>110</v>
      </c>
      <c r="J597" t="s">
        <v>111</v>
      </c>
      <c r="K597">
        <v>0</v>
      </c>
      <c r="L597">
        <v>3</v>
      </c>
      <c r="M597">
        <v>0</v>
      </c>
      <c r="N597">
        <v>2</v>
      </c>
      <c r="O597">
        <v>1</v>
      </c>
      <c r="P597">
        <v>0</v>
      </c>
      <c r="Q597">
        <v>0</v>
      </c>
      <c r="R597" t="s">
        <v>112</v>
      </c>
      <c r="S597" t="str">
        <f>"14:00:17.898"</f>
        <v>14:00:17.898</v>
      </c>
      <c r="T597" t="str">
        <f>"14:00:17.398"</f>
        <v>14:00:17.398</v>
      </c>
      <c r="U597" t="str">
        <f t="shared" si="27"/>
        <v>ad5732</v>
      </c>
      <c r="V597">
        <v>0</v>
      </c>
      <c r="W597">
        <v>0</v>
      </c>
      <c r="X597">
        <v>1</v>
      </c>
      <c r="Z597">
        <v>0</v>
      </c>
      <c r="AA597">
        <v>9</v>
      </c>
      <c r="AB597">
        <v>3</v>
      </c>
      <c r="AC597">
        <v>0</v>
      </c>
      <c r="AD597">
        <v>10</v>
      </c>
      <c r="AE597">
        <v>0</v>
      </c>
      <c r="AF597">
        <v>3</v>
      </c>
      <c r="AG597">
        <v>2</v>
      </c>
      <c r="AH597">
        <v>0</v>
      </c>
      <c r="AI597" t="s">
        <v>1291</v>
      </c>
      <c r="AJ597">
        <v>39.265909000000001</v>
      </c>
      <c r="AK597" t="s">
        <v>1292</v>
      </c>
      <c r="AL597">
        <v>-77.264270999999994</v>
      </c>
      <c r="AM597">
        <v>100</v>
      </c>
      <c r="AN597">
        <v>8700</v>
      </c>
      <c r="AO597" t="s">
        <v>115</v>
      </c>
      <c r="AP597">
        <v>178</v>
      </c>
      <c r="AQ597">
        <v>51</v>
      </c>
      <c r="AR597">
        <v>576</v>
      </c>
      <c r="AZ597">
        <v>3614</v>
      </c>
      <c r="BA597">
        <v>1</v>
      </c>
      <c r="BB597" t="str">
        <f t="shared" si="29"/>
        <v xml:space="preserve">N959MJ  </v>
      </c>
      <c r="BC597">
        <v>1</v>
      </c>
      <c r="BE597">
        <v>0</v>
      </c>
      <c r="BF597">
        <v>0</v>
      </c>
      <c r="BG597">
        <v>0</v>
      </c>
      <c r="BH597">
        <v>9050</v>
      </c>
      <c r="BI597">
        <v>350</v>
      </c>
      <c r="BJ597">
        <v>1</v>
      </c>
      <c r="BK597">
        <v>1</v>
      </c>
      <c r="BL597">
        <v>1</v>
      </c>
      <c r="BM597">
        <v>0</v>
      </c>
      <c r="BP597">
        <v>0</v>
      </c>
      <c r="BQ597">
        <v>0</v>
      </c>
      <c r="BX597" t="str">
        <f>"14:00:17.906"</f>
        <v>14:00:17.906</v>
      </c>
      <c r="BY597" t="str">
        <f>"904537141"</f>
        <v>904537141</v>
      </c>
      <c r="CL597">
        <v>0</v>
      </c>
      <c r="CM597">
        <v>2</v>
      </c>
      <c r="CN597">
        <v>0</v>
      </c>
      <c r="CO597">
        <v>2</v>
      </c>
      <c r="CP597">
        <v>0</v>
      </c>
      <c r="CQ597">
        <v>7</v>
      </c>
      <c r="CR597" t="s">
        <v>116</v>
      </c>
      <c r="CS597">
        <v>147</v>
      </c>
      <c r="CT597">
        <v>3</v>
      </c>
      <c r="CU597" t="s">
        <v>117</v>
      </c>
      <c r="CV597" t="s">
        <v>118</v>
      </c>
      <c r="CY597">
        <v>16743997</v>
      </c>
      <c r="CZ597" t="s">
        <v>119</v>
      </c>
    </row>
    <row r="598" spans="1:104" x14ac:dyDescent="0.25">
      <c r="A598" t="str">
        <f>"14:00:19.195"</f>
        <v>14:00:19.195</v>
      </c>
      <c r="B598" t="s">
        <v>108</v>
      </c>
      <c r="C598" t="str">
        <f t="shared" si="28"/>
        <v>ffdfd3c0</v>
      </c>
      <c r="D598" t="s">
        <v>109</v>
      </c>
      <c r="E598">
        <v>4</v>
      </c>
      <c r="F598">
        <v>1004</v>
      </c>
      <c r="G598" t="s">
        <v>110</v>
      </c>
      <c r="J598" t="s">
        <v>111</v>
      </c>
      <c r="K598">
        <v>0</v>
      </c>
      <c r="L598">
        <v>3</v>
      </c>
      <c r="M598">
        <v>0</v>
      </c>
      <c r="N598">
        <v>2</v>
      </c>
      <c r="O598">
        <v>1</v>
      </c>
      <c r="P598">
        <v>0</v>
      </c>
      <c r="Q598">
        <v>0</v>
      </c>
      <c r="R598" t="s">
        <v>112</v>
      </c>
      <c r="S598" t="str">
        <f>"14:00:19.039"</f>
        <v>14:00:19.039</v>
      </c>
      <c r="T598" t="str">
        <f>"14:00:18.539"</f>
        <v>14:00:18.539</v>
      </c>
      <c r="U598" t="str">
        <f t="shared" si="27"/>
        <v>ad5732</v>
      </c>
      <c r="V598">
        <v>0</v>
      </c>
      <c r="W598">
        <v>0</v>
      </c>
      <c r="X598">
        <v>1</v>
      </c>
      <c r="Z598">
        <v>0</v>
      </c>
      <c r="AA598">
        <v>9</v>
      </c>
      <c r="AB598">
        <v>3</v>
      </c>
      <c r="AC598">
        <v>0</v>
      </c>
      <c r="AD598">
        <v>10</v>
      </c>
      <c r="AE598">
        <v>0</v>
      </c>
      <c r="AF598">
        <v>3</v>
      </c>
      <c r="AG598">
        <v>2</v>
      </c>
      <c r="AH598">
        <v>0</v>
      </c>
      <c r="AI598" t="s">
        <v>1293</v>
      </c>
      <c r="AJ598">
        <v>39.266167000000003</v>
      </c>
      <c r="AK598" t="s">
        <v>1294</v>
      </c>
      <c r="AL598">
        <v>-77.263112000000007</v>
      </c>
      <c r="AM598">
        <v>100</v>
      </c>
      <c r="AN598">
        <v>8700</v>
      </c>
      <c r="AO598" t="s">
        <v>115</v>
      </c>
      <c r="AP598">
        <v>178</v>
      </c>
      <c r="AQ598">
        <v>50</v>
      </c>
      <c r="AR598">
        <v>448</v>
      </c>
      <c r="AZ598">
        <v>3614</v>
      </c>
      <c r="BA598">
        <v>1</v>
      </c>
      <c r="BB598" t="str">
        <f t="shared" si="29"/>
        <v xml:space="preserve">N959MJ  </v>
      </c>
      <c r="BC598">
        <v>1</v>
      </c>
      <c r="BE598">
        <v>0</v>
      </c>
      <c r="BF598">
        <v>0</v>
      </c>
      <c r="BG598">
        <v>0</v>
      </c>
      <c r="BH598">
        <v>9075</v>
      </c>
      <c r="BI598">
        <v>375</v>
      </c>
      <c r="BJ598">
        <v>1</v>
      </c>
      <c r="BK598">
        <v>1</v>
      </c>
      <c r="BL598">
        <v>1</v>
      </c>
      <c r="BM598">
        <v>0</v>
      </c>
      <c r="BP598">
        <v>0</v>
      </c>
      <c r="BQ598">
        <v>0</v>
      </c>
      <c r="BX598" t="str">
        <f>"14:00:19.047"</f>
        <v>14:00:19.047</v>
      </c>
      <c r="BY598" t="str">
        <f>"044881851"</f>
        <v>044881851</v>
      </c>
      <c r="CL598">
        <v>0</v>
      </c>
      <c r="CM598">
        <v>2</v>
      </c>
      <c r="CN598">
        <v>0</v>
      </c>
      <c r="CO598">
        <v>2</v>
      </c>
      <c r="CP598">
        <v>0</v>
      </c>
      <c r="CQ598">
        <v>7</v>
      </c>
      <c r="CR598" t="s">
        <v>116</v>
      </c>
      <c r="CS598">
        <v>147</v>
      </c>
      <c r="CT598">
        <v>0</v>
      </c>
      <c r="CU598" t="s">
        <v>117</v>
      </c>
      <c r="CV598" t="s">
        <v>118</v>
      </c>
      <c r="CY598">
        <v>4859110</v>
      </c>
      <c r="CZ598" t="s">
        <v>119</v>
      </c>
    </row>
    <row r="599" spans="1:104" x14ac:dyDescent="0.25">
      <c r="A599" t="str">
        <f>"14:00:20.359"</f>
        <v>14:00:20.359</v>
      </c>
      <c r="B599" t="s">
        <v>108</v>
      </c>
      <c r="C599" t="str">
        <f t="shared" si="28"/>
        <v>ffdfd3c0</v>
      </c>
      <c r="D599" t="s">
        <v>109</v>
      </c>
      <c r="E599">
        <v>4</v>
      </c>
      <c r="F599">
        <v>1004</v>
      </c>
      <c r="G599" t="s">
        <v>110</v>
      </c>
      <c r="J599" t="s">
        <v>111</v>
      </c>
      <c r="K599">
        <v>0</v>
      </c>
      <c r="L599">
        <v>3</v>
      </c>
      <c r="M599">
        <v>0</v>
      </c>
      <c r="N599">
        <v>2</v>
      </c>
      <c r="O599">
        <v>1</v>
      </c>
      <c r="P599">
        <v>0</v>
      </c>
      <c r="Q599">
        <v>0</v>
      </c>
      <c r="R599" t="s">
        <v>112</v>
      </c>
      <c r="S599" t="str">
        <f>"14:00:20.180"</f>
        <v>14:00:20.180</v>
      </c>
      <c r="T599" t="str">
        <f>"14:00:19.680"</f>
        <v>14:00:19.680</v>
      </c>
      <c r="U599" t="str">
        <f t="shared" si="27"/>
        <v>ad5732</v>
      </c>
      <c r="V599">
        <v>0</v>
      </c>
      <c r="W599">
        <v>0</v>
      </c>
      <c r="X599">
        <v>1</v>
      </c>
      <c r="Z599">
        <v>0</v>
      </c>
      <c r="AA599">
        <v>9</v>
      </c>
      <c r="AB599">
        <v>3</v>
      </c>
      <c r="AC599">
        <v>0</v>
      </c>
      <c r="AD599">
        <v>10</v>
      </c>
      <c r="AE599">
        <v>0</v>
      </c>
      <c r="AF599">
        <v>3</v>
      </c>
      <c r="AG599">
        <v>2</v>
      </c>
      <c r="AH599">
        <v>0</v>
      </c>
      <c r="AI599" t="s">
        <v>1295</v>
      </c>
      <c r="AJ599">
        <v>39.266446000000002</v>
      </c>
      <c r="AK599" t="s">
        <v>1296</v>
      </c>
      <c r="AL599">
        <v>-77.261846000000006</v>
      </c>
      <c r="AM599">
        <v>100</v>
      </c>
      <c r="AN599">
        <v>8700</v>
      </c>
      <c r="AO599" t="s">
        <v>115</v>
      </c>
      <c r="AP599">
        <v>178</v>
      </c>
      <c r="AQ599">
        <v>48</v>
      </c>
      <c r="AR599">
        <v>256</v>
      </c>
      <c r="AZ599">
        <v>3614</v>
      </c>
      <c r="BA599">
        <v>1</v>
      </c>
      <c r="BB599" t="str">
        <f t="shared" si="29"/>
        <v xml:space="preserve">N959MJ  </v>
      </c>
      <c r="BC599">
        <v>1</v>
      </c>
      <c r="BE599">
        <v>0</v>
      </c>
      <c r="BF599">
        <v>0</v>
      </c>
      <c r="BG599">
        <v>0</v>
      </c>
      <c r="BH599">
        <v>9075</v>
      </c>
      <c r="BI599">
        <v>375</v>
      </c>
      <c r="BJ599">
        <v>1</v>
      </c>
      <c r="BK599">
        <v>1</v>
      </c>
      <c r="BL599">
        <v>1</v>
      </c>
      <c r="BM599">
        <v>0</v>
      </c>
      <c r="BP599">
        <v>0</v>
      </c>
      <c r="BQ599">
        <v>0</v>
      </c>
      <c r="BX599" t="str">
        <f>"14:00:20.180"</f>
        <v>14:00:20.180</v>
      </c>
      <c r="BY599" t="str">
        <f>"180305385"</f>
        <v>180305385</v>
      </c>
      <c r="CL599">
        <v>0</v>
      </c>
      <c r="CM599">
        <v>2</v>
      </c>
      <c r="CN599">
        <v>0</v>
      </c>
      <c r="CO599">
        <v>2</v>
      </c>
      <c r="CP599">
        <v>0</v>
      </c>
      <c r="CQ599">
        <v>7</v>
      </c>
      <c r="CR599" t="s">
        <v>116</v>
      </c>
      <c r="CS599">
        <v>525</v>
      </c>
      <c r="CT599">
        <v>2</v>
      </c>
      <c r="CU599" t="s">
        <v>140</v>
      </c>
      <c r="CV599" t="s">
        <v>141</v>
      </c>
      <c r="CY599">
        <v>14462197</v>
      </c>
      <c r="CZ599" t="s">
        <v>119</v>
      </c>
    </row>
    <row r="600" spans="1:104" x14ac:dyDescent="0.25">
      <c r="A600" t="str">
        <f>"14:00:21.211"</f>
        <v>14:00:21.211</v>
      </c>
      <c r="B600" t="s">
        <v>108</v>
      </c>
      <c r="C600" t="str">
        <f t="shared" si="28"/>
        <v>ffdfd3c0</v>
      </c>
      <c r="D600" t="s">
        <v>109</v>
      </c>
      <c r="E600">
        <v>4</v>
      </c>
      <c r="F600">
        <v>1004</v>
      </c>
      <c r="G600" t="s">
        <v>110</v>
      </c>
      <c r="J600" t="s">
        <v>111</v>
      </c>
      <c r="K600">
        <v>0</v>
      </c>
      <c r="L600">
        <v>3</v>
      </c>
      <c r="M600">
        <v>0</v>
      </c>
      <c r="N600">
        <v>2</v>
      </c>
      <c r="O600">
        <v>1</v>
      </c>
      <c r="P600">
        <v>0</v>
      </c>
      <c r="Q600">
        <v>0</v>
      </c>
      <c r="R600" t="s">
        <v>112</v>
      </c>
      <c r="S600" t="str">
        <f>"14:00:21.063"</f>
        <v>14:00:21.063</v>
      </c>
      <c r="T600" t="str">
        <f>"14:00:20.664"</f>
        <v>14:00:20.664</v>
      </c>
      <c r="U600" t="str">
        <f t="shared" si="27"/>
        <v>ad5732</v>
      </c>
      <c r="V600">
        <v>0</v>
      </c>
      <c r="W600">
        <v>0</v>
      </c>
      <c r="X600">
        <v>1</v>
      </c>
      <c r="Z600">
        <v>0</v>
      </c>
      <c r="AA600">
        <v>9</v>
      </c>
      <c r="AB600">
        <v>3</v>
      </c>
      <c r="AC600">
        <v>0</v>
      </c>
      <c r="AD600">
        <v>10</v>
      </c>
      <c r="AE600">
        <v>0</v>
      </c>
      <c r="AF600">
        <v>3</v>
      </c>
      <c r="AG600">
        <v>2</v>
      </c>
      <c r="AH600">
        <v>0</v>
      </c>
      <c r="AI600" t="s">
        <v>1297</v>
      </c>
      <c r="AJ600">
        <v>39.266616999999997</v>
      </c>
      <c r="AK600" t="s">
        <v>1298</v>
      </c>
      <c r="AL600">
        <v>-77.260987999999998</v>
      </c>
      <c r="AM600">
        <v>100</v>
      </c>
      <c r="AN600">
        <v>8700</v>
      </c>
      <c r="AO600" t="s">
        <v>115</v>
      </c>
      <c r="AP600">
        <v>178</v>
      </c>
      <c r="AQ600">
        <v>48</v>
      </c>
      <c r="AR600">
        <v>-64</v>
      </c>
      <c r="AZ600">
        <v>3614</v>
      </c>
      <c r="BA600">
        <v>1</v>
      </c>
      <c r="BB600" t="str">
        <f t="shared" si="29"/>
        <v xml:space="preserve">N959MJ  </v>
      </c>
      <c r="BC600">
        <v>1</v>
      </c>
      <c r="BE600">
        <v>0</v>
      </c>
      <c r="BF600">
        <v>0</v>
      </c>
      <c r="BG600">
        <v>0</v>
      </c>
      <c r="BH600">
        <v>9075</v>
      </c>
      <c r="BI600">
        <v>375</v>
      </c>
      <c r="BJ600">
        <v>1</v>
      </c>
      <c r="BK600">
        <v>1</v>
      </c>
      <c r="BL600">
        <v>1</v>
      </c>
      <c r="BM600">
        <v>0</v>
      </c>
      <c r="BP600">
        <v>0</v>
      </c>
      <c r="BQ600">
        <v>0</v>
      </c>
      <c r="BX600" t="str">
        <f>"14:00:21.070"</f>
        <v>14:00:21.070</v>
      </c>
      <c r="BY600" t="str">
        <f>"066699839"</f>
        <v>066699839</v>
      </c>
      <c r="CL600">
        <v>0</v>
      </c>
      <c r="CM600">
        <v>2</v>
      </c>
      <c r="CN600">
        <v>0</v>
      </c>
      <c r="CO600">
        <v>2</v>
      </c>
      <c r="CP600">
        <v>0</v>
      </c>
      <c r="CQ600">
        <v>7</v>
      </c>
      <c r="CR600" t="s">
        <v>116</v>
      </c>
      <c r="CS600">
        <v>147</v>
      </c>
      <c r="CT600">
        <v>0</v>
      </c>
      <c r="CU600" t="s">
        <v>117</v>
      </c>
      <c r="CV600" t="s">
        <v>118</v>
      </c>
      <c r="CY600">
        <v>4862238</v>
      </c>
      <c r="CZ600" t="s">
        <v>119</v>
      </c>
    </row>
    <row r="601" spans="1:104" x14ac:dyDescent="0.25">
      <c r="A601" t="str">
        <f>"14:00:22.227"</f>
        <v>14:00:22.227</v>
      </c>
      <c r="B601" t="s">
        <v>108</v>
      </c>
      <c r="C601" t="str">
        <f t="shared" si="28"/>
        <v>ffdfd3c0</v>
      </c>
      <c r="D601" t="s">
        <v>109</v>
      </c>
      <c r="E601">
        <v>4</v>
      </c>
      <c r="F601">
        <v>1004</v>
      </c>
      <c r="G601" t="s">
        <v>110</v>
      </c>
      <c r="J601" t="s">
        <v>111</v>
      </c>
      <c r="K601">
        <v>0</v>
      </c>
      <c r="L601">
        <v>3</v>
      </c>
      <c r="M601">
        <v>0</v>
      </c>
      <c r="N601">
        <v>2</v>
      </c>
      <c r="O601">
        <v>1</v>
      </c>
      <c r="P601">
        <v>0</v>
      </c>
      <c r="Q601">
        <v>0</v>
      </c>
      <c r="R601" t="s">
        <v>112</v>
      </c>
      <c r="S601" t="str">
        <f>"14:00:22.039"</f>
        <v>14:00:22.039</v>
      </c>
      <c r="T601" t="str">
        <f>"14:00:21.641"</f>
        <v>14:00:21.641</v>
      </c>
      <c r="U601" t="str">
        <f t="shared" si="27"/>
        <v>ad5732</v>
      </c>
      <c r="V601">
        <v>0</v>
      </c>
      <c r="W601">
        <v>0</v>
      </c>
      <c r="X601">
        <v>1</v>
      </c>
      <c r="Z601">
        <v>0</v>
      </c>
      <c r="AA601">
        <v>9</v>
      </c>
      <c r="AB601">
        <v>3</v>
      </c>
      <c r="AC601">
        <v>0</v>
      </c>
      <c r="AD601">
        <v>10</v>
      </c>
      <c r="AE601">
        <v>0</v>
      </c>
      <c r="AF601">
        <v>3</v>
      </c>
      <c r="AG601">
        <v>2</v>
      </c>
      <c r="AH601">
        <v>0</v>
      </c>
      <c r="AI601" t="s">
        <v>1299</v>
      </c>
      <c r="AJ601">
        <v>39.266852999999998</v>
      </c>
      <c r="AK601" t="s">
        <v>1300</v>
      </c>
      <c r="AL601">
        <v>-77.259957999999997</v>
      </c>
      <c r="AM601">
        <v>100</v>
      </c>
      <c r="AN601">
        <v>8700</v>
      </c>
      <c r="AO601" t="s">
        <v>115</v>
      </c>
      <c r="AP601">
        <v>178</v>
      </c>
      <c r="AQ601">
        <v>49</v>
      </c>
      <c r="AR601">
        <v>-192</v>
      </c>
      <c r="AZ601">
        <v>3614</v>
      </c>
      <c r="BA601">
        <v>1</v>
      </c>
      <c r="BB601" t="str">
        <f t="shared" si="29"/>
        <v xml:space="preserve">N959MJ  </v>
      </c>
      <c r="BC601">
        <v>1</v>
      </c>
      <c r="BE601">
        <v>0</v>
      </c>
      <c r="BF601">
        <v>0</v>
      </c>
      <c r="BG601">
        <v>0</v>
      </c>
      <c r="BH601">
        <v>9075</v>
      </c>
      <c r="BI601">
        <v>375</v>
      </c>
      <c r="BJ601">
        <v>1</v>
      </c>
      <c r="BK601">
        <v>1</v>
      </c>
      <c r="BL601">
        <v>1</v>
      </c>
      <c r="BM601">
        <v>0</v>
      </c>
      <c r="BP601">
        <v>0</v>
      </c>
      <c r="BQ601">
        <v>0</v>
      </c>
      <c r="BX601" t="str">
        <f>"14:00:22.047"</f>
        <v>14:00:22.047</v>
      </c>
      <c r="BY601" t="str">
        <f>"044840263"</f>
        <v>044840263</v>
      </c>
      <c r="CL601">
        <v>0</v>
      </c>
      <c r="CM601">
        <v>2</v>
      </c>
      <c r="CN601">
        <v>0</v>
      </c>
      <c r="CO601">
        <v>2</v>
      </c>
      <c r="CP601">
        <v>0</v>
      </c>
      <c r="CQ601">
        <v>7</v>
      </c>
      <c r="CR601" t="s">
        <v>116</v>
      </c>
      <c r="CS601">
        <v>147</v>
      </c>
      <c r="CT601">
        <v>0</v>
      </c>
      <c r="CU601" t="s">
        <v>117</v>
      </c>
      <c r="CV601" t="s">
        <v>118</v>
      </c>
      <c r="CY601">
        <v>4863817</v>
      </c>
      <c r="CZ601" t="s">
        <v>119</v>
      </c>
    </row>
    <row r="602" spans="1:104" x14ac:dyDescent="0.25">
      <c r="A602" t="str">
        <f>"14:00:23.086"</f>
        <v>14:00:23.086</v>
      </c>
      <c r="B602" t="s">
        <v>108</v>
      </c>
      <c r="C602" t="str">
        <f t="shared" si="28"/>
        <v>ffdfd3c0</v>
      </c>
      <c r="D602" t="s">
        <v>109</v>
      </c>
      <c r="E602">
        <v>4</v>
      </c>
      <c r="F602">
        <v>1004</v>
      </c>
      <c r="G602" t="s">
        <v>110</v>
      </c>
      <c r="J602" t="s">
        <v>111</v>
      </c>
      <c r="K602">
        <v>0</v>
      </c>
      <c r="L602">
        <v>3</v>
      </c>
      <c r="M602">
        <v>0</v>
      </c>
      <c r="N602">
        <v>2</v>
      </c>
      <c r="O602">
        <v>1</v>
      </c>
      <c r="P602">
        <v>0</v>
      </c>
      <c r="Q602">
        <v>0</v>
      </c>
      <c r="R602" t="s">
        <v>112</v>
      </c>
      <c r="S602" t="str">
        <f>"14:00:22.922"</f>
        <v>14:00:22.922</v>
      </c>
      <c r="T602" t="str">
        <f>"14:00:22.523"</f>
        <v>14:00:22.523</v>
      </c>
      <c r="U602" t="str">
        <f t="shared" si="27"/>
        <v>ad5732</v>
      </c>
      <c r="V602">
        <v>0</v>
      </c>
      <c r="W602">
        <v>0</v>
      </c>
      <c r="X602">
        <v>1</v>
      </c>
      <c r="Z602">
        <v>0</v>
      </c>
      <c r="AA602">
        <v>9</v>
      </c>
      <c r="AB602">
        <v>3</v>
      </c>
      <c r="AC602">
        <v>0</v>
      </c>
      <c r="AD602">
        <v>10</v>
      </c>
      <c r="AE602">
        <v>0</v>
      </c>
      <c r="AF602">
        <v>3</v>
      </c>
      <c r="AG602">
        <v>2</v>
      </c>
      <c r="AH602">
        <v>0</v>
      </c>
      <c r="AI602" t="s">
        <v>1301</v>
      </c>
      <c r="AJ602">
        <v>39.267068000000002</v>
      </c>
      <c r="AK602" t="s">
        <v>1302</v>
      </c>
      <c r="AL602">
        <v>-77.258971000000003</v>
      </c>
      <c r="AM602">
        <v>100</v>
      </c>
      <c r="AN602">
        <v>8700</v>
      </c>
      <c r="AO602" t="s">
        <v>115</v>
      </c>
      <c r="AP602">
        <v>178</v>
      </c>
      <c r="AQ602">
        <v>51</v>
      </c>
      <c r="AR602">
        <v>-256</v>
      </c>
      <c r="AZ602">
        <v>3614</v>
      </c>
      <c r="BA602">
        <v>1</v>
      </c>
      <c r="BB602" t="str">
        <f t="shared" si="29"/>
        <v xml:space="preserve">N959MJ  </v>
      </c>
      <c r="BC602">
        <v>1</v>
      </c>
      <c r="BE602">
        <v>0</v>
      </c>
      <c r="BF602">
        <v>0</v>
      </c>
      <c r="BG602">
        <v>0</v>
      </c>
      <c r="BH602">
        <v>9075</v>
      </c>
      <c r="BI602">
        <v>375</v>
      </c>
      <c r="BJ602">
        <v>1</v>
      </c>
      <c r="BK602">
        <v>1</v>
      </c>
      <c r="BL602">
        <v>1</v>
      </c>
      <c r="BM602">
        <v>0</v>
      </c>
      <c r="BP602">
        <v>0</v>
      </c>
      <c r="BQ602">
        <v>0</v>
      </c>
      <c r="BX602" t="str">
        <f>"14:00:22.922"</f>
        <v>14:00:22.922</v>
      </c>
      <c r="BY602" t="str">
        <f>"924675235"</f>
        <v>924675235</v>
      </c>
      <c r="CL602">
        <v>0</v>
      </c>
      <c r="CM602">
        <v>2</v>
      </c>
      <c r="CN602">
        <v>0</v>
      </c>
      <c r="CO602">
        <v>2</v>
      </c>
      <c r="CP602">
        <v>0</v>
      </c>
      <c r="CQ602">
        <v>7</v>
      </c>
      <c r="CR602" t="s">
        <v>116</v>
      </c>
      <c r="CS602">
        <v>147</v>
      </c>
      <c r="CT602">
        <v>3</v>
      </c>
      <c r="CU602" t="s">
        <v>117</v>
      </c>
      <c r="CV602" t="s">
        <v>118</v>
      </c>
      <c r="CY602">
        <v>16752100</v>
      </c>
      <c r="CZ602" t="s">
        <v>119</v>
      </c>
    </row>
    <row r="603" spans="1:104" x14ac:dyDescent="0.25">
      <c r="A603" t="str">
        <f>"14:00:24.094"</f>
        <v>14:00:24.094</v>
      </c>
      <c r="B603" t="s">
        <v>108</v>
      </c>
      <c r="C603" t="str">
        <f t="shared" si="28"/>
        <v>ffdfd3c0</v>
      </c>
      <c r="D603" t="s">
        <v>109</v>
      </c>
      <c r="E603">
        <v>4</v>
      </c>
      <c r="F603">
        <v>1004</v>
      </c>
      <c r="G603" t="s">
        <v>110</v>
      </c>
      <c r="J603" t="s">
        <v>111</v>
      </c>
      <c r="K603">
        <v>0</v>
      </c>
      <c r="L603">
        <v>3</v>
      </c>
      <c r="M603">
        <v>0</v>
      </c>
      <c r="N603">
        <v>2</v>
      </c>
      <c r="O603">
        <v>1</v>
      </c>
      <c r="P603">
        <v>0</v>
      </c>
      <c r="Q603">
        <v>0</v>
      </c>
      <c r="R603" t="s">
        <v>112</v>
      </c>
      <c r="S603" t="str">
        <f>"14:00:23.945"</f>
        <v>14:00:23.945</v>
      </c>
      <c r="T603" t="str">
        <f>"14:00:23.445"</f>
        <v>14:00:23.445</v>
      </c>
      <c r="U603" t="str">
        <f t="shared" si="27"/>
        <v>ad5732</v>
      </c>
      <c r="V603">
        <v>0</v>
      </c>
      <c r="W603">
        <v>0</v>
      </c>
      <c r="X603">
        <v>1</v>
      </c>
      <c r="Z603">
        <v>0</v>
      </c>
      <c r="AA603">
        <v>9</v>
      </c>
      <c r="AB603">
        <v>3</v>
      </c>
      <c r="AC603">
        <v>0</v>
      </c>
      <c r="AD603">
        <v>10</v>
      </c>
      <c r="AE603">
        <v>0</v>
      </c>
      <c r="AF603">
        <v>3</v>
      </c>
      <c r="AG603">
        <v>2</v>
      </c>
      <c r="AH603">
        <v>0</v>
      </c>
      <c r="AI603" t="s">
        <v>1303</v>
      </c>
      <c r="AJ603">
        <v>39.267282000000002</v>
      </c>
      <c r="AK603" t="s">
        <v>1304</v>
      </c>
      <c r="AL603">
        <v>-77.257941000000002</v>
      </c>
      <c r="AM603">
        <v>100</v>
      </c>
      <c r="AN603">
        <v>8700</v>
      </c>
      <c r="AO603" t="s">
        <v>115</v>
      </c>
      <c r="AP603">
        <v>177</v>
      </c>
      <c r="AQ603">
        <v>53</v>
      </c>
      <c r="AR603">
        <v>-320</v>
      </c>
      <c r="AZ603">
        <v>3614</v>
      </c>
      <c r="BA603">
        <v>1</v>
      </c>
      <c r="BB603" t="str">
        <f t="shared" si="29"/>
        <v xml:space="preserve">N959MJ  </v>
      </c>
      <c r="BC603">
        <v>1</v>
      </c>
      <c r="BE603">
        <v>0</v>
      </c>
      <c r="BF603">
        <v>0</v>
      </c>
      <c r="BG603">
        <v>0</v>
      </c>
      <c r="BH603">
        <v>9050</v>
      </c>
      <c r="BI603">
        <v>350</v>
      </c>
      <c r="BJ603">
        <v>1</v>
      </c>
      <c r="BK603">
        <v>1</v>
      </c>
      <c r="BL603">
        <v>1</v>
      </c>
      <c r="BM603">
        <v>0</v>
      </c>
      <c r="BP603">
        <v>0</v>
      </c>
      <c r="BQ603">
        <v>0</v>
      </c>
      <c r="BX603" t="str">
        <f>"14:00:23.945"</f>
        <v>14:00:23.945</v>
      </c>
      <c r="BY603" t="str">
        <f>"945409454"</f>
        <v>945409454</v>
      </c>
      <c r="CL603">
        <v>0</v>
      </c>
      <c r="CM603">
        <v>2</v>
      </c>
      <c r="CN603">
        <v>0</v>
      </c>
      <c r="CO603">
        <v>2</v>
      </c>
      <c r="CP603">
        <v>0</v>
      </c>
      <c r="CQ603">
        <v>7</v>
      </c>
      <c r="CR603" t="s">
        <v>116</v>
      </c>
      <c r="CS603">
        <v>525</v>
      </c>
      <c r="CT603">
        <v>2</v>
      </c>
      <c r="CU603" t="s">
        <v>140</v>
      </c>
      <c r="CV603" t="s">
        <v>141</v>
      </c>
      <c r="CY603">
        <v>14467684</v>
      </c>
      <c r="CZ603" t="s">
        <v>119</v>
      </c>
    </row>
    <row r="604" spans="1:104" x14ac:dyDescent="0.25">
      <c r="A604" t="str">
        <f>"14:00:25.102"</f>
        <v>14:00:25.102</v>
      </c>
      <c r="B604" t="s">
        <v>108</v>
      </c>
      <c r="C604" t="str">
        <f t="shared" si="28"/>
        <v>ffdfd3c0</v>
      </c>
      <c r="D604" t="s">
        <v>109</v>
      </c>
      <c r="E604">
        <v>4</v>
      </c>
      <c r="F604">
        <v>1004</v>
      </c>
      <c r="G604" t="s">
        <v>110</v>
      </c>
      <c r="J604" t="s">
        <v>111</v>
      </c>
      <c r="K604">
        <v>0</v>
      </c>
      <c r="L604">
        <v>3</v>
      </c>
      <c r="M604">
        <v>0</v>
      </c>
      <c r="N604">
        <v>2</v>
      </c>
      <c r="O604">
        <v>1</v>
      </c>
      <c r="P604">
        <v>0</v>
      </c>
      <c r="Q604">
        <v>0</v>
      </c>
      <c r="R604" t="s">
        <v>112</v>
      </c>
      <c r="S604" t="str">
        <f>"14:00:24.906"</f>
        <v>14:00:24.906</v>
      </c>
      <c r="T604" t="str">
        <f>"14:00:24.508"</f>
        <v>14:00:24.508</v>
      </c>
      <c r="U604" t="str">
        <f t="shared" si="27"/>
        <v>ad5732</v>
      </c>
      <c r="V604">
        <v>0</v>
      </c>
      <c r="W604">
        <v>0</v>
      </c>
      <c r="X604">
        <v>1</v>
      </c>
      <c r="Z604">
        <v>0</v>
      </c>
      <c r="AA604">
        <v>9</v>
      </c>
      <c r="AB604">
        <v>3</v>
      </c>
      <c r="AC604">
        <v>0</v>
      </c>
      <c r="AD604">
        <v>10</v>
      </c>
      <c r="AE604">
        <v>0</v>
      </c>
      <c r="AF604">
        <v>3</v>
      </c>
      <c r="AG604">
        <v>2</v>
      </c>
      <c r="AH604">
        <v>0</v>
      </c>
      <c r="AI604" t="s">
        <v>1305</v>
      </c>
      <c r="AJ604">
        <v>39.267561000000001</v>
      </c>
      <c r="AK604" t="s">
        <v>1306</v>
      </c>
      <c r="AL604">
        <v>-77.256867999999997</v>
      </c>
      <c r="AM604">
        <v>100</v>
      </c>
      <c r="AN604">
        <v>8700</v>
      </c>
      <c r="AO604" t="s">
        <v>115</v>
      </c>
      <c r="AP604">
        <v>177</v>
      </c>
      <c r="AQ604">
        <v>54</v>
      </c>
      <c r="AR604">
        <v>-256</v>
      </c>
      <c r="AZ604">
        <v>3614</v>
      </c>
      <c r="BA604">
        <v>1</v>
      </c>
      <c r="BB604" t="str">
        <f t="shared" si="29"/>
        <v xml:space="preserve">N959MJ  </v>
      </c>
      <c r="BC604">
        <v>1</v>
      </c>
      <c r="BE604">
        <v>0</v>
      </c>
      <c r="BF604">
        <v>0</v>
      </c>
      <c r="BG604">
        <v>0</v>
      </c>
      <c r="BH604">
        <v>9050</v>
      </c>
      <c r="BI604">
        <v>350</v>
      </c>
      <c r="BJ604">
        <v>1</v>
      </c>
      <c r="BK604">
        <v>1</v>
      </c>
      <c r="BL604">
        <v>1</v>
      </c>
      <c r="BM604">
        <v>0</v>
      </c>
      <c r="BP604">
        <v>0</v>
      </c>
      <c r="BQ604">
        <v>0</v>
      </c>
      <c r="BX604" t="str">
        <f>"14:00:24.914"</f>
        <v>14:00:24.914</v>
      </c>
      <c r="BY604" t="str">
        <f>"912086264"</f>
        <v>912086264</v>
      </c>
      <c r="CL604">
        <v>0</v>
      </c>
      <c r="CM604">
        <v>2</v>
      </c>
      <c r="CN604">
        <v>0</v>
      </c>
      <c r="CO604">
        <v>2</v>
      </c>
      <c r="CP604">
        <v>0</v>
      </c>
      <c r="CQ604">
        <v>7</v>
      </c>
      <c r="CR604" t="s">
        <v>116</v>
      </c>
      <c r="CS604">
        <v>147</v>
      </c>
      <c r="CT604">
        <v>3</v>
      </c>
      <c r="CU604" t="s">
        <v>117</v>
      </c>
      <c r="CV604" t="s">
        <v>118</v>
      </c>
      <c r="CY604">
        <v>16755291</v>
      </c>
      <c r="CZ604" t="s">
        <v>119</v>
      </c>
    </row>
    <row r="605" spans="1:104" x14ac:dyDescent="0.25">
      <c r="A605" t="str">
        <f>"14:00:26.109"</f>
        <v>14:00:26.109</v>
      </c>
      <c r="B605" t="s">
        <v>108</v>
      </c>
      <c r="C605" t="str">
        <f t="shared" si="28"/>
        <v>ffdfd3c0</v>
      </c>
      <c r="D605" t="s">
        <v>109</v>
      </c>
      <c r="E605">
        <v>4</v>
      </c>
      <c r="F605">
        <v>1004</v>
      </c>
      <c r="G605" t="s">
        <v>110</v>
      </c>
      <c r="J605" t="s">
        <v>111</v>
      </c>
      <c r="K605">
        <v>0</v>
      </c>
      <c r="L605">
        <v>3</v>
      </c>
      <c r="M605">
        <v>0</v>
      </c>
      <c r="N605">
        <v>2</v>
      </c>
      <c r="O605">
        <v>1</v>
      </c>
      <c r="P605">
        <v>0</v>
      </c>
      <c r="Q605">
        <v>0</v>
      </c>
      <c r="R605" t="s">
        <v>112</v>
      </c>
      <c r="S605" t="str">
        <f>"14:00:25.930"</f>
        <v>14:00:25.930</v>
      </c>
      <c r="T605" t="str">
        <f>"14:00:25.531"</f>
        <v>14:00:25.531</v>
      </c>
      <c r="U605" t="str">
        <f t="shared" si="27"/>
        <v>ad5732</v>
      </c>
      <c r="V605">
        <v>0</v>
      </c>
      <c r="W605">
        <v>0</v>
      </c>
      <c r="X605">
        <v>1</v>
      </c>
      <c r="Z605">
        <v>0</v>
      </c>
      <c r="AA605">
        <v>9</v>
      </c>
      <c r="AB605">
        <v>3</v>
      </c>
      <c r="AC605">
        <v>0</v>
      </c>
      <c r="AD605">
        <v>10</v>
      </c>
      <c r="AE605">
        <v>0</v>
      </c>
      <c r="AF605">
        <v>3</v>
      </c>
      <c r="AG605">
        <v>2</v>
      </c>
      <c r="AH605">
        <v>0</v>
      </c>
      <c r="AI605" t="s">
        <v>1307</v>
      </c>
      <c r="AJ605">
        <v>39.267797000000002</v>
      </c>
      <c r="AK605" t="s">
        <v>1308</v>
      </c>
      <c r="AL605">
        <v>-77.255795000000006</v>
      </c>
      <c r="AM605">
        <v>100</v>
      </c>
      <c r="AN605">
        <v>8700</v>
      </c>
      <c r="AO605" t="s">
        <v>115</v>
      </c>
      <c r="AP605">
        <v>177</v>
      </c>
      <c r="AQ605">
        <v>55</v>
      </c>
      <c r="AR605">
        <v>-256</v>
      </c>
      <c r="AZ605">
        <v>3614</v>
      </c>
      <c r="BA605">
        <v>1</v>
      </c>
      <c r="BB605" t="str">
        <f t="shared" si="29"/>
        <v xml:space="preserve">N959MJ  </v>
      </c>
      <c r="BC605">
        <v>1</v>
      </c>
      <c r="BE605">
        <v>0</v>
      </c>
      <c r="BF605">
        <v>0</v>
      </c>
      <c r="BG605">
        <v>0</v>
      </c>
      <c r="BH605">
        <v>9050</v>
      </c>
      <c r="BI605">
        <v>350</v>
      </c>
      <c r="BJ605">
        <v>1</v>
      </c>
      <c r="BK605">
        <v>1</v>
      </c>
      <c r="BL605">
        <v>1</v>
      </c>
      <c r="BM605">
        <v>0</v>
      </c>
      <c r="BP605">
        <v>0</v>
      </c>
      <c r="BQ605">
        <v>0</v>
      </c>
      <c r="BX605" t="str">
        <f>"14:00:25.938"</f>
        <v>14:00:25.938</v>
      </c>
      <c r="BY605" t="str">
        <f>"936102729"</f>
        <v>936102729</v>
      </c>
      <c r="CL605">
        <v>0</v>
      </c>
      <c r="CM605">
        <v>2</v>
      </c>
      <c r="CN605">
        <v>0</v>
      </c>
      <c r="CO605">
        <v>2</v>
      </c>
      <c r="CP605">
        <v>0</v>
      </c>
      <c r="CQ605">
        <v>7</v>
      </c>
      <c r="CR605" t="s">
        <v>116</v>
      </c>
      <c r="CS605">
        <v>147</v>
      </c>
      <c r="CT605">
        <v>3</v>
      </c>
      <c r="CU605" t="s">
        <v>117</v>
      </c>
      <c r="CV605" t="s">
        <v>118</v>
      </c>
      <c r="CY605">
        <v>16757036</v>
      </c>
      <c r="CZ605" t="s">
        <v>119</v>
      </c>
    </row>
    <row r="606" spans="1:104" x14ac:dyDescent="0.25">
      <c r="A606" t="str">
        <f>"14:00:27.172"</f>
        <v>14:00:27.172</v>
      </c>
      <c r="B606" t="s">
        <v>108</v>
      </c>
      <c r="C606" t="str">
        <f t="shared" si="28"/>
        <v>ffdfd3c0</v>
      </c>
      <c r="D606" t="s">
        <v>109</v>
      </c>
      <c r="E606">
        <v>4</v>
      </c>
      <c r="F606">
        <v>1004</v>
      </c>
      <c r="G606" t="s">
        <v>110</v>
      </c>
      <c r="J606" t="s">
        <v>111</v>
      </c>
      <c r="K606">
        <v>0</v>
      </c>
      <c r="L606">
        <v>3</v>
      </c>
      <c r="M606">
        <v>0</v>
      </c>
      <c r="N606">
        <v>2</v>
      </c>
      <c r="O606">
        <v>1</v>
      </c>
      <c r="P606">
        <v>0</v>
      </c>
      <c r="Q606">
        <v>0</v>
      </c>
      <c r="R606" t="s">
        <v>112</v>
      </c>
      <c r="S606" t="str">
        <f>"14:00:27.000"</f>
        <v>14:00:27.000</v>
      </c>
      <c r="T606" t="str">
        <f>"14:00:26.500"</f>
        <v>14:00:26.500</v>
      </c>
      <c r="U606" t="str">
        <f t="shared" si="27"/>
        <v>ad5732</v>
      </c>
      <c r="V606">
        <v>0</v>
      </c>
      <c r="W606">
        <v>0</v>
      </c>
      <c r="X606">
        <v>1</v>
      </c>
      <c r="Z606">
        <v>0</v>
      </c>
      <c r="AA606">
        <v>9</v>
      </c>
      <c r="AB606">
        <v>3</v>
      </c>
      <c r="AC606">
        <v>0</v>
      </c>
      <c r="AD606">
        <v>10</v>
      </c>
      <c r="AE606">
        <v>0</v>
      </c>
      <c r="AF606">
        <v>3</v>
      </c>
      <c r="AG606">
        <v>2</v>
      </c>
      <c r="AH606">
        <v>0</v>
      </c>
      <c r="AI606" t="s">
        <v>1309</v>
      </c>
      <c r="AJ606">
        <v>39.268076000000001</v>
      </c>
      <c r="AK606" t="s">
        <v>1310</v>
      </c>
      <c r="AL606">
        <v>-77.254636000000005</v>
      </c>
      <c r="AM606">
        <v>100</v>
      </c>
      <c r="AN606">
        <v>8700</v>
      </c>
      <c r="AO606" t="s">
        <v>115</v>
      </c>
      <c r="AP606">
        <v>178</v>
      </c>
      <c r="AQ606">
        <v>56</v>
      </c>
      <c r="AR606">
        <v>-256</v>
      </c>
      <c r="AZ606">
        <v>3614</v>
      </c>
      <c r="BA606">
        <v>1</v>
      </c>
      <c r="BB606" t="str">
        <f t="shared" si="29"/>
        <v xml:space="preserve">N959MJ  </v>
      </c>
      <c r="BC606">
        <v>1</v>
      </c>
      <c r="BE606">
        <v>0</v>
      </c>
      <c r="BF606">
        <v>0</v>
      </c>
      <c r="BG606">
        <v>0</v>
      </c>
      <c r="BH606">
        <v>9050</v>
      </c>
      <c r="BI606">
        <v>350</v>
      </c>
      <c r="BJ606">
        <v>1</v>
      </c>
      <c r="BK606">
        <v>1</v>
      </c>
      <c r="BL606">
        <v>1</v>
      </c>
      <c r="BM606">
        <v>0</v>
      </c>
      <c r="BP606">
        <v>0</v>
      </c>
      <c r="BQ606">
        <v>0</v>
      </c>
      <c r="BX606" t="str">
        <f>"14:00:27.000"</f>
        <v>14:00:27.000</v>
      </c>
      <c r="BY606" t="str">
        <f>"002718192"</f>
        <v>002718192</v>
      </c>
      <c r="CL606">
        <v>0</v>
      </c>
      <c r="CM606">
        <v>2</v>
      </c>
      <c r="CN606">
        <v>0</v>
      </c>
      <c r="CO606">
        <v>2</v>
      </c>
      <c r="CP606">
        <v>0</v>
      </c>
      <c r="CQ606">
        <v>7</v>
      </c>
      <c r="CR606" t="s">
        <v>116</v>
      </c>
      <c r="CS606">
        <v>147</v>
      </c>
      <c r="CT606">
        <v>3</v>
      </c>
      <c r="CU606" t="s">
        <v>117</v>
      </c>
      <c r="CV606" t="s">
        <v>118</v>
      </c>
      <c r="CY606">
        <v>16758716</v>
      </c>
      <c r="CZ606" t="s">
        <v>119</v>
      </c>
    </row>
    <row r="607" spans="1:104" x14ac:dyDescent="0.25">
      <c r="A607" t="str">
        <f>"14:00:28.234"</f>
        <v>14:00:28.234</v>
      </c>
      <c r="B607" t="s">
        <v>108</v>
      </c>
      <c r="C607" t="str">
        <f t="shared" si="28"/>
        <v>ffdfd3c0</v>
      </c>
      <c r="D607" t="s">
        <v>109</v>
      </c>
      <c r="E607">
        <v>4</v>
      </c>
      <c r="F607">
        <v>1004</v>
      </c>
      <c r="G607" t="s">
        <v>110</v>
      </c>
      <c r="J607" t="s">
        <v>111</v>
      </c>
      <c r="K607">
        <v>0</v>
      </c>
      <c r="L607">
        <v>3</v>
      </c>
      <c r="M607">
        <v>0</v>
      </c>
      <c r="N607">
        <v>2</v>
      </c>
      <c r="O607">
        <v>1</v>
      </c>
      <c r="P607">
        <v>0</v>
      </c>
      <c r="Q607">
        <v>0</v>
      </c>
      <c r="R607" t="s">
        <v>112</v>
      </c>
      <c r="S607" t="str">
        <f>"14:00:28.039"</f>
        <v>14:00:28.039</v>
      </c>
      <c r="T607" t="str">
        <f>"14:00:27.641"</f>
        <v>14:00:27.641</v>
      </c>
      <c r="U607" t="str">
        <f t="shared" si="27"/>
        <v>ad5732</v>
      </c>
      <c r="V607">
        <v>0</v>
      </c>
      <c r="W607">
        <v>0</v>
      </c>
      <c r="X607">
        <v>1</v>
      </c>
      <c r="Z607">
        <v>0</v>
      </c>
      <c r="AA607">
        <v>9</v>
      </c>
      <c r="AB607">
        <v>3</v>
      </c>
      <c r="AC607">
        <v>0</v>
      </c>
      <c r="AD607">
        <v>10</v>
      </c>
      <c r="AE607">
        <v>0</v>
      </c>
      <c r="AF607">
        <v>3</v>
      </c>
      <c r="AG607">
        <v>2</v>
      </c>
      <c r="AH607">
        <v>0</v>
      </c>
      <c r="AI607" t="s">
        <v>1311</v>
      </c>
      <c r="AJ607">
        <v>39.268355</v>
      </c>
      <c r="AK607" t="s">
        <v>1312</v>
      </c>
      <c r="AL607">
        <v>-77.253606000000005</v>
      </c>
      <c r="AM607">
        <v>100</v>
      </c>
      <c r="AN607">
        <v>8700</v>
      </c>
      <c r="AO607" t="s">
        <v>115</v>
      </c>
      <c r="AP607">
        <v>178</v>
      </c>
      <c r="AQ607">
        <v>56</v>
      </c>
      <c r="AR607">
        <v>-256</v>
      </c>
      <c r="AZ607">
        <v>3614</v>
      </c>
      <c r="BA607">
        <v>1</v>
      </c>
      <c r="BB607" t="str">
        <f t="shared" si="29"/>
        <v xml:space="preserve">N959MJ  </v>
      </c>
      <c r="BC607">
        <v>1</v>
      </c>
      <c r="BE607">
        <v>0</v>
      </c>
      <c r="BF607">
        <v>0</v>
      </c>
      <c r="BG607">
        <v>0</v>
      </c>
      <c r="BH607">
        <v>9050</v>
      </c>
      <c r="BI607">
        <v>350</v>
      </c>
      <c r="BJ607">
        <v>1</v>
      </c>
      <c r="BK607">
        <v>1</v>
      </c>
      <c r="BL607">
        <v>1</v>
      </c>
      <c r="BM607">
        <v>0</v>
      </c>
      <c r="BP607">
        <v>0</v>
      </c>
      <c r="BQ607">
        <v>0</v>
      </c>
      <c r="BX607" t="str">
        <f>"14:00:28.039"</f>
        <v>14:00:28.039</v>
      </c>
      <c r="BY607" t="str">
        <f>"039842038"</f>
        <v>039842038</v>
      </c>
      <c r="CL607">
        <v>0</v>
      </c>
      <c r="CM607">
        <v>2</v>
      </c>
      <c r="CN607">
        <v>0</v>
      </c>
      <c r="CO607">
        <v>2</v>
      </c>
      <c r="CP607">
        <v>0</v>
      </c>
      <c r="CQ607">
        <v>7</v>
      </c>
      <c r="CR607" t="s">
        <v>116</v>
      </c>
      <c r="CS607">
        <v>147</v>
      </c>
      <c r="CT607">
        <v>3</v>
      </c>
      <c r="CU607" t="s">
        <v>117</v>
      </c>
      <c r="CV607" t="s">
        <v>118</v>
      </c>
      <c r="CY607">
        <v>16760367</v>
      </c>
      <c r="CZ607" t="s">
        <v>119</v>
      </c>
    </row>
    <row r="608" spans="1:104" x14ac:dyDescent="0.25">
      <c r="A608" t="str">
        <f>"14:00:29.141"</f>
        <v>14:00:29.141</v>
      </c>
      <c r="B608" t="s">
        <v>108</v>
      </c>
      <c r="C608" t="str">
        <f t="shared" si="28"/>
        <v>ffdfd3c0</v>
      </c>
      <c r="D608" t="s">
        <v>109</v>
      </c>
      <c r="E608">
        <v>4</v>
      </c>
      <c r="F608">
        <v>1004</v>
      </c>
      <c r="G608" t="s">
        <v>110</v>
      </c>
      <c r="J608" t="s">
        <v>111</v>
      </c>
      <c r="K608">
        <v>0</v>
      </c>
      <c r="L608">
        <v>3</v>
      </c>
      <c r="M608">
        <v>0</v>
      </c>
      <c r="N608">
        <v>2</v>
      </c>
      <c r="O608">
        <v>1</v>
      </c>
      <c r="P608">
        <v>0</v>
      </c>
      <c r="Q608">
        <v>0</v>
      </c>
      <c r="R608" t="s">
        <v>112</v>
      </c>
      <c r="S608" t="str">
        <f>"14:00:28.961"</f>
        <v>14:00:28.961</v>
      </c>
      <c r="T608" t="str">
        <f>"14:00:28.461"</f>
        <v>14:00:28.461</v>
      </c>
      <c r="U608" t="str">
        <f t="shared" si="27"/>
        <v>ad5732</v>
      </c>
      <c r="V608">
        <v>0</v>
      </c>
      <c r="W608">
        <v>0</v>
      </c>
      <c r="X608">
        <v>1</v>
      </c>
      <c r="Z608">
        <v>0</v>
      </c>
      <c r="AA608">
        <v>9</v>
      </c>
      <c r="AB608">
        <v>3</v>
      </c>
      <c r="AC608">
        <v>0</v>
      </c>
      <c r="AD608">
        <v>10</v>
      </c>
      <c r="AE608">
        <v>0</v>
      </c>
      <c r="AF608">
        <v>3</v>
      </c>
      <c r="AG608">
        <v>2</v>
      </c>
      <c r="AH608">
        <v>0</v>
      </c>
      <c r="AI608" t="s">
        <v>1313</v>
      </c>
      <c r="AJ608">
        <v>39.268569999999997</v>
      </c>
      <c r="AK608" t="s">
        <v>1314</v>
      </c>
      <c r="AL608">
        <v>-77.252640999999997</v>
      </c>
      <c r="AM608">
        <v>100</v>
      </c>
      <c r="AN608">
        <v>8700</v>
      </c>
      <c r="AO608" t="s">
        <v>115</v>
      </c>
      <c r="AP608">
        <v>178</v>
      </c>
      <c r="AQ608">
        <v>56</v>
      </c>
      <c r="AR608">
        <v>-256</v>
      </c>
      <c r="AZ608">
        <v>3614</v>
      </c>
      <c r="BA608">
        <v>1</v>
      </c>
      <c r="BB608" t="str">
        <f t="shared" si="29"/>
        <v xml:space="preserve">N959MJ  </v>
      </c>
      <c r="BC608">
        <v>1</v>
      </c>
      <c r="BE608">
        <v>0</v>
      </c>
      <c r="BF608">
        <v>0</v>
      </c>
      <c r="BG608">
        <v>0</v>
      </c>
      <c r="BH608">
        <v>9050</v>
      </c>
      <c r="BI608">
        <v>350</v>
      </c>
      <c r="BJ608">
        <v>1</v>
      </c>
      <c r="BK608">
        <v>1</v>
      </c>
      <c r="BL608">
        <v>1</v>
      </c>
      <c r="BM608">
        <v>0</v>
      </c>
      <c r="BP608">
        <v>0</v>
      </c>
      <c r="BQ608">
        <v>0</v>
      </c>
      <c r="BX608" t="str">
        <f>"14:00:28.969"</f>
        <v>14:00:28.969</v>
      </c>
      <c r="BY608" t="str">
        <f>"965548226"</f>
        <v>965548226</v>
      </c>
      <c r="CL608">
        <v>0</v>
      </c>
      <c r="CM608">
        <v>2</v>
      </c>
      <c r="CN608">
        <v>0</v>
      </c>
      <c r="CO608">
        <v>2</v>
      </c>
      <c r="CP608">
        <v>0</v>
      </c>
      <c r="CQ608">
        <v>7</v>
      </c>
      <c r="CR608" t="s">
        <v>116</v>
      </c>
      <c r="CS608">
        <v>525</v>
      </c>
      <c r="CT608">
        <v>1</v>
      </c>
      <c r="CU608" t="s">
        <v>140</v>
      </c>
      <c r="CV608" t="s">
        <v>141</v>
      </c>
      <c r="CY608">
        <v>8052588</v>
      </c>
      <c r="CZ608" t="s">
        <v>119</v>
      </c>
    </row>
    <row r="609" spans="1:104" x14ac:dyDescent="0.25">
      <c r="A609" t="str">
        <f>"14:00:30.250"</f>
        <v>14:00:30.250</v>
      </c>
      <c r="B609" t="s">
        <v>108</v>
      </c>
      <c r="C609" t="str">
        <f t="shared" si="28"/>
        <v>ffdfd3c0</v>
      </c>
      <c r="D609" t="s">
        <v>109</v>
      </c>
      <c r="E609">
        <v>4</v>
      </c>
      <c r="F609">
        <v>1004</v>
      </c>
      <c r="G609" t="s">
        <v>110</v>
      </c>
      <c r="J609" t="s">
        <v>111</v>
      </c>
      <c r="K609">
        <v>0</v>
      </c>
      <c r="L609">
        <v>3</v>
      </c>
      <c r="M609">
        <v>0</v>
      </c>
      <c r="N609">
        <v>2</v>
      </c>
      <c r="O609">
        <v>1</v>
      </c>
      <c r="P609">
        <v>0</v>
      </c>
      <c r="Q609">
        <v>0</v>
      </c>
      <c r="R609" t="s">
        <v>112</v>
      </c>
      <c r="S609" t="str">
        <f>"14:00:30.047"</f>
        <v>14:00:30.047</v>
      </c>
      <c r="T609" t="str">
        <f>"14:00:29.547"</f>
        <v>14:00:29.547</v>
      </c>
      <c r="U609" t="str">
        <f t="shared" si="27"/>
        <v>ad5732</v>
      </c>
      <c r="V609">
        <v>0</v>
      </c>
      <c r="W609">
        <v>0</v>
      </c>
      <c r="X609">
        <v>1</v>
      </c>
      <c r="Z609">
        <v>0</v>
      </c>
      <c r="AA609">
        <v>9</v>
      </c>
      <c r="AB609">
        <v>3</v>
      </c>
      <c r="AC609">
        <v>0</v>
      </c>
      <c r="AD609">
        <v>10</v>
      </c>
      <c r="AE609">
        <v>0</v>
      </c>
      <c r="AF609">
        <v>3</v>
      </c>
      <c r="AG609">
        <v>2</v>
      </c>
      <c r="AH609">
        <v>0</v>
      </c>
      <c r="AI609" t="s">
        <v>1315</v>
      </c>
      <c r="AJ609">
        <v>39.26887</v>
      </c>
      <c r="AK609" t="s">
        <v>1316</v>
      </c>
      <c r="AL609">
        <v>-77.251461000000006</v>
      </c>
      <c r="AM609">
        <v>100</v>
      </c>
      <c r="AN609">
        <v>8700</v>
      </c>
      <c r="AO609" t="s">
        <v>115</v>
      </c>
      <c r="AP609">
        <v>178</v>
      </c>
      <c r="AQ609">
        <v>57</v>
      </c>
      <c r="AR609">
        <v>-256</v>
      </c>
      <c r="AZ609">
        <v>3614</v>
      </c>
      <c r="BA609">
        <v>1</v>
      </c>
      <c r="BB609" t="str">
        <f t="shared" si="29"/>
        <v xml:space="preserve">N959MJ  </v>
      </c>
      <c r="BC609">
        <v>1</v>
      </c>
      <c r="BE609">
        <v>0</v>
      </c>
      <c r="BF609">
        <v>0</v>
      </c>
      <c r="BG609">
        <v>0</v>
      </c>
      <c r="BH609">
        <v>9025</v>
      </c>
      <c r="BI609">
        <v>325</v>
      </c>
      <c r="BJ609">
        <v>1</v>
      </c>
      <c r="BK609">
        <v>1</v>
      </c>
      <c r="BL609">
        <v>1</v>
      </c>
      <c r="BM609">
        <v>0</v>
      </c>
      <c r="BP609">
        <v>0</v>
      </c>
      <c r="BQ609">
        <v>0</v>
      </c>
      <c r="BX609" t="str">
        <f>"14:00:30.055"</f>
        <v>14:00:30.055</v>
      </c>
      <c r="BY609" t="str">
        <f>"053463438"</f>
        <v>053463438</v>
      </c>
      <c r="CL609">
        <v>0</v>
      </c>
      <c r="CM609">
        <v>2</v>
      </c>
      <c r="CN609">
        <v>0</v>
      </c>
      <c r="CO609">
        <v>2</v>
      </c>
      <c r="CP609">
        <v>0</v>
      </c>
      <c r="CQ609">
        <v>7</v>
      </c>
      <c r="CR609" t="s">
        <v>116</v>
      </c>
      <c r="CS609">
        <v>525</v>
      </c>
      <c r="CT609">
        <v>2</v>
      </c>
      <c r="CU609" t="s">
        <v>140</v>
      </c>
      <c r="CV609" t="s">
        <v>141</v>
      </c>
      <c r="CY609">
        <v>14476623</v>
      </c>
      <c r="CZ609" t="s">
        <v>119</v>
      </c>
    </row>
    <row r="610" spans="1:104" x14ac:dyDescent="0.25">
      <c r="A610" t="str">
        <f>"14:00:31.359"</f>
        <v>14:00:31.359</v>
      </c>
      <c r="B610" t="s">
        <v>108</v>
      </c>
      <c r="C610" t="str">
        <f t="shared" si="28"/>
        <v>ffdfd3c0</v>
      </c>
      <c r="D610" t="s">
        <v>109</v>
      </c>
      <c r="E610">
        <v>4</v>
      </c>
      <c r="F610">
        <v>1004</v>
      </c>
      <c r="G610" t="s">
        <v>110</v>
      </c>
      <c r="J610" t="s">
        <v>111</v>
      </c>
      <c r="K610">
        <v>0</v>
      </c>
      <c r="L610">
        <v>3</v>
      </c>
      <c r="M610">
        <v>0</v>
      </c>
      <c r="N610">
        <v>2</v>
      </c>
      <c r="O610">
        <v>1</v>
      </c>
      <c r="P610">
        <v>0</v>
      </c>
      <c r="Q610">
        <v>0</v>
      </c>
      <c r="R610" t="s">
        <v>112</v>
      </c>
      <c r="S610" t="str">
        <f>"14:00:31.172"</f>
        <v>14:00:31.172</v>
      </c>
      <c r="T610" t="str">
        <f>"14:00:30.672"</f>
        <v>14:00:30.672</v>
      </c>
      <c r="U610" t="str">
        <f t="shared" si="27"/>
        <v>ad5732</v>
      </c>
      <c r="V610">
        <v>0</v>
      </c>
      <c r="W610">
        <v>0</v>
      </c>
      <c r="X610">
        <v>1</v>
      </c>
      <c r="Z610">
        <v>0</v>
      </c>
      <c r="AA610">
        <v>9</v>
      </c>
      <c r="AB610">
        <v>3</v>
      </c>
      <c r="AC610">
        <v>0</v>
      </c>
      <c r="AD610">
        <v>10</v>
      </c>
      <c r="AE610">
        <v>0</v>
      </c>
      <c r="AF610">
        <v>3</v>
      </c>
      <c r="AG610">
        <v>2</v>
      </c>
      <c r="AH610">
        <v>0</v>
      </c>
      <c r="AI610" t="s">
        <v>1317</v>
      </c>
      <c r="AJ610">
        <v>39.269171</v>
      </c>
      <c r="AK610" t="s">
        <v>1318</v>
      </c>
      <c r="AL610">
        <v>-77.250302000000005</v>
      </c>
      <c r="AM610">
        <v>100</v>
      </c>
      <c r="AN610">
        <v>8700</v>
      </c>
      <c r="AO610" t="s">
        <v>115</v>
      </c>
      <c r="AP610">
        <v>178</v>
      </c>
      <c r="AQ610">
        <v>57</v>
      </c>
      <c r="AR610">
        <v>-192</v>
      </c>
      <c r="AZ610">
        <v>3614</v>
      </c>
      <c r="BA610">
        <v>1</v>
      </c>
      <c r="BB610" t="str">
        <f t="shared" si="29"/>
        <v xml:space="preserve">N959MJ  </v>
      </c>
      <c r="BC610">
        <v>1</v>
      </c>
      <c r="BE610">
        <v>0</v>
      </c>
      <c r="BF610">
        <v>0</v>
      </c>
      <c r="BG610">
        <v>0</v>
      </c>
      <c r="BH610">
        <v>9025</v>
      </c>
      <c r="BI610">
        <v>325</v>
      </c>
      <c r="BJ610">
        <v>1</v>
      </c>
      <c r="BK610">
        <v>1</v>
      </c>
      <c r="BL610">
        <v>1</v>
      </c>
      <c r="BM610">
        <v>0</v>
      </c>
      <c r="BP610">
        <v>0</v>
      </c>
      <c r="BQ610">
        <v>0</v>
      </c>
      <c r="BX610" t="str">
        <f>"14:00:31.172"</f>
        <v>14:00:31.172</v>
      </c>
      <c r="BY610" t="str">
        <f>"172513107"</f>
        <v>172513107</v>
      </c>
      <c r="CL610">
        <v>0</v>
      </c>
      <c r="CM610">
        <v>2</v>
      </c>
      <c r="CN610">
        <v>0</v>
      </c>
      <c r="CO610">
        <v>2</v>
      </c>
      <c r="CP610">
        <v>0</v>
      </c>
      <c r="CQ610">
        <v>7</v>
      </c>
      <c r="CR610" t="s">
        <v>116</v>
      </c>
      <c r="CS610">
        <v>147</v>
      </c>
      <c r="CT610">
        <v>0</v>
      </c>
      <c r="CU610" t="s">
        <v>117</v>
      </c>
      <c r="CV610" t="s">
        <v>118</v>
      </c>
      <c r="CY610">
        <v>4878156</v>
      </c>
      <c r="CZ610" t="s">
        <v>119</v>
      </c>
    </row>
    <row r="611" spans="1:104" x14ac:dyDescent="0.25">
      <c r="A611" t="str">
        <f>"14:00:32.320"</f>
        <v>14:00:32.320</v>
      </c>
      <c r="B611" t="s">
        <v>108</v>
      </c>
      <c r="C611" t="str">
        <f t="shared" si="28"/>
        <v>ffdfd3c0</v>
      </c>
      <c r="D611" t="s">
        <v>109</v>
      </c>
      <c r="E611">
        <v>4</v>
      </c>
      <c r="F611">
        <v>1004</v>
      </c>
      <c r="G611" t="s">
        <v>110</v>
      </c>
      <c r="J611" t="s">
        <v>111</v>
      </c>
      <c r="K611">
        <v>0</v>
      </c>
      <c r="L611">
        <v>3</v>
      </c>
      <c r="M611">
        <v>0</v>
      </c>
      <c r="N611">
        <v>2</v>
      </c>
      <c r="O611">
        <v>1</v>
      </c>
      <c r="P611">
        <v>0</v>
      </c>
      <c r="Q611">
        <v>0</v>
      </c>
      <c r="R611" t="s">
        <v>112</v>
      </c>
      <c r="S611" t="str">
        <f>"14:00:32.148"</f>
        <v>14:00:32.148</v>
      </c>
      <c r="T611" t="str">
        <f>"14:00:31.750"</f>
        <v>14:00:31.750</v>
      </c>
      <c r="U611" t="str">
        <f t="shared" si="27"/>
        <v>ad5732</v>
      </c>
      <c r="V611">
        <v>0</v>
      </c>
      <c r="W611">
        <v>0</v>
      </c>
      <c r="X611">
        <v>1</v>
      </c>
      <c r="Z611">
        <v>0</v>
      </c>
      <c r="AA611">
        <v>9</v>
      </c>
      <c r="AB611">
        <v>3</v>
      </c>
      <c r="AC611">
        <v>0</v>
      </c>
      <c r="AD611">
        <v>10</v>
      </c>
      <c r="AE611">
        <v>0</v>
      </c>
      <c r="AF611">
        <v>3</v>
      </c>
      <c r="AG611">
        <v>2</v>
      </c>
      <c r="AH611">
        <v>0</v>
      </c>
      <c r="AI611" t="s">
        <v>1319</v>
      </c>
      <c r="AJ611">
        <v>39.269449999999999</v>
      </c>
      <c r="AK611" t="s">
        <v>1320</v>
      </c>
      <c r="AL611">
        <v>-77.249229</v>
      </c>
      <c r="AM611">
        <v>100</v>
      </c>
      <c r="AN611">
        <v>8700</v>
      </c>
      <c r="AO611" t="s">
        <v>115</v>
      </c>
      <c r="AP611">
        <v>179</v>
      </c>
      <c r="AQ611">
        <v>56</v>
      </c>
      <c r="AR611">
        <v>-128</v>
      </c>
      <c r="AZ611">
        <v>3614</v>
      </c>
      <c r="BA611">
        <v>1</v>
      </c>
      <c r="BB611" t="str">
        <f t="shared" si="29"/>
        <v xml:space="preserve">N959MJ  </v>
      </c>
      <c r="BC611">
        <v>1</v>
      </c>
      <c r="BE611">
        <v>0</v>
      </c>
      <c r="BF611">
        <v>0</v>
      </c>
      <c r="BG611">
        <v>0</v>
      </c>
      <c r="BH611">
        <v>9025</v>
      </c>
      <c r="BI611">
        <v>325</v>
      </c>
      <c r="BJ611">
        <v>1</v>
      </c>
      <c r="BK611">
        <v>1</v>
      </c>
      <c r="BL611">
        <v>1</v>
      </c>
      <c r="BM611">
        <v>0</v>
      </c>
      <c r="BP611">
        <v>0</v>
      </c>
      <c r="BQ611">
        <v>0</v>
      </c>
      <c r="BX611" t="str">
        <f>"14:00:32.156"</f>
        <v>14:00:32.156</v>
      </c>
      <c r="BY611" t="str">
        <f>"155568909"</f>
        <v>155568909</v>
      </c>
      <c r="CL611">
        <v>0</v>
      </c>
      <c r="CM611">
        <v>2</v>
      </c>
      <c r="CN611">
        <v>0</v>
      </c>
      <c r="CO611">
        <v>2</v>
      </c>
      <c r="CP611">
        <v>0</v>
      </c>
      <c r="CQ611">
        <v>7</v>
      </c>
      <c r="CR611" t="s">
        <v>116</v>
      </c>
      <c r="CS611">
        <v>147</v>
      </c>
      <c r="CT611">
        <v>3</v>
      </c>
      <c r="CU611" t="s">
        <v>117</v>
      </c>
      <c r="CV611" t="s">
        <v>118</v>
      </c>
      <c r="CY611">
        <v>16766979</v>
      </c>
      <c r="CZ611" t="s">
        <v>119</v>
      </c>
    </row>
    <row r="612" spans="1:104" x14ac:dyDescent="0.25">
      <c r="A612" t="str">
        <f>"14:00:33.477"</f>
        <v>14:00:33.477</v>
      </c>
      <c r="B612" t="s">
        <v>108</v>
      </c>
      <c r="C612" t="str">
        <f t="shared" si="28"/>
        <v>ffdfd3c0</v>
      </c>
      <c r="D612" t="s">
        <v>109</v>
      </c>
      <c r="E612">
        <v>4</v>
      </c>
      <c r="F612">
        <v>1004</v>
      </c>
      <c r="G612" t="s">
        <v>110</v>
      </c>
      <c r="J612" t="s">
        <v>111</v>
      </c>
      <c r="K612">
        <v>0</v>
      </c>
      <c r="L612">
        <v>3</v>
      </c>
      <c r="M612">
        <v>0</v>
      </c>
      <c r="N612">
        <v>2</v>
      </c>
      <c r="O612">
        <v>1</v>
      </c>
      <c r="P612">
        <v>0</v>
      </c>
      <c r="Q612">
        <v>0</v>
      </c>
      <c r="R612" t="s">
        <v>112</v>
      </c>
      <c r="S612" t="str">
        <f>"14:00:33.320"</f>
        <v>14:00:33.320</v>
      </c>
      <c r="T612" t="str">
        <f>"14:00:32.820"</f>
        <v>14:00:32.820</v>
      </c>
      <c r="U612" t="str">
        <f t="shared" si="27"/>
        <v>ad5732</v>
      </c>
      <c r="V612">
        <v>0</v>
      </c>
      <c r="W612">
        <v>0</v>
      </c>
      <c r="X612">
        <v>1</v>
      </c>
      <c r="Z612">
        <v>0</v>
      </c>
      <c r="AA612">
        <v>9</v>
      </c>
      <c r="AB612">
        <v>3</v>
      </c>
      <c r="AC612">
        <v>0</v>
      </c>
      <c r="AD612">
        <v>10</v>
      </c>
      <c r="AE612">
        <v>0</v>
      </c>
      <c r="AF612">
        <v>3</v>
      </c>
      <c r="AG612">
        <v>2</v>
      </c>
      <c r="AH612">
        <v>0</v>
      </c>
      <c r="AI612" t="s">
        <v>1321</v>
      </c>
      <c r="AJ612">
        <v>39.269750000000002</v>
      </c>
      <c r="AK612" t="s">
        <v>1322</v>
      </c>
      <c r="AL612">
        <v>-77.247984000000002</v>
      </c>
      <c r="AM612">
        <v>100</v>
      </c>
      <c r="AN612">
        <v>8700</v>
      </c>
      <c r="AO612" t="s">
        <v>115</v>
      </c>
      <c r="AP612">
        <v>179</v>
      </c>
      <c r="AQ612">
        <v>56</v>
      </c>
      <c r="AR612">
        <v>-128</v>
      </c>
      <c r="AZ612">
        <v>3614</v>
      </c>
      <c r="BA612">
        <v>1</v>
      </c>
      <c r="BB612" t="str">
        <f t="shared" si="29"/>
        <v xml:space="preserve">N959MJ  </v>
      </c>
      <c r="BC612">
        <v>1</v>
      </c>
      <c r="BE612">
        <v>0</v>
      </c>
      <c r="BF612">
        <v>0</v>
      </c>
      <c r="BG612">
        <v>0</v>
      </c>
      <c r="BH612">
        <v>9025</v>
      </c>
      <c r="BI612">
        <v>325</v>
      </c>
      <c r="BJ612">
        <v>1</v>
      </c>
      <c r="BK612">
        <v>1</v>
      </c>
      <c r="BL612">
        <v>1</v>
      </c>
      <c r="BM612">
        <v>0</v>
      </c>
      <c r="BP612">
        <v>0</v>
      </c>
      <c r="BQ612">
        <v>0</v>
      </c>
      <c r="BX612" t="str">
        <f>"14:00:33.320"</f>
        <v>14:00:33.320</v>
      </c>
      <c r="BY612" t="str">
        <f>"323762857"</f>
        <v>323762857</v>
      </c>
      <c r="CL612">
        <v>0</v>
      </c>
      <c r="CM612">
        <v>2</v>
      </c>
      <c r="CN612">
        <v>0</v>
      </c>
      <c r="CO612">
        <v>2</v>
      </c>
      <c r="CP612">
        <v>0</v>
      </c>
      <c r="CQ612">
        <v>7</v>
      </c>
      <c r="CR612" t="s">
        <v>116</v>
      </c>
      <c r="CS612">
        <v>525</v>
      </c>
      <c r="CT612">
        <v>1</v>
      </c>
      <c r="CU612" t="s">
        <v>140</v>
      </c>
      <c r="CV612" t="s">
        <v>141</v>
      </c>
      <c r="CY612">
        <v>8058394</v>
      </c>
      <c r="CZ612" t="s">
        <v>119</v>
      </c>
    </row>
    <row r="613" spans="1:104" x14ac:dyDescent="0.25">
      <c r="A613" t="str">
        <f>"14:00:34.492"</f>
        <v>14:00:34.492</v>
      </c>
      <c r="B613" t="s">
        <v>108</v>
      </c>
      <c r="C613" t="str">
        <f t="shared" si="28"/>
        <v>ffdfd3c0</v>
      </c>
      <c r="D613" t="s">
        <v>109</v>
      </c>
      <c r="E613">
        <v>4</v>
      </c>
      <c r="F613">
        <v>1004</v>
      </c>
      <c r="G613" t="s">
        <v>110</v>
      </c>
      <c r="J613" t="s">
        <v>111</v>
      </c>
      <c r="K613">
        <v>0</v>
      </c>
      <c r="L613">
        <v>3</v>
      </c>
      <c r="M613">
        <v>0</v>
      </c>
      <c r="N613">
        <v>2</v>
      </c>
      <c r="O613">
        <v>1</v>
      </c>
      <c r="P613">
        <v>0</v>
      </c>
      <c r="Q613">
        <v>0</v>
      </c>
      <c r="R613" t="s">
        <v>112</v>
      </c>
      <c r="S613" t="str">
        <f>"14:00:34.273"</f>
        <v>14:00:34.273</v>
      </c>
      <c r="T613" t="str">
        <f>"14:00:33.875"</f>
        <v>14:00:33.875</v>
      </c>
      <c r="U613" t="str">
        <f t="shared" si="27"/>
        <v>ad5732</v>
      </c>
      <c r="V613">
        <v>0</v>
      </c>
      <c r="W613">
        <v>0</v>
      </c>
      <c r="X613">
        <v>1</v>
      </c>
      <c r="Z613">
        <v>0</v>
      </c>
      <c r="AA613">
        <v>9</v>
      </c>
      <c r="AB613">
        <v>3</v>
      </c>
      <c r="AC613">
        <v>0</v>
      </c>
      <c r="AD613">
        <v>10</v>
      </c>
      <c r="AE613">
        <v>0</v>
      </c>
      <c r="AF613">
        <v>3</v>
      </c>
      <c r="AG613">
        <v>2</v>
      </c>
      <c r="AH613">
        <v>0</v>
      </c>
      <c r="AI613" t="s">
        <v>1323</v>
      </c>
      <c r="AJ613">
        <v>39.269986000000003</v>
      </c>
      <c r="AK613" t="s">
        <v>1324</v>
      </c>
      <c r="AL613">
        <v>-77.246911999999995</v>
      </c>
      <c r="AM613">
        <v>100</v>
      </c>
      <c r="AN613">
        <v>8700</v>
      </c>
      <c r="AO613" t="s">
        <v>115</v>
      </c>
      <c r="AP613">
        <v>179</v>
      </c>
      <c r="AQ613">
        <v>56</v>
      </c>
      <c r="AR613">
        <v>-192</v>
      </c>
      <c r="AZ613">
        <v>3614</v>
      </c>
      <c r="BA613">
        <v>1</v>
      </c>
      <c r="BB613" t="str">
        <f t="shared" si="29"/>
        <v xml:space="preserve">N959MJ  </v>
      </c>
      <c r="BC613">
        <v>1</v>
      </c>
      <c r="BE613">
        <v>0</v>
      </c>
      <c r="BF613">
        <v>0</v>
      </c>
      <c r="BG613">
        <v>0</v>
      </c>
      <c r="BH613">
        <v>9025</v>
      </c>
      <c r="BI613">
        <v>325</v>
      </c>
      <c r="BJ613">
        <v>1</v>
      </c>
      <c r="BK613">
        <v>1</v>
      </c>
      <c r="BL613">
        <v>1</v>
      </c>
      <c r="BM613">
        <v>0</v>
      </c>
      <c r="BP613">
        <v>0</v>
      </c>
      <c r="BQ613">
        <v>0</v>
      </c>
      <c r="BX613" t="str">
        <f>"14:00:34.273"</f>
        <v>14:00:34.273</v>
      </c>
      <c r="BY613" t="str">
        <f>"277327040"</f>
        <v>277327040</v>
      </c>
      <c r="CL613">
        <v>0</v>
      </c>
      <c r="CM613">
        <v>2</v>
      </c>
      <c r="CN613">
        <v>0</v>
      </c>
      <c r="CO613">
        <v>2</v>
      </c>
      <c r="CP613">
        <v>0</v>
      </c>
      <c r="CQ613">
        <v>7</v>
      </c>
      <c r="CR613" t="s">
        <v>116</v>
      </c>
      <c r="CS613">
        <v>525</v>
      </c>
      <c r="CT613">
        <v>2</v>
      </c>
      <c r="CU613" t="s">
        <v>140</v>
      </c>
      <c r="CV613" t="s">
        <v>141</v>
      </c>
      <c r="CY613">
        <v>14482856</v>
      </c>
      <c r="CZ613" t="s">
        <v>119</v>
      </c>
    </row>
    <row r="614" spans="1:104" x14ac:dyDescent="0.25">
      <c r="A614" t="str">
        <f>"14:00:35.297"</f>
        <v>14:00:35.297</v>
      </c>
      <c r="B614" t="s">
        <v>108</v>
      </c>
      <c r="C614" t="str">
        <f t="shared" si="28"/>
        <v>ffdfd3c0</v>
      </c>
      <c r="D614" t="s">
        <v>109</v>
      </c>
      <c r="E614">
        <v>4</v>
      </c>
      <c r="F614">
        <v>1004</v>
      </c>
      <c r="G614" t="s">
        <v>110</v>
      </c>
      <c r="J614" t="s">
        <v>111</v>
      </c>
      <c r="K614">
        <v>0</v>
      </c>
      <c r="L614">
        <v>3</v>
      </c>
      <c r="M614">
        <v>0</v>
      </c>
      <c r="N614">
        <v>2</v>
      </c>
      <c r="O614">
        <v>1</v>
      </c>
      <c r="P614">
        <v>0</v>
      </c>
      <c r="Q614">
        <v>0</v>
      </c>
      <c r="R614" t="s">
        <v>112</v>
      </c>
      <c r="S614" t="str">
        <f>"14:00:35.133"</f>
        <v>14:00:35.133</v>
      </c>
      <c r="T614" t="str">
        <f>"14:00:34.734"</f>
        <v>14:00:34.734</v>
      </c>
      <c r="U614" t="str">
        <f t="shared" si="27"/>
        <v>ad5732</v>
      </c>
      <c r="V614">
        <v>0</v>
      </c>
      <c r="W614">
        <v>0</v>
      </c>
      <c r="X614">
        <v>1</v>
      </c>
      <c r="Z614">
        <v>0</v>
      </c>
      <c r="AA614">
        <v>9</v>
      </c>
      <c r="AB614">
        <v>3</v>
      </c>
      <c r="AC614">
        <v>0</v>
      </c>
      <c r="AD614">
        <v>10</v>
      </c>
      <c r="AE614">
        <v>0</v>
      </c>
      <c r="AF614">
        <v>3</v>
      </c>
      <c r="AG614">
        <v>2</v>
      </c>
      <c r="AH614">
        <v>0</v>
      </c>
      <c r="AI614" t="s">
        <v>1325</v>
      </c>
      <c r="AJ614">
        <v>39.270221999999997</v>
      </c>
      <c r="AK614" t="s">
        <v>1326</v>
      </c>
      <c r="AL614">
        <v>-77.246075000000005</v>
      </c>
      <c r="AM614">
        <v>100</v>
      </c>
      <c r="AN614">
        <v>8700</v>
      </c>
      <c r="AO614" t="s">
        <v>115</v>
      </c>
      <c r="AP614">
        <v>179</v>
      </c>
      <c r="AQ614">
        <v>57</v>
      </c>
      <c r="AR614">
        <v>-128</v>
      </c>
      <c r="AZ614">
        <v>3614</v>
      </c>
      <c r="BA614">
        <v>1</v>
      </c>
      <c r="BB614" t="str">
        <f t="shared" si="29"/>
        <v xml:space="preserve">N959MJ  </v>
      </c>
      <c r="BC614">
        <v>1</v>
      </c>
      <c r="BE614">
        <v>0</v>
      </c>
      <c r="BF614">
        <v>0</v>
      </c>
      <c r="BG614">
        <v>0</v>
      </c>
      <c r="BH614">
        <v>9025</v>
      </c>
      <c r="BI614">
        <v>325</v>
      </c>
      <c r="BJ614">
        <v>1</v>
      </c>
      <c r="BK614">
        <v>1</v>
      </c>
      <c r="BL614">
        <v>1</v>
      </c>
      <c r="BM614">
        <v>0</v>
      </c>
      <c r="BP614">
        <v>0</v>
      </c>
      <c r="BQ614">
        <v>0</v>
      </c>
      <c r="BX614" t="str">
        <f>"14:00:35.141"</f>
        <v>14:00:35.141</v>
      </c>
      <c r="BY614" t="str">
        <f>"139139336"</f>
        <v>139139336</v>
      </c>
      <c r="CL614">
        <v>0</v>
      </c>
      <c r="CM614">
        <v>2</v>
      </c>
      <c r="CN614">
        <v>0</v>
      </c>
      <c r="CO614">
        <v>2</v>
      </c>
      <c r="CP614">
        <v>0</v>
      </c>
      <c r="CQ614">
        <v>7</v>
      </c>
      <c r="CR614" t="s">
        <v>116</v>
      </c>
      <c r="CS614">
        <v>525</v>
      </c>
      <c r="CT614">
        <v>2</v>
      </c>
      <c r="CU614" t="s">
        <v>140</v>
      </c>
      <c r="CV614" t="s">
        <v>141</v>
      </c>
      <c r="CY614">
        <v>14484189</v>
      </c>
      <c r="CZ614" t="s">
        <v>119</v>
      </c>
    </row>
    <row r="615" spans="1:104" x14ac:dyDescent="0.25">
      <c r="A615" t="str">
        <f>"14:00:36.305"</f>
        <v>14:00:36.305</v>
      </c>
      <c r="B615" t="s">
        <v>108</v>
      </c>
      <c r="C615" t="str">
        <f t="shared" si="28"/>
        <v>ffdfd3c0</v>
      </c>
      <c r="D615" t="s">
        <v>109</v>
      </c>
      <c r="E615">
        <v>4</v>
      </c>
      <c r="F615">
        <v>1004</v>
      </c>
      <c r="G615" t="s">
        <v>110</v>
      </c>
      <c r="J615" t="s">
        <v>111</v>
      </c>
      <c r="K615">
        <v>0</v>
      </c>
      <c r="L615">
        <v>3</v>
      </c>
      <c r="M615">
        <v>0</v>
      </c>
      <c r="N615">
        <v>2</v>
      </c>
      <c r="O615">
        <v>1</v>
      </c>
      <c r="P615">
        <v>0</v>
      </c>
      <c r="Q615">
        <v>0</v>
      </c>
      <c r="R615" t="s">
        <v>112</v>
      </c>
      <c r="S615" t="str">
        <f>"14:00:36.117"</f>
        <v>14:00:36.117</v>
      </c>
      <c r="T615" t="str">
        <f>"14:00:35.719"</f>
        <v>14:00:35.719</v>
      </c>
      <c r="U615" t="str">
        <f t="shared" si="27"/>
        <v>ad5732</v>
      </c>
      <c r="V615">
        <v>0</v>
      </c>
      <c r="W615">
        <v>0</v>
      </c>
      <c r="X615">
        <v>1</v>
      </c>
      <c r="Z615">
        <v>0</v>
      </c>
      <c r="AA615">
        <v>9</v>
      </c>
      <c r="AB615">
        <v>3</v>
      </c>
      <c r="AC615">
        <v>0</v>
      </c>
      <c r="AD615">
        <v>10</v>
      </c>
      <c r="AE615">
        <v>0</v>
      </c>
      <c r="AF615">
        <v>3</v>
      </c>
      <c r="AG615">
        <v>2</v>
      </c>
      <c r="AH615">
        <v>0</v>
      </c>
      <c r="AI615" t="s">
        <v>1327</v>
      </c>
      <c r="AJ615">
        <v>39.270501000000003</v>
      </c>
      <c r="AK615" t="s">
        <v>1328</v>
      </c>
      <c r="AL615">
        <v>-77.245001999999999</v>
      </c>
      <c r="AM615">
        <v>100</v>
      </c>
      <c r="AN615">
        <v>8700</v>
      </c>
      <c r="AO615" t="s">
        <v>115</v>
      </c>
      <c r="AP615">
        <v>179</v>
      </c>
      <c r="AQ615">
        <v>59</v>
      </c>
      <c r="AR615">
        <v>-64</v>
      </c>
      <c r="AZ615">
        <v>3614</v>
      </c>
      <c r="BA615">
        <v>1</v>
      </c>
      <c r="BB615" t="str">
        <f t="shared" si="29"/>
        <v xml:space="preserve">N959MJ  </v>
      </c>
      <c r="BC615">
        <v>1</v>
      </c>
      <c r="BE615">
        <v>0</v>
      </c>
      <c r="BF615">
        <v>0</v>
      </c>
      <c r="BG615">
        <v>0</v>
      </c>
      <c r="BH615">
        <v>9025</v>
      </c>
      <c r="BI615">
        <v>325</v>
      </c>
      <c r="BJ615">
        <v>1</v>
      </c>
      <c r="BK615">
        <v>1</v>
      </c>
      <c r="BL615">
        <v>1</v>
      </c>
      <c r="BM615">
        <v>0</v>
      </c>
      <c r="BP615">
        <v>0</v>
      </c>
      <c r="BQ615">
        <v>0</v>
      </c>
      <c r="BX615" t="str">
        <f>"14:00:36.125"</f>
        <v>14:00:36.125</v>
      </c>
      <c r="BY615" t="str">
        <f>"124050378"</f>
        <v>124050378</v>
      </c>
      <c r="CL615">
        <v>0</v>
      </c>
      <c r="CM615">
        <v>2</v>
      </c>
      <c r="CN615">
        <v>0</v>
      </c>
      <c r="CO615">
        <v>2</v>
      </c>
      <c r="CP615">
        <v>0</v>
      </c>
      <c r="CQ615">
        <v>6</v>
      </c>
      <c r="CR615" t="s">
        <v>116</v>
      </c>
      <c r="CS615">
        <v>373</v>
      </c>
      <c r="CT615">
        <v>3</v>
      </c>
      <c r="CU615" t="s">
        <v>224</v>
      </c>
      <c r="CV615" t="s">
        <v>225</v>
      </c>
      <c r="CY615">
        <v>2447589</v>
      </c>
      <c r="CZ615" t="s">
        <v>119</v>
      </c>
    </row>
    <row r="616" spans="1:104" x14ac:dyDescent="0.25">
      <c r="A616" t="str">
        <f>"14:00:37.313"</f>
        <v>14:00:37.313</v>
      </c>
      <c r="B616" t="s">
        <v>108</v>
      </c>
      <c r="C616" t="str">
        <f t="shared" si="28"/>
        <v>ffdfd3c0</v>
      </c>
      <c r="D616" t="s">
        <v>109</v>
      </c>
      <c r="E616">
        <v>4</v>
      </c>
      <c r="F616">
        <v>1004</v>
      </c>
      <c r="G616" t="s">
        <v>110</v>
      </c>
      <c r="J616" t="s">
        <v>111</v>
      </c>
      <c r="K616">
        <v>0</v>
      </c>
      <c r="L616">
        <v>3</v>
      </c>
      <c r="M616">
        <v>0</v>
      </c>
      <c r="N616">
        <v>2</v>
      </c>
      <c r="O616">
        <v>1</v>
      </c>
      <c r="P616">
        <v>0</v>
      </c>
      <c r="Q616">
        <v>0</v>
      </c>
      <c r="R616" t="s">
        <v>112</v>
      </c>
      <c r="S616" t="str">
        <f>"14:00:37.109"</f>
        <v>14:00:37.109</v>
      </c>
      <c r="T616" t="str">
        <f>"14:00:36.609"</f>
        <v>14:00:36.609</v>
      </c>
      <c r="U616" t="str">
        <f t="shared" si="27"/>
        <v>ad5732</v>
      </c>
      <c r="V616">
        <v>0</v>
      </c>
      <c r="W616">
        <v>0</v>
      </c>
      <c r="X616">
        <v>1</v>
      </c>
      <c r="Z616">
        <v>0</v>
      </c>
      <c r="AA616">
        <v>9</v>
      </c>
      <c r="AB616">
        <v>3</v>
      </c>
      <c r="AC616">
        <v>0</v>
      </c>
      <c r="AD616">
        <v>10</v>
      </c>
      <c r="AE616">
        <v>0</v>
      </c>
      <c r="AF616">
        <v>3</v>
      </c>
      <c r="AG616">
        <v>2</v>
      </c>
      <c r="AH616">
        <v>0</v>
      </c>
      <c r="AI616" t="s">
        <v>1329</v>
      </c>
      <c r="AJ616">
        <v>39.270758999999998</v>
      </c>
      <c r="AK616" t="s">
        <v>1330</v>
      </c>
      <c r="AL616">
        <v>-77.243906999999993</v>
      </c>
      <c r="AM616">
        <v>100</v>
      </c>
      <c r="AN616">
        <v>8700</v>
      </c>
      <c r="AO616" t="s">
        <v>115</v>
      </c>
      <c r="AP616">
        <v>178</v>
      </c>
      <c r="AQ616">
        <v>62</v>
      </c>
      <c r="AR616">
        <v>-64</v>
      </c>
      <c r="AZ616">
        <v>3614</v>
      </c>
      <c r="BA616">
        <v>1</v>
      </c>
      <c r="BB616" t="str">
        <f t="shared" si="29"/>
        <v xml:space="preserve">N959MJ  </v>
      </c>
      <c r="BC616">
        <v>1</v>
      </c>
      <c r="BE616">
        <v>0</v>
      </c>
      <c r="BF616">
        <v>0</v>
      </c>
      <c r="BG616">
        <v>0</v>
      </c>
      <c r="BH616">
        <v>9025</v>
      </c>
      <c r="BI616">
        <v>325</v>
      </c>
      <c r="BJ616">
        <v>1</v>
      </c>
      <c r="BK616">
        <v>1</v>
      </c>
      <c r="BL616">
        <v>1</v>
      </c>
      <c r="BM616">
        <v>0</v>
      </c>
      <c r="BP616">
        <v>0</v>
      </c>
      <c r="BQ616">
        <v>0</v>
      </c>
      <c r="BX616" t="str">
        <f>"14:00:37.117"</f>
        <v>14:00:37.117</v>
      </c>
      <c r="BY616" t="str">
        <f>"116720160"</f>
        <v>116720160</v>
      </c>
      <c r="CL616">
        <v>0</v>
      </c>
      <c r="CM616">
        <v>2</v>
      </c>
      <c r="CN616">
        <v>0</v>
      </c>
      <c r="CO616">
        <v>2</v>
      </c>
      <c r="CP616">
        <v>0</v>
      </c>
      <c r="CQ616">
        <v>6</v>
      </c>
      <c r="CR616" t="s">
        <v>116</v>
      </c>
      <c r="CS616">
        <v>525</v>
      </c>
      <c r="CT616">
        <v>1</v>
      </c>
      <c r="CU616" t="s">
        <v>140</v>
      </c>
      <c r="CV616" t="s">
        <v>141</v>
      </c>
      <c r="CY616">
        <v>8063517</v>
      </c>
      <c r="CZ616" t="s">
        <v>119</v>
      </c>
    </row>
    <row r="617" spans="1:104" x14ac:dyDescent="0.25">
      <c r="A617" t="str">
        <f>"14:00:38.273"</f>
        <v>14:00:38.273</v>
      </c>
      <c r="B617" t="s">
        <v>108</v>
      </c>
      <c r="C617" t="str">
        <f t="shared" si="28"/>
        <v>ffdfd3c0</v>
      </c>
      <c r="D617" t="s">
        <v>109</v>
      </c>
      <c r="E617">
        <v>4</v>
      </c>
      <c r="F617">
        <v>1004</v>
      </c>
      <c r="G617" t="s">
        <v>110</v>
      </c>
      <c r="J617" t="s">
        <v>111</v>
      </c>
      <c r="K617">
        <v>0</v>
      </c>
      <c r="L617">
        <v>3</v>
      </c>
      <c r="M617">
        <v>0</v>
      </c>
      <c r="N617">
        <v>2</v>
      </c>
      <c r="O617">
        <v>1</v>
      </c>
      <c r="P617">
        <v>0</v>
      </c>
      <c r="Q617">
        <v>0</v>
      </c>
      <c r="R617" t="s">
        <v>112</v>
      </c>
      <c r="S617" t="str">
        <f>"14:00:38.109"</f>
        <v>14:00:38.109</v>
      </c>
      <c r="T617" t="str">
        <f>"14:00:37.711"</f>
        <v>14:00:37.711</v>
      </c>
      <c r="U617" t="str">
        <f t="shared" si="27"/>
        <v>ad5732</v>
      </c>
      <c r="V617">
        <v>0</v>
      </c>
      <c r="W617">
        <v>0</v>
      </c>
      <c r="X617">
        <v>1</v>
      </c>
      <c r="Z617">
        <v>0</v>
      </c>
      <c r="AA617">
        <v>9</v>
      </c>
      <c r="AB617">
        <v>3</v>
      </c>
      <c r="AC617">
        <v>0</v>
      </c>
      <c r="AD617">
        <v>10</v>
      </c>
      <c r="AE617">
        <v>0</v>
      </c>
      <c r="AF617">
        <v>3</v>
      </c>
      <c r="AG617">
        <v>2</v>
      </c>
      <c r="AH617">
        <v>0</v>
      </c>
      <c r="AI617" t="s">
        <v>1331</v>
      </c>
      <c r="AJ617">
        <v>39.271079999999998</v>
      </c>
      <c r="AK617" t="s">
        <v>1332</v>
      </c>
      <c r="AL617">
        <v>-77.242834999999999</v>
      </c>
      <c r="AM617">
        <v>100</v>
      </c>
      <c r="AN617">
        <v>8700</v>
      </c>
      <c r="AO617" t="s">
        <v>115</v>
      </c>
      <c r="AP617">
        <v>176</v>
      </c>
      <c r="AQ617">
        <v>66</v>
      </c>
      <c r="AR617">
        <v>-64</v>
      </c>
      <c r="AZ617">
        <v>3614</v>
      </c>
      <c r="BA617">
        <v>1</v>
      </c>
      <c r="BB617" t="str">
        <f t="shared" si="29"/>
        <v xml:space="preserve">N959MJ  </v>
      </c>
      <c r="BC617">
        <v>1</v>
      </c>
      <c r="BE617">
        <v>0</v>
      </c>
      <c r="BF617">
        <v>0</v>
      </c>
      <c r="BG617">
        <v>0</v>
      </c>
      <c r="BH617">
        <v>9025</v>
      </c>
      <c r="BI617">
        <v>325</v>
      </c>
      <c r="BJ617">
        <v>1</v>
      </c>
      <c r="BK617">
        <v>1</v>
      </c>
      <c r="BL617">
        <v>1</v>
      </c>
      <c r="BM617">
        <v>0</v>
      </c>
      <c r="BP617">
        <v>0</v>
      </c>
      <c r="BQ617">
        <v>0</v>
      </c>
      <c r="BX617" t="str">
        <f>"14:00:38.109"</f>
        <v>14:00:38.109</v>
      </c>
      <c r="BY617" t="str">
        <f>"111245101"</f>
        <v>111245101</v>
      </c>
      <c r="CL617">
        <v>0</v>
      </c>
      <c r="CM617">
        <v>2</v>
      </c>
      <c r="CN617">
        <v>0</v>
      </c>
      <c r="CO617">
        <v>2</v>
      </c>
      <c r="CP617">
        <v>0</v>
      </c>
      <c r="CQ617">
        <v>7</v>
      </c>
      <c r="CR617" t="s">
        <v>116</v>
      </c>
      <c r="CS617">
        <v>525</v>
      </c>
      <c r="CT617">
        <v>2</v>
      </c>
      <c r="CU617" t="s">
        <v>140</v>
      </c>
      <c r="CV617" t="s">
        <v>141</v>
      </c>
      <c r="CY617">
        <v>14488522</v>
      </c>
      <c r="CZ617" t="s">
        <v>119</v>
      </c>
    </row>
    <row r="618" spans="1:104" x14ac:dyDescent="0.25">
      <c r="A618" t="str">
        <f>"14:00:39.281"</f>
        <v>14:00:39.281</v>
      </c>
      <c r="B618" t="s">
        <v>108</v>
      </c>
      <c r="C618" t="str">
        <f t="shared" si="28"/>
        <v>ffdfd3c0</v>
      </c>
      <c r="D618" t="s">
        <v>109</v>
      </c>
      <c r="E618">
        <v>4</v>
      </c>
      <c r="F618">
        <v>1004</v>
      </c>
      <c r="G618" t="s">
        <v>110</v>
      </c>
      <c r="J618" t="s">
        <v>111</v>
      </c>
      <c r="K618">
        <v>0</v>
      </c>
      <c r="L618">
        <v>3</v>
      </c>
      <c r="M618">
        <v>0</v>
      </c>
      <c r="N618">
        <v>2</v>
      </c>
      <c r="O618">
        <v>1</v>
      </c>
      <c r="P618">
        <v>0</v>
      </c>
      <c r="Q618">
        <v>0</v>
      </c>
      <c r="R618" t="s">
        <v>112</v>
      </c>
      <c r="S618" t="str">
        <f>"14:00:39.094"</f>
        <v>14:00:39.094</v>
      </c>
      <c r="T618" t="str">
        <f>"14:00:38.695"</f>
        <v>14:00:38.695</v>
      </c>
      <c r="U618" t="str">
        <f t="shared" si="27"/>
        <v>ad5732</v>
      </c>
      <c r="V618">
        <v>0</v>
      </c>
      <c r="W618">
        <v>0</v>
      </c>
      <c r="X618">
        <v>1</v>
      </c>
      <c r="Z618">
        <v>0</v>
      </c>
      <c r="AA618">
        <v>9</v>
      </c>
      <c r="AB618">
        <v>3</v>
      </c>
      <c r="AC618">
        <v>0</v>
      </c>
      <c r="AD618">
        <v>10</v>
      </c>
      <c r="AE618">
        <v>0</v>
      </c>
      <c r="AF618">
        <v>3</v>
      </c>
      <c r="AG618">
        <v>2</v>
      </c>
      <c r="AH618">
        <v>0</v>
      </c>
      <c r="AI618" t="s">
        <v>1333</v>
      </c>
      <c r="AJ618">
        <v>39.271402000000002</v>
      </c>
      <c r="AK618" t="s">
        <v>1334</v>
      </c>
      <c r="AL618">
        <v>-77.241826000000003</v>
      </c>
      <c r="AM618">
        <v>100</v>
      </c>
      <c r="AN618">
        <v>8700</v>
      </c>
      <c r="AO618" t="s">
        <v>115</v>
      </c>
      <c r="AP618">
        <v>175</v>
      </c>
      <c r="AQ618">
        <v>70</v>
      </c>
      <c r="AR618">
        <v>-64</v>
      </c>
      <c r="AZ618">
        <v>3614</v>
      </c>
      <c r="BA618">
        <v>1</v>
      </c>
      <c r="BB618" t="str">
        <f t="shared" si="29"/>
        <v xml:space="preserve">N959MJ  </v>
      </c>
      <c r="BC618">
        <v>1</v>
      </c>
      <c r="BE618">
        <v>0</v>
      </c>
      <c r="BF618">
        <v>0</v>
      </c>
      <c r="BG618">
        <v>0</v>
      </c>
      <c r="BH618">
        <v>9025</v>
      </c>
      <c r="BI618">
        <v>325</v>
      </c>
      <c r="BJ618">
        <v>1</v>
      </c>
      <c r="BK618">
        <v>1</v>
      </c>
      <c r="BL618">
        <v>1</v>
      </c>
      <c r="BM618">
        <v>0</v>
      </c>
      <c r="BP618">
        <v>0</v>
      </c>
      <c r="BQ618">
        <v>0</v>
      </c>
      <c r="BX618" t="str">
        <f>"14:00:39.102"</f>
        <v>14:00:39.102</v>
      </c>
      <c r="BY618" t="str">
        <f>"099442721"</f>
        <v>099442721</v>
      </c>
      <c r="CL618">
        <v>0</v>
      </c>
      <c r="CM618">
        <v>2</v>
      </c>
      <c r="CN618">
        <v>0</v>
      </c>
      <c r="CO618">
        <v>2</v>
      </c>
      <c r="CP618">
        <v>0</v>
      </c>
      <c r="CQ618">
        <v>5</v>
      </c>
      <c r="CR618" t="s">
        <v>116</v>
      </c>
      <c r="CS618">
        <v>372</v>
      </c>
      <c r="CT618">
        <v>3</v>
      </c>
      <c r="CU618" t="s">
        <v>877</v>
      </c>
      <c r="CV618" t="s">
        <v>878</v>
      </c>
      <c r="CY618">
        <v>10452723</v>
      </c>
      <c r="CZ618" t="s">
        <v>119</v>
      </c>
    </row>
    <row r="619" spans="1:104" x14ac:dyDescent="0.25">
      <c r="A619" t="str">
        <f>"14:00:40.242"</f>
        <v>14:00:40.242</v>
      </c>
      <c r="B619" t="s">
        <v>108</v>
      </c>
      <c r="C619" t="str">
        <f t="shared" si="28"/>
        <v>ffdfd3c0</v>
      </c>
      <c r="D619" t="s">
        <v>109</v>
      </c>
      <c r="E619">
        <v>4</v>
      </c>
      <c r="F619">
        <v>1004</v>
      </c>
      <c r="G619" t="s">
        <v>110</v>
      </c>
      <c r="J619" t="s">
        <v>111</v>
      </c>
      <c r="K619">
        <v>0</v>
      </c>
      <c r="L619">
        <v>3</v>
      </c>
      <c r="M619">
        <v>0</v>
      </c>
      <c r="N619">
        <v>2</v>
      </c>
      <c r="O619">
        <v>1</v>
      </c>
      <c r="P619">
        <v>0</v>
      </c>
      <c r="Q619">
        <v>0</v>
      </c>
      <c r="R619" t="s">
        <v>112</v>
      </c>
      <c r="S619" t="str">
        <f>"14:00:40.063"</f>
        <v>14:00:40.063</v>
      </c>
      <c r="T619" t="str">
        <f>"14:00:39.563"</f>
        <v>14:00:39.563</v>
      </c>
      <c r="U619" t="str">
        <f t="shared" si="27"/>
        <v>ad5732</v>
      </c>
      <c r="V619">
        <v>0</v>
      </c>
      <c r="W619">
        <v>0</v>
      </c>
      <c r="X619">
        <v>1</v>
      </c>
      <c r="Z619">
        <v>0</v>
      </c>
      <c r="AA619">
        <v>9</v>
      </c>
      <c r="AB619">
        <v>3</v>
      </c>
      <c r="AC619">
        <v>0</v>
      </c>
      <c r="AD619">
        <v>10</v>
      </c>
      <c r="AE619">
        <v>0</v>
      </c>
      <c r="AF619">
        <v>3</v>
      </c>
      <c r="AG619">
        <v>2</v>
      </c>
      <c r="AH619">
        <v>0</v>
      </c>
      <c r="AI619" t="s">
        <v>1335</v>
      </c>
      <c r="AJ619">
        <v>39.271746</v>
      </c>
      <c r="AK619" t="s">
        <v>1336</v>
      </c>
      <c r="AL619">
        <v>-77.240903000000003</v>
      </c>
      <c r="AM619">
        <v>100</v>
      </c>
      <c r="AN619">
        <v>8700</v>
      </c>
      <c r="AO619" t="s">
        <v>115</v>
      </c>
      <c r="AP619">
        <v>173</v>
      </c>
      <c r="AQ619">
        <v>74</v>
      </c>
      <c r="AR619">
        <v>-64</v>
      </c>
      <c r="AZ619">
        <v>3614</v>
      </c>
      <c r="BA619">
        <v>1</v>
      </c>
      <c r="BB619" t="str">
        <f t="shared" si="29"/>
        <v xml:space="preserve">N959MJ  </v>
      </c>
      <c r="BC619">
        <v>1</v>
      </c>
      <c r="BE619">
        <v>0</v>
      </c>
      <c r="BF619">
        <v>0</v>
      </c>
      <c r="BG619">
        <v>0</v>
      </c>
      <c r="BH619">
        <v>9025</v>
      </c>
      <c r="BI619">
        <v>325</v>
      </c>
      <c r="BJ619">
        <v>1</v>
      </c>
      <c r="BK619">
        <v>1</v>
      </c>
      <c r="BL619">
        <v>1</v>
      </c>
      <c r="BM619">
        <v>0</v>
      </c>
      <c r="BP619">
        <v>0</v>
      </c>
      <c r="BQ619">
        <v>0</v>
      </c>
      <c r="BX619" t="str">
        <f>"14:00:40.070"</f>
        <v>14:00:40.070</v>
      </c>
      <c r="BY619" t="str">
        <f>"067526300"</f>
        <v>067526300</v>
      </c>
      <c r="CL619">
        <v>0</v>
      </c>
      <c r="CM619">
        <v>2</v>
      </c>
      <c r="CN619">
        <v>0</v>
      </c>
      <c r="CO619">
        <v>2</v>
      </c>
      <c r="CP619">
        <v>0</v>
      </c>
      <c r="CQ619">
        <v>6</v>
      </c>
      <c r="CR619" t="s">
        <v>116</v>
      </c>
      <c r="CS619">
        <v>525</v>
      </c>
      <c r="CT619">
        <v>2</v>
      </c>
      <c r="CU619" t="s">
        <v>140</v>
      </c>
      <c r="CV619" t="s">
        <v>141</v>
      </c>
      <c r="CY619">
        <v>14491435</v>
      </c>
      <c r="CZ619" t="s">
        <v>119</v>
      </c>
    </row>
    <row r="620" spans="1:104" x14ac:dyDescent="0.25">
      <c r="A620" t="str">
        <f>"14:00:41.352"</f>
        <v>14:00:41.352</v>
      </c>
      <c r="B620" t="s">
        <v>108</v>
      </c>
      <c r="C620" t="str">
        <f t="shared" si="28"/>
        <v>ffdfd3c0</v>
      </c>
      <c r="D620" t="s">
        <v>109</v>
      </c>
      <c r="E620">
        <v>4</v>
      </c>
      <c r="F620">
        <v>1004</v>
      </c>
      <c r="G620" t="s">
        <v>110</v>
      </c>
      <c r="J620" t="s">
        <v>111</v>
      </c>
      <c r="K620">
        <v>0</v>
      </c>
      <c r="L620">
        <v>3</v>
      </c>
      <c r="M620">
        <v>0</v>
      </c>
      <c r="N620">
        <v>2</v>
      </c>
      <c r="O620">
        <v>1</v>
      </c>
      <c r="P620">
        <v>0</v>
      </c>
      <c r="Q620">
        <v>0</v>
      </c>
      <c r="R620" t="s">
        <v>112</v>
      </c>
      <c r="S620" t="str">
        <f>"14:00:41.188"</f>
        <v>14:00:41.188</v>
      </c>
      <c r="T620" t="str">
        <f>"14:00:40.688"</f>
        <v>14:00:40.688</v>
      </c>
      <c r="U620" t="str">
        <f t="shared" si="27"/>
        <v>ad5732</v>
      </c>
      <c r="V620">
        <v>0</v>
      </c>
      <c r="W620">
        <v>0</v>
      </c>
      <c r="X620">
        <v>1</v>
      </c>
      <c r="Z620">
        <v>0</v>
      </c>
      <c r="AA620">
        <v>9</v>
      </c>
      <c r="AB620">
        <v>3</v>
      </c>
      <c r="AC620">
        <v>0</v>
      </c>
      <c r="AD620">
        <v>10</v>
      </c>
      <c r="AE620">
        <v>0</v>
      </c>
      <c r="AF620">
        <v>3</v>
      </c>
      <c r="AG620">
        <v>2</v>
      </c>
      <c r="AH620">
        <v>0</v>
      </c>
      <c r="AI620" t="s">
        <v>1337</v>
      </c>
      <c r="AJ620">
        <v>39.272174999999997</v>
      </c>
      <c r="AK620" t="s">
        <v>1338</v>
      </c>
      <c r="AL620">
        <v>-77.239680000000007</v>
      </c>
      <c r="AM620">
        <v>100</v>
      </c>
      <c r="AN620">
        <v>8700</v>
      </c>
      <c r="AO620" t="s">
        <v>115</v>
      </c>
      <c r="AP620">
        <v>171</v>
      </c>
      <c r="AQ620">
        <v>79</v>
      </c>
      <c r="AR620">
        <v>-64</v>
      </c>
      <c r="AZ620">
        <v>3614</v>
      </c>
      <c r="BA620">
        <v>1</v>
      </c>
      <c r="BB620" t="str">
        <f t="shared" si="29"/>
        <v xml:space="preserve">N959MJ  </v>
      </c>
      <c r="BC620">
        <v>1</v>
      </c>
      <c r="BE620">
        <v>0</v>
      </c>
      <c r="BF620">
        <v>0</v>
      </c>
      <c r="BG620">
        <v>0</v>
      </c>
      <c r="BH620">
        <v>9000</v>
      </c>
      <c r="BI620">
        <v>300</v>
      </c>
      <c r="BJ620">
        <v>1</v>
      </c>
      <c r="BK620">
        <v>1</v>
      </c>
      <c r="BL620">
        <v>1</v>
      </c>
      <c r="BM620">
        <v>0</v>
      </c>
      <c r="BP620">
        <v>0</v>
      </c>
      <c r="BQ620">
        <v>0</v>
      </c>
      <c r="BX620" t="str">
        <f>"14:00:41.195"</f>
        <v>14:00:41.195</v>
      </c>
      <c r="BY620" t="str">
        <f>"194763709"</f>
        <v>194763709</v>
      </c>
      <c r="CL620">
        <v>0</v>
      </c>
      <c r="CM620">
        <v>2</v>
      </c>
      <c r="CN620">
        <v>0</v>
      </c>
      <c r="CO620">
        <v>2</v>
      </c>
      <c r="CP620">
        <v>0</v>
      </c>
      <c r="CQ620">
        <v>7</v>
      </c>
      <c r="CR620" t="s">
        <v>116</v>
      </c>
      <c r="CS620">
        <v>525</v>
      </c>
      <c r="CT620">
        <v>2</v>
      </c>
      <c r="CU620" t="s">
        <v>140</v>
      </c>
      <c r="CV620" t="s">
        <v>141</v>
      </c>
      <c r="CY620">
        <v>14493004</v>
      </c>
      <c r="CZ620" t="s">
        <v>119</v>
      </c>
    </row>
    <row r="621" spans="1:104" x14ac:dyDescent="0.25">
      <c r="A621" t="str">
        <f>"14:00:42.211"</f>
        <v>14:00:42.211</v>
      </c>
      <c r="B621" t="s">
        <v>108</v>
      </c>
      <c r="C621" t="str">
        <f t="shared" si="28"/>
        <v>ffdfd3c0</v>
      </c>
      <c r="D621" t="s">
        <v>109</v>
      </c>
      <c r="E621">
        <v>4</v>
      </c>
      <c r="F621">
        <v>1004</v>
      </c>
      <c r="G621" t="s">
        <v>110</v>
      </c>
      <c r="J621" t="s">
        <v>111</v>
      </c>
      <c r="K621">
        <v>0</v>
      </c>
      <c r="L621">
        <v>3</v>
      </c>
      <c r="M621">
        <v>0</v>
      </c>
      <c r="N621">
        <v>2</v>
      </c>
      <c r="O621">
        <v>1</v>
      </c>
      <c r="P621">
        <v>0</v>
      </c>
      <c r="Q621">
        <v>0</v>
      </c>
      <c r="R621" t="s">
        <v>112</v>
      </c>
      <c r="S621" t="str">
        <f>"14:00:42.039"</f>
        <v>14:00:42.039</v>
      </c>
      <c r="T621" t="str">
        <f>"14:00:41.641"</f>
        <v>14:00:41.641</v>
      </c>
      <c r="U621" t="str">
        <f t="shared" si="27"/>
        <v>ad5732</v>
      </c>
      <c r="V621">
        <v>0</v>
      </c>
      <c r="W621">
        <v>0</v>
      </c>
      <c r="X621">
        <v>1</v>
      </c>
      <c r="Z621">
        <v>0</v>
      </c>
      <c r="AA621">
        <v>9</v>
      </c>
      <c r="AB621">
        <v>3</v>
      </c>
      <c r="AC621">
        <v>0</v>
      </c>
      <c r="AD621">
        <v>10</v>
      </c>
      <c r="AE621">
        <v>0</v>
      </c>
      <c r="AF621">
        <v>3</v>
      </c>
      <c r="AG621">
        <v>2</v>
      </c>
      <c r="AH621">
        <v>0</v>
      </c>
      <c r="AI621" t="s">
        <v>1339</v>
      </c>
      <c r="AJ621">
        <v>39.272497000000001</v>
      </c>
      <c r="AK621" t="s">
        <v>1340</v>
      </c>
      <c r="AL621">
        <v>-77.238885999999994</v>
      </c>
      <c r="AM621">
        <v>100</v>
      </c>
      <c r="AN621">
        <v>8700</v>
      </c>
      <c r="AO621" t="s">
        <v>115</v>
      </c>
      <c r="AP621">
        <v>169</v>
      </c>
      <c r="AQ621">
        <v>83</v>
      </c>
      <c r="AR621">
        <v>0</v>
      </c>
      <c r="AZ621">
        <v>3614</v>
      </c>
      <c r="BA621">
        <v>1</v>
      </c>
      <c r="BB621" t="str">
        <f t="shared" si="29"/>
        <v xml:space="preserve">N959MJ  </v>
      </c>
      <c r="BC621">
        <v>1</v>
      </c>
      <c r="BE621">
        <v>0</v>
      </c>
      <c r="BF621">
        <v>0</v>
      </c>
      <c r="BG621">
        <v>0</v>
      </c>
      <c r="BH621">
        <v>9000</v>
      </c>
      <c r="BI621">
        <v>300</v>
      </c>
      <c r="BJ621">
        <v>1</v>
      </c>
      <c r="BK621">
        <v>1</v>
      </c>
      <c r="BL621">
        <v>1</v>
      </c>
      <c r="BM621">
        <v>0</v>
      </c>
      <c r="BP621">
        <v>0</v>
      </c>
      <c r="BQ621">
        <v>0</v>
      </c>
      <c r="BX621" t="str">
        <f>"14:00:42.047"</f>
        <v>14:00:42.047</v>
      </c>
      <c r="BY621" t="str">
        <f>"045107103"</f>
        <v>045107103</v>
      </c>
      <c r="CL621">
        <v>0</v>
      </c>
      <c r="CM621">
        <v>2</v>
      </c>
      <c r="CN621">
        <v>0</v>
      </c>
      <c r="CO621">
        <v>2</v>
      </c>
      <c r="CP621">
        <v>0</v>
      </c>
      <c r="CQ621">
        <v>7</v>
      </c>
      <c r="CR621" t="s">
        <v>116</v>
      </c>
      <c r="CS621">
        <v>525</v>
      </c>
      <c r="CT621">
        <v>2</v>
      </c>
      <c r="CU621" t="s">
        <v>140</v>
      </c>
      <c r="CV621" t="s">
        <v>141</v>
      </c>
      <c r="CY621">
        <v>14494313</v>
      </c>
      <c r="CZ621" t="s">
        <v>119</v>
      </c>
    </row>
    <row r="622" spans="1:104" x14ac:dyDescent="0.25">
      <c r="A622" t="str">
        <f>"14:00:43.172"</f>
        <v>14:00:43.172</v>
      </c>
      <c r="B622" t="s">
        <v>108</v>
      </c>
      <c r="C622" t="str">
        <f t="shared" si="28"/>
        <v>ffdfd3c0</v>
      </c>
      <c r="D622" t="s">
        <v>109</v>
      </c>
      <c r="E622">
        <v>4</v>
      </c>
      <c r="F622">
        <v>1004</v>
      </c>
      <c r="G622" t="s">
        <v>110</v>
      </c>
      <c r="J622" t="s">
        <v>111</v>
      </c>
      <c r="K622">
        <v>0</v>
      </c>
      <c r="L622">
        <v>3</v>
      </c>
      <c r="M622">
        <v>0</v>
      </c>
      <c r="N622">
        <v>2</v>
      </c>
      <c r="O622">
        <v>1</v>
      </c>
      <c r="P622">
        <v>0</v>
      </c>
      <c r="Q622">
        <v>0</v>
      </c>
      <c r="R622" t="s">
        <v>112</v>
      </c>
      <c r="S622" t="str">
        <f>"14:00:42.992"</f>
        <v>14:00:42.992</v>
      </c>
      <c r="T622" t="str">
        <f>"14:00:42.594"</f>
        <v>14:00:42.594</v>
      </c>
      <c r="U622" t="str">
        <f t="shared" si="27"/>
        <v>ad5732</v>
      </c>
      <c r="V622">
        <v>0</v>
      </c>
      <c r="W622">
        <v>0</v>
      </c>
      <c r="X622">
        <v>1</v>
      </c>
      <c r="Z622">
        <v>0</v>
      </c>
      <c r="AA622">
        <v>9</v>
      </c>
      <c r="AB622">
        <v>3</v>
      </c>
      <c r="AC622">
        <v>0</v>
      </c>
      <c r="AD622">
        <v>10</v>
      </c>
      <c r="AE622">
        <v>0</v>
      </c>
      <c r="AF622">
        <v>3</v>
      </c>
      <c r="AG622">
        <v>2</v>
      </c>
      <c r="AH622">
        <v>0</v>
      </c>
      <c r="AI622" t="s">
        <v>1341</v>
      </c>
      <c r="AJ622">
        <v>39.272860999999999</v>
      </c>
      <c r="AK622" t="s">
        <v>1342</v>
      </c>
      <c r="AL622">
        <v>-77.237921</v>
      </c>
      <c r="AM622">
        <v>100</v>
      </c>
      <c r="AN622">
        <v>8700</v>
      </c>
      <c r="AO622" t="s">
        <v>115</v>
      </c>
      <c r="AP622">
        <v>167</v>
      </c>
      <c r="AQ622">
        <v>86</v>
      </c>
      <c r="AR622">
        <v>128</v>
      </c>
      <c r="AZ622">
        <v>3614</v>
      </c>
      <c r="BA622">
        <v>1</v>
      </c>
      <c r="BB622" t="str">
        <f t="shared" si="29"/>
        <v xml:space="preserve">N959MJ  </v>
      </c>
      <c r="BC622">
        <v>1</v>
      </c>
      <c r="BE622">
        <v>0</v>
      </c>
      <c r="BF622">
        <v>0</v>
      </c>
      <c r="BG622">
        <v>0</v>
      </c>
      <c r="BH622">
        <v>9025</v>
      </c>
      <c r="BI622">
        <v>325</v>
      </c>
      <c r="BJ622">
        <v>1</v>
      </c>
      <c r="BK622">
        <v>1</v>
      </c>
      <c r="BL622">
        <v>1</v>
      </c>
      <c r="BM622">
        <v>0</v>
      </c>
      <c r="BP622">
        <v>0</v>
      </c>
      <c r="BQ622">
        <v>0</v>
      </c>
      <c r="BX622" t="str">
        <f>"14:00:42.992"</f>
        <v>14:00:42.992</v>
      </c>
      <c r="BY622" t="str">
        <f>"992342472"</f>
        <v>992342472</v>
      </c>
      <c r="CL622">
        <v>0</v>
      </c>
      <c r="CM622">
        <v>2</v>
      </c>
      <c r="CN622">
        <v>0</v>
      </c>
      <c r="CO622">
        <v>2</v>
      </c>
      <c r="CP622">
        <v>0</v>
      </c>
      <c r="CQ622">
        <v>5</v>
      </c>
      <c r="CR622" t="s">
        <v>116</v>
      </c>
      <c r="CS622">
        <v>372</v>
      </c>
      <c r="CT622">
        <v>3</v>
      </c>
      <c r="CU622" t="s">
        <v>877</v>
      </c>
      <c r="CV622" t="s">
        <v>878</v>
      </c>
      <c r="CY622">
        <v>10459446</v>
      </c>
      <c r="CZ622" t="s">
        <v>119</v>
      </c>
    </row>
    <row r="623" spans="1:104" x14ac:dyDescent="0.25">
      <c r="A623" t="str">
        <f>"14:00:44.234"</f>
        <v>14:00:44.234</v>
      </c>
      <c r="B623" t="s">
        <v>108</v>
      </c>
      <c r="C623" t="str">
        <f t="shared" si="28"/>
        <v>ffdfd3c0</v>
      </c>
      <c r="D623" t="s">
        <v>109</v>
      </c>
      <c r="E623">
        <v>4</v>
      </c>
      <c r="F623">
        <v>1004</v>
      </c>
      <c r="G623" t="s">
        <v>110</v>
      </c>
      <c r="J623" t="s">
        <v>111</v>
      </c>
      <c r="K623">
        <v>0</v>
      </c>
      <c r="L623">
        <v>3</v>
      </c>
      <c r="M623">
        <v>0</v>
      </c>
      <c r="N623">
        <v>2</v>
      </c>
      <c r="O623">
        <v>1</v>
      </c>
      <c r="P623">
        <v>0</v>
      </c>
      <c r="Q623">
        <v>0</v>
      </c>
      <c r="R623" t="s">
        <v>112</v>
      </c>
      <c r="S623" t="str">
        <f>"14:00:44.086"</f>
        <v>14:00:44.086</v>
      </c>
      <c r="T623" t="str">
        <f>"14:00:43.586"</f>
        <v>14:00:43.586</v>
      </c>
      <c r="U623" t="str">
        <f t="shared" si="27"/>
        <v>ad5732</v>
      </c>
      <c r="V623">
        <v>0</v>
      </c>
      <c r="W623">
        <v>0</v>
      </c>
      <c r="X623">
        <v>1</v>
      </c>
      <c r="Z623">
        <v>0</v>
      </c>
      <c r="AA623">
        <v>9</v>
      </c>
      <c r="AB623">
        <v>3</v>
      </c>
      <c r="AC623">
        <v>0</v>
      </c>
      <c r="AD623">
        <v>10</v>
      </c>
      <c r="AE623">
        <v>0</v>
      </c>
      <c r="AF623">
        <v>3</v>
      </c>
      <c r="AG623">
        <v>2</v>
      </c>
      <c r="AH623">
        <v>0</v>
      </c>
      <c r="AI623" t="s">
        <v>1343</v>
      </c>
      <c r="AJ623">
        <v>39.273333999999998</v>
      </c>
      <c r="AK623" t="s">
        <v>1344</v>
      </c>
      <c r="AL623">
        <v>-77.236805000000004</v>
      </c>
      <c r="AM623">
        <v>100</v>
      </c>
      <c r="AN623">
        <v>8700</v>
      </c>
      <c r="AO623" t="s">
        <v>115</v>
      </c>
      <c r="AP623">
        <v>166</v>
      </c>
      <c r="AQ623">
        <v>88</v>
      </c>
      <c r="AR623">
        <v>192</v>
      </c>
      <c r="AZ623">
        <v>3614</v>
      </c>
      <c r="BA623">
        <v>1</v>
      </c>
      <c r="BB623" t="str">
        <f t="shared" si="29"/>
        <v xml:space="preserve">N959MJ  </v>
      </c>
      <c r="BC623">
        <v>1</v>
      </c>
      <c r="BE623">
        <v>0</v>
      </c>
      <c r="BF623">
        <v>0</v>
      </c>
      <c r="BG623">
        <v>0</v>
      </c>
      <c r="BH623">
        <v>9025</v>
      </c>
      <c r="BI623">
        <v>325</v>
      </c>
      <c r="BJ623">
        <v>1</v>
      </c>
      <c r="BK623">
        <v>1</v>
      </c>
      <c r="BL623">
        <v>1</v>
      </c>
      <c r="BM623">
        <v>0</v>
      </c>
      <c r="BP623">
        <v>0</v>
      </c>
      <c r="BQ623">
        <v>0</v>
      </c>
      <c r="BX623" t="str">
        <f>"14:00:44.086"</f>
        <v>14:00:44.086</v>
      </c>
      <c r="BY623" t="str">
        <f>"088224865"</f>
        <v>088224865</v>
      </c>
      <c r="CL623">
        <v>0</v>
      </c>
      <c r="CM623">
        <v>2</v>
      </c>
      <c r="CN623">
        <v>0</v>
      </c>
      <c r="CO623">
        <v>2</v>
      </c>
      <c r="CP623">
        <v>0</v>
      </c>
      <c r="CQ623">
        <v>7</v>
      </c>
      <c r="CR623" t="s">
        <v>116</v>
      </c>
      <c r="CS623">
        <v>525</v>
      </c>
      <c r="CT623">
        <v>2</v>
      </c>
      <c r="CU623" t="s">
        <v>140</v>
      </c>
      <c r="CV623" t="s">
        <v>141</v>
      </c>
      <c r="CY623">
        <v>14497365</v>
      </c>
      <c r="CZ623" t="s">
        <v>119</v>
      </c>
    </row>
    <row r="624" spans="1:104" x14ac:dyDescent="0.25">
      <c r="A624" t="str">
        <f>"14:00:45.391"</f>
        <v>14:00:45.391</v>
      </c>
      <c r="B624" t="s">
        <v>108</v>
      </c>
      <c r="C624" t="str">
        <f t="shared" si="28"/>
        <v>ffdfd3c0</v>
      </c>
      <c r="D624" t="s">
        <v>109</v>
      </c>
      <c r="E624">
        <v>4</v>
      </c>
      <c r="F624">
        <v>1004</v>
      </c>
      <c r="G624" t="s">
        <v>110</v>
      </c>
      <c r="J624" t="s">
        <v>111</v>
      </c>
      <c r="K624">
        <v>0</v>
      </c>
      <c r="L624">
        <v>3</v>
      </c>
      <c r="M624">
        <v>0</v>
      </c>
      <c r="N624">
        <v>2</v>
      </c>
      <c r="O624">
        <v>1</v>
      </c>
      <c r="P624">
        <v>0</v>
      </c>
      <c r="Q624">
        <v>0</v>
      </c>
      <c r="R624" t="s">
        <v>112</v>
      </c>
      <c r="S624" t="str">
        <f>"14:00:45.195"</f>
        <v>14:00:45.195</v>
      </c>
      <c r="T624" t="str">
        <f>"14:00:44.695"</f>
        <v>14:00:44.695</v>
      </c>
      <c r="U624" t="str">
        <f t="shared" si="27"/>
        <v>ad5732</v>
      </c>
      <c r="V624">
        <v>0</v>
      </c>
      <c r="W624">
        <v>0</v>
      </c>
      <c r="X624">
        <v>1</v>
      </c>
      <c r="Z624">
        <v>0</v>
      </c>
      <c r="AA624">
        <v>9</v>
      </c>
      <c r="AB624">
        <v>3</v>
      </c>
      <c r="AC624">
        <v>0</v>
      </c>
      <c r="AD624">
        <v>10</v>
      </c>
      <c r="AE624">
        <v>0</v>
      </c>
      <c r="AF624">
        <v>3</v>
      </c>
      <c r="AG624">
        <v>2</v>
      </c>
      <c r="AH624">
        <v>0</v>
      </c>
      <c r="AI624" t="s">
        <v>1345</v>
      </c>
      <c r="AJ624">
        <v>39.273806</v>
      </c>
      <c r="AK624" t="s">
        <v>1346</v>
      </c>
      <c r="AL624">
        <v>-77.235710999999995</v>
      </c>
      <c r="AM624">
        <v>100</v>
      </c>
      <c r="AN624">
        <v>8700</v>
      </c>
      <c r="AO624" t="s">
        <v>115</v>
      </c>
      <c r="AP624">
        <v>165</v>
      </c>
      <c r="AQ624">
        <v>90</v>
      </c>
      <c r="AR624">
        <v>256</v>
      </c>
      <c r="AZ624">
        <v>3614</v>
      </c>
      <c r="BA624">
        <v>1</v>
      </c>
      <c r="BB624" t="str">
        <f t="shared" si="29"/>
        <v xml:space="preserve">N959MJ  </v>
      </c>
      <c r="BC624">
        <v>1</v>
      </c>
      <c r="BE624">
        <v>0</v>
      </c>
      <c r="BF624">
        <v>0</v>
      </c>
      <c r="BG624">
        <v>0</v>
      </c>
      <c r="BH624">
        <v>9025</v>
      </c>
      <c r="BI624">
        <v>325</v>
      </c>
      <c r="BJ624">
        <v>1</v>
      </c>
      <c r="BK624">
        <v>1</v>
      </c>
      <c r="BL624">
        <v>1</v>
      </c>
      <c r="BM624">
        <v>0</v>
      </c>
      <c r="BP624">
        <v>0</v>
      </c>
      <c r="BQ624">
        <v>0</v>
      </c>
      <c r="BX624" t="str">
        <f>"14:00:45.203"</f>
        <v>14:00:45.203</v>
      </c>
      <c r="BY624" t="str">
        <f>"200716476"</f>
        <v>200716476</v>
      </c>
      <c r="CL624">
        <v>0</v>
      </c>
      <c r="CM624">
        <v>2</v>
      </c>
      <c r="CN624">
        <v>0</v>
      </c>
      <c r="CO624">
        <v>2</v>
      </c>
      <c r="CP624">
        <v>0</v>
      </c>
      <c r="CQ624">
        <v>7</v>
      </c>
      <c r="CR624" t="s">
        <v>116</v>
      </c>
      <c r="CS624">
        <v>525</v>
      </c>
      <c r="CT624">
        <v>2</v>
      </c>
      <c r="CU624" t="s">
        <v>140</v>
      </c>
      <c r="CV624" t="s">
        <v>141</v>
      </c>
      <c r="CY624">
        <v>14498989</v>
      </c>
      <c r="CZ624" t="s">
        <v>119</v>
      </c>
    </row>
    <row r="625" spans="1:104" x14ac:dyDescent="0.25">
      <c r="A625" t="str">
        <f>"14:00:46.508"</f>
        <v>14:00:46.508</v>
      </c>
      <c r="B625" t="s">
        <v>108</v>
      </c>
      <c r="C625" t="str">
        <f t="shared" si="28"/>
        <v>ffdfd3c0</v>
      </c>
      <c r="D625" t="s">
        <v>109</v>
      </c>
      <c r="E625">
        <v>4</v>
      </c>
      <c r="F625">
        <v>1004</v>
      </c>
      <c r="G625" t="s">
        <v>110</v>
      </c>
      <c r="J625" t="s">
        <v>111</v>
      </c>
      <c r="K625">
        <v>0</v>
      </c>
      <c r="L625">
        <v>3</v>
      </c>
      <c r="M625">
        <v>0</v>
      </c>
      <c r="N625">
        <v>2</v>
      </c>
      <c r="O625">
        <v>1</v>
      </c>
      <c r="P625">
        <v>0</v>
      </c>
      <c r="Q625">
        <v>0</v>
      </c>
      <c r="R625" t="s">
        <v>112</v>
      </c>
      <c r="S625" t="str">
        <f>"14:00:46.344"</f>
        <v>14:00:46.344</v>
      </c>
      <c r="T625" t="str">
        <f>"14:00:45.844"</f>
        <v>14:00:45.844</v>
      </c>
      <c r="U625" t="str">
        <f t="shared" si="27"/>
        <v>ad5732</v>
      </c>
      <c r="V625">
        <v>0</v>
      </c>
      <c r="W625">
        <v>0</v>
      </c>
      <c r="X625">
        <v>1</v>
      </c>
      <c r="Z625">
        <v>0</v>
      </c>
      <c r="AA625">
        <v>9</v>
      </c>
      <c r="AB625">
        <v>3</v>
      </c>
      <c r="AC625">
        <v>0</v>
      </c>
      <c r="AD625">
        <v>10</v>
      </c>
      <c r="AE625">
        <v>0</v>
      </c>
      <c r="AF625">
        <v>3</v>
      </c>
      <c r="AG625">
        <v>2</v>
      </c>
      <c r="AH625">
        <v>0</v>
      </c>
      <c r="AI625" t="s">
        <v>1347</v>
      </c>
      <c r="AJ625">
        <v>39.274256000000001</v>
      </c>
      <c r="AK625" t="s">
        <v>1348</v>
      </c>
      <c r="AL625">
        <v>-77.234658999999994</v>
      </c>
      <c r="AM625">
        <v>100</v>
      </c>
      <c r="AN625">
        <v>8700</v>
      </c>
      <c r="AO625" t="s">
        <v>115</v>
      </c>
      <c r="AP625">
        <v>163</v>
      </c>
      <c r="AQ625">
        <v>91</v>
      </c>
      <c r="AR625">
        <v>320</v>
      </c>
      <c r="AZ625">
        <v>3614</v>
      </c>
      <c r="BA625">
        <v>1</v>
      </c>
      <c r="BB625" t="str">
        <f t="shared" si="29"/>
        <v xml:space="preserve">N959MJ  </v>
      </c>
      <c r="BC625">
        <v>1</v>
      </c>
      <c r="BE625">
        <v>0</v>
      </c>
      <c r="BF625">
        <v>0</v>
      </c>
      <c r="BG625">
        <v>0</v>
      </c>
      <c r="BH625">
        <v>9025</v>
      </c>
      <c r="BI625">
        <v>325</v>
      </c>
      <c r="BJ625">
        <v>1</v>
      </c>
      <c r="BK625">
        <v>1</v>
      </c>
      <c r="BL625">
        <v>1</v>
      </c>
      <c r="BM625">
        <v>0</v>
      </c>
      <c r="BP625">
        <v>0</v>
      </c>
      <c r="BQ625">
        <v>0</v>
      </c>
      <c r="BX625" t="str">
        <f>"14:00:46.352"</f>
        <v>14:00:46.352</v>
      </c>
      <c r="BY625" t="str">
        <f>"350891817"</f>
        <v>350891817</v>
      </c>
      <c r="CL625">
        <v>0</v>
      </c>
      <c r="CM625">
        <v>2</v>
      </c>
      <c r="CN625">
        <v>0</v>
      </c>
      <c r="CO625">
        <v>2</v>
      </c>
      <c r="CP625">
        <v>0</v>
      </c>
      <c r="CQ625">
        <v>7</v>
      </c>
      <c r="CR625" t="s">
        <v>116</v>
      </c>
      <c r="CS625">
        <v>525</v>
      </c>
      <c r="CT625">
        <v>2</v>
      </c>
      <c r="CU625" t="s">
        <v>140</v>
      </c>
      <c r="CV625" t="s">
        <v>141</v>
      </c>
      <c r="CY625">
        <v>14500642</v>
      </c>
      <c r="CZ625" t="s">
        <v>119</v>
      </c>
    </row>
    <row r="626" spans="1:104" x14ac:dyDescent="0.25">
      <c r="A626" t="str">
        <f>"14:00:47.563"</f>
        <v>14:00:47.563</v>
      </c>
      <c r="B626" t="s">
        <v>108</v>
      </c>
      <c r="C626" t="str">
        <f t="shared" si="28"/>
        <v>ffdfd3c0</v>
      </c>
      <c r="D626" t="s">
        <v>109</v>
      </c>
      <c r="E626">
        <v>4</v>
      </c>
      <c r="F626">
        <v>1004</v>
      </c>
      <c r="G626" t="s">
        <v>110</v>
      </c>
      <c r="J626" t="s">
        <v>111</v>
      </c>
      <c r="K626">
        <v>0</v>
      </c>
      <c r="L626">
        <v>3</v>
      </c>
      <c r="M626">
        <v>0</v>
      </c>
      <c r="N626">
        <v>2</v>
      </c>
      <c r="O626">
        <v>1</v>
      </c>
      <c r="P626">
        <v>0</v>
      </c>
      <c r="Q626">
        <v>0</v>
      </c>
      <c r="R626" t="s">
        <v>112</v>
      </c>
      <c r="S626" t="str">
        <f>"14:00:47.359"</f>
        <v>14:00:47.359</v>
      </c>
      <c r="T626" t="str">
        <f>"14:00:46.961"</f>
        <v>14:00:46.961</v>
      </c>
      <c r="U626" t="str">
        <f t="shared" si="27"/>
        <v>ad5732</v>
      </c>
      <c r="V626">
        <v>0</v>
      </c>
      <c r="W626">
        <v>0</v>
      </c>
      <c r="X626">
        <v>1</v>
      </c>
      <c r="Z626">
        <v>0</v>
      </c>
      <c r="AA626">
        <v>9</v>
      </c>
      <c r="AB626">
        <v>3</v>
      </c>
      <c r="AC626">
        <v>0</v>
      </c>
      <c r="AD626">
        <v>10</v>
      </c>
      <c r="AE626">
        <v>0</v>
      </c>
      <c r="AF626">
        <v>3</v>
      </c>
      <c r="AG626">
        <v>2</v>
      </c>
      <c r="AH626">
        <v>0</v>
      </c>
      <c r="AI626" t="s">
        <v>1349</v>
      </c>
      <c r="AJ626">
        <v>39.274664000000001</v>
      </c>
      <c r="AK626" t="s">
        <v>1350</v>
      </c>
      <c r="AL626">
        <v>-77.233715000000004</v>
      </c>
      <c r="AM626">
        <v>100</v>
      </c>
      <c r="AN626">
        <v>8700</v>
      </c>
      <c r="AO626" t="s">
        <v>115</v>
      </c>
      <c r="AP626">
        <v>163</v>
      </c>
      <c r="AQ626">
        <v>92</v>
      </c>
      <c r="AR626">
        <v>320</v>
      </c>
      <c r="AZ626">
        <v>3614</v>
      </c>
      <c r="BA626">
        <v>1</v>
      </c>
      <c r="BB626" t="str">
        <f t="shared" si="29"/>
        <v xml:space="preserve">N959MJ  </v>
      </c>
      <c r="BC626">
        <v>1</v>
      </c>
      <c r="BE626">
        <v>0</v>
      </c>
      <c r="BF626">
        <v>0</v>
      </c>
      <c r="BG626">
        <v>0</v>
      </c>
      <c r="BH626">
        <v>9025</v>
      </c>
      <c r="BI626">
        <v>325</v>
      </c>
      <c r="BJ626">
        <v>1</v>
      </c>
      <c r="BK626">
        <v>1</v>
      </c>
      <c r="BL626">
        <v>1</v>
      </c>
      <c r="BM626">
        <v>0</v>
      </c>
      <c r="BP626">
        <v>0</v>
      </c>
      <c r="BQ626">
        <v>0</v>
      </c>
      <c r="BX626" t="str">
        <f>"14:00:47.367"</f>
        <v>14:00:47.367</v>
      </c>
      <c r="BY626" t="str">
        <f>"366716228"</f>
        <v>366716228</v>
      </c>
      <c r="CL626">
        <v>0</v>
      </c>
      <c r="CM626">
        <v>2</v>
      </c>
      <c r="CN626">
        <v>0</v>
      </c>
      <c r="CO626">
        <v>2</v>
      </c>
      <c r="CP626">
        <v>0</v>
      </c>
      <c r="CQ626">
        <v>7</v>
      </c>
      <c r="CR626" t="s">
        <v>116</v>
      </c>
      <c r="CS626">
        <v>525</v>
      </c>
      <c r="CT626">
        <v>2</v>
      </c>
      <c r="CU626" t="s">
        <v>140</v>
      </c>
      <c r="CV626" t="s">
        <v>141</v>
      </c>
      <c r="CY626">
        <v>14502156</v>
      </c>
      <c r="CZ626" t="s">
        <v>119</v>
      </c>
    </row>
    <row r="627" spans="1:104" x14ac:dyDescent="0.25">
      <c r="A627" t="str">
        <f>"14:00:48.617"</f>
        <v>14:00:48.617</v>
      </c>
      <c r="B627" t="s">
        <v>108</v>
      </c>
      <c r="C627" t="str">
        <f t="shared" si="28"/>
        <v>ffdfd3c0</v>
      </c>
      <c r="D627" t="s">
        <v>109</v>
      </c>
      <c r="E627">
        <v>4</v>
      </c>
      <c r="F627">
        <v>1004</v>
      </c>
      <c r="G627" t="s">
        <v>110</v>
      </c>
      <c r="J627" t="s">
        <v>111</v>
      </c>
      <c r="K627">
        <v>0</v>
      </c>
      <c r="L627">
        <v>3</v>
      </c>
      <c r="M627">
        <v>0</v>
      </c>
      <c r="N627">
        <v>2</v>
      </c>
      <c r="O627">
        <v>1</v>
      </c>
      <c r="P627">
        <v>0</v>
      </c>
      <c r="Q627">
        <v>0</v>
      </c>
      <c r="R627" t="s">
        <v>112</v>
      </c>
      <c r="S627" t="str">
        <f>"14:00:48.430"</f>
        <v>14:00:48.430</v>
      </c>
      <c r="T627" t="str">
        <f>"14:00:47.930"</f>
        <v>14:00:47.930</v>
      </c>
      <c r="U627" t="str">
        <f t="shared" si="27"/>
        <v>ad5732</v>
      </c>
      <c r="V627">
        <v>0</v>
      </c>
      <c r="W627">
        <v>0</v>
      </c>
      <c r="X627">
        <v>1</v>
      </c>
      <c r="Z627">
        <v>0</v>
      </c>
      <c r="AA627">
        <v>9</v>
      </c>
      <c r="AB627">
        <v>3</v>
      </c>
      <c r="AC627">
        <v>0</v>
      </c>
      <c r="AD627">
        <v>10</v>
      </c>
      <c r="AE627">
        <v>0</v>
      </c>
      <c r="AF627">
        <v>3</v>
      </c>
      <c r="AG627">
        <v>2</v>
      </c>
      <c r="AH627">
        <v>0</v>
      </c>
      <c r="AI627" t="s">
        <v>1351</v>
      </c>
      <c r="AJ627">
        <v>39.275136000000003</v>
      </c>
      <c r="AK627" t="s">
        <v>1352</v>
      </c>
      <c r="AL627">
        <v>-77.232598999999993</v>
      </c>
      <c r="AM627">
        <v>100</v>
      </c>
      <c r="AN627">
        <v>8700</v>
      </c>
      <c r="AO627" t="s">
        <v>115</v>
      </c>
      <c r="AP627">
        <v>162</v>
      </c>
      <c r="AQ627">
        <v>92</v>
      </c>
      <c r="AR627">
        <v>256</v>
      </c>
      <c r="AZ627">
        <v>3614</v>
      </c>
      <c r="BA627">
        <v>1</v>
      </c>
      <c r="BB627" t="str">
        <f t="shared" si="29"/>
        <v xml:space="preserve">N959MJ  </v>
      </c>
      <c r="BC627">
        <v>1</v>
      </c>
      <c r="BE627">
        <v>0</v>
      </c>
      <c r="BF627">
        <v>0</v>
      </c>
      <c r="BG627">
        <v>0</v>
      </c>
      <c r="BH627">
        <v>9025</v>
      </c>
      <c r="BI627">
        <v>325</v>
      </c>
      <c r="BJ627">
        <v>1</v>
      </c>
      <c r="BK627">
        <v>1</v>
      </c>
      <c r="BL627">
        <v>1</v>
      </c>
      <c r="BM627">
        <v>0</v>
      </c>
      <c r="BP627">
        <v>0</v>
      </c>
      <c r="BQ627">
        <v>0</v>
      </c>
      <c r="BX627" t="str">
        <f>"14:00:48.438"</f>
        <v>14:00:48.438</v>
      </c>
      <c r="BY627" t="str">
        <f>"436608722"</f>
        <v>436608722</v>
      </c>
      <c r="CL627">
        <v>0</v>
      </c>
      <c r="CM627">
        <v>2</v>
      </c>
      <c r="CN627">
        <v>0</v>
      </c>
      <c r="CO627">
        <v>2</v>
      </c>
      <c r="CP627">
        <v>0</v>
      </c>
      <c r="CQ627">
        <v>7</v>
      </c>
      <c r="CR627" t="s">
        <v>116</v>
      </c>
      <c r="CS627">
        <v>525</v>
      </c>
      <c r="CT627">
        <v>1</v>
      </c>
      <c r="CU627" t="s">
        <v>140</v>
      </c>
      <c r="CV627" t="s">
        <v>141</v>
      </c>
      <c r="CY627">
        <v>8078687</v>
      </c>
      <c r="CZ627" t="s">
        <v>119</v>
      </c>
    </row>
    <row r="628" spans="1:104" x14ac:dyDescent="0.25">
      <c r="A628" t="str">
        <f>"14:00:49.984"</f>
        <v>14:00:49.984</v>
      </c>
      <c r="B628" t="s">
        <v>108</v>
      </c>
      <c r="C628" t="str">
        <f t="shared" si="28"/>
        <v>ffdfd3c0</v>
      </c>
      <c r="D628" t="s">
        <v>109</v>
      </c>
      <c r="E628">
        <v>4</v>
      </c>
      <c r="F628">
        <v>1004</v>
      </c>
      <c r="G628" t="s">
        <v>110</v>
      </c>
      <c r="J628" t="s">
        <v>111</v>
      </c>
      <c r="K628">
        <v>0</v>
      </c>
      <c r="L628">
        <v>3</v>
      </c>
      <c r="M628">
        <v>0</v>
      </c>
      <c r="N628">
        <v>2</v>
      </c>
      <c r="O628">
        <v>1</v>
      </c>
      <c r="P628">
        <v>0</v>
      </c>
      <c r="Q628">
        <v>0</v>
      </c>
      <c r="R628" t="s">
        <v>112</v>
      </c>
      <c r="S628" t="str">
        <f>"14:00:49.789"</f>
        <v>14:00:49.789</v>
      </c>
      <c r="T628" t="str">
        <f>"14:00:49.391"</f>
        <v>14:00:49.391</v>
      </c>
      <c r="U628" t="str">
        <f t="shared" si="27"/>
        <v>ad5732</v>
      </c>
      <c r="V628">
        <v>0</v>
      </c>
      <c r="W628">
        <v>0</v>
      </c>
      <c r="X628">
        <v>1</v>
      </c>
      <c r="Z628">
        <v>0</v>
      </c>
      <c r="AA628">
        <v>9</v>
      </c>
      <c r="AB628">
        <v>3</v>
      </c>
      <c r="AC628">
        <v>0</v>
      </c>
      <c r="AD628">
        <v>10</v>
      </c>
      <c r="AE628">
        <v>0</v>
      </c>
      <c r="AF628">
        <v>3</v>
      </c>
      <c r="AG628">
        <v>2</v>
      </c>
      <c r="AH628">
        <v>0</v>
      </c>
      <c r="AI628" t="s">
        <v>1353</v>
      </c>
      <c r="AJ628">
        <v>39.275758000000003</v>
      </c>
      <c r="AK628" t="s">
        <v>1354</v>
      </c>
      <c r="AL628">
        <v>-77.231268999999998</v>
      </c>
      <c r="AM628">
        <v>100</v>
      </c>
      <c r="AN628">
        <v>8700</v>
      </c>
      <c r="AO628" t="s">
        <v>115</v>
      </c>
      <c r="AP628">
        <v>162</v>
      </c>
      <c r="AQ628">
        <v>92</v>
      </c>
      <c r="AR628">
        <v>128</v>
      </c>
      <c r="AZ628">
        <v>3614</v>
      </c>
      <c r="BA628">
        <v>1</v>
      </c>
      <c r="BB628" t="str">
        <f t="shared" si="29"/>
        <v xml:space="preserve">N959MJ  </v>
      </c>
      <c r="BC628">
        <v>1</v>
      </c>
      <c r="BE628">
        <v>0</v>
      </c>
      <c r="BF628">
        <v>0</v>
      </c>
      <c r="BG628">
        <v>0</v>
      </c>
      <c r="BH628">
        <v>9050</v>
      </c>
      <c r="BI628">
        <v>350</v>
      </c>
      <c r="BJ628">
        <v>1</v>
      </c>
      <c r="BK628">
        <v>1</v>
      </c>
      <c r="BL628">
        <v>1</v>
      </c>
      <c r="BM628">
        <v>0</v>
      </c>
      <c r="BP628">
        <v>0</v>
      </c>
      <c r="BQ628">
        <v>0</v>
      </c>
      <c r="BX628" t="str">
        <f>"14:00:49.789"</f>
        <v>14:00:49.789</v>
      </c>
      <c r="BY628" t="str">
        <f>"789948991"</f>
        <v>789948991</v>
      </c>
      <c r="CL628">
        <v>0</v>
      </c>
      <c r="CM628">
        <v>2</v>
      </c>
      <c r="CN628">
        <v>0</v>
      </c>
      <c r="CO628">
        <v>2</v>
      </c>
      <c r="CP628">
        <v>0</v>
      </c>
      <c r="CQ628">
        <v>7</v>
      </c>
      <c r="CR628" t="s">
        <v>116</v>
      </c>
      <c r="CS628">
        <v>525</v>
      </c>
      <c r="CT628">
        <v>2</v>
      </c>
      <c r="CU628" t="s">
        <v>140</v>
      </c>
      <c r="CV628" t="s">
        <v>141</v>
      </c>
      <c r="CY628">
        <v>14505660</v>
      </c>
      <c r="CZ628" t="s">
        <v>119</v>
      </c>
    </row>
    <row r="629" spans="1:104" x14ac:dyDescent="0.25">
      <c r="A629" t="str">
        <f>"14:00:50.891"</f>
        <v>14:00:50.891</v>
      </c>
      <c r="B629" t="s">
        <v>108</v>
      </c>
      <c r="C629" t="str">
        <f t="shared" si="28"/>
        <v>ffdfd3c0</v>
      </c>
      <c r="D629" t="s">
        <v>109</v>
      </c>
      <c r="E629">
        <v>4</v>
      </c>
      <c r="F629">
        <v>1004</v>
      </c>
      <c r="G629" t="s">
        <v>110</v>
      </c>
      <c r="J629" t="s">
        <v>111</v>
      </c>
      <c r="K629">
        <v>0</v>
      </c>
      <c r="L629">
        <v>3</v>
      </c>
      <c r="M629">
        <v>0</v>
      </c>
      <c r="N629">
        <v>2</v>
      </c>
      <c r="O629">
        <v>1</v>
      </c>
      <c r="P629">
        <v>0</v>
      </c>
      <c r="Q629">
        <v>0</v>
      </c>
      <c r="R629" t="s">
        <v>112</v>
      </c>
      <c r="S629" t="str">
        <f>"14:00:50.711"</f>
        <v>14:00:50.711</v>
      </c>
      <c r="T629" t="str">
        <f>"14:00:50.211"</f>
        <v>14:00:50.211</v>
      </c>
      <c r="U629" t="str">
        <f t="shared" si="27"/>
        <v>ad5732</v>
      </c>
      <c r="V629">
        <v>0</v>
      </c>
      <c r="W629">
        <v>0</v>
      </c>
      <c r="X629">
        <v>1</v>
      </c>
      <c r="Z629">
        <v>0</v>
      </c>
      <c r="AA629">
        <v>9</v>
      </c>
      <c r="AB629">
        <v>3</v>
      </c>
      <c r="AC629">
        <v>0</v>
      </c>
      <c r="AD629">
        <v>10</v>
      </c>
      <c r="AE629">
        <v>0</v>
      </c>
      <c r="AF629">
        <v>3</v>
      </c>
      <c r="AG629">
        <v>2</v>
      </c>
      <c r="AH629">
        <v>0</v>
      </c>
      <c r="AI629" t="s">
        <v>1355</v>
      </c>
      <c r="AJ629">
        <v>39.276122999999998</v>
      </c>
      <c r="AK629" t="s">
        <v>1356</v>
      </c>
      <c r="AL629">
        <v>-77.230431999999993</v>
      </c>
      <c r="AM629">
        <v>100</v>
      </c>
      <c r="AN629">
        <v>8700</v>
      </c>
      <c r="AO629" t="s">
        <v>115</v>
      </c>
      <c r="AP629">
        <v>162</v>
      </c>
      <c r="AQ629">
        <v>92</v>
      </c>
      <c r="AR629">
        <v>64</v>
      </c>
      <c r="AZ629">
        <v>3614</v>
      </c>
      <c r="BA629">
        <v>1</v>
      </c>
      <c r="BB629" t="str">
        <f t="shared" si="29"/>
        <v xml:space="preserve">N959MJ  </v>
      </c>
      <c r="BC629">
        <v>1</v>
      </c>
      <c r="BE629">
        <v>0</v>
      </c>
      <c r="BF629">
        <v>0</v>
      </c>
      <c r="BG629">
        <v>0</v>
      </c>
      <c r="BH629">
        <v>9050</v>
      </c>
      <c r="BI629">
        <v>350</v>
      </c>
      <c r="BJ629">
        <v>1</v>
      </c>
      <c r="BK629">
        <v>1</v>
      </c>
      <c r="BL629">
        <v>1</v>
      </c>
      <c r="BM629">
        <v>0</v>
      </c>
      <c r="BP629">
        <v>0</v>
      </c>
      <c r="BQ629">
        <v>0</v>
      </c>
      <c r="BX629" t="str">
        <f>"14:00:50.711"</f>
        <v>14:00:50.711</v>
      </c>
      <c r="BY629" t="str">
        <f>"712383151"</f>
        <v>712383151</v>
      </c>
      <c r="CL629">
        <v>0</v>
      </c>
      <c r="CM629">
        <v>2</v>
      </c>
      <c r="CN629">
        <v>0</v>
      </c>
      <c r="CO629">
        <v>2</v>
      </c>
      <c r="CP629">
        <v>0</v>
      </c>
      <c r="CQ629">
        <v>7</v>
      </c>
      <c r="CR629" t="s">
        <v>116</v>
      </c>
      <c r="CS629">
        <v>525</v>
      </c>
      <c r="CT629">
        <v>2</v>
      </c>
      <c r="CU629" t="s">
        <v>140</v>
      </c>
      <c r="CV629" t="s">
        <v>141</v>
      </c>
      <c r="CY629">
        <v>14507000</v>
      </c>
      <c r="CZ629" t="s">
        <v>119</v>
      </c>
    </row>
    <row r="630" spans="1:104" x14ac:dyDescent="0.25">
      <c r="A630" t="str">
        <f>"14:00:51.898"</f>
        <v>14:00:51.898</v>
      </c>
      <c r="B630" t="s">
        <v>108</v>
      </c>
      <c r="C630" t="str">
        <f t="shared" si="28"/>
        <v>ffdfd3c0</v>
      </c>
      <c r="D630" t="s">
        <v>109</v>
      </c>
      <c r="E630">
        <v>4</v>
      </c>
      <c r="F630">
        <v>1004</v>
      </c>
      <c r="G630" t="s">
        <v>110</v>
      </c>
      <c r="J630" t="s">
        <v>111</v>
      </c>
      <c r="K630">
        <v>0</v>
      </c>
      <c r="L630">
        <v>3</v>
      </c>
      <c r="M630">
        <v>0</v>
      </c>
      <c r="N630">
        <v>2</v>
      </c>
      <c r="O630">
        <v>1</v>
      </c>
      <c r="P630">
        <v>0</v>
      </c>
      <c r="Q630">
        <v>0</v>
      </c>
      <c r="R630" t="s">
        <v>112</v>
      </c>
      <c r="S630" t="str">
        <f>"14:00:51.734"</f>
        <v>14:00:51.734</v>
      </c>
      <c r="T630" t="str">
        <f>"14:00:51.234"</f>
        <v>14:00:51.234</v>
      </c>
      <c r="U630" t="str">
        <f t="shared" si="27"/>
        <v>ad5732</v>
      </c>
      <c r="V630">
        <v>0</v>
      </c>
      <c r="W630">
        <v>0</v>
      </c>
      <c r="X630">
        <v>1</v>
      </c>
      <c r="Z630">
        <v>0</v>
      </c>
      <c r="AA630">
        <v>9</v>
      </c>
      <c r="AB630">
        <v>3</v>
      </c>
      <c r="AC630">
        <v>0</v>
      </c>
      <c r="AD630">
        <v>10</v>
      </c>
      <c r="AE630">
        <v>0</v>
      </c>
      <c r="AF630">
        <v>3</v>
      </c>
      <c r="AG630">
        <v>2</v>
      </c>
      <c r="AH630">
        <v>0</v>
      </c>
      <c r="AI630" t="s">
        <v>1357</v>
      </c>
      <c r="AJ630">
        <v>39.276530999999999</v>
      </c>
      <c r="AK630" t="s">
        <v>1358</v>
      </c>
      <c r="AL630">
        <v>-77.229466000000002</v>
      </c>
      <c r="AM630">
        <v>100</v>
      </c>
      <c r="AN630">
        <v>8700</v>
      </c>
      <c r="AO630" t="s">
        <v>115</v>
      </c>
      <c r="AP630">
        <v>162</v>
      </c>
      <c r="AQ630">
        <v>91</v>
      </c>
      <c r="AR630">
        <v>0</v>
      </c>
      <c r="AZ630">
        <v>3614</v>
      </c>
      <c r="BA630">
        <v>1</v>
      </c>
      <c r="BB630" t="str">
        <f t="shared" si="29"/>
        <v xml:space="preserve">N959MJ  </v>
      </c>
      <c r="BC630">
        <v>1</v>
      </c>
      <c r="BE630">
        <v>0</v>
      </c>
      <c r="BF630">
        <v>0</v>
      </c>
      <c r="BG630">
        <v>0</v>
      </c>
      <c r="BH630">
        <v>9050</v>
      </c>
      <c r="BI630">
        <v>350</v>
      </c>
      <c r="BJ630">
        <v>1</v>
      </c>
      <c r="BK630">
        <v>1</v>
      </c>
      <c r="BL630">
        <v>1</v>
      </c>
      <c r="BM630">
        <v>0</v>
      </c>
      <c r="BP630">
        <v>0</v>
      </c>
      <c r="BQ630">
        <v>0</v>
      </c>
      <c r="BX630" t="str">
        <f>"14:00:51.742"</f>
        <v>14:00:51.742</v>
      </c>
      <c r="BY630" t="str">
        <f>"741318347"</f>
        <v>741318347</v>
      </c>
      <c r="CL630">
        <v>0</v>
      </c>
      <c r="CM630">
        <v>2</v>
      </c>
      <c r="CN630">
        <v>0</v>
      </c>
      <c r="CO630">
        <v>2</v>
      </c>
      <c r="CP630">
        <v>0</v>
      </c>
      <c r="CQ630">
        <v>7</v>
      </c>
      <c r="CR630" t="s">
        <v>116</v>
      </c>
      <c r="CS630">
        <v>147</v>
      </c>
      <c r="CT630">
        <v>3</v>
      </c>
      <c r="CU630" t="s">
        <v>117</v>
      </c>
      <c r="CV630" t="s">
        <v>118</v>
      </c>
      <c r="CY630">
        <v>21222</v>
      </c>
      <c r="CZ630" t="s">
        <v>119</v>
      </c>
    </row>
    <row r="631" spans="1:104" x14ac:dyDescent="0.25">
      <c r="A631" t="str">
        <f>"14:00:53.008"</f>
        <v>14:00:53.008</v>
      </c>
      <c r="B631" t="s">
        <v>108</v>
      </c>
      <c r="C631" t="str">
        <f t="shared" si="28"/>
        <v>ffdfd3c0</v>
      </c>
      <c r="D631" t="s">
        <v>109</v>
      </c>
      <c r="E631">
        <v>4</v>
      </c>
      <c r="F631">
        <v>1004</v>
      </c>
      <c r="G631" t="s">
        <v>110</v>
      </c>
      <c r="J631" t="s">
        <v>111</v>
      </c>
      <c r="K631">
        <v>0</v>
      </c>
      <c r="L631">
        <v>3</v>
      </c>
      <c r="M631">
        <v>0</v>
      </c>
      <c r="N631">
        <v>2</v>
      </c>
      <c r="O631">
        <v>1</v>
      </c>
      <c r="P631">
        <v>0</v>
      </c>
      <c r="Q631">
        <v>0</v>
      </c>
      <c r="R631" t="s">
        <v>112</v>
      </c>
      <c r="S631" t="str">
        <f>"14:00:52.820"</f>
        <v>14:00:52.820</v>
      </c>
      <c r="T631" t="str">
        <f>"14:00:52.320"</f>
        <v>14:00:52.320</v>
      </c>
      <c r="U631" t="str">
        <f t="shared" si="27"/>
        <v>ad5732</v>
      </c>
      <c r="V631">
        <v>0</v>
      </c>
      <c r="W631">
        <v>0</v>
      </c>
      <c r="X631">
        <v>1</v>
      </c>
      <c r="Z631">
        <v>0</v>
      </c>
      <c r="AA631">
        <v>9</v>
      </c>
      <c r="AB631">
        <v>3</v>
      </c>
      <c r="AC631">
        <v>0</v>
      </c>
      <c r="AD631">
        <v>10</v>
      </c>
      <c r="AE631">
        <v>0</v>
      </c>
      <c r="AF631">
        <v>3</v>
      </c>
      <c r="AG631">
        <v>2</v>
      </c>
      <c r="AH631">
        <v>0</v>
      </c>
      <c r="AI631" t="s">
        <v>1359</v>
      </c>
      <c r="AJ631">
        <v>39.277003000000001</v>
      </c>
      <c r="AK631" t="s">
        <v>1360</v>
      </c>
      <c r="AL631">
        <v>-77.228393999999994</v>
      </c>
      <c r="AM631">
        <v>100</v>
      </c>
      <c r="AN631">
        <v>8700</v>
      </c>
      <c r="AO631" t="s">
        <v>115</v>
      </c>
      <c r="AP631">
        <v>162</v>
      </c>
      <c r="AQ631">
        <v>91</v>
      </c>
      <c r="AR631">
        <v>-64</v>
      </c>
      <c r="AZ631">
        <v>3614</v>
      </c>
      <c r="BA631">
        <v>1</v>
      </c>
      <c r="BB631" t="str">
        <f t="shared" si="29"/>
        <v xml:space="preserve">N959MJ  </v>
      </c>
      <c r="BC631">
        <v>1</v>
      </c>
      <c r="BE631">
        <v>0</v>
      </c>
      <c r="BF631">
        <v>0</v>
      </c>
      <c r="BG631">
        <v>0</v>
      </c>
      <c r="BH631">
        <v>9050</v>
      </c>
      <c r="BI631">
        <v>350</v>
      </c>
      <c r="BJ631">
        <v>1</v>
      </c>
      <c r="BK631">
        <v>1</v>
      </c>
      <c r="BL631">
        <v>1</v>
      </c>
      <c r="BM631">
        <v>0</v>
      </c>
      <c r="BP631">
        <v>0</v>
      </c>
      <c r="BQ631">
        <v>0</v>
      </c>
      <c r="BX631" t="str">
        <f>"14:00:52.820"</f>
        <v>14:00:52.820</v>
      </c>
      <c r="BY631" t="str">
        <f>"822679884"</f>
        <v>822679884</v>
      </c>
      <c r="CL631">
        <v>0</v>
      </c>
      <c r="CM631">
        <v>2</v>
      </c>
      <c r="CN631">
        <v>0</v>
      </c>
      <c r="CO631">
        <v>2</v>
      </c>
      <c r="CP631">
        <v>0</v>
      </c>
      <c r="CQ631">
        <v>7</v>
      </c>
      <c r="CR631" t="s">
        <v>116</v>
      </c>
      <c r="CS631">
        <v>147</v>
      </c>
      <c r="CT631">
        <v>0</v>
      </c>
      <c r="CU631" t="s">
        <v>117</v>
      </c>
      <c r="CV631" t="s">
        <v>118</v>
      </c>
      <c r="CY631">
        <v>4912417</v>
      </c>
      <c r="CZ631" t="s">
        <v>119</v>
      </c>
    </row>
    <row r="632" spans="1:104" x14ac:dyDescent="0.25">
      <c r="A632" t="str">
        <f>"14:00:53.969"</f>
        <v>14:00:53.969</v>
      </c>
      <c r="B632" t="s">
        <v>108</v>
      </c>
      <c r="C632" t="str">
        <f t="shared" si="28"/>
        <v>ffdfd3c0</v>
      </c>
      <c r="D632" t="s">
        <v>109</v>
      </c>
      <c r="E632">
        <v>4</v>
      </c>
      <c r="F632">
        <v>1004</v>
      </c>
      <c r="G632" t="s">
        <v>110</v>
      </c>
      <c r="J632" t="s">
        <v>111</v>
      </c>
      <c r="K632">
        <v>0</v>
      </c>
      <c r="L632">
        <v>3</v>
      </c>
      <c r="M632">
        <v>0</v>
      </c>
      <c r="N632">
        <v>2</v>
      </c>
      <c r="O632">
        <v>1</v>
      </c>
      <c r="P632">
        <v>0</v>
      </c>
      <c r="Q632">
        <v>0</v>
      </c>
      <c r="R632" t="s">
        <v>112</v>
      </c>
      <c r="S632" t="str">
        <f>"14:00:53.797"</f>
        <v>14:00:53.797</v>
      </c>
      <c r="T632" t="str">
        <f>"14:00:53.398"</f>
        <v>14:00:53.398</v>
      </c>
      <c r="U632" t="str">
        <f t="shared" si="27"/>
        <v>ad5732</v>
      </c>
      <c r="V632">
        <v>0</v>
      </c>
      <c r="W632">
        <v>0</v>
      </c>
      <c r="X632">
        <v>1</v>
      </c>
      <c r="Z632">
        <v>0</v>
      </c>
      <c r="AA632">
        <v>9</v>
      </c>
      <c r="AB632">
        <v>3</v>
      </c>
      <c r="AC632">
        <v>0</v>
      </c>
      <c r="AD632">
        <v>10</v>
      </c>
      <c r="AE632">
        <v>0</v>
      </c>
      <c r="AF632">
        <v>3</v>
      </c>
      <c r="AG632">
        <v>2</v>
      </c>
      <c r="AH632">
        <v>0</v>
      </c>
      <c r="AI632" t="s">
        <v>1361</v>
      </c>
      <c r="AJ632">
        <v>39.277431999999997</v>
      </c>
      <c r="AK632" t="s">
        <v>1362</v>
      </c>
      <c r="AL632">
        <v>-77.227406999999999</v>
      </c>
      <c r="AM632">
        <v>100</v>
      </c>
      <c r="AN632">
        <v>8700</v>
      </c>
      <c r="AO632" t="s">
        <v>115</v>
      </c>
      <c r="AP632">
        <v>162</v>
      </c>
      <c r="AQ632">
        <v>91</v>
      </c>
      <c r="AR632">
        <v>-128</v>
      </c>
      <c r="AZ632">
        <v>3614</v>
      </c>
      <c r="BA632">
        <v>1</v>
      </c>
      <c r="BB632" t="str">
        <f t="shared" si="29"/>
        <v xml:space="preserve">N959MJ  </v>
      </c>
      <c r="BC632">
        <v>1</v>
      </c>
      <c r="BE632">
        <v>0</v>
      </c>
      <c r="BF632">
        <v>0</v>
      </c>
      <c r="BG632">
        <v>0</v>
      </c>
      <c r="BH632">
        <v>9050</v>
      </c>
      <c r="BI632">
        <v>350</v>
      </c>
      <c r="BJ632">
        <v>1</v>
      </c>
      <c r="BK632">
        <v>1</v>
      </c>
      <c r="BL632">
        <v>1</v>
      </c>
      <c r="BM632">
        <v>0</v>
      </c>
      <c r="BP632">
        <v>0</v>
      </c>
      <c r="BQ632">
        <v>0</v>
      </c>
      <c r="BX632" t="str">
        <f>"14:00:53.805"</f>
        <v>14:00:53.805</v>
      </c>
      <c r="BY632" t="str">
        <f>"800817030"</f>
        <v>800817030</v>
      </c>
      <c r="CL632">
        <v>0</v>
      </c>
      <c r="CM632">
        <v>2</v>
      </c>
      <c r="CN632">
        <v>0</v>
      </c>
      <c r="CO632">
        <v>2</v>
      </c>
      <c r="CP632">
        <v>0</v>
      </c>
      <c r="CQ632">
        <v>7</v>
      </c>
      <c r="CR632" t="s">
        <v>116</v>
      </c>
      <c r="CS632">
        <v>525</v>
      </c>
      <c r="CT632">
        <v>2</v>
      </c>
      <c r="CU632" t="s">
        <v>140</v>
      </c>
      <c r="CV632" t="s">
        <v>141</v>
      </c>
      <c r="CY632">
        <v>14511709</v>
      </c>
      <c r="CZ632" t="s">
        <v>119</v>
      </c>
    </row>
    <row r="633" spans="1:104" x14ac:dyDescent="0.25">
      <c r="A633" t="str">
        <f>"14:00:55.078"</f>
        <v>14:00:55.078</v>
      </c>
      <c r="B633" t="s">
        <v>108</v>
      </c>
      <c r="C633" t="str">
        <f t="shared" si="28"/>
        <v>ffdfd3c0</v>
      </c>
      <c r="D633" t="s">
        <v>109</v>
      </c>
      <c r="E633">
        <v>4</v>
      </c>
      <c r="F633">
        <v>1004</v>
      </c>
      <c r="G633" t="s">
        <v>110</v>
      </c>
      <c r="J633" t="s">
        <v>111</v>
      </c>
      <c r="K633">
        <v>0</v>
      </c>
      <c r="L633">
        <v>3</v>
      </c>
      <c r="M633">
        <v>0</v>
      </c>
      <c r="N633">
        <v>2</v>
      </c>
      <c r="O633">
        <v>1</v>
      </c>
      <c r="P633">
        <v>0</v>
      </c>
      <c r="Q633">
        <v>0</v>
      </c>
      <c r="R633" t="s">
        <v>112</v>
      </c>
      <c r="S633" t="str">
        <f>"14:00:54.906"</f>
        <v>14:00:54.906</v>
      </c>
      <c r="T633" t="str">
        <f>"14:00:54.406"</f>
        <v>14:00:54.406</v>
      </c>
      <c r="U633" t="str">
        <f t="shared" si="27"/>
        <v>ad5732</v>
      </c>
      <c r="V633">
        <v>0</v>
      </c>
      <c r="W633">
        <v>0</v>
      </c>
      <c r="X633">
        <v>1</v>
      </c>
      <c r="Z633">
        <v>0</v>
      </c>
      <c r="AA633">
        <v>9</v>
      </c>
      <c r="AB633">
        <v>3</v>
      </c>
      <c r="AC633">
        <v>0</v>
      </c>
      <c r="AD633">
        <v>10</v>
      </c>
      <c r="AE633">
        <v>0</v>
      </c>
      <c r="AF633">
        <v>3</v>
      </c>
      <c r="AG633">
        <v>2</v>
      </c>
      <c r="AH633">
        <v>0</v>
      </c>
      <c r="AI633" t="s">
        <v>1363</v>
      </c>
      <c r="AJ633">
        <v>39.277903999999999</v>
      </c>
      <c r="AK633" t="s">
        <v>1364</v>
      </c>
      <c r="AL633">
        <v>-77.226354999999998</v>
      </c>
      <c r="AM633">
        <v>100</v>
      </c>
      <c r="AN633">
        <v>8700</v>
      </c>
      <c r="AO633" t="s">
        <v>115</v>
      </c>
      <c r="AP633">
        <v>163</v>
      </c>
      <c r="AQ633">
        <v>91</v>
      </c>
      <c r="AR633">
        <v>-128</v>
      </c>
      <c r="AZ633">
        <v>3614</v>
      </c>
      <c r="BA633">
        <v>1</v>
      </c>
      <c r="BB633" t="str">
        <f t="shared" si="29"/>
        <v xml:space="preserve">N959MJ  </v>
      </c>
      <c r="BC633">
        <v>1</v>
      </c>
      <c r="BE633">
        <v>0</v>
      </c>
      <c r="BF633">
        <v>0</v>
      </c>
      <c r="BG633">
        <v>0</v>
      </c>
      <c r="BH633">
        <v>9025</v>
      </c>
      <c r="BI633">
        <v>325</v>
      </c>
      <c r="BJ633">
        <v>1</v>
      </c>
      <c r="BK633">
        <v>1</v>
      </c>
      <c r="BL633">
        <v>1</v>
      </c>
      <c r="BM633">
        <v>0</v>
      </c>
      <c r="BP633">
        <v>0</v>
      </c>
      <c r="BQ633">
        <v>0</v>
      </c>
      <c r="BX633" t="str">
        <f>"14:00:54.906"</f>
        <v>14:00:54.906</v>
      </c>
      <c r="BY633" t="str">
        <f>"908396792"</f>
        <v>908396792</v>
      </c>
      <c r="CL633">
        <v>0</v>
      </c>
      <c r="CM633">
        <v>2</v>
      </c>
      <c r="CN633">
        <v>0</v>
      </c>
      <c r="CO633">
        <v>2</v>
      </c>
      <c r="CP633">
        <v>0</v>
      </c>
      <c r="CQ633">
        <v>7</v>
      </c>
      <c r="CR633" t="s">
        <v>116</v>
      </c>
      <c r="CS633">
        <v>147</v>
      </c>
      <c r="CT633">
        <v>3</v>
      </c>
      <c r="CU633" t="s">
        <v>117</v>
      </c>
      <c r="CV633" t="s">
        <v>118</v>
      </c>
      <c r="CY633">
        <v>26394</v>
      </c>
      <c r="CZ633" t="s">
        <v>119</v>
      </c>
    </row>
    <row r="634" spans="1:104" x14ac:dyDescent="0.25">
      <c r="A634" t="str">
        <f>"14:00:56.039"</f>
        <v>14:00:56.039</v>
      </c>
      <c r="B634" t="s">
        <v>108</v>
      </c>
      <c r="C634" t="str">
        <f t="shared" si="28"/>
        <v>ffdfd3c0</v>
      </c>
      <c r="D634" t="s">
        <v>109</v>
      </c>
      <c r="E634">
        <v>4</v>
      </c>
      <c r="F634">
        <v>1004</v>
      </c>
      <c r="G634" t="s">
        <v>110</v>
      </c>
      <c r="J634" t="s">
        <v>111</v>
      </c>
      <c r="K634">
        <v>0</v>
      </c>
      <c r="L634">
        <v>3</v>
      </c>
      <c r="M634">
        <v>0</v>
      </c>
      <c r="N634">
        <v>2</v>
      </c>
      <c r="O634">
        <v>1</v>
      </c>
      <c r="P634">
        <v>0</v>
      </c>
      <c r="Q634">
        <v>0</v>
      </c>
      <c r="R634" t="s">
        <v>112</v>
      </c>
      <c r="S634" t="str">
        <f>"14:00:55.805"</f>
        <v>14:00:55.805</v>
      </c>
      <c r="T634" t="str">
        <f>"14:00:55.406"</f>
        <v>14:00:55.406</v>
      </c>
      <c r="U634" t="str">
        <f t="shared" si="27"/>
        <v>ad5732</v>
      </c>
      <c r="V634">
        <v>0</v>
      </c>
      <c r="W634">
        <v>0</v>
      </c>
      <c r="X634">
        <v>1</v>
      </c>
      <c r="Z634">
        <v>0</v>
      </c>
      <c r="AA634">
        <v>9</v>
      </c>
      <c r="AB634">
        <v>3</v>
      </c>
      <c r="AC634">
        <v>0</v>
      </c>
      <c r="AD634">
        <v>10</v>
      </c>
      <c r="AE634">
        <v>0</v>
      </c>
      <c r="AF634">
        <v>3</v>
      </c>
      <c r="AG634">
        <v>2</v>
      </c>
      <c r="AH634">
        <v>0</v>
      </c>
      <c r="AI634" t="s">
        <v>1365</v>
      </c>
      <c r="AJ634">
        <v>39.278269000000002</v>
      </c>
      <c r="AK634" t="s">
        <v>1366</v>
      </c>
      <c r="AL634">
        <v>-77.225453999999999</v>
      </c>
      <c r="AM634">
        <v>100</v>
      </c>
      <c r="AN634">
        <v>8700</v>
      </c>
      <c r="AO634" t="s">
        <v>115</v>
      </c>
      <c r="AP634">
        <v>163</v>
      </c>
      <c r="AQ634">
        <v>90</v>
      </c>
      <c r="AR634">
        <v>-192</v>
      </c>
      <c r="AZ634">
        <v>3614</v>
      </c>
      <c r="BA634">
        <v>1</v>
      </c>
      <c r="BB634" t="str">
        <f t="shared" si="29"/>
        <v xml:space="preserve">N959MJ  </v>
      </c>
      <c r="BC634">
        <v>1</v>
      </c>
      <c r="BE634">
        <v>0</v>
      </c>
      <c r="BF634">
        <v>0</v>
      </c>
      <c r="BG634">
        <v>0</v>
      </c>
      <c r="BH634">
        <v>9025</v>
      </c>
      <c r="BI634">
        <v>325</v>
      </c>
      <c r="BJ634">
        <v>1</v>
      </c>
      <c r="BK634">
        <v>1</v>
      </c>
      <c r="BL634">
        <v>1</v>
      </c>
      <c r="BM634">
        <v>0</v>
      </c>
      <c r="BP634">
        <v>0</v>
      </c>
      <c r="BQ634">
        <v>0</v>
      </c>
      <c r="BX634" t="str">
        <f>"14:00:55.813"</f>
        <v>14:00:55.813</v>
      </c>
      <c r="BY634" t="str">
        <f>"809531356"</f>
        <v>809531356</v>
      </c>
      <c r="CL634">
        <v>0</v>
      </c>
      <c r="CM634">
        <v>2</v>
      </c>
      <c r="CN634">
        <v>0</v>
      </c>
      <c r="CO634">
        <v>2</v>
      </c>
      <c r="CP634">
        <v>0</v>
      </c>
      <c r="CQ634">
        <v>7</v>
      </c>
      <c r="CR634" t="s">
        <v>116</v>
      </c>
      <c r="CS634">
        <v>147</v>
      </c>
      <c r="CT634">
        <v>0</v>
      </c>
      <c r="CU634" t="s">
        <v>117</v>
      </c>
      <c r="CV634" t="s">
        <v>118</v>
      </c>
      <c r="CY634">
        <v>4917458</v>
      </c>
      <c r="CZ634" t="s">
        <v>119</v>
      </c>
    </row>
    <row r="635" spans="1:104" x14ac:dyDescent="0.25">
      <c r="A635" t="str">
        <f>"14:00:57.000"</f>
        <v>14:00:57.000</v>
      </c>
      <c r="B635" t="s">
        <v>108</v>
      </c>
      <c r="C635" t="str">
        <f t="shared" si="28"/>
        <v>ffdfd3c0</v>
      </c>
      <c r="D635" t="s">
        <v>109</v>
      </c>
      <c r="E635">
        <v>4</v>
      </c>
      <c r="F635">
        <v>1004</v>
      </c>
      <c r="G635" t="s">
        <v>110</v>
      </c>
      <c r="J635" t="s">
        <v>111</v>
      </c>
      <c r="K635">
        <v>0</v>
      </c>
      <c r="L635">
        <v>3</v>
      </c>
      <c r="M635">
        <v>0</v>
      </c>
      <c r="N635">
        <v>2</v>
      </c>
      <c r="O635">
        <v>1</v>
      </c>
      <c r="P635">
        <v>0</v>
      </c>
      <c r="Q635">
        <v>0</v>
      </c>
      <c r="R635" t="s">
        <v>112</v>
      </c>
      <c r="S635" t="str">
        <f>"14:00:56.805"</f>
        <v>14:00:56.805</v>
      </c>
      <c r="T635" t="str">
        <f>"14:00:56.406"</f>
        <v>14:00:56.406</v>
      </c>
      <c r="U635" t="str">
        <f t="shared" si="27"/>
        <v>ad5732</v>
      </c>
      <c r="V635">
        <v>0</v>
      </c>
      <c r="W635">
        <v>0</v>
      </c>
      <c r="X635">
        <v>1</v>
      </c>
      <c r="Z635">
        <v>0</v>
      </c>
      <c r="AA635">
        <v>9</v>
      </c>
      <c r="AB635">
        <v>3</v>
      </c>
      <c r="AC635">
        <v>0</v>
      </c>
      <c r="AD635">
        <v>10</v>
      </c>
      <c r="AE635">
        <v>0</v>
      </c>
      <c r="AF635">
        <v>3</v>
      </c>
      <c r="AG635">
        <v>2</v>
      </c>
      <c r="AH635">
        <v>0</v>
      </c>
      <c r="AI635" t="s">
        <v>1367</v>
      </c>
      <c r="AJ635">
        <v>39.278677000000002</v>
      </c>
      <c r="AK635" t="s">
        <v>1368</v>
      </c>
      <c r="AL635">
        <v>-77.224487999999994</v>
      </c>
      <c r="AM635">
        <v>100</v>
      </c>
      <c r="AN635">
        <v>8700</v>
      </c>
      <c r="AO635" t="s">
        <v>115</v>
      </c>
      <c r="AP635">
        <v>163</v>
      </c>
      <c r="AQ635">
        <v>90</v>
      </c>
      <c r="AR635">
        <v>-128</v>
      </c>
      <c r="AZ635">
        <v>3614</v>
      </c>
      <c r="BA635">
        <v>1</v>
      </c>
      <c r="BB635" t="str">
        <f t="shared" si="29"/>
        <v xml:space="preserve">N959MJ  </v>
      </c>
      <c r="BC635">
        <v>1</v>
      </c>
      <c r="BE635">
        <v>0</v>
      </c>
      <c r="BF635">
        <v>0</v>
      </c>
      <c r="BG635">
        <v>0</v>
      </c>
      <c r="BH635">
        <v>9025</v>
      </c>
      <c r="BI635">
        <v>325</v>
      </c>
      <c r="BJ635">
        <v>1</v>
      </c>
      <c r="BK635">
        <v>1</v>
      </c>
      <c r="BL635">
        <v>1</v>
      </c>
      <c r="BM635">
        <v>0</v>
      </c>
      <c r="BP635">
        <v>0</v>
      </c>
      <c r="BQ635">
        <v>0</v>
      </c>
      <c r="BX635" t="str">
        <f>"14:00:56.813"</f>
        <v>14:00:56.813</v>
      </c>
      <c r="BY635" t="str">
        <f>"808968104"</f>
        <v>808968104</v>
      </c>
      <c r="CL635">
        <v>0</v>
      </c>
      <c r="CM635">
        <v>2</v>
      </c>
      <c r="CN635">
        <v>0</v>
      </c>
      <c r="CO635">
        <v>2</v>
      </c>
      <c r="CP635">
        <v>0</v>
      </c>
      <c r="CQ635">
        <v>7</v>
      </c>
      <c r="CR635" t="s">
        <v>116</v>
      </c>
      <c r="CS635">
        <v>525</v>
      </c>
      <c r="CT635">
        <v>1</v>
      </c>
      <c r="CU635" t="s">
        <v>140</v>
      </c>
      <c r="CV635" t="s">
        <v>141</v>
      </c>
      <c r="CY635">
        <v>8090035</v>
      </c>
      <c r="CZ635" t="s">
        <v>119</v>
      </c>
    </row>
    <row r="636" spans="1:104" x14ac:dyDescent="0.25">
      <c r="A636" t="str">
        <f>"14:00:58.008"</f>
        <v>14:00:58.008</v>
      </c>
      <c r="B636" t="s">
        <v>108</v>
      </c>
      <c r="C636" t="str">
        <f t="shared" si="28"/>
        <v>ffdfd3c0</v>
      </c>
      <c r="D636" t="s">
        <v>109</v>
      </c>
      <c r="E636">
        <v>4</v>
      </c>
      <c r="F636">
        <v>1004</v>
      </c>
      <c r="G636" t="s">
        <v>110</v>
      </c>
      <c r="J636" t="s">
        <v>111</v>
      </c>
      <c r="K636">
        <v>0</v>
      </c>
      <c r="L636">
        <v>3</v>
      </c>
      <c r="M636">
        <v>0</v>
      </c>
      <c r="N636">
        <v>2</v>
      </c>
      <c r="O636">
        <v>1</v>
      </c>
      <c r="P636">
        <v>0</v>
      </c>
      <c r="Q636">
        <v>0</v>
      </c>
      <c r="R636" t="s">
        <v>112</v>
      </c>
      <c r="S636" t="str">
        <f>"14:00:57.820"</f>
        <v>14:00:57.820</v>
      </c>
      <c r="T636" t="str">
        <f>"14:00:57.320"</f>
        <v>14:00:57.320</v>
      </c>
      <c r="U636" t="str">
        <f t="shared" si="27"/>
        <v>ad5732</v>
      </c>
      <c r="V636">
        <v>0</v>
      </c>
      <c r="W636">
        <v>0</v>
      </c>
      <c r="X636">
        <v>1</v>
      </c>
      <c r="Z636">
        <v>0</v>
      </c>
      <c r="AA636">
        <v>9</v>
      </c>
      <c r="AB636">
        <v>3</v>
      </c>
      <c r="AC636">
        <v>0</v>
      </c>
      <c r="AD636">
        <v>10</v>
      </c>
      <c r="AE636">
        <v>0</v>
      </c>
      <c r="AF636">
        <v>3</v>
      </c>
      <c r="AG636">
        <v>2</v>
      </c>
      <c r="AH636">
        <v>0</v>
      </c>
      <c r="AI636" t="s">
        <v>1369</v>
      </c>
      <c r="AJ636">
        <v>39.279105999999999</v>
      </c>
      <c r="AK636" t="s">
        <v>1370</v>
      </c>
      <c r="AL636">
        <v>-77.223500999999999</v>
      </c>
      <c r="AM636">
        <v>100</v>
      </c>
      <c r="AN636">
        <v>8700</v>
      </c>
      <c r="AO636" t="s">
        <v>115</v>
      </c>
      <c r="AP636">
        <v>164</v>
      </c>
      <c r="AQ636">
        <v>89</v>
      </c>
      <c r="AR636">
        <v>-64</v>
      </c>
      <c r="AZ636">
        <v>3614</v>
      </c>
      <c r="BA636">
        <v>1</v>
      </c>
      <c r="BB636" t="str">
        <f t="shared" si="29"/>
        <v xml:space="preserve">N959MJ  </v>
      </c>
      <c r="BC636">
        <v>1</v>
      </c>
      <c r="BE636">
        <v>0</v>
      </c>
      <c r="BF636">
        <v>0</v>
      </c>
      <c r="BG636">
        <v>0</v>
      </c>
      <c r="BH636">
        <v>9025</v>
      </c>
      <c r="BI636">
        <v>325</v>
      </c>
      <c r="BJ636">
        <v>1</v>
      </c>
      <c r="BK636">
        <v>1</v>
      </c>
      <c r="BL636">
        <v>1</v>
      </c>
      <c r="BM636">
        <v>0</v>
      </c>
      <c r="BP636">
        <v>0</v>
      </c>
      <c r="BQ636">
        <v>0</v>
      </c>
      <c r="BX636" t="str">
        <f>"14:00:57.828"</f>
        <v>14:00:57.828</v>
      </c>
      <c r="BY636" t="str">
        <f>"826434385"</f>
        <v>826434385</v>
      </c>
      <c r="CL636">
        <v>0</v>
      </c>
      <c r="CM636">
        <v>2</v>
      </c>
      <c r="CN636">
        <v>0</v>
      </c>
      <c r="CO636">
        <v>2</v>
      </c>
      <c r="CP636">
        <v>0</v>
      </c>
      <c r="CQ636">
        <v>7</v>
      </c>
      <c r="CR636" t="s">
        <v>116</v>
      </c>
      <c r="CS636">
        <v>147</v>
      </c>
      <c r="CT636">
        <v>0</v>
      </c>
      <c r="CU636" t="s">
        <v>117</v>
      </c>
      <c r="CV636" t="s">
        <v>118</v>
      </c>
      <c r="CY636">
        <v>4920649</v>
      </c>
      <c r="CZ636" t="s">
        <v>119</v>
      </c>
    </row>
    <row r="637" spans="1:104" x14ac:dyDescent="0.25">
      <c r="A637" t="str">
        <f>"14:00:59.117"</f>
        <v>14:00:59.117</v>
      </c>
      <c r="B637" t="s">
        <v>108</v>
      </c>
      <c r="C637" t="str">
        <f t="shared" si="28"/>
        <v>ffdfd3c0</v>
      </c>
      <c r="D637" t="s">
        <v>109</v>
      </c>
      <c r="E637">
        <v>4</v>
      </c>
      <c r="F637">
        <v>1004</v>
      </c>
      <c r="G637" t="s">
        <v>110</v>
      </c>
      <c r="J637" t="s">
        <v>111</v>
      </c>
      <c r="K637">
        <v>0</v>
      </c>
      <c r="L637">
        <v>3</v>
      </c>
      <c r="M637">
        <v>0</v>
      </c>
      <c r="N637">
        <v>2</v>
      </c>
      <c r="O637">
        <v>1</v>
      </c>
      <c r="P637">
        <v>0</v>
      </c>
      <c r="Q637">
        <v>0</v>
      </c>
      <c r="R637" t="s">
        <v>112</v>
      </c>
      <c r="S637" t="str">
        <f>"14:00:58.906"</f>
        <v>14:00:58.906</v>
      </c>
      <c r="T637" t="str">
        <f>"14:00:58.508"</f>
        <v>14:00:58.508</v>
      </c>
      <c r="U637" t="str">
        <f t="shared" si="27"/>
        <v>ad5732</v>
      </c>
      <c r="V637">
        <v>0</v>
      </c>
      <c r="W637">
        <v>0</v>
      </c>
      <c r="X637">
        <v>1</v>
      </c>
      <c r="Z637">
        <v>0</v>
      </c>
      <c r="AA637">
        <v>9</v>
      </c>
      <c r="AB637">
        <v>3</v>
      </c>
      <c r="AC637">
        <v>0</v>
      </c>
      <c r="AD637">
        <v>10</v>
      </c>
      <c r="AE637">
        <v>0</v>
      </c>
      <c r="AF637">
        <v>3</v>
      </c>
      <c r="AG637">
        <v>2</v>
      </c>
      <c r="AH637">
        <v>0</v>
      </c>
      <c r="AI637" t="s">
        <v>1371</v>
      </c>
      <c r="AJ637">
        <v>39.279555999999999</v>
      </c>
      <c r="AK637" t="s">
        <v>1372</v>
      </c>
      <c r="AL637">
        <v>-77.222427999999994</v>
      </c>
      <c r="AM637">
        <v>100</v>
      </c>
      <c r="AN637">
        <v>8700</v>
      </c>
      <c r="AO637" t="s">
        <v>115</v>
      </c>
      <c r="AP637">
        <v>164</v>
      </c>
      <c r="AQ637">
        <v>89</v>
      </c>
      <c r="AR637">
        <v>-64</v>
      </c>
      <c r="AZ637">
        <v>3614</v>
      </c>
      <c r="BA637">
        <v>1</v>
      </c>
      <c r="BB637" t="str">
        <f t="shared" si="29"/>
        <v xml:space="preserve">N959MJ  </v>
      </c>
      <c r="BC637">
        <v>1</v>
      </c>
      <c r="BE637">
        <v>0</v>
      </c>
      <c r="BF637">
        <v>0</v>
      </c>
      <c r="BG637">
        <v>0</v>
      </c>
      <c r="BH637">
        <v>9025</v>
      </c>
      <c r="BI637">
        <v>325</v>
      </c>
      <c r="BJ637">
        <v>1</v>
      </c>
      <c r="BK637">
        <v>1</v>
      </c>
      <c r="BL637">
        <v>1</v>
      </c>
      <c r="BM637">
        <v>0</v>
      </c>
      <c r="BP637">
        <v>0</v>
      </c>
      <c r="BQ637">
        <v>0</v>
      </c>
      <c r="BX637" t="str">
        <f>"14:00:58.906"</f>
        <v>14:00:58.906</v>
      </c>
      <c r="BY637" t="str">
        <f>"909434335"</f>
        <v>909434335</v>
      </c>
      <c r="CL637">
        <v>0</v>
      </c>
      <c r="CM637">
        <v>2</v>
      </c>
      <c r="CN637">
        <v>0</v>
      </c>
      <c r="CO637">
        <v>2</v>
      </c>
      <c r="CP637">
        <v>0</v>
      </c>
      <c r="CQ637">
        <v>7</v>
      </c>
      <c r="CR637" t="s">
        <v>116</v>
      </c>
      <c r="CS637">
        <v>147</v>
      </c>
      <c r="CT637">
        <v>3</v>
      </c>
      <c r="CU637" t="s">
        <v>117</v>
      </c>
      <c r="CV637" t="s">
        <v>118</v>
      </c>
      <c r="CY637">
        <v>32848</v>
      </c>
      <c r="CZ637" t="s">
        <v>119</v>
      </c>
    </row>
    <row r="638" spans="1:104" x14ac:dyDescent="0.25">
      <c r="A638" t="str">
        <f>"14:00:59.922"</f>
        <v>14:00:59.922</v>
      </c>
      <c r="B638" t="s">
        <v>108</v>
      </c>
      <c r="C638" t="str">
        <f t="shared" si="28"/>
        <v>ffdfd3c0</v>
      </c>
      <c r="D638" t="s">
        <v>109</v>
      </c>
      <c r="E638">
        <v>4</v>
      </c>
      <c r="F638">
        <v>1004</v>
      </c>
      <c r="G638" t="s">
        <v>110</v>
      </c>
      <c r="J638" t="s">
        <v>111</v>
      </c>
      <c r="K638">
        <v>0</v>
      </c>
      <c r="L638">
        <v>3</v>
      </c>
      <c r="M638">
        <v>0</v>
      </c>
      <c r="N638">
        <v>2</v>
      </c>
      <c r="O638">
        <v>1</v>
      </c>
      <c r="P638">
        <v>0</v>
      </c>
      <c r="Q638">
        <v>0</v>
      </c>
      <c r="R638" t="s">
        <v>112</v>
      </c>
      <c r="S638" t="str">
        <f>"14:00:59.742"</f>
        <v>14:00:59.742</v>
      </c>
      <c r="T638" t="str">
        <f>"14:00:59.344"</f>
        <v>14:00:59.344</v>
      </c>
      <c r="U638" t="str">
        <f t="shared" si="27"/>
        <v>ad5732</v>
      </c>
      <c r="V638">
        <v>0</v>
      </c>
      <c r="W638">
        <v>0</v>
      </c>
      <c r="X638">
        <v>1</v>
      </c>
      <c r="Z638">
        <v>0</v>
      </c>
      <c r="AA638">
        <v>9</v>
      </c>
      <c r="AB638">
        <v>3</v>
      </c>
      <c r="AC638">
        <v>0</v>
      </c>
      <c r="AD638">
        <v>10</v>
      </c>
      <c r="AE638">
        <v>0</v>
      </c>
      <c r="AF638">
        <v>3</v>
      </c>
      <c r="AG638">
        <v>2</v>
      </c>
      <c r="AH638">
        <v>0</v>
      </c>
      <c r="AI638" t="s">
        <v>1373</v>
      </c>
      <c r="AJ638">
        <v>39.279877999999997</v>
      </c>
      <c r="AK638" t="s">
        <v>1374</v>
      </c>
      <c r="AL638">
        <v>-77.221655999999996</v>
      </c>
      <c r="AM638">
        <v>100</v>
      </c>
      <c r="AN638">
        <v>8700</v>
      </c>
      <c r="AO638" t="s">
        <v>115</v>
      </c>
      <c r="AP638">
        <v>165</v>
      </c>
      <c r="AQ638">
        <v>88</v>
      </c>
      <c r="AR638">
        <v>0</v>
      </c>
      <c r="AZ638">
        <v>3614</v>
      </c>
      <c r="BA638">
        <v>1</v>
      </c>
      <c r="BB638" t="str">
        <f t="shared" si="29"/>
        <v xml:space="preserve">N959MJ  </v>
      </c>
      <c r="BC638">
        <v>1</v>
      </c>
      <c r="BE638">
        <v>0</v>
      </c>
      <c r="BF638">
        <v>0</v>
      </c>
      <c r="BG638">
        <v>0</v>
      </c>
      <c r="BH638">
        <v>9025</v>
      </c>
      <c r="BI638">
        <v>325</v>
      </c>
      <c r="BJ638">
        <v>1</v>
      </c>
      <c r="BK638">
        <v>1</v>
      </c>
      <c r="BL638">
        <v>1</v>
      </c>
      <c r="BM638">
        <v>0</v>
      </c>
      <c r="BP638">
        <v>0</v>
      </c>
      <c r="BQ638">
        <v>0</v>
      </c>
      <c r="BX638" t="str">
        <f>"14:00:59.742"</f>
        <v>14:00:59.742</v>
      </c>
      <c r="BY638" t="str">
        <f>"745031837"</f>
        <v>745031837</v>
      </c>
      <c r="CL638">
        <v>0</v>
      </c>
      <c r="CM638">
        <v>2</v>
      </c>
      <c r="CN638">
        <v>0</v>
      </c>
      <c r="CO638">
        <v>2</v>
      </c>
      <c r="CP638">
        <v>0</v>
      </c>
      <c r="CQ638">
        <v>7</v>
      </c>
      <c r="CR638" t="s">
        <v>116</v>
      </c>
      <c r="CS638">
        <v>147</v>
      </c>
      <c r="CT638">
        <v>0</v>
      </c>
      <c r="CU638" t="s">
        <v>117</v>
      </c>
      <c r="CV638" t="s">
        <v>118</v>
      </c>
      <c r="CY638">
        <v>4923765</v>
      </c>
      <c r="CZ638" t="s">
        <v>119</v>
      </c>
    </row>
    <row r="639" spans="1:104" x14ac:dyDescent="0.25">
      <c r="A639" t="str">
        <f>"14:01:00.836"</f>
        <v>14:01:00.836</v>
      </c>
      <c r="B639" t="s">
        <v>108</v>
      </c>
      <c r="C639" t="str">
        <f t="shared" si="28"/>
        <v>ffdfd3c0</v>
      </c>
      <c r="D639" t="s">
        <v>109</v>
      </c>
      <c r="E639">
        <v>4</v>
      </c>
      <c r="F639">
        <v>1004</v>
      </c>
      <c r="G639" t="s">
        <v>110</v>
      </c>
      <c r="J639" t="s">
        <v>111</v>
      </c>
      <c r="K639">
        <v>0</v>
      </c>
      <c r="L639">
        <v>3</v>
      </c>
      <c r="M639">
        <v>0</v>
      </c>
      <c r="N639">
        <v>2</v>
      </c>
      <c r="O639">
        <v>1</v>
      </c>
      <c r="P639">
        <v>0</v>
      </c>
      <c r="Q639">
        <v>0</v>
      </c>
      <c r="R639" t="s">
        <v>112</v>
      </c>
      <c r="S639" t="str">
        <f>"14:01:00.641"</f>
        <v>14:01:00.641</v>
      </c>
      <c r="T639" t="str">
        <f>"14:01:00.242"</f>
        <v>14:01:00.242</v>
      </c>
      <c r="U639" t="str">
        <f t="shared" si="27"/>
        <v>ad5732</v>
      </c>
      <c r="V639">
        <v>0</v>
      </c>
      <c r="W639">
        <v>0</v>
      </c>
      <c r="X639">
        <v>1</v>
      </c>
      <c r="Z639">
        <v>0</v>
      </c>
      <c r="AA639">
        <v>9</v>
      </c>
      <c r="AB639">
        <v>3</v>
      </c>
      <c r="AC639">
        <v>0</v>
      </c>
      <c r="AD639">
        <v>10</v>
      </c>
      <c r="AE639">
        <v>0</v>
      </c>
      <c r="AF639">
        <v>3</v>
      </c>
      <c r="AG639">
        <v>2</v>
      </c>
      <c r="AH639">
        <v>0</v>
      </c>
      <c r="AI639" t="s">
        <v>1375</v>
      </c>
      <c r="AJ639">
        <v>39.280220999999997</v>
      </c>
      <c r="AK639" t="s">
        <v>1376</v>
      </c>
      <c r="AL639">
        <v>-77.220754999999997</v>
      </c>
      <c r="AM639">
        <v>100</v>
      </c>
      <c r="AN639">
        <v>8700</v>
      </c>
      <c r="AO639" t="s">
        <v>115</v>
      </c>
      <c r="AP639">
        <v>165</v>
      </c>
      <c r="AQ639">
        <v>88</v>
      </c>
      <c r="AR639">
        <v>0</v>
      </c>
      <c r="AZ639">
        <v>3614</v>
      </c>
      <c r="BA639">
        <v>1</v>
      </c>
      <c r="BB639" t="str">
        <f t="shared" si="29"/>
        <v xml:space="preserve">N959MJ  </v>
      </c>
      <c r="BC639">
        <v>1</v>
      </c>
      <c r="BE639">
        <v>0</v>
      </c>
      <c r="BF639">
        <v>0</v>
      </c>
      <c r="BG639">
        <v>0</v>
      </c>
      <c r="BH639">
        <v>9025</v>
      </c>
      <c r="BI639">
        <v>325</v>
      </c>
      <c r="BJ639">
        <v>1</v>
      </c>
      <c r="BK639">
        <v>1</v>
      </c>
      <c r="BL639">
        <v>1</v>
      </c>
      <c r="BM639">
        <v>0</v>
      </c>
      <c r="BP639">
        <v>0</v>
      </c>
      <c r="BQ639">
        <v>0</v>
      </c>
      <c r="BX639" t="str">
        <f>"14:01:00.641"</f>
        <v>14:01:00.641</v>
      </c>
      <c r="BY639" t="str">
        <f>"644524651"</f>
        <v>644524651</v>
      </c>
      <c r="CL639">
        <v>0</v>
      </c>
      <c r="CM639">
        <v>2</v>
      </c>
      <c r="CN639">
        <v>0</v>
      </c>
      <c r="CO639">
        <v>2</v>
      </c>
      <c r="CP639">
        <v>0</v>
      </c>
      <c r="CQ639">
        <v>7</v>
      </c>
      <c r="CR639" t="s">
        <v>116</v>
      </c>
      <c r="CS639">
        <v>525</v>
      </c>
      <c r="CT639">
        <v>1</v>
      </c>
      <c r="CU639" t="s">
        <v>140</v>
      </c>
      <c r="CV639" t="s">
        <v>141</v>
      </c>
      <c r="CY639">
        <v>8095078</v>
      </c>
      <c r="CZ639" t="s">
        <v>119</v>
      </c>
    </row>
    <row r="640" spans="1:104" x14ac:dyDescent="0.25">
      <c r="A640" t="str">
        <f>"14:01:01.891"</f>
        <v>14:01:01.891</v>
      </c>
      <c r="B640" t="s">
        <v>108</v>
      </c>
      <c r="C640" t="str">
        <f t="shared" si="28"/>
        <v>ffdfd3c0</v>
      </c>
      <c r="D640" t="s">
        <v>109</v>
      </c>
      <c r="E640">
        <v>4</v>
      </c>
      <c r="F640">
        <v>1004</v>
      </c>
      <c r="G640" t="s">
        <v>110</v>
      </c>
      <c r="J640" t="s">
        <v>111</v>
      </c>
      <c r="K640">
        <v>0</v>
      </c>
      <c r="L640">
        <v>3</v>
      </c>
      <c r="M640">
        <v>0</v>
      </c>
      <c r="N640">
        <v>2</v>
      </c>
      <c r="O640">
        <v>1</v>
      </c>
      <c r="P640">
        <v>0</v>
      </c>
      <c r="Q640">
        <v>0</v>
      </c>
      <c r="R640" t="s">
        <v>112</v>
      </c>
      <c r="S640" t="str">
        <f>"14:01:01.703"</f>
        <v>14:01:01.703</v>
      </c>
      <c r="T640" t="str">
        <f>"14:01:01.203"</f>
        <v>14:01:01.203</v>
      </c>
      <c r="U640" t="str">
        <f t="shared" si="27"/>
        <v>ad5732</v>
      </c>
      <c r="V640">
        <v>0</v>
      </c>
      <c r="W640">
        <v>0</v>
      </c>
      <c r="X640">
        <v>1</v>
      </c>
      <c r="Z640">
        <v>0</v>
      </c>
      <c r="AA640">
        <v>9</v>
      </c>
      <c r="AB640">
        <v>3</v>
      </c>
      <c r="AC640">
        <v>0</v>
      </c>
      <c r="AD640">
        <v>10</v>
      </c>
      <c r="AE640">
        <v>0</v>
      </c>
      <c r="AF640">
        <v>3</v>
      </c>
      <c r="AG640">
        <v>2</v>
      </c>
      <c r="AH640">
        <v>0</v>
      </c>
      <c r="AI640" t="s">
        <v>1377</v>
      </c>
      <c r="AJ640">
        <v>39.280693999999997</v>
      </c>
      <c r="AK640" t="s">
        <v>1378</v>
      </c>
      <c r="AL640">
        <v>-77.219682000000006</v>
      </c>
      <c r="AM640">
        <v>100</v>
      </c>
      <c r="AN640">
        <v>8700</v>
      </c>
      <c r="AO640" t="s">
        <v>115</v>
      </c>
      <c r="AP640">
        <v>165</v>
      </c>
      <c r="AQ640">
        <v>87</v>
      </c>
      <c r="AR640">
        <v>64</v>
      </c>
      <c r="AZ640">
        <v>3614</v>
      </c>
      <c r="BA640">
        <v>1</v>
      </c>
      <c r="BB640" t="str">
        <f t="shared" si="29"/>
        <v xml:space="preserve">N959MJ  </v>
      </c>
      <c r="BC640">
        <v>1</v>
      </c>
      <c r="BE640">
        <v>0</v>
      </c>
      <c r="BF640">
        <v>0</v>
      </c>
      <c r="BG640">
        <v>0</v>
      </c>
      <c r="BH640">
        <v>9025</v>
      </c>
      <c r="BI640">
        <v>325</v>
      </c>
      <c r="BJ640">
        <v>1</v>
      </c>
      <c r="BK640">
        <v>1</v>
      </c>
      <c r="BL640">
        <v>1</v>
      </c>
      <c r="BM640">
        <v>0</v>
      </c>
      <c r="BP640">
        <v>0</v>
      </c>
      <c r="BQ640">
        <v>0</v>
      </c>
      <c r="BX640" t="str">
        <f>"14:01:01.703"</f>
        <v>14:01:01.703</v>
      </c>
      <c r="BY640" t="str">
        <f>"704589949"</f>
        <v>704589949</v>
      </c>
      <c r="CL640">
        <v>0</v>
      </c>
      <c r="CM640">
        <v>2</v>
      </c>
      <c r="CN640">
        <v>0</v>
      </c>
      <c r="CO640">
        <v>2</v>
      </c>
      <c r="CP640">
        <v>0</v>
      </c>
      <c r="CQ640">
        <v>7</v>
      </c>
      <c r="CR640" t="s">
        <v>116</v>
      </c>
      <c r="CS640">
        <v>147</v>
      </c>
      <c r="CT640">
        <v>0</v>
      </c>
      <c r="CU640" t="s">
        <v>117</v>
      </c>
      <c r="CV640" t="s">
        <v>118</v>
      </c>
      <c r="CY640">
        <v>4926748</v>
      </c>
      <c r="CZ640" t="s">
        <v>119</v>
      </c>
    </row>
    <row r="641" spans="1:104" x14ac:dyDescent="0.25">
      <c r="A641" t="str">
        <f>"14:01:02.852"</f>
        <v>14:01:02.852</v>
      </c>
      <c r="B641" t="s">
        <v>108</v>
      </c>
      <c r="C641" t="str">
        <f t="shared" si="28"/>
        <v>ffdfd3c0</v>
      </c>
      <c r="D641" t="s">
        <v>109</v>
      </c>
      <c r="E641">
        <v>4</v>
      </c>
      <c r="F641">
        <v>1004</v>
      </c>
      <c r="G641" t="s">
        <v>110</v>
      </c>
      <c r="J641" t="s">
        <v>111</v>
      </c>
      <c r="K641">
        <v>0</v>
      </c>
      <c r="L641">
        <v>3</v>
      </c>
      <c r="M641">
        <v>0</v>
      </c>
      <c r="N641">
        <v>2</v>
      </c>
      <c r="O641">
        <v>1</v>
      </c>
      <c r="P641">
        <v>0</v>
      </c>
      <c r="Q641">
        <v>0</v>
      </c>
      <c r="R641" t="s">
        <v>112</v>
      </c>
      <c r="S641" t="str">
        <f>"14:01:02.680"</f>
        <v>14:01:02.680</v>
      </c>
      <c r="T641" t="str">
        <f>"14:01:02.281"</f>
        <v>14:01:02.281</v>
      </c>
      <c r="U641" t="str">
        <f t="shared" si="27"/>
        <v>ad5732</v>
      </c>
      <c r="V641">
        <v>0</v>
      </c>
      <c r="W641">
        <v>0</v>
      </c>
      <c r="X641">
        <v>1</v>
      </c>
      <c r="Z641">
        <v>0</v>
      </c>
      <c r="AA641">
        <v>9</v>
      </c>
      <c r="AB641">
        <v>3</v>
      </c>
      <c r="AC641">
        <v>0</v>
      </c>
      <c r="AD641">
        <v>10</v>
      </c>
      <c r="AE641">
        <v>0</v>
      </c>
      <c r="AF641">
        <v>3</v>
      </c>
      <c r="AG641">
        <v>2</v>
      </c>
      <c r="AH641">
        <v>0</v>
      </c>
      <c r="AI641" t="s">
        <v>1379</v>
      </c>
      <c r="AJ641">
        <v>39.281058000000002</v>
      </c>
      <c r="AK641" t="s">
        <v>1380</v>
      </c>
      <c r="AL641">
        <v>-77.218716000000001</v>
      </c>
      <c r="AM641">
        <v>100</v>
      </c>
      <c r="AN641">
        <v>8700</v>
      </c>
      <c r="AO641" t="s">
        <v>115</v>
      </c>
      <c r="AP641">
        <v>166</v>
      </c>
      <c r="AQ641">
        <v>86</v>
      </c>
      <c r="AR641">
        <v>64</v>
      </c>
      <c r="AZ641">
        <v>3614</v>
      </c>
      <c r="BA641">
        <v>1</v>
      </c>
      <c r="BB641" t="str">
        <f t="shared" si="29"/>
        <v xml:space="preserve">N959MJ  </v>
      </c>
      <c r="BC641">
        <v>1</v>
      </c>
      <c r="BE641">
        <v>0</v>
      </c>
      <c r="BF641">
        <v>0</v>
      </c>
      <c r="BG641">
        <v>0</v>
      </c>
      <c r="BH641">
        <v>9025</v>
      </c>
      <c r="BI641">
        <v>325</v>
      </c>
      <c r="BJ641">
        <v>1</v>
      </c>
      <c r="BK641">
        <v>1</v>
      </c>
      <c r="BL641">
        <v>1</v>
      </c>
      <c r="BM641">
        <v>0</v>
      </c>
      <c r="BP641">
        <v>0</v>
      </c>
      <c r="BQ641">
        <v>0</v>
      </c>
      <c r="BX641" t="str">
        <f>"14:01:02.688"</f>
        <v>14:01:02.688</v>
      </c>
      <c r="BY641" t="str">
        <f>"684365655"</f>
        <v>684365655</v>
      </c>
      <c r="CL641">
        <v>0</v>
      </c>
      <c r="CM641">
        <v>2</v>
      </c>
      <c r="CN641">
        <v>0</v>
      </c>
      <c r="CO641">
        <v>2</v>
      </c>
      <c r="CP641">
        <v>0</v>
      </c>
      <c r="CQ641">
        <v>7</v>
      </c>
      <c r="CR641" t="s">
        <v>116</v>
      </c>
      <c r="CS641">
        <v>525</v>
      </c>
      <c r="CT641">
        <v>1</v>
      </c>
      <c r="CU641" t="s">
        <v>140</v>
      </c>
      <c r="CV641" t="s">
        <v>141</v>
      </c>
      <c r="CY641">
        <v>8097742</v>
      </c>
      <c r="CZ641" t="s">
        <v>119</v>
      </c>
    </row>
    <row r="642" spans="1:104" x14ac:dyDescent="0.25">
      <c r="A642" t="str">
        <f>"14:01:03.813"</f>
        <v>14:01:03.813</v>
      </c>
      <c r="B642" t="s">
        <v>108</v>
      </c>
      <c r="C642" t="str">
        <f t="shared" si="28"/>
        <v>ffdfd3c0</v>
      </c>
      <c r="D642" t="s">
        <v>109</v>
      </c>
      <c r="E642">
        <v>4</v>
      </c>
      <c r="F642">
        <v>1004</v>
      </c>
      <c r="G642" t="s">
        <v>110</v>
      </c>
      <c r="J642" t="s">
        <v>111</v>
      </c>
      <c r="K642">
        <v>0</v>
      </c>
      <c r="L642">
        <v>3</v>
      </c>
      <c r="M642">
        <v>0</v>
      </c>
      <c r="N642">
        <v>2</v>
      </c>
      <c r="O642">
        <v>1</v>
      </c>
      <c r="P642">
        <v>0</v>
      </c>
      <c r="Q642">
        <v>0</v>
      </c>
      <c r="R642" t="s">
        <v>112</v>
      </c>
      <c r="S642" t="str">
        <f>"14:01:03.633"</f>
        <v>14:01:03.633</v>
      </c>
      <c r="T642" t="str">
        <f>"14:01:03.133"</f>
        <v>14:01:03.133</v>
      </c>
      <c r="U642" t="str">
        <f t="shared" ref="U642:U705" si="30">"ad5732"</f>
        <v>ad5732</v>
      </c>
      <c r="V642">
        <v>0</v>
      </c>
      <c r="W642">
        <v>0</v>
      </c>
      <c r="X642">
        <v>1</v>
      </c>
      <c r="Z642">
        <v>0</v>
      </c>
      <c r="AA642">
        <v>9</v>
      </c>
      <c r="AB642">
        <v>3</v>
      </c>
      <c r="AC642">
        <v>0</v>
      </c>
      <c r="AD642">
        <v>10</v>
      </c>
      <c r="AE642">
        <v>0</v>
      </c>
      <c r="AF642">
        <v>3</v>
      </c>
      <c r="AG642">
        <v>2</v>
      </c>
      <c r="AH642">
        <v>0</v>
      </c>
      <c r="AI642" t="s">
        <v>1381</v>
      </c>
      <c r="AJ642">
        <v>39.281422999999997</v>
      </c>
      <c r="AK642" t="s">
        <v>1382</v>
      </c>
      <c r="AL642">
        <v>-77.217771999999997</v>
      </c>
      <c r="AM642">
        <v>100</v>
      </c>
      <c r="AN642">
        <v>8700</v>
      </c>
      <c r="AO642" t="s">
        <v>115</v>
      </c>
      <c r="AP642">
        <v>166</v>
      </c>
      <c r="AQ642">
        <v>85</v>
      </c>
      <c r="AR642">
        <v>64</v>
      </c>
      <c r="AZ642">
        <v>3614</v>
      </c>
      <c r="BA642">
        <v>1</v>
      </c>
      <c r="BB642" t="str">
        <f t="shared" si="29"/>
        <v xml:space="preserve">N959MJ  </v>
      </c>
      <c r="BC642">
        <v>1</v>
      </c>
      <c r="BE642">
        <v>0</v>
      </c>
      <c r="BF642">
        <v>0</v>
      </c>
      <c r="BG642">
        <v>0</v>
      </c>
      <c r="BH642">
        <v>9025</v>
      </c>
      <c r="BI642">
        <v>325</v>
      </c>
      <c r="BJ642">
        <v>1</v>
      </c>
      <c r="BK642">
        <v>1</v>
      </c>
      <c r="BL642">
        <v>1</v>
      </c>
      <c r="BM642">
        <v>0</v>
      </c>
      <c r="BP642">
        <v>0</v>
      </c>
      <c r="BQ642">
        <v>0</v>
      </c>
      <c r="BX642" t="str">
        <f>"14:01:03.633"</f>
        <v>14:01:03.633</v>
      </c>
      <c r="BY642" t="str">
        <f>"636291538"</f>
        <v>636291538</v>
      </c>
      <c r="CL642">
        <v>0</v>
      </c>
      <c r="CM642">
        <v>2</v>
      </c>
      <c r="CN642">
        <v>0</v>
      </c>
      <c r="CO642">
        <v>2</v>
      </c>
      <c r="CP642">
        <v>0</v>
      </c>
      <c r="CQ642">
        <v>7</v>
      </c>
      <c r="CR642" t="s">
        <v>116</v>
      </c>
      <c r="CS642">
        <v>525</v>
      </c>
      <c r="CT642">
        <v>2</v>
      </c>
      <c r="CU642" t="s">
        <v>140</v>
      </c>
      <c r="CV642" t="s">
        <v>141</v>
      </c>
      <c r="CY642">
        <v>14526031</v>
      </c>
      <c r="CZ642" t="s">
        <v>119</v>
      </c>
    </row>
    <row r="643" spans="1:104" x14ac:dyDescent="0.25">
      <c r="A643" t="str">
        <f>"14:01:04.867"</f>
        <v>14:01:04.867</v>
      </c>
      <c r="B643" t="s">
        <v>108</v>
      </c>
      <c r="C643" t="str">
        <f t="shared" si="28"/>
        <v>ffdfd3c0</v>
      </c>
      <c r="D643" t="s">
        <v>109</v>
      </c>
      <c r="E643">
        <v>4</v>
      </c>
      <c r="F643">
        <v>1004</v>
      </c>
      <c r="G643" t="s">
        <v>110</v>
      </c>
      <c r="J643" t="s">
        <v>111</v>
      </c>
      <c r="K643">
        <v>0</v>
      </c>
      <c r="L643">
        <v>3</v>
      </c>
      <c r="M643">
        <v>0</v>
      </c>
      <c r="N643">
        <v>2</v>
      </c>
      <c r="O643">
        <v>1</v>
      </c>
      <c r="P643">
        <v>0</v>
      </c>
      <c r="Q643">
        <v>0</v>
      </c>
      <c r="R643" t="s">
        <v>112</v>
      </c>
      <c r="S643" t="str">
        <f>"14:01:04.695"</f>
        <v>14:01:04.695</v>
      </c>
      <c r="T643" t="str">
        <f>"14:01:04.195"</f>
        <v>14:01:04.195</v>
      </c>
      <c r="U643" t="str">
        <f t="shared" si="30"/>
        <v>ad5732</v>
      </c>
      <c r="V643">
        <v>0</v>
      </c>
      <c r="W643">
        <v>0</v>
      </c>
      <c r="X643">
        <v>1</v>
      </c>
      <c r="Z643">
        <v>0</v>
      </c>
      <c r="AA643">
        <v>9</v>
      </c>
      <c r="AB643">
        <v>3</v>
      </c>
      <c r="AC643">
        <v>0</v>
      </c>
      <c r="AD643">
        <v>10</v>
      </c>
      <c r="AE643">
        <v>0</v>
      </c>
      <c r="AF643">
        <v>3</v>
      </c>
      <c r="AG643">
        <v>2</v>
      </c>
      <c r="AH643">
        <v>0</v>
      </c>
      <c r="AI643" t="s">
        <v>1383</v>
      </c>
      <c r="AJ643">
        <v>39.281852000000001</v>
      </c>
      <c r="AK643" t="s">
        <v>1384</v>
      </c>
      <c r="AL643">
        <v>-77.216699000000006</v>
      </c>
      <c r="AM643">
        <v>100</v>
      </c>
      <c r="AN643">
        <v>8700</v>
      </c>
      <c r="AO643" t="s">
        <v>115</v>
      </c>
      <c r="AP643">
        <v>167</v>
      </c>
      <c r="AQ643">
        <v>84</v>
      </c>
      <c r="AR643">
        <v>64</v>
      </c>
      <c r="AZ643">
        <v>3614</v>
      </c>
      <c r="BA643">
        <v>1</v>
      </c>
      <c r="BB643" t="str">
        <f t="shared" si="29"/>
        <v xml:space="preserve">N959MJ  </v>
      </c>
      <c r="BC643">
        <v>1</v>
      </c>
      <c r="BE643">
        <v>0</v>
      </c>
      <c r="BF643">
        <v>0</v>
      </c>
      <c r="BG643">
        <v>0</v>
      </c>
      <c r="BH643">
        <v>9025</v>
      </c>
      <c r="BI643">
        <v>325</v>
      </c>
      <c r="BJ643">
        <v>1</v>
      </c>
      <c r="BK643">
        <v>1</v>
      </c>
      <c r="BL643">
        <v>1</v>
      </c>
      <c r="BM643">
        <v>0</v>
      </c>
      <c r="BP643">
        <v>0</v>
      </c>
      <c r="BQ643">
        <v>0</v>
      </c>
      <c r="BX643" t="str">
        <f>"14:01:04.695"</f>
        <v>14:01:04.695</v>
      </c>
      <c r="BY643" t="str">
        <f>"696353435"</f>
        <v>696353435</v>
      </c>
      <c r="CL643">
        <v>0</v>
      </c>
      <c r="CM643">
        <v>2</v>
      </c>
      <c r="CN643">
        <v>0</v>
      </c>
      <c r="CO643">
        <v>2</v>
      </c>
      <c r="CP643">
        <v>0</v>
      </c>
      <c r="CQ643">
        <v>7</v>
      </c>
      <c r="CR643" t="s">
        <v>116</v>
      </c>
      <c r="CS643">
        <v>525</v>
      </c>
      <c r="CT643">
        <v>1</v>
      </c>
      <c r="CU643" t="s">
        <v>140</v>
      </c>
      <c r="CV643" t="s">
        <v>141</v>
      </c>
      <c r="CY643">
        <v>8100535</v>
      </c>
      <c r="CZ643" t="s">
        <v>119</v>
      </c>
    </row>
    <row r="644" spans="1:104" x14ac:dyDescent="0.25">
      <c r="A644" t="str">
        <f>"14:01:05.828"</f>
        <v>14:01:05.828</v>
      </c>
      <c r="B644" t="s">
        <v>108</v>
      </c>
      <c r="C644" t="str">
        <f t="shared" si="28"/>
        <v>ffdfd3c0</v>
      </c>
      <c r="D644" t="s">
        <v>109</v>
      </c>
      <c r="E644">
        <v>4</v>
      </c>
      <c r="F644">
        <v>1004</v>
      </c>
      <c r="G644" t="s">
        <v>110</v>
      </c>
      <c r="J644" t="s">
        <v>111</v>
      </c>
      <c r="K644">
        <v>0</v>
      </c>
      <c r="L644">
        <v>3</v>
      </c>
      <c r="M644">
        <v>0</v>
      </c>
      <c r="N644">
        <v>2</v>
      </c>
      <c r="O644">
        <v>1</v>
      </c>
      <c r="P644">
        <v>0</v>
      </c>
      <c r="Q644">
        <v>0</v>
      </c>
      <c r="R644" t="s">
        <v>112</v>
      </c>
      <c r="S644" t="str">
        <f>"14:01:05.633"</f>
        <v>14:01:05.633</v>
      </c>
      <c r="T644" t="str">
        <f>"14:01:05.234"</f>
        <v>14:01:05.234</v>
      </c>
      <c r="U644" t="str">
        <f t="shared" si="30"/>
        <v>ad5732</v>
      </c>
      <c r="V644">
        <v>0</v>
      </c>
      <c r="W644">
        <v>0</v>
      </c>
      <c r="X644">
        <v>1</v>
      </c>
      <c r="Z644">
        <v>0</v>
      </c>
      <c r="AA644">
        <v>9</v>
      </c>
      <c r="AB644">
        <v>3</v>
      </c>
      <c r="AC644">
        <v>0</v>
      </c>
      <c r="AD644">
        <v>10</v>
      </c>
      <c r="AE644">
        <v>0</v>
      </c>
      <c r="AF644">
        <v>3</v>
      </c>
      <c r="AG644">
        <v>2</v>
      </c>
      <c r="AH644">
        <v>0</v>
      </c>
      <c r="AI644" t="s">
        <v>1385</v>
      </c>
      <c r="AJ644">
        <v>39.282217000000003</v>
      </c>
      <c r="AK644" t="s">
        <v>1386</v>
      </c>
      <c r="AL644">
        <v>-77.215818999999996</v>
      </c>
      <c r="AM644">
        <v>100</v>
      </c>
      <c r="AN644">
        <v>8700</v>
      </c>
      <c r="AO644" t="s">
        <v>115</v>
      </c>
      <c r="AP644">
        <v>167</v>
      </c>
      <c r="AQ644">
        <v>84</v>
      </c>
      <c r="AR644">
        <v>0</v>
      </c>
      <c r="AZ644">
        <v>3614</v>
      </c>
      <c r="BA644">
        <v>1</v>
      </c>
      <c r="BB644" t="str">
        <f t="shared" si="29"/>
        <v xml:space="preserve">N959MJ  </v>
      </c>
      <c r="BC644">
        <v>1</v>
      </c>
      <c r="BE644">
        <v>0</v>
      </c>
      <c r="BF644">
        <v>0</v>
      </c>
      <c r="BG644">
        <v>0</v>
      </c>
      <c r="BH644">
        <v>9025</v>
      </c>
      <c r="BI644">
        <v>325</v>
      </c>
      <c r="BJ644">
        <v>1</v>
      </c>
      <c r="BK644">
        <v>1</v>
      </c>
      <c r="BL644">
        <v>1</v>
      </c>
      <c r="BM644">
        <v>0</v>
      </c>
      <c r="BP644">
        <v>0</v>
      </c>
      <c r="BQ644">
        <v>0</v>
      </c>
      <c r="BX644" t="str">
        <f>"14:01:05.641"</f>
        <v>14:01:05.641</v>
      </c>
      <c r="BY644" t="str">
        <f>"640087165"</f>
        <v>640087165</v>
      </c>
      <c r="CL644">
        <v>0</v>
      </c>
      <c r="CM644">
        <v>2</v>
      </c>
      <c r="CN644">
        <v>0</v>
      </c>
      <c r="CO644">
        <v>2</v>
      </c>
      <c r="CP644">
        <v>0</v>
      </c>
      <c r="CQ644">
        <v>7</v>
      </c>
      <c r="CR644" t="s">
        <v>116</v>
      </c>
      <c r="CS644">
        <v>525</v>
      </c>
      <c r="CT644">
        <v>2</v>
      </c>
      <c r="CU644" t="s">
        <v>140</v>
      </c>
      <c r="CV644" t="s">
        <v>141</v>
      </c>
      <c r="CY644">
        <v>14529128</v>
      </c>
      <c r="CZ644" t="s">
        <v>119</v>
      </c>
    </row>
    <row r="645" spans="1:104" x14ac:dyDescent="0.25">
      <c r="A645" t="str">
        <f>"14:01:06.734"</f>
        <v>14:01:06.734</v>
      </c>
      <c r="B645" t="s">
        <v>108</v>
      </c>
      <c r="C645" t="str">
        <f t="shared" si="28"/>
        <v>ffdfd3c0</v>
      </c>
      <c r="D645" t="s">
        <v>109</v>
      </c>
      <c r="E645">
        <v>4</v>
      </c>
      <c r="F645">
        <v>1004</v>
      </c>
      <c r="G645" t="s">
        <v>110</v>
      </c>
      <c r="J645" t="s">
        <v>111</v>
      </c>
      <c r="K645">
        <v>0</v>
      </c>
      <c r="L645">
        <v>3</v>
      </c>
      <c r="M645">
        <v>0</v>
      </c>
      <c r="N645">
        <v>2</v>
      </c>
      <c r="O645">
        <v>1</v>
      </c>
      <c r="P645">
        <v>0</v>
      </c>
      <c r="Q645">
        <v>0</v>
      </c>
      <c r="R645" t="s">
        <v>112</v>
      </c>
      <c r="S645" t="str">
        <f>"14:01:06.570"</f>
        <v>14:01:06.570</v>
      </c>
      <c r="T645" t="str">
        <f>"14:01:06.070"</f>
        <v>14:01:06.070</v>
      </c>
      <c r="U645" t="str">
        <f t="shared" si="30"/>
        <v>ad5732</v>
      </c>
      <c r="V645">
        <v>0</v>
      </c>
      <c r="W645">
        <v>0</v>
      </c>
      <c r="X645">
        <v>1</v>
      </c>
      <c r="Z645">
        <v>0</v>
      </c>
      <c r="AA645">
        <v>9</v>
      </c>
      <c r="AB645">
        <v>3</v>
      </c>
      <c r="AC645">
        <v>0</v>
      </c>
      <c r="AD645">
        <v>10</v>
      </c>
      <c r="AE645">
        <v>0</v>
      </c>
      <c r="AF645">
        <v>3</v>
      </c>
      <c r="AG645">
        <v>2</v>
      </c>
      <c r="AH645">
        <v>0</v>
      </c>
      <c r="AI645" t="s">
        <v>1387</v>
      </c>
      <c r="AJ645">
        <v>39.282603000000002</v>
      </c>
      <c r="AK645" t="s">
        <v>1388</v>
      </c>
      <c r="AL645">
        <v>-77.214788999999996</v>
      </c>
      <c r="AM645">
        <v>100</v>
      </c>
      <c r="AN645">
        <v>8700</v>
      </c>
      <c r="AO645" t="s">
        <v>115</v>
      </c>
      <c r="AP645">
        <v>168</v>
      </c>
      <c r="AQ645">
        <v>83</v>
      </c>
      <c r="AR645">
        <v>0</v>
      </c>
      <c r="AZ645">
        <v>3614</v>
      </c>
      <c r="BA645">
        <v>1</v>
      </c>
      <c r="BB645" t="str">
        <f t="shared" si="29"/>
        <v xml:space="preserve">N959MJ  </v>
      </c>
      <c r="BC645">
        <v>1</v>
      </c>
      <c r="BE645">
        <v>0</v>
      </c>
      <c r="BF645">
        <v>0</v>
      </c>
      <c r="BG645">
        <v>0</v>
      </c>
      <c r="BH645">
        <v>9025</v>
      </c>
      <c r="BI645">
        <v>325</v>
      </c>
      <c r="BJ645">
        <v>1</v>
      </c>
      <c r="BK645">
        <v>1</v>
      </c>
      <c r="BL645">
        <v>1</v>
      </c>
      <c r="BM645">
        <v>0</v>
      </c>
      <c r="BP645">
        <v>0</v>
      </c>
      <c r="BQ645">
        <v>0</v>
      </c>
      <c r="BX645" t="str">
        <f>"14:01:06.578"</f>
        <v>14:01:06.578</v>
      </c>
      <c r="BY645" t="str">
        <f>"577267160"</f>
        <v>577267160</v>
      </c>
      <c r="CL645">
        <v>0</v>
      </c>
      <c r="CM645">
        <v>2</v>
      </c>
      <c r="CN645">
        <v>0</v>
      </c>
      <c r="CO645">
        <v>2</v>
      </c>
      <c r="CP645">
        <v>0</v>
      </c>
      <c r="CQ645">
        <v>7</v>
      </c>
      <c r="CR645" t="s">
        <v>116</v>
      </c>
      <c r="CS645">
        <v>525</v>
      </c>
      <c r="CT645">
        <v>2</v>
      </c>
      <c r="CU645" t="s">
        <v>140</v>
      </c>
      <c r="CV645" t="s">
        <v>141</v>
      </c>
      <c r="CY645">
        <v>14530404</v>
      </c>
      <c r="CZ645" t="s">
        <v>119</v>
      </c>
    </row>
    <row r="646" spans="1:104" x14ac:dyDescent="0.25">
      <c r="A646" t="str">
        <f>"14:01:07.797"</f>
        <v>14:01:07.797</v>
      </c>
      <c r="B646" t="s">
        <v>108</v>
      </c>
      <c r="C646" t="str">
        <f t="shared" si="28"/>
        <v>ffdfd3c0</v>
      </c>
      <c r="D646" t="s">
        <v>109</v>
      </c>
      <c r="E646">
        <v>4</v>
      </c>
      <c r="F646">
        <v>1004</v>
      </c>
      <c r="G646" t="s">
        <v>110</v>
      </c>
      <c r="J646" t="s">
        <v>111</v>
      </c>
      <c r="K646">
        <v>0</v>
      </c>
      <c r="L646">
        <v>3</v>
      </c>
      <c r="M646">
        <v>0</v>
      </c>
      <c r="N646">
        <v>2</v>
      </c>
      <c r="O646">
        <v>1</v>
      </c>
      <c r="P646">
        <v>0</v>
      </c>
      <c r="Q646">
        <v>0</v>
      </c>
      <c r="R646" t="s">
        <v>112</v>
      </c>
      <c r="S646" t="str">
        <f>"14:01:07.594"</f>
        <v>14:01:07.594</v>
      </c>
      <c r="T646" t="str">
        <f>"14:01:07.195"</f>
        <v>14:01:07.195</v>
      </c>
      <c r="U646" t="str">
        <f t="shared" si="30"/>
        <v>ad5732</v>
      </c>
      <c r="V646">
        <v>0</v>
      </c>
      <c r="W646">
        <v>0</v>
      </c>
      <c r="X646">
        <v>1</v>
      </c>
      <c r="Z646">
        <v>0</v>
      </c>
      <c r="AA646">
        <v>9</v>
      </c>
      <c r="AB646">
        <v>3</v>
      </c>
      <c r="AC646">
        <v>0</v>
      </c>
      <c r="AD646">
        <v>10</v>
      </c>
      <c r="AE646">
        <v>0</v>
      </c>
      <c r="AF646">
        <v>3</v>
      </c>
      <c r="AG646">
        <v>2</v>
      </c>
      <c r="AH646">
        <v>0</v>
      </c>
      <c r="AI646" t="s">
        <v>1389</v>
      </c>
      <c r="AJ646">
        <v>39.282967999999997</v>
      </c>
      <c r="AK646" t="s">
        <v>1390</v>
      </c>
      <c r="AL646">
        <v>-77.213802000000001</v>
      </c>
      <c r="AM646">
        <v>100</v>
      </c>
      <c r="AN646">
        <v>8700</v>
      </c>
      <c r="AO646" t="s">
        <v>115</v>
      </c>
      <c r="AP646">
        <v>168</v>
      </c>
      <c r="AQ646">
        <v>82</v>
      </c>
      <c r="AR646">
        <v>0</v>
      </c>
      <c r="AZ646">
        <v>3614</v>
      </c>
      <c r="BA646">
        <v>1</v>
      </c>
      <c r="BB646" t="str">
        <f t="shared" si="29"/>
        <v xml:space="preserve">N959MJ  </v>
      </c>
      <c r="BC646">
        <v>1</v>
      </c>
      <c r="BE646">
        <v>0</v>
      </c>
      <c r="BF646">
        <v>0</v>
      </c>
      <c r="BG646">
        <v>0</v>
      </c>
      <c r="BH646">
        <v>9025</v>
      </c>
      <c r="BI646">
        <v>325</v>
      </c>
      <c r="BJ646">
        <v>1</v>
      </c>
      <c r="BK646">
        <v>1</v>
      </c>
      <c r="BL646">
        <v>1</v>
      </c>
      <c r="BM646">
        <v>0</v>
      </c>
      <c r="BP646">
        <v>0</v>
      </c>
      <c r="BQ646">
        <v>0</v>
      </c>
      <c r="BX646" t="str">
        <f>"14:01:07.602"</f>
        <v>14:01:07.602</v>
      </c>
      <c r="BY646" t="str">
        <f>"599648785"</f>
        <v>599648785</v>
      </c>
      <c r="CL646">
        <v>0</v>
      </c>
      <c r="CM646">
        <v>2</v>
      </c>
      <c r="CN646">
        <v>0</v>
      </c>
      <c r="CO646">
        <v>2</v>
      </c>
      <c r="CP646">
        <v>0</v>
      </c>
      <c r="CQ646">
        <v>7</v>
      </c>
      <c r="CR646" t="s">
        <v>116</v>
      </c>
      <c r="CS646">
        <v>147</v>
      </c>
      <c r="CT646">
        <v>0</v>
      </c>
      <c r="CU646" t="s">
        <v>117</v>
      </c>
      <c r="CV646" t="s">
        <v>118</v>
      </c>
      <c r="CY646">
        <v>4936188</v>
      </c>
      <c r="CZ646" t="s">
        <v>119</v>
      </c>
    </row>
    <row r="647" spans="1:104" x14ac:dyDescent="0.25">
      <c r="A647" t="str">
        <f>"14:01:08.805"</f>
        <v>14:01:08.805</v>
      </c>
      <c r="B647" t="s">
        <v>108</v>
      </c>
      <c r="C647" t="str">
        <f t="shared" si="28"/>
        <v>ffdfd3c0</v>
      </c>
      <c r="D647" t="s">
        <v>109</v>
      </c>
      <c r="E647">
        <v>4</v>
      </c>
      <c r="F647">
        <v>1004</v>
      </c>
      <c r="G647" t="s">
        <v>110</v>
      </c>
      <c r="J647" t="s">
        <v>111</v>
      </c>
      <c r="K647">
        <v>0</v>
      </c>
      <c r="L647">
        <v>3</v>
      </c>
      <c r="M647">
        <v>0</v>
      </c>
      <c r="N647">
        <v>2</v>
      </c>
      <c r="O647">
        <v>1</v>
      </c>
      <c r="P647">
        <v>0</v>
      </c>
      <c r="Q647">
        <v>0</v>
      </c>
      <c r="R647" t="s">
        <v>112</v>
      </c>
      <c r="S647" t="str">
        <f>"14:01:08.609"</f>
        <v>14:01:08.609</v>
      </c>
      <c r="T647" t="str">
        <f>"14:01:08.109"</f>
        <v>14:01:08.109</v>
      </c>
      <c r="U647" t="str">
        <f t="shared" si="30"/>
        <v>ad5732</v>
      </c>
      <c r="V647">
        <v>0</v>
      </c>
      <c r="W647">
        <v>0</v>
      </c>
      <c r="X647">
        <v>1</v>
      </c>
      <c r="Z647">
        <v>0</v>
      </c>
      <c r="AA647">
        <v>9</v>
      </c>
      <c r="AB647">
        <v>3</v>
      </c>
      <c r="AC647">
        <v>0</v>
      </c>
      <c r="AD647">
        <v>10</v>
      </c>
      <c r="AE647">
        <v>0</v>
      </c>
      <c r="AF647">
        <v>3</v>
      </c>
      <c r="AG647">
        <v>2</v>
      </c>
      <c r="AH647">
        <v>0</v>
      </c>
      <c r="AI647" t="s">
        <v>1391</v>
      </c>
      <c r="AJ647">
        <v>39.283332999999999</v>
      </c>
      <c r="AK647" t="s">
        <v>1392</v>
      </c>
      <c r="AL647">
        <v>-77.212772000000001</v>
      </c>
      <c r="AM647">
        <v>100</v>
      </c>
      <c r="AN647">
        <v>8700</v>
      </c>
      <c r="AO647" t="s">
        <v>115</v>
      </c>
      <c r="AP647">
        <v>169</v>
      </c>
      <c r="AQ647">
        <v>81</v>
      </c>
      <c r="AR647">
        <v>0</v>
      </c>
      <c r="AZ647">
        <v>3614</v>
      </c>
      <c r="BA647">
        <v>1</v>
      </c>
      <c r="BB647" t="str">
        <f t="shared" si="29"/>
        <v xml:space="preserve">N959MJ  </v>
      </c>
      <c r="BC647">
        <v>1</v>
      </c>
      <c r="BE647">
        <v>0</v>
      </c>
      <c r="BF647">
        <v>0</v>
      </c>
      <c r="BG647">
        <v>0</v>
      </c>
      <c r="BH647">
        <v>9025</v>
      </c>
      <c r="BI647">
        <v>325</v>
      </c>
      <c r="BJ647">
        <v>1</v>
      </c>
      <c r="BK647">
        <v>1</v>
      </c>
      <c r="BL647">
        <v>1</v>
      </c>
      <c r="BM647">
        <v>0</v>
      </c>
      <c r="BP647">
        <v>0</v>
      </c>
      <c r="BQ647">
        <v>0</v>
      </c>
      <c r="BX647" t="str">
        <f>"14:01:08.609"</f>
        <v>14:01:08.609</v>
      </c>
      <c r="BY647" t="str">
        <f>"612192990"</f>
        <v>612192990</v>
      </c>
      <c r="CL647">
        <v>0</v>
      </c>
      <c r="CM647">
        <v>2</v>
      </c>
      <c r="CN647">
        <v>0</v>
      </c>
      <c r="CO647">
        <v>2</v>
      </c>
      <c r="CP647">
        <v>0</v>
      </c>
      <c r="CQ647">
        <v>7</v>
      </c>
      <c r="CR647" t="s">
        <v>116</v>
      </c>
      <c r="CS647">
        <v>525</v>
      </c>
      <c r="CT647">
        <v>1</v>
      </c>
      <c r="CU647" t="s">
        <v>140</v>
      </c>
      <c r="CV647" t="s">
        <v>141</v>
      </c>
      <c r="CY647">
        <v>8105804</v>
      </c>
      <c r="CZ647" t="s">
        <v>119</v>
      </c>
    </row>
    <row r="648" spans="1:104" x14ac:dyDescent="0.25">
      <c r="A648" t="str">
        <f>"14:01:09.867"</f>
        <v>14:01:09.867</v>
      </c>
      <c r="B648" t="s">
        <v>108</v>
      </c>
      <c r="C648" t="str">
        <f t="shared" si="28"/>
        <v>ffdfd3c0</v>
      </c>
      <c r="D648" t="s">
        <v>109</v>
      </c>
      <c r="E648">
        <v>4</v>
      </c>
      <c r="F648">
        <v>1004</v>
      </c>
      <c r="G648" t="s">
        <v>110</v>
      </c>
      <c r="J648" t="s">
        <v>111</v>
      </c>
      <c r="K648">
        <v>0</v>
      </c>
      <c r="L648">
        <v>3</v>
      </c>
      <c r="M648">
        <v>0</v>
      </c>
      <c r="N648">
        <v>2</v>
      </c>
      <c r="O648">
        <v>1</v>
      </c>
      <c r="P648">
        <v>0</v>
      </c>
      <c r="Q648">
        <v>0</v>
      </c>
      <c r="R648" t="s">
        <v>112</v>
      </c>
      <c r="S648" t="str">
        <f>"14:01:09.672"</f>
        <v>14:01:09.672</v>
      </c>
      <c r="T648" t="str">
        <f>"14:01:09.273"</f>
        <v>14:01:09.273</v>
      </c>
      <c r="U648" t="str">
        <f t="shared" si="30"/>
        <v>ad5732</v>
      </c>
      <c r="V648">
        <v>0</v>
      </c>
      <c r="W648">
        <v>0</v>
      </c>
      <c r="X648">
        <v>1</v>
      </c>
      <c r="Z648">
        <v>0</v>
      </c>
      <c r="AA648">
        <v>9</v>
      </c>
      <c r="AB648">
        <v>3</v>
      </c>
      <c r="AC648">
        <v>0</v>
      </c>
      <c r="AD648">
        <v>10</v>
      </c>
      <c r="AE648">
        <v>0</v>
      </c>
      <c r="AF648">
        <v>3</v>
      </c>
      <c r="AG648">
        <v>2</v>
      </c>
      <c r="AH648">
        <v>0</v>
      </c>
      <c r="AI648" t="s">
        <v>1393</v>
      </c>
      <c r="AJ648">
        <v>39.283718999999998</v>
      </c>
      <c r="AK648" t="s">
        <v>1394</v>
      </c>
      <c r="AL648">
        <v>-77.211785000000006</v>
      </c>
      <c r="AM648">
        <v>100</v>
      </c>
      <c r="AN648">
        <v>8700</v>
      </c>
      <c r="AO648" t="s">
        <v>115</v>
      </c>
      <c r="AP648">
        <v>170</v>
      </c>
      <c r="AQ648">
        <v>80</v>
      </c>
      <c r="AR648">
        <v>0</v>
      </c>
      <c r="AZ648">
        <v>3614</v>
      </c>
      <c r="BA648">
        <v>1</v>
      </c>
      <c r="BB648" t="str">
        <f t="shared" si="29"/>
        <v xml:space="preserve">N959MJ  </v>
      </c>
      <c r="BC648">
        <v>1</v>
      </c>
      <c r="BE648">
        <v>0</v>
      </c>
      <c r="BF648">
        <v>0</v>
      </c>
      <c r="BG648">
        <v>0</v>
      </c>
      <c r="BH648">
        <v>9025</v>
      </c>
      <c r="BI648">
        <v>325</v>
      </c>
      <c r="BJ648">
        <v>1</v>
      </c>
      <c r="BK648">
        <v>1</v>
      </c>
      <c r="BL648">
        <v>1</v>
      </c>
      <c r="BM648">
        <v>0</v>
      </c>
      <c r="BP648">
        <v>0</v>
      </c>
      <c r="BQ648">
        <v>0</v>
      </c>
      <c r="BX648" t="str">
        <f>"14:01:09.672"</f>
        <v>14:01:09.672</v>
      </c>
      <c r="BY648" t="str">
        <f>"673896594"</f>
        <v>673896594</v>
      </c>
      <c r="CL648">
        <v>0</v>
      </c>
      <c r="CM648">
        <v>2</v>
      </c>
      <c r="CN648">
        <v>0</v>
      </c>
      <c r="CO648">
        <v>2</v>
      </c>
      <c r="CP648">
        <v>0</v>
      </c>
      <c r="CQ648">
        <v>7</v>
      </c>
      <c r="CR648" t="s">
        <v>116</v>
      </c>
      <c r="CS648">
        <v>147</v>
      </c>
      <c r="CT648">
        <v>3</v>
      </c>
      <c r="CU648" t="s">
        <v>117</v>
      </c>
      <c r="CV648" t="s">
        <v>118</v>
      </c>
      <c r="CY648">
        <v>49898</v>
      </c>
      <c r="CZ648" t="s">
        <v>119</v>
      </c>
    </row>
    <row r="649" spans="1:104" x14ac:dyDescent="0.25">
      <c r="A649" t="str">
        <f>"14:01:10.930"</f>
        <v>14:01:10.930</v>
      </c>
      <c r="B649" t="s">
        <v>108</v>
      </c>
      <c r="C649" t="str">
        <f t="shared" si="28"/>
        <v>ffdfd3c0</v>
      </c>
      <c r="D649" t="s">
        <v>109</v>
      </c>
      <c r="E649">
        <v>4</v>
      </c>
      <c r="F649">
        <v>1004</v>
      </c>
      <c r="G649" t="s">
        <v>110</v>
      </c>
      <c r="J649" t="s">
        <v>111</v>
      </c>
      <c r="K649">
        <v>0</v>
      </c>
      <c r="L649">
        <v>3</v>
      </c>
      <c r="M649">
        <v>0</v>
      </c>
      <c r="N649">
        <v>2</v>
      </c>
      <c r="O649">
        <v>1</v>
      </c>
      <c r="P649">
        <v>0</v>
      </c>
      <c r="Q649">
        <v>0</v>
      </c>
      <c r="R649" t="s">
        <v>112</v>
      </c>
      <c r="S649" t="str">
        <f>"14:01:10.734"</f>
        <v>14:01:10.734</v>
      </c>
      <c r="T649" t="str">
        <f>"14:01:10.234"</f>
        <v>14:01:10.234</v>
      </c>
      <c r="U649" t="str">
        <f t="shared" si="30"/>
        <v>ad5732</v>
      </c>
      <c r="V649">
        <v>0</v>
      </c>
      <c r="W649">
        <v>0</v>
      </c>
      <c r="X649">
        <v>1</v>
      </c>
      <c r="Z649">
        <v>0</v>
      </c>
      <c r="AA649">
        <v>9</v>
      </c>
      <c r="AB649">
        <v>3</v>
      </c>
      <c r="AC649">
        <v>0</v>
      </c>
      <c r="AD649">
        <v>10</v>
      </c>
      <c r="AE649">
        <v>0</v>
      </c>
      <c r="AF649">
        <v>3</v>
      </c>
      <c r="AG649">
        <v>2</v>
      </c>
      <c r="AH649">
        <v>0</v>
      </c>
      <c r="AI649" t="s">
        <v>1395</v>
      </c>
      <c r="AJ649">
        <v>39.284084</v>
      </c>
      <c r="AK649" t="s">
        <v>1396</v>
      </c>
      <c r="AL649">
        <v>-77.210669999999993</v>
      </c>
      <c r="AM649">
        <v>100</v>
      </c>
      <c r="AN649">
        <v>8700</v>
      </c>
      <c r="AO649" t="s">
        <v>115</v>
      </c>
      <c r="AP649">
        <v>170</v>
      </c>
      <c r="AQ649">
        <v>79</v>
      </c>
      <c r="AR649">
        <v>0</v>
      </c>
      <c r="AZ649">
        <v>3614</v>
      </c>
      <c r="BA649">
        <v>1</v>
      </c>
      <c r="BB649" t="str">
        <f t="shared" si="29"/>
        <v xml:space="preserve">N959MJ  </v>
      </c>
      <c r="BC649">
        <v>1</v>
      </c>
      <c r="BE649">
        <v>0</v>
      </c>
      <c r="BF649">
        <v>0</v>
      </c>
      <c r="BG649">
        <v>0</v>
      </c>
      <c r="BH649">
        <v>9025</v>
      </c>
      <c r="BI649">
        <v>325</v>
      </c>
      <c r="BJ649">
        <v>1</v>
      </c>
      <c r="BK649">
        <v>1</v>
      </c>
      <c r="BL649">
        <v>1</v>
      </c>
      <c r="BM649">
        <v>0</v>
      </c>
      <c r="BP649">
        <v>0</v>
      </c>
      <c r="BQ649">
        <v>0</v>
      </c>
      <c r="BX649" t="str">
        <f>"14:01:10.742"</f>
        <v>14:01:10.742</v>
      </c>
      <c r="BY649" t="str">
        <f>"738870770"</f>
        <v>738870770</v>
      </c>
      <c r="CL649">
        <v>0</v>
      </c>
      <c r="CM649">
        <v>2</v>
      </c>
      <c r="CN649">
        <v>0</v>
      </c>
      <c r="CO649">
        <v>2</v>
      </c>
      <c r="CP649">
        <v>0</v>
      </c>
      <c r="CQ649">
        <v>7</v>
      </c>
      <c r="CR649" t="s">
        <v>116</v>
      </c>
      <c r="CS649">
        <v>525</v>
      </c>
      <c r="CT649">
        <v>2</v>
      </c>
      <c r="CU649" t="s">
        <v>140</v>
      </c>
      <c r="CV649" t="s">
        <v>141</v>
      </c>
      <c r="CY649">
        <v>14536431</v>
      </c>
      <c r="CZ649" t="s">
        <v>119</v>
      </c>
    </row>
    <row r="650" spans="1:104" x14ac:dyDescent="0.25">
      <c r="A650" t="str">
        <f>"14:01:11.938"</f>
        <v>14:01:11.938</v>
      </c>
      <c r="B650" t="s">
        <v>108</v>
      </c>
      <c r="C650" t="str">
        <f t="shared" ref="C650:C713" si="31">"ffdfd3c0"</f>
        <v>ffdfd3c0</v>
      </c>
      <c r="D650" t="s">
        <v>109</v>
      </c>
      <c r="E650">
        <v>4</v>
      </c>
      <c r="F650">
        <v>1004</v>
      </c>
      <c r="G650" t="s">
        <v>110</v>
      </c>
      <c r="J650" t="s">
        <v>111</v>
      </c>
      <c r="K650">
        <v>0</v>
      </c>
      <c r="L650">
        <v>3</v>
      </c>
      <c r="M650">
        <v>0</v>
      </c>
      <c r="N650">
        <v>2</v>
      </c>
      <c r="O650">
        <v>1</v>
      </c>
      <c r="P650">
        <v>0</v>
      </c>
      <c r="Q650">
        <v>0</v>
      </c>
      <c r="R650" t="s">
        <v>112</v>
      </c>
      <c r="S650" t="str">
        <f>"14:01:11.719"</f>
        <v>14:01:11.719</v>
      </c>
      <c r="T650" t="str">
        <f>"14:01:10.820"</f>
        <v>14:01:10.820</v>
      </c>
      <c r="U650" t="str">
        <f t="shared" si="30"/>
        <v>ad5732</v>
      </c>
      <c r="V650">
        <v>0</v>
      </c>
      <c r="W650">
        <v>0</v>
      </c>
      <c r="X650">
        <v>1</v>
      </c>
      <c r="Z650">
        <v>0</v>
      </c>
      <c r="AA650">
        <v>9</v>
      </c>
      <c r="AB650">
        <v>3</v>
      </c>
      <c r="AC650">
        <v>0</v>
      </c>
      <c r="AD650">
        <v>10</v>
      </c>
      <c r="AE650">
        <v>0</v>
      </c>
      <c r="AF650">
        <v>3</v>
      </c>
      <c r="AG650">
        <v>2</v>
      </c>
      <c r="AH650">
        <v>0</v>
      </c>
      <c r="AI650" t="s">
        <v>1397</v>
      </c>
      <c r="AJ650">
        <v>39.284449000000002</v>
      </c>
      <c r="AK650" t="s">
        <v>1398</v>
      </c>
      <c r="AL650">
        <v>-77.209639999999993</v>
      </c>
      <c r="AM650">
        <v>100</v>
      </c>
      <c r="AN650">
        <v>8700</v>
      </c>
      <c r="AO650" t="s">
        <v>115</v>
      </c>
      <c r="AP650">
        <v>170</v>
      </c>
      <c r="AQ650">
        <v>79</v>
      </c>
      <c r="AR650">
        <v>0</v>
      </c>
      <c r="AZ650">
        <v>3614</v>
      </c>
      <c r="BA650">
        <v>1</v>
      </c>
      <c r="BB650" t="str">
        <f t="shared" ref="BB650:BB713" si="32">"N959MJ  "</f>
        <v xml:space="preserve">N959MJ  </v>
      </c>
      <c r="BC650">
        <v>1</v>
      </c>
      <c r="BE650">
        <v>0</v>
      </c>
      <c r="BF650">
        <v>0</v>
      </c>
      <c r="BG650">
        <v>0</v>
      </c>
      <c r="BH650">
        <v>9025</v>
      </c>
      <c r="BI650">
        <v>325</v>
      </c>
      <c r="BJ650">
        <v>1</v>
      </c>
      <c r="BK650">
        <v>1</v>
      </c>
      <c r="BL650">
        <v>1</v>
      </c>
      <c r="BM650">
        <v>0</v>
      </c>
      <c r="BP650">
        <v>0</v>
      </c>
      <c r="BQ650">
        <v>0</v>
      </c>
      <c r="BX650" t="str">
        <f>"14:01:11.727"</f>
        <v>14:01:11.727</v>
      </c>
      <c r="BY650" t="str">
        <f>"725206586"</f>
        <v>725206586</v>
      </c>
      <c r="CL650">
        <v>0</v>
      </c>
      <c r="CM650">
        <v>2</v>
      </c>
      <c r="CN650">
        <v>0</v>
      </c>
      <c r="CO650">
        <v>2</v>
      </c>
      <c r="CP650">
        <v>0</v>
      </c>
      <c r="CQ650">
        <v>7</v>
      </c>
      <c r="CR650" t="s">
        <v>116</v>
      </c>
      <c r="CS650">
        <v>147</v>
      </c>
      <c r="CT650">
        <v>3</v>
      </c>
      <c r="CU650" t="s">
        <v>117</v>
      </c>
      <c r="CV650" t="s">
        <v>118</v>
      </c>
      <c r="CY650">
        <v>53188</v>
      </c>
      <c r="CZ650" t="s">
        <v>119</v>
      </c>
    </row>
    <row r="651" spans="1:104" x14ac:dyDescent="0.25">
      <c r="A651" t="str">
        <f>"14:01:12.891"</f>
        <v>14:01:12.891</v>
      </c>
      <c r="B651" t="s">
        <v>108</v>
      </c>
      <c r="C651" t="str">
        <f t="shared" si="31"/>
        <v>ffdfd3c0</v>
      </c>
      <c r="D651" t="s">
        <v>109</v>
      </c>
      <c r="E651">
        <v>4</v>
      </c>
      <c r="F651">
        <v>1004</v>
      </c>
      <c r="G651" t="s">
        <v>110</v>
      </c>
      <c r="J651" t="s">
        <v>111</v>
      </c>
      <c r="K651">
        <v>0</v>
      </c>
      <c r="L651">
        <v>3</v>
      </c>
      <c r="M651">
        <v>0</v>
      </c>
      <c r="N651">
        <v>2</v>
      </c>
      <c r="O651">
        <v>1</v>
      </c>
      <c r="P651">
        <v>0</v>
      </c>
      <c r="Q651">
        <v>0</v>
      </c>
      <c r="R651" t="s">
        <v>112</v>
      </c>
      <c r="S651" t="str">
        <f>"14:01:12.695"</f>
        <v>14:01:12.695</v>
      </c>
      <c r="T651" t="str">
        <f>"14:01:12.297"</f>
        <v>14:01:12.297</v>
      </c>
      <c r="U651" t="str">
        <f t="shared" si="30"/>
        <v>ad5732</v>
      </c>
      <c r="V651">
        <v>0</v>
      </c>
      <c r="W651">
        <v>0</v>
      </c>
      <c r="X651">
        <v>1</v>
      </c>
      <c r="Z651">
        <v>0</v>
      </c>
      <c r="AA651">
        <v>9</v>
      </c>
      <c r="AB651">
        <v>3</v>
      </c>
      <c r="AC651">
        <v>0</v>
      </c>
      <c r="AD651">
        <v>10</v>
      </c>
      <c r="AE651">
        <v>0</v>
      </c>
      <c r="AF651">
        <v>3</v>
      </c>
      <c r="AG651">
        <v>2</v>
      </c>
      <c r="AH651">
        <v>0</v>
      </c>
      <c r="AI651" t="s">
        <v>1399</v>
      </c>
      <c r="AJ651">
        <v>39.284813</v>
      </c>
      <c r="AK651" t="s">
        <v>1400</v>
      </c>
      <c r="AL651">
        <v>-77.208630999999997</v>
      </c>
      <c r="AM651">
        <v>100</v>
      </c>
      <c r="AN651">
        <v>8700</v>
      </c>
      <c r="AO651" t="s">
        <v>115</v>
      </c>
      <c r="AP651">
        <v>171</v>
      </c>
      <c r="AQ651">
        <v>78</v>
      </c>
      <c r="AR651">
        <v>0</v>
      </c>
      <c r="AZ651">
        <v>3614</v>
      </c>
      <c r="BA651">
        <v>1</v>
      </c>
      <c r="BB651" t="str">
        <f t="shared" si="32"/>
        <v xml:space="preserve">N959MJ  </v>
      </c>
      <c r="BC651">
        <v>1</v>
      </c>
      <c r="BE651">
        <v>0</v>
      </c>
      <c r="BF651">
        <v>0</v>
      </c>
      <c r="BG651">
        <v>0</v>
      </c>
      <c r="BH651">
        <v>9025</v>
      </c>
      <c r="BI651">
        <v>325</v>
      </c>
      <c r="BJ651">
        <v>1</v>
      </c>
      <c r="BK651">
        <v>1</v>
      </c>
      <c r="BL651">
        <v>1</v>
      </c>
      <c r="BM651">
        <v>0</v>
      </c>
      <c r="BP651">
        <v>0</v>
      </c>
      <c r="BQ651">
        <v>0</v>
      </c>
      <c r="BX651" t="str">
        <f>"14:01:12.695"</f>
        <v>14:01:12.695</v>
      </c>
      <c r="BY651" t="str">
        <f>"698432038"</f>
        <v>698432038</v>
      </c>
      <c r="CL651">
        <v>0</v>
      </c>
      <c r="CM651">
        <v>2</v>
      </c>
      <c r="CN651">
        <v>0</v>
      </c>
      <c r="CO651">
        <v>2</v>
      </c>
      <c r="CP651">
        <v>0</v>
      </c>
      <c r="CQ651">
        <v>7</v>
      </c>
      <c r="CR651" t="s">
        <v>116</v>
      </c>
      <c r="CS651">
        <v>147</v>
      </c>
      <c r="CT651">
        <v>0</v>
      </c>
      <c r="CU651" t="s">
        <v>117</v>
      </c>
      <c r="CV651" t="s">
        <v>118</v>
      </c>
      <c r="CY651">
        <v>4944323</v>
      </c>
      <c r="CZ651" t="s">
        <v>119</v>
      </c>
    </row>
    <row r="652" spans="1:104" x14ac:dyDescent="0.25">
      <c r="A652" t="str">
        <f>"14:01:13.953"</f>
        <v>14:01:13.953</v>
      </c>
      <c r="B652" t="s">
        <v>108</v>
      </c>
      <c r="C652" t="str">
        <f t="shared" si="31"/>
        <v>ffdfd3c0</v>
      </c>
      <c r="D652" t="s">
        <v>109</v>
      </c>
      <c r="E652">
        <v>4</v>
      </c>
      <c r="F652">
        <v>1004</v>
      </c>
      <c r="G652" t="s">
        <v>110</v>
      </c>
      <c r="J652" t="s">
        <v>111</v>
      </c>
      <c r="K652">
        <v>0</v>
      </c>
      <c r="L652">
        <v>3</v>
      </c>
      <c r="M652">
        <v>0</v>
      </c>
      <c r="N652">
        <v>2</v>
      </c>
      <c r="O652">
        <v>1</v>
      </c>
      <c r="P652">
        <v>0</v>
      </c>
      <c r="Q652">
        <v>0</v>
      </c>
      <c r="R652" t="s">
        <v>112</v>
      </c>
      <c r="S652" t="str">
        <f>"14:01:13.766"</f>
        <v>14:01:13.766</v>
      </c>
      <c r="T652" t="str">
        <f>"14:01:13.266"</f>
        <v>14:01:13.266</v>
      </c>
      <c r="U652" t="str">
        <f t="shared" si="30"/>
        <v>ad5732</v>
      </c>
      <c r="V652">
        <v>0</v>
      </c>
      <c r="W652">
        <v>0</v>
      </c>
      <c r="X652">
        <v>1</v>
      </c>
      <c r="Z652">
        <v>0</v>
      </c>
      <c r="AA652">
        <v>9</v>
      </c>
      <c r="AB652">
        <v>3</v>
      </c>
      <c r="AC652">
        <v>0</v>
      </c>
      <c r="AD652">
        <v>10</v>
      </c>
      <c r="AE652">
        <v>0</v>
      </c>
      <c r="AF652">
        <v>3</v>
      </c>
      <c r="AG652">
        <v>2</v>
      </c>
      <c r="AH652">
        <v>0</v>
      </c>
      <c r="AI652" t="s">
        <v>1401</v>
      </c>
      <c r="AJ652">
        <v>39.285178000000002</v>
      </c>
      <c r="AK652" t="s">
        <v>1402</v>
      </c>
      <c r="AL652">
        <v>-77.207622999999998</v>
      </c>
      <c r="AM652">
        <v>100</v>
      </c>
      <c r="AN652">
        <v>8700</v>
      </c>
      <c r="AO652" t="s">
        <v>115</v>
      </c>
      <c r="AP652">
        <v>171</v>
      </c>
      <c r="AQ652">
        <v>77</v>
      </c>
      <c r="AR652">
        <v>0</v>
      </c>
      <c r="AZ652">
        <v>3614</v>
      </c>
      <c r="BA652">
        <v>1</v>
      </c>
      <c r="BB652" t="str">
        <f t="shared" si="32"/>
        <v xml:space="preserve">N959MJ  </v>
      </c>
      <c r="BC652">
        <v>1</v>
      </c>
      <c r="BE652">
        <v>0</v>
      </c>
      <c r="BF652">
        <v>0</v>
      </c>
      <c r="BG652">
        <v>0</v>
      </c>
      <c r="BH652">
        <v>9025</v>
      </c>
      <c r="BI652">
        <v>325</v>
      </c>
      <c r="BJ652">
        <v>1</v>
      </c>
      <c r="BK652">
        <v>1</v>
      </c>
      <c r="BL652">
        <v>1</v>
      </c>
      <c r="BM652">
        <v>0</v>
      </c>
      <c r="BP652">
        <v>0</v>
      </c>
      <c r="BQ652">
        <v>0</v>
      </c>
      <c r="BX652" t="str">
        <f>"14:01:13.773"</f>
        <v>14:01:13.773</v>
      </c>
      <c r="BY652" t="str">
        <f>"769959966"</f>
        <v>769959966</v>
      </c>
      <c r="CL652">
        <v>0</v>
      </c>
      <c r="CM652">
        <v>2</v>
      </c>
      <c r="CN652">
        <v>0</v>
      </c>
      <c r="CO652">
        <v>2</v>
      </c>
      <c r="CP652">
        <v>0</v>
      </c>
      <c r="CQ652">
        <v>7</v>
      </c>
      <c r="CR652" t="s">
        <v>116</v>
      </c>
      <c r="CS652">
        <v>525</v>
      </c>
      <c r="CT652">
        <v>1</v>
      </c>
      <c r="CU652" t="s">
        <v>140</v>
      </c>
      <c r="CV652" t="s">
        <v>141</v>
      </c>
      <c r="CY652">
        <v>8112711</v>
      </c>
      <c r="CZ652" t="s">
        <v>119</v>
      </c>
    </row>
    <row r="653" spans="1:104" x14ac:dyDescent="0.25">
      <c r="A653" t="str">
        <f>"14:01:14.914"</f>
        <v>14:01:14.914</v>
      </c>
      <c r="B653" t="s">
        <v>108</v>
      </c>
      <c r="C653" t="str">
        <f t="shared" si="31"/>
        <v>ffdfd3c0</v>
      </c>
      <c r="D653" t="s">
        <v>109</v>
      </c>
      <c r="E653">
        <v>4</v>
      </c>
      <c r="F653">
        <v>1004</v>
      </c>
      <c r="G653" t="s">
        <v>110</v>
      </c>
      <c r="J653" t="s">
        <v>111</v>
      </c>
      <c r="K653">
        <v>0</v>
      </c>
      <c r="L653">
        <v>3</v>
      </c>
      <c r="M653">
        <v>0</v>
      </c>
      <c r="N653">
        <v>2</v>
      </c>
      <c r="O653">
        <v>1</v>
      </c>
      <c r="P653">
        <v>0</v>
      </c>
      <c r="Q653">
        <v>0</v>
      </c>
      <c r="R653" t="s">
        <v>112</v>
      </c>
      <c r="S653" t="str">
        <f>"14:01:14.734"</f>
        <v>14:01:14.734</v>
      </c>
      <c r="T653" t="str">
        <f>"14:01:14.234"</f>
        <v>14:01:14.234</v>
      </c>
      <c r="U653" t="str">
        <f t="shared" si="30"/>
        <v>ad5732</v>
      </c>
      <c r="V653">
        <v>0</v>
      </c>
      <c r="W653">
        <v>0</v>
      </c>
      <c r="X653">
        <v>1</v>
      </c>
      <c r="Z653">
        <v>0</v>
      </c>
      <c r="AA653">
        <v>9</v>
      </c>
      <c r="AB653">
        <v>3</v>
      </c>
      <c r="AC653">
        <v>0</v>
      </c>
      <c r="AD653">
        <v>10</v>
      </c>
      <c r="AE653">
        <v>0</v>
      </c>
      <c r="AF653">
        <v>3</v>
      </c>
      <c r="AG653">
        <v>2</v>
      </c>
      <c r="AH653">
        <v>0</v>
      </c>
      <c r="AI653" t="s">
        <v>1403</v>
      </c>
      <c r="AJ653">
        <v>39.285542999999997</v>
      </c>
      <c r="AK653" t="s">
        <v>1404</v>
      </c>
      <c r="AL653">
        <v>-77.206592999999998</v>
      </c>
      <c r="AM653">
        <v>100</v>
      </c>
      <c r="AN653">
        <v>8700</v>
      </c>
      <c r="AO653" t="s">
        <v>115</v>
      </c>
      <c r="AP653">
        <v>171</v>
      </c>
      <c r="AQ653">
        <v>77</v>
      </c>
      <c r="AR653">
        <v>0</v>
      </c>
      <c r="AZ653">
        <v>3614</v>
      </c>
      <c r="BA653">
        <v>1</v>
      </c>
      <c r="BB653" t="str">
        <f t="shared" si="32"/>
        <v xml:space="preserve">N959MJ  </v>
      </c>
      <c r="BC653">
        <v>1</v>
      </c>
      <c r="BE653">
        <v>0</v>
      </c>
      <c r="BF653">
        <v>0</v>
      </c>
      <c r="BG653">
        <v>0</v>
      </c>
      <c r="BH653">
        <v>9025</v>
      </c>
      <c r="BI653">
        <v>325</v>
      </c>
      <c r="BJ653">
        <v>1</v>
      </c>
      <c r="BK653">
        <v>1</v>
      </c>
      <c r="BL653">
        <v>1</v>
      </c>
      <c r="BM653">
        <v>0</v>
      </c>
      <c r="BP653">
        <v>0</v>
      </c>
      <c r="BQ653">
        <v>0</v>
      </c>
      <c r="BX653" t="str">
        <f>"14:01:14.742"</f>
        <v>14:01:14.742</v>
      </c>
      <c r="BY653" t="str">
        <f>"741546994"</f>
        <v>741546994</v>
      </c>
      <c r="CL653">
        <v>0</v>
      </c>
      <c r="CM653">
        <v>2</v>
      </c>
      <c r="CN653">
        <v>0</v>
      </c>
      <c r="CO653">
        <v>2</v>
      </c>
      <c r="CP653">
        <v>0</v>
      </c>
      <c r="CQ653">
        <v>7</v>
      </c>
      <c r="CR653" t="s">
        <v>116</v>
      </c>
      <c r="CS653">
        <v>525</v>
      </c>
      <c r="CT653">
        <v>1</v>
      </c>
      <c r="CU653" t="s">
        <v>140</v>
      </c>
      <c r="CV653" t="s">
        <v>141</v>
      </c>
      <c r="CY653">
        <v>8114069</v>
      </c>
      <c r="CZ653" t="s">
        <v>119</v>
      </c>
    </row>
    <row r="654" spans="1:104" x14ac:dyDescent="0.25">
      <c r="A654" t="str">
        <f>"14:01:15.875"</f>
        <v>14:01:15.875</v>
      </c>
      <c r="B654" t="s">
        <v>108</v>
      </c>
      <c r="C654" t="str">
        <f t="shared" si="31"/>
        <v>ffdfd3c0</v>
      </c>
      <c r="D654" t="s">
        <v>109</v>
      </c>
      <c r="E654">
        <v>4</v>
      </c>
      <c r="F654">
        <v>1004</v>
      </c>
      <c r="G654" t="s">
        <v>110</v>
      </c>
      <c r="J654" t="s">
        <v>111</v>
      </c>
      <c r="K654">
        <v>0</v>
      </c>
      <c r="L654">
        <v>3</v>
      </c>
      <c r="M654">
        <v>0</v>
      </c>
      <c r="N654">
        <v>2</v>
      </c>
      <c r="O654">
        <v>1</v>
      </c>
      <c r="P654">
        <v>0</v>
      </c>
      <c r="Q654">
        <v>0</v>
      </c>
      <c r="R654" t="s">
        <v>112</v>
      </c>
      <c r="S654" t="str">
        <f>"14:01:15.680"</f>
        <v>14:01:15.680</v>
      </c>
      <c r="T654" t="str">
        <f>"14:01:15.281"</f>
        <v>14:01:15.281</v>
      </c>
      <c r="U654" t="str">
        <f t="shared" si="30"/>
        <v>ad5732</v>
      </c>
      <c r="V654">
        <v>0</v>
      </c>
      <c r="W654">
        <v>0</v>
      </c>
      <c r="X654">
        <v>1</v>
      </c>
      <c r="Z654">
        <v>0</v>
      </c>
      <c r="AA654">
        <v>9</v>
      </c>
      <c r="AB654">
        <v>3</v>
      </c>
      <c r="AC654">
        <v>0</v>
      </c>
      <c r="AD654">
        <v>10</v>
      </c>
      <c r="AE654">
        <v>0</v>
      </c>
      <c r="AF654">
        <v>3</v>
      </c>
      <c r="AG654">
        <v>2</v>
      </c>
      <c r="AH654">
        <v>0</v>
      </c>
      <c r="AI654" t="s">
        <v>1405</v>
      </c>
      <c r="AJ654">
        <v>39.285929000000003</v>
      </c>
      <c r="AK654" t="s">
        <v>1406</v>
      </c>
      <c r="AL654">
        <v>-77.205584000000002</v>
      </c>
      <c r="AM654">
        <v>100</v>
      </c>
      <c r="AN654">
        <v>8700</v>
      </c>
      <c r="AO654" t="s">
        <v>115</v>
      </c>
      <c r="AP654">
        <v>171</v>
      </c>
      <c r="AQ654">
        <v>77</v>
      </c>
      <c r="AR654">
        <v>0</v>
      </c>
      <c r="AZ654">
        <v>3614</v>
      </c>
      <c r="BA654">
        <v>1</v>
      </c>
      <c r="BB654" t="str">
        <f t="shared" si="32"/>
        <v xml:space="preserve">N959MJ  </v>
      </c>
      <c r="BC654">
        <v>1</v>
      </c>
      <c r="BE654">
        <v>0</v>
      </c>
      <c r="BF654">
        <v>0</v>
      </c>
      <c r="BG654">
        <v>0</v>
      </c>
      <c r="BH654">
        <v>9025</v>
      </c>
      <c r="BI654">
        <v>325</v>
      </c>
      <c r="BJ654">
        <v>1</v>
      </c>
      <c r="BK654">
        <v>1</v>
      </c>
      <c r="BL654">
        <v>1</v>
      </c>
      <c r="BM654">
        <v>0</v>
      </c>
      <c r="BP654">
        <v>0</v>
      </c>
      <c r="BQ654">
        <v>0</v>
      </c>
      <c r="BX654" t="str">
        <f>"14:01:15.680"</f>
        <v>14:01:15.680</v>
      </c>
      <c r="BY654" t="str">
        <f>"680365406"</f>
        <v>680365406</v>
      </c>
      <c r="CL654">
        <v>0</v>
      </c>
      <c r="CM654">
        <v>2</v>
      </c>
      <c r="CN654">
        <v>0</v>
      </c>
      <c r="CO654">
        <v>2</v>
      </c>
      <c r="CP654">
        <v>0</v>
      </c>
      <c r="CQ654">
        <v>7</v>
      </c>
      <c r="CR654" t="s">
        <v>116</v>
      </c>
      <c r="CS654">
        <v>525</v>
      </c>
      <c r="CT654">
        <v>2</v>
      </c>
      <c r="CU654" t="s">
        <v>140</v>
      </c>
      <c r="CV654" t="s">
        <v>141</v>
      </c>
      <c r="CY654">
        <v>14543714</v>
      </c>
      <c r="CZ654" t="s">
        <v>119</v>
      </c>
    </row>
    <row r="655" spans="1:104" x14ac:dyDescent="0.25">
      <c r="A655" t="str">
        <f>"14:01:16.930"</f>
        <v>14:01:16.930</v>
      </c>
      <c r="B655" t="s">
        <v>108</v>
      </c>
      <c r="C655" t="str">
        <f t="shared" si="31"/>
        <v>ffdfd3c0</v>
      </c>
      <c r="D655" t="s">
        <v>109</v>
      </c>
      <c r="E655">
        <v>4</v>
      </c>
      <c r="F655">
        <v>1004</v>
      </c>
      <c r="G655" t="s">
        <v>110</v>
      </c>
      <c r="J655" t="s">
        <v>111</v>
      </c>
      <c r="K655">
        <v>0</v>
      </c>
      <c r="L655">
        <v>3</v>
      </c>
      <c r="M655">
        <v>0</v>
      </c>
      <c r="N655">
        <v>2</v>
      </c>
      <c r="O655">
        <v>1</v>
      </c>
      <c r="P655">
        <v>0</v>
      </c>
      <c r="Q655">
        <v>0</v>
      </c>
      <c r="R655" t="s">
        <v>112</v>
      </c>
      <c r="S655" t="str">
        <f>"14:01:16.766"</f>
        <v>14:01:16.766</v>
      </c>
      <c r="T655" t="str">
        <f>"14:01:16.266"</f>
        <v>14:01:16.266</v>
      </c>
      <c r="U655" t="str">
        <f t="shared" si="30"/>
        <v>ad5732</v>
      </c>
      <c r="V655">
        <v>0</v>
      </c>
      <c r="W655">
        <v>0</v>
      </c>
      <c r="X655">
        <v>1</v>
      </c>
      <c r="Z655">
        <v>0</v>
      </c>
      <c r="AA655">
        <v>9</v>
      </c>
      <c r="AB655">
        <v>3</v>
      </c>
      <c r="AC655">
        <v>0</v>
      </c>
      <c r="AD655">
        <v>10</v>
      </c>
      <c r="AE655">
        <v>0</v>
      </c>
      <c r="AF655">
        <v>3</v>
      </c>
      <c r="AG655">
        <v>2</v>
      </c>
      <c r="AH655">
        <v>0</v>
      </c>
      <c r="AI655" t="s">
        <v>1407</v>
      </c>
      <c r="AJ655">
        <v>39.286230000000003</v>
      </c>
      <c r="AK655" t="s">
        <v>1408</v>
      </c>
      <c r="AL655">
        <v>-77.204576000000003</v>
      </c>
      <c r="AM655">
        <v>100</v>
      </c>
      <c r="AN655">
        <v>8700</v>
      </c>
      <c r="AO655" t="s">
        <v>115</v>
      </c>
      <c r="AP655">
        <v>172</v>
      </c>
      <c r="AQ655">
        <v>77</v>
      </c>
      <c r="AR655">
        <v>0</v>
      </c>
      <c r="AZ655">
        <v>3614</v>
      </c>
      <c r="BA655">
        <v>1</v>
      </c>
      <c r="BB655" t="str">
        <f t="shared" si="32"/>
        <v xml:space="preserve">N959MJ  </v>
      </c>
      <c r="BC655">
        <v>1</v>
      </c>
      <c r="BE655">
        <v>0</v>
      </c>
      <c r="BF655">
        <v>0</v>
      </c>
      <c r="BG655">
        <v>0</v>
      </c>
      <c r="BH655">
        <v>9025</v>
      </c>
      <c r="BI655">
        <v>325</v>
      </c>
      <c r="BJ655">
        <v>1</v>
      </c>
      <c r="BK655">
        <v>1</v>
      </c>
      <c r="BL655">
        <v>1</v>
      </c>
      <c r="BM655">
        <v>0</v>
      </c>
      <c r="BP655">
        <v>0</v>
      </c>
      <c r="BQ655">
        <v>0</v>
      </c>
      <c r="BX655" t="str">
        <f>"14:01:16.773"</f>
        <v>14:01:16.773</v>
      </c>
      <c r="BY655" t="str">
        <f>"773196010"</f>
        <v>773196010</v>
      </c>
      <c r="CL655">
        <v>0</v>
      </c>
      <c r="CM655">
        <v>2</v>
      </c>
      <c r="CN655">
        <v>0</v>
      </c>
      <c r="CO655">
        <v>2</v>
      </c>
      <c r="CP655">
        <v>0</v>
      </c>
      <c r="CQ655">
        <v>7</v>
      </c>
      <c r="CR655" t="s">
        <v>116</v>
      </c>
      <c r="CS655">
        <v>525</v>
      </c>
      <c r="CT655">
        <v>1</v>
      </c>
      <c r="CU655" t="s">
        <v>140</v>
      </c>
      <c r="CV655" t="s">
        <v>141</v>
      </c>
      <c r="CY655">
        <v>8116783</v>
      </c>
      <c r="CZ655" t="s">
        <v>119</v>
      </c>
    </row>
    <row r="656" spans="1:104" x14ac:dyDescent="0.25">
      <c r="A656" t="str">
        <f>"14:01:17.992"</f>
        <v>14:01:17.992</v>
      </c>
      <c r="B656" t="s">
        <v>108</v>
      </c>
      <c r="C656" t="str">
        <f t="shared" si="31"/>
        <v>ffdfd3c0</v>
      </c>
      <c r="D656" t="s">
        <v>109</v>
      </c>
      <c r="E656">
        <v>4</v>
      </c>
      <c r="F656">
        <v>1004</v>
      </c>
      <c r="G656" t="s">
        <v>110</v>
      </c>
      <c r="J656" t="s">
        <v>111</v>
      </c>
      <c r="K656">
        <v>0</v>
      </c>
      <c r="L656">
        <v>3</v>
      </c>
      <c r="M656">
        <v>0</v>
      </c>
      <c r="N656">
        <v>2</v>
      </c>
      <c r="O656">
        <v>1</v>
      </c>
      <c r="P656">
        <v>0</v>
      </c>
      <c r="Q656">
        <v>0</v>
      </c>
      <c r="R656" t="s">
        <v>112</v>
      </c>
      <c r="S656" t="str">
        <f>"14:01:17.820"</f>
        <v>14:01:17.820</v>
      </c>
      <c r="T656" t="str">
        <f>"14:01:17.422"</f>
        <v>14:01:17.422</v>
      </c>
      <c r="U656" t="str">
        <f t="shared" si="30"/>
        <v>ad5732</v>
      </c>
      <c r="V656">
        <v>0</v>
      </c>
      <c r="W656">
        <v>0</v>
      </c>
      <c r="X656">
        <v>1</v>
      </c>
      <c r="Z656">
        <v>0</v>
      </c>
      <c r="AA656">
        <v>9</v>
      </c>
      <c r="AB656">
        <v>3</v>
      </c>
      <c r="AC656">
        <v>0</v>
      </c>
      <c r="AD656">
        <v>10</v>
      </c>
      <c r="AE656">
        <v>0</v>
      </c>
      <c r="AF656">
        <v>3</v>
      </c>
      <c r="AG656">
        <v>2</v>
      </c>
      <c r="AH656">
        <v>0</v>
      </c>
      <c r="AI656" t="s">
        <v>1409</v>
      </c>
      <c r="AJ656">
        <v>39.286636999999999</v>
      </c>
      <c r="AK656" t="s">
        <v>1410</v>
      </c>
      <c r="AL656">
        <v>-77.203438000000006</v>
      </c>
      <c r="AM656">
        <v>100</v>
      </c>
      <c r="AN656">
        <v>8700</v>
      </c>
      <c r="AO656" t="s">
        <v>115</v>
      </c>
      <c r="AP656">
        <v>172</v>
      </c>
      <c r="AQ656">
        <v>76</v>
      </c>
      <c r="AR656">
        <v>0</v>
      </c>
      <c r="AZ656">
        <v>3614</v>
      </c>
      <c r="BA656">
        <v>1</v>
      </c>
      <c r="BB656" t="str">
        <f t="shared" si="32"/>
        <v xml:space="preserve">N959MJ  </v>
      </c>
      <c r="BC656">
        <v>1</v>
      </c>
      <c r="BE656">
        <v>0</v>
      </c>
      <c r="BF656">
        <v>0</v>
      </c>
      <c r="BG656">
        <v>0</v>
      </c>
      <c r="BH656">
        <v>9025</v>
      </c>
      <c r="BI656">
        <v>325</v>
      </c>
      <c r="BJ656">
        <v>1</v>
      </c>
      <c r="BK656">
        <v>1</v>
      </c>
      <c r="BL656">
        <v>1</v>
      </c>
      <c r="BM656">
        <v>0</v>
      </c>
      <c r="BP656">
        <v>0</v>
      </c>
      <c r="BQ656">
        <v>0</v>
      </c>
      <c r="BX656" t="str">
        <f>"14:01:17.828"</f>
        <v>14:01:17.828</v>
      </c>
      <c r="BY656" t="str">
        <f>"826704293"</f>
        <v>826704293</v>
      </c>
      <c r="CL656">
        <v>0</v>
      </c>
      <c r="CM656">
        <v>2</v>
      </c>
      <c r="CN656">
        <v>0</v>
      </c>
      <c r="CO656">
        <v>2</v>
      </c>
      <c r="CP656">
        <v>0</v>
      </c>
      <c r="CQ656">
        <v>7</v>
      </c>
      <c r="CR656" t="s">
        <v>116</v>
      </c>
      <c r="CS656">
        <v>525</v>
      </c>
      <c r="CT656">
        <v>2</v>
      </c>
      <c r="CU656" t="s">
        <v>140</v>
      </c>
      <c r="CV656" t="s">
        <v>141</v>
      </c>
      <c r="CY656">
        <v>14546718</v>
      </c>
      <c r="CZ656" t="s">
        <v>119</v>
      </c>
    </row>
    <row r="657" spans="1:104" x14ac:dyDescent="0.25">
      <c r="A657" t="str">
        <f>"14:01:19.000"</f>
        <v>14:01:19.000</v>
      </c>
      <c r="B657" t="s">
        <v>108</v>
      </c>
      <c r="C657" t="str">
        <f t="shared" si="31"/>
        <v>ffdfd3c0</v>
      </c>
      <c r="D657" t="s">
        <v>109</v>
      </c>
      <c r="E657">
        <v>4</v>
      </c>
      <c r="F657">
        <v>1004</v>
      </c>
      <c r="G657" t="s">
        <v>110</v>
      </c>
      <c r="J657" t="s">
        <v>111</v>
      </c>
      <c r="K657">
        <v>0</v>
      </c>
      <c r="L657">
        <v>3</v>
      </c>
      <c r="M657">
        <v>0</v>
      </c>
      <c r="N657">
        <v>2</v>
      </c>
      <c r="O657">
        <v>1</v>
      </c>
      <c r="P657">
        <v>0</v>
      </c>
      <c r="Q657">
        <v>0</v>
      </c>
      <c r="R657" t="s">
        <v>112</v>
      </c>
      <c r="S657" t="str">
        <f>"14:01:18.781"</f>
        <v>14:01:18.781</v>
      </c>
      <c r="T657" t="str">
        <f>"14:01:18.383"</f>
        <v>14:01:18.383</v>
      </c>
      <c r="U657" t="str">
        <f t="shared" si="30"/>
        <v>ad5732</v>
      </c>
      <c r="V657">
        <v>0</v>
      </c>
      <c r="W657">
        <v>0</v>
      </c>
      <c r="X657">
        <v>1</v>
      </c>
      <c r="Z657">
        <v>0</v>
      </c>
      <c r="AA657">
        <v>9</v>
      </c>
      <c r="AB657">
        <v>3</v>
      </c>
      <c r="AC657">
        <v>0</v>
      </c>
      <c r="AD657">
        <v>10</v>
      </c>
      <c r="AE657">
        <v>0</v>
      </c>
      <c r="AF657">
        <v>3</v>
      </c>
      <c r="AG657">
        <v>2</v>
      </c>
      <c r="AH657">
        <v>0</v>
      </c>
      <c r="AI657" t="s">
        <v>1411</v>
      </c>
      <c r="AJ657">
        <v>39.287024000000002</v>
      </c>
      <c r="AK657" t="s">
        <v>1412</v>
      </c>
      <c r="AL657">
        <v>-77.202387000000002</v>
      </c>
      <c r="AM657">
        <v>100</v>
      </c>
      <c r="AN657">
        <v>8700</v>
      </c>
      <c r="AO657" t="s">
        <v>115</v>
      </c>
      <c r="AP657">
        <v>172</v>
      </c>
      <c r="AQ657">
        <v>76</v>
      </c>
      <c r="AR657">
        <v>0</v>
      </c>
      <c r="AZ657">
        <v>3614</v>
      </c>
      <c r="BA657">
        <v>1</v>
      </c>
      <c r="BB657" t="str">
        <f t="shared" si="32"/>
        <v xml:space="preserve">N959MJ  </v>
      </c>
      <c r="BC657">
        <v>1</v>
      </c>
      <c r="BE657">
        <v>0</v>
      </c>
      <c r="BF657">
        <v>0</v>
      </c>
      <c r="BG657">
        <v>0</v>
      </c>
      <c r="BH657">
        <v>9025</v>
      </c>
      <c r="BI657">
        <v>325</v>
      </c>
      <c r="BJ657">
        <v>1</v>
      </c>
      <c r="BK657">
        <v>1</v>
      </c>
      <c r="BL657">
        <v>1</v>
      </c>
      <c r="BM657">
        <v>0</v>
      </c>
      <c r="BP657">
        <v>0</v>
      </c>
      <c r="BQ657">
        <v>0</v>
      </c>
      <c r="BX657" t="str">
        <f>"14:01:18.789"</f>
        <v>14:01:18.789</v>
      </c>
      <c r="BY657" t="str">
        <f>"786825028"</f>
        <v>786825028</v>
      </c>
      <c r="CL657">
        <v>0</v>
      </c>
      <c r="CM657">
        <v>2</v>
      </c>
      <c r="CN657">
        <v>0</v>
      </c>
      <c r="CO657">
        <v>2</v>
      </c>
      <c r="CP657">
        <v>0</v>
      </c>
      <c r="CQ657">
        <v>7</v>
      </c>
      <c r="CR657" t="s">
        <v>116</v>
      </c>
      <c r="CS657">
        <v>147</v>
      </c>
      <c r="CT657">
        <v>0</v>
      </c>
      <c r="CU657" t="s">
        <v>117</v>
      </c>
      <c r="CV657" t="s">
        <v>118</v>
      </c>
      <c r="CY657">
        <v>4954063</v>
      </c>
      <c r="CZ657" t="s">
        <v>119</v>
      </c>
    </row>
    <row r="658" spans="1:104" x14ac:dyDescent="0.25">
      <c r="A658" t="str">
        <f>"14:01:20.008"</f>
        <v>14:01:20.008</v>
      </c>
      <c r="B658" t="s">
        <v>108</v>
      </c>
      <c r="C658" t="str">
        <f t="shared" si="31"/>
        <v>ffdfd3c0</v>
      </c>
      <c r="D658" t="s">
        <v>109</v>
      </c>
      <c r="E658">
        <v>4</v>
      </c>
      <c r="F658">
        <v>1004</v>
      </c>
      <c r="G658" t="s">
        <v>110</v>
      </c>
      <c r="J658" t="s">
        <v>111</v>
      </c>
      <c r="K658">
        <v>0</v>
      </c>
      <c r="L658">
        <v>3</v>
      </c>
      <c r="M658">
        <v>0</v>
      </c>
      <c r="N658">
        <v>2</v>
      </c>
      <c r="O658">
        <v>1</v>
      </c>
      <c r="P658">
        <v>0</v>
      </c>
      <c r="Q658">
        <v>0</v>
      </c>
      <c r="R658" t="s">
        <v>112</v>
      </c>
      <c r="S658" t="str">
        <f>"14:01:19.828"</f>
        <v>14:01:19.828</v>
      </c>
      <c r="T658" t="str">
        <f>"14:01:19.328"</f>
        <v>14:01:19.328</v>
      </c>
      <c r="U658" t="str">
        <f t="shared" si="30"/>
        <v>ad5732</v>
      </c>
      <c r="V658">
        <v>0</v>
      </c>
      <c r="W658">
        <v>0</v>
      </c>
      <c r="X658">
        <v>1</v>
      </c>
      <c r="Z658">
        <v>0</v>
      </c>
      <c r="AA658">
        <v>9</v>
      </c>
      <c r="AB658">
        <v>3</v>
      </c>
      <c r="AC658">
        <v>0</v>
      </c>
      <c r="AD658">
        <v>10</v>
      </c>
      <c r="AE658">
        <v>0</v>
      </c>
      <c r="AF658">
        <v>3</v>
      </c>
      <c r="AG658">
        <v>2</v>
      </c>
      <c r="AH658">
        <v>0</v>
      </c>
      <c r="AI658" t="s">
        <v>1413</v>
      </c>
      <c r="AJ658">
        <v>39.287345000000002</v>
      </c>
      <c r="AK658" t="s">
        <v>1414</v>
      </c>
      <c r="AL658">
        <v>-77.201357000000002</v>
      </c>
      <c r="AM658">
        <v>100</v>
      </c>
      <c r="AN658">
        <v>8700</v>
      </c>
      <c r="AO658" t="s">
        <v>115</v>
      </c>
      <c r="AP658">
        <v>172</v>
      </c>
      <c r="AQ658">
        <v>76</v>
      </c>
      <c r="AR658">
        <v>0</v>
      </c>
      <c r="AZ658">
        <v>3614</v>
      </c>
      <c r="BA658">
        <v>1</v>
      </c>
      <c r="BB658" t="str">
        <f t="shared" si="32"/>
        <v xml:space="preserve">N959MJ  </v>
      </c>
      <c r="BC658">
        <v>1</v>
      </c>
      <c r="BE658">
        <v>0</v>
      </c>
      <c r="BF658">
        <v>0</v>
      </c>
      <c r="BG658">
        <v>0</v>
      </c>
      <c r="BH658">
        <v>9025</v>
      </c>
      <c r="BI658">
        <v>325</v>
      </c>
      <c r="BJ658">
        <v>1</v>
      </c>
      <c r="BK658">
        <v>1</v>
      </c>
      <c r="BL658">
        <v>1</v>
      </c>
      <c r="BM658">
        <v>0</v>
      </c>
      <c r="BP658">
        <v>0</v>
      </c>
      <c r="BQ658">
        <v>0</v>
      </c>
      <c r="BX658" t="str">
        <f>"14:01:19.828"</f>
        <v>14:01:19.828</v>
      </c>
      <c r="BY658" t="str">
        <f>"828864285"</f>
        <v>828864285</v>
      </c>
      <c r="CL658">
        <v>0</v>
      </c>
      <c r="CM658">
        <v>2</v>
      </c>
      <c r="CN658">
        <v>0</v>
      </c>
      <c r="CO658">
        <v>2</v>
      </c>
      <c r="CP658">
        <v>0</v>
      </c>
      <c r="CQ658">
        <v>7</v>
      </c>
      <c r="CR658" t="s">
        <v>116</v>
      </c>
      <c r="CS658">
        <v>147</v>
      </c>
      <c r="CT658">
        <v>3</v>
      </c>
      <c r="CU658" t="s">
        <v>117</v>
      </c>
      <c r="CV658" t="s">
        <v>118</v>
      </c>
      <c r="CY658">
        <v>66058</v>
      </c>
      <c r="CZ658" t="s">
        <v>119</v>
      </c>
    </row>
    <row r="659" spans="1:104" x14ac:dyDescent="0.25">
      <c r="A659" t="str">
        <f>"14:01:20.969"</f>
        <v>14:01:20.969</v>
      </c>
      <c r="B659" t="s">
        <v>108</v>
      </c>
      <c r="C659" t="str">
        <f t="shared" si="31"/>
        <v>ffdfd3c0</v>
      </c>
      <c r="D659" t="s">
        <v>109</v>
      </c>
      <c r="E659">
        <v>4</v>
      </c>
      <c r="F659">
        <v>1004</v>
      </c>
      <c r="G659" t="s">
        <v>110</v>
      </c>
      <c r="J659" t="s">
        <v>111</v>
      </c>
      <c r="K659">
        <v>0</v>
      </c>
      <c r="L659">
        <v>3</v>
      </c>
      <c r="M659">
        <v>0</v>
      </c>
      <c r="N659">
        <v>2</v>
      </c>
      <c r="O659">
        <v>1</v>
      </c>
      <c r="P659">
        <v>0</v>
      </c>
      <c r="Q659">
        <v>0</v>
      </c>
      <c r="R659" t="s">
        <v>112</v>
      </c>
      <c r="S659" t="str">
        <f>"14:01:20.742"</f>
        <v>14:01:20.742</v>
      </c>
      <c r="T659" t="str">
        <f>"14:01:20.344"</f>
        <v>14:01:20.344</v>
      </c>
      <c r="U659" t="str">
        <f t="shared" si="30"/>
        <v>ad5732</v>
      </c>
      <c r="V659">
        <v>0</v>
      </c>
      <c r="W659">
        <v>0</v>
      </c>
      <c r="X659">
        <v>1</v>
      </c>
      <c r="Z659">
        <v>0</v>
      </c>
      <c r="AA659">
        <v>9</v>
      </c>
      <c r="AB659">
        <v>3</v>
      </c>
      <c r="AC659">
        <v>0</v>
      </c>
      <c r="AD659">
        <v>10</v>
      </c>
      <c r="AE659">
        <v>0</v>
      </c>
      <c r="AF659">
        <v>3</v>
      </c>
      <c r="AG659">
        <v>2</v>
      </c>
      <c r="AH659">
        <v>0</v>
      </c>
      <c r="AI659" t="s">
        <v>1415</v>
      </c>
      <c r="AJ659">
        <v>39.287666999999999</v>
      </c>
      <c r="AK659" t="s">
        <v>1416</v>
      </c>
      <c r="AL659">
        <v>-77.200456000000003</v>
      </c>
      <c r="AM659">
        <v>100</v>
      </c>
      <c r="AN659">
        <v>8700</v>
      </c>
      <c r="AO659" t="s">
        <v>115</v>
      </c>
      <c r="AP659">
        <v>173</v>
      </c>
      <c r="AQ659">
        <v>75</v>
      </c>
      <c r="AR659">
        <v>0</v>
      </c>
      <c r="AZ659">
        <v>3614</v>
      </c>
      <c r="BA659">
        <v>1</v>
      </c>
      <c r="BB659" t="str">
        <f t="shared" si="32"/>
        <v xml:space="preserve">N959MJ  </v>
      </c>
      <c r="BC659">
        <v>1</v>
      </c>
      <c r="BE659">
        <v>0</v>
      </c>
      <c r="BF659">
        <v>0</v>
      </c>
      <c r="BG659">
        <v>0</v>
      </c>
      <c r="BH659">
        <v>9025</v>
      </c>
      <c r="BI659">
        <v>325</v>
      </c>
      <c r="BJ659">
        <v>1</v>
      </c>
      <c r="BK659">
        <v>1</v>
      </c>
      <c r="BL659">
        <v>1</v>
      </c>
      <c r="BM659">
        <v>0</v>
      </c>
      <c r="BP659">
        <v>0</v>
      </c>
      <c r="BQ659">
        <v>0</v>
      </c>
      <c r="BX659" t="str">
        <f>"14:01:20.742"</f>
        <v>14:01:20.742</v>
      </c>
      <c r="BY659" t="str">
        <f>"744744783"</f>
        <v>744744783</v>
      </c>
      <c r="CL659">
        <v>0</v>
      </c>
      <c r="CM659">
        <v>2</v>
      </c>
      <c r="CN659">
        <v>0</v>
      </c>
      <c r="CO659">
        <v>2</v>
      </c>
      <c r="CP659">
        <v>0</v>
      </c>
      <c r="CQ659">
        <v>7</v>
      </c>
      <c r="CR659" t="s">
        <v>116</v>
      </c>
      <c r="CS659">
        <v>147</v>
      </c>
      <c r="CT659">
        <v>3</v>
      </c>
      <c r="CU659" t="s">
        <v>117</v>
      </c>
      <c r="CV659" t="s">
        <v>118</v>
      </c>
      <c r="CY659">
        <v>67540</v>
      </c>
      <c r="CZ659" t="s">
        <v>119</v>
      </c>
    </row>
    <row r="660" spans="1:104" x14ac:dyDescent="0.25">
      <c r="A660" t="str">
        <f>"14:01:21.875"</f>
        <v>14:01:21.875</v>
      </c>
      <c r="B660" t="s">
        <v>108</v>
      </c>
      <c r="C660" t="str">
        <f t="shared" si="31"/>
        <v>ffdfd3c0</v>
      </c>
      <c r="D660" t="s">
        <v>109</v>
      </c>
      <c r="E660">
        <v>4</v>
      </c>
      <c r="F660">
        <v>1004</v>
      </c>
      <c r="G660" t="s">
        <v>110</v>
      </c>
      <c r="J660" t="s">
        <v>111</v>
      </c>
      <c r="K660">
        <v>0</v>
      </c>
      <c r="L660">
        <v>3</v>
      </c>
      <c r="M660">
        <v>0</v>
      </c>
      <c r="N660">
        <v>2</v>
      </c>
      <c r="O660">
        <v>1</v>
      </c>
      <c r="P660">
        <v>0</v>
      </c>
      <c r="Q660">
        <v>0</v>
      </c>
      <c r="R660" t="s">
        <v>112</v>
      </c>
      <c r="S660" t="str">
        <f>"14:01:21.703"</f>
        <v>14:01:21.703</v>
      </c>
      <c r="T660" t="str">
        <f>"14:01:21.203"</f>
        <v>14:01:21.203</v>
      </c>
      <c r="U660" t="str">
        <f t="shared" si="30"/>
        <v>ad5732</v>
      </c>
      <c r="V660">
        <v>0</v>
      </c>
      <c r="W660">
        <v>0</v>
      </c>
      <c r="X660">
        <v>1</v>
      </c>
      <c r="Z660">
        <v>0</v>
      </c>
      <c r="AA660">
        <v>9</v>
      </c>
      <c r="AB660">
        <v>3</v>
      </c>
      <c r="AC660">
        <v>0</v>
      </c>
      <c r="AD660">
        <v>10</v>
      </c>
      <c r="AE660">
        <v>0</v>
      </c>
      <c r="AF660">
        <v>3</v>
      </c>
      <c r="AG660">
        <v>2</v>
      </c>
      <c r="AH660">
        <v>0</v>
      </c>
      <c r="AI660" t="s">
        <v>1417</v>
      </c>
      <c r="AJ660">
        <v>39.288032000000001</v>
      </c>
      <c r="AK660" t="s">
        <v>1418</v>
      </c>
      <c r="AL660">
        <v>-77.199382999999997</v>
      </c>
      <c r="AM660">
        <v>100</v>
      </c>
      <c r="AN660">
        <v>8700</v>
      </c>
      <c r="AO660" t="s">
        <v>115</v>
      </c>
      <c r="AP660">
        <v>173</v>
      </c>
      <c r="AQ660">
        <v>75</v>
      </c>
      <c r="AR660">
        <v>0</v>
      </c>
      <c r="AZ660">
        <v>3614</v>
      </c>
      <c r="BA660">
        <v>1</v>
      </c>
      <c r="BB660" t="str">
        <f t="shared" si="32"/>
        <v xml:space="preserve">N959MJ  </v>
      </c>
      <c r="BC660">
        <v>1</v>
      </c>
      <c r="BE660">
        <v>0</v>
      </c>
      <c r="BF660">
        <v>0</v>
      </c>
      <c r="BG660">
        <v>0</v>
      </c>
      <c r="BH660">
        <v>9025</v>
      </c>
      <c r="BI660">
        <v>325</v>
      </c>
      <c r="BJ660">
        <v>1</v>
      </c>
      <c r="BK660">
        <v>1</v>
      </c>
      <c r="BL660">
        <v>1</v>
      </c>
      <c r="BM660">
        <v>0</v>
      </c>
      <c r="BP660">
        <v>0</v>
      </c>
      <c r="BQ660">
        <v>0</v>
      </c>
      <c r="BX660" t="str">
        <f>"14:01:21.711"</f>
        <v>14:01:21.711</v>
      </c>
      <c r="BY660" t="str">
        <f>"709775449"</f>
        <v>709775449</v>
      </c>
      <c r="CL660">
        <v>0</v>
      </c>
      <c r="CM660">
        <v>2</v>
      </c>
      <c r="CN660">
        <v>0</v>
      </c>
      <c r="CO660">
        <v>2</v>
      </c>
      <c r="CP660">
        <v>0</v>
      </c>
      <c r="CQ660">
        <v>7</v>
      </c>
      <c r="CR660" t="s">
        <v>116</v>
      </c>
      <c r="CS660">
        <v>525</v>
      </c>
      <c r="CT660">
        <v>2</v>
      </c>
      <c r="CU660" t="s">
        <v>140</v>
      </c>
      <c r="CV660" t="s">
        <v>141</v>
      </c>
      <c r="CY660">
        <v>14552484</v>
      </c>
      <c r="CZ660" t="s">
        <v>119</v>
      </c>
    </row>
    <row r="661" spans="1:104" x14ac:dyDescent="0.25">
      <c r="A661" t="str">
        <f>"14:01:22.938"</f>
        <v>14:01:22.938</v>
      </c>
      <c r="B661" t="s">
        <v>108</v>
      </c>
      <c r="C661" t="str">
        <f t="shared" si="31"/>
        <v>ffdfd3c0</v>
      </c>
      <c r="D661" t="s">
        <v>109</v>
      </c>
      <c r="E661">
        <v>4</v>
      </c>
      <c r="F661">
        <v>1004</v>
      </c>
      <c r="G661" t="s">
        <v>110</v>
      </c>
      <c r="J661" t="s">
        <v>111</v>
      </c>
      <c r="K661">
        <v>0</v>
      </c>
      <c r="L661">
        <v>3</v>
      </c>
      <c r="M661">
        <v>0</v>
      </c>
      <c r="N661">
        <v>2</v>
      </c>
      <c r="O661">
        <v>1</v>
      </c>
      <c r="P661">
        <v>0</v>
      </c>
      <c r="Q661">
        <v>0</v>
      </c>
      <c r="R661" t="s">
        <v>112</v>
      </c>
      <c r="S661" t="str">
        <f>"14:01:22.766"</f>
        <v>14:01:22.766</v>
      </c>
      <c r="T661" t="str">
        <f>"14:01:22.266"</f>
        <v>14:01:22.266</v>
      </c>
      <c r="U661" t="str">
        <f t="shared" si="30"/>
        <v>ad5732</v>
      </c>
      <c r="V661">
        <v>0</v>
      </c>
      <c r="W661">
        <v>0</v>
      </c>
      <c r="X661">
        <v>1</v>
      </c>
      <c r="Z661">
        <v>0</v>
      </c>
      <c r="AA661">
        <v>9</v>
      </c>
      <c r="AB661">
        <v>3</v>
      </c>
      <c r="AC661">
        <v>0</v>
      </c>
      <c r="AD661">
        <v>10</v>
      </c>
      <c r="AE661">
        <v>0</v>
      </c>
      <c r="AF661">
        <v>3</v>
      </c>
      <c r="AG661">
        <v>2</v>
      </c>
      <c r="AH661">
        <v>0</v>
      </c>
      <c r="AI661" t="s">
        <v>1419</v>
      </c>
      <c r="AJ661">
        <v>39.288353999999998</v>
      </c>
      <c r="AK661" t="s">
        <v>1420</v>
      </c>
      <c r="AL661">
        <v>-77.198352999999997</v>
      </c>
      <c r="AM661">
        <v>100</v>
      </c>
      <c r="AN661">
        <v>8700</v>
      </c>
      <c r="AO661" t="s">
        <v>115</v>
      </c>
      <c r="AP661">
        <v>173</v>
      </c>
      <c r="AQ661">
        <v>74</v>
      </c>
      <c r="AR661">
        <v>0</v>
      </c>
      <c r="AZ661">
        <v>3614</v>
      </c>
      <c r="BA661">
        <v>1</v>
      </c>
      <c r="BB661" t="str">
        <f t="shared" si="32"/>
        <v xml:space="preserve">N959MJ  </v>
      </c>
      <c r="BC661">
        <v>1</v>
      </c>
      <c r="BE661">
        <v>0</v>
      </c>
      <c r="BF661">
        <v>0</v>
      </c>
      <c r="BG661">
        <v>0</v>
      </c>
      <c r="BH661">
        <v>9025</v>
      </c>
      <c r="BI661">
        <v>325</v>
      </c>
      <c r="BJ661">
        <v>1</v>
      </c>
      <c r="BK661">
        <v>1</v>
      </c>
      <c r="BL661">
        <v>1</v>
      </c>
      <c r="BM661">
        <v>0</v>
      </c>
      <c r="BP661">
        <v>0</v>
      </c>
      <c r="BQ661">
        <v>0</v>
      </c>
      <c r="BX661" t="str">
        <f>"14:01:22.773"</f>
        <v>14:01:22.773</v>
      </c>
      <c r="BY661" t="str">
        <f>"773114395"</f>
        <v>773114395</v>
      </c>
      <c r="CL661">
        <v>0</v>
      </c>
      <c r="CM661">
        <v>2</v>
      </c>
      <c r="CN661">
        <v>0</v>
      </c>
      <c r="CO661">
        <v>2</v>
      </c>
      <c r="CP661">
        <v>0</v>
      </c>
      <c r="CQ661">
        <v>7</v>
      </c>
      <c r="CR661" t="s">
        <v>116</v>
      </c>
      <c r="CS661">
        <v>525</v>
      </c>
      <c r="CT661">
        <v>1</v>
      </c>
      <c r="CU661" t="s">
        <v>140</v>
      </c>
      <c r="CV661" t="s">
        <v>141</v>
      </c>
      <c r="CY661">
        <v>8125007</v>
      </c>
      <c r="CZ661" t="s">
        <v>119</v>
      </c>
    </row>
    <row r="662" spans="1:104" x14ac:dyDescent="0.25">
      <c r="A662" t="str">
        <f>"14:01:23.945"</f>
        <v>14:01:23.945</v>
      </c>
      <c r="B662" t="s">
        <v>108</v>
      </c>
      <c r="C662" t="str">
        <f t="shared" si="31"/>
        <v>ffdfd3c0</v>
      </c>
      <c r="D662" t="s">
        <v>109</v>
      </c>
      <c r="E662">
        <v>4</v>
      </c>
      <c r="F662">
        <v>1004</v>
      </c>
      <c r="G662" t="s">
        <v>110</v>
      </c>
      <c r="J662" t="s">
        <v>111</v>
      </c>
      <c r="K662">
        <v>0</v>
      </c>
      <c r="L662">
        <v>3</v>
      </c>
      <c r="M662">
        <v>0</v>
      </c>
      <c r="N662">
        <v>2</v>
      </c>
      <c r="O662">
        <v>1</v>
      </c>
      <c r="P662">
        <v>0</v>
      </c>
      <c r="Q662">
        <v>0</v>
      </c>
      <c r="R662" t="s">
        <v>112</v>
      </c>
      <c r="S662" t="str">
        <f>"14:01:23.750"</f>
        <v>14:01:23.750</v>
      </c>
      <c r="T662" t="str">
        <f>"14:01:23.250"</f>
        <v>14:01:23.250</v>
      </c>
      <c r="U662" t="str">
        <f t="shared" si="30"/>
        <v>ad5732</v>
      </c>
      <c r="V662">
        <v>0</v>
      </c>
      <c r="W662">
        <v>0</v>
      </c>
      <c r="X662">
        <v>1</v>
      </c>
      <c r="Z662">
        <v>0</v>
      </c>
      <c r="AA662">
        <v>9</v>
      </c>
      <c r="AB662">
        <v>3</v>
      </c>
      <c r="AC662">
        <v>0</v>
      </c>
      <c r="AD662">
        <v>10</v>
      </c>
      <c r="AE662">
        <v>0</v>
      </c>
      <c r="AF662">
        <v>3</v>
      </c>
      <c r="AG662">
        <v>2</v>
      </c>
      <c r="AH662">
        <v>0</v>
      </c>
      <c r="AI662" t="s">
        <v>1421</v>
      </c>
      <c r="AJ662">
        <v>39.288719</v>
      </c>
      <c r="AK662" t="s">
        <v>1422</v>
      </c>
      <c r="AL662">
        <v>-77.197344000000001</v>
      </c>
      <c r="AM662">
        <v>100</v>
      </c>
      <c r="AN662">
        <v>8700</v>
      </c>
      <c r="AO662" t="s">
        <v>115</v>
      </c>
      <c r="AP662">
        <v>173</v>
      </c>
      <c r="AQ662">
        <v>74</v>
      </c>
      <c r="AR662">
        <v>0</v>
      </c>
      <c r="AZ662">
        <v>3614</v>
      </c>
      <c r="BA662">
        <v>1</v>
      </c>
      <c r="BB662" t="str">
        <f t="shared" si="32"/>
        <v xml:space="preserve">N959MJ  </v>
      </c>
      <c r="BC662">
        <v>1</v>
      </c>
      <c r="BE662">
        <v>0</v>
      </c>
      <c r="BF662">
        <v>0</v>
      </c>
      <c r="BG662">
        <v>0</v>
      </c>
      <c r="BH662">
        <v>9025</v>
      </c>
      <c r="BI662">
        <v>325</v>
      </c>
      <c r="BJ662">
        <v>1</v>
      </c>
      <c r="BK662">
        <v>1</v>
      </c>
      <c r="BL662">
        <v>1</v>
      </c>
      <c r="BM662">
        <v>0</v>
      </c>
      <c r="BP662">
        <v>0</v>
      </c>
      <c r="BQ662">
        <v>0</v>
      </c>
      <c r="BX662" t="str">
        <f>"14:01:23.758"</f>
        <v>14:01:23.758</v>
      </c>
      <c r="BY662" t="str">
        <f>"754531928"</f>
        <v>754531928</v>
      </c>
      <c r="CL662">
        <v>0</v>
      </c>
      <c r="CM662">
        <v>2</v>
      </c>
      <c r="CN662">
        <v>0</v>
      </c>
      <c r="CO662">
        <v>2</v>
      </c>
      <c r="CP662">
        <v>0</v>
      </c>
      <c r="CQ662">
        <v>7</v>
      </c>
      <c r="CR662" t="s">
        <v>116</v>
      </c>
      <c r="CS662">
        <v>525</v>
      </c>
      <c r="CT662">
        <v>2</v>
      </c>
      <c r="CU662" t="s">
        <v>140</v>
      </c>
      <c r="CV662" t="s">
        <v>141</v>
      </c>
      <c r="CY662">
        <v>14555567</v>
      </c>
      <c r="CZ662" t="s">
        <v>119</v>
      </c>
    </row>
    <row r="663" spans="1:104" x14ac:dyDescent="0.25">
      <c r="A663" t="str">
        <f>"14:01:25.000"</f>
        <v>14:01:25.000</v>
      </c>
      <c r="B663" t="s">
        <v>108</v>
      </c>
      <c r="C663" t="str">
        <f t="shared" si="31"/>
        <v>ffdfd3c0</v>
      </c>
      <c r="D663" t="s">
        <v>109</v>
      </c>
      <c r="E663">
        <v>4</v>
      </c>
      <c r="F663">
        <v>1004</v>
      </c>
      <c r="G663" t="s">
        <v>110</v>
      </c>
      <c r="J663" t="s">
        <v>111</v>
      </c>
      <c r="K663">
        <v>0</v>
      </c>
      <c r="L663">
        <v>3</v>
      </c>
      <c r="M663">
        <v>0</v>
      </c>
      <c r="N663">
        <v>2</v>
      </c>
      <c r="O663">
        <v>1</v>
      </c>
      <c r="P663">
        <v>0</v>
      </c>
      <c r="Q663">
        <v>0</v>
      </c>
      <c r="R663" t="s">
        <v>112</v>
      </c>
      <c r="S663" t="str">
        <f>"14:01:24.828"</f>
        <v>14:01:24.828</v>
      </c>
      <c r="T663" t="str">
        <f>"14:01:23.828"</f>
        <v>14:01:23.828</v>
      </c>
      <c r="U663" t="str">
        <f t="shared" si="30"/>
        <v>ad5732</v>
      </c>
      <c r="V663">
        <v>0</v>
      </c>
      <c r="W663">
        <v>0</v>
      </c>
      <c r="X663">
        <v>1</v>
      </c>
      <c r="Z663">
        <v>0</v>
      </c>
      <c r="AA663">
        <v>9</v>
      </c>
      <c r="AB663">
        <v>3</v>
      </c>
      <c r="AC663">
        <v>0</v>
      </c>
      <c r="AD663">
        <v>10</v>
      </c>
      <c r="AE663">
        <v>0</v>
      </c>
      <c r="AF663">
        <v>3</v>
      </c>
      <c r="AG663">
        <v>2</v>
      </c>
      <c r="AH663">
        <v>0</v>
      </c>
      <c r="AI663" t="s">
        <v>1423</v>
      </c>
      <c r="AJ663">
        <v>39.289062000000001</v>
      </c>
      <c r="AK663" t="s">
        <v>1424</v>
      </c>
      <c r="AL663">
        <v>-77.196229000000002</v>
      </c>
      <c r="AM663">
        <v>100</v>
      </c>
      <c r="AN663">
        <v>8700</v>
      </c>
      <c r="AO663" t="s">
        <v>115</v>
      </c>
      <c r="AP663">
        <v>173</v>
      </c>
      <c r="AQ663">
        <v>74</v>
      </c>
      <c r="AR663">
        <v>0</v>
      </c>
      <c r="AZ663">
        <v>3614</v>
      </c>
      <c r="BA663">
        <v>1</v>
      </c>
      <c r="BB663" t="str">
        <f t="shared" si="32"/>
        <v xml:space="preserve">N959MJ  </v>
      </c>
      <c r="BC663">
        <v>1</v>
      </c>
      <c r="BE663">
        <v>0</v>
      </c>
      <c r="BF663">
        <v>0</v>
      </c>
      <c r="BG663">
        <v>0</v>
      </c>
      <c r="BH663">
        <v>9025</v>
      </c>
      <c r="BI663">
        <v>325</v>
      </c>
      <c r="BJ663">
        <v>1</v>
      </c>
      <c r="BK663">
        <v>1</v>
      </c>
      <c r="BL663">
        <v>1</v>
      </c>
      <c r="BM663">
        <v>0</v>
      </c>
      <c r="BP663">
        <v>0</v>
      </c>
      <c r="BQ663">
        <v>0</v>
      </c>
      <c r="BX663" t="str">
        <f>"14:01:24.828"</f>
        <v>14:01:24.828</v>
      </c>
      <c r="BY663" t="str">
        <f>"830978297"</f>
        <v>830978297</v>
      </c>
      <c r="CL663">
        <v>0</v>
      </c>
      <c r="CM663">
        <v>2</v>
      </c>
      <c r="CN663">
        <v>0</v>
      </c>
      <c r="CO663">
        <v>2</v>
      </c>
      <c r="CP663">
        <v>0</v>
      </c>
      <c r="CQ663">
        <v>7</v>
      </c>
      <c r="CR663" t="s">
        <v>116</v>
      </c>
      <c r="CS663">
        <v>525</v>
      </c>
      <c r="CT663">
        <v>2</v>
      </c>
      <c r="CU663" t="s">
        <v>140</v>
      </c>
      <c r="CV663" t="s">
        <v>141</v>
      </c>
      <c r="CY663">
        <v>14557121</v>
      </c>
      <c r="CZ663" t="s">
        <v>119</v>
      </c>
    </row>
    <row r="664" spans="1:104" x14ac:dyDescent="0.25">
      <c r="A664" t="str">
        <f>"14:01:25.961"</f>
        <v>14:01:25.961</v>
      </c>
      <c r="B664" t="s">
        <v>108</v>
      </c>
      <c r="C664" t="str">
        <f t="shared" si="31"/>
        <v>ffdfd3c0</v>
      </c>
      <c r="D664" t="s">
        <v>109</v>
      </c>
      <c r="E664">
        <v>4</v>
      </c>
      <c r="F664">
        <v>1004</v>
      </c>
      <c r="G664" t="s">
        <v>110</v>
      </c>
      <c r="J664" t="s">
        <v>111</v>
      </c>
      <c r="K664">
        <v>0</v>
      </c>
      <c r="L664">
        <v>3</v>
      </c>
      <c r="M664">
        <v>0</v>
      </c>
      <c r="N664">
        <v>2</v>
      </c>
      <c r="O664">
        <v>1</v>
      </c>
      <c r="P664">
        <v>0</v>
      </c>
      <c r="Q664">
        <v>0</v>
      </c>
      <c r="R664" t="s">
        <v>112</v>
      </c>
      <c r="S664" t="str">
        <f>"14:01:25.789"</f>
        <v>14:01:25.789</v>
      </c>
      <c r="T664" t="str">
        <f>"14:01:25.391"</f>
        <v>14:01:25.391</v>
      </c>
      <c r="U664" t="str">
        <f t="shared" si="30"/>
        <v>ad5732</v>
      </c>
      <c r="V664">
        <v>0</v>
      </c>
      <c r="W664">
        <v>0</v>
      </c>
      <c r="X664">
        <v>1</v>
      </c>
      <c r="Z664">
        <v>0</v>
      </c>
      <c r="AA664">
        <v>9</v>
      </c>
      <c r="AB664">
        <v>3</v>
      </c>
      <c r="AC664">
        <v>0</v>
      </c>
      <c r="AD664">
        <v>10</v>
      </c>
      <c r="AE664">
        <v>0</v>
      </c>
      <c r="AF664">
        <v>3</v>
      </c>
      <c r="AG664">
        <v>2</v>
      </c>
      <c r="AH664">
        <v>0</v>
      </c>
      <c r="AI664" t="s">
        <v>1425</v>
      </c>
      <c r="AJ664">
        <v>39.289383999999998</v>
      </c>
      <c r="AK664" t="s">
        <v>1426</v>
      </c>
      <c r="AL664">
        <v>-77.195199000000002</v>
      </c>
      <c r="AM664">
        <v>100</v>
      </c>
      <c r="AN664">
        <v>8700</v>
      </c>
      <c r="AO664" t="s">
        <v>115</v>
      </c>
      <c r="AP664">
        <v>174</v>
      </c>
      <c r="AQ664">
        <v>74</v>
      </c>
      <c r="AR664">
        <v>0</v>
      </c>
      <c r="AZ664">
        <v>3614</v>
      </c>
      <c r="BA664">
        <v>1</v>
      </c>
      <c r="BB664" t="str">
        <f t="shared" si="32"/>
        <v xml:space="preserve">N959MJ  </v>
      </c>
      <c r="BC664">
        <v>1</v>
      </c>
      <c r="BE664">
        <v>0</v>
      </c>
      <c r="BF664">
        <v>0</v>
      </c>
      <c r="BG664">
        <v>0</v>
      </c>
      <c r="BH664">
        <v>9025</v>
      </c>
      <c r="BI664">
        <v>325</v>
      </c>
      <c r="BJ664">
        <v>1</v>
      </c>
      <c r="BK664">
        <v>1</v>
      </c>
      <c r="BL664">
        <v>1</v>
      </c>
      <c r="BM664">
        <v>0</v>
      </c>
      <c r="BP664">
        <v>0</v>
      </c>
      <c r="BQ664">
        <v>0</v>
      </c>
      <c r="BX664" t="str">
        <f>"14:01:25.789"</f>
        <v>14:01:25.789</v>
      </c>
      <c r="BY664" t="str">
        <f>"792734690"</f>
        <v>792734690</v>
      </c>
      <c r="CL664">
        <v>0</v>
      </c>
      <c r="CM664">
        <v>2</v>
      </c>
      <c r="CN664">
        <v>0</v>
      </c>
      <c r="CO664">
        <v>2</v>
      </c>
      <c r="CP664">
        <v>0</v>
      </c>
      <c r="CQ664">
        <v>7</v>
      </c>
      <c r="CR664" t="s">
        <v>116</v>
      </c>
      <c r="CS664">
        <v>525</v>
      </c>
      <c r="CT664">
        <v>1</v>
      </c>
      <c r="CU664" t="s">
        <v>140</v>
      </c>
      <c r="CV664" t="s">
        <v>141</v>
      </c>
      <c r="CY664">
        <v>8129164</v>
      </c>
      <c r="CZ664" t="s">
        <v>119</v>
      </c>
    </row>
    <row r="665" spans="1:104" x14ac:dyDescent="0.25">
      <c r="A665" t="str">
        <f>"14:01:26.875"</f>
        <v>14:01:26.875</v>
      </c>
      <c r="B665" t="s">
        <v>108</v>
      </c>
      <c r="C665" t="str">
        <f t="shared" si="31"/>
        <v>ffdfd3c0</v>
      </c>
      <c r="D665" t="s">
        <v>109</v>
      </c>
      <c r="E665">
        <v>4</v>
      </c>
      <c r="F665">
        <v>1004</v>
      </c>
      <c r="G665" t="s">
        <v>110</v>
      </c>
      <c r="J665" t="s">
        <v>111</v>
      </c>
      <c r="K665">
        <v>0</v>
      </c>
      <c r="L665">
        <v>3</v>
      </c>
      <c r="M665">
        <v>0</v>
      </c>
      <c r="N665">
        <v>2</v>
      </c>
      <c r="O665">
        <v>1</v>
      </c>
      <c r="P665">
        <v>0</v>
      </c>
      <c r="Q665">
        <v>0</v>
      </c>
      <c r="R665" t="s">
        <v>112</v>
      </c>
      <c r="S665" t="str">
        <f>"14:01:26.711"</f>
        <v>14:01:26.711</v>
      </c>
      <c r="T665" t="str">
        <f>"14:01:26.313"</f>
        <v>14:01:26.313</v>
      </c>
      <c r="U665" t="str">
        <f t="shared" si="30"/>
        <v>ad5732</v>
      </c>
      <c r="V665">
        <v>0</v>
      </c>
      <c r="W665">
        <v>0</v>
      </c>
      <c r="X665">
        <v>1</v>
      </c>
      <c r="Z665">
        <v>0</v>
      </c>
      <c r="AA665">
        <v>9</v>
      </c>
      <c r="AB665">
        <v>3</v>
      </c>
      <c r="AC665">
        <v>0</v>
      </c>
      <c r="AD665">
        <v>10</v>
      </c>
      <c r="AE665">
        <v>0</v>
      </c>
      <c r="AF665">
        <v>3</v>
      </c>
      <c r="AG665">
        <v>2</v>
      </c>
      <c r="AH665">
        <v>0</v>
      </c>
      <c r="AI665" t="s">
        <v>1427</v>
      </c>
      <c r="AJ665">
        <v>39.289726999999999</v>
      </c>
      <c r="AK665" t="s">
        <v>1428</v>
      </c>
      <c r="AL665">
        <v>-77.194232999999997</v>
      </c>
      <c r="AM665">
        <v>100</v>
      </c>
      <c r="AN665">
        <v>8700</v>
      </c>
      <c r="AO665" t="s">
        <v>115</v>
      </c>
      <c r="AP665">
        <v>174</v>
      </c>
      <c r="AQ665">
        <v>74</v>
      </c>
      <c r="AR665">
        <v>0</v>
      </c>
      <c r="AZ665">
        <v>3614</v>
      </c>
      <c r="BA665">
        <v>1</v>
      </c>
      <c r="BB665" t="str">
        <f t="shared" si="32"/>
        <v xml:space="preserve">N959MJ  </v>
      </c>
      <c r="BC665">
        <v>1</v>
      </c>
      <c r="BE665">
        <v>0</v>
      </c>
      <c r="BF665">
        <v>0</v>
      </c>
      <c r="BG665">
        <v>0</v>
      </c>
      <c r="BH665">
        <v>9025</v>
      </c>
      <c r="BI665">
        <v>325</v>
      </c>
      <c r="BJ665">
        <v>1</v>
      </c>
      <c r="BK665">
        <v>1</v>
      </c>
      <c r="BL665">
        <v>1</v>
      </c>
      <c r="BM665">
        <v>0</v>
      </c>
      <c r="BP665">
        <v>0</v>
      </c>
      <c r="BQ665">
        <v>0</v>
      </c>
      <c r="BX665" t="str">
        <f>"14:01:26.719"</f>
        <v>14:01:26.719</v>
      </c>
      <c r="BY665" t="str">
        <f>"716807398"</f>
        <v>716807398</v>
      </c>
      <c r="CL665">
        <v>0</v>
      </c>
      <c r="CM665">
        <v>2</v>
      </c>
      <c r="CN665">
        <v>0</v>
      </c>
      <c r="CO665">
        <v>2</v>
      </c>
      <c r="CP665">
        <v>0</v>
      </c>
      <c r="CQ665">
        <v>7</v>
      </c>
      <c r="CR665" t="s">
        <v>116</v>
      </c>
      <c r="CS665">
        <v>525</v>
      </c>
      <c r="CT665">
        <v>2</v>
      </c>
      <c r="CU665" t="s">
        <v>140</v>
      </c>
      <c r="CV665" t="s">
        <v>141</v>
      </c>
      <c r="CY665">
        <v>14559885</v>
      </c>
      <c r="CZ665" t="s">
        <v>119</v>
      </c>
    </row>
    <row r="666" spans="1:104" x14ac:dyDescent="0.25">
      <c r="A666" t="str">
        <f>"14:01:27.930"</f>
        <v>14:01:27.930</v>
      </c>
      <c r="B666" t="s">
        <v>108</v>
      </c>
      <c r="C666" t="str">
        <f t="shared" si="31"/>
        <v>ffdfd3c0</v>
      </c>
      <c r="D666" t="s">
        <v>109</v>
      </c>
      <c r="E666">
        <v>4</v>
      </c>
      <c r="F666">
        <v>1004</v>
      </c>
      <c r="G666" t="s">
        <v>110</v>
      </c>
      <c r="J666" t="s">
        <v>111</v>
      </c>
      <c r="K666">
        <v>0</v>
      </c>
      <c r="L666">
        <v>3</v>
      </c>
      <c r="M666">
        <v>0</v>
      </c>
      <c r="N666">
        <v>2</v>
      </c>
      <c r="O666">
        <v>1</v>
      </c>
      <c r="P666">
        <v>0</v>
      </c>
      <c r="Q666">
        <v>0</v>
      </c>
      <c r="R666" t="s">
        <v>112</v>
      </c>
      <c r="S666" t="str">
        <f>"14:01:27.758"</f>
        <v>14:01:27.758</v>
      </c>
      <c r="T666" t="str">
        <f>"14:01:27.258"</f>
        <v>14:01:27.258</v>
      </c>
      <c r="U666" t="str">
        <f t="shared" si="30"/>
        <v>ad5732</v>
      </c>
      <c r="V666">
        <v>0</v>
      </c>
      <c r="W666">
        <v>0</v>
      </c>
      <c r="X666">
        <v>1</v>
      </c>
      <c r="Z666">
        <v>0</v>
      </c>
      <c r="AA666">
        <v>9</v>
      </c>
      <c r="AB666">
        <v>3</v>
      </c>
      <c r="AC666">
        <v>0</v>
      </c>
      <c r="AD666">
        <v>10</v>
      </c>
      <c r="AE666">
        <v>0</v>
      </c>
      <c r="AF666">
        <v>3</v>
      </c>
      <c r="AG666">
        <v>2</v>
      </c>
      <c r="AH666">
        <v>0</v>
      </c>
      <c r="AI666" t="s">
        <v>1429</v>
      </c>
      <c r="AJ666">
        <v>39.290092000000001</v>
      </c>
      <c r="AK666" t="s">
        <v>1430</v>
      </c>
      <c r="AL666">
        <v>-77.193160000000006</v>
      </c>
      <c r="AM666">
        <v>100</v>
      </c>
      <c r="AN666">
        <v>8700</v>
      </c>
      <c r="AO666" t="s">
        <v>115</v>
      </c>
      <c r="AP666">
        <v>174</v>
      </c>
      <c r="AQ666">
        <v>74</v>
      </c>
      <c r="AR666">
        <v>0</v>
      </c>
      <c r="AZ666">
        <v>3614</v>
      </c>
      <c r="BA666">
        <v>1</v>
      </c>
      <c r="BB666" t="str">
        <f t="shared" si="32"/>
        <v xml:space="preserve">N959MJ  </v>
      </c>
      <c r="BC666">
        <v>1</v>
      </c>
      <c r="BE666">
        <v>0</v>
      </c>
      <c r="BF666">
        <v>0</v>
      </c>
      <c r="BG666">
        <v>0</v>
      </c>
      <c r="BH666">
        <v>9025</v>
      </c>
      <c r="BI666">
        <v>325</v>
      </c>
      <c r="BJ666">
        <v>1</v>
      </c>
      <c r="BK666">
        <v>1</v>
      </c>
      <c r="BL666">
        <v>1</v>
      </c>
      <c r="BM666">
        <v>0</v>
      </c>
      <c r="BP666">
        <v>0</v>
      </c>
      <c r="BQ666">
        <v>0</v>
      </c>
      <c r="BX666" t="str">
        <f>"14:01:27.766"</f>
        <v>14:01:27.766</v>
      </c>
      <c r="BY666" t="str">
        <f>"762123673"</f>
        <v>762123673</v>
      </c>
      <c r="CL666">
        <v>0</v>
      </c>
      <c r="CM666">
        <v>2</v>
      </c>
      <c r="CN666">
        <v>0</v>
      </c>
      <c r="CO666">
        <v>2</v>
      </c>
      <c r="CP666">
        <v>0</v>
      </c>
      <c r="CQ666">
        <v>7</v>
      </c>
      <c r="CR666" t="s">
        <v>116</v>
      </c>
      <c r="CS666">
        <v>525</v>
      </c>
      <c r="CT666">
        <v>2</v>
      </c>
      <c r="CU666" t="s">
        <v>140</v>
      </c>
      <c r="CV666" t="s">
        <v>141</v>
      </c>
      <c r="CY666">
        <v>14561430</v>
      </c>
      <c r="CZ666" t="s">
        <v>119</v>
      </c>
    </row>
    <row r="667" spans="1:104" x14ac:dyDescent="0.25">
      <c r="A667" t="str">
        <f>"14:01:29.094"</f>
        <v>14:01:29.094</v>
      </c>
      <c r="B667" t="s">
        <v>108</v>
      </c>
      <c r="C667" t="str">
        <f t="shared" si="31"/>
        <v>ffdfd3c0</v>
      </c>
      <c r="D667" t="s">
        <v>109</v>
      </c>
      <c r="E667">
        <v>4</v>
      </c>
      <c r="F667">
        <v>1004</v>
      </c>
      <c r="G667" t="s">
        <v>110</v>
      </c>
      <c r="J667" t="s">
        <v>111</v>
      </c>
      <c r="K667">
        <v>0</v>
      </c>
      <c r="L667">
        <v>3</v>
      </c>
      <c r="M667">
        <v>0</v>
      </c>
      <c r="N667">
        <v>2</v>
      </c>
      <c r="O667">
        <v>1</v>
      </c>
      <c r="P667">
        <v>0</v>
      </c>
      <c r="Q667">
        <v>0</v>
      </c>
      <c r="R667" t="s">
        <v>112</v>
      </c>
      <c r="S667" t="str">
        <f>"14:01:28.922"</f>
        <v>14:01:28.922</v>
      </c>
      <c r="T667" t="str">
        <f>"14:01:28.422"</f>
        <v>14:01:28.422</v>
      </c>
      <c r="U667" t="str">
        <f t="shared" si="30"/>
        <v>ad5732</v>
      </c>
      <c r="V667">
        <v>0</v>
      </c>
      <c r="W667">
        <v>0</v>
      </c>
      <c r="X667">
        <v>1</v>
      </c>
      <c r="Z667">
        <v>0</v>
      </c>
      <c r="AA667">
        <v>9</v>
      </c>
      <c r="AB667">
        <v>3</v>
      </c>
      <c r="AC667">
        <v>0</v>
      </c>
      <c r="AD667">
        <v>10</v>
      </c>
      <c r="AE667">
        <v>0</v>
      </c>
      <c r="AF667">
        <v>3</v>
      </c>
      <c r="AG667">
        <v>2</v>
      </c>
      <c r="AH667">
        <v>0</v>
      </c>
      <c r="AI667" t="s">
        <v>1431</v>
      </c>
      <c r="AJ667">
        <v>39.290500000000002</v>
      </c>
      <c r="AK667" t="s">
        <v>1432</v>
      </c>
      <c r="AL667">
        <v>-77.191980000000001</v>
      </c>
      <c r="AM667">
        <v>100</v>
      </c>
      <c r="AN667">
        <v>8700</v>
      </c>
      <c r="AO667" t="s">
        <v>115</v>
      </c>
      <c r="AP667">
        <v>174</v>
      </c>
      <c r="AQ667">
        <v>74</v>
      </c>
      <c r="AR667">
        <v>0</v>
      </c>
      <c r="AZ667">
        <v>3614</v>
      </c>
      <c r="BA667">
        <v>1</v>
      </c>
      <c r="BB667" t="str">
        <f t="shared" si="32"/>
        <v xml:space="preserve">N959MJ  </v>
      </c>
      <c r="BC667">
        <v>1</v>
      </c>
      <c r="BE667">
        <v>0</v>
      </c>
      <c r="BF667">
        <v>0</v>
      </c>
      <c r="BG667">
        <v>0</v>
      </c>
      <c r="BH667">
        <v>9025</v>
      </c>
      <c r="BI667">
        <v>325</v>
      </c>
      <c r="BJ667">
        <v>1</v>
      </c>
      <c r="BK667">
        <v>1</v>
      </c>
      <c r="BL667">
        <v>1</v>
      </c>
      <c r="BM667">
        <v>0</v>
      </c>
      <c r="BP667">
        <v>0</v>
      </c>
      <c r="BQ667">
        <v>0</v>
      </c>
      <c r="BX667" t="str">
        <f>"14:01:28.922"</f>
        <v>14:01:28.922</v>
      </c>
      <c r="BY667" t="str">
        <f>"923770141"</f>
        <v>923770141</v>
      </c>
      <c r="CL667">
        <v>0</v>
      </c>
      <c r="CM667">
        <v>2</v>
      </c>
      <c r="CN667">
        <v>0</v>
      </c>
      <c r="CO667">
        <v>2</v>
      </c>
      <c r="CP667">
        <v>0</v>
      </c>
      <c r="CQ667">
        <v>7</v>
      </c>
      <c r="CR667" t="s">
        <v>116</v>
      </c>
      <c r="CS667">
        <v>147</v>
      </c>
      <c r="CT667">
        <v>0</v>
      </c>
      <c r="CU667" t="s">
        <v>117</v>
      </c>
      <c r="CV667" t="s">
        <v>118</v>
      </c>
      <c r="CY667">
        <v>4970191</v>
      </c>
      <c r="CZ667" t="s">
        <v>119</v>
      </c>
    </row>
    <row r="668" spans="1:104" x14ac:dyDescent="0.25">
      <c r="A668" t="str">
        <f>"14:01:30.258"</f>
        <v>14:01:30.258</v>
      </c>
      <c r="B668" t="s">
        <v>108</v>
      </c>
      <c r="C668" t="str">
        <f t="shared" si="31"/>
        <v>ffdfd3c0</v>
      </c>
      <c r="D668" t="s">
        <v>109</v>
      </c>
      <c r="E668">
        <v>4</v>
      </c>
      <c r="F668">
        <v>1004</v>
      </c>
      <c r="G668" t="s">
        <v>110</v>
      </c>
      <c r="J668" t="s">
        <v>111</v>
      </c>
      <c r="K668">
        <v>0</v>
      </c>
      <c r="L668">
        <v>3</v>
      </c>
      <c r="M668">
        <v>0</v>
      </c>
      <c r="N668">
        <v>2</v>
      </c>
      <c r="O668">
        <v>1</v>
      </c>
      <c r="P668">
        <v>0</v>
      </c>
      <c r="Q668">
        <v>0</v>
      </c>
      <c r="R668" t="s">
        <v>112</v>
      </c>
      <c r="S668" t="str">
        <f>"14:01:30.016"</f>
        <v>14:01:30.016</v>
      </c>
      <c r="T668" t="str">
        <f>"14:01:29.516"</f>
        <v>14:01:29.516</v>
      </c>
      <c r="U668" t="str">
        <f t="shared" si="30"/>
        <v>ad5732</v>
      </c>
      <c r="V668">
        <v>0</v>
      </c>
      <c r="W668">
        <v>0</v>
      </c>
      <c r="X668">
        <v>1</v>
      </c>
      <c r="Z668">
        <v>0</v>
      </c>
      <c r="AA668">
        <v>9</v>
      </c>
      <c r="AB668">
        <v>3</v>
      </c>
      <c r="AC668">
        <v>0</v>
      </c>
      <c r="AD668">
        <v>10</v>
      </c>
      <c r="AE668">
        <v>0</v>
      </c>
      <c r="AF668">
        <v>3</v>
      </c>
      <c r="AG668">
        <v>2</v>
      </c>
      <c r="AH668">
        <v>0</v>
      </c>
      <c r="AI668" t="s">
        <v>1433</v>
      </c>
      <c r="AJ668">
        <v>39.290843000000002</v>
      </c>
      <c r="AK668" t="s">
        <v>1434</v>
      </c>
      <c r="AL668">
        <v>-77.190799999999996</v>
      </c>
      <c r="AM668">
        <v>100</v>
      </c>
      <c r="AN668">
        <v>8700</v>
      </c>
      <c r="AO668" t="s">
        <v>115</v>
      </c>
      <c r="AP668">
        <v>174</v>
      </c>
      <c r="AQ668">
        <v>74</v>
      </c>
      <c r="AR668">
        <v>0</v>
      </c>
      <c r="AZ668">
        <v>3614</v>
      </c>
      <c r="BA668">
        <v>1</v>
      </c>
      <c r="BB668" t="str">
        <f t="shared" si="32"/>
        <v xml:space="preserve">N959MJ  </v>
      </c>
      <c r="BC668">
        <v>1</v>
      </c>
      <c r="BE668">
        <v>0</v>
      </c>
      <c r="BF668">
        <v>0</v>
      </c>
      <c r="BG668">
        <v>0</v>
      </c>
      <c r="BH668">
        <v>9025</v>
      </c>
      <c r="BI668">
        <v>325</v>
      </c>
      <c r="BJ668">
        <v>1</v>
      </c>
      <c r="BK668">
        <v>1</v>
      </c>
      <c r="BL668">
        <v>1</v>
      </c>
      <c r="BM668">
        <v>0</v>
      </c>
      <c r="BP668">
        <v>0</v>
      </c>
      <c r="BQ668">
        <v>0</v>
      </c>
      <c r="BX668" t="str">
        <f>"14:01:30.023"</f>
        <v>14:01:30.023</v>
      </c>
      <c r="BY668" t="str">
        <f>"023152392"</f>
        <v>023152392</v>
      </c>
      <c r="CL668">
        <v>0</v>
      </c>
      <c r="CM668">
        <v>2</v>
      </c>
      <c r="CN668">
        <v>0</v>
      </c>
      <c r="CO668">
        <v>2</v>
      </c>
      <c r="CP668">
        <v>0</v>
      </c>
      <c r="CQ668">
        <v>7</v>
      </c>
      <c r="CR668" t="s">
        <v>116</v>
      </c>
      <c r="CS668">
        <v>525</v>
      </c>
      <c r="CT668">
        <v>1</v>
      </c>
      <c r="CU668" t="s">
        <v>140</v>
      </c>
      <c r="CV668" t="s">
        <v>141</v>
      </c>
      <c r="CY668">
        <v>8134871</v>
      </c>
      <c r="CZ668" t="s">
        <v>119</v>
      </c>
    </row>
    <row r="669" spans="1:104" x14ac:dyDescent="0.25">
      <c r="A669" t="str">
        <f>"14:01:31.164"</f>
        <v>14:01:31.164</v>
      </c>
      <c r="B669" t="s">
        <v>108</v>
      </c>
      <c r="C669" t="str">
        <f t="shared" si="31"/>
        <v>ffdfd3c0</v>
      </c>
      <c r="D669" t="s">
        <v>109</v>
      </c>
      <c r="E669">
        <v>4</v>
      </c>
      <c r="F669">
        <v>1004</v>
      </c>
      <c r="G669" t="s">
        <v>110</v>
      </c>
      <c r="J669" t="s">
        <v>111</v>
      </c>
      <c r="K669">
        <v>0</v>
      </c>
      <c r="L669">
        <v>3</v>
      </c>
      <c r="M669">
        <v>0</v>
      </c>
      <c r="N669">
        <v>2</v>
      </c>
      <c r="O669">
        <v>1</v>
      </c>
      <c r="P669">
        <v>0</v>
      </c>
      <c r="Q669">
        <v>0</v>
      </c>
      <c r="R669" t="s">
        <v>112</v>
      </c>
      <c r="S669" t="str">
        <f>"14:01:30.977"</f>
        <v>14:01:30.977</v>
      </c>
      <c r="T669" t="str">
        <f>"14:01:30.477"</f>
        <v>14:01:30.477</v>
      </c>
      <c r="U669" t="str">
        <f t="shared" si="30"/>
        <v>ad5732</v>
      </c>
      <c r="V669">
        <v>0</v>
      </c>
      <c r="W669">
        <v>0</v>
      </c>
      <c r="X669">
        <v>1</v>
      </c>
      <c r="Z669">
        <v>0</v>
      </c>
      <c r="AA669">
        <v>9</v>
      </c>
      <c r="AB669">
        <v>3</v>
      </c>
      <c r="AC669">
        <v>0</v>
      </c>
      <c r="AD669">
        <v>10</v>
      </c>
      <c r="AE669">
        <v>0</v>
      </c>
      <c r="AF669">
        <v>3</v>
      </c>
      <c r="AG669">
        <v>2</v>
      </c>
      <c r="AH669">
        <v>0</v>
      </c>
      <c r="AI669" t="s">
        <v>1435</v>
      </c>
      <c r="AJ669">
        <v>39.291207999999997</v>
      </c>
      <c r="AK669" t="s">
        <v>1436</v>
      </c>
      <c r="AL669">
        <v>-77.189747999999994</v>
      </c>
      <c r="AM669">
        <v>100</v>
      </c>
      <c r="AN669">
        <v>8700</v>
      </c>
      <c r="AO669" t="s">
        <v>115</v>
      </c>
      <c r="AP669">
        <v>174</v>
      </c>
      <c r="AQ669">
        <v>74</v>
      </c>
      <c r="AR669">
        <v>0</v>
      </c>
      <c r="AZ669">
        <v>3614</v>
      </c>
      <c r="BA669">
        <v>1</v>
      </c>
      <c r="BB669" t="str">
        <f t="shared" si="32"/>
        <v xml:space="preserve">N959MJ  </v>
      </c>
      <c r="BC669">
        <v>1</v>
      </c>
      <c r="BE669">
        <v>0</v>
      </c>
      <c r="BF669">
        <v>0</v>
      </c>
      <c r="BG669">
        <v>0</v>
      </c>
      <c r="BH669">
        <v>9025</v>
      </c>
      <c r="BI669">
        <v>325</v>
      </c>
      <c r="BJ669">
        <v>1</v>
      </c>
      <c r="BK669">
        <v>1</v>
      </c>
      <c r="BL669">
        <v>1</v>
      </c>
      <c r="BM669">
        <v>0</v>
      </c>
      <c r="BP669">
        <v>0</v>
      </c>
      <c r="BQ669">
        <v>0</v>
      </c>
      <c r="BX669" t="str">
        <f>"14:01:30.977"</f>
        <v>14:01:30.977</v>
      </c>
      <c r="BY669" t="str">
        <f>"979993580"</f>
        <v>979993580</v>
      </c>
      <c r="CL669">
        <v>0</v>
      </c>
      <c r="CM669">
        <v>2</v>
      </c>
      <c r="CN669">
        <v>0</v>
      </c>
      <c r="CO669">
        <v>2</v>
      </c>
      <c r="CP669">
        <v>0</v>
      </c>
      <c r="CQ669">
        <v>7</v>
      </c>
      <c r="CR669" t="s">
        <v>116</v>
      </c>
      <c r="CS669">
        <v>525</v>
      </c>
      <c r="CT669">
        <v>1</v>
      </c>
      <c r="CU669" t="s">
        <v>140</v>
      </c>
      <c r="CV669" t="s">
        <v>141</v>
      </c>
      <c r="CY669">
        <v>8136165</v>
      </c>
      <c r="CZ669" t="s">
        <v>119</v>
      </c>
    </row>
    <row r="670" spans="1:104" x14ac:dyDescent="0.25">
      <c r="A670" t="str">
        <f>"14:01:32.273"</f>
        <v>14:01:32.273</v>
      </c>
      <c r="B670" t="s">
        <v>108</v>
      </c>
      <c r="C670" t="str">
        <f t="shared" si="31"/>
        <v>ffdfd3c0</v>
      </c>
      <c r="D670" t="s">
        <v>109</v>
      </c>
      <c r="E670">
        <v>4</v>
      </c>
      <c r="F670">
        <v>1004</v>
      </c>
      <c r="G670" t="s">
        <v>110</v>
      </c>
      <c r="J670" t="s">
        <v>111</v>
      </c>
      <c r="K670">
        <v>0</v>
      </c>
      <c r="L670">
        <v>3</v>
      </c>
      <c r="M670">
        <v>0</v>
      </c>
      <c r="N670">
        <v>2</v>
      </c>
      <c r="O670">
        <v>1</v>
      </c>
      <c r="P670">
        <v>0</v>
      </c>
      <c r="Q670">
        <v>0</v>
      </c>
      <c r="R670" t="s">
        <v>112</v>
      </c>
      <c r="S670" t="str">
        <f>"14:01:32.063"</f>
        <v>14:01:32.063</v>
      </c>
      <c r="T670" t="str">
        <f>"14:01:31.563"</f>
        <v>14:01:31.563</v>
      </c>
      <c r="U670" t="str">
        <f t="shared" si="30"/>
        <v>ad5732</v>
      </c>
      <c r="V670">
        <v>0</v>
      </c>
      <c r="W670">
        <v>0</v>
      </c>
      <c r="X670">
        <v>1</v>
      </c>
      <c r="Z670">
        <v>0</v>
      </c>
      <c r="AA670">
        <v>9</v>
      </c>
      <c r="AB670">
        <v>3</v>
      </c>
      <c r="AC670">
        <v>0</v>
      </c>
      <c r="AD670">
        <v>10</v>
      </c>
      <c r="AE670">
        <v>0</v>
      </c>
      <c r="AF670">
        <v>3</v>
      </c>
      <c r="AG670">
        <v>2</v>
      </c>
      <c r="AH670">
        <v>0</v>
      </c>
      <c r="AI670" t="s">
        <v>1437</v>
      </c>
      <c r="AJ670">
        <v>39.291530000000002</v>
      </c>
      <c r="AK670" t="s">
        <v>1438</v>
      </c>
      <c r="AL670">
        <v>-77.188717999999994</v>
      </c>
      <c r="AM670">
        <v>100</v>
      </c>
      <c r="AN670">
        <v>8700</v>
      </c>
      <c r="AO670" t="s">
        <v>115</v>
      </c>
      <c r="AP670">
        <v>174</v>
      </c>
      <c r="AQ670">
        <v>74</v>
      </c>
      <c r="AR670">
        <v>0</v>
      </c>
      <c r="AZ670">
        <v>3614</v>
      </c>
      <c r="BA670">
        <v>1</v>
      </c>
      <c r="BB670" t="str">
        <f t="shared" si="32"/>
        <v xml:space="preserve">N959MJ  </v>
      </c>
      <c r="BC670">
        <v>1</v>
      </c>
      <c r="BE670">
        <v>0</v>
      </c>
      <c r="BF670">
        <v>0</v>
      </c>
      <c r="BG670">
        <v>0</v>
      </c>
      <c r="BH670">
        <v>9025</v>
      </c>
      <c r="BI670">
        <v>325</v>
      </c>
      <c r="BJ670">
        <v>1</v>
      </c>
      <c r="BK670">
        <v>1</v>
      </c>
      <c r="BL670">
        <v>1</v>
      </c>
      <c r="BM670">
        <v>0</v>
      </c>
      <c r="BP670">
        <v>0</v>
      </c>
      <c r="BQ670">
        <v>0</v>
      </c>
      <c r="BX670" t="str">
        <f>"14:01:32.063"</f>
        <v>14:01:32.063</v>
      </c>
      <c r="BY670" t="str">
        <f>"066270484"</f>
        <v>066270484</v>
      </c>
      <c r="CL670">
        <v>0</v>
      </c>
      <c r="CM670">
        <v>2</v>
      </c>
      <c r="CN670">
        <v>0</v>
      </c>
      <c r="CO670">
        <v>2</v>
      </c>
      <c r="CP670">
        <v>0</v>
      </c>
      <c r="CQ670">
        <v>7</v>
      </c>
      <c r="CR670" t="s">
        <v>116</v>
      </c>
      <c r="CS670">
        <v>525</v>
      </c>
      <c r="CT670">
        <v>1</v>
      </c>
      <c r="CU670" t="s">
        <v>140</v>
      </c>
      <c r="CV670" t="s">
        <v>141</v>
      </c>
      <c r="CY670">
        <v>8137705</v>
      </c>
      <c r="CZ670" t="s">
        <v>119</v>
      </c>
    </row>
    <row r="671" spans="1:104" x14ac:dyDescent="0.25">
      <c r="A671" t="str">
        <f>"14:01:33.328"</f>
        <v>14:01:33.328</v>
      </c>
      <c r="B671" t="s">
        <v>108</v>
      </c>
      <c r="C671" t="str">
        <f t="shared" si="31"/>
        <v>ffdfd3c0</v>
      </c>
      <c r="D671" t="s">
        <v>109</v>
      </c>
      <c r="E671">
        <v>4</v>
      </c>
      <c r="F671">
        <v>1004</v>
      </c>
      <c r="G671" t="s">
        <v>110</v>
      </c>
      <c r="J671" t="s">
        <v>111</v>
      </c>
      <c r="K671">
        <v>0</v>
      </c>
      <c r="L671">
        <v>3</v>
      </c>
      <c r="M671">
        <v>0</v>
      </c>
      <c r="N671">
        <v>2</v>
      </c>
      <c r="O671">
        <v>1</v>
      </c>
      <c r="P671">
        <v>0</v>
      </c>
      <c r="Q671">
        <v>0</v>
      </c>
      <c r="R671" t="s">
        <v>112</v>
      </c>
      <c r="S671" t="str">
        <f>"14:01:33.141"</f>
        <v>14:01:33.141</v>
      </c>
      <c r="T671" t="str">
        <f>"14:01:32.641"</f>
        <v>14:01:32.641</v>
      </c>
      <c r="U671" t="str">
        <f t="shared" si="30"/>
        <v>ad5732</v>
      </c>
      <c r="V671">
        <v>0</v>
      </c>
      <c r="W671">
        <v>0</v>
      </c>
      <c r="X671">
        <v>1</v>
      </c>
      <c r="Z671">
        <v>0</v>
      </c>
      <c r="AA671">
        <v>9</v>
      </c>
      <c r="AB671">
        <v>3</v>
      </c>
      <c r="AC671">
        <v>0</v>
      </c>
      <c r="AD671">
        <v>10</v>
      </c>
      <c r="AE671">
        <v>0</v>
      </c>
      <c r="AF671">
        <v>3</v>
      </c>
      <c r="AG671">
        <v>2</v>
      </c>
      <c r="AH671">
        <v>0</v>
      </c>
      <c r="AI671" t="s">
        <v>1439</v>
      </c>
      <c r="AJ671">
        <v>39.291916000000001</v>
      </c>
      <c r="AK671" t="s">
        <v>1440</v>
      </c>
      <c r="AL671">
        <v>-77.187602999999996</v>
      </c>
      <c r="AM671">
        <v>100</v>
      </c>
      <c r="AN671">
        <v>8700</v>
      </c>
      <c r="AO671" t="s">
        <v>115</v>
      </c>
      <c r="AP671">
        <v>174</v>
      </c>
      <c r="AQ671">
        <v>74</v>
      </c>
      <c r="AR671">
        <v>0</v>
      </c>
      <c r="AZ671">
        <v>3614</v>
      </c>
      <c r="BA671">
        <v>1</v>
      </c>
      <c r="BB671" t="str">
        <f t="shared" si="32"/>
        <v xml:space="preserve">N959MJ  </v>
      </c>
      <c r="BC671">
        <v>1</v>
      </c>
      <c r="BE671">
        <v>0</v>
      </c>
      <c r="BF671">
        <v>0</v>
      </c>
      <c r="BG671">
        <v>0</v>
      </c>
      <c r="BH671">
        <v>9025</v>
      </c>
      <c r="BI671">
        <v>325</v>
      </c>
      <c r="BJ671">
        <v>1</v>
      </c>
      <c r="BK671">
        <v>1</v>
      </c>
      <c r="BL671">
        <v>1</v>
      </c>
      <c r="BM671">
        <v>0</v>
      </c>
      <c r="BP671">
        <v>0</v>
      </c>
      <c r="BQ671">
        <v>0</v>
      </c>
      <c r="BX671" t="str">
        <f>"14:01:33.141"</f>
        <v>14:01:33.141</v>
      </c>
      <c r="BY671" t="str">
        <f>"141078395"</f>
        <v>141078395</v>
      </c>
      <c r="CL671">
        <v>0</v>
      </c>
      <c r="CM671">
        <v>2</v>
      </c>
      <c r="CN671">
        <v>0</v>
      </c>
      <c r="CO671">
        <v>2</v>
      </c>
      <c r="CP671">
        <v>0</v>
      </c>
      <c r="CQ671">
        <v>7</v>
      </c>
      <c r="CR671" t="s">
        <v>116</v>
      </c>
      <c r="CS671">
        <v>525</v>
      </c>
      <c r="CT671">
        <v>2</v>
      </c>
      <c r="CU671" t="s">
        <v>140</v>
      </c>
      <c r="CV671" t="s">
        <v>141</v>
      </c>
      <c r="CY671">
        <v>14569378</v>
      </c>
      <c r="CZ671" t="s">
        <v>119</v>
      </c>
    </row>
    <row r="672" spans="1:104" x14ac:dyDescent="0.25">
      <c r="A672" t="str">
        <f>"14:01:34.438"</f>
        <v>14:01:34.438</v>
      </c>
      <c r="B672" t="s">
        <v>108</v>
      </c>
      <c r="C672" t="str">
        <f t="shared" si="31"/>
        <v>ffdfd3c0</v>
      </c>
      <c r="D672" t="s">
        <v>109</v>
      </c>
      <c r="E672">
        <v>4</v>
      </c>
      <c r="F672">
        <v>1004</v>
      </c>
      <c r="G672" t="s">
        <v>110</v>
      </c>
      <c r="J672" t="s">
        <v>111</v>
      </c>
      <c r="K672">
        <v>0</v>
      </c>
      <c r="L672">
        <v>3</v>
      </c>
      <c r="M672">
        <v>0</v>
      </c>
      <c r="N672">
        <v>2</v>
      </c>
      <c r="O672">
        <v>1</v>
      </c>
      <c r="P672">
        <v>0</v>
      </c>
      <c r="Q672">
        <v>0</v>
      </c>
      <c r="R672" t="s">
        <v>112</v>
      </c>
      <c r="S672" t="str">
        <f>"14:01:34.266"</f>
        <v>14:01:34.266</v>
      </c>
      <c r="T672" t="str">
        <f>"14:01:33.766"</f>
        <v>14:01:33.766</v>
      </c>
      <c r="U672" t="str">
        <f t="shared" si="30"/>
        <v>ad5732</v>
      </c>
      <c r="V672">
        <v>0</v>
      </c>
      <c r="W672">
        <v>0</v>
      </c>
      <c r="X672">
        <v>1</v>
      </c>
      <c r="Z672">
        <v>0</v>
      </c>
      <c r="AA672">
        <v>9</v>
      </c>
      <c r="AB672">
        <v>3</v>
      </c>
      <c r="AC672">
        <v>0</v>
      </c>
      <c r="AD672">
        <v>10</v>
      </c>
      <c r="AE672">
        <v>0</v>
      </c>
      <c r="AF672">
        <v>3</v>
      </c>
      <c r="AG672">
        <v>2</v>
      </c>
      <c r="AH672">
        <v>0</v>
      </c>
      <c r="AI672" t="s">
        <v>1441</v>
      </c>
      <c r="AJ672">
        <v>39.292281000000003</v>
      </c>
      <c r="AK672" t="s">
        <v>1442</v>
      </c>
      <c r="AL672">
        <v>-77.186464999999998</v>
      </c>
      <c r="AM672">
        <v>100</v>
      </c>
      <c r="AN672">
        <v>8700</v>
      </c>
      <c r="AO672" t="s">
        <v>115</v>
      </c>
      <c r="AP672">
        <v>174</v>
      </c>
      <c r="AQ672">
        <v>74</v>
      </c>
      <c r="AR672">
        <v>64</v>
      </c>
      <c r="AZ672">
        <v>3614</v>
      </c>
      <c r="BA672">
        <v>1</v>
      </c>
      <c r="BB672" t="str">
        <f t="shared" si="32"/>
        <v xml:space="preserve">N959MJ  </v>
      </c>
      <c r="BC672">
        <v>1</v>
      </c>
      <c r="BE672">
        <v>0</v>
      </c>
      <c r="BF672">
        <v>0</v>
      </c>
      <c r="BG672">
        <v>0</v>
      </c>
      <c r="BH672">
        <v>9025</v>
      </c>
      <c r="BI672">
        <v>325</v>
      </c>
      <c r="BJ672">
        <v>1</v>
      </c>
      <c r="BK672">
        <v>1</v>
      </c>
      <c r="BL672">
        <v>1</v>
      </c>
      <c r="BM672">
        <v>0</v>
      </c>
      <c r="BP672">
        <v>0</v>
      </c>
      <c r="BQ672">
        <v>0</v>
      </c>
      <c r="BX672" t="str">
        <f>"14:01:34.266"</f>
        <v>14:01:34.266</v>
      </c>
      <c r="BY672" t="str">
        <f>"266677523"</f>
        <v>266677523</v>
      </c>
      <c r="CL672">
        <v>0</v>
      </c>
      <c r="CM672">
        <v>2</v>
      </c>
      <c r="CN672">
        <v>0</v>
      </c>
      <c r="CO672">
        <v>2</v>
      </c>
      <c r="CP672">
        <v>0</v>
      </c>
      <c r="CQ672">
        <v>7</v>
      </c>
      <c r="CR672" t="s">
        <v>116</v>
      </c>
      <c r="CS672">
        <v>525</v>
      </c>
      <c r="CT672">
        <v>2</v>
      </c>
      <c r="CU672" t="s">
        <v>140</v>
      </c>
      <c r="CV672" t="s">
        <v>141</v>
      </c>
      <c r="CY672">
        <v>14570975</v>
      </c>
      <c r="CZ672" t="s">
        <v>119</v>
      </c>
    </row>
    <row r="673" spans="1:104" x14ac:dyDescent="0.25">
      <c r="A673" t="str">
        <f>"14:01:35.398"</f>
        <v>14:01:35.398</v>
      </c>
      <c r="B673" t="s">
        <v>108</v>
      </c>
      <c r="C673" t="str">
        <f t="shared" si="31"/>
        <v>ffdfd3c0</v>
      </c>
      <c r="D673" t="s">
        <v>109</v>
      </c>
      <c r="E673">
        <v>4</v>
      </c>
      <c r="F673">
        <v>1004</v>
      </c>
      <c r="G673" t="s">
        <v>110</v>
      </c>
      <c r="J673" t="s">
        <v>111</v>
      </c>
      <c r="K673">
        <v>0</v>
      </c>
      <c r="L673">
        <v>3</v>
      </c>
      <c r="M673">
        <v>0</v>
      </c>
      <c r="N673">
        <v>2</v>
      </c>
      <c r="O673">
        <v>1</v>
      </c>
      <c r="P673">
        <v>0</v>
      </c>
      <c r="Q673">
        <v>0</v>
      </c>
      <c r="R673" t="s">
        <v>112</v>
      </c>
      <c r="S673" t="str">
        <f>"14:01:35.234"</f>
        <v>14:01:35.234</v>
      </c>
      <c r="T673" t="str">
        <f>"14:01:34.836"</f>
        <v>14:01:34.836</v>
      </c>
      <c r="U673" t="str">
        <f t="shared" si="30"/>
        <v>ad5732</v>
      </c>
      <c r="V673">
        <v>0</v>
      </c>
      <c r="W673">
        <v>0</v>
      </c>
      <c r="X673">
        <v>1</v>
      </c>
      <c r="Z673">
        <v>0</v>
      </c>
      <c r="AA673">
        <v>9</v>
      </c>
      <c r="AB673">
        <v>3</v>
      </c>
      <c r="AC673">
        <v>0</v>
      </c>
      <c r="AD673">
        <v>10</v>
      </c>
      <c r="AE673">
        <v>0</v>
      </c>
      <c r="AF673">
        <v>3</v>
      </c>
      <c r="AG673">
        <v>2</v>
      </c>
      <c r="AH673">
        <v>0</v>
      </c>
      <c r="AI673" t="s">
        <v>1443</v>
      </c>
      <c r="AJ673">
        <v>39.292645</v>
      </c>
      <c r="AK673" t="s">
        <v>1444</v>
      </c>
      <c r="AL673">
        <v>-77.185434999999998</v>
      </c>
      <c r="AM673">
        <v>100</v>
      </c>
      <c r="AN673">
        <v>8700</v>
      </c>
      <c r="AO673" t="s">
        <v>115</v>
      </c>
      <c r="AP673">
        <v>174</v>
      </c>
      <c r="AQ673">
        <v>74</v>
      </c>
      <c r="AR673">
        <v>0</v>
      </c>
      <c r="AZ673">
        <v>3614</v>
      </c>
      <c r="BA673">
        <v>1</v>
      </c>
      <c r="BB673" t="str">
        <f t="shared" si="32"/>
        <v xml:space="preserve">N959MJ  </v>
      </c>
      <c r="BC673">
        <v>1</v>
      </c>
      <c r="BE673">
        <v>0</v>
      </c>
      <c r="BF673">
        <v>0</v>
      </c>
      <c r="BG673">
        <v>0</v>
      </c>
      <c r="BH673">
        <v>9025</v>
      </c>
      <c r="BI673">
        <v>325</v>
      </c>
      <c r="BJ673">
        <v>1</v>
      </c>
      <c r="BK673">
        <v>1</v>
      </c>
      <c r="BL673">
        <v>1</v>
      </c>
      <c r="BM673">
        <v>0</v>
      </c>
      <c r="BP673">
        <v>0</v>
      </c>
      <c r="BQ673">
        <v>0</v>
      </c>
      <c r="BX673" t="str">
        <f>"14:01:35.234"</f>
        <v>14:01:35.234</v>
      </c>
      <c r="BY673" t="str">
        <f>"234987776"</f>
        <v>234987776</v>
      </c>
      <c r="CL673">
        <v>0</v>
      </c>
      <c r="CM673">
        <v>2</v>
      </c>
      <c r="CN673">
        <v>0</v>
      </c>
      <c r="CO673">
        <v>2</v>
      </c>
      <c r="CP673">
        <v>0</v>
      </c>
      <c r="CQ673">
        <v>7</v>
      </c>
      <c r="CR673" t="s">
        <v>116</v>
      </c>
      <c r="CS673">
        <v>525</v>
      </c>
      <c r="CT673">
        <v>2</v>
      </c>
      <c r="CU673" t="s">
        <v>140</v>
      </c>
      <c r="CV673" t="s">
        <v>141</v>
      </c>
      <c r="CY673">
        <v>14572343</v>
      </c>
      <c r="CZ673" t="s">
        <v>119</v>
      </c>
    </row>
    <row r="674" spans="1:104" x14ac:dyDescent="0.25">
      <c r="A674" t="str">
        <f>"14:01:36.406"</f>
        <v>14:01:36.406</v>
      </c>
      <c r="B674" t="s">
        <v>108</v>
      </c>
      <c r="C674" t="str">
        <f t="shared" si="31"/>
        <v>ffdfd3c0</v>
      </c>
      <c r="D674" t="s">
        <v>109</v>
      </c>
      <c r="E674">
        <v>4</v>
      </c>
      <c r="F674">
        <v>1004</v>
      </c>
      <c r="G674" t="s">
        <v>110</v>
      </c>
      <c r="J674" t="s">
        <v>111</v>
      </c>
      <c r="K674">
        <v>0</v>
      </c>
      <c r="L674">
        <v>3</v>
      </c>
      <c r="M674">
        <v>0</v>
      </c>
      <c r="N674">
        <v>2</v>
      </c>
      <c r="O674">
        <v>1</v>
      </c>
      <c r="P674">
        <v>0</v>
      </c>
      <c r="Q674">
        <v>0</v>
      </c>
      <c r="R674" t="s">
        <v>112</v>
      </c>
      <c r="S674" t="str">
        <f>"14:01:36.219"</f>
        <v>14:01:36.219</v>
      </c>
      <c r="T674" t="str">
        <f>"14:01:35.820"</f>
        <v>14:01:35.820</v>
      </c>
      <c r="U674" t="str">
        <f t="shared" si="30"/>
        <v>ad5732</v>
      </c>
      <c r="V674">
        <v>0</v>
      </c>
      <c r="W674">
        <v>0</v>
      </c>
      <c r="X674">
        <v>1</v>
      </c>
      <c r="Z674">
        <v>0</v>
      </c>
      <c r="AA674">
        <v>9</v>
      </c>
      <c r="AB674">
        <v>3</v>
      </c>
      <c r="AC674">
        <v>0</v>
      </c>
      <c r="AD674">
        <v>10</v>
      </c>
      <c r="AE674">
        <v>0</v>
      </c>
      <c r="AF674">
        <v>3</v>
      </c>
      <c r="AG674">
        <v>2</v>
      </c>
      <c r="AH674">
        <v>0</v>
      </c>
      <c r="AI674" t="s">
        <v>1445</v>
      </c>
      <c r="AJ674">
        <v>39.292966999999997</v>
      </c>
      <c r="AK674" t="s">
        <v>1446</v>
      </c>
      <c r="AL674">
        <v>-77.184383999999994</v>
      </c>
      <c r="AM674">
        <v>100</v>
      </c>
      <c r="AN674">
        <v>8700</v>
      </c>
      <c r="AO674" t="s">
        <v>115</v>
      </c>
      <c r="AP674">
        <v>175</v>
      </c>
      <c r="AQ674">
        <v>73</v>
      </c>
      <c r="AR674">
        <v>0</v>
      </c>
      <c r="AZ674">
        <v>3614</v>
      </c>
      <c r="BA674">
        <v>1</v>
      </c>
      <c r="BB674" t="str">
        <f t="shared" si="32"/>
        <v xml:space="preserve">N959MJ  </v>
      </c>
      <c r="BC674">
        <v>1</v>
      </c>
      <c r="BE674">
        <v>0</v>
      </c>
      <c r="BF674">
        <v>0</v>
      </c>
      <c r="BG674">
        <v>0</v>
      </c>
      <c r="BH674">
        <v>9025</v>
      </c>
      <c r="BI674">
        <v>325</v>
      </c>
      <c r="BJ674">
        <v>1</v>
      </c>
      <c r="BK674">
        <v>1</v>
      </c>
      <c r="BL674">
        <v>1</v>
      </c>
      <c r="BM674">
        <v>0</v>
      </c>
      <c r="BP674">
        <v>0</v>
      </c>
      <c r="BQ674">
        <v>0</v>
      </c>
      <c r="BX674" t="str">
        <f>"14:01:36.219"</f>
        <v>14:01:36.219</v>
      </c>
      <c r="BY674" t="str">
        <f>"219682183"</f>
        <v>219682183</v>
      </c>
      <c r="CL674">
        <v>0</v>
      </c>
      <c r="CM674">
        <v>2</v>
      </c>
      <c r="CN674">
        <v>0</v>
      </c>
      <c r="CO674">
        <v>2</v>
      </c>
      <c r="CP674">
        <v>0</v>
      </c>
      <c r="CQ674">
        <v>7</v>
      </c>
      <c r="CR674" t="s">
        <v>116</v>
      </c>
      <c r="CS674">
        <v>525</v>
      </c>
      <c r="CT674">
        <v>1</v>
      </c>
      <c r="CU674" t="s">
        <v>140</v>
      </c>
      <c r="CV674" t="s">
        <v>141</v>
      </c>
      <c r="CY674">
        <v>8143290</v>
      </c>
      <c r="CZ674" t="s">
        <v>119</v>
      </c>
    </row>
    <row r="675" spans="1:104" x14ac:dyDescent="0.25">
      <c r="A675" t="str">
        <f>"14:01:37.469"</f>
        <v>14:01:37.469</v>
      </c>
      <c r="B675" t="s">
        <v>108</v>
      </c>
      <c r="C675" t="str">
        <f t="shared" si="31"/>
        <v>ffdfd3c0</v>
      </c>
      <c r="D675" t="s">
        <v>109</v>
      </c>
      <c r="E675">
        <v>4</v>
      </c>
      <c r="F675">
        <v>1004</v>
      </c>
      <c r="G675" t="s">
        <v>110</v>
      </c>
      <c r="J675" t="s">
        <v>111</v>
      </c>
      <c r="K675">
        <v>0</v>
      </c>
      <c r="L675">
        <v>3</v>
      </c>
      <c r="M675">
        <v>0</v>
      </c>
      <c r="N675">
        <v>2</v>
      </c>
      <c r="O675">
        <v>1</v>
      </c>
      <c r="P675">
        <v>0</v>
      </c>
      <c r="Q675">
        <v>0</v>
      </c>
      <c r="R675" t="s">
        <v>112</v>
      </c>
      <c r="S675" t="str">
        <f>"14:01:37.266"</f>
        <v>14:01:37.266</v>
      </c>
      <c r="T675" t="str">
        <f>"14:01:36.766"</f>
        <v>14:01:36.766</v>
      </c>
      <c r="U675" t="str">
        <f t="shared" si="30"/>
        <v>ad5732</v>
      </c>
      <c r="V675">
        <v>0</v>
      </c>
      <c r="W675">
        <v>0</v>
      </c>
      <c r="X675">
        <v>1</v>
      </c>
      <c r="Z675">
        <v>0</v>
      </c>
      <c r="AA675">
        <v>9</v>
      </c>
      <c r="AB675">
        <v>3</v>
      </c>
      <c r="AC675">
        <v>0</v>
      </c>
      <c r="AD675">
        <v>10</v>
      </c>
      <c r="AE675">
        <v>0</v>
      </c>
      <c r="AF675">
        <v>3</v>
      </c>
      <c r="AG675">
        <v>2</v>
      </c>
      <c r="AH675">
        <v>0</v>
      </c>
      <c r="AI675" t="s">
        <v>1447</v>
      </c>
      <c r="AJ675">
        <v>39.293311000000003</v>
      </c>
      <c r="AK675" t="s">
        <v>1448</v>
      </c>
      <c r="AL675">
        <v>-77.183353999999994</v>
      </c>
      <c r="AM675">
        <v>100</v>
      </c>
      <c r="AN675">
        <v>8700</v>
      </c>
      <c r="AO675" t="s">
        <v>115</v>
      </c>
      <c r="AP675">
        <v>175</v>
      </c>
      <c r="AQ675">
        <v>73</v>
      </c>
      <c r="AR675">
        <v>0</v>
      </c>
      <c r="AZ675">
        <v>3614</v>
      </c>
      <c r="BA675">
        <v>1</v>
      </c>
      <c r="BB675" t="str">
        <f t="shared" si="32"/>
        <v xml:space="preserve">N959MJ  </v>
      </c>
      <c r="BC675">
        <v>1</v>
      </c>
      <c r="BE675">
        <v>0</v>
      </c>
      <c r="BF675">
        <v>0</v>
      </c>
      <c r="BG675">
        <v>0</v>
      </c>
      <c r="BH675">
        <v>9025</v>
      </c>
      <c r="BI675">
        <v>325</v>
      </c>
      <c r="BJ675">
        <v>1</v>
      </c>
      <c r="BK675">
        <v>1</v>
      </c>
      <c r="BL675">
        <v>1</v>
      </c>
      <c r="BM675">
        <v>0</v>
      </c>
      <c r="BP675">
        <v>0</v>
      </c>
      <c r="BQ675">
        <v>0</v>
      </c>
      <c r="BX675" t="str">
        <f>"14:01:37.273"</f>
        <v>14:01:37.273</v>
      </c>
      <c r="BY675" t="str">
        <f>"271553706"</f>
        <v>271553706</v>
      </c>
      <c r="CL675">
        <v>0</v>
      </c>
      <c r="CM675">
        <v>2</v>
      </c>
      <c r="CN675">
        <v>0</v>
      </c>
      <c r="CO675">
        <v>2</v>
      </c>
      <c r="CP675">
        <v>0</v>
      </c>
      <c r="CQ675">
        <v>7</v>
      </c>
      <c r="CR675" t="s">
        <v>116</v>
      </c>
      <c r="CS675">
        <v>147</v>
      </c>
      <c r="CT675">
        <v>3</v>
      </c>
      <c r="CU675" t="s">
        <v>117</v>
      </c>
      <c r="CV675" t="s">
        <v>118</v>
      </c>
      <c r="CY675">
        <v>93633</v>
      </c>
      <c r="CZ675" t="s">
        <v>119</v>
      </c>
    </row>
    <row r="676" spans="1:104" x14ac:dyDescent="0.25">
      <c r="A676" t="str">
        <f>"14:01:38.477"</f>
        <v>14:01:38.477</v>
      </c>
      <c r="B676" t="s">
        <v>108</v>
      </c>
      <c r="C676" t="str">
        <f t="shared" si="31"/>
        <v>ffdfd3c0</v>
      </c>
      <c r="D676" t="s">
        <v>109</v>
      </c>
      <c r="E676">
        <v>4</v>
      </c>
      <c r="F676">
        <v>1004</v>
      </c>
      <c r="G676" t="s">
        <v>110</v>
      </c>
      <c r="J676" t="s">
        <v>111</v>
      </c>
      <c r="K676">
        <v>0</v>
      </c>
      <c r="L676">
        <v>3</v>
      </c>
      <c r="M676">
        <v>0</v>
      </c>
      <c r="N676">
        <v>2</v>
      </c>
      <c r="O676">
        <v>1</v>
      </c>
      <c r="P676">
        <v>0</v>
      </c>
      <c r="Q676">
        <v>0</v>
      </c>
      <c r="R676" t="s">
        <v>112</v>
      </c>
      <c r="S676" t="str">
        <f>"14:01:38.305"</f>
        <v>14:01:38.305</v>
      </c>
      <c r="T676" t="str">
        <f>"14:01:37.805"</f>
        <v>14:01:37.805</v>
      </c>
      <c r="U676" t="str">
        <f t="shared" si="30"/>
        <v>ad5732</v>
      </c>
      <c r="V676">
        <v>0</v>
      </c>
      <c r="W676">
        <v>0</v>
      </c>
      <c r="X676">
        <v>1</v>
      </c>
      <c r="Z676">
        <v>0</v>
      </c>
      <c r="AA676">
        <v>9</v>
      </c>
      <c r="AB676">
        <v>3</v>
      </c>
      <c r="AC676">
        <v>0</v>
      </c>
      <c r="AD676">
        <v>10</v>
      </c>
      <c r="AE676">
        <v>0</v>
      </c>
      <c r="AF676">
        <v>3</v>
      </c>
      <c r="AG676">
        <v>2</v>
      </c>
      <c r="AH676">
        <v>0</v>
      </c>
      <c r="AI676" t="s">
        <v>1449</v>
      </c>
      <c r="AJ676">
        <v>39.293697000000002</v>
      </c>
      <c r="AK676" t="s">
        <v>1450</v>
      </c>
      <c r="AL676">
        <v>-77.182174000000003</v>
      </c>
      <c r="AM676">
        <v>100</v>
      </c>
      <c r="AN676">
        <v>8700</v>
      </c>
      <c r="AO676" t="s">
        <v>115</v>
      </c>
      <c r="AP676">
        <v>175</v>
      </c>
      <c r="AQ676">
        <v>73</v>
      </c>
      <c r="AR676">
        <v>0</v>
      </c>
      <c r="AZ676">
        <v>3614</v>
      </c>
      <c r="BA676">
        <v>1</v>
      </c>
      <c r="BB676" t="str">
        <f t="shared" si="32"/>
        <v xml:space="preserve">N959MJ  </v>
      </c>
      <c r="BC676">
        <v>1</v>
      </c>
      <c r="BE676">
        <v>0</v>
      </c>
      <c r="BF676">
        <v>0</v>
      </c>
      <c r="BG676">
        <v>0</v>
      </c>
      <c r="BH676">
        <v>9025</v>
      </c>
      <c r="BI676">
        <v>325</v>
      </c>
      <c r="BJ676">
        <v>1</v>
      </c>
      <c r="BK676">
        <v>1</v>
      </c>
      <c r="BL676">
        <v>1</v>
      </c>
      <c r="BM676">
        <v>0</v>
      </c>
      <c r="BP676">
        <v>0</v>
      </c>
      <c r="BQ676">
        <v>0</v>
      </c>
      <c r="BX676" t="str">
        <f>"14:01:38.313"</f>
        <v>14:01:38.313</v>
      </c>
      <c r="BY676" t="str">
        <f>"308676296"</f>
        <v>308676296</v>
      </c>
      <c r="CL676">
        <v>0</v>
      </c>
      <c r="CM676">
        <v>2</v>
      </c>
      <c r="CN676">
        <v>0</v>
      </c>
      <c r="CO676">
        <v>2</v>
      </c>
      <c r="CP676">
        <v>0</v>
      </c>
      <c r="CQ676">
        <v>7</v>
      </c>
      <c r="CR676" t="s">
        <v>116</v>
      </c>
      <c r="CS676">
        <v>525</v>
      </c>
      <c r="CT676">
        <v>1</v>
      </c>
      <c r="CU676" t="s">
        <v>140</v>
      </c>
      <c r="CV676" t="s">
        <v>141</v>
      </c>
      <c r="CY676">
        <v>8146159</v>
      </c>
      <c r="CZ676" t="s">
        <v>119</v>
      </c>
    </row>
    <row r="677" spans="1:104" x14ac:dyDescent="0.25">
      <c r="A677" t="str">
        <f>"14:01:39.484"</f>
        <v>14:01:39.484</v>
      </c>
      <c r="B677" t="s">
        <v>108</v>
      </c>
      <c r="C677" t="str">
        <f t="shared" si="31"/>
        <v>ffdfd3c0</v>
      </c>
      <c r="D677" t="s">
        <v>109</v>
      </c>
      <c r="E677">
        <v>4</v>
      </c>
      <c r="F677">
        <v>1004</v>
      </c>
      <c r="G677" t="s">
        <v>110</v>
      </c>
      <c r="J677" t="s">
        <v>111</v>
      </c>
      <c r="K677">
        <v>0</v>
      </c>
      <c r="L677">
        <v>3</v>
      </c>
      <c r="M677">
        <v>0</v>
      </c>
      <c r="N677">
        <v>2</v>
      </c>
      <c r="O677">
        <v>1</v>
      </c>
      <c r="P677">
        <v>0</v>
      </c>
      <c r="Q677">
        <v>0</v>
      </c>
      <c r="R677" t="s">
        <v>112</v>
      </c>
      <c r="S677" t="str">
        <f>"14:01:39.297"</f>
        <v>14:01:39.297</v>
      </c>
      <c r="T677" t="str">
        <f>"14:01:38.797"</f>
        <v>14:01:38.797</v>
      </c>
      <c r="U677" t="str">
        <f t="shared" si="30"/>
        <v>ad5732</v>
      </c>
      <c r="V677">
        <v>0</v>
      </c>
      <c r="W677">
        <v>0</v>
      </c>
      <c r="X677">
        <v>1</v>
      </c>
      <c r="Z677">
        <v>0</v>
      </c>
      <c r="AA677">
        <v>9</v>
      </c>
      <c r="AB677">
        <v>3</v>
      </c>
      <c r="AC677">
        <v>0</v>
      </c>
      <c r="AD677">
        <v>10</v>
      </c>
      <c r="AE677">
        <v>0</v>
      </c>
      <c r="AF677">
        <v>3</v>
      </c>
      <c r="AG677">
        <v>2</v>
      </c>
      <c r="AH677">
        <v>0</v>
      </c>
      <c r="AI677" t="s">
        <v>1451</v>
      </c>
      <c r="AJ677">
        <v>39.294018999999999</v>
      </c>
      <c r="AK677" t="s">
        <v>1452</v>
      </c>
      <c r="AL677">
        <v>-77.181164999999993</v>
      </c>
      <c r="AM677">
        <v>100</v>
      </c>
      <c r="AN677">
        <v>8700</v>
      </c>
      <c r="AO677" t="s">
        <v>115</v>
      </c>
      <c r="AP677">
        <v>175</v>
      </c>
      <c r="AQ677">
        <v>73</v>
      </c>
      <c r="AR677">
        <v>0</v>
      </c>
      <c r="AZ677">
        <v>3614</v>
      </c>
      <c r="BA677">
        <v>1</v>
      </c>
      <c r="BB677" t="str">
        <f t="shared" si="32"/>
        <v xml:space="preserve">N959MJ  </v>
      </c>
      <c r="BC677">
        <v>1</v>
      </c>
      <c r="BE677">
        <v>0</v>
      </c>
      <c r="BF677">
        <v>0</v>
      </c>
      <c r="BG677">
        <v>0</v>
      </c>
      <c r="BH677">
        <v>9025</v>
      </c>
      <c r="BI677">
        <v>325</v>
      </c>
      <c r="BJ677">
        <v>1</v>
      </c>
      <c r="BK677">
        <v>1</v>
      </c>
      <c r="BL677">
        <v>1</v>
      </c>
      <c r="BM677">
        <v>0</v>
      </c>
      <c r="BP677">
        <v>0</v>
      </c>
      <c r="BQ677">
        <v>0</v>
      </c>
      <c r="BX677" t="str">
        <f>"14:01:39.305"</f>
        <v>14:01:39.305</v>
      </c>
      <c r="BY677" t="str">
        <f>"301564246"</f>
        <v>301564246</v>
      </c>
      <c r="CL677">
        <v>0</v>
      </c>
      <c r="CM677">
        <v>2</v>
      </c>
      <c r="CN677">
        <v>0</v>
      </c>
      <c r="CO677">
        <v>2</v>
      </c>
      <c r="CP677">
        <v>0</v>
      </c>
      <c r="CQ677">
        <v>7</v>
      </c>
      <c r="CR677" t="s">
        <v>116</v>
      </c>
      <c r="CS677">
        <v>147</v>
      </c>
      <c r="CT677">
        <v>0</v>
      </c>
      <c r="CU677" t="s">
        <v>117</v>
      </c>
      <c r="CV677" t="s">
        <v>118</v>
      </c>
      <c r="CY677">
        <v>4986566</v>
      </c>
      <c r="CZ677" t="s">
        <v>119</v>
      </c>
    </row>
    <row r="678" spans="1:104" x14ac:dyDescent="0.25">
      <c r="A678" t="str">
        <f>"14:01:40.445"</f>
        <v>14:01:40.445</v>
      </c>
      <c r="B678" t="s">
        <v>108</v>
      </c>
      <c r="C678" t="str">
        <f t="shared" si="31"/>
        <v>ffdfd3c0</v>
      </c>
      <c r="D678" t="s">
        <v>109</v>
      </c>
      <c r="E678">
        <v>4</v>
      </c>
      <c r="F678">
        <v>1004</v>
      </c>
      <c r="G678" t="s">
        <v>110</v>
      </c>
      <c r="J678" t="s">
        <v>111</v>
      </c>
      <c r="K678">
        <v>0</v>
      </c>
      <c r="L678">
        <v>3</v>
      </c>
      <c r="M678">
        <v>0</v>
      </c>
      <c r="N678">
        <v>2</v>
      </c>
      <c r="O678">
        <v>1</v>
      </c>
      <c r="P678">
        <v>0</v>
      </c>
      <c r="Q678">
        <v>0</v>
      </c>
      <c r="R678" t="s">
        <v>112</v>
      </c>
      <c r="S678" t="str">
        <f>"14:01:40.250"</f>
        <v>14:01:40.250</v>
      </c>
      <c r="T678" t="str">
        <f>"14:01:39.852"</f>
        <v>14:01:39.852</v>
      </c>
      <c r="U678" t="str">
        <f t="shared" si="30"/>
        <v>ad5732</v>
      </c>
      <c r="V678">
        <v>0</v>
      </c>
      <c r="W678">
        <v>0</v>
      </c>
      <c r="X678">
        <v>1</v>
      </c>
      <c r="Z678">
        <v>0</v>
      </c>
      <c r="AA678">
        <v>9</v>
      </c>
      <c r="AB678">
        <v>3</v>
      </c>
      <c r="AC678">
        <v>0</v>
      </c>
      <c r="AD678">
        <v>10</v>
      </c>
      <c r="AE678">
        <v>0</v>
      </c>
      <c r="AF678">
        <v>3</v>
      </c>
      <c r="AG678">
        <v>2</v>
      </c>
      <c r="AH678">
        <v>0</v>
      </c>
      <c r="AI678" t="s">
        <v>1453</v>
      </c>
      <c r="AJ678">
        <v>39.294319000000002</v>
      </c>
      <c r="AK678" t="s">
        <v>1454</v>
      </c>
      <c r="AL678">
        <v>-77.180177999999998</v>
      </c>
      <c r="AM678">
        <v>100</v>
      </c>
      <c r="AN678">
        <v>8700</v>
      </c>
      <c r="AO678" t="s">
        <v>115</v>
      </c>
      <c r="AP678">
        <v>175</v>
      </c>
      <c r="AQ678">
        <v>72</v>
      </c>
      <c r="AR678">
        <v>0</v>
      </c>
      <c r="AZ678">
        <v>3614</v>
      </c>
      <c r="BA678">
        <v>1</v>
      </c>
      <c r="BB678" t="str">
        <f t="shared" si="32"/>
        <v xml:space="preserve">N959MJ  </v>
      </c>
      <c r="BC678">
        <v>1</v>
      </c>
      <c r="BE678">
        <v>0</v>
      </c>
      <c r="BF678">
        <v>0</v>
      </c>
      <c r="BG678">
        <v>0</v>
      </c>
      <c r="BH678">
        <v>9025</v>
      </c>
      <c r="BI678">
        <v>325</v>
      </c>
      <c r="BJ678">
        <v>1</v>
      </c>
      <c r="BK678">
        <v>1</v>
      </c>
      <c r="BL678">
        <v>1</v>
      </c>
      <c r="BM678">
        <v>0</v>
      </c>
      <c r="BP678">
        <v>0</v>
      </c>
      <c r="BQ678">
        <v>0</v>
      </c>
      <c r="BX678" t="str">
        <f>"14:01:40.258"</f>
        <v>14:01:40.258</v>
      </c>
      <c r="BY678" t="str">
        <f>"256765622"</f>
        <v>256765622</v>
      </c>
      <c r="CL678">
        <v>0</v>
      </c>
      <c r="CM678">
        <v>2</v>
      </c>
      <c r="CN678">
        <v>0</v>
      </c>
      <c r="CO678">
        <v>2</v>
      </c>
      <c r="CP678">
        <v>0</v>
      </c>
      <c r="CQ678">
        <v>7</v>
      </c>
      <c r="CR678" t="s">
        <v>116</v>
      </c>
      <c r="CS678">
        <v>525</v>
      </c>
      <c r="CT678">
        <v>1</v>
      </c>
      <c r="CU678" t="s">
        <v>140</v>
      </c>
      <c r="CV678" t="s">
        <v>141</v>
      </c>
      <c r="CY678">
        <v>8148780</v>
      </c>
      <c r="CZ678" t="s">
        <v>119</v>
      </c>
    </row>
    <row r="679" spans="1:104" x14ac:dyDescent="0.25">
      <c r="A679" t="str">
        <f>"14:01:41.555"</f>
        <v>14:01:41.555</v>
      </c>
      <c r="B679" t="s">
        <v>108</v>
      </c>
      <c r="C679" t="str">
        <f t="shared" si="31"/>
        <v>ffdfd3c0</v>
      </c>
      <c r="D679" t="s">
        <v>109</v>
      </c>
      <c r="E679">
        <v>4</v>
      </c>
      <c r="F679">
        <v>1004</v>
      </c>
      <c r="G679" t="s">
        <v>110</v>
      </c>
      <c r="J679" t="s">
        <v>111</v>
      </c>
      <c r="K679">
        <v>0</v>
      </c>
      <c r="L679">
        <v>3</v>
      </c>
      <c r="M679">
        <v>0</v>
      </c>
      <c r="N679">
        <v>2</v>
      </c>
      <c r="O679">
        <v>1</v>
      </c>
      <c r="P679">
        <v>0</v>
      </c>
      <c r="Q679">
        <v>0</v>
      </c>
      <c r="R679" t="s">
        <v>112</v>
      </c>
      <c r="S679" t="str">
        <f>"14:01:41.375"</f>
        <v>14:01:41.375</v>
      </c>
      <c r="T679" t="str">
        <f>"14:01:40.875"</f>
        <v>14:01:40.875</v>
      </c>
      <c r="U679" t="str">
        <f t="shared" si="30"/>
        <v>ad5732</v>
      </c>
      <c r="V679">
        <v>0</v>
      </c>
      <c r="W679">
        <v>0</v>
      </c>
      <c r="X679">
        <v>1</v>
      </c>
      <c r="Z679">
        <v>0</v>
      </c>
      <c r="AA679">
        <v>9</v>
      </c>
      <c r="AB679">
        <v>3</v>
      </c>
      <c r="AC679">
        <v>0</v>
      </c>
      <c r="AD679">
        <v>10</v>
      </c>
      <c r="AE679">
        <v>0</v>
      </c>
      <c r="AF679">
        <v>3</v>
      </c>
      <c r="AG679">
        <v>2</v>
      </c>
      <c r="AH679">
        <v>0</v>
      </c>
      <c r="AI679" t="s">
        <v>1455</v>
      </c>
      <c r="AJ679">
        <v>39.294705</v>
      </c>
      <c r="AK679" t="s">
        <v>1456</v>
      </c>
      <c r="AL679">
        <v>-77.178955000000002</v>
      </c>
      <c r="AM679">
        <v>100</v>
      </c>
      <c r="AN679">
        <v>8700</v>
      </c>
      <c r="AO679" t="s">
        <v>115</v>
      </c>
      <c r="AP679">
        <v>175</v>
      </c>
      <c r="AQ679">
        <v>72</v>
      </c>
      <c r="AR679">
        <v>0</v>
      </c>
      <c r="AZ679">
        <v>3614</v>
      </c>
      <c r="BA679">
        <v>1</v>
      </c>
      <c r="BB679" t="str">
        <f t="shared" si="32"/>
        <v xml:space="preserve">N959MJ  </v>
      </c>
      <c r="BC679">
        <v>1</v>
      </c>
      <c r="BE679">
        <v>0</v>
      </c>
      <c r="BF679">
        <v>0</v>
      </c>
      <c r="BG679">
        <v>0</v>
      </c>
      <c r="BH679">
        <v>9025</v>
      </c>
      <c r="BI679">
        <v>325</v>
      </c>
      <c r="BJ679">
        <v>1</v>
      </c>
      <c r="BK679">
        <v>1</v>
      </c>
      <c r="BL679">
        <v>1</v>
      </c>
      <c r="BM679">
        <v>0</v>
      </c>
      <c r="BP679">
        <v>0</v>
      </c>
      <c r="BQ679">
        <v>0</v>
      </c>
      <c r="BX679" t="str">
        <f>"14:01:41.383"</f>
        <v>14:01:41.383</v>
      </c>
      <c r="BY679" t="str">
        <f>"379089244"</f>
        <v>379089244</v>
      </c>
      <c r="CL679">
        <v>0</v>
      </c>
      <c r="CM679">
        <v>2</v>
      </c>
      <c r="CN679">
        <v>0</v>
      </c>
      <c r="CO679">
        <v>2</v>
      </c>
      <c r="CP679">
        <v>0</v>
      </c>
      <c r="CQ679">
        <v>7</v>
      </c>
      <c r="CR679" t="s">
        <v>116</v>
      </c>
      <c r="CS679">
        <v>147</v>
      </c>
      <c r="CT679">
        <v>3</v>
      </c>
      <c r="CU679" t="s">
        <v>117</v>
      </c>
      <c r="CV679" t="s">
        <v>118</v>
      </c>
      <c r="CY679">
        <v>100222</v>
      </c>
      <c r="CZ679" t="s">
        <v>119</v>
      </c>
    </row>
    <row r="680" spans="1:104" x14ac:dyDescent="0.25">
      <c r="A680" t="str">
        <f>"14:01:42.516"</f>
        <v>14:01:42.516</v>
      </c>
      <c r="B680" t="s">
        <v>108</v>
      </c>
      <c r="C680" t="str">
        <f t="shared" si="31"/>
        <v>ffdfd3c0</v>
      </c>
      <c r="D680" t="s">
        <v>109</v>
      </c>
      <c r="E680">
        <v>4</v>
      </c>
      <c r="F680">
        <v>1004</v>
      </c>
      <c r="G680" t="s">
        <v>110</v>
      </c>
      <c r="J680" t="s">
        <v>111</v>
      </c>
      <c r="K680">
        <v>0</v>
      </c>
      <c r="L680">
        <v>3</v>
      </c>
      <c r="M680">
        <v>0</v>
      </c>
      <c r="N680">
        <v>2</v>
      </c>
      <c r="O680">
        <v>1</v>
      </c>
      <c r="P680">
        <v>0</v>
      </c>
      <c r="Q680">
        <v>0</v>
      </c>
      <c r="R680" t="s">
        <v>112</v>
      </c>
      <c r="S680" t="str">
        <f>"14:01:42.344"</f>
        <v>14:01:42.344</v>
      </c>
      <c r="T680" t="str">
        <f>"14:01:41.844"</f>
        <v>14:01:41.844</v>
      </c>
      <c r="U680" t="str">
        <f t="shared" si="30"/>
        <v>ad5732</v>
      </c>
      <c r="V680">
        <v>0</v>
      </c>
      <c r="W680">
        <v>0</v>
      </c>
      <c r="X680">
        <v>1</v>
      </c>
      <c r="Z680">
        <v>0</v>
      </c>
      <c r="AA680">
        <v>9</v>
      </c>
      <c r="AB680">
        <v>3</v>
      </c>
      <c r="AC680">
        <v>0</v>
      </c>
      <c r="AD680">
        <v>10</v>
      </c>
      <c r="AE680">
        <v>0</v>
      </c>
      <c r="AF680">
        <v>3</v>
      </c>
      <c r="AG680">
        <v>2</v>
      </c>
      <c r="AH680">
        <v>0</v>
      </c>
      <c r="AI680" t="s">
        <v>1457</v>
      </c>
      <c r="AJ680">
        <v>39.295026999999997</v>
      </c>
      <c r="AK680" t="s">
        <v>1458</v>
      </c>
      <c r="AL680">
        <v>-77.177988999999997</v>
      </c>
      <c r="AM680">
        <v>100</v>
      </c>
      <c r="AN680">
        <v>8700</v>
      </c>
      <c r="AO680" t="s">
        <v>115</v>
      </c>
      <c r="AP680">
        <v>176</v>
      </c>
      <c r="AQ680">
        <v>71</v>
      </c>
      <c r="AR680">
        <v>-64</v>
      </c>
      <c r="AZ680">
        <v>3614</v>
      </c>
      <c r="BA680">
        <v>1</v>
      </c>
      <c r="BB680" t="str">
        <f t="shared" si="32"/>
        <v xml:space="preserve">N959MJ  </v>
      </c>
      <c r="BC680">
        <v>1</v>
      </c>
      <c r="BE680">
        <v>0</v>
      </c>
      <c r="BF680">
        <v>0</v>
      </c>
      <c r="BG680">
        <v>0</v>
      </c>
      <c r="BH680">
        <v>9025</v>
      </c>
      <c r="BI680">
        <v>325</v>
      </c>
      <c r="BJ680">
        <v>1</v>
      </c>
      <c r="BK680">
        <v>1</v>
      </c>
      <c r="BL680">
        <v>1</v>
      </c>
      <c r="BM680">
        <v>0</v>
      </c>
      <c r="BP680">
        <v>0</v>
      </c>
      <c r="BQ680">
        <v>0</v>
      </c>
      <c r="BX680" t="str">
        <f>"14:01:42.344"</f>
        <v>14:01:42.344</v>
      </c>
      <c r="BY680" t="str">
        <f>"345760930"</f>
        <v>345760930</v>
      </c>
      <c r="CL680">
        <v>0</v>
      </c>
      <c r="CM680">
        <v>2</v>
      </c>
      <c r="CN680">
        <v>0</v>
      </c>
      <c r="CO680">
        <v>2</v>
      </c>
      <c r="CP680">
        <v>0</v>
      </c>
      <c r="CQ680">
        <v>7</v>
      </c>
      <c r="CR680" t="s">
        <v>116</v>
      </c>
      <c r="CS680">
        <v>147</v>
      </c>
      <c r="CT680">
        <v>0</v>
      </c>
      <c r="CU680" t="s">
        <v>117</v>
      </c>
      <c r="CV680" t="s">
        <v>118</v>
      </c>
      <c r="CY680">
        <v>4991354</v>
      </c>
      <c r="CZ680" t="s">
        <v>119</v>
      </c>
    </row>
    <row r="681" spans="1:104" x14ac:dyDescent="0.25">
      <c r="A681" t="str">
        <f>"14:01:43.570"</f>
        <v>14:01:43.570</v>
      </c>
      <c r="B681" t="s">
        <v>108</v>
      </c>
      <c r="C681" t="str">
        <f t="shared" si="31"/>
        <v>ffdfd3c0</v>
      </c>
      <c r="D681" t="s">
        <v>109</v>
      </c>
      <c r="E681">
        <v>4</v>
      </c>
      <c r="F681">
        <v>1004</v>
      </c>
      <c r="G681" t="s">
        <v>110</v>
      </c>
      <c r="J681" t="s">
        <v>111</v>
      </c>
      <c r="K681">
        <v>0</v>
      </c>
      <c r="L681">
        <v>3</v>
      </c>
      <c r="M681">
        <v>0</v>
      </c>
      <c r="N681">
        <v>2</v>
      </c>
      <c r="O681">
        <v>1</v>
      </c>
      <c r="P681">
        <v>0</v>
      </c>
      <c r="Q681">
        <v>0</v>
      </c>
      <c r="R681" t="s">
        <v>112</v>
      </c>
      <c r="S681" t="str">
        <f>"14:01:43.383"</f>
        <v>14:01:43.383</v>
      </c>
      <c r="T681" t="str">
        <f>"14:01:42.883"</f>
        <v>14:01:42.883</v>
      </c>
      <c r="U681" t="str">
        <f t="shared" si="30"/>
        <v>ad5732</v>
      </c>
      <c r="V681">
        <v>0</v>
      </c>
      <c r="W681">
        <v>0</v>
      </c>
      <c r="X681">
        <v>1</v>
      </c>
      <c r="Z681">
        <v>0</v>
      </c>
      <c r="AA681">
        <v>9</v>
      </c>
      <c r="AB681">
        <v>3</v>
      </c>
      <c r="AC681">
        <v>0</v>
      </c>
      <c r="AD681">
        <v>10</v>
      </c>
      <c r="AE681">
        <v>0</v>
      </c>
      <c r="AF681">
        <v>3</v>
      </c>
      <c r="AG681">
        <v>2</v>
      </c>
      <c r="AH681">
        <v>0</v>
      </c>
      <c r="AI681" t="s">
        <v>1459</v>
      </c>
      <c r="AJ681">
        <v>39.295392</v>
      </c>
      <c r="AK681" t="s">
        <v>1460</v>
      </c>
      <c r="AL681">
        <v>-77.176809000000006</v>
      </c>
      <c r="AM681">
        <v>100</v>
      </c>
      <c r="AN681">
        <v>8700</v>
      </c>
      <c r="AO681" t="s">
        <v>115</v>
      </c>
      <c r="AP681">
        <v>176</v>
      </c>
      <c r="AQ681">
        <v>71</v>
      </c>
      <c r="AR681">
        <v>0</v>
      </c>
      <c r="AZ681">
        <v>3614</v>
      </c>
      <c r="BA681">
        <v>1</v>
      </c>
      <c r="BB681" t="str">
        <f t="shared" si="32"/>
        <v xml:space="preserve">N959MJ  </v>
      </c>
      <c r="BC681">
        <v>1</v>
      </c>
      <c r="BE681">
        <v>0</v>
      </c>
      <c r="BF681">
        <v>0</v>
      </c>
      <c r="BG681">
        <v>0</v>
      </c>
      <c r="BH681">
        <v>9025</v>
      </c>
      <c r="BI681">
        <v>325</v>
      </c>
      <c r="BJ681">
        <v>1</v>
      </c>
      <c r="BK681">
        <v>1</v>
      </c>
      <c r="BL681">
        <v>1</v>
      </c>
      <c r="BM681">
        <v>0</v>
      </c>
      <c r="BP681">
        <v>0</v>
      </c>
      <c r="BQ681">
        <v>0</v>
      </c>
      <c r="BX681" t="str">
        <f>"14:01:43.383"</f>
        <v>14:01:43.383</v>
      </c>
      <c r="BY681" t="str">
        <f>"382883843"</f>
        <v>382883843</v>
      </c>
      <c r="CL681">
        <v>0</v>
      </c>
      <c r="CM681">
        <v>2</v>
      </c>
      <c r="CN681">
        <v>0</v>
      </c>
      <c r="CO681">
        <v>2</v>
      </c>
      <c r="CP681">
        <v>0</v>
      </c>
      <c r="CQ681">
        <v>7</v>
      </c>
      <c r="CR681" t="s">
        <v>116</v>
      </c>
      <c r="CS681">
        <v>525</v>
      </c>
      <c r="CT681">
        <v>1</v>
      </c>
      <c r="CU681" t="s">
        <v>140</v>
      </c>
      <c r="CV681" t="s">
        <v>141</v>
      </c>
      <c r="CY681">
        <v>8153135</v>
      </c>
      <c r="CZ681" t="s">
        <v>119</v>
      </c>
    </row>
    <row r="682" spans="1:104" x14ac:dyDescent="0.25">
      <c r="A682" t="str">
        <f>"14:01:44.586"</f>
        <v>14:01:44.586</v>
      </c>
      <c r="B682" t="s">
        <v>108</v>
      </c>
      <c r="C682" t="str">
        <f t="shared" si="31"/>
        <v>ffdfd3c0</v>
      </c>
      <c r="D682" t="s">
        <v>109</v>
      </c>
      <c r="E682">
        <v>4</v>
      </c>
      <c r="F682">
        <v>1004</v>
      </c>
      <c r="G682" t="s">
        <v>110</v>
      </c>
      <c r="J682" t="s">
        <v>111</v>
      </c>
      <c r="K682">
        <v>0</v>
      </c>
      <c r="L682">
        <v>3</v>
      </c>
      <c r="M682">
        <v>0</v>
      </c>
      <c r="N682">
        <v>2</v>
      </c>
      <c r="O682">
        <v>1</v>
      </c>
      <c r="P682">
        <v>0</v>
      </c>
      <c r="Q682">
        <v>0</v>
      </c>
      <c r="R682" t="s">
        <v>112</v>
      </c>
      <c r="S682" t="str">
        <f>"14:01:44.414"</f>
        <v>14:01:44.414</v>
      </c>
      <c r="T682" t="str">
        <f>"14:01:44.016"</f>
        <v>14:01:44.016</v>
      </c>
      <c r="U682" t="str">
        <f t="shared" si="30"/>
        <v>ad5732</v>
      </c>
      <c r="V682">
        <v>0</v>
      </c>
      <c r="W682">
        <v>0</v>
      </c>
      <c r="X682">
        <v>1</v>
      </c>
      <c r="Z682">
        <v>0</v>
      </c>
      <c r="AA682">
        <v>9</v>
      </c>
      <c r="AB682">
        <v>3</v>
      </c>
      <c r="AC682">
        <v>0</v>
      </c>
      <c r="AD682">
        <v>10</v>
      </c>
      <c r="AE682">
        <v>0</v>
      </c>
      <c r="AF682">
        <v>3</v>
      </c>
      <c r="AG682">
        <v>2</v>
      </c>
      <c r="AH682">
        <v>0</v>
      </c>
      <c r="AI682" t="s">
        <v>1461</v>
      </c>
      <c r="AJ682">
        <v>39.295713999999997</v>
      </c>
      <c r="AK682" t="s">
        <v>1462</v>
      </c>
      <c r="AL682">
        <v>-77.175779000000006</v>
      </c>
      <c r="AM682">
        <v>100</v>
      </c>
      <c r="AN682">
        <v>8700</v>
      </c>
      <c r="AO682" t="s">
        <v>115</v>
      </c>
      <c r="AP682">
        <v>176</v>
      </c>
      <c r="AQ682">
        <v>71</v>
      </c>
      <c r="AR682">
        <v>0</v>
      </c>
      <c r="AZ682">
        <v>3614</v>
      </c>
      <c r="BA682">
        <v>1</v>
      </c>
      <c r="BB682" t="str">
        <f t="shared" si="32"/>
        <v xml:space="preserve">N959MJ  </v>
      </c>
      <c r="BC682">
        <v>1</v>
      </c>
      <c r="BE682">
        <v>0</v>
      </c>
      <c r="BF682">
        <v>0</v>
      </c>
      <c r="BG682">
        <v>0</v>
      </c>
      <c r="BH682">
        <v>9025</v>
      </c>
      <c r="BI682">
        <v>325</v>
      </c>
      <c r="BJ682">
        <v>1</v>
      </c>
      <c r="BK682">
        <v>1</v>
      </c>
      <c r="BL682">
        <v>1</v>
      </c>
      <c r="BM682">
        <v>0</v>
      </c>
      <c r="BP682">
        <v>0</v>
      </c>
      <c r="BQ682">
        <v>0</v>
      </c>
      <c r="BX682" t="str">
        <f>"14:01:44.414"</f>
        <v>14:01:44.414</v>
      </c>
      <c r="BY682" t="str">
        <f>"415092697"</f>
        <v>415092697</v>
      </c>
      <c r="CL682">
        <v>0</v>
      </c>
      <c r="CM682">
        <v>2</v>
      </c>
      <c r="CN682">
        <v>0</v>
      </c>
      <c r="CO682">
        <v>2</v>
      </c>
      <c r="CP682">
        <v>0</v>
      </c>
      <c r="CQ682">
        <v>7</v>
      </c>
      <c r="CR682" t="s">
        <v>116</v>
      </c>
      <c r="CS682">
        <v>525</v>
      </c>
      <c r="CT682">
        <v>1</v>
      </c>
      <c r="CU682" t="s">
        <v>140</v>
      </c>
      <c r="CV682" t="s">
        <v>141</v>
      </c>
      <c r="CY682">
        <v>8154485</v>
      </c>
      <c r="CZ682" t="s">
        <v>119</v>
      </c>
    </row>
    <row r="683" spans="1:104" x14ac:dyDescent="0.25">
      <c r="A683" t="str">
        <f>"14:01:45.594"</f>
        <v>14:01:45.594</v>
      </c>
      <c r="B683" t="s">
        <v>108</v>
      </c>
      <c r="C683" t="str">
        <f t="shared" si="31"/>
        <v>ffdfd3c0</v>
      </c>
      <c r="D683" t="s">
        <v>109</v>
      </c>
      <c r="E683">
        <v>4</v>
      </c>
      <c r="F683">
        <v>1004</v>
      </c>
      <c r="G683" t="s">
        <v>110</v>
      </c>
      <c r="J683" t="s">
        <v>111</v>
      </c>
      <c r="K683">
        <v>0</v>
      </c>
      <c r="L683">
        <v>3</v>
      </c>
      <c r="M683">
        <v>0</v>
      </c>
      <c r="N683">
        <v>2</v>
      </c>
      <c r="O683">
        <v>1</v>
      </c>
      <c r="P683">
        <v>0</v>
      </c>
      <c r="Q683">
        <v>0</v>
      </c>
      <c r="R683" t="s">
        <v>112</v>
      </c>
      <c r="S683" t="str">
        <f>"14:01:45.422"</f>
        <v>14:01:45.422</v>
      </c>
      <c r="T683" t="str">
        <f>"14:01:45.023"</f>
        <v>14:01:45.023</v>
      </c>
      <c r="U683" t="str">
        <f t="shared" si="30"/>
        <v>ad5732</v>
      </c>
      <c r="V683">
        <v>0</v>
      </c>
      <c r="W683">
        <v>0</v>
      </c>
      <c r="X683">
        <v>1</v>
      </c>
      <c r="Z683">
        <v>0</v>
      </c>
      <c r="AA683">
        <v>9</v>
      </c>
      <c r="AB683">
        <v>3</v>
      </c>
      <c r="AC683">
        <v>0</v>
      </c>
      <c r="AD683">
        <v>10</v>
      </c>
      <c r="AE683">
        <v>0</v>
      </c>
      <c r="AF683">
        <v>3</v>
      </c>
      <c r="AG683">
        <v>2</v>
      </c>
      <c r="AH683">
        <v>0</v>
      </c>
      <c r="AI683" t="s">
        <v>1463</v>
      </c>
      <c r="AJ683">
        <v>39.296056999999998</v>
      </c>
      <c r="AK683" t="s">
        <v>1464</v>
      </c>
      <c r="AL683">
        <v>-77.174749000000006</v>
      </c>
      <c r="AM683">
        <v>100</v>
      </c>
      <c r="AN683">
        <v>8700</v>
      </c>
      <c r="AO683" t="s">
        <v>115</v>
      </c>
      <c r="AP683">
        <v>176</v>
      </c>
      <c r="AQ683">
        <v>70</v>
      </c>
      <c r="AR683">
        <v>-64</v>
      </c>
      <c r="AZ683">
        <v>3614</v>
      </c>
      <c r="BA683">
        <v>1</v>
      </c>
      <c r="BB683" t="str">
        <f t="shared" si="32"/>
        <v xml:space="preserve">N959MJ  </v>
      </c>
      <c r="BC683">
        <v>1</v>
      </c>
      <c r="BE683">
        <v>0</v>
      </c>
      <c r="BF683">
        <v>0</v>
      </c>
      <c r="BG683">
        <v>0</v>
      </c>
      <c r="BH683">
        <v>9025</v>
      </c>
      <c r="BI683">
        <v>325</v>
      </c>
      <c r="BJ683">
        <v>1</v>
      </c>
      <c r="BK683">
        <v>1</v>
      </c>
      <c r="BL683">
        <v>1</v>
      </c>
      <c r="BM683">
        <v>0</v>
      </c>
      <c r="BP683">
        <v>0</v>
      </c>
      <c r="BQ683">
        <v>0</v>
      </c>
      <c r="BX683" t="str">
        <f>"14:01:45.430"</f>
        <v>14:01:45.430</v>
      </c>
      <c r="BY683" t="str">
        <f>"426002054"</f>
        <v>426002054</v>
      </c>
      <c r="CL683">
        <v>0</v>
      </c>
      <c r="CM683">
        <v>2</v>
      </c>
      <c r="CN683">
        <v>0</v>
      </c>
      <c r="CO683">
        <v>2</v>
      </c>
      <c r="CP683">
        <v>0</v>
      </c>
      <c r="CQ683">
        <v>7</v>
      </c>
      <c r="CR683" t="s">
        <v>116</v>
      </c>
      <c r="CS683">
        <v>525</v>
      </c>
      <c r="CT683">
        <v>2</v>
      </c>
      <c r="CU683" t="s">
        <v>140</v>
      </c>
      <c r="CV683" t="s">
        <v>141</v>
      </c>
      <c r="CY683">
        <v>14587096</v>
      </c>
      <c r="CZ683" t="s">
        <v>119</v>
      </c>
    </row>
    <row r="684" spans="1:104" x14ac:dyDescent="0.25">
      <c r="A684" t="str">
        <f>"14:01:46.602"</f>
        <v>14:01:46.602</v>
      </c>
      <c r="B684" t="s">
        <v>108</v>
      </c>
      <c r="C684" t="str">
        <f t="shared" si="31"/>
        <v>ffdfd3c0</v>
      </c>
      <c r="D684" t="s">
        <v>109</v>
      </c>
      <c r="E684">
        <v>4</v>
      </c>
      <c r="F684">
        <v>1004</v>
      </c>
      <c r="G684" t="s">
        <v>110</v>
      </c>
      <c r="J684" t="s">
        <v>111</v>
      </c>
      <c r="K684">
        <v>0</v>
      </c>
      <c r="L684">
        <v>3</v>
      </c>
      <c r="M684">
        <v>0</v>
      </c>
      <c r="N684">
        <v>2</v>
      </c>
      <c r="O684">
        <v>1</v>
      </c>
      <c r="P684">
        <v>0</v>
      </c>
      <c r="Q684">
        <v>0</v>
      </c>
      <c r="R684" t="s">
        <v>112</v>
      </c>
      <c r="S684" t="str">
        <f>"14:01:46.398"</f>
        <v>14:01:46.398</v>
      </c>
      <c r="T684" t="str">
        <f>"14:01:45.898"</f>
        <v>14:01:45.898</v>
      </c>
      <c r="U684" t="str">
        <f t="shared" si="30"/>
        <v>ad5732</v>
      </c>
      <c r="V684">
        <v>0</v>
      </c>
      <c r="W684">
        <v>0</v>
      </c>
      <c r="X684">
        <v>1</v>
      </c>
      <c r="Z684">
        <v>0</v>
      </c>
      <c r="AA684">
        <v>9</v>
      </c>
      <c r="AB684">
        <v>3</v>
      </c>
      <c r="AC684">
        <v>0</v>
      </c>
      <c r="AD684">
        <v>10</v>
      </c>
      <c r="AE684">
        <v>0</v>
      </c>
      <c r="AF684">
        <v>3</v>
      </c>
      <c r="AG684">
        <v>2</v>
      </c>
      <c r="AH684">
        <v>0</v>
      </c>
      <c r="AI684" t="s">
        <v>1465</v>
      </c>
      <c r="AJ684">
        <v>39.296379000000002</v>
      </c>
      <c r="AK684" t="s">
        <v>1466</v>
      </c>
      <c r="AL684">
        <v>-77.173698000000002</v>
      </c>
      <c r="AM684">
        <v>100</v>
      </c>
      <c r="AN684">
        <v>8700</v>
      </c>
      <c r="AO684" t="s">
        <v>115</v>
      </c>
      <c r="AP684">
        <v>176</v>
      </c>
      <c r="AQ684">
        <v>70</v>
      </c>
      <c r="AR684">
        <v>-64</v>
      </c>
      <c r="AZ684">
        <v>3614</v>
      </c>
      <c r="BA684">
        <v>1</v>
      </c>
      <c r="BB684" t="str">
        <f t="shared" si="32"/>
        <v xml:space="preserve">N959MJ  </v>
      </c>
      <c r="BC684">
        <v>1</v>
      </c>
      <c r="BE684">
        <v>0</v>
      </c>
      <c r="BF684">
        <v>0</v>
      </c>
      <c r="BG684">
        <v>0</v>
      </c>
      <c r="BH684">
        <v>9025</v>
      </c>
      <c r="BI684">
        <v>325</v>
      </c>
      <c r="BJ684">
        <v>1</v>
      </c>
      <c r="BK684">
        <v>1</v>
      </c>
      <c r="BL684">
        <v>1</v>
      </c>
      <c r="BM684">
        <v>0</v>
      </c>
      <c r="BP684">
        <v>0</v>
      </c>
      <c r="BQ684">
        <v>0</v>
      </c>
      <c r="BX684" t="str">
        <f>"14:01:46.406"</f>
        <v>14:01:46.406</v>
      </c>
      <c r="BY684" t="str">
        <f>"404142781"</f>
        <v>404142781</v>
      </c>
      <c r="CL684">
        <v>0</v>
      </c>
      <c r="CM684">
        <v>2</v>
      </c>
      <c r="CN684">
        <v>0</v>
      </c>
      <c r="CO684">
        <v>2</v>
      </c>
      <c r="CP684">
        <v>0</v>
      </c>
      <c r="CQ684">
        <v>7</v>
      </c>
      <c r="CR684" t="s">
        <v>116</v>
      </c>
      <c r="CS684">
        <v>525</v>
      </c>
      <c r="CT684">
        <v>2</v>
      </c>
      <c r="CU684" t="s">
        <v>140</v>
      </c>
      <c r="CV684" t="s">
        <v>141</v>
      </c>
      <c r="CY684">
        <v>14588540</v>
      </c>
      <c r="CZ684" t="s">
        <v>119</v>
      </c>
    </row>
    <row r="685" spans="1:104" x14ac:dyDescent="0.25">
      <c r="A685" t="str">
        <f>"14:01:47.461"</f>
        <v>14:01:47.461</v>
      </c>
      <c r="B685" t="s">
        <v>108</v>
      </c>
      <c r="C685" t="str">
        <f t="shared" si="31"/>
        <v>ffdfd3c0</v>
      </c>
      <c r="D685" t="s">
        <v>109</v>
      </c>
      <c r="E685">
        <v>4</v>
      </c>
      <c r="F685">
        <v>1004</v>
      </c>
      <c r="G685" t="s">
        <v>110</v>
      </c>
      <c r="J685" t="s">
        <v>111</v>
      </c>
      <c r="K685">
        <v>0</v>
      </c>
      <c r="L685">
        <v>3</v>
      </c>
      <c r="M685">
        <v>0</v>
      </c>
      <c r="N685">
        <v>2</v>
      </c>
      <c r="O685">
        <v>1</v>
      </c>
      <c r="P685">
        <v>0</v>
      </c>
      <c r="Q685">
        <v>0</v>
      </c>
      <c r="R685" t="s">
        <v>112</v>
      </c>
      <c r="S685" t="str">
        <f>"14:01:47.273"</f>
        <v>14:01:47.273</v>
      </c>
      <c r="T685" t="str">
        <f>"14:01:46.875"</f>
        <v>14:01:46.875</v>
      </c>
      <c r="U685" t="str">
        <f t="shared" si="30"/>
        <v>ad5732</v>
      </c>
      <c r="V685">
        <v>0</v>
      </c>
      <c r="W685">
        <v>0</v>
      </c>
      <c r="X685">
        <v>1</v>
      </c>
      <c r="Z685">
        <v>0</v>
      </c>
      <c r="AA685">
        <v>9</v>
      </c>
      <c r="AB685">
        <v>3</v>
      </c>
      <c r="AC685">
        <v>0</v>
      </c>
      <c r="AD685">
        <v>10</v>
      </c>
      <c r="AE685">
        <v>0</v>
      </c>
      <c r="AF685">
        <v>3</v>
      </c>
      <c r="AG685">
        <v>2</v>
      </c>
      <c r="AH685">
        <v>0</v>
      </c>
      <c r="AI685" t="s">
        <v>1467</v>
      </c>
      <c r="AJ685">
        <v>39.296636999999997</v>
      </c>
      <c r="AK685" t="s">
        <v>1468</v>
      </c>
      <c r="AL685">
        <v>-77.172753999999998</v>
      </c>
      <c r="AM685">
        <v>100</v>
      </c>
      <c r="AN685">
        <v>8700</v>
      </c>
      <c r="AO685" t="s">
        <v>115</v>
      </c>
      <c r="AP685">
        <v>176</v>
      </c>
      <c r="AQ685">
        <v>70</v>
      </c>
      <c r="AR685">
        <v>-64</v>
      </c>
      <c r="AZ685">
        <v>3614</v>
      </c>
      <c r="BA685">
        <v>1</v>
      </c>
      <c r="BB685" t="str">
        <f t="shared" si="32"/>
        <v xml:space="preserve">N959MJ  </v>
      </c>
      <c r="BC685">
        <v>1</v>
      </c>
      <c r="BE685">
        <v>0</v>
      </c>
      <c r="BF685">
        <v>0</v>
      </c>
      <c r="BG685">
        <v>0</v>
      </c>
      <c r="BH685">
        <v>9025</v>
      </c>
      <c r="BI685">
        <v>325</v>
      </c>
      <c r="BJ685">
        <v>1</v>
      </c>
      <c r="BK685">
        <v>1</v>
      </c>
      <c r="BL685">
        <v>1</v>
      </c>
      <c r="BM685">
        <v>0</v>
      </c>
      <c r="BP685">
        <v>0</v>
      </c>
      <c r="BQ685">
        <v>0</v>
      </c>
      <c r="BX685" t="str">
        <f>"14:01:47.281"</f>
        <v>14:01:47.281</v>
      </c>
      <c r="BY685" t="str">
        <f>"279062759"</f>
        <v>279062759</v>
      </c>
      <c r="CL685">
        <v>0</v>
      </c>
      <c r="CM685">
        <v>2</v>
      </c>
      <c r="CN685">
        <v>0</v>
      </c>
      <c r="CO685">
        <v>2</v>
      </c>
      <c r="CP685">
        <v>0</v>
      </c>
      <c r="CQ685">
        <v>7</v>
      </c>
      <c r="CR685" t="s">
        <v>116</v>
      </c>
      <c r="CS685">
        <v>525</v>
      </c>
      <c r="CT685">
        <v>2</v>
      </c>
      <c r="CU685" t="s">
        <v>140</v>
      </c>
      <c r="CV685" t="s">
        <v>141</v>
      </c>
      <c r="CY685">
        <v>14589835</v>
      </c>
      <c r="CZ685" t="s">
        <v>119</v>
      </c>
    </row>
    <row r="686" spans="1:104" x14ac:dyDescent="0.25">
      <c r="A686" t="str">
        <f>"14:01:48.516"</f>
        <v>14:01:48.516</v>
      </c>
      <c r="B686" t="s">
        <v>108</v>
      </c>
      <c r="C686" t="str">
        <f t="shared" si="31"/>
        <v>ffdfd3c0</v>
      </c>
      <c r="D686" t="s">
        <v>109</v>
      </c>
      <c r="E686">
        <v>4</v>
      </c>
      <c r="F686">
        <v>1004</v>
      </c>
      <c r="G686" t="s">
        <v>110</v>
      </c>
      <c r="J686" t="s">
        <v>111</v>
      </c>
      <c r="K686">
        <v>0</v>
      </c>
      <c r="L686">
        <v>3</v>
      </c>
      <c r="M686">
        <v>0</v>
      </c>
      <c r="N686">
        <v>2</v>
      </c>
      <c r="O686">
        <v>1</v>
      </c>
      <c r="P686">
        <v>0</v>
      </c>
      <c r="Q686">
        <v>0</v>
      </c>
      <c r="R686" t="s">
        <v>112</v>
      </c>
      <c r="S686" t="str">
        <f>"14:01:48.320"</f>
        <v>14:01:48.320</v>
      </c>
      <c r="T686" t="str">
        <f>"14:01:47.820"</f>
        <v>14:01:47.820</v>
      </c>
      <c r="U686" t="str">
        <f t="shared" si="30"/>
        <v>ad5732</v>
      </c>
      <c r="V686">
        <v>0</v>
      </c>
      <c r="W686">
        <v>0</v>
      </c>
      <c r="X686">
        <v>1</v>
      </c>
      <c r="Z686">
        <v>0</v>
      </c>
      <c r="AA686">
        <v>9</v>
      </c>
      <c r="AB686">
        <v>3</v>
      </c>
      <c r="AC686">
        <v>0</v>
      </c>
      <c r="AD686">
        <v>10</v>
      </c>
      <c r="AE686">
        <v>0</v>
      </c>
      <c r="AF686">
        <v>3</v>
      </c>
      <c r="AG686">
        <v>2</v>
      </c>
      <c r="AH686">
        <v>0</v>
      </c>
      <c r="AI686" t="s">
        <v>1469</v>
      </c>
      <c r="AJ686">
        <v>39.296957999999997</v>
      </c>
      <c r="AK686" t="s">
        <v>1470</v>
      </c>
      <c r="AL686">
        <v>-77.171723999999998</v>
      </c>
      <c r="AM686">
        <v>100</v>
      </c>
      <c r="AN686">
        <v>8700</v>
      </c>
      <c r="AO686" t="s">
        <v>115</v>
      </c>
      <c r="AP686">
        <v>176</v>
      </c>
      <c r="AQ686">
        <v>70</v>
      </c>
      <c r="AR686">
        <v>-64</v>
      </c>
      <c r="AZ686">
        <v>3614</v>
      </c>
      <c r="BA686">
        <v>1</v>
      </c>
      <c r="BB686" t="str">
        <f t="shared" si="32"/>
        <v xml:space="preserve">N959MJ  </v>
      </c>
      <c r="BC686">
        <v>1</v>
      </c>
      <c r="BE686">
        <v>0</v>
      </c>
      <c r="BF686">
        <v>0</v>
      </c>
      <c r="BG686">
        <v>0</v>
      </c>
      <c r="BH686">
        <v>9025</v>
      </c>
      <c r="BI686">
        <v>325</v>
      </c>
      <c r="BJ686">
        <v>1</v>
      </c>
      <c r="BK686">
        <v>1</v>
      </c>
      <c r="BL686">
        <v>1</v>
      </c>
      <c r="BM686">
        <v>0</v>
      </c>
      <c r="BP686">
        <v>0</v>
      </c>
      <c r="BQ686">
        <v>0</v>
      </c>
      <c r="BX686" t="str">
        <f>"14:01:48.320"</f>
        <v>14:01:48.320</v>
      </c>
      <c r="BY686" t="str">
        <f>"322740495"</f>
        <v>322740495</v>
      </c>
      <c r="CL686">
        <v>0</v>
      </c>
      <c r="CM686">
        <v>2</v>
      </c>
      <c r="CN686">
        <v>0</v>
      </c>
      <c r="CO686">
        <v>2</v>
      </c>
      <c r="CP686">
        <v>0</v>
      </c>
      <c r="CQ686">
        <v>7</v>
      </c>
      <c r="CR686" t="s">
        <v>116</v>
      </c>
      <c r="CS686">
        <v>525</v>
      </c>
      <c r="CT686">
        <v>1</v>
      </c>
      <c r="CU686" t="s">
        <v>140</v>
      </c>
      <c r="CV686" t="s">
        <v>141</v>
      </c>
      <c r="CY686">
        <v>8159847</v>
      </c>
      <c r="CZ686" t="s">
        <v>119</v>
      </c>
    </row>
    <row r="687" spans="1:104" x14ac:dyDescent="0.25">
      <c r="A687" t="str">
        <f>"14:01:49.531"</f>
        <v>14:01:49.531</v>
      </c>
      <c r="B687" t="s">
        <v>108</v>
      </c>
      <c r="C687" t="str">
        <f t="shared" si="31"/>
        <v>ffdfd3c0</v>
      </c>
      <c r="D687" t="s">
        <v>109</v>
      </c>
      <c r="E687">
        <v>4</v>
      </c>
      <c r="F687">
        <v>1004</v>
      </c>
      <c r="G687" t="s">
        <v>110</v>
      </c>
      <c r="J687" t="s">
        <v>111</v>
      </c>
      <c r="K687">
        <v>0</v>
      </c>
      <c r="L687">
        <v>3</v>
      </c>
      <c r="M687">
        <v>0</v>
      </c>
      <c r="N687">
        <v>2</v>
      </c>
      <c r="O687">
        <v>1</v>
      </c>
      <c r="P687">
        <v>0</v>
      </c>
      <c r="Q687">
        <v>0</v>
      </c>
      <c r="R687" t="s">
        <v>112</v>
      </c>
      <c r="S687" t="str">
        <f>"14:01:49.328"</f>
        <v>14:01:49.328</v>
      </c>
      <c r="T687" t="str">
        <f>"14:01:48.828"</f>
        <v>14:01:48.828</v>
      </c>
      <c r="U687" t="str">
        <f t="shared" si="30"/>
        <v>ad5732</v>
      </c>
      <c r="V687">
        <v>0</v>
      </c>
      <c r="W687">
        <v>0</v>
      </c>
      <c r="X687">
        <v>1</v>
      </c>
      <c r="Z687">
        <v>0</v>
      </c>
      <c r="AA687">
        <v>9</v>
      </c>
      <c r="AB687">
        <v>3</v>
      </c>
      <c r="AC687">
        <v>0</v>
      </c>
      <c r="AD687">
        <v>10</v>
      </c>
      <c r="AE687">
        <v>0</v>
      </c>
      <c r="AF687">
        <v>3</v>
      </c>
      <c r="AG687">
        <v>2</v>
      </c>
      <c r="AH687">
        <v>0</v>
      </c>
      <c r="AI687" t="s">
        <v>1471</v>
      </c>
      <c r="AJ687">
        <v>39.297280000000001</v>
      </c>
      <c r="AK687" t="s">
        <v>1472</v>
      </c>
      <c r="AL687">
        <v>-77.170651000000007</v>
      </c>
      <c r="AM687">
        <v>100</v>
      </c>
      <c r="AN687">
        <v>8700</v>
      </c>
      <c r="AO687" t="s">
        <v>115</v>
      </c>
      <c r="AP687">
        <v>176</v>
      </c>
      <c r="AQ687">
        <v>69</v>
      </c>
      <c r="AR687">
        <v>-64</v>
      </c>
      <c r="AZ687">
        <v>3614</v>
      </c>
      <c r="BA687">
        <v>1</v>
      </c>
      <c r="BB687" t="str">
        <f t="shared" si="32"/>
        <v xml:space="preserve">N959MJ  </v>
      </c>
      <c r="BC687">
        <v>1</v>
      </c>
      <c r="BE687">
        <v>0</v>
      </c>
      <c r="BF687">
        <v>0</v>
      </c>
      <c r="BG687">
        <v>0</v>
      </c>
      <c r="BH687">
        <v>9025</v>
      </c>
      <c r="BI687">
        <v>325</v>
      </c>
      <c r="BJ687">
        <v>1</v>
      </c>
      <c r="BK687">
        <v>1</v>
      </c>
      <c r="BL687">
        <v>1</v>
      </c>
      <c r="BM687">
        <v>0</v>
      </c>
      <c r="BP687">
        <v>0</v>
      </c>
      <c r="BQ687">
        <v>0</v>
      </c>
      <c r="BX687" t="str">
        <f>"14:01:49.336"</f>
        <v>14:01:49.336</v>
      </c>
      <c r="BY687" t="str">
        <f>"333650667"</f>
        <v>333650667</v>
      </c>
      <c r="CL687">
        <v>0</v>
      </c>
      <c r="CM687">
        <v>2</v>
      </c>
      <c r="CN687">
        <v>0</v>
      </c>
      <c r="CO687">
        <v>2</v>
      </c>
      <c r="CP687">
        <v>0</v>
      </c>
      <c r="CQ687">
        <v>7</v>
      </c>
      <c r="CR687" t="s">
        <v>116</v>
      </c>
      <c r="CS687">
        <v>147</v>
      </c>
      <c r="CT687">
        <v>0</v>
      </c>
      <c r="CU687" t="s">
        <v>117</v>
      </c>
      <c r="CV687" t="s">
        <v>118</v>
      </c>
      <c r="CY687">
        <v>5002478</v>
      </c>
      <c r="CZ687" t="s">
        <v>119</v>
      </c>
    </row>
    <row r="688" spans="1:104" x14ac:dyDescent="0.25">
      <c r="A688" t="str">
        <f>"14:01:50.484"</f>
        <v>14:01:50.484</v>
      </c>
      <c r="B688" t="s">
        <v>108</v>
      </c>
      <c r="C688" t="str">
        <f t="shared" si="31"/>
        <v>ffdfd3c0</v>
      </c>
      <c r="D688" t="s">
        <v>109</v>
      </c>
      <c r="E688">
        <v>4</v>
      </c>
      <c r="F688">
        <v>1004</v>
      </c>
      <c r="G688" t="s">
        <v>110</v>
      </c>
      <c r="J688" t="s">
        <v>111</v>
      </c>
      <c r="K688">
        <v>0</v>
      </c>
      <c r="L688">
        <v>3</v>
      </c>
      <c r="M688">
        <v>0</v>
      </c>
      <c r="N688">
        <v>2</v>
      </c>
      <c r="O688">
        <v>1</v>
      </c>
      <c r="P688">
        <v>0</v>
      </c>
      <c r="Q688">
        <v>0</v>
      </c>
      <c r="R688" t="s">
        <v>112</v>
      </c>
      <c r="S688" t="str">
        <f>"14:01:50.320"</f>
        <v>14:01:50.320</v>
      </c>
      <c r="T688" t="str">
        <f>"14:01:49.922"</f>
        <v>14:01:49.922</v>
      </c>
      <c r="U688" t="str">
        <f t="shared" si="30"/>
        <v>ad5732</v>
      </c>
      <c r="V688">
        <v>0</v>
      </c>
      <c r="W688">
        <v>0</v>
      </c>
      <c r="X688">
        <v>1</v>
      </c>
      <c r="Z688">
        <v>0</v>
      </c>
      <c r="AA688">
        <v>9</v>
      </c>
      <c r="AB688">
        <v>3</v>
      </c>
      <c r="AC688">
        <v>0</v>
      </c>
      <c r="AD688">
        <v>10</v>
      </c>
      <c r="AE688">
        <v>0</v>
      </c>
      <c r="AF688">
        <v>3</v>
      </c>
      <c r="AG688">
        <v>2</v>
      </c>
      <c r="AH688">
        <v>0</v>
      </c>
      <c r="AI688" t="s">
        <v>1473</v>
      </c>
      <c r="AJ688">
        <v>39.297601999999998</v>
      </c>
      <c r="AK688" t="s">
        <v>1474</v>
      </c>
      <c r="AL688">
        <v>-77.169578000000001</v>
      </c>
      <c r="AM688">
        <v>100</v>
      </c>
      <c r="AN688">
        <v>8700</v>
      </c>
      <c r="AO688" t="s">
        <v>115</v>
      </c>
      <c r="AP688">
        <v>176</v>
      </c>
      <c r="AQ688">
        <v>69</v>
      </c>
      <c r="AR688">
        <v>-64</v>
      </c>
      <c r="AZ688">
        <v>3614</v>
      </c>
      <c r="BA688">
        <v>1</v>
      </c>
      <c r="BB688" t="str">
        <f t="shared" si="32"/>
        <v xml:space="preserve">N959MJ  </v>
      </c>
      <c r="BC688">
        <v>1</v>
      </c>
      <c r="BE688">
        <v>0</v>
      </c>
      <c r="BF688">
        <v>0</v>
      </c>
      <c r="BG688">
        <v>0</v>
      </c>
      <c r="BH688">
        <v>9025</v>
      </c>
      <c r="BI688">
        <v>325</v>
      </c>
      <c r="BJ688">
        <v>1</v>
      </c>
      <c r="BK688">
        <v>1</v>
      </c>
      <c r="BL688">
        <v>1</v>
      </c>
      <c r="BM688">
        <v>0</v>
      </c>
      <c r="BP688">
        <v>0</v>
      </c>
      <c r="BQ688">
        <v>0</v>
      </c>
      <c r="BX688" t="str">
        <f>"14:01:50.320"</f>
        <v>14:01:50.320</v>
      </c>
      <c r="BY688" t="str">
        <f>"323259588"</f>
        <v>323259588</v>
      </c>
      <c r="CL688">
        <v>0</v>
      </c>
      <c r="CM688">
        <v>2</v>
      </c>
      <c r="CN688">
        <v>0</v>
      </c>
      <c r="CO688">
        <v>2</v>
      </c>
      <c r="CP688">
        <v>0</v>
      </c>
      <c r="CQ688">
        <v>7</v>
      </c>
      <c r="CR688" t="s">
        <v>116</v>
      </c>
      <c r="CS688">
        <v>525</v>
      </c>
      <c r="CT688">
        <v>2</v>
      </c>
      <c r="CU688" t="s">
        <v>140</v>
      </c>
      <c r="CV688" t="s">
        <v>141</v>
      </c>
      <c r="CY688">
        <v>14594146</v>
      </c>
      <c r="CZ688" t="s">
        <v>119</v>
      </c>
    </row>
    <row r="689" spans="1:104" x14ac:dyDescent="0.25">
      <c r="A689" t="str">
        <f>"14:01:51.445"</f>
        <v>14:01:51.445</v>
      </c>
      <c r="B689" t="s">
        <v>108</v>
      </c>
      <c r="C689" t="str">
        <f t="shared" si="31"/>
        <v>ffdfd3c0</v>
      </c>
      <c r="D689" t="s">
        <v>109</v>
      </c>
      <c r="E689">
        <v>4</v>
      </c>
      <c r="F689">
        <v>1004</v>
      </c>
      <c r="G689" t="s">
        <v>110</v>
      </c>
      <c r="J689" t="s">
        <v>111</v>
      </c>
      <c r="K689">
        <v>0</v>
      </c>
      <c r="L689">
        <v>3</v>
      </c>
      <c r="M689">
        <v>0</v>
      </c>
      <c r="N689">
        <v>2</v>
      </c>
      <c r="O689">
        <v>1</v>
      </c>
      <c r="P689">
        <v>0</v>
      </c>
      <c r="Q689">
        <v>0</v>
      </c>
      <c r="R689" t="s">
        <v>112</v>
      </c>
      <c r="S689" t="str">
        <f>"14:01:51.250"</f>
        <v>14:01:51.250</v>
      </c>
      <c r="T689" t="str">
        <f>"14:01:50.852"</f>
        <v>14:01:50.852</v>
      </c>
      <c r="U689" t="str">
        <f t="shared" si="30"/>
        <v>ad5732</v>
      </c>
      <c r="V689">
        <v>0</v>
      </c>
      <c r="W689">
        <v>0</v>
      </c>
      <c r="X689">
        <v>1</v>
      </c>
      <c r="Z689">
        <v>0</v>
      </c>
      <c r="AA689">
        <v>9</v>
      </c>
      <c r="AB689">
        <v>3</v>
      </c>
      <c r="AC689">
        <v>0</v>
      </c>
      <c r="AD689">
        <v>10</v>
      </c>
      <c r="AE689">
        <v>0</v>
      </c>
      <c r="AF689">
        <v>3</v>
      </c>
      <c r="AG689">
        <v>2</v>
      </c>
      <c r="AH689">
        <v>0</v>
      </c>
      <c r="AI689" t="s">
        <v>1475</v>
      </c>
      <c r="AJ689">
        <v>39.297902999999998</v>
      </c>
      <c r="AK689" t="s">
        <v>1476</v>
      </c>
      <c r="AL689">
        <v>-77.168633999999997</v>
      </c>
      <c r="AM689">
        <v>100</v>
      </c>
      <c r="AN689">
        <v>8700</v>
      </c>
      <c r="AO689" t="s">
        <v>115</v>
      </c>
      <c r="AP689">
        <v>177</v>
      </c>
      <c r="AQ689">
        <v>69</v>
      </c>
      <c r="AR689">
        <v>0</v>
      </c>
      <c r="AZ689">
        <v>3614</v>
      </c>
      <c r="BA689">
        <v>1</v>
      </c>
      <c r="BB689" t="str">
        <f t="shared" si="32"/>
        <v xml:space="preserve">N959MJ  </v>
      </c>
      <c r="BC689">
        <v>1</v>
      </c>
      <c r="BE689">
        <v>0</v>
      </c>
      <c r="BF689">
        <v>0</v>
      </c>
      <c r="BG689">
        <v>0</v>
      </c>
      <c r="BH689">
        <v>9025</v>
      </c>
      <c r="BI689">
        <v>325</v>
      </c>
      <c r="BJ689">
        <v>1</v>
      </c>
      <c r="BK689">
        <v>1</v>
      </c>
      <c r="BL689">
        <v>1</v>
      </c>
      <c r="BM689">
        <v>0</v>
      </c>
      <c r="BP689">
        <v>0</v>
      </c>
      <c r="BQ689">
        <v>0</v>
      </c>
      <c r="BX689" t="str">
        <f>"14:01:51.258"</f>
        <v>14:01:51.258</v>
      </c>
      <c r="BY689" t="str">
        <f>"257163456"</f>
        <v>257163456</v>
      </c>
      <c r="CL689">
        <v>0</v>
      </c>
      <c r="CM689">
        <v>2</v>
      </c>
      <c r="CN689">
        <v>0</v>
      </c>
      <c r="CO689">
        <v>2</v>
      </c>
      <c r="CP689">
        <v>0</v>
      </c>
      <c r="CQ689">
        <v>7</v>
      </c>
      <c r="CR689" t="s">
        <v>116</v>
      </c>
      <c r="CS689">
        <v>147</v>
      </c>
      <c r="CT689">
        <v>0</v>
      </c>
      <c r="CU689" t="s">
        <v>117</v>
      </c>
      <c r="CV689" t="s">
        <v>118</v>
      </c>
      <c r="CY689">
        <v>5005512</v>
      </c>
      <c r="CZ689" t="s">
        <v>119</v>
      </c>
    </row>
    <row r="690" spans="1:104" x14ac:dyDescent="0.25">
      <c r="A690" t="str">
        <f>"14:01:52.508"</f>
        <v>14:01:52.508</v>
      </c>
      <c r="B690" t="s">
        <v>108</v>
      </c>
      <c r="C690" t="str">
        <f t="shared" si="31"/>
        <v>ffdfd3c0</v>
      </c>
      <c r="D690" t="s">
        <v>109</v>
      </c>
      <c r="E690">
        <v>4</v>
      </c>
      <c r="F690">
        <v>1004</v>
      </c>
      <c r="G690" t="s">
        <v>110</v>
      </c>
      <c r="J690" t="s">
        <v>111</v>
      </c>
      <c r="K690">
        <v>0</v>
      </c>
      <c r="L690">
        <v>3</v>
      </c>
      <c r="M690">
        <v>0</v>
      </c>
      <c r="N690">
        <v>2</v>
      </c>
      <c r="O690">
        <v>1</v>
      </c>
      <c r="P690">
        <v>0</v>
      </c>
      <c r="Q690">
        <v>0</v>
      </c>
      <c r="R690" t="s">
        <v>112</v>
      </c>
      <c r="S690" t="str">
        <f>"14:01:52.336"</f>
        <v>14:01:52.336</v>
      </c>
      <c r="T690" t="str">
        <f>"14:01:51.938"</f>
        <v>14:01:51.938</v>
      </c>
      <c r="U690" t="str">
        <f t="shared" si="30"/>
        <v>ad5732</v>
      </c>
      <c r="V690">
        <v>0</v>
      </c>
      <c r="W690">
        <v>0</v>
      </c>
      <c r="X690">
        <v>1</v>
      </c>
      <c r="Z690">
        <v>0</v>
      </c>
      <c r="AA690">
        <v>9</v>
      </c>
      <c r="AB690">
        <v>3</v>
      </c>
      <c r="AC690">
        <v>0</v>
      </c>
      <c r="AD690">
        <v>10</v>
      </c>
      <c r="AE690">
        <v>0</v>
      </c>
      <c r="AF690">
        <v>3</v>
      </c>
      <c r="AG690">
        <v>2</v>
      </c>
      <c r="AH690">
        <v>0</v>
      </c>
      <c r="AI690" t="s">
        <v>1477</v>
      </c>
      <c r="AJ690">
        <v>39.298223999999998</v>
      </c>
      <c r="AK690" t="s">
        <v>1478</v>
      </c>
      <c r="AL690">
        <v>-77.167496999999997</v>
      </c>
      <c r="AM690">
        <v>100</v>
      </c>
      <c r="AN690">
        <v>8700</v>
      </c>
      <c r="AO690" t="s">
        <v>115</v>
      </c>
      <c r="AP690">
        <v>177</v>
      </c>
      <c r="AQ690">
        <v>68</v>
      </c>
      <c r="AR690">
        <v>0</v>
      </c>
      <c r="AZ690">
        <v>3614</v>
      </c>
      <c r="BA690">
        <v>1</v>
      </c>
      <c r="BB690" t="str">
        <f t="shared" si="32"/>
        <v xml:space="preserve">N959MJ  </v>
      </c>
      <c r="BC690">
        <v>1</v>
      </c>
      <c r="BE690">
        <v>0</v>
      </c>
      <c r="BF690">
        <v>0</v>
      </c>
      <c r="BG690">
        <v>0</v>
      </c>
      <c r="BH690">
        <v>9025</v>
      </c>
      <c r="BI690">
        <v>325</v>
      </c>
      <c r="BJ690">
        <v>1</v>
      </c>
      <c r="BK690">
        <v>1</v>
      </c>
      <c r="BL690">
        <v>1</v>
      </c>
      <c r="BM690">
        <v>0</v>
      </c>
      <c r="BP690">
        <v>0</v>
      </c>
      <c r="BQ690">
        <v>0</v>
      </c>
      <c r="BX690" t="str">
        <f>"14:01:52.336"</f>
        <v>14:01:52.336</v>
      </c>
      <c r="BY690" t="str">
        <f>"336886161"</f>
        <v>336886161</v>
      </c>
      <c r="CL690">
        <v>0</v>
      </c>
      <c r="CM690">
        <v>2</v>
      </c>
      <c r="CN690">
        <v>0</v>
      </c>
      <c r="CO690">
        <v>2</v>
      </c>
      <c r="CP690">
        <v>0</v>
      </c>
      <c r="CQ690">
        <v>7</v>
      </c>
      <c r="CR690" t="s">
        <v>116</v>
      </c>
      <c r="CS690">
        <v>525</v>
      </c>
      <c r="CT690">
        <v>2</v>
      </c>
      <c r="CU690" t="s">
        <v>140</v>
      </c>
      <c r="CV690" t="s">
        <v>141</v>
      </c>
      <c r="CY690">
        <v>14597256</v>
      </c>
      <c r="CZ690" t="s">
        <v>119</v>
      </c>
    </row>
    <row r="691" spans="1:104" x14ac:dyDescent="0.25">
      <c r="A691" t="str">
        <f>"14:01:53.516"</f>
        <v>14:01:53.516</v>
      </c>
      <c r="B691" t="s">
        <v>108</v>
      </c>
      <c r="C691" t="str">
        <f t="shared" si="31"/>
        <v>ffdfd3c0</v>
      </c>
      <c r="D691" t="s">
        <v>109</v>
      </c>
      <c r="E691">
        <v>4</v>
      </c>
      <c r="F691">
        <v>1004</v>
      </c>
      <c r="G691" t="s">
        <v>110</v>
      </c>
      <c r="J691" t="s">
        <v>111</v>
      </c>
      <c r="K691">
        <v>0</v>
      </c>
      <c r="L691">
        <v>3</v>
      </c>
      <c r="M691">
        <v>0</v>
      </c>
      <c r="N691">
        <v>2</v>
      </c>
      <c r="O691">
        <v>1</v>
      </c>
      <c r="P691">
        <v>0</v>
      </c>
      <c r="Q691">
        <v>0</v>
      </c>
      <c r="R691" t="s">
        <v>112</v>
      </c>
      <c r="S691" t="str">
        <f>"14:01:53.305"</f>
        <v>14:01:53.305</v>
      </c>
      <c r="T691" t="str">
        <f>"14:01:52.906"</f>
        <v>14:01:52.906</v>
      </c>
      <c r="U691" t="str">
        <f t="shared" si="30"/>
        <v>ad5732</v>
      </c>
      <c r="V691">
        <v>0</v>
      </c>
      <c r="W691">
        <v>0</v>
      </c>
      <c r="X691">
        <v>1</v>
      </c>
      <c r="Z691">
        <v>0</v>
      </c>
      <c r="AA691">
        <v>9</v>
      </c>
      <c r="AB691">
        <v>3</v>
      </c>
      <c r="AC691">
        <v>0</v>
      </c>
      <c r="AD691">
        <v>10</v>
      </c>
      <c r="AE691">
        <v>0</v>
      </c>
      <c r="AF691">
        <v>3</v>
      </c>
      <c r="AG691">
        <v>2</v>
      </c>
      <c r="AH691">
        <v>0</v>
      </c>
      <c r="AI691" t="s">
        <v>1479</v>
      </c>
      <c r="AJ691">
        <v>39.298546000000002</v>
      </c>
      <c r="AK691" t="s">
        <v>1480</v>
      </c>
      <c r="AL691">
        <v>-77.166424000000006</v>
      </c>
      <c r="AM691">
        <v>100</v>
      </c>
      <c r="AN691">
        <v>8700</v>
      </c>
      <c r="AO691" t="s">
        <v>115</v>
      </c>
      <c r="AP691">
        <v>177</v>
      </c>
      <c r="AQ691">
        <v>68</v>
      </c>
      <c r="AR691">
        <v>0</v>
      </c>
      <c r="AZ691">
        <v>3614</v>
      </c>
      <c r="BA691">
        <v>1</v>
      </c>
      <c r="BB691" t="str">
        <f t="shared" si="32"/>
        <v xml:space="preserve">N959MJ  </v>
      </c>
      <c r="BC691">
        <v>1</v>
      </c>
      <c r="BE691">
        <v>0</v>
      </c>
      <c r="BF691">
        <v>0</v>
      </c>
      <c r="BG691">
        <v>0</v>
      </c>
      <c r="BH691">
        <v>9025</v>
      </c>
      <c r="BI691">
        <v>325</v>
      </c>
      <c r="BJ691">
        <v>1</v>
      </c>
      <c r="BK691">
        <v>1</v>
      </c>
      <c r="BL691">
        <v>1</v>
      </c>
      <c r="BM691">
        <v>0</v>
      </c>
      <c r="BP691">
        <v>0</v>
      </c>
      <c r="BQ691">
        <v>0</v>
      </c>
      <c r="BX691" t="str">
        <f>"14:01:53.305"</f>
        <v>14:01:53.305</v>
      </c>
      <c r="BY691" t="str">
        <f>"306835154"</f>
        <v>306835154</v>
      </c>
      <c r="CL691">
        <v>0</v>
      </c>
      <c r="CM691">
        <v>2</v>
      </c>
      <c r="CN691">
        <v>0</v>
      </c>
      <c r="CO691">
        <v>2</v>
      </c>
      <c r="CP691">
        <v>0</v>
      </c>
      <c r="CQ691">
        <v>7</v>
      </c>
      <c r="CR691" t="s">
        <v>116</v>
      </c>
      <c r="CS691">
        <v>147</v>
      </c>
      <c r="CT691">
        <v>0</v>
      </c>
      <c r="CU691" t="s">
        <v>117</v>
      </c>
      <c r="CV691" t="s">
        <v>118</v>
      </c>
      <c r="CY691">
        <v>5008741</v>
      </c>
      <c r="CZ691" t="s">
        <v>119</v>
      </c>
    </row>
    <row r="692" spans="1:104" x14ac:dyDescent="0.25">
      <c r="A692" t="str">
        <f>"14:01:54.422"</f>
        <v>14:01:54.422</v>
      </c>
      <c r="B692" t="s">
        <v>108</v>
      </c>
      <c r="C692" t="str">
        <f t="shared" si="31"/>
        <v>ffdfd3c0</v>
      </c>
      <c r="D692" t="s">
        <v>109</v>
      </c>
      <c r="E692">
        <v>4</v>
      </c>
      <c r="F692">
        <v>1004</v>
      </c>
      <c r="G692" t="s">
        <v>110</v>
      </c>
      <c r="J692" t="s">
        <v>111</v>
      </c>
      <c r="K692">
        <v>0</v>
      </c>
      <c r="L692">
        <v>3</v>
      </c>
      <c r="M692">
        <v>0</v>
      </c>
      <c r="N692">
        <v>2</v>
      </c>
      <c r="O692">
        <v>1</v>
      </c>
      <c r="P692">
        <v>0</v>
      </c>
      <c r="Q692">
        <v>0</v>
      </c>
      <c r="R692" t="s">
        <v>112</v>
      </c>
      <c r="S692" t="str">
        <f>"14:01:54.234"</f>
        <v>14:01:54.234</v>
      </c>
      <c r="T692" t="str">
        <f>"14:01:53.836"</f>
        <v>14:01:53.836</v>
      </c>
      <c r="U692" t="str">
        <f t="shared" si="30"/>
        <v>ad5732</v>
      </c>
      <c r="V692">
        <v>0</v>
      </c>
      <c r="W692">
        <v>0</v>
      </c>
      <c r="X692">
        <v>1</v>
      </c>
      <c r="Z692">
        <v>0</v>
      </c>
      <c r="AA692">
        <v>9</v>
      </c>
      <c r="AB692">
        <v>3</v>
      </c>
      <c r="AC692">
        <v>0</v>
      </c>
      <c r="AD692">
        <v>10</v>
      </c>
      <c r="AE692">
        <v>0</v>
      </c>
      <c r="AF692">
        <v>3</v>
      </c>
      <c r="AG692">
        <v>2</v>
      </c>
      <c r="AH692">
        <v>0</v>
      </c>
      <c r="AI692" t="s">
        <v>1481</v>
      </c>
      <c r="AJ692">
        <v>39.298847000000002</v>
      </c>
      <c r="AK692" t="s">
        <v>1482</v>
      </c>
      <c r="AL692">
        <v>-77.165458000000001</v>
      </c>
      <c r="AM692">
        <v>100</v>
      </c>
      <c r="AN692">
        <v>8700</v>
      </c>
      <c r="AO692" t="s">
        <v>115</v>
      </c>
      <c r="AP692">
        <v>177</v>
      </c>
      <c r="AQ692">
        <v>68</v>
      </c>
      <c r="AR692">
        <v>0</v>
      </c>
      <c r="AZ692">
        <v>3614</v>
      </c>
      <c r="BA692">
        <v>1</v>
      </c>
      <c r="BB692" t="str">
        <f t="shared" si="32"/>
        <v xml:space="preserve">N959MJ  </v>
      </c>
      <c r="BC692">
        <v>1</v>
      </c>
      <c r="BE692">
        <v>0</v>
      </c>
      <c r="BF692">
        <v>0</v>
      </c>
      <c r="BG692">
        <v>0</v>
      </c>
      <c r="BH692">
        <v>9025</v>
      </c>
      <c r="BI692">
        <v>325</v>
      </c>
      <c r="BJ692">
        <v>1</v>
      </c>
      <c r="BK692">
        <v>1</v>
      </c>
      <c r="BL692">
        <v>1</v>
      </c>
      <c r="BM692">
        <v>0</v>
      </c>
      <c r="BP692">
        <v>0</v>
      </c>
      <c r="BQ692">
        <v>0</v>
      </c>
      <c r="BX692" t="str">
        <f>"14:01:54.242"</f>
        <v>14:01:54.242</v>
      </c>
      <c r="BY692" t="str">
        <f>"239099977"</f>
        <v>239099977</v>
      </c>
      <c r="CL692">
        <v>0</v>
      </c>
      <c r="CM692">
        <v>2</v>
      </c>
      <c r="CN692">
        <v>0</v>
      </c>
      <c r="CO692">
        <v>2</v>
      </c>
      <c r="CP692">
        <v>0</v>
      </c>
      <c r="CQ692">
        <v>7</v>
      </c>
      <c r="CR692" t="s">
        <v>116</v>
      </c>
      <c r="CS692">
        <v>147</v>
      </c>
      <c r="CT692">
        <v>0</v>
      </c>
      <c r="CU692" t="s">
        <v>117</v>
      </c>
      <c r="CV692" t="s">
        <v>118</v>
      </c>
      <c r="CY692">
        <v>5010290</v>
      </c>
      <c r="CZ692" t="s">
        <v>119</v>
      </c>
    </row>
    <row r="693" spans="1:104" x14ac:dyDescent="0.25">
      <c r="A693" t="str">
        <f>"14:01:55.383"</f>
        <v>14:01:55.383</v>
      </c>
      <c r="B693" t="s">
        <v>108</v>
      </c>
      <c r="C693" t="str">
        <f t="shared" si="31"/>
        <v>ffdfd3c0</v>
      </c>
      <c r="D693" t="s">
        <v>109</v>
      </c>
      <c r="E693">
        <v>4</v>
      </c>
      <c r="F693">
        <v>1004</v>
      </c>
      <c r="G693" t="s">
        <v>110</v>
      </c>
      <c r="J693" t="s">
        <v>111</v>
      </c>
      <c r="K693">
        <v>0</v>
      </c>
      <c r="L693">
        <v>3</v>
      </c>
      <c r="M693">
        <v>0</v>
      </c>
      <c r="N693">
        <v>2</v>
      </c>
      <c r="O693">
        <v>1</v>
      </c>
      <c r="P693">
        <v>0</v>
      </c>
      <c r="Q693">
        <v>0</v>
      </c>
      <c r="R693" t="s">
        <v>112</v>
      </c>
      <c r="S693" t="str">
        <f>"14:01:55.164"</f>
        <v>14:01:55.164</v>
      </c>
      <c r="T693" t="str">
        <f>"14:01:54.766"</f>
        <v>14:01:54.766</v>
      </c>
      <c r="U693" t="str">
        <f t="shared" si="30"/>
        <v>ad5732</v>
      </c>
      <c r="V693">
        <v>0</v>
      </c>
      <c r="W693">
        <v>0</v>
      </c>
      <c r="X693">
        <v>1</v>
      </c>
      <c r="Z693">
        <v>0</v>
      </c>
      <c r="AA693">
        <v>9</v>
      </c>
      <c r="AB693">
        <v>3</v>
      </c>
      <c r="AC693">
        <v>0</v>
      </c>
      <c r="AD693">
        <v>10</v>
      </c>
      <c r="AE693">
        <v>0</v>
      </c>
      <c r="AF693">
        <v>3</v>
      </c>
      <c r="AG693">
        <v>2</v>
      </c>
      <c r="AH693">
        <v>0</v>
      </c>
      <c r="AI693" t="s">
        <v>1483</v>
      </c>
      <c r="AJ693">
        <v>39.299146999999998</v>
      </c>
      <c r="AK693" t="s">
        <v>1484</v>
      </c>
      <c r="AL693">
        <v>-77.164557000000002</v>
      </c>
      <c r="AM693">
        <v>100</v>
      </c>
      <c r="AN693">
        <v>8700</v>
      </c>
      <c r="AO693" t="s">
        <v>115</v>
      </c>
      <c r="AP693">
        <v>177</v>
      </c>
      <c r="AQ693">
        <v>68</v>
      </c>
      <c r="AR693">
        <v>0</v>
      </c>
      <c r="AZ693">
        <v>3614</v>
      </c>
      <c r="BA693">
        <v>1</v>
      </c>
      <c r="BB693" t="str">
        <f t="shared" si="32"/>
        <v xml:space="preserve">N959MJ  </v>
      </c>
      <c r="BC693">
        <v>1</v>
      </c>
      <c r="BE693">
        <v>0</v>
      </c>
      <c r="BF693">
        <v>0</v>
      </c>
      <c r="BG693">
        <v>0</v>
      </c>
      <c r="BH693">
        <v>9025</v>
      </c>
      <c r="BI693">
        <v>325</v>
      </c>
      <c r="BJ693">
        <v>1</v>
      </c>
      <c r="BK693">
        <v>1</v>
      </c>
      <c r="BL693">
        <v>1</v>
      </c>
      <c r="BM693">
        <v>0</v>
      </c>
      <c r="BP693">
        <v>0</v>
      </c>
      <c r="BQ693">
        <v>0</v>
      </c>
      <c r="BX693" t="str">
        <f>"14:01:55.164"</f>
        <v>14:01:55.164</v>
      </c>
      <c r="BY693" t="str">
        <f>"166449158"</f>
        <v>166449158</v>
      </c>
      <c r="CL693">
        <v>0</v>
      </c>
      <c r="CM693">
        <v>2</v>
      </c>
      <c r="CN693">
        <v>0</v>
      </c>
      <c r="CO693">
        <v>2</v>
      </c>
      <c r="CP693">
        <v>0</v>
      </c>
      <c r="CQ693">
        <v>7</v>
      </c>
      <c r="CR693" t="s">
        <v>116</v>
      </c>
      <c r="CS693">
        <v>525</v>
      </c>
      <c r="CT693">
        <v>1</v>
      </c>
      <c r="CU693" t="s">
        <v>140</v>
      </c>
      <c r="CV693" t="s">
        <v>141</v>
      </c>
      <c r="CY693">
        <v>8169331</v>
      </c>
      <c r="CZ693" t="s">
        <v>119</v>
      </c>
    </row>
    <row r="694" spans="1:104" x14ac:dyDescent="0.25">
      <c r="A694" t="str">
        <f>"14:01:56.336"</f>
        <v>14:01:56.336</v>
      </c>
      <c r="B694" t="s">
        <v>108</v>
      </c>
      <c r="C694" t="str">
        <f t="shared" si="31"/>
        <v>ffdfd3c0</v>
      </c>
      <c r="D694" t="s">
        <v>109</v>
      </c>
      <c r="E694">
        <v>4</v>
      </c>
      <c r="F694">
        <v>1004</v>
      </c>
      <c r="G694" t="s">
        <v>110</v>
      </c>
      <c r="J694" t="s">
        <v>111</v>
      </c>
      <c r="K694">
        <v>0</v>
      </c>
      <c r="L694">
        <v>3</v>
      </c>
      <c r="M694">
        <v>0</v>
      </c>
      <c r="N694">
        <v>2</v>
      </c>
      <c r="O694">
        <v>1</v>
      </c>
      <c r="P694">
        <v>0</v>
      </c>
      <c r="Q694">
        <v>0</v>
      </c>
      <c r="R694" t="s">
        <v>112</v>
      </c>
      <c r="S694" t="str">
        <f>"14:01:56.172"</f>
        <v>14:01:56.172</v>
      </c>
      <c r="T694" t="str">
        <f>"14:01:55.773"</f>
        <v>14:01:55.773</v>
      </c>
      <c r="U694" t="str">
        <f t="shared" si="30"/>
        <v>ad5732</v>
      </c>
      <c r="V694">
        <v>0</v>
      </c>
      <c r="W694">
        <v>0</v>
      </c>
      <c r="X694">
        <v>1</v>
      </c>
      <c r="Z694">
        <v>0</v>
      </c>
      <c r="AA694">
        <v>9</v>
      </c>
      <c r="AB694">
        <v>3</v>
      </c>
      <c r="AC694">
        <v>0</v>
      </c>
      <c r="AD694">
        <v>10</v>
      </c>
      <c r="AE694">
        <v>0</v>
      </c>
      <c r="AF694">
        <v>3</v>
      </c>
      <c r="AG694">
        <v>2</v>
      </c>
      <c r="AH694">
        <v>0</v>
      </c>
      <c r="AI694" t="s">
        <v>1485</v>
      </c>
      <c r="AJ694">
        <v>39.299425999999997</v>
      </c>
      <c r="AK694" t="s">
        <v>1486</v>
      </c>
      <c r="AL694">
        <v>-77.163483999999997</v>
      </c>
      <c r="AM694">
        <v>100</v>
      </c>
      <c r="AN694">
        <v>8700</v>
      </c>
      <c r="AO694" t="s">
        <v>115</v>
      </c>
      <c r="AP694">
        <v>176</v>
      </c>
      <c r="AQ694">
        <v>68</v>
      </c>
      <c r="AR694">
        <v>0</v>
      </c>
      <c r="AZ694">
        <v>3614</v>
      </c>
      <c r="BA694">
        <v>1</v>
      </c>
      <c r="BB694" t="str">
        <f t="shared" si="32"/>
        <v xml:space="preserve">N959MJ  </v>
      </c>
      <c r="BC694">
        <v>1</v>
      </c>
      <c r="BE694">
        <v>0</v>
      </c>
      <c r="BF694">
        <v>0</v>
      </c>
      <c r="BG694">
        <v>0</v>
      </c>
      <c r="BH694">
        <v>9025</v>
      </c>
      <c r="BI694">
        <v>325</v>
      </c>
      <c r="BJ694">
        <v>1</v>
      </c>
      <c r="BK694">
        <v>1</v>
      </c>
      <c r="BL694">
        <v>1</v>
      </c>
      <c r="BM694">
        <v>0</v>
      </c>
      <c r="BP694">
        <v>0</v>
      </c>
      <c r="BQ694">
        <v>0</v>
      </c>
      <c r="BX694" t="str">
        <f>"14:01:56.172"</f>
        <v>14:01:56.172</v>
      </c>
      <c r="BY694" t="str">
        <f>"175720233"</f>
        <v>175720233</v>
      </c>
      <c r="CL694">
        <v>0</v>
      </c>
      <c r="CM694">
        <v>2</v>
      </c>
      <c r="CN694">
        <v>0</v>
      </c>
      <c r="CO694">
        <v>2</v>
      </c>
      <c r="CP694">
        <v>0</v>
      </c>
      <c r="CQ694">
        <v>7</v>
      </c>
      <c r="CR694" t="s">
        <v>116</v>
      </c>
      <c r="CS694">
        <v>147</v>
      </c>
      <c r="CT694">
        <v>0</v>
      </c>
      <c r="CU694" t="s">
        <v>117</v>
      </c>
      <c r="CV694" t="s">
        <v>118</v>
      </c>
      <c r="CY694">
        <v>5013330</v>
      </c>
      <c r="CZ694" t="s">
        <v>119</v>
      </c>
    </row>
    <row r="695" spans="1:104" x14ac:dyDescent="0.25">
      <c r="A695" t="str">
        <f>"14:01:57.297"</f>
        <v>14:01:57.297</v>
      </c>
      <c r="B695" t="s">
        <v>108</v>
      </c>
      <c r="C695" t="str">
        <f t="shared" si="31"/>
        <v>ffdfd3c0</v>
      </c>
      <c r="D695" t="s">
        <v>109</v>
      </c>
      <c r="E695">
        <v>4</v>
      </c>
      <c r="F695">
        <v>1004</v>
      </c>
      <c r="G695" t="s">
        <v>110</v>
      </c>
      <c r="J695" t="s">
        <v>111</v>
      </c>
      <c r="K695">
        <v>0</v>
      </c>
      <c r="L695">
        <v>3</v>
      </c>
      <c r="M695">
        <v>0</v>
      </c>
      <c r="N695">
        <v>2</v>
      </c>
      <c r="O695">
        <v>1</v>
      </c>
      <c r="P695">
        <v>0</v>
      </c>
      <c r="Q695">
        <v>0</v>
      </c>
      <c r="R695" t="s">
        <v>112</v>
      </c>
      <c r="S695" t="str">
        <f>"14:01:57.055"</f>
        <v>14:01:57.055</v>
      </c>
      <c r="T695" t="str">
        <f>"14:01:56.656"</f>
        <v>14:01:56.656</v>
      </c>
      <c r="U695" t="str">
        <f t="shared" si="30"/>
        <v>ad5732</v>
      </c>
      <c r="V695">
        <v>0</v>
      </c>
      <c r="W695">
        <v>0</v>
      </c>
      <c r="X695">
        <v>1</v>
      </c>
      <c r="Z695">
        <v>0</v>
      </c>
      <c r="AA695">
        <v>9</v>
      </c>
      <c r="AB695">
        <v>3</v>
      </c>
      <c r="AC695">
        <v>0</v>
      </c>
      <c r="AD695">
        <v>10</v>
      </c>
      <c r="AE695">
        <v>0</v>
      </c>
      <c r="AF695">
        <v>3</v>
      </c>
      <c r="AG695">
        <v>2</v>
      </c>
      <c r="AH695">
        <v>0</v>
      </c>
      <c r="AI695" t="s">
        <v>1487</v>
      </c>
      <c r="AJ695">
        <v>39.299726</v>
      </c>
      <c r="AK695" t="s">
        <v>1488</v>
      </c>
      <c r="AL695">
        <v>-77.162540000000007</v>
      </c>
      <c r="AM695">
        <v>100</v>
      </c>
      <c r="AN695">
        <v>8700</v>
      </c>
      <c r="AO695" t="s">
        <v>115</v>
      </c>
      <c r="AP695">
        <v>176</v>
      </c>
      <c r="AQ695">
        <v>68</v>
      </c>
      <c r="AR695">
        <v>0</v>
      </c>
      <c r="AZ695">
        <v>3614</v>
      </c>
      <c r="BA695">
        <v>1</v>
      </c>
      <c r="BB695" t="str">
        <f t="shared" si="32"/>
        <v xml:space="preserve">N959MJ  </v>
      </c>
      <c r="BC695">
        <v>1</v>
      </c>
      <c r="BE695">
        <v>0</v>
      </c>
      <c r="BF695">
        <v>0</v>
      </c>
      <c r="BG695">
        <v>0</v>
      </c>
      <c r="BH695">
        <v>9025</v>
      </c>
      <c r="BI695">
        <v>325</v>
      </c>
      <c r="BJ695">
        <v>1</v>
      </c>
      <c r="BK695">
        <v>1</v>
      </c>
      <c r="BL695">
        <v>1</v>
      </c>
      <c r="BM695">
        <v>0</v>
      </c>
      <c r="BP695">
        <v>0</v>
      </c>
      <c r="BQ695">
        <v>0</v>
      </c>
      <c r="BX695" t="str">
        <f>"14:01:57.063"</f>
        <v>14:01:57.063</v>
      </c>
      <c r="BY695" t="str">
        <f>"058832089"</f>
        <v>058832089</v>
      </c>
      <c r="CL695">
        <v>0</v>
      </c>
      <c r="CM695">
        <v>2</v>
      </c>
      <c r="CN695">
        <v>0</v>
      </c>
      <c r="CO695">
        <v>2</v>
      </c>
      <c r="CP695">
        <v>0</v>
      </c>
      <c r="CQ695">
        <v>7</v>
      </c>
      <c r="CR695" t="s">
        <v>116</v>
      </c>
      <c r="CS695">
        <v>525</v>
      </c>
      <c r="CT695">
        <v>1</v>
      </c>
      <c r="CU695" t="s">
        <v>140</v>
      </c>
      <c r="CV695" t="s">
        <v>141</v>
      </c>
      <c r="CY695">
        <v>8171961</v>
      </c>
      <c r="CZ695" t="s">
        <v>119</v>
      </c>
    </row>
    <row r="696" spans="1:104" x14ac:dyDescent="0.25">
      <c r="A696" t="str">
        <f>"14:01:58.156"</f>
        <v>14:01:58.156</v>
      </c>
      <c r="B696" t="s">
        <v>108</v>
      </c>
      <c r="C696" t="str">
        <f t="shared" si="31"/>
        <v>ffdfd3c0</v>
      </c>
      <c r="D696" t="s">
        <v>109</v>
      </c>
      <c r="E696">
        <v>4</v>
      </c>
      <c r="F696">
        <v>1004</v>
      </c>
      <c r="G696" t="s">
        <v>110</v>
      </c>
      <c r="J696" t="s">
        <v>111</v>
      </c>
      <c r="K696">
        <v>0</v>
      </c>
      <c r="L696">
        <v>3</v>
      </c>
      <c r="M696">
        <v>0</v>
      </c>
      <c r="N696">
        <v>2</v>
      </c>
      <c r="O696">
        <v>1</v>
      </c>
      <c r="P696">
        <v>0</v>
      </c>
      <c r="Q696">
        <v>0</v>
      </c>
      <c r="R696" t="s">
        <v>112</v>
      </c>
      <c r="S696" t="str">
        <f>"14:01:57.992"</f>
        <v>14:01:57.992</v>
      </c>
      <c r="T696" t="str">
        <f>"14:01:57.594"</f>
        <v>14:01:57.594</v>
      </c>
      <c r="U696" t="str">
        <f t="shared" si="30"/>
        <v>ad5732</v>
      </c>
      <c r="V696">
        <v>0</v>
      </c>
      <c r="W696">
        <v>0</v>
      </c>
      <c r="X696">
        <v>1</v>
      </c>
      <c r="Z696">
        <v>0</v>
      </c>
      <c r="AA696">
        <v>9</v>
      </c>
      <c r="AB696">
        <v>3</v>
      </c>
      <c r="AC696">
        <v>0</v>
      </c>
      <c r="AD696">
        <v>10</v>
      </c>
      <c r="AE696">
        <v>0</v>
      </c>
      <c r="AF696">
        <v>3</v>
      </c>
      <c r="AG696">
        <v>2</v>
      </c>
      <c r="AH696">
        <v>0</v>
      </c>
      <c r="AI696" t="s">
        <v>1489</v>
      </c>
      <c r="AJ696">
        <v>39.300047999999997</v>
      </c>
      <c r="AK696" t="s">
        <v>1490</v>
      </c>
      <c r="AL696">
        <v>-77.161489000000003</v>
      </c>
      <c r="AM696">
        <v>100</v>
      </c>
      <c r="AN696">
        <v>8700</v>
      </c>
      <c r="AO696" t="s">
        <v>115</v>
      </c>
      <c r="AP696">
        <v>176</v>
      </c>
      <c r="AQ696">
        <v>69</v>
      </c>
      <c r="AR696">
        <v>0</v>
      </c>
      <c r="AZ696">
        <v>3614</v>
      </c>
      <c r="BA696">
        <v>1</v>
      </c>
      <c r="BB696" t="str">
        <f t="shared" si="32"/>
        <v xml:space="preserve">N959MJ  </v>
      </c>
      <c r="BC696">
        <v>1</v>
      </c>
      <c r="BE696">
        <v>0</v>
      </c>
      <c r="BF696">
        <v>0</v>
      </c>
      <c r="BG696">
        <v>0</v>
      </c>
      <c r="BH696">
        <v>9025</v>
      </c>
      <c r="BI696">
        <v>325</v>
      </c>
      <c r="BJ696">
        <v>1</v>
      </c>
      <c r="BK696">
        <v>1</v>
      </c>
      <c r="BL696">
        <v>1</v>
      </c>
      <c r="BM696">
        <v>0</v>
      </c>
      <c r="BP696">
        <v>0</v>
      </c>
      <c r="BQ696">
        <v>0</v>
      </c>
      <c r="BX696" t="str">
        <f>"14:01:57.992"</f>
        <v>14:01:57.992</v>
      </c>
      <c r="BY696" t="str">
        <f>"992735422"</f>
        <v>992735422</v>
      </c>
      <c r="CL696">
        <v>0</v>
      </c>
      <c r="CM696">
        <v>2</v>
      </c>
      <c r="CN696">
        <v>0</v>
      </c>
      <c r="CO696">
        <v>2</v>
      </c>
      <c r="CP696">
        <v>0</v>
      </c>
      <c r="CQ696">
        <v>7</v>
      </c>
      <c r="CR696" t="s">
        <v>116</v>
      </c>
      <c r="CS696">
        <v>147</v>
      </c>
      <c r="CT696">
        <v>0</v>
      </c>
      <c r="CU696" t="s">
        <v>117</v>
      </c>
      <c r="CV696" t="s">
        <v>118</v>
      </c>
      <c r="CY696">
        <v>5016207</v>
      </c>
      <c r="CZ696" t="s">
        <v>119</v>
      </c>
    </row>
    <row r="697" spans="1:104" x14ac:dyDescent="0.25">
      <c r="A697" t="str">
        <f>"14:01:59.219"</f>
        <v>14:01:59.219</v>
      </c>
      <c r="B697" t="s">
        <v>108</v>
      </c>
      <c r="C697" t="str">
        <f t="shared" si="31"/>
        <v>ffdfd3c0</v>
      </c>
      <c r="D697" t="s">
        <v>109</v>
      </c>
      <c r="E697">
        <v>4</v>
      </c>
      <c r="F697">
        <v>1004</v>
      </c>
      <c r="G697" t="s">
        <v>110</v>
      </c>
      <c r="J697" t="s">
        <v>111</v>
      </c>
      <c r="K697">
        <v>0</v>
      </c>
      <c r="L697">
        <v>3</v>
      </c>
      <c r="M697">
        <v>0</v>
      </c>
      <c r="N697">
        <v>2</v>
      </c>
      <c r="O697">
        <v>1</v>
      </c>
      <c r="P697">
        <v>0</v>
      </c>
      <c r="Q697">
        <v>0</v>
      </c>
      <c r="R697" t="s">
        <v>112</v>
      </c>
      <c r="S697" t="str">
        <f>"14:01:59.016"</f>
        <v>14:01:59.016</v>
      </c>
      <c r="T697" t="str">
        <f>"14:01:58.516"</f>
        <v>14:01:58.516</v>
      </c>
      <c r="U697" t="str">
        <f t="shared" si="30"/>
        <v>ad5732</v>
      </c>
      <c r="V697">
        <v>0</v>
      </c>
      <c r="W697">
        <v>0</v>
      </c>
      <c r="X697">
        <v>1</v>
      </c>
      <c r="Z697">
        <v>0</v>
      </c>
      <c r="AA697">
        <v>9</v>
      </c>
      <c r="AB697">
        <v>3</v>
      </c>
      <c r="AC697">
        <v>0</v>
      </c>
      <c r="AD697">
        <v>10</v>
      </c>
      <c r="AE697">
        <v>0</v>
      </c>
      <c r="AF697">
        <v>3</v>
      </c>
      <c r="AG697">
        <v>2</v>
      </c>
      <c r="AH697">
        <v>0</v>
      </c>
      <c r="AI697" t="s">
        <v>1491</v>
      </c>
      <c r="AJ697">
        <v>39.300370000000001</v>
      </c>
      <c r="AK697" t="s">
        <v>1492</v>
      </c>
      <c r="AL697">
        <v>-77.160459000000003</v>
      </c>
      <c r="AM697">
        <v>100</v>
      </c>
      <c r="AN697">
        <v>8700</v>
      </c>
      <c r="AO697" t="s">
        <v>115</v>
      </c>
      <c r="AP697">
        <v>176</v>
      </c>
      <c r="AQ697">
        <v>69</v>
      </c>
      <c r="AR697">
        <v>64</v>
      </c>
      <c r="AZ697">
        <v>3614</v>
      </c>
      <c r="BA697">
        <v>1</v>
      </c>
      <c r="BB697" t="str">
        <f t="shared" si="32"/>
        <v xml:space="preserve">N959MJ  </v>
      </c>
      <c r="BC697">
        <v>1</v>
      </c>
      <c r="BE697">
        <v>0</v>
      </c>
      <c r="BF697">
        <v>0</v>
      </c>
      <c r="BG697">
        <v>0</v>
      </c>
      <c r="BH697">
        <v>9025</v>
      </c>
      <c r="BI697">
        <v>325</v>
      </c>
      <c r="BJ697">
        <v>1</v>
      </c>
      <c r="BK697">
        <v>1</v>
      </c>
      <c r="BL697">
        <v>1</v>
      </c>
      <c r="BM697">
        <v>0</v>
      </c>
      <c r="BP697">
        <v>0</v>
      </c>
      <c r="BQ697">
        <v>0</v>
      </c>
      <c r="BX697" t="str">
        <f>"14:01:59.023"</f>
        <v>14:01:59.023</v>
      </c>
      <c r="BY697" t="str">
        <f>"023305832"</f>
        <v>023305832</v>
      </c>
      <c r="CL697">
        <v>0</v>
      </c>
      <c r="CM697">
        <v>2</v>
      </c>
      <c r="CN697">
        <v>0</v>
      </c>
      <c r="CO697">
        <v>2</v>
      </c>
      <c r="CP697">
        <v>0</v>
      </c>
      <c r="CQ697">
        <v>7</v>
      </c>
      <c r="CR697" t="s">
        <v>116</v>
      </c>
      <c r="CS697">
        <v>525</v>
      </c>
      <c r="CT697">
        <v>2</v>
      </c>
      <c r="CU697" t="s">
        <v>140</v>
      </c>
      <c r="CV697" t="s">
        <v>141</v>
      </c>
      <c r="CY697">
        <v>14606886</v>
      </c>
      <c r="CZ697" t="s">
        <v>119</v>
      </c>
    </row>
    <row r="698" spans="1:104" x14ac:dyDescent="0.25">
      <c r="A698" t="str">
        <f>"14:02:00.273"</f>
        <v>14:02:00.273</v>
      </c>
      <c r="B698" t="s">
        <v>108</v>
      </c>
      <c r="C698" t="str">
        <f t="shared" si="31"/>
        <v>ffdfd3c0</v>
      </c>
      <c r="D698" t="s">
        <v>109</v>
      </c>
      <c r="E698">
        <v>4</v>
      </c>
      <c r="F698">
        <v>1004</v>
      </c>
      <c r="G698" t="s">
        <v>110</v>
      </c>
      <c r="J698" t="s">
        <v>111</v>
      </c>
      <c r="K698">
        <v>0</v>
      </c>
      <c r="L698">
        <v>3</v>
      </c>
      <c r="M698">
        <v>0</v>
      </c>
      <c r="N698">
        <v>2</v>
      </c>
      <c r="O698">
        <v>1</v>
      </c>
      <c r="P698">
        <v>0</v>
      </c>
      <c r="Q698">
        <v>0</v>
      </c>
      <c r="R698" t="s">
        <v>112</v>
      </c>
      <c r="S698" t="str">
        <f>"14:02:00.070"</f>
        <v>14:02:00.070</v>
      </c>
      <c r="T698" t="str">
        <f>"14:01:59.570"</f>
        <v>14:01:59.570</v>
      </c>
      <c r="U698" t="str">
        <f t="shared" si="30"/>
        <v>ad5732</v>
      </c>
      <c r="V698">
        <v>0</v>
      </c>
      <c r="W698">
        <v>0</v>
      </c>
      <c r="X698">
        <v>1</v>
      </c>
      <c r="Z698">
        <v>0</v>
      </c>
      <c r="AA698">
        <v>9</v>
      </c>
      <c r="AB698">
        <v>3</v>
      </c>
      <c r="AC698">
        <v>0</v>
      </c>
      <c r="AD698">
        <v>10</v>
      </c>
      <c r="AE698">
        <v>0</v>
      </c>
      <c r="AF698">
        <v>3</v>
      </c>
      <c r="AG698">
        <v>2</v>
      </c>
      <c r="AH698">
        <v>0</v>
      </c>
      <c r="AI698" t="s">
        <v>1493</v>
      </c>
      <c r="AJ698">
        <v>39.300691999999998</v>
      </c>
      <c r="AK698" t="s">
        <v>1494</v>
      </c>
      <c r="AL698">
        <v>-77.159429000000003</v>
      </c>
      <c r="AM698">
        <v>100</v>
      </c>
      <c r="AN698">
        <v>8700</v>
      </c>
      <c r="AO698" t="s">
        <v>115</v>
      </c>
      <c r="AP698">
        <v>176</v>
      </c>
      <c r="AQ698">
        <v>69</v>
      </c>
      <c r="AR698">
        <v>64</v>
      </c>
      <c r="AZ698">
        <v>3614</v>
      </c>
      <c r="BA698">
        <v>1</v>
      </c>
      <c r="BB698" t="str">
        <f t="shared" si="32"/>
        <v xml:space="preserve">N959MJ  </v>
      </c>
      <c r="BC698">
        <v>1</v>
      </c>
      <c r="BE698">
        <v>0</v>
      </c>
      <c r="BF698">
        <v>0</v>
      </c>
      <c r="BG698">
        <v>0</v>
      </c>
      <c r="BH698">
        <v>9025</v>
      </c>
      <c r="BI698">
        <v>325</v>
      </c>
      <c r="BJ698">
        <v>1</v>
      </c>
      <c r="BK698">
        <v>1</v>
      </c>
      <c r="BL698">
        <v>1</v>
      </c>
      <c r="BM698">
        <v>0</v>
      </c>
      <c r="BP698">
        <v>0</v>
      </c>
      <c r="BQ698">
        <v>0</v>
      </c>
      <c r="BX698" t="str">
        <f>"14:02:00.070"</f>
        <v>14:02:00.070</v>
      </c>
      <c r="BY698" t="str">
        <f>"073537314"</f>
        <v>073537314</v>
      </c>
      <c r="CL698">
        <v>0</v>
      </c>
      <c r="CM698">
        <v>2</v>
      </c>
      <c r="CN698">
        <v>0</v>
      </c>
      <c r="CO698">
        <v>2</v>
      </c>
      <c r="CP698">
        <v>0</v>
      </c>
      <c r="CQ698">
        <v>7</v>
      </c>
      <c r="CR698" t="s">
        <v>116</v>
      </c>
      <c r="CS698">
        <v>147</v>
      </c>
      <c r="CT698">
        <v>0</v>
      </c>
      <c r="CU698" t="s">
        <v>117</v>
      </c>
      <c r="CV698" t="s">
        <v>118</v>
      </c>
      <c r="CY698">
        <v>5019537</v>
      </c>
      <c r="CZ698" t="s">
        <v>119</v>
      </c>
    </row>
    <row r="699" spans="1:104" x14ac:dyDescent="0.25">
      <c r="A699" t="str">
        <f>"14:02:01.234"</f>
        <v>14:02:01.234</v>
      </c>
      <c r="B699" t="s">
        <v>108</v>
      </c>
      <c r="C699" t="str">
        <f t="shared" si="31"/>
        <v>ffdfd3c0</v>
      </c>
      <c r="D699" t="s">
        <v>109</v>
      </c>
      <c r="E699">
        <v>4</v>
      </c>
      <c r="F699">
        <v>1004</v>
      </c>
      <c r="G699" t="s">
        <v>110</v>
      </c>
      <c r="J699" t="s">
        <v>111</v>
      </c>
      <c r="K699">
        <v>0</v>
      </c>
      <c r="L699">
        <v>3</v>
      </c>
      <c r="M699">
        <v>0</v>
      </c>
      <c r="N699">
        <v>2</v>
      </c>
      <c r="O699">
        <v>1</v>
      </c>
      <c r="P699">
        <v>0</v>
      </c>
      <c r="Q699">
        <v>0</v>
      </c>
      <c r="R699" t="s">
        <v>112</v>
      </c>
      <c r="S699" t="str">
        <f>"14:02:01.055"</f>
        <v>14:02:01.055</v>
      </c>
      <c r="T699" t="str">
        <f>"14:02:00.656"</f>
        <v>14:02:00.656</v>
      </c>
      <c r="U699" t="str">
        <f t="shared" si="30"/>
        <v>ad5732</v>
      </c>
      <c r="V699">
        <v>0</v>
      </c>
      <c r="W699">
        <v>0</v>
      </c>
      <c r="X699">
        <v>1</v>
      </c>
      <c r="Z699">
        <v>0</v>
      </c>
      <c r="AA699">
        <v>9</v>
      </c>
      <c r="AB699">
        <v>3</v>
      </c>
      <c r="AC699">
        <v>0</v>
      </c>
      <c r="AD699">
        <v>10</v>
      </c>
      <c r="AE699">
        <v>0</v>
      </c>
      <c r="AF699">
        <v>3</v>
      </c>
      <c r="AG699">
        <v>2</v>
      </c>
      <c r="AH699">
        <v>0</v>
      </c>
      <c r="AI699" t="s">
        <v>1495</v>
      </c>
      <c r="AJ699">
        <v>39.301034999999999</v>
      </c>
      <c r="AK699" t="s">
        <v>1496</v>
      </c>
      <c r="AL699">
        <v>-77.158377000000002</v>
      </c>
      <c r="AM699">
        <v>100</v>
      </c>
      <c r="AN699">
        <v>8700</v>
      </c>
      <c r="AO699" t="s">
        <v>115</v>
      </c>
      <c r="AP699">
        <v>176</v>
      </c>
      <c r="AQ699">
        <v>70</v>
      </c>
      <c r="AR699">
        <v>64</v>
      </c>
      <c r="AZ699">
        <v>3614</v>
      </c>
      <c r="BA699">
        <v>1</v>
      </c>
      <c r="BB699" t="str">
        <f t="shared" si="32"/>
        <v xml:space="preserve">N959MJ  </v>
      </c>
      <c r="BC699">
        <v>1</v>
      </c>
      <c r="BE699">
        <v>0</v>
      </c>
      <c r="BF699">
        <v>0</v>
      </c>
      <c r="BG699">
        <v>0</v>
      </c>
      <c r="BH699">
        <v>9025</v>
      </c>
      <c r="BI699">
        <v>325</v>
      </c>
      <c r="BJ699">
        <v>1</v>
      </c>
      <c r="BK699">
        <v>1</v>
      </c>
      <c r="BL699">
        <v>1</v>
      </c>
      <c r="BM699">
        <v>0</v>
      </c>
      <c r="BP699">
        <v>0</v>
      </c>
      <c r="BQ699">
        <v>0</v>
      </c>
      <c r="BX699" t="str">
        <f>"14:02:01.055"</f>
        <v>14:02:01.055</v>
      </c>
      <c r="BY699" t="str">
        <f>"054954950"</f>
        <v>054954950</v>
      </c>
      <c r="CL699">
        <v>0</v>
      </c>
      <c r="CM699">
        <v>2</v>
      </c>
      <c r="CN699">
        <v>0</v>
      </c>
      <c r="CO699">
        <v>2</v>
      </c>
      <c r="CP699">
        <v>0</v>
      </c>
      <c r="CQ699">
        <v>7</v>
      </c>
      <c r="CR699" t="s">
        <v>116</v>
      </c>
      <c r="CS699">
        <v>147</v>
      </c>
      <c r="CT699">
        <v>0</v>
      </c>
      <c r="CU699" t="s">
        <v>117</v>
      </c>
      <c r="CV699" t="s">
        <v>118</v>
      </c>
      <c r="CY699">
        <v>5021070</v>
      </c>
      <c r="CZ699" t="s">
        <v>119</v>
      </c>
    </row>
    <row r="700" spans="1:104" x14ac:dyDescent="0.25">
      <c r="A700" t="str">
        <f>"14:02:02.391"</f>
        <v>14:02:02.391</v>
      </c>
      <c r="B700" t="s">
        <v>108</v>
      </c>
      <c r="C700" t="str">
        <f t="shared" si="31"/>
        <v>ffdfd3c0</v>
      </c>
      <c r="D700" t="s">
        <v>109</v>
      </c>
      <c r="E700">
        <v>4</v>
      </c>
      <c r="F700">
        <v>1004</v>
      </c>
      <c r="G700" t="s">
        <v>110</v>
      </c>
      <c r="J700" t="s">
        <v>111</v>
      </c>
      <c r="K700">
        <v>0</v>
      </c>
      <c r="L700">
        <v>3</v>
      </c>
      <c r="M700">
        <v>0</v>
      </c>
      <c r="N700">
        <v>2</v>
      </c>
      <c r="O700">
        <v>1</v>
      </c>
      <c r="P700">
        <v>0</v>
      </c>
      <c r="Q700">
        <v>0</v>
      </c>
      <c r="R700" t="s">
        <v>112</v>
      </c>
      <c r="S700" t="str">
        <f>"14:02:02.188"</f>
        <v>14:02:02.188</v>
      </c>
      <c r="T700" t="str">
        <f>"14:02:01.688"</f>
        <v>14:02:01.688</v>
      </c>
      <c r="U700" t="str">
        <f t="shared" si="30"/>
        <v>ad5732</v>
      </c>
      <c r="V700">
        <v>0</v>
      </c>
      <c r="W700">
        <v>0</v>
      </c>
      <c r="X700">
        <v>1</v>
      </c>
      <c r="Z700">
        <v>0</v>
      </c>
      <c r="AA700">
        <v>9</v>
      </c>
      <c r="AB700">
        <v>3</v>
      </c>
      <c r="AC700">
        <v>0</v>
      </c>
      <c r="AD700">
        <v>10</v>
      </c>
      <c r="AE700">
        <v>0</v>
      </c>
      <c r="AF700">
        <v>3</v>
      </c>
      <c r="AG700">
        <v>2</v>
      </c>
      <c r="AH700">
        <v>0</v>
      </c>
      <c r="AI700" t="s">
        <v>1497</v>
      </c>
      <c r="AJ700">
        <v>39.301400000000001</v>
      </c>
      <c r="AK700" t="s">
        <v>1498</v>
      </c>
      <c r="AL700">
        <v>-77.157111</v>
      </c>
      <c r="AM700">
        <v>100</v>
      </c>
      <c r="AN700">
        <v>8700</v>
      </c>
      <c r="AO700" t="s">
        <v>115</v>
      </c>
      <c r="AP700">
        <v>176</v>
      </c>
      <c r="AQ700">
        <v>70</v>
      </c>
      <c r="AR700">
        <v>0</v>
      </c>
      <c r="AZ700">
        <v>3614</v>
      </c>
      <c r="BA700">
        <v>1</v>
      </c>
      <c r="BB700" t="str">
        <f t="shared" si="32"/>
        <v xml:space="preserve">N959MJ  </v>
      </c>
      <c r="BC700">
        <v>1</v>
      </c>
      <c r="BE700">
        <v>0</v>
      </c>
      <c r="BF700">
        <v>0</v>
      </c>
      <c r="BG700">
        <v>0</v>
      </c>
      <c r="BH700">
        <v>9025</v>
      </c>
      <c r="BI700">
        <v>325</v>
      </c>
      <c r="BJ700">
        <v>1</v>
      </c>
      <c r="BK700">
        <v>1</v>
      </c>
      <c r="BL700">
        <v>1</v>
      </c>
      <c r="BM700">
        <v>0</v>
      </c>
      <c r="BP700">
        <v>0</v>
      </c>
      <c r="BQ700">
        <v>0</v>
      </c>
      <c r="BX700" t="str">
        <f>"14:02:02.188"</f>
        <v>14:02:02.188</v>
      </c>
      <c r="BY700" t="str">
        <f>"190384597"</f>
        <v>190384597</v>
      </c>
      <c r="CL700">
        <v>0</v>
      </c>
      <c r="CM700">
        <v>2</v>
      </c>
      <c r="CN700">
        <v>0</v>
      </c>
      <c r="CO700">
        <v>2</v>
      </c>
      <c r="CP700">
        <v>0</v>
      </c>
      <c r="CQ700">
        <v>7</v>
      </c>
      <c r="CR700" t="s">
        <v>116</v>
      </c>
      <c r="CS700">
        <v>147</v>
      </c>
      <c r="CT700">
        <v>0</v>
      </c>
      <c r="CU700" t="s">
        <v>117</v>
      </c>
      <c r="CV700" t="s">
        <v>118</v>
      </c>
      <c r="CY700">
        <v>5022865</v>
      </c>
      <c r="CZ700" t="s">
        <v>119</v>
      </c>
    </row>
    <row r="701" spans="1:104" x14ac:dyDescent="0.25">
      <c r="A701" t="str">
        <f>"14:02:03.453"</f>
        <v>14:02:03.453</v>
      </c>
      <c r="B701" t="s">
        <v>108</v>
      </c>
      <c r="C701" t="str">
        <f t="shared" si="31"/>
        <v>ffdfd3c0</v>
      </c>
      <c r="D701" t="s">
        <v>109</v>
      </c>
      <c r="E701">
        <v>4</v>
      </c>
      <c r="F701">
        <v>1004</v>
      </c>
      <c r="G701" t="s">
        <v>110</v>
      </c>
      <c r="J701" t="s">
        <v>111</v>
      </c>
      <c r="K701">
        <v>0</v>
      </c>
      <c r="L701">
        <v>3</v>
      </c>
      <c r="M701">
        <v>0</v>
      </c>
      <c r="N701">
        <v>2</v>
      </c>
      <c r="O701">
        <v>1</v>
      </c>
      <c r="P701">
        <v>0</v>
      </c>
      <c r="Q701">
        <v>0</v>
      </c>
      <c r="R701" t="s">
        <v>112</v>
      </c>
      <c r="S701" t="str">
        <f>"14:02:03.273"</f>
        <v>14:02:03.273</v>
      </c>
      <c r="T701" t="str">
        <f>"14:02:02.773"</f>
        <v>14:02:02.773</v>
      </c>
      <c r="U701" t="str">
        <f t="shared" si="30"/>
        <v>ad5732</v>
      </c>
      <c r="V701">
        <v>0</v>
      </c>
      <c r="W701">
        <v>0</v>
      </c>
      <c r="X701">
        <v>1</v>
      </c>
      <c r="Z701">
        <v>0</v>
      </c>
      <c r="AA701">
        <v>9</v>
      </c>
      <c r="AB701">
        <v>3</v>
      </c>
      <c r="AC701">
        <v>0</v>
      </c>
      <c r="AD701">
        <v>10</v>
      </c>
      <c r="AE701">
        <v>0</v>
      </c>
      <c r="AF701">
        <v>3</v>
      </c>
      <c r="AG701">
        <v>2</v>
      </c>
      <c r="AH701">
        <v>0</v>
      </c>
      <c r="AI701" t="s">
        <v>1499</v>
      </c>
      <c r="AJ701">
        <v>39.301765000000003</v>
      </c>
      <c r="AK701" t="s">
        <v>1500</v>
      </c>
      <c r="AL701">
        <v>-77.155974000000001</v>
      </c>
      <c r="AM701">
        <v>100</v>
      </c>
      <c r="AN701">
        <v>8700</v>
      </c>
      <c r="AO701" t="s">
        <v>115</v>
      </c>
      <c r="AP701">
        <v>175</v>
      </c>
      <c r="AQ701">
        <v>71</v>
      </c>
      <c r="AR701">
        <v>0</v>
      </c>
      <c r="AZ701">
        <v>3614</v>
      </c>
      <c r="BA701">
        <v>1</v>
      </c>
      <c r="BB701" t="str">
        <f t="shared" si="32"/>
        <v xml:space="preserve">N959MJ  </v>
      </c>
      <c r="BC701">
        <v>1</v>
      </c>
      <c r="BE701">
        <v>0</v>
      </c>
      <c r="BF701">
        <v>0</v>
      </c>
      <c r="BG701">
        <v>0</v>
      </c>
      <c r="BH701">
        <v>9025</v>
      </c>
      <c r="BI701">
        <v>325</v>
      </c>
      <c r="BJ701">
        <v>1</v>
      </c>
      <c r="BK701">
        <v>1</v>
      </c>
      <c r="BL701">
        <v>1</v>
      </c>
      <c r="BM701">
        <v>0</v>
      </c>
      <c r="BP701">
        <v>0</v>
      </c>
      <c r="BQ701">
        <v>0</v>
      </c>
      <c r="BX701" t="str">
        <f>"14:02:03.281"</f>
        <v>14:02:03.281</v>
      </c>
      <c r="BY701" t="str">
        <f>"279938348"</f>
        <v>279938348</v>
      </c>
      <c r="CL701">
        <v>0</v>
      </c>
      <c r="CM701">
        <v>2</v>
      </c>
      <c r="CN701">
        <v>0</v>
      </c>
      <c r="CO701">
        <v>2</v>
      </c>
      <c r="CP701">
        <v>0</v>
      </c>
      <c r="CQ701">
        <v>7</v>
      </c>
      <c r="CR701" t="s">
        <v>116</v>
      </c>
      <c r="CS701">
        <v>147</v>
      </c>
      <c r="CT701">
        <v>0</v>
      </c>
      <c r="CU701" t="s">
        <v>117</v>
      </c>
      <c r="CV701" t="s">
        <v>118</v>
      </c>
      <c r="CY701">
        <v>5024585</v>
      </c>
      <c r="CZ701" t="s">
        <v>119</v>
      </c>
    </row>
    <row r="702" spans="1:104" x14ac:dyDescent="0.25">
      <c r="A702" t="str">
        <f>"14:02:04.461"</f>
        <v>14:02:04.461</v>
      </c>
      <c r="B702" t="s">
        <v>108</v>
      </c>
      <c r="C702" t="str">
        <f t="shared" si="31"/>
        <v>ffdfd3c0</v>
      </c>
      <c r="D702" t="s">
        <v>109</v>
      </c>
      <c r="E702">
        <v>4</v>
      </c>
      <c r="F702">
        <v>1004</v>
      </c>
      <c r="G702" t="s">
        <v>110</v>
      </c>
      <c r="J702" t="s">
        <v>111</v>
      </c>
      <c r="K702">
        <v>0</v>
      </c>
      <c r="L702">
        <v>3</v>
      </c>
      <c r="M702">
        <v>0</v>
      </c>
      <c r="N702">
        <v>2</v>
      </c>
      <c r="O702">
        <v>1</v>
      </c>
      <c r="P702">
        <v>0</v>
      </c>
      <c r="Q702">
        <v>0</v>
      </c>
      <c r="R702" t="s">
        <v>112</v>
      </c>
      <c r="S702" t="str">
        <f>"14:02:04.281"</f>
        <v>14:02:04.281</v>
      </c>
      <c r="T702" t="str">
        <f>"14:02:03.781"</f>
        <v>14:02:03.781</v>
      </c>
      <c r="U702" t="str">
        <f t="shared" si="30"/>
        <v>ad5732</v>
      </c>
      <c r="V702">
        <v>0</v>
      </c>
      <c r="W702">
        <v>0</v>
      </c>
      <c r="X702">
        <v>1</v>
      </c>
      <c r="Z702">
        <v>0</v>
      </c>
      <c r="AA702">
        <v>9</v>
      </c>
      <c r="AB702">
        <v>3</v>
      </c>
      <c r="AC702">
        <v>0</v>
      </c>
      <c r="AD702">
        <v>10</v>
      </c>
      <c r="AE702">
        <v>0</v>
      </c>
      <c r="AF702">
        <v>3</v>
      </c>
      <c r="AG702">
        <v>2</v>
      </c>
      <c r="AH702">
        <v>0</v>
      </c>
      <c r="AI702" t="s">
        <v>1501</v>
      </c>
      <c r="AJ702">
        <v>39.302087</v>
      </c>
      <c r="AK702" t="s">
        <v>1502</v>
      </c>
      <c r="AL702">
        <v>-77.154900999999995</v>
      </c>
      <c r="AM702">
        <v>100</v>
      </c>
      <c r="AN702">
        <v>8700</v>
      </c>
      <c r="AO702" t="s">
        <v>115</v>
      </c>
      <c r="AP702">
        <v>175</v>
      </c>
      <c r="AQ702">
        <v>71</v>
      </c>
      <c r="AR702">
        <v>0</v>
      </c>
      <c r="AZ702">
        <v>3614</v>
      </c>
      <c r="BA702">
        <v>1</v>
      </c>
      <c r="BB702" t="str">
        <f t="shared" si="32"/>
        <v xml:space="preserve">N959MJ  </v>
      </c>
      <c r="BC702">
        <v>1</v>
      </c>
      <c r="BE702">
        <v>0</v>
      </c>
      <c r="BF702">
        <v>0</v>
      </c>
      <c r="BG702">
        <v>0</v>
      </c>
      <c r="BH702">
        <v>9025</v>
      </c>
      <c r="BI702">
        <v>325</v>
      </c>
      <c r="BJ702">
        <v>1</v>
      </c>
      <c r="BK702">
        <v>1</v>
      </c>
      <c r="BL702">
        <v>1</v>
      </c>
      <c r="BM702">
        <v>0</v>
      </c>
      <c r="BP702">
        <v>0</v>
      </c>
      <c r="BQ702">
        <v>0</v>
      </c>
      <c r="BX702" t="str">
        <f>"14:02:04.289"</f>
        <v>14:02:04.289</v>
      </c>
      <c r="BY702" t="str">
        <f>"285932728"</f>
        <v>285932728</v>
      </c>
      <c r="CL702">
        <v>0</v>
      </c>
      <c r="CM702">
        <v>2</v>
      </c>
      <c r="CN702">
        <v>0</v>
      </c>
      <c r="CO702">
        <v>2</v>
      </c>
      <c r="CP702">
        <v>0</v>
      </c>
      <c r="CQ702">
        <v>7</v>
      </c>
      <c r="CR702" t="s">
        <v>116</v>
      </c>
      <c r="CS702">
        <v>525</v>
      </c>
      <c r="CT702">
        <v>2</v>
      </c>
      <c r="CU702" t="s">
        <v>140</v>
      </c>
      <c r="CV702" t="s">
        <v>141</v>
      </c>
      <c r="CY702">
        <v>14614569</v>
      </c>
      <c r="CZ702" t="s">
        <v>119</v>
      </c>
    </row>
    <row r="703" spans="1:104" x14ac:dyDescent="0.25">
      <c r="A703" t="str">
        <f>"14:02:05.477"</f>
        <v>14:02:05.477</v>
      </c>
      <c r="B703" t="s">
        <v>108</v>
      </c>
      <c r="C703" t="str">
        <f t="shared" si="31"/>
        <v>ffdfd3c0</v>
      </c>
      <c r="D703" t="s">
        <v>109</v>
      </c>
      <c r="E703">
        <v>4</v>
      </c>
      <c r="F703">
        <v>1004</v>
      </c>
      <c r="G703" t="s">
        <v>110</v>
      </c>
      <c r="J703" t="s">
        <v>111</v>
      </c>
      <c r="K703">
        <v>0</v>
      </c>
      <c r="L703">
        <v>3</v>
      </c>
      <c r="M703">
        <v>0</v>
      </c>
      <c r="N703">
        <v>2</v>
      </c>
      <c r="O703">
        <v>1</v>
      </c>
      <c r="P703">
        <v>0</v>
      </c>
      <c r="Q703">
        <v>0</v>
      </c>
      <c r="R703" t="s">
        <v>112</v>
      </c>
      <c r="S703" t="str">
        <f>"14:02:05.305"</f>
        <v>14:02:05.305</v>
      </c>
      <c r="T703" t="str">
        <f>"14:02:04.805"</f>
        <v>14:02:04.805</v>
      </c>
      <c r="U703" t="str">
        <f t="shared" si="30"/>
        <v>ad5732</v>
      </c>
      <c r="V703">
        <v>0</v>
      </c>
      <c r="W703">
        <v>0</v>
      </c>
      <c r="X703">
        <v>1</v>
      </c>
      <c r="Z703">
        <v>0</v>
      </c>
      <c r="AA703">
        <v>9</v>
      </c>
      <c r="AB703">
        <v>3</v>
      </c>
      <c r="AC703">
        <v>0</v>
      </c>
      <c r="AD703">
        <v>10</v>
      </c>
      <c r="AE703">
        <v>0</v>
      </c>
      <c r="AF703">
        <v>3</v>
      </c>
      <c r="AG703">
        <v>2</v>
      </c>
      <c r="AH703">
        <v>0</v>
      </c>
      <c r="AI703" t="s">
        <v>1503</v>
      </c>
      <c r="AJ703">
        <v>39.302452000000002</v>
      </c>
      <c r="AK703" t="s">
        <v>1504</v>
      </c>
      <c r="AL703">
        <v>-77.153870999999995</v>
      </c>
      <c r="AM703">
        <v>100</v>
      </c>
      <c r="AN703">
        <v>8700</v>
      </c>
      <c r="AO703" t="s">
        <v>115</v>
      </c>
      <c r="AP703">
        <v>175</v>
      </c>
      <c r="AQ703">
        <v>71</v>
      </c>
      <c r="AR703">
        <v>0</v>
      </c>
      <c r="AZ703">
        <v>3614</v>
      </c>
      <c r="BA703">
        <v>1</v>
      </c>
      <c r="BB703" t="str">
        <f t="shared" si="32"/>
        <v xml:space="preserve">N959MJ  </v>
      </c>
      <c r="BC703">
        <v>1</v>
      </c>
      <c r="BE703">
        <v>0</v>
      </c>
      <c r="BF703">
        <v>0</v>
      </c>
      <c r="BG703">
        <v>0</v>
      </c>
      <c r="BH703">
        <v>9025</v>
      </c>
      <c r="BI703">
        <v>325</v>
      </c>
      <c r="BJ703">
        <v>1</v>
      </c>
      <c r="BK703">
        <v>1</v>
      </c>
      <c r="BL703">
        <v>1</v>
      </c>
      <c r="BM703">
        <v>0</v>
      </c>
      <c r="BP703">
        <v>0</v>
      </c>
      <c r="BQ703">
        <v>0</v>
      </c>
      <c r="BX703" t="str">
        <f>"14:02:05.313"</f>
        <v>14:02:05.313</v>
      </c>
      <c r="BY703" t="str">
        <f>"311587899"</f>
        <v>311587899</v>
      </c>
      <c r="CL703">
        <v>0</v>
      </c>
      <c r="CM703">
        <v>2</v>
      </c>
      <c r="CN703">
        <v>0</v>
      </c>
      <c r="CO703">
        <v>2</v>
      </c>
      <c r="CP703">
        <v>0</v>
      </c>
      <c r="CQ703">
        <v>7</v>
      </c>
      <c r="CR703" t="s">
        <v>116</v>
      </c>
      <c r="CS703">
        <v>525</v>
      </c>
      <c r="CT703">
        <v>1</v>
      </c>
      <c r="CU703" t="s">
        <v>140</v>
      </c>
      <c r="CV703" t="s">
        <v>141</v>
      </c>
      <c r="CY703">
        <v>8183282</v>
      </c>
      <c r="CZ703" t="s">
        <v>119</v>
      </c>
    </row>
    <row r="704" spans="1:104" x14ac:dyDescent="0.25">
      <c r="A704" t="str">
        <f>"14:02:06.281"</f>
        <v>14:02:06.281</v>
      </c>
      <c r="B704" t="s">
        <v>108</v>
      </c>
      <c r="C704" t="str">
        <f t="shared" si="31"/>
        <v>ffdfd3c0</v>
      </c>
      <c r="D704" t="s">
        <v>109</v>
      </c>
      <c r="E704">
        <v>4</v>
      </c>
      <c r="F704">
        <v>1004</v>
      </c>
      <c r="G704" t="s">
        <v>110</v>
      </c>
      <c r="J704" t="s">
        <v>111</v>
      </c>
      <c r="K704">
        <v>0</v>
      </c>
      <c r="L704">
        <v>3</v>
      </c>
      <c r="M704">
        <v>0</v>
      </c>
      <c r="N704">
        <v>2</v>
      </c>
      <c r="O704">
        <v>1</v>
      </c>
      <c r="P704">
        <v>0</v>
      </c>
      <c r="Q704">
        <v>0</v>
      </c>
      <c r="R704" t="s">
        <v>112</v>
      </c>
      <c r="S704" t="str">
        <f>"14:02:06.117"</f>
        <v>14:02:06.117</v>
      </c>
      <c r="T704" t="str">
        <f>"14:02:05.719"</f>
        <v>14:02:05.719</v>
      </c>
      <c r="U704" t="str">
        <f t="shared" si="30"/>
        <v>ad5732</v>
      </c>
      <c r="V704">
        <v>0</v>
      </c>
      <c r="W704">
        <v>0</v>
      </c>
      <c r="X704">
        <v>1</v>
      </c>
      <c r="Z704">
        <v>0</v>
      </c>
      <c r="AA704">
        <v>9</v>
      </c>
      <c r="AB704">
        <v>3</v>
      </c>
      <c r="AC704">
        <v>0</v>
      </c>
      <c r="AD704">
        <v>10</v>
      </c>
      <c r="AE704">
        <v>0</v>
      </c>
      <c r="AF704">
        <v>3</v>
      </c>
      <c r="AG704">
        <v>2</v>
      </c>
      <c r="AH704">
        <v>0</v>
      </c>
      <c r="AI704" t="s">
        <v>1505</v>
      </c>
      <c r="AJ704">
        <v>39.302666000000002</v>
      </c>
      <c r="AK704" t="s">
        <v>1506</v>
      </c>
      <c r="AL704">
        <v>-77.153034000000005</v>
      </c>
      <c r="AM704">
        <v>100</v>
      </c>
      <c r="AN704">
        <v>8700</v>
      </c>
      <c r="AO704" t="s">
        <v>115</v>
      </c>
      <c r="AP704">
        <v>175</v>
      </c>
      <c r="AQ704">
        <v>72</v>
      </c>
      <c r="AR704">
        <v>0</v>
      </c>
      <c r="AZ704">
        <v>3614</v>
      </c>
      <c r="BA704">
        <v>1</v>
      </c>
      <c r="BB704" t="str">
        <f t="shared" si="32"/>
        <v xml:space="preserve">N959MJ  </v>
      </c>
      <c r="BC704">
        <v>1</v>
      </c>
      <c r="BE704">
        <v>0</v>
      </c>
      <c r="BF704">
        <v>0</v>
      </c>
      <c r="BG704">
        <v>0</v>
      </c>
      <c r="BH704">
        <v>9025</v>
      </c>
      <c r="BI704">
        <v>325</v>
      </c>
      <c r="BJ704">
        <v>1</v>
      </c>
      <c r="BK704">
        <v>1</v>
      </c>
      <c r="BL704">
        <v>1</v>
      </c>
      <c r="BM704">
        <v>0</v>
      </c>
      <c r="BP704">
        <v>0</v>
      </c>
      <c r="BQ704">
        <v>0</v>
      </c>
      <c r="BX704" t="str">
        <f>"14:02:06.125"</f>
        <v>14:02:06.125</v>
      </c>
      <c r="BY704" t="str">
        <f>"122608691"</f>
        <v>122608691</v>
      </c>
      <c r="CL704">
        <v>0</v>
      </c>
      <c r="CM704">
        <v>2</v>
      </c>
      <c r="CN704">
        <v>0</v>
      </c>
      <c r="CO704">
        <v>2</v>
      </c>
      <c r="CP704">
        <v>0</v>
      </c>
      <c r="CQ704">
        <v>7</v>
      </c>
      <c r="CR704" t="s">
        <v>116</v>
      </c>
      <c r="CS704">
        <v>147</v>
      </c>
      <c r="CT704">
        <v>0</v>
      </c>
      <c r="CU704" t="s">
        <v>117</v>
      </c>
      <c r="CV704" t="s">
        <v>118</v>
      </c>
      <c r="CY704">
        <v>5029123</v>
      </c>
      <c r="CZ704" t="s">
        <v>119</v>
      </c>
    </row>
    <row r="705" spans="1:104" x14ac:dyDescent="0.25">
      <c r="A705" t="str">
        <f>"14:02:07.289"</f>
        <v>14:02:07.289</v>
      </c>
      <c r="B705" t="s">
        <v>108</v>
      </c>
      <c r="C705" t="str">
        <f t="shared" si="31"/>
        <v>ffdfd3c0</v>
      </c>
      <c r="D705" t="s">
        <v>109</v>
      </c>
      <c r="E705">
        <v>4</v>
      </c>
      <c r="F705">
        <v>1004</v>
      </c>
      <c r="G705" t="s">
        <v>110</v>
      </c>
      <c r="J705" t="s">
        <v>111</v>
      </c>
      <c r="K705">
        <v>0</v>
      </c>
      <c r="L705">
        <v>3</v>
      </c>
      <c r="M705">
        <v>0</v>
      </c>
      <c r="N705">
        <v>2</v>
      </c>
      <c r="O705">
        <v>1</v>
      </c>
      <c r="P705">
        <v>0</v>
      </c>
      <c r="Q705">
        <v>0</v>
      </c>
      <c r="R705" t="s">
        <v>112</v>
      </c>
      <c r="S705" t="str">
        <f>"14:02:07.086"</f>
        <v>14:02:07.086</v>
      </c>
      <c r="T705" t="str">
        <f>"14:02:06.688"</f>
        <v>14:02:06.688</v>
      </c>
      <c r="U705" t="str">
        <f t="shared" si="30"/>
        <v>ad5732</v>
      </c>
      <c r="V705">
        <v>0</v>
      </c>
      <c r="W705">
        <v>0</v>
      </c>
      <c r="X705">
        <v>1</v>
      </c>
      <c r="Z705">
        <v>0</v>
      </c>
      <c r="AA705">
        <v>9</v>
      </c>
      <c r="AB705">
        <v>3</v>
      </c>
      <c r="AC705">
        <v>0</v>
      </c>
      <c r="AD705">
        <v>10</v>
      </c>
      <c r="AE705">
        <v>0</v>
      </c>
      <c r="AF705">
        <v>3</v>
      </c>
      <c r="AG705">
        <v>2</v>
      </c>
      <c r="AH705">
        <v>0</v>
      </c>
      <c r="AI705" t="s">
        <v>1507</v>
      </c>
      <c r="AJ705">
        <v>39.303030999999997</v>
      </c>
      <c r="AK705" t="s">
        <v>1508</v>
      </c>
      <c r="AL705">
        <v>-77.151961</v>
      </c>
      <c r="AM705">
        <v>100</v>
      </c>
      <c r="AN705">
        <v>8700</v>
      </c>
      <c r="AO705" t="s">
        <v>115</v>
      </c>
      <c r="AP705">
        <v>175</v>
      </c>
      <c r="AQ705">
        <v>72</v>
      </c>
      <c r="AR705">
        <v>0</v>
      </c>
      <c r="AZ705">
        <v>3614</v>
      </c>
      <c r="BA705">
        <v>1</v>
      </c>
      <c r="BB705" t="str">
        <f t="shared" si="32"/>
        <v xml:space="preserve">N959MJ  </v>
      </c>
      <c r="BC705">
        <v>1</v>
      </c>
      <c r="BE705">
        <v>0</v>
      </c>
      <c r="BF705">
        <v>0</v>
      </c>
      <c r="BG705">
        <v>0</v>
      </c>
      <c r="BH705">
        <v>9025</v>
      </c>
      <c r="BI705">
        <v>325</v>
      </c>
      <c r="BJ705">
        <v>1</v>
      </c>
      <c r="BK705">
        <v>1</v>
      </c>
      <c r="BL705">
        <v>1</v>
      </c>
      <c r="BM705">
        <v>0</v>
      </c>
      <c r="BP705">
        <v>0</v>
      </c>
      <c r="BQ705">
        <v>0</v>
      </c>
      <c r="BX705" t="str">
        <f>"14:02:07.086"</f>
        <v>14:02:07.086</v>
      </c>
      <c r="BY705" t="str">
        <f>"086004151"</f>
        <v>086004151</v>
      </c>
      <c r="CL705">
        <v>0</v>
      </c>
      <c r="CM705">
        <v>2</v>
      </c>
      <c r="CN705">
        <v>0</v>
      </c>
      <c r="CO705">
        <v>2</v>
      </c>
      <c r="CP705">
        <v>0</v>
      </c>
      <c r="CQ705">
        <v>7</v>
      </c>
      <c r="CR705" t="s">
        <v>116</v>
      </c>
      <c r="CS705">
        <v>525</v>
      </c>
      <c r="CT705">
        <v>2</v>
      </c>
      <c r="CU705" t="s">
        <v>140</v>
      </c>
      <c r="CV705" t="s">
        <v>141</v>
      </c>
      <c r="CY705">
        <v>14618747</v>
      </c>
      <c r="CZ705" t="s">
        <v>119</v>
      </c>
    </row>
    <row r="706" spans="1:104" x14ac:dyDescent="0.25">
      <c r="A706" t="str">
        <f>"14:02:08.406"</f>
        <v>14:02:08.406</v>
      </c>
      <c r="B706" t="s">
        <v>108</v>
      </c>
      <c r="C706" t="str">
        <f t="shared" si="31"/>
        <v>ffdfd3c0</v>
      </c>
      <c r="D706" t="s">
        <v>109</v>
      </c>
      <c r="E706">
        <v>4</v>
      </c>
      <c r="F706">
        <v>1004</v>
      </c>
      <c r="G706" t="s">
        <v>110</v>
      </c>
      <c r="J706" t="s">
        <v>111</v>
      </c>
      <c r="K706">
        <v>0</v>
      </c>
      <c r="L706">
        <v>3</v>
      </c>
      <c r="M706">
        <v>0</v>
      </c>
      <c r="N706">
        <v>2</v>
      </c>
      <c r="O706">
        <v>1</v>
      </c>
      <c r="P706">
        <v>0</v>
      </c>
      <c r="Q706">
        <v>0</v>
      </c>
      <c r="R706" t="s">
        <v>112</v>
      </c>
      <c r="S706" t="str">
        <f>"14:02:08.188"</f>
        <v>14:02:08.188</v>
      </c>
      <c r="T706" t="str">
        <f>"14:02:07.688"</f>
        <v>14:02:07.688</v>
      </c>
      <c r="U706" t="str">
        <f t="shared" ref="U706:U769" si="33">"ad5732"</f>
        <v>ad5732</v>
      </c>
      <c r="V706">
        <v>0</v>
      </c>
      <c r="W706">
        <v>0</v>
      </c>
      <c r="X706">
        <v>1</v>
      </c>
      <c r="Z706">
        <v>0</v>
      </c>
      <c r="AA706">
        <v>9</v>
      </c>
      <c r="AB706">
        <v>3</v>
      </c>
      <c r="AC706">
        <v>0</v>
      </c>
      <c r="AD706">
        <v>10</v>
      </c>
      <c r="AE706">
        <v>0</v>
      </c>
      <c r="AF706">
        <v>3</v>
      </c>
      <c r="AG706">
        <v>2</v>
      </c>
      <c r="AH706">
        <v>0</v>
      </c>
      <c r="AI706" t="s">
        <v>1509</v>
      </c>
      <c r="AJ706">
        <v>39.303395999999999</v>
      </c>
      <c r="AK706" t="s">
        <v>1510</v>
      </c>
      <c r="AL706">
        <v>-77.150824</v>
      </c>
      <c r="AM706">
        <v>100</v>
      </c>
      <c r="AN706">
        <v>8700</v>
      </c>
      <c r="AO706" t="s">
        <v>115</v>
      </c>
      <c r="AP706">
        <v>175</v>
      </c>
      <c r="AQ706">
        <v>72</v>
      </c>
      <c r="AR706">
        <v>-64</v>
      </c>
      <c r="AZ706">
        <v>3614</v>
      </c>
      <c r="BA706">
        <v>1</v>
      </c>
      <c r="BB706" t="str">
        <f t="shared" si="32"/>
        <v xml:space="preserve">N959MJ  </v>
      </c>
      <c r="BC706">
        <v>1</v>
      </c>
      <c r="BE706">
        <v>0</v>
      </c>
      <c r="BF706">
        <v>0</v>
      </c>
      <c r="BG706">
        <v>0</v>
      </c>
      <c r="BH706">
        <v>9025</v>
      </c>
      <c r="BI706">
        <v>325</v>
      </c>
      <c r="BJ706">
        <v>1</v>
      </c>
      <c r="BK706">
        <v>1</v>
      </c>
      <c r="BL706">
        <v>1</v>
      </c>
      <c r="BM706">
        <v>0</v>
      </c>
      <c r="BP706">
        <v>0</v>
      </c>
      <c r="BQ706">
        <v>0</v>
      </c>
      <c r="BX706" t="str">
        <f>"14:02:08.188"</f>
        <v>14:02:08.188</v>
      </c>
      <c r="BY706" t="str">
        <f>"188665405"</f>
        <v>188665405</v>
      </c>
      <c r="CL706">
        <v>0</v>
      </c>
      <c r="CM706">
        <v>2</v>
      </c>
      <c r="CN706">
        <v>0</v>
      </c>
      <c r="CO706">
        <v>2</v>
      </c>
      <c r="CP706">
        <v>0</v>
      </c>
      <c r="CQ706">
        <v>7</v>
      </c>
      <c r="CR706" t="s">
        <v>116</v>
      </c>
      <c r="CS706">
        <v>525</v>
      </c>
      <c r="CT706">
        <v>2</v>
      </c>
      <c r="CU706" t="s">
        <v>140</v>
      </c>
      <c r="CV706" t="s">
        <v>141</v>
      </c>
      <c r="CY706">
        <v>14620269</v>
      </c>
      <c r="CZ706" t="s">
        <v>119</v>
      </c>
    </row>
    <row r="707" spans="1:104" x14ac:dyDescent="0.25">
      <c r="A707" t="str">
        <f>"14:02:09.258"</f>
        <v>14:02:09.258</v>
      </c>
      <c r="B707" t="s">
        <v>108</v>
      </c>
      <c r="C707" t="str">
        <f t="shared" si="31"/>
        <v>ffdfd3c0</v>
      </c>
      <c r="D707" t="s">
        <v>109</v>
      </c>
      <c r="E707">
        <v>4</v>
      </c>
      <c r="F707">
        <v>1004</v>
      </c>
      <c r="G707" t="s">
        <v>110</v>
      </c>
      <c r="J707" t="s">
        <v>111</v>
      </c>
      <c r="K707">
        <v>0</v>
      </c>
      <c r="L707">
        <v>3</v>
      </c>
      <c r="M707">
        <v>0</v>
      </c>
      <c r="N707">
        <v>2</v>
      </c>
      <c r="O707">
        <v>1</v>
      </c>
      <c r="P707">
        <v>0</v>
      </c>
      <c r="Q707">
        <v>0</v>
      </c>
      <c r="R707" t="s">
        <v>112</v>
      </c>
      <c r="S707" t="str">
        <f>"14:02:09.063"</f>
        <v>14:02:09.063</v>
      </c>
      <c r="T707" t="str">
        <f>"14:02:08.664"</f>
        <v>14:02:08.664</v>
      </c>
      <c r="U707" t="str">
        <f t="shared" si="33"/>
        <v>ad5732</v>
      </c>
      <c r="V707">
        <v>0</v>
      </c>
      <c r="W707">
        <v>0</v>
      </c>
      <c r="X707">
        <v>1</v>
      </c>
      <c r="Z707">
        <v>0</v>
      </c>
      <c r="AA707">
        <v>9</v>
      </c>
      <c r="AB707">
        <v>3</v>
      </c>
      <c r="AC707">
        <v>0</v>
      </c>
      <c r="AD707">
        <v>10</v>
      </c>
      <c r="AE707">
        <v>0</v>
      </c>
      <c r="AF707">
        <v>3</v>
      </c>
      <c r="AG707">
        <v>2</v>
      </c>
      <c r="AH707">
        <v>0</v>
      </c>
      <c r="AI707" t="s">
        <v>1511</v>
      </c>
      <c r="AJ707">
        <v>39.303674999999998</v>
      </c>
      <c r="AK707" t="s">
        <v>1512</v>
      </c>
      <c r="AL707">
        <v>-77.150030000000001</v>
      </c>
      <c r="AM707">
        <v>100</v>
      </c>
      <c r="AN707">
        <v>8700</v>
      </c>
      <c r="AO707" t="s">
        <v>115</v>
      </c>
      <c r="AP707">
        <v>175</v>
      </c>
      <c r="AQ707">
        <v>72</v>
      </c>
      <c r="AR707">
        <v>-64</v>
      </c>
      <c r="AZ707">
        <v>3614</v>
      </c>
      <c r="BA707">
        <v>1</v>
      </c>
      <c r="BB707" t="str">
        <f t="shared" si="32"/>
        <v xml:space="preserve">N959MJ  </v>
      </c>
      <c r="BC707">
        <v>1</v>
      </c>
      <c r="BE707">
        <v>0</v>
      </c>
      <c r="BF707">
        <v>0</v>
      </c>
      <c r="BG707">
        <v>0</v>
      </c>
      <c r="BH707">
        <v>9025</v>
      </c>
      <c r="BI707">
        <v>325</v>
      </c>
      <c r="BJ707">
        <v>1</v>
      </c>
      <c r="BK707">
        <v>1</v>
      </c>
      <c r="BL707">
        <v>1</v>
      </c>
      <c r="BM707">
        <v>0</v>
      </c>
      <c r="BP707">
        <v>0</v>
      </c>
      <c r="BQ707">
        <v>0</v>
      </c>
      <c r="BX707" t="str">
        <f>"14:02:09.070"</f>
        <v>14:02:09.070</v>
      </c>
      <c r="BY707" t="str">
        <f>"070139017"</f>
        <v>070139017</v>
      </c>
      <c r="CL707">
        <v>0</v>
      </c>
      <c r="CM707">
        <v>2</v>
      </c>
      <c r="CN707">
        <v>0</v>
      </c>
      <c r="CO707">
        <v>2</v>
      </c>
      <c r="CP707">
        <v>0</v>
      </c>
      <c r="CQ707">
        <v>7</v>
      </c>
      <c r="CR707" t="s">
        <v>116</v>
      </c>
      <c r="CS707">
        <v>525</v>
      </c>
      <c r="CT707">
        <v>1</v>
      </c>
      <c r="CU707" t="s">
        <v>140</v>
      </c>
      <c r="CV707" t="s">
        <v>141</v>
      </c>
      <c r="CY707">
        <v>8188364</v>
      </c>
      <c r="CZ707" t="s">
        <v>119</v>
      </c>
    </row>
    <row r="708" spans="1:104" x14ac:dyDescent="0.25">
      <c r="A708" t="str">
        <f>"14:02:10.172"</f>
        <v>14:02:10.172</v>
      </c>
      <c r="B708" t="s">
        <v>108</v>
      </c>
      <c r="C708" t="str">
        <f t="shared" si="31"/>
        <v>ffdfd3c0</v>
      </c>
      <c r="D708" t="s">
        <v>109</v>
      </c>
      <c r="E708">
        <v>4</v>
      </c>
      <c r="F708">
        <v>1004</v>
      </c>
      <c r="G708" t="s">
        <v>110</v>
      </c>
      <c r="J708" t="s">
        <v>111</v>
      </c>
      <c r="K708">
        <v>0</v>
      </c>
      <c r="L708">
        <v>3</v>
      </c>
      <c r="M708">
        <v>0</v>
      </c>
      <c r="N708">
        <v>2</v>
      </c>
      <c r="O708">
        <v>1</v>
      </c>
      <c r="P708">
        <v>0</v>
      </c>
      <c r="Q708">
        <v>0</v>
      </c>
      <c r="R708" t="s">
        <v>112</v>
      </c>
      <c r="S708" t="str">
        <f>"14:02:09.977"</f>
        <v>14:02:09.977</v>
      </c>
      <c r="T708" t="str">
        <f>"14:02:09.578"</f>
        <v>14:02:09.578</v>
      </c>
      <c r="U708" t="str">
        <f t="shared" si="33"/>
        <v>ad5732</v>
      </c>
      <c r="V708">
        <v>0</v>
      </c>
      <c r="W708">
        <v>0</v>
      </c>
      <c r="X708">
        <v>1</v>
      </c>
      <c r="Z708">
        <v>0</v>
      </c>
      <c r="AA708">
        <v>9</v>
      </c>
      <c r="AB708">
        <v>3</v>
      </c>
      <c r="AC708">
        <v>0</v>
      </c>
      <c r="AD708">
        <v>10</v>
      </c>
      <c r="AE708">
        <v>0</v>
      </c>
      <c r="AF708">
        <v>3</v>
      </c>
      <c r="AG708">
        <v>2</v>
      </c>
      <c r="AH708">
        <v>0</v>
      </c>
      <c r="AI708" t="s">
        <v>1513</v>
      </c>
      <c r="AJ708">
        <v>39.304017999999999</v>
      </c>
      <c r="AK708" t="s">
        <v>1514</v>
      </c>
      <c r="AL708">
        <v>-77.148978999999997</v>
      </c>
      <c r="AM708">
        <v>100</v>
      </c>
      <c r="AN708">
        <v>8700</v>
      </c>
      <c r="AO708" t="s">
        <v>115</v>
      </c>
      <c r="AP708">
        <v>175</v>
      </c>
      <c r="AQ708">
        <v>73</v>
      </c>
      <c r="AR708">
        <v>-64</v>
      </c>
      <c r="AZ708">
        <v>3614</v>
      </c>
      <c r="BA708">
        <v>1</v>
      </c>
      <c r="BB708" t="str">
        <f t="shared" si="32"/>
        <v xml:space="preserve">N959MJ  </v>
      </c>
      <c r="BC708">
        <v>1</v>
      </c>
      <c r="BE708">
        <v>0</v>
      </c>
      <c r="BF708">
        <v>0</v>
      </c>
      <c r="BG708">
        <v>0</v>
      </c>
      <c r="BH708">
        <v>9025</v>
      </c>
      <c r="BI708">
        <v>325</v>
      </c>
      <c r="BJ708">
        <v>1</v>
      </c>
      <c r="BK708">
        <v>1</v>
      </c>
      <c r="BL708">
        <v>1</v>
      </c>
      <c r="BM708">
        <v>0</v>
      </c>
      <c r="BP708">
        <v>0</v>
      </c>
      <c r="BQ708">
        <v>0</v>
      </c>
      <c r="BX708" t="str">
        <f>"14:02:09.977"</f>
        <v>14:02:09.977</v>
      </c>
      <c r="BY708" t="str">
        <f>"977826871"</f>
        <v>977826871</v>
      </c>
      <c r="CL708">
        <v>0</v>
      </c>
      <c r="CM708">
        <v>2</v>
      </c>
      <c r="CN708">
        <v>0</v>
      </c>
      <c r="CO708">
        <v>2</v>
      </c>
      <c r="CP708">
        <v>0</v>
      </c>
      <c r="CQ708">
        <v>7</v>
      </c>
      <c r="CR708" t="s">
        <v>116</v>
      </c>
      <c r="CS708">
        <v>147</v>
      </c>
      <c r="CT708">
        <v>0</v>
      </c>
      <c r="CU708" t="s">
        <v>117</v>
      </c>
      <c r="CV708" t="s">
        <v>118</v>
      </c>
      <c r="CY708">
        <v>5035319</v>
      </c>
      <c r="CZ708" t="s">
        <v>119</v>
      </c>
    </row>
    <row r="709" spans="1:104" x14ac:dyDescent="0.25">
      <c r="A709" t="str">
        <f>"14:02:11.078"</f>
        <v>14:02:11.078</v>
      </c>
      <c r="B709" t="s">
        <v>108</v>
      </c>
      <c r="C709" t="str">
        <f t="shared" si="31"/>
        <v>ffdfd3c0</v>
      </c>
      <c r="D709" t="s">
        <v>109</v>
      </c>
      <c r="E709">
        <v>4</v>
      </c>
      <c r="F709">
        <v>1004</v>
      </c>
      <c r="G709" t="s">
        <v>110</v>
      </c>
      <c r="J709" t="s">
        <v>111</v>
      </c>
      <c r="K709">
        <v>0</v>
      </c>
      <c r="L709">
        <v>3</v>
      </c>
      <c r="M709">
        <v>0</v>
      </c>
      <c r="N709">
        <v>2</v>
      </c>
      <c r="O709">
        <v>1</v>
      </c>
      <c r="P709">
        <v>0</v>
      </c>
      <c r="Q709">
        <v>0</v>
      </c>
      <c r="R709" t="s">
        <v>112</v>
      </c>
      <c r="S709" t="str">
        <f>"14:02:10.883"</f>
        <v>14:02:10.883</v>
      </c>
      <c r="T709" t="str">
        <f>"14:02:10.484"</f>
        <v>14:02:10.484</v>
      </c>
      <c r="U709" t="str">
        <f t="shared" si="33"/>
        <v>ad5732</v>
      </c>
      <c r="V709">
        <v>0</v>
      </c>
      <c r="W709">
        <v>0</v>
      </c>
      <c r="X709">
        <v>1</v>
      </c>
      <c r="Z709">
        <v>0</v>
      </c>
      <c r="AA709">
        <v>9</v>
      </c>
      <c r="AB709">
        <v>3</v>
      </c>
      <c r="AC709">
        <v>0</v>
      </c>
      <c r="AD709">
        <v>10</v>
      </c>
      <c r="AE709">
        <v>0</v>
      </c>
      <c r="AF709">
        <v>3</v>
      </c>
      <c r="AG709">
        <v>2</v>
      </c>
      <c r="AH709">
        <v>0</v>
      </c>
      <c r="AI709" t="s">
        <v>1515</v>
      </c>
      <c r="AJ709">
        <v>39.304276000000002</v>
      </c>
      <c r="AK709" t="s">
        <v>1516</v>
      </c>
      <c r="AL709">
        <v>-77.148034999999993</v>
      </c>
      <c r="AM709">
        <v>100</v>
      </c>
      <c r="AN709">
        <v>8700</v>
      </c>
      <c r="AO709" t="s">
        <v>115</v>
      </c>
      <c r="AP709">
        <v>175</v>
      </c>
      <c r="AQ709">
        <v>73</v>
      </c>
      <c r="AR709">
        <v>-64</v>
      </c>
      <c r="AZ709">
        <v>3614</v>
      </c>
      <c r="BA709">
        <v>1</v>
      </c>
      <c r="BB709" t="str">
        <f t="shared" si="32"/>
        <v xml:space="preserve">N959MJ  </v>
      </c>
      <c r="BC709">
        <v>1</v>
      </c>
      <c r="BE709">
        <v>0</v>
      </c>
      <c r="BF709">
        <v>0</v>
      </c>
      <c r="BG709">
        <v>0</v>
      </c>
      <c r="BH709">
        <v>9025</v>
      </c>
      <c r="BI709">
        <v>325</v>
      </c>
      <c r="BJ709">
        <v>1</v>
      </c>
      <c r="BK709">
        <v>1</v>
      </c>
      <c r="BL709">
        <v>1</v>
      </c>
      <c r="BM709">
        <v>0</v>
      </c>
      <c r="BP709">
        <v>0</v>
      </c>
      <c r="BQ709">
        <v>0</v>
      </c>
      <c r="BX709" t="str">
        <f>"14:02:10.891"</f>
        <v>14:02:10.891</v>
      </c>
      <c r="BY709" t="str">
        <f>"888792789"</f>
        <v>888792789</v>
      </c>
      <c r="CL709">
        <v>0</v>
      </c>
      <c r="CM709">
        <v>2</v>
      </c>
      <c r="CN709">
        <v>0</v>
      </c>
      <c r="CO709">
        <v>2</v>
      </c>
      <c r="CP709">
        <v>0</v>
      </c>
      <c r="CQ709">
        <v>7</v>
      </c>
      <c r="CR709" t="s">
        <v>116</v>
      </c>
      <c r="CS709">
        <v>525</v>
      </c>
      <c r="CT709">
        <v>2</v>
      </c>
      <c r="CU709" t="s">
        <v>140</v>
      </c>
      <c r="CV709" t="s">
        <v>141</v>
      </c>
      <c r="CY709">
        <v>14624315</v>
      </c>
      <c r="CZ709" t="s">
        <v>119</v>
      </c>
    </row>
    <row r="710" spans="1:104" x14ac:dyDescent="0.25">
      <c r="A710" t="str">
        <f>"14:02:12.133"</f>
        <v>14:02:12.133</v>
      </c>
      <c r="B710" t="s">
        <v>108</v>
      </c>
      <c r="C710" t="str">
        <f t="shared" si="31"/>
        <v>ffdfd3c0</v>
      </c>
      <c r="D710" t="s">
        <v>109</v>
      </c>
      <c r="E710">
        <v>4</v>
      </c>
      <c r="F710">
        <v>1004</v>
      </c>
      <c r="G710" t="s">
        <v>110</v>
      </c>
      <c r="J710" t="s">
        <v>111</v>
      </c>
      <c r="K710">
        <v>0</v>
      </c>
      <c r="L710">
        <v>3</v>
      </c>
      <c r="M710">
        <v>0</v>
      </c>
      <c r="N710">
        <v>2</v>
      </c>
      <c r="O710">
        <v>1</v>
      </c>
      <c r="P710">
        <v>0</v>
      </c>
      <c r="Q710">
        <v>0</v>
      </c>
      <c r="R710" t="s">
        <v>112</v>
      </c>
      <c r="S710" t="str">
        <f>"14:02:11.969"</f>
        <v>14:02:11.969</v>
      </c>
      <c r="T710" t="str">
        <f>"14:02:11.469"</f>
        <v>14:02:11.469</v>
      </c>
      <c r="U710" t="str">
        <f t="shared" si="33"/>
        <v>ad5732</v>
      </c>
      <c r="V710">
        <v>0</v>
      </c>
      <c r="W710">
        <v>0</v>
      </c>
      <c r="X710">
        <v>1</v>
      </c>
      <c r="Z710">
        <v>0</v>
      </c>
      <c r="AA710">
        <v>9</v>
      </c>
      <c r="AB710">
        <v>3</v>
      </c>
      <c r="AC710">
        <v>0</v>
      </c>
      <c r="AD710">
        <v>10</v>
      </c>
      <c r="AE710">
        <v>0</v>
      </c>
      <c r="AF710">
        <v>3</v>
      </c>
      <c r="AG710">
        <v>2</v>
      </c>
      <c r="AH710">
        <v>0</v>
      </c>
      <c r="AI710" t="s">
        <v>1517</v>
      </c>
      <c r="AJ710">
        <v>39.304639999999999</v>
      </c>
      <c r="AK710" t="s">
        <v>1518</v>
      </c>
      <c r="AL710">
        <v>-77.147004999999993</v>
      </c>
      <c r="AM710">
        <v>100</v>
      </c>
      <c r="AN710">
        <v>8700</v>
      </c>
      <c r="AO710" t="s">
        <v>115</v>
      </c>
      <c r="AP710">
        <v>175</v>
      </c>
      <c r="AQ710">
        <v>73</v>
      </c>
      <c r="AR710">
        <v>-64</v>
      </c>
      <c r="AZ710">
        <v>3614</v>
      </c>
      <c r="BA710">
        <v>1</v>
      </c>
      <c r="BB710" t="str">
        <f t="shared" si="32"/>
        <v xml:space="preserve">N959MJ  </v>
      </c>
      <c r="BC710">
        <v>1</v>
      </c>
      <c r="BE710">
        <v>0</v>
      </c>
      <c r="BF710">
        <v>0</v>
      </c>
      <c r="BG710">
        <v>0</v>
      </c>
      <c r="BH710">
        <v>9025</v>
      </c>
      <c r="BI710">
        <v>325</v>
      </c>
      <c r="BJ710">
        <v>1</v>
      </c>
      <c r="BK710">
        <v>1</v>
      </c>
      <c r="BL710">
        <v>1</v>
      </c>
      <c r="BM710">
        <v>0</v>
      </c>
      <c r="BP710">
        <v>0</v>
      </c>
      <c r="BQ710">
        <v>0</v>
      </c>
      <c r="BX710" t="str">
        <f>"14:02:11.969"</f>
        <v>14:02:11.969</v>
      </c>
      <c r="BY710" t="str">
        <f>"970154536"</f>
        <v>970154536</v>
      </c>
      <c r="CL710">
        <v>0</v>
      </c>
      <c r="CM710">
        <v>2</v>
      </c>
      <c r="CN710">
        <v>0</v>
      </c>
      <c r="CO710">
        <v>2</v>
      </c>
      <c r="CP710">
        <v>0</v>
      </c>
      <c r="CQ710">
        <v>7</v>
      </c>
      <c r="CR710" t="s">
        <v>116</v>
      </c>
      <c r="CS710">
        <v>525</v>
      </c>
      <c r="CT710">
        <v>2</v>
      </c>
      <c r="CU710" t="s">
        <v>140</v>
      </c>
      <c r="CV710" t="s">
        <v>141</v>
      </c>
      <c r="CY710">
        <v>14625928</v>
      </c>
      <c r="CZ710" t="s">
        <v>119</v>
      </c>
    </row>
    <row r="711" spans="1:104" x14ac:dyDescent="0.25">
      <c r="A711" t="str">
        <f>"14:02:13.141"</f>
        <v>14:02:13.141</v>
      </c>
      <c r="B711" t="s">
        <v>108</v>
      </c>
      <c r="C711" t="str">
        <f t="shared" si="31"/>
        <v>ffdfd3c0</v>
      </c>
      <c r="D711" t="s">
        <v>109</v>
      </c>
      <c r="E711">
        <v>4</v>
      </c>
      <c r="F711">
        <v>1004</v>
      </c>
      <c r="G711" t="s">
        <v>110</v>
      </c>
      <c r="J711" t="s">
        <v>111</v>
      </c>
      <c r="K711">
        <v>0</v>
      </c>
      <c r="L711">
        <v>3</v>
      </c>
      <c r="M711">
        <v>0</v>
      </c>
      <c r="N711">
        <v>2</v>
      </c>
      <c r="O711">
        <v>1</v>
      </c>
      <c r="P711">
        <v>0</v>
      </c>
      <c r="Q711">
        <v>0</v>
      </c>
      <c r="R711" t="s">
        <v>112</v>
      </c>
      <c r="S711" t="str">
        <f>"14:02:12.984"</f>
        <v>14:02:12.984</v>
      </c>
      <c r="T711" t="str">
        <f>"14:02:12.484"</f>
        <v>14:02:12.484</v>
      </c>
      <c r="U711" t="str">
        <f t="shared" si="33"/>
        <v>ad5732</v>
      </c>
      <c r="V711">
        <v>0</v>
      </c>
      <c r="W711">
        <v>0</v>
      </c>
      <c r="X711">
        <v>1</v>
      </c>
      <c r="Z711">
        <v>0</v>
      </c>
      <c r="AA711">
        <v>9</v>
      </c>
      <c r="AB711">
        <v>3</v>
      </c>
      <c r="AC711">
        <v>0</v>
      </c>
      <c r="AD711">
        <v>10</v>
      </c>
      <c r="AE711">
        <v>0</v>
      </c>
      <c r="AF711">
        <v>3</v>
      </c>
      <c r="AG711">
        <v>2</v>
      </c>
      <c r="AH711">
        <v>0</v>
      </c>
      <c r="AI711" t="s">
        <v>1519</v>
      </c>
      <c r="AJ711">
        <v>39.304983999999997</v>
      </c>
      <c r="AK711" t="s">
        <v>1520</v>
      </c>
      <c r="AL711">
        <v>-77.145803000000001</v>
      </c>
      <c r="AM711">
        <v>100</v>
      </c>
      <c r="AN711">
        <v>8700</v>
      </c>
      <c r="AO711" t="s">
        <v>115</v>
      </c>
      <c r="AP711">
        <v>175</v>
      </c>
      <c r="AQ711">
        <v>73</v>
      </c>
      <c r="AR711">
        <v>0</v>
      </c>
      <c r="AZ711">
        <v>3614</v>
      </c>
      <c r="BA711">
        <v>1</v>
      </c>
      <c r="BB711" t="str">
        <f t="shared" si="32"/>
        <v xml:space="preserve">N959MJ  </v>
      </c>
      <c r="BC711">
        <v>1</v>
      </c>
      <c r="BE711">
        <v>0</v>
      </c>
      <c r="BF711">
        <v>0</v>
      </c>
      <c r="BG711">
        <v>0</v>
      </c>
      <c r="BH711">
        <v>9025</v>
      </c>
      <c r="BI711">
        <v>325</v>
      </c>
      <c r="BJ711">
        <v>1</v>
      </c>
      <c r="BK711">
        <v>1</v>
      </c>
      <c r="BL711">
        <v>1</v>
      </c>
      <c r="BM711">
        <v>0</v>
      </c>
      <c r="BP711">
        <v>0</v>
      </c>
      <c r="BQ711">
        <v>0</v>
      </c>
      <c r="BX711" t="str">
        <f>"14:02:12.992"</f>
        <v>14:02:12.992</v>
      </c>
      <c r="BY711" t="str">
        <f>"990894401"</f>
        <v>990894401</v>
      </c>
      <c r="CL711">
        <v>0</v>
      </c>
      <c r="CM711">
        <v>2</v>
      </c>
      <c r="CN711">
        <v>0</v>
      </c>
      <c r="CO711">
        <v>2</v>
      </c>
      <c r="CP711">
        <v>0</v>
      </c>
      <c r="CQ711">
        <v>7</v>
      </c>
      <c r="CR711" t="s">
        <v>116</v>
      </c>
      <c r="CS711">
        <v>525</v>
      </c>
      <c r="CT711">
        <v>1</v>
      </c>
      <c r="CU711" t="s">
        <v>140</v>
      </c>
      <c r="CV711" t="s">
        <v>141</v>
      </c>
      <c r="CY711">
        <v>8193735</v>
      </c>
      <c r="CZ711" t="s">
        <v>119</v>
      </c>
    </row>
    <row r="712" spans="1:104" x14ac:dyDescent="0.25">
      <c r="A712" t="str">
        <f>"14:02:14.203"</f>
        <v>14:02:14.203</v>
      </c>
      <c r="B712" t="s">
        <v>108</v>
      </c>
      <c r="C712" t="str">
        <f t="shared" si="31"/>
        <v>ffdfd3c0</v>
      </c>
      <c r="D712" t="s">
        <v>109</v>
      </c>
      <c r="E712">
        <v>4</v>
      </c>
      <c r="F712">
        <v>1004</v>
      </c>
      <c r="G712" t="s">
        <v>110</v>
      </c>
      <c r="J712" t="s">
        <v>111</v>
      </c>
      <c r="K712">
        <v>0</v>
      </c>
      <c r="L712">
        <v>3</v>
      </c>
      <c r="M712">
        <v>0</v>
      </c>
      <c r="N712">
        <v>2</v>
      </c>
      <c r="O712">
        <v>1</v>
      </c>
      <c r="P712">
        <v>0</v>
      </c>
      <c r="Q712">
        <v>0</v>
      </c>
      <c r="R712" t="s">
        <v>112</v>
      </c>
      <c r="S712" t="str">
        <f>"14:02:13.992"</f>
        <v>14:02:13.992</v>
      </c>
      <c r="T712" t="str">
        <f>"14:02:13.594"</f>
        <v>14:02:13.594</v>
      </c>
      <c r="U712" t="str">
        <f t="shared" si="33"/>
        <v>ad5732</v>
      </c>
      <c r="V712">
        <v>0</v>
      </c>
      <c r="W712">
        <v>0</v>
      </c>
      <c r="X712">
        <v>1</v>
      </c>
      <c r="Z712">
        <v>0</v>
      </c>
      <c r="AA712">
        <v>9</v>
      </c>
      <c r="AB712">
        <v>3</v>
      </c>
      <c r="AC712">
        <v>0</v>
      </c>
      <c r="AD712">
        <v>10</v>
      </c>
      <c r="AE712">
        <v>0</v>
      </c>
      <c r="AF712">
        <v>3</v>
      </c>
      <c r="AG712">
        <v>2</v>
      </c>
      <c r="AH712">
        <v>0</v>
      </c>
      <c r="AI712" t="s">
        <v>1521</v>
      </c>
      <c r="AJ712">
        <v>39.305348000000002</v>
      </c>
      <c r="AK712" t="s">
        <v>1522</v>
      </c>
      <c r="AL712">
        <v>-77.144773000000001</v>
      </c>
      <c r="AM712">
        <v>100</v>
      </c>
      <c r="AN712">
        <v>8700</v>
      </c>
      <c r="AO712" t="s">
        <v>115</v>
      </c>
      <c r="AP712">
        <v>175</v>
      </c>
      <c r="AQ712">
        <v>73</v>
      </c>
      <c r="AR712">
        <v>0</v>
      </c>
      <c r="AZ712">
        <v>3614</v>
      </c>
      <c r="BA712">
        <v>1</v>
      </c>
      <c r="BB712" t="str">
        <f t="shared" si="32"/>
        <v xml:space="preserve">N959MJ  </v>
      </c>
      <c r="BC712">
        <v>1</v>
      </c>
      <c r="BE712">
        <v>0</v>
      </c>
      <c r="BF712">
        <v>0</v>
      </c>
      <c r="BG712">
        <v>0</v>
      </c>
      <c r="BH712">
        <v>9025</v>
      </c>
      <c r="BI712">
        <v>325</v>
      </c>
      <c r="BJ712">
        <v>1</v>
      </c>
      <c r="BK712">
        <v>1</v>
      </c>
      <c r="BL712">
        <v>1</v>
      </c>
      <c r="BM712">
        <v>0</v>
      </c>
      <c r="BP712">
        <v>0</v>
      </c>
      <c r="BQ712">
        <v>0</v>
      </c>
      <c r="BX712" t="str">
        <f>"14:02:14.000"</f>
        <v>14:02:14.000</v>
      </c>
      <c r="BY712" t="str">
        <f>"996888483"</f>
        <v>996888483</v>
      </c>
      <c r="CL712">
        <v>0</v>
      </c>
      <c r="CM712">
        <v>2</v>
      </c>
      <c r="CN712">
        <v>0</v>
      </c>
      <c r="CO712">
        <v>2</v>
      </c>
      <c r="CP712">
        <v>0</v>
      </c>
      <c r="CQ712">
        <v>7</v>
      </c>
      <c r="CR712" t="s">
        <v>116</v>
      </c>
      <c r="CS712">
        <v>525</v>
      </c>
      <c r="CT712">
        <v>2</v>
      </c>
      <c r="CU712" t="s">
        <v>140</v>
      </c>
      <c r="CV712" t="s">
        <v>141</v>
      </c>
      <c r="CY712">
        <v>14628787</v>
      </c>
      <c r="CZ712" t="s">
        <v>119</v>
      </c>
    </row>
    <row r="713" spans="1:104" x14ac:dyDescent="0.25">
      <c r="A713" t="str">
        <f>"14:02:15.211"</f>
        <v>14:02:15.211</v>
      </c>
      <c r="B713" t="s">
        <v>108</v>
      </c>
      <c r="C713" t="str">
        <f t="shared" si="31"/>
        <v>ffdfd3c0</v>
      </c>
      <c r="D713" t="s">
        <v>109</v>
      </c>
      <c r="E713">
        <v>4</v>
      </c>
      <c r="F713">
        <v>1004</v>
      </c>
      <c r="G713" t="s">
        <v>110</v>
      </c>
      <c r="J713" t="s">
        <v>111</v>
      </c>
      <c r="K713">
        <v>0</v>
      </c>
      <c r="L713">
        <v>3</v>
      </c>
      <c r="M713">
        <v>0</v>
      </c>
      <c r="N713">
        <v>2</v>
      </c>
      <c r="O713">
        <v>1</v>
      </c>
      <c r="P713">
        <v>0</v>
      </c>
      <c r="Q713">
        <v>0</v>
      </c>
      <c r="R713" t="s">
        <v>112</v>
      </c>
      <c r="S713" t="str">
        <f>"14:02:15.031"</f>
        <v>14:02:15.031</v>
      </c>
      <c r="T713" t="str">
        <f>"14:02:14.633"</f>
        <v>14:02:14.633</v>
      </c>
      <c r="U713" t="str">
        <f t="shared" si="33"/>
        <v>ad5732</v>
      </c>
      <c r="V713">
        <v>0</v>
      </c>
      <c r="W713">
        <v>0</v>
      </c>
      <c r="X713">
        <v>1</v>
      </c>
      <c r="Z713">
        <v>0</v>
      </c>
      <c r="AA713">
        <v>9</v>
      </c>
      <c r="AB713">
        <v>3</v>
      </c>
      <c r="AC713">
        <v>0</v>
      </c>
      <c r="AD713">
        <v>10</v>
      </c>
      <c r="AE713">
        <v>0</v>
      </c>
      <c r="AF713">
        <v>3</v>
      </c>
      <c r="AG713">
        <v>2</v>
      </c>
      <c r="AH713">
        <v>0</v>
      </c>
      <c r="AI713" t="s">
        <v>1523</v>
      </c>
      <c r="AJ713">
        <v>39.305692000000001</v>
      </c>
      <c r="AK713" t="s">
        <v>1524</v>
      </c>
      <c r="AL713">
        <v>-77.143743000000001</v>
      </c>
      <c r="AM713">
        <v>100</v>
      </c>
      <c r="AN713">
        <v>8700</v>
      </c>
      <c r="AO713" t="s">
        <v>115</v>
      </c>
      <c r="AP713">
        <v>175</v>
      </c>
      <c r="AQ713">
        <v>73</v>
      </c>
      <c r="AR713">
        <v>0</v>
      </c>
      <c r="AZ713">
        <v>3614</v>
      </c>
      <c r="BA713">
        <v>1</v>
      </c>
      <c r="BB713" t="str">
        <f t="shared" si="32"/>
        <v xml:space="preserve">N959MJ  </v>
      </c>
      <c r="BC713">
        <v>1</v>
      </c>
      <c r="BE713">
        <v>0</v>
      </c>
      <c r="BF713">
        <v>0</v>
      </c>
      <c r="BG713">
        <v>0</v>
      </c>
      <c r="BH713">
        <v>9025</v>
      </c>
      <c r="BI713">
        <v>325</v>
      </c>
      <c r="BJ713">
        <v>1</v>
      </c>
      <c r="BK713">
        <v>1</v>
      </c>
      <c r="BL713">
        <v>1</v>
      </c>
      <c r="BM713">
        <v>0</v>
      </c>
      <c r="BP713">
        <v>0</v>
      </c>
      <c r="BQ713">
        <v>0</v>
      </c>
      <c r="BX713" t="str">
        <f>"14:02:15.039"</f>
        <v>14:02:15.039</v>
      </c>
      <c r="BY713" t="str">
        <f>"035651205"</f>
        <v>035651205</v>
      </c>
      <c r="CL713">
        <v>0</v>
      </c>
      <c r="CM713">
        <v>2</v>
      </c>
      <c r="CN713">
        <v>0</v>
      </c>
      <c r="CO713">
        <v>2</v>
      </c>
      <c r="CP713">
        <v>0</v>
      </c>
      <c r="CQ713">
        <v>7</v>
      </c>
      <c r="CR713" t="s">
        <v>116</v>
      </c>
      <c r="CS713">
        <v>525</v>
      </c>
      <c r="CT713">
        <v>2</v>
      </c>
      <c r="CU713" t="s">
        <v>140</v>
      </c>
      <c r="CV713" t="s">
        <v>141</v>
      </c>
      <c r="CY713">
        <v>14630372</v>
      </c>
      <c r="CZ713" t="s">
        <v>119</v>
      </c>
    </row>
    <row r="714" spans="1:104" x14ac:dyDescent="0.25">
      <c r="A714" t="str">
        <f>"14:02:16.219"</f>
        <v>14:02:16.219</v>
      </c>
      <c r="B714" t="s">
        <v>108</v>
      </c>
      <c r="C714" t="str">
        <f t="shared" ref="C714:C777" si="34">"ffdfd3c0"</f>
        <v>ffdfd3c0</v>
      </c>
      <c r="D714" t="s">
        <v>109</v>
      </c>
      <c r="E714">
        <v>4</v>
      </c>
      <c r="F714">
        <v>1004</v>
      </c>
      <c r="G714" t="s">
        <v>110</v>
      </c>
      <c r="J714" t="s">
        <v>111</v>
      </c>
      <c r="K714">
        <v>0</v>
      </c>
      <c r="L714">
        <v>3</v>
      </c>
      <c r="M714">
        <v>0</v>
      </c>
      <c r="N714">
        <v>2</v>
      </c>
      <c r="O714">
        <v>1</v>
      </c>
      <c r="P714">
        <v>0</v>
      </c>
      <c r="Q714">
        <v>0</v>
      </c>
      <c r="R714" t="s">
        <v>112</v>
      </c>
      <c r="S714" t="str">
        <f>"14:02:16.023"</f>
        <v>14:02:16.023</v>
      </c>
      <c r="T714" t="str">
        <f>"14:02:15.523"</f>
        <v>14:02:15.523</v>
      </c>
      <c r="U714" t="str">
        <f t="shared" si="33"/>
        <v>ad5732</v>
      </c>
      <c r="V714">
        <v>0</v>
      </c>
      <c r="W714">
        <v>0</v>
      </c>
      <c r="X714">
        <v>1</v>
      </c>
      <c r="Z714">
        <v>0</v>
      </c>
      <c r="AA714">
        <v>9</v>
      </c>
      <c r="AB714">
        <v>3</v>
      </c>
      <c r="AC714">
        <v>0</v>
      </c>
      <c r="AD714">
        <v>10</v>
      </c>
      <c r="AE714">
        <v>0</v>
      </c>
      <c r="AF714">
        <v>3</v>
      </c>
      <c r="AG714">
        <v>2</v>
      </c>
      <c r="AH714">
        <v>0</v>
      </c>
      <c r="AI714" t="s">
        <v>1525</v>
      </c>
      <c r="AJ714">
        <v>39.306013999999998</v>
      </c>
      <c r="AK714" t="s">
        <v>1526</v>
      </c>
      <c r="AL714">
        <v>-77.142691999999997</v>
      </c>
      <c r="AM714">
        <v>100</v>
      </c>
      <c r="AN714">
        <v>8700</v>
      </c>
      <c r="AO714" t="s">
        <v>115</v>
      </c>
      <c r="AP714">
        <v>175</v>
      </c>
      <c r="AQ714">
        <v>73</v>
      </c>
      <c r="AR714">
        <v>0</v>
      </c>
      <c r="AZ714">
        <v>3614</v>
      </c>
      <c r="BA714">
        <v>1</v>
      </c>
      <c r="BB714" t="str">
        <f t="shared" ref="BB714:BB777" si="35">"N959MJ  "</f>
        <v xml:space="preserve">N959MJ  </v>
      </c>
      <c r="BC714">
        <v>1</v>
      </c>
      <c r="BE714">
        <v>0</v>
      </c>
      <c r="BF714">
        <v>0</v>
      </c>
      <c r="BG714">
        <v>0</v>
      </c>
      <c r="BH714">
        <v>9025</v>
      </c>
      <c r="BI714">
        <v>325</v>
      </c>
      <c r="BJ714">
        <v>1</v>
      </c>
      <c r="BK714">
        <v>1</v>
      </c>
      <c r="BL714">
        <v>1</v>
      </c>
      <c r="BM714">
        <v>0</v>
      </c>
      <c r="BP714">
        <v>0</v>
      </c>
      <c r="BQ714">
        <v>0</v>
      </c>
      <c r="BX714" t="str">
        <f>"14:02:16.031"</f>
        <v>14:02:16.031</v>
      </c>
      <c r="BY714" t="str">
        <f>"030175135"</f>
        <v>030175135</v>
      </c>
      <c r="CL714">
        <v>0</v>
      </c>
      <c r="CM714">
        <v>2</v>
      </c>
      <c r="CN714">
        <v>0</v>
      </c>
      <c r="CO714">
        <v>2</v>
      </c>
      <c r="CP714">
        <v>0</v>
      </c>
      <c r="CQ714">
        <v>7</v>
      </c>
      <c r="CR714" t="s">
        <v>116</v>
      </c>
      <c r="CS714">
        <v>147</v>
      </c>
      <c r="CT714">
        <v>0</v>
      </c>
      <c r="CU714" t="s">
        <v>117</v>
      </c>
      <c r="CV714" t="s">
        <v>118</v>
      </c>
      <c r="CY714">
        <v>5045075</v>
      </c>
      <c r="CZ714" t="s">
        <v>119</v>
      </c>
    </row>
    <row r="715" spans="1:104" x14ac:dyDescent="0.25">
      <c r="A715" t="str">
        <f>"14:02:17.133"</f>
        <v>14:02:17.133</v>
      </c>
      <c r="B715" t="s">
        <v>108</v>
      </c>
      <c r="C715" t="str">
        <f t="shared" si="34"/>
        <v>ffdfd3c0</v>
      </c>
      <c r="D715" t="s">
        <v>109</v>
      </c>
      <c r="E715">
        <v>4</v>
      </c>
      <c r="F715">
        <v>1004</v>
      </c>
      <c r="G715" t="s">
        <v>110</v>
      </c>
      <c r="J715" t="s">
        <v>111</v>
      </c>
      <c r="K715">
        <v>0</v>
      </c>
      <c r="L715">
        <v>3</v>
      </c>
      <c r="M715">
        <v>0</v>
      </c>
      <c r="N715">
        <v>2</v>
      </c>
      <c r="O715">
        <v>1</v>
      </c>
      <c r="P715">
        <v>0</v>
      </c>
      <c r="Q715">
        <v>0</v>
      </c>
      <c r="R715" t="s">
        <v>112</v>
      </c>
      <c r="S715" t="str">
        <f>"14:02:16.945"</f>
        <v>14:02:16.945</v>
      </c>
      <c r="T715" t="str">
        <f>"14:02:16.547"</f>
        <v>14:02:16.547</v>
      </c>
      <c r="U715" t="str">
        <f t="shared" si="33"/>
        <v>ad5732</v>
      </c>
      <c r="V715">
        <v>0</v>
      </c>
      <c r="W715">
        <v>0</v>
      </c>
      <c r="X715">
        <v>1</v>
      </c>
      <c r="Z715">
        <v>0</v>
      </c>
      <c r="AA715">
        <v>9</v>
      </c>
      <c r="AB715">
        <v>3</v>
      </c>
      <c r="AC715">
        <v>0</v>
      </c>
      <c r="AD715">
        <v>10</v>
      </c>
      <c r="AE715">
        <v>0</v>
      </c>
      <c r="AF715">
        <v>3</v>
      </c>
      <c r="AG715">
        <v>2</v>
      </c>
      <c r="AH715">
        <v>0</v>
      </c>
      <c r="AI715" t="s">
        <v>1527</v>
      </c>
      <c r="AJ715">
        <v>39.306334999999997</v>
      </c>
      <c r="AK715" t="s">
        <v>1528</v>
      </c>
      <c r="AL715">
        <v>-77.141746999999995</v>
      </c>
      <c r="AM715">
        <v>100</v>
      </c>
      <c r="AN715">
        <v>8700</v>
      </c>
      <c r="AO715" t="s">
        <v>115</v>
      </c>
      <c r="AP715">
        <v>175</v>
      </c>
      <c r="AQ715">
        <v>72</v>
      </c>
      <c r="AR715">
        <v>0</v>
      </c>
      <c r="AZ715">
        <v>3614</v>
      </c>
      <c r="BA715">
        <v>1</v>
      </c>
      <c r="BB715" t="str">
        <f t="shared" si="35"/>
        <v xml:space="preserve">N959MJ  </v>
      </c>
      <c r="BC715">
        <v>1</v>
      </c>
      <c r="BE715">
        <v>0</v>
      </c>
      <c r="BF715">
        <v>0</v>
      </c>
      <c r="BG715">
        <v>0</v>
      </c>
      <c r="BH715">
        <v>9025</v>
      </c>
      <c r="BI715">
        <v>325</v>
      </c>
      <c r="BJ715">
        <v>1</v>
      </c>
      <c r="BK715">
        <v>1</v>
      </c>
      <c r="BL715">
        <v>1</v>
      </c>
      <c r="BM715">
        <v>0</v>
      </c>
      <c r="BP715">
        <v>0</v>
      </c>
      <c r="BQ715">
        <v>0</v>
      </c>
      <c r="BX715" t="str">
        <f>"14:02:16.945"</f>
        <v>14:02:16.945</v>
      </c>
      <c r="BY715" t="str">
        <f>"947695219"</f>
        <v>947695219</v>
      </c>
      <c r="CL715">
        <v>0</v>
      </c>
      <c r="CM715">
        <v>2</v>
      </c>
      <c r="CN715">
        <v>0</v>
      </c>
      <c r="CO715">
        <v>2</v>
      </c>
      <c r="CP715">
        <v>0</v>
      </c>
      <c r="CQ715">
        <v>7</v>
      </c>
      <c r="CR715" t="s">
        <v>116</v>
      </c>
      <c r="CS715">
        <v>525</v>
      </c>
      <c r="CT715">
        <v>1</v>
      </c>
      <c r="CU715" t="s">
        <v>140</v>
      </c>
      <c r="CV715" t="s">
        <v>141</v>
      </c>
      <c r="CY715">
        <v>8199149</v>
      </c>
      <c r="CZ715" t="s">
        <v>119</v>
      </c>
    </row>
    <row r="716" spans="1:104" x14ac:dyDescent="0.25">
      <c r="A716" t="str">
        <f>"14:02:18.289"</f>
        <v>14:02:18.289</v>
      </c>
      <c r="B716" t="s">
        <v>108</v>
      </c>
      <c r="C716" t="str">
        <f t="shared" si="34"/>
        <v>ffdfd3c0</v>
      </c>
      <c r="D716" t="s">
        <v>109</v>
      </c>
      <c r="E716">
        <v>4</v>
      </c>
      <c r="F716">
        <v>1004</v>
      </c>
      <c r="G716" t="s">
        <v>110</v>
      </c>
      <c r="J716" t="s">
        <v>111</v>
      </c>
      <c r="K716">
        <v>0</v>
      </c>
      <c r="L716">
        <v>3</v>
      </c>
      <c r="M716">
        <v>0</v>
      </c>
      <c r="N716">
        <v>2</v>
      </c>
      <c r="O716">
        <v>1</v>
      </c>
      <c r="P716">
        <v>0</v>
      </c>
      <c r="Q716">
        <v>0</v>
      </c>
      <c r="R716" t="s">
        <v>112</v>
      </c>
      <c r="S716" t="str">
        <f>"14:02:18.086"</f>
        <v>14:02:18.086</v>
      </c>
      <c r="T716" t="str">
        <f>"14:02:17.586"</f>
        <v>14:02:17.586</v>
      </c>
      <c r="U716" t="str">
        <f t="shared" si="33"/>
        <v>ad5732</v>
      </c>
      <c r="V716">
        <v>0</v>
      </c>
      <c r="W716">
        <v>0</v>
      </c>
      <c r="X716">
        <v>1</v>
      </c>
      <c r="Z716">
        <v>0</v>
      </c>
      <c r="AA716">
        <v>9</v>
      </c>
      <c r="AB716">
        <v>3</v>
      </c>
      <c r="AC716">
        <v>0</v>
      </c>
      <c r="AD716">
        <v>10</v>
      </c>
      <c r="AE716">
        <v>0</v>
      </c>
      <c r="AF716">
        <v>3</v>
      </c>
      <c r="AG716">
        <v>2</v>
      </c>
      <c r="AH716">
        <v>0</v>
      </c>
      <c r="AI716" t="s">
        <v>1529</v>
      </c>
      <c r="AJ716">
        <v>39.306699999999999</v>
      </c>
      <c r="AK716" t="s">
        <v>1530</v>
      </c>
      <c r="AL716">
        <v>-77.140502999999995</v>
      </c>
      <c r="AM716">
        <v>100</v>
      </c>
      <c r="AN716">
        <v>8700</v>
      </c>
      <c r="AO716" t="s">
        <v>115</v>
      </c>
      <c r="AP716">
        <v>175</v>
      </c>
      <c r="AQ716">
        <v>72</v>
      </c>
      <c r="AR716">
        <v>0</v>
      </c>
      <c r="AZ716">
        <v>3614</v>
      </c>
      <c r="BA716">
        <v>1</v>
      </c>
      <c r="BB716" t="str">
        <f t="shared" si="35"/>
        <v xml:space="preserve">N959MJ  </v>
      </c>
      <c r="BC716">
        <v>1</v>
      </c>
      <c r="BE716">
        <v>0</v>
      </c>
      <c r="BF716">
        <v>0</v>
      </c>
      <c r="BG716">
        <v>0</v>
      </c>
      <c r="BH716">
        <v>9025</v>
      </c>
      <c r="BI716">
        <v>325</v>
      </c>
      <c r="BJ716">
        <v>1</v>
      </c>
      <c r="BK716">
        <v>1</v>
      </c>
      <c r="BL716">
        <v>1</v>
      </c>
      <c r="BM716">
        <v>0</v>
      </c>
      <c r="BP716">
        <v>0</v>
      </c>
      <c r="BQ716">
        <v>0</v>
      </c>
      <c r="BX716" t="str">
        <f>"14:02:18.094"</f>
        <v>14:02:18.094</v>
      </c>
      <c r="BY716" t="str">
        <f>"091317162"</f>
        <v>091317162</v>
      </c>
      <c r="CL716">
        <v>0</v>
      </c>
      <c r="CM716">
        <v>2</v>
      </c>
      <c r="CN716">
        <v>0</v>
      </c>
      <c r="CO716">
        <v>2</v>
      </c>
      <c r="CP716">
        <v>0</v>
      </c>
      <c r="CQ716">
        <v>7</v>
      </c>
      <c r="CR716" t="s">
        <v>116</v>
      </c>
      <c r="CS716">
        <v>525</v>
      </c>
      <c r="CT716">
        <v>2</v>
      </c>
      <c r="CU716" t="s">
        <v>140</v>
      </c>
      <c r="CV716" t="s">
        <v>141</v>
      </c>
      <c r="CY716">
        <v>14634710</v>
      </c>
      <c r="CZ716" t="s">
        <v>119</v>
      </c>
    </row>
    <row r="717" spans="1:104" x14ac:dyDescent="0.25">
      <c r="A717" t="str">
        <f>"14:02:19.297"</f>
        <v>14:02:19.297</v>
      </c>
      <c r="B717" t="s">
        <v>108</v>
      </c>
      <c r="C717" t="str">
        <f t="shared" si="34"/>
        <v>ffdfd3c0</v>
      </c>
      <c r="D717" t="s">
        <v>109</v>
      </c>
      <c r="E717">
        <v>4</v>
      </c>
      <c r="F717">
        <v>1004</v>
      </c>
      <c r="G717" t="s">
        <v>110</v>
      </c>
      <c r="J717" t="s">
        <v>111</v>
      </c>
      <c r="K717">
        <v>0</v>
      </c>
      <c r="L717">
        <v>3</v>
      </c>
      <c r="M717">
        <v>0</v>
      </c>
      <c r="N717">
        <v>2</v>
      </c>
      <c r="O717">
        <v>1</v>
      </c>
      <c r="P717">
        <v>0</v>
      </c>
      <c r="Q717">
        <v>0</v>
      </c>
      <c r="R717" t="s">
        <v>112</v>
      </c>
      <c r="S717" t="str">
        <f>"14:02:19.117"</f>
        <v>14:02:19.117</v>
      </c>
      <c r="T717" t="str">
        <f>"14:02:18.617"</f>
        <v>14:02:18.617</v>
      </c>
      <c r="U717" t="str">
        <f t="shared" si="33"/>
        <v>ad5732</v>
      </c>
      <c r="V717">
        <v>0</v>
      </c>
      <c r="W717">
        <v>0</v>
      </c>
      <c r="X717">
        <v>1</v>
      </c>
      <c r="Z717">
        <v>0</v>
      </c>
      <c r="AA717">
        <v>9</v>
      </c>
      <c r="AB717">
        <v>3</v>
      </c>
      <c r="AC717">
        <v>0</v>
      </c>
      <c r="AD717">
        <v>10</v>
      </c>
      <c r="AE717">
        <v>0</v>
      </c>
      <c r="AF717">
        <v>3</v>
      </c>
      <c r="AG717">
        <v>2</v>
      </c>
      <c r="AH717">
        <v>0</v>
      </c>
      <c r="AI717" t="s">
        <v>1531</v>
      </c>
      <c r="AJ717">
        <v>39.307065000000001</v>
      </c>
      <c r="AK717" t="s">
        <v>1532</v>
      </c>
      <c r="AL717">
        <v>-77.139493999999999</v>
      </c>
      <c r="AM717">
        <v>100</v>
      </c>
      <c r="AN717">
        <v>8700</v>
      </c>
      <c r="AO717" t="s">
        <v>115</v>
      </c>
      <c r="AP717">
        <v>175</v>
      </c>
      <c r="AQ717">
        <v>72</v>
      </c>
      <c r="AR717">
        <v>64</v>
      </c>
      <c r="AZ717">
        <v>3614</v>
      </c>
      <c r="BA717">
        <v>1</v>
      </c>
      <c r="BB717" t="str">
        <f t="shared" si="35"/>
        <v xml:space="preserve">N959MJ  </v>
      </c>
      <c r="BC717">
        <v>1</v>
      </c>
      <c r="BE717">
        <v>0</v>
      </c>
      <c r="BF717">
        <v>0</v>
      </c>
      <c r="BG717">
        <v>0</v>
      </c>
      <c r="BH717">
        <v>9025</v>
      </c>
      <c r="BI717">
        <v>325</v>
      </c>
      <c r="BJ717">
        <v>1</v>
      </c>
      <c r="BK717">
        <v>1</v>
      </c>
      <c r="BL717">
        <v>1</v>
      </c>
      <c r="BM717">
        <v>0</v>
      </c>
      <c r="BP717">
        <v>0</v>
      </c>
      <c r="BQ717">
        <v>0</v>
      </c>
      <c r="BX717" t="str">
        <f>"14:02:19.125"</f>
        <v>14:02:19.125</v>
      </c>
      <c r="BY717" t="str">
        <f>"123526080"</f>
        <v>123526080</v>
      </c>
      <c r="CL717">
        <v>0</v>
      </c>
      <c r="CM717">
        <v>2</v>
      </c>
      <c r="CN717">
        <v>0</v>
      </c>
      <c r="CO717">
        <v>2</v>
      </c>
      <c r="CP717">
        <v>0</v>
      </c>
      <c r="CQ717">
        <v>7</v>
      </c>
      <c r="CR717" t="s">
        <v>116</v>
      </c>
      <c r="CS717">
        <v>525</v>
      </c>
      <c r="CT717">
        <v>2</v>
      </c>
      <c r="CU717" t="s">
        <v>140</v>
      </c>
      <c r="CV717" t="s">
        <v>141</v>
      </c>
      <c r="CY717">
        <v>14636359</v>
      </c>
      <c r="CZ717" t="s">
        <v>119</v>
      </c>
    </row>
    <row r="718" spans="1:104" x14ac:dyDescent="0.25">
      <c r="A718" t="str">
        <f>"14:02:20.258"</f>
        <v>14:02:20.258</v>
      </c>
      <c r="B718" t="s">
        <v>108</v>
      </c>
      <c r="C718" t="str">
        <f t="shared" si="34"/>
        <v>ffdfd3c0</v>
      </c>
      <c r="D718" t="s">
        <v>109</v>
      </c>
      <c r="E718">
        <v>4</v>
      </c>
      <c r="F718">
        <v>1004</v>
      </c>
      <c r="G718" t="s">
        <v>110</v>
      </c>
      <c r="J718" t="s">
        <v>111</v>
      </c>
      <c r="K718">
        <v>0</v>
      </c>
      <c r="L718">
        <v>3</v>
      </c>
      <c r="M718">
        <v>0</v>
      </c>
      <c r="N718">
        <v>2</v>
      </c>
      <c r="O718">
        <v>1</v>
      </c>
      <c r="P718">
        <v>0</v>
      </c>
      <c r="Q718">
        <v>0</v>
      </c>
      <c r="R718" t="s">
        <v>112</v>
      </c>
      <c r="S718" t="str">
        <f>"14:02:20.094"</f>
        <v>14:02:20.094</v>
      </c>
      <c r="T718" t="str">
        <f>"14:02:19.695"</f>
        <v>14:02:19.695</v>
      </c>
      <c r="U718" t="str">
        <f t="shared" si="33"/>
        <v>ad5732</v>
      </c>
      <c r="V718">
        <v>0</v>
      </c>
      <c r="W718">
        <v>0</v>
      </c>
      <c r="X718">
        <v>1</v>
      </c>
      <c r="Z718">
        <v>0</v>
      </c>
      <c r="AA718">
        <v>9</v>
      </c>
      <c r="AB718">
        <v>3</v>
      </c>
      <c r="AC718">
        <v>0</v>
      </c>
      <c r="AD718">
        <v>10</v>
      </c>
      <c r="AE718">
        <v>0</v>
      </c>
      <c r="AF718">
        <v>3</v>
      </c>
      <c r="AG718">
        <v>2</v>
      </c>
      <c r="AH718">
        <v>0</v>
      </c>
      <c r="AI718" t="s">
        <v>1533</v>
      </c>
      <c r="AJ718">
        <v>39.307386999999999</v>
      </c>
      <c r="AK718" t="s">
        <v>1534</v>
      </c>
      <c r="AL718">
        <v>-77.138422000000006</v>
      </c>
      <c r="AM718">
        <v>100</v>
      </c>
      <c r="AN718">
        <v>8700</v>
      </c>
      <c r="AO718" t="s">
        <v>115</v>
      </c>
      <c r="AP718">
        <v>175</v>
      </c>
      <c r="AQ718">
        <v>72</v>
      </c>
      <c r="AR718">
        <v>64</v>
      </c>
      <c r="AZ718">
        <v>3614</v>
      </c>
      <c r="BA718">
        <v>1</v>
      </c>
      <c r="BB718" t="str">
        <f t="shared" si="35"/>
        <v xml:space="preserve">N959MJ  </v>
      </c>
      <c r="BC718">
        <v>1</v>
      </c>
      <c r="BE718">
        <v>0</v>
      </c>
      <c r="BF718">
        <v>0</v>
      </c>
      <c r="BG718">
        <v>0</v>
      </c>
      <c r="BH718">
        <v>9025</v>
      </c>
      <c r="BI718">
        <v>325</v>
      </c>
      <c r="BJ718">
        <v>1</v>
      </c>
      <c r="BK718">
        <v>1</v>
      </c>
      <c r="BL718">
        <v>1</v>
      </c>
      <c r="BM718">
        <v>0</v>
      </c>
      <c r="BP718">
        <v>0</v>
      </c>
      <c r="BQ718">
        <v>0</v>
      </c>
      <c r="BX718" t="str">
        <f>"14:02:20.094"</f>
        <v>14:02:20.094</v>
      </c>
      <c r="BY718" t="str">
        <f>"095113248"</f>
        <v>095113248</v>
      </c>
      <c r="CL718">
        <v>0</v>
      </c>
      <c r="CM718">
        <v>2</v>
      </c>
      <c r="CN718">
        <v>0</v>
      </c>
      <c r="CO718">
        <v>2</v>
      </c>
      <c r="CP718">
        <v>0</v>
      </c>
      <c r="CQ718">
        <v>7</v>
      </c>
      <c r="CR718" t="s">
        <v>116</v>
      </c>
      <c r="CS718">
        <v>525</v>
      </c>
      <c r="CT718">
        <v>2</v>
      </c>
      <c r="CU718" t="s">
        <v>140</v>
      </c>
      <c r="CV718" t="s">
        <v>141</v>
      </c>
      <c r="CY718">
        <v>14637819</v>
      </c>
      <c r="CZ718" t="s">
        <v>119</v>
      </c>
    </row>
    <row r="719" spans="1:104" x14ac:dyDescent="0.25">
      <c r="A719" t="str">
        <f>"14:02:21.164"</f>
        <v>14:02:21.164</v>
      </c>
      <c r="B719" t="s">
        <v>108</v>
      </c>
      <c r="C719" t="str">
        <f t="shared" si="34"/>
        <v>ffdfd3c0</v>
      </c>
      <c r="D719" t="s">
        <v>109</v>
      </c>
      <c r="E719">
        <v>4</v>
      </c>
      <c r="F719">
        <v>1004</v>
      </c>
      <c r="G719" t="s">
        <v>110</v>
      </c>
      <c r="J719" t="s">
        <v>111</v>
      </c>
      <c r="K719">
        <v>0</v>
      </c>
      <c r="L719">
        <v>3</v>
      </c>
      <c r="M719">
        <v>0</v>
      </c>
      <c r="N719">
        <v>2</v>
      </c>
      <c r="O719">
        <v>1</v>
      </c>
      <c r="P719">
        <v>0</v>
      </c>
      <c r="Q719">
        <v>0</v>
      </c>
      <c r="R719" t="s">
        <v>112</v>
      </c>
      <c r="S719" t="str">
        <f>"14:02:20.961"</f>
        <v>14:02:20.961</v>
      </c>
      <c r="T719" t="str">
        <f>"14:02:20.563"</f>
        <v>14:02:20.563</v>
      </c>
      <c r="U719" t="str">
        <f t="shared" si="33"/>
        <v>ad5732</v>
      </c>
      <c r="V719">
        <v>0</v>
      </c>
      <c r="W719">
        <v>0</v>
      </c>
      <c r="X719">
        <v>1</v>
      </c>
      <c r="Z719">
        <v>0</v>
      </c>
      <c r="AA719">
        <v>9</v>
      </c>
      <c r="AB719">
        <v>3</v>
      </c>
      <c r="AC719">
        <v>0</v>
      </c>
      <c r="AD719">
        <v>10</v>
      </c>
      <c r="AE719">
        <v>0</v>
      </c>
      <c r="AF719">
        <v>3</v>
      </c>
      <c r="AG719">
        <v>2</v>
      </c>
      <c r="AH719">
        <v>0</v>
      </c>
      <c r="AI719" t="s">
        <v>1535</v>
      </c>
      <c r="AJ719">
        <v>39.307665999999998</v>
      </c>
      <c r="AK719" t="s">
        <v>1536</v>
      </c>
      <c r="AL719">
        <v>-77.137585000000001</v>
      </c>
      <c r="AM719">
        <v>100</v>
      </c>
      <c r="AN719">
        <v>8700</v>
      </c>
      <c r="AO719" t="s">
        <v>115</v>
      </c>
      <c r="AP719">
        <v>175</v>
      </c>
      <c r="AQ719">
        <v>72</v>
      </c>
      <c r="AR719">
        <v>0</v>
      </c>
      <c r="AZ719">
        <v>3614</v>
      </c>
      <c r="BA719">
        <v>1</v>
      </c>
      <c r="BB719" t="str">
        <f t="shared" si="35"/>
        <v xml:space="preserve">N959MJ  </v>
      </c>
      <c r="BC719">
        <v>1</v>
      </c>
      <c r="BE719">
        <v>0</v>
      </c>
      <c r="BF719">
        <v>0</v>
      </c>
      <c r="BG719">
        <v>0</v>
      </c>
      <c r="BH719">
        <v>9025</v>
      </c>
      <c r="BI719">
        <v>325</v>
      </c>
      <c r="BJ719">
        <v>1</v>
      </c>
      <c r="BK719">
        <v>1</v>
      </c>
      <c r="BL719">
        <v>1</v>
      </c>
      <c r="BM719">
        <v>0</v>
      </c>
      <c r="BP719">
        <v>0</v>
      </c>
      <c r="BQ719">
        <v>0</v>
      </c>
      <c r="BX719" t="str">
        <f>"14:02:20.969"</f>
        <v>14:02:20.969</v>
      </c>
      <c r="BY719" t="str">
        <f>"966756286"</f>
        <v>966756286</v>
      </c>
      <c r="CL719">
        <v>0</v>
      </c>
      <c r="CM719">
        <v>2</v>
      </c>
      <c r="CN719">
        <v>0</v>
      </c>
      <c r="CO719">
        <v>2</v>
      </c>
      <c r="CP719">
        <v>0</v>
      </c>
      <c r="CQ719">
        <v>7</v>
      </c>
      <c r="CR719" t="s">
        <v>116</v>
      </c>
      <c r="CS719">
        <v>525</v>
      </c>
      <c r="CT719">
        <v>2</v>
      </c>
      <c r="CU719" t="s">
        <v>140</v>
      </c>
      <c r="CV719" t="s">
        <v>141</v>
      </c>
      <c r="CY719">
        <v>14639165</v>
      </c>
      <c r="CZ719" t="s">
        <v>119</v>
      </c>
    </row>
    <row r="720" spans="1:104" x14ac:dyDescent="0.25">
      <c r="A720" t="str">
        <f>"14:02:22.227"</f>
        <v>14:02:22.227</v>
      </c>
      <c r="B720" t="s">
        <v>108</v>
      </c>
      <c r="C720" t="str">
        <f t="shared" si="34"/>
        <v>ffdfd3c0</v>
      </c>
      <c r="D720" t="s">
        <v>109</v>
      </c>
      <c r="E720">
        <v>4</v>
      </c>
      <c r="F720">
        <v>1004</v>
      </c>
      <c r="G720" t="s">
        <v>110</v>
      </c>
      <c r="J720" t="s">
        <v>111</v>
      </c>
      <c r="K720">
        <v>0</v>
      </c>
      <c r="L720">
        <v>3</v>
      </c>
      <c r="M720">
        <v>0</v>
      </c>
      <c r="N720">
        <v>2</v>
      </c>
      <c r="O720">
        <v>1</v>
      </c>
      <c r="P720">
        <v>0</v>
      </c>
      <c r="Q720">
        <v>0</v>
      </c>
      <c r="R720" t="s">
        <v>112</v>
      </c>
      <c r="S720" t="str">
        <f>"14:02:22.070"</f>
        <v>14:02:22.070</v>
      </c>
      <c r="T720" t="str">
        <f>"14:02:21.570"</f>
        <v>14:02:21.570</v>
      </c>
      <c r="U720" t="str">
        <f t="shared" si="33"/>
        <v>ad5732</v>
      </c>
      <c r="V720">
        <v>0</v>
      </c>
      <c r="W720">
        <v>0</v>
      </c>
      <c r="X720">
        <v>1</v>
      </c>
      <c r="Z720">
        <v>0</v>
      </c>
      <c r="AA720">
        <v>9</v>
      </c>
      <c r="AB720">
        <v>3</v>
      </c>
      <c r="AC720">
        <v>0</v>
      </c>
      <c r="AD720">
        <v>10</v>
      </c>
      <c r="AE720">
        <v>0</v>
      </c>
      <c r="AF720">
        <v>3</v>
      </c>
      <c r="AG720">
        <v>2</v>
      </c>
      <c r="AH720">
        <v>0</v>
      </c>
      <c r="AI720" t="s">
        <v>1537</v>
      </c>
      <c r="AJ720">
        <v>39.308008999999998</v>
      </c>
      <c r="AK720" t="s">
        <v>1538</v>
      </c>
      <c r="AL720">
        <v>-77.136469000000005</v>
      </c>
      <c r="AM720">
        <v>100</v>
      </c>
      <c r="AN720">
        <v>8700</v>
      </c>
      <c r="AO720" t="s">
        <v>115</v>
      </c>
      <c r="AP720">
        <v>175</v>
      </c>
      <c r="AQ720">
        <v>71</v>
      </c>
      <c r="AR720">
        <v>0</v>
      </c>
      <c r="AZ720">
        <v>3614</v>
      </c>
      <c r="BA720">
        <v>1</v>
      </c>
      <c r="BB720" t="str">
        <f t="shared" si="35"/>
        <v xml:space="preserve">N959MJ  </v>
      </c>
      <c r="BC720">
        <v>1</v>
      </c>
      <c r="BE720">
        <v>0</v>
      </c>
      <c r="BF720">
        <v>0</v>
      </c>
      <c r="BG720">
        <v>0</v>
      </c>
      <c r="BH720">
        <v>9025</v>
      </c>
      <c r="BI720">
        <v>325</v>
      </c>
      <c r="BJ720">
        <v>1</v>
      </c>
      <c r="BK720">
        <v>1</v>
      </c>
      <c r="BL720">
        <v>1</v>
      </c>
      <c r="BM720">
        <v>0</v>
      </c>
      <c r="BP720">
        <v>0</v>
      </c>
      <c r="BQ720">
        <v>0</v>
      </c>
      <c r="BX720" t="str">
        <f>"14:02:22.070"</f>
        <v>14:02:22.070</v>
      </c>
      <c r="BY720" t="str">
        <f>"072693004"</f>
        <v>072693004</v>
      </c>
      <c r="CL720">
        <v>0</v>
      </c>
      <c r="CM720">
        <v>2</v>
      </c>
      <c r="CN720">
        <v>0</v>
      </c>
      <c r="CO720">
        <v>2</v>
      </c>
      <c r="CP720">
        <v>0</v>
      </c>
      <c r="CQ720">
        <v>7</v>
      </c>
      <c r="CR720" t="s">
        <v>116</v>
      </c>
      <c r="CS720">
        <v>147</v>
      </c>
      <c r="CT720">
        <v>0</v>
      </c>
      <c r="CU720" t="s">
        <v>117</v>
      </c>
      <c r="CV720" t="s">
        <v>118</v>
      </c>
      <c r="CY720">
        <v>5054957</v>
      </c>
      <c r="CZ720" t="s">
        <v>119</v>
      </c>
    </row>
    <row r="721" spans="1:104" x14ac:dyDescent="0.25">
      <c r="A721" t="str">
        <f>"14:02:23.188"</f>
        <v>14:02:23.188</v>
      </c>
      <c r="B721" t="s">
        <v>108</v>
      </c>
      <c r="C721" t="str">
        <f t="shared" si="34"/>
        <v>ffdfd3c0</v>
      </c>
      <c r="D721" t="s">
        <v>109</v>
      </c>
      <c r="E721">
        <v>4</v>
      </c>
      <c r="F721">
        <v>1004</v>
      </c>
      <c r="G721" t="s">
        <v>110</v>
      </c>
      <c r="J721" t="s">
        <v>111</v>
      </c>
      <c r="K721">
        <v>0</v>
      </c>
      <c r="L721">
        <v>3</v>
      </c>
      <c r="M721">
        <v>0</v>
      </c>
      <c r="N721">
        <v>2</v>
      </c>
      <c r="O721">
        <v>1</v>
      </c>
      <c r="P721">
        <v>0</v>
      </c>
      <c r="Q721">
        <v>0</v>
      </c>
      <c r="R721" t="s">
        <v>112</v>
      </c>
      <c r="S721" t="str">
        <f>"14:02:23.008"</f>
        <v>14:02:23.008</v>
      </c>
      <c r="T721" t="str">
        <f>"14:02:22.609"</f>
        <v>14:02:22.609</v>
      </c>
      <c r="U721" t="str">
        <f t="shared" si="33"/>
        <v>ad5732</v>
      </c>
      <c r="V721">
        <v>0</v>
      </c>
      <c r="W721">
        <v>0</v>
      </c>
      <c r="X721">
        <v>1</v>
      </c>
      <c r="Z721">
        <v>0</v>
      </c>
      <c r="AA721">
        <v>9</v>
      </c>
      <c r="AB721">
        <v>3</v>
      </c>
      <c r="AC721">
        <v>0</v>
      </c>
      <c r="AD721">
        <v>10</v>
      </c>
      <c r="AE721">
        <v>0</v>
      </c>
      <c r="AF721">
        <v>3</v>
      </c>
      <c r="AG721">
        <v>2</v>
      </c>
      <c r="AH721">
        <v>0</v>
      </c>
      <c r="AI721" t="s">
        <v>1539</v>
      </c>
      <c r="AJ721">
        <v>39.308331000000003</v>
      </c>
      <c r="AK721" t="s">
        <v>1540</v>
      </c>
      <c r="AL721">
        <v>-77.135439000000005</v>
      </c>
      <c r="AM721">
        <v>100</v>
      </c>
      <c r="AN721">
        <v>8700</v>
      </c>
      <c r="AO721" t="s">
        <v>115</v>
      </c>
      <c r="AP721">
        <v>175</v>
      </c>
      <c r="AQ721">
        <v>71</v>
      </c>
      <c r="AR721">
        <v>0</v>
      </c>
      <c r="AZ721">
        <v>3614</v>
      </c>
      <c r="BA721">
        <v>1</v>
      </c>
      <c r="BB721" t="str">
        <f t="shared" si="35"/>
        <v xml:space="preserve">N959MJ  </v>
      </c>
      <c r="BC721">
        <v>1</v>
      </c>
      <c r="BE721">
        <v>0</v>
      </c>
      <c r="BF721">
        <v>0</v>
      </c>
      <c r="BG721">
        <v>0</v>
      </c>
      <c r="BH721">
        <v>9025</v>
      </c>
      <c r="BI721">
        <v>325</v>
      </c>
      <c r="BJ721">
        <v>1</v>
      </c>
      <c r="BK721">
        <v>1</v>
      </c>
      <c r="BL721">
        <v>1</v>
      </c>
      <c r="BM721">
        <v>0</v>
      </c>
      <c r="BP721">
        <v>0</v>
      </c>
      <c r="BQ721">
        <v>0</v>
      </c>
      <c r="BX721" t="str">
        <f>"14:02:23.016"</f>
        <v>14:02:23.016</v>
      </c>
      <c r="BY721" t="str">
        <f>"013151536"</f>
        <v>013151536</v>
      </c>
      <c r="CL721">
        <v>0</v>
      </c>
      <c r="CM721">
        <v>2</v>
      </c>
      <c r="CN721">
        <v>0</v>
      </c>
      <c r="CO721">
        <v>2</v>
      </c>
      <c r="CP721">
        <v>0</v>
      </c>
      <c r="CQ721">
        <v>7</v>
      </c>
      <c r="CR721" t="s">
        <v>116</v>
      </c>
      <c r="CS721">
        <v>525</v>
      </c>
      <c r="CT721">
        <v>2</v>
      </c>
      <c r="CU721" t="s">
        <v>140</v>
      </c>
      <c r="CV721" t="s">
        <v>141</v>
      </c>
      <c r="CY721">
        <v>14642007</v>
      </c>
      <c r="CZ721" t="s">
        <v>119</v>
      </c>
    </row>
    <row r="722" spans="1:104" x14ac:dyDescent="0.25">
      <c r="A722" t="str">
        <f>"14:02:24.195"</f>
        <v>14:02:24.195</v>
      </c>
      <c r="B722" t="s">
        <v>108</v>
      </c>
      <c r="C722" t="str">
        <f t="shared" si="34"/>
        <v>ffdfd3c0</v>
      </c>
      <c r="D722" t="s">
        <v>109</v>
      </c>
      <c r="E722">
        <v>4</v>
      </c>
      <c r="F722">
        <v>1004</v>
      </c>
      <c r="G722" t="s">
        <v>110</v>
      </c>
      <c r="J722" t="s">
        <v>111</v>
      </c>
      <c r="K722">
        <v>0</v>
      </c>
      <c r="L722">
        <v>3</v>
      </c>
      <c r="M722">
        <v>0</v>
      </c>
      <c r="N722">
        <v>2</v>
      </c>
      <c r="O722">
        <v>1</v>
      </c>
      <c r="P722">
        <v>0</v>
      </c>
      <c r="Q722">
        <v>0</v>
      </c>
      <c r="R722" t="s">
        <v>112</v>
      </c>
      <c r="S722" t="str">
        <f>"14:02:24.023"</f>
        <v>14:02:24.023</v>
      </c>
      <c r="T722" t="str">
        <f>"14:02:23.625"</f>
        <v>14:02:23.625</v>
      </c>
      <c r="U722" t="str">
        <f t="shared" si="33"/>
        <v>ad5732</v>
      </c>
      <c r="V722">
        <v>0</v>
      </c>
      <c r="W722">
        <v>0</v>
      </c>
      <c r="X722">
        <v>1</v>
      </c>
      <c r="Z722">
        <v>0</v>
      </c>
      <c r="AA722">
        <v>9</v>
      </c>
      <c r="AB722">
        <v>3</v>
      </c>
      <c r="AC722">
        <v>0</v>
      </c>
      <c r="AD722">
        <v>10</v>
      </c>
      <c r="AE722">
        <v>0</v>
      </c>
      <c r="AF722">
        <v>3</v>
      </c>
      <c r="AG722">
        <v>2</v>
      </c>
      <c r="AH722">
        <v>0</v>
      </c>
      <c r="AI722" t="s">
        <v>1541</v>
      </c>
      <c r="AJ722">
        <v>39.308653</v>
      </c>
      <c r="AK722" t="s">
        <v>1542</v>
      </c>
      <c r="AL722">
        <v>-77.134344999999996</v>
      </c>
      <c r="AM722">
        <v>100</v>
      </c>
      <c r="AN722">
        <v>8700</v>
      </c>
      <c r="AO722" t="s">
        <v>115</v>
      </c>
      <c r="AP722">
        <v>175</v>
      </c>
      <c r="AQ722">
        <v>71</v>
      </c>
      <c r="AR722">
        <v>0</v>
      </c>
      <c r="AZ722">
        <v>3614</v>
      </c>
      <c r="BA722">
        <v>1</v>
      </c>
      <c r="BB722" t="str">
        <f t="shared" si="35"/>
        <v xml:space="preserve">N959MJ  </v>
      </c>
      <c r="BC722">
        <v>1</v>
      </c>
      <c r="BE722">
        <v>0</v>
      </c>
      <c r="BF722">
        <v>0</v>
      </c>
      <c r="BG722">
        <v>0</v>
      </c>
      <c r="BH722">
        <v>9025</v>
      </c>
      <c r="BI722">
        <v>325</v>
      </c>
      <c r="BJ722">
        <v>1</v>
      </c>
      <c r="BK722">
        <v>1</v>
      </c>
      <c r="BL722">
        <v>1</v>
      </c>
      <c r="BM722">
        <v>0</v>
      </c>
      <c r="BP722">
        <v>0</v>
      </c>
      <c r="BQ722">
        <v>0</v>
      </c>
      <c r="BX722" t="str">
        <f>"14:02:24.023"</f>
        <v>14:02:24.023</v>
      </c>
      <c r="BY722" t="str">
        <f>"027337658"</f>
        <v>027337658</v>
      </c>
      <c r="CL722">
        <v>0</v>
      </c>
      <c r="CM722">
        <v>2</v>
      </c>
      <c r="CN722">
        <v>0</v>
      </c>
      <c r="CO722">
        <v>2</v>
      </c>
      <c r="CP722">
        <v>0</v>
      </c>
      <c r="CQ722">
        <v>7</v>
      </c>
      <c r="CR722" t="s">
        <v>116</v>
      </c>
      <c r="CS722">
        <v>525</v>
      </c>
      <c r="CT722">
        <v>1</v>
      </c>
      <c r="CU722" t="s">
        <v>140</v>
      </c>
      <c r="CV722" t="s">
        <v>141</v>
      </c>
      <c r="CY722">
        <v>8209098</v>
      </c>
      <c r="CZ722" t="s">
        <v>119</v>
      </c>
    </row>
    <row r="723" spans="1:104" x14ac:dyDescent="0.25">
      <c r="A723" t="str">
        <f>"14:02:25.156"</f>
        <v>14:02:25.156</v>
      </c>
      <c r="B723" t="s">
        <v>108</v>
      </c>
      <c r="C723" t="str">
        <f t="shared" si="34"/>
        <v>ffdfd3c0</v>
      </c>
      <c r="D723" t="s">
        <v>109</v>
      </c>
      <c r="E723">
        <v>4</v>
      </c>
      <c r="F723">
        <v>1004</v>
      </c>
      <c r="G723" t="s">
        <v>110</v>
      </c>
      <c r="J723" t="s">
        <v>111</v>
      </c>
      <c r="K723">
        <v>0</v>
      </c>
      <c r="L723">
        <v>3</v>
      </c>
      <c r="M723">
        <v>0</v>
      </c>
      <c r="N723">
        <v>2</v>
      </c>
      <c r="O723">
        <v>1</v>
      </c>
      <c r="P723">
        <v>0</v>
      </c>
      <c r="Q723">
        <v>0</v>
      </c>
      <c r="R723" t="s">
        <v>112</v>
      </c>
      <c r="S723" t="str">
        <f>"14:02:24.969"</f>
        <v>14:02:24.969</v>
      </c>
      <c r="T723" t="str">
        <f>"14:02:24.570"</f>
        <v>14:02:24.570</v>
      </c>
      <c r="U723" t="str">
        <f t="shared" si="33"/>
        <v>ad5732</v>
      </c>
      <c r="V723">
        <v>0</v>
      </c>
      <c r="W723">
        <v>0</v>
      </c>
      <c r="X723">
        <v>1</v>
      </c>
      <c r="Z723">
        <v>0</v>
      </c>
      <c r="AA723">
        <v>9</v>
      </c>
      <c r="AB723">
        <v>3</v>
      </c>
      <c r="AC723">
        <v>0</v>
      </c>
      <c r="AD723">
        <v>10</v>
      </c>
      <c r="AE723">
        <v>0</v>
      </c>
      <c r="AF723">
        <v>3</v>
      </c>
      <c r="AG723">
        <v>2</v>
      </c>
      <c r="AH723">
        <v>0</v>
      </c>
      <c r="AI723" t="s">
        <v>1543</v>
      </c>
      <c r="AJ723">
        <v>39.308953000000002</v>
      </c>
      <c r="AK723" t="s">
        <v>1544</v>
      </c>
      <c r="AL723">
        <v>-77.133399999999995</v>
      </c>
      <c r="AM723">
        <v>100</v>
      </c>
      <c r="AN723">
        <v>8700</v>
      </c>
      <c r="AO723" t="s">
        <v>115</v>
      </c>
      <c r="AP723">
        <v>175</v>
      </c>
      <c r="AQ723">
        <v>70</v>
      </c>
      <c r="AR723">
        <v>0</v>
      </c>
      <c r="AZ723">
        <v>3614</v>
      </c>
      <c r="BA723">
        <v>1</v>
      </c>
      <c r="BB723" t="str">
        <f t="shared" si="35"/>
        <v xml:space="preserve">N959MJ  </v>
      </c>
      <c r="BC723">
        <v>1</v>
      </c>
      <c r="BE723">
        <v>0</v>
      </c>
      <c r="BF723">
        <v>0</v>
      </c>
      <c r="BG723">
        <v>0</v>
      </c>
      <c r="BH723">
        <v>9025</v>
      </c>
      <c r="BI723">
        <v>325</v>
      </c>
      <c r="BJ723">
        <v>1</v>
      </c>
      <c r="BK723">
        <v>1</v>
      </c>
      <c r="BL723">
        <v>1</v>
      </c>
      <c r="BM723">
        <v>0</v>
      </c>
      <c r="BP723">
        <v>0</v>
      </c>
      <c r="BQ723">
        <v>0</v>
      </c>
      <c r="BX723" t="str">
        <f>"14:02:24.977"</f>
        <v>14:02:24.977</v>
      </c>
      <c r="BY723" t="str">
        <f>"972708391"</f>
        <v>972708391</v>
      </c>
      <c r="CL723">
        <v>0</v>
      </c>
      <c r="CM723">
        <v>2</v>
      </c>
      <c r="CN723">
        <v>0</v>
      </c>
      <c r="CO723">
        <v>2</v>
      </c>
      <c r="CP723">
        <v>0</v>
      </c>
      <c r="CQ723">
        <v>7</v>
      </c>
      <c r="CR723" t="s">
        <v>116</v>
      </c>
      <c r="CS723">
        <v>147</v>
      </c>
      <c r="CT723">
        <v>0</v>
      </c>
      <c r="CU723" t="s">
        <v>117</v>
      </c>
      <c r="CV723" t="s">
        <v>118</v>
      </c>
      <c r="CY723">
        <v>5059618</v>
      </c>
      <c r="CZ723" t="s">
        <v>119</v>
      </c>
    </row>
    <row r="724" spans="1:104" x14ac:dyDescent="0.25">
      <c r="A724" t="str">
        <f>"14:02:26.008"</f>
        <v>14:02:26.008</v>
      </c>
      <c r="B724" t="s">
        <v>108</v>
      </c>
      <c r="C724" t="str">
        <f t="shared" si="34"/>
        <v>ffdfd3c0</v>
      </c>
      <c r="D724" t="s">
        <v>109</v>
      </c>
      <c r="E724">
        <v>4</v>
      </c>
      <c r="F724">
        <v>1004</v>
      </c>
      <c r="G724" t="s">
        <v>110</v>
      </c>
      <c r="J724" t="s">
        <v>111</v>
      </c>
      <c r="K724">
        <v>0</v>
      </c>
      <c r="L724">
        <v>3</v>
      </c>
      <c r="M724">
        <v>0</v>
      </c>
      <c r="N724">
        <v>2</v>
      </c>
      <c r="O724">
        <v>1</v>
      </c>
      <c r="P724">
        <v>0</v>
      </c>
      <c r="Q724">
        <v>0</v>
      </c>
      <c r="R724" t="s">
        <v>112</v>
      </c>
      <c r="S724" t="str">
        <f>"14:02:25.828"</f>
        <v>14:02:25.828</v>
      </c>
      <c r="T724" t="str">
        <f>"14:02:25.430"</f>
        <v>14:02:25.430</v>
      </c>
      <c r="U724" t="str">
        <f t="shared" si="33"/>
        <v>ad5732</v>
      </c>
      <c r="V724">
        <v>0</v>
      </c>
      <c r="W724">
        <v>0</v>
      </c>
      <c r="X724">
        <v>1</v>
      </c>
      <c r="Z724">
        <v>0</v>
      </c>
      <c r="AA724">
        <v>9</v>
      </c>
      <c r="AB724">
        <v>3</v>
      </c>
      <c r="AC724">
        <v>0</v>
      </c>
      <c r="AD724">
        <v>10</v>
      </c>
      <c r="AE724">
        <v>0</v>
      </c>
      <c r="AF724">
        <v>3</v>
      </c>
      <c r="AG724">
        <v>2</v>
      </c>
      <c r="AH724">
        <v>0</v>
      </c>
      <c r="AI724" t="s">
        <v>1545</v>
      </c>
      <c r="AJ724">
        <v>39.309275</v>
      </c>
      <c r="AK724" t="s">
        <v>1546</v>
      </c>
      <c r="AL724">
        <v>-77.132498999999996</v>
      </c>
      <c r="AM724">
        <v>100</v>
      </c>
      <c r="AN724">
        <v>8700</v>
      </c>
      <c r="AO724" t="s">
        <v>115</v>
      </c>
      <c r="AP724">
        <v>176</v>
      </c>
      <c r="AQ724">
        <v>70</v>
      </c>
      <c r="AR724">
        <v>0</v>
      </c>
      <c r="AZ724">
        <v>3614</v>
      </c>
      <c r="BA724">
        <v>1</v>
      </c>
      <c r="BB724" t="str">
        <f t="shared" si="35"/>
        <v xml:space="preserve">N959MJ  </v>
      </c>
      <c r="BC724">
        <v>1</v>
      </c>
      <c r="BE724">
        <v>0</v>
      </c>
      <c r="BF724">
        <v>0</v>
      </c>
      <c r="BG724">
        <v>0</v>
      </c>
      <c r="BH724">
        <v>9025</v>
      </c>
      <c r="BI724">
        <v>325</v>
      </c>
      <c r="BJ724">
        <v>1</v>
      </c>
      <c r="BK724">
        <v>1</v>
      </c>
      <c r="BL724">
        <v>1</v>
      </c>
      <c r="BM724">
        <v>0</v>
      </c>
      <c r="BP724">
        <v>0</v>
      </c>
      <c r="BQ724">
        <v>0</v>
      </c>
      <c r="BX724" t="str">
        <f>"14:02:25.828"</f>
        <v>14:02:25.828</v>
      </c>
      <c r="BY724" t="str">
        <f>"831245641"</f>
        <v>831245641</v>
      </c>
      <c r="CL724">
        <v>0</v>
      </c>
      <c r="CM724">
        <v>2</v>
      </c>
      <c r="CN724">
        <v>0</v>
      </c>
      <c r="CO724">
        <v>2</v>
      </c>
      <c r="CP724">
        <v>0</v>
      </c>
      <c r="CQ724">
        <v>7</v>
      </c>
      <c r="CR724" t="s">
        <v>116</v>
      </c>
      <c r="CS724">
        <v>525</v>
      </c>
      <c r="CT724">
        <v>1</v>
      </c>
      <c r="CU724" t="s">
        <v>140</v>
      </c>
      <c r="CV724" t="s">
        <v>141</v>
      </c>
      <c r="CY724">
        <v>8211577</v>
      </c>
      <c r="CZ724" t="s">
        <v>119</v>
      </c>
    </row>
    <row r="725" spans="1:104" x14ac:dyDescent="0.25">
      <c r="A725" t="str">
        <f>"14:02:26.922"</f>
        <v>14:02:26.922</v>
      </c>
      <c r="B725" t="s">
        <v>108</v>
      </c>
      <c r="C725" t="str">
        <f t="shared" si="34"/>
        <v>ffdfd3c0</v>
      </c>
      <c r="D725" t="s">
        <v>109</v>
      </c>
      <c r="E725">
        <v>4</v>
      </c>
      <c r="F725">
        <v>1004</v>
      </c>
      <c r="G725" t="s">
        <v>110</v>
      </c>
      <c r="J725" t="s">
        <v>111</v>
      </c>
      <c r="K725">
        <v>0</v>
      </c>
      <c r="L725">
        <v>3</v>
      </c>
      <c r="M725">
        <v>0</v>
      </c>
      <c r="N725">
        <v>2</v>
      </c>
      <c r="O725">
        <v>1</v>
      </c>
      <c r="P725">
        <v>0</v>
      </c>
      <c r="Q725">
        <v>0</v>
      </c>
      <c r="R725" t="s">
        <v>112</v>
      </c>
      <c r="S725" t="str">
        <f>"14:02:26.711"</f>
        <v>14:02:26.711</v>
      </c>
      <c r="T725" t="str">
        <f>"14:02:26.313"</f>
        <v>14:02:26.313</v>
      </c>
      <c r="U725" t="str">
        <f t="shared" si="33"/>
        <v>ad5732</v>
      </c>
      <c r="V725">
        <v>0</v>
      </c>
      <c r="W725">
        <v>0</v>
      </c>
      <c r="X725">
        <v>1</v>
      </c>
      <c r="Z725">
        <v>0</v>
      </c>
      <c r="AA725">
        <v>9</v>
      </c>
      <c r="AB725">
        <v>3</v>
      </c>
      <c r="AC725">
        <v>0</v>
      </c>
      <c r="AD725">
        <v>10</v>
      </c>
      <c r="AE725">
        <v>0</v>
      </c>
      <c r="AF725">
        <v>3</v>
      </c>
      <c r="AG725">
        <v>2</v>
      </c>
      <c r="AH725">
        <v>0</v>
      </c>
      <c r="AI725" t="s">
        <v>1547</v>
      </c>
      <c r="AJ725">
        <v>39.309533000000002</v>
      </c>
      <c r="AK725" t="s">
        <v>1548</v>
      </c>
      <c r="AL725">
        <v>-77.131555000000006</v>
      </c>
      <c r="AM725">
        <v>100</v>
      </c>
      <c r="AN725">
        <v>8700</v>
      </c>
      <c r="AO725" t="s">
        <v>115</v>
      </c>
      <c r="AP725">
        <v>176</v>
      </c>
      <c r="AQ725">
        <v>70</v>
      </c>
      <c r="AR725">
        <v>0</v>
      </c>
      <c r="AZ725">
        <v>3614</v>
      </c>
      <c r="BA725">
        <v>1</v>
      </c>
      <c r="BB725" t="str">
        <f t="shared" si="35"/>
        <v xml:space="preserve">N959MJ  </v>
      </c>
      <c r="BC725">
        <v>1</v>
      </c>
      <c r="BE725">
        <v>0</v>
      </c>
      <c r="BF725">
        <v>0</v>
      </c>
      <c r="BG725">
        <v>0</v>
      </c>
      <c r="BH725">
        <v>9025</v>
      </c>
      <c r="BI725">
        <v>325</v>
      </c>
      <c r="BJ725">
        <v>1</v>
      </c>
      <c r="BK725">
        <v>1</v>
      </c>
      <c r="BL725">
        <v>1</v>
      </c>
      <c r="BM725">
        <v>0</v>
      </c>
      <c r="BP725">
        <v>0</v>
      </c>
      <c r="BQ725">
        <v>0</v>
      </c>
      <c r="BX725" t="str">
        <f>"14:02:26.719"</f>
        <v>14:02:26.719</v>
      </c>
      <c r="BY725" t="str">
        <f>"715996156"</f>
        <v>715996156</v>
      </c>
      <c r="CL725">
        <v>0</v>
      </c>
      <c r="CM725">
        <v>2</v>
      </c>
      <c r="CN725">
        <v>0</v>
      </c>
      <c r="CO725">
        <v>2</v>
      </c>
      <c r="CP725">
        <v>0</v>
      </c>
      <c r="CQ725">
        <v>7</v>
      </c>
      <c r="CR725" t="s">
        <v>116</v>
      </c>
      <c r="CS725">
        <v>525</v>
      </c>
      <c r="CT725">
        <v>1</v>
      </c>
      <c r="CU725" t="s">
        <v>140</v>
      </c>
      <c r="CV725" t="s">
        <v>141</v>
      </c>
      <c r="CY725">
        <v>8212794</v>
      </c>
      <c r="CZ725" t="s">
        <v>119</v>
      </c>
    </row>
    <row r="726" spans="1:104" x14ac:dyDescent="0.25">
      <c r="A726" t="str">
        <f>"14:02:27.828"</f>
        <v>14:02:27.828</v>
      </c>
      <c r="B726" t="s">
        <v>108</v>
      </c>
      <c r="C726" t="str">
        <f t="shared" si="34"/>
        <v>ffdfd3c0</v>
      </c>
      <c r="D726" t="s">
        <v>109</v>
      </c>
      <c r="E726">
        <v>4</v>
      </c>
      <c r="F726">
        <v>1004</v>
      </c>
      <c r="G726" t="s">
        <v>110</v>
      </c>
      <c r="J726" t="s">
        <v>111</v>
      </c>
      <c r="K726">
        <v>0</v>
      </c>
      <c r="L726">
        <v>3</v>
      </c>
      <c r="M726">
        <v>0</v>
      </c>
      <c r="N726">
        <v>2</v>
      </c>
      <c r="O726">
        <v>1</v>
      </c>
      <c r="P726">
        <v>0</v>
      </c>
      <c r="Q726">
        <v>0</v>
      </c>
      <c r="R726" t="s">
        <v>112</v>
      </c>
      <c r="S726" t="str">
        <f>"14:02:27.609"</f>
        <v>14:02:27.609</v>
      </c>
      <c r="T726" t="str">
        <f>"14:02:27.211"</f>
        <v>14:02:27.211</v>
      </c>
      <c r="U726" t="str">
        <f t="shared" si="33"/>
        <v>ad5732</v>
      </c>
      <c r="V726">
        <v>0</v>
      </c>
      <c r="W726">
        <v>0</v>
      </c>
      <c r="X726">
        <v>1</v>
      </c>
      <c r="Z726">
        <v>0</v>
      </c>
      <c r="AA726">
        <v>9</v>
      </c>
      <c r="AB726">
        <v>3</v>
      </c>
      <c r="AC726">
        <v>0</v>
      </c>
      <c r="AD726">
        <v>10</v>
      </c>
      <c r="AE726">
        <v>0</v>
      </c>
      <c r="AF726">
        <v>3</v>
      </c>
      <c r="AG726">
        <v>2</v>
      </c>
      <c r="AH726">
        <v>0</v>
      </c>
      <c r="AI726" t="s">
        <v>1549</v>
      </c>
      <c r="AJ726">
        <v>39.309832999999998</v>
      </c>
      <c r="AK726" t="s">
        <v>1550</v>
      </c>
      <c r="AL726">
        <v>-77.130611000000002</v>
      </c>
      <c r="AM726">
        <v>100</v>
      </c>
      <c r="AN726">
        <v>8700</v>
      </c>
      <c r="AO726" t="s">
        <v>115</v>
      </c>
      <c r="AP726">
        <v>176</v>
      </c>
      <c r="AQ726">
        <v>69</v>
      </c>
      <c r="AR726">
        <v>-64</v>
      </c>
      <c r="AZ726">
        <v>3614</v>
      </c>
      <c r="BA726">
        <v>1</v>
      </c>
      <c r="BB726" t="str">
        <f t="shared" si="35"/>
        <v xml:space="preserve">N959MJ  </v>
      </c>
      <c r="BC726">
        <v>1</v>
      </c>
      <c r="BE726">
        <v>0</v>
      </c>
      <c r="BF726">
        <v>0</v>
      </c>
      <c r="BG726">
        <v>0</v>
      </c>
      <c r="BH726">
        <v>9025</v>
      </c>
      <c r="BI726">
        <v>325</v>
      </c>
      <c r="BJ726">
        <v>1</v>
      </c>
      <c r="BK726">
        <v>1</v>
      </c>
      <c r="BL726">
        <v>1</v>
      </c>
      <c r="BM726">
        <v>0</v>
      </c>
      <c r="BP726">
        <v>0</v>
      </c>
      <c r="BQ726">
        <v>0</v>
      </c>
      <c r="BX726" t="str">
        <f>"14:02:27.609"</f>
        <v>14:02:27.609</v>
      </c>
      <c r="BY726" t="str">
        <f>"610577229"</f>
        <v>610577229</v>
      </c>
      <c r="CL726">
        <v>0</v>
      </c>
      <c r="CM726">
        <v>2</v>
      </c>
      <c r="CN726">
        <v>0</v>
      </c>
      <c r="CO726">
        <v>2</v>
      </c>
      <c r="CP726">
        <v>0</v>
      </c>
      <c r="CQ726">
        <v>7</v>
      </c>
      <c r="CR726" t="s">
        <v>116</v>
      </c>
      <c r="CS726">
        <v>525</v>
      </c>
      <c r="CT726">
        <v>1</v>
      </c>
      <c r="CU726" t="s">
        <v>140</v>
      </c>
      <c r="CV726" t="s">
        <v>141</v>
      </c>
      <c r="CY726">
        <v>8214034</v>
      </c>
      <c r="CZ726" t="s">
        <v>119</v>
      </c>
    </row>
    <row r="727" spans="1:104" x14ac:dyDescent="0.25">
      <c r="A727" t="str">
        <f>"14:02:28.789"</f>
        <v>14:02:28.789</v>
      </c>
      <c r="B727" t="s">
        <v>108</v>
      </c>
      <c r="C727" t="str">
        <f t="shared" si="34"/>
        <v>ffdfd3c0</v>
      </c>
      <c r="D727" t="s">
        <v>109</v>
      </c>
      <c r="E727">
        <v>4</v>
      </c>
      <c r="F727">
        <v>1004</v>
      </c>
      <c r="G727" t="s">
        <v>110</v>
      </c>
      <c r="J727" t="s">
        <v>111</v>
      </c>
      <c r="K727">
        <v>0</v>
      </c>
      <c r="L727">
        <v>3</v>
      </c>
      <c r="M727">
        <v>0</v>
      </c>
      <c r="N727">
        <v>2</v>
      </c>
      <c r="O727">
        <v>1</v>
      </c>
      <c r="P727">
        <v>0</v>
      </c>
      <c r="Q727">
        <v>0</v>
      </c>
      <c r="R727" t="s">
        <v>112</v>
      </c>
      <c r="S727" t="str">
        <f>"14:02:28.625"</f>
        <v>14:02:28.625</v>
      </c>
      <c r="T727" t="str">
        <f>"14:02:28.125"</f>
        <v>14:02:28.125</v>
      </c>
      <c r="U727" t="str">
        <f t="shared" si="33"/>
        <v>ad5732</v>
      </c>
      <c r="V727">
        <v>0</v>
      </c>
      <c r="W727">
        <v>0</v>
      </c>
      <c r="X727">
        <v>1</v>
      </c>
      <c r="Z727">
        <v>0</v>
      </c>
      <c r="AA727">
        <v>9</v>
      </c>
      <c r="AB727">
        <v>3</v>
      </c>
      <c r="AC727">
        <v>0</v>
      </c>
      <c r="AD727">
        <v>10</v>
      </c>
      <c r="AE727">
        <v>0</v>
      </c>
      <c r="AF727">
        <v>3</v>
      </c>
      <c r="AG727">
        <v>2</v>
      </c>
      <c r="AH727">
        <v>0</v>
      </c>
      <c r="AI727" t="s">
        <v>1551</v>
      </c>
      <c r="AJ727">
        <v>39.310155000000002</v>
      </c>
      <c r="AK727" t="s">
        <v>1552</v>
      </c>
      <c r="AL727">
        <v>-77.129517000000007</v>
      </c>
      <c r="AM727">
        <v>100</v>
      </c>
      <c r="AN727">
        <v>8700</v>
      </c>
      <c r="AO727" t="s">
        <v>115</v>
      </c>
      <c r="AP727">
        <v>176</v>
      </c>
      <c r="AQ727">
        <v>69</v>
      </c>
      <c r="AR727">
        <v>0</v>
      </c>
      <c r="AZ727">
        <v>3614</v>
      </c>
      <c r="BA727">
        <v>1</v>
      </c>
      <c r="BB727" t="str">
        <f t="shared" si="35"/>
        <v xml:space="preserve">N959MJ  </v>
      </c>
      <c r="BC727">
        <v>1</v>
      </c>
      <c r="BE727">
        <v>0</v>
      </c>
      <c r="BF727">
        <v>0</v>
      </c>
      <c r="BG727">
        <v>0</v>
      </c>
      <c r="BH727">
        <v>9025</v>
      </c>
      <c r="BI727">
        <v>325</v>
      </c>
      <c r="BJ727">
        <v>1</v>
      </c>
      <c r="BK727">
        <v>1</v>
      </c>
      <c r="BL727">
        <v>1</v>
      </c>
      <c r="BM727">
        <v>0</v>
      </c>
      <c r="BP727">
        <v>0</v>
      </c>
      <c r="BQ727">
        <v>0</v>
      </c>
      <c r="BX727" t="str">
        <f>"14:02:28.625"</f>
        <v>14:02:28.625</v>
      </c>
      <c r="BY727" t="str">
        <f>"626401945"</f>
        <v>626401945</v>
      </c>
      <c r="CL727">
        <v>0</v>
      </c>
      <c r="CM727">
        <v>2</v>
      </c>
      <c r="CN727">
        <v>0</v>
      </c>
      <c r="CO727">
        <v>2</v>
      </c>
      <c r="CP727">
        <v>0</v>
      </c>
      <c r="CQ727">
        <v>7</v>
      </c>
      <c r="CR727" t="s">
        <v>116</v>
      </c>
      <c r="CS727">
        <v>525</v>
      </c>
      <c r="CT727">
        <v>1</v>
      </c>
      <c r="CU727" t="s">
        <v>140</v>
      </c>
      <c r="CV727" t="s">
        <v>141</v>
      </c>
      <c r="CY727">
        <v>8215505</v>
      </c>
      <c r="CZ727" t="s">
        <v>119</v>
      </c>
    </row>
    <row r="728" spans="1:104" x14ac:dyDescent="0.25">
      <c r="A728" t="str">
        <f>"14:02:29.695"</f>
        <v>14:02:29.695</v>
      </c>
      <c r="B728" t="s">
        <v>108</v>
      </c>
      <c r="C728" t="str">
        <f t="shared" si="34"/>
        <v>ffdfd3c0</v>
      </c>
      <c r="D728" t="s">
        <v>109</v>
      </c>
      <c r="E728">
        <v>4</v>
      </c>
      <c r="F728">
        <v>1004</v>
      </c>
      <c r="G728" t="s">
        <v>110</v>
      </c>
      <c r="J728" t="s">
        <v>111</v>
      </c>
      <c r="K728">
        <v>0</v>
      </c>
      <c r="L728">
        <v>3</v>
      </c>
      <c r="M728">
        <v>0</v>
      </c>
      <c r="N728">
        <v>2</v>
      </c>
      <c r="O728">
        <v>1</v>
      </c>
      <c r="P728">
        <v>0</v>
      </c>
      <c r="Q728">
        <v>0</v>
      </c>
      <c r="R728" t="s">
        <v>112</v>
      </c>
      <c r="S728" t="str">
        <f>"14:02:29.516"</f>
        <v>14:02:29.516</v>
      </c>
      <c r="T728" t="str">
        <f>"14:02:29.117"</f>
        <v>14:02:29.117</v>
      </c>
      <c r="U728" t="str">
        <f t="shared" si="33"/>
        <v>ad5732</v>
      </c>
      <c r="V728">
        <v>0</v>
      </c>
      <c r="W728">
        <v>0</v>
      </c>
      <c r="X728">
        <v>1</v>
      </c>
      <c r="Z728">
        <v>0</v>
      </c>
      <c r="AA728">
        <v>9</v>
      </c>
      <c r="AB728">
        <v>3</v>
      </c>
      <c r="AC728">
        <v>0</v>
      </c>
      <c r="AD728">
        <v>10</v>
      </c>
      <c r="AE728">
        <v>0</v>
      </c>
      <c r="AF728">
        <v>3</v>
      </c>
      <c r="AG728">
        <v>2</v>
      </c>
      <c r="AH728">
        <v>0</v>
      </c>
      <c r="AI728" t="s">
        <v>1553</v>
      </c>
      <c r="AJ728">
        <v>39.310454999999997</v>
      </c>
      <c r="AK728" t="s">
        <v>1554</v>
      </c>
      <c r="AL728">
        <v>-77.128614999999996</v>
      </c>
      <c r="AM728">
        <v>100</v>
      </c>
      <c r="AN728">
        <v>8700</v>
      </c>
      <c r="AO728" t="s">
        <v>115</v>
      </c>
      <c r="AP728">
        <v>176</v>
      </c>
      <c r="AQ728">
        <v>69</v>
      </c>
      <c r="AR728">
        <v>0</v>
      </c>
      <c r="AZ728">
        <v>3614</v>
      </c>
      <c r="BA728">
        <v>1</v>
      </c>
      <c r="BB728" t="str">
        <f t="shared" si="35"/>
        <v xml:space="preserve">N959MJ  </v>
      </c>
      <c r="BC728">
        <v>1</v>
      </c>
      <c r="BE728">
        <v>0</v>
      </c>
      <c r="BF728">
        <v>0</v>
      </c>
      <c r="BG728">
        <v>0</v>
      </c>
      <c r="BH728">
        <v>9025</v>
      </c>
      <c r="BI728">
        <v>325</v>
      </c>
      <c r="BJ728">
        <v>1</v>
      </c>
      <c r="BK728">
        <v>1</v>
      </c>
      <c r="BL728">
        <v>1</v>
      </c>
      <c r="BM728">
        <v>0</v>
      </c>
      <c r="BP728">
        <v>0</v>
      </c>
      <c r="BQ728">
        <v>0</v>
      </c>
      <c r="BX728" t="str">
        <f>"14:02:29.523"</f>
        <v>14:02:29.523</v>
      </c>
      <c r="BY728" t="str">
        <f>"522822854"</f>
        <v>522822854</v>
      </c>
      <c r="CL728">
        <v>0</v>
      </c>
      <c r="CM728">
        <v>2</v>
      </c>
      <c r="CN728">
        <v>0</v>
      </c>
      <c r="CO728">
        <v>2</v>
      </c>
      <c r="CP728">
        <v>0</v>
      </c>
      <c r="CQ728">
        <v>5</v>
      </c>
      <c r="CR728" t="s">
        <v>116</v>
      </c>
      <c r="CS728">
        <v>396</v>
      </c>
      <c r="CT728">
        <v>2</v>
      </c>
      <c r="CU728" t="s">
        <v>939</v>
      </c>
      <c r="CV728" t="s">
        <v>940</v>
      </c>
      <c r="CY728">
        <v>4005936</v>
      </c>
      <c r="CZ728" t="s">
        <v>119</v>
      </c>
    </row>
    <row r="729" spans="1:104" x14ac:dyDescent="0.25">
      <c r="A729" t="str">
        <f>"14:02:30.602"</f>
        <v>14:02:30.602</v>
      </c>
      <c r="B729" t="s">
        <v>108</v>
      </c>
      <c r="C729" t="str">
        <f t="shared" si="34"/>
        <v>ffdfd3c0</v>
      </c>
      <c r="D729" t="s">
        <v>109</v>
      </c>
      <c r="E729">
        <v>4</v>
      </c>
      <c r="F729">
        <v>1004</v>
      </c>
      <c r="G729" t="s">
        <v>110</v>
      </c>
      <c r="J729" t="s">
        <v>111</v>
      </c>
      <c r="K729">
        <v>0</v>
      </c>
      <c r="L729">
        <v>3</v>
      </c>
      <c r="M729">
        <v>0</v>
      </c>
      <c r="N729">
        <v>2</v>
      </c>
      <c r="O729">
        <v>1</v>
      </c>
      <c r="P729">
        <v>0</v>
      </c>
      <c r="Q729">
        <v>0</v>
      </c>
      <c r="R729" t="s">
        <v>112</v>
      </c>
      <c r="S729" t="str">
        <f>"14:02:30.422"</f>
        <v>14:02:30.422</v>
      </c>
      <c r="T729" t="str">
        <f>"14:02:30.023"</f>
        <v>14:02:30.023</v>
      </c>
      <c r="U729" t="str">
        <f t="shared" si="33"/>
        <v>ad5732</v>
      </c>
      <c r="V729">
        <v>0</v>
      </c>
      <c r="W729">
        <v>0</v>
      </c>
      <c r="X729">
        <v>1</v>
      </c>
      <c r="Z729">
        <v>0</v>
      </c>
      <c r="AA729">
        <v>9</v>
      </c>
      <c r="AB729">
        <v>3</v>
      </c>
      <c r="AC729">
        <v>0</v>
      </c>
      <c r="AD729">
        <v>10</v>
      </c>
      <c r="AE729">
        <v>0</v>
      </c>
      <c r="AF729">
        <v>3</v>
      </c>
      <c r="AG729">
        <v>2</v>
      </c>
      <c r="AH729">
        <v>0</v>
      </c>
      <c r="AI729" t="s">
        <v>1555</v>
      </c>
      <c r="AJ729">
        <v>39.310713</v>
      </c>
      <c r="AK729" t="s">
        <v>1556</v>
      </c>
      <c r="AL729">
        <v>-77.127628000000001</v>
      </c>
      <c r="AM729">
        <v>100</v>
      </c>
      <c r="AN729">
        <v>8700</v>
      </c>
      <c r="AO729" t="s">
        <v>115</v>
      </c>
      <c r="AP729">
        <v>176</v>
      </c>
      <c r="AQ729">
        <v>68</v>
      </c>
      <c r="AR729">
        <v>0</v>
      </c>
      <c r="AZ729">
        <v>3614</v>
      </c>
      <c r="BA729">
        <v>1</v>
      </c>
      <c r="BB729" t="str">
        <f t="shared" si="35"/>
        <v xml:space="preserve">N959MJ  </v>
      </c>
      <c r="BC729">
        <v>1</v>
      </c>
      <c r="BE729">
        <v>0</v>
      </c>
      <c r="BF729">
        <v>0</v>
      </c>
      <c r="BG729">
        <v>0</v>
      </c>
      <c r="BH729">
        <v>9025</v>
      </c>
      <c r="BI729">
        <v>325</v>
      </c>
      <c r="BJ729">
        <v>1</v>
      </c>
      <c r="BK729">
        <v>1</v>
      </c>
      <c r="BL729">
        <v>1</v>
      </c>
      <c r="BM729">
        <v>0</v>
      </c>
      <c r="BP729">
        <v>0</v>
      </c>
      <c r="BQ729">
        <v>0</v>
      </c>
      <c r="BX729" t="str">
        <f>"14:02:30.422"</f>
        <v>14:02:30.422</v>
      </c>
      <c r="BY729" t="str">
        <f>"422117763"</f>
        <v>422117763</v>
      </c>
      <c r="CL729">
        <v>0</v>
      </c>
      <c r="CM729">
        <v>2</v>
      </c>
      <c r="CN729">
        <v>0</v>
      </c>
      <c r="CO729">
        <v>2</v>
      </c>
      <c r="CP729">
        <v>0</v>
      </c>
      <c r="CQ729">
        <v>7</v>
      </c>
      <c r="CR729" t="s">
        <v>116</v>
      </c>
      <c r="CS729">
        <v>525</v>
      </c>
      <c r="CT729">
        <v>1</v>
      </c>
      <c r="CU729" t="s">
        <v>140</v>
      </c>
      <c r="CV729" t="s">
        <v>141</v>
      </c>
      <c r="CY729">
        <v>8217887</v>
      </c>
      <c r="CZ729" t="s">
        <v>119</v>
      </c>
    </row>
    <row r="730" spans="1:104" x14ac:dyDescent="0.25">
      <c r="A730" t="str">
        <f>"14:02:31.664"</f>
        <v>14:02:31.664</v>
      </c>
      <c r="B730" t="s">
        <v>108</v>
      </c>
      <c r="C730" t="str">
        <f t="shared" si="34"/>
        <v>ffdfd3c0</v>
      </c>
      <c r="D730" t="s">
        <v>109</v>
      </c>
      <c r="E730">
        <v>4</v>
      </c>
      <c r="F730">
        <v>1004</v>
      </c>
      <c r="G730" t="s">
        <v>110</v>
      </c>
      <c r="J730" t="s">
        <v>111</v>
      </c>
      <c r="K730">
        <v>0</v>
      </c>
      <c r="L730">
        <v>3</v>
      </c>
      <c r="M730">
        <v>0</v>
      </c>
      <c r="N730">
        <v>2</v>
      </c>
      <c r="O730">
        <v>1</v>
      </c>
      <c r="P730">
        <v>0</v>
      </c>
      <c r="Q730">
        <v>0</v>
      </c>
      <c r="R730" t="s">
        <v>112</v>
      </c>
      <c r="S730" t="str">
        <f>"14:02:31.492"</f>
        <v>14:02:31.492</v>
      </c>
      <c r="T730" t="str">
        <f>"14:02:30.992"</f>
        <v>14:02:30.992</v>
      </c>
      <c r="U730" t="str">
        <f t="shared" si="33"/>
        <v>ad5732</v>
      </c>
      <c r="V730">
        <v>0</v>
      </c>
      <c r="W730">
        <v>0</v>
      </c>
      <c r="X730">
        <v>1</v>
      </c>
      <c r="Z730">
        <v>0</v>
      </c>
      <c r="AA730">
        <v>9</v>
      </c>
      <c r="AB730">
        <v>3</v>
      </c>
      <c r="AC730">
        <v>0</v>
      </c>
      <c r="AD730">
        <v>10</v>
      </c>
      <c r="AE730">
        <v>0</v>
      </c>
      <c r="AF730">
        <v>3</v>
      </c>
      <c r="AG730">
        <v>2</v>
      </c>
      <c r="AH730">
        <v>0</v>
      </c>
      <c r="AI730" t="s">
        <v>1557</v>
      </c>
      <c r="AJ730">
        <v>39.311056000000001</v>
      </c>
      <c r="AK730" t="s">
        <v>1558</v>
      </c>
      <c r="AL730">
        <v>-77.126469999999998</v>
      </c>
      <c r="AM730">
        <v>100</v>
      </c>
      <c r="AN730">
        <v>8700</v>
      </c>
      <c r="AO730" t="s">
        <v>115</v>
      </c>
      <c r="AP730">
        <v>176</v>
      </c>
      <c r="AQ730">
        <v>68</v>
      </c>
      <c r="AR730">
        <v>0</v>
      </c>
      <c r="AZ730">
        <v>3614</v>
      </c>
      <c r="BA730">
        <v>1</v>
      </c>
      <c r="BB730" t="str">
        <f t="shared" si="35"/>
        <v xml:space="preserve">N959MJ  </v>
      </c>
      <c r="BC730">
        <v>1</v>
      </c>
      <c r="BE730">
        <v>0</v>
      </c>
      <c r="BF730">
        <v>0</v>
      </c>
      <c r="BG730">
        <v>0</v>
      </c>
      <c r="BH730">
        <v>9025</v>
      </c>
      <c r="BI730">
        <v>325</v>
      </c>
      <c r="BJ730">
        <v>1</v>
      </c>
      <c r="BK730">
        <v>1</v>
      </c>
      <c r="BL730">
        <v>1</v>
      </c>
      <c r="BM730">
        <v>0</v>
      </c>
      <c r="BP730">
        <v>0</v>
      </c>
      <c r="BQ730">
        <v>0</v>
      </c>
      <c r="BX730" t="str">
        <f>"14:02:31.500"</f>
        <v>14:02:31.500</v>
      </c>
      <c r="BY730" t="str">
        <f>"498562252"</f>
        <v>498562252</v>
      </c>
      <c r="CL730">
        <v>0</v>
      </c>
      <c r="CM730">
        <v>2</v>
      </c>
      <c r="CN730">
        <v>0</v>
      </c>
      <c r="CO730">
        <v>2</v>
      </c>
      <c r="CP730">
        <v>0</v>
      </c>
      <c r="CQ730">
        <v>7</v>
      </c>
      <c r="CR730" t="s">
        <v>116</v>
      </c>
      <c r="CS730">
        <v>147</v>
      </c>
      <c r="CT730">
        <v>0</v>
      </c>
      <c r="CU730" t="s">
        <v>117</v>
      </c>
      <c r="CV730" t="s">
        <v>118</v>
      </c>
      <c r="CY730">
        <v>5070264</v>
      </c>
      <c r="CZ730" t="s">
        <v>119</v>
      </c>
    </row>
    <row r="731" spans="1:104" x14ac:dyDescent="0.25">
      <c r="A731" t="str">
        <f>"14:02:32.719"</f>
        <v>14:02:32.719</v>
      </c>
      <c r="B731" t="s">
        <v>108</v>
      </c>
      <c r="C731" t="str">
        <f t="shared" si="34"/>
        <v>ffdfd3c0</v>
      </c>
      <c r="D731" t="s">
        <v>109</v>
      </c>
      <c r="E731">
        <v>4</v>
      </c>
      <c r="F731">
        <v>1004</v>
      </c>
      <c r="G731" t="s">
        <v>110</v>
      </c>
      <c r="J731" t="s">
        <v>111</v>
      </c>
      <c r="K731">
        <v>0</v>
      </c>
      <c r="L731">
        <v>3</v>
      </c>
      <c r="M731">
        <v>0</v>
      </c>
      <c r="N731">
        <v>2</v>
      </c>
      <c r="O731">
        <v>1</v>
      </c>
      <c r="P731">
        <v>0</v>
      </c>
      <c r="Q731">
        <v>0</v>
      </c>
      <c r="R731" t="s">
        <v>112</v>
      </c>
      <c r="S731" t="str">
        <f>"14:02:32.539"</f>
        <v>14:02:32.539</v>
      </c>
      <c r="T731" t="str">
        <f>"14:02:32.141"</f>
        <v>14:02:32.141</v>
      </c>
      <c r="U731" t="str">
        <f t="shared" si="33"/>
        <v>ad5732</v>
      </c>
      <c r="V731">
        <v>0</v>
      </c>
      <c r="W731">
        <v>0</v>
      </c>
      <c r="X731">
        <v>1</v>
      </c>
      <c r="Z731">
        <v>0</v>
      </c>
      <c r="AA731">
        <v>9</v>
      </c>
      <c r="AB731">
        <v>3</v>
      </c>
      <c r="AC731">
        <v>0</v>
      </c>
      <c r="AD731">
        <v>10</v>
      </c>
      <c r="AE731">
        <v>0</v>
      </c>
      <c r="AF731">
        <v>3</v>
      </c>
      <c r="AG731">
        <v>2</v>
      </c>
      <c r="AH731">
        <v>0</v>
      </c>
      <c r="AI731" t="s">
        <v>1559</v>
      </c>
      <c r="AJ731">
        <v>39.311377999999998</v>
      </c>
      <c r="AK731" t="s">
        <v>1560</v>
      </c>
      <c r="AL731">
        <v>-77.125461000000001</v>
      </c>
      <c r="AM731">
        <v>100</v>
      </c>
      <c r="AN731">
        <v>8700</v>
      </c>
      <c r="AO731" t="s">
        <v>115</v>
      </c>
      <c r="AP731">
        <v>177</v>
      </c>
      <c r="AQ731">
        <v>67</v>
      </c>
      <c r="AR731">
        <v>0</v>
      </c>
      <c r="AZ731">
        <v>3614</v>
      </c>
      <c r="BA731">
        <v>1</v>
      </c>
      <c r="BB731" t="str">
        <f t="shared" si="35"/>
        <v xml:space="preserve">N959MJ  </v>
      </c>
      <c r="BC731">
        <v>1</v>
      </c>
      <c r="BE731">
        <v>0</v>
      </c>
      <c r="BF731">
        <v>0</v>
      </c>
      <c r="BG731">
        <v>0</v>
      </c>
      <c r="BH731">
        <v>9025</v>
      </c>
      <c r="BI731">
        <v>325</v>
      </c>
      <c r="BJ731">
        <v>1</v>
      </c>
      <c r="BK731">
        <v>1</v>
      </c>
      <c r="BL731">
        <v>1</v>
      </c>
      <c r="BM731">
        <v>0</v>
      </c>
      <c r="BP731">
        <v>0</v>
      </c>
      <c r="BQ731">
        <v>0</v>
      </c>
      <c r="BX731" t="str">
        <f>"14:02:32.547"</f>
        <v>14:02:32.547</v>
      </c>
      <c r="BY731" t="str">
        <f>"545519070"</f>
        <v>545519070</v>
      </c>
      <c r="CL731">
        <v>0</v>
      </c>
      <c r="CM731">
        <v>2</v>
      </c>
      <c r="CN731">
        <v>0</v>
      </c>
      <c r="CO731">
        <v>2</v>
      </c>
      <c r="CP731">
        <v>0</v>
      </c>
      <c r="CQ731">
        <v>7</v>
      </c>
      <c r="CR731" t="s">
        <v>116</v>
      </c>
      <c r="CS731">
        <v>525</v>
      </c>
      <c r="CT731">
        <v>1</v>
      </c>
      <c r="CU731" t="s">
        <v>140</v>
      </c>
      <c r="CV731" t="s">
        <v>141</v>
      </c>
      <c r="CY731">
        <v>8220889</v>
      </c>
      <c r="CZ731" t="s">
        <v>119</v>
      </c>
    </row>
    <row r="732" spans="1:104" x14ac:dyDescent="0.25">
      <c r="A732" t="str">
        <f>"14:02:33.734"</f>
        <v>14:02:33.734</v>
      </c>
      <c r="B732" t="s">
        <v>108</v>
      </c>
      <c r="C732" t="str">
        <f t="shared" si="34"/>
        <v>ffdfd3c0</v>
      </c>
      <c r="D732" t="s">
        <v>109</v>
      </c>
      <c r="E732">
        <v>4</v>
      </c>
      <c r="F732">
        <v>1004</v>
      </c>
      <c r="G732" t="s">
        <v>110</v>
      </c>
      <c r="J732" t="s">
        <v>111</v>
      </c>
      <c r="K732">
        <v>0</v>
      </c>
      <c r="L732">
        <v>3</v>
      </c>
      <c r="M732">
        <v>0</v>
      </c>
      <c r="N732">
        <v>2</v>
      </c>
      <c r="O732">
        <v>1</v>
      </c>
      <c r="P732">
        <v>0</v>
      </c>
      <c r="Q732">
        <v>0</v>
      </c>
      <c r="R732" t="s">
        <v>112</v>
      </c>
      <c r="S732" t="str">
        <f>"14:02:33.570"</f>
        <v>14:02:33.570</v>
      </c>
      <c r="T732" t="str">
        <f>"14:02:33.172"</f>
        <v>14:02:33.172</v>
      </c>
      <c r="U732" t="str">
        <f t="shared" si="33"/>
        <v>ad5732</v>
      </c>
      <c r="V732">
        <v>0</v>
      </c>
      <c r="W732">
        <v>0</v>
      </c>
      <c r="X732">
        <v>1</v>
      </c>
      <c r="Z732">
        <v>0</v>
      </c>
      <c r="AA732">
        <v>9</v>
      </c>
      <c r="AB732">
        <v>3</v>
      </c>
      <c r="AC732">
        <v>0</v>
      </c>
      <c r="AD732">
        <v>10</v>
      </c>
      <c r="AE732">
        <v>0</v>
      </c>
      <c r="AF732">
        <v>3</v>
      </c>
      <c r="AG732">
        <v>2</v>
      </c>
      <c r="AH732">
        <v>0</v>
      </c>
      <c r="AI732" t="s">
        <v>1561</v>
      </c>
      <c r="AJ732">
        <v>39.311700000000002</v>
      </c>
      <c r="AK732" t="s">
        <v>1562</v>
      </c>
      <c r="AL732">
        <v>-77.124387999999996</v>
      </c>
      <c r="AM732">
        <v>100</v>
      </c>
      <c r="AN732">
        <v>8700</v>
      </c>
      <c r="AO732" t="s">
        <v>115</v>
      </c>
      <c r="AP732">
        <v>177</v>
      </c>
      <c r="AQ732">
        <v>67</v>
      </c>
      <c r="AR732">
        <v>0</v>
      </c>
      <c r="AZ732">
        <v>3614</v>
      </c>
      <c r="BA732">
        <v>1</v>
      </c>
      <c r="BB732" t="str">
        <f t="shared" si="35"/>
        <v xml:space="preserve">N959MJ  </v>
      </c>
      <c r="BC732">
        <v>1</v>
      </c>
      <c r="BE732">
        <v>0</v>
      </c>
      <c r="BF732">
        <v>0</v>
      </c>
      <c r="BG732">
        <v>0</v>
      </c>
      <c r="BH732">
        <v>9025</v>
      </c>
      <c r="BI732">
        <v>325</v>
      </c>
      <c r="BJ732">
        <v>1</v>
      </c>
      <c r="BK732">
        <v>1</v>
      </c>
      <c r="BL732">
        <v>1</v>
      </c>
      <c r="BM732">
        <v>0</v>
      </c>
      <c r="BP732">
        <v>0</v>
      </c>
      <c r="BQ732">
        <v>0</v>
      </c>
      <c r="BX732" t="str">
        <f>"14:02:33.578"</f>
        <v>14:02:33.578</v>
      </c>
      <c r="BY732" t="str">
        <f>"574448985"</f>
        <v>574448985</v>
      </c>
      <c r="CL732">
        <v>0</v>
      </c>
      <c r="CM732">
        <v>2</v>
      </c>
      <c r="CN732">
        <v>0</v>
      </c>
      <c r="CO732">
        <v>2</v>
      </c>
      <c r="CP732">
        <v>0</v>
      </c>
      <c r="CQ732">
        <v>7</v>
      </c>
      <c r="CR732" t="s">
        <v>116</v>
      </c>
      <c r="CS732">
        <v>147</v>
      </c>
      <c r="CT732">
        <v>0</v>
      </c>
      <c r="CU732" t="s">
        <v>117</v>
      </c>
      <c r="CV732" t="s">
        <v>118</v>
      </c>
      <c r="CY732">
        <v>5073680</v>
      </c>
      <c r="CZ732" t="s">
        <v>119</v>
      </c>
    </row>
    <row r="733" spans="1:104" x14ac:dyDescent="0.25">
      <c r="A733" t="str">
        <f>"14:02:34.641"</f>
        <v>14:02:34.641</v>
      </c>
      <c r="B733" t="s">
        <v>108</v>
      </c>
      <c r="C733" t="str">
        <f t="shared" si="34"/>
        <v>ffdfd3c0</v>
      </c>
      <c r="D733" t="s">
        <v>109</v>
      </c>
      <c r="E733">
        <v>4</v>
      </c>
      <c r="F733">
        <v>1004</v>
      </c>
      <c r="G733" t="s">
        <v>110</v>
      </c>
      <c r="J733" t="s">
        <v>111</v>
      </c>
      <c r="K733">
        <v>0</v>
      </c>
      <c r="L733">
        <v>3</v>
      </c>
      <c r="M733">
        <v>0</v>
      </c>
      <c r="N733">
        <v>2</v>
      </c>
      <c r="O733">
        <v>1</v>
      </c>
      <c r="P733">
        <v>0</v>
      </c>
      <c r="Q733">
        <v>0</v>
      </c>
      <c r="R733" t="s">
        <v>112</v>
      </c>
      <c r="S733" t="str">
        <f>"14:02:34.477"</f>
        <v>14:02:34.477</v>
      </c>
      <c r="T733" t="str">
        <f>"14:02:34.078"</f>
        <v>14:02:34.078</v>
      </c>
      <c r="U733" t="str">
        <f t="shared" si="33"/>
        <v>ad5732</v>
      </c>
      <c r="V733">
        <v>0</v>
      </c>
      <c r="W733">
        <v>0</v>
      </c>
      <c r="X733">
        <v>1</v>
      </c>
      <c r="Z733">
        <v>0</v>
      </c>
      <c r="AA733">
        <v>9</v>
      </c>
      <c r="AB733">
        <v>3</v>
      </c>
      <c r="AC733">
        <v>0</v>
      </c>
      <c r="AD733">
        <v>10</v>
      </c>
      <c r="AE733">
        <v>0</v>
      </c>
      <c r="AF733">
        <v>3</v>
      </c>
      <c r="AG733">
        <v>2</v>
      </c>
      <c r="AH733">
        <v>0</v>
      </c>
      <c r="AI733" t="s">
        <v>1563</v>
      </c>
      <c r="AJ733">
        <v>39.312021999999999</v>
      </c>
      <c r="AK733" t="s">
        <v>1564</v>
      </c>
      <c r="AL733">
        <v>-77.123357999999996</v>
      </c>
      <c r="AM733">
        <v>100</v>
      </c>
      <c r="AN733">
        <v>8700</v>
      </c>
      <c r="AO733" t="s">
        <v>115</v>
      </c>
      <c r="AP733">
        <v>177</v>
      </c>
      <c r="AQ733">
        <v>67</v>
      </c>
      <c r="AR733">
        <v>0</v>
      </c>
      <c r="AZ733">
        <v>3614</v>
      </c>
      <c r="BA733">
        <v>1</v>
      </c>
      <c r="BB733" t="str">
        <f t="shared" si="35"/>
        <v xml:space="preserve">N959MJ  </v>
      </c>
      <c r="BC733">
        <v>1</v>
      </c>
      <c r="BE733">
        <v>0</v>
      </c>
      <c r="BF733">
        <v>0</v>
      </c>
      <c r="BG733">
        <v>0</v>
      </c>
      <c r="BH733">
        <v>9025</v>
      </c>
      <c r="BI733">
        <v>325</v>
      </c>
      <c r="BJ733">
        <v>1</v>
      </c>
      <c r="BK733">
        <v>1</v>
      </c>
      <c r="BL733">
        <v>1</v>
      </c>
      <c r="BM733">
        <v>0</v>
      </c>
      <c r="BP733">
        <v>0</v>
      </c>
      <c r="BQ733">
        <v>0</v>
      </c>
      <c r="BX733" t="str">
        <f>"14:02:34.484"</f>
        <v>14:02:34.484</v>
      </c>
      <c r="BY733" t="str">
        <f>"483775857"</f>
        <v>483775857</v>
      </c>
      <c r="CL733">
        <v>0</v>
      </c>
      <c r="CM733">
        <v>2</v>
      </c>
      <c r="CN733">
        <v>0</v>
      </c>
      <c r="CO733">
        <v>2</v>
      </c>
      <c r="CP733">
        <v>0</v>
      </c>
      <c r="CQ733">
        <v>7</v>
      </c>
      <c r="CR733" t="s">
        <v>116</v>
      </c>
      <c r="CS733">
        <v>147</v>
      </c>
      <c r="CT733">
        <v>0</v>
      </c>
      <c r="CU733" t="s">
        <v>117</v>
      </c>
      <c r="CV733" t="s">
        <v>118</v>
      </c>
      <c r="CY733">
        <v>5075116</v>
      </c>
      <c r="CZ733" t="s">
        <v>119</v>
      </c>
    </row>
    <row r="734" spans="1:104" x14ac:dyDescent="0.25">
      <c r="A734" t="str">
        <f>"14:02:35.547"</f>
        <v>14:02:35.547</v>
      </c>
      <c r="B734" t="s">
        <v>108</v>
      </c>
      <c r="C734" t="str">
        <f t="shared" si="34"/>
        <v>ffdfd3c0</v>
      </c>
      <c r="D734" t="s">
        <v>109</v>
      </c>
      <c r="E734">
        <v>4</v>
      </c>
      <c r="F734">
        <v>1004</v>
      </c>
      <c r="G734" t="s">
        <v>110</v>
      </c>
      <c r="J734" t="s">
        <v>111</v>
      </c>
      <c r="K734">
        <v>0</v>
      </c>
      <c r="L734">
        <v>3</v>
      </c>
      <c r="M734">
        <v>0</v>
      </c>
      <c r="N734">
        <v>2</v>
      </c>
      <c r="O734">
        <v>1</v>
      </c>
      <c r="P734">
        <v>0</v>
      </c>
      <c r="Q734">
        <v>0</v>
      </c>
      <c r="R734" t="s">
        <v>112</v>
      </c>
      <c r="S734" t="str">
        <f>"14:02:35.383"</f>
        <v>14:02:35.383</v>
      </c>
      <c r="T734" t="str">
        <f>"14:02:34.984"</f>
        <v>14:02:34.984</v>
      </c>
      <c r="U734" t="str">
        <f t="shared" si="33"/>
        <v>ad5732</v>
      </c>
      <c r="V734">
        <v>0</v>
      </c>
      <c r="W734">
        <v>0</v>
      </c>
      <c r="X734">
        <v>1</v>
      </c>
      <c r="Z734">
        <v>0</v>
      </c>
      <c r="AA734">
        <v>9</v>
      </c>
      <c r="AB734">
        <v>3</v>
      </c>
      <c r="AC734">
        <v>0</v>
      </c>
      <c r="AD734">
        <v>10</v>
      </c>
      <c r="AE734">
        <v>0</v>
      </c>
      <c r="AF734">
        <v>3</v>
      </c>
      <c r="AG734">
        <v>2</v>
      </c>
      <c r="AH734">
        <v>0</v>
      </c>
      <c r="AI734" t="s">
        <v>1565</v>
      </c>
      <c r="AJ734">
        <v>39.312258</v>
      </c>
      <c r="AK734" t="s">
        <v>1566</v>
      </c>
      <c r="AL734">
        <v>-77.122371000000001</v>
      </c>
      <c r="AM734">
        <v>100</v>
      </c>
      <c r="AN734">
        <v>8700</v>
      </c>
      <c r="AO734" t="s">
        <v>115</v>
      </c>
      <c r="AP734">
        <v>177</v>
      </c>
      <c r="AQ734">
        <v>67</v>
      </c>
      <c r="AR734">
        <v>0</v>
      </c>
      <c r="AZ734">
        <v>3614</v>
      </c>
      <c r="BA734">
        <v>1</v>
      </c>
      <c r="BB734" t="str">
        <f t="shared" si="35"/>
        <v xml:space="preserve">N959MJ  </v>
      </c>
      <c r="BC734">
        <v>1</v>
      </c>
      <c r="BE734">
        <v>0</v>
      </c>
      <c r="BF734">
        <v>0</v>
      </c>
      <c r="BG734">
        <v>0</v>
      </c>
      <c r="BH734">
        <v>9025</v>
      </c>
      <c r="BI734">
        <v>325</v>
      </c>
      <c r="BJ734">
        <v>1</v>
      </c>
      <c r="BK734">
        <v>1</v>
      </c>
      <c r="BL734">
        <v>1</v>
      </c>
      <c r="BM734">
        <v>0</v>
      </c>
      <c r="BP734">
        <v>0</v>
      </c>
      <c r="BQ734">
        <v>0</v>
      </c>
      <c r="BX734" t="str">
        <f>"14:02:35.391"</f>
        <v>14:02:35.391</v>
      </c>
      <c r="BY734" t="str">
        <f>"388189752"</f>
        <v>388189752</v>
      </c>
      <c r="CL734">
        <v>0</v>
      </c>
      <c r="CM734">
        <v>2</v>
      </c>
      <c r="CN734">
        <v>0</v>
      </c>
      <c r="CO734">
        <v>2</v>
      </c>
      <c r="CP734">
        <v>0</v>
      </c>
      <c r="CQ734">
        <v>7</v>
      </c>
      <c r="CR734" t="s">
        <v>116</v>
      </c>
      <c r="CS734">
        <v>525</v>
      </c>
      <c r="CT734">
        <v>2</v>
      </c>
      <c r="CU734" t="s">
        <v>140</v>
      </c>
      <c r="CV734" t="s">
        <v>141</v>
      </c>
      <c r="CY734">
        <v>14660448</v>
      </c>
      <c r="CZ734" t="s">
        <v>119</v>
      </c>
    </row>
    <row r="735" spans="1:104" x14ac:dyDescent="0.25">
      <c r="A735" t="str">
        <f>"14:02:36.453"</f>
        <v>14:02:36.453</v>
      </c>
      <c r="B735" t="s">
        <v>108</v>
      </c>
      <c r="C735" t="str">
        <f t="shared" si="34"/>
        <v>ffdfd3c0</v>
      </c>
      <c r="D735" t="s">
        <v>109</v>
      </c>
      <c r="E735">
        <v>4</v>
      </c>
      <c r="F735">
        <v>1004</v>
      </c>
      <c r="G735" t="s">
        <v>110</v>
      </c>
      <c r="J735" t="s">
        <v>111</v>
      </c>
      <c r="K735">
        <v>0</v>
      </c>
      <c r="L735">
        <v>3</v>
      </c>
      <c r="M735">
        <v>0</v>
      </c>
      <c r="N735">
        <v>2</v>
      </c>
      <c r="O735">
        <v>1</v>
      </c>
      <c r="P735">
        <v>0</v>
      </c>
      <c r="Q735">
        <v>0</v>
      </c>
      <c r="R735" t="s">
        <v>112</v>
      </c>
      <c r="S735" t="str">
        <f>"14:02:36.266"</f>
        <v>14:02:36.266</v>
      </c>
      <c r="T735" t="str">
        <f>"14:02:35.867"</f>
        <v>14:02:35.867</v>
      </c>
      <c r="U735" t="str">
        <f t="shared" si="33"/>
        <v>ad5732</v>
      </c>
      <c r="V735">
        <v>0</v>
      </c>
      <c r="W735">
        <v>0</v>
      </c>
      <c r="X735">
        <v>1</v>
      </c>
      <c r="Z735">
        <v>0</v>
      </c>
      <c r="AA735">
        <v>9</v>
      </c>
      <c r="AB735">
        <v>3</v>
      </c>
      <c r="AC735">
        <v>0</v>
      </c>
      <c r="AD735">
        <v>10</v>
      </c>
      <c r="AE735">
        <v>0</v>
      </c>
      <c r="AF735">
        <v>3</v>
      </c>
      <c r="AG735">
        <v>2</v>
      </c>
      <c r="AH735">
        <v>0</v>
      </c>
      <c r="AI735" t="s">
        <v>1567</v>
      </c>
      <c r="AJ735">
        <v>39.312536999999999</v>
      </c>
      <c r="AK735" t="s">
        <v>1568</v>
      </c>
      <c r="AL735">
        <v>-77.121512999999993</v>
      </c>
      <c r="AM735">
        <v>100</v>
      </c>
      <c r="AN735">
        <v>8700</v>
      </c>
      <c r="AO735" t="s">
        <v>115</v>
      </c>
      <c r="AP735">
        <v>177</v>
      </c>
      <c r="AQ735">
        <v>66</v>
      </c>
      <c r="AR735">
        <v>0</v>
      </c>
      <c r="AZ735">
        <v>3614</v>
      </c>
      <c r="BA735">
        <v>1</v>
      </c>
      <c r="BB735" t="str">
        <f t="shared" si="35"/>
        <v xml:space="preserve">N959MJ  </v>
      </c>
      <c r="BC735">
        <v>1</v>
      </c>
      <c r="BE735">
        <v>0</v>
      </c>
      <c r="BF735">
        <v>0</v>
      </c>
      <c r="BG735">
        <v>0</v>
      </c>
      <c r="BH735">
        <v>9025</v>
      </c>
      <c r="BI735">
        <v>325</v>
      </c>
      <c r="BJ735">
        <v>1</v>
      </c>
      <c r="BK735">
        <v>1</v>
      </c>
      <c r="BL735">
        <v>1</v>
      </c>
      <c r="BM735">
        <v>0</v>
      </c>
      <c r="BP735">
        <v>0</v>
      </c>
      <c r="BQ735">
        <v>0</v>
      </c>
      <c r="BX735" t="str">
        <f>"14:02:36.273"</f>
        <v>14:02:36.273</v>
      </c>
      <c r="BY735" t="str">
        <f>"269661053"</f>
        <v>269661053</v>
      </c>
      <c r="CL735">
        <v>0</v>
      </c>
      <c r="CM735">
        <v>2</v>
      </c>
      <c r="CN735">
        <v>0</v>
      </c>
      <c r="CO735">
        <v>2</v>
      </c>
      <c r="CP735">
        <v>0</v>
      </c>
      <c r="CQ735">
        <v>7</v>
      </c>
      <c r="CR735" t="s">
        <v>116</v>
      </c>
      <c r="CS735">
        <v>147</v>
      </c>
      <c r="CT735">
        <v>0</v>
      </c>
      <c r="CU735" t="s">
        <v>117</v>
      </c>
      <c r="CV735" t="s">
        <v>118</v>
      </c>
      <c r="CY735">
        <v>5078053</v>
      </c>
      <c r="CZ735" t="s">
        <v>119</v>
      </c>
    </row>
    <row r="736" spans="1:104" x14ac:dyDescent="0.25">
      <c r="A736" t="str">
        <f>"14:02:37.469"</f>
        <v>14:02:37.469</v>
      </c>
      <c r="B736" t="s">
        <v>108</v>
      </c>
      <c r="C736" t="str">
        <f t="shared" si="34"/>
        <v>ffdfd3c0</v>
      </c>
      <c r="D736" t="s">
        <v>109</v>
      </c>
      <c r="E736">
        <v>4</v>
      </c>
      <c r="F736">
        <v>1004</v>
      </c>
      <c r="G736" t="s">
        <v>110</v>
      </c>
      <c r="J736" t="s">
        <v>111</v>
      </c>
      <c r="K736">
        <v>0</v>
      </c>
      <c r="L736">
        <v>3</v>
      </c>
      <c r="M736">
        <v>0</v>
      </c>
      <c r="N736">
        <v>2</v>
      </c>
      <c r="O736">
        <v>1</v>
      </c>
      <c r="P736">
        <v>0</v>
      </c>
      <c r="Q736">
        <v>0</v>
      </c>
      <c r="R736" t="s">
        <v>112</v>
      </c>
      <c r="S736" t="str">
        <f>"14:02:37.297"</f>
        <v>14:02:37.297</v>
      </c>
      <c r="T736" t="str">
        <f>"14:02:36.898"</f>
        <v>14:02:36.898</v>
      </c>
      <c r="U736" t="str">
        <f t="shared" si="33"/>
        <v>ad5732</v>
      </c>
      <c r="V736">
        <v>0</v>
      </c>
      <c r="W736">
        <v>0</v>
      </c>
      <c r="X736">
        <v>1</v>
      </c>
      <c r="Z736">
        <v>0</v>
      </c>
      <c r="AA736">
        <v>9</v>
      </c>
      <c r="AB736">
        <v>3</v>
      </c>
      <c r="AC736">
        <v>0</v>
      </c>
      <c r="AD736">
        <v>10</v>
      </c>
      <c r="AE736">
        <v>0</v>
      </c>
      <c r="AF736">
        <v>3</v>
      </c>
      <c r="AG736">
        <v>2</v>
      </c>
      <c r="AH736">
        <v>0</v>
      </c>
      <c r="AI736" t="s">
        <v>1569</v>
      </c>
      <c r="AJ736">
        <v>39.312837000000002</v>
      </c>
      <c r="AK736" t="s">
        <v>1570</v>
      </c>
      <c r="AL736">
        <v>-77.120375999999993</v>
      </c>
      <c r="AM736">
        <v>100</v>
      </c>
      <c r="AN736">
        <v>8700</v>
      </c>
      <c r="AO736" t="s">
        <v>115</v>
      </c>
      <c r="AP736">
        <v>177</v>
      </c>
      <c r="AQ736">
        <v>66</v>
      </c>
      <c r="AR736">
        <v>0</v>
      </c>
      <c r="AZ736">
        <v>3614</v>
      </c>
      <c r="BA736">
        <v>1</v>
      </c>
      <c r="BB736" t="str">
        <f t="shared" si="35"/>
        <v xml:space="preserve">N959MJ  </v>
      </c>
      <c r="BC736">
        <v>1</v>
      </c>
      <c r="BE736">
        <v>0</v>
      </c>
      <c r="BF736">
        <v>0</v>
      </c>
      <c r="BG736">
        <v>0</v>
      </c>
      <c r="BH736">
        <v>9025</v>
      </c>
      <c r="BI736">
        <v>325</v>
      </c>
      <c r="BJ736">
        <v>1</v>
      </c>
      <c r="BK736">
        <v>1</v>
      </c>
      <c r="BL736">
        <v>1</v>
      </c>
      <c r="BM736">
        <v>0</v>
      </c>
      <c r="BP736">
        <v>0</v>
      </c>
      <c r="BQ736">
        <v>0</v>
      </c>
      <c r="BX736" t="str">
        <f>"14:02:37.297"</f>
        <v>14:02:37.297</v>
      </c>
      <c r="BY736" t="str">
        <f>"298595455"</f>
        <v>298595455</v>
      </c>
      <c r="CL736">
        <v>0</v>
      </c>
      <c r="CM736">
        <v>2</v>
      </c>
      <c r="CN736">
        <v>0</v>
      </c>
      <c r="CO736">
        <v>2</v>
      </c>
      <c r="CP736">
        <v>0</v>
      </c>
      <c r="CQ736">
        <v>7</v>
      </c>
      <c r="CR736" t="s">
        <v>116</v>
      </c>
      <c r="CS736">
        <v>525</v>
      </c>
      <c r="CT736">
        <v>1</v>
      </c>
      <c r="CU736" t="s">
        <v>140</v>
      </c>
      <c r="CV736" t="s">
        <v>141</v>
      </c>
      <c r="CY736">
        <v>8227242</v>
      </c>
      <c r="CZ736" t="s">
        <v>119</v>
      </c>
    </row>
    <row r="737" spans="1:104" x14ac:dyDescent="0.25">
      <c r="A737" t="str">
        <f>"14:02:38.625"</f>
        <v>14:02:38.625</v>
      </c>
      <c r="B737" t="s">
        <v>108</v>
      </c>
      <c r="C737" t="str">
        <f t="shared" si="34"/>
        <v>ffdfd3c0</v>
      </c>
      <c r="D737" t="s">
        <v>109</v>
      </c>
      <c r="E737">
        <v>4</v>
      </c>
      <c r="F737">
        <v>1004</v>
      </c>
      <c r="G737" t="s">
        <v>110</v>
      </c>
      <c r="J737" t="s">
        <v>111</v>
      </c>
      <c r="K737">
        <v>0</v>
      </c>
      <c r="L737">
        <v>3</v>
      </c>
      <c r="M737">
        <v>0</v>
      </c>
      <c r="N737">
        <v>2</v>
      </c>
      <c r="O737">
        <v>1</v>
      </c>
      <c r="P737">
        <v>0</v>
      </c>
      <c r="Q737">
        <v>0</v>
      </c>
      <c r="R737" t="s">
        <v>112</v>
      </c>
      <c r="S737" t="str">
        <f>"14:02:38.453"</f>
        <v>14:02:38.453</v>
      </c>
      <c r="T737" t="str">
        <f>"14:02:37.953"</f>
        <v>14:02:37.953</v>
      </c>
      <c r="U737" t="str">
        <f t="shared" si="33"/>
        <v>ad5732</v>
      </c>
      <c r="V737">
        <v>0</v>
      </c>
      <c r="W737">
        <v>0</v>
      </c>
      <c r="X737">
        <v>1</v>
      </c>
      <c r="Z737">
        <v>0</v>
      </c>
      <c r="AA737">
        <v>9</v>
      </c>
      <c r="AB737">
        <v>3</v>
      </c>
      <c r="AC737">
        <v>0</v>
      </c>
      <c r="AD737">
        <v>10</v>
      </c>
      <c r="AE737">
        <v>0</v>
      </c>
      <c r="AF737">
        <v>3</v>
      </c>
      <c r="AG737">
        <v>2</v>
      </c>
      <c r="AH737">
        <v>0</v>
      </c>
      <c r="AI737" t="s">
        <v>1571</v>
      </c>
      <c r="AJ737">
        <v>39.313180000000003</v>
      </c>
      <c r="AK737" t="s">
        <v>1572</v>
      </c>
      <c r="AL737">
        <v>-77.119195000000005</v>
      </c>
      <c r="AM737">
        <v>100</v>
      </c>
      <c r="AN737">
        <v>8700</v>
      </c>
      <c r="AO737" t="s">
        <v>115</v>
      </c>
      <c r="AP737">
        <v>177</v>
      </c>
      <c r="AQ737">
        <v>66</v>
      </c>
      <c r="AR737">
        <v>0</v>
      </c>
      <c r="AZ737">
        <v>3614</v>
      </c>
      <c r="BA737">
        <v>1</v>
      </c>
      <c r="BB737" t="str">
        <f t="shared" si="35"/>
        <v xml:space="preserve">N959MJ  </v>
      </c>
      <c r="BC737">
        <v>1</v>
      </c>
      <c r="BE737">
        <v>0</v>
      </c>
      <c r="BF737">
        <v>0</v>
      </c>
      <c r="BG737">
        <v>0</v>
      </c>
      <c r="BH737">
        <v>9025</v>
      </c>
      <c r="BI737">
        <v>325</v>
      </c>
      <c r="BJ737">
        <v>1</v>
      </c>
      <c r="BK737">
        <v>1</v>
      </c>
      <c r="BL737">
        <v>1</v>
      </c>
      <c r="BM737">
        <v>0</v>
      </c>
      <c r="BP737">
        <v>0</v>
      </c>
      <c r="BQ737">
        <v>0</v>
      </c>
      <c r="BX737" t="str">
        <f>"14:02:38.453"</f>
        <v>14:02:38.453</v>
      </c>
      <c r="BY737" t="str">
        <f>"455324863"</f>
        <v>455324863</v>
      </c>
      <c r="CL737">
        <v>0</v>
      </c>
      <c r="CM737">
        <v>2</v>
      </c>
      <c r="CN737">
        <v>0</v>
      </c>
      <c r="CO737">
        <v>2</v>
      </c>
      <c r="CP737">
        <v>0</v>
      </c>
      <c r="CQ737">
        <v>7</v>
      </c>
      <c r="CR737" t="s">
        <v>116</v>
      </c>
      <c r="CS737">
        <v>525</v>
      </c>
      <c r="CT737">
        <v>1</v>
      </c>
      <c r="CU737" t="s">
        <v>140</v>
      </c>
      <c r="CV737" t="s">
        <v>141</v>
      </c>
      <c r="CY737">
        <v>8228908</v>
      </c>
      <c r="CZ737" t="s">
        <v>119</v>
      </c>
    </row>
    <row r="738" spans="1:104" x14ac:dyDescent="0.25">
      <c r="A738" t="str">
        <f>"14:02:39.633"</f>
        <v>14:02:39.633</v>
      </c>
      <c r="B738" t="s">
        <v>108</v>
      </c>
      <c r="C738" t="str">
        <f t="shared" si="34"/>
        <v>ffdfd3c0</v>
      </c>
      <c r="D738" t="s">
        <v>109</v>
      </c>
      <c r="E738">
        <v>4</v>
      </c>
      <c r="F738">
        <v>1004</v>
      </c>
      <c r="G738" t="s">
        <v>110</v>
      </c>
      <c r="J738" t="s">
        <v>111</v>
      </c>
      <c r="K738">
        <v>0</v>
      </c>
      <c r="L738">
        <v>3</v>
      </c>
      <c r="M738">
        <v>0</v>
      </c>
      <c r="N738">
        <v>2</v>
      </c>
      <c r="O738">
        <v>1</v>
      </c>
      <c r="P738">
        <v>0</v>
      </c>
      <c r="Q738">
        <v>0</v>
      </c>
      <c r="R738" t="s">
        <v>112</v>
      </c>
      <c r="S738" t="str">
        <f>"14:02:39.453"</f>
        <v>14:02:39.453</v>
      </c>
      <c r="T738" t="str">
        <f>"14:02:38.953"</f>
        <v>14:02:38.953</v>
      </c>
      <c r="U738" t="str">
        <f t="shared" si="33"/>
        <v>ad5732</v>
      </c>
      <c r="V738">
        <v>0</v>
      </c>
      <c r="W738">
        <v>0</v>
      </c>
      <c r="X738">
        <v>1</v>
      </c>
      <c r="Z738">
        <v>0</v>
      </c>
      <c r="AA738">
        <v>9</v>
      </c>
      <c r="AB738">
        <v>3</v>
      </c>
      <c r="AC738">
        <v>0</v>
      </c>
      <c r="AD738">
        <v>10</v>
      </c>
      <c r="AE738">
        <v>0</v>
      </c>
      <c r="AF738">
        <v>3</v>
      </c>
      <c r="AG738">
        <v>2</v>
      </c>
      <c r="AH738">
        <v>0</v>
      </c>
      <c r="AI738" t="s">
        <v>1573</v>
      </c>
      <c r="AJ738">
        <v>39.313502</v>
      </c>
      <c r="AK738" t="s">
        <v>1574</v>
      </c>
      <c r="AL738">
        <v>-77.118165000000005</v>
      </c>
      <c r="AM738">
        <v>100</v>
      </c>
      <c r="AN738">
        <v>8700</v>
      </c>
      <c r="AO738" t="s">
        <v>115</v>
      </c>
      <c r="AP738">
        <v>177</v>
      </c>
      <c r="AQ738">
        <v>66</v>
      </c>
      <c r="AR738">
        <v>0</v>
      </c>
      <c r="AZ738">
        <v>3614</v>
      </c>
      <c r="BA738">
        <v>1</v>
      </c>
      <c r="BB738" t="str">
        <f t="shared" si="35"/>
        <v xml:space="preserve">N959MJ  </v>
      </c>
      <c r="BC738">
        <v>1</v>
      </c>
      <c r="BE738">
        <v>0</v>
      </c>
      <c r="BF738">
        <v>0</v>
      </c>
      <c r="BG738">
        <v>0</v>
      </c>
      <c r="BH738">
        <v>9025</v>
      </c>
      <c r="BI738">
        <v>325</v>
      </c>
      <c r="BJ738">
        <v>1</v>
      </c>
      <c r="BK738">
        <v>1</v>
      </c>
      <c r="BL738">
        <v>1</v>
      </c>
      <c r="BM738">
        <v>0</v>
      </c>
      <c r="BP738">
        <v>0</v>
      </c>
      <c r="BQ738">
        <v>0</v>
      </c>
      <c r="BX738" t="str">
        <f>"14:02:39.453"</f>
        <v>14:02:39.453</v>
      </c>
      <c r="BY738" t="str">
        <f>"454762773"</f>
        <v>454762773</v>
      </c>
      <c r="CL738">
        <v>0</v>
      </c>
      <c r="CM738">
        <v>2</v>
      </c>
      <c r="CN738">
        <v>0</v>
      </c>
      <c r="CO738">
        <v>2</v>
      </c>
      <c r="CP738">
        <v>0</v>
      </c>
      <c r="CQ738">
        <v>7</v>
      </c>
      <c r="CR738" t="s">
        <v>116</v>
      </c>
      <c r="CS738">
        <v>147</v>
      </c>
      <c r="CT738">
        <v>0</v>
      </c>
      <c r="CU738" t="s">
        <v>117</v>
      </c>
      <c r="CV738" t="s">
        <v>118</v>
      </c>
      <c r="CY738">
        <v>5083164</v>
      </c>
      <c r="CZ738" t="s">
        <v>119</v>
      </c>
    </row>
    <row r="739" spans="1:104" x14ac:dyDescent="0.25">
      <c r="A739" t="str">
        <f>"14:02:40.648"</f>
        <v>14:02:40.648</v>
      </c>
      <c r="B739" t="s">
        <v>108</v>
      </c>
      <c r="C739" t="str">
        <f t="shared" si="34"/>
        <v>ffdfd3c0</v>
      </c>
      <c r="D739" t="s">
        <v>109</v>
      </c>
      <c r="E739">
        <v>4</v>
      </c>
      <c r="F739">
        <v>1004</v>
      </c>
      <c r="G739" t="s">
        <v>110</v>
      </c>
      <c r="J739" t="s">
        <v>111</v>
      </c>
      <c r="K739">
        <v>0</v>
      </c>
      <c r="L739">
        <v>3</v>
      </c>
      <c r="M739">
        <v>0</v>
      </c>
      <c r="N739">
        <v>2</v>
      </c>
      <c r="O739">
        <v>1</v>
      </c>
      <c r="P739">
        <v>0</v>
      </c>
      <c r="Q739">
        <v>0</v>
      </c>
      <c r="R739" t="s">
        <v>112</v>
      </c>
      <c r="S739" t="str">
        <f>"14:02:40.469"</f>
        <v>14:02:40.469</v>
      </c>
      <c r="T739" t="str">
        <f>"14:02:40.070"</f>
        <v>14:02:40.070</v>
      </c>
      <c r="U739" t="str">
        <f t="shared" si="33"/>
        <v>ad5732</v>
      </c>
      <c r="V739">
        <v>0</v>
      </c>
      <c r="W739">
        <v>0</v>
      </c>
      <c r="X739">
        <v>1</v>
      </c>
      <c r="Z739">
        <v>0</v>
      </c>
      <c r="AA739">
        <v>9</v>
      </c>
      <c r="AB739">
        <v>3</v>
      </c>
      <c r="AC739">
        <v>0</v>
      </c>
      <c r="AD739">
        <v>10</v>
      </c>
      <c r="AE739">
        <v>0</v>
      </c>
      <c r="AF739">
        <v>3</v>
      </c>
      <c r="AG739">
        <v>2</v>
      </c>
      <c r="AH739">
        <v>0</v>
      </c>
      <c r="AI739" t="s">
        <v>1575</v>
      </c>
      <c r="AJ739">
        <v>39.313823999999997</v>
      </c>
      <c r="AK739" t="s">
        <v>1576</v>
      </c>
      <c r="AL739">
        <v>-77.117136000000002</v>
      </c>
      <c r="AM739">
        <v>100</v>
      </c>
      <c r="AN739">
        <v>8700</v>
      </c>
      <c r="AO739" t="s">
        <v>115</v>
      </c>
      <c r="AP739">
        <v>177</v>
      </c>
      <c r="AQ739">
        <v>67</v>
      </c>
      <c r="AR739">
        <v>0</v>
      </c>
      <c r="AZ739">
        <v>3614</v>
      </c>
      <c r="BA739">
        <v>1</v>
      </c>
      <c r="BB739" t="str">
        <f t="shared" si="35"/>
        <v xml:space="preserve">N959MJ  </v>
      </c>
      <c r="BC739">
        <v>1</v>
      </c>
      <c r="BE739">
        <v>0</v>
      </c>
      <c r="BF739">
        <v>0</v>
      </c>
      <c r="BG739">
        <v>0</v>
      </c>
      <c r="BH739">
        <v>9025</v>
      </c>
      <c r="BI739">
        <v>325</v>
      </c>
      <c r="BJ739">
        <v>1</v>
      </c>
      <c r="BK739">
        <v>1</v>
      </c>
      <c r="BL739">
        <v>1</v>
      </c>
      <c r="BM739">
        <v>0</v>
      </c>
      <c r="BP739">
        <v>0</v>
      </c>
      <c r="BQ739">
        <v>0</v>
      </c>
      <c r="BX739" t="str">
        <f>"14:02:40.469"</f>
        <v>14:02:40.469</v>
      </c>
      <c r="BY739" t="str">
        <f>"472228402"</f>
        <v>472228402</v>
      </c>
      <c r="CL739">
        <v>0</v>
      </c>
      <c r="CM739">
        <v>2</v>
      </c>
      <c r="CN739">
        <v>0</v>
      </c>
      <c r="CO739">
        <v>2</v>
      </c>
      <c r="CP739">
        <v>0</v>
      </c>
      <c r="CQ739">
        <v>7</v>
      </c>
      <c r="CR739" t="s">
        <v>116</v>
      </c>
      <c r="CS739">
        <v>525</v>
      </c>
      <c r="CT739">
        <v>1</v>
      </c>
      <c r="CU739" t="s">
        <v>140</v>
      </c>
      <c r="CV739" t="s">
        <v>141</v>
      </c>
      <c r="CY739">
        <v>8231678</v>
      </c>
      <c r="CZ739" t="s">
        <v>119</v>
      </c>
    </row>
    <row r="740" spans="1:104" x14ac:dyDescent="0.25">
      <c r="A740" t="str">
        <f>"14:02:41.656"</f>
        <v>14:02:41.656</v>
      </c>
      <c r="B740" t="s">
        <v>108</v>
      </c>
      <c r="C740" t="str">
        <f t="shared" si="34"/>
        <v>ffdfd3c0</v>
      </c>
      <c r="D740" t="s">
        <v>109</v>
      </c>
      <c r="E740">
        <v>4</v>
      </c>
      <c r="F740">
        <v>1004</v>
      </c>
      <c r="G740" t="s">
        <v>110</v>
      </c>
      <c r="J740" t="s">
        <v>111</v>
      </c>
      <c r="K740">
        <v>0</v>
      </c>
      <c r="L740">
        <v>3</v>
      </c>
      <c r="M740">
        <v>0</v>
      </c>
      <c r="N740">
        <v>2</v>
      </c>
      <c r="O740">
        <v>1</v>
      </c>
      <c r="P740">
        <v>0</v>
      </c>
      <c r="Q740">
        <v>0</v>
      </c>
      <c r="R740" t="s">
        <v>112</v>
      </c>
      <c r="S740" t="str">
        <f>"14:02:41.484"</f>
        <v>14:02:41.484</v>
      </c>
      <c r="T740" t="str">
        <f>"14:02:40.984"</f>
        <v>14:02:40.984</v>
      </c>
      <c r="U740" t="str">
        <f t="shared" si="33"/>
        <v>ad5732</v>
      </c>
      <c r="V740">
        <v>0</v>
      </c>
      <c r="W740">
        <v>0</v>
      </c>
      <c r="X740">
        <v>1</v>
      </c>
      <c r="Z740">
        <v>0</v>
      </c>
      <c r="AA740">
        <v>9</v>
      </c>
      <c r="AB740">
        <v>3</v>
      </c>
      <c r="AC740">
        <v>0</v>
      </c>
      <c r="AD740">
        <v>10</v>
      </c>
      <c r="AE740">
        <v>0</v>
      </c>
      <c r="AF740">
        <v>3</v>
      </c>
      <c r="AG740">
        <v>2</v>
      </c>
      <c r="AH740">
        <v>0</v>
      </c>
      <c r="AI740" t="s">
        <v>1577</v>
      </c>
      <c r="AJ740">
        <v>39.314166999999998</v>
      </c>
      <c r="AK740" t="s">
        <v>1578</v>
      </c>
      <c r="AL740">
        <v>-77.115955</v>
      </c>
      <c r="AM740">
        <v>100</v>
      </c>
      <c r="AN740">
        <v>8700</v>
      </c>
      <c r="AO740" t="s">
        <v>115</v>
      </c>
      <c r="AP740">
        <v>177</v>
      </c>
      <c r="AQ740">
        <v>67</v>
      </c>
      <c r="AR740">
        <v>0</v>
      </c>
      <c r="AZ740">
        <v>3614</v>
      </c>
      <c r="BA740">
        <v>1</v>
      </c>
      <c r="BB740" t="str">
        <f t="shared" si="35"/>
        <v xml:space="preserve">N959MJ  </v>
      </c>
      <c r="BC740">
        <v>1</v>
      </c>
      <c r="BE740">
        <v>0</v>
      </c>
      <c r="BF740">
        <v>0</v>
      </c>
      <c r="BG740">
        <v>0</v>
      </c>
      <c r="BH740">
        <v>9025</v>
      </c>
      <c r="BI740">
        <v>325</v>
      </c>
      <c r="BJ740">
        <v>1</v>
      </c>
      <c r="BK740">
        <v>1</v>
      </c>
      <c r="BL740">
        <v>1</v>
      </c>
      <c r="BM740">
        <v>0</v>
      </c>
      <c r="BP740">
        <v>0</v>
      </c>
      <c r="BQ740">
        <v>0</v>
      </c>
      <c r="BX740" t="str">
        <f>"14:02:41.484"</f>
        <v>14:02:41.484</v>
      </c>
      <c r="BY740" t="str">
        <f>"484773582"</f>
        <v>484773582</v>
      </c>
      <c r="CL740">
        <v>0</v>
      </c>
      <c r="CM740">
        <v>2</v>
      </c>
      <c r="CN740">
        <v>0</v>
      </c>
      <c r="CO740">
        <v>2</v>
      </c>
      <c r="CP740">
        <v>0</v>
      </c>
      <c r="CQ740">
        <v>7</v>
      </c>
      <c r="CR740" t="s">
        <v>116</v>
      </c>
      <c r="CS740">
        <v>147</v>
      </c>
      <c r="CT740">
        <v>0</v>
      </c>
      <c r="CU740" t="s">
        <v>117</v>
      </c>
      <c r="CV740" t="s">
        <v>118</v>
      </c>
      <c r="CY740">
        <v>5086627</v>
      </c>
      <c r="CZ740" t="s">
        <v>119</v>
      </c>
    </row>
    <row r="741" spans="1:104" x14ac:dyDescent="0.25">
      <c r="A741" t="str">
        <f>"14:02:42.719"</f>
        <v>14:02:42.719</v>
      </c>
      <c r="B741" t="s">
        <v>108</v>
      </c>
      <c r="C741" t="str">
        <f t="shared" si="34"/>
        <v>ffdfd3c0</v>
      </c>
      <c r="D741" t="s">
        <v>109</v>
      </c>
      <c r="E741">
        <v>4</v>
      </c>
      <c r="F741">
        <v>1004</v>
      </c>
      <c r="G741" t="s">
        <v>110</v>
      </c>
      <c r="J741" t="s">
        <v>111</v>
      </c>
      <c r="K741">
        <v>0</v>
      </c>
      <c r="L741">
        <v>3</v>
      </c>
      <c r="M741">
        <v>0</v>
      </c>
      <c r="N741">
        <v>2</v>
      </c>
      <c r="O741">
        <v>1</v>
      </c>
      <c r="P741">
        <v>0</v>
      </c>
      <c r="Q741">
        <v>0</v>
      </c>
      <c r="R741" t="s">
        <v>112</v>
      </c>
      <c r="S741" t="str">
        <f>"14:02:42.531"</f>
        <v>14:02:42.531</v>
      </c>
      <c r="T741" t="str">
        <f>"14:02:42.031"</f>
        <v>14:02:42.031</v>
      </c>
      <c r="U741" t="str">
        <f t="shared" si="33"/>
        <v>ad5732</v>
      </c>
      <c r="V741">
        <v>0</v>
      </c>
      <c r="W741">
        <v>0</v>
      </c>
      <c r="X741">
        <v>1</v>
      </c>
      <c r="Z741">
        <v>0</v>
      </c>
      <c r="AA741">
        <v>9</v>
      </c>
      <c r="AB741">
        <v>3</v>
      </c>
      <c r="AC741">
        <v>0</v>
      </c>
      <c r="AD741">
        <v>10</v>
      </c>
      <c r="AE741">
        <v>0</v>
      </c>
      <c r="AF741">
        <v>3</v>
      </c>
      <c r="AG741">
        <v>2</v>
      </c>
      <c r="AH741">
        <v>0</v>
      </c>
      <c r="AI741" t="s">
        <v>1579</v>
      </c>
      <c r="AJ741">
        <v>39.314445999999997</v>
      </c>
      <c r="AK741" t="s">
        <v>1580</v>
      </c>
      <c r="AL741">
        <v>-77.114881999999994</v>
      </c>
      <c r="AM741">
        <v>100</v>
      </c>
      <c r="AN741">
        <v>8700</v>
      </c>
      <c r="AO741" t="s">
        <v>115</v>
      </c>
      <c r="AP741">
        <v>177</v>
      </c>
      <c r="AQ741">
        <v>67</v>
      </c>
      <c r="AR741">
        <v>0</v>
      </c>
      <c r="AZ741">
        <v>3614</v>
      </c>
      <c r="BA741">
        <v>1</v>
      </c>
      <c r="BB741" t="str">
        <f t="shared" si="35"/>
        <v xml:space="preserve">N959MJ  </v>
      </c>
      <c r="BC741">
        <v>1</v>
      </c>
      <c r="BE741">
        <v>0</v>
      </c>
      <c r="BF741">
        <v>0</v>
      </c>
      <c r="BG741">
        <v>0</v>
      </c>
      <c r="BH741">
        <v>9025</v>
      </c>
      <c r="BI741">
        <v>325</v>
      </c>
      <c r="BJ741">
        <v>1</v>
      </c>
      <c r="BK741">
        <v>1</v>
      </c>
      <c r="BL741">
        <v>1</v>
      </c>
      <c r="BM741">
        <v>0</v>
      </c>
      <c r="BP741">
        <v>0</v>
      </c>
      <c r="BQ741">
        <v>0</v>
      </c>
      <c r="BX741" t="str">
        <f>"14:02:42.531"</f>
        <v>14:02:42.531</v>
      </c>
      <c r="BY741" t="str">
        <f>"533366732"</f>
        <v>533366732</v>
      </c>
      <c r="CL741">
        <v>0</v>
      </c>
      <c r="CM741">
        <v>2</v>
      </c>
      <c r="CN741">
        <v>0</v>
      </c>
      <c r="CO741">
        <v>2</v>
      </c>
      <c r="CP741">
        <v>0</v>
      </c>
      <c r="CQ741">
        <v>7</v>
      </c>
      <c r="CR741" t="s">
        <v>116</v>
      </c>
      <c r="CS741">
        <v>147</v>
      </c>
      <c r="CT741">
        <v>0</v>
      </c>
      <c r="CU741" t="s">
        <v>117</v>
      </c>
      <c r="CV741" t="s">
        <v>118</v>
      </c>
      <c r="CY741">
        <v>5088264</v>
      </c>
      <c r="CZ741" t="s">
        <v>119</v>
      </c>
    </row>
    <row r="742" spans="1:104" x14ac:dyDescent="0.25">
      <c r="A742" t="str">
        <f>"14:02:43.875"</f>
        <v>14:02:43.875</v>
      </c>
      <c r="B742" t="s">
        <v>108</v>
      </c>
      <c r="C742" t="str">
        <f t="shared" si="34"/>
        <v>ffdfd3c0</v>
      </c>
      <c r="D742" t="s">
        <v>109</v>
      </c>
      <c r="E742">
        <v>4</v>
      </c>
      <c r="F742">
        <v>1004</v>
      </c>
      <c r="G742" t="s">
        <v>110</v>
      </c>
      <c r="J742" t="s">
        <v>111</v>
      </c>
      <c r="K742">
        <v>0</v>
      </c>
      <c r="L742">
        <v>3</v>
      </c>
      <c r="M742">
        <v>0</v>
      </c>
      <c r="N742">
        <v>2</v>
      </c>
      <c r="O742">
        <v>1</v>
      </c>
      <c r="P742">
        <v>0</v>
      </c>
      <c r="Q742">
        <v>0</v>
      </c>
      <c r="R742" t="s">
        <v>112</v>
      </c>
      <c r="S742" t="str">
        <f>"14:02:43.688"</f>
        <v>14:02:43.688</v>
      </c>
      <c r="T742" t="str">
        <f>"14:02:43.188"</f>
        <v>14:02:43.188</v>
      </c>
      <c r="U742" t="str">
        <f t="shared" si="33"/>
        <v>ad5732</v>
      </c>
      <c r="V742">
        <v>0</v>
      </c>
      <c r="W742">
        <v>0</v>
      </c>
      <c r="X742">
        <v>1</v>
      </c>
      <c r="Z742">
        <v>0</v>
      </c>
      <c r="AA742">
        <v>9</v>
      </c>
      <c r="AB742">
        <v>3</v>
      </c>
      <c r="AC742">
        <v>0</v>
      </c>
      <c r="AD742">
        <v>10</v>
      </c>
      <c r="AE742">
        <v>0</v>
      </c>
      <c r="AF742">
        <v>3</v>
      </c>
      <c r="AG742">
        <v>2</v>
      </c>
      <c r="AH742">
        <v>0</v>
      </c>
      <c r="AI742" t="s">
        <v>1581</v>
      </c>
      <c r="AJ742">
        <v>39.314853999999997</v>
      </c>
      <c r="AK742" t="s">
        <v>1582</v>
      </c>
      <c r="AL742">
        <v>-77.113637999999995</v>
      </c>
      <c r="AM742">
        <v>100</v>
      </c>
      <c r="AN742">
        <v>8700</v>
      </c>
      <c r="AO742" t="s">
        <v>115</v>
      </c>
      <c r="AP742">
        <v>177</v>
      </c>
      <c r="AQ742">
        <v>67</v>
      </c>
      <c r="AR742">
        <v>0</v>
      </c>
      <c r="AZ742">
        <v>3614</v>
      </c>
      <c r="BA742">
        <v>1</v>
      </c>
      <c r="BB742" t="str">
        <f t="shared" si="35"/>
        <v xml:space="preserve">N959MJ  </v>
      </c>
      <c r="BC742">
        <v>1</v>
      </c>
      <c r="BE742">
        <v>0</v>
      </c>
      <c r="BF742">
        <v>0</v>
      </c>
      <c r="BG742">
        <v>0</v>
      </c>
      <c r="BH742">
        <v>9025</v>
      </c>
      <c r="BI742">
        <v>325</v>
      </c>
      <c r="BJ742">
        <v>1</v>
      </c>
      <c r="BK742">
        <v>1</v>
      </c>
      <c r="BL742">
        <v>1</v>
      </c>
      <c r="BM742">
        <v>0</v>
      </c>
      <c r="BP742">
        <v>0</v>
      </c>
      <c r="BQ742">
        <v>0</v>
      </c>
      <c r="BX742" t="str">
        <f>"14:02:43.688"</f>
        <v>14:02:43.688</v>
      </c>
      <c r="BY742" t="str">
        <f>"688457712"</f>
        <v>688457712</v>
      </c>
      <c r="CL742">
        <v>0</v>
      </c>
      <c r="CM742">
        <v>2</v>
      </c>
      <c r="CN742">
        <v>0</v>
      </c>
      <c r="CO742">
        <v>2</v>
      </c>
      <c r="CP742">
        <v>0</v>
      </c>
      <c r="CQ742">
        <v>7</v>
      </c>
      <c r="CR742" t="s">
        <v>116</v>
      </c>
      <c r="CS742">
        <v>147</v>
      </c>
      <c r="CT742">
        <v>0</v>
      </c>
      <c r="CU742" t="s">
        <v>117</v>
      </c>
      <c r="CV742" t="s">
        <v>118</v>
      </c>
      <c r="CY742">
        <v>5090107</v>
      </c>
      <c r="CZ742" t="s">
        <v>119</v>
      </c>
    </row>
    <row r="743" spans="1:104" x14ac:dyDescent="0.25">
      <c r="A743" t="str">
        <f>"14:02:44.734"</f>
        <v>14:02:44.734</v>
      </c>
      <c r="B743" t="s">
        <v>108</v>
      </c>
      <c r="C743" t="str">
        <f t="shared" si="34"/>
        <v>ffdfd3c0</v>
      </c>
      <c r="D743" t="s">
        <v>109</v>
      </c>
      <c r="E743">
        <v>4</v>
      </c>
      <c r="F743">
        <v>1004</v>
      </c>
      <c r="G743" t="s">
        <v>110</v>
      </c>
      <c r="J743" t="s">
        <v>111</v>
      </c>
      <c r="K743">
        <v>0</v>
      </c>
      <c r="L743">
        <v>3</v>
      </c>
      <c r="M743">
        <v>0</v>
      </c>
      <c r="N743">
        <v>2</v>
      </c>
      <c r="O743">
        <v>1</v>
      </c>
      <c r="P743">
        <v>0</v>
      </c>
      <c r="Q743">
        <v>0</v>
      </c>
      <c r="R743" t="s">
        <v>112</v>
      </c>
      <c r="S743" t="str">
        <f>"14:02:44.570"</f>
        <v>14:02:44.570</v>
      </c>
      <c r="T743" t="str">
        <f>"14:02:44.172"</f>
        <v>14:02:44.172</v>
      </c>
      <c r="U743" t="str">
        <f t="shared" si="33"/>
        <v>ad5732</v>
      </c>
      <c r="V743">
        <v>0</v>
      </c>
      <c r="W743">
        <v>0</v>
      </c>
      <c r="X743">
        <v>1</v>
      </c>
      <c r="Z743">
        <v>0</v>
      </c>
      <c r="AA743">
        <v>9</v>
      </c>
      <c r="AB743">
        <v>3</v>
      </c>
      <c r="AC743">
        <v>0</v>
      </c>
      <c r="AD743">
        <v>10</v>
      </c>
      <c r="AE743">
        <v>0</v>
      </c>
      <c r="AF743">
        <v>3</v>
      </c>
      <c r="AG743">
        <v>2</v>
      </c>
      <c r="AH743">
        <v>0</v>
      </c>
      <c r="AI743" t="s">
        <v>1583</v>
      </c>
      <c r="AJ743">
        <v>39.315069000000001</v>
      </c>
      <c r="AK743" t="s">
        <v>1584</v>
      </c>
      <c r="AL743">
        <v>-77.112801000000005</v>
      </c>
      <c r="AM743">
        <v>100</v>
      </c>
      <c r="AN743">
        <v>8700</v>
      </c>
      <c r="AO743" t="s">
        <v>115</v>
      </c>
      <c r="AP743">
        <v>177</v>
      </c>
      <c r="AQ743">
        <v>67</v>
      </c>
      <c r="AR743">
        <v>0</v>
      </c>
      <c r="AZ743">
        <v>3614</v>
      </c>
      <c r="BA743">
        <v>1</v>
      </c>
      <c r="BB743" t="str">
        <f t="shared" si="35"/>
        <v xml:space="preserve">N959MJ  </v>
      </c>
      <c r="BC743">
        <v>1</v>
      </c>
      <c r="BE743">
        <v>0</v>
      </c>
      <c r="BF743">
        <v>0</v>
      </c>
      <c r="BG743">
        <v>0</v>
      </c>
      <c r="BH743">
        <v>9025</v>
      </c>
      <c r="BI743">
        <v>325</v>
      </c>
      <c r="BJ743">
        <v>1</v>
      </c>
      <c r="BK743">
        <v>1</v>
      </c>
      <c r="BL743">
        <v>1</v>
      </c>
      <c r="BM743">
        <v>0</v>
      </c>
      <c r="BP743">
        <v>0</v>
      </c>
      <c r="BQ743">
        <v>0</v>
      </c>
      <c r="BX743" t="str">
        <f>"14:02:44.578"</f>
        <v>14:02:44.578</v>
      </c>
      <c r="BY743" t="str">
        <f>"574846616"</f>
        <v>574846616</v>
      </c>
      <c r="CL743">
        <v>0</v>
      </c>
      <c r="CM743">
        <v>2</v>
      </c>
      <c r="CN743">
        <v>0</v>
      </c>
      <c r="CO743">
        <v>2</v>
      </c>
      <c r="CP743">
        <v>0</v>
      </c>
      <c r="CQ743">
        <v>7</v>
      </c>
      <c r="CR743" t="s">
        <v>116</v>
      </c>
      <c r="CS743">
        <v>147</v>
      </c>
      <c r="CT743">
        <v>0</v>
      </c>
      <c r="CU743" t="s">
        <v>117</v>
      </c>
      <c r="CV743" t="s">
        <v>118</v>
      </c>
      <c r="CY743">
        <v>5091556</v>
      </c>
      <c r="CZ743" t="s">
        <v>119</v>
      </c>
    </row>
    <row r="744" spans="1:104" x14ac:dyDescent="0.25">
      <c r="A744" t="str">
        <f>"14:02:45.891"</f>
        <v>14:02:45.891</v>
      </c>
      <c r="B744" t="s">
        <v>108</v>
      </c>
      <c r="C744" t="str">
        <f t="shared" si="34"/>
        <v>ffdfd3c0</v>
      </c>
      <c r="D744" t="s">
        <v>109</v>
      </c>
      <c r="E744">
        <v>4</v>
      </c>
      <c r="F744">
        <v>1004</v>
      </c>
      <c r="G744" t="s">
        <v>110</v>
      </c>
      <c r="J744" t="s">
        <v>111</v>
      </c>
      <c r="K744">
        <v>0</v>
      </c>
      <c r="L744">
        <v>3</v>
      </c>
      <c r="M744">
        <v>0</v>
      </c>
      <c r="N744">
        <v>2</v>
      </c>
      <c r="O744">
        <v>1</v>
      </c>
      <c r="P744">
        <v>0</v>
      </c>
      <c r="Q744">
        <v>0</v>
      </c>
      <c r="R744" t="s">
        <v>112</v>
      </c>
      <c r="S744" t="str">
        <f>"14:02:45.695"</f>
        <v>14:02:45.695</v>
      </c>
      <c r="T744" t="str">
        <f>"14:02:45.195"</f>
        <v>14:02:45.195</v>
      </c>
      <c r="U744" t="str">
        <f t="shared" si="33"/>
        <v>ad5732</v>
      </c>
      <c r="V744">
        <v>0</v>
      </c>
      <c r="W744">
        <v>0</v>
      </c>
      <c r="X744">
        <v>1</v>
      </c>
      <c r="Z744">
        <v>0</v>
      </c>
      <c r="AA744">
        <v>9</v>
      </c>
      <c r="AB744">
        <v>3</v>
      </c>
      <c r="AC744">
        <v>0</v>
      </c>
      <c r="AD744">
        <v>10</v>
      </c>
      <c r="AE744">
        <v>0</v>
      </c>
      <c r="AF744">
        <v>3</v>
      </c>
      <c r="AG744">
        <v>2</v>
      </c>
      <c r="AH744">
        <v>0</v>
      </c>
      <c r="AI744" t="s">
        <v>1585</v>
      </c>
      <c r="AJ744">
        <v>39.315455</v>
      </c>
      <c r="AK744" t="s">
        <v>1586</v>
      </c>
      <c r="AL744">
        <v>-77.111535000000003</v>
      </c>
      <c r="AM744">
        <v>100</v>
      </c>
      <c r="AN744">
        <v>8700</v>
      </c>
      <c r="AO744" t="s">
        <v>115</v>
      </c>
      <c r="AP744">
        <v>177</v>
      </c>
      <c r="AQ744">
        <v>67</v>
      </c>
      <c r="AR744">
        <v>0</v>
      </c>
      <c r="AZ744">
        <v>3614</v>
      </c>
      <c r="BA744">
        <v>1</v>
      </c>
      <c r="BB744" t="str">
        <f t="shared" si="35"/>
        <v xml:space="preserve">N959MJ  </v>
      </c>
      <c r="BC744">
        <v>1</v>
      </c>
      <c r="BE744">
        <v>0</v>
      </c>
      <c r="BF744">
        <v>0</v>
      </c>
      <c r="BG744">
        <v>0</v>
      </c>
      <c r="BH744">
        <v>9025</v>
      </c>
      <c r="BI744">
        <v>325</v>
      </c>
      <c r="BJ744">
        <v>1</v>
      </c>
      <c r="BK744">
        <v>1</v>
      </c>
      <c r="BL744">
        <v>1</v>
      </c>
      <c r="BM744">
        <v>0</v>
      </c>
      <c r="BP744">
        <v>0</v>
      </c>
      <c r="BQ744">
        <v>0</v>
      </c>
      <c r="BX744" t="str">
        <f>"14:02:45.695"</f>
        <v>14:02:45.695</v>
      </c>
      <c r="BY744" t="str">
        <f>"695533423"</f>
        <v>695533423</v>
      </c>
      <c r="CL744">
        <v>0</v>
      </c>
      <c r="CM744">
        <v>2</v>
      </c>
      <c r="CN744">
        <v>0</v>
      </c>
      <c r="CO744">
        <v>2</v>
      </c>
      <c r="CP744">
        <v>0</v>
      </c>
      <c r="CQ744">
        <v>7</v>
      </c>
      <c r="CR744" t="s">
        <v>116</v>
      </c>
      <c r="CS744">
        <v>525</v>
      </c>
      <c r="CT744">
        <v>2</v>
      </c>
      <c r="CU744" t="s">
        <v>140</v>
      </c>
      <c r="CV744" t="s">
        <v>141</v>
      </c>
      <c r="CY744">
        <v>14675613</v>
      </c>
      <c r="CZ744" t="s">
        <v>119</v>
      </c>
    </row>
    <row r="745" spans="1:104" x14ac:dyDescent="0.25">
      <c r="A745" t="str">
        <f>"14:02:46.805"</f>
        <v>14:02:46.805</v>
      </c>
      <c r="B745" t="s">
        <v>108</v>
      </c>
      <c r="C745" t="str">
        <f t="shared" si="34"/>
        <v>ffdfd3c0</v>
      </c>
      <c r="D745" t="s">
        <v>109</v>
      </c>
      <c r="E745">
        <v>4</v>
      </c>
      <c r="F745">
        <v>1004</v>
      </c>
      <c r="G745" t="s">
        <v>110</v>
      </c>
      <c r="J745" t="s">
        <v>111</v>
      </c>
      <c r="K745">
        <v>0</v>
      </c>
      <c r="L745">
        <v>3</v>
      </c>
      <c r="M745">
        <v>0</v>
      </c>
      <c r="N745">
        <v>2</v>
      </c>
      <c r="O745">
        <v>1</v>
      </c>
      <c r="P745">
        <v>0</v>
      </c>
      <c r="Q745">
        <v>0</v>
      </c>
      <c r="R745" t="s">
        <v>112</v>
      </c>
      <c r="S745" t="str">
        <f>"14:02:46.602"</f>
        <v>14:02:46.602</v>
      </c>
      <c r="T745" t="str">
        <f>"14:02:46.203"</f>
        <v>14:02:46.203</v>
      </c>
      <c r="U745" t="str">
        <f t="shared" si="33"/>
        <v>ad5732</v>
      </c>
      <c r="V745">
        <v>0</v>
      </c>
      <c r="W745">
        <v>0</v>
      </c>
      <c r="X745">
        <v>1</v>
      </c>
      <c r="Z745">
        <v>0</v>
      </c>
      <c r="AA745">
        <v>9</v>
      </c>
      <c r="AB745">
        <v>3</v>
      </c>
      <c r="AC745">
        <v>0</v>
      </c>
      <c r="AD745">
        <v>10</v>
      </c>
      <c r="AE745">
        <v>0</v>
      </c>
      <c r="AF745">
        <v>3</v>
      </c>
      <c r="AG745">
        <v>2</v>
      </c>
      <c r="AH745">
        <v>0</v>
      </c>
      <c r="AI745" t="s">
        <v>1587</v>
      </c>
      <c r="AJ745">
        <v>39.315733999999999</v>
      </c>
      <c r="AK745" t="s">
        <v>1588</v>
      </c>
      <c r="AL745">
        <v>-77.110590999999999</v>
      </c>
      <c r="AM745">
        <v>100</v>
      </c>
      <c r="AN745">
        <v>8700</v>
      </c>
      <c r="AO745" t="s">
        <v>115</v>
      </c>
      <c r="AP745">
        <v>177</v>
      </c>
      <c r="AQ745">
        <v>68</v>
      </c>
      <c r="AR745">
        <v>0</v>
      </c>
      <c r="AZ745">
        <v>3614</v>
      </c>
      <c r="BA745">
        <v>1</v>
      </c>
      <c r="BB745" t="str">
        <f t="shared" si="35"/>
        <v xml:space="preserve">N959MJ  </v>
      </c>
      <c r="BC745">
        <v>1</v>
      </c>
      <c r="BE745">
        <v>0</v>
      </c>
      <c r="BF745">
        <v>0</v>
      </c>
      <c r="BG745">
        <v>0</v>
      </c>
      <c r="BH745">
        <v>9025</v>
      </c>
      <c r="BI745">
        <v>325</v>
      </c>
      <c r="BJ745">
        <v>1</v>
      </c>
      <c r="BK745">
        <v>1</v>
      </c>
      <c r="BL745">
        <v>1</v>
      </c>
      <c r="BM745">
        <v>0</v>
      </c>
      <c r="BP745">
        <v>0</v>
      </c>
      <c r="BQ745">
        <v>0</v>
      </c>
      <c r="BX745" t="str">
        <f>"14:02:46.602"</f>
        <v>14:02:46.602</v>
      </c>
      <c r="BY745" t="str">
        <f>"601583577"</f>
        <v>601583577</v>
      </c>
      <c r="CL745">
        <v>0</v>
      </c>
      <c r="CM745">
        <v>2</v>
      </c>
      <c r="CN745">
        <v>0</v>
      </c>
      <c r="CO745">
        <v>2</v>
      </c>
      <c r="CP745">
        <v>0</v>
      </c>
      <c r="CQ745">
        <v>7</v>
      </c>
      <c r="CR745" t="s">
        <v>116</v>
      </c>
      <c r="CS745">
        <v>525</v>
      </c>
      <c r="CT745">
        <v>1</v>
      </c>
      <c r="CU745" t="s">
        <v>140</v>
      </c>
      <c r="CV745" t="s">
        <v>141</v>
      </c>
      <c r="CY745">
        <v>8240218</v>
      </c>
      <c r="CZ745" t="s">
        <v>119</v>
      </c>
    </row>
    <row r="746" spans="1:104" x14ac:dyDescent="0.25">
      <c r="A746" t="str">
        <f>"14:02:47.813"</f>
        <v>14:02:47.813</v>
      </c>
      <c r="B746" t="s">
        <v>108</v>
      </c>
      <c r="C746" t="str">
        <f t="shared" si="34"/>
        <v>ffdfd3c0</v>
      </c>
      <c r="D746" t="s">
        <v>109</v>
      </c>
      <c r="E746">
        <v>4</v>
      </c>
      <c r="F746">
        <v>1004</v>
      </c>
      <c r="G746" t="s">
        <v>110</v>
      </c>
      <c r="J746" t="s">
        <v>111</v>
      </c>
      <c r="K746">
        <v>0</v>
      </c>
      <c r="L746">
        <v>3</v>
      </c>
      <c r="M746">
        <v>0</v>
      </c>
      <c r="N746">
        <v>2</v>
      </c>
      <c r="O746">
        <v>1</v>
      </c>
      <c r="P746">
        <v>0</v>
      </c>
      <c r="Q746">
        <v>0</v>
      </c>
      <c r="R746" t="s">
        <v>112</v>
      </c>
      <c r="S746" t="str">
        <f>"14:02:47.633"</f>
        <v>14:02:47.633</v>
      </c>
      <c r="T746" t="str">
        <f>"14:02:47.133"</f>
        <v>14:02:47.133</v>
      </c>
      <c r="U746" t="str">
        <f t="shared" si="33"/>
        <v>ad5732</v>
      </c>
      <c r="V746">
        <v>0</v>
      </c>
      <c r="W746">
        <v>0</v>
      </c>
      <c r="X746">
        <v>1</v>
      </c>
      <c r="Z746">
        <v>0</v>
      </c>
      <c r="AA746">
        <v>9</v>
      </c>
      <c r="AB746">
        <v>3</v>
      </c>
      <c r="AC746">
        <v>0</v>
      </c>
      <c r="AD746">
        <v>10</v>
      </c>
      <c r="AE746">
        <v>0</v>
      </c>
      <c r="AF746">
        <v>3</v>
      </c>
      <c r="AG746">
        <v>2</v>
      </c>
      <c r="AH746">
        <v>0</v>
      </c>
      <c r="AI746" t="s">
        <v>1589</v>
      </c>
      <c r="AJ746">
        <v>39.316056000000003</v>
      </c>
      <c r="AK746" t="s">
        <v>1590</v>
      </c>
      <c r="AL746">
        <v>-77.109560999999999</v>
      </c>
      <c r="AM746">
        <v>100</v>
      </c>
      <c r="AN746">
        <v>8700</v>
      </c>
      <c r="AO746" t="s">
        <v>115</v>
      </c>
      <c r="AP746">
        <v>176</v>
      </c>
      <c r="AQ746">
        <v>68</v>
      </c>
      <c r="AR746">
        <v>0</v>
      </c>
      <c r="AZ746">
        <v>3614</v>
      </c>
      <c r="BA746">
        <v>1</v>
      </c>
      <c r="BB746" t="str">
        <f t="shared" si="35"/>
        <v xml:space="preserve">N959MJ  </v>
      </c>
      <c r="BC746">
        <v>1</v>
      </c>
      <c r="BE746">
        <v>0</v>
      </c>
      <c r="BF746">
        <v>0</v>
      </c>
      <c r="BG746">
        <v>0</v>
      </c>
      <c r="BH746">
        <v>9025</v>
      </c>
      <c r="BI746">
        <v>325</v>
      </c>
      <c r="BJ746">
        <v>1</v>
      </c>
      <c r="BK746">
        <v>1</v>
      </c>
      <c r="BL746">
        <v>1</v>
      </c>
      <c r="BM746">
        <v>0</v>
      </c>
      <c r="BP746">
        <v>0</v>
      </c>
      <c r="BQ746">
        <v>0</v>
      </c>
      <c r="BX746" t="str">
        <f>"14:02:47.641"</f>
        <v>14:02:47.641</v>
      </c>
      <c r="BY746" t="str">
        <f>"637069398"</f>
        <v>637069398</v>
      </c>
      <c r="CL746">
        <v>0</v>
      </c>
      <c r="CM746">
        <v>2</v>
      </c>
      <c r="CN746">
        <v>0</v>
      </c>
      <c r="CO746">
        <v>2</v>
      </c>
      <c r="CP746">
        <v>0</v>
      </c>
      <c r="CQ746">
        <v>7</v>
      </c>
      <c r="CR746" t="s">
        <v>116</v>
      </c>
      <c r="CS746">
        <v>525</v>
      </c>
      <c r="CT746">
        <v>1</v>
      </c>
      <c r="CU746" t="s">
        <v>140</v>
      </c>
      <c r="CV746" t="s">
        <v>141</v>
      </c>
      <c r="CY746">
        <v>8241726</v>
      </c>
      <c r="CZ746" t="s">
        <v>119</v>
      </c>
    </row>
    <row r="747" spans="1:104" x14ac:dyDescent="0.25">
      <c r="A747" t="str">
        <f>"14:02:48.719"</f>
        <v>14:02:48.719</v>
      </c>
      <c r="B747" t="s">
        <v>108</v>
      </c>
      <c r="C747" t="str">
        <f t="shared" si="34"/>
        <v>ffdfd3c0</v>
      </c>
      <c r="D747" t="s">
        <v>109</v>
      </c>
      <c r="E747">
        <v>4</v>
      </c>
      <c r="F747">
        <v>1004</v>
      </c>
      <c r="G747" t="s">
        <v>110</v>
      </c>
      <c r="J747" t="s">
        <v>111</v>
      </c>
      <c r="K747">
        <v>0</v>
      </c>
      <c r="L747">
        <v>3</v>
      </c>
      <c r="M747">
        <v>0</v>
      </c>
      <c r="N747">
        <v>2</v>
      </c>
      <c r="O747">
        <v>1</v>
      </c>
      <c r="P747">
        <v>0</v>
      </c>
      <c r="Q747">
        <v>0</v>
      </c>
      <c r="R747" t="s">
        <v>112</v>
      </c>
      <c r="S747" t="str">
        <f>"14:02:48.570"</f>
        <v>14:02:48.570</v>
      </c>
      <c r="T747" t="str">
        <f>"14:02:48.273"</f>
        <v>14:02:48.273</v>
      </c>
      <c r="U747" t="str">
        <f t="shared" si="33"/>
        <v>ad5732</v>
      </c>
      <c r="V747">
        <v>0</v>
      </c>
      <c r="W747">
        <v>0</v>
      </c>
      <c r="X747">
        <v>1</v>
      </c>
      <c r="Z747">
        <v>0</v>
      </c>
      <c r="AA747">
        <v>9</v>
      </c>
      <c r="AB747">
        <v>3</v>
      </c>
      <c r="AC747">
        <v>0</v>
      </c>
      <c r="AD747">
        <v>10</v>
      </c>
      <c r="AE747">
        <v>0</v>
      </c>
      <c r="AF747">
        <v>3</v>
      </c>
      <c r="AG747">
        <v>2</v>
      </c>
      <c r="AH747">
        <v>0</v>
      </c>
      <c r="AI747" t="s">
        <v>1591</v>
      </c>
      <c r="AJ747">
        <v>39.316355999999999</v>
      </c>
      <c r="AK747" t="s">
        <v>1592</v>
      </c>
      <c r="AL747">
        <v>-77.108552000000003</v>
      </c>
      <c r="AM747">
        <v>100</v>
      </c>
      <c r="AN747">
        <v>8700</v>
      </c>
      <c r="AO747" t="s">
        <v>115</v>
      </c>
      <c r="AP747">
        <v>176</v>
      </c>
      <c r="AQ747">
        <v>68</v>
      </c>
      <c r="AR747">
        <v>0</v>
      </c>
      <c r="AZ747">
        <v>3614</v>
      </c>
      <c r="BA747">
        <v>1</v>
      </c>
      <c r="BB747" t="str">
        <f t="shared" si="35"/>
        <v xml:space="preserve">N959MJ  </v>
      </c>
      <c r="BC747">
        <v>1</v>
      </c>
      <c r="BE747">
        <v>0</v>
      </c>
      <c r="BF747">
        <v>0</v>
      </c>
      <c r="BG747">
        <v>0</v>
      </c>
      <c r="BH747">
        <v>9025</v>
      </c>
      <c r="BI747">
        <v>325</v>
      </c>
      <c r="BJ747">
        <v>1</v>
      </c>
      <c r="BK747">
        <v>1</v>
      </c>
      <c r="BL747">
        <v>1</v>
      </c>
      <c r="BM747">
        <v>0</v>
      </c>
      <c r="BP747">
        <v>0</v>
      </c>
      <c r="BQ747">
        <v>0</v>
      </c>
      <c r="BX747" t="str">
        <f>"14:02:48.578"</f>
        <v>14:02:48.578</v>
      </c>
      <c r="BY747" t="str">
        <f>"574453826"</f>
        <v>574453826</v>
      </c>
      <c r="CL747">
        <v>0</v>
      </c>
      <c r="CM747">
        <v>2</v>
      </c>
      <c r="CN747">
        <v>0</v>
      </c>
      <c r="CO747">
        <v>2</v>
      </c>
      <c r="CP747">
        <v>0</v>
      </c>
      <c r="CQ747">
        <v>6</v>
      </c>
      <c r="CR747" t="s">
        <v>116</v>
      </c>
      <c r="CS747">
        <v>373</v>
      </c>
      <c r="CT747">
        <v>3</v>
      </c>
      <c r="CU747" t="s">
        <v>224</v>
      </c>
      <c r="CV747" t="s">
        <v>225</v>
      </c>
      <c r="CY747">
        <v>2683264</v>
      </c>
      <c r="CZ747" t="s">
        <v>119</v>
      </c>
    </row>
    <row r="748" spans="1:104" x14ac:dyDescent="0.25">
      <c r="A748" t="str">
        <f>"14:02:49.727"</f>
        <v>14:02:49.727</v>
      </c>
      <c r="B748" t="s">
        <v>108</v>
      </c>
      <c r="C748" t="str">
        <f t="shared" si="34"/>
        <v>ffdfd3c0</v>
      </c>
      <c r="D748" t="s">
        <v>109</v>
      </c>
      <c r="E748">
        <v>4</v>
      </c>
      <c r="F748">
        <v>1004</v>
      </c>
      <c r="G748" t="s">
        <v>110</v>
      </c>
      <c r="J748" t="s">
        <v>111</v>
      </c>
      <c r="K748">
        <v>0</v>
      </c>
      <c r="L748">
        <v>3</v>
      </c>
      <c r="M748">
        <v>0</v>
      </c>
      <c r="N748">
        <v>2</v>
      </c>
      <c r="O748">
        <v>1</v>
      </c>
      <c r="P748">
        <v>0</v>
      </c>
      <c r="Q748">
        <v>0</v>
      </c>
      <c r="R748" t="s">
        <v>112</v>
      </c>
      <c r="S748" t="str">
        <f>"14:02:49.531"</f>
        <v>14:02:49.531</v>
      </c>
      <c r="T748" t="str">
        <f>"14:02:49.133"</f>
        <v>14:02:49.133</v>
      </c>
      <c r="U748" t="str">
        <f t="shared" si="33"/>
        <v>ad5732</v>
      </c>
      <c r="V748">
        <v>0</v>
      </c>
      <c r="W748">
        <v>0</v>
      </c>
      <c r="X748">
        <v>1</v>
      </c>
      <c r="Z748">
        <v>0</v>
      </c>
      <c r="AA748">
        <v>9</v>
      </c>
      <c r="AB748">
        <v>3</v>
      </c>
      <c r="AC748">
        <v>0</v>
      </c>
      <c r="AD748">
        <v>10</v>
      </c>
      <c r="AE748">
        <v>0</v>
      </c>
      <c r="AF748">
        <v>3</v>
      </c>
      <c r="AG748">
        <v>2</v>
      </c>
      <c r="AH748">
        <v>0</v>
      </c>
      <c r="AI748" t="s">
        <v>1593</v>
      </c>
      <c r="AJ748">
        <v>39.316678000000003</v>
      </c>
      <c r="AK748" t="s">
        <v>1594</v>
      </c>
      <c r="AL748">
        <v>-77.107544000000004</v>
      </c>
      <c r="AM748">
        <v>100</v>
      </c>
      <c r="AN748">
        <v>8700</v>
      </c>
      <c r="AO748" t="s">
        <v>115</v>
      </c>
      <c r="AP748">
        <v>176</v>
      </c>
      <c r="AQ748">
        <v>69</v>
      </c>
      <c r="AR748">
        <v>64</v>
      </c>
      <c r="AZ748">
        <v>3614</v>
      </c>
      <c r="BA748">
        <v>1</v>
      </c>
      <c r="BB748" t="str">
        <f t="shared" si="35"/>
        <v xml:space="preserve">N959MJ  </v>
      </c>
      <c r="BC748">
        <v>1</v>
      </c>
      <c r="BE748">
        <v>0</v>
      </c>
      <c r="BF748">
        <v>0</v>
      </c>
      <c r="BG748">
        <v>0</v>
      </c>
      <c r="BH748">
        <v>9025</v>
      </c>
      <c r="BI748">
        <v>325</v>
      </c>
      <c r="BJ748">
        <v>1</v>
      </c>
      <c r="BK748">
        <v>1</v>
      </c>
      <c r="BL748">
        <v>1</v>
      </c>
      <c r="BM748">
        <v>0</v>
      </c>
      <c r="BP748">
        <v>0</v>
      </c>
      <c r="BQ748">
        <v>0</v>
      </c>
      <c r="BX748" t="str">
        <f>"14:02:49.539"</f>
        <v>14:02:49.539</v>
      </c>
      <c r="BY748" t="str">
        <f>"537644743"</f>
        <v>537644743</v>
      </c>
      <c r="CL748">
        <v>0</v>
      </c>
      <c r="CM748">
        <v>2</v>
      </c>
      <c r="CN748">
        <v>0</v>
      </c>
      <c r="CO748">
        <v>2</v>
      </c>
      <c r="CP748">
        <v>0</v>
      </c>
      <c r="CQ748">
        <v>7</v>
      </c>
      <c r="CR748" t="s">
        <v>116</v>
      </c>
      <c r="CS748">
        <v>525</v>
      </c>
      <c r="CT748">
        <v>1</v>
      </c>
      <c r="CU748" t="s">
        <v>140</v>
      </c>
      <c r="CV748" t="s">
        <v>141</v>
      </c>
      <c r="CY748">
        <v>8244411</v>
      </c>
      <c r="CZ748" t="s">
        <v>119</v>
      </c>
    </row>
    <row r="749" spans="1:104" x14ac:dyDescent="0.25">
      <c r="A749" t="str">
        <f>"14:02:50.641"</f>
        <v>14:02:50.641</v>
      </c>
      <c r="B749" t="s">
        <v>108</v>
      </c>
      <c r="C749" t="str">
        <f t="shared" si="34"/>
        <v>ffdfd3c0</v>
      </c>
      <c r="D749" t="s">
        <v>109</v>
      </c>
      <c r="E749">
        <v>4</v>
      </c>
      <c r="F749">
        <v>1004</v>
      </c>
      <c r="G749" t="s">
        <v>110</v>
      </c>
      <c r="J749" t="s">
        <v>111</v>
      </c>
      <c r="K749">
        <v>0</v>
      </c>
      <c r="L749">
        <v>3</v>
      </c>
      <c r="M749">
        <v>0</v>
      </c>
      <c r="N749">
        <v>2</v>
      </c>
      <c r="O749">
        <v>1</v>
      </c>
      <c r="P749">
        <v>0</v>
      </c>
      <c r="Q749">
        <v>0</v>
      </c>
      <c r="R749" t="s">
        <v>112</v>
      </c>
      <c r="S749" t="str">
        <f>"14:02:50.453"</f>
        <v>14:02:50.453</v>
      </c>
      <c r="T749" t="str">
        <f>"14:02:50.055"</f>
        <v>14:02:50.055</v>
      </c>
      <c r="U749" t="str">
        <f t="shared" si="33"/>
        <v>ad5732</v>
      </c>
      <c r="V749">
        <v>0</v>
      </c>
      <c r="W749">
        <v>0</v>
      </c>
      <c r="X749">
        <v>1</v>
      </c>
      <c r="Z749">
        <v>0</v>
      </c>
      <c r="AA749">
        <v>9</v>
      </c>
      <c r="AB749">
        <v>3</v>
      </c>
      <c r="AC749">
        <v>0</v>
      </c>
      <c r="AD749">
        <v>10</v>
      </c>
      <c r="AE749">
        <v>0</v>
      </c>
      <c r="AF749">
        <v>3</v>
      </c>
      <c r="AG749">
        <v>2</v>
      </c>
      <c r="AH749">
        <v>0</v>
      </c>
      <c r="AI749" t="s">
        <v>1595</v>
      </c>
      <c r="AJ749">
        <v>39.316957000000002</v>
      </c>
      <c r="AK749" t="s">
        <v>1596</v>
      </c>
      <c r="AL749">
        <v>-77.106556999999995</v>
      </c>
      <c r="AM749">
        <v>100</v>
      </c>
      <c r="AN749">
        <v>8700</v>
      </c>
      <c r="AO749" t="s">
        <v>115</v>
      </c>
      <c r="AP749">
        <v>176</v>
      </c>
      <c r="AQ749">
        <v>69</v>
      </c>
      <c r="AR749">
        <v>64</v>
      </c>
      <c r="AZ749">
        <v>3614</v>
      </c>
      <c r="BA749">
        <v>1</v>
      </c>
      <c r="BB749" t="str">
        <f t="shared" si="35"/>
        <v xml:space="preserve">N959MJ  </v>
      </c>
      <c r="BC749">
        <v>1</v>
      </c>
      <c r="BE749">
        <v>0</v>
      </c>
      <c r="BF749">
        <v>0</v>
      </c>
      <c r="BG749">
        <v>0</v>
      </c>
      <c r="BH749">
        <v>9025</v>
      </c>
      <c r="BI749">
        <v>325</v>
      </c>
      <c r="BJ749">
        <v>1</v>
      </c>
      <c r="BK749">
        <v>1</v>
      </c>
      <c r="BL749">
        <v>1</v>
      </c>
      <c r="BM749">
        <v>0</v>
      </c>
      <c r="BP749">
        <v>0</v>
      </c>
      <c r="BQ749">
        <v>0</v>
      </c>
      <c r="BX749" t="str">
        <f>"14:02:50.461"</f>
        <v>14:02:50.461</v>
      </c>
      <c r="BY749" t="str">
        <f>"460270441"</f>
        <v>460270441</v>
      </c>
      <c r="CL749">
        <v>0</v>
      </c>
      <c r="CM749">
        <v>2</v>
      </c>
      <c r="CN749">
        <v>0</v>
      </c>
      <c r="CO749">
        <v>2</v>
      </c>
      <c r="CP749">
        <v>0</v>
      </c>
      <c r="CQ749">
        <v>5</v>
      </c>
      <c r="CR749" t="s">
        <v>116</v>
      </c>
      <c r="CS749">
        <v>396</v>
      </c>
      <c r="CT749">
        <v>2</v>
      </c>
      <c r="CU749" t="s">
        <v>939</v>
      </c>
      <c r="CV749" t="s">
        <v>940</v>
      </c>
      <c r="CY749">
        <v>4042966</v>
      </c>
      <c r="CZ749" t="s">
        <v>119</v>
      </c>
    </row>
    <row r="750" spans="1:104" x14ac:dyDescent="0.25">
      <c r="A750" t="str">
        <f>"14:02:51.602"</f>
        <v>14:02:51.602</v>
      </c>
      <c r="B750" t="s">
        <v>108</v>
      </c>
      <c r="C750" t="str">
        <f t="shared" si="34"/>
        <v>ffdfd3c0</v>
      </c>
      <c r="D750" t="s">
        <v>109</v>
      </c>
      <c r="E750">
        <v>4</v>
      </c>
      <c r="F750">
        <v>1004</v>
      </c>
      <c r="G750" t="s">
        <v>110</v>
      </c>
      <c r="J750" t="s">
        <v>111</v>
      </c>
      <c r="K750">
        <v>0</v>
      </c>
      <c r="L750">
        <v>3</v>
      </c>
      <c r="M750">
        <v>0</v>
      </c>
      <c r="N750">
        <v>2</v>
      </c>
      <c r="O750">
        <v>1</v>
      </c>
      <c r="P750">
        <v>0</v>
      </c>
      <c r="Q750">
        <v>0</v>
      </c>
      <c r="R750" t="s">
        <v>112</v>
      </c>
      <c r="S750" t="str">
        <f>"14:02:51.406"</f>
        <v>14:02:51.406</v>
      </c>
      <c r="T750" t="str">
        <f>"14:02:51.008"</f>
        <v>14:02:51.008</v>
      </c>
      <c r="U750" t="str">
        <f t="shared" si="33"/>
        <v>ad5732</v>
      </c>
      <c r="V750">
        <v>0</v>
      </c>
      <c r="W750">
        <v>0</v>
      </c>
      <c r="X750">
        <v>1</v>
      </c>
      <c r="Z750">
        <v>0</v>
      </c>
      <c r="AA750">
        <v>9</v>
      </c>
      <c r="AB750">
        <v>3</v>
      </c>
      <c r="AC750">
        <v>0</v>
      </c>
      <c r="AD750">
        <v>10</v>
      </c>
      <c r="AE750">
        <v>0</v>
      </c>
      <c r="AF750">
        <v>3</v>
      </c>
      <c r="AG750">
        <v>2</v>
      </c>
      <c r="AH750">
        <v>0</v>
      </c>
      <c r="AI750" t="s">
        <v>1597</v>
      </c>
      <c r="AJ750">
        <v>39.317278999999999</v>
      </c>
      <c r="AK750" t="s">
        <v>1598</v>
      </c>
      <c r="AL750">
        <v>-77.105526999999995</v>
      </c>
      <c r="AM750">
        <v>100</v>
      </c>
      <c r="AN750">
        <v>8700</v>
      </c>
      <c r="AO750" t="s">
        <v>115</v>
      </c>
      <c r="AP750">
        <v>176</v>
      </c>
      <c r="AQ750">
        <v>70</v>
      </c>
      <c r="AR750">
        <v>64</v>
      </c>
      <c r="AZ750">
        <v>3614</v>
      </c>
      <c r="BA750">
        <v>1</v>
      </c>
      <c r="BB750" t="str">
        <f t="shared" si="35"/>
        <v xml:space="preserve">N959MJ  </v>
      </c>
      <c r="BC750">
        <v>1</v>
      </c>
      <c r="BE750">
        <v>0</v>
      </c>
      <c r="BF750">
        <v>0</v>
      </c>
      <c r="BG750">
        <v>0</v>
      </c>
      <c r="BH750">
        <v>9025</v>
      </c>
      <c r="BI750">
        <v>325</v>
      </c>
      <c r="BJ750">
        <v>1</v>
      </c>
      <c r="BK750">
        <v>1</v>
      </c>
      <c r="BL750">
        <v>1</v>
      </c>
      <c r="BM750">
        <v>0</v>
      </c>
      <c r="BP750">
        <v>0</v>
      </c>
      <c r="BQ750">
        <v>0</v>
      </c>
      <c r="BX750" t="str">
        <f>"14:02:51.406"</f>
        <v>14:02:51.406</v>
      </c>
      <c r="BY750" t="str">
        <f>"408728161"</f>
        <v>408728161</v>
      </c>
      <c r="CL750">
        <v>0</v>
      </c>
      <c r="CM750">
        <v>2</v>
      </c>
      <c r="CN750">
        <v>0</v>
      </c>
      <c r="CO750">
        <v>2</v>
      </c>
      <c r="CP750">
        <v>0</v>
      </c>
      <c r="CQ750">
        <v>7</v>
      </c>
      <c r="CR750" t="s">
        <v>116</v>
      </c>
      <c r="CS750">
        <v>525</v>
      </c>
      <c r="CT750">
        <v>1</v>
      </c>
      <c r="CU750" t="s">
        <v>140</v>
      </c>
      <c r="CV750" t="s">
        <v>141</v>
      </c>
      <c r="CY750">
        <v>8247149</v>
      </c>
      <c r="CZ750" t="s">
        <v>119</v>
      </c>
    </row>
    <row r="751" spans="1:104" x14ac:dyDescent="0.25">
      <c r="A751" t="str">
        <f>"14:02:52.555"</f>
        <v>14:02:52.555</v>
      </c>
      <c r="B751" t="s">
        <v>108</v>
      </c>
      <c r="C751" t="str">
        <f t="shared" si="34"/>
        <v>ffdfd3c0</v>
      </c>
      <c r="D751" t="s">
        <v>109</v>
      </c>
      <c r="E751">
        <v>4</v>
      </c>
      <c r="F751">
        <v>1004</v>
      </c>
      <c r="G751" t="s">
        <v>110</v>
      </c>
      <c r="J751" t="s">
        <v>111</v>
      </c>
      <c r="K751">
        <v>0</v>
      </c>
      <c r="L751">
        <v>3</v>
      </c>
      <c r="M751">
        <v>0</v>
      </c>
      <c r="N751">
        <v>2</v>
      </c>
      <c r="O751">
        <v>1</v>
      </c>
      <c r="P751">
        <v>0</v>
      </c>
      <c r="Q751">
        <v>0</v>
      </c>
      <c r="R751" t="s">
        <v>112</v>
      </c>
      <c r="S751" t="str">
        <f>"14:02:52.367"</f>
        <v>14:02:52.367</v>
      </c>
      <c r="T751" t="str">
        <f>"14:02:51.969"</f>
        <v>14:02:51.969</v>
      </c>
      <c r="U751" t="str">
        <f t="shared" si="33"/>
        <v>ad5732</v>
      </c>
      <c r="V751">
        <v>0</v>
      </c>
      <c r="W751">
        <v>0</v>
      </c>
      <c r="X751">
        <v>1</v>
      </c>
      <c r="Z751">
        <v>0</v>
      </c>
      <c r="AA751">
        <v>9</v>
      </c>
      <c r="AB751">
        <v>3</v>
      </c>
      <c r="AC751">
        <v>0</v>
      </c>
      <c r="AD751">
        <v>10</v>
      </c>
      <c r="AE751">
        <v>0</v>
      </c>
      <c r="AF751">
        <v>3</v>
      </c>
      <c r="AG751">
        <v>2</v>
      </c>
      <c r="AH751">
        <v>0</v>
      </c>
      <c r="AI751" t="s">
        <v>1599</v>
      </c>
      <c r="AJ751">
        <v>39.317557999999998</v>
      </c>
      <c r="AK751" t="s">
        <v>1600</v>
      </c>
      <c r="AL751">
        <v>-77.104625999999996</v>
      </c>
      <c r="AM751">
        <v>100</v>
      </c>
      <c r="AN751">
        <v>8700</v>
      </c>
      <c r="AO751" t="s">
        <v>115</v>
      </c>
      <c r="AP751">
        <v>176</v>
      </c>
      <c r="AQ751">
        <v>70</v>
      </c>
      <c r="AR751">
        <v>0</v>
      </c>
      <c r="AZ751">
        <v>3614</v>
      </c>
      <c r="BA751">
        <v>1</v>
      </c>
      <c r="BB751" t="str">
        <f t="shared" si="35"/>
        <v xml:space="preserve">N959MJ  </v>
      </c>
      <c r="BC751">
        <v>1</v>
      </c>
      <c r="BE751">
        <v>0</v>
      </c>
      <c r="BF751">
        <v>0</v>
      </c>
      <c r="BG751">
        <v>0</v>
      </c>
      <c r="BH751">
        <v>9025</v>
      </c>
      <c r="BI751">
        <v>325</v>
      </c>
      <c r="BJ751">
        <v>1</v>
      </c>
      <c r="BK751">
        <v>1</v>
      </c>
      <c r="BL751">
        <v>1</v>
      </c>
      <c r="BM751">
        <v>0</v>
      </c>
      <c r="BP751">
        <v>0</v>
      </c>
      <c r="BQ751">
        <v>0</v>
      </c>
      <c r="BX751" t="str">
        <f>"14:02:52.367"</f>
        <v>14:02:52.367</v>
      </c>
      <c r="BY751" t="str">
        <f>"367385027"</f>
        <v>367385027</v>
      </c>
      <c r="CL751">
        <v>0</v>
      </c>
      <c r="CM751">
        <v>2</v>
      </c>
      <c r="CN751">
        <v>0</v>
      </c>
      <c r="CO751">
        <v>2</v>
      </c>
      <c r="CP751">
        <v>0</v>
      </c>
      <c r="CQ751">
        <v>6</v>
      </c>
      <c r="CR751" t="s">
        <v>116</v>
      </c>
      <c r="CS751">
        <v>372</v>
      </c>
      <c r="CT751">
        <v>2</v>
      </c>
      <c r="CU751" t="s">
        <v>877</v>
      </c>
      <c r="CV751" t="s">
        <v>878</v>
      </c>
      <c r="CY751">
        <v>9446932</v>
      </c>
      <c r="CZ751" t="s">
        <v>119</v>
      </c>
    </row>
    <row r="752" spans="1:104" x14ac:dyDescent="0.25">
      <c r="A752" t="str">
        <f>"14:02:53.617"</f>
        <v>14:02:53.617</v>
      </c>
      <c r="B752" t="s">
        <v>108</v>
      </c>
      <c r="C752" t="str">
        <f t="shared" si="34"/>
        <v>ffdfd3c0</v>
      </c>
      <c r="D752" t="s">
        <v>109</v>
      </c>
      <c r="E752">
        <v>4</v>
      </c>
      <c r="F752">
        <v>1004</v>
      </c>
      <c r="G752" t="s">
        <v>110</v>
      </c>
      <c r="J752" t="s">
        <v>111</v>
      </c>
      <c r="K752">
        <v>0</v>
      </c>
      <c r="L752">
        <v>3</v>
      </c>
      <c r="M752">
        <v>0</v>
      </c>
      <c r="N752">
        <v>2</v>
      </c>
      <c r="O752">
        <v>1</v>
      </c>
      <c r="P752">
        <v>0</v>
      </c>
      <c r="Q752">
        <v>0</v>
      </c>
      <c r="R752" t="s">
        <v>112</v>
      </c>
      <c r="S752" t="str">
        <f>"14:02:53.445"</f>
        <v>14:02:53.445</v>
      </c>
      <c r="T752" t="str">
        <f>"14:02:52.945"</f>
        <v>14:02:52.945</v>
      </c>
      <c r="U752" t="str">
        <f t="shared" si="33"/>
        <v>ad5732</v>
      </c>
      <c r="V752">
        <v>0</v>
      </c>
      <c r="W752">
        <v>0</v>
      </c>
      <c r="X752">
        <v>1</v>
      </c>
      <c r="Z752">
        <v>0</v>
      </c>
      <c r="AA752">
        <v>9</v>
      </c>
      <c r="AB752">
        <v>3</v>
      </c>
      <c r="AC752">
        <v>0</v>
      </c>
      <c r="AD752">
        <v>10</v>
      </c>
      <c r="AE752">
        <v>0</v>
      </c>
      <c r="AF752">
        <v>3</v>
      </c>
      <c r="AG752">
        <v>2</v>
      </c>
      <c r="AH752">
        <v>0</v>
      </c>
      <c r="AI752" t="s">
        <v>1601</v>
      </c>
      <c r="AJ752">
        <v>39.317923</v>
      </c>
      <c r="AK752" t="s">
        <v>1602</v>
      </c>
      <c r="AL752">
        <v>-77.103446000000005</v>
      </c>
      <c r="AM752">
        <v>100</v>
      </c>
      <c r="AN752">
        <v>8700</v>
      </c>
      <c r="AO752" t="s">
        <v>115</v>
      </c>
      <c r="AP752">
        <v>175</v>
      </c>
      <c r="AQ752">
        <v>71</v>
      </c>
      <c r="AR752">
        <v>0</v>
      </c>
      <c r="AZ752">
        <v>3614</v>
      </c>
      <c r="BA752">
        <v>1</v>
      </c>
      <c r="BB752" t="str">
        <f t="shared" si="35"/>
        <v xml:space="preserve">N959MJ  </v>
      </c>
      <c r="BC752">
        <v>1</v>
      </c>
      <c r="BE752">
        <v>0</v>
      </c>
      <c r="BF752">
        <v>0</v>
      </c>
      <c r="BG752">
        <v>0</v>
      </c>
      <c r="BH752">
        <v>9025</v>
      </c>
      <c r="BI752">
        <v>325</v>
      </c>
      <c r="BJ752">
        <v>1</v>
      </c>
      <c r="BK752">
        <v>1</v>
      </c>
      <c r="BL752">
        <v>1</v>
      </c>
      <c r="BM752">
        <v>0</v>
      </c>
      <c r="BP752">
        <v>0</v>
      </c>
      <c r="BQ752">
        <v>0</v>
      </c>
      <c r="BX752" t="str">
        <f>"14:02:53.445"</f>
        <v>14:02:53.445</v>
      </c>
      <c r="BY752" t="str">
        <f>"448569698"</f>
        <v>448569698</v>
      </c>
      <c r="CL752">
        <v>0</v>
      </c>
      <c r="CM752">
        <v>2</v>
      </c>
      <c r="CN752">
        <v>0</v>
      </c>
      <c r="CO752">
        <v>2</v>
      </c>
      <c r="CP752">
        <v>0</v>
      </c>
      <c r="CQ752">
        <v>7</v>
      </c>
      <c r="CR752" t="s">
        <v>116</v>
      </c>
      <c r="CS752">
        <v>525</v>
      </c>
      <c r="CT752">
        <v>1</v>
      </c>
      <c r="CU752" t="s">
        <v>140</v>
      </c>
      <c r="CV752" t="s">
        <v>141</v>
      </c>
      <c r="CY752">
        <v>8249968</v>
      </c>
      <c r="CZ752" t="s">
        <v>119</v>
      </c>
    </row>
    <row r="753" spans="1:104" x14ac:dyDescent="0.25">
      <c r="A753" t="str">
        <f>"14:02:54.578"</f>
        <v>14:02:54.578</v>
      </c>
      <c r="B753" t="s">
        <v>108</v>
      </c>
      <c r="C753" t="str">
        <f t="shared" si="34"/>
        <v>ffdfd3c0</v>
      </c>
      <c r="D753" t="s">
        <v>109</v>
      </c>
      <c r="E753">
        <v>4</v>
      </c>
      <c r="F753">
        <v>1004</v>
      </c>
      <c r="G753" t="s">
        <v>110</v>
      </c>
      <c r="J753" t="s">
        <v>111</v>
      </c>
      <c r="K753">
        <v>0</v>
      </c>
      <c r="L753">
        <v>3</v>
      </c>
      <c r="M753">
        <v>0</v>
      </c>
      <c r="N753">
        <v>2</v>
      </c>
      <c r="O753">
        <v>1</v>
      </c>
      <c r="P753">
        <v>0</v>
      </c>
      <c r="Q753">
        <v>0</v>
      </c>
      <c r="R753" t="s">
        <v>112</v>
      </c>
      <c r="S753" t="str">
        <f>"14:02:54.375"</f>
        <v>14:02:54.375</v>
      </c>
      <c r="T753" t="str">
        <f>"14:02:53.977"</f>
        <v>14:02:53.977</v>
      </c>
      <c r="U753" t="str">
        <f t="shared" si="33"/>
        <v>ad5732</v>
      </c>
      <c r="V753">
        <v>0</v>
      </c>
      <c r="W753">
        <v>0</v>
      </c>
      <c r="X753">
        <v>1</v>
      </c>
      <c r="Z753">
        <v>0</v>
      </c>
      <c r="AA753">
        <v>9</v>
      </c>
      <c r="AB753">
        <v>3</v>
      </c>
      <c r="AC753">
        <v>0</v>
      </c>
      <c r="AD753">
        <v>10</v>
      </c>
      <c r="AE753">
        <v>0</v>
      </c>
      <c r="AF753">
        <v>3</v>
      </c>
      <c r="AG753">
        <v>2</v>
      </c>
      <c r="AH753">
        <v>0</v>
      </c>
      <c r="AI753" t="s">
        <v>1603</v>
      </c>
      <c r="AJ753">
        <v>39.318244</v>
      </c>
      <c r="AK753" t="s">
        <v>1604</v>
      </c>
      <c r="AL753">
        <v>-77.102416000000005</v>
      </c>
      <c r="AM753">
        <v>100</v>
      </c>
      <c r="AN753">
        <v>8700</v>
      </c>
      <c r="AO753" t="s">
        <v>115</v>
      </c>
      <c r="AP753">
        <v>175</v>
      </c>
      <c r="AQ753">
        <v>71</v>
      </c>
      <c r="AR753">
        <v>0</v>
      </c>
      <c r="AZ753">
        <v>3614</v>
      </c>
      <c r="BA753">
        <v>1</v>
      </c>
      <c r="BB753" t="str">
        <f t="shared" si="35"/>
        <v xml:space="preserve">N959MJ  </v>
      </c>
      <c r="BC753">
        <v>1</v>
      </c>
      <c r="BE753">
        <v>0</v>
      </c>
      <c r="BF753">
        <v>0</v>
      </c>
      <c r="BG753">
        <v>0</v>
      </c>
      <c r="BH753">
        <v>9025</v>
      </c>
      <c r="BI753">
        <v>325</v>
      </c>
      <c r="BJ753">
        <v>1</v>
      </c>
      <c r="BK753">
        <v>1</v>
      </c>
      <c r="BL753">
        <v>1</v>
      </c>
      <c r="BM753">
        <v>0</v>
      </c>
      <c r="BP753">
        <v>0</v>
      </c>
      <c r="BQ753">
        <v>0</v>
      </c>
      <c r="BX753" t="str">
        <f>"14:02:54.383"</f>
        <v>14:02:54.383</v>
      </c>
      <c r="BY753" t="str">
        <f>"379196211"</f>
        <v>379196211</v>
      </c>
      <c r="CL753">
        <v>0</v>
      </c>
      <c r="CM753">
        <v>2</v>
      </c>
      <c r="CN753">
        <v>0</v>
      </c>
      <c r="CO753">
        <v>2</v>
      </c>
      <c r="CP753">
        <v>0</v>
      </c>
      <c r="CQ753">
        <v>7</v>
      </c>
      <c r="CR753" t="s">
        <v>116</v>
      </c>
      <c r="CS753">
        <v>525</v>
      </c>
      <c r="CT753">
        <v>1</v>
      </c>
      <c r="CU753" t="s">
        <v>140</v>
      </c>
      <c r="CV753" t="s">
        <v>141</v>
      </c>
      <c r="CY753">
        <v>8251291</v>
      </c>
      <c r="CZ753" t="s">
        <v>119</v>
      </c>
    </row>
    <row r="754" spans="1:104" x14ac:dyDescent="0.25">
      <c r="A754" t="str">
        <f>"14:02:55.688"</f>
        <v>14:02:55.688</v>
      </c>
      <c r="B754" t="s">
        <v>108</v>
      </c>
      <c r="C754" t="str">
        <f t="shared" si="34"/>
        <v>ffdfd3c0</v>
      </c>
      <c r="D754" t="s">
        <v>109</v>
      </c>
      <c r="E754">
        <v>4</v>
      </c>
      <c r="F754">
        <v>1004</v>
      </c>
      <c r="G754" t="s">
        <v>110</v>
      </c>
      <c r="J754" t="s">
        <v>111</v>
      </c>
      <c r="K754">
        <v>0</v>
      </c>
      <c r="L754">
        <v>3</v>
      </c>
      <c r="M754">
        <v>0</v>
      </c>
      <c r="N754">
        <v>2</v>
      </c>
      <c r="O754">
        <v>1</v>
      </c>
      <c r="P754">
        <v>0</v>
      </c>
      <c r="Q754">
        <v>0</v>
      </c>
      <c r="R754" t="s">
        <v>112</v>
      </c>
      <c r="S754" t="str">
        <f>"14:02:55.484"</f>
        <v>14:02:55.484</v>
      </c>
      <c r="T754" t="str">
        <f>"14:02:54.984"</f>
        <v>14:02:54.984</v>
      </c>
      <c r="U754" t="str">
        <f t="shared" si="33"/>
        <v>ad5732</v>
      </c>
      <c r="V754">
        <v>0</v>
      </c>
      <c r="W754">
        <v>0</v>
      </c>
      <c r="X754">
        <v>1</v>
      </c>
      <c r="Z754">
        <v>0</v>
      </c>
      <c r="AA754">
        <v>9</v>
      </c>
      <c r="AB754">
        <v>3</v>
      </c>
      <c r="AC754">
        <v>0</v>
      </c>
      <c r="AD754">
        <v>10</v>
      </c>
      <c r="AE754">
        <v>0</v>
      </c>
      <c r="AF754">
        <v>3</v>
      </c>
      <c r="AG754">
        <v>2</v>
      </c>
      <c r="AH754">
        <v>0</v>
      </c>
      <c r="AI754" t="s">
        <v>1605</v>
      </c>
      <c r="AJ754">
        <v>39.318609000000002</v>
      </c>
      <c r="AK754" t="s">
        <v>1606</v>
      </c>
      <c r="AL754">
        <v>-77.101277999999994</v>
      </c>
      <c r="AM754">
        <v>100</v>
      </c>
      <c r="AN754">
        <v>8700</v>
      </c>
      <c r="AO754" t="s">
        <v>115</v>
      </c>
      <c r="AP754">
        <v>175</v>
      </c>
      <c r="AQ754">
        <v>72</v>
      </c>
      <c r="AR754">
        <v>0</v>
      </c>
      <c r="AZ754">
        <v>3614</v>
      </c>
      <c r="BA754">
        <v>1</v>
      </c>
      <c r="BB754" t="str">
        <f t="shared" si="35"/>
        <v xml:space="preserve">N959MJ  </v>
      </c>
      <c r="BC754">
        <v>1</v>
      </c>
      <c r="BE754">
        <v>0</v>
      </c>
      <c r="BF754">
        <v>0</v>
      </c>
      <c r="BG754">
        <v>0</v>
      </c>
      <c r="BH754">
        <v>9025</v>
      </c>
      <c r="BI754">
        <v>325</v>
      </c>
      <c r="BJ754">
        <v>1</v>
      </c>
      <c r="BK754">
        <v>1</v>
      </c>
      <c r="BL754">
        <v>1</v>
      </c>
      <c r="BM754">
        <v>0</v>
      </c>
      <c r="BP754">
        <v>0</v>
      </c>
      <c r="BQ754">
        <v>0</v>
      </c>
      <c r="BX754" t="str">
        <f>"14:02:55.492"</f>
        <v>14:02:55.492</v>
      </c>
      <c r="BY754" t="str">
        <f>"488614591"</f>
        <v>488614591</v>
      </c>
      <c r="CL754">
        <v>0</v>
      </c>
      <c r="CM754">
        <v>2</v>
      </c>
      <c r="CN754">
        <v>0</v>
      </c>
      <c r="CO754">
        <v>2</v>
      </c>
      <c r="CP754">
        <v>0</v>
      </c>
      <c r="CQ754">
        <v>5</v>
      </c>
      <c r="CR754" t="s">
        <v>116</v>
      </c>
      <c r="CS754">
        <v>373</v>
      </c>
      <c r="CT754">
        <v>3</v>
      </c>
      <c r="CU754" t="s">
        <v>224</v>
      </c>
      <c r="CV754" t="s">
        <v>225</v>
      </c>
      <c r="CY754">
        <v>2695483</v>
      </c>
      <c r="CZ754" t="s">
        <v>119</v>
      </c>
    </row>
    <row r="755" spans="1:104" x14ac:dyDescent="0.25">
      <c r="A755" t="str">
        <f>"14:02:56.695"</f>
        <v>14:02:56.695</v>
      </c>
      <c r="B755" t="s">
        <v>108</v>
      </c>
      <c r="C755" t="str">
        <f t="shared" si="34"/>
        <v>ffdfd3c0</v>
      </c>
      <c r="D755" t="s">
        <v>109</v>
      </c>
      <c r="E755">
        <v>4</v>
      </c>
      <c r="F755">
        <v>1004</v>
      </c>
      <c r="G755" t="s">
        <v>110</v>
      </c>
      <c r="J755" t="s">
        <v>111</v>
      </c>
      <c r="K755">
        <v>0</v>
      </c>
      <c r="L755">
        <v>3</v>
      </c>
      <c r="M755">
        <v>0</v>
      </c>
      <c r="N755">
        <v>2</v>
      </c>
      <c r="O755">
        <v>1</v>
      </c>
      <c r="P755">
        <v>0</v>
      </c>
      <c r="Q755">
        <v>0</v>
      </c>
      <c r="R755" t="s">
        <v>112</v>
      </c>
      <c r="S755" t="str">
        <f>"14:02:56.500"</f>
        <v>14:02:56.500</v>
      </c>
      <c r="T755" t="str">
        <f>"14:02:56.000"</f>
        <v>14:02:56.000</v>
      </c>
      <c r="U755" t="str">
        <f t="shared" si="33"/>
        <v>ad5732</v>
      </c>
      <c r="V755">
        <v>0</v>
      </c>
      <c r="W755">
        <v>0</v>
      </c>
      <c r="X755">
        <v>1</v>
      </c>
      <c r="Z755">
        <v>0</v>
      </c>
      <c r="AA755">
        <v>9</v>
      </c>
      <c r="AB755">
        <v>3</v>
      </c>
      <c r="AC755">
        <v>0</v>
      </c>
      <c r="AD755">
        <v>10</v>
      </c>
      <c r="AE755">
        <v>0</v>
      </c>
      <c r="AF755">
        <v>3</v>
      </c>
      <c r="AG755">
        <v>2</v>
      </c>
      <c r="AH755">
        <v>0</v>
      </c>
      <c r="AI755" t="s">
        <v>1607</v>
      </c>
      <c r="AJ755">
        <v>39.318973999999997</v>
      </c>
      <c r="AK755" t="s">
        <v>1608</v>
      </c>
      <c r="AL755">
        <v>-77.100205000000003</v>
      </c>
      <c r="AM755">
        <v>100</v>
      </c>
      <c r="AN755">
        <v>8700</v>
      </c>
      <c r="AO755" t="s">
        <v>115</v>
      </c>
      <c r="AP755">
        <v>175</v>
      </c>
      <c r="AQ755">
        <v>72</v>
      </c>
      <c r="AR755">
        <v>0</v>
      </c>
      <c r="AZ755">
        <v>3614</v>
      </c>
      <c r="BA755">
        <v>1</v>
      </c>
      <c r="BB755" t="str">
        <f t="shared" si="35"/>
        <v xml:space="preserve">N959MJ  </v>
      </c>
      <c r="BC755">
        <v>1</v>
      </c>
      <c r="BE755">
        <v>0</v>
      </c>
      <c r="BF755">
        <v>0</v>
      </c>
      <c r="BG755">
        <v>0</v>
      </c>
      <c r="BH755">
        <v>9025</v>
      </c>
      <c r="BI755">
        <v>325</v>
      </c>
      <c r="BJ755">
        <v>1</v>
      </c>
      <c r="BK755">
        <v>1</v>
      </c>
      <c r="BL755">
        <v>1</v>
      </c>
      <c r="BM755">
        <v>0</v>
      </c>
      <c r="BP755">
        <v>0</v>
      </c>
      <c r="BQ755">
        <v>0</v>
      </c>
      <c r="BX755" t="str">
        <f>"14:02:56.508"</f>
        <v>14:02:56.508</v>
      </c>
      <c r="BY755" t="str">
        <f>"507512811"</f>
        <v>507512811</v>
      </c>
      <c r="CL755">
        <v>0</v>
      </c>
      <c r="CM755">
        <v>2</v>
      </c>
      <c r="CN755">
        <v>0</v>
      </c>
      <c r="CO755">
        <v>2</v>
      </c>
      <c r="CP755">
        <v>0</v>
      </c>
      <c r="CQ755">
        <v>7</v>
      </c>
      <c r="CR755" t="s">
        <v>116</v>
      </c>
      <c r="CS755">
        <v>525</v>
      </c>
      <c r="CT755">
        <v>1</v>
      </c>
      <c r="CU755" t="s">
        <v>140</v>
      </c>
      <c r="CV755" t="s">
        <v>141</v>
      </c>
      <c r="CY755">
        <v>8254374</v>
      </c>
      <c r="CZ755" t="s">
        <v>119</v>
      </c>
    </row>
    <row r="756" spans="1:104" x14ac:dyDescent="0.25">
      <c r="A756" t="str">
        <f>"14:02:57.703"</f>
        <v>14:02:57.703</v>
      </c>
      <c r="B756" t="s">
        <v>108</v>
      </c>
      <c r="C756" t="str">
        <f t="shared" si="34"/>
        <v>ffdfd3c0</v>
      </c>
      <c r="D756" t="s">
        <v>109</v>
      </c>
      <c r="E756">
        <v>4</v>
      </c>
      <c r="F756">
        <v>1004</v>
      </c>
      <c r="G756" t="s">
        <v>110</v>
      </c>
      <c r="J756" t="s">
        <v>111</v>
      </c>
      <c r="K756">
        <v>0</v>
      </c>
      <c r="L756">
        <v>3</v>
      </c>
      <c r="M756">
        <v>0</v>
      </c>
      <c r="N756">
        <v>2</v>
      </c>
      <c r="O756">
        <v>1</v>
      </c>
      <c r="P756">
        <v>0</v>
      </c>
      <c r="Q756">
        <v>0</v>
      </c>
      <c r="R756" t="s">
        <v>112</v>
      </c>
      <c r="S756" t="str">
        <f>"14:02:57.500"</f>
        <v>14:02:57.500</v>
      </c>
      <c r="T756" t="str">
        <f>"14:02:57.102"</f>
        <v>14:02:57.102</v>
      </c>
      <c r="U756" t="str">
        <f t="shared" si="33"/>
        <v>ad5732</v>
      </c>
      <c r="V756">
        <v>0</v>
      </c>
      <c r="W756">
        <v>0</v>
      </c>
      <c r="X756">
        <v>1</v>
      </c>
      <c r="Z756">
        <v>0</v>
      </c>
      <c r="AA756">
        <v>9</v>
      </c>
      <c r="AB756">
        <v>3</v>
      </c>
      <c r="AC756">
        <v>0</v>
      </c>
      <c r="AD756">
        <v>10</v>
      </c>
      <c r="AE756">
        <v>0</v>
      </c>
      <c r="AF756">
        <v>3</v>
      </c>
      <c r="AG756">
        <v>2</v>
      </c>
      <c r="AH756">
        <v>0</v>
      </c>
      <c r="AI756" t="s">
        <v>1609</v>
      </c>
      <c r="AJ756">
        <v>39.319296000000001</v>
      </c>
      <c r="AK756" t="s">
        <v>1610</v>
      </c>
      <c r="AL756">
        <v>-77.099175000000002</v>
      </c>
      <c r="AM756">
        <v>100</v>
      </c>
      <c r="AN756">
        <v>8700</v>
      </c>
      <c r="AO756" t="s">
        <v>115</v>
      </c>
      <c r="AP756">
        <v>175</v>
      </c>
      <c r="AQ756">
        <v>72</v>
      </c>
      <c r="AR756">
        <v>0</v>
      </c>
      <c r="AZ756">
        <v>3614</v>
      </c>
      <c r="BA756">
        <v>1</v>
      </c>
      <c r="BB756" t="str">
        <f t="shared" si="35"/>
        <v xml:space="preserve">N959MJ  </v>
      </c>
      <c r="BC756">
        <v>1</v>
      </c>
      <c r="BE756">
        <v>0</v>
      </c>
      <c r="BF756">
        <v>0</v>
      </c>
      <c r="BG756">
        <v>0</v>
      </c>
      <c r="BH756">
        <v>9025</v>
      </c>
      <c r="BI756">
        <v>325</v>
      </c>
      <c r="BJ756">
        <v>1</v>
      </c>
      <c r="BK756">
        <v>1</v>
      </c>
      <c r="BL756">
        <v>1</v>
      </c>
      <c r="BM756">
        <v>0</v>
      </c>
      <c r="BP756">
        <v>0</v>
      </c>
      <c r="BQ756">
        <v>0</v>
      </c>
      <c r="BX756" t="str">
        <f>"14:02:57.508"</f>
        <v>14:02:57.508</v>
      </c>
      <c r="BY756" t="str">
        <f>"507141283"</f>
        <v>507141283</v>
      </c>
      <c r="CL756">
        <v>0</v>
      </c>
      <c r="CM756">
        <v>2</v>
      </c>
      <c r="CN756">
        <v>0</v>
      </c>
      <c r="CO756">
        <v>2</v>
      </c>
      <c r="CP756">
        <v>0</v>
      </c>
      <c r="CQ756">
        <v>6</v>
      </c>
      <c r="CR756" t="s">
        <v>116</v>
      </c>
      <c r="CS756">
        <v>396</v>
      </c>
      <c r="CT756">
        <v>2</v>
      </c>
      <c r="CU756" t="s">
        <v>939</v>
      </c>
      <c r="CV756" t="s">
        <v>940</v>
      </c>
      <c r="CY756">
        <v>4055461</v>
      </c>
      <c r="CZ756" t="s">
        <v>119</v>
      </c>
    </row>
    <row r="757" spans="1:104" x14ac:dyDescent="0.25">
      <c r="A757" t="str">
        <f>"14:02:58.609"</f>
        <v>14:02:58.609</v>
      </c>
      <c r="B757" t="s">
        <v>108</v>
      </c>
      <c r="C757" t="str">
        <f t="shared" si="34"/>
        <v>ffdfd3c0</v>
      </c>
      <c r="D757" t="s">
        <v>109</v>
      </c>
      <c r="E757">
        <v>4</v>
      </c>
      <c r="F757">
        <v>1004</v>
      </c>
      <c r="G757" t="s">
        <v>110</v>
      </c>
      <c r="J757" t="s">
        <v>111</v>
      </c>
      <c r="K757">
        <v>0</v>
      </c>
      <c r="L757">
        <v>3</v>
      </c>
      <c r="M757">
        <v>0</v>
      </c>
      <c r="N757">
        <v>2</v>
      </c>
      <c r="O757">
        <v>1</v>
      </c>
      <c r="P757">
        <v>0</v>
      </c>
      <c r="Q757">
        <v>0</v>
      </c>
      <c r="R757" t="s">
        <v>112</v>
      </c>
      <c r="S757" t="str">
        <f>"14:02:58.445"</f>
        <v>14:02:58.445</v>
      </c>
      <c r="T757" t="str">
        <f>"14:02:57.945"</f>
        <v>14:02:57.945</v>
      </c>
      <c r="U757" t="str">
        <f t="shared" si="33"/>
        <v>ad5732</v>
      </c>
      <c r="V757">
        <v>0</v>
      </c>
      <c r="W757">
        <v>0</v>
      </c>
      <c r="X757">
        <v>1</v>
      </c>
      <c r="Z757">
        <v>0</v>
      </c>
      <c r="AA757">
        <v>9</v>
      </c>
      <c r="AB757">
        <v>3</v>
      </c>
      <c r="AC757">
        <v>0</v>
      </c>
      <c r="AD757">
        <v>10</v>
      </c>
      <c r="AE757">
        <v>0</v>
      </c>
      <c r="AF757">
        <v>3</v>
      </c>
      <c r="AG757">
        <v>2</v>
      </c>
      <c r="AH757">
        <v>0</v>
      </c>
      <c r="AI757" t="s">
        <v>1611</v>
      </c>
      <c r="AJ757">
        <v>39.319595999999997</v>
      </c>
      <c r="AK757" t="s">
        <v>1612</v>
      </c>
      <c r="AL757">
        <v>-77.098209999999995</v>
      </c>
      <c r="AM757">
        <v>100</v>
      </c>
      <c r="AN757">
        <v>8700</v>
      </c>
      <c r="AO757" t="s">
        <v>115</v>
      </c>
      <c r="AP757">
        <v>175</v>
      </c>
      <c r="AQ757">
        <v>72</v>
      </c>
      <c r="AR757">
        <v>-64</v>
      </c>
      <c r="AZ757">
        <v>3614</v>
      </c>
      <c r="BA757">
        <v>1</v>
      </c>
      <c r="BB757" t="str">
        <f t="shared" si="35"/>
        <v xml:space="preserve">N959MJ  </v>
      </c>
      <c r="BC757">
        <v>1</v>
      </c>
      <c r="BE757">
        <v>0</v>
      </c>
      <c r="BF757">
        <v>0</v>
      </c>
      <c r="BG757">
        <v>0</v>
      </c>
      <c r="BH757">
        <v>9025</v>
      </c>
      <c r="BI757">
        <v>325</v>
      </c>
      <c r="BJ757">
        <v>1</v>
      </c>
      <c r="BK757">
        <v>1</v>
      </c>
      <c r="BL757">
        <v>1</v>
      </c>
      <c r="BM757">
        <v>0</v>
      </c>
      <c r="BP757">
        <v>0</v>
      </c>
      <c r="BQ757">
        <v>0</v>
      </c>
      <c r="BX757" t="str">
        <f>"14:02:58.445"</f>
        <v>14:02:58.445</v>
      </c>
      <c r="BY757" t="str">
        <f>"445771898"</f>
        <v>445771898</v>
      </c>
      <c r="CL757">
        <v>0</v>
      </c>
      <c r="CM757">
        <v>2</v>
      </c>
      <c r="CN757">
        <v>0</v>
      </c>
      <c r="CO757">
        <v>2</v>
      </c>
      <c r="CP757">
        <v>0</v>
      </c>
      <c r="CQ757">
        <v>7</v>
      </c>
      <c r="CR757" t="s">
        <v>116</v>
      </c>
      <c r="CS757">
        <v>525</v>
      </c>
      <c r="CT757">
        <v>1</v>
      </c>
      <c r="CU757" t="s">
        <v>140</v>
      </c>
      <c r="CV757" t="s">
        <v>141</v>
      </c>
      <c r="CY757">
        <v>8257126</v>
      </c>
      <c r="CZ757" t="s">
        <v>119</v>
      </c>
    </row>
    <row r="758" spans="1:104" x14ac:dyDescent="0.25">
      <c r="A758" t="str">
        <f>"14:02:59.672"</f>
        <v>14:02:59.672</v>
      </c>
      <c r="B758" t="s">
        <v>108</v>
      </c>
      <c r="C758" t="str">
        <f t="shared" si="34"/>
        <v>ffdfd3c0</v>
      </c>
      <c r="D758" t="s">
        <v>109</v>
      </c>
      <c r="E758">
        <v>4</v>
      </c>
      <c r="F758">
        <v>1004</v>
      </c>
      <c r="G758" t="s">
        <v>110</v>
      </c>
      <c r="J758" t="s">
        <v>111</v>
      </c>
      <c r="K758">
        <v>0</v>
      </c>
      <c r="L758">
        <v>3</v>
      </c>
      <c r="M758">
        <v>0</v>
      </c>
      <c r="N758">
        <v>2</v>
      </c>
      <c r="O758">
        <v>1</v>
      </c>
      <c r="P758">
        <v>0</v>
      </c>
      <c r="Q758">
        <v>0</v>
      </c>
      <c r="R758" t="s">
        <v>112</v>
      </c>
      <c r="S758" t="str">
        <f>"14:02:59.492"</f>
        <v>14:02:59.492</v>
      </c>
      <c r="T758" t="str">
        <f>"14:02:58.992"</f>
        <v>14:02:58.992</v>
      </c>
      <c r="U758" t="str">
        <f t="shared" si="33"/>
        <v>ad5732</v>
      </c>
      <c r="V758">
        <v>0</v>
      </c>
      <c r="W758">
        <v>0</v>
      </c>
      <c r="X758">
        <v>1</v>
      </c>
      <c r="Z758">
        <v>0</v>
      </c>
      <c r="AA758">
        <v>9</v>
      </c>
      <c r="AB758">
        <v>3</v>
      </c>
      <c r="AC758">
        <v>0</v>
      </c>
      <c r="AD758">
        <v>10</v>
      </c>
      <c r="AE758">
        <v>0</v>
      </c>
      <c r="AF758">
        <v>3</v>
      </c>
      <c r="AG758">
        <v>2</v>
      </c>
      <c r="AH758">
        <v>0</v>
      </c>
      <c r="AI758" t="s">
        <v>1613</v>
      </c>
      <c r="AJ758">
        <v>39.319983000000001</v>
      </c>
      <c r="AK758" t="s">
        <v>1614</v>
      </c>
      <c r="AL758">
        <v>-77.097093999999998</v>
      </c>
      <c r="AM758">
        <v>100</v>
      </c>
      <c r="AN758">
        <v>8700</v>
      </c>
      <c r="AO758" t="s">
        <v>115</v>
      </c>
      <c r="AP758">
        <v>175</v>
      </c>
      <c r="AQ758">
        <v>72</v>
      </c>
      <c r="AR758">
        <v>0</v>
      </c>
      <c r="AZ758">
        <v>3614</v>
      </c>
      <c r="BA758">
        <v>1</v>
      </c>
      <c r="BB758" t="str">
        <f t="shared" si="35"/>
        <v xml:space="preserve">N959MJ  </v>
      </c>
      <c r="BC758">
        <v>1</v>
      </c>
      <c r="BE758">
        <v>0</v>
      </c>
      <c r="BF758">
        <v>0</v>
      </c>
      <c r="BG758">
        <v>0</v>
      </c>
      <c r="BH758">
        <v>9025</v>
      </c>
      <c r="BI758">
        <v>325</v>
      </c>
      <c r="BJ758">
        <v>1</v>
      </c>
      <c r="BK758">
        <v>1</v>
      </c>
      <c r="BL758">
        <v>1</v>
      </c>
      <c r="BM758">
        <v>0</v>
      </c>
      <c r="BP758">
        <v>0</v>
      </c>
      <c r="BQ758">
        <v>0</v>
      </c>
      <c r="BX758" t="str">
        <f>"14:02:59.500"</f>
        <v>14:02:59.500</v>
      </c>
      <c r="BY758" t="str">
        <f>"499280449"</f>
        <v>499280449</v>
      </c>
      <c r="CL758">
        <v>0</v>
      </c>
      <c r="CM758">
        <v>2</v>
      </c>
      <c r="CN758">
        <v>0</v>
      </c>
      <c r="CO758">
        <v>2</v>
      </c>
      <c r="CP758">
        <v>0</v>
      </c>
      <c r="CQ758">
        <v>7</v>
      </c>
      <c r="CR758" t="s">
        <v>116</v>
      </c>
      <c r="CS758">
        <v>525</v>
      </c>
      <c r="CT758">
        <v>1</v>
      </c>
      <c r="CU758" t="s">
        <v>140</v>
      </c>
      <c r="CV758" t="s">
        <v>141</v>
      </c>
      <c r="CY758">
        <v>8258656</v>
      </c>
      <c r="CZ758" t="s">
        <v>119</v>
      </c>
    </row>
    <row r="759" spans="1:104" x14ac:dyDescent="0.25">
      <c r="A759" t="str">
        <f>"14:03:00.680"</f>
        <v>14:03:00.680</v>
      </c>
      <c r="B759" t="s">
        <v>108</v>
      </c>
      <c r="C759" t="str">
        <f t="shared" si="34"/>
        <v>ffdfd3c0</v>
      </c>
      <c r="D759" t="s">
        <v>109</v>
      </c>
      <c r="E759">
        <v>4</v>
      </c>
      <c r="F759">
        <v>1004</v>
      </c>
      <c r="G759" t="s">
        <v>110</v>
      </c>
      <c r="J759" t="s">
        <v>111</v>
      </c>
      <c r="K759">
        <v>0</v>
      </c>
      <c r="L759">
        <v>3</v>
      </c>
      <c r="M759">
        <v>0</v>
      </c>
      <c r="N759">
        <v>2</v>
      </c>
      <c r="O759">
        <v>1</v>
      </c>
      <c r="P759">
        <v>0</v>
      </c>
      <c r="Q759">
        <v>0</v>
      </c>
      <c r="R759" t="s">
        <v>112</v>
      </c>
      <c r="S759" t="str">
        <f>"14:03:00.484"</f>
        <v>14:03:00.484</v>
      </c>
      <c r="T759" t="str">
        <f>"14:03:00.086"</f>
        <v>14:03:00.086</v>
      </c>
      <c r="U759" t="str">
        <f t="shared" si="33"/>
        <v>ad5732</v>
      </c>
      <c r="V759">
        <v>0</v>
      </c>
      <c r="W759">
        <v>0</v>
      </c>
      <c r="X759">
        <v>1</v>
      </c>
      <c r="Z759">
        <v>0</v>
      </c>
      <c r="AA759">
        <v>9</v>
      </c>
      <c r="AB759">
        <v>3</v>
      </c>
      <c r="AC759">
        <v>0</v>
      </c>
      <c r="AD759">
        <v>10</v>
      </c>
      <c r="AE759">
        <v>0</v>
      </c>
      <c r="AF759">
        <v>3</v>
      </c>
      <c r="AG759">
        <v>2</v>
      </c>
      <c r="AH759">
        <v>0</v>
      </c>
      <c r="AI759" t="s">
        <v>1615</v>
      </c>
      <c r="AJ759">
        <v>39.320304</v>
      </c>
      <c r="AK759" t="s">
        <v>1616</v>
      </c>
      <c r="AL759">
        <v>-77.096020999999993</v>
      </c>
      <c r="AM759">
        <v>100</v>
      </c>
      <c r="AN759">
        <v>8700</v>
      </c>
      <c r="AO759" t="s">
        <v>115</v>
      </c>
      <c r="AP759">
        <v>175</v>
      </c>
      <c r="AQ759">
        <v>72</v>
      </c>
      <c r="AR759">
        <v>0</v>
      </c>
      <c r="AZ759">
        <v>3614</v>
      </c>
      <c r="BA759">
        <v>1</v>
      </c>
      <c r="BB759" t="str">
        <f t="shared" si="35"/>
        <v xml:space="preserve">N959MJ  </v>
      </c>
      <c r="BC759">
        <v>1</v>
      </c>
      <c r="BE759">
        <v>0</v>
      </c>
      <c r="BF759">
        <v>0</v>
      </c>
      <c r="BG759">
        <v>0</v>
      </c>
      <c r="BH759">
        <v>9025</v>
      </c>
      <c r="BI759">
        <v>325</v>
      </c>
      <c r="BJ759">
        <v>1</v>
      </c>
      <c r="BK759">
        <v>1</v>
      </c>
      <c r="BL759">
        <v>1</v>
      </c>
      <c r="BM759">
        <v>0</v>
      </c>
      <c r="BP759">
        <v>0</v>
      </c>
      <c r="BQ759">
        <v>0</v>
      </c>
      <c r="BX759" t="str">
        <f>"14:03:00.492"</f>
        <v>14:03:00.492</v>
      </c>
      <c r="BY759" t="str">
        <f>"490528786"</f>
        <v>490528786</v>
      </c>
      <c r="CL759">
        <v>0</v>
      </c>
      <c r="CM759">
        <v>2</v>
      </c>
      <c r="CN759">
        <v>0</v>
      </c>
      <c r="CO759">
        <v>2</v>
      </c>
      <c r="CP759">
        <v>0</v>
      </c>
      <c r="CQ759">
        <v>7</v>
      </c>
      <c r="CR759" t="s">
        <v>116</v>
      </c>
      <c r="CS759">
        <v>525</v>
      </c>
      <c r="CT759">
        <v>1</v>
      </c>
      <c r="CU759" t="s">
        <v>140</v>
      </c>
      <c r="CV759" t="s">
        <v>141</v>
      </c>
      <c r="CY759">
        <v>8260139</v>
      </c>
      <c r="CZ759" t="s">
        <v>119</v>
      </c>
    </row>
    <row r="760" spans="1:104" x14ac:dyDescent="0.25">
      <c r="A760" t="str">
        <f>"14:03:01.789"</f>
        <v>14:03:01.789</v>
      </c>
      <c r="B760" t="s">
        <v>108</v>
      </c>
      <c r="C760" t="str">
        <f t="shared" si="34"/>
        <v>ffdfd3c0</v>
      </c>
      <c r="D760" t="s">
        <v>109</v>
      </c>
      <c r="E760">
        <v>4</v>
      </c>
      <c r="F760">
        <v>1004</v>
      </c>
      <c r="G760" t="s">
        <v>110</v>
      </c>
      <c r="J760" t="s">
        <v>111</v>
      </c>
      <c r="K760">
        <v>0</v>
      </c>
      <c r="L760">
        <v>3</v>
      </c>
      <c r="M760">
        <v>0</v>
      </c>
      <c r="N760">
        <v>2</v>
      </c>
      <c r="O760">
        <v>1</v>
      </c>
      <c r="P760">
        <v>0</v>
      </c>
      <c r="Q760">
        <v>0</v>
      </c>
      <c r="R760" t="s">
        <v>112</v>
      </c>
      <c r="S760" t="str">
        <f>"14:03:01.594"</f>
        <v>14:03:01.594</v>
      </c>
      <c r="T760" t="str">
        <f>"14:03:01.094"</f>
        <v>14:03:01.094</v>
      </c>
      <c r="U760" t="str">
        <f t="shared" si="33"/>
        <v>ad5732</v>
      </c>
      <c r="V760">
        <v>0</v>
      </c>
      <c r="W760">
        <v>0</v>
      </c>
      <c r="X760">
        <v>1</v>
      </c>
      <c r="Z760">
        <v>0</v>
      </c>
      <c r="AA760">
        <v>9</v>
      </c>
      <c r="AB760">
        <v>3</v>
      </c>
      <c r="AC760">
        <v>0</v>
      </c>
      <c r="AD760">
        <v>10</v>
      </c>
      <c r="AE760">
        <v>0</v>
      </c>
      <c r="AF760">
        <v>3</v>
      </c>
      <c r="AG760">
        <v>2</v>
      </c>
      <c r="AH760">
        <v>0</v>
      </c>
      <c r="AI760" t="s">
        <v>1617</v>
      </c>
      <c r="AJ760">
        <v>39.320669000000002</v>
      </c>
      <c r="AK760" t="s">
        <v>1618</v>
      </c>
      <c r="AL760">
        <v>-77.094904999999997</v>
      </c>
      <c r="AM760">
        <v>100</v>
      </c>
      <c r="AN760">
        <v>8700</v>
      </c>
      <c r="AO760" t="s">
        <v>115</v>
      </c>
      <c r="AP760">
        <v>175</v>
      </c>
      <c r="AQ760">
        <v>72</v>
      </c>
      <c r="AR760">
        <v>0</v>
      </c>
      <c r="AZ760">
        <v>3614</v>
      </c>
      <c r="BA760">
        <v>1</v>
      </c>
      <c r="BB760" t="str">
        <f t="shared" si="35"/>
        <v xml:space="preserve">N959MJ  </v>
      </c>
      <c r="BC760">
        <v>1</v>
      </c>
      <c r="BE760">
        <v>0</v>
      </c>
      <c r="BF760">
        <v>0</v>
      </c>
      <c r="BG760">
        <v>0</v>
      </c>
      <c r="BH760">
        <v>9025</v>
      </c>
      <c r="BI760">
        <v>325</v>
      </c>
      <c r="BJ760">
        <v>1</v>
      </c>
      <c r="BK760">
        <v>1</v>
      </c>
      <c r="BL760">
        <v>1</v>
      </c>
      <c r="BM760">
        <v>0</v>
      </c>
      <c r="BP760">
        <v>0</v>
      </c>
      <c r="BQ760">
        <v>0</v>
      </c>
      <c r="BX760" t="str">
        <f>"14:03:01.602"</f>
        <v>14:03:01.602</v>
      </c>
      <c r="BY760" t="str">
        <f>"601382364"</f>
        <v>601382364</v>
      </c>
      <c r="CL760">
        <v>0</v>
      </c>
      <c r="CM760">
        <v>2</v>
      </c>
      <c r="CN760">
        <v>0</v>
      </c>
      <c r="CO760">
        <v>2</v>
      </c>
      <c r="CP760">
        <v>0</v>
      </c>
      <c r="CQ760">
        <v>7</v>
      </c>
      <c r="CR760" t="s">
        <v>116</v>
      </c>
      <c r="CS760">
        <v>525</v>
      </c>
      <c r="CT760">
        <v>1</v>
      </c>
      <c r="CU760" t="s">
        <v>140</v>
      </c>
      <c r="CV760" t="s">
        <v>141</v>
      </c>
      <c r="CY760">
        <v>8261710</v>
      </c>
      <c r="CZ760" t="s">
        <v>119</v>
      </c>
    </row>
    <row r="761" spans="1:104" x14ac:dyDescent="0.25">
      <c r="A761" t="str">
        <f>"14:03:02.602"</f>
        <v>14:03:02.602</v>
      </c>
      <c r="B761" t="s">
        <v>108</v>
      </c>
      <c r="C761" t="str">
        <f t="shared" si="34"/>
        <v>ffdfd3c0</v>
      </c>
      <c r="D761" t="s">
        <v>109</v>
      </c>
      <c r="E761">
        <v>4</v>
      </c>
      <c r="F761">
        <v>1004</v>
      </c>
      <c r="G761" t="s">
        <v>110</v>
      </c>
      <c r="J761" t="s">
        <v>111</v>
      </c>
      <c r="K761">
        <v>0</v>
      </c>
      <c r="L761">
        <v>3</v>
      </c>
      <c r="M761">
        <v>0</v>
      </c>
      <c r="N761">
        <v>2</v>
      </c>
      <c r="O761">
        <v>1</v>
      </c>
      <c r="P761">
        <v>0</v>
      </c>
      <c r="Q761">
        <v>0</v>
      </c>
      <c r="R761" t="s">
        <v>112</v>
      </c>
      <c r="S761" t="str">
        <f>"14:03:02.430"</f>
        <v>14:03:02.430</v>
      </c>
      <c r="T761" t="str">
        <f>"14:03:02.031"</f>
        <v>14:03:02.031</v>
      </c>
      <c r="U761" t="str">
        <f t="shared" si="33"/>
        <v>ad5732</v>
      </c>
      <c r="V761">
        <v>0</v>
      </c>
      <c r="W761">
        <v>0</v>
      </c>
      <c r="X761">
        <v>1</v>
      </c>
      <c r="Z761">
        <v>0</v>
      </c>
      <c r="AA761">
        <v>9</v>
      </c>
      <c r="AB761">
        <v>3</v>
      </c>
      <c r="AC761">
        <v>0</v>
      </c>
      <c r="AD761">
        <v>10</v>
      </c>
      <c r="AE761">
        <v>0</v>
      </c>
      <c r="AF761">
        <v>3</v>
      </c>
      <c r="AG761">
        <v>2</v>
      </c>
      <c r="AH761">
        <v>0</v>
      </c>
      <c r="AI761" t="s">
        <v>1619</v>
      </c>
      <c r="AJ761">
        <v>39.320905000000003</v>
      </c>
      <c r="AK761" t="s">
        <v>1620</v>
      </c>
      <c r="AL761">
        <v>-77.094047000000003</v>
      </c>
      <c r="AM761">
        <v>100</v>
      </c>
      <c r="AN761">
        <v>8700</v>
      </c>
      <c r="AO761" t="s">
        <v>115</v>
      </c>
      <c r="AP761">
        <v>175</v>
      </c>
      <c r="AQ761">
        <v>71</v>
      </c>
      <c r="AR761">
        <v>0</v>
      </c>
      <c r="AZ761">
        <v>3614</v>
      </c>
      <c r="BA761">
        <v>1</v>
      </c>
      <c r="BB761" t="str">
        <f t="shared" si="35"/>
        <v xml:space="preserve">N959MJ  </v>
      </c>
      <c r="BC761">
        <v>1</v>
      </c>
      <c r="BE761">
        <v>0</v>
      </c>
      <c r="BF761">
        <v>0</v>
      </c>
      <c r="BG761">
        <v>0</v>
      </c>
      <c r="BH761">
        <v>9025</v>
      </c>
      <c r="BI761">
        <v>325</v>
      </c>
      <c r="BJ761">
        <v>1</v>
      </c>
      <c r="BK761">
        <v>1</v>
      </c>
      <c r="BL761">
        <v>1</v>
      </c>
      <c r="BM761">
        <v>0</v>
      </c>
      <c r="BP761">
        <v>0</v>
      </c>
      <c r="BQ761">
        <v>0</v>
      </c>
      <c r="BX761" t="str">
        <f>"14:03:02.438"</f>
        <v>14:03:02.438</v>
      </c>
      <c r="BY761" t="str">
        <f>"433703121"</f>
        <v>433703121</v>
      </c>
      <c r="CL761">
        <v>0</v>
      </c>
      <c r="CM761">
        <v>2</v>
      </c>
      <c r="CN761">
        <v>0</v>
      </c>
      <c r="CO761">
        <v>2</v>
      </c>
      <c r="CP761">
        <v>0</v>
      </c>
      <c r="CQ761">
        <v>7</v>
      </c>
      <c r="CR761" t="s">
        <v>116</v>
      </c>
      <c r="CS761">
        <v>525</v>
      </c>
      <c r="CT761">
        <v>1</v>
      </c>
      <c r="CU761" t="s">
        <v>140</v>
      </c>
      <c r="CV761" t="s">
        <v>141</v>
      </c>
      <c r="CY761">
        <v>8262876</v>
      </c>
      <c r="CZ761" t="s">
        <v>119</v>
      </c>
    </row>
    <row r="762" spans="1:104" x14ac:dyDescent="0.25">
      <c r="A762" t="str">
        <f>"14:03:03.711"</f>
        <v>14:03:03.711</v>
      </c>
      <c r="B762" t="s">
        <v>108</v>
      </c>
      <c r="C762" t="str">
        <f t="shared" si="34"/>
        <v>ffdfd3c0</v>
      </c>
      <c r="D762" t="s">
        <v>109</v>
      </c>
      <c r="E762">
        <v>4</v>
      </c>
      <c r="F762">
        <v>1004</v>
      </c>
      <c r="G762" t="s">
        <v>110</v>
      </c>
      <c r="J762" t="s">
        <v>111</v>
      </c>
      <c r="K762">
        <v>0</v>
      </c>
      <c r="L762">
        <v>3</v>
      </c>
      <c r="M762">
        <v>0</v>
      </c>
      <c r="N762">
        <v>2</v>
      </c>
      <c r="O762">
        <v>1</v>
      </c>
      <c r="P762">
        <v>0</v>
      </c>
      <c r="Q762">
        <v>0</v>
      </c>
      <c r="R762" t="s">
        <v>112</v>
      </c>
      <c r="S762" t="str">
        <f>"14:03:03.508"</f>
        <v>14:03:03.508</v>
      </c>
      <c r="T762" t="str">
        <f>"14:03:03.008"</f>
        <v>14:03:03.008</v>
      </c>
      <c r="U762" t="str">
        <f t="shared" si="33"/>
        <v>ad5732</v>
      </c>
      <c r="V762">
        <v>0</v>
      </c>
      <c r="W762">
        <v>0</v>
      </c>
      <c r="X762">
        <v>1</v>
      </c>
      <c r="Z762">
        <v>0</v>
      </c>
      <c r="AA762">
        <v>9</v>
      </c>
      <c r="AB762">
        <v>3</v>
      </c>
      <c r="AC762">
        <v>0</v>
      </c>
      <c r="AD762">
        <v>10</v>
      </c>
      <c r="AE762">
        <v>0</v>
      </c>
      <c r="AF762">
        <v>3</v>
      </c>
      <c r="AG762">
        <v>2</v>
      </c>
      <c r="AH762">
        <v>0</v>
      </c>
      <c r="AI762" t="s">
        <v>1621</v>
      </c>
      <c r="AJ762">
        <v>39.321249000000002</v>
      </c>
      <c r="AK762" t="s">
        <v>1622</v>
      </c>
      <c r="AL762">
        <v>-77.092910000000003</v>
      </c>
      <c r="AM762">
        <v>100</v>
      </c>
      <c r="AN762">
        <v>8700</v>
      </c>
      <c r="AO762" t="s">
        <v>115</v>
      </c>
      <c r="AP762">
        <v>176</v>
      </c>
      <c r="AQ762">
        <v>71</v>
      </c>
      <c r="AR762">
        <v>0</v>
      </c>
      <c r="AZ762">
        <v>3614</v>
      </c>
      <c r="BA762">
        <v>1</v>
      </c>
      <c r="BB762" t="str">
        <f t="shared" si="35"/>
        <v xml:space="preserve">N959MJ  </v>
      </c>
      <c r="BC762">
        <v>1</v>
      </c>
      <c r="BE762">
        <v>0</v>
      </c>
      <c r="BF762">
        <v>0</v>
      </c>
      <c r="BG762">
        <v>0</v>
      </c>
      <c r="BH762">
        <v>9025</v>
      </c>
      <c r="BI762">
        <v>325</v>
      </c>
      <c r="BJ762">
        <v>1</v>
      </c>
      <c r="BK762">
        <v>1</v>
      </c>
      <c r="BL762">
        <v>1</v>
      </c>
      <c r="BM762">
        <v>0</v>
      </c>
      <c r="BP762">
        <v>0</v>
      </c>
      <c r="BQ762">
        <v>0</v>
      </c>
      <c r="BX762" t="str">
        <f>"14:03:03.516"</f>
        <v>14:03:03.516</v>
      </c>
      <c r="BY762" t="str">
        <f>"515064922"</f>
        <v>515064922</v>
      </c>
      <c r="CL762">
        <v>0</v>
      </c>
      <c r="CM762">
        <v>2</v>
      </c>
      <c r="CN762">
        <v>0</v>
      </c>
      <c r="CO762">
        <v>2</v>
      </c>
      <c r="CP762">
        <v>0</v>
      </c>
      <c r="CQ762">
        <v>7</v>
      </c>
      <c r="CR762" t="s">
        <v>116</v>
      </c>
      <c r="CS762">
        <v>525</v>
      </c>
      <c r="CT762">
        <v>1</v>
      </c>
      <c r="CU762" t="s">
        <v>140</v>
      </c>
      <c r="CV762" t="s">
        <v>141</v>
      </c>
      <c r="CY762">
        <v>8264350</v>
      </c>
      <c r="CZ762" t="s">
        <v>119</v>
      </c>
    </row>
    <row r="763" spans="1:104" x14ac:dyDescent="0.25">
      <c r="A763" t="str">
        <f>"14:03:04.570"</f>
        <v>14:03:04.570</v>
      </c>
      <c r="B763" t="s">
        <v>108</v>
      </c>
      <c r="C763" t="str">
        <f t="shared" si="34"/>
        <v>ffdfd3c0</v>
      </c>
      <c r="D763" t="s">
        <v>109</v>
      </c>
      <c r="E763">
        <v>4</v>
      </c>
      <c r="F763">
        <v>1004</v>
      </c>
      <c r="G763" t="s">
        <v>110</v>
      </c>
      <c r="J763" t="s">
        <v>111</v>
      </c>
      <c r="K763">
        <v>0</v>
      </c>
      <c r="L763">
        <v>3</v>
      </c>
      <c r="M763">
        <v>0</v>
      </c>
      <c r="N763">
        <v>2</v>
      </c>
      <c r="O763">
        <v>1</v>
      </c>
      <c r="P763">
        <v>0</v>
      </c>
      <c r="Q763">
        <v>0</v>
      </c>
      <c r="R763" t="s">
        <v>112</v>
      </c>
      <c r="S763" t="str">
        <f>"14:03:04.406"</f>
        <v>14:03:04.406</v>
      </c>
      <c r="T763" t="str">
        <f>"14:03:04.008"</f>
        <v>14:03:04.008</v>
      </c>
      <c r="U763" t="str">
        <f t="shared" si="33"/>
        <v>ad5732</v>
      </c>
      <c r="V763">
        <v>0</v>
      </c>
      <c r="W763">
        <v>0</v>
      </c>
      <c r="X763">
        <v>1</v>
      </c>
      <c r="Z763">
        <v>0</v>
      </c>
      <c r="AA763">
        <v>9</v>
      </c>
      <c r="AB763">
        <v>3</v>
      </c>
      <c r="AC763">
        <v>0</v>
      </c>
      <c r="AD763">
        <v>10</v>
      </c>
      <c r="AE763">
        <v>0</v>
      </c>
      <c r="AF763">
        <v>3</v>
      </c>
      <c r="AG763">
        <v>2</v>
      </c>
      <c r="AH763">
        <v>0</v>
      </c>
      <c r="AI763" t="s">
        <v>1623</v>
      </c>
      <c r="AJ763">
        <v>39.321548999999997</v>
      </c>
      <c r="AK763" t="s">
        <v>1624</v>
      </c>
      <c r="AL763">
        <v>-77.091922999999994</v>
      </c>
      <c r="AM763">
        <v>100</v>
      </c>
      <c r="AN763">
        <v>8700</v>
      </c>
      <c r="AO763" t="s">
        <v>115</v>
      </c>
      <c r="AP763">
        <v>176</v>
      </c>
      <c r="AQ763">
        <v>71</v>
      </c>
      <c r="AR763">
        <v>-64</v>
      </c>
      <c r="AZ763">
        <v>3614</v>
      </c>
      <c r="BA763">
        <v>1</v>
      </c>
      <c r="BB763" t="str">
        <f t="shared" si="35"/>
        <v xml:space="preserve">N959MJ  </v>
      </c>
      <c r="BC763">
        <v>1</v>
      </c>
      <c r="BE763">
        <v>0</v>
      </c>
      <c r="BF763">
        <v>0</v>
      </c>
      <c r="BG763">
        <v>0</v>
      </c>
      <c r="BH763">
        <v>9025</v>
      </c>
      <c r="BI763">
        <v>325</v>
      </c>
      <c r="BJ763">
        <v>1</v>
      </c>
      <c r="BK763">
        <v>1</v>
      </c>
      <c r="BL763">
        <v>1</v>
      </c>
      <c r="BM763">
        <v>0</v>
      </c>
      <c r="BP763">
        <v>0</v>
      </c>
      <c r="BQ763">
        <v>0</v>
      </c>
      <c r="BX763" t="str">
        <f>"14:03:04.406"</f>
        <v>14:03:04.406</v>
      </c>
      <c r="BY763" t="str">
        <f>"408007618"</f>
        <v>408007618</v>
      </c>
      <c r="CL763">
        <v>0</v>
      </c>
      <c r="CM763">
        <v>2</v>
      </c>
      <c r="CN763">
        <v>0</v>
      </c>
      <c r="CO763">
        <v>2</v>
      </c>
      <c r="CP763">
        <v>0</v>
      </c>
      <c r="CQ763">
        <v>7</v>
      </c>
      <c r="CR763" t="s">
        <v>116</v>
      </c>
      <c r="CS763">
        <v>525</v>
      </c>
      <c r="CT763">
        <v>1</v>
      </c>
      <c r="CU763" t="s">
        <v>140</v>
      </c>
      <c r="CV763" t="s">
        <v>141</v>
      </c>
      <c r="CY763">
        <v>8265635</v>
      </c>
      <c r="CZ763" t="s">
        <v>119</v>
      </c>
    </row>
    <row r="764" spans="1:104" x14ac:dyDescent="0.25">
      <c r="A764" t="str">
        <f>"14:03:05.625"</f>
        <v>14:03:05.625</v>
      </c>
      <c r="B764" t="s">
        <v>108</v>
      </c>
      <c r="C764" t="str">
        <f t="shared" si="34"/>
        <v>ffdfd3c0</v>
      </c>
      <c r="D764" t="s">
        <v>109</v>
      </c>
      <c r="E764">
        <v>4</v>
      </c>
      <c r="F764">
        <v>1004</v>
      </c>
      <c r="G764" t="s">
        <v>110</v>
      </c>
      <c r="J764" t="s">
        <v>111</v>
      </c>
      <c r="K764">
        <v>0</v>
      </c>
      <c r="L764">
        <v>3</v>
      </c>
      <c r="M764">
        <v>0</v>
      </c>
      <c r="N764">
        <v>2</v>
      </c>
      <c r="O764">
        <v>1</v>
      </c>
      <c r="P764">
        <v>0</v>
      </c>
      <c r="Q764">
        <v>0</v>
      </c>
      <c r="R764" t="s">
        <v>112</v>
      </c>
      <c r="S764" t="str">
        <f>"14:03:05.430"</f>
        <v>14:03:05.430</v>
      </c>
      <c r="T764" t="str">
        <f>"14:03:04.930"</f>
        <v>14:03:04.930</v>
      </c>
      <c r="U764" t="str">
        <f t="shared" si="33"/>
        <v>ad5732</v>
      </c>
      <c r="V764">
        <v>0</v>
      </c>
      <c r="W764">
        <v>0</v>
      </c>
      <c r="X764">
        <v>1</v>
      </c>
      <c r="Z764">
        <v>0</v>
      </c>
      <c r="AA764">
        <v>9</v>
      </c>
      <c r="AB764">
        <v>3</v>
      </c>
      <c r="AC764">
        <v>0</v>
      </c>
      <c r="AD764">
        <v>10</v>
      </c>
      <c r="AE764">
        <v>0</v>
      </c>
      <c r="AF764">
        <v>3</v>
      </c>
      <c r="AG764">
        <v>2</v>
      </c>
      <c r="AH764">
        <v>0</v>
      </c>
      <c r="AI764" t="s">
        <v>1625</v>
      </c>
      <c r="AJ764">
        <v>39.321891999999998</v>
      </c>
      <c r="AK764" t="s">
        <v>1626</v>
      </c>
      <c r="AL764">
        <v>-77.090871000000007</v>
      </c>
      <c r="AM764">
        <v>100</v>
      </c>
      <c r="AN764">
        <v>8700</v>
      </c>
      <c r="AO764" t="s">
        <v>115</v>
      </c>
      <c r="AP764">
        <v>176</v>
      </c>
      <c r="AQ764">
        <v>70</v>
      </c>
      <c r="AR764">
        <v>-64</v>
      </c>
      <c r="AZ764">
        <v>3614</v>
      </c>
      <c r="BA764">
        <v>1</v>
      </c>
      <c r="BB764" t="str">
        <f t="shared" si="35"/>
        <v xml:space="preserve">N959MJ  </v>
      </c>
      <c r="BC764">
        <v>1</v>
      </c>
      <c r="BE764">
        <v>0</v>
      </c>
      <c r="BF764">
        <v>0</v>
      </c>
      <c r="BG764">
        <v>0</v>
      </c>
      <c r="BH764">
        <v>9025</v>
      </c>
      <c r="BI764">
        <v>325</v>
      </c>
      <c r="BJ764">
        <v>1</v>
      </c>
      <c r="BK764">
        <v>1</v>
      </c>
      <c r="BL764">
        <v>1</v>
      </c>
      <c r="BM764">
        <v>0</v>
      </c>
      <c r="BP764">
        <v>0</v>
      </c>
      <c r="BQ764">
        <v>0</v>
      </c>
      <c r="BX764" t="str">
        <f>"14:03:05.438"</f>
        <v>14:03:05.438</v>
      </c>
      <c r="BY764" t="str">
        <f>"435301321"</f>
        <v>435301321</v>
      </c>
      <c r="CL764">
        <v>0</v>
      </c>
      <c r="CM764">
        <v>2</v>
      </c>
      <c r="CN764">
        <v>0</v>
      </c>
      <c r="CO764">
        <v>2</v>
      </c>
      <c r="CP764">
        <v>0</v>
      </c>
      <c r="CQ764">
        <v>7</v>
      </c>
      <c r="CR764" t="s">
        <v>116</v>
      </c>
      <c r="CS764">
        <v>525</v>
      </c>
      <c r="CT764">
        <v>1</v>
      </c>
      <c r="CU764" t="s">
        <v>140</v>
      </c>
      <c r="CV764" t="s">
        <v>141</v>
      </c>
      <c r="CY764">
        <v>8267128</v>
      </c>
      <c r="CZ764" t="s">
        <v>119</v>
      </c>
    </row>
    <row r="765" spans="1:104" x14ac:dyDescent="0.25">
      <c r="A765" t="str">
        <f>"14:03:06.586"</f>
        <v>14:03:06.586</v>
      </c>
      <c r="B765" t="s">
        <v>108</v>
      </c>
      <c r="C765" t="str">
        <f t="shared" si="34"/>
        <v>ffdfd3c0</v>
      </c>
      <c r="D765" t="s">
        <v>109</v>
      </c>
      <c r="E765">
        <v>4</v>
      </c>
      <c r="F765">
        <v>1004</v>
      </c>
      <c r="G765" t="s">
        <v>110</v>
      </c>
      <c r="J765" t="s">
        <v>111</v>
      </c>
      <c r="K765">
        <v>0</v>
      </c>
      <c r="L765">
        <v>3</v>
      </c>
      <c r="M765">
        <v>0</v>
      </c>
      <c r="N765">
        <v>2</v>
      </c>
      <c r="O765">
        <v>1</v>
      </c>
      <c r="P765">
        <v>0</v>
      </c>
      <c r="Q765">
        <v>0</v>
      </c>
      <c r="R765" t="s">
        <v>112</v>
      </c>
      <c r="S765" t="str">
        <f>"14:03:06.391"</f>
        <v>14:03:06.391</v>
      </c>
      <c r="T765" t="str">
        <f>"14:03:05.891"</f>
        <v>14:03:05.891</v>
      </c>
      <c r="U765" t="str">
        <f t="shared" si="33"/>
        <v>ad5732</v>
      </c>
      <c r="V765">
        <v>0</v>
      </c>
      <c r="W765">
        <v>0</v>
      </c>
      <c r="X765">
        <v>1</v>
      </c>
      <c r="Z765">
        <v>0</v>
      </c>
      <c r="AA765">
        <v>9</v>
      </c>
      <c r="AB765">
        <v>3</v>
      </c>
      <c r="AC765">
        <v>0</v>
      </c>
      <c r="AD765">
        <v>10</v>
      </c>
      <c r="AE765">
        <v>0</v>
      </c>
      <c r="AF765">
        <v>3</v>
      </c>
      <c r="AG765">
        <v>2</v>
      </c>
      <c r="AH765">
        <v>0</v>
      </c>
      <c r="AI765" t="s">
        <v>1627</v>
      </c>
      <c r="AJ765">
        <v>39.322214000000002</v>
      </c>
      <c r="AK765" t="s">
        <v>1628</v>
      </c>
      <c r="AL765">
        <v>-77.089841000000007</v>
      </c>
      <c r="AM765">
        <v>100</v>
      </c>
      <c r="AN765">
        <v>8700</v>
      </c>
      <c r="AO765" t="s">
        <v>115</v>
      </c>
      <c r="AP765">
        <v>176</v>
      </c>
      <c r="AQ765">
        <v>70</v>
      </c>
      <c r="AR765">
        <v>-64</v>
      </c>
      <c r="AZ765">
        <v>3614</v>
      </c>
      <c r="BA765">
        <v>1</v>
      </c>
      <c r="BB765" t="str">
        <f t="shared" si="35"/>
        <v xml:space="preserve">N959MJ  </v>
      </c>
      <c r="BC765">
        <v>1</v>
      </c>
      <c r="BE765">
        <v>0</v>
      </c>
      <c r="BF765">
        <v>0</v>
      </c>
      <c r="BG765">
        <v>0</v>
      </c>
      <c r="BH765">
        <v>9025</v>
      </c>
      <c r="BI765">
        <v>325</v>
      </c>
      <c r="BJ765">
        <v>1</v>
      </c>
      <c r="BK765">
        <v>1</v>
      </c>
      <c r="BL765">
        <v>1</v>
      </c>
      <c r="BM765">
        <v>0</v>
      </c>
      <c r="BP765">
        <v>0</v>
      </c>
      <c r="BQ765">
        <v>0</v>
      </c>
      <c r="BX765" t="str">
        <f>"14:03:06.398"</f>
        <v>14:03:06.398</v>
      </c>
      <c r="BY765" t="str">
        <f>"397057956"</f>
        <v>397057956</v>
      </c>
      <c r="CL765">
        <v>0</v>
      </c>
      <c r="CM765">
        <v>2</v>
      </c>
      <c r="CN765">
        <v>0</v>
      </c>
      <c r="CO765">
        <v>2</v>
      </c>
      <c r="CP765">
        <v>0</v>
      </c>
      <c r="CQ765">
        <v>7</v>
      </c>
      <c r="CR765" t="s">
        <v>116</v>
      </c>
      <c r="CS765">
        <v>525</v>
      </c>
      <c r="CT765">
        <v>1</v>
      </c>
      <c r="CU765" t="s">
        <v>140</v>
      </c>
      <c r="CV765" t="s">
        <v>141</v>
      </c>
      <c r="CY765">
        <v>8268435</v>
      </c>
      <c r="CZ765" t="s">
        <v>119</v>
      </c>
    </row>
    <row r="766" spans="1:104" x14ac:dyDescent="0.25">
      <c r="A766" t="str">
        <f>"14:03:07.648"</f>
        <v>14:03:07.648</v>
      </c>
      <c r="B766" t="s">
        <v>108</v>
      </c>
      <c r="C766" t="str">
        <f t="shared" si="34"/>
        <v>ffdfd3c0</v>
      </c>
      <c r="D766" t="s">
        <v>109</v>
      </c>
      <c r="E766">
        <v>4</v>
      </c>
      <c r="F766">
        <v>1004</v>
      </c>
      <c r="G766" t="s">
        <v>110</v>
      </c>
      <c r="J766" t="s">
        <v>111</v>
      </c>
      <c r="K766">
        <v>0</v>
      </c>
      <c r="L766">
        <v>3</v>
      </c>
      <c r="M766">
        <v>0</v>
      </c>
      <c r="N766">
        <v>2</v>
      </c>
      <c r="O766">
        <v>1</v>
      </c>
      <c r="P766">
        <v>0</v>
      </c>
      <c r="Q766">
        <v>0</v>
      </c>
      <c r="R766" t="s">
        <v>112</v>
      </c>
      <c r="S766" t="str">
        <f>"14:03:07.469"</f>
        <v>14:03:07.469</v>
      </c>
      <c r="T766" t="str">
        <f>"14:03:06.969"</f>
        <v>14:03:06.969</v>
      </c>
      <c r="U766" t="str">
        <f t="shared" si="33"/>
        <v>ad5732</v>
      </c>
      <c r="V766">
        <v>0</v>
      </c>
      <c r="W766">
        <v>0</v>
      </c>
      <c r="X766">
        <v>1</v>
      </c>
      <c r="Z766">
        <v>0</v>
      </c>
      <c r="AA766">
        <v>9</v>
      </c>
      <c r="AB766">
        <v>3</v>
      </c>
      <c r="AC766">
        <v>0</v>
      </c>
      <c r="AD766">
        <v>10</v>
      </c>
      <c r="AE766">
        <v>0</v>
      </c>
      <c r="AF766">
        <v>3</v>
      </c>
      <c r="AG766">
        <v>2</v>
      </c>
      <c r="AH766">
        <v>0</v>
      </c>
      <c r="AI766" t="s">
        <v>1629</v>
      </c>
      <c r="AJ766">
        <v>39.322535999999999</v>
      </c>
      <c r="AK766" t="s">
        <v>1630</v>
      </c>
      <c r="AL766">
        <v>-77.088811000000007</v>
      </c>
      <c r="AM766">
        <v>100</v>
      </c>
      <c r="AN766">
        <v>8700</v>
      </c>
      <c r="AO766" t="s">
        <v>115</v>
      </c>
      <c r="AP766">
        <v>176</v>
      </c>
      <c r="AQ766">
        <v>69</v>
      </c>
      <c r="AR766">
        <v>-64</v>
      </c>
      <c r="AZ766">
        <v>3614</v>
      </c>
      <c r="BA766">
        <v>1</v>
      </c>
      <c r="BB766" t="str">
        <f t="shared" si="35"/>
        <v xml:space="preserve">N959MJ  </v>
      </c>
      <c r="BC766">
        <v>1</v>
      </c>
      <c r="BE766">
        <v>0</v>
      </c>
      <c r="BF766">
        <v>0</v>
      </c>
      <c r="BG766">
        <v>0</v>
      </c>
      <c r="BH766">
        <v>9025</v>
      </c>
      <c r="BI766">
        <v>325</v>
      </c>
      <c r="BJ766">
        <v>1</v>
      </c>
      <c r="BK766">
        <v>1</v>
      </c>
      <c r="BL766">
        <v>1</v>
      </c>
      <c r="BM766">
        <v>0</v>
      </c>
      <c r="BP766">
        <v>0</v>
      </c>
      <c r="BQ766">
        <v>0</v>
      </c>
      <c r="BX766" t="str">
        <f>"14:03:07.477"</f>
        <v>14:03:07.477</v>
      </c>
      <c r="BY766" t="str">
        <f>"473504534"</f>
        <v>473504534</v>
      </c>
      <c r="CL766">
        <v>0</v>
      </c>
      <c r="CM766">
        <v>2</v>
      </c>
      <c r="CN766">
        <v>0</v>
      </c>
      <c r="CO766">
        <v>2</v>
      </c>
      <c r="CP766">
        <v>0</v>
      </c>
      <c r="CQ766">
        <v>7</v>
      </c>
      <c r="CR766" t="s">
        <v>116</v>
      </c>
      <c r="CS766">
        <v>525</v>
      </c>
      <c r="CT766">
        <v>1</v>
      </c>
      <c r="CU766" t="s">
        <v>140</v>
      </c>
      <c r="CV766" t="s">
        <v>141</v>
      </c>
      <c r="CY766">
        <v>8269891</v>
      </c>
      <c r="CZ766" t="s">
        <v>119</v>
      </c>
    </row>
    <row r="767" spans="1:104" x14ac:dyDescent="0.25">
      <c r="A767" t="str">
        <f>"14:03:08.602"</f>
        <v>14:03:08.602</v>
      </c>
      <c r="B767" t="s">
        <v>108</v>
      </c>
      <c r="C767" t="str">
        <f t="shared" si="34"/>
        <v>ffdfd3c0</v>
      </c>
      <c r="D767" t="s">
        <v>109</v>
      </c>
      <c r="E767">
        <v>4</v>
      </c>
      <c r="F767">
        <v>1004</v>
      </c>
      <c r="G767" t="s">
        <v>110</v>
      </c>
      <c r="J767" t="s">
        <v>111</v>
      </c>
      <c r="K767">
        <v>0</v>
      </c>
      <c r="L767">
        <v>3</v>
      </c>
      <c r="M767">
        <v>0</v>
      </c>
      <c r="N767">
        <v>2</v>
      </c>
      <c r="O767">
        <v>1</v>
      </c>
      <c r="P767">
        <v>0</v>
      </c>
      <c r="Q767">
        <v>0</v>
      </c>
      <c r="R767" t="s">
        <v>112</v>
      </c>
      <c r="S767" t="str">
        <f>"14:03:08.398"</f>
        <v>14:03:08.398</v>
      </c>
      <c r="T767" t="str">
        <f>"14:03:08.000"</f>
        <v>14:03:08.000</v>
      </c>
      <c r="U767" t="str">
        <f t="shared" si="33"/>
        <v>ad5732</v>
      </c>
      <c r="V767">
        <v>0</v>
      </c>
      <c r="W767">
        <v>0</v>
      </c>
      <c r="X767">
        <v>1</v>
      </c>
      <c r="Z767">
        <v>0</v>
      </c>
      <c r="AA767">
        <v>9</v>
      </c>
      <c r="AB767">
        <v>3</v>
      </c>
      <c r="AC767">
        <v>0</v>
      </c>
      <c r="AD767">
        <v>10</v>
      </c>
      <c r="AE767">
        <v>0</v>
      </c>
      <c r="AF767">
        <v>3</v>
      </c>
      <c r="AG767">
        <v>2</v>
      </c>
      <c r="AH767">
        <v>0</v>
      </c>
      <c r="AI767" t="s">
        <v>1631</v>
      </c>
      <c r="AJ767">
        <v>39.322857999999997</v>
      </c>
      <c r="AK767" t="s">
        <v>1632</v>
      </c>
      <c r="AL767">
        <v>-77.087760000000003</v>
      </c>
      <c r="AM767">
        <v>100</v>
      </c>
      <c r="AN767">
        <v>8700</v>
      </c>
      <c r="AO767" t="s">
        <v>115</v>
      </c>
      <c r="AP767">
        <v>177</v>
      </c>
      <c r="AQ767">
        <v>69</v>
      </c>
      <c r="AR767">
        <v>-64</v>
      </c>
      <c r="AZ767">
        <v>3614</v>
      </c>
      <c r="BA767">
        <v>1</v>
      </c>
      <c r="BB767" t="str">
        <f t="shared" si="35"/>
        <v xml:space="preserve">N959MJ  </v>
      </c>
      <c r="BC767">
        <v>1</v>
      </c>
      <c r="BE767">
        <v>0</v>
      </c>
      <c r="BF767">
        <v>0</v>
      </c>
      <c r="BG767">
        <v>0</v>
      </c>
      <c r="BH767">
        <v>9025</v>
      </c>
      <c r="BI767">
        <v>325</v>
      </c>
      <c r="BJ767">
        <v>1</v>
      </c>
      <c r="BK767">
        <v>1</v>
      </c>
      <c r="BL767">
        <v>1</v>
      </c>
      <c r="BM767">
        <v>0</v>
      </c>
      <c r="BP767">
        <v>0</v>
      </c>
      <c r="BQ767">
        <v>0</v>
      </c>
      <c r="BX767" t="str">
        <f>"14:03:08.406"</f>
        <v>14:03:08.406</v>
      </c>
      <c r="BY767" t="str">
        <f>"402492593"</f>
        <v>402492593</v>
      </c>
      <c r="CL767">
        <v>0</v>
      </c>
      <c r="CM767">
        <v>2</v>
      </c>
      <c r="CN767">
        <v>0</v>
      </c>
      <c r="CO767">
        <v>2</v>
      </c>
      <c r="CP767">
        <v>0</v>
      </c>
      <c r="CQ767">
        <v>7</v>
      </c>
      <c r="CR767" t="s">
        <v>116</v>
      </c>
      <c r="CS767">
        <v>525</v>
      </c>
      <c r="CT767">
        <v>1</v>
      </c>
      <c r="CU767" t="s">
        <v>140</v>
      </c>
      <c r="CV767" t="s">
        <v>141</v>
      </c>
      <c r="CY767">
        <v>8271278</v>
      </c>
      <c r="CZ767" t="s">
        <v>119</v>
      </c>
    </row>
    <row r="768" spans="1:104" x14ac:dyDescent="0.25">
      <c r="A768" t="str">
        <f>"14:03:09.563"</f>
        <v>14:03:09.563</v>
      </c>
      <c r="B768" t="s">
        <v>108</v>
      </c>
      <c r="C768" t="str">
        <f t="shared" si="34"/>
        <v>ffdfd3c0</v>
      </c>
      <c r="D768" t="s">
        <v>109</v>
      </c>
      <c r="E768">
        <v>4</v>
      </c>
      <c r="F768">
        <v>1004</v>
      </c>
      <c r="G768" t="s">
        <v>110</v>
      </c>
      <c r="J768" t="s">
        <v>111</v>
      </c>
      <c r="K768">
        <v>0</v>
      </c>
      <c r="L768">
        <v>3</v>
      </c>
      <c r="M768">
        <v>0</v>
      </c>
      <c r="N768">
        <v>2</v>
      </c>
      <c r="O768">
        <v>1</v>
      </c>
      <c r="P768">
        <v>0</v>
      </c>
      <c r="Q768">
        <v>0</v>
      </c>
      <c r="R768" t="s">
        <v>112</v>
      </c>
      <c r="S768" t="str">
        <f>"14:03:09.367"</f>
        <v>14:03:09.367</v>
      </c>
      <c r="T768" t="str">
        <f>"14:03:08.969"</f>
        <v>14:03:08.969</v>
      </c>
      <c r="U768" t="str">
        <f t="shared" si="33"/>
        <v>ad5732</v>
      </c>
      <c r="V768">
        <v>0</v>
      </c>
      <c r="W768">
        <v>0</v>
      </c>
      <c r="X768">
        <v>1</v>
      </c>
      <c r="Z768">
        <v>0</v>
      </c>
      <c r="AA768">
        <v>9</v>
      </c>
      <c r="AB768">
        <v>3</v>
      </c>
      <c r="AC768">
        <v>0</v>
      </c>
      <c r="AD768">
        <v>10</v>
      </c>
      <c r="AE768">
        <v>0</v>
      </c>
      <c r="AF768">
        <v>3</v>
      </c>
      <c r="AG768">
        <v>2</v>
      </c>
      <c r="AH768">
        <v>0</v>
      </c>
      <c r="AI768" t="s">
        <v>1633</v>
      </c>
      <c r="AJ768">
        <v>39.323137000000003</v>
      </c>
      <c r="AK768" t="s">
        <v>1634</v>
      </c>
      <c r="AL768">
        <v>-77.086772999999994</v>
      </c>
      <c r="AM768">
        <v>100</v>
      </c>
      <c r="AN768">
        <v>8700</v>
      </c>
      <c r="AO768" t="s">
        <v>115</v>
      </c>
      <c r="AP768">
        <v>177</v>
      </c>
      <c r="AQ768">
        <v>68</v>
      </c>
      <c r="AR768">
        <v>0</v>
      </c>
      <c r="AZ768">
        <v>3614</v>
      </c>
      <c r="BA768">
        <v>1</v>
      </c>
      <c r="BB768" t="str">
        <f t="shared" si="35"/>
        <v xml:space="preserve">N959MJ  </v>
      </c>
      <c r="BC768">
        <v>1</v>
      </c>
      <c r="BE768">
        <v>0</v>
      </c>
      <c r="BF768">
        <v>0</v>
      </c>
      <c r="BG768">
        <v>0</v>
      </c>
      <c r="BH768">
        <v>9025</v>
      </c>
      <c r="BI768">
        <v>325</v>
      </c>
      <c r="BJ768">
        <v>1</v>
      </c>
      <c r="BK768">
        <v>1</v>
      </c>
      <c r="BL768">
        <v>1</v>
      </c>
      <c r="BM768">
        <v>0</v>
      </c>
      <c r="BP768">
        <v>0</v>
      </c>
      <c r="BQ768">
        <v>0</v>
      </c>
      <c r="BX768" t="str">
        <f>"14:03:09.375"</f>
        <v>14:03:09.375</v>
      </c>
      <c r="BY768" t="str">
        <f>"372441358"</f>
        <v>372441358</v>
      </c>
      <c r="CL768">
        <v>0</v>
      </c>
      <c r="CM768">
        <v>2</v>
      </c>
      <c r="CN768">
        <v>0</v>
      </c>
      <c r="CO768">
        <v>2</v>
      </c>
      <c r="CP768">
        <v>0</v>
      </c>
      <c r="CQ768">
        <v>7</v>
      </c>
      <c r="CR768" t="s">
        <v>116</v>
      </c>
      <c r="CS768">
        <v>525</v>
      </c>
      <c r="CT768">
        <v>1</v>
      </c>
      <c r="CU768" t="s">
        <v>140</v>
      </c>
      <c r="CV768" t="s">
        <v>141</v>
      </c>
      <c r="CY768">
        <v>8272697</v>
      </c>
      <c r="CZ768" t="s">
        <v>119</v>
      </c>
    </row>
    <row r="769" spans="1:104" x14ac:dyDescent="0.25">
      <c r="A769" t="str">
        <f>"14:03:10.422"</f>
        <v>14:03:10.422</v>
      </c>
      <c r="B769" t="s">
        <v>108</v>
      </c>
      <c r="C769" t="str">
        <f t="shared" si="34"/>
        <v>ffdfd3c0</v>
      </c>
      <c r="D769" t="s">
        <v>109</v>
      </c>
      <c r="E769">
        <v>4</v>
      </c>
      <c r="F769">
        <v>1004</v>
      </c>
      <c r="G769" t="s">
        <v>110</v>
      </c>
      <c r="J769" t="s">
        <v>111</v>
      </c>
      <c r="K769">
        <v>0</v>
      </c>
      <c r="L769">
        <v>3</v>
      </c>
      <c r="M769">
        <v>0</v>
      </c>
      <c r="N769">
        <v>2</v>
      </c>
      <c r="O769">
        <v>1</v>
      </c>
      <c r="P769">
        <v>0</v>
      </c>
      <c r="Q769">
        <v>0</v>
      </c>
      <c r="R769" t="s">
        <v>112</v>
      </c>
      <c r="S769" t="str">
        <f>"14:03:10.234"</f>
        <v>14:03:10.234</v>
      </c>
      <c r="T769" t="str">
        <f>"14:03:09.836"</f>
        <v>14:03:09.836</v>
      </c>
      <c r="U769" t="str">
        <f t="shared" si="33"/>
        <v>ad5732</v>
      </c>
      <c r="V769">
        <v>0</v>
      </c>
      <c r="W769">
        <v>0</v>
      </c>
      <c r="X769">
        <v>1</v>
      </c>
      <c r="Z769">
        <v>0</v>
      </c>
      <c r="AA769">
        <v>9</v>
      </c>
      <c r="AB769">
        <v>3</v>
      </c>
      <c r="AC769">
        <v>0</v>
      </c>
      <c r="AD769">
        <v>10</v>
      </c>
      <c r="AE769">
        <v>0</v>
      </c>
      <c r="AF769">
        <v>3</v>
      </c>
      <c r="AG769">
        <v>2</v>
      </c>
      <c r="AH769">
        <v>0</v>
      </c>
      <c r="AI769" t="s">
        <v>1635</v>
      </c>
      <c r="AJ769">
        <v>39.323416000000002</v>
      </c>
      <c r="AK769" t="s">
        <v>1636</v>
      </c>
      <c r="AL769">
        <v>-77.085807000000003</v>
      </c>
      <c r="AM769">
        <v>100</v>
      </c>
      <c r="AN769">
        <v>8700</v>
      </c>
      <c r="AO769" t="s">
        <v>115</v>
      </c>
      <c r="AP769">
        <v>177</v>
      </c>
      <c r="AQ769">
        <v>68</v>
      </c>
      <c r="AR769">
        <v>0</v>
      </c>
      <c r="AZ769">
        <v>3614</v>
      </c>
      <c r="BA769">
        <v>1</v>
      </c>
      <c r="BB769" t="str">
        <f t="shared" si="35"/>
        <v xml:space="preserve">N959MJ  </v>
      </c>
      <c r="BC769">
        <v>1</v>
      </c>
      <c r="BE769">
        <v>0</v>
      </c>
      <c r="BF769">
        <v>0</v>
      </c>
      <c r="BG769">
        <v>0</v>
      </c>
      <c r="BH769">
        <v>9025</v>
      </c>
      <c r="BI769">
        <v>325</v>
      </c>
      <c r="BJ769">
        <v>1</v>
      </c>
      <c r="BK769">
        <v>1</v>
      </c>
      <c r="BL769">
        <v>1</v>
      </c>
      <c r="BM769">
        <v>0</v>
      </c>
      <c r="BP769">
        <v>0</v>
      </c>
      <c r="BQ769">
        <v>0</v>
      </c>
      <c r="BX769" t="str">
        <f>"14:03:10.242"</f>
        <v>14:03:10.242</v>
      </c>
      <c r="BY769" t="str">
        <f>"240807664"</f>
        <v>240807664</v>
      </c>
      <c r="CL769">
        <v>0</v>
      </c>
      <c r="CM769">
        <v>2</v>
      </c>
      <c r="CN769">
        <v>0</v>
      </c>
      <c r="CO769">
        <v>2</v>
      </c>
      <c r="CP769">
        <v>0</v>
      </c>
      <c r="CQ769">
        <v>7</v>
      </c>
      <c r="CR769" t="s">
        <v>116</v>
      </c>
      <c r="CS769">
        <v>525</v>
      </c>
      <c r="CT769">
        <v>1</v>
      </c>
      <c r="CU769" t="s">
        <v>140</v>
      </c>
      <c r="CV769" t="s">
        <v>141</v>
      </c>
      <c r="CY769">
        <v>8274004</v>
      </c>
      <c r="CZ769" t="s">
        <v>119</v>
      </c>
    </row>
    <row r="770" spans="1:104" x14ac:dyDescent="0.25">
      <c r="A770" t="str">
        <f>"14:03:11.430"</f>
        <v>14:03:11.430</v>
      </c>
      <c r="B770" t="s">
        <v>108</v>
      </c>
      <c r="C770" t="str">
        <f t="shared" si="34"/>
        <v>ffdfd3c0</v>
      </c>
      <c r="D770" t="s">
        <v>109</v>
      </c>
      <c r="E770">
        <v>4</v>
      </c>
      <c r="F770">
        <v>1004</v>
      </c>
      <c r="G770" t="s">
        <v>110</v>
      </c>
      <c r="J770" t="s">
        <v>111</v>
      </c>
      <c r="K770">
        <v>0</v>
      </c>
      <c r="L770">
        <v>3</v>
      </c>
      <c r="M770">
        <v>0</v>
      </c>
      <c r="N770">
        <v>2</v>
      </c>
      <c r="O770">
        <v>1</v>
      </c>
      <c r="P770">
        <v>0</v>
      </c>
      <c r="Q770">
        <v>0</v>
      </c>
      <c r="R770" t="s">
        <v>112</v>
      </c>
      <c r="S770" t="str">
        <f>"14:03:11.242"</f>
        <v>14:03:11.242</v>
      </c>
      <c r="T770" t="str">
        <f>"14:03:10.742"</f>
        <v>14:03:10.742</v>
      </c>
      <c r="U770" t="str">
        <f t="shared" ref="U770:U833" si="36">"ad5732"</f>
        <v>ad5732</v>
      </c>
      <c r="V770">
        <v>0</v>
      </c>
      <c r="W770">
        <v>0</v>
      </c>
      <c r="X770">
        <v>1</v>
      </c>
      <c r="Z770">
        <v>0</v>
      </c>
      <c r="AA770">
        <v>9</v>
      </c>
      <c r="AB770">
        <v>3</v>
      </c>
      <c r="AC770">
        <v>0</v>
      </c>
      <c r="AD770">
        <v>10</v>
      </c>
      <c r="AE770">
        <v>0</v>
      </c>
      <c r="AF770">
        <v>3</v>
      </c>
      <c r="AG770">
        <v>2</v>
      </c>
      <c r="AH770">
        <v>0</v>
      </c>
      <c r="AI770" t="s">
        <v>1637</v>
      </c>
      <c r="AJ770">
        <v>39.323737999999999</v>
      </c>
      <c r="AK770" t="s">
        <v>1638</v>
      </c>
      <c r="AL770">
        <v>-77.084777000000003</v>
      </c>
      <c r="AM770">
        <v>100</v>
      </c>
      <c r="AN770">
        <v>8700</v>
      </c>
      <c r="AO770" t="s">
        <v>115</v>
      </c>
      <c r="AP770">
        <v>177</v>
      </c>
      <c r="AQ770">
        <v>68</v>
      </c>
      <c r="AR770">
        <v>0</v>
      </c>
      <c r="AZ770">
        <v>3614</v>
      </c>
      <c r="BA770">
        <v>1</v>
      </c>
      <c r="BB770" t="str">
        <f t="shared" si="35"/>
        <v xml:space="preserve">N959MJ  </v>
      </c>
      <c r="BC770">
        <v>1</v>
      </c>
      <c r="BE770">
        <v>0</v>
      </c>
      <c r="BF770">
        <v>0</v>
      </c>
      <c r="BG770">
        <v>0</v>
      </c>
      <c r="BH770">
        <v>9025</v>
      </c>
      <c r="BI770">
        <v>325</v>
      </c>
      <c r="BJ770">
        <v>1</v>
      </c>
      <c r="BK770">
        <v>1</v>
      </c>
      <c r="BL770">
        <v>1</v>
      </c>
      <c r="BM770">
        <v>0</v>
      </c>
      <c r="BP770">
        <v>0</v>
      </c>
      <c r="BQ770">
        <v>0</v>
      </c>
      <c r="BX770" t="str">
        <f>"14:03:11.250"</f>
        <v>14:03:11.250</v>
      </c>
      <c r="BY770" t="str">
        <f>"246801951"</f>
        <v>246801951</v>
      </c>
      <c r="CL770">
        <v>0</v>
      </c>
      <c r="CM770">
        <v>2</v>
      </c>
      <c r="CN770">
        <v>0</v>
      </c>
      <c r="CO770">
        <v>2</v>
      </c>
      <c r="CP770">
        <v>0</v>
      </c>
      <c r="CQ770">
        <v>7</v>
      </c>
      <c r="CR770" t="s">
        <v>116</v>
      </c>
      <c r="CS770">
        <v>525</v>
      </c>
      <c r="CT770">
        <v>1</v>
      </c>
      <c r="CU770" t="s">
        <v>140</v>
      </c>
      <c r="CV770" t="s">
        <v>141</v>
      </c>
      <c r="CY770">
        <v>8275313</v>
      </c>
      <c r="CZ770" t="s">
        <v>119</v>
      </c>
    </row>
    <row r="771" spans="1:104" x14ac:dyDescent="0.25">
      <c r="A771" t="str">
        <f>"14:03:12.391"</f>
        <v>14:03:12.391</v>
      </c>
      <c r="B771" t="s">
        <v>108</v>
      </c>
      <c r="C771" t="str">
        <f t="shared" si="34"/>
        <v>ffdfd3c0</v>
      </c>
      <c r="D771" t="s">
        <v>109</v>
      </c>
      <c r="E771">
        <v>4</v>
      </c>
      <c r="F771">
        <v>1004</v>
      </c>
      <c r="G771" t="s">
        <v>110</v>
      </c>
      <c r="J771" t="s">
        <v>111</v>
      </c>
      <c r="K771">
        <v>0</v>
      </c>
      <c r="L771">
        <v>3</v>
      </c>
      <c r="M771">
        <v>0</v>
      </c>
      <c r="N771">
        <v>2</v>
      </c>
      <c r="O771">
        <v>1</v>
      </c>
      <c r="P771">
        <v>0</v>
      </c>
      <c r="Q771">
        <v>0</v>
      </c>
      <c r="R771" t="s">
        <v>112</v>
      </c>
      <c r="S771" t="str">
        <f>"14:03:12.219"</f>
        <v>14:03:12.219</v>
      </c>
      <c r="T771" t="str">
        <f>"14:03:11.820"</f>
        <v>14:03:11.820</v>
      </c>
      <c r="U771" t="str">
        <f t="shared" si="36"/>
        <v>ad5732</v>
      </c>
      <c r="V771">
        <v>0</v>
      </c>
      <c r="W771">
        <v>0</v>
      </c>
      <c r="X771">
        <v>1</v>
      </c>
      <c r="Z771">
        <v>0</v>
      </c>
      <c r="AA771">
        <v>9</v>
      </c>
      <c r="AB771">
        <v>3</v>
      </c>
      <c r="AC771">
        <v>0</v>
      </c>
      <c r="AD771">
        <v>10</v>
      </c>
      <c r="AE771">
        <v>0</v>
      </c>
      <c r="AF771">
        <v>3</v>
      </c>
      <c r="AG771">
        <v>2</v>
      </c>
      <c r="AH771">
        <v>0</v>
      </c>
      <c r="AI771" t="s">
        <v>1639</v>
      </c>
      <c r="AJ771">
        <v>39.324081</v>
      </c>
      <c r="AK771" t="s">
        <v>1640</v>
      </c>
      <c r="AL771">
        <v>-77.083747000000002</v>
      </c>
      <c r="AM771">
        <v>100</v>
      </c>
      <c r="AN771">
        <v>8700</v>
      </c>
      <c r="AO771" t="s">
        <v>115</v>
      </c>
      <c r="AP771">
        <v>177</v>
      </c>
      <c r="AQ771">
        <v>67</v>
      </c>
      <c r="AR771">
        <v>0</v>
      </c>
      <c r="AZ771">
        <v>3614</v>
      </c>
      <c r="BA771">
        <v>1</v>
      </c>
      <c r="BB771" t="str">
        <f t="shared" si="35"/>
        <v xml:space="preserve">N959MJ  </v>
      </c>
      <c r="BC771">
        <v>1</v>
      </c>
      <c r="BE771">
        <v>0</v>
      </c>
      <c r="BF771">
        <v>0</v>
      </c>
      <c r="BG771">
        <v>0</v>
      </c>
      <c r="BH771">
        <v>9025</v>
      </c>
      <c r="BI771">
        <v>325</v>
      </c>
      <c r="BJ771">
        <v>1</v>
      </c>
      <c r="BK771">
        <v>1</v>
      </c>
      <c r="BL771">
        <v>1</v>
      </c>
      <c r="BM771">
        <v>0</v>
      </c>
      <c r="BP771">
        <v>0</v>
      </c>
      <c r="BQ771">
        <v>0</v>
      </c>
      <c r="BX771" t="str">
        <f>"14:03:12.227"</f>
        <v>14:03:12.227</v>
      </c>
      <c r="BY771" t="str">
        <f>"224942753"</f>
        <v>224942753</v>
      </c>
      <c r="CL771">
        <v>0</v>
      </c>
      <c r="CM771">
        <v>2</v>
      </c>
      <c r="CN771">
        <v>0</v>
      </c>
      <c r="CO771">
        <v>2</v>
      </c>
      <c r="CP771">
        <v>0</v>
      </c>
      <c r="CQ771">
        <v>7</v>
      </c>
      <c r="CR771" t="s">
        <v>116</v>
      </c>
      <c r="CS771">
        <v>525</v>
      </c>
      <c r="CT771">
        <v>1</v>
      </c>
      <c r="CU771" t="s">
        <v>140</v>
      </c>
      <c r="CV771" t="s">
        <v>141</v>
      </c>
      <c r="CY771">
        <v>8276623</v>
      </c>
      <c r="CZ771" t="s">
        <v>119</v>
      </c>
    </row>
    <row r="772" spans="1:104" x14ac:dyDescent="0.25">
      <c r="A772" t="str">
        <f>"14:03:13.352"</f>
        <v>14:03:13.352</v>
      </c>
      <c r="B772" t="s">
        <v>108</v>
      </c>
      <c r="C772" t="str">
        <f t="shared" si="34"/>
        <v>ffdfd3c0</v>
      </c>
      <c r="D772" t="s">
        <v>109</v>
      </c>
      <c r="E772">
        <v>4</v>
      </c>
      <c r="F772">
        <v>1004</v>
      </c>
      <c r="G772" t="s">
        <v>110</v>
      </c>
      <c r="J772" t="s">
        <v>111</v>
      </c>
      <c r="K772">
        <v>0</v>
      </c>
      <c r="L772">
        <v>3</v>
      </c>
      <c r="M772">
        <v>0</v>
      </c>
      <c r="N772">
        <v>2</v>
      </c>
      <c r="O772">
        <v>1</v>
      </c>
      <c r="P772">
        <v>0</v>
      </c>
      <c r="Q772">
        <v>0</v>
      </c>
      <c r="R772" t="s">
        <v>112</v>
      </c>
      <c r="S772" t="str">
        <f>"14:03:13.156"</f>
        <v>14:03:13.156</v>
      </c>
      <c r="T772" t="str">
        <f>"14:03:12.758"</f>
        <v>14:03:12.758</v>
      </c>
      <c r="U772" t="str">
        <f t="shared" si="36"/>
        <v>ad5732</v>
      </c>
      <c r="V772">
        <v>0</v>
      </c>
      <c r="W772">
        <v>0</v>
      </c>
      <c r="X772">
        <v>1</v>
      </c>
      <c r="Z772">
        <v>0</v>
      </c>
      <c r="AA772">
        <v>9</v>
      </c>
      <c r="AB772">
        <v>3</v>
      </c>
      <c r="AC772">
        <v>0</v>
      </c>
      <c r="AD772">
        <v>10</v>
      </c>
      <c r="AE772">
        <v>0</v>
      </c>
      <c r="AF772">
        <v>3</v>
      </c>
      <c r="AG772">
        <v>2</v>
      </c>
      <c r="AH772">
        <v>0</v>
      </c>
      <c r="AI772" t="s">
        <v>1641</v>
      </c>
      <c r="AJ772">
        <v>39.324317000000001</v>
      </c>
      <c r="AK772" t="s">
        <v>1642</v>
      </c>
      <c r="AL772">
        <v>-77.082759999999993</v>
      </c>
      <c r="AM772">
        <v>100</v>
      </c>
      <c r="AN772">
        <v>8700</v>
      </c>
      <c r="AO772" t="s">
        <v>115</v>
      </c>
      <c r="AP772">
        <v>177</v>
      </c>
      <c r="AQ772">
        <v>67</v>
      </c>
      <c r="AR772">
        <v>64</v>
      </c>
      <c r="AZ772">
        <v>3614</v>
      </c>
      <c r="BA772">
        <v>1</v>
      </c>
      <c r="BB772" t="str">
        <f t="shared" si="35"/>
        <v xml:space="preserve">N959MJ  </v>
      </c>
      <c r="BC772">
        <v>1</v>
      </c>
      <c r="BE772">
        <v>0</v>
      </c>
      <c r="BF772">
        <v>0</v>
      </c>
      <c r="BG772">
        <v>0</v>
      </c>
      <c r="BH772">
        <v>9025</v>
      </c>
      <c r="BI772">
        <v>325</v>
      </c>
      <c r="BJ772">
        <v>1</v>
      </c>
      <c r="BK772">
        <v>1</v>
      </c>
      <c r="BL772">
        <v>1</v>
      </c>
      <c r="BM772">
        <v>0</v>
      </c>
      <c r="BP772">
        <v>0</v>
      </c>
      <c r="BQ772">
        <v>0</v>
      </c>
      <c r="BX772" t="str">
        <f>"14:03:13.156"</f>
        <v>14:03:13.156</v>
      </c>
      <c r="BY772" t="str">
        <f>"158846142"</f>
        <v>158846142</v>
      </c>
      <c r="CL772">
        <v>0</v>
      </c>
      <c r="CM772">
        <v>2</v>
      </c>
      <c r="CN772">
        <v>0</v>
      </c>
      <c r="CO772">
        <v>2</v>
      </c>
      <c r="CP772">
        <v>0</v>
      </c>
      <c r="CQ772">
        <v>6</v>
      </c>
      <c r="CR772" t="s">
        <v>116</v>
      </c>
      <c r="CS772">
        <v>525</v>
      </c>
      <c r="CT772">
        <v>2</v>
      </c>
      <c r="CU772" t="s">
        <v>140</v>
      </c>
      <c r="CV772" t="s">
        <v>141</v>
      </c>
      <c r="CY772">
        <v>14716414</v>
      </c>
      <c r="CZ772" t="s">
        <v>119</v>
      </c>
    </row>
    <row r="773" spans="1:104" x14ac:dyDescent="0.25">
      <c r="A773" t="str">
        <f>"14:03:14.203"</f>
        <v>14:03:14.203</v>
      </c>
      <c r="B773" t="s">
        <v>108</v>
      </c>
      <c r="C773" t="str">
        <f t="shared" si="34"/>
        <v>ffdfd3c0</v>
      </c>
      <c r="D773" t="s">
        <v>109</v>
      </c>
      <c r="E773">
        <v>4</v>
      </c>
      <c r="F773">
        <v>1004</v>
      </c>
      <c r="G773" t="s">
        <v>110</v>
      </c>
      <c r="J773" t="s">
        <v>111</v>
      </c>
      <c r="K773">
        <v>0</v>
      </c>
      <c r="L773">
        <v>3</v>
      </c>
      <c r="M773">
        <v>0</v>
      </c>
      <c r="N773">
        <v>2</v>
      </c>
      <c r="O773">
        <v>1</v>
      </c>
      <c r="P773">
        <v>0</v>
      </c>
      <c r="Q773">
        <v>0</v>
      </c>
      <c r="R773" t="s">
        <v>112</v>
      </c>
      <c r="S773" t="str">
        <f>"14:03:14.023"</f>
        <v>14:03:14.023</v>
      </c>
      <c r="T773" t="str">
        <f>"14:03:13.227"</f>
        <v>14:03:13.227</v>
      </c>
      <c r="U773" t="str">
        <f t="shared" si="36"/>
        <v>ad5732</v>
      </c>
      <c r="V773">
        <v>0</v>
      </c>
      <c r="W773">
        <v>0</v>
      </c>
      <c r="X773">
        <v>1</v>
      </c>
      <c r="Z773">
        <v>0</v>
      </c>
      <c r="AA773">
        <v>9</v>
      </c>
      <c r="AB773">
        <v>3</v>
      </c>
      <c r="AC773">
        <v>0</v>
      </c>
      <c r="AD773">
        <v>10</v>
      </c>
      <c r="AE773">
        <v>0</v>
      </c>
      <c r="AF773">
        <v>3</v>
      </c>
      <c r="AG773">
        <v>2</v>
      </c>
      <c r="AH773">
        <v>0</v>
      </c>
      <c r="AI773" t="s">
        <v>1643</v>
      </c>
      <c r="AJ773">
        <v>39.324638999999998</v>
      </c>
      <c r="AK773" t="s">
        <v>1644</v>
      </c>
      <c r="AL773">
        <v>-77.081838000000005</v>
      </c>
      <c r="AM773">
        <v>100</v>
      </c>
      <c r="AN773">
        <v>8700</v>
      </c>
      <c r="AO773" t="s">
        <v>115</v>
      </c>
      <c r="AP773">
        <v>177</v>
      </c>
      <c r="AQ773">
        <v>67</v>
      </c>
      <c r="AR773">
        <v>64</v>
      </c>
      <c r="AZ773">
        <v>3614</v>
      </c>
      <c r="BA773">
        <v>1</v>
      </c>
      <c r="BB773" t="str">
        <f t="shared" si="35"/>
        <v xml:space="preserve">N959MJ  </v>
      </c>
      <c r="BC773">
        <v>1</v>
      </c>
      <c r="BE773">
        <v>0</v>
      </c>
      <c r="BF773">
        <v>0</v>
      </c>
      <c r="BG773">
        <v>0</v>
      </c>
      <c r="BH773">
        <v>9025</v>
      </c>
      <c r="BI773">
        <v>325</v>
      </c>
      <c r="BJ773">
        <v>1</v>
      </c>
      <c r="BK773">
        <v>1</v>
      </c>
      <c r="BL773">
        <v>1</v>
      </c>
      <c r="BM773">
        <v>0</v>
      </c>
      <c r="BP773">
        <v>0</v>
      </c>
      <c r="BQ773">
        <v>0</v>
      </c>
      <c r="BX773" t="str">
        <f>"14:03:14.031"</f>
        <v>14:03:14.031</v>
      </c>
      <c r="BY773" t="str">
        <f>"028851138"</f>
        <v>028851138</v>
      </c>
      <c r="CL773">
        <v>0</v>
      </c>
      <c r="CM773">
        <v>2</v>
      </c>
      <c r="CN773">
        <v>0</v>
      </c>
      <c r="CO773">
        <v>2</v>
      </c>
      <c r="CP773">
        <v>0</v>
      </c>
      <c r="CQ773">
        <v>7</v>
      </c>
      <c r="CR773" t="s">
        <v>116</v>
      </c>
      <c r="CS773">
        <v>525</v>
      </c>
      <c r="CT773">
        <v>1</v>
      </c>
      <c r="CU773" t="s">
        <v>140</v>
      </c>
      <c r="CV773" t="s">
        <v>141</v>
      </c>
      <c r="CY773">
        <v>8279140</v>
      </c>
      <c r="CZ773" t="s">
        <v>119</v>
      </c>
    </row>
    <row r="774" spans="1:104" x14ac:dyDescent="0.25">
      <c r="A774" t="str">
        <f>"14:03:15.016"</f>
        <v>14:03:15.016</v>
      </c>
      <c r="B774" t="s">
        <v>108</v>
      </c>
      <c r="C774" t="str">
        <f t="shared" si="34"/>
        <v>ffdfd3c0</v>
      </c>
      <c r="D774" t="s">
        <v>109</v>
      </c>
      <c r="E774">
        <v>4</v>
      </c>
      <c r="F774">
        <v>1004</v>
      </c>
      <c r="G774" t="s">
        <v>110</v>
      </c>
      <c r="J774" t="s">
        <v>111</v>
      </c>
      <c r="K774">
        <v>0</v>
      </c>
      <c r="L774">
        <v>3</v>
      </c>
      <c r="M774">
        <v>0</v>
      </c>
      <c r="N774">
        <v>2</v>
      </c>
      <c r="O774">
        <v>1</v>
      </c>
      <c r="P774">
        <v>0</v>
      </c>
      <c r="Q774">
        <v>0</v>
      </c>
      <c r="R774" t="s">
        <v>112</v>
      </c>
      <c r="S774" t="str">
        <f>"14:03:14.836"</f>
        <v>14:03:14.836</v>
      </c>
      <c r="T774" t="str">
        <f>"14:03:14.438"</f>
        <v>14:03:14.438</v>
      </c>
      <c r="U774" t="str">
        <f t="shared" si="36"/>
        <v>ad5732</v>
      </c>
      <c r="V774">
        <v>0</v>
      </c>
      <c r="W774">
        <v>0</v>
      </c>
      <c r="X774">
        <v>1</v>
      </c>
      <c r="Z774">
        <v>0</v>
      </c>
      <c r="AA774">
        <v>9</v>
      </c>
      <c r="AB774">
        <v>3</v>
      </c>
      <c r="AC774">
        <v>0</v>
      </c>
      <c r="AD774">
        <v>10</v>
      </c>
      <c r="AE774">
        <v>0</v>
      </c>
      <c r="AF774">
        <v>3</v>
      </c>
      <c r="AG774">
        <v>2</v>
      </c>
      <c r="AH774">
        <v>0</v>
      </c>
      <c r="AI774" t="s">
        <v>1645</v>
      </c>
      <c r="AJ774">
        <v>39.324852999999997</v>
      </c>
      <c r="AK774" t="s">
        <v>1646</v>
      </c>
      <c r="AL774">
        <v>-77.081001000000001</v>
      </c>
      <c r="AM774">
        <v>100</v>
      </c>
      <c r="AN774">
        <v>8700</v>
      </c>
      <c r="AO774" t="s">
        <v>115</v>
      </c>
      <c r="AP774">
        <v>177</v>
      </c>
      <c r="AQ774">
        <v>67</v>
      </c>
      <c r="AR774">
        <v>64</v>
      </c>
      <c r="AZ774">
        <v>3614</v>
      </c>
      <c r="BA774">
        <v>1</v>
      </c>
      <c r="BB774" t="str">
        <f t="shared" si="35"/>
        <v xml:space="preserve">N959MJ  </v>
      </c>
      <c r="BC774">
        <v>1</v>
      </c>
      <c r="BE774">
        <v>0</v>
      </c>
      <c r="BF774">
        <v>0</v>
      </c>
      <c r="BG774">
        <v>0</v>
      </c>
      <c r="BH774">
        <v>9025</v>
      </c>
      <c r="BI774">
        <v>325</v>
      </c>
      <c r="BJ774">
        <v>1</v>
      </c>
      <c r="BK774">
        <v>1</v>
      </c>
      <c r="BL774">
        <v>1</v>
      </c>
      <c r="BM774">
        <v>0</v>
      </c>
      <c r="BP774">
        <v>0</v>
      </c>
      <c r="BQ774">
        <v>0</v>
      </c>
      <c r="BX774" t="str">
        <f>"14:03:14.844"</f>
        <v>14:03:14.844</v>
      </c>
      <c r="BY774" t="str">
        <f>"839872304"</f>
        <v>839872304</v>
      </c>
      <c r="CL774">
        <v>0</v>
      </c>
      <c r="CM774">
        <v>2</v>
      </c>
      <c r="CN774">
        <v>0</v>
      </c>
      <c r="CO774">
        <v>2</v>
      </c>
      <c r="CP774">
        <v>0</v>
      </c>
      <c r="CQ774">
        <v>7</v>
      </c>
      <c r="CR774" t="s">
        <v>116</v>
      </c>
      <c r="CS774">
        <v>525</v>
      </c>
      <c r="CT774">
        <v>1</v>
      </c>
      <c r="CU774" t="s">
        <v>140</v>
      </c>
      <c r="CV774" t="s">
        <v>141</v>
      </c>
      <c r="CY774">
        <v>8280331</v>
      </c>
      <c r="CZ774" t="s">
        <v>119</v>
      </c>
    </row>
    <row r="775" spans="1:104" x14ac:dyDescent="0.25">
      <c r="A775" t="str">
        <f>"14:03:16.070"</f>
        <v>14:03:16.070</v>
      </c>
      <c r="B775" t="s">
        <v>108</v>
      </c>
      <c r="C775" t="str">
        <f t="shared" si="34"/>
        <v>ffdfd3c0</v>
      </c>
      <c r="D775" t="s">
        <v>109</v>
      </c>
      <c r="E775">
        <v>4</v>
      </c>
      <c r="F775">
        <v>1004</v>
      </c>
      <c r="G775" t="s">
        <v>110</v>
      </c>
      <c r="J775" t="s">
        <v>111</v>
      </c>
      <c r="K775">
        <v>0</v>
      </c>
      <c r="L775">
        <v>3</v>
      </c>
      <c r="M775">
        <v>0</v>
      </c>
      <c r="N775">
        <v>2</v>
      </c>
      <c r="O775">
        <v>1</v>
      </c>
      <c r="P775">
        <v>0</v>
      </c>
      <c r="Q775">
        <v>0</v>
      </c>
      <c r="R775" t="s">
        <v>112</v>
      </c>
      <c r="S775" t="str">
        <f>"14:03:15.906"</f>
        <v>14:03:15.906</v>
      </c>
      <c r="T775" t="str">
        <f>"14:03:15.406"</f>
        <v>14:03:15.406</v>
      </c>
      <c r="U775" t="str">
        <f t="shared" si="36"/>
        <v>ad5732</v>
      </c>
      <c r="V775">
        <v>0</v>
      </c>
      <c r="W775">
        <v>0</v>
      </c>
      <c r="X775">
        <v>1</v>
      </c>
      <c r="Z775">
        <v>0</v>
      </c>
      <c r="AA775">
        <v>9</v>
      </c>
      <c r="AB775">
        <v>3</v>
      </c>
      <c r="AC775">
        <v>0</v>
      </c>
      <c r="AD775">
        <v>10</v>
      </c>
      <c r="AE775">
        <v>0</v>
      </c>
      <c r="AF775">
        <v>3</v>
      </c>
      <c r="AG775">
        <v>2</v>
      </c>
      <c r="AH775">
        <v>0</v>
      </c>
      <c r="AI775" t="s">
        <v>1647</v>
      </c>
      <c r="AJ775">
        <v>39.325197000000003</v>
      </c>
      <c r="AK775" t="s">
        <v>1648</v>
      </c>
      <c r="AL775">
        <v>-77.079841999999999</v>
      </c>
      <c r="AM775">
        <v>100</v>
      </c>
      <c r="AN775">
        <v>8700</v>
      </c>
      <c r="AO775" t="s">
        <v>115</v>
      </c>
      <c r="AP775">
        <v>177</v>
      </c>
      <c r="AQ775">
        <v>67</v>
      </c>
      <c r="AR775">
        <v>64</v>
      </c>
      <c r="AZ775">
        <v>3614</v>
      </c>
      <c r="BA775">
        <v>1</v>
      </c>
      <c r="BB775" t="str">
        <f t="shared" si="35"/>
        <v xml:space="preserve">N959MJ  </v>
      </c>
      <c r="BC775">
        <v>1</v>
      </c>
      <c r="BE775">
        <v>0</v>
      </c>
      <c r="BF775">
        <v>0</v>
      </c>
      <c r="BG775">
        <v>0</v>
      </c>
      <c r="BH775">
        <v>9025</v>
      </c>
      <c r="BI775">
        <v>325</v>
      </c>
      <c r="BJ775">
        <v>1</v>
      </c>
      <c r="BK775">
        <v>1</v>
      </c>
      <c r="BL775">
        <v>1</v>
      </c>
      <c r="BM775">
        <v>0</v>
      </c>
      <c r="BP775">
        <v>0</v>
      </c>
      <c r="BQ775">
        <v>0</v>
      </c>
      <c r="BX775" t="str">
        <f>"14:03:15.914"</f>
        <v>14:03:15.914</v>
      </c>
      <c r="BY775" t="str">
        <f>"911403519"</f>
        <v>911403519</v>
      </c>
      <c r="CL775">
        <v>0</v>
      </c>
      <c r="CM775">
        <v>2</v>
      </c>
      <c r="CN775">
        <v>0</v>
      </c>
      <c r="CO775">
        <v>2</v>
      </c>
      <c r="CP775">
        <v>0</v>
      </c>
      <c r="CQ775">
        <v>7</v>
      </c>
      <c r="CR775" t="s">
        <v>116</v>
      </c>
      <c r="CS775">
        <v>525</v>
      </c>
      <c r="CT775">
        <v>1</v>
      </c>
      <c r="CU775" t="s">
        <v>140</v>
      </c>
      <c r="CV775" t="s">
        <v>141</v>
      </c>
      <c r="CY775">
        <v>8281821</v>
      </c>
      <c r="CZ775" t="s">
        <v>119</v>
      </c>
    </row>
    <row r="776" spans="1:104" x14ac:dyDescent="0.25">
      <c r="A776" t="str">
        <f>"14:03:17.086"</f>
        <v>14:03:17.086</v>
      </c>
      <c r="B776" t="s">
        <v>108</v>
      </c>
      <c r="C776" t="str">
        <f t="shared" si="34"/>
        <v>ffdfd3c0</v>
      </c>
      <c r="D776" t="s">
        <v>109</v>
      </c>
      <c r="E776">
        <v>4</v>
      </c>
      <c r="F776">
        <v>1004</v>
      </c>
      <c r="G776" t="s">
        <v>110</v>
      </c>
      <c r="J776" t="s">
        <v>111</v>
      </c>
      <c r="K776">
        <v>0</v>
      </c>
      <c r="L776">
        <v>3</v>
      </c>
      <c r="M776">
        <v>0</v>
      </c>
      <c r="N776">
        <v>2</v>
      </c>
      <c r="O776">
        <v>1</v>
      </c>
      <c r="P776">
        <v>0</v>
      </c>
      <c r="Q776">
        <v>0</v>
      </c>
      <c r="R776" t="s">
        <v>112</v>
      </c>
      <c r="S776" t="str">
        <f>"14:03:16.914"</f>
        <v>14:03:16.914</v>
      </c>
      <c r="T776" t="str">
        <f>"14:03:16.414"</f>
        <v>14:03:16.414</v>
      </c>
      <c r="U776" t="str">
        <f t="shared" si="36"/>
        <v>ad5732</v>
      </c>
      <c r="V776">
        <v>0</v>
      </c>
      <c r="W776">
        <v>0</v>
      </c>
      <c r="X776">
        <v>1</v>
      </c>
      <c r="Z776">
        <v>0</v>
      </c>
      <c r="AA776">
        <v>9</v>
      </c>
      <c r="AB776">
        <v>3</v>
      </c>
      <c r="AC776">
        <v>0</v>
      </c>
      <c r="AD776">
        <v>10</v>
      </c>
      <c r="AE776">
        <v>0</v>
      </c>
      <c r="AF776">
        <v>3</v>
      </c>
      <c r="AG776">
        <v>2</v>
      </c>
      <c r="AH776">
        <v>0</v>
      </c>
      <c r="AI776" t="s">
        <v>1649</v>
      </c>
      <c r="AJ776">
        <v>39.325519</v>
      </c>
      <c r="AK776" t="s">
        <v>1650</v>
      </c>
      <c r="AL776">
        <v>-77.078768999999994</v>
      </c>
      <c r="AM776">
        <v>100</v>
      </c>
      <c r="AN776">
        <v>8700</v>
      </c>
      <c r="AO776" t="s">
        <v>115</v>
      </c>
      <c r="AP776">
        <v>177</v>
      </c>
      <c r="AQ776">
        <v>67</v>
      </c>
      <c r="AR776">
        <v>0</v>
      </c>
      <c r="AZ776">
        <v>3614</v>
      </c>
      <c r="BA776">
        <v>1</v>
      </c>
      <c r="BB776" t="str">
        <f t="shared" si="35"/>
        <v xml:space="preserve">N959MJ  </v>
      </c>
      <c r="BC776">
        <v>1</v>
      </c>
      <c r="BE776">
        <v>0</v>
      </c>
      <c r="BF776">
        <v>0</v>
      </c>
      <c r="BG776">
        <v>0</v>
      </c>
      <c r="BH776">
        <v>9025</v>
      </c>
      <c r="BI776">
        <v>325</v>
      </c>
      <c r="BJ776">
        <v>1</v>
      </c>
      <c r="BK776">
        <v>1</v>
      </c>
      <c r="BL776">
        <v>1</v>
      </c>
      <c r="BM776">
        <v>0</v>
      </c>
      <c r="BP776">
        <v>0</v>
      </c>
      <c r="BQ776">
        <v>0</v>
      </c>
      <c r="BX776" t="str">
        <f>"14:03:16.914"</f>
        <v>14:03:16.914</v>
      </c>
      <c r="BY776" t="str">
        <f>"917397694"</f>
        <v>917397694</v>
      </c>
      <c r="CL776">
        <v>0</v>
      </c>
      <c r="CM776">
        <v>2</v>
      </c>
      <c r="CN776">
        <v>0</v>
      </c>
      <c r="CO776">
        <v>2</v>
      </c>
      <c r="CP776">
        <v>0</v>
      </c>
      <c r="CQ776">
        <v>7</v>
      </c>
      <c r="CR776" t="s">
        <v>116</v>
      </c>
      <c r="CS776">
        <v>525</v>
      </c>
      <c r="CT776">
        <v>1</v>
      </c>
      <c r="CU776" t="s">
        <v>140</v>
      </c>
      <c r="CV776" t="s">
        <v>141</v>
      </c>
      <c r="CY776">
        <v>8283069</v>
      </c>
      <c r="CZ776" t="s">
        <v>119</v>
      </c>
    </row>
    <row r="777" spans="1:104" x14ac:dyDescent="0.25">
      <c r="A777" t="str">
        <f>"14:03:17.992"</f>
        <v>14:03:17.992</v>
      </c>
      <c r="B777" t="s">
        <v>108</v>
      </c>
      <c r="C777" t="str">
        <f t="shared" si="34"/>
        <v>ffdfd3c0</v>
      </c>
      <c r="D777" t="s">
        <v>109</v>
      </c>
      <c r="E777">
        <v>4</v>
      </c>
      <c r="F777">
        <v>1004</v>
      </c>
      <c r="G777" t="s">
        <v>110</v>
      </c>
      <c r="J777" t="s">
        <v>111</v>
      </c>
      <c r="K777">
        <v>0</v>
      </c>
      <c r="L777">
        <v>3</v>
      </c>
      <c r="M777">
        <v>0</v>
      </c>
      <c r="N777">
        <v>2</v>
      </c>
      <c r="O777">
        <v>1</v>
      </c>
      <c r="P777">
        <v>0</v>
      </c>
      <c r="Q777">
        <v>0</v>
      </c>
      <c r="R777" t="s">
        <v>112</v>
      </c>
      <c r="S777" t="str">
        <f>"14:03:17.813"</f>
        <v>14:03:17.813</v>
      </c>
      <c r="T777" t="str">
        <f>"14:03:17.414"</f>
        <v>14:03:17.414</v>
      </c>
      <c r="U777" t="str">
        <f t="shared" si="36"/>
        <v>ad5732</v>
      </c>
      <c r="V777">
        <v>0</v>
      </c>
      <c r="W777">
        <v>0</v>
      </c>
      <c r="X777">
        <v>1</v>
      </c>
      <c r="Z777">
        <v>0</v>
      </c>
      <c r="AA777">
        <v>9</v>
      </c>
      <c r="AB777">
        <v>3</v>
      </c>
      <c r="AC777">
        <v>0</v>
      </c>
      <c r="AD777">
        <v>10</v>
      </c>
      <c r="AE777">
        <v>0</v>
      </c>
      <c r="AF777">
        <v>3</v>
      </c>
      <c r="AG777">
        <v>2</v>
      </c>
      <c r="AH777">
        <v>0</v>
      </c>
      <c r="AI777" t="s">
        <v>1651</v>
      </c>
      <c r="AJ777">
        <v>39.325797999999999</v>
      </c>
      <c r="AK777" t="s">
        <v>1652</v>
      </c>
      <c r="AL777">
        <v>-77.077825000000004</v>
      </c>
      <c r="AM777">
        <v>100</v>
      </c>
      <c r="AN777">
        <v>8700</v>
      </c>
      <c r="AO777" t="s">
        <v>115</v>
      </c>
      <c r="AP777">
        <v>177</v>
      </c>
      <c r="AQ777">
        <v>67</v>
      </c>
      <c r="AR777">
        <v>0</v>
      </c>
      <c r="AZ777">
        <v>3614</v>
      </c>
      <c r="BA777">
        <v>1</v>
      </c>
      <c r="BB777" t="str">
        <f t="shared" si="35"/>
        <v xml:space="preserve">N959MJ  </v>
      </c>
      <c r="BC777">
        <v>1</v>
      </c>
      <c r="BE777">
        <v>0</v>
      </c>
      <c r="BF777">
        <v>0</v>
      </c>
      <c r="BG777">
        <v>0</v>
      </c>
      <c r="BH777">
        <v>9025</v>
      </c>
      <c r="BI777">
        <v>325</v>
      </c>
      <c r="BJ777">
        <v>1</v>
      </c>
      <c r="BK777">
        <v>1</v>
      </c>
      <c r="BL777">
        <v>1</v>
      </c>
      <c r="BM777">
        <v>0</v>
      </c>
      <c r="BP777">
        <v>0</v>
      </c>
      <c r="BQ777">
        <v>0</v>
      </c>
      <c r="BX777" t="str">
        <f>"14:03:17.820"</f>
        <v>14:03:17.820</v>
      </c>
      <c r="BY777" t="str">
        <f>"820170986"</f>
        <v>820170986</v>
      </c>
      <c r="CL777">
        <v>0</v>
      </c>
      <c r="CM777">
        <v>2</v>
      </c>
      <c r="CN777">
        <v>0</v>
      </c>
      <c r="CO777">
        <v>2</v>
      </c>
      <c r="CP777">
        <v>0</v>
      </c>
      <c r="CQ777">
        <v>7</v>
      </c>
      <c r="CR777" t="s">
        <v>116</v>
      </c>
      <c r="CS777">
        <v>525</v>
      </c>
      <c r="CT777">
        <v>1</v>
      </c>
      <c r="CU777" t="s">
        <v>140</v>
      </c>
      <c r="CV777" t="s">
        <v>141</v>
      </c>
      <c r="CY777">
        <v>8284423</v>
      </c>
      <c r="CZ777" t="s">
        <v>119</v>
      </c>
    </row>
    <row r="778" spans="1:104" x14ac:dyDescent="0.25">
      <c r="A778" t="str">
        <f>"14:03:18.953"</f>
        <v>14:03:18.953</v>
      </c>
      <c r="B778" t="s">
        <v>108</v>
      </c>
      <c r="C778" t="str">
        <f t="shared" ref="C778:C841" si="37">"ffdfd3c0"</f>
        <v>ffdfd3c0</v>
      </c>
      <c r="D778" t="s">
        <v>109</v>
      </c>
      <c r="E778">
        <v>4</v>
      </c>
      <c r="F778">
        <v>1004</v>
      </c>
      <c r="G778" t="s">
        <v>110</v>
      </c>
      <c r="J778" t="s">
        <v>111</v>
      </c>
      <c r="K778">
        <v>0</v>
      </c>
      <c r="L778">
        <v>3</v>
      </c>
      <c r="M778">
        <v>0</v>
      </c>
      <c r="N778">
        <v>2</v>
      </c>
      <c r="O778">
        <v>1</v>
      </c>
      <c r="P778">
        <v>0</v>
      </c>
      <c r="Q778">
        <v>0</v>
      </c>
      <c r="R778" t="s">
        <v>112</v>
      </c>
      <c r="S778" t="str">
        <f>"14:03:18.773"</f>
        <v>14:03:18.773</v>
      </c>
      <c r="T778" t="str">
        <f>"14:03:18.375"</f>
        <v>14:03:18.375</v>
      </c>
      <c r="U778" t="str">
        <f t="shared" si="36"/>
        <v>ad5732</v>
      </c>
      <c r="V778">
        <v>0</v>
      </c>
      <c r="W778">
        <v>0</v>
      </c>
      <c r="X778">
        <v>1</v>
      </c>
      <c r="Z778">
        <v>0</v>
      </c>
      <c r="AA778">
        <v>9</v>
      </c>
      <c r="AB778">
        <v>3</v>
      </c>
      <c r="AC778">
        <v>0</v>
      </c>
      <c r="AD778">
        <v>10</v>
      </c>
      <c r="AE778">
        <v>0</v>
      </c>
      <c r="AF778">
        <v>3</v>
      </c>
      <c r="AG778">
        <v>2</v>
      </c>
      <c r="AH778">
        <v>0</v>
      </c>
      <c r="AI778" t="s">
        <v>1653</v>
      </c>
      <c r="AJ778">
        <v>39.326118999999998</v>
      </c>
      <c r="AK778" t="s">
        <v>1654</v>
      </c>
      <c r="AL778">
        <v>-77.076774</v>
      </c>
      <c r="AM778">
        <v>100</v>
      </c>
      <c r="AN778">
        <v>8700</v>
      </c>
      <c r="AO778" t="s">
        <v>115</v>
      </c>
      <c r="AP778">
        <v>177</v>
      </c>
      <c r="AQ778">
        <v>67</v>
      </c>
      <c r="AR778">
        <v>0</v>
      </c>
      <c r="AZ778">
        <v>3614</v>
      </c>
      <c r="BA778">
        <v>1</v>
      </c>
      <c r="BB778" t="str">
        <f t="shared" ref="BB778:BB841" si="38">"N959MJ  "</f>
        <v xml:space="preserve">N959MJ  </v>
      </c>
      <c r="BC778">
        <v>1</v>
      </c>
      <c r="BE778">
        <v>0</v>
      </c>
      <c r="BF778">
        <v>0</v>
      </c>
      <c r="BG778">
        <v>0</v>
      </c>
      <c r="BH778">
        <v>9025</v>
      </c>
      <c r="BI778">
        <v>325</v>
      </c>
      <c r="BJ778">
        <v>1</v>
      </c>
      <c r="BK778">
        <v>1</v>
      </c>
      <c r="BL778">
        <v>1</v>
      </c>
      <c r="BM778">
        <v>0</v>
      </c>
      <c r="BP778">
        <v>0</v>
      </c>
      <c r="BQ778">
        <v>0</v>
      </c>
      <c r="BX778" t="str">
        <f>"14:03:18.781"</f>
        <v>14:03:18.781</v>
      </c>
      <c r="BY778" t="str">
        <f>"780289202"</f>
        <v>780289202</v>
      </c>
      <c r="CL778">
        <v>0</v>
      </c>
      <c r="CM778">
        <v>2</v>
      </c>
      <c r="CN778">
        <v>0</v>
      </c>
      <c r="CO778">
        <v>2</v>
      </c>
      <c r="CP778">
        <v>0</v>
      </c>
      <c r="CQ778">
        <v>7</v>
      </c>
      <c r="CR778" t="s">
        <v>116</v>
      </c>
      <c r="CS778">
        <v>525</v>
      </c>
      <c r="CT778">
        <v>1</v>
      </c>
      <c r="CU778" t="s">
        <v>140</v>
      </c>
      <c r="CV778" t="s">
        <v>141</v>
      </c>
      <c r="CY778">
        <v>8285789</v>
      </c>
      <c r="CZ778" t="s">
        <v>119</v>
      </c>
    </row>
    <row r="779" spans="1:104" x14ac:dyDescent="0.25">
      <c r="A779" t="str">
        <f>"14:03:19.961"</f>
        <v>14:03:19.961</v>
      </c>
      <c r="B779" t="s">
        <v>108</v>
      </c>
      <c r="C779" t="str">
        <f t="shared" si="37"/>
        <v>ffdfd3c0</v>
      </c>
      <c r="D779" t="s">
        <v>109</v>
      </c>
      <c r="E779">
        <v>4</v>
      </c>
      <c r="F779">
        <v>1004</v>
      </c>
      <c r="G779" t="s">
        <v>110</v>
      </c>
      <c r="J779" t="s">
        <v>111</v>
      </c>
      <c r="K779">
        <v>0</v>
      </c>
      <c r="L779">
        <v>3</v>
      </c>
      <c r="M779">
        <v>0</v>
      </c>
      <c r="N779">
        <v>2</v>
      </c>
      <c r="O779">
        <v>1</v>
      </c>
      <c r="P779">
        <v>0</v>
      </c>
      <c r="Q779">
        <v>0</v>
      </c>
      <c r="R779" t="s">
        <v>112</v>
      </c>
      <c r="S779" t="str">
        <f>"14:03:19.781"</f>
        <v>14:03:19.781</v>
      </c>
      <c r="T779" t="str">
        <f>"14:03:19.281"</f>
        <v>14:03:19.281</v>
      </c>
      <c r="U779" t="str">
        <f t="shared" si="36"/>
        <v>ad5732</v>
      </c>
      <c r="V779">
        <v>0</v>
      </c>
      <c r="W779">
        <v>0</v>
      </c>
      <c r="X779">
        <v>1</v>
      </c>
      <c r="Z779">
        <v>0</v>
      </c>
      <c r="AA779">
        <v>9</v>
      </c>
      <c r="AB779">
        <v>3</v>
      </c>
      <c r="AC779">
        <v>0</v>
      </c>
      <c r="AD779">
        <v>10</v>
      </c>
      <c r="AE779">
        <v>0</v>
      </c>
      <c r="AF779">
        <v>3</v>
      </c>
      <c r="AG779">
        <v>2</v>
      </c>
      <c r="AH779">
        <v>0</v>
      </c>
      <c r="AI779" t="s">
        <v>1655</v>
      </c>
      <c r="AJ779">
        <v>39.326397999999998</v>
      </c>
      <c r="AK779" t="s">
        <v>1656</v>
      </c>
      <c r="AL779">
        <v>-77.075678999999994</v>
      </c>
      <c r="AM779">
        <v>100</v>
      </c>
      <c r="AN779">
        <v>8700</v>
      </c>
      <c r="AO779" t="s">
        <v>115</v>
      </c>
      <c r="AP779">
        <v>177</v>
      </c>
      <c r="AQ779">
        <v>67</v>
      </c>
      <c r="AR779">
        <v>0</v>
      </c>
      <c r="AZ779">
        <v>3614</v>
      </c>
      <c r="BA779">
        <v>1</v>
      </c>
      <c r="BB779" t="str">
        <f t="shared" si="38"/>
        <v xml:space="preserve">N959MJ  </v>
      </c>
      <c r="BC779">
        <v>1</v>
      </c>
      <c r="BE779">
        <v>0</v>
      </c>
      <c r="BF779">
        <v>0</v>
      </c>
      <c r="BG779">
        <v>0</v>
      </c>
      <c r="BH779">
        <v>9025</v>
      </c>
      <c r="BI779">
        <v>325</v>
      </c>
      <c r="BJ779">
        <v>1</v>
      </c>
      <c r="BK779">
        <v>1</v>
      </c>
      <c r="BL779">
        <v>1</v>
      </c>
      <c r="BM779">
        <v>0</v>
      </c>
      <c r="BP779">
        <v>0</v>
      </c>
      <c r="BQ779">
        <v>0</v>
      </c>
      <c r="BX779" t="str">
        <f>"14:03:19.781"</f>
        <v>14:03:19.781</v>
      </c>
      <c r="BY779" t="str">
        <f>"783006537"</f>
        <v>783006537</v>
      </c>
      <c r="CL779">
        <v>0</v>
      </c>
      <c r="CM779">
        <v>2</v>
      </c>
      <c r="CN779">
        <v>0</v>
      </c>
      <c r="CO779">
        <v>2</v>
      </c>
      <c r="CP779">
        <v>0</v>
      </c>
      <c r="CQ779">
        <v>7</v>
      </c>
      <c r="CR779" t="s">
        <v>116</v>
      </c>
      <c r="CS779">
        <v>525</v>
      </c>
      <c r="CT779">
        <v>1</v>
      </c>
      <c r="CU779" t="s">
        <v>140</v>
      </c>
      <c r="CV779" t="s">
        <v>141</v>
      </c>
      <c r="CY779">
        <v>8287241</v>
      </c>
      <c r="CZ779" t="s">
        <v>119</v>
      </c>
    </row>
    <row r="780" spans="1:104" x14ac:dyDescent="0.25">
      <c r="A780" t="str">
        <f>"14:03:20.867"</f>
        <v>14:03:20.867</v>
      </c>
      <c r="B780" t="s">
        <v>108</v>
      </c>
      <c r="C780" t="str">
        <f t="shared" si="37"/>
        <v>ffdfd3c0</v>
      </c>
      <c r="D780" t="s">
        <v>109</v>
      </c>
      <c r="E780">
        <v>4</v>
      </c>
      <c r="F780">
        <v>1004</v>
      </c>
      <c r="G780" t="s">
        <v>110</v>
      </c>
      <c r="J780" t="s">
        <v>111</v>
      </c>
      <c r="K780">
        <v>0</v>
      </c>
      <c r="L780">
        <v>3</v>
      </c>
      <c r="M780">
        <v>0</v>
      </c>
      <c r="N780">
        <v>2</v>
      </c>
      <c r="O780">
        <v>1</v>
      </c>
      <c r="P780">
        <v>0</v>
      </c>
      <c r="Q780">
        <v>0</v>
      </c>
      <c r="R780" t="s">
        <v>112</v>
      </c>
      <c r="S780" t="str">
        <f>"14:03:20.680"</f>
        <v>14:03:20.680</v>
      </c>
      <c r="T780" t="str">
        <f>"14:03:20.281"</f>
        <v>14:03:20.281</v>
      </c>
      <c r="U780" t="str">
        <f t="shared" si="36"/>
        <v>ad5732</v>
      </c>
      <c r="V780">
        <v>0</v>
      </c>
      <c r="W780">
        <v>0</v>
      </c>
      <c r="X780">
        <v>1</v>
      </c>
      <c r="Z780">
        <v>0</v>
      </c>
      <c r="AA780">
        <v>9</v>
      </c>
      <c r="AB780">
        <v>3</v>
      </c>
      <c r="AC780">
        <v>0</v>
      </c>
      <c r="AD780">
        <v>10</v>
      </c>
      <c r="AE780">
        <v>0</v>
      </c>
      <c r="AF780">
        <v>3</v>
      </c>
      <c r="AG780">
        <v>2</v>
      </c>
      <c r="AH780">
        <v>0</v>
      </c>
      <c r="AI780" t="s">
        <v>1657</v>
      </c>
      <c r="AJ780">
        <v>39.326698999999998</v>
      </c>
      <c r="AK780" t="s">
        <v>1658</v>
      </c>
      <c r="AL780">
        <v>-77.074757000000005</v>
      </c>
      <c r="AM780">
        <v>100</v>
      </c>
      <c r="AN780">
        <v>8700</v>
      </c>
      <c r="AO780" t="s">
        <v>115</v>
      </c>
      <c r="AP780">
        <v>177</v>
      </c>
      <c r="AQ780">
        <v>67</v>
      </c>
      <c r="AR780">
        <v>0</v>
      </c>
      <c r="AZ780">
        <v>3614</v>
      </c>
      <c r="BA780">
        <v>1</v>
      </c>
      <c r="BB780" t="str">
        <f t="shared" si="38"/>
        <v xml:space="preserve">N959MJ  </v>
      </c>
      <c r="BC780">
        <v>1</v>
      </c>
      <c r="BE780">
        <v>0</v>
      </c>
      <c r="BF780">
        <v>0</v>
      </c>
      <c r="BG780">
        <v>0</v>
      </c>
      <c r="BH780">
        <v>9025</v>
      </c>
      <c r="BI780">
        <v>325</v>
      </c>
      <c r="BJ780">
        <v>1</v>
      </c>
      <c r="BK780">
        <v>1</v>
      </c>
      <c r="BL780">
        <v>1</v>
      </c>
      <c r="BM780">
        <v>0</v>
      </c>
      <c r="BP780">
        <v>0</v>
      </c>
      <c r="BQ780">
        <v>0</v>
      </c>
      <c r="BX780" t="str">
        <f>"14:03:20.688"</f>
        <v>14:03:20.688</v>
      </c>
      <c r="BY780" t="str">
        <f>"684136719"</f>
        <v>684136719</v>
      </c>
      <c r="CL780">
        <v>0</v>
      </c>
      <c r="CM780">
        <v>2</v>
      </c>
      <c r="CN780">
        <v>0</v>
      </c>
      <c r="CO780">
        <v>2</v>
      </c>
      <c r="CP780">
        <v>0</v>
      </c>
      <c r="CQ780">
        <v>7</v>
      </c>
      <c r="CR780" t="s">
        <v>116</v>
      </c>
      <c r="CS780">
        <v>147</v>
      </c>
      <c r="CT780">
        <v>0</v>
      </c>
      <c r="CU780" t="s">
        <v>117</v>
      </c>
      <c r="CV780" t="s">
        <v>118</v>
      </c>
      <c r="CY780">
        <v>5151183</v>
      </c>
      <c r="CZ780" t="s">
        <v>119</v>
      </c>
    </row>
    <row r="781" spans="1:104" x14ac:dyDescent="0.25">
      <c r="A781" t="str">
        <f>"14:03:21.727"</f>
        <v>14:03:21.727</v>
      </c>
      <c r="B781" t="s">
        <v>108</v>
      </c>
      <c r="C781" t="str">
        <f t="shared" si="37"/>
        <v>ffdfd3c0</v>
      </c>
      <c r="D781" t="s">
        <v>109</v>
      </c>
      <c r="E781">
        <v>4</v>
      </c>
      <c r="F781">
        <v>1004</v>
      </c>
      <c r="G781" t="s">
        <v>110</v>
      </c>
      <c r="J781" t="s">
        <v>111</v>
      </c>
      <c r="K781">
        <v>0</v>
      </c>
      <c r="L781">
        <v>3</v>
      </c>
      <c r="M781">
        <v>0</v>
      </c>
      <c r="N781">
        <v>2</v>
      </c>
      <c r="O781">
        <v>1</v>
      </c>
      <c r="P781">
        <v>0</v>
      </c>
      <c r="Q781">
        <v>0</v>
      </c>
      <c r="R781" t="s">
        <v>112</v>
      </c>
      <c r="S781" t="str">
        <f>"14:03:21.539"</f>
        <v>14:03:21.539</v>
      </c>
      <c r="T781" t="str">
        <f>"14:03:21.141"</f>
        <v>14:03:21.141</v>
      </c>
      <c r="U781" t="str">
        <f t="shared" si="36"/>
        <v>ad5732</v>
      </c>
      <c r="V781">
        <v>0</v>
      </c>
      <c r="W781">
        <v>0</v>
      </c>
      <c r="X781">
        <v>1</v>
      </c>
      <c r="Z781">
        <v>0</v>
      </c>
      <c r="AA781">
        <v>9</v>
      </c>
      <c r="AB781">
        <v>3</v>
      </c>
      <c r="AC781">
        <v>0</v>
      </c>
      <c r="AD781">
        <v>10</v>
      </c>
      <c r="AE781">
        <v>0</v>
      </c>
      <c r="AF781">
        <v>3</v>
      </c>
      <c r="AG781">
        <v>2</v>
      </c>
      <c r="AH781">
        <v>0</v>
      </c>
      <c r="AI781" t="s">
        <v>1659</v>
      </c>
      <c r="AJ781">
        <v>39.326934999999999</v>
      </c>
      <c r="AK781" t="s">
        <v>1660</v>
      </c>
      <c r="AL781">
        <v>-77.073920000000001</v>
      </c>
      <c r="AM781">
        <v>100</v>
      </c>
      <c r="AN781">
        <v>8700</v>
      </c>
      <c r="AO781" t="s">
        <v>115</v>
      </c>
      <c r="AP781">
        <v>177</v>
      </c>
      <c r="AQ781">
        <v>67</v>
      </c>
      <c r="AR781">
        <v>0</v>
      </c>
      <c r="AZ781">
        <v>3614</v>
      </c>
      <c r="BA781">
        <v>1</v>
      </c>
      <c r="BB781" t="str">
        <f t="shared" si="38"/>
        <v xml:space="preserve">N959MJ  </v>
      </c>
      <c r="BC781">
        <v>1</v>
      </c>
      <c r="BE781">
        <v>0</v>
      </c>
      <c r="BF781">
        <v>0</v>
      </c>
      <c r="BG781">
        <v>0</v>
      </c>
      <c r="BH781">
        <v>9025</v>
      </c>
      <c r="BI781">
        <v>325</v>
      </c>
      <c r="BJ781">
        <v>1</v>
      </c>
      <c r="BK781">
        <v>1</v>
      </c>
      <c r="BL781">
        <v>1</v>
      </c>
      <c r="BM781">
        <v>0</v>
      </c>
      <c r="BP781">
        <v>0</v>
      </c>
      <c r="BQ781">
        <v>0</v>
      </c>
      <c r="BX781" t="str">
        <f>"14:03:21.547"</f>
        <v>14:03:21.547</v>
      </c>
      <c r="BY781" t="str">
        <f>"545949282"</f>
        <v>545949282</v>
      </c>
      <c r="CL781">
        <v>0</v>
      </c>
      <c r="CM781">
        <v>2</v>
      </c>
      <c r="CN781">
        <v>0</v>
      </c>
      <c r="CO781">
        <v>2</v>
      </c>
      <c r="CP781">
        <v>0</v>
      </c>
      <c r="CQ781">
        <v>7</v>
      </c>
      <c r="CR781" t="s">
        <v>116</v>
      </c>
      <c r="CS781">
        <v>147</v>
      </c>
      <c r="CT781">
        <v>0</v>
      </c>
      <c r="CU781" t="s">
        <v>117</v>
      </c>
      <c r="CV781" t="s">
        <v>118</v>
      </c>
      <c r="CY781">
        <v>5152550</v>
      </c>
      <c r="CZ781" t="s">
        <v>119</v>
      </c>
    </row>
    <row r="782" spans="1:104" x14ac:dyDescent="0.25">
      <c r="A782" t="str">
        <f>"14:03:22.734"</f>
        <v>14:03:22.734</v>
      </c>
      <c r="B782" t="s">
        <v>108</v>
      </c>
      <c r="C782" t="str">
        <f t="shared" si="37"/>
        <v>ffdfd3c0</v>
      </c>
      <c r="D782" t="s">
        <v>109</v>
      </c>
      <c r="E782">
        <v>4</v>
      </c>
      <c r="F782">
        <v>1004</v>
      </c>
      <c r="G782" t="s">
        <v>110</v>
      </c>
      <c r="J782" t="s">
        <v>111</v>
      </c>
      <c r="K782">
        <v>0</v>
      </c>
      <c r="L782">
        <v>3</v>
      </c>
      <c r="M782">
        <v>0</v>
      </c>
      <c r="N782">
        <v>2</v>
      </c>
      <c r="O782">
        <v>1</v>
      </c>
      <c r="P782">
        <v>0</v>
      </c>
      <c r="Q782">
        <v>0</v>
      </c>
      <c r="R782" t="s">
        <v>112</v>
      </c>
      <c r="S782" t="str">
        <f>"14:03:22.555"</f>
        <v>14:03:22.555</v>
      </c>
      <c r="T782" t="str">
        <f>"14:03:22.055"</f>
        <v>14:03:22.055</v>
      </c>
      <c r="U782" t="str">
        <f t="shared" si="36"/>
        <v>ad5732</v>
      </c>
      <c r="V782">
        <v>0</v>
      </c>
      <c r="W782">
        <v>0</v>
      </c>
      <c r="X782">
        <v>1</v>
      </c>
      <c r="Z782">
        <v>0</v>
      </c>
      <c r="AA782">
        <v>9</v>
      </c>
      <c r="AB782">
        <v>3</v>
      </c>
      <c r="AC782">
        <v>0</v>
      </c>
      <c r="AD782">
        <v>10</v>
      </c>
      <c r="AE782">
        <v>0</v>
      </c>
      <c r="AF782">
        <v>3</v>
      </c>
      <c r="AG782">
        <v>2</v>
      </c>
      <c r="AH782">
        <v>0</v>
      </c>
      <c r="AI782" t="s">
        <v>1661</v>
      </c>
      <c r="AJ782">
        <v>39.327257000000003</v>
      </c>
      <c r="AK782" t="s">
        <v>1662</v>
      </c>
      <c r="AL782">
        <v>-77.072846999999996</v>
      </c>
      <c r="AM782">
        <v>100</v>
      </c>
      <c r="AN782">
        <v>8700</v>
      </c>
      <c r="AO782" t="s">
        <v>115</v>
      </c>
      <c r="AP782">
        <v>177</v>
      </c>
      <c r="AQ782">
        <v>67</v>
      </c>
      <c r="AR782">
        <v>0</v>
      </c>
      <c r="AZ782">
        <v>3614</v>
      </c>
      <c r="BA782">
        <v>1</v>
      </c>
      <c r="BB782" t="str">
        <f t="shared" si="38"/>
        <v xml:space="preserve">N959MJ  </v>
      </c>
      <c r="BC782">
        <v>1</v>
      </c>
      <c r="BE782">
        <v>0</v>
      </c>
      <c r="BF782">
        <v>0</v>
      </c>
      <c r="BG782">
        <v>0</v>
      </c>
      <c r="BH782">
        <v>9025</v>
      </c>
      <c r="BI782">
        <v>325</v>
      </c>
      <c r="BJ782">
        <v>1</v>
      </c>
      <c r="BK782">
        <v>1</v>
      </c>
      <c r="BL782">
        <v>1</v>
      </c>
      <c r="BM782">
        <v>0</v>
      </c>
      <c r="BP782">
        <v>0</v>
      </c>
      <c r="BQ782">
        <v>0</v>
      </c>
      <c r="BX782" t="str">
        <f>"14:03:22.555"</f>
        <v>14:03:22.555</v>
      </c>
      <c r="BY782" t="str">
        <f>"557027281"</f>
        <v>557027281</v>
      </c>
      <c r="CL782">
        <v>0</v>
      </c>
      <c r="CM782">
        <v>2</v>
      </c>
      <c r="CN782">
        <v>0</v>
      </c>
      <c r="CO782">
        <v>2</v>
      </c>
      <c r="CP782">
        <v>0</v>
      </c>
      <c r="CQ782">
        <v>5</v>
      </c>
      <c r="CR782" t="s">
        <v>116</v>
      </c>
      <c r="CS782">
        <v>372</v>
      </c>
      <c r="CT782">
        <v>2</v>
      </c>
      <c r="CU782" t="s">
        <v>877</v>
      </c>
      <c r="CV782" t="s">
        <v>878</v>
      </c>
      <c r="CY782">
        <v>9497395</v>
      </c>
      <c r="CZ782" t="s">
        <v>119</v>
      </c>
    </row>
    <row r="783" spans="1:104" x14ac:dyDescent="0.25">
      <c r="A783" t="str">
        <f>"14:03:23.844"</f>
        <v>14:03:23.844</v>
      </c>
      <c r="B783" t="s">
        <v>108</v>
      </c>
      <c r="C783" t="str">
        <f t="shared" si="37"/>
        <v>ffdfd3c0</v>
      </c>
      <c r="D783" t="s">
        <v>109</v>
      </c>
      <c r="E783">
        <v>4</v>
      </c>
      <c r="F783">
        <v>1004</v>
      </c>
      <c r="G783" t="s">
        <v>110</v>
      </c>
      <c r="J783" t="s">
        <v>111</v>
      </c>
      <c r="K783">
        <v>0</v>
      </c>
      <c r="L783">
        <v>3</v>
      </c>
      <c r="M783">
        <v>0</v>
      </c>
      <c r="N783">
        <v>2</v>
      </c>
      <c r="O783">
        <v>1</v>
      </c>
      <c r="P783">
        <v>0</v>
      </c>
      <c r="Q783">
        <v>0</v>
      </c>
      <c r="R783" t="s">
        <v>112</v>
      </c>
      <c r="S783" t="str">
        <f>"14:03:23.656"</f>
        <v>14:03:23.656</v>
      </c>
      <c r="T783" t="str">
        <f>"14:03:23.156"</f>
        <v>14:03:23.156</v>
      </c>
      <c r="U783" t="str">
        <f t="shared" si="36"/>
        <v>ad5732</v>
      </c>
      <c r="V783">
        <v>0</v>
      </c>
      <c r="W783">
        <v>0</v>
      </c>
      <c r="X783">
        <v>1</v>
      </c>
      <c r="Z783">
        <v>0</v>
      </c>
      <c r="AA783">
        <v>9</v>
      </c>
      <c r="AB783">
        <v>3</v>
      </c>
      <c r="AC783">
        <v>0</v>
      </c>
      <c r="AD783">
        <v>10</v>
      </c>
      <c r="AE783">
        <v>0</v>
      </c>
      <c r="AF783">
        <v>3</v>
      </c>
      <c r="AG783">
        <v>2</v>
      </c>
      <c r="AH783">
        <v>0</v>
      </c>
      <c r="AI783" t="s">
        <v>1663</v>
      </c>
      <c r="AJ783">
        <v>39.327599999999997</v>
      </c>
      <c r="AK783" t="s">
        <v>1664</v>
      </c>
      <c r="AL783">
        <v>-77.071709999999996</v>
      </c>
      <c r="AM783">
        <v>100</v>
      </c>
      <c r="AN783">
        <v>8700</v>
      </c>
      <c r="AO783" t="s">
        <v>115</v>
      </c>
      <c r="AP783">
        <v>177</v>
      </c>
      <c r="AQ783">
        <v>68</v>
      </c>
      <c r="AR783">
        <v>0</v>
      </c>
      <c r="AZ783">
        <v>3614</v>
      </c>
      <c r="BA783">
        <v>1</v>
      </c>
      <c r="BB783" t="str">
        <f t="shared" si="38"/>
        <v xml:space="preserve">N959MJ  </v>
      </c>
      <c r="BC783">
        <v>1</v>
      </c>
      <c r="BE783">
        <v>0</v>
      </c>
      <c r="BF783">
        <v>0</v>
      </c>
      <c r="BG783">
        <v>0</v>
      </c>
      <c r="BH783">
        <v>9025</v>
      </c>
      <c r="BI783">
        <v>325</v>
      </c>
      <c r="BJ783">
        <v>1</v>
      </c>
      <c r="BK783">
        <v>1</v>
      </c>
      <c r="BL783">
        <v>1</v>
      </c>
      <c r="BM783">
        <v>0</v>
      </c>
      <c r="BP783">
        <v>0</v>
      </c>
      <c r="BQ783">
        <v>0</v>
      </c>
      <c r="BX783" t="str">
        <f>"14:03:23.656"</f>
        <v>14:03:23.656</v>
      </c>
      <c r="BY783" t="str">
        <f>"657881601"</f>
        <v>657881601</v>
      </c>
      <c r="CL783">
        <v>0</v>
      </c>
      <c r="CM783">
        <v>2</v>
      </c>
      <c r="CN783">
        <v>0</v>
      </c>
      <c r="CO783">
        <v>2</v>
      </c>
      <c r="CP783">
        <v>0</v>
      </c>
      <c r="CQ783">
        <v>7</v>
      </c>
      <c r="CR783" t="s">
        <v>116</v>
      </c>
      <c r="CS783">
        <v>147</v>
      </c>
      <c r="CT783">
        <v>0</v>
      </c>
      <c r="CU783" t="s">
        <v>117</v>
      </c>
      <c r="CV783" t="s">
        <v>118</v>
      </c>
      <c r="CY783">
        <v>5155939</v>
      </c>
      <c r="CZ783" t="s">
        <v>119</v>
      </c>
    </row>
    <row r="784" spans="1:104" x14ac:dyDescent="0.25">
      <c r="A784" t="str">
        <f>"14:03:24.852"</f>
        <v>14:03:24.852</v>
      </c>
      <c r="B784" t="s">
        <v>108</v>
      </c>
      <c r="C784" t="str">
        <f t="shared" si="37"/>
        <v>ffdfd3c0</v>
      </c>
      <c r="D784" t="s">
        <v>109</v>
      </c>
      <c r="E784">
        <v>4</v>
      </c>
      <c r="F784">
        <v>1004</v>
      </c>
      <c r="G784" t="s">
        <v>110</v>
      </c>
      <c r="J784" t="s">
        <v>111</v>
      </c>
      <c r="K784">
        <v>0</v>
      </c>
      <c r="L784">
        <v>3</v>
      </c>
      <c r="M784">
        <v>0</v>
      </c>
      <c r="N784">
        <v>2</v>
      </c>
      <c r="O784">
        <v>1</v>
      </c>
      <c r="P784">
        <v>0</v>
      </c>
      <c r="Q784">
        <v>0</v>
      </c>
      <c r="R784" t="s">
        <v>112</v>
      </c>
      <c r="S784" t="str">
        <f>"14:03:24.680"</f>
        <v>14:03:24.680</v>
      </c>
      <c r="T784" t="str">
        <f>"14:03:24.180"</f>
        <v>14:03:24.180</v>
      </c>
      <c r="U784" t="str">
        <f t="shared" si="36"/>
        <v>ad5732</v>
      </c>
      <c r="V784">
        <v>0</v>
      </c>
      <c r="W784">
        <v>0</v>
      </c>
      <c r="X784">
        <v>1</v>
      </c>
      <c r="Z784">
        <v>0</v>
      </c>
      <c r="AA784">
        <v>9</v>
      </c>
      <c r="AB784">
        <v>3</v>
      </c>
      <c r="AC784">
        <v>0</v>
      </c>
      <c r="AD784">
        <v>10</v>
      </c>
      <c r="AE784">
        <v>0</v>
      </c>
      <c r="AF784">
        <v>3</v>
      </c>
      <c r="AG784">
        <v>2</v>
      </c>
      <c r="AH784">
        <v>0</v>
      </c>
      <c r="AI784" t="s">
        <v>1665</v>
      </c>
      <c r="AJ784">
        <v>39.327942999999998</v>
      </c>
      <c r="AK784" t="s">
        <v>1666</v>
      </c>
      <c r="AL784">
        <v>-77.070594</v>
      </c>
      <c r="AM784">
        <v>100</v>
      </c>
      <c r="AN784">
        <v>8700</v>
      </c>
      <c r="AO784" t="s">
        <v>115</v>
      </c>
      <c r="AP784">
        <v>177</v>
      </c>
      <c r="AQ784">
        <v>68</v>
      </c>
      <c r="AR784">
        <v>0</v>
      </c>
      <c r="AZ784">
        <v>3614</v>
      </c>
      <c r="BA784">
        <v>1</v>
      </c>
      <c r="BB784" t="str">
        <f t="shared" si="38"/>
        <v xml:space="preserve">N959MJ  </v>
      </c>
      <c r="BC784">
        <v>1</v>
      </c>
      <c r="BE784">
        <v>0</v>
      </c>
      <c r="BF784">
        <v>0</v>
      </c>
      <c r="BG784">
        <v>0</v>
      </c>
      <c r="BH784">
        <v>9025</v>
      </c>
      <c r="BI784">
        <v>325</v>
      </c>
      <c r="BJ784">
        <v>1</v>
      </c>
      <c r="BK784">
        <v>1</v>
      </c>
      <c r="BL784">
        <v>1</v>
      </c>
      <c r="BM784">
        <v>0</v>
      </c>
      <c r="BP784">
        <v>0</v>
      </c>
      <c r="BQ784">
        <v>0</v>
      </c>
      <c r="BX784" t="str">
        <f>"14:03:24.688"</f>
        <v>14:03:24.688</v>
      </c>
      <c r="BY784" t="str">
        <f>"686813774"</f>
        <v>686813774</v>
      </c>
      <c r="CL784">
        <v>0</v>
      </c>
      <c r="CM784">
        <v>2</v>
      </c>
      <c r="CN784">
        <v>0</v>
      </c>
      <c r="CO784">
        <v>2</v>
      </c>
      <c r="CP784">
        <v>0</v>
      </c>
      <c r="CQ784">
        <v>7</v>
      </c>
      <c r="CR784" t="s">
        <v>116</v>
      </c>
      <c r="CS784">
        <v>147</v>
      </c>
      <c r="CT784">
        <v>0</v>
      </c>
      <c r="CU784" t="s">
        <v>117</v>
      </c>
      <c r="CV784" t="s">
        <v>118</v>
      </c>
      <c r="CY784">
        <v>5157630</v>
      </c>
      <c r="CZ784" t="s">
        <v>119</v>
      </c>
    </row>
    <row r="785" spans="1:104" x14ac:dyDescent="0.25">
      <c r="A785" t="str">
        <f>"14:03:25.859"</f>
        <v>14:03:25.859</v>
      </c>
      <c r="B785" t="s">
        <v>108</v>
      </c>
      <c r="C785" t="str">
        <f t="shared" si="37"/>
        <v>ffdfd3c0</v>
      </c>
      <c r="D785" t="s">
        <v>109</v>
      </c>
      <c r="E785">
        <v>4</v>
      </c>
      <c r="F785">
        <v>1004</v>
      </c>
      <c r="G785" t="s">
        <v>110</v>
      </c>
      <c r="J785" t="s">
        <v>111</v>
      </c>
      <c r="K785">
        <v>0</v>
      </c>
      <c r="L785">
        <v>3</v>
      </c>
      <c r="M785">
        <v>0</v>
      </c>
      <c r="N785">
        <v>2</v>
      </c>
      <c r="O785">
        <v>1</v>
      </c>
      <c r="P785">
        <v>0</v>
      </c>
      <c r="Q785">
        <v>0</v>
      </c>
      <c r="R785" t="s">
        <v>112</v>
      </c>
      <c r="S785" t="str">
        <f>"14:03:25.703"</f>
        <v>14:03:25.703</v>
      </c>
      <c r="T785" t="str">
        <f>"14:03:25.305"</f>
        <v>14:03:25.305</v>
      </c>
      <c r="U785" t="str">
        <f t="shared" si="36"/>
        <v>ad5732</v>
      </c>
      <c r="V785">
        <v>0</v>
      </c>
      <c r="W785">
        <v>0</v>
      </c>
      <c r="X785">
        <v>1</v>
      </c>
      <c r="Z785">
        <v>0</v>
      </c>
      <c r="AA785">
        <v>9</v>
      </c>
      <c r="AB785">
        <v>3</v>
      </c>
      <c r="AC785">
        <v>0</v>
      </c>
      <c r="AD785">
        <v>10</v>
      </c>
      <c r="AE785">
        <v>0</v>
      </c>
      <c r="AF785">
        <v>3</v>
      </c>
      <c r="AG785">
        <v>2</v>
      </c>
      <c r="AH785">
        <v>0</v>
      </c>
      <c r="AI785" t="s">
        <v>1667</v>
      </c>
      <c r="AJ785">
        <v>39.328265000000002</v>
      </c>
      <c r="AK785" t="s">
        <v>1668</v>
      </c>
      <c r="AL785">
        <v>-77.069498999999993</v>
      </c>
      <c r="AM785">
        <v>100</v>
      </c>
      <c r="AN785">
        <v>8700</v>
      </c>
      <c r="AO785" t="s">
        <v>115</v>
      </c>
      <c r="AP785">
        <v>176</v>
      </c>
      <c r="AQ785">
        <v>68</v>
      </c>
      <c r="AR785">
        <v>64</v>
      </c>
      <c r="AZ785">
        <v>3614</v>
      </c>
      <c r="BA785">
        <v>1</v>
      </c>
      <c r="BB785" t="str">
        <f t="shared" si="38"/>
        <v xml:space="preserve">N959MJ  </v>
      </c>
      <c r="BC785">
        <v>1</v>
      </c>
      <c r="BE785">
        <v>0</v>
      </c>
      <c r="BF785">
        <v>0</v>
      </c>
      <c r="BG785">
        <v>0</v>
      </c>
      <c r="BH785">
        <v>9025</v>
      </c>
      <c r="BI785">
        <v>325</v>
      </c>
      <c r="BJ785">
        <v>1</v>
      </c>
      <c r="BK785">
        <v>1</v>
      </c>
      <c r="BL785">
        <v>1</v>
      </c>
      <c r="BM785">
        <v>0</v>
      </c>
      <c r="BP785">
        <v>0</v>
      </c>
      <c r="BQ785">
        <v>0</v>
      </c>
      <c r="BX785" t="str">
        <f>"14:03:25.703"</f>
        <v>14:03:25.703</v>
      </c>
      <c r="BY785" t="str">
        <f>"705920316"</f>
        <v>705920316</v>
      </c>
      <c r="CL785">
        <v>0</v>
      </c>
      <c r="CM785">
        <v>2</v>
      </c>
      <c r="CN785">
        <v>0</v>
      </c>
      <c r="CO785">
        <v>2</v>
      </c>
      <c r="CP785">
        <v>0</v>
      </c>
      <c r="CQ785">
        <v>7</v>
      </c>
      <c r="CR785" t="s">
        <v>116</v>
      </c>
      <c r="CS785">
        <v>525</v>
      </c>
      <c r="CT785">
        <v>1</v>
      </c>
      <c r="CU785" t="s">
        <v>140</v>
      </c>
      <c r="CV785" t="s">
        <v>141</v>
      </c>
      <c r="CY785">
        <v>8295561</v>
      </c>
      <c r="CZ785" t="s">
        <v>119</v>
      </c>
    </row>
    <row r="786" spans="1:104" x14ac:dyDescent="0.25">
      <c r="A786" t="str">
        <f>"14:03:26.922"</f>
        <v>14:03:26.922</v>
      </c>
      <c r="B786" t="s">
        <v>108</v>
      </c>
      <c r="C786" t="str">
        <f t="shared" si="37"/>
        <v>ffdfd3c0</v>
      </c>
      <c r="D786" t="s">
        <v>109</v>
      </c>
      <c r="E786">
        <v>4</v>
      </c>
      <c r="F786">
        <v>1004</v>
      </c>
      <c r="G786" t="s">
        <v>110</v>
      </c>
      <c r="J786" t="s">
        <v>111</v>
      </c>
      <c r="K786">
        <v>0</v>
      </c>
      <c r="L786">
        <v>3</v>
      </c>
      <c r="M786">
        <v>0</v>
      </c>
      <c r="N786">
        <v>2</v>
      </c>
      <c r="O786">
        <v>1</v>
      </c>
      <c r="P786">
        <v>0</v>
      </c>
      <c r="Q786">
        <v>0</v>
      </c>
      <c r="R786" t="s">
        <v>112</v>
      </c>
      <c r="S786" t="str">
        <f>"14:03:26.758"</f>
        <v>14:03:26.758</v>
      </c>
      <c r="T786" t="str">
        <f>"14:03:26.359"</f>
        <v>14:03:26.359</v>
      </c>
      <c r="U786" t="str">
        <f t="shared" si="36"/>
        <v>ad5732</v>
      </c>
      <c r="V786">
        <v>0</v>
      </c>
      <c r="W786">
        <v>0</v>
      </c>
      <c r="X786">
        <v>1</v>
      </c>
      <c r="Z786">
        <v>0</v>
      </c>
      <c r="AA786">
        <v>9</v>
      </c>
      <c r="AB786">
        <v>3</v>
      </c>
      <c r="AC786">
        <v>0</v>
      </c>
      <c r="AD786">
        <v>10</v>
      </c>
      <c r="AE786">
        <v>0</v>
      </c>
      <c r="AF786">
        <v>3</v>
      </c>
      <c r="AG786">
        <v>2</v>
      </c>
      <c r="AH786">
        <v>0</v>
      </c>
      <c r="AI786" t="s">
        <v>1669</v>
      </c>
      <c r="AJ786">
        <v>39.328586999999999</v>
      </c>
      <c r="AK786" t="s">
        <v>1670</v>
      </c>
      <c r="AL786">
        <v>-77.068427</v>
      </c>
      <c r="AM786">
        <v>100</v>
      </c>
      <c r="AN786">
        <v>8700</v>
      </c>
      <c r="AO786" t="s">
        <v>115</v>
      </c>
      <c r="AP786">
        <v>176</v>
      </c>
      <c r="AQ786">
        <v>68</v>
      </c>
      <c r="AR786">
        <v>64</v>
      </c>
      <c r="AZ786">
        <v>3614</v>
      </c>
      <c r="BA786">
        <v>1</v>
      </c>
      <c r="BB786" t="str">
        <f t="shared" si="38"/>
        <v xml:space="preserve">N959MJ  </v>
      </c>
      <c r="BC786">
        <v>1</v>
      </c>
      <c r="BE786">
        <v>0</v>
      </c>
      <c r="BF786">
        <v>0</v>
      </c>
      <c r="BG786">
        <v>0</v>
      </c>
      <c r="BH786">
        <v>9025</v>
      </c>
      <c r="BI786">
        <v>325</v>
      </c>
      <c r="BJ786">
        <v>1</v>
      </c>
      <c r="BK786">
        <v>1</v>
      </c>
      <c r="BL786">
        <v>1</v>
      </c>
      <c r="BM786">
        <v>0</v>
      </c>
      <c r="BP786">
        <v>0</v>
      </c>
      <c r="BQ786">
        <v>0</v>
      </c>
      <c r="BX786" t="str">
        <f>"14:03:26.758"</f>
        <v>14:03:26.758</v>
      </c>
      <c r="BY786" t="str">
        <f>"759428792"</f>
        <v>759428792</v>
      </c>
      <c r="CL786">
        <v>0</v>
      </c>
      <c r="CM786">
        <v>2</v>
      </c>
      <c r="CN786">
        <v>0</v>
      </c>
      <c r="CO786">
        <v>2</v>
      </c>
      <c r="CP786">
        <v>0</v>
      </c>
      <c r="CQ786">
        <v>7</v>
      </c>
      <c r="CR786" t="s">
        <v>116</v>
      </c>
      <c r="CS786">
        <v>525</v>
      </c>
      <c r="CT786">
        <v>1</v>
      </c>
      <c r="CU786" t="s">
        <v>140</v>
      </c>
      <c r="CV786" t="s">
        <v>141</v>
      </c>
      <c r="CY786">
        <v>8297000</v>
      </c>
      <c r="CZ786" t="s">
        <v>119</v>
      </c>
    </row>
    <row r="787" spans="1:104" x14ac:dyDescent="0.25">
      <c r="A787" t="str">
        <f>"14:03:27.828"</f>
        <v>14:03:27.828</v>
      </c>
      <c r="B787" t="s">
        <v>108</v>
      </c>
      <c r="C787" t="str">
        <f t="shared" si="37"/>
        <v>ffdfd3c0</v>
      </c>
      <c r="D787" t="s">
        <v>109</v>
      </c>
      <c r="E787">
        <v>4</v>
      </c>
      <c r="F787">
        <v>1004</v>
      </c>
      <c r="G787" t="s">
        <v>110</v>
      </c>
      <c r="J787" t="s">
        <v>111</v>
      </c>
      <c r="K787">
        <v>0</v>
      </c>
      <c r="L787">
        <v>3</v>
      </c>
      <c r="M787">
        <v>0</v>
      </c>
      <c r="N787">
        <v>2</v>
      </c>
      <c r="O787">
        <v>1</v>
      </c>
      <c r="P787">
        <v>0</v>
      </c>
      <c r="Q787">
        <v>0</v>
      </c>
      <c r="R787" t="s">
        <v>112</v>
      </c>
      <c r="S787" t="str">
        <f>"14:03:27.680"</f>
        <v>14:03:27.680</v>
      </c>
      <c r="T787" t="str">
        <f>"14:03:27.281"</f>
        <v>14:03:27.281</v>
      </c>
      <c r="U787" t="str">
        <f t="shared" si="36"/>
        <v>ad5732</v>
      </c>
      <c r="V787">
        <v>0</v>
      </c>
      <c r="W787">
        <v>0</v>
      </c>
      <c r="X787">
        <v>1</v>
      </c>
      <c r="Z787">
        <v>0</v>
      </c>
      <c r="AA787">
        <v>9</v>
      </c>
      <c r="AB787">
        <v>3</v>
      </c>
      <c r="AC787">
        <v>0</v>
      </c>
      <c r="AD787">
        <v>10</v>
      </c>
      <c r="AE787">
        <v>0</v>
      </c>
      <c r="AF787">
        <v>3</v>
      </c>
      <c r="AG787">
        <v>2</v>
      </c>
      <c r="AH787">
        <v>0</v>
      </c>
      <c r="AI787" t="s">
        <v>1671</v>
      </c>
      <c r="AJ787">
        <v>39.328909000000003</v>
      </c>
      <c r="AK787" t="s">
        <v>1672</v>
      </c>
      <c r="AL787">
        <v>-77.067418000000004</v>
      </c>
      <c r="AM787">
        <v>100</v>
      </c>
      <c r="AN787">
        <v>8700</v>
      </c>
      <c r="AO787" t="s">
        <v>115</v>
      </c>
      <c r="AP787">
        <v>176</v>
      </c>
      <c r="AQ787">
        <v>68</v>
      </c>
      <c r="AR787">
        <v>64</v>
      </c>
      <c r="AZ787">
        <v>3614</v>
      </c>
      <c r="BA787">
        <v>1</v>
      </c>
      <c r="BB787" t="str">
        <f t="shared" si="38"/>
        <v xml:space="preserve">N959MJ  </v>
      </c>
      <c r="BC787">
        <v>1</v>
      </c>
      <c r="BE787">
        <v>0</v>
      </c>
      <c r="BF787">
        <v>0</v>
      </c>
      <c r="BG787">
        <v>0</v>
      </c>
      <c r="BH787">
        <v>9025</v>
      </c>
      <c r="BI787">
        <v>325</v>
      </c>
      <c r="BJ787">
        <v>1</v>
      </c>
      <c r="BK787">
        <v>1</v>
      </c>
      <c r="BL787">
        <v>1</v>
      </c>
      <c r="BM787">
        <v>0</v>
      </c>
      <c r="BP787">
        <v>0</v>
      </c>
      <c r="BQ787">
        <v>0</v>
      </c>
      <c r="BX787" t="str">
        <f>"14:03:27.680"</f>
        <v>14:03:27.680</v>
      </c>
      <c r="BY787" t="str">
        <f>"680224779"</f>
        <v>680224779</v>
      </c>
      <c r="CL787">
        <v>0</v>
      </c>
      <c r="CM787">
        <v>2</v>
      </c>
      <c r="CN787">
        <v>0</v>
      </c>
      <c r="CO787">
        <v>2</v>
      </c>
      <c r="CP787">
        <v>0</v>
      </c>
      <c r="CQ787">
        <v>7</v>
      </c>
      <c r="CR787" t="s">
        <v>116</v>
      </c>
      <c r="CS787">
        <v>525</v>
      </c>
      <c r="CT787">
        <v>1</v>
      </c>
      <c r="CU787" t="s">
        <v>140</v>
      </c>
      <c r="CV787" t="s">
        <v>141</v>
      </c>
      <c r="CY787">
        <v>8298387</v>
      </c>
      <c r="CZ787" t="s">
        <v>119</v>
      </c>
    </row>
    <row r="788" spans="1:104" x14ac:dyDescent="0.25">
      <c r="A788" t="str">
        <f>"14:03:28.891"</f>
        <v>14:03:28.891</v>
      </c>
      <c r="B788" t="s">
        <v>108</v>
      </c>
      <c r="C788" t="str">
        <f t="shared" si="37"/>
        <v>ffdfd3c0</v>
      </c>
      <c r="D788" t="s">
        <v>109</v>
      </c>
      <c r="E788">
        <v>4</v>
      </c>
      <c r="F788">
        <v>1004</v>
      </c>
      <c r="G788" t="s">
        <v>110</v>
      </c>
      <c r="J788" t="s">
        <v>111</v>
      </c>
      <c r="K788">
        <v>0</v>
      </c>
      <c r="L788">
        <v>3</v>
      </c>
      <c r="M788">
        <v>0</v>
      </c>
      <c r="N788">
        <v>2</v>
      </c>
      <c r="O788">
        <v>1</v>
      </c>
      <c r="P788">
        <v>0</v>
      </c>
      <c r="Q788">
        <v>0</v>
      </c>
      <c r="R788" t="s">
        <v>112</v>
      </c>
      <c r="S788" t="str">
        <f>"14:03:28.703"</f>
        <v>14:03:28.703</v>
      </c>
      <c r="T788" t="str">
        <f>"14:03:28.203"</f>
        <v>14:03:28.203</v>
      </c>
      <c r="U788" t="str">
        <f t="shared" si="36"/>
        <v>ad5732</v>
      </c>
      <c r="V788">
        <v>0</v>
      </c>
      <c r="W788">
        <v>0</v>
      </c>
      <c r="X788">
        <v>1</v>
      </c>
      <c r="Z788">
        <v>0</v>
      </c>
      <c r="AA788">
        <v>9</v>
      </c>
      <c r="AB788">
        <v>3</v>
      </c>
      <c r="AC788">
        <v>0</v>
      </c>
      <c r="AD788">
        <v>10</v>
      </c>
      <c r="AE788">
        <v>0</v>
      </c>
      <c r="AF788">
        <v>3</v>
      </c>
      <c r="AG788">
        <v>2</v>
      </c>
      <c r="AH788">
        <v>0</v>
      </c>
      <c r="AI788" t="s">
        <v>1673</v>
      </c>
      <c r="AJ788">
        <v>39.329231</v>
      </c>
      <c r="AK788" t="s">
        <v>1674</v>
      </c>
      <c r="AL788">
        <v>-77.066344999999998</v>
      </c>
      <c r="AM788">
        <v>100</v>
      </c>
      <c r="AN788">
        <v>8700</v>
      </c>
      <c r="AO788" t="s">
        <v>115</v>
      </c>
      <c r="AP788">
        <v>176</v>
      </c>
      <c r="AQ788">
        <v>68</v>
      </c>
      <c r="AR788">
        <v>64</v>
      </c>
      <c r="AZ788">
        <v>3614</v>
      </c>
      <c r="BA788">
        <v>1</v>
      </c>
      <c r="BB788" t="str">
        <f t="shared" si="38"/>
        <v xml:space="preserve">N959MJ  </v>
      </c>
      <c r="BC788">
        <v>1</v>
      </c>
      <c r="BE788">
        <v>0</v>
      </c>
      <c r="BF788">
        <v>0</v>
      </c>
      <c r="BG788">
        <v>0</v>
      </c>
      <c r="BH788">
        <v>9025</v>
      </c>
      <c r="BI788">
        <v>325</v>
      </c>
      <c r="BJ788">
        <v>1</v>
      </c>
      <c r="BK788">
        <v>1</v>
      </c>
      <c r="BL788">
        <v>1</v>
      </c>
      <c r="BM788">
        <v>0</v>
      </c>
      <c r="BP788">
        <v>0</v>
      </c>
      <c r="BQ788">
        <v>0</v>
      </c>
      <c r="BX788" t="str">
        <f>"14:03:28.711"</f>
        <v>14:03:28.711</v>
      </c>
      <c r="BY788" t="str">
        <f>"707518582"</f>
        <v>707518582</v>
      </c>
      <c r="CL788">
        <v>0</v>
      </c>
      <c r="CM788">
        <v>2</v>
      </c>
      <c r="CN788">
        <v>0</v>
      </c>
      <c r="CO788">
        <v>2</v>
      </c>
      <c r="CP788">
        <v>0</v>
      </c>
      <c r="CQ788">
        <v>7</v>
      </c>
      <c r="CR788" t="s">
        <v>116</v>
      </c>
      <c r="CS788">
        <v>525</v>
      </c>
      <c r="CT788">
        <v>1</v>
      </c>
      <c r="CU788" t="s">
        <v>140</v>
      </c>
      <c r="CV788" t="s">
        <v>141</v>
      </c>
      <c r="CY788">
        <v>8299908</v>
      </c>
      <c r="CZ788" t="s">
        <v>119</v>
      </c>
    </row>
    <row r="789" spans="1:104" x14ac:dyDescent="0.25">
      <c r="A789" t="str">
        <f>"14:03:29.898"</f>
        <v>14:03:29.898</v>
      </c>
      <c r="B789" t="s">
        <v>108</v>
      </c>
      <c r="C789" t="str">
        <f t="shared" si="37"/>
        <v>ffdfd3c0</v>
      </c>
      <c r="D789" t="s">
        <v>109</v>
      </c>
      <c r="E789">
        <v>4</v>
      </c>
      <c r="F789">
        <v>1004</v>
      </c>
      <c r="G789" t="s">
        <v>110</v>
      </c>
      <c r="J789" t="s">
        <v>111</v>
      </c>
      <c r="K789">
        <v>0</v>
      </c>
      <c r="L789">
        <v>3</v>
      </c>
      <c r="M789">
        <v>0</v>
      </c>
      <c r="N789">
        <v>2</v>
      </c>
      <c r="O789">
        <v>1</v>
      </c>
      <c r="P789">
        <v>0</v>
      </c>
      <c r="Q789">
        <v>0</v>
      </c>
      <c r="R789" t="s">
        <v>112</v>
      </c>
      <c r="S789" t="str">
        <f>"14:03:29.695"</f>
        <v>14:03:29.695</v>
      </c>
      <c r="T789" t="str">
        <f>"14:03:29.195"</f>
        <v>14:03:29.195</v>
      </c>
      <c r="U789" t="str">
        <f t="shared" si="36"/>
        <v>ad5732</v>
      </c>
      <c r="V789">
        <v>0</v>
      </c>
      <c r="W789">
        <v>0</v>
      </c>
      <c r="X789">
        <v>1</v>
      </c>
      <c r="Z789">
        <v>0</v>
      </c>
      <c r="AA789">
        <v>9</v>
      </c>
      <c r="AB789">
        <v>3</v>
      </c>
      <c r="AC789">
        <v>0</v>
      </c>
      <c r="AD789">
        <v>10</v>
      </c>
      <c r="AE789">
        <v>0</v>
      </c>
      <c r="AF789">
        <v>3</v>
      </c>
      <c r="AG789">
        <v>2</v>
      </c>
      <c r="AH789">
        <v>0</v>
      </c>
      <c r="AI789" t="s">
        <v>1675</v>
      </c>
      <c r="AJ789">
        <v>39.329552999999997</v>
      </c>
      <c r="AK789" t="s">
        <v>1676</v>
      </c>
      <c r="AL789">
        <v>-77.065271999999993</v>
      </c>
      <c r="AM789">
        <v>100</v>
      </c>
      <c r="AN789">
        <v>8700</v>
      </c>
      <c r="AO789" t="s">
        <v>115</v>
      </c>
      <c r="AP789">
        <v>176</v>
      </c>
      <c r="AQ789">
        <v>69</v>
      </c>
      <c r="AR789">
        <v>64</v>
      </c>
      <c r="AZ789">
        <v>3614</v>
      </c>
      <c r="BA789">
        <v>1</v>
      </c>
      <c r="BB789" t="str">
        <f t="shared" si="38"/>
        <v xml:space="preserve">N959MJ  </v>
      </c>
      <c r="BC789">
        <v>1</v>
      </c>
      <c r="BE789">
        <v>0</v>
      </c>
      <c r="BF789">
        <v>0</v>
      </c>
      <c r="BG789">
        <v>0</v>
      </c>
      <c r="BH789">
        <v>9025</v>
      </c>
      <c r="BI789">
        <v>325</v>
      </c>
      <c r="BJ789">
        <v>1</v>
      </c>
      <c r="BK789">
        <v>1</v>
      </c>
      <c r="BL789">
        <v>1</v>
      </c>
      <c r="BM789">
        <v>0</v>
      </c>
      <c r="BP789">
        <v>0</v>
      </c>
      <c r="BQ789">
        <v>0</v>
      </c>
      <c r="BX789" t="str">
        <f>"14:03:29.695"</f>
        <v>14:03:29.695</v>
      </c>
      <c r="BY789" t="str">
        <f>"697128497"</f>
        <v>697128497</v>
      </c>
      <c r="CL789">
        <v>0</v>
      </c>
      <c r="CM789">
        <v>2</v>
      </c>
      <c r="CN789">
        <v>0</v>
      </c>
      <c r="CO789">
        <v>2</v>
      </c>
      <c r="CP789">
        <v>0</v>
      </c>
      <c r="CQ789">
        <v>6</v>
      </c>
      <c r="CR789" t="s">
        <v>116</v>
      </c>
      <c r="CS789">
        <v>525</v>
      </c>
      <c r="CT789">
        <v>1</v>
      </c>
      <c r="CU789" t="s">
        <v>140</v>
      </c>
      <c r="CV789" t="s">
        <v>141</v>
      </c>
      <c r="CY789">
        <v>8301349</v>
      </c>
      <c r="CZ789" t="s">
        <v>119</v>
      </c>
    </row>
    <row r="790" spans="1:104" x14ac:dyDescent="0.25">
      <c r="A790" t="str">
        <f>"14:03:30.961"</f>
        <v>14:03:30.961</v>
      </c>
      <c r="B790" t="s">
        <v>108</v>
      </c>
      <c r="C790" t="str">
        <f t="shared" si="37"/>
        <v>ffdfd3c0</v>
      </c>
      <c r="D790" t="s">
        <v>109</v>
      </c>
      <c r="E790">
        <v>4</v>
      </c>
      <c r="F790">
        <v>1004</v>
      </c>
      <c r="G790" t="s">
        <v>110</v>
      </c>
      <c r="J790" t="s">
        <v>111</v>
      </c>
      <c r="K790">
        <v>0</v>
      </c>
      <c r="L790">
        <v>3</v>
      </c>
      <c r="M790">
        <v>0</v>
      </c>
      <c r="N790">
        <v>2</v>
      </c>
      <c r="O790">
        <v>1</v>
      </c>
      <c r="P790">
        <v>0</v>
      </c>
      <c r="Q790">
        <v>0</v>
      </c>
      <c r="R790" t="s">
        <v>112</v>
      </c>
      <c r="S790" t="str">
        <f>"14:03:30.805"</f>
        <v>14:03:30.805</v>
      </c>
      <c r="T790" t="str">
        <f>"14:03:30.305"</f>
        <v>14:03:30.305</v>
      </c>
      <c r="U790" t="str">
        <f t="shared" si="36"/>
        <v>ad5732</v>
      </c>
      <c r="V790">
        <v>0</v>
      </c>
      <c r="W790">
        <v>0</v>
      </c>
      <c r="X790">
        <v>1</v>
      </c>
      <c r="Z790">
        <v>0</v>
      </c>
      <c r="AA790">
        <v>9</v>
      </c>
      <c r="AB790">
        <v>3</v>
      </c>
      <c r="AC790">
        <v>0</v>
      </c>
      <c r="AD790">
        <v>10</v>
      </c>
      <c r="AE790">
        <v>0</v>
      </c>
      <c r="AF790">
        <v>3</v>
      </c>
      <c r="AG790">
        <v>2</v>
      </c>
      <c r="AH790">
        <v>0</v>
      </c>
      <c r="AI790" t="s">
        <v>1677</v>
      </c>
      <c r="AJ790">
        <v>39.329895999999998</v>
      </c>
      <c r="AK790" t="s">
        <v>1678</v>
      </c>
      <c r="AL790">
        <v>-77.064156999999994</v>
      </c>
      <c r="AM790">
        <v>100</v>
      </c>
      <c r="AN790">
        <v>8700</v>
      </c>
      <c r="AO790" t="s">
        <v>115</v>
      </c>
      <c r="AP790">
        <v>176</v>
      </c>
      <c r="AQ790">
        <v>69</v>
      </c>
      <c r="AR790">
        <v>0</v>
      </c>
      <c r="AZ790">
        <v>3614</v>
      </c>
      <c r="BA790">
        <v>1</v>
      </c>
      <c r="BB790" t="str">
        <f t="shared" si="38"/>
        <v xml:space="preserve">N959MJ  </v>
      </c>
      <c r="BC790">
        <v>1</v>
      </c>
      <c r="BE790">
        <v>0</v>
      </c>
      <c r="BF790">
        <v>0</v>
      </c>
      <c r="BG790">
        <v>0</v>
      </c>
      <c r="BH790">
        <v>9025</v>
      </c>
      <c r="BI790">
        <v>325</v>
      </c>
      <c r="BJ790">
        <v>1</v>
      </c>
      <c r="BK790">
        <v>1</v>
      </c>
      <c r="BL790">
        <v>1</v>
      </c>
      <c r="BM790">
        <v>0</v>
      </c>
      <c r="BP790">
        <v>0</v>
      </c>
      <c r="BQ790">
        <v>0</v>
      </c>
      <c r="BX790" t="str">
        <f>"14:03:30.805"</f>
        <v>14:03:30.805</v>
      </c>
      <c r="BY790" t="str">
        <f>"807976766"</f>
        <v>807976766</v>
      </c>
      <c r="CL790">
        <v>0</v>
      </c>
      <c r="CM790">
        <v>2</v>
      </c>
      <c r="CN790">
        <v>0</v>
      </c>
      <c r="CO790">
        <v>2</v>
      </c>
      <c r="CP790">
        <v>0</v>
      </c>
      <c r="CQ790">
        <v>7</v>
      </c>
      <c r="CR790" t="s">
        <v>116</v>
      </c>
      <c r="CS790">
        <v>147</v>
      </c>
      <c r="CT790">
        <v>0</v>
      </c>
      <c r="CU790" t="s">
        <v>117</v>
      </c>
      <c r="CV790" t="s">
        <v>118</v>
      </c>
      <c r="CY790">
        <v>5167850</v>
      </c>
      <c r="CZ790" t="s">
        <v>119</v>
      </c>
    </row>
    <row r="791" spans="1:104" x14ac:dyDescent="0.25">
      <c r="A791" t="str">
        <f>"14:03:31.867"</f>
        <v>14:03:31.867</v>
      </c>
      <c r="B791" t="s">
        <v>108</v>
      </c>
      <c r="C791" t="str">
        <f t="shared" si="37"/>
        <v>ffdfd3c0</v>
      </c>
      <c r="D791" t="s">
        <v>109</v>
      </c>
      <c r="E791">
        <v>4</v>
      </c>
      <c r="F791">
        <v>1004</v>
      </c>
      <c r="G791" t="s">
        <v>110</v>
      </c>
      <c r="J791" t="s">
        <v>111</v>
      </c>
      <c r="K791">
        <v>0</v>
      </c>
      <c r="L791">
        <v>3</v>
      </c>
      <c r="M791">
        <v>0</v>
      </c>
      <c r="N791">
        <v>2</v>
      </c>
      <c r="O791">
        <v>1</v>
      </c>
      <c r="P791">
        <v>0</v>
      </c>
      <c r="Q791">
        <v>0</v>
      </c>
      <c r="R791" t="s">
        <v>112</v>
      </c>
      <c r="S791" t="str">
        <f>"14:03:31.695"</f>
        <v>14:03:31.695</v>
      </c>
      <c r="T791" t="str">
        <f>"14:03:31.297"</f>
        <v>14:03:31.297</v>
      </c>
      <c r="U791" t="str">
        <f t="shared" si="36"/>
        <v>ad5732</v>
      </c>
      <c r="V791">
        <v>0</v>
      </c>
      <c r="W791">
        <v>0</v>
      </c>
      <c r="X791">
        <v>1</v>
      </c>
      <c r="Z791">
        <v>0</v>
      </c>
      <c r="AA791">
        <v>9</v>
      </c>
      <c r="AB791">
        <v>3</v>
      </c>
      <c r="AC791">
        <v>0</v>
      </c>
      <c r="AD791">
        <v>10</v>
      </c>
      <c r="AE791">
        <v>0</v>
      </c>
      <c r="AF791">
        <v>3</v>
      </c>
      <c r="AG791">
        <v>2</v>
      </c>
      <c r="AH791">
        <v>0</v>
      </c>
      <c r="AI791" t="s">
        <v>1679</v>
      </c>
      <c r="AJ791">
        <v>39.330174999999997</v>
      </c>
      <c r="AK791" t="s">
        <v>1680</v>
      </c>
      <c r="AL791">
        <v>-77.063191000000003</v>
      </c>
      <c r="AM791">
        <v>100</v>
      </c>
      <c r="AN791">
        <v>8700</v>
      </c>
      <c r="AO791" t="s">
        <v>115</v>
      </c>
      <c r="AP791">
        <v>176</v>
      </c>
      <c r="AQ791">
        <v>69</v>
      </c>
      <c r="AR791">
        <v>0</v>
      </c>
      <c r="AZ791">
        <v>3614</v>
      </c>
      <c r="BA791">
        <v>1</v>
      </c>
      <c r="BB791" t="str">
        <f t="shared" si="38"/>
        <v xml:space="preserve">N959MJ  </v>
      </c>
      <c r="BC791">
        <v>1</v>
      </c>
      <c r="BE791">
        <v>0</v>
      </c>
      <c r="BF791">
        <v>0</v>
      </c>
      <c r="BG791">
        <v>0</v>
      </c>
      <c r="BH791">
        <v>9025</v>
      </c>
      <c r="BI791">
        <v>325</v>
      </c>
      <c r="BJ791">
        <v>1</v>
      </c>
      <c r="BK791">
        <v>1</v>
      </c>
      <c r="BL791">
        <v>1</v>
      </c>
      <c r="BM791">
        <v>0</v>
      </c>
      <c r="BP791">
        <v>0</v>
      </c>
      <c r="BQ791">
        <v>0</v>
      </c>
      <c r="BX791" t="str">
        <f>"14:03:31.695"</f>
        <v>14:03:31.695</v>
      </c>
      <c r="BY791" t="str">
        <f>"697642598"</f>
        <v>697642598</v>
      </c>
      <c r="CL791">
        <v>0</v>
      </c>
      <c r="CM791">
        <v>2</v>
      </c>
      <c r="CN791">
        <v>0</v>
      </c>
      <c r="CO791">
        <v>2</v>
      </c>
      <c r="CP791">
        <v>0</v>
      </c>
      <c r="CQ791">
        <v>7</v>
      </c>
      <c r="CR791" t="s">
        <v>116</v>
      </c>
      <c r="CS791">
        <v>147</v>
      </c>
      <c r="CT791">
        <v>0</v>
      </c>
      <c r="CU791" t="s">
        <v>117</v>
      </c>
      <c r="CV791" t="s">
        <v>118</v>
      </c>
      <c r="CY791">
        <v>5169336</v>
      </c>
      <c r="CZ791" t="s">
        <v>119</v>
      </c>
    </row>
    <row r="792" spans="1:104" x14ac:dyDescent="0.25">
      <c r="A792" t="str">
        <f>"14:03:32.930"</f>
        <v>14:03:32.930</v>
      </c>
      <c r="B792" t="s">
        <v>108</v>
      </c>
      <c r="C792" t="str">
        <f t="shared" si="37"/>
        <v>ffdfd3c0</v>
      </c>
      <c r="D792" t="s">
        <v>109</v>
      </c>
      <c r="E792">
        <v>4</v>
      </c>
      <c r="F792">
        <v>1004</v>
      </c>
      <c r="G792" t="s">
        <v>110</v>
      </c>
      <c r="J792" t="s">
        <v>111</v>
      </c>
      <c r="K792">
        <v>0</v>
      </c>
      <c r="L792">
        <v>3</v>
      </c>
      <c r="M792">
        <v>0</v>
      </c>
      <c r="N792">
        <v>2</v>
      </c>
      <c r="O792">
        <v>1</v>
      </c>
      <c r="P792">
        <v>0</v>
      </c>
      <c r="Q792">
        <v>0</v>
      </c>
      <c r="R792" t="s">
        <v>112</v>
      </c>
      <c r="S792" t="str">
        <f>"14:03:32.766"</f>
        <v>14:03:32.766</v>
      </c>
      <c r="T792" t="str">
        <f>"14:03:32.266"</f>
        <v>14:03:32.266</v>
      </c>
      <c r="U792" t="str">
        <f t="shared" si="36"/>
        <v>ad5732</v>
      </c>
      <c r="V792">
        <v>0</v>
      </c>
      <c r="W792">
        <v>0</v>
      </c>
      <c r="X792">
        <v>1</v>
      </c>
      <c r="Z792">
        <v>0</v>
      </c>
      <c r="AA792">
        <v>9</v>
      </c>
      <c r="AB792">
        <v>3</v>
      </c>
      <c r="AC792">
        <v>0</v>
      </c>
      <c r="AD792">
        <v>10</v>
      </c>
      <c r="AE792">
        <v>0</v>
      </c>
      <c r="AF792">
        <v>3</v>
      </c>
      <c r="AG792">
        <v>2</v>
      </c>
      <c r="AH792">
        <v>0</v>
      </c>
      <c r="AI792" t="s">
        <v>1681</v>
      </c>
      <c r="AJ792">
        <v>39.330497000000001</v>
      </c>
      <c r="AK792" t="s">
        <v>1682</v>
      </c>
      <c r="AL792">
        <v>-77.062161000000003</v>
      </c>
      <c r="AM792">
        <v>100</v>
      </c>
      <c r="AN792">
        <v>8700</v>
      </c>
      <c r="AO792" t="s">
        <v>115</v>
      </c>
      <c r="AP792">
        <v>176</v>
      </c>
      <c r="AQ792">
        <v>70</v>
      </c>
      <c r="AR792">
        <v>0</v>
      </c>
      <c r="AZ792">
        <v>3614</v>
      </c>
      <c r="BA792">
        <v>1</v>
      </c>
      <c r="BB792" t="str">
        <f t="shared" si="38"/>
        <v xml:space="preserve">N959MJ  </v>
      </c>
      <c r="BC792">
        <v>1</v>
      </c>
      <c r="BE792">
        <v>0</v>
      </c>
      <c r="BF792">
        <v>0</v>
      </c>
      <c r="BG792">
        <v>0</v>
      </c>
      <c r="BH792">
        <v>9025</v>
      </c>
      <c r="BI792">
        <v>325</v>
      </c>
      <c r="BJ792">
        <v>1</v>
      </c>
      <c r="BK792">
        <v>1</v>
      </c>
      <c r="BL792">
        <v>1</v>
      </c>
      <c r="BM792">
        <v>0</v>
      </c>
      <c r="BP792">
        <v>0</v>
      </c>
      <c r="BQ792">
        <v>0</v>
      </c>
      <c r="BX792" t="str">
        <f>"14:03:32.766"</f>
        <v>14:03:32.766</v>
      </c>
      <c r="BY792" t="str">
        <f>"767535413"</f>
        <v>767535413</v>
      </c>
      <c r="CL792">
        <v>0</v>
      </c>
      <c r="CM792">
        <v>2</v>
      </c>
      <c r="CN792">
        <v>0</v>
      </c>
      <c r="CO792">
        <v>2</v>
      </c>
      <c r="CP792">
        <v>0</v>
      </c>
      <c r="CQ792">
        <v>7</v>
      </c>
      <c r="CR792" t="s">
        <v>116</v>
      </c>
      <c r="CS792">
        <v>147</v>
      </c>
      <c r="CT792">
        <v>0</v>
      </c>
      <c r="CU792" t="s">
        <v>117</v>
      </c>
      <c r="CV792" t="s">
        <v>118</v>
      </c>
      <c r="CY792">
        <v>5171109</v>
      </c>
      <c r="CZ792" t="s">
        <v>119</v>
      </c>
    </row>
    <row r="793" spans="1:104" x14ac:dyDescent="0.25">
      <c r="A793" t="str">
        <f>"14:03:33.992"</f>
        <v>14:03:33.992</v>
      </c>
      <c r="B793" t="s">
        <v>108</v>
      </c>
      <c r="C793" t="str">
        <f t="shared" si="37"/>
        <v>ffdfd3c0</v>
      </c>
      <c r="D793" t="s">
        <v>109</v>
      </c>
      <c r="E793">
        <v>4</v>
      </c>
      <c r="F793">
        <v>1004</v>
      </c>
      <c r="G793" t="s">
        <v>110</v>
      </c>
      <c r="J793" t="s">
        <v>111</v>
      </c>
      <c r="K793">
        <v>0</v>
      </c>
      <c r="L793">
        <v>3</v>
      </c>
      <c r="M793">
        <v>0</v>
      </c>
      <c r="N793">
        <v>2</v>
      </c>
      <c r="O793">
        <v>1</v>
      </c>
      <c r="P793">
        <v>0</v>
      </c>
      <c r="Q793">
        <v>0</v>
      </c>
      <c r="R793" t="s">
        <v>112</v>
      </c>
      <c r="S793" t="str">
        <f>"14:03:33.789"</f>
        <v>14:03:33.789</v>
      </c>
      <c r="T793" t="str">
        <f>"14:03:33.391"</f>
        <v>14:03:33.391</v>
      </c>
      <c r="U793" t="str">
        <f t="shared" si="36"/>
        <v>ad5732</v>
      </c>
      <c r="V793">
        <v>0</v>
      </c>
      <c r="W793">
        <v>0</v>
      </c>
      <c r="X793">
        <v>1</v>
      </c>
      <c r="Z793">
        <v>0</v>
      </c>
      <c r="AA793">
        <v>9</v>
      </c>
      <c r="AB793">
        <v>3</v>
      </c>
      <c r="AC793">
        <v>0</v>
      </c>
      <c r="AD793">
        <v>10</v>
      </c>
      <c r="AE793">
        <v>0</v>
      </c>
      <c r="AF793">
        <v>3</v>
      </c>
      <c r="AG793">
        <v>2</v>
      </c>
      <c r="AH793">
        <v>0</v>
      </c>
      <c r="AI793" t="s">
        <v>1683</v>
      </c>
      <c r="AJ793">
        <v>39.330862000000003</v>
      </c>
      <c r="AK793" t="s">
        <v>1684</v>
      </c>
      <c r="AL793">
        <v>-77.060980999999998</v>
      </c>
      <c r="AM793">
        <v>100</v>
      </c>
      <c r="AN793">
        <v>8700</v>
      </c>
      <c r="AO793" t="s">
        <v>115</v>
      </c>
      <c r="AP793">
        <v>176</v>
      </c>
      <c r="AQ793">
        <v>70</v>
      </c>
      <c r="AR793">
        <v>0</v>
      </c>
      <c r="AZ793">
        <v>3614</v>
      </c>
      <c r="BA793">
        <v>1</v>
      </c>
      <c r="BB793" t="str">
        <f t="shared" si="38"/>
        <v xml:space="preserve">N959MJ  </v>
      </c>
      <c r="BC793">
        <v>1</v>
      </c>
      <c r="BE793">
        <v>0</v>
      </c>
      <c r="BF793">
        <v>0</v>
      </c>
      <c r="BG793">
        <v>0</v>
      </c>
      <c r="BH793">
        <v>9025</v>
      </c>
      <c r="BI793">
        <v>325</v>
      </c>
      <c r="BJ793">
        <v>1</v>
      </c>
      <c r="BK793">
        <v>1</v>
      </c>
      <c r="BL793">
        <v>1</v>
      </c>
      <c r="BM793">
        <v>0</v>
      </c>
      <c r="BP793">
        <v>0</v>
      </c>
      <c r="BQ793">
        <v>0</v>
      </c>
      <c r="BX793" t="str">
        <f>"14:03:33.789"</f>
        <v>14:03:33.789</v>
      </c>
      <c r="BY793" t="str">
        <f>"789913840"</f>
        <v>789913840</v>
      </c>
      <c r="CL793">
        <v>0</v>
      </c>
      <c r="CM793">
        <v>2</v>
      </c>
      <c r="CN793">
        <v>0</v>
      </c>
      <c r="CO793">
        <v>2</v>
      </c>
      <c r="CP793">
        <v>0</v>
      </c>
      <c r="CQ793">
        <v>7</v>
      </c>
      <c r="CR793" t="s">
        <v>116</v>
      </c>
      <c r="CS793">
        <v>147</v>
      </c>
      <c r="CT793">
        <v>0</v>
      </c>
      <c r="CU793" t="s">
        <v>117</v>
      </c>
      <c r="CV793" t="s">
        <v>118</v>
      </c>
      <c r="CY793">
        <v>5172841</v>
      </c>
      <c r="CZ793" t="s">
        <v>119</v>
      </c>
    </row>
    <row r="794" spans="1:104" x14ac:dyDescent="0.25">
      <c r="A794" t="str">
        <f>"14:03:35.148"</f>
        <v>14:03:35.148</v>
      </c>
      <c r="B794" t="s">
        <v>108</v>
      </c>
      <c r="C794" t="str">
        <f t="shared" si="37"/>
        <v>ffdfd3c0</v>
      </c>
      <c r="D794" t="s">
        <v>109</v>
      </c>
      <c r="E794">
        <v>4</v>
      </c>
      <c r="F794">
        <v>1004</v>
      </c>
      <c r="G794" t="s">
        <v>110</v>
      </c>
      <c r="J794" t="s">
        <v>111</v>
      </c>
      <c r="K794">
        <v>0</v>
      </c>
      <c r="L794">
        <v>3</v>
      </c>
      <c r="M794">
        <v>0</v>
      </c>
      <c r="N794">
        <v>2</v>
      </c>
      <c r="O794">
        <v>1</v>
      </c>
      <c r="P794">
        <v>0</v>
      </c>
      <c r="Q794">
        <v>0</v>
      </c>
      <c r="R794" t="s">
        <v>112</v>
      </c>
      <c r="S794" t="str">
        <f>"14:03:34.969"</f>
        <v>14:03:34.969</v>
      </c>
      <c r="T794" t="str">
        <f>"14:03:34.469"</f>
        <v>14:03:34.469</v>
      </c>
      <c r="U794" t="str">
        <f t="shared" si="36"/>
        <v>ad5732</v>
      </c>
      <c r="V794">
        <v>0</v>
      </c>
      <c r="W794">
        <v>0</v>
      </c>
      <c r="X794">
        <v>1</v>
      </c>
      <c r="Z794">
        <v>0</v>
      </c>
      <c r="AA794">
        <v>9</v>
      </c>
      <c r="AB794">
        <v>3</v>
      </c>
      <c r="AC794">
        <v>0</v>
      </c>
      <c r="AD794">
        <v>10</v>
      </c>
      <c r="AE794">
        <v>0</v>
      </c>
      <c r="AF794">
        <v>3</v>
      </c>
      <c r="AG794">
        <v>2</v>
      </c>
      <c r="AH794">
        <v>0</v>
      </c>
      <c r="AI794" t="s">
        <v>1685</v>
      </c>
      <c r="AJ794">
        <v>39.331248000000002</v>
      </c>
      <c r="AK794" t="s">
        <v>1686</v>
      </c>
      <c r="AL794">
        <v>-77.059843999999998</v>
      </c>
      <c r="AM794">
        <v>100</v>
      </c>
      <c r="AN794">
        <v>8700</v>
      </c>
      <c r="AO794" t="s">
        <v>115</v>
      </c>
      <c r="AP794">
        <v>176</v>
      </c>
      <c r="AQ794">
        <v>70</v>
      </c>
      <c r="AR794">
        <v>-64</v>
      </c>
      <c r="AZ794">
        <v>3614</v>
      </c>
      <c r="BA794">
        <v>1</v>
      </c>
      <c r="BB794" t="str">
        <f t="shared" si="38"/>
        <v xml:space="preserve">N959MJ  </v>
      </c>
      <c r="BC794">
        <v>1</v>
      </c>
      <c r="BE794">
        <v>0</v>
      </c>
      <c r="BF794">
        <v>0</v>
      </c>
      <c r="BG794">
        <v>0</v>
      </c>
      <c r="BH794">
        <v>9025</v>
      </c>
      <c r="BI794">
        <v>325</v>
      </c>
      <c r="BJ794">
        <v>1</v>
      </c>
      <c r="BK794">
        <v>1</v>
      </c>
      <c r="BL794">
        <v>1</v>
      </c>
      <c r="BM794">
        <v>0</v>
      </c>
      <c r="BP794">
        <v>0</v>
      </c>
      <c r="BQ794">
        <v>0</v>
      </c>
      <c r="BX794" t="str">
        <f>"14:03:34.977"</f>
        <v>14:03:34.977</v>
      </c>
      <c r="BY794" t="str">
        <f>"972858116"</f>
        <v>972858116</v>
      </c>
      <c r="CL794">
        <v>0</v>
      </c>
      <c r="CM794">
        <v>2</v>
      </c>
      <c r="CN794">
        <v>0</v>
      </c>
      <c r="CO794">
        <v>2</v>
      </c>
      <c r="CP794">
        <v>0</v>
      </c>
      <c r="CQ794">
        <v>7</v>
      </c>
      <c r="CR794" t="s">
        <v>116</v>
      </c>
      <c r="CS794">
        <v>147</v>
      </c>
      <c r="CT794">
        <v>0</v>
      </c>
      <c r="CU794" t="s">
        <v>117</v>
      </c>
      <c r="CV794" t="s">
        <v>118</v>
      </c>
      <c r="CY794">
        <v>5174787</v>
      </c>
      <c r="CZ794" t="s">
        <v>119</v>
      </c>
    </row>
    <row r="795" spans="1:104" x14ac:dyDescent="0.25">
      <c r="A795" t="str">
        <f>"14:03:36.156"</f>
        <v>14:03:36.156</v>
      </c>
      <c r="B795" t="s">
        <v>108</v>
      </c>
      <c r="C795" t="str">
        <f t="shared" si="37"/>
        <v>ffdfd3c0</v>
      </c>
      <c r="D795" t="s">
        <v>109</v>
      </c>
      <c r="E795">
        <v>4</v>
      </c>
      <c r="F795">
        <v>1004</v>
      </c>
      <c r="G795" t="s">
        <v>110</v>
      </c>
      <c r="J795" t="s">
        <v>111</v>
      </c>
      <c r="K795">
        <v>0</v>
      </c>
      <c r="L795">
        <v>3</v>
      </c>
      <c r="M795">
        <v>0</v>
      </c>
      <c r="N795">
        <v>2</v>
      </c>
      <c r="O795">
        <v>1</v>
      </c>
      <c r="P795">
        <v>0</v>
      </c>
      <c r="Q795">
        <v>0</v>
      </c>
      <c r="R795" t="s">
        <v>112</v>
      </c>
      <c r="S795" t="str">
        <f>"14:03:35.977"</f>
        <v>14:03:35.977</v>
      </c>
      <c r="T795" t="str">
        <f>"14:03:35.477"</f>
        <v>14:03:35.477</v>
      </c>
      <c r="U795" t="str">
        <f t="shared" si="36"/>
        <v>ad5732</v>
      </c>
      <c r="V795">
        <v>0</v>
      </c>
      <c r="W795">
        <v>0</v>
      </c>
      <c r="X795">
        <v>1</v>
      </c>
      <c r="Z795">
        <v>0</v>
      </c>
      <c r="AA795">
        <v>9</v>
      </c>
      <c r="AB795">
        <v>3</v>
      </c>
      <c r="AC795">
        <v>0</v>
      </c>
      <c r="AD795">
        <v>10</v>
      </c>
      <c r="AE795">
        <v>0</v>
      </c>
      <c r="AF795">
        <v>3</v>
      </c>
      <c r="AG795">
        <v>2</v>
      </c>
      <c r="AH795">
        <v>0</v>
      </c>
      <c r="AI795" t="s">
        <v>1687</v>
      </c>
      <c r="AJ795">
        <v>39.331569999999999</v>
      </c>
      <c r="AK795" t="s">
        <v>1688</v>
      </c>
      <c r="AL795">
        <v>-77.058706000000001</v>
      </c>
      <c r="AM795">
        <v>100</v>
      </c>
      <c r="AN795">
        <v>8700</v>
      </c>
      <c r="AO795" t="s">
        <v>115</v>
      </c>
      <c r="AP795">
        <v>176</v>
      </c>
      <c r="AQ795">
        <v>71</v>
      </c>
      <c r="AR795">
        <v>-64</v>
      </c>
      <c r="AZ795">
        <v>3614</v>
      </c>
      <c r="BA795">
        <v>1</v>
      </c>
      <c r="BB795" t="str">
        <f t="shared" si="38"/>
        <v xml:space="preserve">N959MJ  </v>
      </c>
      <c r="BC795">
        <v>1</v>
      </c>
      <c r="BE795">
        <v>0</v>
      </c>
      <c r="BF795">
        <v>0</v>
      </c>
      <c r="BG795">
        <v>0</v>
      </c>
      <c r="BH795">
        <v>9025</v>
      </c>
      <c r="BI795">
        <v>325</v>
      </c>
      <c r="BJ795">
        <v>1</v>
      </c>
      <c r="BK795">
        <v>1</v>
      </c>
      <c r="BL795">
        <v>1</v>
      </c>
      <c r="BM795">
        <v>0</v>
      </c>
      <c r="BP795">
        <v>0</v>
      </c>
      <c r="BQ795">
        <v>0</v>
      </c>
      <c r="BX795" t="str">
        <f>"14:03:35.984"</f>
        <v>14:03:35.984</v>
      </c>
      <c r="BY795" t="str">
        <f>"982134572"</f>
        <v>982134572</v>
      </c>
      <c r="CL795">
        <v>0</v>
      </c>
      <c r="CM795">
        <v>2</v>
      </c>
      <c r="CN795">
        <v>0</v>
      </c>
      <c r="CO795">
        <v>2</v>
      </c>
      <c r="CP795">
        <v>0</v>
      </c>
      <c r="CQ795">
        <v>7</v>
      </c>
      <c r="CR795" t="s">
        <v>116</v>
      </c>
      <c r="CS795">
        <v>525</v>
      </c>
      <c r="CT795">
        <v>1</v>
      </c>
      <c r="CU795" t="s">
        <v>140</v>
      </c>
      <c r="CV795" t="s">
        <v>141</v>
      </c>
      <c r="CY795">
        <v>8310424</v>
      </c>
      <c r="CZ795" t="s">
        <v>119</v>
      </c>
    </row>
    <row r="796" spans="1:104" x14ac:dyDescent="0.25">
      <c r="A796" t="str">
        <f>"14:03:37.320"</f>
        <v>14:03:37.320</v>
      </c>
      <c r="B796" t="s">
        <v>108</v>
      </c>
      <c r="C796" t="str">
        <f t="shared" si="37"/>
        <v>ffdfd3c0</v>
      </c>
      <c r="D796" t="s">
        <v>109</v>
      </c>
      <c r="E796">
        <v>4</v>
      </c>
      <c r="F796">
        <v>1004</v>
      </c>
      <c r="G796" t="s">
        <v>110</v>
      </c>
      <c r="J796" t="s">
        <v>111</v>
      </c>
      <c r="K796">
        <v>0</v>
      </c>
      <c r="L796">
        <v>3</v>
      </c>
      <c r="M796">
        <v>0</v>
      </c>
      <c r="N796">
        <v>2</v>
      </c>
      <c r="O796">
        <v>1</v>
      </c>
      <c r="P796">
        <v>0</v>
      </c>
      <c r="Q796">
        <v>0</v>
      </c>
      <c r="R796" t="s">
        <v>112</v>
      </c>
      <c r="S796" t="str">
        <f>"14:03:37.117"</f>
        <v>14:03:37.117</v>
      </c>
      <c r="T796" t="str">
        <f>"14:03:36.617"</f>
        <v>14:03:36.617</v>
      </c>
      <c r="U796" t="str">
        <f t="shared" si="36"/>
        <v>ad5732</v>
      </c>
      <c r="V796">
        <v>0</v>
      </c>
      <c r="W796">
        <v>0</v>
      </c>
      <c r="X796">
        <v>1</v>
      </c>
      <c r="Z796">
        <v>0</v>
      </c>
      <c r="AA796">
        <v>9</v>
      </c>
      <c r="AB796">
        <v>3</v>
      </c>
      <c r="AC796">
        <v>0</v>
      </c>
      <c r="AD796">
        <v>10</v>
      </c>
      <c r="AE796">
        <v>0</v>
      </c>
      <c r="AF796">
        <v>3</v>
      </c>
      <c r="AG796">
        <v>2</v>
      </c>
      <c r="AH796">
        <v>0</v>
      </c>
      <c r="AI796" t="s">
        <v>1689</v>
      </c>
      <c r="AJ796">
        <v>39.331933999999997</v>
      </c>
      <c r="AK796" t="s">
        <v>1690</v>
      </c>
      <c r="AL796">
        <v>-77.057569000000001</v>
      </c>
      <c r="AM796">
        <v>100</v>
      </c>
      <c r="AN796">
        <v>8700</v>
      </c>
      <c r="AO796" t="s">
        <v>115</v>
      </c>
      <c r="AP796">
        <v>176</v>
      </c>
      <c r="AQ796">
        <v>71</v>
      </c>
      <c r="AR796">
        <v>-64</v>
      </c>
      <c r="AZ796">
        <v>3614</v>
      </c>
      <c r="BA796">
        <v>1</v>
      </c>
      <c r="BB796" t="str">
        <f t="shared" si="38"/>
        <v xml:space="preserve">N959MJ  </v>
      </c>
      <c r="BC796">
        <v>1</v>
      </c>
      <c r="BE796">
        <v>0</v>
      </c>
      <c r="BF796">
        <v>0</v>
      </c>
      <c r="BG796">
        <v>0</v>
      </c>
      <c r="BH796">
        <v>9025</v>
      </c>
      <c r="BI796">
        <v>325</v>
      </c>
      <c r="BJ796">
        <v>1</v>
      </c>
      <c r="BK796">
        <v>1</v>
      </c>
      <c r="BL796">
        <v>1</v>
      </c>
      <c r="BM796">
        <v>0</v>
      </c>
      <c r="BP796">
        <v>0</v>
      </c>
      <c r="BQ796">
        <v>0</v>
      </c>
      <c r="BX796" t="str">
        <f>"14:03:37.125"</f>
        <v>14:03:37.125</v>
      </c>
      <c r="BY796" t="str">
        <f>"122479839"</f>
        <v>122479839</v>
      </c>
      <c r="CL796">
        <v>0</v>
      </c>
      <c r="CM796">
        <v>2</v>
      </c>
      <c r="CN796">
        <v>0</v>
      </c>
      <c r="CO796">
        <v>2</v>
      </c>
      <c r="CP796">
        <v>0</v>
      </c>
      <c r="CQ796">
        <v>7</v>
      </c>
      <c r="CR796" t="s">
        <v>116</v>
      </c>
      <c r="CS796">
        <v>525</v>
      </c>
      <c r="CT796">
        <v>1</v>
      </c>
      <c r="CU796" t="s">
        <v>140</v>
      </c>
      <c r="CV796" t="s">
        <v>141</v>
      </c>
      <c r="CY796">
        <v>8312110</v>
      </c>
      <c r="CZ796" t="s">
        <v>119</v>
      </c>
    </row>
    <row r="797" spans="1:104" x14ac:dyDescent="0.25">
      <c r="A797" t="str">
        <f>"14:03:38.430"</f>
        <v>14:03:38.430</v>
      </c>
      <c r="B797" t="s">
        <v>108</v>
      </c>
      <c r="C797" t="str">
        <f t="shared" si="37"/>
        <v>ffdfd3c0</v>
      </c>
      <c r="D797" t="s">
        <v>109</v>
      </c>
      <c r="E797">
        <v>4</v>
      </c>
      <c r="F797">
        <v>1004</v>
      </c>
      <c r="G797" t="s">
        <v>110</v>
      </c>
      <c r="J797" t="s">
        <v>111</v>
      </c>
      <c r="K797">
        <v>0</v>
      </c>
      <c r="L797">
        <v>3</v>
      </c>
      <c r="M797">
        <v>0</v>
      </c>
      <c r="N797">
        <v>2</v>
      </c>
      <c r="O797">
        <v>1</v>
      </c>
      <c r="P797">
        <v>0</v>
      </c>
      <c r="Q797">
        <v>0</v>
      </c>
      <c r="R797" t="s">
        <v>112</v>
      </c>
      <c r="S797" t="str">
        <f>"14:03:38.258"</f>
        <v>14:03:38.258</v>
      </c>
      <c r="T797" t="str">
        <f>"14:03:37.758"</f>
        <v>14:03:37.758</v>
      </c>
      <c r="U797" t="str">
        <f t="shared" si="36"/>
        <v>ad5732</v>
      </c>
      <c r="V797">
        <v>0</v>
      </c>
      <c r="W797">
        <v>0</v>
      </c>
      <c r="X797">
        <v>1</v>
      </c>
      <c r="Z797">
        <v>0</v>
      </c>
      <c r="AA797">
        <v>9</v>
      </c>
      <c r="AB797">
        <v>3</v>
      </c>
      <c r="AC797">
        <v>0</v>
      </c>
      <c r="AD797">
        <v>10</v>
      </c>
      <c r="AE797">
        <v>0</v>
      </c>
      <c r="AF797">
        <v>3</v>
      </c>
      <c r="AG797">
        <v>2</v>
      </c>
      <c r="AH797">
        <v>0</v>
      </c>
      <c r="AI797" t="s">
        <v>1691</v>
      </c>
      <c r="AJ797">
        <v>39.332321</v>
      </c>
      <c r="AK797" t="s">
        <v>1692</v>
      </c>
      <c r="AL797">
        <v>-77.056388999999996</v>
      </c>
      <c r="AM797">
        <v>100</v>
      </c>
      <c r="AN797">
        <v>8700</v>
      </c>
      <c r="AO797" t="s">
        <v>115</v>
      </c>
      <c r="AP797">
        <v>175</v>
      </c>
      <c r="AQ797">
        <v>71</v>
      </c>
      <c r="AR797">
        <v>-64</v>
      </c>
      <c r="AZ797">
        <v>3614</v>
      </c>
      <c r="BA797">
        <v>1</v>
      </c>
      <c r="BB797" t="str">
        <f t="shared" si="38"/>
        <v xml:space="preserve">N959MJ  </v>
      </c>
      <c r="BC797">
        <v>1</v>
      </c>
      <c r="BE797">
        <v>0</v>
      </c>
      <c r="BF797">
        <v>0</v>
      </c>
      <c r="BG797">
        <v>0</v>
      </c>
      <c r="BH797">
        <v>9025</v>
      </c>
      <c r="BI797">
        <v>325</v>
      </c>
      <c r="BJ797">
        <v>1</v>
      </c>
      <c r="BK797">
        <v>1</v>
      </c>
      <c r="BL797">
        <v>1</v>
      </c>
      <c r="BM797">
        <v>0</v>
      </c>
      <c r="BP797">
        <v>0</v>
      </c>
      <c r="BQ797">
        <v>0</v>
      </c>
      <c r="BX797" t="str">
        <f>"14:03:38.258"</f>
        <v>14:03:38.258</v>
      </c>
      <c r="BY797" t="str">
        <f>"257909735"</f>
        <v>257909735</v>
      </c>
      <c r="CL797">
        <v>0</v>
      </c>
      <c r="CM797">
        <v>2</v>
      </c>
      <c r="CN797">
        <v>0</v>
      </c>
      <c r="CO797">
        <v>2</v>
      </c>
      <c r="CP797">
        <v>0</v>
      </c>
      <c r="CQ797">
        <v>7</v>
      </c>
      <c r="CR797" t="s">
        <v>116</v>
      </c>
      <c r="CS797">
        <v>525</v>
      </c>
      <c r="CT797">
        <v>1</v>
      </c>
      <c r="CU797" t="s">
        <v>140</v>
      </c>
      <c r="CV797" t="s">
        <v>141</v>
      </c>
      <c r="CY797">
        <v>8313754</v>
      </c>
      <c r="CZ797" t="s">
        <v>119</v>
      </c>
    </row>
    <row r="798" spans="1:104" x14ac:dyDescent="0.25">
      <c r="A798" t="str">
        <f>"14:03:39.289"</f>
        <v>14:03:39.289</v>
      </c>
      <c r="B798" t="s">
        <v>108</v>
      </c>
      <c r="C798" t="str">
        <f t="shared" si="37"/>
        <v>ffdfd3c0</v>
      </c>
      <c r="D798" t="s">
        <v>109</v>
      </c>
      <c r="E798">
        <v>4</v>
      </c>
      <c r="F798">
        <v>1004</v>
      </c>
      <c r="G798" t="s">
        <v>110</v>
      </c>
      <c r="J798" t="s">
        <v>111</v>
      </c>
      <c r="K798">
        <v>0</v>
      </c>
      <c r="L798">
        <v>3</v>
      </c>
      <c r="M798">
        <v>0</v>
      </c>
      <c r="N798">
        <v>2</v>
      </c>
      <c r="O798">
        <v>1</v>
      </c>
      <c r="P798">
        <v>0</v>
      </c>
      <c r="Q798">
        <v>0</v>
      </c>
      <c r="R798" t="s">
        <v>112</v>
      </c>
      <c r="S798" t="str">
        <f>"14:03:39.141"</f>
        <v>14:03:39.141</v>
      </c>
      <c r="T798" t="str">
        <f>"14:03:38.742"</f>
        <v>14:03:38.742</v>
      </c>
      <c r="U798" t="str">
        <f t="shared" si="36"/>
        <v>ad5732</v>
      </c>
      <c r="V798">
        <v>0</v>
      </c>
      <c r="W798">
        <v>0</v>
      </c>
      <c r="X798">
        <v>1</v>
      </c>
      <c r="Z798">
        <v>0</v>
      </c>
      <c r="AA798">
        <v>9</v>
      </c>
      <c r="AB798">
        <v>3</v>
      </c>
      <c r="AC798">
        <v>0</v>
      </c>
      <c r="AD798">
        <v>10</v>
      </c>
      <c r="AE798">
        <v>0</v>
      </c>
      <c r="AF798">
        <v>3</v>
      </c>
      <c r="AG798">
        <v>2</v>
      </c>
      <c r="AH798">
        <v>0</v>
      </c>
      <c r="AI798" t="s">
        <v>1693</v>
      </c>
      <c r="AJ798">
        <v>39.332621000000003</v>
      </c>
      <c r="AK798" t="s">
        <v>1694</v>
      </c>
      <c r="AL798">
        <v>-77.055487999999997</v>
      </c>
      <c r="AM798">
        <v>100</v>
      </c>
      <c r="AN798">
        <v>8700</v>
      </c>
      <c r="AO798" t="s">
        <v>115</v>
      </c>
      <c r="AP798">
        <v>175</v>
      </c>
      <c r="AQ798">
        <v>72</v>
      </c>
      <c r="AR798">
        <v>-64</v>
      </c>
      <c r="AZ798">
        <v>3614</v>
      </c>
      <c r="BA798">
        <v>1</v>
      </c>
      <c r="BB798" t="str">
        <f t="shared" si="38"/>
        <v xml:space="preserve">N959MJ  </v>
      </c>
      <c r="BC798">
        <v>1</v>
      </c>
      <c r="BE798">
        <v>0</v>
      </c>
      <c r="BF798">
        <v>0</v>
      </c>
      <c r="BG798">
        <v>0</v>
      </c>
      <c r="BH798">
        <v>9025</v>
      </c>
      <c r="BI798">
        <v>325</v>
      </c>
      <c r="BJ798">
        <v>1</v>
      </c>
      <c r="BK798">
        <v>1</v>
      </c>
      <c r="BL798">
        <v>1</v>
      </c>
      <c r="BM798">
        <v>0</v>
      </c>
      <c r="BP798">
        <v>0</v>
      </c>
      <c r="BQ798">
        <v>0</v>
      </c>
      <c r="BX798" t="str">
        <f>"14:03:39.141"</f>
        <v>14:03:39.141</v>
      </c>
      <c r="BY798" t="str">
        <f>"144293263"</f>
        <v>144293263</v>
      </c>
      <c r="CL798">
        <v>0</v>
      </c>
      <c r="CM798">
        <v>2</v>
      </c>
      <c r="CN798">
        <v>0</v>
      </c>
      <c r="CO798">
        <v>2</v>
      </c>
      <c r="CP798">
        <v>0</v>
      </c>
      <c r="CQ798">
        <v>7</v>
      </c>
      <c r="CR798" t="s">
        <v>116</v>
      </c>
      <c r="CS798">
        <v>147</v>
      </c>
      <c r="CT798">
        <v>0</v>
      </c>
      <c r="CU798" t="s">
        <v>117</v>
      </c>
      <c r="CV798" t="s">
        <v>118</v>
      </c>
      <c r="CY798">
        <v>5181662</v>
      </c>
      <c r="CZ798" t="s">
        <v>119</v>
      </c>
    </row>
    <row r="799" spans="1:104" x14ac:dyDescent="0.25">
      <c r="A799" t="str">
        <f>"14:03:40.297"</f>
        <v>14:03:40.297</v>
      </c>
      <c r="B799" t="s">
        <v>108</v>
      </c>
      <c r="C799" t="str">
        <f t="shared" si="37"/>
        <v>ffdfd3c0</v>
      </c>
      <c r="D799" t="s">
        <v>109</v>
      </c>
      <c r="E799">
        <v>4</v>
      </c>
      <c r="F799">
        <v>1004</v>
      </c>
      <c r="G799" t="s">
        <v>110</v>
      </c>
      <c r="J799" t="s">
        <v>111</v>
      </c>
      <c r="K799">
        <v>0</v>
      </c>
      <c r="L799">
        <v>3</v>
      </c>
      <c r="M799">
        <v>0</v>
      </c>
      <c r="N799">
        <v>2</v>
      </c>
      <c r="O799">
        <v>1</v>
      </c>
      <c r="P799">
        <v>0</v>
      </c>
      <c r="Q799">
        <v>0</v>
      </c>
      <c r="R799" t="s">
        <v>112</v>
      </c>
      <c r="S799" t="str">
        <f>"14:03:40.117"</f>
        <v>14:03:40.117</v>
      </c>
      <c r="T799" t="str">
        <f>"14:03:39.719"</f>
        <v>14:03:39.719</v>
      </c>
      <c r="U799" t="str">
        <f t="shared" si="36"/>
        <v>ad5732</v>
      </c>
      <c r="V799">
        <v>0</v>
      </c>
      <c r="W799">
        <v>0</v>
      </c>
      <c r="X799">
        <v>1</v>
      </c>
      <c r="Z799">
        <v>0</v>
      </c>
      <c r="AA799">
        <v>9</v>
      </c>
      <c r="AB799">
        <v>3</v>
      </c>
      <c r="AC799">
        <v>0</v>
      </c>
      <c r="AD799">
        <v>10</v>
      </c>
      <c r="AE799">
        <v>0</v>
      </c>
      <c r="AF799">
        <v>3</v>
      </c>
      <c r="AG799">
        <v>2</v>
      </c>
      <c r="AH799">
        <v>0</v>
      </c>
      <c r="AI799" t="s">
        <v>1695</v>
      </c>
      <c r="AJ799">
        <v>39.332922000000003</v>
      </c>
      <c r="AK799" t="s">
        <v>1696</v>
      </c>
      <c r="AL799">
        <v>-77.054393000000005</v>
      </c>
      <c r="AM799">
        <v>100</v>
      </c>
      <c r="AN799">
        <v>8700</v>
      </c>
      <c r="AO799" t="s">
        <v>115</v>
      </c>
      <c r="AP799">
        <v>175</v>
      </c>
      <c r="AQ799">
        <v>74</v>
      </c>
      <c r="AR799">
        <v>-64</v>
      </c>
      <c r="AZ799">
        <v>3614</v>
      </c>
      <c r="BA799">
        <v>1</v>
      </c>
      <c r="BB799" t="str">
        <f t="shared" si="38"/>
        <v xml:space="preserve">N959MJ  </v>
      </c>
      <c r="BC799">
        <v>1</v>
      </c>
      <c r="BE799">
        <v>0</v>
      </c>
      <c r="BF799">
        <v>0</v>
      </c>
      <c r="BG799">
        <v>0</v>
      </c>
      <c r="BH799">
        <v>9025</v>
      </c>
      <c r="BI799">
        <v>325</v>
      </c>
      <c r="BJ799">
        <v>1</v>
      </c>
      <c r="BK799">
        <v>1</v>
      </c>
      <c r="BL799">
        <v>1</v>
      </c>
      <c r="BM799">
        <v>0</v>
      </c>
      <c r="BP799">
        <v>0</v>
      </c>
      <c r="BQ799">
        <v>0</v>
      </c>
      <c r="BX799" t="str">
        <f>"14:03:40.125"</f>
        <v>14:03:40.125</v>
      </c>
      <c r="BY799" t="str">
        <f>"122434129"</f>
        <v>122434129</v>
      </c>
      <c r="CL799">
        <v>0</v>
      </c>
      <c r="CM799">
        <v>2</v>
      </c>
      <c r="CN799">
        <v>0</v>
      </c>
      <c r="CO799">
        <v>2</v>
      </c>
      <c r="CP799">
        <v>0</v>
      </c>
      <c r="CQ799">
        <v>7</v>
      </c>
      <c r="CR799" t="s">
        <v>116</v>
      </c>
      <c r="CS799">
        <v>147</v>
      </c>
      <c r="CT799">
        <v>0</v>
      </c>
      <c r="CU799" t="s">
        <v>117</v>
      </c>
      <c r="CV799" t="s">
        <v>118</v>
      </c>
      <c r="CY799">
        <v>5183385</v>
      </c>
      <c r="CZ799" t="s">
        <v>119</v>
      </c>
    </row>
    <row r="800" spans="1:104" x14ac:dyDescent="0.25">
      <c r="A800" t="str">
        <f>"14:03:41.203"</f>
        <v>14:03:41.203</v>
      </c>
      <c r="B800" t="s">
        <v>108</v>
      </c>
      <c r="C800" t="str">
        <f t="shared" si="37"/>
        <v>ffdfd3c0</v>
      </c>
      <c r="D800" t="s">
        <v>109</v>
      </c>
      <c r="E800">
        <v>4</v>
      </c>
      <c r="F800">
        <v>1004</v>
      </c>
      <c r="G800" t="s">
        <v>110</v>
      </c>
      <c r="J800" t="s">
        <v>111</v>
      </c>
      <c r="K800">
        <v>0</v>
      </c>
      <c r="L800">
        <v>3</v>
      </c>
      <c r="M800">
        <v>0</v>
      </c>
      <c r="N800">
        <v>2</v>
      </c>
      <c r="O800">
        <v>1</v>
      </c>
      <c r="P800">
        <v>0</v>
      </c>
      <c r="Q800">
        <v>0</v>
      </c>
      <c r="R800" t="s">
        <v>112</v>
      </c>
      <c r="S800" t="str">
        <f>"14:03:41.000"</f>
        <v>14:03:41.000</v>
      </c>
      <c r="T800" t="str">
        <f>"14:03:40.602"</f>
        <v>14:03:40.602</v>
      </c>
      <c r="U800" t="str">
        <f t="shared" si="36"/>
        <v>ad5732</v>
      </c>
      <c r="V800">
        <v>0</v>
      </c>
      <c r="W800">
        <v>0</v>
      </c>
      <c r="X800">
        <v>1</v>
      </c>
      <c r="Z800">
        <v>0</v>
      </c>
      <c r="AA800">
        <v>9</v>
      </c>
      <c r="AB800">
        <v>3</v>
      </c>
      <c r="AC800">
        <v>0</v>
      </c>
      <c r="AD800">
        <v>10</v>
      </c>
      <c r="AE800">
        <v>0</v>
      </c>
      <c r="AF800">
        <v>3</v>
      </c>
      <c r="AG800">
        <v>2</v>
      </c>
      <c r="AH800">
        <v>0</v>
      </c>
      <c r="AI800" t="s">
        <v>1697</v>
      </c>
      <c r="AJ800">
        <v>39.333286000000001</v>
      </c>
      <c r="AK800" t="s">
        <v>1698</v>
      </c>
      <c r="AL800">
        <v>-77.053471000000002</v>
      </c>
      <c r="AM800">
        <v>100</v>
      </c>
      <c r="AN800">
        <v>8700</v>
      </c>
      <c r="AO800" t="s">
        <v>115</v>
      </c>
      <c r="AP800">
        <v>174</v>
      </c>
      <c r="AQ800">
        <v>76</v>
      </c>
      <c r="AR800">
        <v>-64</v>
      </c>
      <c r="AZ800">
        <v>3614</v>
      </c>
      <c r="BA800">
        <v>1</v>
      </c>
      <c r="BB800" t="str">
        <f t="shared" si="38"/>
        <v xml:space="preserve">N959MJ  </v>
      </c>
      <c r="BC800">
        <v>1</v>
      </c>
      <c r="BE800">
        <v>0</v>
      </c>
      <c r="BF800">
        <v>0</v>
      </c>
      <c r="BG800">
        <v>0</v>
      </c>
      <c r="BH800">
        <v>9025</v>
      </c>
      <c r="BI800">
        <v>325</v>
      </c>
      <c r="BJ800">
        <v>1</v>
      </c>
      <c r="BK800">
        <v>1</v>
      </c>
      <c r="BL800">
        <v>1</v>
      </c>
      <c r="BM800">
        <v>0</v>
      </c>
      <c r="BP800">
        <v>0</v>
      </c>
      <c r="BQ800">
        <v>0</v>
      </c>
      <c r="BX800" t="str">
        <f>"14:03:41.000"</f>
        <v>14:03:41.000</v>
      </c>
      <c r="BY800" t="str">
        <f>"002269831"</f>
        <v>002269831</v>
      </c>
      <c r="CL800">
        <v>0</v>
      </c>
      <c r="CM800">
        <v>2</v>
      </c>
      <c r="CN800">
        <v>0</v>
      </c>
      <c r="CO800">
        <v>2</v>
      </c>
      <c r="CP800">
        <v>0</v>
      </c>
      <c r="CQ800">
        <v>7</v>
      </c>
      <c r="CR800" t="s">
        <v>116</v>
      </c>
      <c r="CS800">
        <v>147</v>
      </c>
      <c r="CT800">
        <v>0</v>
      </c>
      <c r="CU800" t="s">
        <v>117</v>
      </c>
      <c r="CV800" t="s">
        <v>118</v>
      </c>
      <c r="CY800">
        <v>5184847</v>
      </c>
      <c r="CZ800" t="s">
        <v>119</v>
      </c>
    </row>
    <row r="801" spans="1:104" x14ac:dyDescent="0.25">
      <c r="A801" t="str">
        <f>"14:03:42.211"</f>
        <v>14:03:42.211</v>
      </c>
      <c r="B801" t="s">
        <v>108</v>
      </c>
      <c r="C801" t="str">
        <f t="shared" si="37"/>
        <v>ffdfd3c0</v>
      </c>
      <c r="D801" t="s">
        <v>109</v>
      </c>
      <c r="E801">
        <v>4</v>
      </c>
      <c r="F801">
        <v>1004</v>
      </c>
      <c r="G801" t="s">
        <v>110</v>
      </c>
      <c r="J801" t="s">
        <v>111</v>
      </c>
      <c r="K801">
        <v>0</v>
      </c>
      <c r="L801">
        <v>3</v>
      </c>
      <c r="M801">
        <v>0</v>
      </c>
      <c r="N801">
        <v>2</v>
      </c>
      <c r="O801">
        <v>1</v>
      </c>
      <c r="P801">
        <v>0</v>
      </c>
      <c r="Q801">
        <v>0</v>
      </c>
      <c r="R801" t="s">
        <v>112</v>
      </c>
      <c r="S801" t="str">
        <f>"14:03:42.016"</f>
        <v>14:03:42.016</v>
      </c>
      <c r="T801" t="str">
        <f>"14:03:41.516"</f>
        <v>14:03:41.516</v>
      </c>
      <c r="U801" t="str">
        <f t="shared" si="36"/>
        <v>ad5732</v>
      </c>
      <c r="V801">
        <v>0</v>
      </c>
      <c r="W801">
        <v>0</v>
      </c>
      <c r="X801">
        <v>1</v>
      </c>
      <c r="Z801">
        <v>0</v>
      </c>
      <c r="AA801">
        <v>9</v>
      </c>
      <c r="AB801">
        <v>3</v>
      </c>
      <c r="AC801">
        <v>0</v>
      </c>
      <c r="AD801">
        <v>10</v>
      </c>
      <c r="AE801">
        <v>0</v>
      </c>
      <c r="AF801">
        <v>3</v>
      </c>
      <c r="AG801">
        <v>2</v>
      </c>
      <c r="AH801">
        <v>0</v>
      </c>
      <c r="AI801" t="s">
        <v>1699</v>
      </c>
      <c r="AJ801">
        <v>39.333651000000003</v>
      </c>
      <c r="AK801" t="s">
        <v>1700</v>
      </c>
      <c r="AL801">
        <v>-77.052484000000007</v>
      </c>
      <c r="AM801">
        <v>100</v>
      </c>
      <c r="AN801">
        <v>8700</v>
      </c>
      <c r="AO801" t="s">
        <v>115</v>
      </c>
      <c r="AP801">
        <v>172</v>
      </c>
      <c r="AQ801">
        <v>79</v>
      </c>
      <c r="AR801">
        <v>-64</v>
      </c>
      <c r="AZ801">
        <v>3614</v>
      </c>
      <c r="BA801">
        <v>1</v>
      </c>
      <c r="BB801" t="str">
        <f t="shared" si="38"/>
        <v xml:space="preserve">N959MJ  </v>
      </c>
      <c r="BC801">
        <v>1</v>
      </c>
      <c r="BE801">
        <v>0</v>
      </c>
      <c r="BF801">
        <v>0</v>
      </c>
      <c r="BG801">
        <v>0</v>
      </c>
      <c r="BH801">
        <v>9025</v>
      </c>
      <c r="BI801">
        <v>325</v>
      </c>
      <c r="BJ801">
        <v>1</v>
      </c>
      <c r="BK801">
        <v>1</v>
      </c>
      <c r="BL801">
        <v>1</v>
      </c>
      <c r="BM801">
        <v>0</v>
      </c>
      <c r="BP801">
        <v>0</v>
      </c>
      <c r="BQ801">
        <v>0</v>
      </c>
      <c r="BX801" t="str">
        <f>"14:03:42.023"</f>
        <v>14:03:42.023</v>
      </c>
      <c r="BY801" t="str">
        <f>"023009464"</f>
        <v>023009464</v>
      </c>
      <c r="CL801">
        <v>0</v>
      </c>
      <c r="CM801">
        <v>2</v>
      </c>
      <c r="CN801">
        <v>0</v>
      </c>
      <c r="CO801">
        <v>2</v>
      </c>
      <c r="CP801">
        <v>0</v>
      </c>
      <c r="CQ801">
        <v>7</v>
      </c>
      <c r="CR801" t="s">
        <v>116</v>
      </c>
      <c r="CS801">
        <v>147</v>
      </c>
      <c r="CT801">
        <v>0</v>
      </c>
      <c r="CU801" t="s">
        <v>117</v>
      </c>
      <c r="CV801" t="s">
        <v>118</v>
      </c>
      <c r="CY801">
        <v>5186485</v>
      </c>
      <c r="CZ801" t="s">
        <v>119</v>
      </c>
    </row>
    <row r="802" spans="1:104" x14ac:dyDescent="0.25">
      <c r="A802" t="str">
        <f>"14:03:43.172"</f>
        <v>14:03:43.172</v>
      </c>
      <c r="B802" t="s">
        <v>108</v>
      </c>
      <c r="C802" t="str">
        <f t="shared" si="37"/>
        <v>ffdfd3c0</v>
      </c>
      <c r="D802" t="s">
        <v>109</v>
      </c>
      <c r="E802">
        <v>4</v>
      </c>
      <c r="F802">
        <v>1004</v>
      </c>
      <c r="G802" t="s">
        <v>110</v>
      </c>
      <c r="J802" t="s">
        <v>111</v>
      </c>
      <c r="K802">
        <v>0</v>
      </c>
      <c r="L802">
        <v>3</v>
      </c>
      <c r="M802">
        <v>0</v>
      </c>
      <c r="N802">
        <v>2</v>
      </c>
      <c r="O802">
        <v>1</v>
      </c>
      <c r="P802">
        <v>0</v>
      </c>
      <c r="Q802">
        <v>0</v>
      </c>
      <c r="R802" t="s">
        <v>112</v>
      </c>
      <c r="S802" t="str">
        <f>"14:03:42.984"</f>
        <v>14:03:42.984</v>
      </c>
      <c r="T802" t="str">
        <f>"14:03:42.586"</f>
        <v>14:03:42.586</v>
      </c>
      <c r="U802" t="str">
        <f t="shared" si="36"/>
        <v>ad5732</v>
      </c>
      <c r="V802">
        <v>0</v>
      </c>
      <c r="W802">
        <v>0</v>
      </c>
      <c r="X802">
        <v>1</v>
      </c>
      <c r="Z802">
        <v>0</v>
      </c>
      <c r="AA802">
        <v>9</v>
      </c>
      <c r="AB802">
        <v>3</v>
      </c>
      <c r="AC802">
        <v>0</v>
      </c>
      <c r="AD802">
        <v>10</v>
      </c>
      <c r="AE802">
        <v>0</v>
      </c>
      <c r="AF802">
        <v>3</v>
      </c>
      <c r="AG802">
        <v>2</v>
      </c>
      <c r="AH802">
        <v>0</v>
      </c>
      <c r="AI802" t="s">
        <v>1701</v>
      </c>
      <c r="AJ802">
        <v>39.334037000000002</v>
      </c>
      <c r="AK802" t="s">
        <v>1702</v>
      </c>
      <c r="AL802">
        <v>-77.051454000000007</v>
      </c>
      <c r="AM802">
        <v>100</v>
      </c>
      <c r="AN802">
        <v>8700</v>
      </c>
      <c r="AO802" t="s">
        <v>115</v>
      </c>
      <c r="AP802">
        <v>170</v>
      </c>
      <c r="AQ802">
        <v>83</v>
      </c>
      <c r="AR802">
        <v>-128</v>
      </c>
      <c r="AZ802">
        <v>3614</v>
      </c>
      <c r="BA802">
        <v>1</v>
      </c>
      <c r="BB802" t="str">
        <f t="shared" si="38"/>
        <v xml:space="preserve">N959MJ  </v>
      </c>
      <c r="BC802">
        <v>1</v>
      </c>
      <c r="BE802">
        <v>0</v>
      </c>
      <c r="BF802">
        <v>0</v>
      </c>
      <c r="BG802">
        <v>0</v>
      </c>
      <c r="BH802">
        <v>9025</v>
      </c>
      <c r="BI802">
        <v>325</v>
      </c>
      <c r="BJ802">
        <v>1</v>
      </c>
      <c r="BK802">
        <v>1</v>
      </c>
      <c r="BL802">
        <v>1</v>
      </c>
      <c r="BM802">
        <v>0</v>
      </c>
      <c r="BP802">
        <v>0</v>
      </c>
      <c r="BQ802">
        <v>0</v>
      </c>
      <c r="BX802" t="str">
        <f>"14:03:42.992"</f>
        <v>14:03:42.992</v>
      </c>
      <c r="BY802" t="str">
        <f>"989681408"</f>
        <v>989681408</v>
      </c>
      <c r="CL802">
        <v>0</v>
      </c>
      <c r="CM802">
        <v>2</v>
      </c>
      <c r="CN802">
        <v>0</v>
      </c>
      <c r="CO802">
        <v>2</v>
      </c>
      <c r="CP802">
        <v>0</v>
      </c>
      <c r="CQ802">
        <v>7</v>
      </c>
      <c r="CR802" t="s">
        <v>116</v>
      </c>
      <c r="CS802">
        <v>147</v>
      </c>
      <c r="CT802">
        <v>0</v>
      </c>
      <c r="CU802" t="s">
        <v>117</v>
      </c>
      <c r="CV802" t="s">
        <v>118</v>
      </c>
      <c r="CY802">
        <v>5188034</v>
      </c>
      <c r="CZ802" t="s">
        <v>119</v>
      </c>
    </row>
    <row r="803" spans="1:104" x14ac:dyDescent="0.25">
      <c r="A803" t="str">
        <f>"14:03:44.234"</f>
        <v>14:03:44.234</v>
      </c>
      <c r="B803" t="s">
        <v>108</v>
      </c>
      <c r="C803" t="str">
        <f t="shared" si="37"/>
        <v>ffdfd3c0</v>
      </c>
      <c r="D803" t="s">
        <v>109</v>
      </c>
      <c r="E803">
        <v>4</v>
      </c>
      <c r="F803">
        <v>1004</v>
      </c>
      <c r="G803" t="s">
        <v>110</v>
      </c>
      <c r="J803" t="s">
        <v>111</v>
      </c>
      <c r="K803">
        <v>0</v>
      </c>
      <c r="L803">
        <v>3</v>
      </c>
      <c r="M803">
        <v>0</v>
      </c>
      <c r="N803">
        <v>2</v>
      </c>
      <c r="O803">
        <v>1</v>
      </c>
      <c r="P803">
        <v>0</v>
      </c>
      <c r="Q803">
        <v>0</v>
      </c>
      <c r="R803" t="s">
        <v>112</v>
      </c>
      <c r="S803" t="str">
        <f>"14:03:44.008"</f>
        <v>14:03:44.008</v>
      </c>
      <c r="T803" t="str">
        <f>"14:03:43.609"</f>
        <v>14:03:43.609</v>
      </c>
      <c r="U803" t="str">
        <f t="shared" si="36"/>
        <v>ad5732</v>
      </c>
      <c r="V803">
        <v>0</v>
      </c>
      <c r="W803">
        <v>0</v>
      </c>
      <c r="X803">
        <v>1</v>
      </c>
      <c r="Z803">
        <v>0</v>
      </c>
      <c r="AA803">
        <v>9</v>
      </c>
      <c r="AB803">
        <v>3</v>
      </c>
      <c r="AC803">
        <v>0</v>
      </c>
      <c r="AD803">
        <v>10</v>
      </c>
      <c r="AE803">
        <v>0</v>
      </c>
      <c r="AF803">
        <v>3</v>
      </c>
      <c r="AG803">
        <v>2</v>
      </c>
      <c r="AH803">
        <v>0</v>
      </c>
      <c r="AI803" t="s">
        <v>1703</v>
      </c>
      <c r="AJ803">
        <v>39.334445000000002</v>
      </c>
      <c r="AK803" t="s">
        <v>1704</v>
      </c>
      <c r="AL803">
        <v>-77.050466999999998</v>
      </c>
      <c r="AM803">
        <v>100</v>
      </c>
      <c r="AN803">
        <v>8700</v>
      </c>
      <c r="AO803" t="s">
        <v>115</v>
      </c>
      <c r="AP803">
        <v>168</v>
      </c>
      <c r="AQ803">
        <v>88</v>
      </c>
      <c r="AR803">
        <v>-192</v>
      </c>
      <c r="AZ803">
        <v>3614</v>
      </c>
      <c r="BA803">
        <v>1</v>
      </c>
      <c r="BB803" t="str">
        <f t="shared" si="38"/>
        <v xml:space="preserve">N959MJ  </v>
      </c>
      <c r="BC803">
        <v>1</v>
      </c>
      <c r="BE803">
        <v>0</v>
      </c>
      <c r="BF803">
        <v>0</v>
      </c>
      <c r="BG803">
        <v>0</v>
      </c>
      <c r="BH803">
        <v>9000</v>
      </c>
      <c r="BI803">
        <v>300</v>
      </c>
      <c r="BJ803">
        <v>1</v>
      </c>
      <c r="BK803">
        <v>1</v>
      </c>
      <c r="BL803">
        <v>1</v>
      </c>
      <c r="BM803">
        <v>0</v>
      </c>
      <c r="BP803">
        <v>0</v>
      </c>
      <c r="BQ803">
        <v>0</v>
      </c>
      <c r="BX803" t="str">
        <f>"14:03:44.016"</f>
        <v>14:03:44.016</v>
      </c>
      <c r="BY803" t="str">
        <f>"013698352"</f>
        <v>013698352</v>
      </c>
      <c r="CL803">
        <v>0</v>
      </c>
      <c r="CM803">
        <v>2</v>
      </c>
      <c r="CN803">
        <v>0</v>
      </c>
      <c r="CO803">
        <v>2</v>
      </c>
      <c r="CP803">
        <v>0</v>
      </c>
      <c r="CQ803">
        <v>7</v>
      </c>
      <c r="CR803" t="s">
        <v>116</v>
      </c>
      <c r="CS803">
        <v>147</v>
      </c>
      <c r="CT803">
        <v>0</v>
      </c>
      <c r="CU803" t="s">
        <v>117</v>
      </c>
      <c r="CV803" t="s">
        <v>118</v>
      </c>
      <c r="CY803">
        <v>5189793</v>
      </c>
      <c r="CZ803" t="s">
        <v>119</v>
      </c>
    </row>
    <row r="804" spans="1:104" x14ac:dyDescent="0.25">
      <c r="A804" t="str">
        <f>"14:03:45.242"</f>
        <v>14:03:45.242</v>
      </c>
      <c r="B804" t="s">
        <v>108</v>
      </c>
      <c r="C804" t="str">
        <f t="shared" si="37"/>
        <v>ffdfd3c0</v>
      </c>
      <c r="D804" t="s">
        <v>109</v>
      </c>
      <c r="E804">
        <v>4</v>
      </c>
      <c r="F804">
        <v>1004</v>
      </c>
      <c r="G804" t="s">
        <v>110</v>
      </c>
      <c r="J804" t="s">
        <v>111</v>
      </c>
      <c r="K804">
        <v>0</v>
      </c>
      <c r="L804">
        <v>3</v>
      </c>
      <c r="M804">
        <v>0</v>
      </c>
      <c r="N804">
        <v>2</v>
      </c>
      <c r="O804">
        <v>1</v>
      </c>
      <c r="P804">
        <v>0</v>
      </c>
      <c r="Q804">
        <v>0</v>
      </c>
      <c r="R804" t="s">
        <v>112</v>
      </c>
      <c r="S804" t="str">
        <f>"14:03:45.078"</f>
        <v>14:03:45.078</v>
      </c>
      <c r="T804" t="str">
        <f>"14:03:44.578"</f>
        <v>14:03:44.578</v>
      </c>
      <c r="U804" t="str">
        <f t="shared" si="36"/>
        <v>ad5732</v>
      </c>
      <c r="V804">
        <v>0</v>
      </c>
      <c r="W804">
        <v>0</v>
      </c>
      <c r="X804">
        <v>1</v>
      </c>
      <c r="Z804">
        <v>0</v>
      </c>
      <c r="AA804">
        <v>9</v>
      </c>
      <c r="AB804">
        <v>3</v>
      </c>
      <c r="AC804">
        <v>0</v>
      </c>
      <c r="AD804">
        <v>10</v>
      </c>
      <c r="AE804">
        <v>0</v>
      </c>
      <c r="AF804">
        <v>3</v>
      </c>
      <c r="AG804">
        <v>2</v>
      </c>
      <c r="AH804">
        <v>0</v>
      </c>
      <c r="AI804" t="s">
        <v>1705</v>
      </c>
      <c r="AJ804">
        <v>39.334938999999999</v>
      </c>
      <c r="AK804" t="s">
        <v>1706</v>
      </c>
      <c r="AL804">
        <v>-77.049394000000007</v>
      </c>
      <c r="AM804">
        <v>100</v>
      </c>
      <c r="AN804">
        <v>8700</v>
      </c>
      <c r="AO804" t="s">
        <v>115</v>
      </c>
      <c r="AP804">
        <v>165</v>
      </c>
      <c r="AQ804">
        <v>94</v>
      </c>
      <c r="AR804">
        <v>-192</v>
      </c>
      <c r="AZ804">
        <v>3614</v>
      </c>
      <c r="BA804">
        <v>1</v>
      </c>
      <c r="BB804" t="str">
        <f t="shared" si="38"/>
        <v xml:space="preserve">N959MJ  </v>
      </c>
      <c r="BC804">
        <v>1</v>
      </c>
      <c r="BE804">
        <v>0</v>
      </c>
      <c r="BF804">
        <v>0</v>
      </c>
      <c r="BG804">
        <v>0</v>
      </c>
      <c r="BH804">
        <v>9000</v>
      </c>
      <c r="BI804">
        <v>300</v>
      </c>
      <c r="BJ804">
        <v>1</v>
      </c>
      <c r="BK804">
        <v>1</v>
      </c>
      <c r="BL804">
        <v>1</v>
      </c>
      <c r="BM804">
        <v>0</v>
      </c>
      <c r="BP804">
        <v>0</v>
      </c>
      <c r="BQ804">
        <v>0</v>
      </c>
      <c r="BX804" t="str">
        <f>"14:03:45.078"</f>
        <v>14:03:45.078</v>
      </c>
      <c r="BY804" t="str">
        <f>"080314320"</f>
        <v>080314320</v>
      </c>
      <c r="CL804">
        <v>0</v>
      </c>
      <c r="CM804">
        <v>2</v>
      </c>
      <c r="CN804">
        <v>0</v>
      </c>
      <c r="CO804">
        <v>2</v>
      </c>
      <c r="CP804">
        <v>0</v>
      </c>
      <c r="CQ804">
        <v>7</v>
      </c>
      <c r="CR804" t="s">
        <v>116</v>
      </c>
      <c r="CS804">
        <v>147</v>
      </c>
      <c r="CT804">
        <v>0</v>
      </c>
      <c r="CU804" t="s">
        <v>117</v>
      </c>
      <c r="CV804" t="s">
        <v>118</v>
      </c>
      <c r="CY804">
        <v>5191616</v>
      </c>
      <c r="CZ804" t="s">
        <v>119</v>
      </c>
    </row>
    <row r="805" spans="1:104" x14ac:dyDescent="0.25">
      <c r="A805" t="str">
        <f>"14:03:46.305"</f>
        <v>14:03:46.305</v>
      </c>
      <c r="B805" t="s">
        <v>108</v>
      </c>
      <c r="C805" t="str">
        <f t="shared" si="37"/>
        <v>ffdfd3c0</v>
      </c>
      <c r="D805" t="s">
        <v>109</v>
      </c>
      <c r="E805">
        <v>4</v>
      </c>
      <c r="F805">
        <v>1004</v>
      </c>
      <c r="G805" t="s">
        <v>110</v>
      </c>
      <c r="J805" t="s">
        <v>111</v>
      </c>
      <c r="K805">
        <v>0</v>
      </c>
      <c r="L805">
        <v>3</v>
      </c>
      <c r="M805">
        <v>0</v>
      </c>
      <c r="N805">
        <v>2</v>
      </c>
      <c r="O805">
        <v>1</v>
      </c>
      <c r="P805">
        <v>0</v>
      </c>
      <c r="Q805">
        <v>0</v>
      </c>
      <c r="R805" t="s">
        <v>112</v>
      </c>
      <c r="S805" t="str">
        <f>"14:03:46.117"</f>
        <v>14:03:46.117</v>
      </c>
      <c r="T805" t="str">
        <f>"14:03:45.719"</f>
        <v>14:03:45.719</v>
      </c>
      <c r="U805" t="str">
        <f t="shared" si="36"/>
        <v>ad5732</v>
      </c>
      <c r="V805">
        <v>0</v>
      </c>
      <c r="W805">
        <v>0</v>
      </c>
      <c r="X805">
        <v>1</v>
      </c>
      <c r="Z805">
        <v>0</v>
      </c>
      <c r="AA805">
        <v>9</v>
      </c>
      <c r="AB805">
        <v>3</v>
      </c>
      <c r="AC805">
        <v>0</v>
      </c>
      <c r="AD805">
        <v>10</v>
      </c>
      <c r="AE805">
        <v>0</v>
      </c>
      <c r="AF805">
        <v>3</v>
      </c>
      <c r="AG805">
        <v>2</v>
      </c>
      <c r="AH805">
        <v>0</v>
      </c>
      <c r="AI805" t="s">
        <v>1707</v>
      </c>
      <c r="AJ805">
        <v>39.335411000000001</v>
      </c>
      <c r="AK805" t="s">
        <v>1708</v>
      </c>
      <c r="AL805">
        <v>-77.048428000000001</v>
      </c>
      <c r="AM805">
        <v>100</v>
      </c>
      <c r="AN805">
        <v>8700</v>
      </c>
      <c r="AO805" t="s">
        <v>115</v>
      </c>
      <c r="AP805">
        <v>161</v>
      </c>
      <c r="AQ805">
        <v>101</v>
      </c>
      <c r="AR805">
        <v>-128</v>
      </c>
      <c r="AZ805">
        <v>3614</v>
      </c>
      <c r="BA805">
        <v>1</v>
      </c>
      <c r="BB805" t="str">
        <f t="shared" si="38"/>
        <v xml:space="preserve">N959MJ  </v>
      </c>
      <c r="BC805">
        <v>1</v>
      </c>
      <c r="BE805">
        <v>0</v>
      </c>
      <c r="BF805">
        <v>0</v>
      </c>
      <c r="BG805">
        <v>0</v>
      </c>
      <c r="BH805">
        <v>9000</v>
      </c>
      <c r="BI805">
        <v>300</v>
      </c>
      <c r="BJ805">
        <v>1</v>
      </c>
      <c r="BK805">
        <v>1</v>
      </c>
      <c r="BL805">
        <v>1</v>
      </c>
      <c r="BM805">
        <v>0</v>
      </c>
      <c r="BP805">
        <v>0</v>
      </c>
      <c r="BQ805">
        <v>0</v>
      </c>
      <c r="BX805" t="str">
        <f>"14:03:46.117"</f>
        <v>14:03:46.117</v>
      </c>
      <c r="BY805" t="str">
        <f>"117438652"</f>
        <v>117438652</v>
      </c>
      <c r="CL805">
        <v>0</v>
      </c>
      <c r="CM805">
        <v>2</v>
      </c>
      <c r="CN805">
        <v>0</v>
      </c>
      <c r="CO805">
        <v>2</v>
      </c>
      <c r="CP805">
        <v>0</v>
      </c>
      <c r="CQ805">
        <v>7</v>
      </c>
      <c r="CR805" t="s">
        <v>116</v>
      </c>
      <c r="CS805">
        <v>147</v>
      </c>
      <c r="CT805">
        <v>0</v>
      </c>
      <c r="CU805" t="s">
        <v>117</v>
      </c>
      <c r="CV805" t="s">
        <v>118</v>
      </c>
      <c r="CY805">
        <v>5193302</v>
      </c>
      <c r="CZ805" t="s">
        <v>119</v>
      </c>
    </row>
    <row r="806" spans="1:104" x14ac:dyDescent="0.25">
      <c r="A806" t="str">
        <f>"14:03:47.258"</f>
        <v>14:03:47.258</v>
      </c>
      <c r="B806" t="s">
        <v>108</v>
      </c>
      <c r="C806" t="str">
        <f t="shared" si="37"/>
        <v>ffdfd3c0</v>
      </c>
      <c r="D806" t="s">
        <v>109</v>
      </c>
      <c r="E806">
        <v>4</v>
      </c>
      <c r="F806">
        <v>1004</v>
      </c>
      <c r="G806" t="s">
        <v>110</v>
      </c>
      <c r="J806" t="s">
        <v>111</v>
      </c>
      <c r="K806">
        <v>0</v>
      </c>
      <c r="L806">
        <v>3</v>
      </c>
      <c r="M806">
        <v>0</v>
      </c>
      <c r="N806">
        <v>2</v>
      </c>
      <c r="O806">
        <v>1</v>
      </c>
      <c r="P806">
        <v>0</v>
      </c>
      <c r="Q806">
        <v>0</v>
      </c>
      <c r="R806" t="s">
        <v>112</v>
      </c>
      <c r="S806" t="str">
        <f>"14:03:47.039"</f>
        <v>14:03:47.039</v>
      </c>
      <c r="T806" t="str">
        <f>"14:03:46.539"</f>
        <v>14:03:46.539</v>
      </c>
      <c r="U806" t="str">
        <f t="shared" si="36"/>
        <v>ad5732</v>
      </c>
      <c r="V806">
        <v>0</v>
      </c>
      <c r="W806">
        <v>0</v>
      </c>
      <c r="X806">
        <v>1</v>
      </c>
      <c r="Z806">
        <v>0</v>
      </c>
      <c r="AA806">
        <v>9</v>
      </c>
      <c r="AB806">
        <v>3</v>
      </c>
      <c r="AC806">
        <v>0</v>
      </c>
      <c r="AD806">
        <v>10</v>
      </c>
      <c r="AE806">
        <v>0</v>
      </c>
      <c r="AF806">
        <v>3</v>
      </c>
      <c r="AG806">
        <v>2</v>
      </c>
      <c r="AH806">
        <v>0</v>
      </c>
      <c r="AI806" t="s">
        <v>1709</v>
      </c>
      <c r="AJ806">
        <v>39.335839999999997</v>
      </c>
      <c r="AK806" t="s">
        <v>1710</v>
      </c>
      <c r="AL806">
        <v>-77.047548000000006</v>
      </c>
      <c r="AM806">
        <v>100</v>
      </c>
      <c r="AN806">
        <v>8700</v>
      </c>
      <c r="AO806" t="s">
        <v>115</v>
      </c>
      <c r="AP806">
        <v>159</v>
      </c>
      <c r="AQ806">
        <v>105</v>
      </c>
      <c r="AR806">
        <v>-64</v>
      </c>
      <c r="AZ806">
        <v>3614</v>
      </c>
      <c r="BA806">
        <v>1</v>
      </c>
      <c r="BB806" t="str">
        <f t="shared" si="38"/>
        <v xml:space="preserve">N959MJ  </v>
      </c>
      <c r="BC806">
        <v>1</v>
      </c>
      <c r="BE806">
        <v>0</v>
      </c>
      <c r="BF806">
        <v>0</v>
      </c>
      <c r="BG806">
        <v>0</v>
      </c>
      <c r="BH806">
        <v>9000</v>
      </c>
      <c r="BI806">
        <v>300</v>
      </c>
      <c r="BJ806">
        <v>1</v>
      </c>
      <c r="BK806">
        <v>1</v>
      </c>
      <c r="BL806">
        <v>1</v>
      </c>
      <c r="BM806">
        <v>0</v>
      </c>
      <c r="BP806">
        <v>0</v>
      </c>
      <c r="BQ806">
        <v>0</v>
      </c>
      <c r="BX806" t="str">
        <f>"14:03:47.047"</f>
        <v>14:03:47.047</v>
      </c>
      <c r="BY806" t="str">
        <f>"043149955"</f>
        <v>043149955</v>
      </c>
      <c r="CL806">
        <v>0</v>
      </c>
      <c r="CM806">
        <v>2</v>
      </c>
      <c r="CN806">
        <v>0</v>
      </c>
      <c r="CO806">
        <v>2</v>
      </c>
      <c r="CP806">
        <v>0</v>
      </c>
      <c r="CQ806">
        <v>7</v>
      </c>
      <c r="CR806" t="s">
        <v>116</v>
      </c>
      <c r="CS806">
        <v>147</v>
      </c>
      <c r="CT806">
        <v>0</v>
      </c>
      <c r="CU806" t="s">
        <v>117</v>
      </c>
      <c r="CV806" t="s">
        <v>118</v>
      </c>
      <c r="CY806">
        <v>5194769</v>
      </c>
      <c r="CZ806" t="s">
        <v>119</v>
      </c>
    </row>
    <row r="807" spans="1:104" x14ac:dyDescent="0.25">
      <c r="A807" t="str">
        <f>"14:03:48.320"</f>
        <v>14:03:48.320</v>
      </c>
      <c r="B807" t="s">
        <v>108</v>
      </c>
      <c r="C807" t="str">
        <f t="shared" si="37"/>
        <v>ffdfd3c0</v>
      </c>
      <c r="D807" t="s">
        <v>109</v>
      </c>
      <c r="E807">
        <v>4</v>
      </c>
      <c r="F807">
        <v>1004</v>
      </c>
      <c r="G807" t="s">
        <v>110</v>
      </c>
      <c r="J807" t="s">
        <v>111</v>
      </c>
      <c r="K807">
        <v>0</v>
      </c>
      <c r="L807">
        <v>3</v>
      </c>
      <c r="M807">
        <v>0</v>
      </c>
      <c r="N807">
        <v>2</v>
      </c>
      <c r="O807">
        <v>1</v>
      </c>
      <c r="P807">
        <v>0</v>
      </c>
      <c r="Q807">
        <v>0</v>
      </c>
      <c r="R807" t="s">
        <v>112</v>
      </c>
      <c r="S807" t="str">
        <f>"14:03:48.125"</f>
        <v>14:03:48.125</v>
      </c>
      <c r="T807" t="str">
        <f>"14:03:47.625"</f>
        <v>14:03:47.625</v>
      </c>
      <c r="U807" t="str">
        <f t="shared" si="36"/>
        <v>ad5732</v>
      </c>
      <c r="V807">
        <v>0</v>
      </c>
      <c r="W807">
        <v>0</v>
      </c>
      <c r="X807">
        <v>1</v>
      </c>
      <c r="Z807">
        <v>0</v>
      </c>
      <c r="AA807">
        <v>9</v>
      </c>
      <c r="AB807">
        <v>3</v>
      </c>
      <c r="AC807">
        <v>0</v>
      </c>
      <c r="AD807">
        <v>10</v>
      </c>
      <c r="AE807">
        <v>0</v>
      </c>
      <c r="AF807">
        <v>3</v>
      </c>
      <c r="AG807">
        <v>2</v>
      </c>
      <c r="AH807">
        <v>0</v>
      </c>
      <c r="AI807" t="s">
        <v>1711</v>
      </c>
      <c r="AJ807">
        <v>39.336418999999999</v>
      </c>
      <c r="AK807" t="s">
        <v>1712</v>
      </c>
      <c r="AL807">
        <v>-77.046582999999998</v>
      </c>
      <c r="AM807">
        <v>100</v>
      </c>
      <c r="AN807">
        <v>8700</v>
      </c>
      <c r="AO807" t="s">
        <v>115</v>
      </c>
      <c r="AP807">
        <v>154</v>
      </c>
      <c r="AQ807">
        <v>111</v>
      </c>
      <c r="AR807">
        <v>0</v>
      </c>
      <c r="AZ807">
        <v>3614</v>
      </c>
      <c r="BA807">
        <v>1</v>
      </c>
      <c r="BB807" t="str">
        <f t="shared" si="38"/>
        <v xml:space="preserve">N959MJ  </v>
      </c>
      <c r="BC807">
        <v>1</v>
      </c>
      <c r="BE807">
        <v>0</v>
      </c>
      <c r="BF807">
        <v>0</v>
      </c>
      <c r="BG807">
        <v>0</v>
      </c>
      <c r="BH807">
        <v>9000</v>
      </c>
      <c r="BI807">
        <v>300</v>
      </c>
      <c r="BJ807">
        <v>1</v>
      </c>
      <c r="BK807">
        <v>1</v>
      </c>
      <c r="BL807">
        <v>1</v>
      </c>
      <c r="BM807">
        <v>0</v>
      </c>
      <c r="BP807">
        <v>0</v>
      </c>
      <c r="BQ807">
        <v>0</v>
      </c>
      <c r="BX807" t="str">
        <f>"14:03:48.133"</f>
        <v>14:03:48.133</v>
      </c>
      <c r="BY807" t="str">
        <f>"131065545"</f>
        <v>131065545</v>
      </c>
      <c r="CL807">
        <v>0</v>
      </c>
      <c r="CM807">
        <v>2</v>
      </c>
      <c r="CN807">
        <v>0</v>
      </c>
      <c r="CO807">
        <v>2</v>
      </c>
      <c r="CP807">
        <v>0</v>
      </c>
      <c r="CQ807">
        <v>7</v>
      </c>
      <c r="CR807" t="s">
        <v>116</v>
      </c>
      <c r="CS807">
        <v>147</v>
      </c>
      <c r="CT807">
        <v>0</v>
      </c>
      <c r="CU807" t="s">
        <v>117</v>
      </c>
      <c r="CV807" t="s">
        <v>118</v>
      </c>
      <c r="CY807">
        <v>5196639</v>
      </c>
      <c r="CZ807" t="s">
        <v>119</v>
      </c>
    </row>
    <row r="808" spans="1:104" x14ac:dyDescent="0.25">
      <c r="A808" t="str">
        <f>"14:03:49.430"</f>
        <v>14:03:49.430</v>
      </c>
      <c r="B808" t="s">
        <v>108</v>
      </c>
      <c r="C808" t="str">
        <f t="shared" si="37"/>
        <v>ffdfd3c0</v>
      </c>
      <c r="D808" t="s">
        <v>109</v>
      </c>
      <c r="E808">
        <v>4</v>
      </c>
      <c r="F808">
        <v>1004</v>
      </c>
      <c r="G808" t="s">
        <v>110</v>
      </c>
      <c r="J808" t="s">
        <v>111</v>
      </c>
      <c r="K808">
        <v>0</v>
      </c>
      <c r="L808">
        <v>3</v>
      </c>
      <c r="M808">
        <v>0</v>
      </c>
      <c r="N808">
        <v>2</v>
      </c>
      <c r="O808">
        <v>1</v>
      </c>
      <c r="P808">
        <v>0</v>
      </c>
      <c r="Q808">
        <v>0</v>
      </c>
      <c r="R808" t="s">
        <v>112</v>
      </c>
      <c r="S808" t="str">
        <f>"14:03:49.250"</f>
        <v>14:03:49.250</v>
      </c>
      <c r="T808" t="str">
        <f>"14:03:48.750"</f>
        <v>14:03:48.750</v>
      </c>
      <c r="U808" t="str">
        <f t="shared" si="36"/>
        <v>ad5732</v>
      </c>
      <c r="V808">
        <v>0</v>
      </c>
      <c r="W808">
        <v>0</v>
      </c>
      <c r="X808">
        <v>1</v>
      </c>
      <c r="Z808">
        <v>0</v>
      </c>
      <c r="AA808">
        <v>9</v>
      </c>
      <c r="AB808">
        <v>3</v>
      </c>
      <c r="AC808">
        <v>0</v>
      </c>
      <c r="AD808">
        <v>10</v>
      </c>
      <c r="AE808">
        <v>0</v>
      </c>
      <c r="AF808">
        <v>3</v>
      </c>
      <c r="AG808">
        <v>2</v>
      </c>
      <c r="AH808">
        <v>0</v>
      </c>
      <c r="AI808" t="s">
        <v>1713</v>
      </c>
      <c r="AJ808">
        <v>39.337020000000003</v>
      </c>
      <c r="AK808" t="s">
        <v>1714</v>
      </c>
      <c r="AL808">
        <v>-77.045596000000003</v>
      </c>
      <c r="AM808">
        <v>100</v>
      </c>
      <c r="AN808">
        <v>8700</v>
      </c>
      <c r="AO808" t="s">
        <v>115</v>
      </c>
      <c r="AP808">
        <v>150</v>
      </c>
      <c r="AQ808">
        <v>116</v>
      </c>
      <c r="AR808">
        <v>128</v>
      </c>
      <c r="AZ808">
        <v>3614</v>
      </c>
      <c r="BA808">
        <v>1</v>
      </c>
      <c r="BB808" t="str">
        <f t="shared" si="38"/>
        <v xml:space="preserve">N959MJ  </v>
      </c>
      <c r="BC808">
        <v>1</v>
      </c>
      <c r="BE808">
        <v>0</v>
      </c>
      <c r="BF808">
        <v>0</v>
      </c>
      <c r="BG808">
        <v>0</v>
      </c>
      <c r="BH808">
        <v>9000</v>
      </c>
      <c r="BI808">
        <v>300</v>
      </c>
      <c r="BJ808">
        <v>1</v>
      </c>
      <c r="BK808">
        <v>1</v>
      </c>
      <c r="BL808">
        <v>1</v>
      </c>
      <c r="BM808">
        <v>0</v>
      </c>
      <c r="BP808">
        <v>0</v>
      </c>
      <c r="BQ808">
        <v>0</v>
      </c>
      <c r="BX808" t="str">
        <f>"14:03:49.250"</f>
        <v>14:03:49.250</v>
      </c>
      <c r="BY808" t="str">
        <f>"250111264"</f>
        <v>250111264</v>
      </c>
      <c r="CL808">
        <v>0</v>
      </c>
      <c r="CM808">
        <v>2</v>
      </c>
      <c r="CN808">
        <v>0</v>
      </c>
      <c r="CO808">
        <v>2</v>
      </c>
      <c r="CP808">
        <v>0</v>
      </c>
      <c r="CQ808">
        <v>7</v>
      </c>
      <c r="CR808" t="s">
        <v>116</v>
      </c>
      <c r="CS808">
        <v>147</v>
      </c>
      <c r="CT808">
        <v>0</v>
      </c>
      <c r="CU808" t="s">
        <v>117</v>
      </c>
      <c r="CV808" t="s">
        <v>118</v>
      </c>
      <c r="CY808">
        <v>5198589</v>
      </c>
      <c r="CZ808" t="s">
        <v>119</v>
      </c>
    </row>
    <row r="809" spans="1:104" x14ac:dyDescent="0.25">
      <c r="A809" t="str">
        <f>"14:03:50.391"</f>
        <v>14:03:50.391</v>
      </c>
      <c r="B809" t="s">
        <v>108</v>
      </c>
      <c r="C809" t="str">
        <f t="shared" si="37"/>
        <v>ffdfd3c0</v>
      </c>
      <c r="D809" t="s">
        <v>109</v>
      </c>
      <c r="E809">
        <v>4</v>
      </c>
      <c r="F809">
        <v>1004</v>
      </c>
      <c r="G809" t="s">
        <v>110</v>
      </c>
      <c r="J809" t="s">
        <v>111</v>
      </c>
      <c r="K809">
        <v>0</v>
      </c>
      <c r="L809">
        <v>3</v>
      </c>
      <c r="M809">
        <v>0</v>
      </c>
      <c r="N809">
        <v>2</v>
      </c>
      <c r="O809">
        <v>1</v>
      </c>
      <c r="P809">
        <v>0</v>
      </c>
      <c r="Q809">
        <v>0</v>
      </c>
      <c r="R809" t="s">
        <v>112</v>
      </c>
      <c r="S809" t="str">
        <f>"14:03:50.227"</f>
        <v>14:03:50.227</v>
      </c>
      <c r="T809" t="str">
        <f>"14:03:49.828"</f>
        <v>14:03:49.828</v>
      </c>
      <c r="U809" t="str">
        <f t="shared" si="36"/>
        <v>ad5732</v>
      </c>
      <c r="V809">
        <v>0</v>
      </c>
      <c r="W809">
        <v>0</v>
      </c>
      <c r="X809">
        <v>1</v>
      </c>
      <c r="Z809">
        <v>0</v>
      </c>
      <c r="AA809">
        <v>9</v>
      </c>
      <c r="AB809">
        <v>3</v>
      </c>
      <c r="AC809">
        <v>0</v>
      </c>
      <c r="AD809">
        <v>10</v>
      </c>
      <c r="AE809">
        <v>0</v>
      </c>
      <c r="AF809">
        <v>3</v>
      </c>
      <c r="AG809">
        <v>2</v>
      </c>
      <c r="AH809">
        <v>0</v>
      </c>
      <c r="AI809" t="s">
        <v>1715</v>
      </c>
      <c r="AJ809">
        <v>39.337578000000001</v>
      </c>
      <c r="AK809" t="s">
        <v>1716</v>
      </c>
      <c r="AL809">
        <v>-77.044736999999998</v>
      </c>
      <c r="AM809">
        <v>100</v>
      </c>
      <c r="AN809">
        <v>8700</v>
      </c>
      <c r="AO809" t="s">
        <v>115</v>
      </c>
      <c r="AP809">
        <v>146</v>
      </c>
      <c r="AQ809">
        <v>121</v>
      </c>
      <c r="AR809">
        <v>256</v>
      </c>
      <c r="AZ809">
        <v>3614</v>
      </c>
      <c r="BA809">
        <v>1</v>
      </c>
      <c r="BB809" t="str">
        <f t="shared" si="38"/>
        <v xml:space="preserve">N959MJ  </v>
      </c>
      <c r="BC809">
        <v>1</v>
      </c>
      <c r="BE809">
        <v>0</v>
      </c>
      <c r="BF809">
        <v>0</v>
      </c>
      <c r="BG809">
        <v>0</v>
      </c>
      <c r="BH809">
        <v>9000</v>
      </c>
      <c r="BI809">
        <v>300</v>
      </c>
      <c r="BJ809">
        <v>1</v>
      </c>
      <c r="BK809">
        <v>1</v>
      </c>
      <c r="BL809">
        <v>1</v>
      </c>
      <c r="BM809">
        <v>0</v>
      </c>
      <c r="BP809">
        <v>0</v>
      </c>
      <c r="BQ809">
        <v>0</v>
      </c>
      <c r="BX809" t="str">
        <f>"14:03:50.234"</f>
        <v>14:03:50.234</v>
      </c>
      <c r="BY809" t="str">
        <f>"233167537"</f>
        <v>233167537</v>
      </c>
      <c r="CL809">
        <v>0</v>
      </c>
      <c r="CM809">
        <v>2</v>
      </c>
      <c r="CN809">
        <v>0</v>
      </c>
      <c r="CO809">
        <v>2</v>
      </c>
      <c r="CP809">
        <v>0</v>
      </c>
      <c r="CQ809">
        <v>7</v>
      </c>
      <c r="CR809" t="s">
        <v>116</v>
      </c>
      <c r="CS809">
        <v>147</v>
      </c>
      <c r="CT809">
        <v>0</v>
      </c>
      <c r="CU809" t="s">
        <v>117</v>
      </c>
      <c r="CV809" t="s">
        <v>118</v>
      </c>
      <c r="CY809">
        <v>5200253</v>
      </c>
      <c r="CZ809" t="s">
        <v>119</v>
      </c>
    </row>
    <row r="810" spans="1:104" x14ac:dyDescent="0.25">
      <c r="A810" t="str">
        <f>"14:03:51.602"</f>
        <v>14:03:51.602</v>
      </c>
      <c r="B810" t="s">
        <v>108</v>
      </c>
      <c r="C810" t="str">
        <f t="shared" si="37"/>
        <v>ffdfd3c0</v>
      </c>
      <c r="D810" t="s">
        <v>109</v>
      </c>
      <c r="E810">
        <v>4</v>
      </c>
      <c r="F810">
        <v>1004</v>
      </c>
      <c r="G810" t="s">
        <v>110</v>
      </c>
      <c r="J810" t="s">
        <v>111</v>
      </c>
      <c r="K810">
        <v>0</v>
      </c>
      <c r="L810">
        <v>3</v>
      </c>
      <c r="M810">
        <v>0</v>
      </c>
      <c r="N810">
        <v>2</v>
      </c>
      <c r="O810">
        <v>1</v>
      </c>
      <c r="P810">
        <v>0</v>
      </c>
      <c r="Q810">
        <v>0</v>
      </c>
      <c r="R810" t="s">
        <v>112</v>
      </c>
      <c r="S810" t="str">
        <f>"14:03:51.398"</f>
        <v>14:03:51.398</v>
      </c>
      <c r="T810" t="str">
        <f>"14:03:50.898"</f>
        <v>14:03:50.898</v>
      </c>
      <c r="U810" t="str">
        <f t="shared" si="36"/>
        <v>ad5732</v>
      </c>
      <c r="V810">
        <v>0</v>
      </c>
      <c r="W810">
        <v>0</v>
      </c>
      <c r="X810">
        <v>1</v>
      </c>
      <c r="Z810">
        <v>0</v>
      </c>
      <c r="AA810">
        <v>9</v>
      </c>
      <c r="AB810">
        <v>3</v>
      </c>
      <c r="AC810">
        <v>0</v>
      </c>
      <c r="AD810">
        <v>10</v>
      </c>
      <c r="AE810">
        <v>0</v>
      </c>
      <c r="AF810">
        <v>3</v>
      </c>
      <c r="AG810">
        <v>2</v>
      </c>
      <c r="AH810">
        <v>0</v>
      </c>
      <c r="AI810" t="s">
        <v>1717</v>
      </c>
      <c r="AJ810">
        <v>39.338264000000002</v>
      </c>
      <c r="AK810" t="s">
        <v>1718</v>
      </c>
      <c r="AL810">
        <v>-77.043772000000004</v>
      </c>
      <c r="AM810">
        <v>100</v>
      </c>
      <c r="AN810">
        <v>8700</v>
      </c>
      <c r="AO810" t="s">
        <v>115</v>
      </c>
      <c r="AP810">
        <v>140</v>
      </c>
      <c r="AQ810">
        <v>126</v>
      </c>
      <c r="AR810">
        <v>384</v>
      </c>
      <c r="AZ810">
        <v>3614</v>
      </c>
      <c r="BA810">
        <v>1</v>
      </c>
      <c r="BB810" t="str">
        <f t="shared" si="38"/>
        <v xml:space="preserve">N959MJ  </v>
      </c>
      <c r="BC810">
        <v>1</v>
      </c>
      <c r="BE810">
        <v>0</v>
      </c>
      <c r="BF810">
        <v>0</v>
      </c>
      <c r="BG810">
        <v>0</v>
      </c>
      <c r="BH810">
        <v>9025</v>
      </c>
      <c r="BI810">
        <v>325</v>
      </c>
      <c r="BJ810">
        <v>1</v>
      </c>
      <c r="BK810">
        <v>1</v>
      </c>
      <c r="BL810">
        <v>1</v>
      </c>
      <c r="BM810">
        <v>0</v>
      </c>
      <c r="BP810">
        <v>0</v>
      </c>
      <c r="BQ810">
        <v>0</v>
      </c>
      <c r="BX810" t="str">
        <f>"14:03:51.398"</f>
        <v>14:03:51.398</v>
      </c>
      <c r="BY810" t="str">
        <f>"401566719"</f>
        <v>401566719</v>
      </c>
      <c r="CL810">
        <v>0</v>
      </c>
      <c r="CM810">
        <v>2</v>
      </c>
      <c r="CN810">
        <v>0</v>
      </c>
      <c r="CO810">
        <v>2</v>
      </c>
      <c r="CP810">
        <v>0</v>
      </c>
      <c r="CQ810">
        <v>5</v>
      </c>
      <c r="CR810" t="s">
        <v>116</v>
      </c>
      <c r="CS810">
        <v>373</v>
      </c>
      <c r="CT810">
        <v>3</v>
      </c>
      <c r="CU810" t="s">
        <v>224</v>
      </c>
      <c r="CV810" t="s">
        <v>225</v>
      </c>
      <c r="CY810">
        <v>2795241</v>
      </c>
      <c r="CZ810" t="s">
        <v>119</v>
      </c>
    </row>
    <row r="811" spans="1:104" x14ac:dyDescent="0.25">
      <c r="A811" t="str">
        <f>"14:03:52.508"</f>
        <v>14:03:52.508</v>
      </c>
      <c r="B811" t="s">
        <v>108</v>
      </c>
      <c r="C811" t="str">
        <f t="shared" si="37"/>
        <v>ffdfd3c0</v>
      </c>
      <c r="D811" t="s">
        <v>109</v>
      </c>
      <c r="E811">
        <v>4</v>
      </c>
      <c r="F811">
        <v>1004</v>
      </c>
      <c r="G811" t="s">
        <v>110</v>
      </c>
      <c r="J811" t="s">
        <v>111</v>
      </c>
      <c r="K811">
        <v>0</v>
      </c>
      <c r="L811">
        <v>3</v>
      </c>
      <c r="M811">
        <v>0</v>
      </c>
      <c r="N811">
        <v>2</v>
      </c>
      <c r="O811">
        <v>1</v>
      </c>
      <c r="P811">
        <v>0</v>
      </c>
      <c r="Q811">
        <v>0</v>
      </c>
      <c r="R811" t="s">
        <v>112</v>
      </c>
      <c r="S811" t="str">
        <f>"14:03:52.352"</f>
        <v>14:03:52.352</v>
      </c>
      <c r="T811" t="str">
        <f>"14:03:51.953"</f>
        <v>14:03:51.953</v>
      </c>
      <c r="U811" t="str">
        <f t="shared" si="36"/>
        <v>ad5732</v>
      </c>
      <c r="V811">
        <v>0</v>
      </c>
      <c r="W811">
        <v>0</v>
      </c>
      <c r="X811">
        <v>1</v>
      </c>
      <c r="Z811">
        <v>0</v>
      </c>
      <c r="AA811">
        <v>9</v>
      </c>
      <c r="AB811">
        <v>3</v>
      </c>
      <c r="AC811">
        <v>0</v>
      </c>
      <c r="AD811">
        <v>10</v>
      </c>
      <c r="AE811">
        <v>0</v>
      </c>
      <c r="AF811">
        <v>3</v>
      </c>
      <c r="AG811">
        <v>2</v>
      </c>
      <c r="AH811">
        <v>0</v>
      </c>
      <c r="AI811" t="s">
        <v>1719</v>
      </c>
      <c r="AJ811">
        <v>39.338844000000002</v>
      </c>
      <c r="AK811" t="s">
        <v>1720</v>
      </c>
      <c r="AL811">
        <v>-77.042998999999995</v>
      </c>
      <c r="AM811">
        <v>100</v>
      </c>
      <c r="AN811">
        <v>8700</v>
      </c>
      <c r="AO811" t="s">
        <v>115</v>
      </c>
      <c r="AP811">
        <v>136</v>
      </c>
      <c r="AQ811">
        <v>129</v>
      </c>
      <c r="AR811">
        <v>448</v>
      </c>
      <c r="AZ811">
        <v>3614</v>
      </c>
      <c r="BA811">
        <v>1</v>
      </c>
      <c r="BB811" t="str">
        <f t="shared" si="38"/>
        <v xml:space="preserve">N959MJ  </v>
      </c>
      <c r="BC811">
        <v>1</v>
      </c>
      <c r="BE811">
        <v>0</v>
      </c>
      <c r="BF811">
        <v>0</v>
      </c>
      <c r="BG811">
        <v>0</v>
      </c>
      <c r="BH811">
        <v>9025</v>
      </c>
      <c r="BI811">
        <v>325</v>
      </c>
      <c r="BJ811">
        <v>1</v>
      </c>
      <c r="BK811">
        <v>1</v>
      </c>
      <c r="BL811">
        <v>1</v>
      </c>
      <c r="BM811">
        <v>0</v>
      </c>
      <c r="BP811">
        <v>0</v>
      </c>
      <c r="BQ811">
        <v>0</v>
      </c>
      <c r="BX811" t="str">
        <f>"14:03:52.352"</f>
        <v>14:03:52.352</v>
      </c>
      <c r="BY811" t="str">
        <f>"354930707"</f>
        <v>354930707</v>
      </c>
      <c r="CL811">
        <v>0</v>
      </c>
      <c r="CM811">
        <v>2</v>
      </c>
      <c r="CN811">
        <v>0</v>
      </c>
      <c r="CO811">
        <v>2</v>
      </c>
      <c r="CP811">
        <v>0</v>
      </c>
      <c r="CQ811">
        <v>7</v>
      </c>
      <c r="CR811" t="s">
        <v>116</v>
      </c>
      <c r="CS811">
        <v>147</v>
      </c>
      <c r="CT811">
        <v>0</v>
      </c>
      <c r="CU811" t="s">
        <v>117</v>
      </c>
      <c r="CV811" t="s">
        <v>118</v>
      </c>
      <c r="CY811">
        <v>5203692</v>
      </c>
      <c r="CZ811" t="s">
        <v>119</v>
      </c>
    </row>
    <row r="812" spans="1:104" x14ac:dyDescent="0.25">
      <c r="A812" t="str">
        <f>"14:03:53.414"</f>
        <v>14:03:53.414</v>
      </c>
      <c r="B812" t="s">
        <v>108</v>
      </c>
      <c r="C812" t="str">
        <f t="shared" si="37"/>
        <v>ffdfd3c0</v>
      </c>
      <c r="D812" t="s">
        <v>109</v>
      </c>
      <c r="E812">
        <v>4</v>
      </c>
      <c r="F812">
        <v>1004</v>
      </c>
      <c r="G812" t="s">
        <v>110</v>
      </c>
      <c r="J812" t="s">
        <v>111</v>
      </c>
      <c r="K812">
        <v>0</v>
      </c>
      <c r="L812">
        <v>3</v>
      </c>
      <c r="M812">
        <v>0</v>
      </c>
      <c r="N812">
        <v>2</v>
      </c>
      <c r="O812">
        <v>1</v>
      </c>
      <c r="P812">
        <v>0</v>
      </c>
      <c r="Q812">
        <v>0</v>
      </c>
      <c r="R812" t="s">
        <v>112</v>
      </c>
      <c r="S812" t="str">
        <f>"14:03:53.211"</f>
        <v>14:03:53.211</v>
      </c>
      <c r="T812" t="str">
        <f>"14:03:52.813"</f>
        <v>14:03:52.813</v>
      </c>
      <c r="U812" t="str">
        <f t="shared" si="36"/>
        <v>ad5732</v>
      </c>
      <c r="V812">
        <v>0</v>
      </c>
      <c r="W812">
        <v>0</v>
      </c>
      <c r="X812">
        <v>1</v>
      </c>
      <c r="Z812">
        <v>0</v>
      </c>
      <c r="AA812">
        <v>9</v>
      </c>
      <c r="AB812">
        <v>3</v>
      </c>
      <c r="AC812">
        <v>0</v>
      </c>
      <c r="AD812">
        <v>10</v>
      </c>
      <c r="AE812">
        <v>0</v>
      </c>
      <c r="AF812">
        <v>3</v>
      </c>
      <c r="AG812">
        <v>2</v>
      </c>
      <c r="AH812">
        <v>0</v>
      </c>
      <c r="AI812" t="s">
        <v>1721</v>
      </c>
      <c r="AJ812">
        <v>39.339379999999998</v>
      </c>
      <c r="AK812" t="s">
        <v>1722</v>
      </c>
      <c r="AL812">
        <v>-77.042291000000006</v>
      </c>
      <c r="AM812">
        <v>100</v>
      </c>
      <c r="AN812">
        <v>8700</v>
      </c>
      <c r="AO812" t="s">
        <v>115</v>
      </c>
      <c r="AP812">
        <v>132</v>
      </c>
      <c r="AQ812">
        <v>132</v>
      </c>
      <c r="AR812">
        <v>448</v>
      </c>
      <c r="AZ812">
        <v>3614</v>
      </c>
      <c r="BA812">
        <v>1</v>
      </c>
      <c r="BB812" t="str">
        <f t="shared" si="38"/>
        <v xml:space="preserve">N959MJ  </v>
      </c>
      <c r="BC812">
        <v>1</v>
      </c>
      <c r="BE812">
        <v>0</v>
      </c>
      <c r="BF812">
        <v>0</v>
      </c>
      <c r="BG812">
        <v>0</v>
      </c>
      <c r="BH812">
        <v>9025</v>
      </c>
      <c r="BI812">
        <v>325</v>
      </c>
      <c r="BJ812">
        <v>1</v>
      </c>
      <c r="BK812">
        <v>1</v>
      </c>
      <c r="BL812">
        <v>1</v>
      </c>
      <c r="BM812">
        <v>0</v>
      </c>
      <c r="BP812">
        <v>0</v>
      </c>
      <c r="BQ812">
        <v>0</v>
      </c>
      <c r="BX812" t="str">
        <f>"14:03:53.219"</f>
        <v>14:03:53.219</v>
      </c>
      <c r="BY812" t="str">
        <f>"216743340"</f>
        <v>216743340</v>
      </c>
      <c r="CL812">
        <v>0</v>
      </c>
      <c r="CM812">
        <v>2</v>
      </c>
      <c r="CN812">
        <v>0</v>
      </c>
      <c r="CO812">
        <v>2</v>
      </c>
      <c r="CP812">
        <v>0</v>
      </c>
      <c r="CQ812">
        <v>7</v>
      </c>
      <c r="CR812" t="s">
        <v>116</v>
      </c>
      <c r="CS812">
        <v>147</v>
      </c>
      <c r="CT812">
        <v>0</v>
      </c>
      <c r="CU812" t="s">
        <v>117</v>
      </c>
      <c r="CV812" t="s">
        <v>118</v>
      </c>
      <c r="CY812">
        <v>5205239</v>
      </c>
      <c r="CZ812" t="s">
        <v>119</v>
      </c>
    </row>
    <row r="813" spans="1:104" x14ac:dyDescent="0.25">
      <c r="A813" t="str">
        <f>"14:03:54.375"</f>
        <v>14:03:54.375</v>
      </c>
      <c r="B813" t="s">
        <v>108</v>
      </c>
      <c r="C813" t="str">
        <f t="shared" si="37"/>
        <v>ffdfd3c0</v>
      </c>
      <c r="D813" t="s">
        <v>109</v>
      </c>
      <c r="E813">
        <v>4</v>
      </c>
      <c r="F813">
        <v>1004</v>
      </c>
      <c r="G813" t="s">
        <v>110</v>
      </c>
      <c r="J813" t="s">
        <v>111</v>
      </c>
      <c r="K813">
        <v>0</v>
      </c>
      <c r="L813">
        <v>3</v>
      </c>
      <c r="M813">
        <v>0</v>
      </c>
      <c r="N813">
        <v>2</v>
      </c>
      <c r="O813">
        <v>1</v>
      </c>
      <c r="P813">
        <v>0</v>
      </c>
      <c r="Q813">
        <v>0</v>
      </c>
      <c r="R813" t="s">
        <v>112</v>
      </c>
      <c r="S813" t="str">
        <f>"14:03:54.195"</f>
        <v>14:03:54.195</v>
      </c>
      <c r="T813" t="str">
        <f>"14:03:53.797"</f>
        <v>14:03:53.797</v>
      </c>
      <c r="U813" t="str">
        <f t="shared" si="36"/>
        <v>ad5732</v>
      </c>
      <c r="V813">
        <v>0</v>
      </c>
      <c r="W813">
        <v>0</v>
      </c>
      <c r="X813">
        <v>1</v>
      </c>
      <c r="Z813">
        <v>0</v>
      </c>
      <c r="AA813">
        <v>9</v>
      </c>
      <c r="AB813">
        <v>3</v>
      </c>
      <c r="AC813">
        <v>0</v>
      </c>
      <c r="AD813">
        <v>10</v>
      </c>
      <c r="AE813">
        <v>0</v>
      </c>
      <c r="AF813">
        <v>3</v>
      </c>
      <c r="AG813">
        <v>2</v>
      </c>
      <c r="AH813">
        <v>0</v>
      </c>
      <c r="AI813" t="s">
        <v>1723</v>
      </c>
      <c r="AJ813">
        <v>39.340045000000003</v>
      </c>
      <c r="AK813" t="s">
        <v>1724</v>
      </c>
      <c r="AL813">
        <v>-77.041561999999999</v>
      </c>
      <c r="AM813">
        <v>100</v>
      </c>
      <c r="AN813">
        <v>8700</v>
      </c>
      <c r="AO813" t="s">
        <v>115</v>
      </c>
      <c r="AP813">
        <v>128</v>
      </c>
      <c r="AQ813">
        <v>136</v>
      </c>
      <c r="AR813">
        <v>384</v>
      </c>
      <c r="AZ813">
        <v>3614</v>
      </c>
      <c r="BA813">
        <v>1</v>
      </c>
      <c r="BB813" t="str">
        <f t="shared" si="38"/>
        <v xml:space="preserve">N959MJ  </v>
      </c>
      <c r="BC813">
        <v>1</v>
      </c>
      <c r="BE813">
        <v>0</v>
      </c>
      <c r="BF813">
        <v>0</v>
      </c>
      <c r="BG813">
        <v>0</v>
      </c>
      <c r="BH813">
        <v>9025</v>
      </c>
      <c r="BI813">
        <v>325</v>
      </c>
      <c r="BJ813">
        <v>1</v>
      </c>
      <c r="BK813">
        <v>1</v>
      </c>
      <c r="BL813">
        <v>1</v>
      </c>
      <c r="BM813">
        <v>0</v>
      </c>
      <c r="BP813">
        <v>0</v>
      </c>
      <c r="BQ813">
        <v>0</v>
      </c>
      <c r="BX813" t="str">
        <f>"14:03:54.203"</f>
        <v>14:03:54.203</v>
      </c>
      <c r="BY813" t="str">
        <f>"201438111"</f>
        <v>201438111</v>
      </c>
      <c r="CL813">
        <v>0</v>
      </c>
      <c r="CM813">
        <v>2</v>
      </c>
      <c r="CN813">
        <v>0</v>
      </c>
      <c r="CO813">
        <v>2</v>
      </c>
      <c r="CP813">
        <v>0</v>
      </c>
      <c r="CQ813">
        <v>7</v>
      </c>
      <c r="CR813" t="s">
        <v>116</v>
      </c>
      <c r="CS813">
        <v>147</v>
      </c>
      <c r="CT813">
        <v>0</v>
      </c>
      <c r="CU813" t="s">
        <v>117</v>
      </c>
      <c r="CV813" t="s">
        <v>118</v>
      </c>
      <c r="CY813">
        <v>5206966</v>
      </c>
      <c r="CZ813" t="s">
        <v>119</v>
      </c>
    </row>
    <row r="814" spans="1:104" x14ac:dyDescent="0.25">
      <c r="A814" t="str">
        <f>"14:03:55.383"</f>
        <v>14:03:55.383</v>
      </c>
      <c r="B814" t="s">
        <v>108</v>
      </c>
      <c r="C814" t="str">
        <f t="shared" si="37"/>
        <v>ffdfd3c0</v>
      </c>
      <c r="D814" t="s">
        <v>109</v>
      </c>
      <c r="E814">
        <v>4</v>
      </c>
      <c r="F814">
        <v>1004</v>
      </c>
      <c r="G814" t="s">
        <v>110</v>
      </c>
      <c r="J814" t="s">
        <v>111</v>
      </c>
      <c r="K814">
        <v>0</v>
      </c>
      <c r="L814">
        <v>3</v>
      </c>
      <c r="M814">
        <v>0</v>
      </c>
      <c r="N814">
        <v>2</v>
      </c>
      <c r="O814">
        <v>1</v>
      </c>
      <c r="P814">
        <v>0</v>
      </c>
      <c r="Q814">
        <v>0</v>
      </c>
      <c r="R814" t="s">
        <v>112</v>
      </c>
      <c r="S814" t="str">
        <f>"14:03:55.188"</f>
        <v>14:03:55.188</v>
      </c>
      <c r="T814" t="str">
        <f>"14:03:54.688"</f>
        <v>14:03:54.688</v>
      </c>
      <c r="U814" t="str">
        <f t="shared" si="36"/>
        <v>ad5732</v>
      </c>
      <c r="V814">
        <v>0</v>
      </c>
      <c r="W814">
        <v>0</v>
      </c>
      <c r="X814">
        <v>1</v>
      </c>
      <c r="Z814">
        <v>0</v>
      </c>
      <c r="AA814">
        <v>9</v>
      </c>
      <c r="AB814">
        <v>3</v>
      </c>
      <c r="AC814">
        <v>0</v>
      </c>
      <c r="AD814">
        <v>10</v>
      </c>
      <c r="AE814">
        <v>0</v>
      </c>
      <c r="AF814">
        <v>3</v>
      </c>
      <c r="AG814">
        <v>2</v>
      </c>
      <c r="AH814">
        <v>0</v>
      </c>
      <c r="AI814" t="s">
        <v>1725</v>
      </c>
      <c r="AJ814">
        <v>39.340688999999998</v>
      </c>
      <c r="AK814" t="s">
        <v>1726</v>
      </c>
      <c r="AL814">
        <v>-77.040831999999995</v>
      </c>
      <c r="AM814">
        <v>100</v>
      </c>
      <c r="AN814">
        <v>8700</v>
      </c>
      <c r="AO814" t="s">
        <v>115</v>
      </c>
      <c r="AP814">
        <v>123</v>
      </c>
      <c r="AQ814">
        <v>139</v>
      </c>
      <c r="AR814">
        <v>320</v>
      </c>
      <c r="AZ814">
        <v>3614</v>
      </c>
      <c r="BA814">
        <v>1</v>
      </c>
      <c r="BB814" t="str">
        <f t="shared" si="38"/>
        <v xml:space="preserve">N959MJ  </v>
      </c>
      <c r="BC814">
        <v>1</v>
      </c>
      <c r="BE814">
        <v>0</v>
      </c>
      <c r="BF814">
        <v>0</v>
      </c>
      <c r="BG814">
        <v>0</v>
      </c>
      <c r="BH814">
        <v>9050</v>
      </c>
      <c r="BI814">
        <v>350</v>
      </c>
      <c r="BJ814">
        <v>1</v>
      </c>
      <c r="BK814">
        <v>1</v>
      </c>
      <c r="BL814">
        <v>1</v>
      </c>
      <c r="BM814">
        <v>0</v>
      </c>
      <c r="BP814">
        <v>0</v>
      </c>
      <c r="BQ814">
        <v>0</v>
      </c>
      <c r="BX814" t="str">
        <f>"14:03:55.195"</f>
        <v>14:03:55.195</v>
      </c>
      <c r="BY814" t="str">
        <f>"194324914"</f>
        <v>194324914</v>
      </c>
      <c r="CL814">
        <v>0</v>
      </c>
      <c r="CM814">
        <v>2</v>
      </c>
      <c r="CN814">
        <v>0</v>
      </c>
      <c r="CO814">
        <v>2</v>
      </c>
      <c r="CP814">
        <v>0</v>
      </c>
      <c r="CQ814">
        <v>7</v>
      </c>
      <c r="CR814" t="s">
        <v>116</v>
      </c>
      <c r="CS814">
        <v>147</v>
      </c>
      <c r="CT814">
        <v>0</v>
      </c>
      <c r="CU814" t="s">
        <v>117</v>
      </c>
      <c r="CV814" t="s">
        <v>118</v>
      </c>
      <c r="CY814">
        <v>5208635</v>
      </c>
      <c r="CZ814" t="s">
        <v>119</v>
      </c>
    </row>
    <row r="815" spans="1:104" x14ac:dyDescent="0.25">
      <c r="A815" t="str">
        <f>"14:03:56.344"</f>
        <v>14:03:56.344</v>
      </c>
      <c r="B815" t="s">
        <v>108</v>
      </c>
      <c r="C815" t="str">
        <f t="shared" si="37"/>
        <v>ffdfd3c0</v>
      </c>
      <c r="D815" t="s">
        <v>109</v>
      </c>
      <c r="E815">
        <v>4</v>
      </c>
      <c r="F815">
        <v>1004</v>
      </c>
      <c r="G815" t="s">
        <v>110</v>
      </c>
      <c r="J815" t="s">
        <v>111</v>
      </c>
      <c r="K815">
        <v>0</v>
      </c>
      <c r="L815">
        <v>3</v>
      </c>
      <c r="M815">
        <v>0</v>
      </c>
      <c r="N815">
        <v>2</v>
      </c>
      <c r="O815">
        <v>1</v>
      </c>
      <c r="P815">
        <v>0</v>
      </c>
      <c r="Q815">
        <v>0</v>
      </c>
      <c r="R815" t="s">
        <v>112</v>
      </c>
      <c r="S815" t="str">
        <f>"14:03:56.188"</f>
        <v>14:03:56.188</v>
      </c>
      <c r="T815" t="str">
        <f>"14:03:55.789"</f>
        <v>14:03:55.789</v>
      </c>
      <c r="U815" t="str">
        <f t="shared" si="36"/>
        <v>ad5732</v>
      </c>
      <c r="V815">
        <v>0</v>
      </c>
      <c r="W815">
        <v>0</v>
      </c>
      <c r="X815">
        <v>1</v>
      </c>
      <c r="Z815">
        <v>0</v>
      </c>
      <c r="AA815">
        <v>9</v>
      </c>
      <c r="AB815">
        <v>3</v>
      </c>
      <c r="AC815">
        <v>0</v>
      </c>
      <c r="AD815">
        <v>10</v>
      </c>
      <c r="AE815">
        <v>0</v>
      </c>
      <c r="AF815">
        <v>3</v>
      </c>
      <c r="AG815">
        <v>2</v>
      </c>
      <c r="AH815">
        <v>0</v>
      </c>
      <c r="AI815" t="s">
        <v>1727</v>
      </c>
      <c r="AJ815">
        <v>39.341332999999999</v>
      </c>
      <c r="AK815" t="s">
        <v>1728</v>
      </c>
      <c r="AL815">
        <v>-77.040102000000005</v>
      </c>
      <c r="AM815">
        <v>100</v>
      </c>
      <c r="AN815">
        <v>8700</v>
      </c>
      <c r="AO815" t="s">
        <v>115</v>
      </c>
      <c r="AP815">
        <v>119</v>
      </c>
      <c r="AQ815">
        <v>142</v>
      </c>
      <c r="AR815">
        <v>192</v>
      </c>
      <c r="AZ815">
        <v>3614</v>
      </c>
      <c r="BA815">
        <v>1</v>
      </c>
      <c r="BB815" t="str">
        <f t="shared" si="38"/>
        <v xml:space="preserve">N959MJ  </v>
      </c>
      <c r="BC815">
        <v>1</v>
      </c>
      <c r="BE815">
        <v>0</v>
      </c>
      <c r="BF815">
        <v>0</v>
      </c>
      <c r="BG815">
        <v>0</v>
      </c>
      <c r="BH815">
        <v>9050</v>
      </c>
      <c r="BI815">
        <v>350</v>
      </c>
      <c r="BJ815">
        <v>1</v>
      </c>
      <c r="BK815">
        <v>1</v>
      </c>
      <c r="BL815">
        <v>1</v>
      </c>
      <c r="BM815">
        <v>0</v>
      </c>
      <c r="BP815">
        <v>0</v>
      </c>
      <c r="BQ815">
        <v>0</v>
      </c>
      <c r="BX815" t="str">
        <f>"14:03:56.188"</f>
        <v>14:03:56.188</v>
      </c>
      <c r="BY815" t="str">
        <f>"188850239"</f>
        <v>188850239</v>
      </c>
      <c r="CL815">
        <v>0</v>
      </c>
      <c r="CM815">
        <v>2</v>
      </c>
      <c r="CN815">
        <v>0</v>
      </c>
      <c r="CO815">
        <v>2</v>
      </c>
      <c r="CP815">
        <v>0</v>
      </c>
      <c r="CQ815">
        <v>7</v>
      </c>
      <c r="CR815" t="s">
        <v>116</v>
      </c>
      <c r="CS815">
        <v>147</v>
      </c>
      <c r="CT815">
        <v>0</v>
      </c>
      <c r="CU815" t="s">
        <v>117</v>
      </c>
      <c r="CV815" t="s">
        <v>118</v>
      </c>
      <c r="CY815">
        <v>5210210</v>
      </c>
      <c r="CZ815" t="s">
        <v>119</v>
      </c>
    </row>
    <row r="816" spans="1:104" x14ac:dyDescent="0.25">
      <c r="A816" t="str">
        <f>"14:03:57.352"</f>
        <v>14:03:57.352</v>
      </c>
      <c r="B816" t="s">
        <v>108</v>
      </c>
      <c r="C816" t="str">
        <f t="shared" si="37"/>
        <v>ffdfd3c0</v>
      </c>
      <c r="D816" t="s">
        <v>109</v>
      </c>
      <c r="E816">
        <v>4</v>
      </c>
      <c r="F816">
        <v>1004</v>
      </c>
      <c r="G816" t="s">
        <v>110</v>
      </c>
      <c r="J816" t="s">
        <v>111</v>
      </c>
      <c r="K816">
        <v>0</v>
      </c>
      <c r="L816">
        <v>3</v>
      </c>
      <c r="M816">
        <v>0</v>
      </c>
      <c r="N816">
        <v>2</v>
      </c>
      <c r="O816">
        <v>1</v>
      </c>
      <c r="P816">
        <v>0</v>
      </c>
      <c r="Q816">
        <v>0</v>
      </c>
      <c r="R816" t="s">
        <v>112</v>
      </c>
      <c r="S816" t="str">
        <f>"14:03:57.172"</f>
        <v>14:03:57.172</v>
      </c>
      <c r="T816" t="str">
        <f>"14:03:56.773"</f>
        <v>14:03:56.773</v>
      </c>
      <c r="U816" t="str">
        <f t="shared" si="36"/>
        <v>ad5732</v>
      </c>
      <c r="V816">
        <v>0</v>
      </c>
      <c r="W816">
        <v>0</v>
      </c>
      <c r="X816">
        <v>1</v>
      </c>
      <c r="Z816">
        <v>0</v>
      </c>
      <c r="AA816">
        <v>9</v>
      </c>
      <c r="AB816">
        <v>3</v>
      </c>
      <c r="AC816">
        <v>0</v>
      </c>
      <c r="AD816">
        <v>10</v>
      </c>
      <c r="AE816">
        <v>0</v>
      </c>
      <c r="AF816">
        <v>3</v>
      </c>
      <c r="AG816">
        <v>2</v>
      </c>
      <c r="AH816">
        <v>0</v>
      </c>
      <c r="AI816" t="s">
        <v>1729</v>
      </c>
      <c r="AJ816">
        <v>39.341954999999999</v>
      </c>
      <c r="AK816" t="s">
        <v>1730</v>
      </c>
      <c r="AL816">
        <v>-77.039545000000004</v>
      </c>
      <c r="AM816">
        <v>100</v>
      </c>
      <c r="AN816">
        <v>8700</v>
      </c>
      <c r="AO816" t="s">
        <v>115</v>
      </c>
      <c r="AP816">
        <v>114</v>
      </c>
      <c r="AQ816">
        <v>145</v>
      </c>
      <c r="AR816">
        <v>128</v>
      </c>
      <c r="AZ816">
        <v>3614</v>
      </c>
      <c r="BA816">
        <v>1</v>
      </c>
      <c r="BB816" t="str">
        <f t="shared" si="38"/>
        <v xml:space="preserve">N959MJ  </v>
      </c>
      <c r="BC816">
        <v>1</v>
      </c>
      <c r="BE816">
        <v>0</v>
      </c>
      <c r="BF816">
        <v>0</v>
      </c>
      <c r="BG816">
        <v>0</v>
      </c>
      <c r="BH816">
        <v>9050</v>
      </c>
      <c r="BI816">
        <v>350</v>
      </c>
      <c r="BJ816">
        <v>1</v>
      </c>
      <c r="BK816">
        <v>1</v>
      </c>
      <c r="BL816">
        <v>1</v>
      </c>
      <c r="BM816">
        <v>0</v>
      </c>
      <c r="BP816">
        <v>0</v>
      </c>
      <c r="BQ816">
        <v>0</v>
      </c>
      <c r="BX816" t="str">
        <f>"14:03:57.180"</f>
        <v>14:03:57.180</v>
      </c>
      <c r="BY816" t="str">
        <f>"176821780"</f>
        <v>176821780</v>
      </c>
      <c r="CL816">
        <v>0</v>
      </c>
      <c r="CM816">
        <v>2</v>
      </c>
      <c r="CN816">
        <v>0</v>
      </c>
      <c r="CO816">
        <v>2</v>
      </c>
      <c r="CP816">
        <v>0</v>
      </c>
      <c r="CQ816">
        <v>7</v>
      </c>
      <c r="CR816" t="s">
        <v>116</v>
      </c>
      <c r="CS816">
        <v>147</v>
      </c>
      <c r="CT816">
        <v>0</v>
      </c>
      <c r="CU816" t="s">
        <v>117</v>
      </c>
      <c r="CV816" t="s">
        <v>118</v>
      </c>
      <c r="CY816">
        <v>5211937</v>
      </c>
      <c r="CZ816" t="s">
        <v>119</v>
      </c>
    </row>
    <row r="817" spans="1:104" x14ac:dyDescent="0.25">
      <c r="A817" t="str">
        <f>"14:03:58.313"</f>
        <v>14:03:58.313</v>
      </c>
      <c r="B817" t="s">
        <v>108</v>
      </c>
      <c r="C817" t="str">
        <f t="shared" si="37"/>
        <v>ffdfd3c0</v>
      </c>
      <c r="D817" t="s">
        <v>109</v>
      </c>
      <c r="E817">
        <v>4</v>
      </c>
      <c r="F817">
        <v>1004</v>
      </c>
      <c r="G817" t="s">
        <v>110</v>
      </c>
      <c r="J817" t="s">
        <v>111</v>
      </c>
      <c r="K817">
        <v>0</v>
      </c>
      <c r="L817">
        <v>3</v>
      </c>
      <c r="M817">
        <v>0</v>
      </c>
      <c r="N817">
        <v>2</v>
      </c>
      <c r="O817">
        <v>1</v>
      </c>
      <c r="P817">
        <v>0</v>
      </c>
      <c r="Q817">
        <v>0</v>
      </c>
      <c r="R817" t="s">
        <v>112</v>
      </c>
      <c r="S817" t="str">
        <f>"14:03:58.141"</f>
        <v>14:03:58.141</v>
      </c>
      <c r="T817" t="str">
        <f>"14:03:57.641"</f>
        <v>14:03:57.641</v>
      </c>
      <c r="U817" t="str">
        <f t="shared" si="36"/>
        <v>ad5732</v>
      </c>
      <c r="V817">
        <v>0</v>
      </c>
      <c r="W817">
        <v>0</v>
      </c>
      <c r="X817">
        <v>1</v>
      </c>
      <c r="Z817">
        <v>0</v>
      </c>
      <c r="AA817">
        <v>9</v>
      </c>
      <c r="AB817">
        <v>3</v>
      </c>
      <c r="AC817">
        <v>0</v>
      </c>
      <c r="AD817">
        <v>10</v>
      </c>
      <c r="AE817">
        <v>0</v>
      </c>
      <c r="AF817">
        <v>3</v>
      </c>
      <c r="AG817">
        <v>2</v>
      </c>
      <c r="AH817">
        <v>0</v>
      </c>
      <c r="AI817" t="s">
        <v>1731</v>
      </c>
      <c r="AJ817">
        <v>39.342641999999998</v>
      </c>
      <c r="AK817" t="s">
        <v>1732</v>
      </c>
      <c r="AL817">
        <v>-77.038878999999994</v>
      </c>
      <c r="AM817">
        <v>100</v>
      </c>
      <c r="AN817">
        <v>8700</v>
      </c>
      <c r="AO817" t="s">
        <v>115</v>
      </c>
      <c r="AP817">
        <v>110</v>
      </c>
      <c r="AQ817">
        <v>148</v>
      </c>
      <c r="AR817">
        <v>64</v>
      </c>
      <c r="AZ817">
        <v>3614</v>
      </c>
      <c r="BA817">
        <v>1</v>
      </c>
      <c r="BB817" t="str">
        <f t="shared" si="38"/>
        <v xml:space="preserve">N959MJ  </v>
      </c>
      <c r="BC817">
        <v>1</v>
      </c>
      <c r="BE817">
        <v>0</v>
      </c>
      <c r="BF817">
        <v>0</v>
      </c>
      <c r="BG817">
        <v>0</v>
      </c>
      <c r="BH817">
        <v>9050</v>
      </c>
      <c r="BI817">
        <v>350</v>
      </c>
      <c r="BJ817">
        <v>1</v>
      </c>
      <c r="BK817">
        <v>1</v>
      </c>
      <c r="BL817">
        <v>1</v>
      </c>
      <c r="BM817">
        <v>0</v>
      </c>
      <c r="BP817">
        <v>0</v>
      </c>
      <c r="BQ817">
        <v>0</v>
      </c>
      <c r="BX817" t="str">
        <f>"14:03:58.148"</f>
        <v>14:03:58.148</v>
      </c>
      <c r="BY817" t="str">
        <f>"145132222"</f>
        <v>145132222</v>
      </c>
      <c r="CL817">
        <v>0</v>
      </c>
      <c r="CM817">
        <v>2</v>
      </c>
      <c r="CN817">
        <v>0</v>
      </c>
      <c r="CO817">
        <v>2</v>
      </c>
      <c r="CP817">
        <v>0</v>
      </c>
      <c r="CQ817">
        <v>7</v>
      </c>
      <c r="CR817" t="s">
        <v>116</v>
      </c>
      <c r="CS817">
        <v>147</v>
      </c>
      <c r="CT817">
        <v>0</v>
      </c>
      <c r="CU817" t="s">
        <v>117</v>
      </c>
      <c r="CV817" t="s">
        <v>118</v>
      </c>
      <c r="CY817">
        <v>5213630</v>
      </c>
      <c r="CZ817" t="s">
        <v>119</v>
      </c>
    </row>
    <row r="818" spans="1:104" x14ac:dyDescent="0.25">
      <c r="A818" t="str">
        <f>"14:03:59.477"</f>
        <v>14:03:59.477</v>
      </c>
      <c r="B818" t="s">
        <v>108</v>
      </c>
      <c r="C818" t="str">
        <f t="shared" si="37"/>
        <v>ffdfd3c0</v>
      </c>
      <c r="D818" t="s">
        <v>109</v>
      </c>
      <c r="E818">
        <v>4</v>
      </c>
      <c r="F818">
        <v>1004</v>
      </c>
      <c r="G818" t="s">
        <v>110</v>
      </c>
      <c r="J818" t="s">
        <v>111</v>
      </c>
      <c r="K818">
        <v>0</v>
      </c>
      <c r="L818">
        <v>3</v>
      </c>
      <c r="M818">
        <v>0</v>
      </c>
      <c r="N818">
        <v>2</v>
      </c>
      <c r="O818">
        <v>1</v>
      </c>
      <c r="P818">
        <v>0</v>
      </c>
      <c r="Q818">
        <v>0</v>
      </c>
      <c r="R818" t="s">
        <v>112</v>
      </c>
      <c r="S818" t="str">
        <f>"14:03:59.266"</f>
        <v>14:03:59.266</v>
      </c>
      <c r="T818" t="str">
        <f>"14:03:58.766"</f>
        <v>14:03:58.766</v>
      </c>
      <c r="U818" t="str">
        <f t="shared" si="36"/>
        <v>ad5732</v>
      </c>
      <c r="V818">
        <v>0</v>
      </c>
      <c r="W818">
        <v>0</v>
      </c>
      <c r="X818">
        <v>1</v>
      </c>
      <c r="Z818">
        <v>0</v>
      </c>
      <c r="AA818">
        <v>9</v>
      </c>
      <c r="AB818">
        <v>3</v>
      </c>
      <c r="AC818">
        <v>0</v>
      </c>
      <c r="AD818">
        <v>10</v>
      </c>
      <c r="AE818">
        <v>0</v>
      </c>
      <c r="AF818">
        <v>3</v>
      </c>
      <c r="AG818">
        <v>2</v>
      </c>
      <c r="AH818">
        <v>0</v>
      </c>
      <c r="AI818" t="s">
        <v>1733</v>
      </c>
      <c r="AJ818">
        <v>39.343392999999999</v>
      </c>
      <c r="AK818" t="s">
        <v>1734</v>
      </c>
      <c r="AL818">
        <v>-77.038213999999996</v>
      </c>
      <c r="AM818">
        <v>100</v>
      </c>
      <c r="AN818">
        <v>8700</v>
      </c>
      <c r="AO818" t="s">
        <v>115</v>
      </c>
      <c r="AP818">
        <v>105</v>
      </c>
      <c r="AQ818">
        <v>151</v>
      </c>
      <c r="AR818">
        <v>0</v>
      </c>
      <c r="AZ818">
        <v>3614</v>
      </c>
      <c r="BA818">
        <v>1</v>
      </c>
      <c r="BB818" t="str">
        <f t="shared" si="38"/>
        <v xml:space="preserve">N959MJ  </v>
      </c>
      <c r="BC818">
        <v>1</v>
      </c>
      <c r="BE818">
        <v>0</v>
      </c>
      <c r="BF818">
        <v>0</v>
      </c>
      <c r="BG818">
        <v>0</v>
      </c>
      <c r="BH818">
        <v>9050</v>
      </c>
      <c r="BI818">
        <v>350</v>
      </c>
      <c r="BJ818">
        <v>1</v>
      </c>
      <c r="BK818">
        <v>1</v>
      </c>
      <c r="BL818">
        <v>1</v>
      </c>
      <c r="BM818">
        <v>0</v>
      </c>
      <c r="BP818">
        <v>0</v>
      </c>
      <c r="BQ818">
        <v>0</v>
      </c>
      <c r="BX818" t="str">
        <f>"14:03:59.273"</f>
        <v>14:03:59.273</v>
      </c>
      <c r="BY818" t="str">
        <f>"272370107"</f>
        <v>272370107</v>
      </c>
      <c r="CL818">
        <v>0</v>
      </c>
      <c r="CM818">
        <v>2</v>
      </c>
      <c r="CN818">
        <v>0</v>
      </c>
      <c r="CO818">
        <v>2</v>
      </c>
      <c r="CP818">
        <v>0</v>
      </c>
      <c r="CQ818">
        <v>7</v>
      </c>
      <c r="CR818" t="s">
        <v>116</v>
      </c>
      <c r="CS818">
        <v>147</v>
      </c>
      <c r="CT818">
        <v>0</v>
      </c>
      <c r="CU818" t="s">
        <v>117</v>
      </c>
      <c r="CV818" t="s">
        <v>118</v>
      </c>
      <c r="CY818">
        <v>5215546</v>
      </c>
      <c r="CZ818" t="s">
        <v>119</v>
      </c>
    </row>
    <row r="819" spans="1:104" x14ac:dyDescent="0.25">
      <c r="A819" t="str">
        <f>"14:04:00.281"</f>
        <v>14:04:00.281</v>
      </c>
      <c r="B819" t="s">
        <v>108</v>
      </c>
      <c r="C819" t="str">
        <f t="shared" si="37"/>
        <v>ffdfd3c0</v>
      </c>
      <c r="D819" t="s">
        <v>109</v>
      </c>
      <c r="E819">
        <v>4</v>
      </c>
      <c r="F819">
        <v>1004</v>
      </c>
      <c r="G819" t="s">
        <v>110</v>
      </c>
      <c r="J819" t="s">
        <v>111</v>
      </c>
      <c r="K819">
        <v>0</v>
      </c>
      <c r="L819">
        <v>3</v>
      </c>
      <c r="M819">
        <v>0</v>
      </c>
      <c r="N819">
        <v>2</v>
      </c>
      <c r="O819">
        <v>1</v>
      </c>
      <c r="P819">
        <v>0</v>
      </c>
      <c r="Q819">
        <v>0</v>
      </c>
      <c r="R819" t="s">
        <v>112</v>
      </c>
      <c r="S819" t="str">
        <f>"14:04:00.117"</f>
        <v>14:04:00.117</v>
      </c>
      <c r="T819" t="str">
        <f>"14:03:59.719"</f>
        <v>14:03:59.719</v>
      </c>
      <c r="U819" t="str">
        <f t="shared" si="36"/>
        <v>ad5732</v>
      </c>
      <c r="V819">
        <v>0</v>
      </c>
      <c r="W819">
        <v>0</v>
      </c>
      <c r="X819">
        <v>1</v>
      </c>
      <c r="Z819">
        <v>0</v>
      </c>
      <c r="AA819">
        <v>9</v>
      </c>
      <c r="AB819">
        <v>3</v>
      </c>
      <c r="AC819">
        <v>0</v>
      </c>
      <c r="AD819">
        <v>10</v>
      </c>
      <c r="AE819">
        <v>0</v>
      </c>
      <c r="AF819">
        <v>3</v>
      </c>
      <c r="AG819">
        <v>2</v>
      </c>
      <c r="AH819">
        <v>0</v>
      </c>
      <c r="AI819" t="s">
        <v>1735</v>
      </c>
      <c r="AJ819">
        <v>39.344057999999997</v>
      </c>
      <c r="AK819" t="s">
        <v>1736</v>
      </c>
      <c r="AL819">
        <v>-77.037678</v>
      </c>
      <c r="AM819">
        <v>100</v>
      </c>
      <c r="AN819">
        <v>8700</v>
      </c>
      <c r="AO819" t="s">
        <v>115</v>
      </c>
      <c r="AP819">
        <v>100</v>
      </c>
      <c r="AQ819">
        <v>154</v>
      </c>
      <c r="AR819">
        <v>-64</v>
      </c>
      <c r="AZ819">
        <v>3614</v>
      </c>
      <c r="BA819">
        <v>1</v>
      </c>
      <c r="BB819" t="str">
        <f t="shared" si="38"/>
        <v xml:space="preserve">N959MJ  </v>
      </c>
      <c r="BC819">
        <v>1</v>
      </c>
      <c r="BE819">
        <v>0</v>
      </c>
      <c r="BF819">
        <v>0</v>
      </c>
      <c r="BG819">
        <v>0</v>
      </c>
      <c r="BH819">
        <v>9050</v>
      </c>
      <c r="BI819">
        <v>350</v>
      </c>
      <c r="BJ819">
        <v>1</v>
      </c>
      <c r="BK819">
        <v>1</v>
      </c>
      <c r="BL819">
        <v>1</v>
      </c>
      <c r="BM819">
        <v>0</v>
      </c>
      <c r="BP819">
        <v>0</v>
      </c>
      <c r="BQ819">
        <v>0</v>
      </c>
      <c r="BX819" t="str">
        <f>"14:04:00.125"</f>
        <v>14:04:00.125</v>
      </c>
      <c r="BY819" t="str">
        <f>"122713872"</f>
        <v>122713872</v>
      </c>
      <c r="CL819">
        <v>0</v>
      </c>
      <c r="CM819">
        <v>2</v>
      </c>
      <c r="CN819">
        <v>0</v>
      </c>
      <c r="CO819">
        <v>2</v>
      </c>
      <c r="CP819">
        <v>0</v>
      </c>
      <c r="CQ819">
        <v>7</v>
      </c>
      <c r="CR819" t="s">
        <v>116</v>
      </c>
      <c r="CS819">
        <v>147</v>
      </c>
      <c r="CT819">
        <v>0</v>
      </c>
      <c r="CU819" t="s">
        <v>117</v>
      </c>
      <c r="CV819" t="s">
        <v>118</v>
      </c>
      <c r="CY819">
        <v>5216942</v>
      </c>
      <c r="CZ819" t="s">
        <v>119</v>
      </c>
    </row>
    <row r="820" spans="1:104" x14ac:dyDescent="0.25">
      <c r="A820" t="str">
        <f>"14:04:01.242"</f>
        <v>14:04:01.242</v>
      </c>
      <c r="B820" t="s">
        <v>108</v>
      </c>
      <c r="C820" t="str">
        <f t="shared" si="37"/>
        <v>ffdfd3c0</v>
      </c>
      <c r="D820" t="s">
        <v>109</v>
      </c>
      <c r="E820">
        <v>4</v>
      </c>
      <c r="F820">
        <v>1004</v>
      </c>
      <c r="G820" t="s">
        <v>110</v>
      </c>
      <c r="J820" t="s">
        <v>111</v>
      </c>
      <c r="K820">
        <v>0</v>
      </c>
      <c r="L820">
        <v>3</v>
      </c>
      <c r="M820">
        <v>0</v>
      </c>
      <c r="N820">
        <v>2</v>
      </c>
      <c r="O820">
        <v>1</v>
      </c>
      <c r="P820">
        <v>0</v>
      </c>
      <c r="Q820">
        <v>0</v>
      </c>
      <c r="R820" t="s">
        <v>112</v>
      </c>
      <c r="S820" t="str">
        <f>"14:04:01.063"</f>
        <v>14:04:01.063</v>
      </c>
      <c r="T820" t="str">
        <f>"14:04:00.664"</f>
        <v>14:04:00.664</v>
      </c>
      <c r="U820" t="str">
        <f t="shared" si="36"/>
        <v>ad5732</v>
      </c>
      <c r="V820">
        <v>0</v>
      </c>
      <c r="W820">
        <v>0</v>
      </c>
      <c r="X820">
        <v>1</v>
      </c>
      <c r="Z820">
        <v>0</v>
      </c>
      <c r="AA820">
        <v>9</v>
      </c>
      <c r="AB820">
        <v>3</v>
      </c>
      <c r="AC820">
        <v>0</v>
      </c>
      <c r="AD820">
        <v>10</v>
      </c>
      <c r="AE820">
        <v>0</v>
      </c>
      <c r="AF820">
        <v>3</v>
      </c>
      <c r="AG820">
        <v>2</v>
      </c>
      <c r="AH820">
        <v>0</v>
      </c>
      <c r="AI820" t="s">
        <v>1737</v>
      </c>
      <c r="AJ820">
        <v>39.344701999999998</v>
      </c>
      <c r="AK820" t="s">
        <v>1738</v>
      </c>
      <c r="AL820">
        <v>-77.037163000000007</v>
      </c>
      <c r="AM820">
        <v>100</v>
      </c>
      <c r="AN820">
        <v>8700</v>
      </c>
      <c r="AO820" t="s">
        <v>115</v>
      </c>
      <c r="AP820">
        <v>96</v>
      </c>
      <c r="AQ820">
        <v>156</v>
      </c>
      <c r="AR820">
        <v>-64</v>
      </c>
      <c r="AZ820">
        <v>3614</v>
      </c>
      <c r="BA820">
        <v>1</v>
      </c>
      <c r="BB820" t="str">
        <f t="shared" si="38"/>
        <v xml:space="preserve">N959MJ  </v>
      </c>
      <c r="BC820">
        <v>1</v>
      </c>
      <c r="BE820">
        <v>0</v>
      </c>
      <c r="BF820">
        <v>0</v>
      </c>
      <c r="BG820">
        <v>0</v>
      </c>
      <c r="BH820">
        <v>9050</v>
      </c>
      <c r="BI820">
        <v>350</v>
      </c>
      <c r="BJ820">
        <v>1</v>
      </c>
      <c r="BK820">
        <v>1</v>
      </c>
      <c r="BL820">
        <v>1</v>
      </c>
      <c r="BM820">
        <v>0</v>
      </c>
      <c r="BP820">
        <v>0</v>
      </c>
      <c r="BQ820">
        <v>0</v>
      </c>
      <c r="BX820" t="str">
        <f>"14:04:01.070"</f>
        <v>14:04:01.070</v>
      </c>
      <c r="BY820" t="str">
        <f>"069724831"</f>
        <v>069724831</v>
      </c>
      <c r="CL820">
        <v>0</v>
      </c>
      <c r="CM820">
        <v>2</v>
      </c>
      <c r="CN820">
        <v>0</v>
      </c>
      <c r="CO820">
        <v>2</v>
      </c>
      <c r="CP820">
        <v>0</v>
      </c>
      <c r="CQ820">
        <v>7</v>
      </c>
      <c r="CR820" t="s">
        <v>116</v>
      </c>
      <c r="CS820">
        <v>147</v>
      </c>
      <c r="CT820">
        <v>0</v>
      </c>
      <c r="CU820" t="s">
        <v>117</v>
      </c>
      <c r="CV820" t="s">
        <v>118</v>
      </c>
      <c r="CY820">
        <v>5218498</v>
      </c>
      <c r="CZ820" t="s">
        <v>119</v>
      </c>
    </row>
    <row r="821" spans="1:104" x14ac:dyDescent="0.25">
      <c r="A821" t="str">
        <f>"14:04:02.352"</f>
        <v>14:04:02.352</v>
      </c>
      <c r="B821" t="s">
        <v>108</v>
      </c>
      <c r="C821" t="str">
        <f t="shared" si="37"/>
        <v>ffdfd3c0</v>
      </c>
      <c r="D821" t="s">
        <v>109</v>
      </c>
      <c r="E821">
        <v>4</v>
      </c>
      <c r="F821">
        <v>1004</v>
      </c>
      <c r="G821" t="s">
        <v>110</v>
      </c>
      <c r="J821" t="s">
        <v>111</v>
      </c>
      <c r="K821">
        <v>0</v>
      </c>
      <c r="L821">
        <v>3</v>
      </c>
      <c r="M821">
        <v>0</v>
      </c>
      <c r="N821">
        <v>2</v>
      </c>
      <c r="O821">
        <v>1</v>
      </c>
      <c r="P821">
        <v>0</v>
      </c>
      <c r="Q821">
        <v>0</v>
      </c>
      <c r="R821" t="s">
        <v>112</v>
      </c>
      <c r="S821" t="str">
        <f>"14:04:02.164"</f>
        <v>14:04:02.164</v>
      </c>
      <c r="T821" t="str">
        <f>"14:04:01.664"</f>
        <v>14:04:01.664</v>
      </c>
      <c r="U821" t="str">
        <f t="shared" si="36"/>
        <v>ad5732</v>
      </c>
      <c r="V821">
        <v>0</v>
      </c>
      <c r="W821">
        <v>0</v>
      </c>
      <c r="X821">
        <v>1</v>
      </c>
      <c r="Z821">
        <v>0</v>
      </c>
      <c r="AA821">
        <v>9</v>
      </c>
      <c r="AB821">
        <v>3</v>
      </c>
      <c r="AC821">
        <v>0</v>
      </c>
      <c r="AD821">
        <v>10</v>
      </c>
      <c r="AE821">
        <v>0</v>
      </c>
      <c r="AF821">
        <v>3</v>
      </c>
      <c r="AG821">
        <v>2</v>
      </c>
      <c r="AH821">
        <v>0</v>
      </c>
      <c r="AI821" t="s">
        <v>1739</v>
      </c>
      <c r="AJ821">
        <v>39.345517000000001</v>
      </c>
      <c r="AK821" t="s">
        <v>1740</v>
      </c>
      <c r="AL821">
        <v>-77.036541</v>
      </c>
      <c r="AM821">
        <v>100</v>
      </c>
      <c r="AN821">
        <v>8700</v>
      </c>
      <c r="AO821" t="s">
        <v>115</v>
      </c>
      <c r="AP821">
        <v>91</v>
      </c>
      <c r="AQ821">
        <v>159</v>
      </c>
      <c r="AR821">
        <v>-128</v>
      </c>
      <c r="AZ821">
        <v>3614</v>
      </c>
      <c r="BA821">
        <v>1</v>
      </c>
      <c r="BB821" t="str">
        <f t="shared" si="38"/>
        <v xml:space="preserve">N959MJ  </v>
      </c>
      <c r="BC821">
        <v>1</v>
      </c>
      <c r="BE821">
        <v>0</v>
      </c>
      <c r="BF821">
        <v>0</v>
      </c>
      <c r="BG821">
        <v>0</v>
      </c>
      <c r="BH821">
        <v>9050</v>
      </c>
      <c r="BI821">
        <v>350</v>
      </c>
      <c r="BJ821">
        <v>1</v>
      </c>
      <c r="BK821">
        <v>1</v>
      </c>
      <c r="BL821">
        <v>1</v>
      </c>
      <c r="BM821">
        <v>0</v>
      </c>
      <c r="BP821">
        <v>0</v>
      </c>
      <c r="BQ821">
        <v>0</v>
      </c>
      <c r="BX821" t="str">
        <f>"14:04:02.164"</f>
        <v>14:04:02.164</v>
      </c>
      <c r="BY821" t="str">
        <f>"165832611"</f>
        <v>165832611</v>
      </c>
      <c r="CL821">
        <v>0</v>
      </c>
      <c r="CM821">
        <v>2</v>
      </c>
      <c r="CN821">
        <v>0</v>
      </c>
      <c r="CO821">
        <v>2</v>
      </c>
      <c r="CP821">
        <v>0</v>
      </c>
      <c r="CQ821">
        <v>7</v>
      </c>
      <c r="CR821" t="s">
        <v>116</v>
      </c>
      <c r="CS821">
        <v>147</v>
      </c>
      <c r="CT821">
        <v>0</v>
      </c>
      <c r="CU821" t="s">
        <v>117</v>
      </c>
      <c r="CV821" t="s">
        <v>118</v>
      </c>
      <c r="CY821">
        <v>5220293</v>
      </c>
      <c r="CZ821" t="s">
        <v>119</v>
      </c>
    </row>
    <row r="822" spans="1:104" x14ac:dyDescent="0.25">
      <c r="A822" t="str">
        <f>"14:04:03.461"</f>
        <v>14:04:03.461</v>
      </c>
      <c r="B822" t="s">
        <v>108</v>
      </c>
      <c r="C822" t="str">
        <f t="shared" si="37"/>
        <v>ffdfd3c0</v>
      </c>
      <c r="D822" t="s">
        <v>109</v>
      </c>
      <c r="E822">
        <v>4</v>
      </c>
      <c r="F822">
        <v>1004</v>
      </c>
      <c r="G822" t="s">
        <v>110</v>
      </c>
      <c r="J822" t="s">
        <v>111</v>
      </c>
      <c r="K822">
        <v>0</v>
      </c>
      <c r="L822">
        <v>3</v>
      </c>
      <c r="M822">
        <v>0</v>
      </c>
      <c r="N822">
        <v>2</v>
      </c>
      <c r="O822">
        <v>1</v>
      </c>
      <c r="P822">
        <v>0</v>
      </c>
      <c r="Q822">
        <v>0</v>
      </c>
      <c r="R822" t="s">
        <v>112</v>
      </c>
      <c r="S822" t="str">
        <f>"14:04:03.273"</f>
        <v>14:04:03.273</v>
      </c>
      <c r="T822" t="str">
        <f>"14:04:02.773"</f>
        <v>14:04:02.773</v>
      </c>
      <c r="U822" t="str">
        <f t="shared" si="36"/>
        <v>ad5732</v>
      </c>
      <c r="V822">
        <v>0</v>
      </c>
      <c r="W822">
        <v>0</v>
      </c>
      <c r="X822">
        <v>1</v>
      </c>
      <c r="Z822">
        <v>0</v>
      </c>
      <c r="AA822">
        <v>9</v>
      </c>
      <c r="AB822">
        <v>3</v>
      </c>
      <c r="AC822">
        <v>0</v>
      </c>
      <c r="AD822">
        <v>10</v>
      </c>
      <c r="AE822">
        <v>0</v>
      </c>
      <c r="AF822">
        <v>3</v>
      </c>
      <c r="AG822">
        <v>2</v>
      </c>
      <c r="AH822">
        <v>0</v>
      </c>
      <c r="AI822" t="s">
        <v>1741</v>
      </c>
      <c r="AJ822">
        <v>39.346333000000001</v>
      </c>
      <c r="AK822" t="s">
        <v>1742</v>
      </c>
      <c r="AL822">
        <v>-77.036004000000005</v>
      </c>
      <c r="AM822">
        <v>100</v>
      </c>
      <c r="AN822">
        <v>8700</v>
      </c>
      <c r="AO822" t="s">
        <v>115</v>
      </c>
      <c r="AP822">
        <v>86</v>
      </c>
      <c r="AQ822">
        <v>161</v>
      </c>
      <c r="AR822">
        <v>-128</v>
      </c>
      <c r="AZ822">
        <v>3614</v>
      </c>
      <c r="BA822">
        <v>1</v>
      </c>
      <c r="BB822" t="str">
        <f t="shared" si="38"/>
        <v xml:space="preserve">N959MJ  </v>
      </c>
      <c r="BC822">
        <v>1</v>
      </c>
      <c r="BE822">
        <v>0</v>
      </c>
      <c r="BF822">
        <v>0</v>
      </c>
      <c r="BG822">
        <v>0</v>
      </c>
      <c r="BH822">
        <v>9050</v>
      </c>
      <c r="BI822">
        <v>350</v>
      </c>
      <c r="BJ822">
        <v>1</v>
      </c>
      <c r="BK822">
        <v>1</v>
      </c>
      <c r="BL822">
        <v>1</v>
      </c>
      <c r="BM822">
        <v>0</v>
      </c>
      <c r="BP822">
        <v>0</v>
      </c>
      <c r="BQ822">
        <v>0</v>
      </c>
      <c r="BX822" t="str">
        <f>"14:04:03.281"</f>
        <v>14:04:03.281</v>
      </c>
      <c r="BY822" t="str">
        <f>"278324614"</f>
        <v>278324614</v>
      </c>
      <c r="CL822">
        <v>0</v>
      </c>
      <c r="CM822">
        <v>2</v>
      </c>
      <c r="CN822">
        <v>0</v>
      </c>
      <c r="CO822">
        <v>2</v>
      </c>
      <c r="CP822">
        <v>0</v>
      </c>
      <c r="CQ822">
        <v>7</v>
      </c>
      <c r="CR822" t="s">
        <v>116</v>
      </c>
      <c r="CS822">
        <v>147</v>
      </c>
      <c r="CT822">
        <v>0</v>
      </c>
      <c r="CU822" t="s">
        <v>117</v>
      </c>
      <c r="CV822" t="s">
        <v>118</v>
      </c>
      <c r="CY822">
        <v>5222307</v>
      </c>
      <c r="CZ822" t="s">
        <v>119</v>
      </c>
    </row>
    <row r="823" spans="1:104" x14ac:dyDescent="0.25">
      <c r="A823" t="str">
        <f>"14:04:04.625"</f>
        <v>14:04:04.625</v>
      </c>
      <c r="B823" t="s">
        <v>108</v>
      </c>
      <c r="C823" t="str">
        <f t="shared" si="37"/>
        <v>ffdfd3c0</v>
      </c>
      <c r="D823" t="s">
        <v>109</v>
      </c>
      <c r="E823">
        <v>4</v>
      </c>
      <c r="F823">
        <v>1004</v>
      </c>
      <c r="G823" t="s">
        <v>110</v>
      </c>
      <c r="J823" t="s">
        <v>111</v>
      </c>
      <c r="K823">
        <v>0</v>
      </c>
      <c r="L823">
        <v>3</v>
      </c>
      <c r="M823">
        <v>0</v>
      </c>
      <c r="N823">
        <v>2</v>
      </c>
      <c r="O823">
        <v>1</v>
      </c>
      <c r="P823">
        <v>0</v>
      </c>
      <c r="Q823">
        <v>0</v>
      </c>
      <c r="R823" t="s">
        <v>112</v>
      </c>
      <c r="S823" t="str">
        <f>"14:04:04.422"</f>
        <v>14:04:04.422</v>
      </c>
      <c r="T823" t="str">
        <f>"14:04:03.922"</f>
        <v>14:04:03.922</v>
      </c>
      <c r="U823" t="str">
        <f t="shared" si="36"/>
        <v>ad5732</v>
      </c>
      <c r="V823">
        <v>0</v>
      </c>
      <c r="W823">
        <v>0</v>
      </c>
      <c r="X823">
        <v>1</v>
      </c>
      <c r="Z823">
        <v>0</v>
      </c>
      <c r="AA823">
        <v>9</v>
      </c>
      <c r="AB823">
        <v>3</v>
      </c>
      <c r="AC823">
        <v>0</v>
      </c>
      <c r="AD823">
        <v>10</v>
      </c>
      <c r="AE823">
        <v>0</v>
      </c>
      <c r="AF823">
        <v>3</v>
      </c>
      <c r="AG823">
        <v>2</v>
      </c>
      <c r="AH823">
        <v>0</v>
      </c>
      <c r="AI823" t="s">
        <v>1743</v>
      </c>
      <c r="AJ823">
        <v>39.347254999999997</v>
      </c>
      <c r="AK823" t="s">
        <v>1744</v>
      </c>
      <c r="AL823">
        <v>-77.035467999999995</v>
      </c>
      <c r="AM823">
        <v>100</v>
      </c>
      <c r="AN823">
        <v>8700</v>
      </c>
      <c r="AO823" t="s">
        <v>115</v>
      </c>
      <c r="AP823">
        <v>80</v>
      </c>
      <c r="AQ823">
        <v>164</v>
      </c>
      <c r="AR823">
        <v>-128</v>
      </c>
      <c r="AZ823">
        <v>3614</v>
      </c>
      <c r="BA823">
        <v>1</v>
      </c>
      <c r="BB823" t="str">
        <f t="shared" si="38"/>
        <v xml:space="preserve">N959MJ  </v>
      </c>
      <c r="BC823">
        <v>1</v>
      </c>
      <c r="BE823">
        <v>0</v>
      </c>
      <c r="BF823">
        <v>0</v>
      </c>
      <c r="BG823">
        <v>0</v>
      </c>
      <c r="BH823">
        <v>9050</v>
      </c>
      <c r="BI823">
        <v>350</v>
      </c>
      <c r="BJ823">
        <v>1</v>
      </c>
      <c r="BK823">
        <v>1</v>
      </c>
      <c r="BL823">
        <v>1</v>
      </c>
      <c r="BM823">
        <v>0</v>
      </c>
      <c r="BP823">
        <v>0</v>
      </c>
      <c r="BQ823">
        <v>0</v>
      </c>
      <c r="BX823" t="str">
        <f>"14:04:04.430"</f>
        <v>14:04:04.430</v>
      </c>
      <c r="BY823" t="str">
        <f>"428500443"</f>
        <v>428500443</v>
      </c>
      <c r="CL823">
        <v>0</v>
      </c>
      <c r="CM823">
        <v>2</v>
      </c>
      <c r="CN823">
        <v>0</v>
      </c>
      <c r="CO823">
        <v>2</v>
      </c>
      <c r="CP823">
        <v>0</v>
      </c>
      <c r="CQ823">
        <v>7</v>
      </c>
      <c r="CR823" t="s">
        <v>116</v>
      </c>
      <c r="CS823">
        <v>147</v>
      </c>
      <c r="CT823">
        <v>0</v>
      </c>
      <c r="CU823" t="s">
        <v>117</v>
      </c>
      <c r="CV823" t="s">
        <v>118</v>
      </c>
      <c r="CY823">
        <v>5224196</v>
      </c>
      <c r="CZ823" t="s">
        <v>119</v>
      </c>
    </row>
    <row r="824" spans="1:104" x14ac:dyDescent="0.25">
      <c r="A824" t="str">
        <f>"14:04:05.633"</f>
        <v>14:04:05.633</v>
      </c>
      <c r="B824" t="s">
        <v>108</v>
      </c>
      <c r="C824" t="str">
        <f t="shared" si="37"/>
        <v>ffdfd3c0</v>
      </c>
      <c r="D824" t="s">
        <v>109</v>
      </c>
      <c r="E824">
        <v>4</v>
      </c>
      <c r="F824">
        <v>1004</v>
      </c>
      <c r="G824" t="s">
        <v>110</v>
      </c>
      <c r="J824" t="s">
        <v>111</v>
      </c>
      <c r="K824">
        <v>0</v>
      </c>
      <c r="L824">
        <v>3</v>
      </c>
      <c r="M824">
        <v>0</v>
      </c>
      <c r="N824">
        <v>2</v>
      </c>
      <c r="O824">
        <v>1</v>
      </c>
      <c r="P824">
        <v>0</v>
      </c>
      <c r="Q824">
        <v>0</v>
      </c>
      <c r="R824" t="s">
        <v>112</v>
      </c>
      <c r="S824" t="str">
        <f>"14:04:05.438"</f>
        <v>14:04:05.438</v>
      </c>
      <c r="T824" t="str">
        <f>"14:04:05.039"</f>
        <v>14:04:05.039</v>
      </c>
      <c r="U824" t="str">
        <f t="shared" si="36"/>
        <v>ad5732</v>
      </c>
      <c r="V824">
        <v>0</v>
      </c>
      <c r="W824">
        <v>0</v>
      </c>
      <c r="X824">
        <v>1</v>
      </c>
      <c r="Z824">
        <v>0</v>
      </c>
      <c r="AA824">
        <v>9</v>
      </c>
      <c r="AB824">
        <v>3</v>
      </c>
      <c r="AC824">
        <v>0</v>
      </c>
      <c r="AD824">
        <v>10</v>
      </c>
      <c r="AE824">
        <v>0</v>
      </c>
      <c r="AF824">
        <v>3</v>
      </c>
      <c r="AG824">
        <v>2</v>
      </c>
      <c r="AH824">
        <v>0</v>
      </c>
      <c r="AI824" t="s">
        <v>1745</v>
      </c>
      <c r="AJ824">
        <v>39.348049000000003</v>
      </c>
      <c r="AK824" t="s">
        <v>1746</v>
      </c>
      <c r="AL824">
        <v>-77.035038</v>
      </c>
      <c r="AM824">
        <v>100</v>
      </c>
      <c r="AN824">
        <v>8700</v>
      </c>
      <c r="AO824" t="s">
        <v>115</v>
      </c>
      <c r="AP824">
        <v>73</v>
      </c>
      <c r="AQ824">
        <v>166</v>
      </c>
      <c r="AR824">
        <v>-64</v>
      </c>
      <c r="AZ824">
        <v>3614</v>
      </c>
      <c r="BA824">
        <v>1</v>
      </c>
      <c r="BB824" t="str">
        <f t="shared" si="38"/>
        <v xml:space="preserve">N959MJ  </v>
      </c>
      <c r="BC824">
        <v>1</v>
      </c>
      <c r="BE824">
        <v>0</v>
      </c>
      <c r="BF824">
        <v>0</v>
      </c>
      <c r="BG824">
        <v>0</v>
      </c>
      <c r="BH824">
        <v>9025</v>
      </c>
      <c r="BI824">
        <v>325</v>
      </c>
      <c r="BJ824">
        <v>1</v>
      </c>
      <c r="BK824">
        <v>1</v>
      </c>
      <c r="BL824">
        <v>1</v>
      </c>
      <c r="BM824">
        <v>0</v>
      </c>
      <c r="BP824">
        <v>0</v>
      </c>
      <c r="BQ824">
        <v>0</v>
      </c>
      <c r="BX824" t="str">
        <f>"14:04:05.445"</f>
        <v>14:04:05.445</v>
      </c>
      <c r="BY824" t="str">
        <f>"444325301"</f>
        <v>444325301</v>
      </c>
      <c r="CL824">
        <v>0</v>
      </c>
      <c r="CM824">
        <v>2</v>
      </c>
      <c r="CN824">
        <v>0</v>
      </c>
      <c r="CO824">
        <v>2</v>
      </c>
      <c r="CP824">
        <v>0</v>
      </c>
      <c r="CQ824">
        <v>7</v>
      </c>
      <c r="CR824" t="s">
        <v>116</v>
      </c>
      <c r="CS824">
        <v>147</v>
      </c>
      <c r="CT824">
        <v>0</v>
      </c>
      <c r="CU824" t="s">
        <v>117</v>
      </c>
      <c r="CV824" t="s">
        <v>118</v>
      </c>
      <c r="CY824">
        <v>5225815</v>
      </c>
      <c r="CZ824" t="s">
        <v>119</v>
      </c>
    </row>
    <row r="825" spans="1:104" x14ac:dyDescent="0.25">
      <c r="A825" t="str">
        <f>"14:04:06.688"</f>
        <v>14:04:06.688</v>
      </c>
      <c r="B825" t="s">
        <v>108</v>
      </c>
      <c r="C825" t="str">
        <f t="shared" si="37"/>
        <v>ffdfd3c0</v>
      </c>
      <c r="D825" t="s">
        <v>109</v>
      </c>
      <c r="E825">
        <v>4</v>
      </c>
      <c r="F825">
        <v>1004</v>
      </c>
      <c r="G825" t="s">
        <v>110</v>
      </c>
      <c r="J825" t="s">
        <v>111</v>
      </c>
      <c r="K825">
        <v>0</v>
      </c>
      <c r="L825">
        <v>3</v>
      </c>
      <c r="M825">
        <v>0</v>
      </c>
      <c r="N825">
        <v>2</v>
      </c>
      <c r="O825">
        <v>1</v>
      </c>
      <c r="P825">
        <v>0</v>
      </c>
      <c r="Q825">
        <v>0</v>
      </c>
      <c r="R825" t="s">
        <v>112</v>
      </c>
      <c r="S825" t="str">
        <f>"14:04:06.508"</f>
        <v>14:04:06.508</v>
      </c>
      <c r="T825" t="str">
        <f>"14:04:06.008"</f>
        <v>14:04:06.008</v>
      </c>
      <c r="U825" t="str">
        <f t="shared" si="36"/>
        <v>ad5732</v>
      </c>
      <c r="V825">
        <v>0</v>
      </c>
      <c r="W825">
        <v>0</v>
      </c>
      <c r="X825">
        <v>1</v>
      </c>
      <c r="Z825">
        <v>0</v>
      </c>
      <c r="AA825">
        <v>9</v>
      </c>
      <c r="AB825">
        <v>3</v>
      </c>
      <c r="AC825">
        <v>0</v>
      </c>
      <c r="AD825">
        <v>10</v>
      </c>
      <c r="AE825">
        <v>0</v>
      </c>
      <c r="AF825">
        <v>3</v>
      </c>
      <c r="AG825">
        <v>2</v>
      </c>
      <c r="AH825">
        <v>0</v>
      </c>
      <c r="AI825" t="s">
        <v>1747</v>
      </c>
      <c r="AJ825">
        <v>39.348865000000004</v>
      </c>
      <c r="AK825" t="s">
        <v>1748</v>
      </c>
      <c r="AL825">
        <v>-77.034587999999999</v>
      </c>
      <c r="AM825">
        <v>100</v>
      </c>
      <c r="AN825">
        <v>8700</v>
      </c>
      <c r="AO825" t="s">
        <v>115</v>
      </c>
      <c r="AP825">
        <v>69</v>
      </c>
      <c r="AQ825">
        <v>168</v>
      </c>
      <c r="AR825">
        <v>-64</v>
      </c>
      <c r="AZ825">
        <v>3614</v>
      </c>
      <c r="BA825">
        <v>1</v>
      </c>
      <c r="BB825" t="str">
        <f t="shared" si="38"/>
        <v xml:space="preserve">N959MJ  </v>
      </c>
      <c r="BC825">
        <v>1</v>
      </c>
      <c r="BE825">
        <v>0</v>
      </c>
      <c r="BF825">
        <v>0</v>
      </c>
      <c r="BG825">
        <v>0</v>
      </c>
      <c r="BH825">
        <v>9025</v>
      </c>
      <c r="BI825">
        <v>325</v>
      </c>
      <c r="BJ825">
        <v>1</v>
      </c>
      <c r="BK825">
        <v>1</v>
      </c>
      <c r="BL825">
        <v>1</v>
      </c>
      <c r="BM825">
        <v>0</v>
      </c>
      <c r="BP825">
        <v>0</v>
      </c>
      <c r="BQ825">
        <v>0</v>
      </c>
      <c r="BX825" t="str">
        <f>"14:04:06.516"</f>
        <v>14:04:06.516</v>
      </c>
      <c r="BY825" t="str">
        <f>"514365763"</f>
        <v>514365763</v>
      </c>
      <c r="CL825">
        <v>0</v>
      </c>
      <c r="CM825">
        <v>2</v>
      </c>
      <c r="CN825">
        <v>0</v>
      </c>
      <c r="CO825">
        <v>2</v>
      </c>
      <c r="CP825">
        <v>0</v>
      </c>
      <c r="CQ825">
        <v>7</v>
      </c>
      <c r="CR825" t="s">
        <v>116</v>
      </c>
      <c r="CS825">
        <v>147</v>
      </c>
      <c r="CT825">
        <v>0</v>
      </c>
      <c r="CU825" t="s">
        <v>117</v>
      </c>
      <c r="CV825" t="s">
        <v>118</v>
      </c>
      <c r="CY825">
        <v>5227502</v>
      </c>
      <c r="CZ825" t="s">
        <v>119</v>
      </c>
    </row>
    <row r="826" spans="1:104" x14ac:dyDescent="0.25">
      <c r="A826" t="str">
        <f>"14:04:07.648"</f>
        <v>14:04:07.648</v>
      </c>
      <c r="B826" t="s">
        <v>108</v>
      </c>
      <c r="C826" t="str">
        <f t="shared" si="37"/>
        <v>ffdfd3c0</v>
      </c>
      <c r="D826" t="s">
        <v>109</v>
      </c>
      <c r="E826">
        <v>4</v>
      </c>
      <c r="F826">
        <v>1004</v>
      </c>
      <c r="G826" t="s">
        <v>110</v>
      </c>
      <c r="J826" t="s">
        <v>111</v>
      </c>
      <c r="K826">
        <v>0</v>
      </c>
      <c r="L826">
        <v>3</v>
      </c>
      <c r="M826">
        <v>0</v>
      </c>
      <c r="N826">
        <v>2</v>
      </c>
      <c r="O826">
        <v>1</v>
      </c>
      <c r="P826">
        <v>0</v>
      </c>
      <c r="Q826">
        <v>0</v>
      </c>
      <c r="R826" t="s">
        <v>112</v>
      </c>
      <c r="S826" t="str">
        <f>"14:04:07.453"</f>
        <v>14:04:07.453</v>
      </c>
      <c r="T826" t="str">
        <f>"14:04:07.055"</f>
        <v>14:04:07.055</v>
      </c>
      <c r="U826" t="str">
        <f t="shared" si="36"/>
        <v>ad5732</v>
      </c>
      <c r="V826">
        <v>0</v>
      </c>
      <c r="W826">
        <v>0</v>
      </c>
      <c r="X826">
        <v>1</v>
      </c>
      <c r="Z826">
        <v>0</v>
      </c>
      <c r="AA826">
        <v>9</v>
      </c>
      <c r="AB826">
        <v>3</v>
      </c>
      <c r="AC826">
        <v>0</v>
      </c>
      <c r="AD826">
        <v>10</v>
      </c>
      <c r="AE826">
        <v>0</v>
      </c>
      <c r="AF826">
        <v>3</v>
      </c>
      <c r="AG826">
        <v>2</v>
      </c>
      <c r="AH826">
        <v>0</v>
      </c>
      <c r="AI826" t="s">
        <v>1749</v>
      </c>
      <c r="AJ826">
        <v>39.349572999999999</v>
      </c>
      <c r="AK826" t="s">
        <v>1750</v>
      </c>
      <c r="AL826">
        <v>-77.034244999999999</v>
      </c>
      <c r="AM826">
        <v>100</v>
      </c>
      <c r="AN826">
        <v>8700</v>
      </c>
      <c r="AO826" t="s">
        <v>115</v>
      </c>
      <c r="AP826">
        <v>63</v>
      </c>
      <c r="AQ826">
        <v>170</v>
      </c>
      <c r="AR826">
        <v>0</v>
      </c>
      <c r="AZ826">
        <v>3614</v>
      </c>
      <c r="BA826">
        <v>1</v>
      </c>
      <c r="BB826" t="str">
        <f t="shared" si="38"/>
        <v xml:space="preserve">N959MJ  </v>
      </c>
      <c r="BC826">
        <v>1</v>
      </c>
      <c r="BE826">
        <v>0</v>
      </c>
      <c r="BF826">
        <v>0</v>
      </c>
      <c r="BG826">
        <v>0</v>
      </c>
      <c r="BH826">
        <v>9025</v>
      </c>
      <c r="BI826">
        <v>325</v>
      </c>
      <c r="BJ826">
        <v>1</v>
      </c>
      <c r="BK826">
        <v>1</v>
      </c>
      <c r="BL826">
        <v>1</v>
      </c>
      <c r="BM826">
        <v>0</v>
      </c>
      <c r="BP826">
        <v>0</v>
      </c>
      <c r="BQ826">
        <v>0</v>
      </c>
      <c r="BX826" t="str">
        <f>"14:04:07.453"</f>
        <v>14:04:07.453</v>
      </c>
      <c r="BY826" t="str">
        <f>"454675466"</f>
        <v>454675466</v>
      </c>
      <c r="CL826">
        <v>0</v>
      </c>
      <c r="CM826">
        <v>2</v>
      </c>
      <c r="CN826">
        <v>0</v>
      </c>
      <c r="CO826">
        <v>2</v>
      </c>
      <c r="CP826">
        <v>0</v>
      </c>
      <c r="CQ826">
        <v>7</v>
      </c>
      <c r="CR826" t="s">
        <v>116</v>
      </c>
      <c r="CS826">
        <v>147</v>
      </c>
      <c r="CT826">
        <v>0</v>
      </c>
      <c r="CU826" t="s">
        <v>117</v>
      </c>
      <c r="CV826" t="s">
        <v>118</v>
      </c>
      <c r="CY826">
        <v>5229154</v>
      </c>
      <c r="CZ826" t="s">
        <v>119</v>
      </c>
    </row>
    <row r="827" spans="1:104" x14ac:dyDescent="0.25">
      <c r="A827" t="str">
        <f>"14:04:08.453"</f>
        <v>14:04:08.453</v>
      </c>
      <c r="B827" t="s">
        <v>108</v>
      </c>
      <c r="C827" t="str">
        <f t="shared" si="37"/>
        <v>ffdfd3c0</v>
      </c>
      <c r="D827" t="s">
        <v>109</v>
      </c>
      <c r="E827">
        <v>4</v>
      </c>
      <c r="F827">
        <v>1004</v>
      </c>
      <c r="G827" t="s">
        <v>110</v>
      </c>
      <c r="J827" t="s">
        <v>111</v>
      </c>
      <c r="K827">
        <v>0</v>
      </c>
      <c r="L827">
        <v>3</v>
      </c>
      <c r="M827">
        <v>0</v>
      </c>
      <c r="N827">
        <v>2</v>
      </c>
      <c r="O827">
        <v>1</v>
      </c>
      <c r="P827">
        <v>0</v>
      </c>
      <c r="Q827">
        <v>0</v>
      </c>
      <c r="R827" t="s">
        <v>112</v>
      </c>
      <c r="S827" t="str">
        <f>"14:04:08.281"</f>
        <v>14:04:08.281</v>
      </c>
      <c r="T827" t="str">
        <f>"14:04:07.883"</f>
        <v>14:04:07.883</v>
      </c>
      <c r="U827" t="str">
        <f t="shared" si="36"/>
        <v>ad5732</v>
      </c>
      <c r="V827">
        <v>0</v>
      </c>
      <c r="W827">
        <v>0</v>
      </c>
      <c r="X827">
        <v>1</v>
      </c>
      <c r="Z827">
        <v>0</v>
      </c>
      <c r="AA827">
        <v>9</v>
      </c>
      <c r="AB827">
        <v>3</v>
      </c>
      <c r="AC827">
        <v>0</v>
      </c>
      <c r="AD827">
        <v>10</v>
      </c>
      <c r="AE827">
        <v>0</v>
      </c>
      <c r="AF827">
        <v>3</v>
      </c>
      <c r="AG827">
        <v>2</v>
      </c>
      <c r="AH827">
        <v>0</v>
      </c>
      <c r="AI827" t="s">
        <v>1751</v>
      </c>
      <c r="AJ827">
        <v>39.350281000000003</v>
      </c>
      <c r="AK827" t="s">
        <v>1752</v>
      </c>
      <c r="AL827">
        <v>-77.033923000000001</v>
      </c>
      <c r="AM827">
        <v>100</v>
      </c>
      <c r="AN827">
        <v>8700</v>
      </c>
      <c r="AO827" t="s">
        <v>115</v>
      </c>
      <c r="AP827">
        <v>59</v>
      </c>
      <c r="AQ827">
        <v>171</v>
      </c>
      <c r="AR827">
        <v>64</v>
      </c>
      <c r="AZ827">
        <v>3614</v>
      </c>
      <c r="BA827">
        <v>1</v>
      </c>
      <c r="BB827" t="str">
        <f t="shared" si="38"/>
        <v xml:space="preserve">N959MJ  </v>
      </c>
      <c r="BC827">
        <v>1</v>
      </c>
      <c r="BE827">
        <v>0</v>
      </c>
      <c r="BF827">
        <v>0</v>
      </c>
      <c r="BG827">
        <v>0</v>
      </c>
      <c r="BH827">
        <v>9025</v>
      </c>
      <c r="BI827">
        <v>325</v>
      </c>
      <c r="BJ827">
        <v>1</v>
      </c>
      <c r="BK827">
        <v>1</v>
      </c>
      <c r="BL827">
        <v>1</v>
      </c>
      <c r="BM827">
        <v>0</v>
      </c>
      <c r="BP827">
        <v>0</v>
      </c>
      <c r="BQ827">
        <v>0</v>
      </c>
      <c r="BX827" t="str">
        <f>"14:04:08.289"</f>
        <v>14:04:08.289</v>
      </c>
      <c r="BY827" t="str">
        <f>"286996530"</f>
        <v>286996530</v>
      </c>
      <c r="CL827">
        <v>0</v>
      </c>
      <c r="CM827">
        <v>2</v>
      </c>
      <c r="CN827">
        <v>0</v>
      </c>
      <c r="CO827">
        <v>2</v>
      </c>
      <c r="CP827">
        <v>0</v>
      </c>
      <c r="CQ827">
        <v>7</v>
      </c>
      <c r="CR827" t="s">
        <v>116</v>
      </c>
      <c r="CS827">
        <v>147</v>
      </c>
      <c r="CT827">
        <v>0</v>
      </c>
      <c r="CU827" t="s">
        <v>117</v>
      </c>
      <c r="CV827" t="s">
        <v>118</v>
      </c>
      <c r="CY827">
        <v>5230560</v>
      </c>
      <c r="CZ827" t="s">
        <v>119</v>
      </c>
    </row>
    <row r="828" spans="1:104" x14ac:dyDescent="0.25">
      <c r="A828" t="str">
        <f>"14:04:09.414"</f>
        <v>14:04:09.414</v>
      </c>
      <c r="B828" t="s">
        <v>108</v>
      </c>
      <c r="C828" t="str">
        <f t="shared" si="37"/>
        <v>ffdfd3c0</v>
      </c>
      <c r="D828" t="s">
        <v>109</v>
      </c>
      <c r="E828">
        <v>4</v>
      </c>
      <c r="F828">
        <v>1004</v>
      </c>
      <c r="G828" t="s">
        <v>110</v>
      </c>
      <c r="J828" t="s">
        <v>111</v>
      </c>
      <c r="K828">
        <v>0</v>
      </c>
      <c r="L828">
        <v>3</v>
      </c>
      <c r="M828">
        <v>0</v>
      </c>
      <c r="N828">
        <v>2</v>
      </c>
      <c r="O828">
        <v>1</v>
      </c>
      <c r="P828">
        <v>0</v>
      </c>
      <c r="Q828">
        <v>0</v>
      </c>
      <c r="R828" t="s">
        <v>112</v>
      </c>
      <c r="S828" t="str">
        <f>"14:04:09.219"</f>
        <v>14:04:09.219</v>
      </c>
      <c r="T828" t="str">
        <f>"14:04:08.820"</f>
        <v>14:04:08.820</v>
      </c>
      <c r="U828" t="str">
        <f t="shared" si="36"/>
        <v>ad5732</v>
      </c>
      <c r="V828">
        <v>0</v>
      </c>
      <c r="W828">
        <v>0</v>
      </c>
      <c r="X828">
        <v>1</v>
      </c>
      <c r="Z828">
        <v>0</v>
      </c>
      <c r="AA828">
        <v>9</v>
      </c>
      <c r="AB828">
        <v>3</v>
      </c>
      <c r="AC828">
        <v>0</v>
      </c>
      <c r="AD828">
        <v>10</v>
      </c>
      <c r="AE828">
        <v>0</v>
      </c>
      <c r="AF828">
        <v>3</v>
      </c>
      <c r="AG828">
        <v>2</v>
      </c>
      <c r="AH828">
        <v>0</v>
      </c>
      <c r="AI828" t="s">
        <v>1753</v>
      </c>
      <c r="AJ828">
        <v>39.351031999999996</v>
      </c>
      <c r="AK828" t="s">
        <v>1754</v>
      </c>
      <c r="AL828">
        <v>-77.033621999999994</v>
      </c>
      <c r="AM828">
        <v>100</v>
      </c>
      <c r="AN828">
        <v>8700</v>
      </c>
      <c r="AO828" t="s">
        <v>115</v>
      </c>
      <c r="AP828">
        <v>54</v>
      </c>
      <c r="AQ828">
        <v>172</v>
      </c>
      <c r="AR828">
        <v>64</v>
      </c>
      <c r="AZ828">
        <v>3614</v>
      </c>
      <c r="BA828">
        <v>1</v>
      </c>
      <c r="BB828" t="str">
        <f t="shared" si="38"/>
        <v xml:space="preserve">N959MJ  </v>
      </c>
      <c r="BC828">
        <v>1</v>
      </c>
      <c r="BE828">
        <v>0</v>
      </c>
      <c r="BF828">
        <v>0</v>
      </c>
      <c r="BG828">
        <v>0</v>
      </c>
      <c r="BH828">
        <v>9025</v>
      </c>
      <c r="BI828">
        <v>325</v>
      </c>
      <c r="BJ828">
        <v>1</v>
      </c>
      <c r="BK828">
        <v>1</v>
      </c>
      <c r="BL828">
        <v>1</v>
      </c>
      <c r="BM828">
        <v>0</v>
      </c>
      <c r="BP828">
        <v>0</v>
      </c>
      <c r="BQ828">
        <v>0</v>
      </c>
      <c r="BX828" t="str">
        <f>"14:04:09.227"</f>
        <v>14:04:09.227</v>
      </c>
      <c r="BY828" t="str">
        <f>"225815256"</f>
        <v>225815256</v>
      </c>
      <c r="CL828">
        <v>0</v>
      </c>
      <c r="CM828">
        <v>2</v>
      </c>
      <c r="CN828">
        <v>0</v>
      </c>
      <c r="CO828">
        <v>2</v>
      </c>
      <c r="CP828">
        <v>0</v>
      </c>
      <c r="CQ828">
        <v>7</v>
      </c>
      <c r="CR828" t="s">
        <v>116</v>
      </c>
      <c r="CS828">
        <v>147</v>
      </c>
      <c r="CT828">
        <v>0</v>
      </c>
      <c r="CU828" t="s">
        <v>117</v>
      </c>
      <c r="CV828" t="s">
        <v>118</v>
      </c>
      <c r="CY828">
        <v>5232091</v>
      </c>
      <c r="CZ828" t="s">
        <v>119</v>
      </c>
    </row>
    <row r="829" spans="1:104" x14ac:dyDescent="0.25">
      <c r="A829" t="str">
        <f>"14:04:10.523"</f>
        <v>14:04:10.523</v>
      </c>
      <c r="B829" t="s">
        <v>108</v>
      </c>
      <c r="C829" t="str">
        <f t="shared" si="37"/>
        <v>ffdfd3c0</v>
      </c>
      <c r="D829" t="s">
        <v>109</v>
      </c>
      <c r="E829">
        <v>4</v>
      </c>
      <c r="F829">
        <v>1004</v>
      </c>
      <c r="G829" t="s">
        <v>110</v>
      </c>
      <c r="J829" t="s">
        <v>111</v>
      </c>
      <c r="K829">
        <v>0</v>
      </c>
      <c r="L829">
        <v>3</v>
      </c>
      <c r="M829">
        <v>0</v>
      </c>
      <c r="N829">
        <v>2</v>
      </c>
      <c r="O829">
        <v>1</v>
      </c>
      <c r="P829">
        <v>0</v>
      </c>
      <c r="Q829">
        <v>0</v>
      </c>
      <c r="R829" t="s">
        <v>112</v>
      </c>
      <c r="S829" t="str">
        <f>"14:04:10.352"</f>
        <v>14:04:10.352</v>
      </c>
      <c r="T829" t="str">
        <f>"14:04:09.852"</f>
        <v>14:04:09.852</v>
      </c>
      <c r="U829" t="str">
        <f t="shared" si="36"/>
        <v>ad5732</v>
      </c>
      <c r="V829">
        <v>0</v>
      </c>
      <c r="W829">
        <v>0</v>
      </c>
      <c r="X829">
        <v>1</v>
      </c>
      <c r="Z829">
        <v>0</v>
      </c>
      <c r="AA829">
        <v>9</v>
      </c>
      <c r="AB829">
        <v>3</v>
      </c>
      <c r="AC829">
        <v>0</v>
      </c>
      <c r="AD829">
        <v>10</v>
      </c>
      <c r="AE829">
        <v>0</v>
      </c>
      <c r="AF829">
        <v>3</v>
      </c>
      <c r="AG829">
        <v>2</v>
      </c>
      <c r="AH829">
        <v>0</v>
      </c>
      <c r="AI829" t="s">
        <v>1755</v>
      </c>
      <c r="AJ829">
        <v>39.351889999999997</v>
      </c>
      <c r="AK829" t="s">
        <v>1756</v>
      </c>
      <c r="AL829">
        <v>-77.033321999999998</v>
      </c>
      <c r="AM829">
        <v>100</v>
      </c>
      <c r="AN829">
        <v>8700</v>
      </c>
      <c r="AO829" t="s">
        <v>115</v>
      </c>
      <c r="AP829">
        <v>50</v>
      </c>
      <c r="AQ829">
        <v>172</v>
      </c>
      <c r="AR829">
        <v>128</v>
      </c>
      <c r="AZ829">
        <v>3614</v>
      </c>
      <c r="BA829">
        <v>1</v>
      </c>
      <c r="BB829" t="str">
        <f t="shared" si="38"/>
        <v xml:space="preserve">N959MJ  </v>
      </c>
      <c r="BC829">
        <v>1</v>
      </c>
      <c r="BE829">
        <v>0</v>
      </c>
      <c r="BF829">
        <v>0</v>
      </c>
      <c r="BG829">
        <v>0</v>
      </c>
      <c r="BH829">
        <v>9050</v>
      </c>
      <c r="BI829">
        <v>350</v>
      </c>
      <c r="BJ829">
        <v>1</v>
      </c>
      <c r="BK829">
        <v>1</v>
      </c>
      <c r="BL829">
        <v>1</v>
      </c>
      <c r="BM829">
        <v>0</v>
      </c>
      <c r="BP829">
        <v>0</v>
      </c>
      <c r="BQ829">
        <v>0</v>
      </c>
      <c r="BX829" t="str">
        <f>"14:04:10.359"</f>
        <v>14:04:10.359</v>
      </c>
      <c r="BY829" t="str">
        <f>"356330112"</f>
        <v>356330112</v>
      </c>
      <c r="CL829">
        <v>0</v>
      </c>
      <c r="CM829">
        <v>2</v>
      </c>
      <c r="CN829">
        <v>0</v>
      </c>
      <c r="CO829">
        <v>2</v>
      </c>
      <c r="CP829">
        <v>0</v>
      </c>
      <c r="CQ829">
        <v>6</v>
      </c>
      <c r="CR829" t="s">
        <v>116</v>
      </c>
      <c r="CS829">
        <v>147</v>
      </c>
      <c r="CT829">
        <v>0</v>
      </c>
      <c r="CU829" t="s">
        <v>117</v>
      </c>
      <c r="CV829" t="s">
        <v>118</v>
      </c>
      <c r="CY829">
        <v>5233851</v>
      </c>
      <c r="CZ829" t="s">
        <v>119</v>
      </c>
    </row>
    <row r="830" spans="1:104" x14ac:dyDescent="0.25">
      <c r="A830" t="str">
        <f>"14:04:11.586"</f>
        <v>14:04:11.586</v>
      </c>
      <c r="B830" t="s">
        <v>108</v>
      </c>
      <c r="C830" t="str">
        <f t="shared" si="37"/>
        <v>ffdfd3c0</v>
      </c>
      <c r="D830" t="s">
        <v>109</v>
      </c>
      <c r="E830">
        <v>4</v>
      </c>
      <c r="F830">
        <v>1004</v>
      </c>
      <c r="G830" t="s">
        <v>110</v>
      </c>
      <c r="J830" t="s">
        <v>111</v>
      </c>
      <c r="K830">
        <v>0</v>
      </c>
      <c r="L830">
        <v>3</v>
      </c>
      <c r="M830">
        <v>0</v>
      </c>
      <c r="N830">
        <v>2</v>
      </c>
      <c r="O830">
        <v>1</v>
      </c>
      <c r="P830">
        <v>0</v>
      </c>
      <c r="Q830">
        <v>0</v>
      </c>
      <c r="R830" t="s">
        <v>112</v>
      </c>
      <c r="S830" t="str">
        <f>"14:04:11.430"</f>
        <v>14:04:11.430</v>
      </c>
      <c r="T830" t="str">
        <f>"14:04:10.930"</f>
        <v>14:04:10.930</v>
      </c>
      <c r="U830" t="str">
        <f t="shared" si="36"/>
        <v>ad5732</v>
      </c>
      <c r="V830">
        <v>0</v>
      </c>
      <c r="W830">
        <v>0</v>
      </c>
      <c r="X830">
        <v>1</v>
      </c>
      <c r="Z830">
        <v>0</v>
      </c>
      <c r="AA830">
        <v>9</v>
      </c>
      <c r="AB830">
        <v>3</v>
      </c>
      <c r="AC830">
        <v>0</v>
      </c>
      <c r="AD830">
        <v>10</v>
      </c>
      <c r="AE830">
        <v>0</v>
      </c>
      <c r="AF830">
        <v>3</v>
      </c>
      <c r="AG830">
        <v>2</v>
      </c>
      <c r="AH830">
        <v>0</v>
      </c>
      <c r="AI830" t="s">
        <v>1757</v>
      </c>
      <c r="AJ830">
        <v>39.352791000000003</v>
      </c>
      <c r="AK830" t="s">
        <v>1758</v>
      </c>
      <c r="AL830">
        <v>-77.033021000000005</v>
      </c>
      <c r="AM830">
        <v>100</v>
      </c>
      <c r="AN830">
        <v>8700</v>
      </c>
      <c r="AO830" t="s">
        <v>115</v>
      </c>
      <c r="AP830">
        <v>45</v>
      </c>
      <c r="AQ830">
        <v>173</v>
      </c>
      <c r="AR830">
        <v>128</v>
      </c>
      <c r="AZ830">
        <v>3614</v>
      </c>
      <c r="BA830">
        <v>1</v>
      </c>
      <c r="BB830" t="str">
        <f t="shared" si="38"/>
        <v xml:space="preserve">N959MJ  </v>
      </c>
      <c r="BC830">
        <v>1</v>
      </c>
      <c r="BE830">
        <v>0</v>
      </c>
      <c r="BF830">
        <v>0</v>
      </c>
      <c r="BG830">
        <v>0</v>
      </c>
      <c r="BH830">
        <v>9050</v>
      </c>
      <c r="BI830">
        <v>350</v>
      </c>
      <c r="BJ830">
        <v>1</v>
      </c>
      <c r="BK830">
        <v>1</v>
      </c>
      <c r="BL830">
        <v>1</v>
      </c>
      <c r="BM830">
        <v>0</v>
      </c>
      <c r="BP830">
        <v>0</v>
      </c>
      <c r="BQ830">
        <v>0</v>
      </c>
      <c r="BX830" t="str">
        <f>"14:04:11.430"</f>
        <v>14:04:11.430</v>
      </c>
      <c r="BY830" t="str">
        <f>"431138836"</f>
        <v>431138836</v>
      </c>
      <c r="CL830">
        <v>0</v>
      </c>
      <c r="CM830">
        <v>2</v>
      </c>
      <c r="CN830">
        <v>0</v>
      </c>
      <c r="CO830">
        <v>2</v>
      </c>
      <c r="CP830">
        <v>0</v>
      </c>
      <c r="CQ830">
        <v>6</v>
      </c>
      <c r="CR830" t="s">
        <v>116</v>
      </c>
      <c r="CS830">
        <v>525</v>
      </c>
      <c r="CT830">
        <v>1</v>
      </c>
      <c r="CU830" t="s">
        <v>140</v>
      </c>
      <c r="CV830" t="s">
        <v>141</v>
      </c>
      <c r="CY830">
        <v>8361193</v>
      </c>
      <c r="CZ830" t="s">
        <v>119</v>
      </c>
    </row>
    <row r="831" spans="1:104" x14ac:dyDescent="0.25">
      <c r="A831" t="str">
        <f>"14:04:12.594"</f>
        <v>14:04:12.594</v>
      </c>
      <c r="B831" t="s">
        <v>108</v>
      </c>
      <c r="C831" t="str">
        <f t="shared" si="37"/>
        <v>ffdfd3c0</v>
      </c>
      <c r="D831" t="s">
        <v>109</v>
      </c>
      <c r="E831">
        <v>4</v>
      </c>
      <c r="F831">
        <v>1004</v>
      </c>
      <c r="G831" t="s">
        <v>110</v>
      </c>
      <c r="J831" t="s">
        <v>111</v>
      </c>
      <c r="K831">
        <v>0</v>
      </c>
      <c r="L831">
        <v>3</v>
      </c>
      <c r="M831">
        <v>0</v>
      </c>
      <c r="N831">
        <v>2</v>
      </c>
      <c r="O831">
        <v>1</v>
      </c>
      <c r="P831">
        <v>0</v>
      </c>
      <c r="Q831">
        <v>0</v>
      </c>
      <c r="R831" t="s">
        <v>112</v>
      </c>
      <c r="S831" t="str">
        <f>"14:04:12.398"</f>
        <v>14:04:12.398</v>
      </c>
      <c r="T831" t="str">
        <f>"14:04:11.898"</f>
        <v>14:04:11.898</v>
      </c>
      <c r="U831" t="str">
        <f t="shared" si="36"/>
        <v>ad5732</v>
      </c>
      <c r="V831">
        <v>0</v>
      </c>
      <c r="W831">
        <v>0</v>
      </c>
      <c r="X831">
        <v>1</v>
      </c>
      <c r="Z831">
        <v>0</v>
      </c>
      <c r="AA831">
        <v>9</v>
      </c>
      <c r="AB831">
        <v>3</v>
      </c>
      <c r="AC831">
        <v>0</v>
      </c>
      <c r="AD831">
        <v>10</v>
      </c>
      <c r="AE831">
        <v>0</v>
      </c>
      <c r="AF831">
        <v>3</v>
      </c>
      <c r="AG831">
        <v>2</v>
      </c>
      <c r="AH831">
        <v>0</v>
      </c>
      <c r="AI831" t="s">
        <v>1759</v>
      </c>
      <c r="AJ831">
        <v>39.353585000000002</v>
      </c>
      <c r="AK831" t="s">
        <v>1760</v>
      </c>
      <c r="AL831">
        <v>-77.032785000000004</v>
      </c>
      <c r="AM831">
        <v>100</v>
      </c>
      <c r="AN831">
        <v>8700</v>
      </c>
      <c r="AO831" t="s">
        <v>115</v>
      </c>
      <c r="AP831">
        <v>41</v>
      </c>
      <c r="AQ831">
        <v>174</v>
      </c>
      <c r="AR831">
        <v>128</v>
      </c>
      <c r="AZ831">
        <v>3614</v>
      </c>
      <c r="BA831">
        <v>1</v>
      </c>
      <c r="BB831" t="str">
        <f t="shared" si="38"/>
        <v xml:space="preserve">N959MJ  </v>
      </c>
      <c r="BC831">
        <v>1</v>
      </c>
      <c r="BE831">
        <v>0</v>
      </c>
      <c r="BF831">
        <v>0</v>
      </c>
      <c r="BG831">
        <v>0</v>
      </c>
      <c r="BH831">
        <v>9050</v>
      </c>
      <c r="BI831">
        <v>350</v>
      </c>
      <c r="BJ831">
        <v>1</v>
      </c>
      <c r="BK831">
        <v>1</v>
      </c>
      <c r="BL831">
        <v>1</v>
      </c>
      <c r="BM831">
        <v>0</v>
      </c>
      <c r="BP831">
        <v>0</v>
      </c>
      <c r="BQ831">
        <v>0</v>
      </c>
      <c r="BX831" t="str">
        <f>"14:04:12.406"</f>
        <v>14:04:12.406</v>
      </c>
      <c r="BY831" t="str">
        <f>"404676307"</f>
        <v>404676307</v>
      </c>
      <c r="CL831">
        <v>0</v>
      </c>
      <c r="CM831">
        <v>2</v>
      </c>
      <c r="CN831">
        <v>0</v>
      </c>
      <c r="CO831">
        <v>2</v>
      </c>
      <c r="CP831">
        <v>0</v>
      </c>
      <c r="CQ831">
        <v>5</v>
      </c>
      <c r="CR831" t="s">
        <v>116</v>
      </c>
      <c r="CS831">
        <v>379</v>
      </c>
      <c r="CT831">
        <v>0</v>
      </c>
      <c r="CU831" t="s">
        <v>538</v>
      </c>
      <c r="CV831" t="s">
        <v>539</v>
      </c>
      <c r="CY831">
        <v>6661521</v>
      </c>
      <c r="CZ831" t="s">
        <v>119</v>
      </c>
    </row>
    <row r="832" spans="1:104" x14ac:dyDescent="0.25">
      <c r="A832" t="str">
        <f>"14:04:13.656"</f>
        <v>14:04:13.656</v>
      </c>
      <c r="B832" t="s">
        <v>108</v>
      </c>
      <c r="C832" t="str">
        <f t="shared" si="37"/>
        <v>ffdfd3c0</v>
      </c>
      <c r="D832" t="s">
        <v>109</v>
      </c>
      <c r="E832">
        <v>4</v>
      </c>
      <c r="F832">
        <v>1004</v>
      </c>
      <c r="G832" t="s">
        <v>110</v>
      </c>
      <c r="J832" t="s">
        <v>111</v>
      </c>
      <c r="K832">
        <v>0</v>
      </c>
      <c r="L832">
        <v>3</v>
      </c>
      <c r="M832">
        <v>0</v>
      </c>
      <c r="N832">
        <v>2</v>
      </c>
      <c r="O832">
        <v>1</v>
      </c>
      <c r="P832">
        <v>0</v>
      </c>
      <c r="Q832">
        <v>0</v>
      </c>
      <c r="R832" t="s">
        <v>112</v>
      </c>
      <c r="S832" t="str">
        <f>"14:04:13.445"</f>
        <v>14:04:13.445</v>
      </c>
      <c r="T832" t="str">
        <f>"14:04:13.047"</f>
        <v>14:04:13.047</v>
      </c>
      <c r="U832" t="str">
        <f t="shared" si="36"/>
        <v>ad5732</v>
      </c>
      <c r="V832">
        <v>0</v>
      </c>
      <c r="W832">
        <v>0</v>
      </c>
      <c r="X832">
        <v>1</v>
      </c>
      <c r="Z832">
        <v>0</v>
      </c>
      <c r="AA832">
        <v>9</v>
      </c>
      <c r="AB832">
        <v>3</v>
      </c>
      <c r="AC832">
        <v>0</v>
      </c>
      <c r="AD832">
        <v>10</v>
      </c>
      <c r="AE832">
        <v>0</v>
      </c>
      <c r="AF832">
        <v>3</v>
      </c>
      <c r="AG832">
        <v>2</v>
      </c>
      <c r="AH832">
        <v>0</v>
      </c>
      <c r="AI832" t="s">
        <v>1761</v>
      </c>
      <c r="AJ832">
        <v>39.354379000000002</v>
      </c>
      <c r="AK832" t="s">
        <v>1762</v>
      </c>
      <c r="AL832">
        <v>-77.032527999999999</v>
      </c>
      <c r="AM832">
        <v>100</v>
      </c>
      <c r="AN832">
        <v>8700</v>
      </c>
      <c r="AO832" t="s">
        <v>115</v>
      </c>
      <c r="AP832">
        <v>37</v>
      </c>
      <c r="AQ832">
        <v>174</v>
      </c>
      <c r="AR832">
        <v>64</v>
      </c>
      <c r="AZ832">
        <v>3614</v>
      </c>
      <c r="BA832">
        <v>1</v>
      </c>
      <c r="BB832" t="str">
        <f t="shared" si="38"/>
        <v xml:space="preserve">N959MJ  </v>
      </c>
      <c r="BC832">
        <v>1</v>
      </c>
      <c r="BE832">
        <v>0</v>
      </c>
      <c r="BF832">
        <v>0</v>
      </c>
      <c r="BG832">
        <v>0</v>
      </c>
      <c r="BH832">
        <v>9050</v>
      </c>
      <c r="BI832">
        <v>350</v>
      </c>
      <c r="BJ832">
        <v>1</v>
      </c>
      <c r="BK832">
        <v>1</v>
      </c>
      <c r="BL832">
        <v>1</v>
      </c>
      <c r="BM832">
        <v>0</v>
      </c>
      <c r="BP832">
        <v>0</v>
      </c>
      <c r="BQ832">
        <v>0</v>
      </c>
      <c r="BX832" t="str">
        <f>"14:04:13.453"</f>
        <v>14:04:13.453</v>
      </c>
      <c r="BY832" t="str">
        <f>"449833295"</f>
        <v>449833295</v>
      </c>
      <c r="CL832">
        <v>0</v>
      </c>
      <c r="CM832">
        <v>2</v>
      </c>
      <c r="CN832">
        <v>0</v>
      </c>
      <c r="CO832">
        <v>2</v>
      </c>
      <c r="CP832">
        <v>0</v>
      </c>
      <c r="CQ832">
        <v>6</v>
      </c>
      <c r="CR832" t="s">
        <v>116</v>
      </c>
      <c r="CS832">
        <v>396</v>
      </c>
      <c r="CT832">
        <v>2</v>
      </c>
      <c r="CU832" t="s">
        <v>939</v>
      </c>
      <c r="CV832" t="s">
        <v>940</v>
      </c>
      <c r="CY832">
        <v>4189564</v>
      </c>
      <c r="CZ832" t="s">
        <v>119</v>
      </c>
    </row>
    <row r="833" spans="1:104" x14ac:dyDescent="0.25">
      <c r="A833" t="str">
        <f>"14:04:14.609"</f>
        <v>14:04:14.609</v>
      </c>
      <c r="B833" t="s">
        <v>108</v>
      </c>
      <c r="C833" t="str">
        <f t="shared" si="37"/>
        <v>ffdfd3c0</v>
      </c>
      <c r="D833" t="s">
        <v>109</v>
      </c>
      <c r="E833">
        <v>4</v>
      </c>
      <c r="F833">
        <v>1004</v>
      </c>
      <c r="G833" t="s">
        <v>110</v>
      </c>
      <c r="J833" t="s">
        <v>111</v>
      </c>
      <c r="K833">
        <v>0</v>
      </c>
      <c r="L833">
        <v>3</v>
      </c>
      <c r="M833">
        <v>0</v>
      </c>
      <c r="N833">
        <v>2</v>
      </c>
      <c r="O833">
        <v>1</v>
      </c>
      <c r="P833">
        <v>0</v>
      </c>
      <c r="Q833">
        <v>0</v>
      </c>
      <c r="R833" t="s">
        <v>112</v>
      </c>
      <c r="S833" t="str">
        <f>"14:04:14.422"</f>
        <v>14:04:14.422</v>
      </c>
      <c r="T833" t="str">
        <f>"14:04:13.922"</f>
        <v>14:04:13.922</v>
      </c>
      <c r="U833" t="str">
        <f t="shared" si="36"/>
        <v>ad5732</v>
      </c>
      <c r="V833">
        <v>0</v>
      </c>
      <c r="W833">
        <v>0</v>
      </c>
      <c r="X833">
        <v>1</v>
      </c>
      <c r="Z833">
        <v>0</v>
      </c>
      <c r="AA833">
        <v>9</v>
      </c>
      <c r="AB833">
        <v>3</v>
      </c>
      <c r="AC833">
        <v>0</v>
      </c>
      <c r="AD833">
        <v>10</v>
      </c>
      <c r="AE833">
        <v>0</v>
      </c>
      <c r="AF833">
        <v>3</v>
      </c>
      <c r="AG833">
        <v>2</v>
      </c>
      <c r="AH833">
        <v>0</v>
      </c>
      <c r="AI833" t="s">
        <v>1763</v>
      </c>
      <c r="AJ833">
        <v>39.355215999999999</v>
      </c>
      <c r="AK833" t="s">
        <v>1764</v>
      </c>
      <c r="AL833">
        <v>-77.032355999999993</v>
      </c>
      <c r="AM833">
        <v>100</v>
      </c>
      <c r="AN833">
        <v>8700</v>
      </c>
      <c r="AO833" t="s">
        <v>115</v>
      </c>
      <c r="AP833">
        <v>35</v>
      </c>
      <c r="AQ833">
        <v>174</v>
      </c>
      <c r="AR833">
        <v>64</v>
      </c>
      <c r="AZ833">
        <v>3614</v>
      </c>
      <c r="BA833">
        <v>1</v>
      </c>
      <c r="BB833" t="str">
        <f t="shared" si="38"/>
        <v xml:space="preserve">N959MJ  </v>
      </c>
      <c r="BC833">
        <v>1</v>
      </c>
      <c r="BE833">
        <v>0</v>
      </c>
      <c r="BF833">
        <v>0</v>
      </c>
      <c r="BG833">
        <v>0</v>
      </c>
      <c r="BH833">
        <v>9050</v>
      </c>
      <c r="BI833">
        <v>350</v>
      </c>
      <c r="BJ833">
        <v>1</v>
      </c>
      <c r="BK833">
        <v>1</v>
      </c>
      <c r="BL833">
        <v>1</v>
      </c>
      <c r="BM833">
        <v>0</v>
      </c>
      <c r="BP833">
        <v>0</v>
      </c>
      <c r="BQ833">
        <v>0</v>
      </c>
      <c r="BX833" t="str">
        <f>"14:04:14.430"</f>
        <v>14:04:14.430</v>
      </c>
      <c r="BY833" t="str">
        <f>"426182813"</f>
        <v>426182813</v>
      </c>
      <c r="CL833">
        <v>0</v>
      </c>
      <c r="CM833">
        <v>2</v>
      </c>
      <c r="CN833">
        <v>0</v>
      </c>
      <c r="CO833">
        <v>2</v>
      </c>
      <c r="CP833">
        <v>0</v>
      </c>
      <c r="CQ833">
        <v>7</v>
      </c>
      <c r="CR833" t="s">
        <v>116</v>
      </c>
      <c r="CS833">
        <v>525</v>
      </c>
      <c r="CT833">
        <v>1</v>
      </c>
      <c r="CU833" t="s">
        <v>140</v>
      </c>
      <c r="CV833" t="s">
        <v>141</v>
      </c>
      <c r="CY833">
        <v>8365587</v>
      </c>
      <c r="CZ833" t="s">
        <v>119</v>
      </c>
    </row>
    <row r="834" spans="1:104" x14ac:dyDescent="0.25">
      <c r="A834" t="str">
        <f>"14:04:15.523"</f>
        <v>14:04:15.523</v>
      </c>
      <c r="B834" t="s">
        <v>108</v>
      </c>
      <c r="C834" t="str">
        <f t="shared" si="37"/>
        <v>ffdfd3c0</v>
      </c>
      <c r="D834" t="s">
        <v>109</v>
      </c>
      <c r="E834">
        <v>4</v>
      </c>
      <c r="F834">
        <v>1004</v>
      </c>
      <c r="G834" t="s">
        <v>110</v>
      </c>
      <c r="J834" t="s">
        <v>111</v>
      </c>
      <c r="K834">
        <v>0</v>
      </c>
      <c r="L834">
        <v>3</v>
      </c>
      <c r="M834">
        <v>0</v>
      </c>
      <c r="N834">
        <v>2</v>
      </c>
      <c r="O834">
        <v>1</v>
      </c>
      <c r="P834">
        <v>0</v>
      </c>
      <c r="Q834">
        <v>0</v>
      </c>
      <c r="R834" t="s">
        <v>112</v>
      </c>
      <c r="S834" t="str">
        <f>"14:04:15.313"</f>
        <v>14:04:15.313</v>
      </c>
      <c r="T834" t="str">
        <f>"14:04:14.914"</f>
        <v>14:04:14.914</v>
      </c>
      <c r="U834" t="str">
        <f t="shared" ref="U834:U897" si="39">"ad5732"</f>
        <v>ad5732</v>
      </c>
      <c r="V834">
        <v>0</v>
      </c>
      <c r="W834">
        <v>0</v>
      </c>
      <c r="X834">
        <v>1</v>
      </c>
      <c r="Z834">
        <v>0</v>
      </c>
      <c r="AA834">
        <v>9</v>
      </c>
      <c r="AB834">
        <v>3</v>
      </c>
      <c r="AC834">
        <v>0</v>
      </c>
      <c r="AD834">
        <v>10</v>
      </c>
      <c r="AE834">
        <v>0</v>
      </c>
      <c r="AF834">
        <v>3</v>
      </c>
      <c r="AG834">
        <v>2</v>
      </c>
      <c r="AH834">
        <v>0</v>
      </c>
      <c r="AI834" t="s">
        <v>1765</v>
      </c>
      <c r="AJ834">
        <v>39.355902999999998</v>
      </c>
      <c r="AK834" t="s">
        <v>1766</v>
      </c>
      <c r="AL834">
        <v>-77.032184999999998</v>
      </c>
      <c r="AM834">
        <v>100</v>
      </c>
      <c r="AN834">
        <v>8700</v>
      </c>
      <c r="AO834" t="s">
        <v>115</v>
      </c>
      <c r="AP834">
        <v>33</v>
      </c>
      <c r="AQ834">
        <v>174</v>
      </c>
      <c r="AR834">
        <v>64</v>
      </c>
      <c r="AZ834">
        <v>3614</v>
      </c>
      <c r="BA834">
        <v>1</v>
      </c>
      <c r="BB834" t="str">
        <f t="shared" si="38"/>
        <v xml:space="preserve">N959MJ  </v>
      </c>
      <c r="BC834">
        <v>1</v>
      </c>
      <c r="BE834">
        <v>0</v>
      </c>
      <c r="BF834">
        <v>0</v>
      </c>
      <c r="BG834">
        <v>0</v>
      </c>
      <c r="BH834">
        <v>9050</v>
      </c>
      <c r="BI834">
        <v>350</v>
      </c>
      <c r="BJ834">
        <v>1</v>
      </c>
      <c r="BK834">
        <v>1</v>
      </c>
      <c r="BL834">
        <v>1</v>
      </c>
      <c r="BM834">
        <v>0</v>
      </c>
      <c r="BP834">
        <v>0</v>
      </c>
      <c r="BQ834">
        <v>0</v>
      </c>
      <c r="BX834" t="str">
        <f>"14:04:15.320"</f>
        <v>14:04:15.320</v>
      </c>
      <c r="BY834" t="str">
        <f>"317486919"</f>
        <v>317486919</v>
      </c>
      <c r="CL834">
        <v>0</v>
      </c>
      <c r="CM834">
        <v>2</v>
      </c>
      <c r="CN834">
        <v>0</v>
      </c>
      <c r="CO834">
        <v>2</v>
      </c>
      <c r="CP834">
        <v>0</v>
      </c>
      <c r="CQ834">
        <v>7</v>
      </c>
      <c r="CR834" t="s">
        <v>116</v>
      </c>
      <c r="CS834">
        <v>525</v>
      </c>
      <c r="CT834">
        <v>1</v>
      </c>
      <c r="CU834" t="s">
        <v>140</v>
      </c>
      <c r="CV834" t="s">
        <v>141</v>
      </c>
      <c r="CY834">
        <v>8366878</v>
      </c>
      <c r="CZ834" t="s">
        <v>119</v>
      </c>
    </row>
    <row r="835" spans="1:104" x14ac:dyDescent="0.25">
      <c r="A835" t="str">
        <f>"14:04:16.680"</f>
        <v>14:04:16.680</v>
      </c>
      <c r="B835" t="s">
        <v>108</v>
      </c>
      <c r="C835" t="str">
        <f t="shared" si="37"/>
        <v>ffdfd3c0</v>
      </c>
      <c r="D835" t="s">
        <v>109</v>
      </c>
      <c r="E835">
        <v>4</v>
      </c>
      <c r="F835">
        <v>1004</v>
      </c>
      <c r="G835" t="s">
        <v>110</v>
      </c>
      <c r="J835" t="s">
        <v>111</v>
      </c>
      <c r="K835">
        <v>0</v>
      </c>
      <c r="L835">
        <v>3</v>
      </c>
      <c r="M835">
        <v>0</v>
      </c>
      <c r="N835">
        <v>2</v>
      </c>
      <c r="O835">
        <v>1</v>
      </c>
      <c r="P835">
        <v>0</v>
      </c>
      <c r="Q835">
        <v>0</v>
      </c>
      <c r="R835" t="s">
        <v>112</v>
      </c>
      <c r="S835" t="str">
        <f>"14:04:16.484"</f>
        <v>14:04:16.484</v>
      </c>
      <c r="T835" t="str">
        <f>"14:04:15.984"</f>
        <v>14:04:15.984</v>
      </c>
      <c r="U835" t="str">
        <f t="shared" si="39"/>
        <v>ad5732</v>
      </c>
      <c r="V835">
        <v>0</v>
      </c>
      <c r="W835">
        <v>0</v>
      </c>
      <c r="X835">
        <v>1</v>
      </c>
      <c r="Z835">
        <v>0</v>
      </c>
      <c r="AA835">
        <v>9</v>
      </c>
      <c r="AB835">
        <v>3</v>
      </c>
      <c r="AC835">
        <v>0</v>
      </c>
      <c r="AD835">
        <v>10</v>
      </c>
      <c r="AE835">
        <v>0</v>
      </c>
      <c r="AF835">
        <v>3</v>
      </c>
      <c r="AG835">
        <v>2</v>
      </c>
      <c r="AH835">
        <v>0</v>
      </c>
      <c r="AI835" t="s">
        <v>1767</v>
      </c>
      <c r="AJ835">
        <v>39.356867999999999</v>
      </c>
      <c r="AK835" t="s">
        <v>1768</v>
      </c>
      <c r="AL835">
        <v>-77.031948999999997</v>
      </c>
      <c r="AM835">
        <v>100</v>
      </c>
      <c r="AN835">
        <v>8700</v>
      </c>
      <c r="AO835" t="s">
        <v>115</v>
      </c>
      <c r="AP835">
        <v>32</v>
      </c>
      <c r="AQ835">
        <v>174</v>
      </c>
      <c r="AR835">
        <v>0</v>
      </c>
      <c r="AZ835">
        <v>3614</v>
      </c>
      <c r="BA835">
        <v>1</v>
      </c>
      <c r="BB835" t="str">
        <f t="shared" si="38"/>
        <v xml:space="preserve">N959MJ  </v>
      </c>
      <c r="BC835">
        <v>1</v>
      </c>
      <c r="BE835">
        <v>0</v>
      </c>
      <c r="BF835">
        <v>0</v>
      </c>
      <c r="BG835">
        <v>0</v>
      </c>
      <c r="BH835">
        <v>9050</v>
      </c>
      <c r="BI835">
        <v>350</v>
      </c>
      <c r="BJ835">
        <v>1</v>
      </c>
      <c r="BK835">
        <v>1</v>
      </c>
      <c r="BL835">
        <v>1</v>
      </c>
      <c r="BM835">
        <v>0</v>
      </c>
      <c r="BP835">
        <v>0</v>
      </c>
      <c r="BQ835">
        <v>0</v>
      </c>
      <c r="BX835" t="str">
        <f>"14:04:16.492"</f>
        <v>14:04:16.492</v>
      </c>
      <c r="BY835" t="str">
        <f>"488962092"</f>
        <v>488962092</v>
      </c>
      <c r="CL835">
        <v>0</v>
      </c>
      <c r="CM835">
        <v>2</v>
      </c>
      <c r="CN835">
        <v>0</v>
      </c>
      <c r="CO835">
        <v>2</v>
      </c>
      <c r="CP835">
        <v>0</v>
      </c>
      <c r="CQ835">
        <v>7</v>
      </c>
      <c r="CR835" t="s">
        <v>116</v>
      </c>
      <c r="CS835">
        <v>525</v>
      </c>
      <c r="CT835">
        <v>1</v>
      </c>
      <c r="CU835" t="s">
        <v>140</v>
      </c>
      <c r="CV835" t="s">
        <v>141</v>
      </c>
      <c r="CY835">
        <v>8368577</v>
      </c>
      <c r="CZ835" t="s">
        <v>119</v>
      </c>
    </row>
    <row r="836" spans="1:104" x14ac:dyDescent="0.25">
      <c r="A836" t="str">
        <f>"14:04:17.594"</f>
        <v>14:04:17.594</v>
      </c>
      <c r="B836" t="s">
        <v>108</v>
      </c>
      <c r="C836" t="str">
        <f t="shared" si="37"/>
        <v>ffdfd3c0</v>
      </c>
      <c r="D836" t="s">
        <v>109</v>
      </c>
      <c r="E836">
        <v>4</v>
      </c>
      <c r="F836">
        <v>1004</v>
      </c>
      <c r="G836" t="s">
        <v>110</v>
      </c>
      <c r="J836" t="s">
        <v>111</v>
      </c>
      <c r="K836">
        <v>0</v>
      </c>
      <c r="L836">
        <v>3</v>
      </c>
      <c r="M836">
        <v>0</v>
      </c>
      <c r="N836">
        <v>2</v>
      </c>
      <c r="O836">
        <v>1</v>
      </c>
      <c r="P836">
        <v>0</v>
      </c>
      <c r="Q836">
        <v>0</v>
      </c>
      <c r="R836" t="s">
        <v>112</v>
      </c>
      <c r="S836" t="str">
        <f>"14:04:17.414"</f>
        <v>14:04:17.414</v>
      </c>
      <c r="T836" t="str">
        <f>"14:04:17.016"</f>
        <v>14:04:17.016</v>
      </c>
      <c r="U836" t="str">
        <f t="shared" si="39"/>
        <v>ad5732</v>
      </c>
      <c r="V836">
        <v>0</v>
      </c>
      <c r="W836">
        <v>0</v>
      </c>
      <c r="X836">
        <v>1</v>
      </c>
      <c r="Z836">
        <v>0</v>
      </c>
      <c r="AA836">
        <v>9</v>
      </c>
      <c r="AB836">
        <v>3</v>
      </c>
      <c r="AC836">
        <v>0</v>
      </c>
      <c r="AD836">
        <v>10</v>
      </c>
      <c r="AE836">
        <v>0</v>
      </c>
      <c r="AF836">
        <v>3</v>
      </c>
      <c r="AG836">
        <v>2</v>
      </c>
      <c r="AH836">
        <v>0</v>
      </c>
      <c r="AI836" t="s">
        <v>1769</v>
      </c>
      <c r="AJ836">
        <v>39.357641000000001</v>
      </c>
      <c r="AK836" t="s">
        <v>1770</v>
      </c>
      <c r="AL836">
        <v>-77.031797999999995</v>
      </c>
      <c r="AM836">
        <v>100</v>
      </c>
      <c r="AN836">
        <v>8700</v>
      </c>
      <c r="AO836" t="s">
        <v>115</v>
      </c>
      <c r="AP836">
        <v>33</v>
      </c>
      <c r="AQ836">
        <v>174</v>
      </c>
      <c r="AR836">
        <v>0</v>
      </c>
      <c r="AZ836">
        <v>3614</v>
      </c>
      <c r="BA836">
        <v>1</v>
      </c>
      <c r="BB836" t="str">
        <f t="shared" si="38"/>
        <v xml:space="preserve">N959MJ  </v>
      </c>
      <c r="BC836">
        <v>1</v>
      </c>
      <c r="BE836">
        <v>0</v>
      </c>
      <c r="BF836">
        <v>0</v>
      </c>
      <c r="BG836">
        <v>0</v>
      </c>
      <c r="BH836">
        <v>9050</v>
      </c>
      <c r="BI836">
        <v>350</v>
      </c>
      <c r="BJ836">
        <v>1</v>
      </c>
      <c r="BK836">
        <v>1</v>
      </c>
      <c r="BL836">
        <v>1</v>
      </c>
      <c r="BM836">
        <v>0</v>
      </c>
      <c r="BP836">
        <v>0</v>
      </c>
      <c r="BQ836">
        <v>0</v>
      </c>
      <c r="BX836" t="str">
        <f>"14:04:17.414"</f>
        <v>14:04:17.414</v>
      </c>
      <c r="BY836" t="str">
        <f>"414673124"</f>
        <v>414673124</v>
      </c>
      <c r="CL836">
        <v>0</v>
      </c>
      <c r="CM836">
        <v>2</v>
      </c>
      <c r="CN836">
        <v>0</v>
      </c>
      <c r="CO836">
        <v>2</v>
      </c>
      <c r="CP836">
        <v>0</v>
      </c>
      <c r="CQ836">
        <v>7</v>
      </c>
      <c r="CR836" t="s">
        <v>116</v>
      </c>
      <c r="CS836">
        <v>525</v>
      </c>
      <c r="CT836">
        <v>1</v>
      </c>
      <c r="CU836" t="s">
        <v>140</v>
      </c>
      <c r="CV836" t="s">
        <v>141</v>
      </c>
      <c r="CY836">
        <v>8369946</v>
      </c>
      <c r="CZ836" t="s">
        <v>119</v>
      </c>
    </row>
    <row r="837" spans="1:104" x14ac:dyDescent="0.25">
      <c r="A837" t="str">
        <f>"14:04:18.445"</f>
        <v>14:04:18.445</v>
      </c>
      <c r="B837" t="s">
        <v>108</v>
      </c>
      <c r="C837" t="str">
        <f t="shared" si="37"/>
        <v>ffdfd3c0</v>
      </c>
      <c r="D837" t="s">
        <v>109</v>
      </c>
      <c r="E837">
        <v>4</v>
      </c>
      <c r="F837">
        <v>1004</v>
      </c>
      <c r="G837" t="s">
        <v>110</v>
      </c>
      <c r="J837" t="s">
        <v>111</v>
      </c>
      <c r="K837">
        <v>0</v>
      </c>
      <c r="L837">
        <v>3</v>
      </c>
      <c r="M837">
        <v>0</v>
      </c>
      <c r="N837">
        <v>2</v>
      </c>
      <c r="O837">
        <v>1</v>
      </c>
      <c r="P837">
        <v>0</v>
      </c>
      <c r="Q837">
        <v>0</v>
      </c>
      <c r="R837" t="s">
        <v>112</v>
      </c>
      <c r="S837" t="str">
        <f>"14:04:18.258"</f>
        <v>14:04:18.258</v>
      </c>
      <c r="T837" t="str">
        <f>"14:04:17.859"</f>
        <v>14:04:17.859</v>
      </c>
      <c r="U837" t="str">
        <f t="shared" si="39"/>
        <v>ad5732</v>
      </c>
      <c r="V837">
        <v>0</v>
      </c>
      <c r="W837">
        <v>0</v>
      </c>
      <c r="X837">
        <v>1</v>
      </c>
      <c r="Z837">
        <v>0</v>
      </c>
      <c r="AA837">
        <v>9</v>
      </c>
      <c r="AB837">
        <v>3</v>
      </c>
      <c r="AC837">
        <v>0</v>
      </c>
      <c r="AD837">
        <v>10</v>
      </c>
      <c r="AE837">
        <v>0</v>
      </c>
      <c r="AF837">
        <v>3</v>
      </c>
      <c r="AG837">
        <v>2</v>
      </c>
      <c r="AH837">
        <v>0</v>
      </c>
      <c r="AI837" t="s">
        <v>1771</v>
      </c>
      <c r="AJ837">
        <v>39.358283999999998</v>
      </c>
      <c r="AK837" t="s">
        <v>1772</v>
      </c>
      <c r="AL837">
        <v>-77.031627</v>
      </c>
      <c r="AM837">
        <v>100</v>
      </c>
      <c r="AN837">
        <v>8700</v>
      </c>
      <c r="AO837" t="s">
        <v>115</v>
      </c>
      <c r="AP837">
        <v>35</v>
      </c>
      <c r="AQ837">
        <v>174</v>
      </c>
      <c r="AR837">
        <v>-64</v>
      </c>
      <c r="AZ837">
        <v>3614</v>
      </c>
      <c r="BA837">
        <v>1</v>
      </c>
      <c r="BB837" t="str">
        <f t="shared" si="38"/>
        <v xml:space="preserve">N959MJ  </v>
      </c>
      <c r="BC837">
        <v>1</v>
      </c>
      <c r="BE837">
        <v>0</v>
      </c>
      <c r="BF837">
        <v>0</v>
      </c>
      <c r="BG837">
        <v>0</v>
      </c>
      <c r="BH837">
        <v>9050</v>
      </c>
      <c r="BI837">
        <v>350</v>
      </c>
      <c r="BJ837">
        <v>1</v>
      </c>
      <c r="BK837">
        <v>1</v>
      </c>
      <c r="BL837">
        <v>1</v>
      </c>
      <c r="BM837">
        <v>0</v>
      </c>
      <c r="BP837">
        <v>0</v>
      </c>
      <c r="BQ837">
        <v>0</v>
      </c>
      <c r="BX837" t="str">
        <f>"14:04:18.266"</f>
        <v>14:04:18.266</v>
      </c>
      <c r="BY837" t="str">
        <f>"263378104"</f>
        <v>263378104</v>
      </c>
      <c r="CL837">
        <v>0</v>
      </c>
      <c r="CM837">
        <v>2</v>
      </c>
      <c r="CN837">
        <v>0</v>
      </c>
      <c r="CO837">
        <v>2</v>
      </c>
      <c r="CP837">
        <v>0</v>
      </c>
      <c r="CQ837">
        <v>7</v>
      </c>
      <c r="CR837" t="s">
        <v>116</v>
      </c>
      <c r="CS837">
        <v>525</v>
      </c>
      <c r="CT837">
        <v>1</v>
      </c>
      <c r="CU837" t="s">
        <v>140</v>
      </c>
      <c r="CV837" t="s">
        <v>141</v>
      </c>
      <c r="CY837">
        <v>8371188</v>
      </c>
      <c r="CZ837" t="s">
        <v>119</v>
      </c>
    </row>
    <row r="838" spans="1:104" x14ac:dyDescent="0.25">
      <c r="A838" t="str">
        <f>"14:04:19.406"</f>
        <v>14:04:19.406</v>
      </c>
      <c r="B838" t="s">
        <v>108</v>
      </c>
      <c r="C838" t="str">
        <f t="shared" si="37"/>
        <v>ffdfd3c0</v>
      </c>
      <c r="D838" t="s">
        <v>109</v>
      </c>
      <c r="E838">
        <v>4</v>
      </c>
      <c r="F838">
        <v>1004</v>
      </c>
      <c r="G838" t="s">
        <v>110</v>
      </c>
      <c r="J838" t="s">
        <v>111</v>
      </c>
      <c r="K838">
        <v>0</v>
      </c>
      <c r="L838">
        <v>3</v>
      </c>
      <c r="M838">
        <v>0</v>
      </c>
      <c r="N838">
        <v>2</v>
      </c>
      <c r="O838">
        <v>1</v>
      </c>
      <c r="P838">
        <v>0</v>
      </c>
      <c r="Q838">
        <v>0</v>
      </c>
      <c r="R838" t="s">
        <v>112</v>
      </c>
      <c r="S838" t="str">
        <f>"14:04:19.234"</f>
        <v>14:04:19.234</v>
      </c>
      <c r="T838" t="str">
        <f>"14:04:18.734"</f>
        <v>14:04:18.734</v>
      </c>
      <c r="U838" t="str">
        <f t="shared" si="39"/>
        <v>ad5732</v>
      </c>
      <c r="V838">
        <v>0</v>
      </c>
      <c r="W838">
        <v>0</v>
      </c>
      <c r="X838">
        <v>1</v>
      </c>
      <c r="Z838">
        <v>0</v>
      </c>
      <c r="AA838">
        <v>9</v>
      </c>
      <c r="AB838">
        <v>3</v>
      </c>
      <c r="AC838">
        <v>0</v>
      </c>
      <c r="AD838">
        <v>10</v>
      </c>
      <c r="AE838">
        <v>0</v>
      </c>
      <c r="AF838">
        <v>3</v>
      </c>
      <c r="AG838">
        <v>2</v>
      </c>
      <c r="AH838">
        <v>0</v>
      </c>
      <c r="AI838" t="s">
        <v>1773</v>
      </c>
      <c r="AJ838">
        <v>39.359077999999997</v>
      </c>
      <c r="AK838" t="s">
        <v>1774</v>
      </c>
      <c r="AL838">
        <v>-77.031368999999998</v>
      </c>
      <c r="AM838">
        <v>100</v>
      </c>
      <c r="AN838">
        <v>8700</v>
      </c>
      <c r="AO838" t="s">
        <v>115</v>
      </c>
      <c r="AP838">
        <v>37</v>
      </c>
      <c r="AQ838">
        <v>174</v>
      </c>
      <c r="AR838">
        <v>-128</v>
      </c>
      <c r="AZ838">
        <v>3614</v>
      </c>
      <c r="BA838">
        <v>1</v>
      </c>
      <c r="BB838" t="str">
        <f t="shared" si="38"/>
        <v xml:space="preserve">N959MJ  </v>
      </c>
      <c r="BC838">
        <v>1</v>
      </c>
      <c r="BE838">
        <v>0</v>
      </c>
      <c r="BF838">
        <v>0</v>
      </c>
      <c r="BG838">
        <v>0</v>
      </c>
      <c r="BH838">
        <v>9050</v>
      </c>
      <c r="BI838">
        <v>350</v>
      </c>
      <c r="BJ838">
        <v>1</v>
      </c>
      <c r="BK838">
        <v>1</v>
      </c>
      <c r="BL838">
        <v>1</v>
      </c>
      <c r="BM838">
        <v>0</v>
      </c>
      <c r="BP838">
        <v>0</v>
      </c>
      <c r="BQ838">
        <v>0</v>
      </c>
      <c r="BX838" t="str">
        <f>"14:04:19.242"</f>
        <v>14:04:19.242</v>
      </c>
      <c r="BY838" t="str">
        <f>"239880429"</f>
        <v>239880429</v>
      </c>
      <c r="CL838">
        <v>0</v>
      </c>
      <c r="CM838">
        <v>2</v>
      </c>
      <c r="CN838">
        <v>0</v>
      </c>
      <c r="CO838">
        <v>2</v>
      </c>
      <c r="CP838">
        <v>0</v>
      </c>
      <c r="CQ838">
        <v>7</v>
      </c>
      <c r="CR838" t="s">
        <v>116</v>
      </c>
      <c r="CS838">
        <v>525</v>
      </c>
      <c r="CT838">
        <v>1</v>
      </c>
      <c r="CU838" t="s">
        <v>140</v>
      </c>
      <c r="CV838" t="s">
        <v>141</v>
      </c>
      <c r="CY838">
        <v>8372607</v>
      </c>
      <c r="CZ838" t="s">
        <v>119</v>
      </c>
    </row>
    <row r="839" spans="1:104" x14ac:dyDescent="0.25">
      <c r="A839" t="str">
        <f>"14:04:20.469"</f>
        <v>14:04:20.469</v>
      </c>
      <c r="B839" t="s">
        <v>108</v>
      </c>
      <c r="C839" t="str">
        <f t="shared" si="37"/>
        <v>ffdfd3c0</v>
      </c>
      <c r="D839" t="s">
        <v>109</v>
      </c>
      <c r="E839">
        <v>4</v>
      </c>
      <c r="F839">
        <v>1004</v>
      </c>
      <c r="G839" t="s">
        <v>110</v>
      </c>
      <c r="J839" t="s">
        <v>111</v>
      </c>
      <c r="K839">
        <v>0</v>
      </c>
      <c r="L839">
        <v>3</v>
      </c>
      <c r="M839">
        <v>0</v>
      </c>
      <c r="N839">
        <v>2</v>
      </c>
      <c r="O839">
        <v>1</v>
      </c>
      <c r="P839">
        <v>0</v>
      </c>
      <c r="Q839">
        <v>0</v>
      </c>
      <c r="R839" t="s">
        <v>112</v>
      </c>
      <c r="S839" t="str">
        <f>"14:04:20.297"</f>
        <v>14:04:20.297</v>
      </c>
      <c r="T839" t="str">
        <f>"14:04:19.797"</f>
        <v>14:04:19.797</v>
      </c>
      <c r="U839" t="str">
        <f t="shared" si="39"/>
        <v>ad5732</v>
      </c>
      <c r="V839">
        <v>0</v>
      </c>
      <c r="W839">
        <v>0</v>
      </c>
      <c r="X839">
        <v>1</v>
      </c>
      <c r="Z839">
        <v>0</v>
      </c>
      <c r="AA839">
        <v>9</v>
      </c>
      <c r="AB839">
        <v>3</v>
      </c>
      <c r="AC839">
        <v>0</v>
      </c>
      <c r="AD839">
        <v>10</v>
      </c>
      <c r="AE839">
        <v>0</v>
      </c>
      <c r="AF839">
        <v>3</v>
      </c>
      <c r="AG839">
        <v>2</v>
      </c>
      <c r="AH839">
        <v>0</v>
      </c>
      <c r="AI839" t="s">
        <v>1775</v>
      </c>
      <c r="AJ839">
        <v>39.35998</v>
      </c>
      <c r="AK839" t="s">
        <v>1776</v>
      </c>
      <c r="AL839">
        <v>-77.031111999999993</v>
      </c>
      <c r="AM839">
        <v>100</v>
      </c>
      <c r="AN839">
        <v>8700</v>
      </c>
      <c r="AO839" t="s">
        <v>115</v>
      </c>
      <c r="AP839">
        <v>41</v>
      </c>
      <c r="AQ839">
        <v>174</v>
      </c>
      <c r="AR839">
        <v>-192</v>
      </c>
      <c r="AZ839">
        <v>3614</v>
      </c>
      <c r="BA839">
        <v>1</v>
      </c>
      <c r="BB839" t="str">
        <f t="shared" si="38"/>
        <v xml:space="preserve">N959MJ  </v>
      </c>
      <c r="BC839">
        <v>1</v>
      </c>
      <c r="BE839">
        <v>0</v>
      </c>
      <c r="BF839">
        <v>0</v>
      </c>
      <c r="BG839">
        <v>0</v>
      </c>
      <c r="BH839">
        <v>9050</v>
      </c>
      <c r="BI839">
        <v>350</v>
      </c>
      <c r="BJ839">
        <v>1</v>
      </c>
      <c r="BK839">
        <v>1</v>
      </c>
      <c r="BL839">
        <v>1</v>
      </c>
      <c r="BM839">
        <v>0</v>
      </c>
      <c r="BP839">
        <v>0</v>
      </c>
      <c r="BQ839">
        <v>0</v>
      </c>
      <c r="BX839" t="str">
        <f>"14:04:20.305"</f>
        <v>14:04:20.305</v>
      </c>
      <c r="BY839" t="str">
        <f>"301580940"</f>
        <v>301580940</v>
      </c>
      <c r="CL839">
        <v>0</v>
      </c>
      <c r="CM839">
        <v>2</v>
      </c>
      <c r="CN839">
        <v>0</v>
      </c>
      <c r="CO839">
        <v>2</v>
      </c>
      <c r="CP839">
        <v>0</v>
      </c>
      <c r="CQ839">
        <v>7</v>
      </c>
      <c r="CR839" t="s">
        <v>116</v>
      </c>
      <c r="CS839">
        <v>525</v>
      </c>
      <c r="CT839">
        <v>1</v>
      </c>
      <c r="CU839" t="s">
        <v>140</v>
      </c>
      <c r="CV839" t="s">
        <v>141</v>
      </c>
      <c r="CY839">
        <v>8374100</v>
      </c>
      <c r="CZ839" t="s">
        <v>119</v>
      </c>
    </row>
    <row r="840" spans="1:104" x14ac:dyDescent="0.25">
      <c r="A840" t="str">
        <f>"14:04:21.328"</f>
        <v>14:04:21.328</v>
      </c>
      <c r="B840" t="s">
        <v>108</v>
      </c>
      <c r="C840" t="str">
        <f t="shared" si="37"/>
        <v>ffdfd3c0</v>
      </c>
      <c r="D840" t="s">
        <v>109</v>
      </c>
      <c r="E840">
        <v>4</v>
      </c>
      <c r="F840">
        <v>1004</v>
      </c>
      <c r="G840" t="s">
        <v>110</v>
      </c>
      <c r="J840" t="s">
        <v>111</v>
      </c>
      <c r="K840">
        <v>0</v>
      </c>
      <c r="L840">
        <v>3</v>
      </c>
      <c r="M840">
        <v>0</v>
      </c>
      <c r="N840">
        <v>2</v>
      </c>
      <c r="O840">
        <v>1</v>
      </c>
      <c r="P840">
        <v>0</v>
      </c>
      <c r="Q840">
        <v>0</v>
      </c>
      <c r="R840" t="s">
        <v>112</v>
      </c>
      <c r="S840" t="str">
        <f>"14:04:21.164"</f>
        <v>14:04:21.164</v>
      </c>
      <c r="T840" t="str">
        <f>"14:04:20.766"</f>
        <v>14:04:20.766</v>
      </c>
      <c r="U840" t="str">
        <f t="shared" si="39"/>
        <v>ad5732</v>
      </c>
      <c r="V840">
        <v>0</v>
      </c>
      <c r="W840">
        <v>0</v>
      </c>
      <c r="X840">
        <v>1</v>
      </c>
      <c r="Z840">
        <v>0</v>
      </c>
      <c r="AA840">
        <v>9</v>
      </c>
      <c r="AB840">
        <v>3</v>
      </c>
      <c r="AC840">
        <v>0</v>
      </c>
      <c r="AD840">
        <v>10</v>
      </c>
      <c r="AE840">
        <v>0</v>
      </c>
      <c r="AF840">
        <v>3</v>
      </c>
      <c r="AG840">
        <v>2</v>
      </c>
      <c r="AH840">
        <v>0</v>
      </c>
      <c r="AI840" t="s">
        <v>1777</v>
      </c>
      <c r="AJ840">
        <v>39.360622999999997</v>
      </c>
      <c r="AK840" t="s">
        <v>1778</v>
      </c>
      <c r="AL840">
        <v>-77.030876000000006</v>
      </c>
      <c r="AM840">
        <v>100</v>
      </c>
      <c r="AN840">
        <v>8700</v>
      </c>
      <c r="AO840" t="s">
        <v>115</v>
      </c>
      <c r="AP840">
        <v>44</v>
      </c>
      <c r="AQ840">
        <v>174</v>
      </c>
      <c r="AR840">
        <v>-256</v>
      </c>
      <c r="AZ840">
        <v>3614</v>
      </c>
      <c r="BA840">
        <v>1</v>
      </c>
      <c r="BB840" t="str">
        <f t="shared" si="38"/>
        <v xml:space="preserve">N959MJ  </v>
      </c>
      <c r="BC840">
        <v>1</v>
      </c>
      <c r="BE840">
        <v>0</v>
      </c>
      <c r="BF840">
        <v>0</v>
      </c>
      <c r="BG840">
        <v>0</v>
      </c>
      <c r="BH840">
        <v>9050</v>
      </c>
      <c r="BI840">
        <v>350</v>
      </c>
      <c r="BJ840">
        <v>1</v>
      </c>
      <c r="BK840">
        <v>1</v>
      </c>
      <c r="BL840">
        <v>1</v>
      </c>
      <c r="BM840">
        <v>0</v>
      </c>
      <c r="BP840">
        <v>0</v>
      </c>
      <c r="BQ840">
        <v>0</v>
      </c>
      <c r="BX840" t="str">
        <f>"14:04:21.164"</f>
        <v>14:04:21.164</v>
      </c>
      <c r="BY840" t="str">
        <f>"165233719"</f>
        <v>165233719</v>
      </c>
      <c r="CL840">
        <v>0</v>
      </c>
      <c r="CM840">
        <v>2</v>
      </c>
      <c r="CN840">
        <v>0</v>
      </c>
      <c r="CO840">
        <v>2</v>
      </c>
      <c r="CP840">
        <v>0</v>
      </c>
      <c r="CQ840">
        <v>5</v>
      </c>
      <c r="CR840" t="s">
        <v>116</v>
      </c>
      <c r="CS840">
        <v>373</v>
      </c>
      <c r="CT840">
        <v>3</v>
      </c>
      <c r="CU840" t="s">
        <v>224</v>
      </c>
      <c r="CV840" t="s">
        <v>225</v>
      </c>
      <c r="CY840">
        <v>2848849</v>
      </c>
      <c r="CZ840" t="s">
        <v>119</v>
      </c>
    </row>
    <row r="841" spans="1:104" x14ac:dyDescent="0.25">
      <c r="A841" t="str">
        <f>"14:04:22.383"</f>
        <v>14:04:22.383</v>
      </c>
      <c r="B841" t="s">
        <v>108</v>
      </c>
      <c r="C841" t="str">
        <f t="shared" si="37"/>
        <v>ffdfd3c0</v>
      </c>
      <c r="D841" t="s">
        <v>109</v>
      </c>
      <c r="E841">
        <v>4</v>
      </c>
      <c r="F841">
        <v>1004</v>
      </c>
      <c r="G841" t="s">
        <v>110</v>
      </c>
      <c r="J841" t="s">
        <v>111</v>
      </c>
      <c r="K841">
        <v>0</v>
      </c>
      <c r="L841">
        <v>3</v>
      </c>
      <c r="M841">
        <v>0</v>
      </c>
      <c r="N841">
        <v>2</v>
      </c>
      <c r="O841">
        <v>1</v>
      </c>
      <c r="P841">
        <v>0</v>
      </c>
      <c r="Q841">
        <v>0</v>
      </c>
      <c r="R841" t="s">
        <v>112</v>
      </c>
      <c r="S841" t="str">
        <f>"14:04:22.195"</f>
        <v>14:04:22.195</v>
      </c>
      <c r="T841" t="str">
        <f>"14:04:21.797"</f>
        <v>14:04:21.797</v>
      </c>
      <c r="U841" t="str">
        <f t="shared" si="39"/>
        <v>ad5732</v>
      </c>
      <c r="V841">
        <v>0</v>
      </c>
      <c r="W841">
        <v>0</v>
      </c>
      <c r="X841">
        <v>1</v>
      </c>
      <c r="Z841">
        <v>0</v>
      </c>
      <c r="AA841">
        <v>9</v>
      </c>
      <c r="AB841">
        <v>3</v>
      </c>
      <c r="AC841">
        <v>0</v>
      </c>
      <c r="AD841">
        <v>10</v>
      </c>
      <c r="AE841">
        <v>0</v>
      </c>
      <c r="AF841">
        <v>3</v>
      </c>
      <c r="AG841">
        <v>2</v>
      </c>
      <c r="AH841">
        <v>0</v>
      </c>
      <c r="AI841" t="s">
        <v>1779</v>
      </c>
      <c r="AJ841">
        <v>39.361502999999999</v>
      </c>
      <c r="AK841" t="s">
        <v>1780</v>
      </c>
      <c r="AL841">
        <v>-77.030574999999999</v>
      </c>
      <c r="AM841">
        <v>100</v>
      </c>
      <c r="AN841">
        <v>8700</v>
      </c>
      <c r="AO841" t="s">
        <v>115</v>
      </c>
      <c r="AP841">
        <v>48</v>
      </c>
      <c r="AQ841">
        <v>174</v>
      </c>
      <c r="AR841">
        <v>-256</v>
      </c>
      <c r="AZ841">
        <v>3614</v>
      </c>
      <c r="BA841">
        <v>1</v>
      </c>
      <c r="BB841" t="str">
        <f t="shared" si="38"/>
        <v xml:space="preserve">N959MJ  </v>
      </c>
      <c r="BC841">
        <v>1</v>
      </c>
      <c r="BE841">
        <v>0</v>
      </c>
      <c r="BF841">
        <v>0</v>
      </c>
      <c r="BG841">
        <v>0</v>
      </c>
      <c r="BH841">
        <v>9025</v>
      </c>
      <c r="BI841">
        <v>325</v>
      </c>
      <c r="BJ841">
        <v>1</v>
      </c>
      <c r="BK841">
        <v>1</v>
      </c>
      <c r="BL841">
        <v>1</v>
      </c>
      <c r="BM841">
        <v>0</v>
      </c>
      <c r="BP841">
        <v>0</v>
      </c>
      <c r="BQ841">
        <v>0</v>
      </c>
      <c r="BX841" t="str">
        <f>"14:04:22.195"</f>
        <v>14:04:22.195</v>
      </c>
      <c r="BY841" t="str">
        <f>"197240668"</f>
        <v>197240668</v>
      </c>
      <c r="CL841">
        <v>0</v>
      </c>
      <c r="CM841">
        <v>2</v>
      </c>
      <c r="CN841">
        <v>0</v>
      </c>
      <c r="CO841">
        <v>2</v>
      </c>
      <c r="CP841">
        <v>0</v>
      </c>
      <c r="CQ841">
        <v>7</v>
      </c>
      <c r="CR841" t="s">
        <v>116</v>
      </c>
      <c r="CS841">
        <v>525</v>
      </c>
      <c r="CT841">
        <v>1</v>
      </c>
      <c r="CU841" t="s">
        <v>140</v>
      </c>
      <c r="CV841" t="s">
        <v>141</v>
      </c>
      <c r="CY841">
        <v>8376759</v>
      </c>
      <c r="CZ841" t="s">
        <v>119</v>
      </c>
    </row>
    <row r="842" spans="1:104" x14ac:dyDescent="0.25">
      <c r="A842" t="str">
        <f>"14:04:23.445"</f>
        <v>14:04:23.445</v>
      </c>
      <c r="B842" t="s">
        <v>108</v>
      </c>
      <c r="C842" t="str">
        <f t="shared" ref="C842:C905" si="40">"ffdfd3c0"</f>
        <v>ffdfd3c0</v>
      </c>
      <c r="D842" t="s">
        <v>109</v>
      </c>
      <c r="E842">
        <v>4</v>
      </c>
      <c r="F842">
        <v>1004</v>
      </c>
      <c r="G842" t="s">
        <v>110</v>
      </c>
      <c r="J842" t="s">
        <v>111</v>
      </c>
      <c r="K842">
        <v>0</v>
      </c>
      <c r="L842">
        <v>3</v>
      </c>
      <c r="M842">
        <v>0</v>
      </c>
      <c r="N842">
        <v>2</v>
      </c>
      <c r="O842">
        <v>1</v>
      </c>
      <c r="P842">
        <v>0</v>
      </c>
      <c r="Q842">
        <v>0</v>
      </c>
      <c r="R842" t="s">
        <v>112</v>
      </c>
      <c r="S842" t="str">
        <f>"14:04:23.227"</f>
        <v>14:04:23.227</v>
      </c>
      <c r="T842" t="str">
        <f>"14:04:22.828"</f>
        <v>14:04:22.828</v>
      </c>
      <c r="U842" t="str">
        <f t="shared" si="39"/>
        <v>ad5732</v>
      </c>
      <c r="V842">
        <v>0</v>
      </c>
      <c r="W842">
        <v>0</v>
      </c>
      <c r="X842">
        <v>1</v>
      </c>
      <c r="Z842">
        <v>0</v>
      </c>
      <c r="AA842">
        <v>9</v>
      </c>
      <c r="AB842">
        <v>3</v>
      </c>
      <c r="AC842">
        <v>0</v>
      </c>
      <c r="AD842">
        <v>10</v>
      </c>
      <c r="AE842">
        <v>0</v>
      </c>
      <c r="AF842">
        <v>3</v>
      </c>
      <c r="AG842">
        <v>2</v>
      </c>
      <c r="AH842">
        <v>0</v>
      </c>
      <c r="AI842" t="s">
        <v>1781</v>
      </c>
      <c r="AJ842">
        <v>39.362296999999998</v>
      </c>
      <c r="AK842" t="s">
        <v>1782</v>
      </c>
      <c r="AL842">
        <v>-77.030275000000003</v>
      </c>
      <c r="AM842">
        <v>100</v>
      </c>
      <c r="AN842">
        <v>8700</v>
      </c>
      <c r="AO842" t="s">
        <v>115</v>
      </c>
      <c r="AP842">
        <v>51</v>
      </c>
      <c r="AQ842">
        <v>174</v>
      </c>
      <c r="AR842">
        <v>-192</v>
      </c>
      <c r="AZ842">
        <v>3614</v>
      </c>
      <c r="BA842">
        <v>1</v>
      </c>
      <c r="BB842" t="str">
        <f t="shared" ref="BB842:BB905" si="41">"N959MJ  "</f>
        <v xml:space="preserve">N959MJ  </v>
      </c>
      <c r="BC842">
        <v>1</v>
      </c>
      <c r="BE842">
        <v>0</v>
      </c>
      <c r="BF842">
        <v>0</v>
      </c>
      <c r="BG842">
        <v>0</v>
      </c>
      <c r="BH842">
        <v>9025</v>
      </c>
      <c r="BI842">
        <v>325</v>
      </c>
      <c r="BJ842">
        <v>1</v>
      </c>
      <c r="BK842">
        <v>1</v>
      </c>
      <c r="BL842">
        <v>1</v>
      </c>
      <c r="BM842">
        <v>0</v>
      </c>
      <c r="BP842">
        <v>0</v>
      </c>
      <c r="BQ842">
        <v>0</v>
      </c>
      <c r="BX842" t="str">
        <f>"14:04:23.234"</f>
        <v>14:04:23.234</v>
      </c>
      <c r="BY842" t="str">
        <f>"232726378"</f>
        <v>232726378</v>
      </c>
      <c r="CL842">
        <v>0</v>
      </c>
      <c r="CM842">
        <v>2</v>
      </c>
      <c r="CN842">
        <v>0</v>
      </c>
      <c r="CO842">
        <v>2</v>
      </c>
      <c r="CP842">
        <v>0</v>
      </c>
      <c r="CQ842">
        <v>7</v>
      </c>
      <c r="CR842" t="s">
        <v>116</v>
      </c>
      <c r="CS842">
        <v>525</v>
      </c>
      <c r="CT842">
        <v>1</v>
      </c>
      <c r="CU842" t="s">
        <v>140</v>
      </c>
      <c r="CV842" t="s">
        <v>141</v>
      </c>
      <c r="CY842">
        <v>8378254</v>
      </c>
      <c r="CZ842" t="s">
        <v>119</v>
      </c>
    </row>
    <row r="843" spans="1:104" x14ac:dyDescent="0.25">
      <c r="A843" t="str">
        <f>"14:04:24.305"</f>
        <v>14:04:24.305</v>
      </c>
      <c r="B843" t="s">
        <v>108</v>
      </c>
      <c r="C843" t="str">
        <f t="shared" si="40"/>
        <v>ffdfd3c0</v>
      </c>
      <c r="D843" t="s">
        <v>109</v>
      </c>
      <c r="E843">
        <v>4</v>
      </c>
      <c r="F843">
        <v>1004</v>
      </c>
      <c r="G843" t="s">
        <v>110</v>
      </c>
      <c r="J843" t="s">
        <v>111</v>
      </c>
      <c r="K843">
        <v>0</v>
      </c>
      <c r="L843">
        <v>3</v>
      </c>
      <c r="M843">
        <v>0</v>
      </c>
      <c r="N843">
        <v>2</v>
      </c>
      <c r="O843">
        <v>1</v>
      </c>
      <c r="P843">
        <v>0</v>
      </c>
      <c r="Q843">
        <v>0</v>
      </c>
      <c r="R843" t="s">
        <v>112</v>
      </c>
      <c r="S843" t="str">
        <f>"14:04:24.125"</f>
        <v>14:04:24.125</v>
      </c>
      <c r="T843" t="str">
        <f>"14:04:23.727"</f>
        <v>14:04:23.727</v>
      </c>
      <c r="U843" t="str">
        <f t="shared" si="39"/>
        <v>ad5732</v>
      </c>
      <c r="V843">
        <v>0</v>
      </c>
      <c r="W843">
        <v>0</v>
      </c>
      <c r="X843">
        <v>1</v>
      </c>
      <c r="Z843">
        <v>0</v>
      </c>
      <c r="AA843">
        <v>9</v>
      </c>
      <c r="AB843">
        <v>3</v>
      </c>
      <c r="AC843">
        <v>0</v>
      </c>
      <c r="AD843">
        <v>10</v>
      </c>
      <c r="AE843">
        <v>0</v>
      </c>
      <c r="AF843">
        <v>3</v>
      </c>
      <c r="AG843">
        <v>2</v>
      </c>
      <c r="AH843">
        <v>0</v>
      </c>
      <c r="AI843" t="s">
        <v>1783</v>
      </c>
      <c r="AJ843">
        <v>39.363005000000001</v>
      </c>
      <c r="AK843" t="s">
        <v>1784</v>
      </c>
      <c r="AL843">
        <v>-77.029973999999996</v>
      </c>
      <c r="AM843">
        <v>100</v>
      </c>
      <c r="AN843">
        <v>8700</v>
      </c>
      <c r="AO843" t="s">
        <v>115</v>
      </c>
      <c r="AP843">
        <v>54</v>
      </c>
      <c r="AQ843">
        <v>173</v>
      </c>
      <c r="AR843">
        <v>-192</v>
      </c>
      <c r="AZ843">
        <v>3614</v>
      </c>
      <c r="BA843">
        <v>1</v>
      </c>
      <c r="BB843" t="str">
        <f t="shared" si="41"/>
        <v xml:space="preserve">N959MJ  </v>
      </c>
      <c r="BC843">
        <v>1</v>
      </c>
      <c r="BE843">
        <v>0</v>
      </c>
      <c r="BF843">
        <v>0</v>
      </c>
      <c r="BG843">
        <v>0</v>
      </c>
      <c r="BH843">
        <v>9025</v>
      </c>
      <c r="BI843">
        <v>325</v>
      </c>
      <c r="BJ843">
        <v>1</v>
      </c>
      <c r="BK843">
        <v>1</v>
      </c>
      <c r="BL843">
        <v>1</v>
      </c>
      <c r="BM843">
        <v>0</v>
      </c>
      <c r="BP843">
        <v>0</v>
      </c>
      <c r="BQ843">
        <v>0</v>
      </c>
      <c r="BX843" t="str">
        <f>"14:04:24.125"</f>
        <v>14:04:24.125</v>
      </c>
      <c r="BY843" t="str">
        <f>"127457014"</f>
        <v>127457014</v>
      </c>
      <c r="CL843">
        <v>0</v>
      </c>
      <c r="CM843">
        <v>2</v>
      </c>
      <c r="CN843">
        <v>0</v>
      </c>
      <c r="CO843">
        <v>2</v>
      </c>
      <c r="CP843">
        <v>0</v>
      </c>
      <c r="CQ843">
        <v>5</v>
      </c>
      <c r="CR843" t="s">
        <v>116</v>
      </c>
      <c r="CS843">
        <v>396</v>
      </c>
      <c r="CT843">
        <v>2</v>
      </c>
      <c r="CU843" t="s">
        <v>939</v>
      </c>
      <c r="CV843" t="s">
        <v>940</v>
      </c>
      <c r="CY843">
        <v>4209029</v>
      </c>
      <c r="CZ843" t="s">
        <v>119</v>
      </c>
    </row>
    <row r="844" spans="1:104" x14ac:dyDescent="0.25">
      <c r="A844" t="str">
        <f>"14:04:25.367"</f>
        <v>14:04:25.367</v>
      </c>
      <c r="B844" t="s">
        <v>108</v>
      </c>
      <c r="C844" t="str">
        <f t="shared" si="40"/>
        <v>ffdfd3c0</v>
      </c>
      <c r="D844" t="s">
        <v>109</v>
      </c>
      <c r="E844">
        <v>4</v>
      </c>
      <c r="F844">
        <v>1004</v>
      </c>
      <c r="G844" t="s">
        <v>110</v>
      </c>
      <c r="J844" t="s">
        <v>111</v>
      </c>
      <c r="K844">
        <v>0</v>
      </c>
      <c r="L844">
        <v>3</v>
      </c>
      <c r="M844">
        <v>0</v>
      </c>
      <c r="N844">
        <v>2</v>
      </c>
      <c r="O844">
        <v>1</v>
      </c>
      <c r="P844">
        <v>0</v>
      </c>
      <c r="Q844">
        <v>0</v>
      </c>
      <c r="R844" t="s">
        <v>112</v>
      </c>
      <c r="S844" t="str">
        <f>"14:04:25.180"</f>
        <v>14:04:25.180</v>
      </c>
      <c r="T844" t="str">
        <f>"14:04:24.680"</f>
        <v>14:04:24.680</v>
      </c>
      <c r="U844" t="str">
        <f t="shared" si="39"/>
        <v>ad5732</v>
      </c>
      <c r="V844">
        <v>0</v>
      </c>
      <c r="W844">
        <v>0</v>
      </c>
      <c r="X844">
        <v>1</v>
      </c>
      <c r="Z844">
        <v>0</v>
      </c>
      <c r="AA844">
        <v>9</v>
      </c>
      <c r="AB844">
        <v>3</v>
      </c>
      <c r="AC844">
        <v>0</v>
      </c>
      <c r="AD844">
        <v>10</v>
      </c>
      <c r="AE844">
        <v>0</v>
      </c>
      <c r="AF844">
        <v>3</v>
      </c>
      <c r="AG844">
        <v>2</v>
      </c>
      <c r="AH844">
        <v>0</v>
      </c>
      <c r="AI844" t="s">
        <v>1785</v>
      </c>
      <c r="AJ844">
        <v>39.363928000000001</v>
      </c>
      <c r="AK844" t="s">
        <v>1786</v>
      </c>
      <c r="AL844">
        <v>-77.029544999999999</v>
      </c>
      <c r="AM844">
        <v>100</v>
      </c>
      <c r="AN844">
        <v>8700</v>
      </c>
      <c r="AO844" t="s">
        <v>115</v>
      </c>
      <c r="AP844">
        <v>58</v>
      </c>
      <c r="AQ844">
        <v>173</v>
      </c>
      <c r="AR844">
        <v>-192</v>
      </c>
      <c r="AZ844">
        <v>3614</v>
      </c>
      <c r="BA844">
        <v>1</v>
      </c>
      <c r="BB844" t="str">
        <f t="shared" si="41"/>
        <v xml:space="preserve">N959MJ  </v>
      </c>
      <c r="BC844">
        <v>1</v>
      </c>
      <c r="BE844">
        <v>0</v>
      </c>
      <c r="BF844">
        <v>0</v>
      </c>
      <c r="BG844">
        <v>0</v>
      </c>
      <c r="BH844">
        <v>9025</v>
      </c>
      <c r="BI844">
        <v>325</v>
      </c>
      <c r="BJ844">
        <v>1</v>
      </c>
      <c r="BK844">
        <v>1</v>
      </c>
      <c r="BL844">
        <v>1</v>
      </c>
      <c r="BM844">
        <v>0</v>
      </c>
      <c r="BP844">
        <v>0</v>
      </c>
      <c r="BQ844">
        <v>0</v>
      </c>
      <c r="BX844" t="str">
        <f>"14:04:25.180"</f>
        <v>14:04:25.180</v>
      </c>
      <c r="BY844" t="str">
        <f>"182454286"</f>
        <v>182454286</v>
      </c>
      <c r="CL844">
        <v>0</v>
      </c>
      <c r="CM844">
        <v>2</v>
      </c>
      <c r="CN844">
        <v>0</v>
      </c>
      <c r="CO844">
        <v>2</v>
      </c>
      <c r="CP844">
        <v>0</v>
      </c>
      <c r="CQ844">
        <v>7</v>
      </c>
      <c r="CR844" t="s">
        <v>116</v>
      </c>
      <c r="CS844">
        <v>525</v>
      </c>
      <c r="CT844">
        <v>1</v>
      </c>
      <c r="CU844" t="s">
        <v>140</v>
      </c>
      <c r="CV844" t="s">
        <v>141</v>
      </c>
      <c r="CY844">
        <v>8381021</v>
      </c>
      <c r="CZ844" t="s">
        <v>119</v>
      </c>
    </row>
    <row r="845" spans="1:104" x14ac:dyDescent="0.25">
      <c r="A845" t="str">
        <f>"14:04:26.375"</f>
        <v>14:04:26.375</v>
      </c>
      <c r="B845" t="s">
        <v>108</v>
      </c>
      <c r="C845" t="str">
        <f t="shared" si="40"/>
        <v>ffdfd3c0</v>
      </c>
      <c r="D845" t="s">
        <v>109</v>
      </c>
      <c r="E845">
        <v>4</v>
      </c>
      <c r="F845">
        <v>1004</v>
      </c>
      <c r="G845" t="s">
        <v>110</v>
      </c>
      <c r="J845" t="s">
        <v>111</v>
      </c>
      <c r="K845">
        <v>0</v>
      </c>
      <c r="L845">
        <v>3</v>
      </c>
      <c r="M845">
        <v>0</v>
      </c>
      <c r="N845">
        <v>2</v>
      </c>
      <c r="O845">
        <v>1</v>
      </c>
      <c r="P845">
        <v>0</v>
      </c>
      <c r="Q845">
        <v>0</v>
      </c>
      <c r="R845" t="s">
        <v>112</v>
      </c>
      <c r="S845" t="str">
        <f>"14:04:26.180"</f>
        <v>14:04:26.180</v>
      </c>
      <c r="T845" t="str">
        <f>"14:04:25.680"</f>
        <v>14:04:25.680</v>
      </c>
      <c r="U845" t="str">
        <f t="shared" si="39"/>
        <v>ad5732</v>
      </c>
      <c r="V845">
        <v>0</v>
      </c>
      <c r="W845">
        <v>0</v>
      </c>
      <c r="X845">
        <v>1</v>
      </c>
      <c r="Z845">
        <v>0</v>
      </c>
      <c r="AA845">
        <v>9</v>
      </c>
      <c r="AB845">
        <v>3</v>
      </c>
      <c r="AC845">
        <v>0</v>
      </c>
      <c r="AD845">
        <v>10</v>
      </c>
      <c r="AE845">
        <v>0</v>
      </c>
      <c r="AF845">
        <v>3</v>
      </c>
      <c r="AG845">
        <v>2</v>
      </c>
      <c r="AH845">
        <v>0</v>
      </c>
      <c r="AI845" t="s">
        <v>1787</v>
      </c>
      <c r="AJ845">
        <v>39.364722</v>
      </c>
      <c r="AK845" t="s">
        <v>1788</v>
      </c>
      <c r="AL845">
        <v>-77.029180999999994</v>
      </c>
      <c r="AM845">
        <v>100</v>
      </c>
      <c r="AN845">
        <v>8700</v>
      </c>
      <c r="AO845" t="s">
        <v>115</v>
      </c>
      <c r="AP845">
        <v>64</v>
      </c>
      <c r="AQ845">
        <v>172</v>
      </c>
      <c r="AR845">
        <v>-192</v>
      </c>
      <c r="AZ845">
        <v>3614</v>
      </c>
      <c r="BA845">
        <v>1</v>
      </c>
      <c r="BB845" t="str">
        <f t="shared" si="41"/>
        <v xml:space="preserve">N959MJ  </v>
      </c>
      <c r="BC845">
        <v>1</v>
      </c>
      <c r="BE845">
        <v>0</v>
      </c>
      <c r="BF845">
        <v>0</v>
      </c>
      <c r="BG845">
        <v>0</v>
      </c>
      <c r="BH845">
        <v>9025</v>
      </c>
      <c r="BI845">
        <v>325</v>
      </c>
      <c r="BJ845">
        <v>1</v>
      </c>
      <c r="BK845">
        <v>1</v>
      </c>
      <c r="BL845">
        <v>1</v>
      </c>
      <c r="BM845">
        <v>0</v>
      </c>
      <c r="BP845">
        <v>0</v>
      </c>
      <c r="BQ845">
        <v>0</v>
      </c>
      <c r="BX845" t="str">
        <f>"14:04:26.188"</f>
        <v>14:04:26.188</v>
      </c>
      <c r="BY845" t="str">
        <f>"186809864"</f>
        <v>186809864</v>
      </c>
      <c r="CL845">
        <v>0</v>
      </c>
      <c r="CM845">
        <v>2</v>
      </c>
      <c r="CN845">
        <v>0</v>
      </c>
      <c r="CO845">
        <v>2</v>
      </c>
      <c r="CP845">
        <v>0</v>
      </c>
      <c r="CQ845">
        <v>7</v>
      </c>
      <c r="CR845" t="s">
        <v>116</v>
      </c>
      <c r="CS845">
        <v>525</v>
      </c>
      <c r="CT845">
        <v>1</v>
      </c>
      <c r="CU845" t="s">
        <v>140</v>
      </c>
      <c r="CV845" t="s">
        <v>141</v>
      </c>
      <c r="CY845">
        <v>8382432</v>
      </c>
      <c r="CZ845" t="s">
        <v>119</v>
      </c>
    </row>
    <row r="846" spans="1:104" x14ac:dyDescent="0.25">
      <c r="A846" t="str">
        <f>"14:04:27.430"</f>
        <v>14:04:27.430</v>
      </c>
      <c r="B846" t="s">
        <v>108</v>
      </c>
      <c r="C846" t="str">
        <f t="shared" si="40"/>
        <v>ffdfd3c0</v>
      </c>
      <c r="D846" t="s">
        <v>109</v>
      </c>
      <c r="E846">
        <v>4</v>
      </c>
      <c r="F846">
        <v>1004</v>
      </c>
      <c r="G846" t="s">
        <v>110</v>
      </c>
      <c r="J846" t="s">
        <v>111</v>
      </c>
      <c r="K846">
        <v>0</v>
      </c>
      <c r="L846">
        <v>3</v>
      </c>
      <c r="M846">
        <v>0</v>
      </c>
      <c r="N846">
        <v>2</v>
      </c>
      <c r="O846">
        <v>1</v>
      </c>
      <c r="P846">
        <v>0</v>
      </c>
      <c r="Q846">
        <v>0</v>
      </c>
      <c r="R846" t="s">
        <v>112</v>
      </c>
      <c r="S846" t="str">
        <f>"14:04:27.266"</f>
        <v>14:04:27.266</v>
      </c>
      <c r="T846" t="str">
        <f>"14:04:26.766"</f>
        <v>14:04:26.766</v>
      </c>
      <c r="U846" t="str">
        <f t="shared" si="39"/>
        <v>ad5732</v>
      </c>
      <c r="V846">
        <v>0</v>
      </c>
      <c r="W846">
        <v>0</v>
      </c>
      <c r="X846">
        <v>1</v>
      </c>
      <c r="Z846">
        <v>0</v>
      </c>
      <c r="AA846">
        <v>9</v>
      </c>
      <c r="AB846">
        <v>3</v>
      </c>
      <c r="AC846">
        <v>0</v>
      </c>
      <c r="AD846">
        <v>10</v>
      </c>
      <c r="AE846">
        <v>0</v>
      </c>
      <c r="AF846">
        <v>3</v>
      </c>
      <c r="AG846">
        <v>2</v>
      </c>
      <c r="AH846">
        <v>0</v>
      </c>
      <c r="AI846" t="s">
        <v>1789</v>
      </c>
      <c r="AJ846">
        <v>39.365451</v>
      </c>
      <c r="AK846" t="s">
        <v>1790</v>
      </c>
      <c r="AL846">
        <v>-77.028751</v>
      </c>
      <c r="AM846">
        <v>100</v>
      </c>
      <c r="AN846">
        <v>8700</v>
      </c>
      <c r="AO846" t="s">
        <v>115</v>
      </c>
      <c r="AP846">
        <v>69</v>
      </c>
      <c r="AQ846">
        <v>170</v>
      </c>
      <c r="AR846">
        <v>-192</v>
      </c>
      <c r="AZ846">
        <v>3614</v>
      </c>
      <c r="BA846">
        <v>1</v>
      </c>
      <c r="BB846" t="str">
        <f t="shared" si="41"/>
        <v xml:space="preserve">N959MJ  </v>
      </c>
      <c r="BC846">
        <v>1</v>
      </c>
      <c r="BE846">
        <v>0</v>
      </c>
      <c r="BF846">
        <v>0</v>
      </c>
      <c r="BG846">
        <v>0</v>
      </c>
      <c r="BH846">
        <v>9025</v>
      </c>
      <c r="BI846">
        <v>325</v>
      </c>
      <c r="BJ846">
        <v>1</v>
      </c>
      <c r="BK846">
        <v>1</v>
      </c>
      <c r="BL846">
        <v>1</v>
      </c>
      <c r="BM846">
        <v>0</v>
      </c>
      <c r="BP846">
        <v>0</v>
      </c>
      <c r="BQ846">
        <v>0</v>
      </c>
      <c r="BX846" t="str">
        <f>"14:04:27.266"</f>
        <v>14:04:27.266</v>
      </c>
      <c r="BY846" t="str">
        <f>"266533146"</f>
        <v>266533146</v>
      </c>
      <c r="CL846">
        <v>0</v>
      </c>
      <c r="CM846">
        <v>2</v>
      </c>
      <c r="CN846">
        <v>0</v>
      </c>
      <c r="CO846">
        <v>2</v>
      </c>
      <c r="CP846">
        <v>0</v>
      </c>
      <c r="CQ846">
        <v>7</v>
      </c>
      <c r="CR846" t="s">
        <v>116</v>
      </c>
      <c r="CS846">
        <v>525</v>
      </c>
      <c r="CT846">
        <v>1</v>
      </c>
      <c r="CU846" t="s">
        <v>140</v>
      </c>
      <c r="CV846" t="s">
        <v>141</v>
      </c>
      <c r="CY846">
        <v>8384039</v>
      </c>
      <c r="CZ846" t="s">
        <v>119</v>
      </c>
    </row>
    <row r="847" spans="1:104" x14ac:dyDescent="0.25">
      <c r="A847" t="str">
        <f>"14:04:28.445"</f>
        <v>14:04:28.445</v>
      </c>
      <c r="B847" t="s">
        <v>108</v>
      </c>
      <c r="C847" t="str">
        <f t="shared" si="40"/>
        <v>ffdfd3c0</v>
      </c>
      <c r="D847" t="s">
        <v>109</v>
      </c>
      <c r="E847">
        <v>4</v>
      </c>
      <c r="F847">
        <v>1004</v>
      </c>
      <c r="G847" t="s">
        <v>110</v>
      </c>
      <c r="J847" t="s">
        <v>111</v>
      </c>
      <c r="K847">
        <v>0</v>
      </c>
      <c r="L847">
        <v>3</v>
      </c>
      <c r="M847">
        <v>0</v>
      </c>
      <c r="N847">
        <v>2</v>
      </c>
      <c r="O847">
        <v>1</v>
      </c>
      <c r="P847">
        <v>0</v>
      </c>
      <c r="Q847">
        <v>0</v>
      </c>
      <c r="R847" t="s">
        <v>112</v>
      </c>
      <c r="S847" t="str">
        <f>"14:04:28.273"</f>
        <v>14:04:28.273</v>
      </c>
      <c r="T847" t="str">
        <f>"14:04:27.773"</f>
        <v>14:04:27.773</v>
      </c>
      <c r="U847" t="str">
        <f t="shared" si="39"/>
        <v>ad5732</v>
      </c>
      <c r="V847">
        <v>0</v>
      </c>
      <c r="W847">
        <v>0</v>
      </c>
      <c r="X847">
        <v>1</v>
      </c>
      <c r="Z847">
        <v>0</v>
      </c>
      <c r="AA847">
        <v>9</v>
      </c>
      <c r="AB847">
        <v>3</v>
      </c>
      <c r="AC847">
        <v>0</v>
      </c>
      <c r="AD847">
        <v>10</v>
      </c>
      <c r="AE847">
        <v>0</v>
      </c>
      <c r="AF847">
        <v>3</v>
      </c>
      <c r="AG847">
        <v>2</v>
      </c>
      <c r="AH847">
        <v>0</v>
      </c>
      <c r="AI847" t="s">
        <v>1791</v>
      </c>
      <c r="AJ847">
        <v>39.366244999999999</v>
      </c>
      <c r="AK847" t="s">
        <v>1792</v>
      </c>
      <c r="AL847">
        <v>-77.028322000000003</v>
      </c>
      <c r="AM847">
        <v>100</v>
      </c>
      <c r="AN847">
        <v>8700</v>
      </c>
      <c r="AO847" t="s">
        <v>115</v>
      </c>
      <c r="AP847">
        <v>75</v>
      </c>
      <c r="AQ847">
        <v>169</v>
      </c>
      <c r="AR847">
        <v>-256</v>
      </c>
      <c r="AZ847">
        <v>3614</v>
      </c>
      <c r="BA847">
        <v>1</v>
      </c>
      <c r="BB847" t="str">
        <f t="shared" si="41"/>
        <v xml:space="preserve">N959MJ  </v>
      </c>
      <c r="BC847">
        <v>1</v>
      </c>
      <c r="BE847">
        <v>0</v>
      </c>
      <c r="BF847">
        <v>0</v>
      </c>
      <c r="BG847">
        <v>0</v>
      </c>
      <c r="BH847">
        <v>9025</v>
      </c>
      <c r="BI847">
        <v>325</v>
      </c>
      <c r="BJ847">
        <v>1</v>
      </c>
      <c r="BK847">
        <v>1</v>
      </c>
      <c r="BL847">
        <v>1</v>
      </c>
      <c r="BM847">
        <v>0</v>
      </c>
      <c r="BP847">
        <v>0</v>
      </c>
      <c r="BQ847">
        <v>0</v>
      </c>
      <c r="BX847" t="str">
        <f>"14:04:28.273"</f>
        <v>14:04:28.273</v>
      </c>
      <c r="BY847" t="str">
        <f>"274165705"</f>
        <v>274165705</v>
      </c>
      <c r="CL847">
        <v>0</v>
      </c>
      <c r="CM847">
        <v>2</v>
      </c>
      <c r="CN847">
        <v>0</v>
      </c>
      <c r="CO847">
        <v>2</v>
      </c>
      <c r="CP847">
        <v>0</v>
      </c>
      <c r="CQ847">
        <v>7</v>
      </c>
      <c r="CR847" t="s">
        <v>116</v>
      </c>
      <c r="CS847">
        <v>525</v>
      </c>
      <c r="CT847">
        <v>1</v>
      </c>
      <c r="CU847" t="s">
        <v>140</v>
      </c>
      <c r="CV847" t="s">
        <v>141</v>
      </c>
      <c r="CY847">
        <v>8385517</v>
      </c>
      <c r="CZ847" t="s">
        <v>119</v>
      </c>
    </row>
    <row r="848" spans="1:104" x14ac:dyDescent="0.25">
      <c r="A848" t="str">
        <f>"14:04:29.555"</f>
        <v>14:04:29.555</v>
      </c>
      <c r="B848" t="s">
        <v>108</v>
      </c>
      <c r="C848" t="str">
        <f t="shared" si="40"/>
        <v>ffdfd3c0</v>
      </c>
      <c r="D848" t="s">
        <v>109</v>
      </c>
      <c r="E848">
        <v>4</v>
      </c>
      <c r="F848">
        <v>1004</v>
      </c>
      <c r="G848" t="s">
        <v>110</v>
      </c>
      <c r="J848" t="s">
        <v>111</v>
      </c>
      <c r="K848">
        <v>0</v>
      </c>
      <c r="L848">
        <v>3</v>
      </c>
      <c r="M848">
        <v>0</v>
      </c>
      <c r="N848">
        <v>2</v>
      </c>
      <c r="O848">
        <v>1</v>
      </c>
      <c r="P848">
        <v>0</v>
      </c>
      <c r="Q848">
        <v>0</v>
      </c>
      <c r="R848" t="s">
        <v>112</v>
      </c>
      <c r="S848" t="str">
        <f>"14:04:29.383"</f>
        <v>14:04:29.383</v>
      </c>
      <c r="T848" t="str">
        <f>"14:04:28.883"</f>
        <v>14:04:28.883</v>
      </c>
      <c r="U848" t="str">
        <f t="shared" si="39"/>
        <v>ad5732</v>
      </c>
      <c r="V848">
        <v>0</v>
      </c>
      <c r="W848">
        <v>0</v>
      </c>
      <c r="X848">
        <v>1</v>
      </c>
      <c r="Z848">
        <v>0</v>
      </c>
      <c r="AA848">
        <v>9</v>
      </c>
      <c r="AB848">
        <v>3</v>
      </c>
      <c r="AC848">
        <v>0</v>
      </c>
      <c r="AD848">
        <v>10</v>
      </c>
      <c r="AE848">
        <v>0</v>
      </c>
      <c r="AF848">
        <v>3</v>
      </c>
      <c r="AG848">
        <v>2</v>
      </c>
      <c r="AH848">
        <v>0</v>
      </c>
      <c r="AI848" t="s">
        <v>1793</v>
      </c>
      <c r="AJ848">
        <v>39.367189000000003</v>
      </c>
      <c r="AK848" t="s">
        <v>1794</v>
      </c>
      <c r="AL848">
        <v>-77.027699999999996</v>
      </c>
      <c r="AM848">
        <v>100</v>
      </c>
      <c r="AN848">
        <v>8700</v>
      </c>
      <c r="AO848" t="s">
        <v>115</v>
      </c>
      <c r="AP848">
        <v>82</v>
      </c>
      <c r="AQ848">
        <v>166</v>
      </c>
      <c r="AR848">
        <v>-256</v>
      </c>
      <c r="AZ848">
        <v>3614</v>
      </c>
      <c r="BA848">
        <v>1</v>
      </c>
      <c r="BB848" t="str">
        <f t="shared" si="41"/>
        <v xml:space="preserve">N959MJ  </v>
      </c>
      <c r="BC848">
        <v>1</v>
      </c>
      <c r="BE848">
        <v>0</v>
      </c>
      <c r="BF848">
        <v>0</v>
      </c>
      <c r="BG848">
        <v>0</v>
      </c>
      <c r="BH848">
        <v>9000</v>
      </c>
      <c r="BI848">
        <v>300</v>
      </c>
      <c r="BJ848">
        <v>1</v>
      </c>
      <c r="BK848">
        <v>1</v>
      </c>
      <c r="BL848">
        <v>1</v>
      </c>
      <c r="BM848">
        <v>0</v>
      </c>
      <c r="BP848">
        <v>0</v>
      </c>
      <c r="BQ848">
        <v>0</v>
      </c>
      <c r="BX848" t="str">
        <f>"14:04:29.383"</f>
        <v>14:04:29.383</v>
      </c>
      <c r="BY848" t="str">
        <f>"385019071"</f>
        <v>385019071</v>
      </c>
      <c r="CL848">
        <v>0</v>
      </c>
      <c r="CM848">
        <v>2</v>
      </c>
      <c r="CN848">
        <v>0</v>
      </c>
      <c r="CO848">
        <v>2</v>
      </c>
      <c r="CP848">
        <v>0</v>
      </c>
      <c r="CQ848">
        <v>7</v>
      </c>
      <c r="CR848" t="s">
        <v>116</v>
      </c>
      <c r="CS848">
        <v>525</v>
      </c>
      <c r="CT848">
        <v>1</v>
      </c>
      <c r="CU848" t="s">
        <v>140</v>
      </c>
      <c r="CV848" t="s">
        <v>141</v>
      </c>
      <c r="CY848">
        <v>8387124</v>
      </c>
      <c r="CZ848" t="s">
        <v>119</v>
      </c>
    </row>
    <row r="849" spans="1:104" x14ac:dyDescent="0.25">
      <c r="A849" t="str">
        <f>"14:04:30.508"</f>
        <v>14:04:30.508</v>
      </c>
      <c r="B849" t="s">
        <v>108</v>
      </c>
      <c r="C849" t="str">
        <f t="shared" si="40"/>
        <v>ffdfd3c0</v>
      </c>
      <c r="D849" t="s">
        <v>109</v>
      </c>
      <c r="E849">
        <v>4</v>
      </c>
      <c r="F849">
        <v>1004</v>
      </c>
      <c r="G849" t="s">
        <v>110</v>
      </c>
      <c r="J849" t="s">
        <v>111</v>
      </c>
      <c r="K849">
        <v>0</v>
      </c>
      <c r="L849">
        <v>3</v>
      </c>
      <c r="M849">
        <v>0</v>
      </c>
      <c r="N849">
        <v>2</v>
      </c>
      <c r="O849">
        <v>1</v>
      </c>
      <c r="P849">
        <v>0</v>
      </c>
      <c r="Q849">
        <v>0</v>
      </c>
      <c r="R849" t="s">
        <v>112</v>
      </c>
      <c r="S849" t="str">
        <f>"14:04:30.336"</f>
        <v>14:04:30.336</v>
      </c>
      <c r="T849" t="str">
        <f>"14:04:29.836"</f>
        <v>14:04:29.836</v>
      </c>
      <c r="U849" t="str">
        <f t="shared" si="39"/>
        <v>ad5732</v>
      </c>
      <c r="V849">
        <v>0</v>
      </c>
      <c r="W849">
        <v>0</v>
      </c>
      <c r="X849">
        <v>1</v>
      </c>
      <c r="Z849">
        <v>0</v>
      </c>
      <c r="AA849">
        <v>9</v>
      </c>
      <c r="AB849">
        <v>3</v>
      </c>
      <c r="AC849">
        <v>0</v>
      </c>
      <c r="AD849">
        <v>10</v>
      </c>
      <c r="AE849">
        <v>0</v>
      </c>
      <c r="AF849">
        <v>3</v>
      </c>
      <c r="AG849">
        <v>2</v>
      </c>
      <c r="AH849">
        <v>0</v>
      </c>
      <c r="AI849" t="s">
        <v>1795</v>
      </c>
      <c r="AJ849">
        <v>39.367854999999999</v>
      </c>
      <c r="AK849" t="s">
        <v>1796</v>
      </c>
      <c r="AL849">
        <v>-77.027227999999994</v>
      </c>
      <c r="AM849">
        <v>100</v>
      </c>
      <c r="AN849">
        <v>8700</v>
      </c>
      <c r="AO849" t="s">
        <v>115</v>
      </c>
      <c r="AP849">
        <v>89</v>
      </c>
      <c r="AQ849">
        <v>164</v>
      </c>
      <c r="AR849">
        <v>-320</v>
      </c>
      <c r="AZ849">
        <v>3614</v>
      </c>
      <c r="BA849">
        <v>1</v>
      </c>
      <c r="BB849" t="str">
        <f t="shared" si="41"/>
        <v xml:space="preserve">N959MJ  </v>
      </c>
      <c r="BC849">
        <v>1</v>
      </c>
      <c r="BE849">
        <v>0</v>
      </c>
      <c r="BF849">
        <v>0</v>
      </c>
      <c r="BG849">
        <v>0</v>
      </c>
      <c r="BH849">
        <v>9000</v>
      </c>
      <c r="BI849">
        <v>300</v>
      </c>
      <c r="BJ849">
        <v>1</v>
      </c>
      <c r="BK849">
        <v>1</v>
      </c>
      <c r="BL849">
        <v>1</v>
      </c>
      <c r="BM849">
        <v>0</v>
      </c>
      <c r="BP849">
        <v>0</v>
      </c>
      <c r="BQ849">
        <v>0</v>
      </c>
      <c r="BX849" t="str">
        <f>"14:04:30.344"</f>
        <v>14:04:30.344</v>
      </c>
      <c r="BY849" t="str">
        <f>"343498800"</f>
        <v>343498800</v>
      </c>
      <c r="CL849">
        <v>0</v>
      </c>
      <c r="CM849">
        <v>2</v>
      </c>
      <c r="CN849">
        <v>0</v>
      </c>
      <c r="CO849">
        <v>2</v>
      </c>
      <c r="CP849">
        <v>0</v>
      </c>
      <c r="CQ849">
        <v>7</v>
      </c>
      <c r="CR849" t="s">
        <v>116</v>
      </c>
      <c r="CS849">
        <v>525</v>
      </c>
      <c r="CT849">
        <v>1</v>
      </c>
      <c r="CU849" t="s">
        <v>140</v>
      </c>
      <c r="CV849" t="s">
        <v>141</v>
      </c>
      <c r="CY849">
        <v>8388471</v>
      </c>
      <c r="CZ849" t="s">
        <v>119</v>
      </c>
    </row>
    <row r="850" spans="1:104" x14ac:dyDescent="0.25">
      <c r="A850" t="str">
        <f>"14:04:31.523"</f>
        <v>14:04:31.523</v>
      </c>
      <c r="B850" t="s">
        <v>108</v>
      </c>
      <c r="C850" t="str">
        <f t="shared" si="40"/>
        <v>ffdfd3c0</v>
      </c>
      <c r="D850" t="s">
        <v>109</v>
      </c>
      <c r="E850">
        <v>4</v>
      </c>
      <c r="F850">
        <v>1004</v>
      </c>
      <c r="G850" t="s">
        <v>110</v>
      </c>
      <c r="J850" t="s">
        <v>111</v>
      </c>
      <c r="K850">
        <v>0</v>
      </c>
      <c r="L850">
        <v>3</v>
      </c>
      <c r="M850">
        <v>0</v>
      </c>
      <c r="N850">
        <v>2</v>
      </c>
      <c r="O850">
        <v>1</v>
      </c>
      <c r="P850">
        <v>0</v>
      </c>
      <c r="Q850">
        <v>0</v>
      </c>
      <c r="R850" t="s">
        <v>112</v>
      </c>
      <c r="S850" t="str">
        <f>"14:04:31.344"</f>
        <v>14:04:31.344</v>
      </c>
      <c r="T850" t="str">
        <f>"14:04:30.844"</f>
        <v>14:04:30.844</v>
      </c>
      <c r="U850" t="str">
        <f t="shared" si="39"/>
        <v>ad5732</v>
      </c>
      <c r="V850">
        <v>0</v>
      </c>
      <c r="W850">
        <v>0</v>
      </c>
      <c r="X850">
        <v>1</v>
      </c>
      <c r="Z850">
        <v>0</v>
      </c>
      <c r="AA850">
        <v>9</v>
      </c>
      <c r="AB850">
        <v>3</v>
      </c>
      <c r="AC850">
        <v>0</v>
      </c>
      <c r="AD850">
        <v>10</v>
      </c>
      <c r="AE850">
        <v>0</v>
      </c>
      <c r="AF850">
        <v>3</v>
      </c>
      <c r="AG850">
        <v>2</v>
      </c>
      <c r="AH850">
        <v>0</v>
      </c>
      <c r="AI850" t="s">
        <v>1797</v>
      </c>
      <c r="AJ850">
        <v>39.368583999999998</v>
      </c>
      <c r="AK850" t="s">
        <v>1798</v>
      </c>
      <c r="AL850">
        <v>-77.026649000000006</v>
      </c>
      <c r="AM850">
        <v>100</v>
      </c>
      <c r="AN850">
        <v>8700</v>
      </c>
      <c r="AO850" t="s">
        <v>115</v>
      </c>
      <c r="AP850">
        <v>94</v>
      </c>
      <c r="AQ850">
        <v>162</v>
      </c>
      <c r="AR850">
        <v>-256</v>
      </c>
      <c r="AZ850">
        <v>3614</v>
      </c>
      <c r="BA850">
        <v>1</v>
      </c>
      <c r="BB850" t="str">
        <f t="shared" si="41"/>
        <v xml:space="preserve">N959MJ  </v>
      </c>
      <c r="BC850">
        <v>1</v>
      </c>
      <c r="BE850">
        <v>0</v>
      </c>
      <c r="BF850">
        <v>0</v>
      </c>
      <c r="BG850">
        <v>0</v>
      </c>
      <c r="BH850">
        <v>9000</v>
      </c>
      <c r="BI850">
        <v>300</v>
      </c>
      <c r="BJ850">
        <v>1</v>
      </c>
      <c r="BK850">
        <v>1</v>
      </c>
      <c r="BL850">
        <v>1</v>
      </c>
      <c r="BM850">
        <v>0</v>
      </c>
      <c r="BP850">
        <v>0</v>
      </c>
      <c r="BQ850">
        <v>0</v>
      </c>
      <c r="BX850" t="str">
        <f>"14:04:31.344"</f>
        <v>14:04:31.344</v>
      </c>
      <c r="BY850" t="str">
        <f>"346216115"</f>
        <v>346216115</v>
      </c>
      <c r="CL850">
        <v>0</v>
      </c>
      <c r="CM850">
        <v>2</v>
      </c>
      <c r="CN850">
        <v>0</v>
      </c>
      <c r="CO850">
        <v>2</v>
      </c>
      <c r="CP850">
        <v>0</v>
      </c>
      <c r="CQ850">
        <v>7</v>
      </c>
      <c r="CR850" t="s">
        <v>116</v>
      </c>
      <c r="CS850">
        <v>525</v>
      </c>
      <c r="CT850">
        <v>1</v>
      </c>
      <c r="CU850" t="s">
        <v>140</v>
      </c>
      <c r="CV850" t="s">
        <v>141</v>
      </c>
      <c r="CY850">
        <v>8389863</v>
      </c>
      <c r="CZ850" t="s">
        <v>119</v>
      </c>
    </row>
    <row r="851" spans="1:104" x14ac:dyDescent="0.25">
      <c r="A851" t="str">
        <f>"14:04:32.477"</f>
        <v>14:04:32.477</v>
      </c>
      <c r="B851" t="s">
        <v>108</v>
      </c>
      <c r="C851" t="str">
        <f t="shared" si="40"/>
        <v>ffdfd3c0</v>
      </c>
      <c r="D851" t="s">
        <v>109</v>
      </c>
      <c r="E851">
        <v>4</v>
      </c>
      <c r="F851">
        <v>1004</v>
      </c>
      <c r="G851" t="s">
        <v>110</v>
      </c>
      <c r="J851" t="s">
        <v>111</v>
      </c>
      <c r="K851">
        <v>0</v>
      </c>
      <c r="L851">
        <v>3</v>
      </c>
      <c r="M851">
        <v>0</v>
      </c>
      <c r="N851">
        <v>2</v>
      </c>
      <c r="O851">
        <v>1</v>
      </c>
      <c r="P851">
        <v>0</v>
      </c>
      <c r="Q851">
        <v>0</v>
      </c>
      <c r="R851" t="s">
        <v>112</v>
      </c>
      <c r="S851" t="str">
        <f>"14:04:32.305"</f>
        <v>14:04:32.305</v>
      </c>
      <c r="T851" t="str">
        <f>"14:04:31.906"</f>
        <v>14:04:31.906</v>
      </c>
      <c r="U851" t="str">
        <f t="shared" si="39"/>
        <v>ad5732</v>
      </c>
      <c r="V851">
        <v>0</v>
      </c>
      <c r="W851">
        <v>0</v>
      </c>
      <c r="X851">
        <v>1</v>
      </c>
      <c r="Z851">
        <v>0</v>
      </c>
      <c r="AA851">
        <v>9</v>
      </c>
      <c r="AB851">
        <v>3</v>
      </c>
      <c r="AC851">
        <v>0</v>
      </c>
      <c r="AD851">
        <v>10</v>
      </c>
      <c r="AE851">
        <v>0</v>
      </c>
      <c r="AF851">
        <v>3</v>
      </c>
      <c r="AG851">
        <v>2</v>
      </c>
      <c r="AH851">
        <v>0</v>
      </c>
      <c r="AI851" t="s">
        <v>1799</v>
      </c>
      <c r="AJ851">
        <v>39.369314000000003</v>
      </c>
      <c r="AK851" t="s">
        <v>1800</v>
      </c>
      <c r="AL851">
        <v>-77.026048000000003</v>
      </c>
      <c r="AM851">
        <v>100</v>
      </c>
      <c r="AN851">
        <v>8700</v>
      </c>
      <c r="AO851" t="s">
        <v>115</v>
      </c>
      <c r="AP851">
        <v>101</v>
      </c>
      <c r="AQ851">
        <v>158</v>
      </c>
      <c r="AR851">
        <v>-192</v>
      </c>
      <c r="AZ851">
        <v>3614</v>
      </c>
      <c r="BA851">
        <v>1</v>
      </c>
      <c r="BB851" t="str">
        <f t="shared" si="41"/>
        <v xml:space="preserve">N959MJ  </v>
      </c>
      <c r="BC851">
        <v>1</v>
      </c>
      <c r="BE851">
        <v>0</v>
      </c>
      <c r="BF851">
        <v>0</v>
      </c>
      <c r="BG851">
        <v>0</v>
      </c>
      <c r="BH851">
        <v>9000</v>
      </c>
      <c r="BI851">
        <v>300</v>
      </c>
      <c r="BJ851">
        <v>1</v>
      </c>
      <c r="BK851">
        <v>1</v>
      </c>
      <c r="BL851">
        <v>1</v>
      </c>
      <c r="BM851">
        <v>0</v>
      </c>
      <c r="BP851">
        <v>0</v>
      </c>
      <c r="BQ851">
        <v>0</v>
      </c>
      <c r="BX851" t="str">
        <f>"14:04:32.313"</f>
        <v>14:04:32.313</v>
      </c>
      <c r="BY851" t="str">
        <f>"309757438"</f>
        <v>309757438</v>
      </c>
      <c r="CL851">
        <v>0</v>
      </c>
      <c r="CM851">
        <v>2</v>
      </c>
      <c r="CN851">
        <v>0</v>
      </c>
      <c r="CO851">
        <v>2</v>
      </c>
      <c r="CP851">
        <v>0</v>
      </c>
      <c r="CQ851">
        <v>6</v>
      </c>
      <c r="CR851" t="s">
        <v>116</v>
      </c>
      <c r="CS851">
        <v>396</v>
      </c>
      <c r="CT851">
        <v>2</v>
      </c>
      <c r="CU851" t="s">
        <v>939</v>
      </c>
      <c r="CV851" t="s">
        <v>940</v>
      </c>
      <c r="CY851">
        <v>4223576</v>
      </c>
      <c r="CZ851" t="s">
        <v>119</v>
      </c>
    </row>
    <row r="852" spans="1:104" x14ac:dyDescent="0.25">
      <c r="A852" t="str">
        <f>"14:04:33.492"</f>
        <v>14:04:33.492</v>
      </c>
      <c r="B852" t="s">
        <v>108</v>
      </c>
      <c r="C852" t="str">
        <f t="shared" si="40"/>
        <v>ffdfd3c0</v>
      </c>
      <c r="D852" t="s">
        <v>109</v>
      </c>
      <c r="E852">
        <v>4</v>
      </c>
      <c r="F852">
        <v>1004</v>
      </c>
      <c r="G852" t="s">
        <v>110</v>
      </c>
      <c r="J852" t="s">
        <v>111</v>
      </c>
      <c r="K852">
        <v>0</v>
      </c>
      <c r="L852">
        <v>3</v>
      </c>
      <c r="M852">
        <v>0</v>
      </c>
      <c r="N852">
        <v>2</v>
      </c>
      <c r="O852">
        <v>1</v>
      </c>
      <c r="P852">
        <v>0</v>
      </c>
      <c r="Q852">
        <v>0</v>
      </c>
      <c r="R852" t="s">
        <v>112</v>
      </c>
      <c r="S852" t="str">
        <f>"14:04:33.281"</f>
        <v>14:04:33.281</v>
      </c>
      <c r="T852" t="str">
        <f>"14:04:32.883"</f>
        <v>14:04:32.883</v>
      </c>
      <c r="U852" t="str">
        <f t="shared" si="39"/>
        <v>ad5732</v>
      </c>
      <c r="V852">
        <v>0</v>
      </c>
      <c r="W852">
        <v>0</v>
      </c>
      <c r="X852">
        <v>1</v>
      </c>
      <c r="Z852">
        <v>0</v>
      </c>
      <c r="AA852">
        <v>9</v>
      </c>
      <c r="AB852">
        <v>3</v>
      </c>
      <c r="AC852">
        <v>0</v>
      </c>
      <c r="AD852">
        <v>10</v>
      </c>
      <c r="AE852">
        <v>0</v>
      </c>
      <c r="AF852">
        <v>3</v>
      </c>
      <c r="AG852">
        <v>2</v>
      </c>
      <c r="AH852">
        <v>0</v>
      </c>
      <c r="AI852" t="s">
        <v>1801</v>
      </c>
      <c r="AJ852">
        <v>39.370064999999997</v>
      </c>
      <c r="AK852" t="s">
        <v>1802</v>
      </c>
      <c r="AL852">
        <v>-77.025383000000005</v>
      </c>
      <c r="AM852">
        <v>100</v>
      </c>
      <c r="AN852">
        <v>8700</v>
      </c>
      <c r="AO852" t="s">
        <v>115</v>
      </c>
      <c r="AP852">
        <v>107</v>
      </c>
      <c r="AQ852">
        <v>155</v>
      </c>
      <c r="AR852">
        <v>-64</v>
      </c>
      <c r="AZ852">
        <v>3614</v>
      </c>
      <c r="BA852">
        <v>1</v>
      </c>
      <c r="BB852" t="str">
        <f t="shared" si="41"/>
        <v xml:space="preserve">N959MJ  </v>
      </c>
      <c r="BC852">
        <v>1</v>
      </c>
      <c r="BE852">
        <v>0</v>
      </c>
      <c r="BF852">
        <v>0</v>
      </c>
      <c r="BG852">
        <v>0</v>
      </c>
      <c r="BH852">
        <v>9000</v>
      </c>
      <c r="BI852">
        <v>300</v>
      </c>
      <c r="BJ852">
        <v>1</v>
      </c>
      <c r="BK852">
        <v>1</v>
      </c>
      <c r="BL852">
        <v>1</v>
      </c>
      <c r="BM852">
        <v>0</v>
      </c>
      <c r="BP852">
        <v>0</v>
      </c>
      <c r="BQ852">
        <v>0</v>
      </c>
      <c r="BX852" t="str">
        <f>"14:04:33.289"</f>
        <v>14:04:33.289</v>
      </c>
      <c r="BY852" t="str">
        <f>"287897819"</f>
        <v>287897819</v>
      </c>
      <c r="CL852">
        <v>0</v>
      </c>
      <c r="CM852">
        <v>2</v>
      </c>
      <c r="CN852">
        <v>0</v>
      </c>
      <c r="CO852">
        <v>2</v>
      </c>
      <c r="CP852">
        <v>0</v>
      </c>
      <c r="CQ852">
        <v>6</v>
      </c>
      <c r="CR852" t="s">
        <v>116</v>
      </c>
      <c r="CS852">
        <v>396</v>
      </c>
      <c r="CT852">
        <v>2</v>
      </c>
      <c r="CU852" t="s">
        <v>939</v>
      </c>
      <c r="CV852" t="s">
        <v>940</v>
      </c>
      <c r="CY852">
        <v>4225363</v>
      </c>
      <c r="CZ852" t="s">
        <v>119</v>
      </c>
    </row>
    <row r="853" spans="1:104" x14ac:dyDescent="0.25">
      <c r="A853" t="str">
        <f>"14:04:34.500"</f>
        <v>14:04:34.500</v>
      </c>
      <c r="B853" t="s">
        <v>108</v>
      </c>
      <c r="C853" t="str">
        <f t="shared" si="40"/>
        <v>ffdfd3c0</v>
      </c>
      <c r="D853" t="s">
        <v>109</v>
      </c>
      <c r="E853">
        <v>4</v>
      </c>
      <c r="F853">
        <v>1004</v>
      </c>
      <c r="G853" t="s">
        <v>110</v>
      </c>
      <c r="J853" t="s">
        <v>111</v>
      </c>
      <c r="K853">
        <v>0</v>
      </c>
      <c r="L853">
        <v>3</v>
      </c>
      <c r="M853">
        <v>0</v>
      </c>
      <c r="N853">
        <v>2</v>
      </c>
      <c r="O853">
        <v>1</v>
      </c>
      <c r="P853">
        <v>0</v>
      </c>
      <c r="Q853">
        <v>0</v>
      </c>
      <c r="R853" t="s">
        <v>112</v>
      </c>
      <c r="S853" t="str">
        <f>"14:04:34.281"</f>
        <v>14:04:34.281</v>
      </c>
      <c r="T853" t="str">
        <f>"14:04:33.781"</f>
        <v>14:04:33.781</v>
      </c>
      <c r="U853" t="str">
        <f t="shared" si="39"/>
        <v>ad5732</v>
      </c>
      <c r="V853">
        <v>0</v>
      </c>
      <c r="W853">
        <v>0</v>
      </c>
      <c r="X853">
        <v>1</v>
      </c>
      <c r="Z853">
        <v>0</v>
      </c>
      <c r="AA853">
        <v>9</v>
      </c>
      <c r="AB853">
        <v>3</v>
      </c>
      <c r="AC853">
        <v>0</v>
      </c>
      <c r="AD853">
        <v>10</v>
      </c>
      <c r="AE853">
        <v>0</v>
      </c>
      <c r="AF853">
        <v>3</v>
      </c>
      <c r="AG853">
        <v>2</v>
      </c>
      <c r="AH853">
        <v>0</v>
      </c>
      <c r="AI853" t="s">
        <v>1803</v>
      </c>
      <c r="AJ853">
        <v>39.370750999999998</v>
      </c>
      <c r="AK853" t="s">
        <v>1804</v>
      </c>
      <c r="AL853">
        <v>-77.024674000000005</v>
      </c>
      <c r="AM853">
        <v>100</v>
      </c>
      <c r="AN853">
        <v>8700</v>
      </c>
      <c r="AO853" t="s">
        <v>115</v>
      </c>
      <c r="AP853">
        <v>112</v>
      </c>
      <c r="AQ853">
        <v>152</v>
      </c>
      <c r="AR853">
        <v>-64</v>
      </c>
      <c r="AZ853">
        <v>3614</v>
      </c>
      <c r="BA853">
        <v>1</v>
      </c>
      <c r="BB853" t="str">
        <f t="shared" si="41"/>
        <v xml:space="preserve">N959MJ  </v>
      </c>
      <c r="BC853">
        <v>1</v>
      </c>
      <c r="BE853">
        <v>0</v>
      </c>
      <c r="BF853">
        <v>0</v>
      </c>
      <c r="BG853">
        <v>0</v>
      </c>
      <c r="BH853">
        <v>9000</v>
      </c>
      <c r="BI853">
        <v>300</v>
      </c>
      <c r="BJ853">
        <v>1</v>
      </c>
      <c r="BK853">
        <v>1</v>
      </c>
      <c r="BL853">
        <v>1</v>
      </c>
      <c r="BM853">
        <v>0</v>
      </c>
      <c r="BP853">
        <v>0</v>
      </c>
      <c r="BQ853">
        <v>0</v>
      </c>
      <c r="BX853" t="str">
        <f>"14:04:34.289"</f>
        <v>14:04:34.289</v>
      </c>
      <c r="BY853" t="str">
        <f>"288830874"</f>
        <v>288830874</v>
      </c>
      <c r="CL853">
        <v>0</v>
      </c>
      <c r="CM853">
        <v>2</v>
      </c>
      <c r="CN853">
        <v>0</v>
      </c>
      <c r="CO853">
        <v>2</v>
      </c>
      <c r="CP853">
        <v>0</v>
      </c>
      <c r="CQ853">
        <v>7</v>
      </c>
      <c r="CR853" t="s">
        <v>116</v>
      </c>
      <c r="CS853">
        <v>525</v>
      </c>
      <c r="CT853">
        <v>1</v>
      </c>
      <c r="CU853" t="s">
        <v>140</v>
      </c>
      <c r="CV853" t="s">
        <v>141</v>
      </c>
      <c r="CY853">
        <v>8394153</v>
      </c>
      <c r="CZ853" t="s">
        <v>119</v>
      </c>
    </row>
    <row r="854" spans="1:104" x14ac:dyDescent="0.25">
      <c r="A854" t="str">
        <f>"14:04:35.609"</f>
        <v>14:04:35.609</v>
      </c>
      <c r="B854" t="s">
        <v>108</v>
      </c>
      <c r="C854" t="str">
        <f t="shared" si="40"/>
        <v>ffdfd3c0</v>
      </c>
      <c r="D854" t="s">
        <v>109</v>
      </c>
      <c r="E854">
        <v>4</v>
      </c>
      <c r="F854">
        <v>1004</v>
      </c>
      <c r="G854" t="s">
        <v>110</v>
      </c>
      <c r="J854" t="s">
        <v>111</v>
      </c>
      <c r="K854">
        <v>0</v>
      </c>
      <c r="L854">
        <v>3</v>
      </c>
      <c r="M854">
        <v>0</v>
      </c>
      <c r="N854">
        <v>2</v>
      </c>
      <c r="O854">
        <v>1</v>
      </c>
      <c r="P854">
        <v>0</v>
      </c>
      <c r="Q854">
        <v>0</v>
      </c>
      <c r="R854" t="s">
        <v>112</v>
      </c>
      <c r="S854" t="str">
        <f>"14:04:35.445"</f>
        <v>14:04:35.445</v>
      </c>
      <c r="T854" t="str">
        <f>"14:04:34.945"</f>
        <v>14:04:34.945</v>
      </c>
      <c r="U854" t="str">
        <f t="shared" si="39"/>
        <v>ad5732</v>
      </c>
      <c r="V854">
        <v>0</v>
      </c>
      <c r="W854">
        <v>0</v>
      </c>
      <c r="X854">
        <v>1</v>
      </c>
      <c r="Z854">
        <v>0</v>
      </c>
      <c r="AA854">
        <v>9</v>
      </c>
      <c r="AB854">
        <v>3</v>
      </c>
      <c r="AC854">
        <v>0</v>
      </c>
      <c r="AD854">
        <v>10</v>
      </c>
      <c r="AE854">
        <v>0</v>
      </c>
      <c r="AF854">
        <v>3</v>
      </c>
      <c r="AG854">
        <v>2</v>
      </c>
      <c r="AH854">
        <v>0</v>
      </c>
      <c r="AI854" t="s">
        <v>1805</v>
      </c>
      <c r="AJ854">
        <v>39.371502</v>
      </c>
      <c r="AK854" t="s">
        <v>1806</v>
      </c>
      <c r="AL854">
        <v>-77.023922999999996</v>
      </c>
      <c r="AM854">
        <v>100</v>
      </c>
      <c r="AN854">
        <v>8700</v>
      </c>
      <c r="AO854" t="s">
        <v>115</v>
      </c>
      <c r="AP854">
        <v>119</v>
      </c>
      <c r="AQ854">
        <v>147</v>
      </c>
      <c r="AR854">
        <v>64</v>
      </c>
      <c r="AZ854">
        <v>3614</v>
      </c>
      <c r="BA854">
        <v>1</v>
      </c>
      <c r="BB854" t="str">
        <f t="shared" si="41"/>
        <v xml:space="preserve">N959MJ  </v>
      </c>
      <c r="BC854">
        <v>1</v>
      </c>
      <c r="BE854">
        <v>0</v>
      </c>
      <c r="BF854">
        <v>0</v>
      </c>
      <c r="BG854">
        <v>0</v>
      </c>
      <c r="BH854">
        <v>9000</v>
      </c>
      <c r="BI854">
        <v>300</v>
      </c>
      <c r="BJ854">
        <v>1</v>
      </c>
      <c r="BK854">
        <v>1</v>
      </c>
      <c r="BL854">
        <v>1</v>
      </c>
      <c r="BM854">
        <v>0</v>
      </c>
      <c r="BP854">
        <v>0</v>
      </c>
      <c r="BQ854">
        <v>0</v>
      </c>
      <c r="BX854" t="str">
        <f>"14:04:35.445"</f>
        <v>14:04:35.445</v>
      </c>
      <c r="BY854" t="str">
        <f>"447198756"</f>
        <v>447198756</v>
      </c>
      <c r="CL854">
        <v>0</v>
      </c>
      <c r="CM854">
        <v>2</v>
      </c>
      <c r="CN854">
        <v>0</v>
      </c>
      <c r="CO854">
        <v>2</v>
      </c>
      <c r="CP854">
        <v>0</v>
      </c>
      <c r="CQ854">
        <v>7</v>
      </c>
      <c r="CR854" t="s">
        <v>116</v>
      </c>
      <c r="CS854">
        <v>525</v>
      </c>
      <c r="CT854">
        <v>1</v>
      </c>
      <c r="CU854" t="s">
        <v>140</v>
      </c>
      <c r="CV854" t="s">
        <v>141</v>
      </c>
      <c r="CY854">
        <v>8395748</v>
      </c>
      <c r="CZ854" t="s">
        <v>119</v>
      </c>
    </row>
    <row r="855" spans="1:104" x14ac:dyDescent="0.25">
      <c r="A855" t="str">
        <f>"14:04:36.617"</f>
        <v>14:04:36.617</v>
      </c>
      <c r="B855" t="s">
        <v>108</v>
      </c>
      <c r="C855" t="str">
        <f t="shared" si="40"/>
        <v>ffdfd3c0</v>
      </c>
      <c r="D855" t="s">
        <v>109</v>
      </c>
      <c r="E855">
        <v>4</v>
      </c>
      <c r="F855">
        <v>1004</v>
      </c>
      <c r="G855" t="s">
        <v>110</v>
      </c>
      <c r="J855" t="s">
        <v>111</v>
      </c>
      <c r="K855">
        <v>0</v>
      </c>
      <c r="L855">
        <v>3</v>
      </c>
      <c r="M855">
        <v>0</v>
      </c>
      <c r="N855">
        <v>2</v>
      </c>
      <c r="O855">
        <v>1</v>
      </c>
      <c r="P855">
        <v>0</v>
      </c>
      <c r="Q855">
        <v>0</v>
      </c>
      <c r="R855" t="s">
        <v>112</v>
      </c>
      <c r="S855" t="str">
        <f>"14:04:36.414"</f>
        <v>14:04:36.414</v>
      </c>
      <c r="T855" t="str">
        <f>"14:04:35.914"</f>
        <v>14:04:35.914</v>
      </c>
      <c r="U855" t="str">
        <f t="shared" si="39"/>
        <v>ad5732</v>
      </c>
      <c r="V855">
        <v>0</v>
      </c>
      <c r="W855">
        <v>0</v>
      </c>
      <c r="X855">
        <v>1</v>
      </c>
      <c r="Z855">
        <v>0</v>
      </c>
      <c r="AA855">
        <v>9</v>
      </c>
      <c r="AB855">
        <v>3</v>
      </c>
      <c r="AC855">
        <v>0</v>
      </c>
      <c r="AD855">
        <v>10</v>
      </c>
      <c r="AE855">
        <v>0</v>
      </c>
      <c r="AF855">
        <v>3</v>
      </c>
      <c r="AG855">
        <v>2</v>
      </c>
      <c r="AH855">
        <v>0</v>
      </c>
      <c r="AI855" t="s">
        <v>1807</v>
      </c>
      <c r="AJ855">
        <v>39.372168000000002</v>
      </c>
      <c r="AK855" t="s">
        <v>1808</v>
      </c>
      <c r="AL855">
        <v>-77.023128999999997</v>
      </c>
      <c r="AM855">
        <v>100</v>
      </c>
      <c r="AN855">
        <v>8700</v>
      </c>
      <c r="AO855" t="s">
        <v>115</v>
      </c>
      <c r="AP855">
        <v>124</v>
      </c>
      <c r="AQ855">
        <v>143</v>
      </c>
      <c r="AR855">
        <v>64</v>
      </c>
      <c r="AZ855">
        <v>3614</v>
      </c>
      <c r="BA855">
        <v>1</v>
      </c>
      <c r="BB855" t="str">
        <f t="shared" si="41"/>
        <v xml:space="preserve">N959MJ  </v>
      </c>
      <c r="BC855">
        <v>1</v>
      </c>
      <c r="BE855">
        <v>0</v>
      </c>
      <c r="BF855">
        <v>0</v>
      </c>
      <c r="BG855">
        <v>0</v>
      </c>
      <c r="BH855">
        <v>9000</v>
      </c>
      <c r="BI855">
        <v>300</v>
      </c>
      <c r="BJ855">
        <v>1</v>
      </c>
      <c r="BK855">
        <v>1</v>
      </c>
      <c r="BL855">
        <v>1</v>
      </c>
      <c r="BM855">
        <v>0</v>
      </c>
      <c r="BP855">
        <v>0</v>
      </c>
      <c r="BQ855">
        <v>0</v>
      </c>
      <c r="BX855" t="str">
        <f>"14:04:36.414"</f>
        <v>14:04:36.414</v>
      </c>
      <c r="BY855" t="str">
        <f>"415509081"</f>
        <v>415509081</v>
      </c>
      <c r="CL855">
        <v>0</v>
      </c>
      <c r="CM855">
        <v>2</v>
      </c>
      <c r="CN855">
        <v>0</v>
      </c>
      <c r="CO855">
        <v>2</v>
      </c>
      <c r="CP855">
        <v>0</v>
      </c>
      <c r="CQ855">
        <v>7</v>
      </c>
      <c r="CR855" t="s">
        <v>116</v>
      </c>
      <c r="CS855">
        <v>525</v>
      </c>
      <c r="CT855">
        <v>1</v>
      </c>
      <c r="CU855" t="s">
        <v>140</v>
      </c>
      <c r="CV855" t="s">
        <v>141</v>
      </c>
      <c r="CY855">
        <v>8397178</v>
      </c>
      <c r="CZ855" t="s">
        <v>119</v>
      </c>
    </row>
    <row r="856" spans="1:104" x14ac:dyDescent="0.25">
      <c r="A856" t="str">
        <f>"14:04:37.523"</f>
        <v>14:04:37.523</v>
      </c>
      <c r="B856" t="s">
        <v>108</v>
      </c>
      <c r="C856" t="str">
        <f t="shared" si="40"/>
        <v>ffdfd3c0</v>
      </c>
      <c r="D856" t="s">
        <v>109</v>
      </c>
      <c r="E856">
        <v>4</v>
      </c>
      <c r="F856">
        <v>1004</v>
      </c>
      <c r="G856" t="s">
        <v>110</v>
      </c>
      <c r="J856" t="s">
        <v>111</v>
      </c>
      <c r="K856">
        <v>0</v>
      </c>
      <c r="L856">
        <v>3</v>
      </c>
      <c r="M856">
        <v>0</v>
      </c>
      <c r="N856">
        <v>2</v>
      </c>
      <c r="O856">
        <v>1</v>
      </c>
      <c r="P856">
        <v>0</v>
      </c>
      <c r="Q856">
        <v>0</v>
      </c>
      <c r="R856" t="s">
        <v>112</v>
      </c>
      <c r="S856" t="str">
        <f>"14:04:37.359"</f>
        <v>14:04:37.359</v>
      </c>
      <c r="T856" t="str">
        <f>"14:04:36.961"</f>
        <v>14:04:36.961</v>
      </c>
      <c r="U856" t="str">
        <f t="shared" si="39"/>
        <v>ad5732</v>
      </c>
      <c r="V856">
        <v>0</v>
      </c>
      <c r="W856">
        <v>0</v>
      </c>
      <c r="X856">
        <v>1</v>
      </c>
      <c r="Z856">
        <v>0</v>
      </c>
      <c r="AA856">
        <v>9</v>
      </c>
      <c r="AB856">
        <v>3</v>
      </c>
      <c r="AC856">
        <v>0</v>
      </c>
      <c r="AD856">
        <v>10</v>
      </c>
      <c r="AE856">
        <v>0</v>
      </c>
      <c r="AF856">
        <v>3</v>
      </c>
      <c r="AG856">
        <v>2</v>
      </c>
      <c r="AH856">
        <v>0</v>
      </c>
      <c r="AI856" t="s">
        <v>1809</v>
      </c>
      <c r="AJ856">
        <v>39.372703999999999</v>
      </c>
      <c r="AK856" t="s">
        <v>1810</v>
      </c>
      <c r="AL856">
        <v>-77.022463999999999</v>
      </c>
      <c r="AM856">
        <v>100</v>
      </c>
      <c r="AN856">
        <v>8700</v>
      </c>
      <c r="AO856" t="s">
        <v>115</v>
      </c>
      <c r="AP856">
        <v>130</v>
      </c>
      <c r="AQ856">
        <v>138</v>
      </c>
      <c r="AR856">
        <v>128</v>
      </c>
      <c r="AZ856">
        <v>3614</v>
      </c>
      <c r="BA856">
        <v>1</v>
      </c>
      <c r="BB856" t="str">
        <f t="shared" si="41"/>
        <v xml:space="preserve">N959MJ  </v>
      </c>
      <c r="BC856">
        <v>1</v>
      </c>
      <c r="BE856">
        <v>0</v>
      </c>
      <c r="BF856">
        <v>0</v>
      </c>
      <c r="BG856">
        <v>0</v>
      </c>
      <c r="BH856">
        <v>9000</v>
      </c>
      <c r="BI856">
        <v>300</v>
      </c>
      <c r="BJ856">
        <v>1</v>
      </c>
      <c r="BK856">
        <v>1</v>
      </c>
      <c r="BL856">
        <v>1</v>
      </c>
      <c r="BM856">
        <v>0</v>
      </c>
      <c r="BP856">
        <v>0</v>
      </c>
      <c r="BQ856">
        <v>0</v>
      </c>
      <c r="BX856" t="str">
        <f>"14:04:37.359"</f>
        <v>14:04:37.359</v>
      </c>
      <c r="BY856" t="str">
        <f>"362519940"</f>
        <v>362519940</v>
      </c>
      <c r="CL856">
        <v>0</v>
      </c>
      <c r="CM856">
        <v>2</v>
      </c>
      <c r="CN856">
        <v>0</v>
      </c>
      <c r="CO856">
        <v>2</v>
      </c>
      <c r="CP856">
        <v>0</v>
      </c>
      <c r="CQ856">
        <v>7</v>
      </c>
      <c r="CR856" t="s">
        <v>116</v>
      </c>
      <c r="CS856">
        <v>525</v>
      </c>
      <c r="CT856">
        <v>1</v>
      </c>
      <c r="CU856" t="s">
        <v>140</v>
      </c>
      <c r="CV856" t="s">
        <v>141</v>
      </c>
      <c r="CY856">
        <v>8398575</v>
      </c>
      <c r="CZ856" t="s">
        <v>119</v>
      </c>
    </row>
    <row r="857" spans="1:104" x14ac:dyDescent="0.25">
      <c r="A857" t="str">
        <f>"14:04:38.641"</f>
        <v>14:04:38.641</v>
      </c>
      <c r="B857" t="s">
        <v>108</v>
      </c>
      <c r="C857" t="str">
        <f t="shared" si="40"/>
        <v>ffdfd3c0</v>
      </c>
      <c r="D857" t="s">
        <v>109</v>
      </c>
      <c r="E857">
        <v>4</v>
      </c>
      <c r="F857">
        <v>1004</v>
      </c>
      <c r="G857" t="s">
        <v>110</v>
      </c>
      <c r="J857" t="s">
        <v>111</v>
      </c>
      <c r="K857">
        <v>0</v>
      </c>
      <c r="L857">
        <v>3</v>
      </c>
      <c r="M857">
        <v>0</v>
      </c>
      <c r="N857">
        <v>2</v>
      </c>
      <c r="O857">
        <v>1</v>
      </c>
      <c r="P857">
        <v>0</v>
      </c>
      <c r="Q857">
        <v>0</v>
      </c>
      <c r="R857" t="s">
        <v>112</v>
      </c>
      <c r="S857" t="str">
        <f>"14:04:38.398"</f>
        <v>14:04:38.398</v>
      </c>
      <c r="T857" t="str">
        <f>"14:04:38.000"</f>
        <v>14:04:38.000</v>
      </c>
      <c r="U857" t="str">
        <f t="shared" si="39"/>
        <v>ad5732</v>
      </c>
      <c r="V857">
        <v>0</v>
      </c>
      <c r="W857">
        <v>0</v>
      </c>
      <c r="X857">
        <v>1</v>
      </c>
      <c r="Z857">
        <v>0</v>
      </c>
      <c r="AA857">
        <v>9</v>
      </c>
      <c r="AB857">
        <v>3</v>
      </c>
      <c r="AC857">
        <v>0</v>
      </c>
      <c r="AD857">
        <v>10</v>
      </c>
      <c r="AE857">
        <v>0</v>
      </c>
      <c r="AF857">
        <v>3</v>
      </c>
      <c r="AG857">
        <v>2</v>
      </c>
      <c r="AH857">
        <v>0</v>
      </c>
      <c r="AI857" t="s">
        <v>1811</v>
      </c>
      <c r="AJ857">
        <v>39.373368999999997</v>
      </c>
      <c r="AK857" t="s">
        <v>1812</v>
      </c>
      <c r="AL857">
        <v>-77.021541999999997</v>
      </c>
      <c r="AM857">
        <v>100</v>
      </c>
      <c r="AN857">
        <v>8700</v>
      </c>
      <c r="AO857" t="s">
        <v>115</v>
      </c>
      <c r="AP857">
        <v>135</v>
      </c>
      <c r="AQ857">
        <v>133</v>
      </c>
      <c r="AR857">
        <v>128</v>
      </c>
      <c r="AZ857">
        <v>3614</v>
      </c>
      <c r="BA857">
        <v>1</v>
      </c>
      <c r="BB857" t="str">
        <f t="shared" si="41"/>
        <v xml:space="preserve">N959MJ  </v>
      </c>
      <c r="BC857">
        <v>1</v>
      </c>
      <c r="BE857">
        <v>0</v>
      </c>
      <c r="BF857">
        <v>0</v>
      </c>
      <c r="BG857">
        <v>0</v>
      </c>
      <c r="BH857">
        <v>9000</v>
      </c>
      <c r="BI857">
        <v>300</v>
      </c>
      <c r="BJ857">
        <v>1</v>
      </c>
      <c r="BK857">
        <v>1</v>
      </c>
      <c r="BL857">
        <v>1</v>
      </c>
      <c r="BM857">
        <v>0</v>
      </c>
      <c r="BP857">
        <v>0</v>
      </c>
      <c r="BQ857">
        <v>0</v>
      </c>
      <c r="BX857" t="str">
        <f>"14:04:38.398"</f>
        <v>14:04:38.398</v>
      </c>
      <c r="BY857" t="str">
        <f>"399644261"</f>
        <v>399644261</v>
      </c>
      <c r="CL857">
        <v>0</v>
      </c>
      <c r="CM857">
        <v>2</v>
      </c>
      <c r="CN857">
        <v>0</v>
      </c>
      <c r="CO857">
        <v>2</v>
      </c>
      <c r="CP857">
        <v>0</v>
      </c>
      <c r="CQ857">
        <v>7</v>
      </c>
      <c r="CR857" t="s">
        <v>116</v>
      </c>
      <c r="CS857">
        <v>525</v>
      </c>
      <c r="CT857">
        <v>1</v>
      </c>
      <c r="CU857" t="s">
        <v>140</v>
      </c>
      <c r="CV857" t="s">
        <v>141</v>
      </c>
      <c r="CY857">
        <v>8400067</v>
      </c>
      <c r="CZ857" t="s">
        <v>119</v>
      </c>
    </row>
    <row r="858" spans="1:104" x14ac:dyDescent="0.25">
      <c r="A858" t="str">
        <f>"14:04:39.445"</f>
        <v>14:04:39.445</v>
      </c>
      <c r="B858" t="s">
        <v>108</v>
      </c>
      <c r="C858" t="str">
        <f t="shared" si="40"/>
        <v>ffdfd3c0</v>
      </c>
      <c r="D858" t="s">
        <v>109</v>
      </c>
      <c r="E858">
        <v>4</v>
      </c>
      <c r="F858">
        <v>1004</v>
      </c>
      <c r="G858" t="s">
        <v>110</v>
      </c>
      <c r="J858" t="s">
        <v>111</v>
      </c>
      <c r="K858">
        <v>0</v>
      </c>
      <c r="L858">
        <v>3</v>
      </c>
      <c r="M858">
        <v>0</v>
      </c>
      <c r="N858">
        <v>2</v>
      </c>
      <c r="O858">
        <v>1</v>
      </c>
      <c r="P858">
        <v>0</v>
      </c>
      <c r="Q858">
        <v>0</v>
      </c>
      <c r="R858" t="s">
        <v>112</v>
      </c>
      <c r="S858" t="str">
        <f>"14:04:39.250"</f>
        <v>14:04:39.250</v>
      </c>
      <c r="T858" t="str">
        <f>"14:04:38.852"</f>
        <v>14:04:38.852</v>
      </c>
      <c r="U858" t="str">
        <f t="shared" si="39"/>
        <v>ad5732</v>
      </c>
      <c r="V858">
        <v>0</v>
      </c>
      <c r="W858">
        <v>0</v>
      </c>
      <c r="X858">
        <v>1</v>
      </c>
      <c r="Z858">
        <v>0</v>
      </c>
      <c r="AA858">
        <v>9</v>
      </c>
      <c r="AB858">
        <v>3</v>
      </c>
      <c r="AC858">
        <v>0</v>
      </c>
      <c r="AD858">
        <v>10</v>
      </c>
      <c r="AE858">
        <v>0</v>
      </c>
      <c r="AF858">
        <v>3</v>
      </c>
      <c r="AG858">
        <v>2</v>
      </c>
      <c r="AH858">
        <v>0</v>
      </c>
      <c r="AI858" t="s">
        <v>1813</v>
      </c>
      <c r="AJ858">
        <v>39.373840999999999</v>
      </c>
      <c r="AK858" t="s">
        <v>1814</v>
      </c>
      <c r="AL858">
        <v>-77.020876000000001</v>
      </c>
      <c r="AM858">
        <v>100</v>
      </c>
      <c r="AN858">
        <v>8700</v>
      </c>
      <c r="AO858" t="s">
        <v>115</v>
      </c>
      <c r="AP858">
        <v>139</v>
      </c>
      <c r="AQ858">
        <v>129</v>
      </c>
      <c r="AR858">
        <v>128</v>
      </c>
      <c r="AZ858">
        <v>3614</v>
      </c>
      <c r="BA858">
        <v>1</v>
      </c>
      <c r="BB858" t="str">
        <f t="shared" si="41"/>
        <v xml:space="preserve">N959MJ  </v>
      </c>
      <c r="BC858">
        <v>1</v>
      </c>
      <c r="BE858">
        <v>0</v>
      </c>
      <c r="BF858">
        <v>0</v>
      </c>
      <c r="BG858">
        <v>0</v>
      </c>
      <c r="BH858">
        <v>9000</v>
      </c>
      <c r="BI858">
        <v>300</v>
      </c>
      <c r="BJ858">
        <v>1</v>
      </c>
      <c r="BK858">
        <v>1</v>
      </c>
      <c r="BL858">
        <v>1</v>
      </c>
      <c r="BM858">
        <v>0</v>
      </c>
      <c r="BP858">
        <v>0</v>
      </c>
      <c r="BQ858">
        <v>0</v>
      </c>
      <c r="BX858" t="str">
        <f>"14:04:39.258"</f>
        <v>14:04:39.258</v>
      </c>
      <c r="BY858" t="str">
        <f>"255107649"</f>
        <v>255107649</v>
      </c>
      <c r="CL858">
        <v>0</v>
      </c>
      <c r="CM858">
        <v>2</v>
      </c>
      <c r="CN858">
        <v>0</v>
      </c>
      <c r="CO858">
        <v>2</v>
      </c>
      <c r="CP858">
        <v>0</v>
      </c>
      <c r="CQ858">
        <v>4</v>
      </c>
      <c r="CR858" t="s">
        <v>116</v>
      </c>
      <c r="CS858">
        <v>373</v>
      </c>
      <c r="CT858">
        <v>3</v>
      </c>
      <c r="CU858" t="s">
        <v>224</v>
      </c>
      <c r="CV858" t="s">
        <v>225</v>
      </c>
      <c r="CY858">
        <v>2881631</v>
      </c>
      <c r="CZ858" t="s">
        <v>119</v>
      </c>
    </row>
    <row r="859" spans="1:104" x14ac:dyDescent="0.25">
      <c r="A859" t="str">
        <f>"14:04:40.453"</f>
        <v>14:04:40.453</v>
      </c>
      <c r="B859" t="s">
        <v>108</v>
      </c>
      <c r="C859" t="str">
        <f t="shared" si="40"/>
        <v>ffdfd3c0</v>
      </c>
      <c r="D859" t="s">
        <v>109</v>
      </c>
      <c r="E859">
        <v>4</v>
      </c>
      <c r="F859">
        <v>1004</v>
      </c>
      <c r="G859" t="s">
        <v>110</v>
      </c>
      <c r="J859" t="s">
        <v>111</v>
      </c>
      <c r="K859">
        <v>0</v>
      </c>
      <c r="L859">
        <v>3</v>
      </c>
      <c r="M859">
        <v>0</v>
      </c>
      <c r="N859">
        <v>2</v>
      </c>
      <c r="O859">
        <v>1</v>
      </c>
      <c r="P859">
        <v>0</v>
      </c>
      <c r="Q859">
        <v>0</v>
      </c>
      <c r="R859" t="s">
        <v>112</v>
      </c>
      <c r="S859" t="str">
        <f>"14:04:40.289"</f>
        <v>14:04:40.289</v>
      </c>
      <c r="T859" t="str">
        <f>"14:04:39.789"</f>
        <v>14:04:39.789</v>
      </c>
      <c r="U859" t="str">
        <f t="shared" si="39"/>
        <v>ad5732</v>
      </c>
      <c r="V859">
        <v>0</v>
      </c>
      <c r="W859">
        <v>0</v>
      </c>
      <c r="X859">
        <v>1</v>
      </c>
      <c r="Z859">
        <v>0</v>
      </c>
      <c r="AA859">
        <v>9</v>
      </c>
      <c r="AB859">
        <v>3</v>
      </c>
      <c r="AC859">
        <v>0</v>
      </c>
      <c r="AD859">
        <v>10</v>
      </c>
      <c r="AE859">
        <v>0</v>
      </c>
      <c r="AF859">
        <v>3</v>
      </c>
      <c r="AG859">
        <v>2</v>
      </c>
      <c r="AH859">
        <v>0</v>
      </c>
      <c r="AI859" t="s">
        <v>1815</v>
      </c>
      <c r="AJ859">
        <v>39.374505999999997</v>
      </c>
      <c r="AK859" t="s">
        <v>1816</v>
      </c>
      <c r="AL859">
        <v>-77.019953999999998</v>
      </c>
      <c r="AM859">
        <v>100</v>
      </c>
      <c r="AN859">
        <v>8700</v>
      </c>
      <c r="AO859" t="s">
        <v>115</v>
      </c>
      <c r="AP859">
        <v>144</v>
      </c>
      <c r="AQ859">
        <v>124</v>
      </c>
      <c r="AR859">
        <v>192</v>
      </c>
      <c r="AZ859">
        <v>3614</v>
      </c>
      <c r="BA859">
        <v>1</v>
      </c>
      <c r="BB859" t="str">
        <f t="shared" si="41"/>
        <v xml:space="preserve">N959MJ  </v>
      </c>
      <c r="BC859">
        <v>1</v>
      </c>
      <c r="BE859">
        <v>0</v>
      </c>
      <c r="BF859">
        <v>0</v>
      </c>
      <c r="BG859">
        <v>0</v>
      </c>
      <c r="BH859">
        <v>9000</v>
      </c>
      <c r="BI859">
        <v>300</v>
      </c>
      <c r="BJ859">
        <v>1</v>
      </c>
      <c r="BK859">
        <v>1</v>
      </c>
      <c r="BL859">
        <v>1</v>
      </c>
      <c r="BM859">
        <v>0</v>
      </c>
      <c r="BP859">
        <v>0</v>
      </c>
      <c r="BQ859">
        <v>0</v>
      </c>
      <c r="BX859" t="str">
        <f>"14:04:40.297"</f>
        <v>14:04:40.297</v>
      </c>
      <c r="BY859" t="str">
        <f>"295304385"</f>
        <v>295304385</v>
      </c>
      <c r="CL859">
        <v>0</v>
      </c>
      <c r="CM859">
        <v>2</v>
      </c>
      <c r="CN859">
        <v>0</v>
      </c>
      <c r="CO859">
        <v>2</v>
      </c>
      <c r="CP859">
        <v>0</v>
      </c>
      <c r="CQ859">
        <v>7</v>
      </c>
      <c r="CR859" t="s">
        <v>116</v>
      </c>
      <c r="CS859">
        <v>525</v>
      </c>
      <c r="CT859">
        <v>1</v>
      </c>
      <c r="CU859" t="s">
        <v>140</v>
      </c>
      <c r="CV859" t="s">
        <v>141</v>
      </c>
      <c r="CY859">
        <v>8402727</v>
      </c>
      <c r="CZ859" t="s">
        <v>119</v>
      </c>
    </row>
    <row r="860" spans="1:104" x14ac:dyDescent="0.25">
      <c r="A860" t="str">
        <f>"14:04:41.461"</f>
        <v>14:04:41.461</v>
      </c>
      <c r="B860" t="s">
        <v>108</v>
      </c>
      <c r="C860" t="str">
        <f t="shared" si="40"/>
        <v>ffdfd3c0</v>
      </c>
      <c r="D860" t="s">
        <v>109</v>
      </c>
      <c r="E860">
        <v>4</v>
      </c>
      <c r="F860">
        <v>1004</v>
      </c>
      <c r="G860" t="s">
        <v>110</v>
      </c>
      <c r="J860" t="s">
        <v>111</v>
      </c>
      <c r="K860">
        <v>0</v>
      </c>
      <c r="L860">
        <v>3</v>
      </c>
      <c r="M860">
        <v>0</v>
      </c>
      <c r="N860">
        <v>2</v>
      </c>
      <c r="O860">
        <v>1</v>
      </c>
      <c r="P860">
        <v>0</v>
      </c>
      <c r="Q860">
        <v>0</v>
      </c>
      <c r="R860" t="s">
        <v>112</v>
      </c>
      <c r="S860" t="str">
        <f>"14:04:41.273"</f>
        <v>14:04:41.273</v>
      </c>
      <c r="T860" t="str">
        <f>"14:04:40.375"</f>
        <v>14:04:40.375</v>
      </c>
      <c r="U860" t="str">
        <f t="shared" si="39"/>
        <v>ad5732</v>
      </c>
      <c r="V860">
        <v>0</v>
      </c>
      <c r="W860">
        <v>0</v>
      </c>
      <c r="X860">
        <v>1</v>
      </c>
      <c r="Z860">
        <v>0</v>
      </c>
      <c r="AA860">
        <v>9</v>
      </c>
      <c r="AB860">
        <v>3</v>
      </c>
      <c r="AC860">
        <v>0</v>
      </c>
      <c r="AD860">
        <v>10</v>
      </c>
      <c r="AE860">
        <v>0</v>
      </c>
      <c r="AF860">
        <v>3</v>
      </c>
      <c r="AG860">
        <v>2</v>
      </c>
      <c r="AH860">
        <v>0</v>
      </c>
      <c r="AI860" t="s">
        <v>1817</v>
      </c>
      <c r="AJ860">
        <v>39.374957000000002</v>
      </c>
      <c r="AK860" t="s">
        <v>1818</v>
      </c>
      <c r="AL860">
        <v>-77.019159999999999</v>
      </c>
      <c r="AM860">
        <v>100</v>
      </c>
      <c r="AN860">
        <v>8700</v>
      </c>
      <c r="AO860" t="s">
        <v>115</v>
      </c>
      <c r="AP860">
        <v>146</v>
      </c>
      <c r="AQ860">
        <v>122</v>
      </c>
      <c r="AR860">
        <v>192</v>
      </c>
      <c r="AZ860">
        <v>3614</v>
      </c>
      <c r="BA860">
        <v>1</v>
      </c>
      <c r="BB860" t="str">
        <f t="shared" si="41"/>
        <v xml:space="preserve">N959MJ  </v>
      </c>
      <c r="BC860">
        <v>1</v>
      </c>
      <c r="BE860">
        <v>0</v>
      </c>
      <c r="BF860">
        <v>0</v>
      </c>
      <c r="BG860">
        <v>0</v>
      </c>
      <c r="BH860">
        <v>9000</v>
      </c>
      <c r="BI860">
        <v>300</v>
      </c>
      <c r="BJ860">
        <v>1</v>
      </c>
      <c r="BK860">
        <v>1</v>
      </c>
      <c r="BL860">
        <v>1</v>
      </c>
      <c r="BM860">
        <v>0</v>
      </c>
      <c r="BP860">
        <v>0</v>
      </c>
      <c r="BQ860">
        <v>0</v>
      </c>
      <c r="BX860" t="str">
        <f>"14:04:41.281"</f>
        <v>14:04:41.281</v>
      </c>
      <c r="BY860" t="str">
        <f>"278502431"</f>
        <v>278502431</v>
      </c>
      <c r="CL860">
        <v>0</v>
      </c>
      <c r="CM860">
        <v>2</v>
      </c>
      <c r="CN860">
        <v>0</v>
      </c>
      <c r="CO860">
        <v>2</v>
      </c>
      <c r="CP860">
        <v>0</v>
      </c>
      <c r="CQ860">
        <v>6</v>
      </c>
      <c r="CR860" t="s">
        <v>116</v>
      </c>
      <c r="CS860">
        <v>396</v>
      </c>
      <c r="CT860">
        <v>2</v>
      </c>
      <c r="CU860" t="s">
        <v>939</v>
      </c>
      <c r="CV860" t="s">
        <v>940</v>
      </c>
      <c r="CY860">
        <v>4239391</v>
      </c>
      <c r="CZ860" t="s">
        <v>119</v>
      </c>
    </row>
    <row r="861" spans="1:104" x14ac:dyDescent="0.25">
      <c r="A861" t="str">
        <f>"14:04:42.625"</f>
        <v>14:04:42.625</v>
      </c>
      <c r="B861" t="s">
        <v>108</v>
      </c>
      <c r="C861" t="str">
        <f t="shared" si="40"/>
        <v>ffdfd3c0</v>
      </c>
      <c r="D861" t="s">
        <v>109</v>
      </c>
      <c r="E861">
        <v>4</v>
      </c>
      <c r="F861">
        <v>1004</v>
      </c>
      <c r="G861" t="s">
        <v>110</v>
      </c>
      <c r="J861" t="s">
        <v>111</v>
      </c>
      <c r="K861">
        <v>0</v>
      </c>
      <c r="L861">
        <v>3</v>
      </c>
      <c r="M861">
        <v>0</v>
      </c>
      <c r="N861">
        <v>2</v>
      </c>
      <c r="O861">
        <v>1</v>
      </c>
      <c r="P861">
        <v>0</v>
      </c>
      <c r="Q861">
        <v>0</v>
      </c>
      <c r="R861" t="s">
        <v>112</v>
      </c>
      <c r="S861" t="str">
        <f>"14:04:42.422"</f>
        <v>14:04:42.422</v>
      </c>
      <c r="T861" t="str">
        <f>"14:04:41.922"</f>
        <v>14:04:41.922</v>
      </c>
      <c r="U861" t="str">
        <f t="shared" si="39"/>
        <v>ad5732</v>
      </c>
      <c r="V861">
        <v>0</v>
      </c>
      <c r="W861">
        <v>0</v>
      </c>
      <c r="X861">
        <v>1</v>
      </c>
      <c r="Z861">
        <v>0</v>
      </c>
      <c r="AA861">
        <v>9</v>
      </c>
      <c r="AB861">
        <v>3</v>
      </c>
      <c r="AC861">
        <v>0</v>
      </c>
      <c r="AD861">
        <v>10</v>
      </c>
      <c r="AE861">
        <v>0</v>
      </c>
      <c r="AF861">
        <v>3</v>
      </c>
      <c r="AG861">
        <v>2</v>
      </c>
      <c r="AH861">
        <v>0</v>
      </c>
      <c r="AI861" t="s">
        <v>1819</v>
      </c>
      <c r="AJ861">
        <v>39.375601000000003</v>
      </c>
      <c r="AK861" t="s">
        <v>1820</v>
      </c>
      <c r="AL861">
        <v>-77.018065000000007</v>
      </c>
      <c r="AM861">
        <v>100</v>
      </c>
      <c r="AN861">
        <v>8700</v>
      </c>
      <c r="AO861" t="s">
        <v>115</v>
      </c>
      <c r="AP861">
        <v>152</v>
      </c>
      <c r="AQ861">
        <v>113</v>
      </c>
      <c r="AR861">
        <v>192</v>
      </c>
      <c r="AZ861">
        <v>3614</v>
      </c>
      <c r="BA861">
        <v>1</v>
      </c>
      <c r="BB861" t="str">
        <f t="shared" si="41"/>
        <v xml:space="preserve">N959MJ  </v>
      </c>
      <c r="BC861">
        <v>1</v>
      </c>
      <c r="BE861">
        <v>0</v>
      </c>
      <c r="BF861">
        <v>0</v>
      </c>
      <c r="BG861">
        <v>0</v>
      </c>
      <c r="BH861">
        <v>9000</v>
      </c>
      <c r="BI861">
        <v>300</v>
      </c>
      <c r="BJ861">
        <v>1</v>
      </c>
      <c r="BK861">
        <v>1</v>
      </c>
      <c r="BL861">
        <v>1</v>
      </c>
      <c r="BM861">
        <v>0</v>
      </c>
      <c r="BP861">
        <v>0</v>
      </c>
      <c r="BQ861">
        <v>0</v>
      </c>
      <c r="BX861" t="str">
        <f>"14:04:42.430"</f>
        <v>14:04:42.430</v>
      </c>
      <c r="BY861" t="str">
        <f>"426898094"</f>
        <v>426898094</v>
      </c>
      <c r="CL861">
        <v>0</v>
      </c>
      <c r="CM861">
        <v>2</v>
      </c>
      <c r="CN861">
        <v>0</v>
      </c>
      <c r="CO861">
        <v>2</v>
      </c>
      <c r="CP861">
        <v>0</v>
      </c>
      <c r="CQ861">
        <v>7</v>
      </c>
      <c r="CR861" t="s">
        <v>116</v>
      </c>
      <c r="CS861">
        <v>525</v>
      </c>
      <c r="CT861">
        <v>1</v>
      </c>
      <c r="CU861" t="s">
        <v>140</v>
      </c>
      <c r="CV861" t="s">
        <v>141</v>
      </c>
      <c r="CY861">
        <v>8405923</v>
      </c>
      <c r="CZ861" t="s">
        <v>119</v>
      </c>
    </row>
    <row r="862" spans="1:104" x14ac:dyDescent="0.25">
      <c r="A862" t="str">
        <f>"14:04:43.633"</f>
        <v>14:04:43.633</v>
      </c>
      <c r="B862" t="s">
        <v>108</v>
      </c>
      <c r="C862" t="str">
        <f t="shared" si="40"/>
        <v>ffdfd3c0</v>
      </c>
      <c r="D862" t="s">
        <v>109</v>
      </c>
      <c r="E862">
        <v>4</v>
      </c>
      <c r="F862">
        <v>1004</v>
      </c>
      <c r="G862" t="s">
        <v>110</v>
      </c>
      <c r="J862" t="s">
        <v>111</v>
      </c>
      <c r="K862">
        <v>0</v>
      </c>
      <c r="L862">
        <v>3</v>
      </c>
      <c r="M862">
        <v>0</v>
      </c>
      <c r="N862">
        <v>2</v>
      </c>
      <c r="O862">
        <v>1</v>
      </c>
      <c r="P862">
        <v>0</v>
      </c>
      <c r="Q862">
        <v>0</v>
      </c>
      <c r="R862" t="s">
        <v>112</v>
      </c>
      <c r="S862" t="str">
        <f>"14:04:43.438"</f>
        <v>14:04:43.438</v>
      </c>
      <c r="T862" t="str">
        <f>"14:04:42.938"</f>
        <v>14:04:42.938</v>
      </c>
      <c r="U862" t="str">
        <f t="shared" si="39"/>
        <v>ad5732</v>
      </c>
      <c r="V862">
        <v>0</v>
      </c>
      <c r="W862">
        <v>0</v>
      </c>
      <c r="X862">
        <v>1</v>
      </c>
      <c r="Z862">
        <v>0</v>
      </c>
      <c r="AA862">
        <v>9</v>
      </c>
      <c r="AB862">
        <v>3</v>
      </c>
      <c r="AC862">
        <v>0</v>
      </c>
      <c r="AD862">
        <v>10</v>
      </c>
      <c r="AE862">
        <v>0</v>
      </c>
      <c r="AF862">
        <v>3</v>
      </c>
      <c r="AG862">
        <v>2</v>
      </c>
      <c r="AH862">
        <v>0</v>
      </c>
      <c r="AI862" t="s">
        <v>1821</v>
      </c>
      <c r="AJ862">
        <v>39.376072999999998</v>
      </c>
      <c r="AK862" t="s">
        <v>1822</v>
      </c>
      <c r="AL862">
        <v>-77.017099999999999</v>
      </c>
      <c r="AM862">
        <v>100</v>
      </c>
      <c r="AN862">
        <v>8700</v>
      </c>
      <c r="AO862" t="s">
        <v>115</v>
      </c>
      <c r="AP862">
        <v>156</v>
      </c>
      <c r="AQ862">
        <v>108</v>
      </c>
      <c r="AR862">
        <v>128</v>
      </c>
      <c r="AZ862">
        <v>3614</v>
      </c>
      <c r="BA862">
        <v>1</v>
      </c>
      <c r="BB862" t="str">
        <f t="shared" si="41"/>
        <v xml:space="preserve">N959MJ  </v>
      </c>
      <c r="BC862">
        <v>1</v>
      </c>
      <c r="BE862">
        <v>0</v>
      </c>
      <c r="BF862">
        <v>0</v>
      </c>
      <c r="BG862">
        <v>0</v>
      </c>
      <c r="BH862">
        <v>9000</v>
      </c>
      <c r="BI862">
        <v>300</v>
      </c>
      <c r="BJ862">
        <v>1</v>
      </c>
      <c r="BK862">
        <v>1</v>
      </c>
      <c r="BL862">
        <v>1</v>
      </c>
      <c r="BM862">
        <v>0</v>
      </c>
      <c r="BP862">
        <v>0</v>
      </c>
      <c r="BQ862">
        <v>0</v>
      </c>
      <c r="BX862" t="str">
        <f>"14:04:43.445"</f>
        <v>14:04:43.445</v>
      </c>
      <c r="BY862" t="str">
        <f>"444361293"</f>
        <v>444361293</v>
      </c>
      <c r="CL862">
        <v>0</v>
      </c>
      <c r="CM862">
        <v>2</v>
      </c>
      <c r="CN862">
        <v>0</v>
      </c>
      <c r="CO862">
        <v>2</v>
      </c>
      <c r="CP862">
        <v>0</v>
      </c>
      <c r="CQ862">
        <v>7</v>
      </c>
      <c r="CR862" t="s">
        <v>116</v>
      </c>
      <c r="CS862">
        <v>525</v>
      </c>
      <c r="CT862">
        <v>1</v>
      </c>
      <c r="CU862" t="s">
        <v>140</v>
      </c>
      <c r="CV862" t="s">
        <v>141</v>
      </c>
      <c r="CY862">
        <v>8407369</v>
      </c>
      <c r="CZ862" t="s">
        <v>119</v>
      </c>
    </row>
    <row r="863" spans="1:104" x14ac:dyDescent="0.25">
      <c r="A863" t="str">
        <f>"14:04:44.539"</f>
        <v>14:04:44.539</v>
      </c>
      <c r="B863" t="s">
        <v>108</v>
      </c>
      <c r="C863" t="str">
        <f t="shared" si="40"/>
        <v>ffdfd3c0</v>
      </c>
      <c r="D863" t="s">
        <v>109</v>
      </c>
      <c r="E863">
        <v>4</v>
      </c>
      <c r="F863">
        <v>1004</v>
      </c>
      <c r="G863" t="s">
        <v>110</v>
      </c>
      <c r="J863" t="s">
        <v>111</v>
      </c>
      <c r="K863">
        <v>0</v>
      </c>
      <c r="L863">
        <v>3</v>
      </c>
      <c r="M863">
        <v>0</v>
      </c>
      <c r="N863">
        <v>2</v>
      </c>
      <c r="O863">
        <v>1</v>
      </c>
      <c r="P863">
        <v>0</v>
      </c>
      <c r="Q863">
        <v>0</v>
      </c>
      <c r="R863" t="s">
        <v>112</v>
      </c>
      <c r="S863" t="str">
        <f>"14:04:44.305"</f>
        <v>14:04:44.305</v>
      </c>
      <c r="T863" t="str">
        <f>"14:04:43.906"</f>
        <v>14:04:43.906</v>
      </c>
      <c r="U863" t="str">
        <f t="shared" si="39"/>
        <v>ad5732</v>
      </c>
      <c r="V863">
        <v>0</v>
      </c>
      <c r="W863">
        <v>0</v>
      </c>
      <c r="X863">
        <v>1</v>
      </c>
      <c r="Z863">
        <v>0</v>
      </c>
      <c r="AA863">
        <v>9</v>
      </c>
      <c r="AB863">
        <v>3</v>
      </c>
      <c r="AC863">
        <v>0</v>
      </c>
      <c r="AD863">
        <v>10</v>
      </c>
      <c r="AE863">
        <v>0</v>
      </c>
      <c r="AF863">
        <v>3</v>
      </c>
      <c r="AG863">
        <v>2</v>
      </c>
      <c r="AH863">
        <v>0</v>
      </c>
      <c r="AI863" t="s">
        <v>1823</v>
      </c>
      <c r="AJ863">
        <v>39.376502000000002</v>
      </c>
      <c r="AK863" t="s">
        <v>1824</v>
      </c>
      <c r="AL863">
        <v>-77.016242000000005</v>
      </c>
      <c r="AM863">
        <v>100</v>
      </c>
      <c r="AN863">
        <v>8700</v>
      </c>
      <c r="AO863" t="s">
        <v>115</v>
      </c>
      <c r="AP863">
        <v>159</v>
      </c>
      <c r="AQ863">
        <v>104</v>
      </c>
      <c r="AR863">
        <v>128</v>
      </c>
      <c r="AZ863">
        <v>3614</v>
      </c>
      <c r="BA863">
        <v>1</v>
      </c>
      <c r="BB863" t="str">
        <f t="shared" si="41"/>
        <v xml:space="preserve">N959MJ  </v>
      </c>
      <c r="BC863">
        <v>1</v>
      </c>
      <c r="BE863">
        <v>0</v>
      </c>
      <c r="BF863">
        <v>0</v>
      </c>
      <c r="BG863">
        <v>0</v>
      </c>
      <c r="BH863">
        <v>9025</v>
      </c>
      <c r="BI863">
        <v>325</v>
      </c>
      <c r="BJ863">
        <v>1</v>
      </c>
      <c r="BK863">
        <v>1</v>
      </c>
      <c r="BL863">
        <v>1</v>
      </c>
      <c r="BM863">
        <v>0</v>
      </c>
      <c r="BP863">
        <v>0</v>
      </c>
      <c r="BQ863">
        <v>0</v>
      </c>
      <c r="BX863" t="str">
        <f>"14:04:44.313"</f>
        <v>14:04:44.313</v>
      </c>
      <c r="BY863" t="str">
        <f>"309707229"</f>
        <v>309707229</v>
      </c>
      <c r="CL863">
        <v>0</v>
      </c>
      <c r="CM863">
        <v>2</v>
      </c>
      <c r="CN863">
        <v>0</v>
      </c>
      <c r="CO863">
        <v>2</v>
      </c>
      <c r="CP863">
        <v>0</v>
      </c>
      <c r="CQ863">
        <v>5</v>
      </c>
      <c r="CR863" t="s">
        <v>116</v>
      </c>
      <c r="CS863">
        <v>148</v>
      </c>
      <c r="CT863">
        <v>2</v>
      </c>
      <c r="CU863" t="s">
        <v>470</v>
      </c>
      <c r="CV863" t="s">
        <v>471</v>
      </c>
      <c r="CY863">
        <v>3865345</v>
      </c>
      <c r="CZ863" t="s">
        <v>119</v>
      </c>
    </row>
    <row r="864" spans="1:104" x14ac:dyDescent="0.25">
      <c r="A864" t="str">
        <f>"14:04:45.453"</f>
        <v>14:04:45.453</v>
      </c>
      <c r="B864" t="s">
        <v>108</v>
      </c>
      <c r="C864" t="str">
        <f t="shared" si="40"/>
        <v>ffdfd3c0</v>
      </c>
      <c r="D864" t="s">
        <v>109</v>
      </c>
      <c r="E864">
        <v>4</v>
      </c>
      <c r="F864">
        <v>1004</v>
      </c>
      <c r="G864" t="s">
        <v>110</v>
      </c>
      <c r="J864" t="s">
        <v>111</v>
      </c>
      <c r="K864">
        <v>0</v>
      </c>
      <c r="L864">
        <v>3</v>
      </c>
      <c r="M864">
        <v>0</v>
      </c>
      <c r="N864">
        <v>2</v>
      </c>
      <c r="O864">
        <v>1</v>
      </c>
      <c r="P864">
        <v>0</v>
      </c>
      <c r="Q864">
        <v>0</v>
      </c>
      <c r="R864" t="s">
        <v>112</v>
      </c>
      <c r="S864" t="str">
        <f>"14:04:45.281"</f>
        <v>14:04:45.281</v>
      </c>
      <c r="T864" t="str">
        <f>"14:04:44.383"</f>
        <v>14:04:44.383</v>
      </c>
      <c r="U864" t="str">
        <f t="shared" si="39"/>
        <v>ad5732</v>
      </c>
      <c r="V864">
        <v>0</v>
      </c>
      <c r="W864">
        <v>0</v>
      </c>
      <c r="X864">
        <v>1</v>
      </c>
      <c r="Z864">
        <v>0</v>
      </c>
      <c r="AA864">
        <v>9</v>
      </c>
      <c r="AB864">
        <v>3</v>
      </c>
      <c r="AC864">
        <v>0</v>
      </c>
      <c r="AD864">
        <v>10</v>
      </c>
      <c r="AE864">
        <v>0</v>
      </c>
      <c r="AF864">
        <v>3</v>
      </c>
      <c r="AG864">
        <v>2</v>
      </c>
      <c r="AH864">
        <v>0</v>
      </c>
      <c r="AI864" t="s">
        <v>1825</v>
      </c>
      <c r="AJ864">
        <v>39.376973999999997</v>
      </c>
      <c r="AK864" t="s">
        <v>1826</v>
      </c>
      <c r="AL864">
        <v>-77.015297000000004</v>
      </c>
      <c r="AM864">
        <v>100</v>
      </c>
      <c r="AN864">
        <v>8700</v>
      </c>
      <c r="AO864" t="s">
        <v>115</v>
      </c>
      <c r="AP864">
        <v>160</v>
      </c>
      <c r="AQ864">
        <v>102</v>
      </c>
      <c r="AR864">
        <v>128</v>
      </c>
      <c r="AZ864">
        <v>3614</v>
      </c>
      <c r="BA864">
        <v>1</v>
      </c>
      <c r="BB864" t="str">
        <f t="shared" si="41"/>
        <v xml:space="preserve">N959MJ  </v>
      </c>
      <c r="BC864">
        <v>1</v>
      </c>
      <c r="BE864">
        <v>0</v>
      </c>
      <c r="BF864">
        <v>0</v>
      </c>
      <c r="BG864">
        <v>0</v>
      </c>
      <c r="BH864">
        <v>9025</v>
      </c>
      <c r="BI864">
        <v>325</v>
      </c>
      <c r="BJ864">
        <v>1</v>
      </c>
      <c r="BK864">
        <v>1</v>
      </c>
      <c r="BL864">
        <v>1</v>
      </c>
      <c r="BM864">
        <v>0</v>
      </c>
      <c r="BP864">
        <v>0</v>
      </c>
      <c r="BQ864">
        <v>0</v>
      </c>
      <c r="BX864" t="str">
        <f>"14:04:45.281"</f>
        <v>14:04:45.281</v>
      </c>
      <c r="BY864" t="str">
        <f>"282816166"</f>
        <v>282816166</v>
      </c>
      <c r="CL864">
        <v>0</v>
      </c>
      <c r="CM864">
        <v>2</v>
      </c>
      <c r="CN864">
        <v>0</v>
      </c>
      <c r="CO864">
        <v>2</v>
      </c>
      <c r="CP864">
        <v>0</v>
      </c>
      <c r="CQ864">
        <v>6</v>
      </c>
      <c r="CR864" t="s">
        <v>116</v>
      </c>
      <c r="CS864">
        <v>396</v>
      </c>
      <c r="CT864">
        <v>2</v>
      </c>
      <c r="CU864" t="s">
        <v>939</v>
      </c>
      <c r="CV864" t="s">
        <v>940</v>
      </c>
      <c r="CY864">
        <v>4246677</v>
      </c>
      <c r="CZ864" t="s">
        <v>119</v>
      </c>
    </row>
    <row r="865" spans="1:104" x14ac:dyDescent="0.25">
      <c r="A865" t="str">
        <f>"14:04:46.609"</f>
        <v>14:04:46.609</v>
      </c>
      <c r="B865" t="s">
        <v>108</v>
      </c>
      <c r="C865" t="str">
        <f t="shared" si="40"/>
        <v>ffdfd3c0</v>
      </c>
      <c r="D865" t="s">
        <v>109</v>
      </c>
      <c r="E865">
        <v>4</v>
      </c>
      <c r="F865">
        <v>1004</v>
      </c>
      <c r="G865" t="s">
        <v>110</v>
      </c>
      <c r="J865" t="s">
        <v>111</v>
      </c>
      <c r="K865">
        <v>0</v>
      </c>
      <c r="L865">
        <v>3</v>
      </c>
      <c r="M865">
        <v>0</v>
      </c>
      <c r="N865">
        <v>2</v>
      </c>
      <c r="O865">
        <v>1</v>
      </c>
      <c r="P865">
        <v>0</v>
      </c>
      <c r="Q865">
        <v>0</v>
      </c>
      <c r="R865" t="s">
        <v>112</v>
      </c>
      <c r="S865" t="str">
        <f>"14:04:46.414"</f>
        <v>14:04:46.414</v>
      </c>
      <c r="T865" t="str">
        <f>"14:04:45.914"</f>
        <v>14:04:45.914</v>
      </c>
      <c r="U865" t="str">
        <f t="shared" si="39"/>
        <v>ad5732</v>
      </c>
      <c r="V865">
        <v>0</v>
      </c>
      <c r="W865">
        <v>0</v>
      </c>
      <c r="X865">
        <v>1</v>
      </c>
      <c r="Z865">
        <v>0</v>
      </c>
      <c r="AA865">
        <v>9</v>
      </c>
      <c r="AB865">
        <v>3</v>
      </c>
      <c r="AC865">
        <v>0</v>
      </c>
      <c r="AD865">
        <v>10</v>
      </c>
      <c r="AE865">
        <v>0</v>
      </c>
      <c r="AF865">
        <v>3</v>
      </c>
      <c r="AG865">
        <v>2</v>
      </c>
      <c r="AH865">
        <v>0</v>
      </c>
      <c r="AI865" t="s">
        <v>1827</v>
      </c>
      <c r="AJ865">
        <v>39.377468</v>
      </c>
      <c r="AK865" t="s">
        <v>1828</v>
      </c>
      <c r="AL865">
        <v>-77.014224999999996</v>
      </c>
      <c r="AM865">
        <v>100</v>
      </c>
      <c r="AN865">
        <v>8700</v>
      </c>
      <c r="AO865" t="s">
        <v>115</v>
      </c>
      <c r="AP865">
        <v>163</v>
      </c>
      <c r="AQ865">
        <v>97</v>
      </c>
      <c r="AR865">
        <v>192</v>
      </c>
      <c r="AZ865">
        <v>3614</v>
      </c>
      <c r="BA865">
        <v>1</v>
      </c>
      <c r="BB865" t="str">
        <f t="shared" si="41"/>
        <v xml:space="preserve">N959MJ  </v>
      </c>
      <c r="BC865">
        <v>1</v>
      </c>
      <c r="BE865">
        <v>0</v>
      </c>
      <c r="BF865">
        <v>0</v>
      </c>
      <c r="BG865">
        <v>0</v>
      </c>
      <c r="BH865">
        <v>9025</v>
      </c>
      <c r="BI865">
        <v>325</v>
      </c>
      <c r="BJ865">
        <v>1</v>
      </c>
      <c r="BK865">
        <v>1</v>
      </c>
      <c r="BL865">
        <v>1</v>
      </c>
      <c r="BM865">
        <v>0</v>
      </c>
      <c r="BP865">
        <v>0</v>
      </c>
      <c r="BQ865">
        <v>0</v>
      </c>
      <c r="BX865" t="str">
        <f>"14:04:46.422"</f>
        <v>14:04:46.422</v>
      </c>
      <c r="BY865" t="str">
        <f>"421383415"</f>
        <v>421383415</v>
      </c>
      <c r="CL865">
        <v>0</v>
      </c>
      <c r="CM865">
        <v>2</v>
      </c>
      <c r="CN865">
        <v>0</v>
      </c>
      <c r="CO865">
        <v>2</v>
      </c>
      <c r="CP865">
        <v>0</v>
      </c>
      <c r="CQ865">
        <v>7</v>
      </c>
      <c r="CR865" t="s">
        <v>116</v>
      </c>
      <c r="CS865">
        <v>525</v>
      </c>
      <c r="CT865">
        <v>1</v>
      </c>
      <c r="CU865" t="s">
        <v>140</v>
      </c>
      <c r="CV865" t="s">
        <v>141</v>
      </c>
      <c r="CY865">
        <v>8411690</v>
      </c>
      <c r="CZ865" t="s">
        <v>119</v>
      </c>
    </row>
    <row r="866" spans="1:104" x14ac:dyDescent="0.25">
      <c r="A866" t="str">
        <f>"14:04:47.719"</f>
        <v>14:04:47.719</v>
      </c>
      <c r="B866" t="s">
        <v>108</v>
      </c>
      <c r="C866" t="str">
        <f t="shared" si="40"/>
        <v>ffdfd3c0</v>
      </c>
      <c r="D866" t="s">
        <v>109</v>
      </c>
      <c r="E866">
        <v>4</v>
      </c>
      <c r="F866">
        <v>1004</v>
      </c>
      <c r="G866" t="s">
        <v>110</v>
      </c>
      <c r="J866" t="s">
        <v>111</v>
      </c>
      <c r="K866">
        <v>0</v>
      </c>
      <c r="L866">
        <v>3</v>
      </c>
      <c r="M866">
        <v>0</v>
      </c>
      <c r="N866">
        <v>2</v>
      </c>
      <c r="O866">
        <v>1</v>
      </c>
      <c r="P866">
        <v>0</v>
      </c>
      <c r="Q866">
        <v>0</v>
      </c>
      <c r="R866" t="s">
        <v>112</v>
      </c>
      <c r="S866" t="str">
        <f>"14:04:47.547"</f>
        <v>14:04:47.547</v>
      </c>
      <c r="T866" t="str">
        <f>"14:04:47.047"</f>
        <v>14:04:47.047</v>
      </c>
      <c r="U866" t="str">
        <f t="shared" si="39"/>
        <v>ad5732</v>
      </c>
      <c r="V866">
        <v>0</v>
      </c>
      <c r="W866">
        <v>0</v>
      </c>
      <c r="X866">
        <v>1</v>
      </c>
      <c r="Z866">
        <v>0</v>
      </c>
      <c r="AA866">
        <v>9</v>
      </c>
      <c r="AB866">
        <v>3</v>
      </c>
      <c r="AC866">
        <v>0</v>
      </c>
      <c r="AD866">
        <v>10</v>
      </c>
      <c r="AE866">
        <v>0</v>
      </c>
      <c r="AF866">
        <v>3</v>
      </c>
      <c r="AG866">
        <v>2</v>
      </c>
      <c r="AH866">
        <v>0</v>
      </c>
      <c r="AI866" t="s">
        <v>1829</v>
      </c>
      <c r="AJ866">
        <v>39.377940000000002</v>
      </c>
      <c r="AK866" t="s">
        <v>1830</v>
      </c>
      <c r="AL866">
        <v>-77.013152000000005</v>
      </c>
      <c r="AM866">
        <v>100</v>
      </c>
      <c r="AN866">
        <v>8700</v>
      </c>
      <c r="AO866" t="s">
        <v>115</v>
      </c>
      <c r="AP866">
        <v>164</v>
      </c>
      <c r="AQ866">
        <v>94</v>
      </c>
      <c r="AR866">
        <v>256</v>
      </c>
      <c r="AZ866">
        <v>3614</v>
      </c>
      <c r="BA866">
        <v>1</v>
      </c>
      <c r="BB866" t="str">
        <f t="shared" si="41"/>
        <v xml:space="preserve">N959MJ  </v>
      </c>
      <c r="BC866">
        <v>1</v>
      </c>
      <c r="BE866">
        <v>0</v>
      </c>
      <c r="BF866">
        <v>0</v>
      </c>
      <c r="BG866">
        <v>0</v>
      </c>
      <c r="BH866">
        <v>9025</v>
      </c>
      <c r="BI866">
        <v>325</v>
      </c>
      <c r="BJ866">
        <v>1</v>
      </c>
      <c r="BK866">
        <v>1</v>
      </c>
      <c r="BL866">
        <v>1</v>
      </c>
      <c r="BM866">
        <v>0</v>
      </c>
      <c r="BP866">
        <v>0</v>
      </c>
      <c r="BQ866">
        <v>0</v>
      </c>
      <c r="BX866" t="str">
        <f>"14:04:47.547"</f>
        <v>14:04:47.547</v>
      </c>
      <c r="BY866" t="str">
        <f>"546982897"</f>
        <v>546982897</v>
      </c>
      <c r="CL866">
        <v>0</v>
      </c>
      <c r="CM866">
        <v>2</v>
      </c>
      <c r="CN866">
        <v>0</v>
      </c>
      <c r="CO866">
        <v>2</v>
      </c>
      <c r="CP866">
        <v>0</v>
      </c>
      <c r="CQ866">
        <v>7</v>
      </c>
      <c r="CR866" t="s">
        <v>116</v>
      </c>
      <c r="CS866">
        <v>525</v>
      </c>
      <c r="CT866">
        <v>1</v>
      </c>
      <c r="CU866" t="s">
        <v>140</v>
      </c>
      <c r="CV866" t="s">
        <v>141</v>
      </c>
      <c r="CY866">
        <v>8413355</v>
      </c>
      <c r="CZ866" t="s">
        <v>119</v>
      </c>
    </row>
    <row r="867" spans="1:104" x14ac:dyDescent="0.25">
      <c r="A867" t="str">
        <f>"14:04:48.734"</f>
        <v>14:04:48.734</v>
      </c>
      <c r="B867" t="s">
        <v>108</v>
      </c>
      <c r="C867" t="str">
        <f t="shared" si="40"/>
        <v>ffdfd3c0</v>
      </c>
      <c r="D867" t="s">
        <v>109</v>
      </c>
      <c r="E867">
        <v>4</v>
      </c>
      <c r="F867">
        <v>1004</v>
      </c>
      <c r="G867" t="s">
        <v>110</v>
      </c>
      <c r="J867" t="s">
        <v>111</v>
      </c>
      <c r="K867">
        <v>0</v>
      </c>
      <c r="L867">
        <v>3</v>
      </c>
      <c r="M867">
        <v>0</v>
      </c>
      <c r="N867">
        <v>2</v>
      </c>
      <c r="O867">
        <v>1</v>
      </c>
      <c r="P867">
        <v>0</v>
      </c>
      <c r="Q867">
        <v>0</v>
      </c>
      <c r="R867" t="s">
        <v>112</v>
      </c>
      <c r="S867" t="str">
        <f>"14:04:48.547"</f>
        <v>14:04:48.547</v>
      </c>
      <c r="T867" t="str">
        <f>"14:04:48.148"</f>
        <v>14:04:48.148</v>
      </c>
      <c r="U867" t="str">
        <f t="shared" si="39"/>
        <v>ad5732</v>
      </c>
      <c r="V867">
        <v>0</v>
      </c>
      <c r="W867">
        <v>0</v>
      </c>
      <c r="X867">
        <v>1</v>
      </c>
      <c r="Z867">
        <v>0</v>
      </c>
      <c r="AA867">
        <v>9</v>
      </c>
      <c r="AB867">
        <v>3</v>
      </c>
      <c r="AC867">
        <v>0</v>
      </c>
      <c r="AD867">
        <v>10</v>
      </c>
      <c r="AE867">
        <v>0</v>
      </c>
      <c r="AF867">
        <v>3</v>
      </c>
      <c r="AG867">
        <v>2</v>
      </c>
      <c r="AH867">
        <v>0</v>
      </c>
      <c r="AI867" t="s">
        <v>1831</v>
      </c>
      <c r="AJ867">
        <v>39.378390000000003</v>
      </c>
      <c r="AK867" t="s">
        <v>1832</v>
      </c>
      <c r="AL867">
        <v>-77.012122000000005</v>
      </c>
      <c r="AM867">
        <v>100</v>
      </c>
      <c r="AN867">
        <v>8700</v>
      </c>
      <c r="AO867" t="s">
        <v>115</v>
      </c>
      <c r="AP867">
        <v>165</v>
      </c>
      <c r="AQ867">
        <v>93</v>
      </c>
      <c r="AR867">
        <v>192</v>
      </c>
      <c r="AZ867">
        <v>3614</v>
      </c>
      <c r="BA867">
        <v>1</v>
      </c>
      <c r="BB867" t="str">
        <f t="shared" si="41"/>
        <v xml:space="preserve">N959MJ  </v>
      </c>
      <c r="BC867">
        <v>1</v>
      </c>
      <c r="BE867">
        <v>0</v>
      </c>
      <c r="BF867">
        <v>0</v>
      </c>
      <c r="BG867">
        <v>0</v>
      </c>
      <c r="BH867">
        <v>9025</v>
      </c>
      <c r="BI867">
        <v>325</v>
      </c>
      <c r="BJ867">
        <v>1</v>
      </c>
      <c r="BK867">
        <v>1</v>
      </c>
      <c r="BL867">
        <v>1</v>
      </c>
      <c r="BM867">
        <v>0</v>
      </c>
      <c r="BP867">
        <v>0</v>
      </c>
      <c r="BQ867">
        <v>0</v>
      </c>
      <c r="BX867" t="str">
        <f>"14:04:48.555"</f>
        <v>14:04:48.555</v>
      </c>
      <c r="BY867" t="str">
        <f>"552977154"</f>
        <v>552977154</v>
      </c>
      <c r="CL867">
        <v>0</v>
      </c>
      <c r="CM867">
        <v>2</v>
      </c>
      <c r="CN867">
        <v>0</v>
      </c>
      <c r="CO867">
        <v>2</v>
      </c>
      <c r="CP867">
        <v>0</v>
      </c>
      <c r="CQ867">
        <v>7</v>
      </c>
      <c r="CR867" t="s">
        <v>116</v>
      </c>
      <c r="CS867">
        <v>525</v>
      </c>
      <c r="CT867">
        <v>1</v>
      </c>
      <c r="CU867" t="s">
        <v>140</v>
      </c>
      <c r="CV867" t="s">
        <v>141</v>
      </c>
      <c r="CY867">
        <v>8414812</v>
      </c>
      <c r="CZ867" t="s">
        <v>119</v>
      </c>
    </row>
    <row r="868" spans="1:104" x14ac:dyDescent="0.25">
      <c r="A868" t="str">
        <f>"14:04:49.742"</f>
        <v>14:04:49.742</v>
      </c>
      <c r="B868" t="s">
        <v>108</v>
      </c>
      <c r="C868" t="str">
        <f t="shared" si="40"/>
        <v>ffdfd3c0</v>
      </c>
      <c r="D868" t="s">
        <v>109</v>
      </c>
      <c r="E868">
        <v>4</v>
      </c>
      <c r="F868">
        <v>1004</v>
      </c>
      <c r="G868" t="s">
        <v>110</v>
      </c>
      <c r="J868" t="s">
        <v>111</v>
      </c>
      <c r="K868">
        <v>0</v>
      </c>
      <c r="L868">
        <v>3</v>
      </c>
      <c r="M868">
        <v>0</v>
      </c>
      <c r="N868">
        <v>2</v>
      </c>
      <c r="O868">
        <v>1</v>
      </c>
      <c r="P868">
        <v>0</v>
      </c>
      <c r="Q868">
        <v>0</v>
      </c>
      <c r="R868" t="s">
        <v>112</v>
      </c>
      <c r="S868" t="str">
        <f>"14:04:49.547"</f>
        <v>14:04:49.547</v>
      </c>
      <c r="T868" t="str">
        <f>"14:04:49.148"</f>
        <v>14:04:49.148</v>
      </c>
      <c r="U868" t="str">
        <f t="shared" si="39"/>
        <v>ad5732</v>
      </c>
      <c r="V868">
        <v>0</v>
      </c>
      <c r="W868">
        <v>0</v>
      </c>
      <c r="X868">
        <v>1</v>
      </c>
      <c r="Z868">
        <v>0</v>
      </c>
      <c r="AA868">
        <v>9</v>
      </c>
      <c r="AB868">
        <v>3</v>
      </c>
      <c r="AC868">
        <v>0</v>
      </c>
      <c r="AD868">
        <v>10</v>
      </c>
      <c r="AE868">
        <v>0</v>
      </c>
      <c r="AF868">
        <v>3</v>
      </c>
      <c r="AG868">
        <v>2</v>
      </c>
      <c r="AH868">
        <v>0</v>
      </c>
      <c r="AI868" t="s">
        <v>1833</v>
      </c>
      <c r="AJ868">
        <v>39.378798000000003</v>
      </c>
      <c r="AK868" t="s">
        <v>1834</v>
      </c>
      <c r="AL868">
        <v>-77.011178000000001</v>
      </c>
      <c r="AM868">
        <v>100</v>
      </c>
      <c r="AN868">
        <v>8700</v>
      </c>
      <c r="AO868" t="s">
        <v>115</v>
      </c>
      <c r="AP868">
        <v>165</v>
      </c>
      <c r="AQ868">
        <v>92</v>
      </c>
      <c r="AR868">
        <v>192</v>
      </c>
      <c r="AZ868">
        <v>3614</v>
      </c>
      <c r="BA868">
        <v>1</v>
      </c>
      <c r="BB868" t="str">
        <f t="shared" si="41"/>
        <v xml:space="preserve">N959MJ  </v>
      </c>
      <c r="BC868">
        <v>1</v>
      </c>
      <c r="BE868">
        <v>0</v>
      </c>
      <c r="BF868">
        <v>0</v>
      </c>
      <c r="BG868">
        <v>0</v>
      </c>
      <c r="BH868">
        <v>9025</v>
      </c>
      <c r="BI868">
        <v>325</v>
      </c>
      <c r="BJ868">
        <v>1</v>
      </c>
      <c r="BK868">
        <v>1</v>
      </c>
      <c r="BL868">
        <v>1</v>
      </c>
      <c r="BM868">
        <v>0</v>
      </c>
      <c r="BP868">
        <v>0</v>
      </c>
      <c r="BQ868">
        <v>0</v>
      </c>
      <c r="BX868" t="str">
        <f>"14:04:49.555"</f>
        <v>14:04:49.555</v>
      </c>
      <c r="BY868" t="str">
        <f>"552423904"</f>
        <v>552423904</v>
      </c>
      <c r="CL868">
        <v>0</v>
      </c>
      <c r="CM868">
        <v>2</v>
      </c>
      <c r="CN868">
        <v>0</v>
      </c>
      <c r="CO868">
        <v>2</v>
      </c>
      <c r="CP868">
        <v>0</v>
      </c>
      <c r="CQ868">
        <v>7</v>
      </c>
      <c r="CR868" t="s">
        <v>116</v>
      </c>
      <c r="CS868">
        <v>147</v>
      </c>
      <c r="CT868">
        <v>0</v>
      </c>
      <c r="CU868" t="s">
        <v>117</v>
      </c>
      <c r="CV868" t="s">
        <v>118</v>
      </c>
      <c r="CY868">
        <v>5298906</v>
      </c>
      <c r="CZ868" t="s">
        <v>119</v>
      </c>
    </row>
    <row r="869" spans="1:104" x14ac:dyDescent="0.25">
      <c r="A869" t="str">
        <f>"14:04:50.797"</f>
        <v>14:04:50.797</v>
      </c>
      <c r="B869" t="s">
        <v>108</v>
      </c>
      <c r="C869" t="str">
        <f t="shared" si="40"/>
        <v>ffdfd3c0</v>
      </c>
      <c r="D869" t="s">
        <v>109</v>
      </c>
      <c r="E869">
        <v>4</v>
      </c>
      <c r="F869">
        <v>1004</v>
      </c>
      <c r="G869" t="s">
        <v>110</v>
      </c>
      <c r="J869" t="s">
        <v>111</v>
      </c>
      <c r="K869">
        <v>0</v>
      </c>
      <c r="L869">
        <v>3</v>
      </c>
      <c r="M869">
        <v>0</v>
      </c>
      <c r="N869">
        <v>2</v>
      </c>
      <c r="O869">
        <v>1</v>
      </c>
      <c r="P869">
        <v>0</v>
      </c>
      <c r="Q869">
        <v>0</v>
      </c>
      <c r="R869" t="s">
        <v>112</v>
      </c>
      <c r="S869" t="str">
        <f>"14:04:50.617"</f>
        <v>14:04:50.617</v>
      </c>
      <c r="T869" t="str">
        <f>"14:04:50.219"</f>
        <v>14:04:50.219</v>
      </c>
      <c r="U869" t="str">
        <f t="shared" si="39"/>
        <v>ad5732</v>
      </c>
      <c r="V869">
        <v>0</v>
      </c>
      <c r="W869">
        <v>0</v>
      </c>
      <c r="X869">
        <v>1</v>
      </c>
      <c r="Z869">
        <v>0</v>
      </c>
      <c r="AA869">
        <v>9</v>
      </c>
      <c r="AB869">
        <v>3</v>
      </c>
      <c r="AC869">
        <v>0</v>
      </c>
      <c r="AD869">
        <v>10</v>
      </c>
      <c r="AE869">
        <v>0</v>
      </c>
      <c r="AF869">
        <v>3</v>
      </c>
      <c r="AG869">
        <v>2</v>
      </c>
      <c r="AH869">
        <v>0</v>
      </c>
      <c r="AI869" t="s">
        <v>1835</v>
      </c>
      <c r="AJ869">
        <v>39.379292</v>
      </c>
      <c r="AK869" t="s">
        <v>1836</v>
      </c>
      <c r="AL869">
        <v>-77.010062000000005</v>
      </c>
      <c r="AM869">
        <v>100</v>
      </c>
      <c r="AN869">
        <v>8700</v>
      </c>
      <c r="AO869" t="s">
        <v>115</v>
      </c>
      <c r="AP869">
        <v>165</v>
      </c>
      <c r="AQ869">
        <v>91</v>
      </c>
      <c r="AR869">
        <v>128</v>
      </c>
      <c r="AZ869">
        <v>3614</v>
      </c>
      <c r="BA869">
        <v>1</v>
      </c>
      <c r="BB869" t="str">
        <f t="shared" si="41"/>
        <v xml:space="preserve">N959MJ  </v>
      </c>
      <c r="BC869">
        <v>1</v>
      </c>
      <c r="BE869">
        <v>0</v>
      </c>
      <c r="BF869">
        <v>0</v>
      </c>
      <c r="BG869">
        <v>0</v>
      </c>
      <c r="BH869">
        <v>9025</v>
      </c>
      <c r="BI869">
        <v>325</v>
      </c>
      <c r="BJ869">
        <v>1</v>
      </c>
      <c r="BK869">
        <v>1</v>
      </c>
      <c r="BL869">
        <v>1</v>
      </c>
      <c r="BM869">
        <v>0</v>
      </c>
      <c r="BP869">
        <v>0</v>
      </c>
      <c r="BQ869">
        <v>0</v>
      </c>
      <c r="BX869" t="str">
        <f>"14:04:50.617"</f>
        <v>14:04:50.617</v>
      </c>
      <c r="BY869" t="str">
        <f>"620672239"</f>
        <v>620672239</v>
      </c>
      <c r="CL869">
        <v>0</v>
      </c>
      <c r="CM869">
        <v>2</v>
      </c>
      <c r="CN869">
        <v>0</v>
      </c>
      <c r="CO869">
        <v>2</v>
      </c>
      <c r="CP869">
        <v>0</v>
      </c>
      <c r="CQ869">
        <v>7</v>
      </c>
      <c r="CR869" t="s">
        <v>116</v>
      </c>
      <c r="CS869">
        <v>525</v>
      </c>
      <c r="CT869">
        <v>1</v>
      </c>
      <c r="CU869" t="s">
        <v>140</v>
      </c>
      <c r="CV869" t="s">
        <v>141</v>
      </c>
      <c r="CY869">
        <v>8417736</v>
      </c>
      <c r="CZ869" t="s">
        <v>119</v>
      </c>
    </row>
    <row r="870" spans="1:104" x14ac:dyDescent="0.25">
      <c r="A870" t="str">
        <f>"14:04:51.961"</f>
        <v>14:04:51.961</v>
      </c>
      <c r="B870" t="s">
        <v>108</v>
      </c>
      <c r="C870" t="str">
        <f t="shared" si="40"/>
        <v>ffdfd3c0</v>
      </c>
      <c r="D870" t="s">
        <v>109</v>
      </c>
      <c r="E870">
        <v>4</v>
      </c>
      <c r="F870">
        <v>1004</v>
      </c>
      <c r="G870" t="s">
        <v>110</v>
      </c>
      <c r="J870" t="s">
        <v>111</v>
      </c>
      <c r="K870">
        <v>0</v>
      </c>
      <c r="L870">
        <v>3</v>
      </c>
      <c r="M870">
        <v>0</v>
      </c>
      <c r="N870">
        <v>2</v>
      </c>
      <c r="O870">
        <v>1</v>
      </c>
      <c r="P870">
        <v>0</v>
      </c>
      <c r="Q870">
        <v>0</v>
      </c>
      <c r="R870" t="s">
        <v>112</v>
      </c>
      <c r="S870" t="str">
        <f>"14:04:51.758"</f>
        <v>14:04:51.758</v>
      </c>
      <c r="T870" t="str">
        <f>"14:04:51.258"</f>
        <v>14:04:51.258</v>
      </c>
      <c r="U870" t="str">
        <f t="shared" si="39"/>
        <v>ad5732</v>
      </c>
      <c r="V870">
        <v>0</v>
      </c>
      <c r="W870">
        <v>0</v>
      </c>
      <c r="X870">
        <v>1</v>
      </c>
      <c r="Z870">
        <v>0</v>
      </c>
      <c r="AA870">
        <v>9</v>
      </c>
      <c r="AB870">
        <v>3</v>
      </c>
      <c r="AC870">
        <v>0</v>
      </c>
      <c r="AD870">
        <v>10</v>
      </c>
      <c r="AE870">
        <v>0</v>
      </c>
      <c r="AF870">
        <v>3</v>
      </c>
      <c r="AG870">
        <v>2</v>
      </c>
      <c r="AH870">
        <v>0</v>
      </c>
      <c r="AI870" t="s">
        <v>1837</v>
      </c>
      <c r="AJ870">
        <v>39.379721000000004</v>
      </c>
      <c r="AK870" t="s">
        <v>1838</v>
      </c>
      <c r="AL870">
        <v>-77.009032000000005</v>
      </c>
      <c r="AM870">
        <v>100</v>
      </c>
      <c r="AN870">
        <v>8700</v>
      </c>
      <c r="AO870" t="s">
        <v>115</v>
      </c>
      <c r="AP870">
        <v>166</v>
      </c>
      <c r="AQ870">
        <v>91</v>
      </c>
      <c r="AR870">
        <v>64</v>
      </c>
      <c r="AZ870">
        <v>3614</v>
      </c>
      <c r="BA870">
        <v>1</v>
      </c>
      <c r="BB870" t="str">
        <f t="shared" si="41"/>
        <v xml:space="preserve">N959MJ  </v>
      </c>
      <c r="BC870">
        <v>1</v>
      </c>
      <c r="BE870">
        <v>0</v>
      </c>
      <c r="BF870">
        <v>0</v>
      </c>
      <c r="BG870">
        <v>0</v>
      </c>
      <c r="BH870">
        <v>9025</v>
      </c>
      <c r="BI870">
        <v>325</v>
      </c>
      <c r="BJ870">
        <v>1</v>
      </c>
      <c r="BK870">
        <v>1</v>
      </c>
      <c r="BL870">
        <v>1</v>
      </c>
      <c r="BM870">
        <v>0</v>
      </c>
      <c r="BP870">
        <v>0</v>
      </c>
      <c r="BQ870">
        <v>0</v>
      </c>
      <c r="BX870" t="str">
        <f>"14:04:51.766"</f>
        <v>14:04:51.766</v>
      </c>
      <c r="BY870" t="str">
        <f>"762655978"</f>
        <v>762655978</v>
      </c>
      <c r="CL870">
        <v>0</v>
      </c>
      <c r="CM870">
        <v>2</v>
      </c>
      <c r="CN870">
        <v>0</v>
      </c>
      <c r="CO870">
        <v>2</v>
      </c>
      <c r="CP870">
        <v>0</v>
      </c>
      <c r="CQ870">
        <v>7</v>
      </c>
      <c r="CR870" t="s">
        <v>116</v>
      </c>
      <c r="CS870">
        <v>525</v>
      </c>
      <c r="CT870">
        <v>1</v>
      </c>
      <c r="CU870" t="s">
        <v>140</v>
      </c>
      <c r="CV870" t="s">
        <v>141</v>
      </c>
      <c r="CY870">
        <v>8419427</v>
      </c>
      <c r="CZ870" t="s">
        <v>119</v>
      </c>
    </row>
    <row r="871" spans="1:104" x14ac:dyDescent="0.25">
      <c r="A871" t="str">
        <f>"14:04:53.023"</f>
        <v>14:04:53.023</v>
      </c>
      <c r="B871" t="s">
        <v>108</v>
      </c>
      <c r="C871" t="str">
        <f t="shared" si="40"/>
        <v>ffdfd3c0</v>
      </c>
      <c r="D871" t="s">
        <v>109</v>
      </c>
      <c r="E871">
        <v>4</v>
      </c>
      <c r="F871">
        <v>1004</v>
      </c>
      <c r="G871" t="s">
        <v>110</v>
      </c>
      <c r="J871" t="s">
        <v>111</v>
      </c>
      <c r="K871">
        <v>0</v>
      </c>
      <c r="L871">
        <v>3</v>
      </c>
      <c r="M871">
        <v>0</v>
      </c>
      <c r="N871">
        <v>2</v>
      </c>
      <c r="O871">
        <v>1</v>
      </c>
      <c r="P871">
        <v>0</v>
      </c>
      <c r="Q871">
        <v>0</v>
      </c>
      <c r="R871" t="s">
        <v>112</v>
      </c>
      <c r="S871" t="str">
        <f>"14:04:52.828"</f>
        <v>14:04:52.828</v>
      </c>
      <c r="T871" t="str">
        <f>"14:04:52.430"</f>
        <v>14:04:52.430</v>
      </c>
      <c r="U871" t="str">
        <f t="shared" si="39"/>
        <v>ad5732</v>
      </c>
      <c r="V871">
        <v>0</v>
      </c>
      <c r="W871">
        <v>0</v>
      </c>
      <c r="X871">
        <v>1</v>
      </c>
      <c r="Z871">
        <v>0</v>
      </c>
      <c r="AA871">
        <v>9</v>
      </c>
      <c r="AB871">
        <v>3</v>
      </c>
      <c r="AC871">
        <v>0</v>
      </c>
      <c r="AD871">
        <v>10</v>
      </c>
      <c r="AE871">
        <v>0</v>
      </c>
      <c r="AF871">
        <v>3</v>
      </c>
      <c r="AG871">
        <v>2</v>
      </c>
      <c r="AH871">
        <v>0</v>
      </c>
      <c r="AI871" t="s">
        <v>1839</v>
      </c>
      <c r="AJ871">
        <v>39.380170999999997</v>
      </c>
      <c r="AK871" t="s">
        <v>1840</v>
      </c>
      <c r="AL871">
        <v>-77.007936999999998</v>
      </c>
      <c r="AM871">
        <v>100</v>
      </c>
      <c r="AN871">
        <v>8700</v>
      </c>
      <c r="AO871" t="s">
        <v>115</v>
      </c>
      <c r="AP871">
        <v>166</v>
      </c>
      <c r="AQ871">
        <v>90</v>
      </c>
      <c r="AR871">
        <v>0</v>
      </c>
      <c r="AZ871">
        <v>3614</v>
      </c>
      <c r="BA871">
        <v>1</v>
      </c>
      <c r="BB871" t="str">
        <f t="shared" si="41"/>
        <v xml:space="preserve">N959MJ  </v>
      </c>
      <c r="BC871">
        <v>1</v>
      </c>
      <c r="BE871">
        <v>0</v>
      </c>
      <c r="BF871">
        <v>0</v>
      </c>
      <c r="BG871">
        <v>0</v>
      </c>
      <c r="BH871">
        <v>9025</v>
      </c>
      <c r="BI871">
        <v>325</v>
      </c>
      <c r="BJ871">
        <v>1</v>
      </c>
      <c r="BK871">
        <v>1</v>
      </c>
      <c r="BL871">
        <v>1</v>
      </c>
      <c r="BM871">
        <v>0</v>
      </c>
      <c r="BP871">
        <v>0</v>
      </c>
      <c r="BQ871">
        <v>0</v>
      </c>
      <c r="BX871" t="str">
        <f>"14:04:52.836"</f>
        <v>14:04:52.836</v>
      </c>
      <c r="BY871" t="str">
        <f>"835825818"</f>
        <v>835825818</v>
      </c>
      <c r="CL871">
        <v>0</v>
      </c>
      <c r="CM871">
        <v>2</v>
      </c>
      <c r="CN871">
        <v>0</v>
      </c>
      <c r="CO871">
        <v>2</v>
      </c>
      <c r="CP871">
        <v>0</v>
      </c>
      <c r="CQ871">
        <v>6</v>
      </c>
      <c r="CR871" t="s">
        <v>116</v>
      </c>
      <c r="CS871">
        <v>525</v>
      </c>
      <c r="CT871">
        <v>2</v>
      </c>
      <c r="CU871" t="s">
        <v>140</v>
      </c>
      <c r="CV871" t="s">
        <v>141</v>
      </c>
      <c r="CY871">
        <v>14865078</v>
      </c>
      <c r="CZ871" t="s">
        <v>119</v>
      </c>
    </row>
    <row r="872" spans="1:104" x14ac:dyDescent="0.25">
      <c r="A872" t="str">
        <f>"14:04:53.977"</f>
        <v>14:04:53.977</v>
      </c>
      <c r="B872" t="s">
        <v>108</v>
      </c>
      <c r="C872" t="str">
        <f t="shared" si="40"/>
        <v>ffdfd3c0</v>
      </c>
      <c r="D872" t="s">
        <v>109</v>
      </c>
      <c r="E872">
        <v>4</v>
      </c>
      <c r="F872">
        <v>1004</v>
      </c>
      <c r="G872" t="s">
        <v>110</v>
      </c>
      <c r="J872" t="s">
        <v>111</v>
      </c>
      <c r="K872">
        <v>0</v>
      </c>
      <c r="L872">
        <v>3</v>
      </c>
      <c r="M872">
        <v>0</v>
      </c>
      <c r="N872">
        <v>2</v>
      </c>
      <c r="O872">
        <v>1</v>
      </c>
      <c r="P872">
        <v>0</v>
      </c>
      <c r="Q872">
        <v>0</v>
      </c>
      <c r="R872" t="s">
        <v>112</v>
      </c>
      <c r="S872" t="str">
        <f>"14:04:53.820"</f>
        <v>14:04:53.820</v>
      </c>
      <c r="T872" t="str">
        <f>"14:04:53.320"</f>
        <v>14:04:53.320</v>
      </c>
      <c r="U872" t="str">
        <f t="shared" si="39"/>
        <v>ad5732</v>
      </c>
      <c r="V872">
        <v>0</v>
      </c>
      <c r="W872">
        <v>0</v>
      </c>
      <c r="X872">
        <v>1</v>
      </c>
      <c r="Z872">
        <v>0</v>
      </c>
      <c r="AA872">
        <v>9</v>
      </c>
      <c r="AB872">
        <v>3</v>
      </c>
      <c r="AC872">
        <v>0</v>
      </c>
      <c r="AD872">
        <v>10</v>
      </c>
      <c r="AE872">
        <v>0</v>
      </c>
      <c r="AF872">
        <v>3</v>
      </c>
      <c r="AG872">
        <v>2</v>
      </c>
      <c r="AH872">
        <v>0</v>
      </c>
      <c r="AI872" t="s">
        <v>1841</v>
      </c>
      <c r="AJ872">
        <v>39.380578999999997</v>
      </c>
      <c r="AK872" t="s">
        <v>1842</v>
      </c>
      <c r="AL872">
        <v>-77.006906999999998</v>
      </c>
      <c r="AM872">
        <v>100</v>
      </c>
      <c r="AN872">
        <v>8700</v>
      </c>
      <c r="AO872" t="s">
        <v>115</v>
      </c>
      <c r="AP872">
        <v>166</v>
      </c>
      <c r="AQ872">
        <v>90</v>
      </c>
      <c r="AR872">
        <v>-64</v>
      </c>
      <c r="AZ872">
        <v>3614</v>
      </c>
      <c r="BA872">
        <v>1</v>
      </c>
      <c r="BB872" t="str">
        <f t="shared" si="41"/>
        <v xml:space="preserve">N959MJ  </v>
      </c>
      <c r="BC872">
        <v>1</v>
      </c>
      <c r="BE872">
        <v>0</v>
      </c>
      <c r="BF872">
        <v>0</v>
      </c>
      <c r="BG872">
        <v>0</v>
      </c>
      <c r="BH872">
        <v>9025</v>
      </c>
      <c r="BI872">
        <v>325</v>
      </c>
      <c r="BJ872">
        <v>1</v>
      </c>
      <c r="BK872">
        <v>1</v>
      </c>
      <c r="BL872">
        <v>1</v>
      </c>
      <c r="BM872">
        <v>0</v>
      </c>
      <c r="BP872">
        <v>0</v>
      </c>
      <c r="BQ872">
        <v>0</v>
      </c>
      <c r="BX872" t="str">
        <f>"14:04:53.820"</f>
        <v>14:04:53.820</v>
      </c>
      <c r="BY872" t="str">
        <f>"822158963"</f>
        <v>822158963</v>
      </c>
      <c r="CL872">
        <v>0</v>
      </c>
      <c r="CM872">
        <v>2</v>
      </c>
      <c r="CN872">
        <v>0</v>
      </c>
      <c r="CO872">
        <v>2</v>
      </c>
      <c r="CP872">
        <v>0</v>
      </c>
      <c r="CQ872">
        <v>6</v>
      </c>
      <c r="CR872" t="s">
        <v>116</v>
      </c>
      <c r="CS872">
        <v>525</v>
      </c>
      <c r="CT872">
        <v>2</v>
      </c>
      <c r="CU872" t="s">
        <v>140</v>
      </c>
      <c r="CV872" t="s">
        <v>141</v>
      </c>
      <c r="CY872">
        <v>14866583</v>
      </c>
      <c r="CZ872" t="s">
        <v>119</v>
      </c>
    </row>
    <row r="873" spans="1:104" x14ac:dyDescent="0.25">
      <c r="A873" t="str">
        <f>"14:04:54.992"</f>
        <v>14:04:54.992</v>
      </c>
      <c r="B873" t="s">
        <v>108</v>
      </c>
      <c r="C873" t="str">
        <f t="shared" si="40"/>
        <v>ffdfd3c0</v>
      </c>
      <c r="D873" t="s">
        <v>109</v>
      </c>
      <c r="E873">
        <v>4</v>
      </c>
      <c r="F873">
        <v>1004</v>
      </c>
      <c r="G873" t="s">
        <v>110</v>
      </c>
      <c r="J873" t="s">
        <v>111</v>
      </c>
      <c r="K873">
        <v>0</v>
      </c>
      <c r="L873">
        <v>3</v>
      </c>
      <c r="M873">
        <v>0</v>
      </c>
      <c r="N873">
        <v>2</v>
      </c>
      <c r="O873">
        <v>1</v>
      </c>
      <c r="P873">
        <v>0</v>
      </c>
      <c r="Q873">
        <v>0</v>
      </c>
      <c r="R873" t="s">
        <v>112</v>
      </c>
      <c r="S873" t="str">
        <f>"14:04:54.828"</f>
        <v>14:04:54.828</v>
      </c>
      <c r="T873" t="str">
        <f>"14:04:54.328"</f>
        <v>14:04:54.328</v>
      </c>
      <c r="U873" t="str">
        <f t="shared" si="39"/>
        <v>ad5732</v>
      </c>
      <c r="V873">
        <v>0</v>
      </c>
      <c r="W873">
        <v>0</v>
      </c>
      <c r="X873">
        <v>1</v>
      </c>
      <c r="Z873">
        <v>0</v>
      </c>
      <c r="AA873">
        <v>9</v>
      </c>
      <c r="AB873">
        <v>3</v>
      </c>
      <c r="AC873">
        <v>0</v>
      </c>
      <c r="AD873">
        <v>10</v>
      </c>
      <c r="AE873">
        <v>0</v>
      </c>
      <c r="AF873">
        <v>3</v>
      </c>
      <c r="AG873">
        <v>2</v>
      </c>
      <c r="AH873">
        <v>0</v>
      </c>
      <c r="AI873" t="s">
        <v>1843</v>
      </c>
      <c r="AJ873">
        <v>39.381008000000001</v>
      </c>
      <c r="AK873" t="s">
        <v>1844</v>
      </c>
      <c r="AL873">
        <v>-77.005920000000003</v>
      </c>
      <c r="AM873">
        <v>100</v>
      </c>
      <c r="AN873">
        <v>8700</v>
      </c>
      <c r="AO873" t="s">
        <v>115</v>
      </c>
      <c r="AP873">
        <v>166</v>
      </c>
      <c r="AQ873">
        <v>90</v>
      </c>
      <c r="AR873">
        <v>-64</v>
      </c>
      <c r="AZ873">
        <v>3614</v>
      </c>
      <c r="BA873">
        <v>1</v>
      </c>
      <c r="BB873" t="str">
        <f t="shared" si="41"/>
        <v xml:space="preserve">N959MJ  </v>
      </c>
      <c r="BC873">
        <v>1</v>
      </c>
      <c r="BE873">
        <v>0</v>
      </c>
      <c r="BF873">
        <v>0</v>
      </c>
      <c r="BG873">
        <v>0</v>
      </c>
      <c r="BH873">
        <v>9025</v>
      </c>
      <c r="BI873">
        <v>325</v>
      </c>
      <c r="BJ873">
        <v>1</v>
      </c>
      <c r="BK873">
        <v>1</v>
      </c>
      <c r="BL873">
        <v>1</v>
      </c>
      <c r="BM873">
        <v>0</v>
      </c>
      <c r="BP873">
        <v>0</v>
      </c>
      <c r="BQ873">
        <v>0</v>
      </c>
      <c r="BX873" t="str">
        <f>"14:04:54.836"</f>
        <v>14:04:54.836</v>
      </c>
      <c r="BY873" t="str">
        <f>"834706929"</f>
        <v>834706929</v>
      </c>
      <c r="CL873">
        <v>0</v>
      </c>
      <c r="CM873">
        <v>2</v>
      </c>
      <c r="CN873">
        <v>0</v>
      </c>
      <c r="CO873">
        <v>2</v>
      </c>
      <c r="CP873">
        <v>0</v>
      </c>
      <c r="CQ873">
        <v>7</v>
      </c>
      <c r="CR873" t="s">
        <v>116</v>
      </c>
      <c r="CS873">
        <v>525</v>
      </c>
      <c r="CT873">
        <v>1</v>
      </c>
      <c r="CU873" t="s">
        <v>140</v>
      </c>
      <c r="CV873" t="s">
        <v>141</v>
      </c>
      <c r="CY873">
        <v>8423831</v>
      </c>
      <c r="CZ873" t="s">
        <v>119</v>
      </c>
    </row>
    <row r="874" spans="1:104" x14ac:dyDescent="0.25">
      <c r="A874" t="str">
        <f>"14:04:56.047"</f>
        <v>14:04:56.047</v>
      </c>
      <c r="B874" t="s">
        <v>108</v>
      </c>
      <c r="C874" t="str">
        <f t="shared" si="40"/>
        <v>ffdfd3c0</v>
      </c>
      <c r="D874" t="s">
        <v>109</v>
      </c>
      <c r="E874">
        <v>4</v>
      </c>
      <c r="F874">
        <v>1004</v>
      </c>
      <c r="G874" t="s">
        <v>110</v>
      </c>
      <c r="J874" t="s">
        <v>111</v>
      </c>
      <c r="K874">
        <v>0</v>
      </c>
      <c r="L874">
        <v>3</v>
      </c>
      <c r="M874">
        <v>0</v>
      </c>
      <c r="N874">
        <v>2</v>
      </c>
      <c r="O874">
        <v>1</v>
      </c>
      <c r="P874">
        <v>0</v>
      </c>
      <c r="Q874">
        <v>0</v>
      </c>
      <c r="R874" t="s">
        <v>112</v>
      </c>
      <c r="S874" t="str">
        <f>"14:04:55.852"</f>
        <v>14:04:55.852</v>
      </c>
      <c r="T874" t="str">
        <f>"14:04:55.352"</f>
        <v>14:04:55.352</v>
      </c>
      <c r="U874" t="str">
        <f t="shared" si="39"/>
        <v>ad5732</v>
      </c>
      <c r="V874">
        <v>0</v>
      </c>
      <c r="W874">
        <v>0</v>
      </c>
      <c r="X874">
        <v>1</v>
      </c>
      <c r="Z874">
        <v>0</v>
      </c>
      <c r="AA874">
        <v>9</v>
      </c>
      <c r="AB874">
        <v>3</v>
      </c>
      <c r="AC874">
        <v>0</v>
      </c>
      <c r="AD874">
        <v>10</v>
      </c>
      <c r="AE874">
        <v>0</v>
      </c>
      <c r="AF874">
        <v>3</v>
      </c>
      <c r="AG874">
        <v>2</v>
      </c>
      <c r="AH874">
        <v>0</v>
      </c>
      <c r="AI874" t="s">
        <v>1845</v>
      </c>
      <c r="AJ874">
        <v>39.381416000000002</v>
      </c>
      <c r="AK874" t="s">
        <v>1846</v>
      </c>
      <c r="AL874">
        <v>-77.004932999999994</v>
      </c>
      <c r="AM874">
        <v>100</v>
      </c>
      <c r="AN874">
        <v>8700</v>
      </c>
      <c r="AO874" t="s">
        <v>115</v>
      </c>
      <c r="AP874">
        <v>166</v>
      </c>
      <c r="AQ874">
        <v>90</v>
      </c>
      <c r="AR874">
        <v>-64</v>
      </c>
      <c r="AZ874">
        <v>3614</v>
      </c>
      <c r="BA874">
        <v>1</v>
      </c>
      <c r="BB874" t="str">
        <f t="shared" si="41"/>
        <v xml:space="preserve">N959MJ  </v>
      </c>
      <c r="BC874">
        <v>1</v>
      </c>
      <c r="BE874">
        <v>0</v>
      </c>
      <c r="BF874">
        <v>0</v>
      </c>
      <c r="BG874">
        <v>0</v>
      </c>
      <c r="BH874">
        <v>9025</v>
      </c>
      <c r="BI874">
        <v>325</v>
      </c>
      <c r="BJ874">
        <v>1</v>
      </c>
      <c r="BK874">
        <v>1</v>
      </c>
      <c r="BL874">
        <v>1</v>
      </c>
      <c r="BM874">
        <v>0</v>
      </c>
      <c r="BP874">
        <v>0</v>
      </c>
      <c r="BQ874">
        <v>0</v>
      </c>
      <c r="BX874" t="str">
        <f>"14:04:55.859"</f>
        <v>14:04:55.859</v>
      </c>
      <c r="BY874" t="str">
        <f>"857085499"</f>
        <v>857085499</v>
      </c>
      <c r="CL874">
        <v>0</v>
      </c>
      <c r="CM874">
        <v>2</v>
      </c>
      <c r="CN874">
        <v>0</v>
      </c>
      <c r="CO874">
        <v>2</v>
      </c>
      <c r="CP874">
        <v>0</v>
      </c>
      <c r="CQ874">
        <v>7</v>
      </c>
      <c r="CR874" t="s">
        <v>116</v>
      </c>
      <c r="CS874">
        <v>525</v>
      </c>
      <c r="CT874">
        <v>1</v>
      </c>
      <c r="CU874" t="s">
        <v>140</v>
      </c>
      <c r="CV874" t="s">
        <v>141</v>
      </c>
      <c r="CY874">
        <v>8425342</v>
      </c>
      <c r="CZ874" t="s">
        <v>119</v>
      </c>
    </row>
    <row r="875" spans="1:104" x14ac:dyDescent="0.25">
      <c r="A875" t="str">
        <f>"14:04:57.008"</f>
        <v>14:04:57.008</v>
      </c>
      <c r="B875" t="s">
        <v>108</v>
      </c>
      <c r="C875" t="str">
        <f t="shared" si="40"/>
        <v>ffdfd3c0</v>
      </c>
      <c r="D875" t="s">
        <v>109</v>
      </c>
      <c r="E875">
        <v>4</v>
      </c>
      <c r="F875">
        <v>1004</v>
      </c>
      <c r="G875" t="s">
        <v>110</v>
      </c>
      <c r="J875" t="s">
        <v>111</v>
      </c>
      <c r="K875">
        <v>0</v>
      </c>
      <c r="L875">
        <v>3</v>
      </c>
      <c r="M875">
        <v>0</v>
      </c>
      <c r="N875">
        <v>2</v>
      </c>
      <c r="O875">
        <v>1</v>
      </c>
      <c r="P875">
        <v>0</v>
      </c>
      <c r="Q875">
        <v>0</v>
      </c>
      <c r="R875" t="s">
        <v>112</v>
      </c>
      <c r="S875" t="str">
        <f>"14:04:56.836"</f>
        <v>14:04:56.836</v>
      </c>
      <c r="T875" t="str">
        <f>"14:04:56.438"</f>
        <v>14:04:56.438</v>
      </c>
      <c r="U875" t="str">
        <f t="shared" si="39"/>
        <v>ad5732</v>
      </c>
      <c r="V875">
        <v>0</v>
      </c>
      <c r="W875">
        <v>0</v>
      </c>
      <c r="X875">
        <v>1</v>
      </c>
      <c r="Z875">
        <v>0</v>
      </c>
      <c r="AA875">
        <v>9</v>
      </c>
      <c r="AB875">
        <v>3</v>
      </c>
      <c r="AC875">
        <v>0</v>
      </c>
      <c r="AD875">
        <v>10</v>
      </c>
      <c r="AE875">
        <v>0</v>
      </c>
      <c r="AF875">
        <v>3</v>
      </c>
      <c r="AG875">
        <v>2</v>
      </c>
      <c r="AH875">
        <v>0</v>
      </c>
      <c r="AI875" t="s">
        <v>1847</v>
      </c>
      <c r="AJ875">
        <v>39.381844999999998</v>
      </c>
      <c r="AK875" t="s">
        <v>1848</v>
      </c>
      <c r="AL875">
        <v>-77.003902999999994</v>
      </c>
      <c r="AM875">
        <v>100</v>
      </c>
      <c r="AN875">
        <v>8700</v>
      </c>
      <c r="AO875" t="s">
        <v>115</v>
      </c>
      <c r="AP875">
        <v>167</v>
      </c>
      <c r="AQ875">
        <v>90</v>
      </c>
      <c r="AR875">
        <v>-64</v>
      </c>
      <c r="AZ875">
        <v>3614</v>
      </c>
      <c r="BA875">
        <v>1</v>
      </c>
      <c r="BB875" t="str">
        <f t="shared" si="41"/>
        <v xml:space="preserve">N959MJ  </v>
      </c>
      <c r="BC875">
        <v>1</v>
      </c>
      <c r="BE875">
        <v>0</v>
      </c>
      <c r="BF875">
        <v>0</v>
      </c>
      <c r="BG875">
        <v>0</v>
      </c>
      <c r="BH875">
        <v>9025</v>
      </c>
      <c r="BI875">
        <v>325</v>
      </c>
      <c r="BJ875">
        <v>1</v>
      </c>
      <c r="BK875">
        <v>1</v>
      </c>
      <c r="BL875">
        <v>1</v>
      </c>
      <c r="BM875">
        <v>0</v>
      </c>
      <c r="BP875">
        <v>0</v>
      </c>
      <c r="BQ875">
        <v>0</v>
      </c>
      <c r="BX875" t="str">
        <f>"14:04:56.844"</f>
        <v>14:04:56.844</v>
      </c>
      <c r="BY875" t="str">
        <f>"841780221"</f>
        <v>841780221</v>
      </c>
      <c r="CL875">
        <v>0</v>
      </c>
      <c r="CM875">
        <v>2</v>
      </c>
      <c r="CN875">
        <v>0</v>
      </c>
      <c r="CO875">
        <v>2</v>
      </c>
      <c r="CP875">
        <v>0</v>
      </c>
      <c r="CQ875">
        <v>7</v>
      </c>
      <c r="CR875" t="s">
        <v>116</v>
      </c>
      <c r="CS875">
        <v>525</v>
      </c>
      <c r="CT875">
        <v>1</v>
      </c>
      <c r="CU875" t="s">
        <v>140</v>
      </c>
      <c r="CV875" t="s">
        <v>141</v>
      </c>
      <c r="CY875">
        <v>8426728</v>
      </c>
      <c r="CZ875" t="s">
        <v>119</v>
      </c>
    </row>
    <row r="876" spans="1:104" x14ac:dyDescent="0.25">
      <c r="A876" t="str">
        <f>"14:04:58.016"</f>
        <v>14:04:58.016</v>
      </c>
      <c r="B876" t="s">
        <v>108</v>
      </c>
      <c r="C876" t="str">
        <f t="shared" si="40"/>
        <v>ffdfd3c0</v>
      </c>
      <c r="D876" t="s">
        <v>109</v>
      </c>
      <c r="E876">
        <v>4</v>
      </c>
      <c r="F876">
        <v>1004</v>
      </c>
      <c r="G876" t="s">
        <v>110</v>
      </c>
      <c r="J876" t="s">
        <v>111</v>
      </c>
      <c r="K876">
        <v>0</v>
      </c>
      <c r="L876">
        <v>3</v>
      </c>
      <c r="M876">
        <v>0</v>
      </c>
      <c r="N876">
        <v>2</v>
      </c>
      <c r="O876">
        <v>1</v>
      </c>
      <c r="P876">
        <v>0</v>
      </c>
      <c r="Q876">
        <v>0</v>
      </c>
      <c r="R876" t="s">
        <v>112</v>
      </c>
      <c r="S876" t="str">
        <f>"14:04:57.859"</f>
        <v>14:04:57.859</v>
      </c>
      <c r="T876" t="str">
        <f>"14:04:57.461"</f>
        <v>14:04:57.461</v>
      </c>
      <c r="U876" t="str">
        <f t="shared" si="39"/>
        <v>ad5732</v>
      </c>
      <c r="V876">
        <v>0</v>
      </c>
      <c r="W876">
        <v>0</v>
      </c>
      <c r="X876">
        <v>1</v>
      </c>
      <c r="Z876">
        <v>0</v>
      </c>
      <c r="AA876">
        <v>9</v>
      </c>
      <c r="AB876">
        <v>3</v>
      </c>
      <c r="AC876">
        <v>0</v>
      </c>
      <c r="AD876">
        <v>10</v>
      </c>
      <c r="AE876">
        <v>0</v>
      </c>
      <c r="AF876">
        <v>3</v>
      </c>
      <c r="AG876">
        <v>2</v>
      </c>
      <c r="AH876">
        <v>0</v>
      </c>
      <c r="AI876" t="s">
        <v>1849</v>
      </c>
      <c r="AJ876">
        <v>39.382252999999999</v>
      </c>
      <c r="AK876" t="s">
        <v>1850</v>
      </c>
      <c r="AL876">
        <v>-77.002938</v>
      </c>
      <c r="AM876">
        <v>100</v>
      </c>
      <c r="AN876">
        <v>8700</v>
      </c>
      <c r="AO876" t="s">
        <v>115</v>
      </c>
      <c r="AP876">
        <v>167</v>
      </c>
      <c r="AQ876">
        <v>90</v>
      </c>
      <c r="AR876">
        <v>-64</v>
      </c>
      <c r="AZ876">
        <v>3614</v>
      </c>
      <c r="BA876">
        <v>1</v>
      </c>
      <c r="BB876" t="str">
        <f t="shared" si="41"/>
        <v xml:space="preserve">N959MJ  </v>
      </c>
      <c r="BC876">
        <v>1</v>
      </c>
      <c r="BE876">
        <v>0</v>
      </c>
      <c r="BF876">
        <v>0</v>
      </c>
      <c r="BG876">
        <v>0</v>
      </c>
      <c r="BH876">
        <v>9025</v>
      </c>
      <c r="BI876">
        <v>325</v>
      </c>
      <c r="BJ876">
        <v>1</v>
      </c>
      <c r="BK876">
        <v>1</v>
      </c>
      <c r="BL876">
        <v>1</v>
      </c>
      <c r="BM876">
        <v>0</v>
      </c>
      <c r="BP876">
        <v>0</v>
      </c>
      <c r="BQ876">
        <v>0</v>
      </c>
      <c r="BX876" t="str">
        <f>"14:04:57.867"</f>
        <v>14:04:57.867</v>
      </c>
      <c r="BY876" t="str">
        <f>"865797219"</f>
        <v>865797219</v>
      </c>
      <c r="CL876">
        <v>0</v>
      </c>
      <c r="CM876">
        <v>2</v>
      </c>
      <c r="CN876">
        <v>0</v>
      </c>
      <c r="CO876">
        <v>2</v>
      </c>
      <c r="CP876">
        <v>0</v>
      </c>
      <c r="CQ876">
        <v>7</v>
      </c>
      <c r="CR876" t="s">
        <v>116</v>
      </c>
      <c r="CS876">
        <v>525</v>
      </c>
      <c r="CT876">
        <v>1</v>
      </c>
      <c r="CU876" t="s">
        <v>140</v>
      </c>
      <c r="CV876" t="s">
        <v>141</v>
      </c>
      <c r="CY876">
        <v>8428213</v>
      </c>
      <c r="CZ876" t="s">
        <v>119</v>
      </c>
    </row>
    <row r="877" spans="1:104" x14ac:dyDescent="0.25">
      <c r="A877" t="str">
        <f>"14:04:59.078"</f>
        <v>14:04:59.078</v>
      </c>
      <c r="B877" t="s">
        <v>108</v>
      </c>
      <c r="C877" t="str">
        <f t="shared" si="40"/>
        <v>ffdfd3c0</v>
      </c>
      <c r="D877" t="s">
        <v>109</v>
      </c>
      <c r="E877">
        <v>4</v>
      </c>
      <c r="F877">
        <v>1004</v>
      </c>
      <c r="G877" t="s">
        <v>110</v>
      </c>
      <c r="J877" t="s">
        <v>111</v>
      </c>
      <c r="K877">
        <v>0</v>
      </c>
      <c r="L877">
        <v>3</v>
      </c>
      <c r="M877">
        <v>0</v>
      </c>
      <c r="N877">
        <v>2</v>
      </c>
      <c r="O877">
        <v>1</v>
      </c>
      <c r="P877">
        <v>0</v>
      </c>
      <c r="Q877">
        <v>0</v>
      </c>
      <c r="R877" t="s">
        <v>112</v>
      </c>
      <c r="S877" t="str">
        <f>"14:04:58.891"</f>
        <v>14:04:58.891</v>
      </c>
      <c r="T877" t="str">
        <f>"14:04:58.391"</f>
        <v>14:04:58.391</v>
      </c>
      <c r="U877" t="str">
        <f t="shared" si="39"/>
        <v>ad5732</v>
      </c>
      <c r="V877">
        <v>0</v>
      </c>
      <c r="W877">
        <v>0</v>
      </c>
      <c r="X877">
        <v>1</v>
      </c>
      <c r="Z877">
        <v>0</v>
      </c>
      <c r="AA877">
        <v>9</v>
      </c>
      <c r="AB877">
        <v>3</v>
      </c>
      <c r="AC877">
        <v>0</v>
      </c>
      <c r="AD877">
        <v>10</v>
      </c>
      <c r="AE877">
        <v>0</v>
      </c>
      <c r="AF877">
        <v>3</v>
      </c>
      <c r="AG877">
        <v>2</v>
      </c>
      <c r="AH877">
        <v>0</v>
      </c>
      <c r="AI877" t="s">
        <v>1851</v>
      </c>
      <c r="AJ877">
        <v>39.382745999999997</v>
      </c>
      <c r="AK877" t="s">
        <v>1852</v>
      </c>
      <c r="AL877">
        <v>-77.001864999999995</v>
      </c>
      <c r="AM877">
        <v>100</v>
      </c>
      <c r="AN877">
        <v>8700</v>
      </c>
      <c r="AO877" t="s">
        <v>115</v>
      </c>
      <c r="AP877">
        <v>167</v>
      </c>
      <c r="AQ877">
        <v>90</v>
      </c>
      <c r="AR877">
        <v>-64</v>
      </c>
      <c r="AZ877">
        <v>3614</v>
      </c>
      <c r="BA877">
        <v>1</v>
      </c>
      <c r="BB877" t="str">
        <f t="shared" si="41"/>
        <v xml:space="preserve">N959MJ  </v>
      </c>
      <c r="BC877">
        <v>1</v>
      </c>
      <c r="BE877">
        <v>0</v>
      </c>
      <c r="BF877">
        <v>0</v>
      </c>
      <c r="BG877">
        <v>0</v>
      </c>
      <c r="BH877">
        <v>9025</v>
      </c>
      <c r="BI877">
        <v>325</v>
      </c>
      <c r="BJ877">
        <v>1</v>
      </c>
      <c r="BK877">
        <v>1</v>
      </c>
      <c r="BL877">
        <v>1</v>
      </c>
      <c r="BM877">
        <v>0</v>
      </c>
      <c r="BP877">
        <v>0</v>
      </c>
      <c r="BQ877">
        <v>0</v>
      </c>
      <c r="BX877" t="str">
        <f>"14:04:58.891"</f>
        <v>14:04:58.891</v>
      </c>
      <c r="BY877" t="str">
        <f>"893091233"</f>
        <v>893091233</v>
      </c>
      <c r="CL877">
        <v>0</v>
      </c>
      <c r="CM877">
        <v>2</v>
      </c>
      <c r="CN877">
        <v>0</v>
      </c>
      <c r="CO877">
        <v>2</v>
      </c>
      <c r="CP877">
        <v>0</v>
      </c>
      <c r="CQ877">
        <v>7</v>
      </c>
      <c r="CR877" t="s">
        <v>116</v>
      </c>
      <c r="CS877">
        <v>525</v>
      </c>
      <c r="CT877">
        <v>1</v>
      </c>
      <c r="CU877" t="s">
        <v>140</v>
      </c>
      <c r="CV877" t="s">
        <v>141</v>
      </c>
      <c r="CY877">
        <v>8429667</v>
      </c>
      <c r="CZ877" t="s">
        <v>119</v>
      </c>
    </row>
    <row r="878" spans="1:104" x14ac:dyDescent="0.25">
      <c r="A878" t="str">
        <f>"14:05:00.086"</f>
        <v>14:05:00.086</v>
      </c>
      <c r="B878" t="s">
        <v>108</v>
      </c>
      <c r="C878" t="str">
        <f t="shared" si="40"/>
        <v>ffdfd3c0</v>
      </c>
      <c r="D878" t="s">
        <v>109</v>
      </c>
      <c r="E878">
        <v>4</v>
      </c>
      <c r="F878">
        <v>1004</v>
      </c>
      <c r="G878" t="s">
        <v>110</v>
      </c>
      <c r="J878" t="s">
        <v>111</v>
      </c>
      <c r="K878">
        <v>0</v>
      </c>
      <c r="L878">
        <v>3</v>
      </c>
      <c r="M878">
        <v>0</v>
      </c>
      <c r="N878">
        <v>2</v>
      </c>
      <c r="O878">
        <v>1</v>
      </c>
      <c r="P878">
        <v>0</v>
      </c>
      <c r="Q878">
        <v>0</v>
      </c>
      <c r="R878" t="s">
        <v>112</v>
      </c>
      <c r="S878" t="str">
        <f>"14:04:59.891"</f>
        <v>14:04:59.891</v>
      </c>
      <c r="T878" t="str">
        <f>"14:04:59.492"</f>
        <v>14:04:59.492</v>
      </c>
      <c r="U878" t="str">
        <f t="shared" si="39"/>
        <v>ad5732</v>
      </c>
      <c r="V878">
        <v>0</v>
      </c>
      <c r="W878">
        <v>0</v>
      </c>
      <c r="X878">
        <v>1</v>
      </c>
      <c r="Z878">
        <v>0</v>
      </c>
      <c r="AA878">
        <v>9</v>
      </c>
      <c r="AB878">
        <v>3</v>
      </c>
      <c r="AC878">
        <v>0</v>
      </c>
      <c r="AD878">
        <v>10</v>
      </c>
      <c r="AE878">
        <v>0</v>
      </c>
      <c r="AF878">
        <v>3</v>
      </c>
      <c r="AG878">
        <v>2</v>
      </c>
      <c r="AH878">
        <v>0</v>
      </c>
      <c r="AI878" t="s">
        <v>1853</v>
      </c>
      <c r="AJ878">
        <v>39.383153999999998</v>
      </c>
      <c r="AK878" t="s">
        <v>1854</v>
      </c>
      <c r="AL878">
        <v>-77.000834999999995</v>
      </c>
      <c r="AM878">
        <v>100</v>
      </c>
      <c r="AN878">
        <v>8700</v>
      </c>
      <c r="AO878" t="s">
        <v>115</v>
      </c>
      <c r="AP878">
        <v>167</v>
      </c>
      <c r="AQ878">
        <v>90</v>
      </c>
      <c r="AR878">
        <v>-64</v>
      </c>
      <c r="AZ878">
        <v>3614</v>
      </c>
      <c r="BA878">
        <v>1</v>
      </c>
      <c r="BB878" t="str">
        <f t="shared" si="41"/>
        <v xml:space="preserve">N959MJ  </v>
      </c>
      <c r="BC878">
        <v>1</v>
      </c>
      <c r="BE878">
        <v>0</v>
      </c>
      <c r="BF878">
        <v>0</v>
      </c>
      <c r="BG878">
        <v>0</v>
      </c>
      <c r="BH878">
        <v>9025</v>
      </c>
      <c r="BI878">
        <v>325</v>
      </c>
      <c r="BJ878">
        <v>1</v>
      </c>
      <c r="BK878">
        <v>1</v>
      </c>
      <c r="BL878">
        <v>1</v>
      </c>
      <c r="BM878">
        <v>0</v>
      </c>
      <c r="BP878">
        <v>0</v>
      </c>
      <c r="BQ878">
        <v>0</v>
      </c>
      <c r="BX878" t="str">
        <f>"14:04:59.891"</f>
        <v>14:04:59.891</v>
      </c>
      <c r="BY878" t="str">
        <f>"894301873"</f>
        <v>894301873</v>
      </c>
      <c r="CL878">
        <v>0</v>
      </c>
      <c r="CM878">
        <v>2</v>
      </c>
      <c r="CN878">
        <v>0</v>
      </c>
      <c r="CO878">
        <v>2</v>
      </c>
      <c r="CP878">
        <v>0</v>
      </c>
      <c r="CQ878">
        <v>6</v>
      </c>
      <c r="CR878" t="s">
        <v>116</v>
      </c>
      <c r="CS878">
        <v>396</v>
      </c>
      <c r="CT878">
        <v>2</v>
      </c>
      <c r="CU878" t="s">
        <v>939</v>
      </c>
      <c r="CV878" t="s">
        <v>940</v>
      </c>
      <c r="CY878">
        <v>4273109</v>
      </c>
      <c r="CZ878" t="s">
        <v>119</v>
      </c>
    </row>
    <row r="879" spans="1:104" x14ac:dyDescent="0.25">
      <c r="A879" t="str">
        <f>"14:05:01.102"</f>
        <v>14:05:01.102</v>
      </c>
      <c r="B879" t="s">
        <v>108</v>
      </c>
      <c r="C879" t="str">
        <f t="shared" si="40"/>
        <v>ffdfd3c0</v>
      </c>
      <c r="D879" t="s">
        <v>109</v>
      </c>
      <c r="E879">
        <v>4</v>
      </c>
      <c r="F879">
        <v>1004</v>
      </c>
      <c r="G879" t="s">
        <v>110</v>
      </c>
      <c r="J879" t="s">
        <v>111</v>
      </c>
      <c r="K879">
        <v>0</v>
      </c>
      <c r="L879">
        <v>3</v>
      </c>
      <c r="M879">
        <v>0</v>
      </c>
      <c r="N879">
        <v>2</v>
      </c>
      <c r="O879">
        <v>1</v>
      </c>
      <c r="P879">
        <v>0</v>
      </c>
      <c r="Q879">
        <v>0</v>
      </c>
      <c r="R879" t="s">
        <v>112</v>
      </c>
      <c r="S879" t="str">
        <f>"14:05:00.891"</f>
        <v>14:05:00.891</v>
      </c>
      <c r="T879" t="str">
        <f>"14:05:00.492"</f>
        <v>14:05:00.492</v>
      </c>
      <c r="U879" t="str">
        <f t="shared" si="39"/>
        <v>ad5732</v>
      </c>
      <c r="V879">
        <v>0</v>
      </c>
      <c r="W879">
        <v>0</v>
      </c>
      <c r="X879">
        <v>1</v>
      </c>
      <c r="Z879">
        <v>0</v>
      </c>
      <c r="AA879">
        <v>9</v>
      </c>
      <c r="AB879">
        <v>3</v>
      </c>
      <c r="AC879">
        <v>0</v>
      </c>
      <c r="AD879">
        <v>10</v>
      </c>
      <c r="AE879">
        <v>0</v>
      </c>
      <c r="AF879">
        <v>3</v>
      </c>
      <c r="AG879">
        <v>2</v>
      </c>
      <c r="AH879">
        <v>0</v>
      </c>
      <c r="AI879" t="s">
        <v>1855</v>
      </c>
      <c r="AJ879">
        <v>39.383561999999998</v>
      </c>
      <c r="AK879" t="s">
        <v>1856</v>
      </c>
      <c r="AL879">
        <v>-76.999825999999999</v>
      </c>
      <c r="AM879">
        <v>100</v>
      </c>
      <c r="AN879">
        <v>8700</v>
      </c>
      <c r="AO879" t="s">
        <v>115</v>
      </c>
      <c r="AP879">
        <v>167</v>
      </c>
      <c r="AQ879">
        <v>89</v>
      </c>
      <c r="AR879">
        <v>-64</v>
      </c>
      <c r="AZ879">
        <v>3614</v>
      </c>
      <c r="BA879">
        <v>1</v>
      </c>
      <c r="BB879" t="str">
        <f t="shared" si="41"/>
        <v xml:space="preserve">N959MJ  </v>
      </c>
      <c r="BC879">
        <v>1</v>
      </c>
      <c r="BE879">
        <v>0</v>
      </c>
      <c r="BF879">
        <v>0</v>
      </c>
      <c r="BG879">
        <v>0</v>
      </c>
      <c r="BH879">
        <v>9025</v>
      </c>
      <c r="BI879">
        <v>325</v>
      </c>
      <c r="BJ879">
        <v>1</v>
      </c>
      <c r="BK879">
        <v>1</v>
      </c>
      <c r="BL879">
        <v>1</v>
      </c>
      <c r="BM879">
        <v>0</v>
      </c>
      <c r="BP879">
        <v>0</v>
      </c>
      <c r="BQ879">
        <v>0</v>
      </c>
      <c r="BX879" t="str">
        <f>"14:05:00.898"</f>
        <v>14:05:00.898</v>
      </c>
      <c r="BY879" t="str">
        <f>"896887533"</f>
        <v>896887533</v>
      </c>
      <c r="CL879">
        <v>0</v>
      </c>
      <c r="CM879">
        <v>2</v>
      </c>
      <c r="CN879">
        <v>0</v>
      </c>
      <c r="CO879">
        <v>2</v>
      </c>
      <c r="CP879">
        <v>0</v>
      </c>
      <c r="CQ879">
        <v>7</v>
      </c>
      <c r="CR879" t="s">
        <v>116</v>
      </c>
      <c r="CS879">
        <v>525</v>
      </c>
      <c r="CT879">
        <v>1</v>
      </c>
      <c r="CU879" t="s">
        <v>140</v>
      </c>
      <c r="CV879" t="s">
        <v>141</v>
      </c>
      <c r="CY879">
        <v>8432607</v>
      </c>
      <c r="CZ879" t="s">
        <v>119</v>
      </c>
    </row>
    <row r="880" spans="1:104" x14ac:dyDescent="0.25">
      <c r="A880" t="str">
        <f>"14:05:02.211"</f>
        <v>14:05:02.211</v>
      </c>
      <c r="B880" t="s">
        <v>108</v>
      </c>
      <c r="C880" t="str">
        <f t="shared" si="40"/>
        <v>ffdfd3c0</v>
      </c>
      <c r="D880" t="s">
        <v>109</v>
      </c>
      <c r="E880">
        <v>4</v>
      </c>
      <c r="F880">
        <v>1004</v>
      </c>
      <c r="G880" t="s">
        <v>110</v>
      </c>
      <c r="J880" t="s">
        <v>111</v>
      </c>
      <c r="K880">
        <v>0</v>
      </c>
      <c r="L880">
        <v>3</v>
      </c>
      <c r="M880">
        <v>0</v>
      </c>
      <c r="N880">
        <v>2</v>
      </c>
      <c r="O880">
        <v>1</v>
      </c>
      <c r="P880">
        <v>0</v>
      </c>
      <c r="Q880">
        <v>0</v>
      </c>
      <c r="R880" t="s">
        <v>112</v>
      </c>
      <c r="S880" t="str">
        <f>"14:05:02.008"</f>
        <v>14:05:02.008</v>
      </c>
      <c r="T880" t="str">
        <f>"14:05:01.508"</f>
        <v>14:05:01.508</v>
      </c>
      <c r="U880" t="str">
        <f t="shared" si="39"/>
        <v>ad5732</v>
      </c>
      <c r="V880">
        <v>0</v>
      </c>
      <c r="W880">
        <v>0</v>
      </c>
      <c r="X880">
        <v>1</v>
      </c>
      <c r="Z880">
        <v>0</v>
      </c>
      <c r="AA880">
        <v>9</v>
      </c>
      <c r="AB880">
        <v>3</v>
      </c>
      <c r="AC880">
        <v>0</v>
      </c>
      <c r="AD880">
        <v>10</v>
      </c>
      <c r="AE880">
        <v>0</v>
      </c>
      <c r="AF880">
        <v>3</v>
      </c>
      <c r="AG880">
        <v>2</v>
      </c>
      <c r="AH880">
        <v>0</v>
      </c>
      <c r="AI880" t="s">
        <v>1857</v>
      </c>
      <c r="AJ880">
        <v>39.383991000000002</v>
      </c>
      <c r="AK880" t="s">
        <v>1858</v>
      </c>
      <c r="AL880">
        <v>-76.998711</v>
      </c>
      <c r="AM880">
        <v>100</v>
      </c>
      <c r="AN880">
        <v>8700</v>
      </c>
      <c r="AO880" t="s">
        <v>115</v>
      </c>
      <c r="AP880">
        <v>167</v>
      </c>
      <c r="AQ880">
        <v>89</v>
      </c>
      <c r="AR880">
        <v>0</v>
      </c>
      <c r="AZ880">
        <v>3614</v>
      </c>
      <c r="BA880">
        <v>1</v>
      </c>
      <c r="BB880" t="str">
        <f t="shared" si="41"/>
        <v xml:space="preserve">N959MJ  </v>
      </c>
      <c r="BC880">
        <v>1</v>
      </c>
      <c r="BE880">
        <v>0</v>
      </c>
      <c r="BF880">
        <v>0</v>
      </c>
      <c r="BG880">
        <v>0</v>
      </c>
      <c r="BH880">
        <v>9025</v>
      </c>
      <c r="BI880">
        <v>325</v>
      </c>
      <c r="BJ880">
        <v>1</v>
      </c>
      <c r="BK880">
        <v>1</v>
      </c>
      <c r="BL880">
        <v>1</v>
      </c>
      <c r="BM880">
        <v>0</v>
      </c>
      <c r="BP880">
        <v>0</v>
      </c>
      <c r="BQ880">
        <v>0</v>
      </c>
      <c r="BX880" t="str">
        <f>"14:05:02.016"</f>
        <v>14:05:02.016</v>
      </c>
      <c r="BY880" t="str">
        <f>"014294887"</f>
        <v>014294887</v>
      </c>
      <c r="CL880">
        <v>0</v>
      </c>
      <c r="CM880">
        <v>2</v>
      </c>
      <c r="CN880">
        <v>0</v>
      </c>
      <c r="CO880">
        <v>2</v>
      </c>
      <c r="CP880">
        <v>0</v>
      </c>
      <c r="CQ880">
        <v>7</v>
      </c>
      <c r="CR880" t="s">
        <v>116</v>
      </c>
      <c r="CS880">
        <v>525</v>
      </c>
      <c r="CT880">
        <v>1</v>
      </c>
      <c r="CU880" t="s">
        <v>140</v>
      </c>
      <c r="CV880" t="s">
        <v>141</v>
      </c>
      <c r="CY880">
        <v>8434205</v>
      </c>
      <c r="CZ880" t="s">
        <v>119</v>
      </c>
    </row>
    <row r="881" spans="1:104" x14ac:dyDescent="0.25">
      <c r="A881" t="str">
        <f>"14:05:03.219"</f>
        <v>14:05:03.219</v>
      </c>
      <c r="B881" t="s">
        <v>108</v>
      </c>
      <c r="C881" t="str">
        <f t="shared" si="40"/>
        <v>ffdfd3c0</v>
      </c>
      <c r="D881" t="s">
        <v>109</v>
      </c>
      <c r="E881">
        <v>4</v>
      </c>
      <c r="F881">
        <v>1004</v>
      </c>
      <c r="G881" t="s">
        <v>110</v>
      </c>
      <c r="J881" t="s">
        <v>111</v>
      </c>
      <c r="K881">
        <v>0</v>
      </c>
      <c r="L881">
        <v>3</v>
      </c>
      <c r="M881">
        <v>0</v>
      </c>
      <c r="N881">
        <v>2</v>
      </c>
      <c r="O881">
        <v>1</v>
      </c>
      <c r="P881">
        <v>0</v>
      </c>
      <c r="Q881">
        <v>0</v>
      </c>
      <c r="R881" t="s">
        <v>112</v>
      </c>
      <c r="S881" t="str">
        <f>"14:05:03.031"</f>
        <v>14:05:03.031</v>
      </c>
      <c r="T881" t="str">
        <f>"14:05:02.531"</f>
        <v>14:05:02.531</v>
      </c>
      <c r="U881" t="str">
        <f t="shared" si="39"/>
        <v>ad5732</v>
      </c>
      <c r="V881">
        <v>0</v>
      </c>
      <c r="W881">
        <v>0</v>
      </c>
      <c r="X881">
        <v>1</v>
      </c>
      <c r="Z881">
        <v>0</v>
      </c>
      <c r="AA881">
        <v>9</v>
      </c>
      <c r="AB881">
        <v>3</v>
      </c>
      <c r="AC881">
        <v>0</v>
      </c>
      <c r="AD881">
        <v>10</v>
      </c>
      <c r="AE881">
        <v>0</v>
      </c>
      <c r="AF881">
        <v>3</v>
      </c>
      <c r="AG881">
        <v>2</v>
      </c>
      <c r="AH881">
        <v>0</v>
      </c>
      <c r="AI881" t="s">
        <v>1859</v>
      </c>
      <c r="AJ881">
        <v>39.384397999999997</v>
      </c>
      <c r="AK881" t="s">
        <v>1860</v>
      </c>
      <c r="AL881">
        <v>-76.997744999999995</v>
      </c>
      <c r="AM881">
        <v>100</v>
      </c>
      <c r="AN881">
        <v>8700</v>
      </c>
      <c r="AO881" t="s">
        <v>115</v>
      </c>
      <c r="AP881">
        <v>168</v>
      </c>
      <c r="AQ881">
        <v>89</v>
      </c>
      <c r="AR881">
        <v>0</v>
      </c>
      <c r="AZ881">
        <v>3614</v>
      </c>
      <c r="BA881">
        <v>1</v>
      </c>
      <c r="BB881" t="str">
        <f t="shared" si="41"/>
        <v xml:space="preserve">N959MJ  </v>
      </c>
      <c r="BC881">
        <v>1</v>
      </c>
      <c r="BE881">
        <v>0</v>
      </c>
      <c r="BF881">
        <v>0</v>
      </c>
      <c r="BG881">
        <v>0</v>
      </c>
      <c r="BH881">
        <v>9025</v>
      </c>
      <c r="BI881">
        <v>325</v>
      </c>
      <c r="BJ881">
        <v>1</v>
      </c>
      <c r="BK881">
        <v>1</v>
      </c>
      <c r="BL881">
        <v>1</v>
      </c>
      <c r="BM881">
        <v>0</v>
      </c>
      <c r="BP881">
        <v>0</v>
      </c>
      <c r="BQ881">
        <v>0</v>
      </c>
      <c r="BX881" t="str">
        <f>"14:05:03.039"</f>
        <v>14:05:03.039</v>
      </c>
      <c r="BY881" t="str">
        <f>"036673464"</f>
        <v>036673464</v>
      </c>
      <c r="CL881">
        <v>0</v>
      </c>
      <c r="CM881">
        <v>2</v>
      </c>
      <c r="CN881">
        <v>0</v>
      </c>
      <c r="CO881">
        <v>2</v>
      </c>
      <c r="CP881">
        <v>0</v>
      </c>
      <c r="CQ881">
        <v>7</v>
      </c>
      <c r="CR881" t="s">
        <v>116</v>
      </c>
      <c r="CS881">
        <v>525</v>
      </c>
      <c r="CT881">
        <v>1</v>
      </c>
      <c r="CU881" t="s">
        <v>140</v>
      </c>
      <c r="CV881" t="s">
        <v>141</v>
      </c>
      <c r="CY881">
        <v>8435677</v>
      </c>
      <c r="CZ881" t="s">
        <v>119</v>
      </c>
    </row>
    <row r="882" spans="1:104" x14ac:dyDescent="0.25">
      <c r="A882" t="str">
        <f>"14:05:04.125"</f>
        <v>14:05:04.125</v>
      </c>
      <c r="B882" t="s">
        <v>108</v>
      </c>
      <c r="C882" t="str">
        <f t="shared" si="40"/>
        <v>ffdfd3c0</v>
      </c>
      <c r="D882" t="s">
        <v>109</v>
      </c>
      <c r="E882">
        <v>4</v>
      </c>
      <c r="F882">
        <v>1004</v>
      </c>
      <c r="G882" t="s">
        <v>110</v>
      </c>
      <c r="J882" t="s">
        <v>111</v>
      </c>
      <c r="K882">
        <v>0</v>
      </c>
      <c r="L882">
        <v>3</v>
      </c>
      <c r="M882">
        <v>0</v>
      </c>
      <c r="N882">
        <v>2</v>
      </c>
      <c r="O882">
        <v>1</v>
      </c>
      <c r="P882">
        <v>0</v>
      </c>
      <c r="Q882">
        <v>0</v>
      </c>
      <c r="R882" t="s">
        <v>112</v>
      </c>
      <c r="S882" t="str">
        <f>"14:05:03.961"</f>
        <v>14:05:03.961</v>
      </c>
      <c r="T882" t="str">
        <f>"14:05:03.563"</f>
        <v>14:05:03.563</v>
      </c>
      <c r="U882" t="str">
        <f t="shared" si="39"/>
        <v>ad5732</v>
      </c>
      <c r="V882">
        <v>0</v>
      </c>
      <c r="W882">
        <v>0</v>
      </c>
      <c r="X882">
        <v>1</v>
      </c>
      <c r="Z882">
        <v>0</v>
      </c>
      <c r="AA882">
        <v>9</v>
      </c>
      <c r="AB882">
        <v>3</v>
      </c>
      <c r="AC882">
        <v>0</v>
      </c>
      <c r="AD882">
        <v>10</v>
      </c>
      <c r="AE882">
        <v>0</v>
      </c>
      <c r="AF882">
        <v>3</v>
      </c>
      <c r="AG882">
        <v>2</v>
      </c>
      <c r="AH882">
        <v>0</v>
      </c>
      <c r="AI882" t="s">
        <v>1861</v>
      </c>
      <c r="AJ882">
        <v>39.384805999999998</v>
      </c>
      <c r="AK882" t="s">
        <v>1862</v>
      </c>
      <c r="AL882">
        <v>-76.996843999999996</v>
      </c>
      <c r="AM882">
        <v>100</v>
      </c>
      <c r="AN882">
        <v>8700</v>
      </c>
      <c r="AO882" t="s">
        <v>115</v>
      </c>
      <c r="AP882">
        <v>168</v>
      </c>
      <c r="AQ882">
        <v>89</v>
      </c>
      <c r="AR882">
        <v>0</v>
      </c>
      <c r="AZ882">
        <v>3614</v>
      </c>
      <c r="BA882">
        <v>1</v>
      </c>
      <c r="BB882" t="str">
        <f t="shared" si="41"/>
        <v xml:space="preserve">N959MJ  </v>
      </c>
      <c r="BC882">
        <v>1</v>
      </c>
      <c r="BE882">
        <v>0</v>
      </c>
      <c r="BF882">
        <v>0</v>
      </c>
      <c r="BG882">
        <v>0</v>
      </c>
      <c r="BH882">
        <v>9025</v>
      </c>
      <c r="BI882">
        <v>325</v>
      </c>
      <c r="BJ882">
        <v>1</v>
      </c>
      <c r="BK882">
        <v>1</v>
      </c>
      <c r="BL882">
        <v>1</v>
      </c>
      <c r="BM882">
        <v>0</v>
      </c>
      <c r="BP882">
        <v>0</v>
      </c>
      <c r="BQ882">
        <v>0</v>
      </c>
      <c r="BX882" t="str">
        <f>"14:05:03.961"</f>
        <v>14:05:03.961</v>
      </c>
      <c r="BY882" t="str">
        <f>"964023253"</f>
        <v>964023253</v>
      </c>
      <c r="CL882">
        <v>0</v>
      </c>
      <c r="CM882">
        <v>2</v>
      </c>
      <c r="CN882">
        <v>0</v>
      </c>
      <c r="CO882">
        <v>2</v>
      </c>
      <c r="CP882">
        <v>0</v>
      </c>
      <c r="CQ882">
        <v>7</v>
      </c>
      <c r="CR882" t="s">
        <v>116</v>
      </c>
      <c r="CS882">
        <v>525</v>
      </c>
      <c r="CT882">
        <v>1</v>
      </c>
      <c r="CU882" t="s">
        <v>140</v>
      </c>
      <c r="CV882" t="s">
        <v>141</v>
      </c>
      <c r="CY882">
        <v>8437033</v>
      </c>
      <c r="CZ882" t="s">
        <v>119</v>
      </c>
    </row>
    <row r="883" spans="1:104" x14ac:dyDescent="0.25">
      <c r="A883" t="str">
        <f>"14:05:05.086"</f>
        <v>14:05:05.086</v>
      </c>
      <c r="B883" t="s">
        <v>108</v>
      </c>
      <c r="C883" t="str">
        <f t="shared" si="40"/>
        <v>ffdfd3c0</v>
      </c>
      <c r="D883" t="s">
        <v>109</v>
      </c>
      <c r="E883">
        <v>4</v>
      </c>
      <c r="F883">
        <v>1004</v>
      </c>
      <c r="G883" t="s">
        <v>110</v>
      </c>
      <c r="J883" t="s">
        <v>111</v>
      </c>
      <c r="K883">
        <v>0</v>
      </c>
      <c r="L883">
        <v>3</v>
      </c>
      <c r="M883">
        <v>0</v>
      </c>
      <c r="N883">
        <v>2</v>
      </c>
      <c r="O883">
        <v>1</v>
      </c>
      <c r="P883">
        <v>0</v>
      </c>
      <c r="Q883">
        <v>0</v>
      </c>
      <c r="R883" t="s">
        <v>112</v>
      </c>
      <c r="S883" t="str">
        <f>"14:05:04.875"</f>
        <v>14:05:04.875</v>
      </c>
      <c r="T883" t="str">
        <f>"14:05:04.578"</f>
        <v>14:05:04.578</v>
      </c>
      <c r="U883" t="str">
        <f t="shared" si="39"/>
        <v>ad5732</v>
      </c>
      <c r="V883">
        <v>0</v>
      </c>
      <c r="W883">
        <v>0</v>
      </c>
      <c r="X883">
        <v>1</v>
      </c>
      <c r="Z883">
        <v>0</v>
      </c>
      <c r="AA883">
        <v>9</v>
      </c>
      <c r="AB883">
        <v>3</v>
      </c>
      <c r="AC883">
        <v>0</v>
      </c>
      <c r="AD883">
        <v>10</v>
      </c>
      <c r="AE883">
        <v>0</v>
      </c>
      <c r="AF883">
        <v>3</v>
      </c>
      <c r="AG883">
        <v>2</v>
      </c>
      <c r="AH883">
        <v>0</v>
      </c>
      <c r="AI883" t="s">
        <v>1863</v>
      </c>
      <c r="AJ883">
        <v>39.385213999999998</v>
      </c>
      <c r="AK883" t="s">
        <v>1864</v>
      </c>
      <c r="AL883">
        <v>-76.995835</v>
      </c>
      <c r="AM883">
        <v>100</v>
      </c>
      <c r="AN883">
        <v>8700</v>
      </c>
      <c r="AO883" t="s">
        <v>115</v>
      </c>
      <c r="AP883">
        <v>168</v>
      </c>
      <c r="AQ883">
        <v>89</v>
      </c>
      <c r="AR883">
        <v>0</v>
      </c>
      <c r="AZ883">
        <v>3614</v>
      </c>
      <c r="BA883">
        <v>1</v>
      </c>
      <c r="BB883" t="str">
        <f t="shared" si="41"/>
        <v xml:space="preserve">N959MJ  </v>
      </c>
      <c r="BC883">
        <v>1</v>
      </c>
      <c r="BE883">
        <v>0</v>
      </c>
      <c r="BF883">
        <v>0</v>
      </c>
      <c r="BG883">
        <v>0</v>
      </c>
      <c r="BH883">
        <v>9025</v>
      </c>
      <c r="BI883">
        <v>325</v>
      </c>
      <c r="BJ883">
        <v>1</v>
      </c>
      <c r="BK883">
        <v>1</v>
      </c>
      <c r="BL883">
        <v>1</v>
      </c>
      <c r="BM883">
        <v>0</v>
      </c>
      <c r="BP883">
        <v>0</v>
      </c>
      <c r="BQ883">
        <v>0</v>
      </c>
      <c r="BX883" t="str">
        <f>"14:05:04.883"</f>
        <v>14:05:04.883</v>
      </c>
      <c r="BY883" t="str">
        <f>"881671537"</f>
        <v>881671537</v>
      </c>
      <c r="CL883">
        <v>0</v>
      </c>
      <c r="CM883">
        <v>2</v>
      </c>
      <c r="CN883">
        <v>0</v>
      </c>
      <c r="CO883">
        <v>2</v>
      </c>
      <c r="CP883">
        <v>0</v>
      </c>
      <c r="CQ883">
        <v>6</v>
      </c>
      <c r="CR883" t="s">
        <v>116</v>
      </c>
      <c r="CS883">
        <v>396</v>
      </c>
      <c r="CT883">
        <v>2</v>
      </c>
      <c r="CU883" t="s">
        <v>939</v>
      </c>
      <c r="CV883" t="s">
        <v>940</v>
      </c>
      <c r="CY883">
        <v>4282362</v>
      </c>
      <c r="CZ883" t="s">
        <v>119</v>
      </c>
    </row>
    <row r="884" spans="1:104" x14ac:dyDescent="0.25">
      <c r="A884" t="str">
        <f>"14:05:06.094"</f>
        <v>14:05:06.094</v>
      </c>
      <c r="B884" t="s">
        <v>108</v>
      </c>
      <c r="C884" t="str">
        <f t="shared" si="40"/>
        <v>ffdfd3c0</v>
      </c>
      <c r="D884" t="s">
        <v>109</v>
      </c>
      <c r="E884">
        <v>4</v>
      </c>
      <c r="F884">
        <v>1004</v>
      </c>
      <c r="G884" t="s">
        <v>110</v>
      </c>
      <c r="J884" t="s">
        <v>111</v>
      </c>
      <c r="K884">
        <v>0</v>
      </c>
      <c r="L884">
        <v>3</v>
      </c>
      <c r="M884">
        <v>0</v>
      </c>
      <c r="N884">
        <v>2</v>
      </c>
      <c r="O884">
        <v>1</v>
      </c>
      <c r="P884">
        <v>0</v>
      </c>
      <c r="Q884">
        <v>0</v>
      </c>
      <c r="R884" t="s">
        <v>112</v>
      </c>
      <c r="S884" t="str">
        <f>"14:05:05.875"</f>
        <v>14:05:05.875</v>
      </c>
      <c r="T884" t="str">
        <f>"14:05:04.977"</f>
        <v>14:05:04.977</v>
      </c>
      <c r="U884" t="str">
        <f t="shared" si="39"/>
        <v>ad5732</v>
      </c>
      <c r="V884">
        <v>0</v>
      </c>
      <c r="W884">
        <v>0</v>
      </c>
      <c r="X884">
        <v>1</v>
      </c>
      <c r="Z884">
        <v>0</v>
      </c>
      <c r="AA884">
        <v>9</v>
      </c>
      <c r="AB884">
        <v>3</v>
      </c>
      <c r="AC884">
        <v>0</v>
      </c>
      <c r="AD884">
        <v>10</v>
      </c>
      <c r="AE884">
        <v>0</v>
      </c>
      <c r="AF884">
        <v>3</v>
      </c>
      <c r="AG884">
        <v>2</v>
      </c>
      <c r="AH884">
        <v>0</v>
      </c>
      <c r="AI884" t="s">
        <v>1865</v>
      </c>
      <c r="AJ884">
        <v>39.385556999999999</v>
      </c>
      <c r="AK884" t="s">
        <v>1866</v>
      </c>
      <c r="AL884">
        <v>-76.994934000000001</v>
      </c>
      <c r="AM884">
        <v>100</v>
      </c>
      <c r="AN884">
        <v>8700</v>
      </c>
      <c r="AO884" t="s">
        <v>115</v>
      </c>
      <c r="AP884">
        <v>168</v>
      </c>
      <c r="AQ884">
        <v>89</v>
      </c>
      <c r="AR884">
        <v>0</v>
      </c>
      <c r="AZ884">
        <v>3614</v>
      </c>
      <c r="BA884">
        <v>1</v>
      </c>
      <c r="BB884" t="str">
        <f t="shared" si="41"/>
        <v xml:space="preserve">N959MJ  </v>
      </c>
      <c r="BC884">
        <v>1</v>
      </c>
      <c r="BE884">
        <v>0</v>
      </c>
      <c r="BF884">
        <v>0</v>
      </c>
      <c r="BG884">
        <v>0</v>
      </c>
      <c r="BH884">
        <v>9025</v>
      </c>
      <c r="BI884">
        <v>325</v>
      </c>
      <c r="BJ884">
        <v>1</v>
      </c>
      <c r="BK884">
        <v>1</v>
      </c>
      <c r="BL884">
        <v>1</v>
      </c>
      <c r="BM884">
        <v>0</v>
      </c>
      <c r="BP884">
        <v>0</v>
      </c>
      <c r="BQ884">
        <v>0</v>
      </c>
      <c r="BX884" t="str">
        <f>"14:05:05.883"</f>
        <v>14:05:05.883</v>
      </c>
      <c r="BY884" t="str">
        <f>"879344625"</f>
        <v>879344625</v>
      </c>
      <c r="CL884">
        <v>0</v>
      </c>
      <c r="CM884">
        <v>2</v>
      </c>
      <c r="CN884">
        <v>0</v>
      </c>
      <c r="CO884">
        <v>2</v>
      </c>
      <c r="CP884">
        <v>0</v>
      </c>
      <c r="CQ884">
        <v>5</v>
      </c>
      <c r="CR884" t="s">
        <v>116</v>
      </c>
      <c r="CS884">
        <v>525</v>
      </c>
      <c r="CT884">
        <v>0</v>
      </c>
      <c r="CU884" t="s">
        <v>140</v>
      </c>
      <c r="CV884" t="s">
        <v>141</v>
      </c>
      <c r="CY884">
        <v>6427114</v>
      </c>
      <c r="CZ884" t="s">
        <v>119</v>
      </c>
    </row>
    <row r="885" spans="1:104" x14ac:dyDescent="0.25">
      <c r="A885" t="str">
        <f>"14:05:07.000"</f>
        <v>14:05:07.000</v>
      </c>
      <c r="B885" t="s">
        <v>108</v>
      </c>
      <c r="C885" t="str">
        <f t="shared" si="40"/>
        <v>ffdfd3c0</v>
      </c>
      <c r="D885" t="s">
        <v>109</v>
      </c>
      <c r="E885">
        <v>4</v>
      </c>
      <c r="F885">
        <v>1004</v>
      </c>
      <c r="G885" t="s">
        <v>110</v>
      </c>
      <c r="J885" t="s">
        <v>111</v>
      </c>
      <c r="K885">
        <v>0</v>
      </c>
      <c r="L885">
        <v>3</v>
      </c>
      <c r="M885">
        <v>0</v>
      </c>
      <c r="N885">
        <v>2</v>
      </c>
      <c r="O885">
        <v>1</v>
      </c>
      <c r="P885">
        <v>0</v>
      </c>
      <c r="Q885">
        <v>0</v>
      </c>
      <c r="R885" t="s">
        <v>112</v>
      </c>
      <c r="S885" t="str">
        <f>"14:05:06.828"</f>
        <v>14:05:06.828</v>
      </c>
      <c r="T885" t="str">
        <f>"14:05:06.430"</f>
        <v>14:05:06.430</v>
      </c>
      <c r="U885" t="str">
        <f t="shared" si="39"/>
        <v>ad5732</v>
      </c>
      <c r="V885">
        <v>0</v>
      </c>
      <c r="W885">
        <v>0</v>
      </c>
      <c r="X885">
        <v>1</v>
      </c>
      <c r="Z885">
        <v>0</v>
      </c>
      <c r="AA885">
        <v>9</v>
      </c>
      <c r="AB885">
        <v>3</v>
      </c>
      <c r="AC885">
        <v>0</v>
      </c>
      <c r="AD885">
        <v>10</v>
      </c>
      <c r="AE885">
        <v>0</v>
      </c>
      <c r="AF885">
        <v>3</v>
      </c>
      <c r="AG885">
        <v>2</v>
      </c>
      <c r="AH885">
        <v>0</v>
      </c>
      <c r="AI885" t="s">
        <v>1867</v>
      </c>
      <c r="AJ885">
        <v>39.385986000000003</v>
      </c>
      <c r="AK885" t="s">
        <v>1868</v>
      </c>
      <c r="AL885">
        <v>-76.993947000000006</v>
      </c>
      <c r="AM885">
        <v>100</v>
      </c>
      <c r="AN885">
        <v>8700</v>
      </c>
      <c r="AO885" t="s">
        <v>115</v>
      </c>
      <c r="AP885">
        <v>168</v>
      </c>
      <c r="AQ885">
        <v>89</v>
      </c>
      <c r="AR885">
        <v>0</v>
      </c>
      <c r="AZ885">
        <v>3614</v>
      </c>
      <c r="BA885">
        <v>1</v>
      </c>
      <c r="BB885" t="str">
        <f t="shared" si="41"/>
        <v xml:space="preserve">N959MJ  </v>
      </c>
      <c r="BC885">
        <v>1</v>
      </c>
      <c r="BE885">
        <v>0</v>
      </c>
      <c r="BF885">
        <v>0</v>
      </c>
      <c r="BG885">
        <v>0</v>
      </c>
      <c r="BH885">
        <v>9025</v>
      </c>
      <c r="BI885">
        <v>325</v>
      </c>
      <c r="BJ885">
        <v>1</v>
      </c>
      <c r="BK885">
        <v>1</v>
      </c>
      <c r="BL885">
        <v>1</v>
      </c>
      <c r="BM885">
        <v>0</v>
      </c>
      <c r="BP885">
        <v>0</v>
      </c>
      <c r="BQ885">
        <v>0</v>
      </c>
      <c r="BX885" t="str">
        <f>"14:05:06.836"</f>
        <v>14:05:06.836</v>
      </c>
      <c r="BY885" t="str">
        <f>"834547759"</f>
        <v>834547759</v>
      </c>
      <c r="CL885">
        <v>0</v>
      </c>
      <c r="CM885">
        <v>2</v>
      </c>
      <c r="CN885">
        <v>0</v>
      </c>
      <c r="CO885">
        <v>2</v>
      </c>
      <c r="CP885">
        <v>0</v>
      </c>
      <c r="CQ885">
        <v>7</v>
      </c>
      <c r="CR885" t="s">
        <v>116</v>
      </c>
      <c r="CS885">
        <v>525</v>
      </c>
      <c r="CT885">
        <v>1</v>
      </c>
      <c r="CU885" t="s">
        <v>140</v>
      </c>
      <c r="CV885" t="s">
        <v>141</v>
      </c>
      <c r="CY885">
        <v>8441184</v>
      </c>
      <c r="CZ885" t="s">
        <v>119</v>
      </c>
    </row>
    <row r="886" spans="1:104" x14ac:dyDescent="0.25">
      <c r="A886" t="str">
        <f>"14:05:08.109"</f>
        <v>14:05:08.109</v>
      </c>
      <c r="B886" t="s">
        <v>108</v>
      </c>
      <c r="C886" t="str">
        <f t="shared" si="40"/>
        <v>ffdfd3c0</v>
      </c>
      <c r="D886" t="s">
        <v>109</v>
      </c>
      <c r="E886">
        <v>4</v>
      </c>
      <c r="F886">
        <v>1004</v>
      </c>
      <c r="G886" t="s">
        <v>110</v>
      </c>
      <c r="J886" t="s">
        <v>111</v>
      </c>
      <c r="K886">
        <v>0</v>
      </c>
      <c r="L886">
        <v>3</v>
      </c>
      <c r="M886">
        <v>0</v>
      </c>
      <c r="N886">
        <v>2</v>
      </c>
      <c r="O886">
        <v>1</v>
      </c>
      <c r="P886">
        <v>0</v>
      </c>
      <c r="Q886">
        <v>0</v>
      </c>
      <c r="R886" t="s">
        <v>112</v>
      </c>
      <c r="S886" t="str">
        <f>"14:05:07.945"</f>
        <v>14:05:07.945</v>
      </c>
      <c r="T886" t="str">
        <f>"14:05:07.445"</f>
        <v>14:05:07.445</v>
      </c>
      <c r="U886" t="str">
        <f t="shared" si="39"/>
        <v>ad5732</v>
      </c>
      <c r="V886">
        <v>0</v>
      </c>
      <c r="W886">
        <v>0</v>
      </c>
      <c r="X886">
        <v>1</v>
      </c>
      <c r="Z886">
        <v>0</v>
      </c>
      <c r="AA886">
        <v>9</v>
      </c>
      <c r="AB886">
        <v>3</v>
      </c>
      <c r="AC886">
        <v>0</v>
      </c>
      <c r="AD886">
        <v>10</v>
      </c>
      <c r="AE886">
        <v>0</v>
      </c>
      <c r="AF886">
        <v>3</v>
      </c>
      <c r="AG886">
        <v>2</v>
      </c>
      <c r="AH886">
        <v>0</v>
      </c>
      <c r="AI886" t="s">
        <v>1869</v>
      </c>
      <c r="AJ886">
        <v>39.386437000000001</v>
      </c>
      <c r="AK886" t="s">
        <v>1870</v>
      </c>
      <c r="AL886">
        <v>-76.992852999999997</v>
      </c>
      <c r="AM886">
        <v>100</v>
      </c>
      <c r="AN886">
        <v>8700</v>
      </c>
      <c r="AO886" t="s">
        <v>115</v>
      </c>
      <c r="AP886">
        <v>168</v>
      </c>
      <c r="AQ886">
        <v>89</v>
      </c>
      <c r="AR886">
        <v>0</v>
      </c>
      <c r="AZ886">
        <v>3614</v>
      </c>
      <c r="BA886">
        <v>1</v>
      </c>
      <c r="BB886" t="str">
        <f t="shared" si="41"/>
        <v xml:space="preserve">N959MJ  </v>
      </c>
      <c r="BC886">
        <v>1</v>
      </c>
      <c r="BE886">
        <v>0</v>
      </c>
      <c r="BF886">
        <v>0</v>
      </c>
      <c r="BG886">
        <v>0</v>
      </c>
      <c r="BH886">
        <v>9025</v>
      </c>
      <c r="BI886">
        <v>325</v>
      </c>
      <c r="BJ886">
        <v>1</v>
      </c>
      <c r="BK886">
        <v>1</v>
      </c>
      <c r="BL886">
        <v>1</v>
      </c>
      <c r="BM886">
        <v>0</v>
      </c>
      <c r="BP886">
        <v>0</v>
      </c>
      <c r="BQ886">
        <v>0</v>
      </c>
      <c r="BX886" t="str">
        <f>"14:05:07.945"</f>
        <v>14:05:07.945</v>
      </c>
      <c r="BY886" t="str">
        <f>"947045597"</f>
        <v>947045597</v>
      </c>
      <c r="CL886">
        <v>0</v>
      </c>
      <c r="CM886">
        <v>2</v>
      </c>
      <c r="CN886">
        <v>0</v>
      </c>
      <c r="CO886">
        <v>2</v>
      </c>
      <c r="CP886">
        <v>0</v>
      </c>
      <c r="CQ886">
        <v>7</v>
      </c>
      <c r="CR886" t="s">
        <v>116</v>
      </c>
      <c r="CS886">
        <v>147</v>
      </c>
      <c r="CT886">
        <v>0</v>
      </c>
      <c r="CU886" t="s">
        <v>117</v>
      </c>
      <c r="CV886" t="s">
        <v>118</v>
      </c>
      <c r="CY886">
        <v>5329242</v>
      </c>
      <c r="CZ886" t="s">
        <v>119</v>
      </c>
    </row>
    <row r="887" spans="1:104" x14ac:dyDescent="0.25">
      <c r="A887" t="str">
        <f>"14:05:09.070"</f>
        <v>14:05:09.070</v>
      </c>
      <c r="B887" t="s">
        <v>108</v>
      </c>
      <c r="C887" t="str">
        <f t="shared" si="40"/>
        <v>ffdfd3c0</v>
      </c>
      <c r="D887" t="s">
        <v>109</v>
      </c>
      <c r="E887">
        <v>4</v>
      </c>
      <c r="F887">
        <v>1004</v>
      </c>
      <c r="G887" t="s">
        <v>110</v>
      </c>
      <c r="J887" t="s">
        <v>111</v>
      </c>
      <c r="K887">
        <v>0</v>
      </c>
      <c r="L887">
        <v>3</v>
      </c>
      <c r="M887">
        <v>0</v>
      </c>
      <c r="N887">
        <v>2</v>
      </c>
      <c r="O887">
        <v>1</v>
      </c>
      <c r="P887">
        <v>0</v>
      </c>
      <c r="Q887">
        <v>0</v>
      </c>
      <c r="R887" t="s">
        <v>112</v>
      </c>
      <c r="S887" t="str">
        <f>"14:05:08.875"</f>
        <v>14:05:08.875</v>
      </c>
      <c r="T887" t="str">
        <f>"14:05:08.477"</f>
        <v>14:05:08.477</v>
      </c>
      <c r="U887" t="str">
        <f t="shared" si="39"/>
        <v>ad5732</v>
      </c>
      <c r="V887">
        <v>0</v>
      </c>
      <c r="W887">
        <v>0</v>
      </c>
      <c r="X887">
        <v>1</v>
      </c>
      <c r="Z887">
        <v>0</v>
      </c>
      <c r="AA887">
        <v>9</v>
      </c>
      <c r="AB887">
        <v>3</v>
      </c>
      <c r="AC887">
        <v>0</v>
      </c>
      <c r="AD887">
        <v>10</v>
      </c>
      <c r="AE887">
        <v>0</v>
      </c>
      <c r="AF887">
        <v>3</v>
      </c>
      <c r="AG887">
        <v>2</v>
      </c>
      <c r="AH887">
        <v>0</v>
      </c>
      <c r="AI887" t="s">
        <v>1871</v>
      </c>
      <c r="AJ887">
        <v>39.386823</v>
      </c>
      <c r="AK887" t="s">
        <v>1872</v>
      </c>
      <c r="AL887">
        <v>-76.991951</v>
      </c>
      <c r="AM887">
        <v>100</v>
      </c>
      <c r="AN887">
        <v>8700</v>
      </c>
      <c r="AO887" t="s">
        <v>115</v>
      </c>
      <c r="AP887">
        <v>168</v>
      </c>
      <c r="AQ887">
        <v>89</v>
      </c>
      <c r="AR887">
        <v>0</v>
      </c>
      <c r="AZ887">
        <v>3614</v>
      </c>
      <c r="BA887">
        <v>1</v>
      </c>
      <c r="BB887" t="str">
        <f t="shared" si="41"/>
        <v xml:space="preserve">N959MJ  </v>
      </c>
      <c r="BC887">
        <v>1</v>
      </c>
      <c r="BE887">
        <v>0</v>
      </c>
      <c r="BF887">
        <v>0</v>
      </c>
      <c r="BG887">
        <v>0</v>
      </c>
      <c r="BH887">
        <v>9025</v>
      </c>
      <c r="BI887">
        <v>325</v>
      </c>
      <c r="BJ887">
        <v>1</v>
      </c>
      <c r="BK887">
        <v>1</v>
      </c>
      <c r="BL887">
        <v>1</v>
      </c>
      <c r="BM887">
        <v>0</v>
      </c>
      <c r="BP887">
        <v>0</v>
      </c>
      <c r="BQ887">
        <v>0</v>
      </c>
      <c r="BX887" t="str">
        <f>"14:05:08.883"</f>
        <v>14:05:08.883</v>
      </c>
      <c r="BY887" t="str">
        <f>"879304872"</f>
        <v>879304872</v>
      </c>
      <c r="CL887">
        <v>0</v>
      </c>
      <c r="CM887">
        <v>2</v>
      </c>
      <c r="CN887">
        <v>0</v>
      </c>
      <c r="CO887">
        <v>2</v>
      </c>
      <c r="CP887">
        <v>0</v>
      </c>
      <c r="CQ887">
        <v>7</v>
      </c>
      <c r="CR887" t="s">
        <v>116</v>
      </c>
      <c r="CS887">
        <v>525</v>
      </c>
      <c r="CT887">
        <v>1</v>
      </c>
      <c r="CU887" t="s">
        <v>140</v>
      </c>
      <c r="CV887" t="s">
        <v>141</v>
      </c>
      <c r="CY887">
        <v>8444192</v>
      </c>
      <c r="CZ887" t="s">
        <v>119</v>
      </c>
    </row>
    <row r="888" spans="1:104" x14ac:dyDescent="0.25">
      <c r="A888" t="str">
        <f>"14:05:10.078"</f>
        <v>14:05:10.078</v>
      </c>
      <c r="B888" t="s">
        <v>108</v>
      </c>
      <c r="C888" t="str">
        <f t="shared" si="40"/>
        <v>ffdfd3c0</v>
      </c>
      <c r="D888" t="s">
        <v>109</v>
      </c>
      <c r="E888">
        <v>4</v>
      </c>
      <c r="F888">
        <v>1004</v>
      </c>
      <c r="G888" t="s">
        <v>110</v>
      </c>
      <c r="J888" t="s">
        <v>111</v>
      </c>
      <c r="K888">
        <v>0</v>
      </c>
      <c r="L888">
        <v>3</v>
      </c>
      <c r="M888">
        <v>0</v>
      </c>
      <c r="N888">
        <v>2</v>
      </c>
      <c r="O888">
        <v>1</v>
      </c>
      <c r="P888">
        <v>0</v>
      </c>
      <c r="Q888">
        <v>0</v>
      </c>
      <c r="R888" t="s">
        <v>112</v>
      </c>
      <c r="S888" t="str">
        <f>"14:05:09.922"</f>
        <v>14:05:09.922</v>
      </c>
      <c r="T888" t="str">
        <f>"14:05:09.422"</f>
        <v>14:05:09.422</v>
      </c>
      <c r="U888" t="str">
        <f t="shared" si="39"/>
        <v>ad5732</v>
      </c>
      <c r="V888">
        <v>0</v>
      </c>
      <c r="W888">
        <v>0</v>
      </c>
      <c r="X888">
        <v>1</v>
      </c>
      <c r="Z888">
        <v>0</v>
      </c>
      <c r="AA888">
        <v>9</v>
      </c>
      <c r="AB888">
        <v>3</v>
      </c>
      <c r="AC888">
        <v>0</v>
      </c>
      <c r="AD888">
        <v>10</v>
      </c>
      <c r="AE888">
        <v>0</v>
      </c>
      <c r="AF888">
        <v>3</v>
      </c>
      <c r="AG888">
        <v>2</v>
      </c>
      <c r="AH888">
        <v>0</v>
      </c>
      <c r="AI888" t="s">
        <v>1873</v>
      </c>
      <c r="AJ888">
        <v>39.387273999999998</v>
      </c>
      <c r="AK888" t="s">
        <v>1874</v>
      </c>
      <c r="AL888">
        <v>-76.990814</v>
      </c>
      <c r="AM888">
        <v>100</v>
      </c>
      <c r="AN888">
        <v>8700</v>
      </c>
      <c r="AO888" t="s">
        <v>115</v>
      </c>
      <c r="AP888">
        <v>168</v>
      </c>
      <c r="AQ888">
        <v>88</v>
      </c>
      <c r="AR888">
        <v>0</v>
      </c>
      <c r="AZ888">
        <v>3614</v>
      </c>
      <c r="BA888">
        <v>1</v>
      </c>
      <c r="BB888" t="str">
        <f t="shared" si="41"/>
        <v xml:space="preserve">N959MJ  </v>
      </c>
      <c r="BC888">
        <v>1</v>
      </c>
      <c r="BE888">
        <v>0</v>
      </c>
      <c r="BF888">
        <v>0</v>
      </c>
      <c r="BG888">
        <v>0</v>
      </c>
      <c r="BH888">
        <v>9025</v>
      </c>
      <c r="BI888">
        <v>325</v>
      </c>
      <c r="BJ888">
        <v>1</v>
      </c>
      <c r="BK888">
        <v>1</v>
      </c>
      <c r="BL888">
        <v>1</v>
      </c>
      <c r="BM888">
        <v>0</v>
      </c>
      <c r="BP888">
        <v>0</v>
      </c>
      <c r="BQ888">
        <v>0</v>
      </c>
      <c r="BX888" t="str">
        <f>"14:05:09.930"</f>
        <v>14:05:09.930</v>
      </c>
      <c r="BY888" t="str">
        <f>"929536703"</f>
        <v>929536703</v>
      </c>
      <c r="CL888">
        <v>0</v>
      </c>
      <c r="CM888">
        <v>2</v>
      </c>
      <c r="CN888">
        <v>0</v>
      </c>
      <c r="CO888">
        <v>2</v>
      </c>
      <c r="CP888">
        <v>0</v>
      </c>
      <c r="CQ888">
        <v>7</v>
      </c>
      <c r="CR888" t="s">
        <v>116</v>
      </c>
      <c r="CS888">
        <v>525</v>
      </c>
      <c r="CT888">
        <v>1</v>
      </c>
      <c r="CU888" t="s">
        <v>140</v>
      </c>
      <c r="CV888" t="s">
        <v>141</v>
      </c>
      <c r="CY888">
        <v>8445718</v>
      </c>
      <c r="CZ888" t="s">
        <v>119</v>
      </c>
    </row>
    <row r="889" spans="1:104" x14ac:dyDescent="0.25">
      <c r="A889" t="str">
        <f>"14:05:11.141"</f>
        <v>14:05:11.141</v>
      </c>
      <c r="B889" t="s">
        <v>108</v>
      </c>
      <c r="C889" t="str">
        <f t="shared" si="40"/>
        <v>ffdfd3c0</v>
      </c>
      <c r="D889" t="s">
        <v>109</v>
      </c>
      <c r="E889">
        <v>4</v>
      </c>
      <c r="F889">
        <v>1004</v>
      </c>
      <c r="G889" t="s">
        <v>110</v>
      </c>
      <c r="J889" t="s">
        <v>111</v>
      </c>
      <c r="K889">
        <v>0</v>
      </c>
      <c r="L889">
        <v>3</v>
      </c>
      <c r="M889">
        <v>0</v>
      </c>
      <c r="N889">
        <v>2</v>
      </c>
      <c r="O889">
        <v>1</v>
      </c>
      <c r="P889">
        <v>0</v>
      </c>
      <c r="Q889">
        <v>0</v>
      </c>
      <c r="R889" t="s">
        <v>112</v>
      </c>
      <c r="S889" t="str">
        <f>"14:05:10.961"</f>
        <v>14:05:10.961</v>
      </c>
      <c r="T889" t="str">
        <f>"14:05:09.961"</f>
        <v>14:05:09.961</v>
      </c>
      <c r="U889" t="str">
        <f t="shared" si="39"/>
        <v>ad5732</v>
      </c>
      <c r="V889">
        <v>0</v>
      </c>
      <c r="W889">
        <v>0</v>
      </c>
      <c r="X889">
        <v>1</v>
      </c>
      <c r="Z889">
        <v>0</v>
      </c>
      <c r="AA889">
        <v>9</v>
      </c>
      <c r="AB889">
        <v>3</v>
      </c>
      <c r="AC889">
        <v>0</v>
      </c>
      <c r="AD889">
        <v>10</v>
      </c>
      <c r="AE889">
        <v>0</v>
      </c>
      <c r="AF889">
        <v>3</v>
      </c>
      <c r="AG889">
        <v>2</v>
      </c>
      <c r="AH889">
        <v>0</v>
      </c>
      <c r="AI889" t="s">
        <v>1875</v>
      </c>
      <c r="AJ889">
        <v>39.387681000000001</v>
      </c>
      <c r="AK889" t="s">
        <v>1876</v>
      </c>
      <c r="AL889">
        <v>-76.989806000000002</v>
      </c>
      <c r="AM889">
        <v>100</v>
      </c>
      <c r="AN889">
        <v>8700</v>
      </c>
      <c r="AO889" t="s">
        <v>115</v>
      </c>
      <c r="AP889">
        <v>168</v>
      </c>
      <c r="AQ889">
        <v>88</v>
      </c>
      <c r="AR889">
        <v>0</v>
      </c>
      <c r="AZ889">
        <v>3614</v>
      </c>
      <c r="BA889">
        <v>1</v>
      </c>
      <c r="BB889" t="str">
        <f t="shared" si="41"/>
        <v xml:space="preserve">N959MJ  </v>
      </c>
      <c r="BC889">
        <v>1</v>
      </c>
      <c r="BE889">
        <v>0</v>
      </c>
      <c r="BF889">
        <v>0</v>
      </c>
      <c r="BG889">
        <v>0</v>
      </c>
      <c r="BH889">
        <v>9025</v>
      </c>
      <c r="BI889">
        <v>325</v>
      </c>
      <c r="BJ889">
        <v>1</v>
      </c>
      <c r="BK889">
        <v>1</v>
      </c>
      <c r="BL889">
        <v>1</v>
      </c>
      <c r="BM889">
        <v>0</v>
      </c>
      <c r="BP889">
        <v>0</v>
      </c>
      <c r="BQ889">
        <v>0</v>
      </c>
      <c r="BX889" t="str">
        <f>"14:05:10.969"</f>
        <v>14:05:10.969</v>
      </c>
      <c r="BY889" t="str">
        <f>"965022767"</f>
        <v>965022767</v>
      </c>
      <c r="CL889">
        <v>0</v>
      </c>
      <c r="CM889">
        <v>2</v>
      </c>
      <c r="CN889">
        <v>0</v>
      </c>
      <c r="CO889">
        <v>2</v>
      </c>
      <c r="CP889">
        <v>0</v>
      </c>
      <c r="CQ889">
        <v>7</v>
      </c>
      <c r="CR889" t="s">
        <v>116</v>
      </c>
      <c r="CS889">
        <v>525</v>
      </c>
      <c r="CT889">
        <v>1</v>
      </c>
      <c r="CU889" t="s">
        <v>140</v>
      </c>
      <c r="CV889" t="s">
        <v>141</v>
      </c>
      <c r="CY889">
        <v>8447221</v>
      </c>
      <c r="CZ889" t="s">
        <v>119</v>
      </c>
    </row>
    <row r="890" spans="1:104" x14ac:dyDescent="0.25">
      <c r="A890" t="str">
        <f>"14:05:12.047"</f>
        <v>14:05:12.047</v>
      </c>
      <c r="B890" t="s">
        <v>108</v>
      </c>
      <c r="C890" t="str">
        <f t="shared" si="40"/>
        <v>ffdfd3c0</v>
      </c>
      <c r="D890" t="s">
        <v>109</v>
      </c>
      <c r="E890">
        <v>4</v>
      </c>
      <c r="F890">
        <v>1004</v>
      </c>
      <c r="G890" t="s">
        <v>110</v>
      </c>
      <c r="J890" t="s">
        <v>111</v>
      </c>
      <c r="K890">
        <v>0</v>
      </c>
      <c r="L890">
        <v>3</v>
      </c>
      <c r="M890">
        <v>0</v>
      </c>
      <c r="N890">
        <v>2</v>
      </c>
      <c r="O890">
        <v>1</v>
      </c>
      <c r="P890">
        <v>0</v>
      </c>
      <c r="Q890">
        <v>0</v>
      </c>
      <c r="R890" t="s">
        <v>112</v>
      </c>
      <c r="S890" t="str">
        <f>"14:05:11.891"</f>
        <v>14:05:11.891</v>
      </c>
      <c r="T890" t="str">
        <f>"14:05:11.391"</f>
        <v>14:05:11.391</v>
      </c>
      <c r="U890" t="str">
        <f t="shared" si="39"/>
        <v>ad5732</v>
      </c>
      <c r="V890">
        <v>0</v>
      </c>
      <c r="W890">
        <v>0</v>
      </c>
      <c r="X890">
        <v>1</v>
      </c>
      <c r="Z890">
        <v>0</v>
      </c>
      <c r="AA890">
        <v>9</v>
      </c>
      <c r="AB890">
        <v>3</v>
      </c>
      <c r="AC890">
        <v>0</v>
      </c>
      <c r="AD890">
        <v>10</v>
      </c>
      <c r="AE890">
        <v>0</v>
      </c>
      <c r="AF890">
        <v>3</v>
      </c>
      <c r="AG890">
        <v>2</v>
      </c>
      <c r="AH890">
        <v>0</v>
      </c>
      <c r="AI890" t="s">
        <v>1877</v>
      </c>
      <c r="AJ890">
        <v>39.388089000000001</v>
      </c>
      <c r="AK890" t="s">
        <v>1878</v>
      </c>
      <c r="AL890">
        <v>-76.988839999999996</v>
      </c>
      <c r="AM890">
        <v>100</v>
      </c>
      <c r="AN890">
        <v>8700</v>
      </c>
      <c r="AO890" t="s">
        <v>115</v>
      </c>
      <c r="AP890">
        <v>168</v>
      </c>
      <c r="AQ890">
        <v>88</v>
      </c>
      <c r="AR890">
        <v>0</v>
      </c>
      <c r="AZ890">
        <v>3614</v>
      </c>
      <c r="BA890">
        <v>1</v>
      </c>
      <c r="BB890" t="str">
        <f t="shared" si="41"/>
        <v xml:space="preserve">N959MJ  </v>
      </c>
      <c r="BC890">
        <v>1</v>
      </c>
      <c r="BE890">
        <v>0</v>
      </c>
      <c r="BF890">
        <v>0</v>
      </c>
      <c r="BG890">
        <v>0</v>
      </c>
      <c r="BH890">
        <v>9025</v>
      </c>
      <c r="BI890">
        <v>325</v>
      </c>
      <c r="BJ890">
        <v>1</v>
      </c>
      <c r="BK890">
        <v>1</v>
      </c>
      <c r="BL890">
        <v>1</v>
      </c>
      <c r="BM890">
        <v>0</v>
      </c>
      <c r="BP890">
        <v>0</v>
      </c>
      <c r="BQ890">
        <v>0</v>
      </c>
      <c r="BX890" t="str">
        <f>"14:05:11.898"</f>
        <v>14:05:11.898</v>
      </c>
      <c r="BY890" t="str">
        <f>"897287852"</f>
        <v>897287852</v>
      </c>
      <c r="CL890">
        <v>0</v>
      </c>
      <c r="CM890">
        <v>2</v>
      </c>
      <c r="CN890">
        <v>0</v>
      </c>
      <c r="CO890">
        <v>2</v>
      </c>
      <c r="CP890">
        <v>0</v>
      </c>
      <c r="CQ890">
        <v>7</v>
      </c>
      <c r="CR890" t="s">
        <v>116</v>
      </c>
      <c r="CS890">
        <v>525</v>
      </c>
      <c r="CT890">
        <v>1</v>
      </c>
      <c r="CU890" t="s">
        <v>140</v>
      </c>
      <c r="CV890" t="s">
        <v>141</v>
      </c>
      <c r="CY890">
        <v>8448569</v>
      </c>
      <c r="CZ890" t="s">
        <v>119</v>
      </c>
    </row>
    <row r="891" spans="1:104" x14ac:dyDescent="0.25">
      <c r="A891" t="str">
        <f>"14:05:12.961"</f>
        <v>14:05:12.961</v>
      </c>
      <c r="B891" t="s">
        <v>108</v>
      </c>
      <c r="C891" t="str">
        <f t="shared" si="40"/>
        <v>ffdfd3c0</v>
      </c>
      <c r="D891" t="s">
        <v>109</v>
      </c>
      <c r="E891">
        <v>4</v>
      </c>
      <c r="F891">
        <v>1004</v>
      </c>
      <c r="G891" t="s">
        <v>110</v>
      </c>
      <c r="J891" t="s">
        <v>111</v>
      </c>
      <c r="K891">
        <v>0</v>
      </c>
      <c r="L891">
        <v>3</v>
      </c>
      <c r="M891">
        <v>0</v>
      </c>
      <c r="N891">
        <v>2</v>
      </c>
      <c r="O891">
        <v>1</v>
      </c>
      <c r="P891">
        <v>0</v>
      </c>
      <c r="Q891">
        <v>0</v>
      </c>
      <c r="R891" t="s">
        <v>112</v>
      </c>
      <c r="S891" t="str">
        <f>"14:05:12.773"</f>
        <v>14:05:12.773</v>
      </c>
      <c r="T891" t="str">
        <f>"14:05:12.375"</f>
        <v>14:05:12.375</v>
      </c>
      <c r="U891" t="str">
        <f t="shared" si="39"/>
        <v>ad5732</v>
      </c>
      <c r="V891">
        <v>0</v>
      </c>
      <c r="W891">
        <v>0</v>
      </c>
      <c r="X891">
        <v>1</v>
      </c>
      <c r="Z891">
        <v>0</v>
      </c>
      <c r="AA891">
        <v>9</v>
      </c>
      <c r="AB891">
        <v>3</v>
      </c>
      <c r="AC891">
        <v>0</v>
      </c>
      <c r="AD891">
        <v>10</v>
      </c>
      <c r="AE891">
        <v>0</v>
      </c>
      <c r="AF891">
        <v>3</v>
      </c>
      <c r="AG891">
        <v>2</v>
      </c>
      <c r="AH891">
        <v>0</v>
      </c>
      <c r="AI891" t="s">
        <v>1879</v>
      </c>
      <c r="AJ891">
        <v>39.388410999999998</v>
      </c>
      <c r="AK891" t="s">
        <v>1880</v>
      </c>
      <c r="AL891">
        <v>-76.988003000000006</v>
      </c>
      <c r="AM891">
        <v>100</v>
      </c>
      <c r="AN891">
        <v>8700</v>
      </c>
      <c r="AO891" t="s">
        <v>115</v>
      </c>
      <c r="AP891">
        <v>168</v>
      </c>
      <c r="AQ891">
        <v>88</v>
      </c>
      <c r="AR891">
        <v>0</v>
      </c>
      <c r="AZ891">
        <v>3614</v>
      </c>
      <c r="BA891">
        <v>1</v>
      </c>
      <c r="BB891" t="str">
        <f t="shared" si="41"/>
        <v xml:space="preserve">N959MJ  </v>
      </c>
      <c r="BC891">
        <v>1</v>
      </c>
      <c r="BE891">
        <v>0</v>
      </c>
      <c r="BF891">
        <v>0</v>
      </c>
      <c r="BG891">
        <v>0</v>
      </c>
      <c r="BH891">
        <v>9025</v>
      </c>
      <c r="BI891">
        <v>325</v>
      </c>
      <c r="BJ891">
        <v>1</v>
      </c>
      <c r="BK891">
        <v>1</v>
      </c>
      <c r="BL891">
        <v>1</v>
      </c>
      <c r="BM891">
        <v>0</v>
      </c>
      <c r="BP891">
        <v>0</v>
      </c>
      <c r="BQ891">
        <v>0</v>
      </c>
      <c r="BX891" t="str">
        <f>"14:05:12.781"</f>
        <v>14:05:12.781</v>
      </c>
      <c r="BY891" t="str">
        <f>"780405796"</f>
        <v>780405796</v>
      </c>
      <c r="CL891">
        <v>0</v>
      </c>
      <c r="CM891">
        <v>2</v>
      </c>
      <c r="CN891">
        <v>0</v>
      </c>
      <c r="CO891">
        <v>2</v>
      </c>
      <c r="CP891">
        <v>0</v>
      </c>
      <c r="CQ891">
        <v>7</v>
      </c>
      <c r="CR891" t="s">
        <v>116</v>
      </c>
      <c r="CS891">
        <v>147</v>
      </c>
      <c r="CT891">
        <v>0</v>
      </c>
      <c r="CU891" t="s">
        <v>117</v>
      </c>
      <c r="CV891" t="s">
        <v>118</v>
      </c>
      <c r="CY891">
        <v>5337214</v>
      </c>
      <c r="CZ891" t="s">
        <v>119</v>
      </c>
    </row>
    <row r="892" spans="1:104" x14ac:dyDescent="0.25">
      <c r="A892" t="str">
        <f>"14:05:14.016"</f>
        <v>14:05:14.016</v>
      </c>
      <c r="B892" t="s">
        <v>108</v>
      </c>
      <c r="C892" t="str">
        <f t="shared" si="40"/>
        <v>ffdfd3c0</v>
      </c>
      <c r="D892" t="s">
        <v>109</v>
      </c>
      <c r="E892">
        <v>4</v>
      </c>
      <c r="F892">
        <v>1004</v>
      </c>
      <c r="G892" t="s">
        <v>110</v>
      </c>
      <c r="J892" t="s">
        <v>111</v>
      </c>
      <c r="K892">
        <v>0</v>
      </c>
      <c r="L892">
        <v>3</v>
      </c>
      <c r="M892">
        <v>0</v>
      </c>
      <c r="N892">
        <v>2</v>
      </c>
      <c r="O892">
        <v>1</v>
      </c>
      <c r="P892">
        <v>0</v>
      </c>
      <c r="Q892">
        <v>0</v>
      </c>
      <c r="R892" t="s">
        <v>112</v>
      </c>
      <c r="S892" t="str">
        <f>"14:05:13.820"</f>
        <v>14:05:13.820</v>
      </c>
      <c r="T892" t="str">
        <f>"14:05:13.320"</f>
        <v>14:05:13.320</v>
      </c>
      <c r="U892" t="str">
        <f t="shared" si="39"/>
        <v>ad5732</v>
      </c>
      <c r="V892">
        <v>0</v>
      </c>
      <c r="W892">
        <v>0</v>
      </c>
      <c r="X892">
        <v>1</v>
      </c>
      <c r="Z892">
        <v>0</v>
      </c>
      <c r="AA892">
        <v>9</v>
      </c>
      <c r="AB892">
        <v>3</v>
      </c>
      <c r="AC892">
        <v>0</v>
      </c>
      <c r="AD892">
        <v>10</v>
      </c>
      <c r="AE892">
        <v>0</v>
      </c>
      <c r="AF892">
        <v>3</v>
      </c>
      <c r="AG892">
        <v>2</v>
      </c>
      <c r="AH892">
        <v>0</v>
      </c>
      <c r="AI892" t="s">
        <v>1881</v>
      </c>
      <c r="AJ892">
        <v>39.388818999999998</v>
      </c>
      <c r="AK892" t="s">
        <v>1882</v>
      </c>
      <c r="AL892">
        <v>-76.986930000000001</v>
      </c>
      <c r="AM892">
        <v>100</v>
      </c>
      <c r="AN892">
        <v>8700</v>
      </c>
      <c r="AO892" t="s">
        <v>115</v>
      </c>
      <c r="AP892">
        <v>169</v>
      </c>
      <c r="AQ892">
        <v>88</v>
      </c>
      <c r="AR892">
        <v>0</v>
      </c>
      <c r="AZ892">
        <v>3614</v>
      </c>
      <c r="BA892">
        <v>1</v>
      </c>
      <c r="BB892" t="str">
        <f t="shared" si="41"/>
        <v xml:space="preserve">N959MJ  </v>
      </c>
      <c r="BC892">
        <v>1</v>
      </c>
      <c r="BE892">
        <v>0</v>
      </c>
      <c r="BF892">
        <v>0</v>
      </c>
      <c r="BG892">
        <v>0</v>
      </c>
      <c r="BH892">
        <v>9025</v>
      </c>
      <c r="BI892">
        <v>325</v>
      </c>
      <c r="BJ892">
        <v>1</v>
      </c>
      <c r="BK892">
        <v>1</v>
      </c>
      <c r="BL892">
        <v>1</v>
      </c>
      <c r="BM892">
        <v>0</v>
      </c>
      <c r="BP892">
        <v>0</v>
      </c>
      <c r="BQ892">
        <v>0</v>
      </c>
      <c r="BX892" t="str">
        <f>"14:05:13.820"</f>
        <v>14:05:13.820</v>
      </c>
      <c r="BY892" t="str">
        <f>"822445485"</f>
        <v>822445485</v>
      </c>
      <c r="CL892">
        <v>0</v>
      </c>
      <c r="CM892">
        <v>2</v>
      </c>
      <c r="CN892">
        <v>0</v>
      </c>
      <c r="CO892">
        <v>2</v>
      </c>
      <c r="CP892">
        <v>0</v>
      </c>
      <c r="CQ892">
        <v>7</v>
      </c>
      <c r="CR892" t="s">
        <v>116</v>
      </c>
      <c r="CS892">
        <v>147</v>
      </c>
      <c r="CT892">
        <v>0</v>
      </c>
      <c r="CU892" t="s">
        <v>117</v>
      </c>
      <c r="CV892" t="s">
        <v>118</v>
      </c>
      <c r="CY892">
        <v>5338998</v>
      </c>
      <c r="CZ892" t="s">
        <v>119</v>
      </c>
    </row>
    <row r="893" spans="1:104" x14ac:dyDescent="0.25">
      <c r="A893" t="str">
        <f>"14:05:14.875"</f>
        <v>14:05:14.875</v>
      </c>
      <c r="B893" t="s">
        <v>108</v>
      </c>
      <c r="C893" t="str">
        <f t="shared" si="40"/>
        <v>ffdfd3c0</v>
      </c>
      <c r="D893" t="s">
        <v>109</v>
      </c>
      <c r="E893">
        <v>4</v>
      </c>
      <c r="F893">
        <v>1004</v>
      </c>
      <c r="G893" t="s">
        <v>110</v>
      </c>
      <c r="J893" t="s">
        <v>111</v>
      </c>
      <c r="K893">
        <v>0</v>
      </c>
      <c r="L893">
        <v>3</v>
      </c>
      <c r="M893">
        <v>0</v>
      </c>
      <c r="N893">
        <v>2</v>
      </c>
      <c r="O893">
        <v>1</v>
      </c>
      <c r="P893">
        <v>0</v>
      </c>
      <c r="Q893">
        <v>0</v>
      </c>
      <c r="R893" t="s">
        <v>112</v>
      </c>
      <c r="S893" t="str">
        <f>"14:05:14.695"</f>
        <v>14:05:14.695</v>
      </c>
      <c r="T893" t="str">
        <f>"14:05:14.297"</f>
        <v>14:05:14.297</v>
      </c>
      <c r="U893" t="str">
        <f t="shared" si="39"/>
        <v>ad5732</v>
      </c>
      <c r="V893">
        <v>0</v>
      </c>
      <c r="W893">
        <v>0</v>
      </c>
      <c r="X893">
        <v>1</v>
      </c>
      <c r="Z893">
        <v>0</v>
      </c>
      <c r="AA893">
        <v>9</v>
      </c>
      <c r="AB893">
        <v>3</v>
      </c>
      <c r="AC893">
        <v>0</v>
      </c>
      <c r="AD893">
        <v>10</v>
      </c>
      <c r="AE893">
        <v>0</v>
      </c>
      <c r="AF893">
        <v>3</v>
      </c>
      <c r="AG893">
        <v>2</v>
      </c>
      <c r="AH893">
        <v>0</v>
      </c>
      <c r="AI893" t="s">
        <v>1883</v>
      </c>
      <c r="AJ893">
        <v>39.389184</v>
      </c>
      <c r="AK893" t="s">
        <v>1884</v>
      </c>
      <c r="AL893">
        <v>-76.985985999999997</v>
      </c>
      <c r="AM893">
        <v>100</v>
      </c>
      <c r="AN893">
        <v>8700</v>
      </c>
      <c r="AO893" t="s">
        <v>115</v>
      </c>
      <c r="AP893">
        <v>169</v>
      </c>
      <c r="AQ893">
        <v>87</v>
      </c>
      <c r="AR893">
        <v>0</v>
      </c>
      <c r="AZ893">
        <v>3614</v>
      </c>
      <c r="BA893">
        <v>1</v>
      </c>
      <c r="BB893" t="str">
        <f t="shared" si="41"/>
        <v xml:space="preserve">N959MJ  </v>
      </c>
      <c r="BC893">
        <v>1</v>
      </c>
      <c r="BE893">
        <v>0</v>
      </c>
      <c r="BF893">
        <v>0</v>
      </c>
      <c r="BG893">
        <v>0</v>
      </c>
      <c r="BH893">
        <v>9025</v>
      </c>
      <c r="BI893">
        <v>325</v>
      </c>
      <c r="BJ893">
        <v>1</v>
      </c>
      <c r="BK893">
        <v>1</v>
      </c>
      <c r="BL893">
        <v>1</v>
      </c>
      <c r="BM893">
        <v>0</v>
      </c>
      <c r="BP893">
        <v>0</v>
      </c>
      <c r="BQ893">
        <v>0</v>
      </c>
      <c r="BX893" t="str">
        <f>"14:05:14.695"</f>
        <v>14:05:14.695</v>
      </c>
      <c r="BY893" t="str">
        <f>"698998357"</f>
        <v>698998357</v>
      </c>
      <c r="CL893">
        <v>0</v>
      </c>
      <c r="CM893">
        <v>2</v>
      </c>
      <c r="CN893">
        <v>0</v>
      </c>
      <c r="CO893">
        <v>2</v>
      </c>
      <c r="CP893">
        <v>0</v>
      </c>
      <c r="CQ893">
        <v>7</v>
      </c>
      <c r="CR893" t="s">
        <v>116</v>
      </c>
      <c r="CS893">
        <v>525</v>
      </c>
      <c r="CT893">
        <v>1</v>
      </c>
      <c r="CU893" t="s">
        <v>140</v>
      </c>
      <c r="CV893" t="s">
        <v>141</v>
      </c>
      <c r="CY893">
        <v>8452783</v>
      </c>
      <c r="CZ893" t="s">
        <v>119</v>
      </c>
    </row>
    <row r="894" spans="1:104" x14ac:dyDescent="0.25">
      <c r="A894" t="str">
        <f>"14:05:15.836"</f>
        <v>14:05:15.836</v>
      </c>
      <c r="B894" t="s">
        <v>108</v>
      </c>
      <c r="C894" t="str">
        <f t="shared" si="40"/>
        <v>ffdfd3c0</v>
      </c>
      <c r="D894" t="s">
        <v>109</v>
      </c>
      <c r="E894">
        <v>4</v>
      </c>
      <c r="F894">
        <v>1004</v>
      </c>
      <c r="G894" t="s">
        <v>110</v>
      </c>
      <c r="J894" t="s">
        <v>111</v>
      </c>
      <c r="K894">
        <v>0</v>
      </c>
      <c r="L894">
        <v>3</v>
      </c>
      <c r="M894">
        <v>0</v>
      </c>
      <c r="N894">
        <v>2</v>
      </c>
      <c r="O894">
        <v>1</v>
      </c>
      <c r="P894">
        <v>0</v>
      </c>
      <c r="Q894">
        <v>0</v>
      </c>
      <c r="R894" t="s">
        <v>112</v>
      </c>
      <c r="S894" t="str">
        <f>"14:05:15.648"</f>
        <v>14:05:15.648</v>
      </c>
      <c r="T894" t="str">
        <f>"14:05:15.148"</f>
        <v>14:05:15.148</v>
      </c>
      <c r="U894" t="str">
        <f t="shared" si="39"/>
        <v>ad5732</v>
      </c>
      <c r="V894">
        <v>0</v>
      </c>
      <c r="W894">
        <v>0</v>
      </c>
      <c r="X894">
        <v>1</v>
      </c>
      <c r="Z894">
        <v>0</v>
      </c>
      <c r="AA894">
        <v>9</v>
      </c>
      <c r="AB894">
        <v>3</v>
      </c>
      <c r="AC894">
        <v>0</v>
      </c>
      <c r="AD894">
        <v>10</v>
      </c>
      <c r="AE894">
        <v>0</v>
      </c>
      <c r="AF894">
        <v>3</v>
      </c>
      <c r="AG894">
        <v>2</v>
      </c>
      <c r="AH894">
        <v>0</v>
      </c>
      <c r="AI894" t="s">
        <v>1885</v>
      </c>
      <c r="AJ894">
        <v>39.389569999999999</v>
      </c>
      <c r="AK894" t="s">
        <v>1886</v>
      </c>
      <c r="AL894">
        <v>-76.985106000000002</v>
      </c>
      <c r="AM894">
        <v>100</v>
      </c>
      <c r="AN894">
        <v>8700</v>
      </c>
      <c r="AO894" t="s">
        <v>115</v>
      </c>
      <c r="AP894">
        <v>169</v>
      </c>
      <c r="AQ894">
        <v>87</v>
      </c>
      <c r="AR894">
        <v>0</v>
      </c>
      <c r="AZ894">
        <v>3614</v>
      </c>
      <c r="BA894">
        <v>1</v>
      </c>
      <c r="BB894" t="str">
        <f t="shared" si="41"/>
        <v xml:space="preserve">N959MJ  </v>
      </c>
      <c r="BC894">
        <v>1</v>
      </c>
      <c r="BE894">
        <v>0</v>
      </c>
      <c r="BF894">
        <v>0</v>
      </c>
      <c r="BG894">
        <v>0</v>
      </c>
      <c r="BH894">
        <v>9025</v>
      </c>
      <c r="BI894">
        <v>325</v>
      </c>
      <c r="BJ894">
        <v>1</v>
      </c>
      <c r="BK894">
        <v>1</v>
      </c>
      <c r="BL894">
        <v>1</v>
      </c>
      <c r="BM894">
        <v>0</v>
      </c>
      <c r="BP894">
        <v>0</v>
      </c>
      <c r="BQ894">
        <v>0</v>
      </c>
      <c r="BX894" t="str">
        <f>"14:05:15.648"</f>
        <v>14:05:15.648</v>
      </c>
      <c r="BY894" t="str">
        <f>"649291790"</f>
        <v>649291790</v>
      </c>
      <c r="CL894">
        <v>0</v>
      </c>
      <c r="CM894">
        <v>2</v>
      </c>
      <c r="CN894">
        <v>0</v>
      </c>
      <c r="CO894">
        <v>2</v>
      </c>
      <c r="CP894">
        <v>0</v>
      </c>
      <c r="CQ894">
        <v>7</v>
      </c>
      <c r="CR894" t="s">
        <v>116</v>
      </c>
      <c r="CS894">
        <v>147</v>
      </c>
      <c r="CT894">
        <v>0</v>
      </c>
      <c r="CU894" t="s">
        <v>117</v>
      </c>
      <c r="CV894" t="s">
        <v>118</v>
      </c>
      <c r="CY894">
        <v>5341889</v>
      </c>
      <c r="CZ894" t="s">
        <v>119</v>
      </c>
    </row>
    <row r="895" spans="1:104" x14ac:dyDescent="0.25">
      <c r="A895" t="str">
        <f>"14:05:16.695"</f>
        <v>14:05:16.695</v>
      </c>
      <c r="B895" t="s">
        <v>108</v>
      </c>
      <c r="C895" t="str">
        <f t="shared" si="40"/>
        <v>ffdfd3c0</v>
      </c>
      <c r="D895" t="s">
        <v>109</v>
      </c>
      <c r="E895">
        <v>4</v>
      </c>
      <c r="F895">
        <v>1004</v>
      </c>
      <c r="G895" t="s">
        <v>110</v>
      </c>
      <c r="J895" t="s">
        <v>111</v>
      </c>
      <c r="K895">
        <v>0</v>
      </c>
      <c r="L895">
        <v>3</v>
      </c>
      <c r="M895">
        <v>0</v>
      </c>
      <c r="N895">
        <v>2</v>
      </c>
      <c r="O895">
        <v>1</v>
      </c>
      <c r="P895">
        <v>0</v>
      </c>
      <c r="Q895">
        <v>0</v>
      </c>
      <c r="R895" t="s">
        <v>112</v>
      </c>
      <c r="S895" t="str">
        <f>"14:05:16.523"</f>
        <v>14:05:16.523</v>
      </c>
      <c r="T895" t="str">
        <f>"14:05:16.125"</f>
        <v>14:05:16.125</v>
      </c>
      <c r="U895" t="str">
        <f t="shared" si="39"/>
        <v>ad5732</v>
      </c>
      <c r="V895">
        <v>0</v>
      </c>
      <c r="W895">
        <v>0</v>
      </c>
      <c r="X895">
        <v>1</v>
      </c>
      <c r="Z895">
        <v>0</v>
      </c>
      <c r="AA895">
        <v>9</v>
      </c>
      <c r="AB895">
        <v>3</v>
      </c>
      <c r="AC895">
        <v>0</v>
      </c>
      <c r="AD895">
        <v>10</v>
      </c>
      <c r="AE895">
        <v>0</v>
      </c>
      <c r="AF895">
        <v>3</v>
      </c>
      <c r="AG895">
        <v>2</v>
      </c>
      <c r="AH895">
        <v>0</v>
      </c>
      <c r="AI895" t="s">
        <v>1887</v>
      </c>
      <c r="AJ895">
        <v>39.389913</v>
      </c>
      <c r="AK895" t="s">
        <v>1888</v>
      </c>
      <c r="AL895">
        <v>-76.984183999999999</v>
      </c>
      <c r="AM895">
        <v>100</v>
      </c>
      <c r="AN895">
        <v>8700</v>
      </c>
      <c r="AO895" t="s">
        <v>115</v>
      </c>
      <c r="AP895">
        <v>169</v>
      </c>
      <c r="AQ895">
        <v>87</v>
      </c>
      <c r="AR895">
        <v>0</v>
      </c>
      <c r="AZ895">
        <v>3614</v>
      </c>
      <c r="BA895">
        <v>1</v>
      </c>
      <c r="BB895" t="str">
        <f t="shared" si="41"/>
        <v xml:space="preserve">N959MJ  </v>
      </c>
      <c r="BC895">
        <v>1</v>
      </c>
      <c r="BE895">
        <v>0</v>
      </c>
      <c r="BF895">
        <v>0</v>
      </c>
      <c r="BG895">
        <v>0</v>
      </c>
      <c r="BH895">
        <v>9025</v>
      </c>
      <c r="BI895">
        <v>325</v>
      </c>
      <c r="BJ895">
        <v>1</v>
      </c>
      <c r="BK895">
        <v>1</v>
      </c>
      <c r="BL895">
        <v>1</v>
      </c>
      <c r="BM895">
        <v>0</v>
      </c>
      <c r="BP895">
        <v>0</v>
      </c>
      <c r="BQ895">
        <v>0</v>
      </c>
      <c r="BX895" t="str">
        <f>"14:05:16.531"</f>
        <v>14:05:16.531</v>
      </c>
      <c r="BY895" t="str">
        <f>"529127209"</f>
        <v>529127209</v>
      </c>
      <c r="CL895">
        <v>0</v>
      </c>
      <c r="CM895">
        <v>2</v>
      </c>
      <c r="CN895">
        <v>0</v>
      </c>
      <c r="CO895">
        <v>2</v>
      </c>
      <c r="CP895">
        <v>0</v>
      </c>
      <c r="CQ895">
        <v>6</v>
      </c>
      <c r="CR895" t="s">
        <v>116</v>
      </c>
      <c r="CS895">
        <v>147</v>
      </c>
      <c r="CT895">
        <v>0</v>
      </c>
      <c r="CU895" t="s">
        <v>117</v>
      </c>
      <c r="CV895" t="s">
        <v>118</v>
      </c>
      <c r="CY895">
        <v>5343346</v>
      </c>
      <c r="CZ895" t="s">
        <v>119</v>
      </c>
    </row>
    <row r="896" spans="1:104" x14ac:dyDescent="0.25">
      <c r="A896" t="str">
        <f>"14:05:17.750"</f>
        <v>14:05:17.750</v>
      </c>
      <c r="B896" t="s">
        <v>108</v>
      </c>
      <c r="C896" t="str">
        <f t="shared" si="40"/>
        <v>ffdfd3c0</v>
      </c>
      <c r="D896" t="s">
        <v>109</v>
      </c>
      <c r="E896">
        <v>4</v>
      </c>
      <c r="F896">
        <v>1004</v>
      </c>
      <c r="G896" t="s">
        <v>110</v>
      </c>
      <c r="J896" t="s">
        <v>111</v>
      </c>
      <c r="K896">
        <v>0</v>
      </c>
      <c r="L896">
        <v>3</v>
      </c>
      <c r="M896">
        <v>0</v>
      </c>
      <c r="N896">
        <v>2</v>
      </c>
      <c r="O896">
        <v>1</v>
      </c>
      <c r="P896">
        <v>0</v>
      </c>
      <c r="Q896">
        <v>0</v>
      </c>
      <c r="R896" t="s">
        <v>112</v>
      </c>
      <c r="S896" t="str">
        <f>"14:05:17.578"</f>
        <v>14:05:17.578</v>
      </c>
      <c r="T896" t="str">
        <f>"14:05:17.180"</f>
        <v>14:05:17.180</v>
      </c>
      <c r="U896" t="str">
        <f t="shared" si="39"/>
        <v>ad5732</v>
      </c>
      <c r="V896">
        <v>0</v>
      </c>
      <c r="W896">
        <v>0</v>
      </c>
      <c r="X896">
        <v>1</v>
      </c>
      <c r="Z896">
        <v>0</v>
      </c>
      <c r="AA896">
        <v>9</v>
      </c>
      <c r="AB896">
        <v>3</v>
      </c>
      <c r="AC896">
        <v>0</v>
      </c>
      <c r="AD896">
        <v>10</v>
      </c>
      <c r="AE896">
        <v>0</v>
      </c>
      <c r="AF896">
        <v>3</v>
      </c>
      <c r="AG896">
        <v>2</v>
      </c>
      <c r="AH896">
        <v>0</v>
      </c>
      <c r="AI896" t="s">
        <v>1889</v>
      </c>
      <c r="AJ896">
        <v>39.390341999999997</v>
      </c>
      <c r="AK896" t="s">
        <v>1890</v>
      </c>
      <c r="AL896">
        <v>-76.983175000000003</v>
      </c>
      <c r="AM896">
        <v>100</v>
      </c>
      <c r="AN896">
        <v>8700</v>
      </c>
      <c r="AO896" t="s">
        <v>115</v>
      </c>
      <c r="AP896">
        <v>169</v>
      </c>
      <c r="AQ896">
        <v>86</v>
      </c>
      <c r="AR896">
        <v>0</v>
      </c>
      <c r="AZ896">
        <v>3614</v>
      </c>
      <c r="BA896">
        <v>1</v>
      </c>
      <c r="BB896" t="str">
        <f t="shared" si="41"/>
        <v xml:space="preserve">N959MJ  </v>
      </c>
      <c r="BC896">
        <v>1</v>
      </c>
      <c r="BE896">
        <v>0</v>
      </c>
      <c r="BF896">
        <v>0</v>
      </c>
      <c r="BG896">
        <v>0</v>
      </c>
      <c r="BH896">
        <v>9025</v>
      </c>
      <c r="BI896">
        <v>325</v>
      </c>
      <c r="BJ896">
        <v>1</v>
      </c>
      <c r="BK896">
        <v>1</v>
      </c>
      <c r="BL896">
        <v>1</v>
      </c>
      <c r="BM896">
        <v>0</v>
      </c>
      <c r="BP896">
        <v>0</v>
      </c>
      <c r="BQ896">
        <v>0</v>
      </c>
      <c r="BX896" t="str">
        <f>"14:05:17.578"</f>
        <v>14:05:17.578</v>
      </c>
      <c r="BY896" t="str">
        <f>"579353435"</f>
        <v>579353435</v>
      </c>
      <c r="CL896">
        <v>0</v>
      </c>
      <c r="CM896">
        <v>2</v>
      </c>
      <c r="CN896">
        <v>0</v>
      </c>
      <c r="CO896">
        <v>2</v>
      </c>
      <c r="CP896">
        <v>0</v>
      </c>
      <c r="CQ896">
        <v>7</v>
      </c>
      <c r="CR896" t="s">
        <v>116</v>
      </c>
      <c r="CS896">
        <v>525</v>
      </c>
      <c r="CT896">
        <v>1</v>
      </c>
      <c r="CU896" t="s">
        <v>140</v>
      </c>
      <c r="CV896" t="s">
        <v>141</v>
      </c>
      <c r="CY896">
        <v>8456898</v>
      </c>
      <c r="CZ896" t="s">
        <v>119</v>
      </c>
    </row>
    <row r="897" spans="1:104" x14ac:dyDescent="0.25">
      <c r="A897" t="str">
        <f>"14:05:18.813"</f>
        <v>14:05:18.813</v>
      </c>
      <c r="B897" t="s">
        <v>108</v>
      </c>
      <c r="C897" t="str">
        <f t="shared" si="40"/>
        <v>ffdfd3c0</v>
      </c>
      <c r="D897" t="s">
        <v>109</v>
      </c>
      <c r="E897">
        <v>4</v>
      </c>
      <c r="F897">
        <v>1004</v>
      </c>
      <c r="G897" t="s">
        <v>110</v>
      </c>
      <c r="J897" t="s">
        <v>111</v>
      </c>
      <c r="K897">
        <v>0</v>
      </c>
      <c r="L897">
        <v>3</v>
      </c>
      <c r="M897">
        <v>0</v>
      </c>
      <c r="N897">
        <v>2</v>
      </c>
      <c r="O897">
        <v>1</v>
      </c>
      <c r="P897">
        <v>0</v>
      </c>
      <c r="Q897">
        <v>0</v>
      </c>
      <c r="R897" t="s">
        <v>112</v>
      </c>
      <c r="S897" t="str">
        <f>"14:05:18.648"</f>
        <v>14:05:18.648</v>
      </c>
      <c r="T897" t="str">
        <f>"14:05:18.148"</f>
        <v>14:05:18.148</v>
      </c>
      <c r="U897" t="str">
        <f t="shared" si="39"/>
        <v>ad5732</v>
      </c>
      <c r="V897">
        <v>0</v>
      </c>
      <c r="W897">
        <v>0</v>
      </c>
      <c r="X897">
        <v>1</v>
      </c>
      <c r="Z897">
        <v>0</v>
      </c>
      <c r="AA897">
        <v>9</v>
      </c>
      <c r="AB897">
        <v>3</v>
      </c>
      <c r="AC897">
        <v>0</v>
      </c>
      <c r="AD897">
        <v>10</v>
      </c>
      <c r="AE897">
        <v>0</v>
      </c>
      <c r="AF897">
        <v>3</v>
      </c>
      <c r="AG897">
        <v>2</v>
      </c>
      <c r="AH897">
        <v>0</v>
      </c>
      <c r="AI897" t="s">
        <v>1891</v>
      </c>
      <c r="AJ897">
        <v>39.390771000000001</v>
      </c>
      <c r="AK897" t="s">
        <v>1892</v>
      </c>
      <c r="AL897">
        <v>-76.982059000000007</v>
      </c>
      <c r="AM897">
        <v>100</v>
      </c>
      <c r="AN897">
        <v>8700</v>
      </c>
      <c r="AO897" t="s">
        <v>115</v>
      </c>
      <c r="AP897">
        <v>169</v>
      </c>
      <c r="AQ897">
        <v>86</v>
      </c>
      <c r="AR897">
        <v>0</v>
      </c>
      <c r="AZ897">
        <v>3614</v>
      </c>
      <c r="BA897">
        <v>1</v>
      </c>
      <c r="BB897" t="str">
        <f t="shared" si="41"/>
        <v xml:space="preserve">N959MJ  </v>
      </c>
      <c r="BC897">
        <v>1</v>
      </c>
      <c r="BE897">
        <v>0</v>
      </c>
      <c r="BF897">
        <v>0</v>
      </c>
      <c r="BG897">
        <v>0</v>
      </c>
      <c r="BH897">
        <v>9025</v>
      </c>
      <c r="BI897">
        <v>325</v>
      </c>
      <c r="BJ897">
        <v>1</v>
      </c>
      <c r="BK897">
        <v>1</v>
      </c>
      <c r="BL897">
        <v>1</v>
      </c>
      <c r="BM897">
        <v>0</v>
      </c>
      <c r="BP897">
        <v>0</v>
      </c>
      <c r="BQ897">
        <v>0</v>
      </c>
      <c r="BX897" t="str">
        <f>"14:05:18.656"</f>
        <v>14:05:18.656</v>
      </c>
      <c r="BY897" t="str">
        <f>"655800169"</f>
        <v>655800169</v>
      </c>
      <c r="CL897">
        <v>0</v>
      </c>
      <c r="CM897">
        <v>2</v>
      </c>
      <c r="CN897">
        <v>0</v>
      </c>
      <c r="CO897">
        <v>2</v>
      </c>
      <c r="CP897">
        <v>0</v>
      </c>
      <c r="CQ897">
        <v>7</v>
      </c>
      <c r="CR897" t="s">
        <v>116</v>
      </c>
      <c r="CS897">
        <v>525</v>
      </c>
      <c r="CT897">
        <v>1</v>
      </c>
      <c r="CU897" t="s">
        <v>140</v>
      </c>
      <c r="CV897" t="s">
        <v>141</v>
      </c>
      <c r="CY897">
        <v>8458509</v>
      </c>
      <c r="CZ897" t="s">
        <v>119</v>
      </c>
    </row>
    <row r="898" spans="1:104" x14ac:dyDescent="0.25">
      <c r="A898" t="str">
        <f>"14:05:19.922"</f>
        <v>14:05:19.922</v>
      </c>
      <c r="B898" t="s">
        <v>108</v>
      </c>
      <c r="C898" t="str">
        <f t="shared" si="40"/>
        <v>ffdfd3c0</v>
      </c>
      <c r="D898" t="s">
        <v>109</v>
      </c>
      <c r="E898">
        <v>4</v>
      </c>
      <c r="F898">
        <v>1004</v>
      </c>
      <c r="G898" t="s">
        <v>110</v>
      </c>
      <c r="J898" t="s">
        <v>111</v>
      </c>
      <c r="K898">
        <v>0</v>
      </c>
      <c r="L898">
        <v>3</v>
      </c>
      <c r="M898">
        <v>0</v>
      </c>
      <c r="N898">
        <v>2</v>
      </c>
      <c r="O898">
        <v>1</v>
      </c>
      <c r="P898">
        <v>0</v>
      </c>
      <c r="Q898">
        <v>0</v>
      </c>
      <c r="R898" t="s">
        <v>112</v>
      </c>
      <c r="S898" t="str">
        <f>"14:05:19.711"</f>
        <v>14:05:19.711</v>
      </c>
      <c r="T898" t="str">
        <f>"14:05:19.211"</f>
        <v>14:05:19.211</v>
      </c>
      <c r="U898" t="str">
        <f t="shared" ref="U898:U961" si="42">"ad5732"</f>
        <v>ad5732</v>
      </c>
      <c r="V898">
        <v>0</v>
      </c>
      <c r="W898">
        <v>0</v>
      </c>
      <c r="X898">
        <v>1</v>
      </c>
      <c r="Z898">
        <v>0</v>
      </c>
      <c r="AA898">
        <v>9</v>
      </c>
      <c r="AB898">
        <v>3</v>
      </c>
      <c r="AC898">
        <v>0</v>
      </c>
      <c r="AD898">
        <v>10</v>
      </c>
      <c r="AE898">
        <v>0</v>
      </c>
      <c r="AF898">
        <v>3</v>
      </c>
      <c r="AG898">
        <v>2</v>
      </c>
      <c r="AH898">
        <v>0</v>
      </c>
      <c r="AI898" t="s">
        <v>1893</v>
      </c>
      <c r="AJ898">
        <v>39.391201000000002</v>
      </c>
      <c r="AK898" t="s">
        <v>1894</v>
      </c>
      <c r="AL898">
        <v>-76.980964999999998</v>
      </c>
      <c r="AM898">
        <v>100</v>
      </c>
      <c r="AN898">
        <v>8700</v>
      </c>
      <c r="AO898" t="s">
        <v>115</v>
      </c>
      <c r="AP898">
        <v>170</v>
      </c>
      <c r="AQ898">
        <v>85</v>
      </c>
      <c r="AR898">
        <v>0</v>
      </c>
      <c r="AZ898">
        <v>3614</v>
      </c>
      <c r="BA898">
        <v>1</v>
      </c>
      <c r="BB898" t="str">
        <f t="shared" si="41"/>
        <v xml:space="preserve">N959MJ  </v>
      </c>
      <c r="BC898">
        <v>1</v>
      </c>
      <c r="BE898">
        <v>0</v>
      </c>
      <c r="BF898">
        <v>0</v>
      </c>
      <c r="BG898">
        <v>0</v>
      </c>
      <c r="BH898">
        <v>9025</v>
      </c>
      <c r="BI898">
        <v>325</v>
      </c>
      <c r="BJ898">
        <v>1</v>
      </c>
      <c r="BK898">
        <v>1</v>
      </c>
      <c r="BL898">
        <v>1</v>
      </c>
      <c r="BM898">
        <v>0</v>
      </c>
      <c r="BP898">
        <v>0</v>
      </c>
      <c r="BQ898">
        <v>0</v>
      </c>
      <c r="BX898" t="str">
        <f>"14:05:19.719"</f>
        <v>14:05:19.719</v>
      </c>
      <c r="BY898" t="str">
        <f>"715862590"</f>
        <v>715862590</v>
      </c>
      <c r="CL898">
        <v>0</v>
      </c>
      <c r="CM898">
        <v>2</v>
      </c>
      <c r="CN898">
        <v>0</v>
      </c>
      <c r="CO898">
        <v>2</v>
      </c>
      <c r="CP898">
        <v>0</v>
      </c>
      <c r="CQ898">
        <v>7</v>
      </c>
      <c r="CR898" t="s">
        <v>116</v>
      </c>
      <c r="CS898">
        <v>525</v>
      </c>
      <c r="CT898">
        <v>1</v>
      </c>
      <c r="CU898" t="s">
        <v>140</v>
      </c>
      <c r="CV898" t="s">
        <v>141</v>
      </c>
      <c r="CY898">
        <v>8460065</v>
      </c>
      <c r="CZ898" t="s">
        <v>119</v>
      </c>
    </row>
    <row r="899" spans="1:104" x14ac:dyDescent="0.25">
      <c r="A899" t="str">
        <f>"14:05:20.938"</f>
        <v>14:05:20.938</v>
      </c>
      <c r="B899" t="s">
        <v>108</v>
      </c>
      <c r="C899" t="str">
        <f t="shared" si="40"/>
        <v>ffdfd3c0</v>
      </c>
      <c r="D899" t="s">
        <v>109</v>
      </c>
      <c r="E899">
        <v>4</v>
      </c>
      <c r="F899">
        <v>1004</v>
      </c>
      <c r="G899" t="s">
        <v>110</v>
      </c>
      <c r="J899" t="s">
        <v>111</v>
      </c>
      <c r="K899">
        <v>0</v>
      </c>
      <c r="L899">
        <v>3</v>
      </c>
      <c r="M899">
        <v>0</v>
      </c>
      <c r="N899">
        <v>2</v>
      </c>
      <c r="O899">
        <v>1</v>
      </c>
      <c r="P899">
        <v>0</v>
      </c>
      <c r="Q899">
        <v>0</v>
      </c>
      <c r="R899" t="s">
        <v>112</v>
      </c>
      <c r="S899" t="str">
        <f>"14:05:20.773"</f>
        <v>14:05:20.773</v>
      </c>
      <c r="T899" t="str">
        <f>"14:05:20.273"</f>
        <v>14:05:20.273</v>
      </c>
      <c r="U899" t="str">
        <f t="shared" si="42"/>
        <v>ad5732</v>
      </c>
      <c r="V899">
        <v>0</v>
      </c>
      <c r="W899">
        <v>0</v>
      </c>
      <c r="X899">
        <v>1</v>
      </c>
      <c r="Z899">
        <v>0</v>
      </c>
      <c r="AA899">
        <v>9</v>
      </c>
      <c r="AB899">
        <v>3</v>
      </c>
      <c r="AC899">
        <v>0</v>
      </c>
      <c r="AD899">
        <v>10</v>
      </c>
      <c r="AE899">
        <v>0</v>
      </c>
      <c r="AF899">
        <v>3</v>
      </c>
      <c r="AG899">
        <v>2</v>
      </c>
      <c r="AH899">
        <v>0</v>
      </c>
      <c r="AI899" t="s">
        <v>1895</v>
      </c>
      <c r="AJ899">
        <v>39.391565</v>
      </c>
      <c r="AK899" t="s">
        <v>1896</v>
      </c>
      <c r="AL899">
        <v>-76.979956999999999</v>
      </c>
      <c r="AM899">
        <v>100</v>
      </c>
      <c r="AN899">
        <v>8700</v>
      </c>
      <c r="AO899" t="s">
        <v>115</v>
      </c>
      <c r="AP899">
        <v>170</v>
      </c>
      <c r="AQ899">
        <v>85</v>
      </c>
      <c r="AR899">
        <v>-64</v>
      </c>
      <c r="AZ899">
        <v>3614</v>
      </c>
      <c r="BA899">
        <v>1</v>
      </c>
      <c r="BB899" t="str">
        <f t="shared" si="41"/>
        <v xml:space="preserve">N959MJ  </v>
      </c>
      <c r="BC899">
        <v>1</v>
      </c>
      <c r="BE899">
        <v>0</v>
      </c>
      <c r="BF899">
        <v>0</v>
      </c>
      <c r="BG899">
        <v>0</v>
      </c>
      <c r="BH899">
        <v>9025</v>
      </c>
      <c r="BI899">
        <v>325</v>
      </c>
      <c r="BJ899">
        <v>1</v>
      </c>
      <c r="BK899">
        <v>1</v>
      </c>
      <c r="BL899">
        <v>1</v>
      </c>
      <c r="BM899">
        <v>0</v>
      </c>
      <c r="BP899">
        <v>0</v>
      </c>
      <c r="BQ899">
        <v>0</v>
      </c>
      <c r="BX899" t="str">
        <f>"14:05:20.773"</f>
        <v>14:05:20.773</v>
      </c>
      <c r="BY899" t="str">
        <f>"774292067"</f>
        <v>774292067</v>
      </c>
      <c r="CL899">
        <v>0</v>
      </c>
      <c r="CM899">
        <v>2</v>
      </c>
      <c r="CN899">
        <v>0</v>
      </c>
      <c r="CO899">
        <v>2</v>
      </c>
      <c r="CP899">
        <v>0</v>
      </c>
      <c r="CQ899">
        <v>7</v>
      </c>
      <c r="CR899" t="s">
        <v>116</v>
      </c>
      <c r="CS899">
        <v>147</v>
      </c>
      <c r="CT899">
        <v>0</v>
      </c>
      <c r="CU899" t="s">
        <v>117</v>
      </c>
      <c r="CV899" t="s">
        <v>118</v>
      </c>
      <c r="CY899">
        <v>5350366</v>
      </c>
      <c r="CZ899" t="s">
        <v>119</v>
      </c>
    </row>
    <row r="900" spans="1:104" x14ac:dyDescent="0.25">
      <c r="A900" t="str">
        <f>"14:05:21.945"</f>
        <v>14:05:21.945</v>
      </c>
      <c r="B900" t="s">
        <v>108</v>
      </c>
      <c r="C900" t="str">
        <f t="shared" si="40"/>
        <v>ffdfd3c0</v>
      </c>
      <c r="D900" t="s">
        <v>109</v>
      </c>
      <c r="E900">
        <v>4</v>
      </c>
      <c r="F900">
        <v>1004</v>
      </c>
      <c r="G900" t="s">
        <v>110</v>
      </c>
      <c r="J900" t="s">
        <v>111</v>
      </c>
      <c r="K900">
        <v>0</v>
      </c>
      <c r="L900">
        <v>3</v>
      </c>
      <c r="M900">
        <v>0</v>
      </c>
      <c r="N900">
        <v>2</v>
      </c>
      <c r="O900">
        <v>1</v>
      </c>
      <c r="P900">
        <v>0</v>
      </c>
      <c r="Q900">
        <v>0</v>
      </c>
      <c r="R900" t="s">
        <v>112</v>
      </c>
      <c r="S900" t="str">
        <f>"14:05:21.789"</f>
        <v>14:05:21.789</v>
      </c>
      <c r="T900" t="str">
        <f>"14:05:21.391"</f>
        <v>14:05:21.391</v>
      </c>
      <c r="U900" t="str">
        <f t="shared" si="42"/>
        <v>ad5732</v>
      </c>
      <c r="V900">
        <v>0</v>
      </c>
      <c r="W900">
        <v>0</v>
      </c>
      <c r="X900">
        <v>1</v>
      </c>
      <c r="Z900">
        <v>0</v>
      </c>
      <c r="AA900">
        <v>9</v>
      </c>
      <c r="AB900">
        <v>3</v>
      </c>
      <c r="AC900">
        <v>0</v>
      </c>
      <c r="AD900">
        <v>10</v>
      </c>
      <c r="AE900">
        <v>0</v>
      </c>
      <c r="AF900">
        <v>3</v>
      </c>
      <c r="AG900">
        <v>2</v>
      </c>
      <c r="AH900">
        <v>0</v>
      </c>
      <c r="AI900" t="s">
        <v>1897</v>
      </c>
      <c r="AJ900">
        <v>39.392037000000002</v>
      </c>
      <c r="AK900" t="s">
        <v>1898</v>
      </c>
      <c r="AL900">
        <v>-76.978819000000001</v>
      </c>
      <c r="AM900">
        <v>100</v>
      </c>
      <c r="AN900">
        <v>8700</v>
      </c>
      <c r="AO900" t="s">
        <v>115</v>
      </c>
      <c r="AP900">
        <v>170</v>
      </c>
      <c r="AQ900">
        <v>85</v>
      </c>
      <c r="AR900">
        <v>-64</v>
      </c>
      <c r="AZ900">
        <v>3614</v>
      </c>
      <c r="BA900">
        <v>1</v>
      </c>
      <c r="BB900" t="str">
        <f t="shared" si="41"/>
        <v xml:space="preserve">N959MJ  </v>
      </c>
      <c r="BC900">
        <v>1</v>
      </c>
      <c r="BE900">
        <v>0</v>
      </c>
      <c r="BF900">
        <v>0</v>
      </c>
      <c r="BG900">
        <v>0</v>
      </c>
      <c r="BH900">
        <v>9025</v>
      </c>
      <c r="BI900">
        <v>325</v>
      </c>
      <c r="BJ900">
        <v>1</v>
      </c>
      <c r="BK900">
        <v>1</v>
      </c>
      <c r="BL900">
        <v>1</v>
      </c>
      <c r="BM900">
        <v>0</v>
      </c>
      <c r="BP900">
        <v>0</v>
      </c>
      <c r="BQ900">
        <v>0</v>
      </c>
      <c r="BX900" t="str">
        <f>"14:05:21.797"</f>
        <v>14:05:21.797</v>
      </c>
      <c r="BY900" t="str">
        <f>"795032256"</f>
        <v>795032256</v>
      </c>
      <c r="CL900">
        <v>0</v>
      </c>
      <c r="CM900">
        <v>2</v>
      </c>
      <c r="CN900">
        <v>0</v>
      </c>
      <c r="CO900">
        <v>2</v>
      </c>
      <c r="CP900">
        <v>0</v>
      </c>
      <c r="CQ900">
        <v>7</v>
      </c>
      <c r="CR900" t="s">
        <v>116</v>
      </c>
      <c r="CS900">
        <v>147</v>
      </c>
      <c r="CT900">
        <v>0</v>
      </c>
      <c r="CU900" t="s">
        <v>117</v>
      </c>
      <c r="CV900" t="s">
        <v>118</v>
      </c>
      <c r="CY900">
        <v>5352050</v>
      </c>
      <c r="CZ900" t="s">
        <v>119</v>
      </c>
    </row>
    <row r="901" spans="1:104" x14ac:dyDescent="0.25">
      <c r="A901" t="str">
        <f>"14:05:23.000"</f>
        <v>14:05:23.000</v>
      </c>
      <c r="B901" t="s">
        <v>108</v>
      </c>
      <c r="C901" t="str">
        <f t="shared" si="40"/>
        <v>ffdfd3c0</v>
      </c>
      <c r="D901" t="s">
        <v>109</v>
      </c>
      <c r="E901">
        <v>4</v>
      </c>
      <c r="F901">
        <v>1004</v>
      </c>
      <c r="G901" t="s">
        <v>110</v>
      </c>
      <c r="J901" t="s">
        <v>111</v>
      </c>
      <c r="K901">
        <v>0</v>
      </c>
      <c r="L901">
        <v>3</v>
      </c>
      <c r="M901">
        <v>0</v>
      </c>
      <c r="N901">
        <v>2</v>
      </c>
      <c r="O901">
        <v>1</v>
      </c>
      <c r="P901">
        <v>0</v>
      </c>
      <c r="Q901">
        <v>0</v>
      </c>
      <c r="R901" t="s">
        <v>112</v>
      </c>
      <c r="S901" t="str">
        <f>"14:05:22.805"</f>
        <v>14:05:22.805</v>
      </c>
      <c r="T901" t="str">
        <f>"14:05:22.406"</f>
        <v>14:05:22.406</v>
      </c>
      <c r="U901" t="str">
        <f t="shared" si="42"/>
        <v>ad5732</v>
      </c>
      <c r="V901">
        <v>0</v>
      </c>
      <c r="W901">
        <v>0</v>
      </c>
      <c r="X901">
        <v>1</v>
      </c>
      <c r="Z901">
        <v>0</v>
      </c>
      <c r="AA901">
        <v>9</v>
      </c>
      <c r="AB901">
        <v>3</v>
      </c>
      <c r="AC901">
        <v>0</v>
      </c>
      <c r="AD901">
        <v>10</v>
      </c>
      <c r="AE901">
        <v>0</v>
      </c>
      <c r="AF901">
        <v>3</v>
      </c>
      <c r="AG901">
        <v>2</v>
      </c>
      <c r="AH901">
        <v>0</v>
      </c>
      <c r="AI901" t="s">
        <v>1899</v>
      </c>
      <c r="AJ901">
        <v>39.392401999999997</v>
      </c>
      <c r="AK901" t="s">
        <v>1900</v>
      </c>
      <c r="AL901">
        <v>-76.977789000000001</v>
      </c>
      <c r="AM901">
        <v>100</v>
      </c>
      <c r="AN901">
        <v>8700</v>
      </c>
      <c r="AO901" t="s">
        <v>115</v>
      </c>
      <c r="AP901">
        <v>170</v>
      </c>
      <c r="AQ901">
        <v>84</v>
      </c>
      <c r="AR901">
        <v>-64</v>
      </c>
      <c r="AZ901">
        <v>3614</v>
      </c>
      <c r="BA901">
        <v>1</v>
      </c>
      <c r="BB901" t="str">
        <f t="shared" si="41"/>
        <v xml:space="preserve">N959MJ  </v>
      </c>
      <c r="BC901">
        <v>1</v>
      </c>
      <c r="BE901">
        <v>0</v>
      </c>
      <c r="BF901">
        <v>0</v>
      </c>
      <c r="BG901">
        <v>0</v>
      </c>
      <c r="BH901">
        <v>9025</v>
      </c>
      <c r="BI901">
        <v>325</v>
      </c>
      <c r="BJ901">
        <v>1</v>
      </c>
      <c r="BK901">
        <v>1</v>
      </c>
      <c r="BL901">
        <v>1</v>
      </c>
      <c r="BM901">
        <v>0</v>
      </c>
      <c r="BP901">
        <v>0</v>
      </c>
      <c r="BQ901">
        <v>0</v>
      </c>
      <c r="BX901" t="str">
        <f>"14:05:22.813"</f>
        <v>14:05:22.813</v>
      </c>
      <c r="BY901" t="str">
        <f>"809213178"</f>
        <v>809213178</v>
      </c>
      <c r="CL901">
        <v>0</v>
      </c>
      <c r="CM901">
        <v>2</v>
      </c>
      <c r="CN901">
        <v>0</v>
      </c>
      <c r="CO901">
        <v>2</v>
      </c>
      <c r="CP901">
        <v>0</v>
      </c>
      <c r="CQ901">
        <v>7</v>
      </c>
      <c r="CR901" t="s">
        <v>116</v>
      </c>
      <c r="CS901">
        <v>525</v>
      </c>
      <c r="CT901">
        <v>1</v>
      </c>
      <c r="CU901" t="s">
        <v>140</v>
      </c>
      <c r="CV901" t="s">
        <v>141</v>
      </c>
      <c r="CY901">
        <v>8464453</v>
      </c>
      <c r="CZ901" t="s">
        <v>119</v>
      </c>
    </row>
    <row r="902" spans="1:104" x14ac:dyDescent="0.25">
      <c r="A902" t="str">
        <f>"14:05:23.961"</f>
        <v>14:05:23.961</v>
      </c>
      <c r="B902" t="s">
        <v>108</v>
      </c>
      <c r="C902" t="str">
        <f t="shared" si="40"/>
        <v>ffdfd3c0</v>
      </c>
      <c r="D902" t="s">
        <v>109</v>
      </c>
      <c r="E902">
        <v>4</v>
      </c>
      <c r="F902">
        <v>1004</v>
      </c>
      <c r="G902" t="s">
        <v>110</v>
      </c>
      <c r="J902" t="s">
        <v>111</v>
      </c>
      <c r="K902">
        <v>0</v>
      </c>
      <c r="L902">
        <v>3</v>
      </c>
      <c r="M902">
        <v>0</v>
      </c>
      <c r="N902">
        <v>2</v>
      </c>
      <c r="O902">
        <v>1</v>
      </c>
      <c r="P902">
        <v>0</v>
      </c>
      <c r="Q902">
        <v>0</v>
      </c>
      <c r="R902" t="s">
        <v>112</v>
      </c>
      <c r="S902" t="str">
        <f>"14:05:23.789"</f>
        <v>14:05:23.789</v>
      </c>
      <c r="T902" t="str">
        <f>"14:05:23.391"</f>
        <v>14:05:23.391</v>
      </c>
      <c r="U902" t="str">
        <f t="shared" si="42"/>
        <v>ad5732</v>
      </c>
      <c r="V902">
        <v>0</v>
      </c>
      <c r="W902">
        <v>0</v>
      </c>
      <c r="X902">
        <v>1</v>
      </c>
      <c r="Z902">
        <v>0</v>
      </c>
      <c r="AA902">
        <v>9</v>
      </c>
      <c r="AB902">
        <v>3</v>
      </c>
      <c r="AC902">
        <v>0</v>
      </c>
      <c r="AD902">
        <v>10</v>
      </c>
      <c r="AE902">
        <v>0</v>
      </c>
      <c r="AF902">
        <v>3</v>
      </c>
      <c r="AG902">
        <v>2</v>
      </c>
      <c r="AH902">
        <v>0</v>
      </c>
      <c r="AI902" t="s">
        <v>1901</v>
      </c>
      <c r="AJ902">
        <v>39.392788000000003</v>
      </c>
      <c r="AK902" t="s">
        <v>1902</v>
      </c>
      <c r="AL902">
        <v>-76.976802000000006</v>
      </c>
      <c r="AM902">
        <v>100</v>
      </c>
      <c r="AN902">
        <v>8700</v>
      </c>
      <c r="AO902" t="s">
        <v>115</v>
      </c>
      <c r="AP902">
        <v>171</v>
      </c>
      <c r="AQ902">
        <v>84</v>
      </c>
      <c r="AR902">
        <v>0</v>
      </c>
      <c r="AZ902">
        <v>3614</v>
      </c>
      <c r="BA902">
        <v>1</v>
      </c>
      <c r="BB902" t="str">
        <f t="shared" si="41"/>
        <v xml:space="preserve">N959MJ  </v>
      </c>
      <c r="BC902">
        <v>1</v>
      </c>
      <c r="BE902">
        <v>0</v>
      </c>
      <c r="BF902">
        <v>0</v>
      </c>
      <c r="BG902">
        <v>0</v>
      </c>
      <c r="BH902">
        <v>9025</v>
      </c>
      <c r="BI902">
        <v>325</v>
      </c>
      <c r="BJ902">
        <v>1</v>
      </c>
      <c r="BK902">
        <v>1</v>
      </c>
      <c r="BL902">
        <v>1</v>
      </c>
      <c r="BM902">
        <v>0</v>
      </c>
      <c r="BP902">
        <v>0</v>
      </c>
      <c r="BQ902">
        <v>0</v>
      </c>
      <c r="BX902" t="str">
        <f>"14:05:23.797"</f>
        <v>14:05:23.797</v>
      </c>
      <c r="BY902" t="str">
        <f>"794026669"</f>
        <v>794026669</v>
      </c>
      <c r="CL902">
        <v>0</v>
      </c>
      <c r="CM902">
        <v>2</v>
      </c>
      <c r="CN902">
        <v>0</v>
      </c>
      <c r="CO902">
        <v>2</v>
      </c>
      <c r="CP902">
        <v>0</v>
      </c>
      <c r="CQ902">
        <v>6</v>
      </c>
      <c r="CR902" t="s">
        <v>116</v>
      </c>
      <c r="CS902">
        <v>396</v>
      </c>
      <c r="CT902">
        <v>2</v>
      </c>
      <c r="CU902" t="s">
        <v>939</v>
      </c>
      <c r="CV902" t="s">
        <v>940</v>
      </c>
      <c r="CY902">
        <v>4316034</v>
      </c>
      <c r="CZ902" t="s">
        <v>119</v>
      </c>
    </row>
    <row r="903" spans="1:104" x14ac:dyDescent="0.25">
      <c r="A903" t="str">
        <f>"14:05:24.820"</f>
        <v>14:05:24.820</v>
      </c>
      <c r="B903" t="s">
        <v>108</v>
      </c>
      <c r="C903" t="str">
        <f t="shared" si="40"/>
        <v>ffdfd3c0</v>
      </c>
      <c r="D903" t="s">
        <v>109</v>
      </c>
      <c r="E903">
        <v>4</v>
      </c>
      <c r="F903">
        <v>1004</v>
      </c>
      <c r="G903" t="s">
        <v>110</v>
      </c>
      <c r="J903" t="s">
        <v>111</v>
      </c>
      <c r="K903">
        <v>0</v>
      </c>
      <c r="L903">
        <v>3</v>
      </c>
      <c r="M903">
        <v>0</v>
      </c>
      <c r="N903">
        <v>2</v>
      </c>
      <c r="O903">
        <v>1</v>
      </c>
      <c r="P903">
        <v>0</v>
      </c>
      <c r="Q903">
        <v>0</v>
      </c>
      <c r="R903" t="s">
        <v>112</v>
      </c>
      <c r="S903" t="str">
        <f>"14:05:24.664"</f>
        <v>14:05:24.664</v>
      </c>
      <c r="T903" t="str">
        <f>"14:05:24.266"</f>
        <v>14:05:24.266</v>
      </c>
      <c r="U903" t="str">
        <f t="shared" si="42"/>
        <v>ad5732</v>
      </c>
      <c r="V903">
        <v>0</v>
      </c>
      <c r="W903">
        <v>0</v>
      </c>
      <c r="X903">
        <v>1</v>
      </c>
      <c r="Z903">
        <v>0</v>
      </c>
      <c r="AA903">
        <v>9</v>
      </c>
      <c r="AB903">
        <v>3</v>
      </c>
      <c r="AC903">
        <v>0</v>
      </c>
      <c r="AD903">
        <v>10</v>
      </c>
      <c r="AE903">
        <v>0</v>
      </c>
      <c r="AF903">
        <v>3</v>
      </c>
      <c r="AG903">
        <v>2</v>
      </c>
      <c r="AH903">
        <v>0</v>
      </c>
      <c r="AI903" t="s">
        <v>1903</v>
      </c>
      <c r="AJ903">
        <v>39.39311</v>
      </c>
      <c r="AK903" t="s">
        <v>1904</v>
      </c>
      <c r="AL903">
        <v>-76.975943999999998</v>
      </c>
      <c r="AM903">
        <v>100</v>
      </c>
      <c r="AN903">
        <v>8700</v>
      </c>
      <c r="AO903" t="s">
        <v>115</v>
      </c>
      <c r="AP903">
        <v>171</v>
      </c>
      <c r="AQ903">
        <v>83</v>
      </c>
      <c r="AR903">
        <v>0</v>
      </c>
      <c r="AZ903">
        <v>3614</v>
      </c>
      <c r="BA903">
        <v>1</v>
      </c>
      <c r="BB903" t="str">
        <f t="shared" si="41"/>
        <v xml:space="preserve">N959MJ  </v>
      </c>
      <c r="BC903">
        <v>1</v>
      </c>
      <c r="BE903">
        <v>0</v>
      </c>
      <c r="BF903">
        <v>0</v>
      </c>
      <c r="BG903">
        <v>0</v>
      </c>
      <c r="BH903">
        <v>9025</v>
      </c>
      <c r="BI903">
        <v>325</v>
      </c>
      <c r="BJ903">
        <v>1</v>
      </c>
      <c r="BK903">
        <v>1</v>
      </c>
      <c r="BL903">
        <v>1</v>
      </c>
      <c r="BM903">
        <v>0</v>
      </c>
      <c r="BP903">
        <v>0</v>
      </c>
      <c r="BQ903">
        <v>0</v>
      </c>
      <c r="BX903" t="str">
        <f>"14:05:24.664"</f>
        <v>14:05:24.664</v>
      </c>
      <c r="BY903" t="str">
        <f>"667307915"</f>
        <v>667307915</v>
      </c>
      <c r="CL903">
        <v>0</v>
      </c>
      <c r="CM903">
        <v>2</v>
      </c>
      <c r="CN903">
        <v>0</v>
      </c>
      <c r="CO903">
        <v>2</v>
      </c>
      <c r="CP903">
        <v>0</v>
      </c>
      <c r="CQ903">
        <v>6</v>
      </c>
      <c r="CR903" t="s">
        <v>116</v>
      </c>
      <c r="CS903">
        <v>396</v>
      </c>
      <c r="CT903">
        <v>2</v>
      </c>
      <c r="CU903" t="s">
        <v>939</v>
      </c>
      <c r="CV903" t="s">
        <v>940</v>
      </c>
      <c r="CY903">
        <v>4317624</v>
      </c>
      <c r="CZ903" t="s">
        <v>119</v>
      </c>
    </row>
    <row r="904" spans="1:104" x14ac:dyDescent="0.25">
      <c r="A904" t="str">
        <f>"14:05:25.883"</f>
        <v>14:05:25.883</v>
      </c>
      <c r="B904" t="s">
        <v>108</v>
      </c>
      <c r="C904" t="str">
        <f t="shared" si="40"/>
        <v>ffdfd3c0</v>
      </c>
      <c r="D904" t="s">
        <v>109</v>
      </c>
      <c r="E904">
        <v>4</v>
      </c>
      <c r="F904">
        <v>1004</v>
      </c>
      <c r="G904" t="s">
        <v>110</v>
      </c>
      <c r="J904" t="s">
        <v>111</v>
      </c>
      <c r="K904">
        <v>0</v>
      </c>
      <c r="L904">
        <v>3</v>
      </c>
      <c r="M904">
        <v>0</v>
      </c>
      <c r="N904">
        <v>2</v>
      </c>
      <c r="O904">
        <v>1</v>
      </c>
      <c r="P904">
        <v>0</v>
      </c>
      <c r="Q904">
        <v>0</v>
      </c>
      <c r="R904" t="s">
        <v>112</v>
      </c>
      <c r="S904" t="str">
        <f>"14:05:25.727"</f>
        <v>14:05:25.727</v>
      </c>
      <c r="T904" t="str">
        <f>"14:05:25.227"</f>
        <v>14:05:25.227</v>
      </c>
      <c r="U904" t="str">
        <f t="shared" si="42"/>
        <v>ad5732</v>
      </c>
      <c r="V904">
        <v>0</v>
      </c>
      <c r="W904">
        <v>0</v>
      </c>
      <c r="X904">
        <v>1</v>
      </c>
      <c r="Z904">
        <v>0</v>
      </c>
      <c r="AA904">
        <v>9</v>
      </c>
      <c r="AB904">
        <v>3</v>
      </c>
      <c r="AC904">
        <v>0</v>
      </c>
      <c r="AD904">
        <v>10</v>
      </c>
      <c r="AE904">
        <v>0</v>
      </c>
      <c r="AF904">
        <v>3</v>
      </c>
      <c r="AG904">
        <v>2</v>
      </c>
      <c r="AH904">
        <v>0</v>
      </c>
      <c r="AI904" t="s">
        <v>1905</v>
      </c>
      <c r="AJ904">
        <v>39.393538999999997</v>
      </c>
      <c r="AK904" t="s">
        <v>1906</v>
      </c>
      <c r="AL904">
        <v>-76.974806999999998</v>
      </c>
      <c r="AM904">
        <v>100</v>
      </c>
      <c r="AN904">
        <v>8700</v>
      </c>
      <c r="AO904" t="s">
        <v>115</v>
      </c>
      <c r="AP904">
        <v>171</v>
      </c>
      <c r="AQ904">
        <v>83</v>
      </c>
      <c r="AR904">
        <v>0</v>
      </c>
      <c r="AZ904">
        <v>3614</v>
      </c>
      <c r="BA904">
        <v>1</v>
      </c>
      <c r="BB904" t="str">
        <f t="shared" si="41"/>
        <v xml:space="preserve">N959MJ  </v>
      </c>
      <c r="BC904">
        <v>1</v>
      </c>
      <c r="BE904">
        <v>0</v>
      </c>
      <c r="BF904">
        <v>0</v>
      </c>
      <c r="BG904">
        <v>0</v>
      </c>
      <c r="BH904">
        <v>9025</v>
      </c>
      <c r="BI904">
        <v>325</v>
      </c>
      <c r="BJ904">
        <v>1</v>
      </c>
      <c r="BK904">
        <v>1</v>
      </c>
      <c r="BL904">
        <v>1</v>
      </c>
      <c r="BM904">
        <v>0</v>
      </c>
      <c r="BP904">
        <v>0</v>
      </c>
      <c r="BQ904">
        <v>0</v>
      </c>
      <c r="BX904" t="str">
        <f>"14:05:25.734"</f>
        <v>14:05:25.734</v>
      </c>
      <c r="BY904" t="str">
        <f>"733805812"</f>
        <v>733805812</v>
      </c>
      <c r="CL904">
        <v>0</v>
      </c>
      <c r="CM904">
        <v>2</v>
      </c>
      <c r="CN904">
        <v>0</v>
      </c>
      <c r="CO904">
        <v>2</v>
      </c>
      <c r="CP904">
        <v>0</v>
      </c>
      <c r="CQ904">
        <v>7</v>
      </c>
      <c r="CR904" t="s">
        <v>116</v>
      </c>
      <c r="CS904">
        <v>525</v>
      </c>
      <c r="CT904">
        <v>1</v>
      </c>
      <c r="CU904" t="s">
        <v>140</v>
      </c>
      <c r="CV904" t="s">
        <v>141</v>
      </c>
      <c r="CY904">
        <v>8468692</v>
      </c>
      <c r="CZ904" t="s">
        <v>119</v>
      </c>
    </row>
    <row r="905" spans="1:104" x14ac:dyDescent="0.25">
      <c r="A905" t="str">
        <f>"14:05:26.891"</f>
        <v>14:05:26.891</v>
      </c>
      <c r="B905" t="s">
        <v>108</v>
      </c>
      <c r="C905" t="str">
        <f t="shared" si="40"/>
        <v>ffdfd3c0</v>
      </c>
      <c r="D905" t="s">
        <v>109</v>
      </c>
      <c r="E905">
        <v>4</v>
      </c>
      <c r="F905">
        <v>1004</v>
      </c>
      <c r="G905" t="s">
        <v>110</v>
      </c>
      <c r="J905" t="s">
        <v>111</v>
      </c>
      <c r="K905">
        <v>0</v>
      </c>
      <c r="L905">
        <v>3</v>
      </c>
      <c r="M905">
        <v>0</v>
      </c>
      <c r="N905">
        <v>2</v>
      </c>
      <c r="O905">
        <v>1</v>
      </c>
      <c r="P905">
        <v>0</v>
      </c>
      <c r="Q905">
        <v>0</v>
      </c>
      <c r="R905" t="s">
        <v>112</v>
      </c>
      <c r="S905" t="str">
        <f>"14:05:26.711"</f>
        <v>14:05:26.711</v>
      </c>
      <c r="T905" t="str">
        <f>"14:05:26.313"</f>
        <v>14:05:26.313</v>
      </c>
      <c r="U905" t="str">
        <f t="shared" si="42"/>
        <v>ad5732</v>
      </c>
      <c r="V905">
        <v>0</v>
      </c>
      <c r="W905">
        <v>0</v>
      </c>
      <c r="X905">
        <v>1</v>
      </c>
      <c r="Z905">
        <v>0</v>
      </c>
      <c r="AA905">
        <v>9</v>
      </c>
      <c r="AB905">
        <v>3</v>
      </c>
      <c r="AC905">
        <v>0</v>
      </c>
      <c r="AD905">
        <v>10</v>
      </c>
      <c r="AE905">
        <v>0</v>
      </c>
      <c r="AF905">
        <v>3</v>
      </c>
      <c r="AG905">
        <v>2</v>
      </c>
      <c r="AH905">
        <v>0</v>
      </c>
      <c r="AI905" t="s">
        <v>1907</v>
      </c>
      <c r="AJ905">
        <v>39.393903999999999</v>
      </c>
      <c r="AK905" t="s">
        <v>1908</v>
      </c>
      <c r="AL905">
        <v>-76.973798000000002</v>
      </c>
      <c r="AM905">
        <v>100</v>
      </c>
      <c r="AN905">
        <v>8700</v>
      </c>
      <c r="AO905" t="s">
        <v>115</v>
      </c>
      <c r="AP905">
        <v>171</v>
      </c>
      <c r="AQ905">
        <v>83</v>
      </c>
      <c r="AR905">
        <v>0</v>
      </c>
      <c r="AZ905">
        <v>3614</v>
      </c>
      <c r="BA905">
        <v>1</v>
      </c>
      <c r="BB905" t="str">
        <f t="shared" si="41"/>
        <v xml:space="preserve">N959MJ  </v>
      </c>
      <c r="BC905">
        <v>1</v>
      </c>
      <c r="BE905">
        <v>0</v>
      </c>
      <c r="BF905">
        <v>0</v>
      </c>
      <c r="BG905">
        <v>0</v>
      </c>
      <c r="BH905">
        <v>9025</v>
      </c>
      <c r="BI905">
        <v>325</v>
      </c>
      <c r="BJ905">
        <v>1</v>
      </c>
      <c r="BK905">
        <v>1</v>
      </c>
      <c r="BL905">
        <v>1</v>
      </c>
      <c r="BM905">
        <v>0</v>
      </c>
      <c r="BP905">
        <v>0</v>
      </c>
      <c r="BQ905">
        <v>0</v>
      </c>
      <c r="BX905" t="str">
        <f>"14:05:26.711"</f>
        <v>14:05:26.711</v>
      </c>
      <c r="BY905" t="str">
        <f>"713783928"</f>
        <v>713783928</v>
      </c>
      <c r="CL905">
        <v>0</v>
      </c>
      <c r="CM905">
        <v>2</v>
      </c>
      <c r="CN905">
        <v>0</v>
      </c>
      <c r="CO905">
        <v>2</v>
      </c>
      <c r="CP905">
        <v>0</v>
      </c>
      <c r="CQ905">
        <v>4</v>
      </c>
      <c r="CR905" t="s">
        <v>116</v>
      </c>
      <c r="CS905">
        <v>373</v>
      </c>
      <c r="CT905">
        <v>0</v>
      </c>
      <c r="CU905" t="s">
        <v>224</v>
      </c>
      <c r="CV905" t="s">
        <v>225</v>
      </c>
      <c r="CY905">
        <v>1732964</v>
      </c>
      <c r="CZ905" t="s">
        <v>119</v>
      </c>
    </row>
    <row r="906" spans="1:104" x14ac:dyDescent="0.25">
      <c r="A906" t="str">
        <f>"14:05:27.797"</f>
        <v>14:05:27.797</v>
      </c>
      <c r="B906" t="s">
        <v>108</v>
      </c>
      <c r="C906" t="str">
        <f t="shared" ref="C906:C969" si="43">"ffdfd3c0"</f>
        <v>ffdfd3c0</v>
      </c>
      <c r="D906" t="s">
        <v>109</v>
      </c>
      <c r="E906">
        <v>4</v>
      </c>
      <c r="F906">
        <v>1004</v>
      </c>
      <c r="G906" t="s">
        <v>110</v>
      </c>
      <c r="J906" t="s">
        <v>111</v>
      </c>
      <c r="K906">
        <v>0</v>
      </c>
      <c r="L906">
        <v>3</v>
      </c>
      <c r="M906">
        <v>0</v>
      </c>
      <c r="N906">
        <v>2</v>
      </c>
      <c r="O906">
        <v>1</v>
      </c>
      <c r="P906">
        <v>0</v>
      </c>
      <c r="Q906">
        <v>0</v>
      </c>
      <c r="R906" t="s">
        <v>112</v>
      </c>
      <c r="S906" t="str">
        <f>"14:05:27.625"</f>
        <v>14:05:27.625</v>
      </c>
      <c r="T906" t="str">
        <f>"14:05:27.227"</f>
        <v>14:05:27.227</v>
      </c>
      <c r="U906" t="str">
        <f t="shared" si="42"/>
        <v>ad5732</v>
      </c>
      <c r="V906">
        <v>0</v>
      </c>
      <c r="W906">
        <v>0</v>
      </c>
      <c r="X906">
        <v>1</v>
      </c>
      <c r="Z906">
        <v>0</v>
      </c>
      <c r="AA906">
        <v>9</v>
      </c>
      <c r="AB906">
        <v>3</v>
      </c>
      <c r="AC906">
        <v>0</v>
      </c>
      <c r="AD906">
        <v>10</v>
      </c>
      <c r="AE906">
        <v>0</v>
      </c>
      <c r="AF906">
        <v>3</v>
      </c>
      <c r="AG906">
        <v>2</v>
      </c>
      <c r="AH906">
        <v>0</v>
      </c>
      <c r="AI906" t="s">
        <v>1909</v>
      </c>
      <c r="AJ906">
        <v>39.394269000000001</v>
      </c>
      <c r="AK906" t="s">
        <v>1910</v>
      </c>
      <c r="AL906">
        <v>-76.972897000000003</v>
      </c>
      <c r="AM906">
        <v>100</v>
      </c>
      <c r="AN906">
        <v>8700</v>
      </c>
      <c r="AO906" t="s">
        <v>115</v>
      </c>
      <c r="AP906">
        <v>171</v>
      </c>
      <c r="AQ906">
        <v>83</v>
      </c>
      <c r="AR906">
        <v>0</v>
      </c>
      <c r="AZ906">
        <v>3614</v>
      </c>
      <c r="BA906">
        <v>1</v>
      </c>
      <c r="BB906" t="str">
        <f t="shared" ref="BB906:BB969" si="44">"N959MJ  "</f>
        <v xml:space="preserve">N959MJ  </v>
      </c>
      <c r="BC906">
        <v>1</v>
      </c>
      <c r="BE906">
        <v>0</v>
      </c>
      <c r="BF906">
        <v>0</v>
      </c>
      <c r="BG906">
        <v>0</v>
      </c>
      <c r="BH906">
        <v>9025</v>
      </c>
      <c r="BI906">
        <v>325</v>
      </c>
      <c r="BJ906">
        <v>1</v>
      </c>
      <c r="BK906">
        <v>1</v>
      </c>
      <c r="BL906">
        <v>1</v>
      </c>
      <c r="BM906">
        <v>0</v>
      </c>
      <c r="BP906">
        <v>0</v>
      </c>
      <c r="BQ906">
        <v>0</v>
      </c>
      <c r="BX906" t="str">
        <f>"14:05:27.625"</f>
        <v>14:05:27.625</v>
      </c>
      <c r="BY906" t="str">
        <f>"626189293"</f>
        <v>626189293</v>
      </c>
      <c r="CL906">
        <v>0</v>
      </c>
      <c r="CM906">
        <v>2</v>
      </c>
      <c r="CN906">
        <v>0</v>
      </c>
      <c r="CO906">
        <v>2</v>
      </c>
      <c r="CP906">
        <v>0</v>
      </c>
      <c r="CQ906">
        <v>7</v>
      </c>
      <c r="CR906" t="s">
        <v>116</v>
      </c>
      <c r="CS906">
        <v>525</v>
      </c>
      <c r="CT906">
        <v>1</v>
      </c>
      <c r="CU906" t="s">
        <v>140</v>
      </c>
      <c r="CV906" t="s">
        <v>141</v>
      </c>
      <c r="CY906">
        <v>8471439</v>
      </c>
      <c r="CZ906" t="s">
        <v>119</v>
      </c>
    </row>
    <row r="907" spans="1:104" x14ac:dyDescent="0.25">
      <c r="A907" t="str">
        <f>"14:05:28.703"</f>
        <v>14:05:28.703</v>
      </c>
      <c r="B907" t="s">
        <v>108</v>
      </c>
      <c r="C907" t="str">
        <f t="shared" si="43"/>
        <v>ffdfd3c0</v>
      </c>
      <c r="D907" t="s">
        <v>109</v>
      </c>
      <c r="E907">
        <v>4</v>
      </c>
      <c r="F907">
        <v>1004</v>
      </c>
      <c r="G907" t="s">
        <v>110</v>
      </c>
      <c r="J907" t="s">
        <v>111</v>
      </c>
      <c r="K907">
        <v>0</v>
      </c>
      <c r="L907">
        <v>3</v>
      </c>
      <c r="M907">
        <v>0</v>
      </c>
      <c r="N907">
        <v>2</v>
      </c>
      <c r="O907">
        <v>1</v>
      </c>
      <c r="P907">
        <v>0</v>
      </c>
      <c r="Q907">
        <v>0</v>
      </c>
      <c r="R907" t="s">
        <v>112</v>
      </c>
      <c r="S907" t="str">
        <f>"14:05:28.523"</f>
        <v>14:05:28.523</v>
      </c>
      <c r="T907" t="str">
        <f>"14:05:28.125"</f>
        <v>14:05:28.125</v>
      </c>
      <c r="U907" t="str">
        <f t="shared" si="42"/>
        <v>ad5732</v>
      </c>
      <c r="V907">
        <v>0</v>
      </c>
      <c r="W907">
        <v>0</v>
      </c>
      <c r="X907">
        <v>1</v>
      </c>
      <c r="Z907">
        <v>0</v>
      </c>
      <c r="AA907">
        <v>9</v>
      </c>
      <c r="AB907">
        <v>3</v>
      </c>
      <c r="AC907">
        <v>0</v>
      </c>
      <c r="AD907">
        <v>10</v>
      </c>
      <c r="AE907">
        <v>0</v>
      </c>
      <c r="AF907">
        <v>3</v>
      </c>
      <c r="AG907">
        <v>2</v>
      </c>
      <c r="AH907">
        <v>0</v>
      </c>
      <c r="AI907" t="s">
        <v>1911</v>
      </c>
      <c r="AJ907">
        <v>39.394590999999998</v>
      </c>
      <c r="AK907" t="s">
        <v>1912</v>
      </c>
      <c r="AL907">
        <v>-76.971996000000004</v>
      </c>
      <c r="AM907">
        <v>100</v>
      </c>
      <c r="AN907">
        <v>8700</v>
      </c>
      <c r="AO907" t="s">
        <v>115</v>
      </c>
      <c r="AP907">
        <v>171</v>
      </c>
      <c r="AQ907">
        <v>83</v>
      </c>
      <c r="AR907">
        <v>64</v>
      </c>
      <c r="AZ907">
        <v>3614</v>
      </c>
      <c r="BA907">
        <v>1</v>
      </c>
      <c r="BB907" t="str">
        <f t="shared" si="44"/>
        <v xml:space="preserve">N959MJ  </v>
      </c>
      <c r="BC907">
        <v>1</v>
      </c>
      <c r="BE907">
        <v>0</v>
      </c>
      <c r="BF907">
        <v>0</v>
      </c>
      <c r="BG907">
        <v>0</v>
      </c>
      <c r="BH907">
        <v>9025</v>
      </c>
      <c r="BI907">
        <v>325</v>
      </c>
      <c r="BJ907">
        <v>1</v>
      </c>
      <c r="BK907">
        <v>1</v>
      </c>
      <c r="BL907">
        <v>1</v>
      </c>
      <c r="BM907">
        <v>0</v>
      </c>
      <c r="BP907">
        <v>0</v>
      </c>
      <c r="BQ907">
        <v>0</v>
      </c>
      <c r="BX907" t="str">
        <f>"14:05:28.523"</f>
        <v>14:05:28.523</v>
      </c>
      <c r="BY907" t="str">
        <f>"524047427"</f>
        <v>524047427</v>
      </c>
      <c r="CL907">
        <v>0</v>
      </c>
      <c r="CM907">
        <v>2</v>
      </c>
      <c r="CN907">
        <v>0</v>
      </c>
      <c r="CO907">
        <v>2</v>
      </c>
      <c r="CP907">
        <v>0</v>
      </c>
      <c r="CQ907">
        <v>7</v>
      </c>
      <c r="CR907" t="s">
        <v>116</v>
      </c>
      <c r="CS907">
        <v>525</v>
      </c>
      <c r="CT907">
        <v>1</v>
      </c>
      <c r="CU907" t="s">
        <v>140</v>
      </c>
      <c r="CV907" t="s">
        <v>141</v>
      </c>
      <c r="CY907">
        <v>8472854</v>
      </c>
      <c r="CZ907" t="s">
        <v>119</v>
      </c>
    </row>
    <row r="908" spans="1:104" x14ac:dyDescent="0.25">
      <c r="A908" t="str">
        <f>"14:05:29.664"</f>
        <v>14:05:29.664</v>
      </c>
      <c r="B908" t="s">
        <v>108</v>
      </c>
      <c r="C908" t="str">
        <f t="shared" si="43"/>
        <v>ffdfd3c0</v>
      </c>
      <c r="D908" t="s">
        <v>109</v>
      </c>
      <c r="E908">
        <v>4</v>
      </c>
      <c r="F908">
        <v>1004</v>
      </c>
      <c r="G908" t="s">
        <v>110</v>
      </c>
      <c r="J908" t="s">
        <v>111</v>
      </c>
      <c r="K908">
        <v>0</v>
      </c>
      <c r="L908">
        <v>3</v>
      </c>
      <c r="M908">
        <v>0</v>
      </c>
      <c r="N908">
        <v>2</v>
      </c>
      <c r="O908">
        <v>1</v>
      </c>
      <c r="P908">
        <v>0</v>
      </c>
      <c r="Q908">
        <v>0</v>
      </c>
      <c r="R908" t="s">
        <v>112</v>
      </c>
      <c r="S908" t="str">
        <f>"14:05:29.453"</f>
        <v>14:05:29.453</v>
      </c>
      <c r="T908" t="str">
        <f>"14:05:29.055"</f>
        <v>14:05:29.055</v>
      </c>
      <c r="U908" t="str">
        <f t="shared" si="42"/>
        <v>ad5732</v>
      </c>
      <c r="V908">
        <v>0</v>
      </c>
      <c r="W908">
        <v>0</v>
      </c>
      <c r="X908">
        <v>1</v>
      </c>
      <c r="Z908">
        <v>0</v>
      </c>
      <c r="AA908">
        <v>9</v>
      </c>
      <c r="AB908">
        <v>3</v>
      </c>
      <c r="AC908">
        <v>0</v>
      </c>
      <c r="AD908">
        <v>10</v>
      </c>
      <c r="AE908">
        <v>0</v>
      </c>
      <c r="AF908">
        <v>3</v>
      </c>
      <c r="AG908">
        <v>2</v>
      </c>
      <c r="AH908">
        <v>0</v>
      </c>
      <c r="AI908" t="s">
        <v>1913</v>
      </c>
      <c r="AJ908">
        <v>39.394976999999997</v>
      </c>
      <c r="AK908" t="s">
        <v>1914</v>
      </c>
      <c r="AL908">
        <v>-76.971073000000004</v>
      </c>
      <c r="AM908">
        <v>100</v>
      </c>
      <c r="AN908">
        <v>8700</v>
      </c>
      <c r="AO908" t="s">
        <v>115</v>
      </c>
      <c r="AP908">
        <v>171</v>
      </c>
      <c r="AQ908">
        <v>83</v>
      </c>
      <c r="AR908">
        <v>64</v>
      </c>
      <c r="AZ908">
        <v>3614</v>
      </c>
      <c r="BA908">
        <v>1</v>
      </c>
      <c r="BB908" t="str">
        <f t="shared" si="44"/>
        <v xml:space="preserve">N959MJ  </v>
      </c>
      <c r="BC908">
        <v>1</v>
      </c>
      <c r="BE908">
        <v>0</v>
      </c>
      <c r="BF908">
        <v>0</v>
      </c>
      <c r="BG908">
        <v>0</v>
      </c>
      <c r="BH908">
        <v>9025</v>
      </c>
      <c r="BI908">
        <v>325</v>
      </c>
      <c r="BJ908">
        <v>1</v>
      </c>
      <c r="BK908">
        <v>1</v>
      </c>
      <c r="BL908">
        <v>1</v>
      </c>
      <c r="BM908">
        <v>0</v>
      </c>
      <c r="BP908">
        <v>0</v>
      </c>
      <c r="BQ908">
        <v>0</v>
      </c>
      <c r="BX908" t="str">
        <f>"14:05:29.461"</f>
        <v>14:05:29.461</v>
      </c>
      <c r="BY908" t="str">
        <f>"457950966"</f>
        <v>457950966</v>
      </c>
      <c r="CL908">
        <v>0</v>
      </c>
      <c r="CM908">
        <v>2</v>
      </c>
      <c r="CN908">
        <v>0</v>
      </c>
      <c r="CO908">
        <v>2</v>
      </c>
      <c r="CP908">
        <v>0</v>
      </c>
      <c r="CQ908">
        <v>7</v>
      </c>
      <c r="CR908" t="s">
        <v>116</v>
      </c>
      <c r="CS908">
        <v>525</v>
      </c>
      <c r="CT908">
        <v>1</v>
      </c>
      <c r="CU908" t="s">
        <v>140</v>
      </c>
      <c r="CV908" t="s">
        <v>141</v>
      </c>
      <c r="CY908">
        <v>8474226</v>
      </c>
      <c r="CZ908" t="s">
        <v>119</v>
      </c>
    </row>
    <row r="909" spans="1:104" x14ac:dyDescent="0.25">
      <c r="A909" t="str">
        <f>"14:05:30.727"</f>
        <v>14:05:30.727</v>
      </c>
      <c r="B909" t="s">
        <v>108</v>
      </c>
      <c r="C909" t="str">
        <f t="shared" si="43"/>
        <v>ffdfd3c0</v>
      </c>
      <c r="D909" t="s">
        <v>109</v>
      </c>
      <c r="E909">
        <v>4</v>
      </c>
      <c r="F909">
        <v>1004</v>
      </c>
      <c r="G909" t="s">
        <v>110</v>
      </c>
      <c r="J909" t="s">
        <v>111</v>
      </c>
      <c r="K909">
        <v>0</v>
      </c>
      <c r="L909">
        <v>3</v>
      </c>
      <c r="M909">
        <v>0</v>
      </c>
      <c r="N909">
        <v>2</v>
      </c>
      <c r="O909">
        <v>1</v>
      </c>
      <c r="P909">
        <v>0</v>
      </c>
      <c r="Q909">
        <v>0</v>
      </c>
      <c r="R909" t="s">
        <v>112</v>
      </c>
      <c r="S909" t="str">
        <f>"14:05:30.531"</f>
        <v>14:05:30.531</v>
      </c>
      <c r="T909" t="str">
        <f>"14:05:30.133"</f>
        <v>14:05:30.133</v>
      </c>
      <c r="U909" t="str">
        <f t="shared" si="42"/>
        <v>ad5732</v>
      </c>
      <c r="V909">
        <v>0</v>
      </c>
      <c r="W909">
        <v>0</v>
      </c>
      <c r="X909">
        <v>1</v>
      </c>
      <c r="Z909">
        <v>0</v>
      </c>
      <c r="AA909">
        <v>9</v>
      </c>
      <c r="AB909">
        <v>3</v>
      </c>
      <c r="AC909">
        <v>0</v>
      </c>
      <c r="AD909">
        <v>10</v>
      </c>
      <c r="AE909">
        <v>0</v>
      </c>
      <c r="AF909">
        <v>3</v>
      </c>
      <c r="AG909">
        <v>2</v>
      </c>
      <c r="AH909">
        <v>0</v>
      </c>
      <c r="AI909" t="s">
        <v>1915</v>
      </c>
      <c r="AJ909">
        <v>39.395363000000003</v>
      </c>
      <c r="AK909" t="s">
        <v>1916</v>
      </c>
      <c r="AL909">
        <v>-76.969914000000003</v>
      </c>
      <c r="AM909">
        <v>100</v>
      </c>
      <c r="AN909">
        <v>8700</v>
      </c>
      <c r="AO909" t="s">
        <v>115</v>
      </c>
      <c r="AP909">
        <v>171</v>
      </c>
      <c r="AQ909">
        <v>83</v>
      </c>
      <c r="AR909">
        <v>64</v>
      </c>
      <c r="AZ909">
        <v>3614</v>
      </c>
      <c r="BA909">
        <v>1</v>
      </c>
      <c r="BB909" t="str">
        <f t="shared" si="44"/>
        <v xml:space="preserve">N959MJ  </v>
      </c>
      <c r="BC909">
        <v>1</v>
      </c>
      <c r="BE909">
        <v>0</v>
      </c>
      <c r="BF909">
        <v>0</v>
      </c>
      <c r="BG909">
        <v>0</v>
      </c>
      <c r="BH909">
        <v>9025</v>
      </c>
      <c r="BI909">
        <v>325</v>
      </c>
      <c r="BJ909">
        <v>1</v>
      </c>
      <c r="BK909">
        <v>1</v>
      </c>
      <c r="BL909">
        <v>1</v>
      </c>
      <c r="BM909">
        <v>0</v>
      </c>
      <c r="BP909">
        <v>0</v>
      </c>
      <c r="BQ909">
        <v>0</v>
      </c>
      <c r="BX909" t="str">
        <f>"14:05:30.539"</f>
        <v>14:05:30.539</v>
      </c>
      <c r="BY909" t="str">
        <f>"537674530"</f>
        <v>537674530</v>
      </c>
      <c r="CL909">
        <v>0</v>
      </c>
      <c r="CM909">
        <v>2</v>
      </c>
      <c r="CN909">
        <v>0</v>
      </c>
      <c r="CO909">
        <v>2</v>
      </c>
      <c r="CP909">
        <v>0</v>
      </c>
      <c r="CQ909">
        <v>7</v>
      </c>
      <c r="CR909" t="s">
        <v>116</v>
      </c>
      <c r="CS909">
        <v>525</v>
      </c>
      <c r="CT909">
        <v>1</v>
      </c>
      <c r="CU909" t="s">
        <v>140</v>
      </c>
      <c r="CV909" t="s">
        <v>141</v>
      </c>
      <c r="CY909">
        <v>8475690</v>
      </c>
      <c r="CZ909" t="s">
        <v>119</v>
      </c>
    </row>
    <row r="910" spans="1:104" x14ac:dyDescent="0.25">
      <c r="A910" t="str">
        <f>"14:05:31.836"</f>
        <v>14:05:31.836</v>
      </c>
      <c r="B910" t="s">
        <v>108</v>
      </c>
      <c r="C910" t="str">
        <f t="shared" si="43"/>
        <v>ffdfd3c0</v>
      </c>
      <c r="D910" t="s">
        <v>109</v>
      </c>
      <c r="E910">
        <v>4</v>
      </c>
      <c r="F910">
        <v>1004</v>
      </c>
      <c r="G910" t="s">
        <v>110</v>
      </c>
      <c r="J910" t="s">
        <v>111</v>
      </c>
      <c r="K910">
        <v>0</v>
      </c>
      <c r="L910">
        <v>3</v>
      </c>
      <c r="M910">
        <v>0</v>
      </c>
      <c r="N910">
        <v>2</v>
      </c>
      <c r="O910">
        <v>1</v>
      </c>
      <c r="P910">
        <v>0</v>
      </c>
      <c r="Q910">
        <v>0</v>
      </c>
      <c r="R910" t="s">
        <v>112</v>
      </c>
      <c r="S910" t="str">
        <f>"14:05:31.656"</f>
        <v>14:05:31.656</v>
      </c>
      <c r="T910" t="str">
        <f>"14:05:31.156"</f>
        <v>14:05:31.156</v>
      </c>
      <c r="U910" t="str">
        <f t="shared" si="42"/>
        <v>ad5732</v>
      </c>
      <c r="V910">
        <v>0</v>
      </c>
      <c r="W910">
        <v>0</v>
      </c>
      <c r="X910">
        <v>1</v>
      </c>
      <c r="Z910">
        <v>0</v>
      </c>
      <c r="AA910">
        <v>9</v>
      </c>
      <c r="AB910">
        <v>3</v>
      </c>
      <c r="AC910">
        <v>0</v>
      </c>
      <c r="AD910">
        <v>10</v>
      </c>
      <c r="AE910">
        <v>0</v>
      </c>
      <c r="AF910">
        <v>3</v>
      </c>
      <c r="AG910">
        <v>2</v>
      </c>
      <c r="AH910">
        <v>0</v>
      </c>
      <c r="AI910" t="s">
        <v>1917</v>
      </c>
      <c r="AJ910">
        <v>39.395814000000001</v>
      </c>
      <c r="AK910" t="s">
        <v>1918</v>
      </c>
      <c r="AL910">
        <v>-76.968819999999994</v>
      </c>
      <c r="AM910">
        <v>100</v>
      </c>
      <c r="AN910">
        <v>8700</v>
      </c>
      <c r="AO910" t="s">
        <v>115</v>
      </c>
      <c r="AP910">
        <v>171</v>
      </c>
      <c r="AQ910">
        <v>83</v>
      </c>
      <c r="AR910">
        <v>0</v>
      </c>
      <c r="AZ910">
        <v>3614</v>
      </c>
      <c r="BA910">
        <v>1</v>
      </c>
      <c r="BB910" t="str">
        <f t="shared" si="44"/>
        <v xml:space="preserve">N959MJ  </v>
      </c>
      <c r="BC910">
        <v>1</v>
      </c>
      <c r="BE910">
        <v>0</v>
      </c>
      <c r="BF910">
        <v>0</v>
      </c>
      <c r="BG910">
        <v>0</v>
      </c>
      <c r="BH910">
        <v>9025</v>
      </c>
      <c r="BI910">
        <v>325</v>
      </c>
      <c r="BJ910">
        <v>1</v>
      </c>
      <c r="BK910">
        <v>1</v>
      </c>
      <c r="BL910">
        <v>1</v>
      </c>
      <c r="BM910">
        <v>0</v>
      </c>
      <c r="BP910">
        <v>0</v>
      </c>
      <c r="BQ910">
        <v>0</v>
      </c>
      <c r="BX910" t="str">
        <f>"14:05:31.656"</f>
        <v>14:05:31.656</v>
      </c>
      <c r="BY910" t="str">
        <f>"656720342"</f>
        <v>656720342</v>
      </c>
      <c r="CL910">
        <v>0</v>
      </c>
      <c r="CM910">
        <v>2</v>
      </c>
      <c r="CN910">
        <v>0</v>
      </c>
      <c r="CO910">
        <v>2</v>
      </c>
      <c r="CP910">
        <v>0</v>
      </c>
      <c r="CQ910">
        <v>7</v>
      </c>
      <c r="CR910" t="s">
        <v>116</v>
      </c>
      <c r="CS910">
        <v>525</v>
      </c>
      <c r="CT910">
        <v>1</v>
      </c>
      <c r="CU910" t="s">
        <v>140</v>
      </c>
      <c r="CV910" t="s">
        <v>141</v>
      </c>
      <c r="CY910">
        <v>8477363</v>
      </c>
      <c r="CZ910" t="s">
        <v>119</v>
      </c>
    </row>
    <row r="911" spans="1:104" x14ac:dyDescent="0.25">
      <c r="A911" t="str">
        <f>"14:05:32.844"</f>
        <v>14:05:32.844</v>
      </c>
      <c r="B911" t="s">
        <v>108</v>
      </c>
      <c r="C911" t="str">
        <f t="shared" si="43"/>
        <v>ffdfd3c0</v>
      </c>
      <c r="D911" t="s">
        <v>109</v>
      </c>
      <c r="E911">
        <v>4</v>
      </c>
      <c r="F911">
        <v>1004</v>
      </c>
      <c r="G911" t="s">
        <v>110</v>
      </c>
      <c r="J911" t="s">
        <v>111</v>
      </c>
      <c r="K911">
        <v>0</v>
      </c>
      <c r="L911">
        <v>3</v>
      </c>
      <c r="M911">
        <v>0</v>
      </c>
      <c r="N911">
        <v>2</v>
      </c>
      <c r="O911">
        <v>1</v>
      </c>
      <c r="P911">
        <v>0</v>
      </c>
      <c r="Q911">
        <v>0</v>
      </c>
      <c r="R911" t="s">
        <v>112</v>
      </c>
      <c r="S911" t="str">
        <f>"14:05:32.641"</f>
        <v>14:05:32.641</v>
      </c>
      <c r="T911" t="str">
        <f>"14:05:32.141"</f>
        <v>14:05:32.141</v>
      </c>
      <c r="U911" t="str">
        <f t="shared" si="42"/>
        <v>ad5732</v>
      </c>
      <c r="V911">
        <v>0</v>
      </c>
      <c r="W911">
        <v>0</v>
      </c>
      <c r="X911">
        <v>1</v>
      </c>
      <c r="Z911">
        <v>0</v>
      </c>
      <c r="AA911">
        <v>9</v>
      </c>
      <c r="AB911">
        <v>3</v>
      </c>
      <c r="AC911">
        <v>0</v>
      </c>
      <c r="AD911">
        <v>10</v>
      </c>
      <c r="AE911">
        <v>0</v>
      </c>
      <c r="AF911">
        <v>3</v>
      </c>
      <c r="AG911">
        <v>2</v>
      </c>
      <c r="AH911">
        <v>0</v>
      </c>
      <c r="AI911" t="s">
        <v>1919</v>
      </c>
      <c r="AJ911">
        <v>39.396178999999997</v>
      </c>
      <c r="AK911" t="s">
        <v>1920</v>
      </c>
      <c r="AL911">
        <v>-76.967769000000004</v>
      </c>
      <c r="AM911">
        <v>100</v>
      </c>
      <c r="AN911">
        <v>8700</v>
      </c>
      <c r="AO911" t="s">
        <v>115</v>
      </c>
      <c r="AP911">
        <v>171</v>
      </c>
      <c r="AQ911">
        <v>84</v>
      </c>
      <c r="AR911">
        <v>0</v>
      </c>
      <c r="AZ911">
        <v>3614</v>
      </c>
      <c r="BA911">
        <v>1</v>
      </c>
      <c r="BB911" t="str">
        <f t="shared" si="44"/>
        <v xml:space="preserve">N959MJ  </v>
      </c>
      <c r="BC911">
        <v>1</v>
      </c>
      <c r="BE911">
        <v>0</v>
      </c>
      <c r="BF911">
        <v>0</v>
      </c>
      <c r="BG911">
        <v>0</v>
      </c>
      <c r="BH911">
        <v>9025</v>
      </c>
      <c r="BI911">
        <v>325</v>
      </c>
      <c r="BJ911">
        <v>1</v>
      </c>
      <c r="BK911">
        <v>1</v>
      </c>
      <c r="BL911">
        <v>1</v>
      </c>
      <c r="BM911">
        <v>0</v>
      </c>
      <c r="BP911">
        <v>0</v>
      </c>
      <c r="BQ911">
        <v>0</v>
      </c>
      <c r="BX911" t="str">
        <f>"14:05:32.641"</f>
        <v>14:05:32.641</v>
      </c>
      <c r="BY911" t="str">
        <f>"641529075"</f>
        <v>641529075</v>
      </c>
      <c r="CL911">
        <v>0</v>
      </c>
      <c r="CM911">
        <v>2</v>
      </c>
      <c r="CN911">
        <v>0</v>
      </c>
      <c r="CO911">
        <v>2</v>
      </c>
      <c r="CP911">
        <v>0</v>
      </c>
      <c r="CQ911">
        <v>6</v>
      </c>
      <c r="CR911" t="s">
        <v>116</v>
      </c>
      <c r="CS911">
        <v>396</v>
      </c>
      <c r="CT911">
        <v>2</v>
      </c>
      <c r="CU911" t="s">
        <v>939</v>
      </c>
      <c r="CV911" t="s">
        <v>940</v>
      </c>
      <c r="CY911">
        <v>4331499</v>
      </c>
      <c r="CZ911" t="s">
        <v>119</v>
      </c>
    </row>
    <row r="912" spans="1:104" x14ac:dyDescent="0.25">
      <c r="A912" t="str">
        <f>"14:05:33.703"</f>
        <v>14:05:33.703</v>
      </c>
      <c r="B912" t="s">
        <v>108</v>
      </c>
      <c r="C912" t="str">
        <f t="shared" si="43"/>
        <v>ffdfd3c0</v>
      </c>
      <c r="D912" t="s">
        <v>109</v>
      </c>
      <c r="E912">
        <v>4</v>
      </c>
      <c r="F912">
        <v>1004</v>
      </c>
      <c r="G912" t="s">
        <v>110</v>
      </c>
      <c r="J912" t="s">
        <v>111</v>
      </c>
      <c r="K912">
        <v>0</v>
      </c>
      <c r="L912">
        <v>3</v>
      </c>
      <c r="M912">
        <v>0</v>
      </c>
      <c r="N912">
        <v>2</v>
      </c>
      <c r="O912">
        <v>1</v>
      </c>
      <c r="P912">
        <v>0</v>
      </c>
      <c r="Q912">
        <v>0</v>
      </c>
      <c r="R912" t="s">
        <v>112</v>
      </c>
      <c r="S912" t="str">
        <f>"14:05:33.531"</f>
        <v>14:05:33.531</v>
      </c>
      <c r="T912" t="str">
        <f>"14:05:33.133"</f>
        <v>14:05:33.133</v>
      </c>
      <c r="U912" t="str">
        <f t="shared" si="42"/>
        <v>ad5732</v>
      </c>
      <c r="V912">
        <v>0</v>
      </c>
      <c r="W912">
        <v>0</v>
      </c>
      <c r="X912">
        <v>1</v>
      </c>
      <c r="Z912">
        <v>0</v>
      </c>
      <c r="AA912">
        <v>9</v>
      </c>
      <c r="AB912">
        <v>3</v>
      </c>
      <c r="AC912">
        <v>0</v>
      </c>
      <c r="AD912">
        <v>10</v>
      </c>
      <c r="AE912">
        <v>0</v>
      </c>
      <c r="AF912">
        <v>3</v>
      </c>
      <c r="AG912">
        <v>2</v>
      </c>
      <c r="AH912">
        <v>0</v>
      </c>
      <c r="AI912" t="s">
        <v>1921</v>
      </c>
      <c r="AJ912">
        <v>39.396521999999997</v>
      </c>
      <c r="AK912" t="s">
        <v>1922</v>
      </c>
      <c r="AL912">
        <v>-76.966866999999993</v>
      </c>
      <c r="AM912">
        <v>100</v>
      </c>
      <c r="AN912">
        <v>8700</v>
      </c>
      <c r="AO912" t="s">
        <v>115</v>
      </c>
      <c r="AP912">
        <v>171</v>
      </c>
      <c r="AQ912">
        <v>84</v>
      </c>
      <c r="AR912">
        <v>0</v>
      </c>
      <c r="AZ912">
        <v>3614</v>
      </c>
      <c r="BA912">
        <v>1</v>
      </c>
      <c r="BB912" t="str">
        <f t="shared" si="44"/>
        <v xml:space="preserve">N959MJ  </v>
      </c>
      <c r="BC912">
        <v>1</v>
      </c>
      <c r="BE912">
        <v>0</v>
      </c>
      <c r="BF912">
        <v>0</v>
      </c>
      <c r="BG912">
        <v>0</v>
      </c>
      <c r="BH912">
        <v>9025</v>
      </c>
      <c r="BI912">
        <v>325</v>
      </c>
      <c r="BJ912">
        <v>1</v>
      </c>
      <c r="BK912">
        <v>1</v>
      </c>
      <c r="BL912">
        <v>1</v>
      </c>
      <c r="BM912">
        <v>0</v>
      </c>
      <c r="BP912">
        <v>0</v>
      </c>
      <c r="BQ912">
        <v>0</v>
      </c>
      <c r="BX912" t="str">
        <f>"14:05:33.531"</f>
        <v>14:05:33.531</v>
      </c>
      <c r="BY912" t="str">
        <f>"534358001"</f>
        <v>534358001</v>
      </c>
      <c r="CL912">
        <v>0</v>
      </c>
      <c r="CM912">
        <v>2</v>
      </c>
      <c r="CN912">
        <v>0</v>
      </c>
      <c r="CO912">
        <v>2</v>
      </c>
      <c r="CP912">
        <v>0</v>
      </c>
      <c r="CQ912">
        <v>7</v>
      </c>
      <c r="CR912" t="s">
        <v>116</v>
      </c>
      <c r="CS912">
        <v>525</v>
      </c>
      <c r="CT912">
        <v>1</v>
      </c>
      <c r="CU912" t="s">
        <v>140</v>
      </c>
      <c r="CV912" t="s">
        <v>141</v>
      </c>
      <c r="CY912">
        <v>8480112</v>
      </c>
      <c r="CZ912" t="s">
        <v>119</v>
      </c>
    </row>
    <row r="913" spans="1:104" x14ac:dyDescent="0.25">
      <c r="A913" t="str">
        <f>"14:05:34.711"</f>
        <v>14:05:34.711</v>
      </c>
      <c r="B913" t="s">
        <v>108</v>
      </c>
      <c r="C913" t="str">
        <f t="shared" si="43"/>
        <v>ffdfd3c0</v>
      </c>
      <c r="D913" t="s">
        <v>109</v>
      </c>
      <c r="E913">
        <v>4</v>
      </c>
      <c r="F913">
        <v>1004</v>
      </c>
      <c r="G913" t="s">
        <v>110</v>
      </c>
      <c r="J913" t="s">
        <v>111</v>
      </c>
      <c r="K913">
        <v>0</v>
      </c>
      <c r="L913">
        <v>3</v>
      </c>
      <c r="M913">
        <v>0</v>
      </c>
      <c r="N913">
        <v>2</v>
      </c>
      <c r="O913">
        <v>1</v>
      </c>
      <c r="P913">
        <v>0</v>
      </c>
      <c r="Q913">
        <v>0</v>
      </c>
      <c r="R913" t="s">
        <v>112</v>
      </c>
      <c r="S913" t="str">
        <f>"14:05:34.531"</f>
        <v>14:05:34.531</v>
      </c>
      <c r="T913" t="str">
        <f>"14:05:34.133"</f>
        <v>14:05:34.133</v>
      </c>
      <c r="U913" t="str">
        <f t="shared" si="42"/>
        <v>ad5732</v>
      </c>
      <c r="V913">
        <v>0</v>
      </c>
      <c r="W913">
        <v>0</v>
      </c>
      <c r="X913">
        <v>1</v>
      </c>
      <c r="Z913">
        <v>0</v>
      </c>
      <c r="AA913">
        <v>9</v>
      </c>
      <c r="AB913">
        <v>3</v>
      </c>
      <c r="AC913">
        <v>0</v>
      </c>
      <c r="AD913">
        <v>10</v>
      </c>
      <c r="AE913">
        <v>0</v>
      </c>
      <c r="AF913">
        <v>3</v>
      </c>
      <c r="AG913">
        <v>2</v>
      </c>
      <c r="AH913">
        <v>0</v>
      </c>
      <c r="AI913" t="s">
        <v>1923</v>
      </c>
      <c r="AJ913">
        <v>39.396929999999998</v>
      </c>
      <c r="AK913" t="s">
        <v>1924</v>
      </c>
      <c r="AL913">
        <v>-76.965858999999995</v>
      </c>
      <c r="AM913">
        <v>100</v>
      </c>
      <c r="AN913">
        <v>8700</v>
      </c>
      <c r="AO913" t="s">
        <v>115</v>
      </c>
      <c r="AP913">
        <v>170</v>
      </c>
      <c r="AQ913">
        <v>84</v>
      </c>
      <c r="AR913">
        <v>0</v>
      </c>
      <c r="AZ913">
        <v>3614</v>
      </c>
      <c r="BA913">
        <v>1</v>
      </c>
      <c r="BB913" t="str">
        <f t="shared" si="44"/>
        <v xml:space="preserve">N959MJ  </v>
      </c>
      <c r="BC913">
        <v>1</v>
      </c>
      <c r="BE913">
        <v>0</v>
      </c>
      <c r="BF913">
        <v>0</v>
      </c>
      <c r="BG913">
        <v>0</v>
      </c>
      <c r="BH913">
        <v>9025</v>
      </c>
      <c r="BI913">
        <v>325</v>
      </c>
      <c r="BJ913">
        <v>1</v>
      </c>
      <c r="BK913">
        <v>1</v>
      </c>
      <c r="BL913">
        <v>1</v>
      </c>
      <c r="BM913">
        <v>0</v>
      </c>
      <c r="BP913">
        <v>0</v>
      </c>
      <c r="BQ913">
        <v>0</v>
      </c>
      <c r="BX913" t="str">
        <f>"14:05:34.531"</f>
        <v>14:05:34.531</v>
      </c>
      <c r="BY913" t="str">
        <f>"532273057"</f>
        <v>532273057</v>
      </c>
      <c r="CL913">
        <v>0</v>
      </c>
      <c r="CM913">
        <v>2</v>
      </c>
      <c r="CN913">
        <v>0</v>
      </c>
      <c r="CO913">
        <v>2</v>
      </c>
      <c r="CP913">
        <v>0</v>
      </c>
      <c r="CQ913">
        <v>6</v>
      </c>
      <c r="CR913" t="s">
        <v>116</v>
      </c>
      <c r="CS913">
        <v>396</v>
      </c>
      <c r="CT913">
        <v>2</v>
      </c>
      <c r="CU913" t="s">
        <v>939</v>
      </c>
      <c r="CV913" t="s">
        <v>940</v>
      </c>
      <c r="CY913">
        <v>4334838</v>
      </c>
      <c r="CZ913" t="s">
        <v>119</v>
      </c>
    </row>
    <row r="914" spans="1:104" x14ac:dyDescent="0.25">
      <c r="A914" t="str">
        <f>"14:05:35.773"</f>
        <v>14:05:35.773</v>
      </c>
      <c r="B914" t="s">
        <v>108</v>
      </c>
      <c r="C914" t="str">
        <f t="shared" si="43"/>
        <v>ffdfd3c0</v>
      </c>
      <c r="D914" t="s">
        <v>109</v>
      </c>
      <c r="E914">
        <v>4</v>
      </c>
      <c r="F914">
        <v>1004</v>
      </c>
      <c r="G914" t="s">
        <v>110</v>
      </c>
      <c r="J914" t="s">
        <v>111</v>
      </c>
      <c r="K914">
        <v>0</v>
      </c>
      <c r="L914">
        <v>3</v>
      </c>
      <c r="M914">
        <v>0</v>
      </c>
      <c r="N914">
        <v>2</v>
      </c>
      <c r="O914">
        <v>1</v>
      </c>
      <c r="P914">
        <v>0</v>
      </c>
      <c r="Q914">
        <v>0</v>
      </c>
      <c r="R914" t="s">
        <v>112</v>
      </c>
      <c r="S914" t="str">
        <f>"14:05:35.586"</f>
        <v>14:05:35.586</v>
      </c>
      <c r="T914" t="str">
        <f>"14:05:35.086"</f>
        <v>14:05:35.086</v>
      </c>
      <c r="U914" t="str">
        <f t="shared" si="42"/>
        <v>ad5732</v>
      </c>
      <c r="V914">
        <v>0</v>
      </c>
      <c r="W914">
        <v>0</v>
      </c>
      <c r="X914">
        <v>1</v>
      </c>
      <c r="Z914">
        <v>0</v>
      </c>
      <c r="AA914">
        <v>9</v>
      </c>
      <c r="AB914">
        <v>3</v>
      </c>
      <c r="AC914">
        <v>0</v>
      </c>
      <c r="AD914">
        <v>10</v>
      </c>
      <c r="AE914">
        <v>0</v>
      </c>
      <c r="AF914">
        <v>3</v>
      </c>
      <c r="AG914">
        <v>2</v>
      </c>
      <c r="AH914">
        <v>0</v>
      </c>
      <c r="AI914" t="s">
        <v>1925</v>
      </c>
      <c r="AJ914">
        <v>39.397337</v>
      </c>
      <c r="AK914" t="s">
        <v>1926</v>
      </c>
      <c r="AL914">
        <v>-76.964721999999995</v>
      </c>
      <c r="AM914">
        <v>100</v>
      </c>
      <c r="AN914">
        <v>8700</v>
      </c>
      <c r="AO914" t="s">
        <v>115</v>
      </c>
      <c r="AP914">
        <v>170</v>
      </c>
      <c r="AQ914">
        <v>85</v>
      </c>
      <c r="AR914">
        <v>0</v>
      </c>
      <c r="AZ914">
        <v>3614</v>
      </c>
      <c r="BA914">
        <v>1</v>
      </c>
      <c r="BB914" t="str">
        <f t="shared" si="44"/>
        <v xml:space="preserve">N959MJ  </v>
      </c>
      <c r="BC914">
        <v>1</v>
      </c>
      <c r="BE914">
        <v>0</v>
      </c>
      <c r="BF914">
        <v>0</v>
      </c>
      <c r="BG914">
        <v>0</v>
      </c>
      <c r="BH914">
        <v>9025</v>
      </c>
      <c r="BI914">
        <v>325</v>
      </c>
      <c r="BJ914">
        <v>1</v>
      </c>
      <c r="BK914">
        <v>1</v>
      </c>
      <c r="BL914">
        <v>1</v>
      </c>
      <c r="BM914">
        <v>0</v>
      </c>
      <c r="BP914">
        <v>0</v>
      </c>
      <c r="BQ914">
        <v>0</v>
      </c>
      <c r="BX914" t="str">
        <f>"14:05:35.586"</f>
        <v>14:05:35.586</v>
      </c>
      <c r="BY914" t="str">
        <f>"588945828"</f>
        <v>588945828</v>
      </c>
      <c r="CL914">
        <v>0</v>
      </c>
      <c r="CM914">
        <v>2</v>
      </c>
      <c r="CN914">
        <v>0</v>
      </c>
      <c r="CO914">
        <v>2</v>
      </c>
      <c r="CP914">
        <v>0</v>
      </c>
      <c r="CQ914">
        <v>7</v>
      </c>
      <c r="CR914" t="s">
        <v>116</v>
      </c>
      <c r="CS914">
        <v>525</v>
      </c>
      <c r="CT914">
        <v>1</v>
      </c>
      <c r="CU914" t="s">
        <v>140</v>
      </c>
      <c r="CV914" t="s">
        <v>141</v>
      </c>
      <c r="CY914">
        <v>8483071</v>
      </c>
      <c r="CZ914" t="s">
        <v>119</v>
      </c>
    </row>
    <row r="915" spans="1:104" x14ac:dyDescent="0.25">
      <c r="A915" t="str">
        <f>"14:05:36.883"</f>
        <v>14:05:36.883</v>
      </c>
      <c r="B915" t="s">
        <v>108</v>
      </c>
      <c r="C915" t="str">
        <f t="shared" si="43"/>
        <v>ffdfd3c0</v>
      </c>
      <c r="D915" t="s">
        <v>109</v>
      </c>
      <c r="E915">
        <v>4</v>
      </c>
      <c r="F915">
        <v>1004</v>
      </c>
      <c r="G915" t="s">
        <v>110</v>
      </c>
      <c r="J915" t="s">
        <v>111</v>
      </c>
      <c r="K915">
        <v>0</v>
      </c>
      <c r="L915">
        <v>3</v>
      </c>
      <c r="M915">
        <v>0</v>
      </c>
      <c r="N915">
        <v>2</v>
      </c>
      <c r="O915">
        <v>1</v>
      </c>
      <c r="P915">
        <v>0</v>
      </c>
      <c r="Q915">
        <v>0</v>
      </c>
      <c r="R915" t="s">
        <v>112</v>
      </c>
      <c r="S915" t="str">
        <f>"14:05:36.680"</f>
        <v>14:05:36.680</v>
      </c>
      <c r="T915" t="str">
        <f>"14:05:36.180"</f>
        <v>14:05:36.180</v>
      </c>
      <c r="U915" t="str">
        <f t="shared" si="42"/>
        <v>ad5732</v>
      </c>
      <c r="V915">
        <v>0</v>
      </c>
      <c r="W915">
        <v>0</v>
      </c>
      <c r="X915">
        <v>1</v>
      </c>
      <c r="Z915">
        <v>0</v>
      </c>
      <c r="AA915">
        <v>9</v>
      </c>
      <c r="AB915">
        <v>3</v>
      </c>
      <c r="AC915">
        <v>0</v>
      </c>
      <c r="AD915">
        <v>10</v>
      </c>
      <c r="AE915">
        <v>0</v>
      </c>
      <c r="AF915">
        <v>3</v>
      </c>
      <c r="AG915">
        <v>2</v>
      </c>
      <c r="AH915">
        <v>0</v>
      </c>
      <c r="AI915" t="s">
        <v>1927</v>
      </c>
      <c r="AJ915">
        <v>39.397787999999998</v>
      </c>
      <c r="AK915" t="s">
        <v>1928</v>
      </c>
      <c r="AL915">
        <v>-76.963649000000004</v>
      </c>
      <c r="AM915">
        <v>100</v>
      </c>
      <c r="AN915">
        <v>8700</v>
      </c>
      <c r="AO915" t="s">
        <v>115</v>
      </c>
      <c r="AP915">
        <v>170</v>
      </c>
      <c r="AQ915">
        <v>85</v>
      </c>
      <c r="AR915">
        <v>0</v>
      </c>
      <c r="AZ915">
        <v>3614</v>
      </c>
      <c r="BA915">
        <v>1</v>
      </c>
      <c r="BB915" t="str">
        <f t="shared" si="44"/>
        <v xml:space="preserve">N959MJ  </v>
      </c>
      <c r="BC915">
        <v>1</v>
      </c>
      <c r="BE915">
        <v>0</v>
      </c>
      <c r="BF915">
        <v>0</v>
      </c>
      <c r="BG915">
        <v>0</v>
      </c>
      <c r="BH915">
        <v>9025</v>
      </c>
      <c r="BI915">
        <v>325</v>
      </c>
      <c r="BJ915">
        <v>1</v>
      </c>
      <c r="BK915">
        <v>1</v>
      </c>
      <c r="BL915">
        <v>1</v>
      </c>
      <c r="BM915">
        <v>0</v>
      </c>
      <c r="BP915">
        <v>0</v>
      </c>
      <c r="BQ915">
        <v>0</v>
      </c>
      <c r="BX915" t="str">
        <f>"14:05:36.688"</f>
        <v>14:05:36.688</v>
      </c>
      <c r="BY915" t="str">
        <f>"686692049"</f>
        <v>686692049</v>
      </c>
      <c r="CL915">
        <v>0</v>
      </c>
      <c r="CM915">
        <v>2</v>
      </c>
      <c r="CN915">
        <v>0</v>
      </c>
      <c r="CO915">
        <v>2</v>
      </c>
      <c r="CP915">
        <v>0</v>
      </c>
      <c r="CQ915">
        <v>7</v>
      </c>
      <c r="CR915" t="s">
        <v>116</v>
      </c>
      <c r="CS915">
        <v>525</v>
      </c>
      <c r="CT915">
        <v>1</v>
      </c>
      <c r="CU915" t="s">
        <v>140</v>
      </c>
      <c r="CV915" t="s">
        <v>141</v>
      </c>
      <c r="CY915">
        <v>8484575</v>
      </c>
      <c r="CZ915" t="s">
        <v>119</v>
      </c>
    </row>
    <row r="916" spans="1:104" x14ac:dyDescent="0.25">
      <c r="A916" t="str">
        <f>"14:05:37.891"</f>
        <v>14:05:37.891</v>
      </c>
      <c r="B916" t="s">
        <v>108</v>
      </c>
      <c r="C916" t="str">
        <f t="shared" si="43"/>
        <v>ffdfd3c0</v>
      </c>
      <c r="D916" t="s">
        <v>109</v>
      </c>
      <c r="E916">
        <v>4</v>
      </c>
      <c r="F916">
        <v>1004</v>
      </c>
      <c r="G916" t="s">
        <v>110</v>
      </c>
      <c r="J916" t="s">
        <v>111</v>
      </c>
      <c r="K916">
        <v>0</v>
      </c>
      <c r="L916">
        <v>3</v>
      </c>
      <c r="M916">
        <v>0</v>
      </c>
      <c r="N916">
        <v>2</v>
      </c>
      <c r="O916">
        <v>1</v>
      </c>
      <c r="P916">
        <v>0</v>
      </c>
      <c r="Q916">
        <v>0</v>
      </c>
      <c r="R916" t="s">
        <v>112</v>
      </c>
      <c r="S916" t="str">
        <f>"14:05:37.680"</f>
        <v>14:05:37.680</v>
      </c>
      <c r="T916" t="str">
        <f>"14:05:37.281"</f>
        <v>14:05:37.281</v>
      </c>
      <c r="U916" t="str">
        <f t="shared" si="42"/>
        <v>ad5732</v>
      </c>
      <c r="V916">
        <v>0</v>
      </c>
      <c r="W916">
        <v>0</v>
      </c>
      <c r="X916">
        <v>1</v>
      </c>
      <c r="Z916">
        <v>0</v>
      </c>
      <c r="AA916">
        <v>9</v>
      </c>
      <c r="AB916">
        <v>3</v>
      </c>
      <c r="AC916">
        <v>0</v>
      </c>
      <c r="AD916">
        <v>10</v>
      </c>
      <c r="AE916">
        <v>0</v>
      </c>
      <c r="AF916">
        <v>3</v>
      </c>
      <c r="AG916">
        <v>2</v>
      </c>
      <c r="AH916">
        <v>0</v>
      </c>
      <c r="AI916" t="s">
        <v>1929</v>
      </c>
      <c r="AJ916">
        <v>39.398217000000002</v>
      </c>
      <c r="AK916" t="s">
        <v>1930</v>
      </c>
      <c r="AL916">
        <v>-76.962639999999993</v>
      </c>
      <c r="AM916">
        <v>100</v>
      </c>
      <c r="AN916">
        <v>8700</v>
      </c>
      <c r="AO916" t="s">
        <v>115</v>
      </c>
      <c r="AP916">
        <v>170</v>
      </c>
      <c r="AQ916">
        <v>86</v>
      </c>
      <c r="AR916">
        <v>0</v>
      </c>
      <c r="AZ916">
        <v>3614</v>
      </c>
      <c r="BA916">
        <v>1</v>
      </c>
      <c r="BB916" t="str">
        <f t="shared" si="44"/>
        <v xml:space="preserve">N959MJ  </v>
      </c>
      <c r="BC916">
        <v>1</v>
      </c>
      <c r="BE916">
        <v>0</v>
      </c>
      <c r="BF916">
        <v>0</v>
      </c>
      <c r="BG916">
        <v>0</v>
      </c>
      <c r="BH916">
        <v>9025</v>
      </c>
      <c r="BI916">
        <v>325</v>
      </c>
      <c r="BJ916">
        <v>1</v>
      </c>
      <c r="BK916">
        <v>1</v>
      </c>
      <c r="BL916">
        <v>1</v>
      </c>
      <c r="BM916">
        <v>0</v>
      </c>
      <c r="BP916">
        <v>0</v>
      </c>
      <c r="BQ916">
        <v>0</v>
      </c>
      <c r="BX916" t="str">
        <f>"14:05:37.680"</f>
        <v>14:05:37.680</v>
      </c>
      <c r="BY916" t="str">
        <f>"682855828"</f>
        <v>682855828</v>
      </c>
      <c r="CL916">
        <v>0</v>
      </c>
      <c r="CM916">
        <v>2</v>
      </c>
      <c r="CN916">
        <v>0</v>
      </c>
      <c r="CO916">
        <v>2</v>
      </c>
      <c r="CP916">
        <v>0</v>
      </c>
      <c r="CQ916">
        <v>7</v>
      </c>
      <c r="CR916" t="s">
        <v>116</v>
      </c>
      <c r="CS916">
        <v>525</v>
      </c>
      <c r="CT916">
        <v>1</v>
      </c>
      <c r="CU916" t="s">
        <v>140</v>
      </c>
      <c r="CV916" t="s">
        <v>141</v>
      </c>
      <c r="CY916">
        <v>8486055</v>
      </c>
      <c r="CZ916" t="s">
        <v>119</v>
      </c>
    </row>
    <row r="917" spans="1:104" x14ac:dyDescent="0.25">
      <c r="A917" t="str">
        <f>"14:05:38.797"</f>
        <v>14:05:38.797</v>
      </c>
      <c r="B917" t="s">
        <v>108</v>
      </c>
      <c r="C917" t="str">
        <f t="shared" si="43"/>
        <v>ffdfd3c0</v>
      </c>
      <c r="D917" t="s">
        <v>109</v>
      </c>
      <c r="E917">
        <v>4</v>
      </c>
      <c r="F917">
        <v>1004</v>
      </c>
      <c r="G917" t="s">
        <v>110</v>
      </c>
      <c r="J917" t="s">
        <v>111</v>
      </c>
      <c r="K917">
        <v>0</v>
      </c>
      <c r="L917">
        <v>3</v>
      </c>
      <c r="M917">
        <v>0</v>
      </c>
      <c r="N917">
        <v>2</v>
      </c>
      <c r="O917">
        <v>1</v>
      </c>
      <c r="P917">
        <v>0</v>
      </c>
      <c r="Q917">
        <v>0</v>
      </c>
      <c r="R917" t="s">
        <v>112</v>
      </c>
      <c r="S917" t="str">
        <f>"14:05:38.609"</f>
        <v>14:05:38.609</v>
      </c>
      <c r="T917" t="str">
        <f>"14:05:38.211"</f>
        <v>14:05:38.211</v>
      </c>
      <c r="U917" t="str">
        <f t="shared" si="42"/>
        <v>ad5732</v>
      </c>
      <c r="V917">
        <v>0</v>
      </c>
      <c r="W917">
        <v>0</v>
      </c>
      <c r="X917">
        <v>1</v>
      </c>
      <c r="Z917">
        <v>0</v>
      </c>
      <c r="AA917">
        <v>9</v>
      </c>
      <c r="AB917">
        <v>3</v>
      </c>
      <c r="AC917">
        <v>0</v>
      </c>
      <c r="AD917">
        <v>10</v>
      </c>
      <c r="AE917">
        <v>0</v>
      </c>
      <c r="AF917">
        <v>3</v>
      </c>
      <c r="AG917">
        <v>2</v>
      </c>
      <c r="AH917">
        <v>0</v>
      </c>
      <c r="AI917" t="s">
        <v>1931</v>
      </c>
      <c r="AJ917">
        <v>39.398561000000001</v>
      </c>
      <c r="AK917" t="s">
        <v>1932</v>
      </c>
      <c r="AL917">
        <v>-76.961738999999994</v>
      </c>
      <c r="AM917">
        <v>100</v>
      </c>
      <c r="AN917">
        <v>8700</v>
      </c>
      <c r="AO917" t="s">
        <v>115</v>
      </c>
      <c r="AP917">
        <v>170</v>
      </c>
      <c r="AQ917">
        <v>86</v>
      </c>
      <c r="AR917">
        <v>0</v>
      </c>
      <c r="AZ917">
        <v>3614</v>
      </c>
      <c r="BA917">
        <v>1</v>
      </c>
      <c r="BB917" t="str">
        <f t="shared" si="44"/>
        <v xml:space="preserve">N959MJ  </v>
      </c>
      <c r="BC917">
        <v>1</v>
      </c>
      <c r="BE917">
        <v>0</v>
      </c>
      <c r="BF917">
        <v>0</v>
      </c>
      <c r="BG917">
        <v>0</v>
      </c>
      <c r="BH917">
        <v>9025</v>
      </c>
      <c r="BI917">
        <v>325</v>
      </c>
      <c r="BJ917">
        <v>1</v>
      </c>
      <c r="BK917">
        <v>1</v>
      </c>
      <c r="BL917">
        <v>1</v>
      </c>
      <c r="BM917">
        <v>0</v>
      </c>
      <c r="BP917">
        <v>0</v>
      </c>
      <c r="BQ917">
        <v>0</v>
      </c>
      <c r="BX917" t="str">
        <f>"14:05:38.617"</f>
        <v>14:05:38.617</v>
      </c>
      <c r="BY917" t="str">
        <f>"613482511"</f>
        <v>613482511</v>
      </c>
      <c r="CL917">
        <v>0</v>
      </c>
      <c r="CM917">
        <v>2</v>
      </c>
      <c r="CN917">
        <v>0</v>
      </c>
      <c r="CO917">
        <v>2</v>
      </c>
      <c r="CP917">
        <v>0</v>
      </c>
      <c r="CQ917">
        <v>6</v>
      </c>
      <c r="CR917" t="s">
        <v>116</v>
      </c>
      <c r="CS917">
        <v>525</v>
      </c>
      <c r="CT917">
        <v>1</v>
      </c>
      <c r="CU917" t="s">
        <v>140</v>
      </c>
      <c r="CV917" t="s">
        <v>141</v>
      </c>
      <c r="CY917">
        <v>8487463</v>
      </c>
      <c r="CZ917" t="s">
        <v>119</v>
      </c>
    </row>
    <row r="918" spans="1:104" x14ac:dyDescent="0.25">
      <c r="A918" t="str">
        <f>"14:05:39.758"</f>
        <v>14:05:39.758</v>
      </c>
      <c r="B918" t="s">
        <v>108</v>
      </c>
      <c r="C918" t="str">
        <f t="shared" si="43"/>
        <v>ffdfd3c0</v>
      </c>
      <c r="D918" t="s">
        <v>109</v>
      </c>
      <c r="E918">
        <v>4</v>
      </c>
      <c r="F918">
        <v>1004</v>
      </c>
      <c r="G918" t="s">
        <v>110</v>
      </c>
      <c r="J918" t="s">
        <v>111</v>
      </c>
      <c r="K918">
        <v>0</v>
      </c>
      <c r="L918">
        <v>3</v>
      </c>
      <c r="M918">
        <v>0</v>
      </c>
      <c r="N918">
        <v>2</v>
      </c>
      <c r="O918">
        <v>1</v>
      </c>
      <c r="P918">
        <v>0</v>
      </c>
      <c r="Q918">
        <v>0</v>
      </c>
      <c r="R918" t="s">
        <v>112</v>
      </c>
      <c r="S918" t="str">
        <f>"14:05:39.602"</f>
        <v>14:05:39.602</v>
      </c>
      <c r="T918" t="str">
        <f>"14:05:39.102"</f>
        <v>14:05:39.102</v>
      </c>
      <c r="U918" t="str">
        <f t="shared" si="42"/>
        <v>ad5732</v>
      </c>
      <c r="V918">
        <v>0</v>
      </c>
      <c r="W918">
        <v>0</v>
      </c>
      <c r="X918">
        <v>1</v>
      </c>
      <c r="Z918">
        <v>0</v>
      </c>
      <c r="AA918">
        <v>9</v>
      </c>
      <c r="AB918">
        <v>3</v>
      </c>
      <c r="AC918">
        <v>0</v>
      </c>
      <c r="AD918">
        <v>10</v>
      </c>
      <c r="AE918">
        <v>0</v>
      </c>
      <c r="AF918">
        <v>3</v>
      </c>
      <c r="AG918">
        <v>2</v>
      </c>
      <c r="AH918">
        <v>0</v>
      </c>
      <c r="AI918" t="s">
        <v>1933</v>
      </c>
      <c r="AJ918">
        <v>39.398968000000004</v>
      </c>
      <c r="AK918" t="s">
        <v>1934</v>
      </c>
      <c r="AL918">
        <v>-76.960688000000005</v>
      </c>
      <c r="AM918">
        <v>100</v>
      </c>
      <c r="AN918">
        <v>8700</v>
      </c>
      <c r="AO918" t="s">
        <v>115</v>
      </c>
      <c r="AP918">
        <v>169</v>
      </c>
      <c r="AQ918">
        <v>87</v>
      </c>
      <c r="AR918">
        <v>0</v>
      </c>
      <c r="AZ918">
        <v>3614</v>
      </c>
      <c r="BA918">
        <v>1</v>
      </c>
      <c r="BB918" t="str">
        <f t="shared" si="44"/>
        <v xml:space="preserve">N959MJ  </v>
      </c>
      <c r="BC918">
        <v>1</v>
      </c>
      <c r="BE918">
        <v>0</v>
      </c>
      <c r="BF918">
        <v>0</v>
      </c>
      <c r="BG918">
        <v>0</v>
      </c>
      <c r="BH918">
        <v>9025</v>
      </c>
      <c r="BI918">
        <v>325</v>
      </c>
      <c r="BJ918">
        <v>1</v>
      </c>
      <c r="BK918">
        <v>1</v>
      </c>
      <c r="BL918">
        <v>1</v>
      </c>
      <c r="BM918">
        <v>0</v>
      </c>
      <c r="BP918">
        <v>0</v>
      </c>
      <c r="BQ918">
        <v>0</v>
      </c>
      <c r="BX918" t="str">
        <f>"14:05:39.602"</f>
        <v>14:05:39.602</v>
      </c>
      <c r="BY918" t="str">
        <f>"604736062"</f>
        <v>604736062</v>
      </c>
      <c r="CL918">
        <v>0</v>
      </c>
      <c r="CM918">
        <v>2</v>
      </c>
      <c r="CN918">
        <v>0</v>
      </c>
      <c r="CO918">
        <v>2</v>
      </c>
      <c r="CP918">
        <v>0</v>
      </c>
      <c r="CQ918">
        <v>6</v>
      </c>
      <c r="CR918" t="s">
        <v>116</v>
      </c>
      <c r="CS918">
        <v>147</v>
      </c>
      <c r="CT918">
        <v>0</v>
      </c>
      <c r="CU918" t="s">
        <v>117</v>
      </c>
      <c r="CV918" t="s">
        <v>118</v>
      </c>
      <c r="CY918">
        <v>5381123</v>
      </c>
      <c r="CZ918" t="s">
        <v>119</v>
      </c>
    </row>
    <row r="919" spans="1:104" x14ac:dyDescent="0.25">
      <c r="A919" t="str">
        <f>"14:05:40.867"</f>
        <v>14:05:40.867</v>
      </c>
      <c r="B919" t="s">
        <v>108</v>
      </c>
      <c r="C919" t="str">
        <f t="shared" si="43"/>
        <v>ffdfd3c0</v>
      </c>
      <c r="D919" t="s">
        <v>109</v>
      </c>
      <c r="E919">
        <v>4</v>
      </c>
      <c r="F919">
        <v>1004</v>
      </c>
      <c r="G919" t="s">
        <v>110</v>
      </c>
      <c r="J919" t="s">
        <v>111</v>
      </c>
      <c r="K919">
        <v>0</v>
      </c>
      <c r="L919">
        <v>3</v>
      </c>
      <c r="M919">
        <v>0</v>
      </c>
      <c r="N919">
        <v>2</v>
      </c>
      <c r="O919">
        <v>1</v>
      </c>
      <c r="P919">
        <v>0</v>
      </c>
      <c r="Q919">
        <v>0</v>
      </c>
      <c r="R919" t="s">
        <v>112</v>
      </c>
      <c r="S919" t="str">
        <f>"14:05:40.672"</f>
        <v>14:05:40.672</v>
      </c>
      <c r="T919" t="str">
        <f>"14:05:40.172"</f>
        <v>14:05:40.172</v>
      </c>
      <c r="U919" t="str">
        <f t="shared" si="42"/>
        <v>ad5732</v>
      </c>
      <c r="V919">
        <v>0</v>
      </c>
      <c r="W919">
        <v>0</v>
      </c>
      <c r="X919">
        <v>1</v>
      </c>
      <c r="Z919">
        <v>0</v>
      </c>
      <c r="AA919">
        <v>9</v>
      </c>
      <c r="AB919">
        <v>3</v>
      </c>
      <c r="AC919">
        <v>0</v>
      </c>
      <c r="AD919">
        <v>10</v>
      </c>
      <c r="AE919">
        <v>0</v>
      </c>
      <c r="AF919">
        <v>3</v>
      </c>
      <c r="AG919">
        <v>2</v>
      </c>
      <c r="AH919">
        <v>0</v>
      </c>
      <c r="AI919" t="s">
        <v>1935</v>
      </c>
      <c r="AJ919">
        <v>39.399354000000002</v>
      </c>
      <c r="AK919" t="s">
        <v>1936</v>
      </c>
      <c r="AL919">
        <v>-76.959658000000005</v>
      </c>
      <c r="AM919">
        <v>100</v>
      </c>
      <c r="AN919">
        <v>8700</v>
      </c>
      <c r="AO919" t="s">
        <v>115</v>
      </c>
      <c r="AP919">
        <v>169</v>
      </c>
      <c r="AQ919">
        <v>87</v>
      </c>
      <c r="AR919">
        <v>0</v>
      </c>
      <c r="AZ919">
        <v>3614</v>
      </c>
      <c r="BA919">
        <v>1</v>
      </c>
      <c r="BB919" t="str">
        <f t="shared" si="44"/>
        <v xml:space="preserve">N959MJ  </v>
      </c>
      <c r="BC919">
        <v>1</v>
      </c>
      <c r="BE919">
        <v>0</v>
      </c>
      <c r="BF919">
        <v>0</v>
      </c>
      <c r="BG919">
        <v>0</v>
      </c>
      <c r="BH919">
        <v>9025</v>
      </c>
      <c r="BI919">
        <v>325</v>
      </c>
      <c r="BJ919">
        <v>1</v>
      </c>
      <c r="BK919">
        <v>1</v>
      </c>
      <c r="BL919">
        <v>1</v>
      </c>
      <c r="BM919">
        <v>0</v>
      </c>
      <c r="BP919">
        <v>0</v>
      </c>
      <c r="BQ919">
        <v>0</v>
      </c>
      <c r="BX919" t="str">
        <f>"14:05:40.680"</f>
        <v>14:05:40.680</v>
      </c>
      <c r="BY919" t="str">
        <f>"677905898"</f>
        <v>677905898</v>
      </c>
      <c r="CL919">
        <v>0</v>
      </c>
      <c r="CM919">
        <v>2</v>
      </c>
      <c r="CN919">
        <v>0</v>
      </c>
      <c r="CO919">
        <v>2</v>
      </c>
      <c r="CP919">
        <v>0</v>
      </c>
      <c r="CQ919">
        <v>6</v>
      </c>
      <c r="CR919" t="s">
        <v>116</v>
      </c>
      <c r="CS919">
        <v>147</v>
      </c>
      <c r="CT919">
        <v>0</v>
      </c>
      <c r="CU919" t="s">
        <v>117</v>
      </c>
      <c r="CV919" t="s">
        <v>118</v>
      </c>
      <c r="CY919">
        <v>5382901</v>
      </c>
      <c r="CZ919" t="s">
        <v>119</v>
      </c>
    </row>
    <row r="920" spans="1:104" x14ac:dyDescent="0.25">
      <c r="A920" t="str">
        <f>"14:05:41.781"</f>
        <v>14:05:41.781</v>
      </c>
      <c r="B920" t="s">
        <v>108</v>
      </c>
      <c r="C920" t="str">
        <f t="shared" si="43"/>
        <v>ffdfd3c0</v>
      </c>
      <c r="D920" t="s">
        <v>109</v>
      </c>
      <c r="E920">
        <v>4</v>
      </c>
      <c r="F920">
        <v>1004</v>
      </c>
      <c r="G920" t="s">
        <v>110</v>
      </c>
      <c r="J920" t="s">
        <v>111</v>
      </c>
      <c r="K920">
        <v>0</v>
      </c>
      <c r="L920">
        <v>3</v>
      </c>
      <c r="M920">
        <v>0</v>
      </c>
      <c r="N920">
        <v>2</v>
      </c>
      <c r="O920">
        <v>1</v>
      </c>
      <c r="P920">
        <v>0</v>
      </c>
      <c r="Q920">
        <v>0</v>
      </c>
      <c r="R920" t="s">
        <v>112</v>
      </c>
      <c r="S920" t="str">
        <f>"14:05:41.617"</f>
        <v>14:05:41.617</v>
      </c>
      <c r="T920" t="str">
        <f>"14:05:41.117"</f>
        <v>14:05:41.117</v>
      </c>
      <c r="U920" t="str">
        <f t="shared" si="42"/>
        <v>ad5732</v>
      </c>
      <c r="V920">
        <v>0</v>
      </c>
      <c r="W920">
        <v>0</v>
      </c>
      <c r="X920">
        <v>1</v>
      </c>
      <c r="Z920">
        <v>0</v>
      </c>
      <c r="AA920">
        <v>9</v>
      </c>
      <c r="AB920">
        <v>3</v>
      </c>
      <c r="AC920">
        <v>0</v>
      </c>
      <c r="AD920">
        <v>10</v>
      </c>
      <c r="AE920">
        <v>0</v>
      </c>
      <c r="AF920">
        <v>3</v>
      </c>
      <c r="AG920">
        <v>2</v>
      </c>
      <c r="AH920">
        <v>0</v>
      </c>
      <c r="AI920" t="s">
        <v>1937</v>
      </c>
      <c r="AJ920">
        <v>39.399762000000003</v>
      </c>
      <c r="AK920" t="s">
        <v>1938</v>
      </c>
      <c r="AL920">
        <v>-76.958670999999995</v>
      </c>
      <c r="AM920">
        <v>100</v>
      </c>
      <c r="AN920">
        <v>8700</v>
      </c>
      <c r="AO920" t="s">
        <v>115</v>
      </c>
      <c r="AP920">
        <v>169</v>
      </c>
      <c r="AQ920">
        <v>87</v>
      </c>
      <c r="AR920">
        <v>0</v>
      </c>
      <c r="AZ920">
        <v>3614</v>
      </c>
      <c r="BA920">
        <v>1</v>
      </c>
      <c r="BB920" t="str">
        <f t="shared" si="44"/>
        <v xml:space="preserve">N959MJ  </v>
      </c>
      <c r="BC920">
        <v>1</v>
      </c>
      <c r="BE920">
        <v>0</v>
      </c>
      <c r="BF920">
        <v>0</v>
      </c>
      <c r="BG920">
        <v>0</v>
      </c>
      <c r="BH920">
        <v>9025</v>
      </c>
      <c r="BI920">
        <v>325</v>
      </c>
      <c r="BJ920">
        <v>1</v>
      </c>
      <c r="BK920">
        <v>1</v>
      </c>
      <c r="BL920">
        <v>1</v>
      </c>
      <c r="BM920">
        <v>0</v>
      </c>
      <c r="BP920">
        <v>0</v>
      </c>
      <c r="BQ920">
        <v>0</v>
      </c>
      <c r="BX920" t="str">
        <f>"14:05:41.625"</f>
        <v>14:05:41.625</v>
      </c>
      <c r="BY920" t="str">
        <f>"624911842"</f>
        <v>624911842</v>
      </c>
      <c r="CL920">
        <v>0</v>
      </c>
      <c r="CM920">
        <v>2</v>
      </c>
      <c r="CN920">
        <v>0</v>
      </c>
      <c r="CO920">
        <v>2</v>
      </c>
      <c r="CP920">
        <v>0</v>
      </c>
      <c r="CQ920">
        <v>7</v>
      </c>
      <c r="CR920" t="s">
        <v>116</v>
      </c>
      <c r="CS920">
        <v>525</v>
      </c>
      <c r="CT920">
        <v>1</v>
      </c>
      <c r="CU920" t="s">
        <v>140</v>
      </c>
      <c r="CV920" t="s">
        <v>141</v>
      </c>
      <c r="CY920">
        <v>8491871</v>
      </c>
      <c r="CZ920" t="s">
        <v>119</v>
      </c>
    </row>
    <row r="921" spans="1:104" x14ac:dyDescent="0.25">
      <c r="A921" t="str">
        <f>"14:05:42.789"</f>
        <v>14:05:42.789</v>
      </c>
      <c r="B921" t="s">
        <v>108</v>
      </c>
      <c r="C921" t="str">
        <f t="shared" si="43"/>
        <v>ffdfd3c0</v>
      </c>
      <c r="D921" t="s">
        <v>109</v>
      </c>
      <c r="E921">
        <v>4</v>
      </c>
      <c r="F921">
        <v>1004</v>
      </c>
      <c r="G921" t="s">
        <v>110</v>
      </c>
      <c r="J921" t="s">
        <v>111</v>
      </c>
      <c r="K921">
        <v>0</v>
      </c>
      <c r="L921">
        <v>3</v>
      </c>
      <c r="M921">
        <v>0</v>
      </c>
      <c r="N921">
        <v>2</v>
      </c>
      <c r="O921">
        <v>1</v>
      </c>
      <c r="P921">
        <v>0</v>
      </c>
      <c r="Q921">
        <v>0</v>
      </c>
      <c r="R921" t="s">
        <v>112</v>
      </c>
      <c r="S921" t="str">
        <f>"14:05:42.617"</f>
        <v>14:05:42.617</v>
      </c>
      <c r="T921" t="str">
        <f>"14:05:42.117"</f>
        <v>14:05:42.117</v>
      </c>
      <c r="U921" t="str">
        <f t="shared" si="42"/>
        <v>ad5732</v>
      </c>
      <c r="V921">
        <v>0</v>
      </c>
      <c r="W921">
        <v>0</v>
      </c>
      <c r="X921">
        <v>1</v>
      </c>
      <c r="Z921">
        <v>0</v>
      </c>
      <c r="AA921">
        <v>9</v>
      </c>
      <c r="AB921">
        <v>3</v>
      </c>
      <c r="AC921">
        <v>0</v>
      </c>
      <c r="AD921">
        <v>10</v>
      </c>
      <c r="AE921">
        <v>0</v>
      </c>
      <c r="AF921">
        <v>3</v>
      </c>
      <c r="AG921">
        <v>2</v>
      </c>
      <c r="AH921">
        <v>0</v>
      </c>
      <c r="AI921" t="s">
        <v>1939</v>
      </c>
      <c r="AJ921">
        <v>39.400191</v>
      </c>
      <c r="AK921" t="s">
        <v>1940</v>
      </c>
      <c r="AL921">
        <v>-76.957640999999995</v>
      </c>
      <c r="AM921">
        <v>100</v>
      </c>
      <c r="AN921">
        <v>8700</v>
      </c>
      <c r="AO921" t="s">
        <v>115</v>
      </c>
      <c r="AP921">
        <v>169</v>
      </c>
      <c r="AQ921">
        <v>88</v>
      </c>
      <c r="AR921">
        <v>0</v>
      </c>
      <c r="AZ921">
        <v>3614</v>
      </c>
      <c r="BA921">
        <v>1</v>
      </c>
      <c r="BB921" t="str">
        <f t="shared" si="44"/>
        <v xml:space="preserve">N959MJ  </v>
      </c>
      <c r="BC921">
        <v>1</v>
      </c>
      <c r="BE921">
        <v>0</v>
      </c>
      <c r="BF921">
        <v>0</v>
      </c>
      <c r="BG921">
        <v>0</v>
      </c>
      <c r="BH921">
        <v>9025</v>
      </c>
      <c r="BI921">
        <v>325</v>
      </c>
      <c r="BJ921">
        <v>1</v>
      </c>
      <c r="BK921">
        <v>1</v>
      </c>
      <c r="BL921">
        <v>1</v>
      </c>
      <c r="BM921">
        <v>0</v>
      </c>
      <c r="BP921">
        <v>0</v>
      </c>
      <c r="BQ921">
        <v>0</v>
      </c>
      <c r="BX921" t="str">
        <f>"14:05:42.625"</f>
        <v>14:05:42.625</v>
      </c>
      <c r="BY921" t="str">
        <f>"622719069"</f>
        <v>622719069</v>
      </c>
      <c r="CL921">
        <v>0</v>
      </c>
      <c r="CM921">
        <v>2</v>
      </c>
      <c r="CN921">
        <v>0</v>
      </c>
      <c r="CO921">
        <v>2</v>
      </c>
      <c r="CP921">
        <v>0</v>
      </c>
      <c r="CQ921">
        <v>7</v>
      </c>
      <c r="CR921" t="s">
        <v>116</v>
      </c>
      <c r="CS921">
        <v>147</v>
      </c>
      <c r="CT921">
        <v>0</v>
      </c>
      <c r="CU921" t="s">
        <v>117</v>
      </c>
      <c r="CV921" t="s">
        <v>118</v>
      </c>
      <c r="CY921">
        <v>5386037</v>
      </c>
      <c r="CZ921" t="s">
        <v>119</v>
      </c>
    </row>
    <row r="922" spans="1:104" x14ac:dyDescent="0.25">
      <c r="A922" t="str">
        <f>"14:05:43.648"</f>
        <v>14:05:43.648</v>
      </c>
      <c r="B922" t="s">
        <v>108</v>
      </c>
      <c r="C922" t="str">
        <f t="shared" si="43"/>
        <v>ffdfd3c0</v>
      </c>
      <c r="D922" t="s">
        <v>109</v>
      </c>
      <c r="E922">
        <v>4</v>
      </c>
      <c r="F922">
        <v>1004</v>
      </c>
      <c r="G922" t="s">
        <v>110</v>
      </c>
      <c r="J922" t="s">
        <v>111</v>
      </c>
      <c r="K922">
        <v>0</v>
      </c>
      <c r="L922">
        <v>3</v>
      </c>
      <c r="M922">
        <v>0</v>
      </c>
      <c r="N922">
        <v>2</v>
      </c>
      <c r="O922">
        <v>1</v>
      </c>
      <c r="P922">
        <v>0</v>
      </c>
      <c r="Q922">
        <v>0</v>
      </c>
      <c r="R922" t="s">
        <v>112</v>
      </c>
      <c r="S922" t="str">
        <f>"14:05:43.461"</f>
        <v>14:05:43.461</v>
      </c>
      <c r="T922" t="str">
        <f>"14:05:43.063"</f>
        <v>14:05:43.063</v>
      </c>
      <c r="U922" t="str">
        <f t="shared" si="42"/>
        <v>ad5732</v>
      </c>
      <c r="V922">
        <v>0</v>
      </c>
      <c r="W922">
        <v>0</v>
      </c>
      <c r="X922">
        <v>1</v>
      </c>
      <c r="Z922">
        <v>0</v>
      </c>
      <c r="AA922">
        <v>9</v>
      </c>
      <c r="AB922">
        <v>3</v>
      </c>
      <c r="AC922">
        <v>0</v>
      </c>
      <c r="AD922">
        <v>10</v>
      </c>
      <c r="AE922">
        <v>0</v>
      </c>
      <c r="AF922">
        <v>3</v>
      </c>
      <c r="AG922">
        <v>2</v>
      </c>
      <c r="AH922">
        <v>0</v>
      </c>
      <c r="AI922" t="s">
        <v>1941</v>
      </c>
      <c r="AJ922">
        <v>39.400512999999997</v>
      </c>
      <c r="AK922" t="s">
        <v>1942</v>
      </c>
      <c r="AL922">
        <v>-76.956846999999996</v>
      </c>
      <c r="AM922">
        <v>100</v>
      </c>
      <c r="AN922">
        <v>8700</v>
      </c>
      <c r="AO922" t="s">
        <v>115</v>
      </c>
      <c r="AP922">
        <v>169</v>
      </c>
      <c r="AQ922">
        <v>88</v>
      </c>
      <c r="AR922">
        <v>0</v>
      </c>
      <c r="AZ922">
        <v>3614</v>
      </c>
      <c r="BA922">
        <v>1</v>
      </c>
      <c r="BB922" t="str">
        <f t="shared" si="44"/>
        <v xml:space="preserve">N959MJ  </v>
      </c>
      <c r="BC922">
        <v>1</v>
      </c>
      <c r="BE922">
        <v>0</v>
      </c>
      <c r="BF922">
        <v>0</v>
      </c>
      <c r="BG922">
        <v>0</v>
      </c>
      <c r="BH922">
        <v>9025</v>
      </c>
      <c r="BI922">
        <v>325</v>
      </c>
      <c r="BJ922">
        <v>1</v>
      </c>
      <c r="BK922">
        <v>1</v>
      </c>
      <c r="BL922">
        <v>1</v>
      </c>
      <c r="BM922">
        <v>0</v>
      </c>
      <c r="BP922">
        <v>0</v>
      </c>
      <c r="BQ922">
        <v>0</v>
      </c>
      <c r="BX922" t="str">
        <f>"14:05:43.461"</f>
        <v>14:05:43.461</v>
      </c>
      <c r="BY922" t="str">
        <f>"463232212"</f>
        <v>463232212</v>
      </c>
      <c r="CL922">
        <v>0</v>
      </c>
      <c r="CM922">
        <v>2</v>
      </c>
      <c r="CN922">
        <v>0</v>
      </c>
      <c r="CO922">
        <v>2</v>
      </c>
      <c r="CP922">
        <v>0</v>
      </c>
      <c r="CQ922">
        <v>6</v>
      </c>
      <c r="CR922" t="s">
        <v>116</v>
      </c>
      <c r="CS922">
        <v>147</v>
      </c>
      <c r="CT922">
        <v>0</v>
      </c>
      <c r="CU922" t="s">
        <v>117</v>
      </c>
      <c r="CV922" t="s">
        <v>118</v>
      </c>
      <c r="CY922">
        <v>5387452</v>
      </c>
      <c r="CZ922" t="s">
        <v>119</v>
      </c>
    </row>
    <row r="923" spans="1:104" x14ac:dyDescent="0.25">
      <c r="A923" t="str">
        <f>"14:05:44.500"</f>
        <v>14:05:44.500</v>
      </c>
      <c r="B923" t="s">
        <v>108</v>
      </c>
      <c r="C923" t="str">
        <f t="shared" si="43"/>
        <v>ffdfd3c0</v>
      </c>
      <c r="D923" t="s">
        <v>109</v>
      </c>
      <c r="E923">
        <v>4</v>
      </c>
      <c r="F923">
        <v>1004</v>
      </c>
      <c r="G923" t="s">
        <v>110</v>
      </c>
      <c r="J923" t="s">
        <v>111</v>
      </c>
      <c r="K923">
        <v>0</v>
      </c>
      <c r="L923">
        <v>3</v>
      </c>
      <c r="M923">
        <v>0</v>
      </c>
      <c r="N923">
        <v>2</v>
      </c>
      <c r="O923">
        <v>1</v>
      </c>
      <c r="P923">
        <v>0</v>
      </c>
      <c r="Q923">
        <v>0</v>
      </c>
      <c r="R923" t="s">
        <v>112</v>
      </c>
      <c r="S923" t="str">
        <f>"14:05:44.313"</f>
        <v>14:05:44.313</v>
      </c>
      <c r="T923" t="str">
        <f>"14:05:43.914"</f>
        <v>14:05:43.914</v>
      </c>
      <c r="U923" t="str">
        <f t="shared" si="42"/>
        <v>ad5732</v>
      </c>
      <c r="V923">
        <v>0</v>
      </c>
      <c r="W923">
        <v>0</v>
      </c>
      <c r="X923">
        <v>1</v>
      </c>
      <c r="Z923">
        <v>0</v>
      </c>
      <c r="AA923">
        <v>9</v>
      </c>
      <c r="AB923">
        <v>3</v>
      </c>
      <c r="AC923">
        <v>0</v>
      </c>
      <c r="AD923">
        <v>10</v>
      </c>
      <c r="AE923">
        <v>0</v>
      </c>
      <c r="AF923">
        <v>3</v>
      </c>
      <c r="AG923">
        <v>2</v>
      </c>
      <c r="AH923">
        <v>0</v>
      </c>
      <c r="AI923" t="s">
        <v>1943</v>
      </c>
      <c r="AJ923">
        <v>39.400855999999997</v>
      </c>
      <c r="AK923" t="s">
        <v>1944</v>
      </c>
      <c r="AL923">
        <v>-76.955945</v>
      </c>
      <c r="AM923">
        <v>100</v>
      </c>
      <c r="AN923">
        <v>8700</v>
      </c>
      <c r="AO923" t="s">
        <v>115</v>
      </c>
      <c r="AP923">
        <v>169</v>
      </c>
      <c r="AQ923">
        <v>88</v>
      </c>
      <c r="AR923">
        <v>0</v>
      </c>
      <c r="AZ923">
        <v>3614</v>
      </c>
      <c r="BA923">
        <v>1</v>
      </c>
      <c r="BB923" t="str">
        <f t="shared" si="44"/>
        <v xml:space="preserve">N959MJ  </v>
      </c>
      <c r="BC923">
        <v>1</v>
      </c>
      <c r="BE923">
        <v>0</v>
      </c>
      <c r="BF923">
        <v>0</v>
      </c>
      <c r="BG923">
        <v>0</v>
      </c>
      <c r="BH923">
        <v>9025</v>
      </c>
      <c r="BI923">
        <v>325</v>
      </c>
      <c r="BJ923">
        <v>1</v>
      </c>
      <c r="BK923">
        <v>1</v>
      </c>
      <c r="BL923">
        <v>1</v>
      </c>
      <c r="BM923">
        <v>0</v>
      </c>
      <c r="BP923">
        <v>0</v>
      </c>
      <c r="BQ923">
        <v>0</v>
      </c>
      <c r="BX923" t="str">
        <f>"14:05:44.320"</f>
        <v>14:05:44.320</v>
      </c>
      <c r="BY923" t="str">
        <f>"320129667"</f>
        <v>320129667</v>
      </c>
      <c r="CL923">
        <v>0</v>
      </c>
      <c r="CM923">
        <v>2</v>
      </c>
      <c r="CN923">
        <v>0</v>
      </c>
      <c r="CO923">
        <v>2</v>
      </c>
      <c r="CP923">
        <v>0</v>
      </c>
      <c r="CQ923">
        <v>6</v>
      </c>
      <c r="CR923" t="s">
        <v>116</v>
      </c>
      <c r="CS923">
        <v>147</v>
      </c>
      <c r="CT923">
        <v>0</v>
      </c>
      <c r="CU923" t="s">
        <v>117</v>
      </c>
      <c r="CV923" t="s">
        <v>118</v>
      </c>
      <c r="CY923">
        <v>5388856</v>
      </c>
      <c r="CZ923" t="s">
        <v>119</v>
      </c>
    </row>
    <row r="924" spans="1:104" x14ac:dyDescent="0.25">
      <c r="A924" t="str">
        <f>"14:05:45.414"</f>
        <v>14:05:45.414</v>
      </c>
      <c r="B924" t="s">
        <v>108</v>
      </c>
      <c r="C924" t="str">
        <f t="shared" si="43"/>
        <v>ffdfd3c0</v>
      </c>
      <c r="D924" t="s">
        <v>109</v>
      </c>
      <c r="E924">
        <v>4</v>
      </c>
      <c r="F924">
        <v>1004</v>
      </c>
      <c r="G924" t="s">
        <v>110</v>
      </c>
      <c r="J924" t="s">
        <v>111</v>
      </c>
      <c r="K924">
        <v>0</v>
      </c>
      <c r="L924">
        <v>3</v>
      </c>
      <c r="M924">
        <v>0</v>
      </c>
      <c r="N924">
        <v>2</v>
      </c>
      <c r="O924">
        <v>1</v>
      </c>
      <c r="P924">
        <v>0</v>
      </c>
      <c r="Q924">
        <v>0</v>
      </c>
      <c r="R924" t="s">
        <v>112</v>
      </c>
      <c r="S924" t="str">
        <f>"14:05:45.242"</f>
        <v>14:05:45.242</v>
      </c>
      <c r="T924" t="str">
        <f>"14:05:44.344"</f>
        <v>14:05:44.344</v>
      </c>
      <c r="U924" t="str">
        <f t="shared" si="42"/>
        <v>ad5732</v>
      </c>
      <c r="V924">
        <v>0</v>
      </c>
      <c r="W924">
        <v>0</v>
      </c>
      <c r="X924">
        <v>1</v>
      </c>
      <c r="Z924">
        <v>0</v>
      </c>
      <c r="AA924">
        <v>9</v>
      </c>
      <c r="AB924">
        <v>3</v>
      </c>
      <c r="AC924">
        <v>0</v>
      </c>
      <c r="AD924">
        <v>10</v>
      </c>
      <c r="AE924">
        <v>0</v>
      </c>
      <c r="AF924">
        <v>3</v>
      </c>
      <c r="AG924">
        <v>2</v>
      </c>
      <c r="AH924">
        <v>0</v>
      </c>
      <c r="AI924" t="s">
        <v>1945</v>
      </c>
      <c r="AJ924">
        <v>39.401200000000003</v>
      </c>
      <c r="AK924" t="s">
        <v>1946</v>
      </c>
      <c r="AL924">
        <v>-76.955087000000006</v>
      </c>
      <c r="AM924">
        <v>100</v>
      </c>
      <c r="AN924">
        <v>8700</v>
      </c>
      <c r="AO924" t="s">
        <v>115</v>
      </c>
      <c r="AP924">
        <v>169</v>
      </c>
      <c r="AQ924">
        <v>88</v>
      </c>
      <c r="AR924">
        <v>0</v>
      </c>
      <c r="AZ924">
        <v>3614</v>
      </c>
      <c r="BA924">
        <v>1</v>
      </c>
      <c r="BB924" t="str">
        <f t="shared" si="44"/>
        <v xml:space="preserve">N959MJ  </v>
      </c>
      <c r="BC924">
        <v>1</v>
      </c>
      <c r="BE924">
        <v>0</v>
      </c>
      <c r="BF924">
        <v>0</v>
      </c>
      <c r="BG924">
        <v>0</v>
      </c>
      <c r="BH924">
        <v>9025</v>
      </c>
      <c r="BI924">
        <v>325</v>
      </c>
      <c r="BJ924">
        <v>1</v>
      </c>
      <c r="BK924">
        <v>1</v>
      </c>
      <c r="BL924">
        <v>1</v>
      </c>
      <c r="BM924">
        <v>0</v>
      </c>
      <c r="BP924">
        <v>0</v>
      </c>
      <c r="BQ924">
        <v>0</v>
      </c>
      <c r="BX924" t="str">
        <f>"14:05:45.242"</f>
        <v>14:05:45.242</v>
      </c>
      <c r="BY924" t="str">
        <f>"244202668"</f>
        <v>244202668</v>
      </c>
      <c r="CL924">
        <v>0</v>
      </c>
      <c r="CM924">
        <v>2</v>
      </c>
      <c r="CN924">
        <v>0</v>
      </c>
      <c r="CO924">
        <v>2</v>
      </c>
      <c r="CP924">
        <v>0</v>
      </c>
      <c r="CQ924">
        <v>6</v>
      </c>
      <c r="CR924" t="s">
        <v>116</v>
      </c>
      <c r="CS924">
        <v>147</v>
      </c>
      <c r="CT924">
        <v>0</v>
      </c>
      <c r="CU924" t="s">
        <v>117</v>
      </c>
      <c r="CV924" t="s">
        <v>118</v>
      </c>
      <c r="CY924">
        <v>5390352</v>
      </c>
      <c r="CZ924" t="s">
        <v>119</v>
      </c>
    </row>
    <row r="925" spans="1:104" x14ac:dyDescent="0.25">
      <c r="A925" t="str">
        <f>"14:05:46.320"</f>
        <v>14:05:46.320</v>
      </c>
      <c r="B925" t="s">
        <v>108</v>
      </c>
      <c r="C925" t="str">
        <f t="shared" si="43"/>
        <v>ffdfd3c0</v>
      </c>
      <c r="D925" t="s">
        <v>109</v>
      </c>
      <c r="E925">
        <v>4</v>
      </c>
      <c r="F925">
        <v>1004</v>
      </c>
      <c r="G925" t="s">
        <v>110</v>
      </c>
      <c r="J925" t="s">
        <v>111</v>
      </c>
      <c r="K925">
        <v>0</v>
      </c>
      <c r="L925">
        <v>3</v>
      </c>
      <c r="M925">
        <v>0</v>
      </c>
      <c r="N925">
        <v>2</v>
      </c>
      <c r="O925">
        <v>1</v>
      </c>
      <c r="P925">
        <v>0</v>
      </c>
      <c r="Q925">
        <v>0</v>
      </c>
      <c r="R925" t="s">
        <v>112</v>
      </c>
      <c r="S925" t="str">
        <f>"14:05:46.148"</f>
        <v>14:05:46.148</v>
      </c>
      <c r="T925" t="str">
        <f>"14:05:45.750"</f>
        <v>14:05:45.750</v>
      </c>
      <c r="U925" t="str">
        <f t="shared" si="42"/>
        <v>ad5732</v>
      </c>
      <c r="V925">
        <v>0</v>
      </c>
      <c r="W925">
        <v>0</v>
      </c>
      <c r="X925">
        <v>1</v>
      </c>
      <c r="Z925">
        <v>0</v>
      </c>
      <c r="AA925">
        <v>9</v>
      </c>
      <c r="AB925">
        <v>3</v>
      </c>
      <c r="AC925">
        <v>0</v>
      </c>
      <c r="AD925">
        <v>10</v>
      </c>
      <c r="AE925">
        <v>0</v>
      </c>
      <c r="AF925">
        <v>3</v>
      </c>
      <c r="AG925">
        <v>2</v>
      </c>
      <c r="AH925">
        <v>0</v>
      </c>
      <c r="AI925" t="s">
        <v>1947</v>
      </c>
      <c r="AJ925">
        <v>39.401586000000002</v>
      </c>
      <c r="AK925" t="s">
        <v>1948</v>
      </c>
      <c r="AL925">
        <v>-76.954143000000002</v>
      </c>
      <c r="AM925">
        <v>100</v>
      </c>
      <c r="AN925">
        <v>8700</v>
      </c>
      <c r="AO925" t="s">
        <v>115</v>
      </c>
      <c r="AP925">
        <v>168</v>
      </c>
      <c r="AQ925">
        <v>89</v>
      </c>
      <c r="AR925">
        <v>0</v>
      </c>
      <c r="AZ925">
        <v>3614</v>
      </c>
      <c r="BA925">
        <v>1</v>
      </c>
      <c r="BB925" t="str">
        <f t="shared" si="44"/>
        <v xml:space="preserve">N959MJ  </v>
      </c>
      <c r="BC925">
        <v>1</v>
      </c>
      <c r="BE925">
        <v>0</v>
      </c>
      <c r="BF925">
        <v>0</v>
      </c>
      <c r="BG925">
        <v>0</v>
      </c>
      <c r="BH925">
        <v>9025</v>
      </c>
      <c r="BI925">
        <v>325</v>
      </c>
      <c r="BJ925">
        <v>1</v>
      </c>
      <c r="BK925">
        <v>1</v>
      </c>
      <c r="BL925">
        <v>1</v>
      </c>
      <c r="BM925">
        <v>0</v>
      </c>
      <c r="BP925">
        <v>0</v>
      </c>
      <c r="BQ925">
        <v>0</v>
      </c>
      <c r="BX925" t="str">
        <f>"14:05:46.156"</f>
        <v>14:05:46.156</v>
      </c>
      <c r="BY925" t="str">
        <f>"153524831"</f>
        <v>153524831</v>
      </c>
      <c r="CL925">
        <v>0</v>
      </c>
      <c r="CM925">
        <v>2</v>
      </c>
      <c r="CN925">
        <v>0</v>
      </c>
      <c r="CO925">
        <v>2</v>
      </c>
      <c r="CP925">
        <v>0</v>
      </c>
      <c r="CQ925">
        <v>7</v>
      </c>
      <c r="CR925" t="s">
        <v>116</v>
      </c>
      <c r="CS925">
        <v>525</v>
      </c>
      <c r="CT925">
        <v>1</v>
      </c>
      <c r="CU925" t="s">
        <v>140</v>
      </c>
      <c r="CV925" t="s">
        <v>141</v>
      </c>
      <c r="CY925">
        <v>8498449</v>
      </c>
      <c r="CZ925" t="s">
        <v>119</v>
      </c>
    </row>
    <row r="926" spans="1:104" x14ac:dyDescent="0.25">
      <c r="A926" t="str">
        <f>"14:05:47.383"</f>
        <v>14:05:47.383</v>
      </c>
      <c r="B926" t="s">
        <v>108</v>
      </c>
      <c r="C926" t="str">
        <f t="shared" si="43"/>
        <v>ffdfd3c0</v>
      </c>
      <c r="D926" t="s">
        <v>109</v>
      </c>
      <c r="E926">
        <v>4</v>
      </c>
      <c r="F926">
        <v>1004</v>
      </c>
      <c r="G926" t="s">
        <v>110</v>
      </c>
      <c r="J926" t="s">
        <v>111</v>
      </c>
      <c r="K926">
        <v>0</v>
      </c>
      <c r="L926">
        <v>3</v>
      </c>
      <c r="M926">
        <v>0</v>
      </c>
      <c r="N926">
        <v>2</v>
      </c>
      <c r="O926">
        <v>1</v>
      </c>
      <c r="P926">
        <v>0</v>
      </c>
      <c r="Q926">
        <v>0</v>
      </c>
      <c r="R926" t="s">
        <v>112</v>
      </c>
      <c r="S926" t="str">
        <f>"14:05:47.172"</f>
        <v>14:05:47.172</v>
      </c>
      <c r="T926" t="str">
        <f>"14:05:46.773"</f>
        <v>14:05:46.773</v>
      </c>
      <c r="U926" t="str">
        <f t="shared" si="42"/>
        <v>ad5732</v>
      </c>
      <c r="V926">
        <v>0</v>
      </c>
      <c r="W926">
        <v>0</v>
      </c>
      <c r="X926">
        <v>1</v>
      </c>
      <c r="Z926">
        <v>0</v>
      </c>
      <c r="AA926">
        <v>9</v>
      </c>
      <c r="AB926">
        <v>3</v>
      </c>
      <c r="AC926">
        <v>0</v>
      </c>
      <c r="AD926">
        <v>10</v>
      </c>
      <c r="AE926">
        <v>0</v>
      </c>
      <c r="AF926">
        <v>3</v>
      </c>
      <c r="AG926">
        <v>2</v>
      </c>
      <c r="AH926">
        <v>0</v>
      </c>
      <c r="AI926" t="s">
        <v>1949</v>
      </c>
      <c r="AJ926">
        <v>39.402014999999999</v>
      </c>
      <c r="AK926" t="s">
        <v>1950</v>
      </c>
      <c r="AL926">
        <v>-76.953135000000003</v>
      </c>
      <c r="AM926">
        <v>100</v>
      </c>
      <c r="AN926">
        <v>8700</v>
      </c>
      <c r="AO926" t="s">
        <v>115</v>
      </c>
      <c r="AP926">
        <v>168</v>
      </c>
      <c r="AQ926">
        <v>89</v>
      </c>
      <c r="AR926">
        <v>0</v>
      </c>
      <c r="AZ926">
        <v>3614</v>
      </c>
      <c r="BA926">
        <v>1</v>
      </c>
      <c r="BB926" t="str">
        <f t="shared" si="44"/>
        <v xml:space="preserve">N959MJ  </v>
      </c>
      <c r="BC926">
        <v>1</v>
      </c>
      <c r="BE926">
        <v>0</v>
      </c>
      <c r="BF926">
        <v>0</v>
      </c>
      <c r="BG926">
        <v>0</v>
      </c>
      <c r="BH926">
        <v>9025</v>
      </c>
      <c r="BI926">
        <v>325</v>
      </c>
      <c r="BJ926">
        <v>1</v>
      </c>
      <c r="BK926">
        <v>1</v>
      </c>
      <c r="BL926">
        <v>1</v>
      </c>
      <c r="BM926">
        <v>0</v>
      </c>
      <c r="BP926">
        <v>0</v>
      </c>
      <c r="BQ926">
        <v>0</v>
      </c>
      <c r="BX926" t="str">
        <f>"14:05:47.180"</f>
        <v>14:05:47.180</v>
      </c>
      <c r="BY926" t="str">
        <f>"177541862"</f>
        <v>177541862</v>
      </c>
      <c r="CL926">
        <v>0</v>
      </c>
      <c r="CM926">
        <v>2</v>
      </c>
      <c r="CN926">
        <v>0</v>
      </c>
      <c r="CO926">
        <v>2</v>
      </c>
      <c r="CP926">
        <v>0</v>
      </c>
      <c r="CQ926">
        <v>7</v>
      </c>
      <c r="CR926" t="s">
        <v>116</v>
      </c>
      <c r="CS926">
        <v>525</v>
      </c>
      <c r="CT926">
        <v>1</v>
      </c>
      <c r="CU926" t="s">
        <v>140</v>
      </c>
      <c r="CV926" t="s">
        <v>141</v>
      </c>
      <c r="CY926">
        <v>8499934</v>
      </c>
      <c r="CZ926" t="s">
        <v>119</v>
      </c>
    </row>
    <row r="927" spans="1:104" x14ac:dyDescent="0.25">
      <c r="A927" t="str">
        <f>"14:05:48.188"</f>
        <v>14:05:48.188</v>
      </c>
      <c r="B927" t="s">
        <v>108</v>
      </c>
      <c r="C927" t="str">
        <f t="shared" si="43"/>
        <v>ffdfd3c0</v>
      </c>
      <c r="D927" t="s">
        <v>109</v>
      </c>
      <c r="E927">
        <v>4</v>
      </c>
      <c r="F927">
        <v>1004</v>
      </c>
      <c r="G927" t="s">
        <v>110</v>
      </c>
      <c r="J927" t="s">
        <v>111</v>
      </c>
      <c r="K927">
        <v>0</v>
      </c>
      <c r="L927">
        <v>3</v>
      </c>
      <c r="M927">
        <v>0</v>
      </c>
      <c r="N927">
        <v>2</v>
      </c>
      <c r="O927">
        <v>1</v>
      </c>
      <c r="P927">
        <v>0</v>
      </c>
      <c r="Q927">
        <v>0</v>
      </c>
      <c r="R927" t="s">
        <v>112</v>
      </c>
      <c r="S927" t="str">
        <f>"14:05:48.000"</f>
        <v>14:05:48.000</v>
      </c>
      <c r="T927" t="str">
        <f>"14:05:47.602"</f>
        <v>14:05:47.602</v>
      </c>
      <c r="U927" t="str">
        <f t="shared" si="42"/>
        <v>ad5732</v>
      </c>
      <c r="V927">
        <v>0</v>
      </c>
      <c r="W927">
        <v>0</v>
      </c>
      <c r="X927">
        <v>1</v>
      </c>
      <c r="Z927">
        <v>0</v>
      </c>
      <c r="AA927">
        <v>9</v>
      </c>
      <c r="AB927">
        <v>3</v>
      </c>
      <c r="AC927">
        <v>0</v>
      </c>
      <c r="AD927">
        <v>10</v>
      </c>
      <c r="AE927">
        <v>0</v>
      </c>
      <c r="AF927">
        <v>3</v>
      </c>
      <c r="AG927">
        <v>2</v>
      </c>
      <c r="AH927">
        <v>0</v>
      </c>
      <c r="AI927" t="s">
        <v>1951</v>
      </c>
      <c r="AJ927">
        <v>39.402380000000001</v>
      </c>
      <c r="AK927" t="s">
        <v>1952</v>
      </c>
      <c r="AL927">
        <v>-76.952212000000003</v>
      </c>
      <c r="AM927">
        <v>100</v>
      </c>
      <c r="AN927">
        <v>8700</v>
      </c>
      <c r="AO927" t="s">
        <v>115</v>
      </c>
      <c r="AP927">
        <v>168</v>
      </c>
      <c r="AQ927">
        <v>89</v>
      </c>
      <c r="AR927">
        <v>0</v>
      </c>
      <c r="AZ927">
        <v>3614</v>
      </c>
      <c r="BA927">
        <v>1</v>
      </c>
      <c r="BB927" t="str">
        <f t="shared" si="44"/>
        <v xml:space="preserve">N959MJ  </v>
      </c>
      <c r="BC927">
        <v>1</v>
      </c>
      <c r="BE927">
        <v>0</v>
      </c>
      <c r="BF927">
        <v>0</v>
      </c>
      <c r="BG927">
        <v>0</v>
      </c>
      <c r="BH927">
        <v>9025</v>
      </c>
      <c r="BI927">
        <v>325</v>
      </c>
      <c r="BJ927">
        <v>1</v>
      </c>
      <c r="BK927">
        <v>1</v>
      </c>
      <c r="BL927">
        <v>1</v>
      </c>
      <c r="BM927">
        <v>0</v>
      </c>
      <c r="BP927">
        <v>0</v>
      </c>
      <c r="BQ927">
        <v>0</v>
      </c>
      <c r="BX927" t="str">
        <f>"14:05:48.008"</f>
        <v>14:05:48.008</v>
      </c>
      <c r="BY927" t="str">
        <f>"004947652"</f>
        <v>004947652</v>
      </c>
      <c r="CL927">
        <v>0</v>
      </c>
      <c r="CM927">
        <v>2</v>
      </c>
      <c r="CN927">
        <v>0</v>
      </c>
      <c r="CO927">
        <v>2</v>
      </c>
      <c r="CP927">
        <v>0</v>
      </c>
      <c r="CQ927">
        <v>7</v>
      </c>
      <c r="CR927" t="s">
        <v>116</v>
      </c>
      <c r="CS927">
        <v>525</v>
      </c>
      <c r="CT927">
        <v>1</v>
      </c>
      <c r="CU927" t="s">
        <v>140</v>
      </c>
      <c r="CV927" t="s">
        <v>141</v>
      </c>
      <c r="CY927">
        <v>8501237</v>
      </c>
      <c r="CZ927" t="s">
        <v>119</v>
      </c>
    </row>
    <row r="928" spans="1:104" x14ac:dyDescent="0.25">
      <c r="A928" t="str">
        <f>"14:05:49.195"</f>
        <v>14:05:49.195</v>
      </c>
      <c r="B928" t="s">
        <v>108</v>
      </c>
      <c r="C928" t="str">
        <f t="shared" si="43"/>
        <v>ffdfd3c0</v>
      </c>
      <c r="D928" t="s">
        <v>109</v>
      </c>
      <c r="E928">
        <v>4</v>
      </c>
      <c r="F928">
        <v>1004</v>
      </c>
      <c r="G928" t="s">
        <v>110</v>
      </c>
      <c r="J928" t="s">
        <v>111</v>
      </c>
      <c r="K928">
        <v>0</v>
      </c>
      <c r="L928">
        <v>3</v>
      </c>
      <c r="M928">
        <v>0</v>
      </c>
      <c r="N928">
        <v>2</v>
      </c>
      <c r="O928">
        <v>1</v>
      </c>
      <c r="P928">
        <v>0</v>
      </c>
      <c r="Q928">
        <v>0</v>
      </c>
      <c r="R928" t="s">
        <v>112</v>
      </c>
      <c r="S928" t="str">
        <f>"14:05:49.031"</f>
        <v>14:05:49.031</v>
      </c>
      <c r="T928" t="str">
        <f>"14:05:48.531"</f>
        <v>14:05:48.531</v>
      </c>
      <c r="U928" t="str">
        <f t="shared" si="42"/>
        <v>ad5732</v>
      </c>
      <c r="V928">
        <v>0</v>
      </c>
      <c r="W928">
        <v>0</v>
      </c>
      <c r="X928">
        <v>1</v>
      </c>
      <c r="Z928">
        <v>0</v>
      </c>
      <c r="AA928">
        <v>9</v>
      </c>
      <c r="AB928">
        <v>3</v>
      </c>
      <c r="AC928">
        <v>0</v>
      </c>
      <c r="AD928">
        <v>10</v>
      </c>
      <c r="AE928">
        <v>0</v>
      </c>
      <c r="AF928">
        <v>3</v>
      </c>
      <c r="AG928">
        <v>2</v>
      </c>
      <c r="AH928">
        <v>0</v>
      </c>
      <c r="AI928" t="s">
        <v>1953</v>
      </c>
      <c r="AJ928">
        <v>39.402788000000001</v>
      </c>
      <c r="AK928" t="s">
        <v>1954</v>
      </c>
      <c r="AL928">
        <v>-76.951224999999994</v>
      </c>
      <c r="AM928">
        <v>100</v>
      </c>
      <c r="AN928">
        <v>8700</v>
      </c>
      <c r="AO928" t="s">
        <v>115</v>
      </c>
      <c r="AP928">
        <v>168</v>
      </c>
      <c r="AQ928">
        <v>89</v>
      </c>
      <c r="AR928">
        <v>0</v>
      </c>
      <c r="AZ928">
        <v>3614</v>
      </c>
      <c r="BA928">
        <v>1</v>
      </c>
      <c r="BB928" t="str">
        <f t="shared" si="44"/>
        <v xml:space="preserve">N959MJ  </v>
      </c>
      <c r="BC928">
        <v>1</v>
      </c>
      <c r="BE928">
        <v>0</v>
      </c>
      <c r="BF928">
        <v>0</v>
      </c>
      <c r="BG928">
        <v>0</v>
      </c>
      <c r="BH928">
        <v>9025</v>
      </c>
      <c r="BI928">
        <v>325</v>
      </c>
      <c r="BJ928">
        <v>1</v>
      </c>
      <c r="BK928">
        <v>1</v>
      </c>
      <c r="BL928">
        <v>1</v>
      </c>
      <c r="BM928">
        <v>0</v>
      </c>
      <c r="BP928">
        <v>0</v>
      </c>
      <c r="BQ928">
        <v>0</v>
      </c>
      <c r="BX928" t="str">
        <f>"14:05:49.039"</f>
        <v>14:05:49.039</v>
      </c>
      <c r="BY928" t="str">
        <f>"035518413"</f>
        <v>035518413</v>
      </c>
      <c r="CL928">
        <v>0</v>
      </c>
      <c r="CM928">
        <v>2</v>
      </c>
      <c r="CN928">
        <v>0</v>
      </c>
      <c r="CO928">
        <v>2</v>
      </c>
      <c r="CP928">
        <v>0</v>
      </c>
      <c r="CQ928">
        <v>7</v>
      </c>
      <c r="CR928" t="s">
        <v>116</v>
      </c>
      <c r="CS928">
        <v>525</v>
      </c>
      <c r="CT928">
        <v>1</v>
      </c>
      <c r="CU928" t="s">
        <v>140</v>
      </c>
      <c r="CV928" t="s">
        <v>141</v>
      </c>
      <c r="CY928">
        <v>8502749</v>
      </c>
      <c r="CZ928" t="s">
        <v>119</v>
      </c>
    </row>
    <row r="929" spans="1:104" x14ac:dyDescent="0.25">
      <c r="A929" t="str">
        <f>"14:05:50.305"</f>
        <v>14:05:50.305</v>
      </c>
      <c r="B929" t="s">
        <v>108</v>
      </c>
      <c r="C929" t="str">
        <f t="shared" si="43"/>
        <v>ffdfd3c0</v>
      </c>
      <c r="D929" t="s">
        <v>109</v>
      </c>
      <c r="E929">
        <v>4</v>
      </c>
      <c r="F929">
        <v>1004</v>
      </c>
      <c r="G929" t="s">
        <v>110</v>
      </c>
      <c r="J929" t="s">
        <v>111</v>
      </c>
      <c r="K929">
        <v>0</v>
      </c>
      <c r="L929">
        <v>3</v>
      </c>
      <c r="M929">
        <v>0</v>
      </c>
      <c r="N929">
        <v>2</v>
      </c>
      <c r="O929">
        <v>1</v>
      </c>
      <c r="P929">
        <v>0</v>
      </c>
      <c r="Q929">
        <v>0</v>
      </c>
      <c r="R929" t="s">
        <v>112</v>
      </c>
      <c r="S929" t="str">
        <f>"14:05:50.117"</f>
        <v>14:05:50.117</v>
      </c>
      <c r="T929" t="str">
        <f>"14:05:49.617"</f>
        <v>14:05:49.617</v>
      </c>
      <c r="U929" t="str">
        <f t="shared" si="42"/>
        <v>ad5732</v>
      </c>
      <c r="V929">
        <v>0</v>
      </c>
      <c r="W929">
        <v>0</v>
      </c>
      <c r="X929">
        <v>1</v>
      </c>
      <c r="Z929">
        <v>0</v>
      </c>
      <c r="AA929">
        <v>9</v>
      </c>
      <c r="AB929">
        <v>3</v>
      </c>
      <c r="AC929">
        <v>0</v>
      </c>
      <c r="AD929">
        <v>10</v>
      </c>
      <c r="AE929">
        <v>0</v>
      </c>
      <c r="AF929">
        <v>3</v>
      </c>
      <c r="AG929">
        <v>2</v>
      </c>
      <c r="AH929">
        <v>0</v>
      </c>
      <c r="AI929" t="s">
        <v>1955</v>
      </c>
      <c r="AJ929">
        <v>39.403238000000002</v>
      </c>
      <c r="AK929" t="s">
        <v>1956</v>
      </c>
      <c r="AL929">
        <v>-76.950152000000003</v>
      </c>
      <c r="AM929">
        <v>100</v>
      </c>
      <c r="AN929">
        <v>8700</v>
      </c>
      <c r="AO929" t="s">
        <v>115</v>
      </c>
      <c r="AP929">
        <v>168</v>
      </c>
      <c r="AQ929">
        <v>89</v>
      </c>
      <c r="AR929">
        <v>0</v>
      </c>
      <c r="AZ929">
        <v>3614</v>
      </c>
      <c r="BA929">
        <v>1</v>
      </c>
      <c r="BB929" t="str">
        <f t="shared" si="44"/>
        <v xml:space="preserve">N959MJ  </v>
      </c>
      <c r="BC929">
        <v>1</v>
      </c>
      <c r="BE929">
        <v>0</v>
      </c>
      <c r="BF929">
        <v>0</v>
      </c>
      <c r="BG929">
        <v>0</v>
      </c>
      <c r="BH929">
        <v>9025</v>
      </c>
      <c r="BI929">
        <v>325</v>
      </c>
      <c r="BJ929">
        <v>1</v>
      </c>
      <c r="BK929">
        <v>1</v>
      </c>
      <c r="BL929">
        <v>1</v>
      </c>
      <c r="BM929">
        <v>0</v>
      </c>
      <c r="BP929">
        <v>0</v>
      </c>
      <c r="BQ929">
        <v>0</v>
      </c>
      <c r="BX929" t="str">
        <f>"14:05:50.125"</f>
        <v>14:05:50.125</v>
      </c>
      <c r="BY929" t="str">
        <f>"123434135"</f>
        <v>123434135</v>
      </c>
      <c r="CL929">
        <v>0</v>
      </c>
      <c r="CM929">
        <v>2</v>
      </c>
      <c r="CN929">
        <v>0</v>
      </c>
      <c r="CO929">
        <v>2</v>
      </c>
      <c r="CP929">
        <v>0</v>
      </c>
      <c r="CQ929">
        <v>7</v>
      </c>
      <c r="CR929" t="s">
        <v>116</v>
      </c>
      <c r="CS929">
        <v>525</v>
      </c>
      <c r="CT929">
        <v>1</v>
      </c>
      <c r="CU929" t="s">
        <v>140</v>
      </c>
      <c r="CV929" t="s">
        <v>141</v>
      </c>
      <c r="CY929">
        <v>8504329</v>
      </c>
      <c r="CZ929" t="s">
        <v>119</v>
      </c>
    </row>
    <row r="930" spans="1:104" x14ac:dyDescent="0.25">
      <c r="A930" t="str">
        <f>"14:05:51.367"</f>
        <v>14:05:51.367</v>
      </c>
      <c r="B930" t="s">
        <v>108</v>
      </c>
      <c r="C930" t="str">
        <f t="shared" si="43"/>
        <v>ffdfd3c0</v>
      </c>
      <c r="D930" t="s">
        <v>109</v>
      </c>
      <c r="E930">
        <v>4</v>
      </c>
      <c r="F930">
        <v>1004</v>
      </c>
      <c r="G930" t="s">
        <v>110</v>
      </c>
      <c r="J930" t="s">
        <v>111</v>
      </c>
      <c r="K930">
        <v>0</v>
      </c>
      <c r="L930">
        <v>3</v>
      </c>
      <c r="M930">
        <v>0</v>
      </c>
      <c r="N930">
        <v>2</v>
      </c>
      <c r="O930">
        <v>1</v>
      </c>
      <c r="P930">
        <v>0</v>
      </c>
      <c r="Q930">
        <v>0</v>
      </c>
      <c r="R930" t="s">
        <v>112</v>
      </c>
      <c r="S930" t="str">
        <f>"14:05:51.180"</f>
        <v>14:05:51.180</v>
      </c>
      <c r="T930" t="str">
        <f>"14:05:50.680"</f>
        <v>14:05:50.680</v>
      </c>
      <c r="U930" t="str">
        <f t="shared" si="42"/>
        <v>ad5732</v>
      </c>
      <c r="V930">
        <v>0</v>
      </c>
      <c r="W930">
        <v>0</v>
      </c>
      <c r="X930">
        <v>1</v>
      </c>
      <c r="Z930">
        <v>0</v>
      </c>
      <c r="AA930">
        <v>9</v>
      </c>
      <c r="AB930">
        <v>3</v>
      </c>
      <c r="AC930">
        <v>0</v>
      </c>
      <c r="AD930">
        <v>10</v>
      </c>
      <c r="AE930">
        <v>0</v>
      </c>
      <c r="AF930">
        <v>3</v>
      </c>
      <c r="AG930">
        <v>2</v>
      </c>
      <c r="AH930">
        <v>0</v>
      </c>
      <c r="AI930" t="s">
        <v>1957</v>
      </c>
      <c r="AJ930">
        <v>39.403731999999998</v>
      </c>
      <c r="AK930" t="s">
        <v>1958</v>
      </c>
      <c r="AL930">
        <v>-76.949036000000007</v>
      </c>
      <c r="AM930">
        <v>100</v>
      </c>
      <c r="AN930">
        <v>8700</v>
      </c>
      <c r="AO930" t="s">
        <v>115</v>
      </c>
      <c r="AP930">
        <v>168</v>
      </c>
      <c r="AQ930">
        <v>89</v>
      </c>
      <c r="AR930">
        <v>0</v>
      </c>
      <c r="AZ930">
        <v>3614</v>
      </c>
      <c r="BA930">
        <v>1</v>
      </c>
      <c r="BB930" t="str">
        <f t="shared" si="44"/>
        <v xml:space="preserve">N959MJ  </v>
      </c>
      <c r="BC930">
        <v>1</v>
      </c>
      <c r="BE930">
        <v>0</v>
      </c>
      <c r="BF930">
        <v>0</v>
      </c>
      <c r="BG930">
        <v>0</v>
      </c>
      <c r="BH930">
        <v>9025</v>
      </c>
      <c r="BI930">
        <v>325</v>
      </c>
      <c r="BJ930">
        <v>1</v>
      </c>
      <c r="BK930">
        <v>1</v>
      </c>
      <c r="BL930">
        <v>1</v>
      </c>
      <c r="BM930">
        <v>0</v>
      </c>
      <c r="BP930">
        <v>0</v>
      </c>
      <c r="BQ930">
        <v>0</v>
      </c>
      <c r="BX930" t="str">
        <f>"14:05:51.188"</f>
        <v>14:05:51.188</v>
      </c>
      <c r="BY930" t="str">
        <f>"186773440"</f>
        <v>186773440</v>
      </c>
      <c r="CL930">
        <v>0</v>
      </c>
      <c r="CM930">
        <v>2</v>
      </c>
      <c r="CN930">
        <v>0</v>
      </c>
      <c r="CO930">
        <v>2</v>
      </c>
      <c r="CP930">
        <v>0</v>
      </c>
      <c r="CQ930">
        <v>7</v>
      </c>
      <c r="CR930" t="s">
        <v>116</v>
      </c>
      <c r="CS930">
        <v>525</v>
      </c>
      <c r="CT930">
        <v>1</v>
      </c>
      <c r="CU930" t="s">
        <v>140</v>
      </c>
      <c r="CV930" t="s">
        <v>141</v>
      </c>
      <c r="CY930">
        <v>8505906</v>
      </c>
      <c r="CZ930" t="s">
        <v>119</v>
      </c>
    </row>
    <row r="931" spans="1:104" x14ac:dyDescent="0.25">
      <c r="A931" t="str">
        <f>"14:05:52.227"</f>
        <v>14:05:52.227</v>
      </c>
      <c r="B931" t="s">
        <v>108</v>
      </c>
      <c r="C931" t="str">
        <f t="shared" si="43"/>
        <v>ffdfd3c0</v>
      </c>
      <c r="D931" t="s">
        <v>109</v>
      </c>
      <c r="E931">
        <v>4</v>
      </c>
      <c r="F931">
        <v>1004</v>
      </c>
      <c r="G931" t="s">
        <v>110</v>
      </c>
      <c r="J931" t="s">
        <v>111</v>
      </c>
      <c r="K931">
        <v>0</v>
      </c>
      <c r="L931">
        <v>3</v>
      </c>
      <c r="M931">
        <v>0</v>
      </c>
      <c r="N931">
        <v>2</v>
      </c>
      <c r="O931">
        <v>1</v>
      </c>
      <c r="P931">
        <v>0</v>
      </c>
      <c r="Q931">
        <v>0</v>
      </c>
      <c r="R931" t="s">
        <v>112</v>
      </c>
      <c r="S931" t="str">
        <f>"14:05:52.055"</f>
        <v>14:05:52.055</v>
      </c>
      <c r="T931" t="str">
        <f>"14:05:51.656"</f>
        <v>14:05:51.656</v>
      </c>
      <c r="U931" t="str">
        <f t="shared" si="42"/>
        <v>ad5732</v>
      </c>
      <c r="V931">
        <v>0</v>
      </c>
      <c r="W931">
        <v>0</v>
      </c>
      <c r="X931">
        <v>1</v>
      </c>
      <c r="Z931">
        <v>0</v>
      </c>
      <c r="AA931">
        <v>9</v>
      </c>
      <c r="AB931">
        <v>3</v>
      </c>
      <c r="AC931">
        <v>0</v>
      </c>
      <c r="AD931">
        <v>10</v>
      </c>
      <c r="AE931">
        <v>0</v>
      </c>
      <c r="AF931">
        <v>3</v>
      </c>
      <c r="AG931">
        <v>2</v>
      </c>
      <c r="AH931">
        <v>0</v>
      </c>
      <c r="AI931" t="s">
        <v>1959</v>
      </c>
      <c r="AJ931">
        <v>39.404054000000002</v>
      </c>
      <c r="AK931" t="s">
        <v>1960</v>
      </c>
      <c r="AL931">
        <v>-76.948241999999993</v>
      </c>
      <c r="AM931">
        <v>100</v>
      </c>
      <c r="AN931">
        <v>8700</v>
      </c>
      <c r="AO931" t="s">
        <v>115</v>
      </c>
      <c r="AP931">
        <v>168</v>
      </c>
      <c r="AQ931">
        <v>89</v>
      </c>
      <c r="AR931">
        <v>0</v>
      </c>
      <c r="AZ931">
        <v>3614</v>
      </c>
      <c r="BA931">
        <v>1</v>
      </c>
      <c r="BB931" t="str">
        <f t="shared" si="44"/>
        <v xml:space="preserve">N959MJ  </v>
      </c>
      <c r="BC931">
        <v>1</v>
      </c>
      <c r="BE931">
        <v>0</v>
      </c>
      <c r="BF931">
        <v>0</v>
      </c>
      <c r="BG931">
        <v>0</v>
      </c>
      <c r="BH931">
        <v>9025</v>
      </c>
      <c r="BI931">
        <v>325</v>
      </c>
      <c r="BJ931">
        <v>1</v>
      </c>
      <c r="BK931">
        <v>1</v>
      </c>
      <c r="BL931">
        <v>1</v>
      </c>
      <c r="BM931">
        <v>0</v>
      </c>
      <c r="BP931">
        <v>0</v>
      </c>
      <c r="BQ931">
        <v>0</v>
      </c>
      <c r="BX931" t="str">
        <f>"14:05:52.063"</f>
        <v>14:05:52.063</v>
      </c>
      <c r="BY931" t="str">
        <f>"061698449"</f>
        <v>061698449</v>
      </c>
      <c r="CL931">
        <v>0</v>
      </c>
      <c r="CM931">
        <v>2</v>
      </c>
      <c r="CN931">
        <v>0</v>
      </c>
      <c r="CO931">
        <v>2</v>
      </c>
      <c r="CP931">
        <v>0</v>
      </c>
      <c r="CQ931">
        <v>7</v>
      </c>
      <c r="CR931" t="s">
        <v>116</v>
      </c>
      <c r="CS931">
        <v>147</v>
      </c>
      <c r="CT931">
        <v>0</v>
      </c>
      <c r="CU931" t="s">
        <v>117</v>
      </c>
      <c r="CV931" t="s">
        <v>118</v>
      </c>
      <c r="CY931">
        <v>5401274</v>
      </c>
      <c r="CZ931" t="s">
        <v>119</v>
      </c>
    </row>
    <row r="932" spans="1:104" x14ac:dyDescent="0.25">
      <c r="A932" t="str">
        <f>"14:05:53.234"</f>
        <v>14:05:53.234</v>
      </c>
      <c r="B932" t="s">
        <v>108</v>
      </c>
      <c r="C932" t="str">
        <f t="shared" si="43"/>
        <v>ffdfd3c0</v>
      </c>
      <c r="D932" t="s">
        <v>109</v>
      </c>
      <c r="E932">
        <v>4</v>
      </c>
      <c r="F932">
        <v>1004</v>
      </c>
      <c r="G932" t="s">
        <v>110</v>
      </c>
      <c r="J932" t="s">
        <v>111</v>
      </c>
      <c r="K932">
        <v>0</v>
      </c>
      <c r="L932">
        <v>3</v>
      </c>
      <c r="M932">
        <v>0</v>
      </c>
      <c r="N932">
        <v>2</v>
      </c>
      <c r="O932">
        <v>1</v>
      </c>
      <c r="P932">
        <v>0</v>
      </c>
      <c r="Q932">
        <v>0</v>
      </c>
      <c r="R932" t="s">
        <v>112</v>
      </c>
      <c r="S932" t="str">
        <f>"14:05:53.047"</f>
        <v>14:05:53.047</v>
      </c>
      <c r="T932" t="str">
        <f>"14:05:52.648"</f>
        <v>14:05:52.648</v>
      </c>
      <c r="U932" t="str">
        <f t="shared" si="42"/>
        <v>ad5732</v>
      </c>
      <c r="V932">
        <v>0</v>
      </c>
      <c r="W932">
        <v>0</v>
      </c>
      <c r="X932">
        <v>1</v>
      </c>
      <c r="Z932">
        <v>0</v>
      </c>
      <c r="AA932">
        <v>9</v>
      </c>
      <c r="AB932">
        <v>3</v>
      </c>
      <c r="AC932">
        <v>0</v>
      </c>
      <c r="AD932">
        <v>10</v>
      </c>
      <c r="AE932">
        <v>0</v>
      </c>
      <c r="AF932">
        <v>3</v>
      </c>
      <c r="AG932">
        <v>2</v>
      </c>
      <c r="AH932">
        <v>0</v>
      </c>
      <c r="AI932" t="s">
        <v>1961</v>
      </c>
      <c r="AJ932">
        <v>39.404418</v>
      </c>
      <c r="AK932" t="s">
        <v>1962</v>
      </c>
      <c r="AL932">
        <v>-76.947211999999993</v>
      </c>
      <c r="AM932">
        <v>100</v>
      </c>
      <c r="AN932">
        <v>8700</v>
      </c>
      <c r="AO932" t="s">
        <v>115</v>
      </c>
      <c r="AP932">
        <v>168</v>
      </c>
      <c r="AQ932">
        <v>89</v>
      </c>
      <c r="AR932">
        <v>0</v>
      </c>
      <c r="AZ932">
        <v>3614</v>
      </c>
      <c r="BA932">
        <v>1</v>
      </c>
      <c r="BB932" t="str">
        <f t="shared" si="44"/>
        <v xml:space="preserve">N959MJ  </v>
      </c>
      <c r="BC932">
        <v>1</v>
      </c>
      <c r="BE932">
        <v>0</v>
      </c>
      <c r="BF932">
        <v>0</v>
      </c>
      <c r="BG932">
        <v>0</v>
      </c>
      <c r="BH932">
        <v>9025</v>
      </c>
      <c r="BI932">
        <v>325</v>
      </c>
      <c r="BJ932">
        <v>1</v>
      </c>
      <c r="BK932">
        <v>1</v>
      </c>
      <c r="BL932">
        <v>1</v>
      </c>
      <c r="BM932">
        <v>0</v>
      </c>
      <c r="BP932">
        <v>0</v>
      </c>
      <c r="BQ932">
        <v>0</v>
      </c>
      <c r="BX932" t="str">
        <f>"14:05:53.055"</f>
        <v>14:05:53.055</v>
      </c>
      <c r="BY932" t="str">
        <f>"051308526"</f>
        <v>051308526</v>
      </c>
      <c r="CL932">
        <v>0</v>
      </c>
      <c r="CM932">
        <v>2</v>
      </c>
      <c r="CN932">
        <v>0</v>
      </c>
      <c r="CO932">
        <v>2</v>
      </c>
      <c r="CP932">
        <v>0</v>
      </c>
      <c r="CQ932">
        <v>7</v>
      </c>
      <c r="CR932" t="s">
        <v>116</v>
      </c>
      <c r="CS932">
        <v>147</v>
      </c>
      <c r="CT932">
        <v>0</v>
      </c>
      <c r="CU932" t="s">
        <v>117</v>
      </c>
      <c r="CV932" t="s">
        <v>118</v>
      </c>
      <c r="CY932">
        <v>5402917</v>
      </c>
      <c r="CZ932" t="s">
        <v>119</v>
      </c>
    </row>
    <row r="933" spans="1:104" x14ac:dyDescent="0.25">
      <c r="A933" t="str">
        <f>"14:05:54.141"</f>
        <v>14:05:54.141</v>
      </c>
      <c r="B933" t="s">
        <v>108</v>
      </c>
      <c r="C933" t="str">
        <f t="shared" si="43"/>
        <v>ffdfd3c0</v>
      </c>
      <c r="D933" t="s">
        <v>109</v>
      </c>
      <c r="E933">
        <v>4</v>
      </c>
      <c r="F933">
        <v>1004</v>
      </c>
      <c r="G933" t="s">
        <v>110</v>
      </c>
      <c r="J933" t="s">
        <v>111</v>
      </c>
      <c r="K933">
        <v>0</v>
      </c>
      <c r="L933">
        <v>3</v>
      </c>
      <c r="M933">
        <v>0</v>
      </c>
      <c r="N933">
        <v>2</v>
      </c>
      <c r="O933">
        <v>1</v>
      </c>
      <c r="P933">
        <v>0</v>
      </c>
      <c r="Q933">
        <v>0</v>
      </c>
      <c r="R933" t="s">
        <v>112</v>
      </c>
      <c r="S933" t="str">
        <f>"14:05:53.945"</f>
        <v>14:05:53.945</v>
      </c>
      <c r="T933" t="str">
        <f>"14:05:53.547"</f>
        <v>14:05:53.547</v>
      </c>
      <c r="U933" t="str">
        <f t="shared" si="42"/>
        <v>ad5732</v>
      </c>
      <c r="V933">
        <v>0</v>
      </c>
      <c r="W933">
        <v>0</v>
      </c>
      <c r="X933">
        <v>1</v>
      </c>
      <c r="Z933">
        <v>0</v>
      </c>
      <c r="AA933">
        <v>9</v>
      </c>
      <c r="AB933">
        <v>3</v>
      </c>
      <c r="AC933">
        <v>0</v>
      </c>
      <c r="AD933">
        <v>10</v>
      </c>
      <c r="AE933">
        <v>0</v>
      </c>
      <c r="AF933">
        <v>3</v>
      </c>
      <c r="AG933">
        <v>2</v>
      </c>
      <c r="AH933">
        <v>0</v>
      </c>
      <c r="AI933" t="s">
        <v>1963</v>
      </c>
      <c r="AJ933">
        <v>39.404805000000003</v>
      </c>
      <c r="AK933" t="s">
        <v>1964</v>
      </c>
      <c r="AL933">
        <v>-76.946331999999998</v>
      </c>
      <c r="AM933">
        <v>100</v>
      </c>
      <c r="AN933">
        <v>8700</v>
      </c>
      <c r="AO933" t="s">
        <v>115</v>
      </c>
      <c r="AP933">
        <v>168</v>
      </c>
      <c r="AQ933">
        <v>89</v>
      </c>
      <c r="AR933">
        <v>0</v>
      </c>
      <c r="AZ933">
        <v>3614</v>
      </c>
      <c r="BA933">
        <v>1</v>
      </c>
      <c r="BB933" t="str">
        <f t="shared" si="44"/>
        <v xml:space="preserve">N959MJ  </v>
      </c>
      <c r="BC933">
        <v>1</v>
      </c>
      <c r="BE933">
        <v>0</v>
      </c>
      <c r="BF933">
        <v>0</v>
      </c>
      <c r="BG933">
        <v>0</v>
      </c>
      <c r="BH933">
        <v>9025</v>
      </c>
      <c r="BI933">
        <v>325</v>
      </c>
      <c r="BJ933">
        <v>1</v>
      </c>
      <c r="BK933">
        <v>1</v>
      </c>
      <c r="BL933">
        <v>1</v>
      </c>
      <c r="BM933">
        <v>0</v>
      </c>
      <c r="BP933">
        <v>0</v>
      </c>
      <c r="BQ933">
        <v>0</v>
      </c>
      <c r="BX933" t="str">
        <f>"14:05:53.945"</f>
        <v>14:05:53.945</v>
      </c>
      <c r="BY933" t="str">
        <f>"945884990"</f>
        <v>945884990</v>
      </c>
      <c r="CL933">
        <v>0</v>
      </c>
      <c r="CM933">
        <v>2</v>
      </c>
      <c r="CN933">
        <v>0</v>
      </c>
      <c r="CO933">
        <v>2</v>
      </c>
      <c r="CP933">
        <v>0</v>
      </c>
      <c r="CQ933">
        <v>6</v>
      </c>
      <c r="CR933" t="s">
        <v>116</v>
      </c>
      <c r="CS933">
        <v>525</v>
      </c>
      <c r="CT933">
        <v>1</v>
      </c>
      <c r="CU933" t="s">
        <v>140</v>
      </c>
      <c r="CV933" t="s">
        <v>141</v>
      </c>
      <c r="CY933">
        <v>8510068</v>
      </c>
      <c r="CZ933" t="s">
        <v>119</v>
      </c>
    </row>
    <row r="934" spans="1:104" x14ac:dyDescent="0.25">
      <c r="A934" t="str">
        <f>"14:05:55.102"</f>
        <v>14:05:55.102</v>
      </c>
      <c r="B934" t="s">
        <v>108</v>
      </c>
      <c r="C934" t="str">
        <f t="shared" si="43"/>
        <v>ffdfd3c0</v>
      </c>
      <c r="D934" t="s">
        <v>109</v>
      </c>
      <c r="E934">
        <v>4</v>
      </c>
      <c r="F934">
        <v>1004</v>
      </c>
      <c r="G934" t="s">
        <v>110</v>
      </c>
      <c r="J934" t="s">
        <v>111</v>
      </c>
      <c r="K934">
        <v>0</v>
      </c>
      <c r="L934">
        <v>3</v>
      </c>
      <c r="M934">
        <v>0</v>
      </c>
      <c r="N934">
        <v>2</v>
      </c>
      <c r="O934">
        <v>1</v>
      </c>
      <c r="P934">
        <v>0</v>
      </c>
      <c r="Q934">
        <v>0</v>
      </c>
      <c r="R934" t="s">
        <v>112</v>
      </c>
      <c r="S934" t="str">
        <f>"14:05:54.922"</f>
        <v>14:05:54.922</v>
      </c>
      <c r="T934" t="str">
        <f>"14:05:54.422"</f>
        <v>14:05:54.422</v>
      </c>
      <c r="U934" t="str">
        <f t="shared" si="42"/>
        <v>ad5732</v>
      </c>
      <c r="V934">
        <v>0</v>
      </c>
      <c r="W934">
        <v>0</v>
      </c>
      <c r="X934">
        <v>1</v>
      </c>
      <c r="Z934">
        <v>0</v>
      </c>
      <c r="AA934">
        <v>9</v>
      </c>
      <c r="AB934">
        <v>3</v>
      </c>
      <c r="AC934">
        <v>0</v>
      </c>
      <c r="AD934">
        <v>10</v>
      </c>
      <c r="AE934">
        <v>0</v>
      </c>
      <c r="AF934">
        <v>3</v>
      </c>
      <c r="AG934">
        <v>2</v>
      </c>
      <c r="AH934">
        <v>0</v>
      </c>
      <c r="AI934" t="s">
        <v>1965</v>
      </c>
      <c r="AJ934">
        <v>39.405211999999999</v>
      </c>
      <c r="AK934" t="s">
        <v>1966</v>
      </c>
      <c r="AL934">
        <v>-76.945323999999999</v>
      </c>
      <c r="AM934">
        <v>100</v>
      </c>
      <c r="AN934">
        <v>8700</v>
      </c>
      <c r="AO934" t="s">
        <v>115</v>
      </c>
      <c r="AP934">
        <v>168</v>
      </c>
      <c r="AQ934">
        <v>89</v>
      </c>
      <c r="AR934">
        <v>0</v>
      </c>
      <c r="AZ934">
        <v>3614</v>
      </c>
      <c r="BA934">
        <v>1</v>
      </c>
      <c r="BB934" t="str">
        <f t="shared" si="44"/>
        <v xml:space="preserve">N959MJ  </v>
      </c>
      <c r="BC934">
        <v>1</v>
      </c>
      <c r="BE934">
        <v>0</v>
      </c>
      <c r="BF934">
        <v>0</v>
      </c>
      <c r="BG934">
        <v>0</v>
      </c>
      <c r="BH934">
        <v>9025</v>
      </c>
      <c r="BI934">
        <v>325</v>
      </c>
      <c r="BJ934">
        <v>1</v>
      </c>
      <c r="BK934">
        <v>1</v>
      </c>
      <c r="BL934">
        <v>1</v>
      </c>
      <c r="BM934">
        <v>0</v>
      </c>
      <c r="BP934">
        <v>0</v>
      </c>
      <c r="BQ934">
        <v>0</v>
      </c>
      <c r="BX934" t="str">
        <f>"14:05:54.922"</f>
        <v>14:05:54.922</v>
      </c>
      <c r="BY934" t="str">
        <f>"922392515"</f>
        <v>922392515</v>
      </c>
      <c r="CL934">
        <v>0</v>
      </c>
      <c r="CM934">
        <v>2</v>
      </c>
      <c r="CN934">
        <v>0</v>
      </c>
      <c r="CO934">
        <v>2</v>
      </c>
      <c r="CP934">
        <v>0</v>
      </c>
      <c r="CQ934">
        <v>6</v>
      </c>
      <c r="CR934" t="s">
        <v>116</v>
      </c>
      <c r="CS934">
        <v>147</v>
      </c>
      <c r="CT934">
        <v>0</v>
      </c>
      <c r="CU934" t="s">
        <v>117</v>
      </c>
      <c r="CV934" t="s">
        <v>118</v>
      </c>
      <c r="CY934">
        <v>5406114</v>
      </c>
      <c r="CZ934" t="s">
        <v>119</v>
      </c>
    </row>
    <row r="935" spans="1:104" x14ac:dyDescent="0.25">
      <c r="A935" t="str">
        <f>"14:05:56.164"</f>
        <v>14:05:56.164</v>
      </c>
      <c r="B935" t="s">
        <v>108</v>
      </c>
      <c r="C935" t="str">
        <f t="shared" si="43"/>
        <v>ffdfd3c0</v>
      </c>
      <c r="D935" t="s">
        <v>109</v>
      </c>
      <c r="E935">
        <v>4</v>
      </c>
      <c r="F935">
        <v>1004</v>
      </c>
      <c r="G935" t="s">
        <v>110</v>
      </c>
      <c r="J935" t="s">
        <v>111</v>
      </c>
      <c r="K935">
        <v>0</v>
      </c>
      <c r="L935">
        <v>3</v>
      </c>
      <c r="M935">
        <v>0</v>
      </c>
      <c r="N935">
        <v>2</v>
      </c>
      <c r="O935">
        <v>1</v>
      </c>
      <c r="P935">
        <v>0</v>
      </c>
      <c r="Q935">
        <v>0</v>
      </c>
      <c r="R935" t="s">
        <v>112</v>
      </c>
      <c r="S935" t="str">
        <f>"14:05:55.961"</f>
        <v>14:05:55.961</v>
      </c>
      <c r="T935" t="str">
        <f>"14:05:55.461"</f>
        <v>14:05:55.461</v>
      </c>
      <c r="U935" t="str">
        <f t="shared" si="42"/>
        <v>ad5732</v>
      </c>
      <c r="V935">
        <v>0</v>
      </c>
      <c r="W935">
        <v>0</v>
      </c>
      <c r="X935">
        <v>1</v>
      </c>
      <c r="Z935">
        <v>0</v>
      </c>
      <c r="AA935">
        <v>9</v>
      </c>
      <c r="AB935">
        <v>3</v>
      </c>
      <c r="AC935">
        <v>0</v>
      </c>
      <c r="AD935">
        <v>10</v>
      </c>
      <c r="AE935">
        <v>0</v>
      </c>
      <c r="AF935">
        <v>3</v>
      </c>
      <c r="AG935">
        <v>2</v>
      </c>
      <c r="AH935">
        <v>0</v>
      </c>
      <c r="AI935" t="s">
        <v>1967</v>
      </c>
      <c r="AJ935">
        <v>39.405619999999999</v>
      </c>
      <c r="AK935" t="s">
        <v>1968</v>
      </c>
      <c r="AL935">
        <v>-76.944293999999999</v>
      </c>
      <c r="AM935">
        <v>100</v>
      </c>
      <c r="AN935">
        <v>8700</v>
      </c>
      <c r="AO935" t="s">
        <v>115</v>
      </c>
      <c r="AP935">
        <v>168</v>
      </c>
      <c r="AQ935">
        <v>89</v>
      </c>
      <c r="AR935">
        <v>0</v>
      </c>
      <c r="AZ935">
        <v>3614</v>
      </c>
      <c r="BA935">
        <v>1</v>
      </c>
      <c r="BB935" t="str">
        <f t="shared" si="44"/>
        <v xml:space="preserve">N959MJ  </v>
      </c>
      <c r="BC935">
        <v>1</v>
      </c>
      <c r="BE935">
        <v>0</v>
      </c>
      <c r="BF935">
        <v>0</v>
      </c>
      <c r="BG935">
        <v>0</v>
      </c>
      <c r="BH935">
        <v>9025</v>
      </c>
      <c r="BI935">
        <v>325</v>
      </c>
      <c r="BJ935">
        <v>1</v>
      </c>
      <c r="BK935">
        <v>1</v>
      </c>
      <c r="BL935">
        <v>1</v>
      </c>
      <c r="BM935">
        <v>0</v>
      </c>
      <c r="BP935">
        <v>0</v>
      </c>
      <c r="BQ935">
        <v>0</v>
      </c>
      <c r="BX935" t="str">
        <f>"14:05:55.969"</f>
        <v>14:05:55.969</v>
      </c>
      <c r="BY935" t="str">
        <f>"967709070"</f>
        <v>967709070</v>
      </c>
      <c r="CL935">
        <v>0</v>
      </c>
      <c r="CM935">
        <v>2</v>
      </c>
      <c r="CN935">
        <v>0</v>
      </c>
      <c r="CO935">
        <v>2</v>
      </c>
      <c r="CP935">
        <v>0</v>
      </c>
      <c r="CQ935">
        <v>6</v>
      </c>
      <c r="CR935" t="s">
        <v>116</v>
      </c>
      <c r="CS935">
        <v>147</v>
      </c>
      <c r="CT935">
        <v>0</v>
      </c>
      <c r="CU935" t="s">
        <v>117</v>
      </c>
      <c r="CV935" t="s">
        <v>118</v>
      </c>
      <c r="CY935">
        <v>5407852</v>
      </c>
      <c r="CZ935" t="s">
        <v>119</v>
      </c>
    </row>
    <row r="936" spans="1:104" x14ac:dyDescent="0.25">
      <c r="A936" t="str">
        <f>"14:05:57.125"</f>
        <v>14:05:57.125</v>
      </c>
      <c r="B936" t="s">
        <v>108</v>
      </c>
      <c r="C936" t="str">
        <f t="shared" si="43"/>
        <v>ffdfd3c0</v>
      </c>
      <c r="D936" t="s">
        <v>109</v>
      </c>
      <c r="E936">
        <v>4</v>
      </c>
      <c r="F936">
        <v>1004</v>
      </c>
      <c r="G936" t="s">
        <v>110</v>
      </c>
      <c r="J936" t="s">
        <v>111</v>
      </c>
      <c r="K936">
        <v>0</v>
      </c>
      <c r="L936">
        <v>3</v>
      </c>
      <c r="M936">
        <v>0</v>
      </c>
      <c r="N936">
        <v>2</v>
      </c>
      <c r="O936">
        <v>1</v>
      </c>
      <c r="P936">
        <v>0</v>
      </c>
      <c r="Q936">
        <v>0</v>
      </c>
      <c r="R936" t="s">
        <v>112</v>
      </c>
      <c r="S936" t="str">
        <f>"14:05:56.938"</f>
        <v>14:05:56.938</v>
      </c>
      <c r="T936" t="str">
        <f>"14:05:56.539"</f>
        <v>14:05:56.539</v>
      </c>
      <c r="U936" t="str">
        <f t="shared" si="42"/>
        <v>ad5732</v>
      </c>
      <c r="V936">
        <v>0</v>
      </c>
      <c r="W936">
        <v>0</v>
      </c>
      <c r="X936">
        <v>1</v>
      </c>
      <c r="Z936">
        <v>0</v>
      </c>
      <c r="AA936">
        <v>9</v>
      </c>
      <c r="AB936">
        <v>3</v>
      </c>
      <c r="AC936">
        <v>0</v>
      </c>
      <c r="AD936">
        <v>10</v>
      </c>
      <c r="AE936">
        <v>0</v>
      </c>
      <c r="AF936">
        <v>3</v>
      </c>
      <c r="AG936">
        <v>2</v>
      </c>
      <c r="AH936">
        <v>0</v>
      </c>
      <c r="AI936" t="s">
        <v>1969</v>
      </c>
      <c r="AJ936">
        <v>39.406027999999999</v>
      </c>
      <c r="AK936" t="s">
        <v>1970</v>
      </c>
      <c r="AL936">
        <v>-76.943285000000003</v>
      </c>
      <c r="AM936">
        <v>100</v>
      </c>
      <c r="AN936">
        <v>8700</v>
      </c>
      <c r="AO936" t="s">
        <v>115</v>
      </c>
      <c r="AP936">
        <v>168</v>
      </c>
      <c r="AQ936">
        <v>89</v>
      </c>
      <c r="AR936">
        <v>0</v>
      </c>
      <c r="AZ936">
        <v>3614</v>
      </c>
      <c r="BA936">
        <v>1</v>
      </c>
      <c r="BB936" t="str">
        <f t="shared" si="44"/>
        <v xml:space="preserve">N959MJ  </v>
      </c>
      <c r="BC936">
        <v>1</v>
      </c>
      <c r="BE936">
        <v>0</v>
      </c>
      <c r="BF936">
        <v>0</v>
      </c>
      <c r="BG936">
        <v>0</v>
      </c>
      <c r="BH936">
        <v>9025</v>
      </c>
      <c r="BI936">
        <v>325</v>
      </c>
      <c r="BJ936">
        <v>1</v>
      </c>
      <c r="BK936">
        <v>1</v>
      </c>
      <c r="BL936">
        <v>1</v>
      </c>
      <c r="BM936">
        <v>0</v>
      </c>
      <c r="BP936">
        <v>0</v>
      </c>
      <c r="BQ936">
        <v>0</v>
      </c>
      <c r="BX936" t="str">
        <f>"14:05:56.945"</f>
        <v>14:05:56.945</v>
      </c>
      <c r="BY936" t="str">
        <f>"944211722"</f>
        <v>944211722</v>
      </c>
      <c r="CL936">
        <v>0</v>
      </c>
      <c r="CM936">
        <v>2</v>
      </c>
      <c r="CN936">
        <v>0</v>
      </c>
      <c r="CO936">
        <v>2</v>
      </c>
      <c r="CP936">
        <v>0</v>
      </c>
      <c r="CQ936">
        <v>6</v>
      </c>
      <c r="CR936" t="s">
        <v>116</v>
      </c>
      <c r="CS936">
        <v>147</v>
      </c>
      <c r="CT936">
        <v>0</v>
      </c>
      <c r="CU936" t="s">
        <v>117</v>
      </c>
      <c r="CV936" t="s">
        <v>118</v>
      </c>
      <c r="CY936">
        <v>5409400</v>
      </c>
      <c r="CZ936" t="s">
        <v>119</v>
      </c>
    </row>
    <row r="937" spans="1:104" x14ac:dyDescent="0.25">
      <c r="A937" t="str">
        <f>"14:05:58.281"</f>
        <v>14:05:58.281</v>
      </c>
      <c r="B937" t="s">
        <v>108</v>
      </c>
      <c r="C937" t="str">
        <f t="shared" si="43"/>
        <v>ffdfd3c0</v>
      </c>
      <c r="D937" t="s">
        <v>109</v>
      </c>
      <c r="E937">
        <v>4</v>
      </c>
      <c r="F937">
        <v>1004</v>
      </c>
      <c r="G937" t="s">
        <v>110</v>
      </c>
      <c r="J937" t="s">
        <v>111</v>
      </c>
      <c r="K937">
        <v>0</v>
      </c>
      <c r="L937">
        <v>3</v>
      </c>
      <c r="M937">
        <v>0</v>
      </c>
      <c r="N937">
        <v>2</v>
      </c>
      <c r="O937">
        <v>1</v>
      </c>
      <c r="P937">
        <v>0</v>
      </c>
      <c r="Q937">
        <v>0</v>
      </c>
      <c r="R937" t="s">
        <v>112</v>
      </c>
      <c r="S937" t="str">
        <f>"14:05:58.086"</f>
        <v>14:05:58.086</v>
      </c>
      <c r="T937" t="str">
        <f>"14:05:57.586"</f>
        <v>14:05:57.586</v>
      </c>
      <c r="U937" t="str">
        <f t="shared" si="42"/>
        <v>ad5732</v>
      </c>
      <c r="V937">
        <v>0</v>
      </c>
      <c r="W937">
        <v>0</v>
      </c>
      <c r="X937">
        <v>1</v>
      </c>
      <c r="Z937">
        <v>0</v>
      </c>
      <c r="AA937">
        <v>9</v>
      </c>
      <c r="AB937">
        <v>3</v>
      </c>
      <c r="AC937">
        <v>0</v>
      </c>
      <c r="AD937">
        <v>10</v>
      </c>
      <c r="AE937">
        <v>0</v>
      </c>
      <c r="AF937">
        <v>3</v>
      </c>
      <c r="AG937">
        <v>2</v>
      </c>
      <c r="AH937">
        <v>0</v>
      </c>
      <c r="AI937" t="s">
        <v>1971</v>
      </c>
      <c r="AJ937">
        <v>39.406542999999999</v>
      </c>
      <c r="AK937" t="s">
        <v>1972</v>
      </c>
      <c r="AL937">
        <v>-76.942083999999994</v>
      </c>
      <c r="AM937">
        <v>100</v>
      </c>
      <c r="AN937">
        <v>8700</v>
      </c>
      <c r="AO937" t="s">
        <v>115</v>
      </c>
      <c r="AP937">
        <v>168</v>
      </c>
      <c r="AQ937">
        <v>89</v>
      </c>
      <c r="AR937">
        <v>0</v>
      </c>
      <c r="AZ937">
        <v>3614</v>
      </c>
      <c r="BA937">
        <v>1</v>
      </c>
      <c r="BB937" t="str">
        <f t="shared" si="44"/>
        <v xml:space="preserve">N959MJ  </v>
      </c>
      <c r="BC937">
        <v>1</v>
      </c>
      <c r="BE937">
        <v>0</v>
      </c>
      <c r="BF937">
        <v>0</v>
      </c>
      <c r="BG937">
        <v>0</v>
      </c>
      <c r="BH937">
        <v>9025</v>
      </c>
      <c r="BI937">
        <v>325</v>
      </c>
      <c r="BJ937">
        <v>1</v>
      </c>
      <c r="BK937">
        <v>1</v>
      </c>
      <c r="BL937">
        <v>1</v>
      </c>
      <c r="BM937">
        <v>0</v>
      </c>
      <c r="BP937">
        <v>0</v>
      </c>
      <c r="BQ937">
        <v>0</v>
      </c>
      <c r="BX937" t="str">
        <f>"14:05:58.094"</f>
        <v>14:05:58.094</v>
      </c>
      <c r="BY937" t="str">
        <f>"091106090"</f>
        <v>091106090</v>
      </c>
      <c r="CL937">
        <v>0</v>
      </c>
      <c r="CM937">
        <v>2</v>
      </c>
      <c r="CN937">
        <v>0</v>
      </c>
      <c r="CO937">
        <v>2</v>
      </c>
      <c r="CP937">
        <v>0</v>
      </c>
      <c r="CQ937">
        <v>7</v>
      </c>
      <c r="CR937" t="s">
        <v>116</v>
      </c>
      <c r="CS937">
        <v>525</v>
      </c>
      <c r="CT937">
        <v>1</v>
      </c>
      <c r="CU937" t="s">
        <v>140</v>
      </c>
      <c r="CV937" t="s">
        <v>141</v>
      </c>
      <c r="CY937">
        <v>8516239</v>
      </c>
      <c r="CZ937" t="s">
        <v>119</v>
      </c>
    </row>
    <row r="938" spans="1:104" x14ac:dyDescent="0.25">
      <c r="A938" t="str">
        <f>"14:05:59.195"</f>
        <v>14:05:59.195</v>
      </c>
      <c r="B938" t="s">
        <v>108</v>
      </c>
      <c r="C938" t="str">
        <f t="shared" si="43"/>
        <v>ffdfd3c0</v>
      </c>
      <c r="D938" t="s">
        <v>109</v>
      </c>
      <c r="E938">
        <v>4</v>
      </c>
      <c r="F938">
        <v>1004</v>
      </c>
      <c r="G938" t="s">
        <v>110</v>
      </c>
      <c r="J938" t="s">
        <v>111</v>
      </c>
      <c r="K938">
        <v>0</v>
      </c>
      <c r="L938">
        <v>3</v>
      </c>
      <c r="M938">
        <v>0</v>
      </c>
      <c r="N938">
        <v>2</v>
      </c>
      <c r="O938">
        <v>1</v>
      </c>
      <c r="P938">
        <v>0</v>
      </c>
      <c r="Q938">
        <v>0</v>
      </c>
      <c r="R938" t="s">
        <v>112</v>
      </c>
      <c r="S938" t="str">
        <f>"14:05:59.000"</f>
        <v>14:05:59.000</v>
      </c>
      <c r="T938" t="str">
        <f>"14:05:58.602"</f>
        <v>14:05:58.602</v>
      </c>
      <c r="U938" t="str">
        <f t="shared" si="42"/>
        <v>ad5732</v>
      </c>
      <c r="V938">
        <v>0</v>
      </c>
      <c r="W938">
        <v>0</v>
      </c>
      <c r="X938">
        <v>1</v>
      </c>
      <c r="Z938">
        <v>0</v>
      </c>
      <c r="AA938">
        <v>9</v>
      </c>
      <c r="AB938">
        <v>3</v>
      </c>
      <c r="AC938">
        <v>0</v>
      </c>
      <c r="AD938">
        <v>10</v>
      </c>
      <c r="AE938">
        <v>0</v>
      </c>
      <c r="AF938">
        <v>3</v>
      </c>
      <c r="AG938">
        <v>2</v>
      </c>
      <c r="AH938">
        <v>0</v>
      </c>
      <c r="AI938" t="s">
        <v>1973</v>
      </c>
      <c r="AJ938">
        <v>39.406928999999998</v>
      </c>
      <c r="AK938" t="s">
        <v>1974</v>
      </c>
      <c r="AL938">
        <v>-76.941226</v>
      </c>
      <c r="AM938">
        <v>100</v>
      </c>
      <c r="AN938">
        <v>8700</v>
      </c>
      <c r="AO938" t="s">
        <v>115</v>
      </c>
      <c r="AP938">
        <v>168</v>
      </c>
      <c r="AQ938">
        <v>89</v>
      </c>
      <c r="AR938">
        <v>0</v>
      </c>
      <c r="AZ938">
        <v>3614</v>
      </c>
      <c r="BA938">
        <v>1</v>
      </c>
      <c r="BB938" t="str">
        <f t="shared" si="44"/>
        <v xml:space="preserve">N959MJ  </v>
      </c>
      <c r="BC938">
        <v>1</v>
      </c>
      <c r="BE938">
        <v>0</v>
      </c>
      <c r="BF938">
        <v>0</v>
      </c>
      <c r="BG938">
        <v>0</v>
      </c>
      <c r="BH938">
        <v>9025</v>
      </c>
      <c r="BI938">
        <v>325</v>
      </c>
      <c r="BJ938">
        <v>1</v>
      </c>
      <c r="BK938">
        <v>1</v>
      </c>
      <c r="BL938">
        <v>1</v>
      </c>
      <c r="BM938">
        <v>0</v>
      </c>
      <c r="BP938">
        <v>0</v>
      </c>
      <c r="BQ938">
        <v>0</v>
      </c>
      <c r="BX938" t="str">
        <f>"14:05:59.008"</f>
        <v>14:05:59.008</v>
      </c>
      <c r="BY938" t="str">
        <f>"006986950"</f>
        <v>006986950</v>
      </c>
      <c r="CL938">
        <v>0</v>
      </c>
      <c r="CM938">
        <v>2</v>
      </c>
      <c r="CN938">
        <v>0</v>
      </c>
      <c r="CO938">
        <v>2</v>
      </c>
      <c r="CP938">
        <v>0</v>
      </c>
      <c r="CQ938">
        <v>6</v>
      </c>
      <c r="CR938" t="s">
        <v>116</v>
      </c>
      <c r="CS938">
        <v>525</v>
      </c>
      <c r="CT938">
        <v>1</v>
      </c>
      <c r="CU938" t="s">
        <v>140</v>
      </c>
      <c r="CV938" t="s">
        <v>141</v>
      </c>
      <c r="CY938">
        <v>8517612</v>
      </c>
      <c r="CZ938" t="s">
        <v>119</v>
      </c>
    </row>
    <row r="939" spans="1:104" x14ac:dyDescent="0.25">
      <c r="A939" t="str">
        <f>"14:06:00.250"</f>
        <v>14:06:00.250</v>
      </c>
      <c r="B939" t="s">
        <v>108</v>
      </c>
      <c r="C939" t="str">
        <f t="shared" si="43"/>
        <v>ffdfd3c0</v>
      </c>
      <c r="D939" t="s">
        <v>109</v>
      </c>
      <c r="E939">
        <v>4</v>
      </c>
      <c r="F939">
        <v>1004</v>
      </c>
      <c r="G939" t="s">
        <v>110</v>
      </c>
      <c r="J939" t="s">
        <v>111</v>
      </c>
      <c r="K939">
        <v>0</v>
      </c>
      <c r="L939">
        <v>3</v>
      </c>
      <c r="M939">
        <v>0</v>
      </c>
      <c r="N939">
        <v>2</v>
      </c>
      <c r="O939">
        <v>1</v>
      </c>
      <c r="P939">
        <v>0</v>
      </c>
      <c r="Q939">
        <v>0</v>
      </c>
      <c r="R939" t="s">
        <v>112</v>
      </c>
      <c r="S939" t="str">
        <f>"14:06:00.070"</f>
        <v>14:06:00.070</v>
      </c>
      <c r="T939" t="str">
        <f>"14:05:59.570"</f>
        <v>14:05:59.570</v>
      </c>
      <c r="U939" t="str">
        <f t="shared" si="42"/>
        <v>ad5732</v>
      </c>
      <c r="V939">
        <v>0</v>
      </c>
      <c r="W939">
        <v>0</v>
      </c>
      <c r="X939">
        <v>1</v>
      </c>
      <c r="Z939">
        <v>0</v>
      </c>
      <c r="AA939">
        <v>9</v>
      </c>
      <c r="AB939">
        <v>3</v>
      </c>
      <c r="AC939">
        <v>0</v>
      </c>
      <c r="AD939">
        <v>10</v>
      </c>
      <c r="AE939">
        <v>0</v>
      </c>
      <c r="AF939">
        <v>3</v>
      </c>
      <c r="AG939">
        <v>2</v>
      </c>
      <c r="AH939">
        <v>0</v>
      </c>
      <c r="AI939" t="s">
        <v>1975</v>
      </c>
      <c r="AJ939">
        <v>39.407358000000002</v>
      </c>
      <c r="AK939" t="s">
        <v>1976</v>
      </c>
      <c r="AL939">
        <v>-76.940196</v>
      </c>
      <c r="AM939">
        <v>100</v>
      </c>
      <c r="AN939">
        <v>8700</v>
      </c>
      <c r="AO939" t="s">
        <v>115</v>
      </c>
      <c r="AP939">
        <v>168</v>
      </c>
      <c r="AQ939">
        <v>89</v>
      </c>
      <c r="AR939">
        <v>0</v>
      </c>
      <c r="AZ939">
        <v>3614</v>
      </c>
      <c r="BA939">
        <v>1</v>
      </c>
      <c r="BB939" t="str">
        <f t="shared" si="44"/>
        <v xml:space="preserve">N959MJ  </v>
      </c>
      <c r="BC939">
        <v>1</v>
      </c>
      <c r="BE939">
        <v>0</v>
      </c>
      <c r="BF939">
        <v>0</v>
      </c>
      <c r="BG939">
        <v>0</v>
      </c>
      <c r="BH939">
        <v>9025</v>
      </c>
      <c r="BI939">
        <v>325</v>
      </c>
      <c r="BJ939">
        <v>1</v>
      </c>
      <c r="BK939">
        <v>1</v>
      </c>
      <c r="BL939">
        <v>1</v>
      </c>
      <c r="BM939">
        <v>0</v>
      </c>
      <c r="BP939">
        <v>0</v>
      </c>
      <c r="BQ939">
        <v>0</v>
      </c>
      <c r="BX939" t="str">
        <f>"14:06:00.078"</f>
        <v>14:06:00.078</v>
      </c>
      <c r="BY939" t="str">
        <f>"075241507"</f>
        <v>075241507</v>
      </c>
      <c r="CL939">
        <v>0</v>
      </c>
      <c r="CM939">
        <v>2</v>
      </c>
      <c r="CN939">
        <v>0</v>
      </c>
      <c r="CO939">
        <v>2</v>
      </c>
      <c r="CP939">
        <v>0</v>
      </c>
      <c r="CQ939">
        <v>7</v>
      </c>
      <c r="CR939" t="s">
        <v>116</v>
      </c>
      <c r="CS939">
        <v>525</v>
      </c>
      <c r="CT939">
        <v>1</v>
      </c>
      <c r="CU939" t="s">
        <v>140</v>
      </c>
      <c r="CV939" t="s">
        <v>141</v>
      </c>
      <c r="CY939">
        <v>8519180</v>
      </c>
      <c r="CZ939" t="s">
        <v>119</v>
      </c>
    </row>
    <row r="940" spans="1:104" x14ac:dyDescent="0.25">
      <c r="A940" t="str">
        <f>"14:06:01.359"</f>
        <v>14:06:01.359</v>
      </c>
      <c r="B940" t="s">
        <v>108</v>
      </c>
      <c r="C940" t="str">
        <f t="shared" si="43"/>
        <v>ffdfd3c0</v>
      </c>
      <c r="D940" t="s">
        <v>109</v>
      </c>
      <c r="E940">
        <v>4</v>
      </c>
      <c r="F940">
        <v>1004</v>
      </c>
      <c r="G940" t="s">
        <v>110</v>
      </c>
      <c r="J940" t="s">
        <v>111</v>
      </c>
      <c r="K940">
        <v>0</v>
      </c>
      <c r="L940">
        <v>3</v>
      </c>
      <c r="M940">
        <v>0</v>
      </c>
      <c r="N940">
        <v>2</v>
      </c>
      <c r="O940">
        <v>1</v>
      </c>
      <c r="P940">
        <v>0</v>
      </c>
      <c r="Q940">
        <v>0</v>
      </c>
      <c r="R940" t="s">
        <v>112</v>
      </c>
      <c r="S940" t="str">
        <f>"14:06:01.180"</f>
        <v>14:06:01.180</v>
      </c>
      <c r="T940" t="str">
        <f>"14:06:00.680"</f>
        <v>14:06:00.680</v>
      </c>
      <c r="U940" t="str">
        <f t="shared" si="42"/>
        <v>ad5732</v>
      </c>
      <c r="V940">
        <v>0</v>
      </c>
      <c r="W940">
        <v>0</v>
      </c>
      <c r="X940">
        <v>1</v>
      </c>
      <c r="Z940">
        <v>0</v>
      </c>
      <c r="AA940">
        <v>9</v>
      </c>
      <c r="AB940">
        <v>3</v>
      </c>
      <c r="AC940">
        <v>0</v>
      </c>
      <c r="AD940">
        <v>10</v>
      </c>
      <c r="AE940">
        <v>0</v>
      </c>
      <c r="AF940">
        <v>3</v>
      </c>
      <c r="AG940">
        <v>2</v>
      </c>
      <c r="AH940">
        <v>0</v>
      </c>
      <c r="AI940" t="s">
        <v>1977</v>
      </c>
      <c r="AJ940">
        <v>39.407766000000002</v>
      </c>
      <c r="AK940" t="s">
        <v>1978</v>
      </c>
      <c r="AL940">
        <v>-76.939100999999994</v>
      </c>
      <c r="AM940">
        <v>100</v>
      </c>
      <c r="AN940">
        <v>8700</v>
      </c>
      <c r="AO940" t="s">
        <v>115</v>
      </c>
      <c r="AP940">
        <v>169</v>
      </c>
      <c r="AQ940">
        <v>89</v>
      </c>
      <c r="AR940">
        <v>0</v>
      </c>
      <c r="AZ940">
        <v>3614</v>
      </c>
      <c r="BA940">
        <v>1</v>
      </c>
      <c r="BB940" t="str">
        <f t="shared" si="44"/>
        <v xml:space="preserve">N959MJ  </v>
      </c>
      <c r="BC940">
        <v>1</v>
      </c>
      <c r="BE940">
        <v>0</v>
      </c>
      <c r="BF940">
        <v>0</v>
      </c>
      <c r="BG940">
        <v>0</v>
      </c>
      <c r="BH940">
        <v>9025</v>
      </c>
      <c r="BI940">
        <v>325</v>
      </c>
      <c r="BJ940">
        <v>1</v>
      </c>
      <c r="BK940">
        <v>1</v>
      </c>
      <c r="BL940">
        <v>1</v>
      </c>
      <c r="BM940">
        <v>0</v>
      </c>
      <c r="BP940">
        <v>0</v>
      </c>
      <c r="BQ940">
        <v>0</v>
      </c>
      <c r="BX940" t="str">
        <f>"14:06:01.180"</f>
        <v>14:06:01.180</v>
      </c>
      <c r="BY940" t="str">
        <f>"179828841"</f>
        <v>179828841</v>
      </c>
      <c r="CL940">
        <v>0</v>
      </c>
      <c r="CM940">
        <v>2</v>
      </c>
      <c r="CN940">
        <v>0</v>
      </c>
      <c r="CO940">
        <v>2</v>
      </c>
      <c r="CP940">
        <v>0</v>
      </c>
      <c r="CQ940">
        <v>4</v>
      </c>
      <c r="CR940" t="s">
        <v>116</v>
      </c>
      <c r="CS940">
        <v>379</v>
      </c>
      <c r="CT940">
        <v>3</v>
      </c>
      <c r="CU940" t="s">
        <v>538</v>
      </c>
      <c r="CV940" t="s">
        <v>539</v>
      </c>
      <c r="CY940">
        <v>5204869</v>
      </c>
      <c r="CZ940" t="s">
        <v>119</v>
      </c>
    </row>
    <row r="941" spans="1:104" x14ac:dyDescent="0.25">
      <c r="A941" t="str">
        <f>"14:06:02.422"</f>
        <v>14:06:02.422</v>
      </c>
      <c r="B941" t="s">
        <v>108</v>
      </c>
      <c r="C941" t="str">
        <f t="shared" si="43"/>
        <v>ffdfd3c0</v>
      </c>
      <c r="D941" t="s">
        <v>109</v>
      </c>
      <c r="E941">
        <v>4</v>
      </c>
      <c r="F941">
        <v>1004</v>
      </c>
      <c r="G941" t="s">
        <v>110</v>
      </c>
      <c r="J941" t="s">
        <v>111</v>
      </c>
      <c r="K941">
        <v>0</v>
      </c>
      <c r="L941">
        <v>3</v>
      </c>
      <c r="M941">
        <v>0</v>
      </c>
      <c r="N941">
        <v>2</v>
      </c>
      <c r="O941">
        <v>1</v>
      </c>
      <c r="P941">
        <v>0</v>
      </c>
      <c r="Q941">
        <v>0</v>
      </c>
      <c r="R941" t="s">
        <v>112</v>
      </c>
      <c r="S941" t="str">
        <f>"14:06:02.234"</f>
        <v>14:06:02.234</v>
      </c>
      <c r="T941" t="str">
        <f>"14:06:01.836"</f>
        <v>14:06:01.836</v>
      </c>
      <c r="U941" t="str">
        <f t="shared" si="42"/>
        <v>ad5732</v>
      </c>
      <c r="V941">
        <v>0</v>
      </c>
      <c r="W941">
        <v>0</v>
      </c>
      <c r="X941">
        <v>1</v>
      </c>
      <c r="Z941">
        <v>0</v>
      </c>
      <c r="AA941">
        <v>9</v>
      </c>
      <c r="AB941">
        <v>3</v>
      </c>
      <c r="AC941">
        <v>0</v>
      </c>
      <c r="AD941">
        <v>10</v>
      </c>
      <c r="AE941">
        <v>0</v>
      </c>
      <c r="AF941">
        <v>3</v>
      </c>
      <c r="AG941">
        <v>2</v>
      </c>
      <c r="AH941">
        <v>0</v>
      </c>
      <c r="AI941" t="s">
        <v>1979</v>
      </c>
      <c r="AJ941">
        <v>39.408237999999997</v>
      </c>
      <c r="AK941" t="s">
        <v>1980</v>
      </c>
      <c r="AL941">
        <v>-76.937984999999998</v>
      </c>
      <c r="AM941">
        <v>100</v>
      </c>
      <c r="AN941">
        <v>8700</v>
      </c>
      <c r="AO941" t="s">
        <v>115</v>
      </c>
      <c r="AP941">
        <v>169</v>
      </c>
      <c r="AQ941">
        <v>89</v>
      </c>
      <c r="AR941">
        <v>0</v>
      </c>
      <c r="AZ941">
        <v>3614</v>
      </c>
      <c r="BA941">
        <v>1</v>
      </c>
      <c r="BB941" t="str">
        <f t="shared" si="44"/>
        <v xml:space="preserve">N959MJ  </v>
      </c>
      <c r="BC941">
        <v>1</v>
      </c>
      <c r="BE941">
        <v>0</v>
      </c>
      <c r="BF941">
        <v>0</v>
      </c>
      <c r="BG941">
        <v>0</v>
      </c>
      <c r="BH941">
        <v>9025</v>
      </c>
      <c r="BI941">
        <v>325</v>
      </c>
      <c r="BJ941">
        <v>1</v>
      </c>
      <c r="BK941">
        <v>1</v>
      </c>
      <c r="BL941">
        <v>1</v>
      </c>
      <c r="BM941">
        <v>0</v>
      </c>
      <c r="BP941">
        <v>0</v>
      </c>
      <c r="BQ941">
        <v>0</v>
      </c>
      <c r="BX941" t="str">
        <f>"14:06:02.234"</f>
        <v>14:06:02.234</v>
      </c>
      <c r="BY941" t="str">
        <f>"237965601"</f>
        <v>237965601</v>
      </c>
      <c r="CL941">
        <v>0</v>
      </c>
      <c r="CM941">
        <v>2</v>
      </c>
      <c r="CN941">
        <v>0</v>
      </c>
      <c r="CO941">
        <v>2</v>
      </c>
      <c r="CP941">
        <v>0</v>
      </c>
      <c r="CQ941">
        <v>7</v>
      </c>
      <c r="CR941" t="s">
        <v>116</v>
      </c>
      <c r="CS941">
        <v>525</v>
      </c>
      <c r="CT941">
        <v>1</v>
      </c>
      <c r="CU941" t="s">
        <v>140</v>
      </c>
      <c r="CV941" t="s">
        <v>141</v>
      </c>
      <c r="CY941">
        <v>8522304</v>
      </c>
      <c r="CZ941" t="s">
        <v>119</v>
      </c>
    </row>
    <row r="942" spans="1:104" x14ac:dyDescent="0.25">
      <c r="A942" t="str">
        <f>"14:06:03.430"</f>
        <v>14:06:03.430</v>
      </c>
      <c r="B942" t="s">
        <v>108</v>
      </c>
      <c r="C942" t="str">
        <f t="shared" si="43"/>
        <v>ffdfd3c0</v>
      </c>
      <c r="D942" t="s">
        <v>109</v>
      </c>
      <c r="E942">
        <v>4</v>
      </c>
      <c r="F942">
        <v>1004</v>
      </c>
      <c r="G942" t="s">
        <v>110</v>
      </c>
      <c r="J942" t="s">
        <v>111</v>
      </c>
      <c r="K942">
        <v>0</v>
      </c>
      <c r="L942">
        <v>3</v>
      </c>
      <c r="M942">
        <v>0</v>
      </c>
      <c r="N942">
        <v>2</v>
      </c>
      <c r="O942">
        <v>1</v>
      </c>
      <c r="P942">
        <v>0</v>
      </c>
      <c r="Q942">
        <v>0</v>
      </c>
      <c r="R942" t="s">
        <v>112</v>
      </c>
      <c r="S942" t="str">
        <f>"14:06:03.242"</f>
        <v>14:06:03.242</v>
      </c>
      <c r="T942" t="str">
        <f>"14:06:02.742"</f>
        <v>14:06:02.742</v>
      </c>
      <c r="U942" t="str">
        <f t="shared" si="42"/>
        <v>ad5732</v>
      </c>
      <c r="V942">
        <v>0</v>
      </c>
      <c r="W942">
        <v>0</v>
      </c>
      <c r="X942">
        <v>1</v>
      </c>
      <c r="Z942">
        <v>0</v>
      </c>
      <c r="AA942">
        <v>9</v>
      </c>
      <c r="AB942">
        <v>3</v>
      </c>
      <c r="AC942">
        <v>0</v>
      </c>
      <c r="AD942">
        <v>10</v>
      </c>
      <c r="AE942">
        <v>0</v>
      </c>
      <c r="AF942">
        <v>3</v>
      </c>
      <c r="AG942">
        <v>2</v>
      </c>
      <c r="AH942">
        <v>0</v>
      </c>
      <c r="AI942" t="s">
        <v>1981</v>
      </c>
      <c r="AJ942">
        <v>39.408667000000001</v>
      </c>
      <c r="AK942" t="s">
        <v>1982</v>
      </c>
      <c r="AL942">
        <v>-76.936954999999998</v>
      </c>
      <c r="AM942">
        <v>100</v>
      </c>
      <c r="AN942">
        <v>8700</v>
      </c>
      <c r="AO942" t="s">
        <v>115</v>
      </c>
      <c r="AP942">
        <v>169</v>
      </c>
      <c r="AQ942">
        <v>89</v>
      </c>
      <c r="AR942">
        <v>0</v>
      </c>
      <c r="AZ942">
        <v>3614</v>
      </c>
      <c r="BA942">
        <v>1</v>
      </c>
      <c r="BB942" t="str">
        <f t="shared" si="44"/>
        <v xml:space="preserve">N959MJ  </v>
      </c>
      <c r="BC942">
        <v>1</v>
      </c>
      <c r="BE942">
        <v>0</v>
      </c>
      <c r="BF942">
        <v>0</v>
      </c>
      <c r="BG942">
        <v>0</v>
      </c>
      <c r="BH942">
        <v>9025</v>
      </c>
      <c r="BI942">
        <v>325</v>
      </c>
      <c r="BJ942">
        <v>1</v>
      </c>
      <c r="BK942">
        <v>1</v>
      </c>
      <c r="BL942">
        <v>1</v>
      </c>
      <c r="BM942">
        <v>0</v>
      </c>
      <c r="BP942">
        <v>0</v>
      </c>
      <c r="BQ942">
        <v>0</v>
      </c>
      <c r="BX942" t="str">
        <f>"14:06:03.242"</f>
        <v>14:06:03.242</v>
      </c>
      <c r="BY942" t="str">
        <f>"242321535"</f>
        <v>242321535</v>
      </c>
      <c r="CL942">
        <v>0</v>
      </c>
      <c r="CM942">
        <v>2</v>
      </c>
      <c r="CN942">
        <v>0</v>
      </c>
      <c r="CO942">
        <v>2</v>
      </c>
      <c r="CP942">
        <v>0</v>
      </c>
      <c r="CQ942">
        <v>7</v>
      </c>
      <c r="CR942" t="s">
        <v>116</v>
      </c>
      <c r="CS942">
        <v>525</v>
      </c>
      <c r="CT942">
        <v>1</v>
      </c>
      <c r="CU942" t="s">
        <v>140</v>
      </c>
      <c r="CV942" t="s">
        <v>141</v>
      </c>
      <c r="CY942">
        <v>8523842</v>
      </c>
      <c r="CZ942" t="s">
        <v>119</v>
      </c>
    </row>
    <row r="943" spans="1:104" x14ac:dyDescent="0.25">
      <c r="A943" t="str">
        <f>"14:06:04.391"</f>
        <v>14:06:04.391</v>
      </c>
      <c r="B943" t="s">
        <v>108</v>
      </c>
      <c r="C943" t="str">
        <f t="shared" si="43"/>
        <v>ffdfd3c0</v>
      </c>
      <c r="D943" t="s">
        <v>109</v>
      </c>
      <c r="E943">
        <v>4</v>
      </c>
      <c r="F943">
        <v>1004</v>
      </c>
      <c r="G943" t="s">
        <v>110</v>
      </c>
      <c r="J943" t="s">
        <v>111</v>
      </c>
      <c r="K943">
        <v>0</v>
      </c>
      <c r="L943">
        <v>3</v>
      </c>
      <c r="M943">
        <v>0</v>
      </c>
      <c r="N943">
        <v>2</v>
      </c>
      <c r="O943">
        <v>1</v>
      </c>
      <c r="P943">
        <v>0</v>
      </c>
      <c r="Q943">
        <v>0</v>
      </c>
      <c r="R943" t="s">
        <v>112</v>
      </c>
      <c r="S943" t="str">
        <f>"14:06:04.188"</f>
        <v>14:06:04.188</v>
      </c>
      <c r="T943" t="str">
        <f>"14:06:03.789"</f>
        <v>14:06:03.789</v>
      </c>
      <c r="U943" t="str">
        <f t="shared" si="42"/>
        <v>ad5732</v>
      </c>
      <c r="V943">
        <v>0</v>
      </c>
      <c r="W943">
        <v>0</v>
      </c>
      <c r="X943">
        <v>1</v>
      </c>
      <c r="Z943">
        <v>0</v>
      </c>
      <c r="AA943">
        <v>9</v>
      </c>
      <c r="AB943">
        <v>3</v>
      </c>
      <c r="AC943">
        <v>0</v>
      </c>
      <c r="AD943">
        <v>10</v>
      </c>
      <c r="AE943">
        <v>0</v>
      </c>
      <c r="AF943">
        <v>3</v>
      </c>
      <c r="AG943">
        <v>2</v>
      </c>
      <c r="AH943">
        <v>0</v>
      </c>
      <c r="AI943" t="s">
        <v>1983</v>
      </c>
      <c r="AJ943">
        <v>39.409075000000001</v>
      </c>
      <c r="AK943" t="s">
        <v>1984</v>
      </c>
      <c r="AL943">
        <v>-76.935968000000003</v>
      </c>
      <c r="AM943">
        <v>100</v>
      </c>
      <c r="AN943">
        <v>8700</v>
      </c>
      <c r="AO943" t="s">
        <v>115</v>
      </c>
      <c r="AP943">
        <v>169</v>
      </c>
      <c r="AQ943">
        <v>88</v>
      </c>
      <c r="AR943">
        <v>0</v>
      </c>
      <c r="AZ943">
        <v>3614</v>
      </c>
      <c r="BA943">
        <v>1</v>
      </c>
      <c r="BB943" t="str">
        <f t="shared" si="44"/>
        <v xml:space="preserve">N959MJ  </v>
      </c>
      <c r="BC943">
        <v>1</v>
      </c>
      <c r="BE943">
        <v>0</v>
      </c>
      <c r="BF943">
        <v>0</v>
      </c>
      <c r="BG943">
        <v>0</v>
      </c>
      <c r="BH943">
        <v>9025</v>
      </c>
      <c r="BI943">
        <v>325</v>
      </c>
      <c r="BJ943">
        <v>1</v>
      </c>
      <c r="BK943">
        <v>1</v>
      </c>
      <c r="BL943">
        <v>1</v>
      </c>
      <c r="BM943">
        <v>0</v>
      </c>
      <c r="BP943">
        <v>0</v>
      </c>
      <c r="BQ943">
        <v>0</v>
      </c>
      <c r="BX943" t="str">
        <f>"14:06:04.195"</f>
        <v>14:06:04.195</v>
      </c>
      <c r="BY943" t="str">
        <f>"192705905"</f>
        <v>192705905</v>
      </c>
      <c r="CL943">
        <v>0</v>
      </c>
      <c r="CM943">
        <v>2</v>
      </c>
      <c r="CN943">
        <v>0</v>
      </c>
      <c r="CO943">
        <v>2</v>
      </c>
      <c r="CP943">
        <v>0</v>
      </c>
      <c r="CQ943">
        <v>6</v>
      </c>
      <c r="CR943" t="s">
        <v>116</v>
      </c>
      <c r="CS943">
        <v>396</v>
      </c>
      <c r="CT943">
        <v>2</v>
      </c>
      <c r="CU943" t="s">
        <v>939</v>
      </c>
      <c r="CV943" t="s">
        <v>940</v>
      </c>
      <c r="CY943">
        <v>4386900</v>
      </c>
      <c r="CZ943" t="s">
        <v>119</v>
      </c>
    </row>
    <row r="944" spans="1:104" x14ac:dyDescent="0.25">
      <c r="A944" t="str">
        <f>"14:06:05.297"</f>
        <v>14:06:05.297</v>
      </c>
      <c r="B944" t="s">
        <v>108</v>
      </c>
      <c r="C944" t="str">
        <f t="shared" si="43"/>
        <v>ffdfd3c0</v>
      </c>
      <c r="D944" t="s">
        <v>109</v>
      </c>
      <c r="E944">
        <v>4</v>
      </c>
      <c r="F944">
        <v>1004</v>
      </c>
      <c r="G944" t="s">
        <v>110</v>
      </c>
      <c r="J944" t="s">
        <v>111</v>
      </c>
      <c r="K944">
        <v>0</v>
      </c>
      <c r="L944">
        <v>3</v>
      </c>
      <c r="M944">
        <v>0</v>
      </c>
      <c r="N944">
        <v>2</v>
      </c>
      <c r="O944">
        <v>1</v>
      </c>
      <c r="P944">
        <v>0</v>
      </c>
      <c r="Q944">
        <v>0</v>
      </c>
      <c r="R944" t="s">
        <v>112</v>
      </c>
      <c r="S944" t="str">
        <f>"14:06:05.125"</f>
        <v>14:06:05.125</v>
      </c>
      <c r="T944" t="str">
        <f>"14:06:04.727"</f>
        <v>14:06:04.727</v>
      </c>
      <c r="U944" t="str">
        <f t="shared" si="42"/>
        <v>ad5732</v>
      </c>
      <c r="V944">
        <v>0</v>
      </c>
      <c r="W944">
        <v>0</v>
      </c>
      <c r="X944">
        <v>1</v>
      </c>
      <c r="Z944">
        <v>0</v>
      </c>
      <c r="AA944">
        <v>9</v>
      </c>
      <c r="AB944">
        <v>3</v>
      </c>
      <c r="AC944">
        <v>0</v>
      </c>
      <c r="AD944">
        <v>10</v>
      </c>
      <c r="AE944">
        <v>0</v>
      </c>
      <c r="AF944">
        <v>3</v>
      </c>
      <c r="AG944">
        <v>2</v>
      </c>
      <c r="AH944">
        <v>0</v>
      </c>
      <c r="AI944" t="s">
        <v>1985</v>
      </c>
      <c r="AJ944">
        <v>39.409418000000002</v>
      </c>
      <c r="AK944" t="s">
        <v>1986</v>
      </c>
      <c r="AL944">
        <v>-76.935046</v>
      </c>
      <c r="AM944">
        <v>100</v>
      </c>
      <c r="AN944">
        <v>8700</v>
      </c>
      <c r="AO944" t="s">
        <v>115</v>
      </c>
      <c r="AP944">
        <v>169</v>
      </c>
      <c r="AQ944">
        <v>88</v>
      </c>
      <c r="AR944">
        <v>0</v>
      </c>
      <c r="AZ944">
        <v>3614</v>
      </c>
      <c r="BA944">
        <v>1</v>
      </c>
      <c r="BB944" t="str">
        <f t="shared" si="44"/>
        <v xml:space="preserve">N959MJ  </v>
      </c>
      <c r="BC944">
        <v>1</v>
      </c>
      <c r="BE944">
        <v>0</v>
      </c>
      <c r="BF944">
        <v>0</v>
      </c>
      <c r="BG944">
        <v>0</v>
      </c>
      <c r="BH944">
        <v>9025</v>
      </c>
      <c r="BI944">
        <v>325</v>
      </c>
      <c r="BJ944">
        <v>1</v>
      </c>
      <c r="BK944">
        <v>1</v>
      </c>
      <c r="BL944">
        <v>1</v>
      </c>
      <c r="BM944">
        <v>0</v>
      </c>
      <c r="BP944">
        <v>0</v>
      </c>
      <c r="BQ944">
        <v>0</v>
      </c>
      <c r="BX944" t="str">
        <f>"14:06:05.125"</f>
        <v>14:06:05.125</v>
      </c>
      <c r="BY944" t="str">
        <f>"128151320"</f>
        <v>128151320</v>
      </c>
      <c r="CL944">
        <v>0</v>
      </c>
      <c r="CM944">
        <v>2</v>
      </c>
      <c r="CN944">
        <v>0</v>
      </c>
      <c r="CO944">
        <v>2</v>
      </c>
      <c r="CP944">
        <v>0</v>
      </c>
      <c r="CQ944">
        <v>7</v>
      </c>
      <c r="CR944" t="s">
        <v>116</v>
      </c>
      <c r="CS944">
        <v>525</v>
      </c>
      <c r="CT944">
        <v>1</v>
      </c>
      <c r="CU944" t="s">
        <v>140</v>
      </c>
      <c r="CV944" t="s">
        <v>141</v>
      </c>
      <c r="CY944">
        <v>8526611</v>
      </c>
      <c r="CZ944" t="s">
        <v>119</v>
      </c>
    </row>
    <row r="945" spans="1:104" x14ac:dyDescent="0.25">
      <c r="A945" t="str">
        <f>"14:06:06.406"</f>
        <v>14:06:06.406</v>
      </c>
      <c r="B945" t="s">
        <v>108</v>
      </c>
      <c r="C945" t="str">
        <f t="shared" si="43"/>
        <v>ffdfd3c0</v>
      </c>
      <c r="D945" t="s">
        <v>109</v>
      </c>
      <c r="E945">
        <v>4</v>
      </c>
      <c r="F945">
        <v>1004</v>
      </c>
      <c r="G945" t="s">
        <v>110</v>
      </c>
      <c r="J945" t="s">
        <v>111</v>
      </c>
      <c r="K945">
        <v>0</v>
      </c>
      <c r="L945">
        <v>3</v>
      </c>
      <c r="M945">
        <v>0</v>
      </c>
      <c r="N945">
        <v>2</v>
      </c>
      <c r="O945">
        <v>1</v>
      </c>
      <c r="P945">
        <v>0</v>
      </c>
      <c r="Q945">
        <v>0</v>
      </c>
      <c r="R945" t="s">
        <v>112</v>
      </c>
      <c r="S945" t="str">
        <f>"14:06:06.250"</f>
        <v>14:06:06.250</v>
      </c>
      <c r="T945" t="str">
        <f>"14:06:05.750"</f>
        <v>14:06:05.750</v>
      </c>
      <c r="U945" t="str">
        <f t="shared" si="42"/>
        <v>ad5732</v>
      </c>
      <c r="V945">
        <v>0</v>
      </c>
      <c r="W945">
        <v>0</v>
      </c>
      <c r="X945">
        <v>1</v>
      </c>
      <c r="Z945">
        <v>0</v>
      </c>
      <c r="AA945">
        <v>9</v>
      </c>
      <c r="AB945">
        <v>3</v>
      </c>
      <c r="AC945">
        <v>0</v>
      </c>
      <c r="AD945">
        <v>10</v>
      </c>
      <c r="AE945">
        <v>0</v>
      </c>
      <c r="AF945">
        <v>3</v>
      </c>
      <c r="AG945">
        <v>2</v>
      </c>
      <c r="AH945">
        <v>0</v>
      </c>
      <c r="AI945" t="s">
        <v>1987</v>
      </c>
      <c r="AJ945">
        <v>39.409869</v>
      </c>
      <c r="AK945" t="s">
        <v>1988</v>
      </c>
      <c r="AL945">
        <v>-76.933950999999993</v>
      </c>
      <c r="AM945">
        <v>100</v>
      </c>
      <c r="AN945">
        <v>8700</v>
      </c>
      <c r="AO945" t="s">
        <v>115</v>
      </c>
      <c r="AP945">
        <v>169</v>
      </c>
      <c r="AQ945">
        <v>88</v>
      </c>
      <c r="AR945">
        <v>0</v>
      </c>
      <c r="AZ945">
        <v>3614</v>
      </c>
      <c r="BA945">
        <v>1</v>
      </c>
      <c r="BB945" t="str">
        <f t="shared" si="44"/>
        <v xml:space="preserve">N959MJ  </v>
      </c>
      <c r="BC945">
        <v>1</v>
      </c>
      <c r="BE945">
        <v>0</v>
      </c>
      <c r="BF945">
        <v>0</v>
      </c>
      <c r="BG945">
        <v>0</v>
      </c>
      <c r="BH945">
        <v>9025</v>
      </c>
      <c r="BI945">
        <v>325</v>
      </c>
      <c r="BJ945">
        <v>1</v>
      </c>
      <c r="BK945">
        <v>1</v>
      </c>
      <c r="BL945">
        <v>1</v>
      </c>
      <c r="BM945">
        <v>0</v>
      </c>
      <c r="BP945">
        <v>0</v>
      </c>
      <c r="BQ945">
        <v>0</v>
      </c>
      <c r="BX945" t="str">
        <f>"14:06:06.250"</f>
        <v>14:06:06.250</v>
      </c>
      <c r="BY945" t="str">
        <f>"252112500"</f>
        <v>252112500</v>
      </c>
      <c r="CL945">
        <v>0</v>
      </c>
      <c r="CM945">
        <v>2</v>
      </c>
      <c r="CN945">
        <v>0</v>
      </c>
      <c r="CO945">
        <v>2</v>
      </c>
      <c r="CP945">
        <v>0</v>
      </c>
      <c r="CQ945">
        <v>7</v>
      </c>
      <c r="CR945" t="s">
        <v>116</v>
      </c>
      <c r="CS945">
        <v>525</v>
      </c>
      <c r="CT945">
        <v>1</v>
      </c>
      <c r="CU945" t="s">
        <v>140</v>
      </c>
      <c r="CV945" t="s">
        <v>141</v>
      </c>
      <c r="CY945">
        <v>8528247</v>
      </c>
      <c r="CZ945" t="s">
        <v>119</v>
      </c>
    </row>
    <row r="946" spans="1:104" x14ac:dyDescent="0.25">
      <c r="A946" t="str">
        <f>"14:06:07.320"</f>
        <v>14:06:07.320</v>
      </c>
      <c r="B946" t="s">
        <v>108</v>
      </c>
      <c r="C946" t="str">
        <f t="shared" si="43"/>
        <v>ffdfd3c0</v>
      </c>
      <c r="D946" t="s">
        <v>109</v>
      </c>
      <c r="E946">
        <v>4</v>
      </c>
      <c r="F946">
        <v>1004</v>
      </c>
      <c r="G946" t="s">
        <v>110</v>
      </c>
      <c r="J946" t="s">
        <v>111</v>
      </c>
      <c r="K946">
        <v>0</v>
      </c>
      <c r="L946">
        <v>3</v>
      </c>
      <c r="M946">
        <v>0</v>
      </c>
      <c r="N946">
        <v>2</v>
      </c>
      <c r="O946">
        <v>1</v>
      </c>
      <c r="P946">
        <v>0</v>
      </c>
      <c r="Q946">
        <v>0</v>
      </c>
      <c r="R946" t="s">
        <v>112</v>
      </c>
      <c r="S946" t="str">
        <f>"14:06:07.164"</f>
        <v>14:06:07.164</v>
      </c>
      <c r="T946" t="str">
        <f>"14:06:06.664"</f>
        <v>14:06:06.664</v>
      </c>
      <c r="U946" t="str">
        <f t="shared" si="42"/>
        <v>ad5732</v>
      </c>
      <c r="V946">
        <v>0</v>
      </c>
      <c r="W946">
        <v>0</v>
      </c>
      <c r="X946">
        <v>1</v>
      </c>
      <c r="Z946">
        <v>0</v>
      </c>
      <c r="AA946">
        <v>9</v>
      </c>
      <c r="AB946">
        <v>3</v>
      </c>
      <c r="AC946">
        <v>0</v>
      </c>
      <c r="AD946">
        <v>10</v>
      </c>
      <c r="AE946">
        <v>0</v>
      </c>
      <c r="AF946">
        <v>3</v>
      </c>
      <c r="AG946">
        <v>2</v>
      </c>
      <c r="AH946">
        <v>0</v>
      </c>
      <c r="AI946" t="s">
        <v>1989</v>
      </c>
      <c r="AJ946">
        <v>39.410254999999999</v>
      </c>
      <c r="AK946" t="s">
        <v>1990</v>
      </c>
      <c r="AL946">
        <v>-76.933007000000003</v>
      </c>
      <c r="AM946">
        <v>100</v>
      </c>
      <c r="AN946">
        <v>8700</v>
      </c>
      <c r="AO946" t="s">
        <v>115</v>
      </c>
      <c r="AP946">
        <v>169</v>
      </c>
      <c r="AQ946">
        <v>88</v>
      </c>
      <c r="AR946">
        <v>0</v>
      </c>
      <c r="AZ946">
        <v>3614</v>
      </c>
      <c r="BA946">
        <v>1</v>
      </c>
      <c r="BB946" t="str">
        <f t="shared" si="44"/>
        <v xml:space="preserve">N959MJ  </v>
      </c>
      <c r="BC946">
        <v>1</v>
      </c>
      <c r="BE946">
        <v>0</v>
      </c>
      <c r="BF946">
        <v>0</v>
      </c>
      <c r="BG946">
        <v>0</v>
      </c>
      <c r="BH946">
        <v>9025</v>
      </c>
      <c r="BI946">
        <v>325</v>
      </c>
      <c r="BJ946">
        <v>1</v>
      </c>
      <c r="BK946">
        <v>1</v>
      </c>
      <c r="BL946">
        <v>1</v>
      </c>
      <c r="BM946">
        <v>0</v>
      </c>
      <c r="BP946">
        <v>0</v>
      </c>
      <c r="BQ946">
        <v>0</v>
      </c>
      <c r="BX946" t="str">
        <f>"14:06:07.164"</f>
        <v>14:06:07.164</v>
      </c>
      <c r="BY946" t="str">
        <f>"166355054"</f>
        <v>166355054</v>
      </c>
      <c r="CL946">
        <v>0</v>
      </c>
      <c r="CM946">
        <v>2</v>
      </c>
      <c r="CN946">
        <v>0</v>
      </c>
      <c r="CO946">
        <v>2</v>
      </c>
      <c r="CP946">
        <v>0</v>
      </c>
      <c r="CQ946">
        <v>7</v>
      </c>
      <c r="CR946" t="s">
        <v>116</v>
      </c>
      <c r="CS946">
        <v>525</v>
      </c>
      <c r="CT946">
        <v>1</v>
      </c>
      <c r="CU946" t="s">
        <v>140</v>
      </c>
      <c r="CV946" t="s">
        <v>141</v>
      </c>
      <c r="CY946">
        <v>8529559</v>
      </c>
      <c r="CZ946" t="s">
        <v>119</v>
      </c>
    </row>
    <row r="947" spans="1:104" x14ac:dyDescent="0.25">
      <c r="A947" t="str">
        <f>"14:06:08.273"</f>
        <v>14:06:08.273</v>
      </c>
      <c r="B947" t="s">
        <v>108</v>
      </c>
      <c r="C947" t="str">
        <f t="shared" si="43"/>
        <v>ffdfd3c0</v>
      </c>
      <c r="D947" t="s">
        <v>109</v>
      </c>
      <c r="E947">
        <v>4</v>
      </c>
      <c r="F947">
        <v>1004</v>
      </c>
      <c r="G947" t="s">
        <v>110</v>
      </c>
      <c r="J947" t="s">
        <v>111</v>
      </c>
      <c r="K947">
        <v>0</v>
      </c>
      <c r="L947">
        <v>3</v>
      </c>
      <c r="M947">
        <v>0</v>
      </c>
      <c r="N947">
        <v>2</v>
      </c>
      <c r="O947">
        <v>1</v>
      </c>
      <c r="P947">
        <v>0</v>
      </c>
      <c r="Q947">
        <v>0</v>
      </c>
      <c r="R947" t="s">
        <v>112</v>
      </c>
      <c r="S947" t="str">
        <f>"14:06:08.117"</f>
        <v>14:06:08.117</v>
      </c>
      <c r="T947" t="str">
        <f>"14:06:07.617"</f>
        <v>14:06:07.617</v>
      </c>
      <c r="U947" t="str">
        <f t="shared" si="42"/>
        <v>ad5732</v>
      </c>
      <c r="V947">
        <v>0</v>
      </c>
      <c r="W947">
        <v>0</v>
      </c>
      <c r="X947">
        <v>1</v>
      </c>
      <c r="Z947">
        <v>0</v>
      </c>
      <c r="AA947">
        <v>9</v>
      </c>
      <c r="AB947">
        <v>3</v>
      </c>
      <c r="AC947">
        <v>0</v>
      </c>
      <c r="AD947">
        <v>10</v>
      </c>
      <c r="AE947">
        <v>0</v>
      </c>
      <c r="AF947">
        <v>3</v>
      </c>
      <c r="AG947">
        <v>2</v>
      </c>
      <c r="AH947">
        <v>0</v>
      </c>
      <c r="AI947" t="s">
        <v>1991</v>
      </c>
      <c r="AJ947">
        <v>39.410663</v>
      </c>
      <c r="AK947" t="s">
        <v>1992</v>
      </c>
      <c r="AL947">
        <v>-76.931999000000005</v>
      </c>
      <c r="AM947">
        <v>100</v>
      </c>
      <c r="AN947">
        <v>8700</v>
      </c>
      <c r="AO947" t="s">
        <v>115</v>
      </c>
      <c r="AP947">
        <v>169</v>
      </c>
      <c r="AQ947">
        <v>88</v>
      </c>
      <c r="AR947">
        <v>0</v>
      </c>
      <c r="AZ947">
        <v>3614</v>
      </c>
      <c r="BA947">
        <v>1</v>
      </c>
      <c r="BB947" t="str">
        <f t="shared" si="44"/>
        <v xml:space="preserve">N959MJ  </v>
      </c>
      <c r="BC947">
        <v>1</v>
      </c>
      <c r="BE947">
        <v>0</v>
      </c>
      <c r="BF947">
        <v>0</v>
      </c>
      <c r="BG947">
        <v>0</v>
      </c>
      <c r="BH947">
        <v>9025</v>
      </c>
      <c r="BI947">
        <v>325</v>
      </c>
      <c r="BJ947">
        <v>1</v>
      </c>
      <c r="BK947">
        <v>1</v>
      </c>
      <c r="BL947">
        <v>1</v>
      </c>
      <c r="BM947">
        <v>0</v>
      </c>
      <c r="BP947">
        <v>0</v>
      </c>
      <c r="BQ947">
        <v>0</v>
      </c>
      <c r="BX947" t="str">
        <f>"14:06:08.125"</f>
        <v>14:06:08.125</v>
      </c>
      <c r="BY947" t="str">
        <f>"123196459"</f>
        <v>123196459</v>
      </c>
      <c r="CL947">
        <v>0</v>
      </c>
      <c r="CM947">
        <v>2</v>
      </c>
      <c r="CN947">
        <v>0</v>
      </c>
      <c r="CO947">
        <v>2</v>
      </c>
      <c r="CP947">
        <v>0</v>
      </c>
      <c r="CQ947">
        <v>5</v>
      </c>
      <c r="CR947" t="s">
        <v>116</v>
      </c>
      <c r="CS947">
        <v>525</v>
      </c>
      <c r="CT947">
        <v>2</v>
      </c>
      <c r="CU947" t="s">
        <v>140</v>
      </c>
      <c r="CV947" t="s">
        <v>141</v>
      </c>
      <c r="CY947">
        <v>14978485</v>
      </c>
      <c r="CZ947" t="s">
        <v>119</v>
      </c>
    </row>
    <row r="948" spans="1:104" x14ac:dyDescent="0.25">
      <c r="A948" t="str">
        <f>"14:06:09.234"</f>
        <v>14:06:09.234</v>
      </c>
      <c r="B948" t="s">
        <v>108</v>
      </c>
      <c r="C948" t="str">
        <f t="shared" si="43"/>
        <v>ffdfd3c0</v>
      </c>
      <c r="D948" t="s">
        <v>109</v>
      </c>
      <c r="E948">
        <v>4</v>
      </c>
      <c r="F948">
        <v>1004</v>
      </c>
      <c r="G948" t="s">
        <v>110</v>
      </c>
      <c r="J948" t="s">
        <v>111</v>
      </c>
      <c r="K948">
        <v>0</v>
      </c>
      <c r="L948">
        <v>3</v>
      </c>
      <c r="M948">
        <v>0</v>
      </c>
      <c r="N948">
        <v>2</v>
      </c>
      <c r="O948">
        <v>1</v>
      </c>
      <c r="P948">
        <v>0</v>
      </c>
      <c r="Q948">
        <v>0</v>
      </c>
      <c r="R948" t="s">
        <v>112</v>
      </c>
      <c r="S948" t="str">
        <f>"14:06:09.039"</f>
        <v>14:06:09.039</v>
      </c>
      <c r="T948" t="str">
        <f>"14:06:08.539"</f>
        <v>14:06:08.539</v>
      </c>
      <c r="U948" t="str">
        <f t="shared" si="42"/>
        <v>ad5732</v>
      </c>
      <c r="V948">
        <v>0</v>
      </c>
      <c r="W948">
        <v>0</v>
      </c>
      <c r="X948">
        <v>1</v>
      </c>
      <c r="Z948">
        <v>0</v>
      </c>
      <c r="AA948">
        <v>9</v>
      </c>
      <c r="AB948">
        <v>3</v>
      </c>
      <c r="AC948">
        <v>0</v>
      </c>
      <c r="AD948">
        <v>10</v>
      </c>
      <c r="AE948">
        <v>0</v>
      </c>
      <c r="AF948">
        <v>3</v>
      </c>
      <c r="AG948">
        <v>2</v>
      </c>
      <c r="AH948">
        <v>0</v>
      </c>
      <c r="AI948" t="s">
        <v>1993</v>
      </c>
      <c r="AJ948">
        <v>39.411026999999997</v>
      </c>
      <c r="AK948" t="s">
        <v>1994</v>
      </c>
      <c r="AL948">
        <v>-76.931098000000006</v>
      </c>
      <c r="AM948">
        <v>100</v>
      </c>
      <c r="AN948">
        <v>8700</v>
      </c>
      <c r="AO948" t="s">
        <v>115</v>
      </c>
      <c r="AP948">
        <v>169</v>
      </c>
      <c r="AQ948">
        <v>88</v>
      </c>
      <c r="AR948">
        <v>0</v>
      </c>
      <c r="AZ948">
        <v>3614</v>
      </c>
      <c r="BA948">
        <v>1</v>
      </c>
      <c r="BB948" t="str">
        <f t="shared" si="44"/>
        <v xml:space="preserve">N959MJ  </v>
      </c>
      <c r="BC948">
        <v>1</v>
      </c>
      <c r="BE948">
        <v>0</v>
      </c>
      <c r="BF948">
        <v>0</v>
      </c>
      <c r="BG948">
        <v>0</v>
      </c>
      <c r="BH948">
        <v>9025</v>
      </c>
      <c r="BI948">
        <v>325</v>
      </c>
      <c r="BJ948">
        <v>1</v>
      </c>
      <c r="BK948">
        <v>1</v>
      </c>
      <c r="BL948">
        <v>1</v>
      </c>
      <c r="BM948">
        <v>0</v>
      </c>
      <c r="BP948">
        <v>0</v>
      </c>
      <c r="BQ948">
        <v>0</v>
      </c>
      <c r="BX948" t="str">
        <f>"14:06:09.047"</f>
        <v>14:06:09.047</v>
      </c>
      <c r="BY948" t="str">
        <f>"045630923"</f>
        <v>045630923</v>
      </c>
      <c r="CL948">
        <v>0</v>
      </c>
      <c r="CM948">
        <v>2</v>
      </c>
      <c r="CN948">
        <v>0</v>
      </c>
      <c r="CO948">
        <v>2</v>
      </c>
      <c r="CP948">
        <v>0</v>
      </c>
      <c r="CQ948">
        <v>7</v>
      </c>
      <c r="CR948" t="s">
        <v>116</v>
      </c>
      <c r="CS948">
        <v>525</v>
      </c>
      <c r="CT948">
        <v>1</v>
      </c>
      <c r="CU948" t="s">
        <v>140</v>
      </c>
      <c r="CV948" t="s">
        <v>141</v>
      </c>
      <c r="CY948">
        <v>8532360</v>
      </c>
      <c r="CZ948" t="s">
        <v>119</v>
      </c>
    </row>
    <row r="949" spans="1:104" x14ac:dyDescent="0.25">
      <c r="A949" t="str">
        <f>"14:06:10.242"</f>
        <v>14:06:10.242</v>
      </c>
      <c r="B949" t="s">
        <v>108</v>
      </c>
      <c r="C949" t="str">
        <f t="shared" si="43"/>
        <v>ffdfd3c0</v>
      </c>
      <c r="D949" t="s">
        <v>109</v>
      </c>
      <c r="E949">
        <v>4</v>
      </c>
      <c r="F949">
        <v>1004</v>
      </c>
      <c r="G949" t="s">
        <v>110</v>
      </c>
      <c r="J949" t="s">
        <v>111</v>
      </c>
      <c r="K949">
        <v>0</v>
      </c>
      <c r="L949">
        <v>3</v>
      </c>
      <c r="M949">
        <v>0</v>
      </c>
      <c r="N949">
        <v>2</v>
      </c>
      <c r="O949">
        <v>1</v>
      </c>
      <c r="P949">
        <v>0</v>
      </c>
      <c r="Q949">
        <v>0</v>
      </c>
      <c r="R949" t="s">
        <v>112</v>
      </c>
      <c r="S949" t="str">
        <f>"14:06:10.031"</f>
        <v>14:06:10.031</v>
      </c>
      <c r="T949" t="str">
        <f>"14:06:09.531"</f>
        <v>14:06:09.531</v>
      </c>
      <c r="U949" t="str">
        <f t="shared" si="42"/>
        <v>ad5732</v>
      </c>
      <c r="V949">
        <v>0</v>
      </c>
      <c r="W949">
        <v>0</v>
      </c>
      <c r="X949">
        <v>1</v>
      </c>
      <c r="Z949">
        <v>0</v>
      </c>
      <c r="AA949">
        <v>9</v>
      </c>
      <c r="AB949">
        <v>3</v>
      </c>
      <c r="AC949">
        <v>0</v>
      </c>
      <c r="AD949">
        <v>10</v>
      </c>
      <c r="AE949">
        <v>0</v>
      </c>
      <c r="AF949">
        <v>3</v>
      </c>
      <c r="AG949">
        <v>2</v>
      </c>
      <c r="AH949">
        <v>0</v>
      </c>
      <c r="AI949" t="s">
        <v>1995</v>
      </c>
      <c r="AJ949">
        <v>39.411414000000001</v>
      </c>
      <c r="AK949" t="s">
        <v>1996</v>
      </c>
      <c r="AL949">
        <v>-76.930109999999999</v>
      </c>
      <c r="AM949">
        <v>100</v>
      </c>
      <c r="AN949">
        <v>8700</v>
      </c>
      <c r="AO949" t="s">
        <v>115</v>
      </c>
      <c r="AP949">
        <v>170</v>
      </c>
      <c r="AQ949">
        <v>88</v>
      </c>
      <c r="AR949">
        <v>0</v>
      </c>
      <c r="AZ949">
        <v>3614</v>
      </c>
      <c r="BA949">
        <v>1</v>
      </c>
      <c r="BB949" t="str">
        <f t="shared" si="44"/>
        <v xml:space="preserve">N959MJ  </v>
      </c>
      <c r="BC949">
        <v>1</v>
      </c>
      <c r="BE949">
        <v>0</v>
      </c>
      <c r="BF949">
        <v>0</v>
      </c>
      <c r="BG949">
        <v>0</v>
      </c>
      <c r="BH949">
        <v>9025</v>
      </c>
      <c r="BI949">
        <v>325</v>
      </c>
      <c r="BJ949">
        <v>1</v>
      </c>
      <c r="BK949">
        <v>1</v>
      </c>
      <c r="BL949">
        <v>1</v>
      </c>
      <c r="BM949">
        <v>0</v>
      </c>
      <c r="BP949">
        <v>0</v>
      </c>
      <c r="BQ949">
        <v>0</v>
      </c>
      <c r="BX949" t="str">
        <f>"14:06:10.031"</f>
        <v>14:06:10.031</v>
      </c>
      <c r="BY949" t="str">
        <f>"032057537"</f>
        <v>032057537</v>
      </c>
      <c r="CL949">
        <v>0</v>
      </c>
      <c r="CM949">
        <v>2</v>
      </c>
      <c r="CN949">
        <v>0</v>
      </c>
      <c r="CO949">
        <v>2</v>
      </c>
      <c r="CP949">
        <v>0</v>
      </c>
      <c r="CQ949">
        <v>6</v>
      </c>
      <c r="CR949" t="s">
        <v>116</v>
      </c>
      <c r="CS949">
        <v>396</v>
      </c>
      <c r="CT949">
        <v>2</v>
      </c>
      <c r="CU949" t="s">
        <v>939</v>
      </c>
      <c r="CV949" t="s">
        <v>940</v>
      </c>
      <c r="CY949">
        <v>4397150</v>
      </c>
      <c r="CZ949" t="s">
        <v>119</v>
      </c>
    </row>
    <row r="950" spans="1:104" x14ac:dyDescent="0.25">
      <c r="A950" t="str">
        <f>"14:06:11.203"</f>
        <v>14:06:11.203</v>
      </c>
      <c r="B950" t="s">
        <v>108</v>
      </c>
      <c r="C950" t="str">
        <f t="shared" si="43"/>
        <v>ffdfd3c0</v>
      </c>
      <c r="D950" t="s">
        <v>109</v>
      </c>
      <c r="E950">
        <v>4</v>
      </c>
      <c r="F950">
        <v>1004</v>
      </c>
      <c r="G950" t="s">
        <v>110</v>
      </c>
      <c r="J950" t="s">
        <v>111</v>
      </c>
      <c r="K950">
        <v>0</v>
      </c>
      <c r="L950">
        <v>3</v>
      </c>
      <c r="M950">
        <v>0</v>
      </c>
      <c r="N950">
        <v>2</v>
      </c>
      <c r="O950">
        <v>1</v>
      </c>
      <c r="P950">
        <v>0</v>
      </c>
      <c r="Q950">
        <v>0</v>
      </c>
      <c r="R950" t="s">
        <v>112</v>
      </c>
      <c r="S950" t="str">
        <f>"14:06:11.000"</f>
        <v>14:06:11.000</v>
      </c>
      <c r="T950" t="str">
        <f>"14:06:10.500"</f>
        <v>14:06:10.500</v>
      </c>
      <c r="U950" t="str">
        <f t="shared" si="42"/>
        <v>ad5732</v>
      </c>
      <c r="V950">
        <v>0</v>
      </c>
      <c r="W950">
        <v>0</v>
      </c>
      <c r="X950">
        <v>1</v>
      </c>
      <c r="Z950">
        <v>0</v>
      </c>
      <c r="AA950">
        <v>9</v>
      </c>
      <c r="AB950">
        <v>3</v>
      </c>
      <c r="AC950">
        <v>0</v>
      </c>
      <c r="AD950">
        <v>10</v>
      </c>
      <c r="AE950">
        <v>0</v>
      </c>
      <c r="AF950">
        <v>3</v>
      </c>
      <c r="AG950">
        <v>2</v>
      </c>
      <c r="AH950">
        <v>0</v>
      </c>
      <c r="AI950" t="s">
        <v>1997</v>
      </c>
      <c r="AJ950">
        <v>39.411821000000003</v>
      </c>
      <c r="AK950" t="s">
        <v>1998</v>
      </c>
      <c r="AL950">
        <v>-76.929079999999999</v>
      </c>
      <c r="AM950">
        <v>100</v>
      </c>
      <c r="AN950">
        <v>8700</v>
      </c>
      <c r="AO950" t="s">
        <v>115</v>
      </c>
      <c r="AP950">
        <v>170</v>
      </c>
      <c r="AQ950">
        <v>87</v>
      </c>
      <c r="AR950">
        <v>0</v>
      </c>
      <c r="AZ950">
        <v>3614</v>
      </c>
      <c r="BA950">
        <v>1</v>
      </c>
      <c r="BB950" t="str">
        <f t="shared" si="44"/>
        <v xml:space="preserve">N959MJ  </v>
      </c>
      <c r="BC950">
        <v>1</v>
      </c>
      <c r="BE950">
        <v>0</v>
      </c>
      <c r="BF950">
        <v>0</v>
      </c>
      <c r="BG950">
        <v>0</v>
      </c>
      <c r="BH950">
        <v>9025</v>
      </c>
      <c r="BI950">
        <v>325</v>
      </c>
      <c r="BJ950">
        <v>1</v>
      </c>
      <c r="BK950">
        <v>1</v>
      </c>
      <c r="BL950">
        <v>1</v>
      </c>
      <c r="BM950">
        <v>0</v>
      </c>
      <c r="BP950">
        <v>0</v>
      </c>
      <c r="BQ950">
        <v>0</v>
      </c>
      <c r="BX950" t="str">
        <f>"14:06:11.008"</f>
        <v>14:06:11.008</v>
      </c>
      <c r="BY950" t="str">
        <f>"006828540"</f>
        <v>006828540</v>
      </c>
      <c r="CL950">
        <v>0</v>
      </c>
      <c r="CM950">
        <v>2</v>
      </c>
      <c r="CN950">
        <v>0</v>
      </c>
      <c r="CO950">
        <v>2</v>
      </c>
      <c r="CP950">
        <v>0</v>
      </c>
      <c r="CQ950">
        <v>7</v>
      </c>
      <c r="CR950" t="s">
        <v>116</v>
      </c>
      <c r="CS950">
        <v>525</v>
      </c>
      <c r="CT950">
        <v>1</v>
      </c>
      <c r="CU950" t="s">
        <v>140</v>
      </c>
      <c r="CV950" t="s">
        <v>141</v>
      </c>
      <c r="CY950">
        <v>8535271</v>
      </c>
      <c r="CZ950" t="s">
        <v>119</v>
      </c>
    </row>
    <row r="951" spans="1:104" x14ac:dyDescent="0.25">
      <c r="A951" t="str">
        <f>"14:06:12.211"</f>
        <v>14:06:12.211</v>
      </c>
      <c r="B951" t="s">
        <v>108</v>
      </c>
      <c r="C951" t="str">
        <f t="shared" si="43"/>
        <v>ffdfd3c0</v>
      </c>
      <c r="D951" t="s">
        <v>109</v>
      </c>
      <c r="E951">
        <v>4</v>
      </c>
      <c r="F951">
        <v>1004</v>
      </c>
      <c r="G951" t="s">
        <v>110</v>
      </c>
      <c r="J951" t="s">
        <v>111</v>
      </c>
      <c r="K951">
        <v>0</v>
      </c>
      <c r="L951">
        <v>3</v>
      </c>
      <c r="M951">
        <v>0</v>
      </c>
      <c r="N951">
        <v>2</v>
      </c>
      <c r="O951">
        <v>1</v>
      </c>
      <c r="P951">
        <v>0</v>
      </c>
      <c r="Q951">
        <v>0</v>
      </c>
      <c r="R951" t="s">
        <v>112</v>
      </c>
      <c r="S951" t="str">
        <f>"14:06:12.008"</f>
        <v>14:06:12.008</v>
      </c>
      <c r="T951" t="str">
        <f>"14:06:11.609"</f>
        <v>14:06:11.609</v>
      </c>
      <c r="U951" t="str">
        <f t="shared" si="42"/>
        <v>ad5732</v>
      </c>
      <c r="V951">
        <v>0</v>
      </c>
      <c r="W951">
        <v>0</v>
      </c>
      <c r="X951">
        <v>1</v>
      </c>
      <c r="Z951">
        <v>0</v>
      </c>
      <c r="AA951">
        <v>9</v>
      </c>
      <c r="AB951">
        <v>3</v>
      </c>
      <c r="AC951">
        <v>0</v>
      </c>
      <c r="AD951">
        <v>10</v>
      </c>
      <c r="AE951">
        <v>0</v>
      </c>
      <c r="AF951">
        <v>3</v>
      </c>
      <c r="AG951">
        <v>2</v>
      </c>
      <c r="AH951">
        <v>0</v>
      </c>
      <c r="AI951" t="s">
        <v>1999</v>
      </c>
      <c r="AJ951">
        <v>39.412250999999998</v>
      </c>
      <c r="AK951" t="s">
        <v>2000</v>
      </c>
      <c r="AL951">
        <v>-76.928093000000004</v>
      </c>
      <c r="AM951">
        <v>100</v>
      </c>
      <c r="AN951">
        <v>8700</v>
      </c>
      <c r="AO951" t="s">
        <v>115</v>
      </c>
      <c r="AP951">
        <v>170</v>
      </c>
      <c r="AQ951">
        <v>87</v>
      </c>
      <c r="AR951">
        <v>0</v>
      </c>
      <c r="AZ951">
        <v>3614</v>
      </c>
      <c r="BA951">
        <v>1</v>
      </c>
      <c r="BB951" t="str">
        <f t="shared" si="44"/>
        <v xml:space="preserve">N959MJ  </v>
      </c>
      <c r="BC951">
        <v>1</v>
      </c>
      <c r="BE951">
        <v>0</v>
      </c>
      <c r="BF951">
        <v>0</v>
      </c>
      <c r="BG951">
        <v>0</v>
      </c>
      <c r="BH951">
        <v>9025</v>
      </c>
      <c r="BI951">
        <v>325</v>
      </c>
      <c r="BJ951">
        <v>1</v>
      </c>
      <c r="BK951">
        <v>1</v>
      </c>
      <c r="BL951">
        <v>1</v>
      </c>
      <c r="BM951">
        <v>0</v>
      </c>
      <c r="BP951">
        <v>0</v>
      </c>
      <c r="BQ951">
        <v>0</v>
      </c>
      <c r="BX951" t="str">
        <f>"14:06:12.016"</f>
        <v>14:06:12.016</v>
      </c>
      <c r="BY951" t="str">
        <f>"014461338"</f>
        <v>014461338</v>
      </c>
      <c r="CL951">
        <v>0</v>
      </c>
      <c r="CM951">
        <v>2</v>
      </c>
      <c r="CN951">
        <v>0</v>
      </c>
      <c r="CO951">
        <v>2</v>
      </c>
      <c r="CP951">
        <v>0</v>
      </c>
      <c r="CQ951">
        <v>7</v>
      </c>
      <c r="CR951" t="s">
        <v>116</v>
      </c>
      <c r="CS951">
        <v>525</v>
      </c>
      <c r="CT951">
        <v>1</v>
      </c>
      <c r="CU951" t="s">
        <v>140</v>
      </c>
      <c r="CV951" t="s">
        <v>141</v>
      </c>
      <c r="CY951">
        <v>8536701</v>
      </c>
      <c r="CZ951" t="s">
        <v>119</v>
      </c>
    </row>
    <row r="952" spans="1:104" x14ac:dyDescent="0.25">
      <c r="A952" t="str">
        <f>"14:06:13.125"</f>
        <v>14:06:13.125</v>
      </c>
      <c r="B952" t="s">
        <v>108</v>
      </c>
      <c r="C952" t="str">
        <f t="shared" si="43"/>
        <v>ffdfd3c0</v>
      </c>
      <c r="D952" t="s">
        <v>109</v>
      </c>
      <c r="E952">
        <v>4</v>
      </c>
      <c r="F952">
        <v>1004</v>
      </c>
      <c r="G952" t="s">
        <v>110</v>
      </c>
      <c r="J952" t="s">
        <v>111</v>
      </c>
      <c r="K952">
        <v>0</v>
      </c>
      <c r="L952">
        <v>3</v>
      </c>
      <c r="M952">
        <v>0</v>
      </c>
      <c r="N952">
        <v>2</v>
      </c>
      <c r="O952">
        <v>1</v>
      </c>
      <c r="P952">
        <v>0</v>
      </c>
      <c r="Q952">
        <v>0</v>
      </c>
      <c r="R952" t="s">
        <v>112</v>
      </c>
      <c r="S952" t="str">
        <f>"14:06:12.969"</f>
        <v>14:06:12.969</v>
      </c>
      <c r="T952" t="str">
        <f>"14:06:12.469"</f>
        <v>14:06:12.469</v>
      </c>
      <c r="U952" t="str">
        <f t="shared" si="42"/>
        <v>ad5732</v>
      </c>
      <c r="V952">
        <v>0</v>
      </c>
      <c r="W952">
        <v>0</v>
      </c>
      <c r="X952">
        <v>1</v>
      </c>
      <c r="Z952">
        <v>0</v>
      </c>
      <c r="AA952">
        <v>9</v>
      </c>
      <c r="AB952">
        <v>3</v>
      </c>
      <c r="AC952">
        <v>0</v>
      </c>
      <c r="AD952">
        <v>10</v>
      </c>
      <c r="AE952">
        <v>0</v>
      </c>
      <c r="AF952">
        <v>3</v>
      </c>
      <c r="AG952">
        <v>2</v>
      </c>
      <c r="AH952">
        <v>0</v>
      </c>
      <c r="AI952" t="s">
        <v>2001</v>
      </c>
      <c r="AJ952">
        <v>39.412571999999997</v>
      </c>
      <c r="AK952" t="s">
        <v>2002</v>
      </c>
      <c r="AL952">
        <v>-76.927171000000001</v>
      </c>
      <c r="AM952">
        <v>100</v>
      </c>
      <c r="AN952">
        <v>8700</v>
      </c>
      <c r="AO952" t="s">
        <v>115</v>
      </c>
      <c r="AP952">
        <v>170</v>
      </c>
      <c r="AQ952">
        <v>87</v>
      </c>
      <c r="AR952">
        <v>0</v>
      </c>
      <c r="AZ952">
        <v>3614</v>
      </c>
      <c r="BA952">
        <v>1</v>
      </c>
      <c r="BB952" t="str">
        <f t="shared" si="44"/>
        <v xml:space="preserve">N959MJ  </v>
      </c>
      <c r="BC952">
        <v>1</v>
      </c>
      <c r="BE952">
        <v>0</v>
      </c>
      <c r="BF952">
        <v>0</v>
      </c>
      <c r="BG952">
        <v>0</v>
      </c>
      <c r="BH952">
        <v>9025</v>
      </c>
      <c r="BI952">
        <v>325</v>
      </c>
      <c r="BJ952">
        <v>1</v>
      </c>
      <c r="BK952">
        <v>1</v>
      </c>
      <c r="BL952">
        <v>1</v>
      </c>
      <c r="BM952">
        <v>0</v>
      </c>
      <c r="BP952">
        <v>0</v>
      </c>
      <c r="BQ952">
        <v>0</v>
      </c>
      <c r="BX952" t="str">
        <f>"14:06:12.977"</f>
        <v>14:06:12.977</v>
      </c>
      <c r="BY952" t="str">
        <f>"976218226"</f>
        <v>976218226</v>
      </c>
      <c r="CL952">
        <v>0</v>
      </c>
      <c r="CM952">
        <v>2</v>
      </c>
      <c r="CN952">
        <v>0</v>
      </c>
      <c r="CO952">
        <v>2</v>
      </c>
      <c r="CP952">
        <v>0</v>
      </c>
      <c r="CQ952">
        <v>6</v>
      </c>
      <c r="CR952" t="s">
        <v>116</v>
      </c>
      <c r="CS952">
        <v>525</v>
      </c>
      <c r="CT952">
        <v>1</v>
      </c>
      <c r="CU952" t="s">
        <v>140</v>
      </c>
      <c r="CV952" t="s">
        <v>141</v>
      </c>
      <c r="CY952">
        <v>8538131</v>
      </c>
      <c r="CZ952" t="s">
        <v>119</v>
      </c>
    </row>
    <row r="953" spans="1:104" x14ac:dyDescent="0.25">
      <c r="A953" t="str">
        <f>"14:06:14.234"</f>
        <v>14:06:14.234</v>
      </c>
      <c r="B953" t="s">
        <v>108</v>
      </c>
      <c r="C953" t="str">
        <f t="shared" si="43"/>
        <v>ffdfd3c0</v>
      </c>
      <c r="D953" t="s">
        <v>109</v>
      </c>
      <c r="E953">
        <v>4</v>
      </c>
      <c r="F953">
        <v>1004</v>
      </c>
      <c r="G953" t="s">
        <v>110</v>
      </c>
      <c r="J953" t="s">
        <v>111</v>
      </c>
      <c r="K953">
        <v>0</v>
      </c>
      <c r="L953">
        <v>3</v>
      </c>
      <c r="M953">
        <v>0</v>
      </c>
      <c r="N953">
        <v>2</v>
      </c>
      <c r="O953">
        <v>1</v>
      </c>
      <c r="P953">
        <v>0</v>
      </c>
      <c r="Q953">
        <v>0</v>
      </c>
      <c r="R953" t="s">
        <v>112</v>
      </c>
      <c r="S953" t="str">
        <f>"14:06:14.070"</f>
        <v>14:06:14.070</v>
      </c>
      <c r="T953" t="str">
        <f>"14:06:13.570"</f>
        <v>14:06:13.570</v>
      </c>
      <c r="U953" t="str">
        <f t="shared" si="42"/>
        <v>ad5732</v>
      </c>
      <c r="V953">
        <v>0</v>
      </c>
      <c r="W953">
        <v>0</v>
      </c>
      <c r="X953">
        <v>1</v>
      </c>
      <c r="Z953">
        <v>0</v>
      </c>
      <c r="AA953">
        <v>9</v>
      </c>
      <c r="AB953">
        <v>3</v>
      </c>
      <c r="AC953">
        <v>0</v>
      </c>
      <c r="AD953">
        <v>10</v>
      </c>
      <c r="AE953">
        <v>0</v>
      </c>
      <c r="AF953">
        <v>3</v>
      </c>
      <c r="AG953">
        <v>2</v>
      </c>
      <c r="AH953">
        <v>0</v>
      </c>
      <c r="AI953" t="s">
        <v>2003</v>
      </c>
      <c r="AJ953">
        <v>39.413023000000003</v>
      </c>
      <c r="AK953" t="s">
        <v>2004</v>
      </c>
      <c r="AL953">
        <v>-76.926033000000004</v>
      </c>
      <c r="AM953">
        <v>100</v>
      </c>
      <c r="AN953">
        <v>8700</v>
      </c>
      <c r="AO953" t="s">
        <v>115</v>
      </c>
      <c r="AP953">
        <v>170</v>
      </c>
      <c r="AQ953">
        <v>87</v>
      </c>
      <c r="AR953">
        <v>0</v>
      </c>
      <c r="AZ953">
        <v>3614</v>
      </c>
      <c r="BA953">
        <v>1</v>
      </c>
      <c r="BB953" t="str">
        <f t="shared" si="44"/>
        <v xml:space="preserve">N959MJ  </v>
      </c>
      <c r="BC953">
        <v>1</v>
      </c>
      <c r="BE953">
        <v>0</v>
      </c>
      <c r="BF953">
        <v>0</v>
      </c>
      <c r="BG953">
        <v>0</v>
      </c>
      <c r="BH953">
        <v>9025</v>
      </c>
      <c r="BI953">
        <v>325</v>
      </c>
      <c r="BJ953">
        <v>1</v>
      </c>
      <c r="BK953">
        <v>1</v>
      </c>
      <c r="BL953">
        <v>1</v>
      </c>
      <c r="BM953">
        <v>0</v>
      </c>
      <c r="BP953">
        <v>0</v>
      </c>
      <c r="BQ953">
        <v>0</v>
      </c>
      <c r="BX953" t="str">
        <f>"14:06:14.070"</f>
        <v>14:06:14.070</v>
      </c>
      <c r="BY953" t="str">
        <f>"070687692"</f>
        <v>070687692</v>
      </c>
      <c r="CL953">
        <v>0</v>
      </c>
      <c r="CM953">
        <v>2</v>
      </c>
      <c r="CN953">
        <v>0</v>
      </c>
      <c r="CO953">
        <v>2</v>
      </c>
      <c r="CP953">
        <v>0</v>
      </c>
      <c r="CQ953">
        <v>7</v>
      </c>
      <c r="CR953" t="s">
        <v>116</v>
      </c>
      <c r="CS953">
        <v>525</v>
      </c>
      <c r="CT953">
        <v>1</v>
      </c>
      <c r="CU953" t="s">
        <v>140</v>
      </c>
      <c r="CV953" t="s">
        <v>141</v>
      </c>
      <c r="CY953">
        <v>8539761</v>
      </c>
      <c r="CZ953" t="s">
        <v>119</v>
      </c>
    </row>
    <row r="954" spans="1:104" x14ac:dyDescent="0.25">
      <c r="A954" t="str">
        <f>"14:06:15.344"</f>
        <v>14:06:15.344</v>
      </c>
      <c r="B954" t="s">
        <v>108</v>
      </c>
      <c r="C954" t="str">
        <f t="shared" si="43"/>
        <v>ffdfd3c0</v>
      </c>
      <c r="D954" t="s">
        <v>109</v>
      </c>
      <c r="E954">
        <v>4</v>
      </c>
      <c r="F954">
        <v>1004</v>
      </c>
      <c r="G954" t="s">
        <v>110</v>
      </c>
      <c r="J954" t="s">
        <v>111</v>
      </c>
      <c r="K954">
        <v>0</v>
      </c>
      <c r="L954">
        <v>3</v>
      </c>
      <c r="M954">
        <v>0</v>
      </c>
      <c r="N954">
        <v>2</v>
      </c>
      <c r="O954">
        <v>1</v>
      </c>
      <c r="P954">
        <v>0</v>
      </c>
      <c r="Q954">
        <v>0</v>
      </c>
      <c r="R954" t="s">
        <v>112</v>
      </c>
      <c r="S954" t="str">
        <f>"14:06:15.180"</f>
        <v>14:06:15.180</v>
      </c>
      <c r="T954" t="str">
        <f>"14:06:14.680"</f>
        <v>14:06:14.680</v>
      </c>
      <c r="U954" t="str">
        <f t="shared" si="42"/>
        <v>ad5732</v>
      </c>
      <c r="V954">
        <v>0</v>
      </c>
      <c r="W954">
        <v>0</v>
      </c>
      <c r="X954">
        <v>1</v>
      </c>
      <c r="Z954">
        <v>0</v>
      </c>
      <c r="AA954">
        <v>9</v>
      </c>
      <c r="AB954">
        <v>3</v>
      </c>
      <c r="AC954">
        <v>0</v>
      </c>
      <c r="AD954">
        <v>10</v>
      </c>
      <c r="AE954">
        <v>0</v>
      </c>
      <c r="AF954">
        <v>3</v>
      </c>
      <c r="AG954">
        <v>2</v>
      </c>
      <c r="AH954">
        <v>0</v>
      </c>
      <c r="AI954" t="s">
        <v>2005</v>
      </c>
      <c r="AJ954">
        <v>39.413451999999999</v>
      </c>
      <c r="AK954" t="s">
        <v>2006</v>
      </c>
      <c r="AL954">
        <v>-76.924960999999996</v>
      </c>
      <c r="AM954">
        <v>100</v>
      </c>
      <c r="AN954">
        <v>8700</v>
      </c>
      <c r="AO954" t="s">
        <v>115</v>
      </c>
      <c r="AP954">
        <v>170</v>
      </c>
      <c r="AQ954">
        <v>87</v>
      </c>
      <c r="AR954">
        <v>0</v>
      </c>
      <c r="AZ954">
        <v>3614</v>
      </c>
      <c r="BA954">
        <v>1</v>
      </c>
      <c r="BB954" t="str">
        <f t="shared" si="44"/>
        <v xml:space="preserve">N959MJ  </v>
      </c>
      <c r="BC954">
        <v>1</v>
      </c>
      <c r="BE954">
        <v>0</v>
      </c>
      <c r="BF954">
        <v>0</v>
      </c>
      <c r="BG954">
        <v>0</v>
      </c>
      <c r="BH954">
        <v>9025</v>
      </c>
      <c r="BI954">
        <v>325</v>
      </c>
      <c r="BJ954">
        <v>1</v>
      </c>
      <c r="BK954">
        <v>1</v>
      </c>
      <c r="BL954">
        <v>1</v>
      </c>
      <c r="BM954">
        <v>0</v>
      </c>
      <c r="BP954">
        <v>0</v>
      </c>
      <c r="BQ954">
        <v>0</v>
      </c>
      <c r="BX954" t="str">
        <f>"14:06:15.180"</f>
        <v>14:06:15.180</v>
      </c>
      <c r="BY954" t="str">
        <f>"181541413"</f>
        <v>181541413</v>
      </c>
      <c r="CL954">
        <v>0</v>
      </c>
      <c r="CM954">
        <v>2</v>
      </c>
      <c r="CN954">
        <v>0</v>
      </c>
      <c r="CO954">
        <v>2</v>
      </c>
      <c r="CP954">
        <v>0</v>
      </c>
      <c r="CQ954">
        <v>6</v>
      </c>
      <c r="CR954" t="s">
        <v>116</v>
      </c>
      <c r="CS954">
        <v>525</v>
      </c>
      <c r="CT954">
        <v>1</v>
      </c>
      <c r="CU954" t="s">
        <v>140</v>
      </c>
      <c r="CV954" t="s">
        <v>141</v>
      </c>
      <c r="CY954">
        <v>8541351</v>
      </c>
      <c r="CZ954" t="s">
        <v>119</v>
      </c>
    </row>
    <row r="955" spans="1:104" x14ac:dyDescent="0.25">
      <c r="A955" t="str">
        <f>"14:06:16.203"</f>
        <v>14:06:16.203</v>
      </c>
      <c r="B955" t="s">
        <v>108</v>
      </c>
      <c r="C955" t="str">
        <f t="shared" si="43"/>
        <v>ffdfd3c0</v>
      </c>
      <c r="D955" t="s">
        <v>109</v>
      </c>
      <c r="E955">
        <v>4</v>
      </c>
      <c r="F955">
        <v>1004</v>
      </c>
      <c r="G955" t="s">
        <v>110</v>
      </c>
      <c r="J955" t="s">
        <v>111</v>
      </c>
      <c r="K955">
        <v>0</v>
      </c>
      <c r="L955">
        <v>3</v>
      </c>
      <c r="M955">
        <v>0</v>
      </c>
      <c r="N955">
        <v>2</v>
      </c>
      <c r="O955">
        <v>1</v>
      </c>
      <c r="P955">
        <v>0</v>
      </c>
      <c r="Q955">
        <v>0</v>
      </c>
      <c r="R955" t="s">
        <v>112</v>
      </c>
      <c r="S955" t="str">
        <f>"14:06:16.016"</f>
        <v>14:06:16.016</v>
      </c>
      <c r="T955" t="str">
        <f>"14:06:15.617"</f>
        <v>14:06:15.617</v>
      </c>
      <c r="U955" t="str">
        <f t="shared" si="42"/>
        <v>ad5732</v>
      </c>
      <c r="V955">
        <v>0</v>
      </c>
      <c r="W955">
        <v>0</v>
      </c>
      <c r="X955">
        <v>1</v>
      </c>
      <c r="Z955">
        <v>0</v>
      </c>
      <c r="AA955">
        <v>9</v>
      </c>
      <c r="AB955">
        <v>3</v>
      </c>
      <c r="AC955">
        <v>0</v>
      </c>
      <c r="AD955">
        <v>10</v>
      </c>
      <c r="AE955">
        <v>0</v>
      </c>
      <c r="AF955">
        <v>3</v>
      </c>
      <c r="AG955">
        <v>2</v>
      </c>
      <c r="AH955">
        <v>0</v>
      </c>
      <c r="AI955" t="s">
        <v>2007</v>
      </c>
      <c r="AJ955">
        <v>39.413817000000002</v>
      </c>
      <c r="AK955" t="s">
        <v>2008</v>
      </c>
      <c r="AL955">
        <v>-76.924015999999995</v>
      </c>
      <c r="AM955">
        <v>100</v>
      </c>
      <c r="AN955">
        <v>8700</v>
      </c>
      <c r="AO955" t="s">
        <v>115</v>
      </c>
      <c r="AP955">
        <v>170</v>
      </c>
      <c r="AQ955">
        <v>87</v>
      </c>
      <c r="AR955">
        <v>0</v>
      </c>
      <c r="AZ955">
        <v>3614</v>
      </c>
      <c r="BA955">
        <v>1</v>
      </c>
      <c r="BB955" t="str">
        <f t="shared" si="44"/>
        <v xml:space="preserve">N959MJ  </v>
      </c>
      <c r="BC955">
        <v>1</v>
      </c>
      <c r="BE955">
        <v>0</v>
      </c>
      <c r="BF955">
        <v>0</v>
      </c>
      <c r="BG955">
        <v>0</v>
      </c>
      <c r="BH955">
        <v>9025</v>
      </c>
      <c r="BI955">
        <v>325</v>
      </c>
      <c r="BJ955">
        <v>1</v>
      </c>
      <c r="BK955">
        <v>1</v>
      </c>
      <c r="BL955">
        <v>1</v>
      </c>
      <c r="BM955">
        <v>0</v>
      </c>
      <c r="BP955">
        <v>0</v>
      </c>
      <c r="BQ955">
        <v>0</v>
      </c>
      <c r="BX955" t="str">
        <f>"14:06:16.016"</f>
        <v>14:06:16.016</v>
      </c>
      <c r="BY955" t="str">
        <f>"017229384"</f>
        <v>017229384</v>
      </c>
      <c r="CL955">
        <v>0</v>
      </c>
      <c r="CM955">
        <v>2</v>
      </c>
      <c r="CN955">
        <v>0</v>
      </c>
      <c r="CO955">
        <v>2</v>
      </c>
      <c r="CP955">
        <v>0</v>
      </c>
      <c r="CQ955">
        <v>6</v>
      </c>
      <c r="CR955" t="s">
        <v>116</v>
      </c>
      <c r="CS955">
        <v>396</v>
      </c>
      <c r="CT955">
        <v>2</v>
      </c>
      <c r="CU955" t="s">
        <v>939</v>
      </c>
      <c r="CV955" t="s">
        <v>940</v>
      </c>
      <c r="CY955">
        <v>4407826</v>
      </c>
      <c r="CZ955" t="s">
        <v>119</v>
      </c>
    </row>
    <row r="956" spans="1:104" x14ac:dyDescent="0.25">
      <c r="A956" t="str">
        <f>"14:06:17.164"</f>
        <v>14:06:17.164</v>
      </c>
      <c r="B956" t="s">
        <v>108</v>
      </c>
      <c r="C956" t="str">
        <f t="shared" si="43"/>
        <v>ffdfd3c0</v>
      </c>
      <c r="D956" t="s">
        <v>109</v>
      </c>
      <c r="E956">
        <v>4</v>
      </c>
      <c r="F956">
        <v>1004</v>
      </c>
      <c r="G956" t="s">
        <v>110</v>
      </c>
      <c r="J956" t="s">
        <v>111</v>
      </c>
      <c r="K956">
        <v>0</v>
      </c>
      <c r="L956">
        <v>3</v>
      </c>
      <c r="M956">
        <v>0</v>
      </c>
      <c r="N956">
        <v>2</v>
      </c>
      <c r="O956">
        <v>1</v>
      </c>
      <c r="P956">
        <v>0</v>
      </c>
      <c r="Q956">
        <v>0</v>
      </c>
      <c r="R956" t="s">
        <v>112</v>
      </c>
      <c r="S956" t="str">
        <f>"14:06:16.992"</f>
        <v>14:06:16.992</v>
      </c>
      <c r="T956" t="str">
        <f>"14:06:16.594"</f>
        <v>14:06:16.594</v>
      </c>
      <c r="U956" t="str">
        <f t="shared" si="42"/>
        <v>ad5732</v>
      </c>
      <c r="V956">
        <v>0</v>
      </c>
      <c r="W956">
        <v>0</v>
      </c>
      <c r="X956">
        <v>1</v>
      </c>
      <c r="Z956">
        <v>0</v>
      </c>
      <c r="AA956">
        <v>9</v>
      </c>
      <c r="AB956">
        <v>3</v>
      </c>
      <c r="AC956">
        <v>0</v>
      </c>
      <c r="AD956">
        <v>10</v>
      </c>
      <c r="AE956">
        <v>0</v>
      </c>
      <c r="AF956">
        <v>3</v>
      </c>
      <c r="AG956">
        <v>2</v>
      </c>
      <c r="AH956">
        <v>0</v>
      </c>
      <c r="AI956" t="s">
        <v>2009</v>
      </c>
      <c r="AJ956">
        <v>39.414245999999999</v>
      </c>
      <c r="AK956" t="s">
        <v>2010</v>
      </c>
      <c r="AL956">
        <v>-76.922965000000005</v>
      </c>
      <c r="AM956">
        <v>100</v>
      </c>
      <c r="AN956">
        <v>8700</v>
      </c>
      <c r="AO956" t="s">
        <v>115</v>
      </c>
      <c r="AP956">
        <v>170</v>
      </c>
      <c r="AQ956">
        <v>87</v>
      </c>
      <c r="AR956">
        <v>0</v>
      </c>
      <c r="AZ956">
        <v>3614</v>
      </c>
      <c r="BA956">
        <v>1</v>
      </c>
      <c r="BB956" t="str">
        <f t="shared" si="44"/>
        <v xml:space="preserve">N959MJ  </v>
      </c>
      <c r="BC956">
        <v>1</v>
      </c>
      <c r="BE956">
        <v>0</v>
      </c>
      <c r="BF956">
        <v>0</v>
      </c>
      <c r="BG956">
        <v>0</v>
      </c>
      <c r="BH956">
        <v>9025</v>
      </c>
      <c r="BI956">
        <v>325</v>
      </c>
      <c r="BJ956">
        <v>1</v>
      </c>
      <c r="BK956">
        <v>1</v>
      </c>
      <c r="BL956">
        <v>1</v>
      </c>
      <c r="BM956">
        <v>0</v>
      </c>
      <c r="BP956">
        <v>0</v>
      </c>
      <c r="BQ956">
        <v>0</v>
      </c>
      <c r="BX956" t="str">
        <f>"14:06:16.992"</f>
        <v>14:06:16.992</v>
      </c>
      <c r="BY956" t="str">
        <f>"992285658"</f>
        <v>992285658</v>
      </c>
      <c r="CL956">
        <v>0</v>
      </c>
      <c r="CM956">
        <v>2</v>
      </c>
      <c r="CN956">
        <v>0</v>
      </c>
      <c r="CO956">
        <v>2</v>
      </c>
      <c r="CP956">
        <v>0</v>
      </c>
      <c r="CQ956">
        <v>5</v>
      </c>
      <c r="CR956" t="s">
        <v>116</v>
      </c>
      <c r="CS956">
        <v>379</v>
      </c>
      <c r="CT956">
        <v>0</v>
      </c>
      <c r="CU956" t="s">
        <v>538</v>
      </c>
      <c r="CV956" t="s">
        <v>539</v>
      </c>
      <c r="CY956">
        <v>6881364</v>
      </c>
      <c r="CZ956" t="s">
        <v>119</v>
      </c>
    </row>
    <row r="957" spans="1:104" x14ac:dyDescent="0.25">
      <c r="A957" t="str">
        <f>"14:06:18.320"</f>
        <v>14:06:18.320</v>
      </c>
      <c r="B957" t="s">
        <v>108</v>
      </c>
      <c r="C957" t="str">
        <f t="shared" si="43"/>
        <v>ffdfd3c0</v>
      </c>
      <c r="D957" t="s">
        <v>109</v>
      </c>
      <c r="E957">
        <v>4</v>
      </c>
      <c r="F957">
        <v>1004</v>
      </c>
      <c r="G957" t="s">
        <v>110</v>
      </c>
      <c r="J957" t="s">
        <v>111</v>
      </c>
      <c r="K957">
        <v>0</v>
      </c>
      <c r="L957">
        <v>3</v>
      </c>
      <c r="M957">
        <v>0</v>
      </c>
      <c r="N957">
        <v>2</v>
      </c>
      <c r="O957">
        <v>1</v>
      </c>
      <c r="P957">
        <v>0</v>
      </c>
      <c r="Q957">
        <v>0</v>
      </c>
      <c r="R957" t="s">
        <v>112</v>
      </c>
      <c r="S957" t="str">
        <f>"14:06:18.148"</f>
        <v>14:06:18.148</v>
      </c>
      <c r="T957" t="str">
        <f>"14:06:17.648"</f>
        <v>14:06:17.648</v>
      </c>
      <c r="U957" t="str">
        <f t="shared" si="42"/>
        <v>ad5732</v>
      </c>
      <c r="V957">
        <v>0</v>
      </c>
      <c r="W957">
        <v>0</v>
      </c>
      <c r="X957">
        <v>1</v>
      </c>
      <c r="Z957">
        <v>0</v>
      </c>
      <c r="AA957">
        <v>9</v>
      </c>
      <c r="AB957">
        <v>3</v>
      </c>
      <c r="AC957">
        <v>0</v>
      </c>
      <c r="AD957">
        <v>10</v>
      </c>
      <c r="AE957">
        <v>0</v>
      </c>
      <c r="AF957">
        <v>3</v>
      </c>
      <c r="AG957">
        <v>2</v>
      </c>
      <c r="AH957">
        <v>0</v>
      </c>
      <c r="AI957" t="s">
        <v>2011</v>
      </c>
      <c r="AJ957">
        <v>39.414696999999997</v>
      </c>
      <c r="AK957" t="s">
        <v>2012</v>
      </c>
      <c r="AL957">
        <v>-76.921848999999995</v>
      </c>
      <c r="AM957">
        <v>100</v>
      </c>
      <c r="AN957">
        <v>8700</v>
      </c>
      <c r="AO957" t="s">
        <v>115</v>
      </c>
      <c r="AP957">
        <v>170</v>
      </c>
      <c r="AQ957">
        <v>86</v>
      </c>
      <c r="AR957">
        <v>0</v>
      </c>
      <c r="AZ957">
        <v>3614</v>
      </c>
      <c r="BA957">
        <v>1</v>
      </c>
      <c r="BB957" t="str">
        <f t="shared" si="44"/>
        <v xml:space="preserve">N959MJ  </v>
      </c>
      <c r="BC957">
        <v>1</v>
      </c>
      <c r="BE957">
        <v>0</v>
      </c>
      <c r="BF957">
        <v>0</v>
      </c>
      <c r="BG957">
        <v>0</v>
      </c>
      <c r="BH957">
        <v>9025</v>
      </c>
      <c r="BI957">
        <v>325</v>
      </c>
      <c r="BJ957">
        <v>1</v>
      </c>
      <c r="BK957">
        <v>1</v>
      </c>
      <c r="BL957">
        <v>1</v>
      </c>
      <c r="BM957">
        <v>0</v>
      </c>
      <c r="BP957">
        <v>0</v>
      </c>
      <c r="BQ957">
        <v>0</v>
      </c>
      <c r="BX957" t="str">
        <f>"14:06:18.156"</f>
        <v>14:06:18.156</v>
      </c>
      <c r="BY957" t="str">
        <f>"153737385"</f>
        <v>153737385</v>
      </c>
      <c r="CL957">
        <v>0</v>
      </c>
      <c r="CM957">
        <v>2</v>
      </c>
      <c r="CN957">
        <v>0</v>
      </c>
      <c r="CO957">
        <v>2</v>
      </c>
      <c r="CP957">
        <v>0</v>
      </c>
      <c r="CQ957">
        <v>6</v>
      </c>
      <c r="CR957" t="s">
        <v>116</v>
      </c>
      <c r="CS957">
        <v>396</v>
      </c>
      <c r="CT957">
        <v>2</v>
      </c>
      <c r="CU957" t="s">
        <v>939</v>
      </c>
      <c r="CV957" t="s">
        <v>940</v>
      </c>
      <c r="CY957">
        <v>4411616</v>
      </c>
      <c r="CZ957" t="s">
        <v>119</v>
      </c>
    </row>
    <row r="958" spans="1:104" x14ac:dyDescent="0.25">
      <c r="A958" t="str">
        <f>"14:06:19.281"</f>
        <v>14:06:19.281</v>
      </c>
      <c r="B958" t="s">
        <v>108</v>
      </c>
      <c r="C958" t="str">
        <f t="shared" si="43"/>
        <v>ffdfd3c0</v>
      </c>
      <c r="D958" t="s">
        <v>109</v>
      </c>
      <c r="E958">
        <v>4</v>
      </c>
      <c r="F958">
        <v>1004</v>
      </c>
      <c r="G958" t="s">
        <v>110</v>
      </c>
      <c r="J958" t="s">
        <v>111</v>
      </c>
      <c r="K958">
        <v>0</v>
      </c>
      <c r="L958">
        <v>3</v>
      </c>
      <c r="M958">
        <v>0</v>
      </c>
      <c r="N958">
        <v>2</v>
      </c>
      <c r="O958">
        <v>1</v>
      </c>
      <c r="P958">
        <v>0</v>
      </c>
      <c r="Q958">
        <v>0</v>
      </c>
      <c r="R958" t="s">
        <v>112</v>
      </c>
      <c r="S958" t="str">
        <f>"14:06:19.117"</f>
        <v>14:06:19.117</v>
      </c>
      <c r="T958" t="str">
        <f>"14:06:18.617"</f>
        <v>14:06:18.617</v>
      </c>
      <c r="U958" t="str">
        <f t="shared" si="42"/>
        <v>ad5732</v>
      </c>
      <c r="V958">
        <v>0</v>
      </c>
      <c r="W958">
        <v>0</v>
      </c>
      <c r="X958">
        <v>1</v>
      </c>
      <c r="Z958">
        <v>0</v>
      </c>
      <c r="AA958">
        <v>9</v>
      </c>
      <c r="AB958">
        <v>3</v>
      </c>
      <c r="AC958">
        <v>0</v>
      </c>
      <c r="AD958">
        <v>10</v>
      </c>
      <c r="AE958">
        <v>0</v>
      </c>
      <c r="AF958">
        <v>3</v>
      </c>
      <c r="AG958">
        <v>2</v>
      </c>
      <c r="AH958">
        <v>0</v>
      </c>
      <c r="AI958" t="s">
        <v>2013</v>
      </c>
      <c r="AJ958">
        <v>39.415061000000001</v>
      </c>
      <c r="AK958" t="s">
        <v>2014</v>
      </c>
      <c r="AL958">
        <v>-76.920840999999996</v>
      </c>
      <c r="AM958">
        <v>100</v>
      </c>
      <c r="AN958">
        <v>8700</v>
      </c>
      <c r="AO958" t="s">
        <v>115</v>
      </c>
      <c r="AP958">
        <v>170</v>
      </c>
      <c r="AQ958">
        <v>86</v>
      </c>
      <c r="AR958">
        <v>0</v>
      </c>
      <c r="AZ958">
        <v>3614</v>
      </c>
      <c r="BA958">
        <v>1</v>
      </c>
      <c r="BB958" t="str">
        <f t="shared" si="44"/>
        <v xml:space="preserve">N959MJ  </v>
      </c>
      <c r="BC958">
        <v>1</v>
      </c>
      <c r="BE958">
        <v>0</v>
      </c>
      <c r="BF958">
        <v>0</v>
      </c>
      <c r="BG958">
        <v>0</v>
      </c>
      <c r="BH958">
        <v>9025</v>
      </c>
      <c r="BI958">
        <v>325</v>
      </c>
      <c r="BJ958">
        <v>1</v>
      </c>
      <c r="BK958">
        <v>1</v>
      </c>
      <c r="BL958">
        <v>1</v>
      </c>
      <c r="BM958">
        <v>0</v>
      </c>
      <c r="BP958">
        <v>0</v>
      </c>
      <c r="BQ958">
        <v>0</v>
      </c>
      <c r="BX958" t="str">
        <f>"14:06:19.117"</f>
        <v>14:06:19.117</v>
      </c>
      <c r="BY958" t="str">
        <f>"118770508"</f>
        <v>118770508</v>
      </c>
      <c r="CL958">
        <v>0</v>
      </c>
      <c r="CM958">
        <v>2</v>
      </c>
      <c r="CN958">
        <v>0</v>
      </c>
      <c r="CO958">
        <v>2</v>
      </c>
      <c r="CP958">
        <v>0</v>
      </c>
      <c r="CQ958">
        <v>6</v>
      </c>
      <c r="CR958" t="s">
        <v>116</v>
      </c>
      <c r="CS958">
        <v>396</v>
      </c>
      <c r="CT958">
        <v>2</v>
      </c>
      <c r="CU958" t="s">
        <v>939</v>
      </c>
      <c r="CV958" t="s">
        <v>940</v>
      </c>
      <c r="CY958">
        <v>4413346</v>
      </c>
      <c r="CZ958" t="s">
        <v>119</v>
      </c>
    </row>
    <row r="959" spans="1:104" x14ac:dyDescent="0.25">
      <c r="A959" t="str">
        <f>"14:06:20.242"</f>
        <v>14:06:20.242</v>
      </c>
      <c r="B959" t="s">
        <v>108</v>
      </c>
      <c r="C959" t="str">
        <f t="shared" si="43"/>
        <v>ffdfd3c0</v>
      </c>
      <c r="D959" t="s">
        <v>109</v>
      </c>
      <c r="E959">
        <v>4</v>
      </c>
      <c r="F959">
        <v>1004</v>
      </c>
      <c r="G959" t="s">
        <v>110</v>
      </c>
      <c r="J959" t="s">
        <v>111</v>
      </c>
      <c r="K959">
        <v>0</v>
      </c>
      <c r="L959">
        <v>3</v>
      </c>
      <c r="M959">
        <v>0</v>
      </c>
      <c r="N959">
        <v>2</v>
      </c>
      <c r="O959">
        <v>1</v>
      </c>
      <c r="P959">
        <v>0</v>
      </c>
      <c r="Q959">
        <v>0</v>
      </c>
      <c r="R959" t="s">
        <v>112</v>
      </c>
      <c r="S959" t="str">
        <f>"14:06:20.078"</f>
        <v>14:06:20.078</v>
      </c>
      <c r="T959" t="str">
        <f>"14:06:19.180"</f>
        <v>14:06:19.180</v>
      </c>
      <c r="U959" t="str">
        <f t="shared" si="42"/>
        <v>ad5732</v>
      </c>
      <c r="V959">
        <v>0</v>
      </c>
      <c r="W959">
        <v>0</v>
      </c>
      <c r="X959">
        <v>1</v>
      </c>
      <c r="Z959">
        <v>0</v>
      </c>
      <c r="AA959">
        <v>9</v>
      </c>
      <c r="AB959">
        <v>3</v>
      </c>
      <c r="AC959">
        <v>0</v>
      </c>
      <c r="AD959">
        <v>10</v>
      </c>
      <c r="AE959">
        <v>0</v>
      </c>
      <c r="AF959">
        <v>3</v>
      </c>
      <c r="AG959">
        <v>2</v>
      </c>
      <c r="AH959">
        <v>0</v>
      </c>
      <c r="AI959" t="s">
        <v>2015</v>
      </c>
      <c r="AJ959">
        <v>39.415469000000002</v>
      </c>
      <c r="AK959" t="s">
        <v>2016</v>
      </c>
      <c r="AL959">
        <v>-76.919810999999996</v>
      </c>
      <c r="AM959">
        <v>100</v>
      </c>
      <c r="AN959">
        <v>8700</v>
      </c>
      <c r="AO959" t="s">
        <v>115</v>
      </c>
      <c r="AP959">
        <v>170</v>
      </c>
      <c r="AQ959">
        <v>86</v>
      </c>
      <c r="AR959">
        <v>0</v>
      </c>
      <c r="AZ959">
        <v>3614</v>
      </c>
      <c r="BA959">
        <v>1</v>
      </c>
      <c r="BB959" t="str">
        <f t="shared" si="44"/>
        <v xml:space="preserve">N959MJ  </v>
      </c>
      <c r="BC959">
        <v>1</v>
      </c>
      <c r="BE959">
        <v>0</v>
      </c>
      <c r="BF959">
        <v>0</v>
      </c>
      <c r="BG959">
        <v>0</v>
      </c>
      <c r="BH959">
        <v>9025</v>
      </c>
      <c r="BI959">
        <v>325</v>
      </c>
      <c r="BJ959">
        <v>1</v>
      </c>
      <c r="BK959">
        <v>1</v>
      </c>
      <c r="BL959">
        <v>1</v>
      </c>
      <c r="BM959">
        <v>0</v>
      </c>
      <c r="BP959">
        <v>0</v>
      </c>
      <c r="BQ959">
        <v>0</v>
      </c>
      <c r="BX959" t="str">
        <f>"14:06:20.086"</f>
        <v>14:06:20.086</v>
      </c>
      <c r="BY959" t="str">
        <f>"083825314"</f>
        <v>083825314</v>
      </c>
      <c r="CL959">
        <v>0</v>
      </c>
      <c r="CM959">
        <v>2</v>
      </c>
      <c r="CN959">
        <v>0</v>
      </c>
      <c r="CO959">
        <v>2</v>
      </c>
      <c r="CP959">
        <v>0</v>
      </c>
      <c r="CQ959">
        <v>5</v>
      </c>
      <c r="CR959" t="s">
        <v>116</v>
      </c>
      <c r="CS959">
        <v>372</v>
      </c>
      <c r="CT959">
        <v>3</v>
      </c>
      <c r="CU959" t="s">
        <v>877</v>
      </c>
      <c r="CV959" t="s">
        <v>878</v>
      </c>
      <c r="CY959">
        <v>11063233</v>
      </c>
      <c r="CZ959" t="s">
        <v>119</v>
      </c>
    </row>
    <row r="960" spans="1:104" x14ac:dyDescent="0.25">
      <c r="A960" t="str">
        <f>"14:06:21.195"</f>
        <v>14:06:21.195</v>
      </c>
      <c r="B960" t="s">
        <v>108</v>
      </c>
      <c r="C960" t="str">
        <f t="shared" si="43"/>
        <v>ffdfd3c0</v>
      </c>
      <c r="D960" t="s">
        <v>109</v>
      </c>
      <c r="E960">
        <v>4</v>
      </c>
      <c r="F960">
        <v>1004</v>
      </c>
      <c r="G960" t="s">
        <v>110</v>
      </c>
      <c r="J960" t="s">
        <v>111</v>
      </c>
      <c r="K960">
        <v>0</v>
      </c>
      <c r="L960">
        <v>3</v>
      </c>
      <c r="M960">
        <v>0</v>
      </c>
      <c r="N960">
        <v>2</v>
      </c>
      <c r="O960">
        <v>1</v>
      </c>
      <c r="P960">
        <v>0</v>
      </c>
      <c r="Q960">
        <v>0</v>
      </c>
      <c r="R960" t="s">
        <v>112</v>
      </c>
      <c r="S960" t="str">
        <f>"14:06:21.031"</f>
        <v>14:06:21.031</v>
      </c>
      <c r="T960" t="str">
        <f>"14:06:20.531"</f>
        <v>14:06:20.531</v>
      </c>
      <c r="U960" t="str">
        <f t="shared" si="42"/>
        <v>ad5732</v>
      </c>
      <c r="V960">
        <v>0</v>
      </c>
      <c r="W960">
        <v>0</v>
      </c>
      <c r="X960">
        <v>1</v>
      </c>
      <c r="Z960">
        <v>0</v>
      </c>
      <c r="AA960">
        <v>9</v>
      </c>
      <c r="AB960">
        <v>3</v>
      </c>
      <c r="AC960">
        <v>0</v>
      </c>
      <c r="AD960">
        <v>10</v>
      </c>
      <c r="AE960">
        <v>0</v>
      </c>
      <c r="AF960">
        <v>3</v>
      </c>
      <c r="AG960">
        <v>2</v>
      </c>
      <c r="AH960">
        <v>0</v>
      </c>
      <c r="AI960" t="s">
        <v>2017</v>
      </c>
      <c r="AJ960">
        <v>39.415833999999997</v>
      </c>
      <c r="AK960" t="s">
        <v>2018</v>
      </c>
      <c r="AL960">
        <v>-76.918952000000004</v>
      </c>
      <c r="AM960">
        <v>100</v>
      </c>
      <c r="AN960">
        <v>8700</v>
      </c>
      <c r="AO960" t="s">
        <v>115</v>
      </c>
      <c r="AP960">
        <v>170</v>
      </c>
      <c r="AQ960">
        <v>86</v>
      </c>
      <c r="AR960">
        <v>0</v>
      </c>
      <c r="AZ960">
        <v>3614</v>
      </c>
      <c r="BA960">
        <v>1</v>
      </c>
      <c r="BB960" t="str">
        <f t="shared" si="44"/>
        <v xml:space="preserve">N959MJ  </v>
      </c>
      <c r="BC960">
        <v>1</v>
      </c>
      <c r="BE960">
        <v>0</v>
      </c>
      <c r="BF960">
        <v>0</v>
      </c>
      <c r="BG960">
        <v>0</v>
      </c>
      <c r="BH960">
        <v>9025</v>
      </c>
      <c r="BI960">
        <v>325</v>
      </c>
      <c r="BJ960">
        <v>1</v>
      </c>
      <c r="BK960">
        <v>1</v>
      </c>
      <c r="BL960">
        <v>1</v>
      </c>
      <c r="BM960">
        <v>0</v>
      </c>
      <c r="BP960">
        <v>0</v>
      </c>
      <c r="BQ960">
        <v>0</v>
      </c>
      <c r="BX960" t="str">
        <f>"14:06:21.039"</f>
        <v>14:06:21.039</v>
      </c>
      <c r="BY960" t="str">
        <f>"037280653"</f>
        <v>037280653</v>
      </c>
      <c r="CL960">
        <v>0</v>
      </c>
      <c r="CM960">
        <v>2</v>
      </c>
      <c r="CN960">
        <v>0</v>
      </c>
      <c r="CO960">
        <v>2</v>
      </c>
      <c r="CP960">
        <v>0</v>
      </c>
      <c r="CQ960">
        <v>6</v>
      </c>
      <c r="CR960" t="s">
        <v>116</v>
      </c>
      <c r="CS960">
        <v>525</v>
      </c>
      <c r="CT960">
        <v>1</v>
      </c>
      <c r="CU960" t="s">
        <v>140</v>
      </c>
      <c r="CV960" t="s">
        <v>141</v>
      </c>
      <c r="CY960">
        <v>8550217</v>
      </c>
      <c r="CZ960" t="s">
        <v>119</v>
      </c>
    </row>
    <row r="961" spans="1:104" x14ac:dyDescent="0.25">
      <c r="A961" t="str">
        <f>"14:06:22.211"</f>
        <v>14:06:22.211</v>
      </c>
      <c r="B961" t="s">
        <v>108</v>
      </c>
      <c r="C961" t="str">
        <f t="shared" si="43"/>
        <v>ffdfd3c0</v>
      </c>
      <c r="D961" t="s">
        <v>109</v>
      </c>
      <c r="E961">
        <v>4</v>
      </c>
      <c r="F961">
        <v>1004</v>
      </c>
      <c r="G961" t="s">
        <v>110</v>
      </c>
      <c r="J961" t="s">
        <v>111</v>
      </c>
      <c r="K961">
        <v>0</v>
      </c>
      <c r="L961">
        <v>3</v>
      </c>
      <c r="M961">
        <v>0</v>
      </c>
      <c r="N961">
        <v>2</v>
      </c>
      <c r="O961">
        <v>1</v>
      </c>
      <c r="P961">
        <v>0</v>
      </c>
      <c r="Q961">
        <v>0</v>
      </c>
      <c r="R961" t="s">
        <v>112</v>
      </c>
      <c r="S961" t="str">
        <f>"14:06:22.016"</f>
        <v>14:06:22.016</v>
      </c>
      <c r="T961" t="str">
        <f>"14:06:21.617"</f>
        <v>14:06:21.617</v>
      </c>
      <c r="U961" t="str">
        <f t="shared" si="42"/>
        <v>ad5732</v>
      </c>
      <c r="V961">
        <v>0</v>
      </c>
      <c r="W961">
        <v>0</v>
      </c>
      <c r="X961">
        <v>1</v>
      </c>
      <c r="Z961">
        <v>0</v>
      </c>
      <c r="AA961">
        <v>9</v>
      </c>
      <c r="AB961">
        <v>3</v>
      </c>
      <c r="AC961">
        <v>0</v>
      </c>
      <c r="AD961">
        <v>10</v>
      </c>
      <c r="AE961">
        <v>0</v>
      </c>
      <c r="AF961">
        <v>3</v>
      </c>
      <c r="AG961">
        <v>2</v>
      </c>
      <c r="AH961">
        <v>0</v>
      </c>
      <c r="AI961" t="s">
        <v>2019</v>
      </c>
      <c r="AJ961">
        <v>39.416241999999997</v>
      </c>
      <c r="AK961" t="s">
        <v>2020</v>
      </c>
      <c r="AL961">
        <v>-76.917901000000001</v>
      </c>
      <c r="AM961">
        <v>100</v>
      </c>
      <c r="AN961">
        <v>8700</v>
      </c>
      <c r="AO961" t="s">
        <v>115</v>
      </c>
      <c r="AP961">
        <v>170</v>
      </c>
      <c r="AQ961">
        <v>86</v>
      </c>
      <c r="AR961">
        <v>0</v>
      </c>
      <c r="AZ961">
        <v>3614</v>
      </c>
      <c r="BA961">
        <v>1</v>
      </c>
      <c r="BB961" t="str">
        <f t="shared" si="44"/>
        <v xml:space="preserve">N959MJ  </v>
      </c>
      <c r="BC961">
        <v>1</v>
      </c>
      <c r="BE961">
        <v>0</v>
      </c>
      <c r="BF961">
        <v>0</v>
      </c>
      <c r="BG961">
        <v>0</v>
      </c>
      <c r="BH961">
        <v>9025</v>
      </c>
      <c r="BI961">
        <v>325</v>
      </c>
      <c r="BJ961">
        <v>1</v>
      </c>
      <c r="BK961">
        <v>1</v>
      </c>
      <c r="BL961">
        <v>1</v>
      </c>
      <c r="BM961">
        <v>0</v>
      </c>
      <c r="BP961">
        <v>0</v>
      </c>
      <c r="BQ961">
        <v>0</v>
      </c>
      <c r="BX961" t="str">
        <f>"14:06:22.016"</f>
        <v>14:06:22.016</v>
      </c>
      <c r="BY961" t="str">
        <f>"018785298"</f>
        <v>018785298</v>
      </c>
      <c r="CL961">
        <v>0</v>
      </c>
      <c r="CM961">
        <v>2</v>
      </c>
      <c r="CN961">
        <v>0</v>
      </c>
      <c r="CO961">
        <v>2</v>
      </c>
      <c r="CP961">
        <v>0</v>
      </c>
      <c r="CQ961">
        <v>6</v>
      </c>
      <c r="CR961" t="s">
        <v>116</v>
      </c>
      <c r="CS961">
        <v>396</v>
      </c>
      <c r="CT961">
        <v>2</v>
      </c>
      <c r="CU961" t="s">
        <v>939</v>
      </c>
      <c r="CV961" t="s">
        <v>940</v>
      </c>
      <c r="CY961">
        <v>4418392</v>
      </c>
      <c r="CZ961" t="s">
        <v>119</v>
      </c>
    </row>
    <row r="962" spans="1:104" x14ac:dyDescent="0.25">
      <c r="A962" t="str">
        <f>"14:06:23.172"</f>
        <v>14:06:23.172</v>
      </c>
      <c r="B962" t="s">
        <v>108</v>
      </c>
      <c r="C962" t="str">
        <f t="shared" si="43"/>
        <v>ffdfd3c0</v>
      </c>
      <c r="D962" t="s">
        <v>109</v>
      </c>
      <c r="E962">
        <v>4</v>
      </c>
      <c r="F962">
        <v>1004</v>
      </c>
      <c r="G962" t="s">
        <v>110</v>
      </c>
      <c r="J962" t="s">
        <v>111</v>
      </c>
      <c r="K962">
        <v>0</v>
      </c>
      <c r="L962">
        <v>3</v>
      </c>
      <c r="M962">
        <v>0</v>
      </c>
      <c r="N962">
        <v>2</v>
      </c>
      <c r="O962">
        <v>1</v>
      </c>
      <c r="P962">
        <v>0</v>
      </c>
      <c r="Q962">
        <v>0</v>
      </c>
      <c r="R962" t="s">
        <v>112</v>
      </c>
      <c r="S962" t="str">
        <f>"14:06:23.008"</f>
        <v>14:06:23.008</v>
      </c>
      <c r="T962" t="str">
        <f>"14:06:22.508"</f>
        <v>14:06:22.508</v>
      </c>
      <c r="U962" t="str">
        <f t="shared" ref="U962:U1025" si="45">"ad5732"</f>
        <v>ad5732</v>
      </c>
      <c r="V962">
        <v>0</v>
      </c>
      <c r="W962">
        <v>0</v>
      </c>
      <c r="X962">
        <v>1</v>
      </c>
      <c r="Z962">
        <v>0</v>
      </c>
      <c r="AA962">
        <v>9</v>
      </c>
      <c r="AB962">
        <v>3</v>
      </c>
      <c r="AC962">
        <v>0</v>
      </c>
      <c r="AD962">
        <v>10</v>
      </c>
      <c r="AE962">
        <v>0</v>
      </c>
      <c r="AF962">
        <v>3</v>
      </c>
      <c r="AG962">
        <v>2</v>
      </c>
      <c r="AH962">
        <v>0</v>
      </c>
      <c r="AI962" t="s">
        <v>2021</v>
      </c>
      <c r="AJ962">
        <v>39.416628000000003</v>
      </c>
      <c r="AK962" t="s">
        <v>2022</v>
      </c>
      <c r="AL962">
        <v>-76.916871</v>
      </c>
      <c r="AM962">
        <v>100</v>
      </c>
      <c r="AN962">
        <v>8700</v>
      </c>
      <c r="AO962" t="s">
        <v>115</v>
      </c>
      <c r="AP962">
        <v>170</v>
      </c>
      <c r="AQ962">
        <v>86</v>
      </c>
      <c r="AR962">
        <v>0</v>
      </c>
      <c r="AZ962">
        <v>3614</v>
      </c>
      <c r="BA962">
        <v>1</v>
      </c>
      <c r="BB962" t="str">
        <f t="shared" si="44"/>
        <v xml:space="preserve">N959MJ  </v>
      </c>
      <c r="BC962">
        <v>1</v>
      </c>
      <c r="BE962">
        <v>0</v>
      </c>
      <c r="BF962">
        <v>0</v>
      </c>
      <c r="BG962">
        <v>0</v>
      </c>
      <c r="BH962">
        <v>9025</v>
      </c>
      <c r="BI962">
        <v>325</v>
      </c>
      <c r="BJ962">
        <v>1</v>
      </c>
      <c r="BK962">
        <v>1</v>
      </c>
      <c r="BL962">
        <v>1</v>
      </c>
      <c r="BM962">
        <v>0</v>
      </c>
      <c r="BP962">
        <v>0</v>
      </c>
      <c r="BQ962">
        <v>0</v>
      </c>
      <c r="BX962" t="str">
        <f>"14:06:23.008"</f>
        <v>14:06:23.008</v>
      </c>
      <c r="BY962" t="str">
        <f>"009947236"</f>
        <v>009947236</v>
      </c>
      <c r="CL962">
        <v>0</v>
      </c>
      <c r="CM962">
        <v>2</v>
      </c>
      <c r="CN962">
        <v>0</v>
      </c>
      <c r="CO962">
        <v>2</v>
      </c>
      <c r="CP962">
        <v>0</v>
      </c>
      <c r="CQ962">
        <v>6</v>
      </c>
      <c r="CR962" t="s">
        <v>116</v>
      </c>
      <c r="CS962">
        <v>525</v>
      </c>
      <c r="CT962">
        <v>1</v>
      </c>
      <c r="CU962" t="s">
        <v>140</v>
      </c>
      <c r="CV962" t="s">
        <v>141</v>
      </c>
      <c r="CY962">
        <v>8553310</v>
      </c>
      <c r="CZ962" t="s">
        <v>119</v>
      </c>
    </row>
    <row r="963" spans="1:104" x14ac:dyDescent="0.25">
      <c r="A963" t="str">
        <f>"14:06:24.125"</f>
        <v>14:06:24.125</v>
      </c>
      <c r="B963" t="s">
        <v>108</v>
      </c>
      <c r="C963" t="str">
        <f t="shared" si="43"/>
        <v>ffdfd3c0</v>
      </c>
      <c r="D963" t="s">
        <v>109</v>
      </c>
      <c r="E963">
        <v>4</v>
      </c>
      <c r="F963">
        <v>1004</v>
      </c>
      <c r="G963" t="s">
        <v>110</v>
      </c>
      <c r="J963" t="s">
        <v>111</v>
      </c>
      <c r="K963">
        <v>0</v>
      </c>
      <c r="L963">
        <v>3</v>
      </c>
      <c r="M963">
        <v>0</v>
      </c>
      <c r="N963">
        <v>2</v>
      </c>
      <c r="O963">
        <v>1</v>
      </c>
      <c r="P963">
        <v>0</v>
      </c>
      <c r="Q963">
        <v>0</v>
      </c>
      <c r="R963" t="s">
        <v>112</v>
      </c>
      <c r="S963" t="str">
        <f>"14:06:23.914"</f>
        <v>14:06:23.914</v>
      </c>
      <c r="T963" t="str">
        <f>"14:06:23.516"</f>
        <v>14:06:23.516</v>
      </c>
      <c r="U963" t="str">
        <f t="shared" si="45"/>
        <v>ad5732</v>
      </c>
      <c r="V963">
        <v>0</v>
      </c>
      <c r="W963">
        <v>0</v>
      </c>
      <c r="X963">
        <v>1</v>
      </c>
      <c r="Z963">
        <v>0</v>
      </c>
      <c r="AA963">
        <v>9</v>
      </c>
      <c r="AB963">
        <v>3</v>
      </c>
      <c r="AC963">
        <v>0</v>
      </c>
      <c r="AD963">
        <v>10</v>
      </c>
      <c r="AE963">
        <v>0</v>
      </c>
      <c r="AF963">
        <v>3</v>
      </c>
      <c r="AG963">
        <v>2</v>
      </c>
      <c r="AH963">
        <v>0</v>
      </c>
      <c r="AI963" t="s">
        <v>2023</v>
      </c>
      <c r="AJ963">
        <v>39.416970999999997</v>
      </c>
      <c r="AK963" t="s">
        <v>2024</v>
      </c>
      <c r="AL963">
        <v>-76.915991000000005</v>
      </c>
      <c r="AM963">
        <v>100</v>
      </c>
      <c r="AN963">
        <v>8700</v>
      </c>
      <c r="AO963" t="s">
        <v>115</v>
      </c>
      <c r="AP963">
        <v>171</v>
      </c>
      <c r="AQ963">
        <v>86</v>
      </c>
      <c r="AR963">
        <v>0</v>
      </c>
      <c r="AZ963">
        <v>3614</v>
      </c>
      <c r="BA963">
        <v>1</v>
      </c>
      <c r="BB963" t="str">
        <f t="shared" si="44"/>
        <v xml:space="preserve">N959MJ  </v>
      </c>
      <c r="BC963">
        <v>1</v>
      </c>
      <c r="BE963">
        <v>0</v>
      </c>
      <c r="BF963">
        <v>0</v>
      </c>
      <c r="BG963">
        <v>0</v>
      </c>
      <c r="BH963">
        <v>9025</v>
      </c>
      <c r="BI963">
        <v>325</v>
      </c>
      <c r="BJ963">
        <v>1</v>
      </c>
      <c r="BK963">
        <v>1</v>
      </c>
      <c r="BL963">
        <v>1</v>
      </c>
      <c r="BM963">
        <v>0</v>
      </c>
      <c r="BP963">
        <v>0</v>
      </c>
      <c r="BQ963">
        <v>0</v>
      </c>
      <c r="BX963" t="str">
        <f>"14:06:23.922"</f>
        <v>14:06:23.922</v>
      </c>
      <c r="BY963" t="str">
        <f>"920912756"</f>
        <v>920912756</v>
      </c>
      <c r="CL963">
        <v>0</v>
      </c>
      <c r="CM963">
        <v>2</v>
      </c>
      <c r="CN963">
        <v>0</v>
      </c>
      <c r="CO963">
        <v>2</v>
      </c>
      <c r="CP963">
        <v>0</v>
      </c>
      <c r="CQ963">
        <v>7</v>
      </c>
      <c r="CR963" t="s">
        <v>116</v>
      </c>
      <c r="CS963">
        <v>525</v>
      </c>
      <c r="CT963">
        <v>1</v>
      </c>
      <c r="CU963" t="s">
        <v>140</v>
      </c>
      <c r="CV963" t="s">
        <v>141</v>
      </c>
      <c r="CY963">
        <v>8554664</v>
      </c>
      <c r="CZ963" t="s">
        <v>119</v>
      </c>
    </row>
    <row r="964" spans="1:104" x14ac:dyDescent="0.25">
      <c r="A964" t="str">
        <f>"14:06:25.234"</f>
        <v>14:06:25.234</v>
      </c>
      <c r="B964" t="s">
        <v>108</v>
      </c>
      <c r="C964" t="str">
        <f t="shared" si="43"/>
        <v>ffdfd3c0</v>
      </c>
      <c r="D964" t="s">
        <v>109</v>
      </c>
      <c r="E964">
        <v>4</v>
      </c>
      <c r="F964">
        <v>1004</v>
      </c>
      <c r="G964" t="s">
        <v>110</v>
      </c>
      <c r="J964" t="s">
        <v>111</v>
      </c>
      <c r="K964">
        <v>0</v>
      </c>
      <c r="L964">
        <v>3</v>
      </c>
      <c r="M964">
        <v>0</v>
      </c>
      <c r="N964">
        <v>2</v>
      </c>
      <c r="O964">
        <v>1</v>
      </c>
      <c r="P964">
        <v>0</v>
      </c>
      <c r="Q964">
        <v>0</v>
      </c>
      <c r="R964" t="s">
        <v>112</v>
      </c>
      <c r="S964" t="str">
        <f>"14:06:25.039"</f>
        <v>14:06:25.039</v>
      </c>
      <c r="T964" t="str">
        <f>"14:06:24.539"</f>
        <v>14:06:24.539</v>
      </c>
      <c r="U964" t="str">
        <f t="shared" si="45"/>
        <v>ad5732</v>
      </c>
      <c r="V964">
        <v>0</v>
      </c>
      <c r="W964">
        <v>0</v>
      </c>
      <c r="X964">
        <v>1</v>
      </c>
      <c r="Z964">
        <v>0</v>
      </c>
      <c r="AA964">
        <v>9</v>
      </c>
      <c r="AB964">
        <v>3</v>
      </c>
      <c r="AC964">
        <v>0</v>
      </c>
      <c r="AD964">
        <v>10</v>
      </c>
      <c r="AE964">
        <v>0</v>
      </c>
      <c r="AF964">
        <v>3</v>
      </c>
      <c r="AG964">
        <v>2</v>
      </c>
      <c r="AH964">
        <v>0</v>
      </c>
      <c r="AI964" t="s">
        <v>2025</v>
      </c>
      <c r="AJ964">
        <v>39.417465</v>
      </c>
      <c r="AK964" t="s">
        <v>2026</v>
      </c>
      <c r="AL964">
        <v>-76.914854000000005</v>
      </c>
      <c r="AM964">
        <v>100</v>
      </c>
      <c r="AN964">
        <v>8700</v>
      </c>
      <c r="AO964" t="s">
        <v>115</v>
      </c>
      <c r="AP964">
        <v>170</v>
      </c>
      <c r="AQ964">
        <v>86</v>
      </c>
      <c r="AR964">
        <v>0</v>
      </c>
      <c r="AZ964">
        <v>3614</v>
      </c>
      <c r="BA964">
        <v>1</v>
      </c>
      <c r="BB964" t="str">
        <f t="shared" si="44"/>
        <v xml:space="preserve">N959MJ  </v>
      </c>
      <c r="BC964">
        <v>1</v>
      </c>
      <c r="BE964">
        <v>0</v>
      </c>
      <c r="BF964">
        <v>0</v>
      </c>
      <c r="BG964">
        <v>0</v>
      </c>
      <c r="BH964">
        <v>9025</v>
      </c>
      <c r="BI964">
        <v>325</v>
      </c>
      <c r="BJ964">
        <v>1</v>
      </c>
      <c r="BK964">
        <v>1</v>
      </c>
      <c r="BL964">
        <v>1</v>
      </c>
      <c r="BM964">
        <v>0</v>
      </c>
      <c r="BP964">
        <v>0</v>
      </c>
      <c r="BQ964">
        <v>0</v>
      </c>
      <c r="BX964" t="str">
        <f>"14:06:25.039"</f>
        <v>14:06:25.039</v>
      </c>
      <c r="BY964" t="str">
        <f>"041597135"</f>
        <v>041597135</v>
      </c>
      <c r="CL964">
        <v>0</v>
      </c>
      <c r="CM964">
        <v>2</v>
      </c>
      <c r="CN964">
        <v>0</v>
      </c>
      <c r="CO964">
        <v>2</v>
      </c>
      <c r="CP964">
        <v>0</v>
      </c>
      <c r="CQ964">
        <v>6</v>
      </c>
      <c r="CR964" t="s">
        <v>116</v>
      </c>
      <c r="CS964">
        <v>525</v>
      </c>
      <c r="CT964">
        <v>1</v>
      </c>
      <c r="CU964" t="s">
        <v>140</v>
      </c>
      <c r="CV964" t="s">
        <v>141</v>
      </c>
      <c r="CY964">
        <v>8556308</v>
      </c>
      <c r="CZ964" t="s">
        <v>119</v>
      </c>
    </row>
    <row r="965" spans="1:104" x14ac:dyDescent="0.25">
      <c r="A965" t="str">
        <f>"14:06:26.195"</f>
        <v>14:06:26.195</v>
      </c>
      <c r="B965" t="s">
        <v>108</v>
      </c>
      <c r="C965" t="str">
        <f t="shared" si="43"/>
        <v>ffdfd3c0</v>
      </c>
      <c r="D965" t="s">
        <v>109</v>
      </c>
      <c r="E965">
        <v>4</v>
      </c>
      <c r="F965">
        <v>1004</v>
      </c>
      <c r="G965" t="s">
        <v>110</v>
      </c>
      <c r="J965" t="s">
        <v>111</v>
      </c>
      <c r="K965">
        <v>0</v>
      </c>
      <c r="L965">
        <v>3</v>
      </c>
      <c r="M965">
        <v>0</v>
      </c>
      <c r="N965">
        <v>2</v>
      </c>
      <c r="O965">
        <v>1</v>
      </c>
      <c r="P965">
        <v>0</v>
      </c>
      <c r="Q965">
        <v>0</v>
      </c>
      <c r="R965" t="s">
        <v>112</v>
      </c>
      <c r="S965" t="str">
        <f>"14:06:25.977"</f>
        <v>14:06:25.977</v>
      </c>
      <c r="T965" t="str">
        <f>"14:06:25.578"</f>
        <v>14:06:25.578</v>
      </c>
      <c r="U965" t="str">
        <f t="shared" si="45"/>
        <v>ad5732</v>
      </c>
      <c r="V965">
        <v>0</v>
      </c>
      <c r="W965">
        <v>0</v>
      </c>
      <c r="X965">
        <v>1</v>
      </c>
      <c r="Z965">
        <v>0</v>
      </c>
      <c r="AA965">
        <v>9</v>
      </c>
      <c r="AB965">
        <v>3</v>
      </c>
      <c r="AC965">
        <v>0</v>
      </c>
      <c r="AD965">
        <v>10</v>
      </c>
      <c r="AE965">
        <v>0</v>
      </c>
      <c r="AF965">
        <v>3</v>
      </c>
      <c r="AG965">
        <v>2</v>
      </c>
      <c r="AH965">
        <v>0</v>
      </c>
      <c r="AI965" t="s">
        <v>2027</v>
      </c>
      <c r="AJ965">
        <v>39.417808000000001</v>
      </c>
      <c r="AK965" t="s">
        <v>2028</v>
      </c>
      <c r="AL965">
        <v>-76.913973999999996</v>
      </c>
      <c r="AM965">
        <v>100</v>
      </c>
      <c r="AN965">
        <v>8700</v>
      </c>
      <c r="AO965" t="s">
        <v>115</v>
      </c>
      <c r="AP965">
        <v>170</v>
      </c>
      <c r="AQ965">
        <v>86</v>
      </c>
      <c r="AR965">
        <v>0</v>
      </c>
      <c r="AZ965">
        <v>3614</v>
      </c>
      <c r="BA965">
        <v>1</v>
      </c>
      <c r="BB965" t="str">
        <f t="shared" si="44"/>
        <v xml:space="preserve">N959MJ  </v>
      </c>
      <c r="BC965">
        <v>1</v>
      </c>
      <c r="BE965">
        <v>0</v>
      </c>
      <c r="BF965">
        <v>0</v>
      </c>
      <c r="BG965">
        <v>0</v>
      </c>
      <c r="BH965">
        <v>9025</v>
      </c>
      <c r="BI965">
        <v>325</v>
      </c>
      <c r="BJ965">
        <v>1</v>
      </c>
      <c r="BK965">
        <v>1</v>
      </c>
      <c r="BL965">
        <v>1</v>
      </c>
      <c r="BM965">
        <v>0</v>
      </c>
      <c r="BP965">
        <v>0</v>
      </c>
      <c r="BQ965">
        <v>0</v>
      </c>
      <c r="BX965" t="str">
        <f>"14:06:25.984"</f>
        <v>14:06:25.984</v>
      </c>
      <c r="BY965" t="str">
        <f>"980500437"</f>
        <v>980500437</v>
      </c>
      <c r="CL965">
        <v>0</v>
      </c>
      <c r="CM965">
        <v>2</v>
      </c>
      <c r="CN965">
        <v>0</v>
      </c>
      <c r="CO965">
        <v>2</v>
      </c>
      <c r="CP965">
        <v>0</v>
      </c>
      <c r="CQ965">
        <v>6</v>
      </c>
      <c r="CR965" t="s">
        <v>116</v>
      </c>
      <c r="CS965">
        <v>396</v>
      </c>
      <c r="CT965">
        <v>2</v>
      </c>
      <c r="CU965" t="s">
        <v>939</v>
      </c>
      <c r="CV965" t="s">
        <v>940</v>
      </c>
      <c r="CY965">
        <v>4425504</v>
      </c>
      <c r="CZ965" t="s">
        <v>119</v>
      </c>
    </row>
    <row r="966" spans="1:104" x14ac:dyDescent="0.25">
      <c r="A966" t="str">
        <f>"14:06:27.203"</f>
        <v>14:06:27.203</v>
      </c>
      <c r="B966" t="s">
        <v>108</v>
      </c>
      <c r="C966" t="str">
        <f t="shared" si="43"/>
        <v>ffdfd3c0</v>
      </c>
      <c r="D966" t="s">
        <v>109</v>
      </c>
      <c r="E966">
        <v>4</v>
      </c>
      <c r="F966">
        <v>1004</v>
      </c>
      <c r="G966" t="s">
        <v>110</v>
      </c>
      <c r="J966" t="s">
        <v>111</v>
      </c>
      <c r="K966">
        <v>0</v>
      </c>
      <c r="L966">
        <v>3</v>
      </c>
      <c r="M966">
        <v>0</v>
      </c>
      <c r="N966">
        <v>2</v>
      </c>
      <c r="O966">
        <v>1</v>
      </c>
      <c r="P966">
        <v>0</v>
      </c>
      <c r="Q966">
        <v>0</v>
      </c>
      <c r="R966" t="s">
        <v>112</v>
      </c>
      <c r="S966" t="str">
        <f>"14:06:26.992"</f>
        <v>14:06:26.992</v>
      </c>
      <c r="T966" t="str">
        <f>"14:06:26.492"</f>
        <v>14:06:26.492</v>
      </c>
      <c r="U966" t="str">
        <f t="shared" si="45"/>
        <v>ad5732</v>
      </c>
      <c r="V966">
        <v>0</v>
      </c>
      <c r="W966">
        <v>0</v>
      </c>
      <c r="X966">
        <v>1</v>
      </c>
      <c r="Z966">
        <v>0</v>
      </c>
      <c r="AA966">
        <v>9</v>
      </c>
      <c r="AB966">
        <v>3</v>
      </c>
      <c r="AC966">
        <v>0</v>
      </c>
      <c r="AD966">
        <v>10</v>
      </c>
      <c r="AE966">
        <v>0</v>
      </c>
      <c r="AF966">
        <v>3</v>
      </c>
      <c r="AG966">
        <v>2</v>
      </c>
      <c r="AH966">
        <v>0</v>
      </c>
      <c r="AI966" t="s">
        <v>2029</v>
      </c>
      <c r="AJ966">
        <v>39.418236999999998</v>
      </c>
      <c r="AK966" t="s">
        <v>2030</v>
      </c>
      <c r="AL966">
        <v>-76.912836999999996</v>
      </c>
      <c r="AM966">
        <v>100</v>
      </c>
      <c r="AN966">
        <v>8700</v>
      </c>
      <c r="AO966" t="s">
        <v>115</v>
      </c>
      <c r="AP966">
        <v>170</v>
      </c>
      <c r="AQ966">
        <v>87</v>
      </c>
      <c r="AR966">
        <v>0</v>
      </c>
      <c r="AZ966">
        <v>3614</v>
      </c>
      <c r="BA966">
        <v>1</v>
      </c>
      <c r="BB966" t="str">
        <f t="shared" si="44"/>
        <v xml:space="preserve">N959MJ  </v>
      </c>
      <c r="BC966">
        <v>1</v>
      </c>
      <c r="BE966">
        <v>0</v>
      </c>
      <c r="BF966">
        <v>0</v>
      </c>
      <c r="BG966">
        <v>0</v>
      </c>
      <c r="BH966">
        <v>9025</v>
      </c>
      <c r="BI966">
        <v>325</v>
      </c>
      <c r="BJ966">
        <v>1</v>
      </c>
      <c r="BK966">
        <v>1</v>
      </c>
      <c r="BL966">
        <v>1</v>
      </c>
      <c r="BM966">
        <v>0</v>
      </c>
      <c r="BP966">
        <v>0</v>
      </c>
      <c r="BQ966">
        <v>0</v>
      </c>
      <c r="BX966" t="str">
        <f>"14:06:27.000"</f>
        <v>14:06:27.000</v>
      </c>
      <c r="BY966" t="str">
        <f>"996240929"</f>
        <v>996240929</v>
      </c>
      <c r="CL966">
        <v>0</v>
      </c>
      <c r="CM966">
        <v>2</v>
      </c>
      <c r="CN966">
        <v>0</v>
      </c>
      <c r="CO966">
        <v>2</v>
      </c>
      <c r="CP966">
        <v>0</v>
      </c>
      <c r="CQ966">
        <v>6</v>
      </c>
      <c r="CR966" t="s">
        <v>116</v>
      </c>
      <c r="CS966">
        <v>525</v>
      </c>
      <c r="CT966">
        <v>1</v>
      </c>
      <c r="CU966" t="s">
        <v>140</v>
      </c>
      <c r="CV966" t="s">
        <v>141</v>
      </c>
      <c r="CY966">
        <v>8559222</v>
      </c>
      <c r="CZ966" t="s">
        <v>119</v>
      </c>
    </row>
    <row r="967" spans="1:104" x14ac:dyDescent="0.25">
      <c r="A967" t="str">
        <f>"14:06:28.063"</f>
        <v>14:06:28.063</v>
      </c>
      <c r="B967" t="s">
        <v>108</v>
      </c>
      <c r="C967" t="str">
        <f t="shared" si="43"/>
        <v>ffdfd3c0</v>
      </c>
      <c r="D967" t="s">
        <v>109</v>
      </c>
      <c r="E967">
        <v>4</v>
      </c>
      <c r="F967">
        <v>1004</v>
      </c>
      <c r="G967" t="s">
        <v>110</v>
      </c>
      <c r="J967" t="s">
        <v>111</v>
      </c>
      <c r="K967">
        <v>0</v>
      </c>
      <c r="L967">
        <v>3</v>
      </c>
      <c r="M967">
        <v>0</v>
      </c>
      <c r="N967">
        <v>2</v>
      </c>
      <c r="O967">
        <v>1</v>
      </c>
      <c r="P967">
        <v>0</v>
      </c>
      <c r="Q967">
        <v>0</v>
      </c>
      <c r="R967" t="s">
        <v>112</v>
      </c>
      <c r="S967" t="str">
        <f>"14:06:27.898"</f>
        <v>14:06:27.898</v>
      </c>
      <c r="T967" t="str">
        <f>"14:06:27.500"</f>
        <v>14:06:27.500</v>
      </c>
      <c r="U967" t="str">
        <f t="shared" si="45"/>
        <v>ad5732</v>
      </c>
      <c r="V967">
        <v>0</v>
      </c>
      <c r="W967">
        <v>0</v>
      </c>
      <c r="X967">
        <v>1</v>
      </c>
      <c r="Z967">
        <v>0</v>
      </c>
      <c r="AA967">
        <v>9</v>
      </c>
      <c r="AB967">
        <v>3</v>
      </c>
      <c r="AC967">
        <v>0</v>
      </c>
      <c r="AD967">
        <v>10</v>
      </c>
      <c r="AE967">
        <v>0</v>
      </c>
      <c r="AF967">
        <v>3</v>
      </c>
      <c r="AG967">
        <v>2</v>
      </c>
      <c r="AH967">
        <v>0</v>
      </c>
      <c r="AI967" t="s">
        <v>2031</v>
      </c>
      <c r="AJ967">
        <v>39.418581000000003</v>
      </c>
      <c r="AK967" t="s">
        <v>2032</v>
      </c>
      <c r="AL967">
        <v>-76.911871000000005</v>
      </c>
      <c r="AM967">
        <v>100</v>
      </c>
      <c r="AN967">
        <v>8700</v>
      </c>
      <c r="AO967" t="s">
        <v>115</v>
      </c>
      <c r="AP967">
        <v>170</v>
      </c>
      <c r="AQ967">
        <v>87</v>
      </c>
      <c r="AR967">
        <v>0</v>
      </c>
      <c r="AZ967">
        <v>3614</v>
      </c>
      <c r="BA967">
        <v>1</v>
      </c>
      <c r="BB967" t="str">
        <f t="shared" si="44"/>
        <v xml:space="preserve">N959MJ  </v>
      </c>
      <c r="BC967">
        <v>1</v>
      </c>
      <c r="BE967">
        <v>0</v>
      </c>
      <c r="BF967">
        <v>0</v>
      </c>
      <c r="BG967">
        <v>0</v>
      </c>
      <c r="BH967">
        <v>9025</v>
      </c>
      <c r="BI967">
        <v>325</v>
      </c>
      <c r="BJ967">
        <v>1</v>
      </c>
      <c r="BK967">
        <v>1</v>
      </c>
      <c r="BL967">
        <v>1</v>
      </c>
      <c r="BM967">
        <v>0</v>
      </c>
      <c r="BP967">
        <v>0</v>
      </c>
      <c r="BQ967">
        <v>0</v>
      </c>
      <c r="BX967" t="str">
        <f>"14:06:27.898"</f>
        <v>14:06:27.898</v>
      </c>
      <c r="BY967" t="str">
        <f>"900736233"</f>
        <v>900736233</v>
      </c>
      <c r="CL967">
        <v>0</v>
      </c>
      <c r="CM967">
        <v>2</v>
      </c>
      <c r="CN967">
        <v>0</v>
      </c>
      <c r="CO967">
        <v>2</v>
      </c>
      <c r="CP967">
        <v>0</v>
      </c>
      <c r="CQ967">
        <v>6</v>
      </c>
      <c r="CR967" t="s">
        <v>116</v>
      </c>
      <c r="CS967">
        <v>396</v>
      </c>
      <c r="CT967">
        <v>2</v>
      </c>
      <c r="CU967" t="s">
        <v>939</v>
      </c>
      <c r="CV967" t="s">
        <v>940</v>
      </c>
      <c r="CY967">
        <v>4428853</v>
      </c>
      <c r="CZ967" t="s">
        <v>119</v>
      </c>
    </row>
    <row r="968" spans="1:104" x14ac:dyDescent="0.25">
      <c r="A968" t="str">
        <f>"14:06:28.922"</f>
        <v>14:06:28.922</v>
      </c>
      <c r="B968" t="s">
        <v>108</v>
      </c>
      <c r="C968" t="str">
        <f t="shared" si="43"/>
        <v>ffdfd3c0</v>
      </c>
      <c r="D968" t="s">
        <v>109</v>
      </c>
      <c r="E968">
        <v>4</v>
      </c>
      <c r="F968">
        <v>1004</v>
      </c>
      <c r="G968" t="s">
        <v>110</v>
      </c>
      <c r="J968" t="s">
        <v>111</v>
      </c>
      <c r="K968">
        <v>0</v>
      </c>
      <c r="L968">
        <v>3</v>
      </c>
      <c r="M968">
        <v>0</v>
      </c>
      <c r="N968">
        <v>2</v>
      </c>
      <c r="O968">
        <v>1</v>
      </c>
      <c r="P968">
        <v>0</v>
      </c>
      <c r="Q968">
        <v>0</v>
      </c>
      <c r="R968" t="s">
        <v>112</v>
      </c>
      <c r="S968" t="str">
        <f>"14:06:28.742"</f>
        <v>14:06:28.742</v>
      </c>
      <c r="T968" t="str">
        <f>"14:06:28.344"</f>
        <v>14:06:28.344</v>
      </c>
      <c r="U968" t="str">
        <f t="shared" si="45"/>
        <v>ad5732</v>
      </c>
      <c r="V968">
        <v>0</v>
      </c>
      <c r="W968">
        <v>0</v>
      </c>
      <c r="X968">
        <v>1</v>
      </c>
      <c r="Z968">
        <v>0</v>
      </c>
      <c r="AA968">
        <v>9</v>
      </c>
      <c r="AB968">
        <v>3</v>
      </c>
      <c r="AC968">
        <v>0</v>
      </c>
      <c r="AD968">
        <v>10</v>
      </c>
      <c r="AE968">
        <v>0</v>
      </c>
      <c r="AF968">
        <v>3</v>
      </c>
      <c r="AG968">
        <v>2</v>
      </c>
      <c r="AH968">
        <v>0</v>
      </c>
      <c r="AI968" t="s">
        <v>2033</v>
      </c>
      <c r="AJ968">
        <v>39.418902000000003</v>
      </c>
      <c r="AK968" t="s">
        <v>2034</v>
      </c>
      <c r="AL968">
        <v>-76.911098999999993</v>
      </c>
      <c r="AM968">
        <v>100</v>
      </c>
      <c r="AN968">
        <v>8700</v>
      </c>
      <c r="AO968" t="s">
        <v>115</v>
      </c>
      <c r="AP968">
        <v>170</v>
      </c>
      <c r="AQ968">
        <v>87</v>
      </c>
      <c r="AR968">
        <v>0</v>
      </c>
      <c r="AZ968">
        <v>3614</v>
      </c>
      <c r="BA968">
        <v>1</v>
      </c>
      <c r="BB968" t="str">
        <f t="shared" si="44"/>
        <v xml:space="preserve">N959MJ  </v>
      </c>
      <c r="BC968">
        <v>1</v>
      </c>
      <c r="BE968">
        <v>0</v>
      </c>
      <c r="BF968">
        <v>0</v>
      </c>
      <c r="BG968">
        <v>0</v>
      </c>
      <c r="BH968">
        <v>9025</v>
      </c>
      <c r="BI968">
        <v>325</v>
      </c>
      <c r="BJ968">
        <v>1</v>
      </c>
      <c r="BK968">
        <v>1</v>
      </c>
      <c r="BL968">
        <v>1</v>
      </c>
      <c r="BM968">
        <v>0</v>
      </c>
      <c r="BP968">
        <v>0</v>
      </c>
      <c r="BQ968">
        <v>0</v>
      </c>
      <c r="BX968" t="str">
        <f>"14:06:28.742"</f>
        <v>14:06:28.742</v>
      </c>
      <c r="BY968" t="str">
        <f>"744442899"</f>
        <v>744442899</v>
      </c>
      <c r="CL968">
        <v>0</v>
      </c>
      <c r="CM968">
        <v>2</v>
      </c>
      <c r="CN968">
        <v>0</v>
      </c>
      <c r="CO968">
        <v>2</v>
      </c>
      <c r="CP968">
        <v>0</v>
      </c>
      <c r="CQ968">
        <v>6</v>
      </c>
      <c r="CR968" t="s">
        <v>116</v>
      </c>
      <c r="CS968">
        <v>525</v>
      </c>
      <c r="CT968">
        <v>1</v>
      </c>
      <c r="CU968" t="s">
        <v>140</v>
      </c>
      <c r="CV968" t="s">
        <v>141</v>
      </c>
      <c r="CY968">
        <v>8561855</v>
      </c>
      <c r="CZ968" t="s">
        <v>119</v>
      </c>
    </row>
    <row r="969" spans="1:104" x14ac:dyDescent="0.25">
      <c r="A969" t="str">
        <f>"14:06:29.977"</f>
        <v>14:06:29.977</v>
      </c>
      <c r="B969" t="s">
        <v>108</v>
      </c>
      <c r="C969" t="str">
        <f t="shared" si="43"/>
        <v>ffdfd3c0</v>
      </c>
      <c r="D969" t="s">
        <v>109</v>
      </c>
      <c r="E969">
        <v>4</v>
      </c>
      <c r="F969">
        <v>1004</v>
      </c>
      <c r="G969" t="s">
        <v>110</v>
      </c>
      <c r="J969" t="s">
        <v>111</v>
      </c>
      <c r="K969">
        <v>0</v>
      </c>
      <c r="L969">
        <v>3</v>
      </c>
      <c r="M969">
        <v>0</v>
      </c>
      <c r="N969">
        <v>2</v>
      </c>
      <c r="O969">
        <v>1</v>
      </c>
      <c r="P969">
        <v>0</v>
      </c>
      <c r="Q969">
        <v>0</v>
      </c>
      <c r="R969" t="s">
        <v>112</v>
      </c>
      <c r="S969" t="str">
        <f>"14:06:29.820"</f>
        <v>14:06:29.820</v>
      </c>
      <c r="T969" t="str">
        <f>"14:06:29.422"</f>
        <v>14:06:29.422</v>
      </c>
      <c r="U969" t="str">
        <f t="shared" si="45"/>
        <v>ad5732</v>
      </c>
      <c r="V969">
        <v>0</v>
      </c>
      <c r="W969">
        <v>0</v>
      </c>
      <c r="X969">
        <v>1</v>
      </c>
      <c r="Z969">
        <v>0</v>
      </c>
      <c r="AA969">
        <v>9</v>
      </c>
      <c r="AB969">
        <v>3</v>
      </c>
      <c r="AC969">
        <v>0</v>
      </c>
      <c r="AD969">
        <v>10</v>
      </c>
      <c r="AE969">
        <v>0</v>
      </c>
      <c r="AF969">
        <v>3</v>
      </c>
      <c r="AG969">
        <v>2</v>
      </c>
      <c r="AH969">
        <v>0</v>
      </c>
      <c r="AI969" t="s">
        <v>2035</v>
      </c>
      <c r="AJ969">
        <v>39.419373999999998</v>
      </c>
      <c r="AK969" t="s">
        <v>2036</v>
      </c>
      <c r="AL969">
        <v>-76.909982999999997</v>
      </c>
      <c r="AM969">
        <v>100</v>
      </c>
      <c r="AN969">
        <v>8700</v>
      </c>
      <c r="AO969" t="s">
        <v>115</v>
      </c>
      <c r="AP969">
        <v>170</v>
      </c>
      <c r="AQ969">
        <v>87</v>
      </c>
      <c r="AR969">
        <v>0</v>
      </c>
      <c r="AZ969">
        <v>3614</v>
      </c>
      <c r="BA969">
        <v>1</v>
      </c>
      <c r="BB969" t="str">
        <f t="shared" si="44"/>
        <v xml:space="preserve">N959MJ  </v>
      </c>
      <c r="BC969">
        <v>1</v>
      </c>
      <c r="BE969">
        <v>0</v>
      </c>
      <c r="BF969">
        <v>0</v>
      </c>
      <c r="BG969">
        <v>0</v>
      </c>
      <c r="BH969">
        <v>9025</v>
      </c>
      <c r="BI969">
        <v>325</v>
      </c>
      <c r="BJ969">
        <v>1</v>
      </c>
      <c r="BK969">
        <v>1</v>
      </c>
      <c r="BL969">
        <v>1</v>
      </c>
      <c r="BM969">
        <v>0</v>
      </c>
      <c r="BP969">
        <v>0</v>
      </c>
      <c r="BQ969">
        <v>0</v>
      </c>
      <c r="BX969" t="str">
        <f>"14:06:29.820"</f>
        <v>14:06:29.820</v>
      </c>
      <c r="BY969" t="str">
        <f>"820889673"</f>
        <v>820889673</v>
      </c>
      <c r="CL969">
        <v>0</v>
      </c>
      <c r="CM969">
        <v>2</v>
      </c>
      <c r="CN969">
        <v>0</v>
      </c>
      <c r="CO969">
        <v>2</v>
      </c>
      <c r="CP969">
        <v>0</v>
      </c>
      <c r="CQ969">
        <v>6</v>
      </c>
      <c r="CR969" t="s">
        <v>116</v>
      </c>
      <c r="CS969">
        <v>525</v>
      </c>
      <c r="CT969">
        <v>1</v>
      </c>
      <c r="CU969" t="s">
        <v>140</v>
      </c>
      <c r="CV969" t="s">
        <v>141</v>
      </c>
      <c r="CY969">
        <v>8563442</v>
      </c>
      <c r="CZ969" t="s">
        <v>119</v>
      </c>
    </row>
    <row r="970" spans="1:104" x14ac:dyDescent="0.25">
      <c r="A970" t="str">
        <f>"14:06:30.938"</f>
        <v>14:06:30.938</v>
      </c>
      <c r="B970" t="s">
        <v>108</v>
      </c>
      <c r="C970" t="str">
        <f t="shared" ref="C970:C1033" si="46">"ffdfd3c0"</f>
        <v>ffdfd3c0</v>
      </c>
      <c r="D970" t="s">
        <v>109</v>
      </c>
      <c r="E970">
        <v>4</v>
      </c>
      <c r="F970">
        <v>1004</v>
      </c>
      <c r="G970" t="s">
        <v>110</v>
      </c>
      <c r="J970" t="s">
        <v>111</v>
      </c>
      <c r="K970">
        <v>0</v>
      </c>
      <c r="L970">
        <v>3</v>
      </c>
      <c r="M970">
        <v>0</v>
      </c>
      <c r="N970">
        <v>2</v>
      </c>
      <c r="O970">
        <v>1</v>
      </c>
      <c r="P970">
        <v>0</v>
      </c>
      <c r="Q970">
        <v>0</v>
      </c>
      <c r="R970" t="s">
        <v>112</v>
      </c>
      <c r="S970" t="str">
        <f>"14:06:30.766"</f>
        <v>14:06:30.766</v>
      </c>
      <c r="T970" t="str">
        <f>"14:06:30.367"</f>
        <v>14:06:30.367</v>
      </c>
      <c r="U970" t="str">
        <f t="shared" si="45"/>
        <v>ad5732</v>
      </c>
      <c r="V970">
        <v>0</v>
      </c>
      <c r="W970">
        <v>0</v>
      </c>
      <c r="X970">
        <v>1</v>
      </c>
      <c r="Z970">
        <v>0</v>
      </c>
      <c r="AA970">
        <v>9</v>
      </c>
      <c r="AB970">
        <v>3</v>
      </c>
      <c r="AC970">
        <v>0</v>
      </c>
      <c r="AD970">
        <v>10</v>
      </c>
      <c r="AE970">
        <v>0</v>
      </c>
      <c r="AF970">
        <v>3</v>
      </c>
      <c r="AG970">
        <v>2</v>
      </c>
      <c r="AH970">
        <v>0</v>
      </c>
      <c r="AI970" t="s">
        <v>2037</v>
      </c>
      <c r="AJ970">
        <v>39.419718000000003</v>
      </c>
      <c r="AK970" t="s">
        <v>2038</v>
      </c>
      <c r="AL970">
        <v>-76.909081999999998</v>
      </c>
      <c r="AM970">
        <v>100</v>
      </c>
      <c r="AN970">
        <v>8700</v>
      </c>
      <c r="AO970" t="s">
        <v>115</v>
      </c>
      <c r="AP970">
        <v>170</v>
      </c>
      <c r="AQ970">
        <v>88</v>
      </c>
      <c r="AR970">
        <v>0</v>
      </c>
      <c r="AZ970">
        <v>3614</v>
      </c>
      <c r="BA970">
        <v>1</v>
      </c>
      <c r="BB970" t="str">
        <f t="shared" ref="BB970:BB1033" si="47">"N959MJ  "</f>
        <v xml:space="preserve">N959MJ  </v>
      </c>
      <c r="BC970">
        <v>1</v>
      </c>
      <c r="BE970">
        <v>0</v>
      </c>
      <c r="BF970">
        <v>0</v>
      </c>
      <c r="BG970">
        <v>0</v>
      </c>
      <c r="BH970">
        <v>9025</v>
      </c>
      <c r="BI970">
        <v>325</v>
      </c>
      <c r="BJ970">
        <v>1</v>
      </c>
      <c r="BK970">
        <v>1</v>
      </c>
      <c r="BL970">
        <v>1</v>
      </c>
      <c r="BM970">
        <v>0</v>
      </c>
      <c r="BP970">
        <v>0</v>
      </c>
      <c r="BQ970">
        <v>0</v>
      </c>
      <c r="BX970" t="str">
        <f>"14:06:30.766"</f>
        <v>14:06:30.766</v>
      </c>
      <c r="BY970" t="str">
        <f>"766262297"</f>
        <v>766262297</v>
      </c>
      <c r="CL970">
        <v>0</v>
      </c>
      <c r="CM970">
        <v>2</v>
      </c>
      <c r="CN970">
        <v>0</v>
      </c>
      <c r="CO970">
        <v>2</v>
      </c>
      <c r="CP970">
        <v>0</v>
      </c>
      <c r="CQ970">
        <v>6</v>
      </c>
      <c r="CR970" t="s">
        <v>116</v>
      </c>
      <c r="CS970">
        <v>525</v>
      </c>
      <c r="CT970">
        <v>1</v>
      </c>
      <c r="CU970" t="s">
        <v>140</v>
      </c>
      <c r="CV970" t="s">
        <v>141</v>
      </c>
      <c r="CY970">
        <v>8564861</v>
      </c>
      <c r="CZ970" t="s">
        <v>119</v>
      </c>
    </row>
    <row r="971" spans="1:104" x14ac:dyDescent="0.25">
      <c r="A971" t="str">
        <f>"14:06:31.844"</f>
        <v>14:06:31.844</v>
      </c>
      <c r="B971" t="s">
        <v>108</v>
      </c>
      <c r="C971" t="str">
        <f t="shared" si="46"/>
        <v>ffdfd3c0</v>
      </c>
      <c r="D971" t="s">
        <v>109</v>
      </c>
      <c r="E971">
        <v>4</v>
      </c>
      <c r="F971">
        <v>1004</v>
      </c>
      <c r="G971" t="s">
        <v>110</v>
      </c>
      <c r="J971" t="s">
        <v>111</v>
      </c>
      <c r="K971">
        <v>0</v>
      </c>
      <c r="L971">
        <v>3</v>
      </c>
      <c r="M971">
        <v>0</v>
      </c>
      <c r="N971">
        <v>2</v>
      </c>
      <c r="O971">
        <v>1</v>
      </c>
      <c r="P971">
        <v>0</v>
      </c>
      <c r="Q971">
        <v>0</v>
      </c>
      <c r="R971" t="s">
        <v>112</v>
      </c>
      <c r="S971" t="str">
        <f>"14:06:31.648"</f>
        <v>14:06:31.648</v>
      </c>
      <c r="T971" t="str">
        <f>"14:06:31.250"</f>
        <v>14:06:31.250</v>
      </c>
      <c r="U971" t="str">
        <f t="shared" si="45"/>
        <v>ad5732</v>
      </c>
      <c r="V971">
        <v>0</v>
      </c>
      <c r="W971">
        <v>0</v>
      </c>
      <c r="X971">
        <v>1</v>
      </c>
      <c r="Z971">
        <v>0</v>
      </c>
      <c r="AA971">
        <v>9</v>
      </c>
      <c r="AB971">
        <v>3</v>
      </c>
      <c r="AC971">
        <v>0</v>
      </c>
      <c r="AD971">
        <v>10</v>
      </c>
      <c r="AE971">
        <v>0</v>
      </c>
      <c r="AF971">
        <v>3</v>
      </c>
      <c r="AG971">
        <v>2</v>
      </c>
      <c r="AH971">
        <v>0</v>
      </c>
      <c r="AI971" t="s">
        <v>2039</v>
      </c>
      <c r="AJ971">
        <v>39.420104000000002</v>
      </c>
      <c r="AK971" t="s">
        <v>2040</v>
      </c>
      <c r="AL971">
        <v>-76.908137999999994</v>
      </c>
      <c r="AM971">
        <v>100</v>
      </c>
      <c r="AN971">
        <v>8700</v>
      </c>
      <c r="AO971" t="s">
        <v>115</v>
      </c>
      <c r="AP971">
        <v>170</v>
      </c>
      <c r="AQ971">
        <v>88</v>
      </c>
      <c r="AR971">
        <v>0</v>
      </c>
      <c r="AZ971">
        <v>3614</v>
      </c>
      <c r="BA971">
        <v>1</v>
      </c>
      <c r="BB971" t="str">
        <f t="shared" si="47"/>
        <v xml:space="preserve">N959MJ  </v>
      </c>
      <c r="BC971">
        <v>1</v>
      </c>
      <c r="BE971">
        <v>0</v>
      </c>
      <c r="BF971">
        <v>0</v>
      </c>
      <c r="BG971">
        <v>0</v>
      </c>
      <c r="BH971">
        <v>9025</v>
      </c>
      <c r="BI971">
        <v>325</v>
      </c>
      <c r="BJ971">
        <v>1</v>
      </c>
      <c r="BK971">
        <v>1</v>
      </c>
      <c r="BL971">
        <v>1</v>
      </c>
      <c r="BM971">
        <v>0</v>
      </c>
      <c r="BP971">
        <v>0</v>
      </c>
      <c r="BQ971">
        <v>0</v>
      </c>
      <c r="BX971" t="str">
        <f>"14:06:31.656"</f>
        <v>14:06:31.656</v>
      </c>
      <c r="BY971" t="str">
        <f>"652651446"</f>
        <v>652651446</v>
      </c>
      <c r="CL971">
        <v>0</v>
      </c>
      <c r="CM971">
        <v>2</v>
      </c>
      <c r="CN971">
        <v>0</v>
      </c>
      <c r="CO971">
        <v>2</v>
      </c>
      <c r="CP971">
        <v>0</v>
      </c>
      <c r="CQ971">
        <v>6</v>
      </c>
      <c r="CR971" t="s">
        <v>116</v>
      </c>
      <c r="CS971">
        <v>525</v>
      </c>
      <c r="CT971">
        <v>1</v>
      </c>
      <c r="CU971" t="s">
        <v>140</v>
      </c>
      <c r="CV971" t="s">
        <v>141</v>
      </c>
      <c r="CY971">
        <v>8566205</v>
      </c>
      <c r="CZ971" t="s">
        <v>119</v>
      </c>
    </row>
    <row r="972" spans="1:104" x14ac:dyDescent="0.25">
      <c r="A972" t="str">
        <f>"14:06:32.703"</f>
        <v>14:06:32.703</v>
      </c>
      <c r="B972" t="s">
        <v>108</v>
      </c>
      <c r="C972" t="str">
        <f t="shared" si="46"/>
        <v>ffdfd3c0</v>
      </c>
      <c r="D972" t="s">
        <v>109</v>
      </c>
      <c r="E972">
        <v>4</v>
      </c>
      <c r="F972">
        <v>1004</v>
      </c>
      <c r="G972" t="s">
        <v>110</v>
      </c>
      <c r="J972" t="s">
        <v>111</v>
      </c>
      <c r="K972">
        <v>0</v>
      </c>
      <c r="L972">
        <v>3</v>
      </c>
      <c r="M972">
        <v>0</v>
      </c>
      <c r="N972">
        <v>2</v>
      </c>
      <c r="O972">
        <v>1</v>
      </c>
      <c r="P972">
        <v>0</v>
      </c>
      <c r="Q972">
        <v>0</v>
      </c>
      <c r="R972" t="s">
        <v>112</v>
      </c>
      <c r="S972" t="str">
        <f>"14:06:32.516"</f>
        <v>14:06:32.516</v>
      </c>
      <c r="T972" t="str">
        <f>"14:06:32.117"</f>
        <v>14:06:32.117</v>
      </c>
      <c r="U972" t="str">
        <f t="shared" si="45"/>
        <v>ad5732</v>
      </c>
      <c r="V972">
        <v>0</v>
      </c>
      <c r="W972">
        <v>0</v>
      </c>
      <c r="X972">
        <v>1</v>
      </c>
      <c r="Z972">
        <v>0</v>
      </c>
      <c r="AA972">
        <v>9</v>
      </c>
      <c r="AB972">
        <v>3</v>
      </c>
      <c r="AC972">
        <v>0</v>
      </c>
      <c r="AD972">
        <v>10</v>
      </c>
      <c r="AE972">
        <v>0</v>
      </c>
      <c r="AF972">
        <v>3</v>
      </c>
      <c r="AG972">
        <v>2</v>
      </c>
      <c r="AH972">
        <v>0</v>
      </c>
      <c r="AI972" t="s">
        <v>2041</v>
      </c>
      <c r="AJ972">
        <v>39.420447000000003</v>
      </c>
      <c r="AK972" t="s">
        <v>2042</v>
      </c>
      <c r="AL972">
        <v>-76.907214999999994</v>
      </c>
      <c r="AM972">
        <v>100</v>
      </c>
      <c r="AN972">
        <v>8700</v>
      </c>
      <c r="AO972" t="s">
        <v>115</v>
      </c>
      <c r="AP972">
        <v>170</v>
      </c>
      <c r="AQ972">
        <v>88</v>
      </c>
      <c r="AR972">
        <v>0</v>
      </c>
      <c r="AZ972">
        <v>3614</v>
      </c>
      <c r="BA972">
        <v>1</v>
      </c>
      <c r="BB972" t="str">
        <f t="shared" si="47"/>
        <v xml:space="preserve">N959MJ  </v>
      </c>
      <c r="BC972">
        <v>1</v>
      </c>
      <c r="BE972">
        <v>0</v>
      </c>
      <c r="BF972">
        <v>0</v>
      </c>
      <c r="BG972">
        <v>0</v>
      </c>
      <c r="BH972">
        <v>9025</v>
      </c>
      <c r="BI972">
        <v>325</v>
      </c>
      <c r="BJ972">
        <v>1</v>
      </c>
      <c r="BK972">
        <v>1</v>
      </c>
      <c r="BL972">
        <v>1</v>
      </c>
      <c r="BM972">
        <v>0</v>
      </c>
      <c r="BP972">
        <v>0</v>
      </c>
      <c r="BQ972">
        <v>0</v>
      </c>
      <c r="BX972" t="str">
        <f>"14:06:32.516"</f>
        <v>14:06:32.516</v>
      </c>
      <c r="BY972" t="str">
        <f>"516102863"</f>
        <v>516102863</v>
      </c>
      <c r="CL972">
        <v>0</v>
      </c>
      <c r="CM972">
        <v>2</v>
      </c>
      <c r="CN972">
        <v>0</v>
      </c>
      <c r="CO972">
        <v>2</v>
      </c>
      <c r="CP972">
        <v>0</v>
      </c>
      <c r="CQ972">
        <v>6</v>
      </c>
      <c r="CR972" t="s">
        <v>116</v>
      </c>
      <c r="CS972">
        <v>525</v>
      </c>
      <c r="CT972">
        <v>1</v>
      </c>
      <c r="CU972" t="s">
        <v>140</v>
      </c>
      <c r="CV972" t="s">
        <v>141</v>
      </c>
      <c r="CY972">
        <v>8567547</v>
      </c>
      <c r="CZ972" t="s">
        <v>119</v>
      </c>
    </row>
    <row r="973" spans="1:104" x14ac:dyDescent="0.25">
      <c r="A973" t="str">
        <f>"14:06:33.563"</f>
        <v>14:06:33.563</v>
      </c>
      <c r="B973" t="s">
        <v>108</v>
      </c>
      <c r="C973" t="str">
        <f t="shared" si="46"/>
        <v>ffdfd3c0</v>
      </c>
      <c r="D973" t="s">
        <v>109</v>
      </c>
      <c r="E973">
        <v>4</v>
      </c>
      <c r="F973">
        <v>1004</v>
      </c>
      <c r="G973" t="s">
        <v>110</v>
      </c>
      <c r="J973" t="s">
        <v>111</v>
      </c>
      <c r="K973">
        <v>0</v>
      </c>
      <c r="L973">
        <v>3</v>
      </c>
      <c r="M973">
        <v>0</v>
      </c>
      <c r="N973">
        <v>2</v>
      </c>
      <c r="O973">
        <v>1</v>
      </c>
      <c r="P973">
        <v>0</v>
      </c>
      <c r="Q973">
        <v>0</v>
      </c>
      <c r="R973" t="s">
        <v>112</v>
      </c>
      <c r="S973" t="str">
        <f>"14:06:33.398"</f>
        <v>14:06:33.398</v>
      </c>
      <c r="T973" t="str">
        <f>"14:06:33.000"</f>
        <v>14:06:33.000</v>
      </c>
      <c r="U973" t="str">
        <f t="shared" si="45"/>
        <v>ad5732</v>
      </c>
      <c r="V973">
        <v>0</v>
      </c>
      <c r="W973">
        <v>0</v>
      </c>
      <c r="X973">
        <v>1</v>
      </c>
      <c r="Z973">
        <v>0</v>
      </c>
      <c r="AA973">
        <v>9</v>
      </c>
      <c r="AB973">
        <v>3</v>
      </c>
      <c r="AC973">
        <v>0</v>
      </c>
      <c r="AD973">
        <v>10</v>
      </c>
      <c r="AE973">
        <v>0</v>
      </c>
      <c r="AF973">
        <v>3</v>
      </c>
      <c r="AG973">
        <v>2</v>
      </c>
      <c r="AH973">
        <v>0</v>
      </c>
      <c r="AI973" t="s">
        <v>2043</v>
      </c>
      <c r="AJ973">
        <v>39.420855000000003</v>
      </c>
      <c r="AK973" t="s">
        <v>2044</v>
      </c>
      <c r="AL973">
        <v>-76.906313999999995</v>
      </c>
      <c r="AM973">
        <v>100</v>
      </c>
      <c r="AN973">
        <v>8700</v>
      </c>
      <c r="AO973" t="s">
        <v>115</v>
      </c>
      <c r="AP973">
        <v>170</v>
      </c>
      <c r="AQ973">
        <v>88</v>
      </c>
      <c r="AR973">
        <v>0</v>
      </c>
      <c r="AZ973">
        <v>3614</v>
      </c>
      <c r="BA973">
        <v>1</v>
      </c>
      <c r="BB973" t="str">
        <f t="shared" si="47"/>
        <v xml:space="preserve">N959MJ  </v>
      </c>
      <c r="BC973">
        <v>1</v>
      </c>
      <c r="BE973">
        <v>0</v>
      </c>
      <c r="BF973">
        <v>0</v>
      </c>
      <c r="BG973">
        <v>0</v>
      </c>
      <c r="BH973">
        <v>9025</v>
      </c>
      <c r="BI973">
        <v>325</v>
      </c>
      <c r="BJ973">
        <v>1</v>
      </c>
      <c r="BK973">
        <v>1</v>
      </c>
      <c r="BL973">
        <v>1</v>
      </c>
      <c r="BM973">
        <v>0</v>
      </c>
      <c r="BP973">
        <v>0</v>
      </c>
      <c r="BQ973">
        <v>0</v>
      </c>
      <c r="BX973" t="str">
        <f>"14:06:33.406"</f>
        <v>14:06:33.406</v>
      </c>
      <c r="BY973" t="str">
        <f>"404210670"</f>
        <v>404210670</v>
      </c>
      <c r="CL973">
        <v>0</v>
      </c>
      <c r="CM973">
        <v>2</v>
      </c>
      <c r="CN973">
        <v>0</v>
      </c>
      <c r="CO973">
        <v>2</v>
      </c>
      <c r="CP973">
        <v>0</v>
      </c>
      <c r="CQ973">
        <v>6</v>
      </c>
      <c r="CR973" t="s">
        <v>116</v>
      </c>
      <c r="CS973">
        <v>396</v>
      </c>
      <c r="CT973">
        <v>2</v>
      </c>
      <c r="CU973" t="s">
        <v>939</v>
      </c>
      <c r="CV973" t="s">
        <v>940</v>
      </c>
      <c r="CY973">
        <v>4438529</v>
      </c>
      <c r="CZ973" t="s">
        <v>119</v>
      </c>
    </row>
    <row r="974" spans="1:104" x14ac:dyDescent="0.25">
      <c r="A974" t="str">
        <f>"14:06:34.570"</f>
        <v>14:06:34.570</v>
      </c>
      <c r="B974" t="s">
        <v>108</v>
      </c>
      <c r="C974" t="str">
        <f t="shared" si="46"/>
        <v>ffdfd3c0</v>
      </c>
      <c r="D974" t="s">
        <v>109</v>
      </c>
      <c r="E974">
        <v>4</v>
      </c>
      <c r="F974">
        <v>1004</v>
      </c>
      <c r="G974" t="s">
        <v>110</v>
      </c>
      <c r="J974" t="s">
        <v>111</v>
      </c>
      <c r="K974">
        <v>0</v>
      </c>
      <c r="L974">
        <v>3</v>
      </c>
      <c r="M974">
        <v>0</v>
      </c>
      <c r="N974">
        <v>2</v>
      </c>
      <c r="O974">
        <v>1</v>
      </c>
      <c r="P974">
        <v>0</v>
      </c>
      <c r="Q974">
        <v>0</v>
      </c>
      <c r="R974" t="s">
        <v>112</v>
      </c>
      <c r="S974" t="str">
        <f>"14:06:34.398"</f>
        <v>14:06:34.398</v>
      </c>
      <c r="T974" t="str">
        <f>"14:06:34.000"</f>
        <v>14:06:34.000</v>
      </c>
      <c r="U974" t="str">
        <f t="shared" si="45"/>
        <v>ad5732</v>
      </c>
      <c r="V974">
        <v>0</v>
      </c>
      <c r="W974">
        <v>0</v>
      </c>
      <c r="X974">
        <v>1</v>
      </c>
      <c r="Z974">
        <v>0</v>
      </c>
      <c r="AA974">
        <v>9</v>
      </c>
      <c r="AB974">
        <v>3</v>
      </c>
      <c r="AC974">
        <v>0</v>
      </c>
      <c r="AD974">
        <v>10</v>
      </c>
      <c r="AE974">
        <v>0</v>
      </c>
      <c r="AF974">
        <v>3</v>
      </c>
      <c r="AG974">
        <v>2</v>
      </c>
      <c r="AH974">
        <v>0</v>
      </c>
      <c r="AI974" t="s">
        <v>2045</v>
      </c>
      <c r="AJ974">
        <v>39.421219999999998</v>
      </c>
      <c r="AK974" t="s">
        <v>2046</v>
      </c>
      <c r="AL974">
        <v>-76.905327</v>
      </c>
      <c r="AM974">
        <v>100</v>
      </c>
      <c r="AN974">
        <v>8700</v>
      </c>
      <c r="AO974" t="s">
        <v>115</v>
      </c>
      <c r="AP974">
        <v>169</v>
      </c>
      <c r="AQ974">
        <v>89</v>
      </c>
      <c r="AR974">
        <v>0</v>
      </c>
      <c r="AZ974">
        <v>3614</v>
      </c>
      <c r="BA974">
        <v>1</v>
      </c>
      <c r="BB974" t="str">
        <f t="shared" si="47"/>
        <v xml:space="preserve">N959MJ  </v>
      </c>
      <c r="BC974">
        <v>1</v>
      </c>
      <c r="BE974">
        <v>0</v>
      </c>
      <c r="BF974">
        <v>0</v>
      </c>
      <c r="BG974">
        <v>0</v>
      </c>
      <c r="BH974">
        <v>9025</v>
      </c>
      <c r="BI974">
        <v>325</v>
      </c>
      <c r="BJ974">
        <v>1</v>
      </c>
      <c r="BK974">
        <v>1</v>
      </c>
      <c r="BL974">
        <v>1</v>
      </c>
      <c r="BM974">
        <v>0</v>
      </c>
      <c r="BP974">
        <v>0</v>
      </c>
      <c r="BQ974">
        <v>0</v>
      </c>
      <c r="BX974" t="str">
        <f>"14:06:34.398"</f>
        <v>14:06:34.398</v>
      </c>
      <c r="BY974" t="str">
        <f>"398655740"</f>
        <v>398655740</v>
      </c>
      <c r="CL974">
        <v>0</v>
      </c>
      <c r="CM974">
        <v>2</v>
      </c>
      <c r="CN974">
        <v>0</v>
      </c>
      <c r="CO974">
        <v>2</v>
      </c>
      <c r="CP974">
        <v>0</v>
      </c>
      <c r="CQ974">
        <v>6</v>
      </c>
      <c r="CR974" t="s">
        <v>116</v>
      </c>
      <c r="CS974">
        <v>525</v>
      </c>
      <c r="CT974">
        <v>1</v>
      </c>
      <c r="CU974" t="s">
        <v>140</v>
      </c>
      <c r="CV974" t="s">
        <v>141</v>
      </c>
      <c r="CY974">
        <v>8570324</v>
      </c>
      <c r="CZ974" t="s">
        <v>119</v>
      </c>
    </row>
    <row r="975" spans="1:104" x14ac:dyDescent="0.25">
      <c r="A975" t="str">
        <f>"14:06:35.586"</f>
        <v>14:06:35.586</v>
      </c>
      <c r="B975" t="s">
        <v>108</v>
      </c>
      <c r="C975" t="str">
        <f t="shared" si="46"/>
        <v>ffdfd3c0</v>
      </c>
      <c r="D975" t="s">
        <v>109</v>
      </c>
      <c r="E975">
        <v>4</v>
      </c>
      <c r="F975">
        <v>1004</v>
      </c>
      <c r="G975" t="s">
        <v>110</v>
      </c>
      <c r="J975" t="s">
        <v>111</v>
      </c>
      <c r="K975">
        <v>0</v>
      </c>
      <c r="L975">
        <v>3</v>
      </c>
      <c r="M975">
        <v>0</v>
      </c>
      <c r="N975">
        <v>2</v>
      </c>
      <c r="O975">
        <v>1</v>
      </c>
      <c r="P975">
        <v>0</v>
      </c>
      <c r="Q975">
        <v>0</v>
      </c>
      <c r="R975" t="s">
        <v>112</v>
      </c>
      <c r="S975" t="str">
        <f>"14:06:35.422"</f>
        <v>14:06:35.422</v>
      </c>
      <c r="T975" t="str">
        <f>"14:06:35.023"</f>
        <v>14:06:35.023</v>
      </c>
      <c r="U975" t="str">
        <f t="shared" si="45"/>
        <v>ad5732</v>
      </c>
      <c r="V975">
        <v>0</v>
      </c>
      <c r="W975">
        <v>0</v>
      </c>
      <c r="X975">
        <v>1</v>
      </c>
      <c r="Z975">
        <v>0</v>
      </c>
      <c r="AA975">
        <v>9</v>
      </c>
      <c r="AB975">
        <v>3</v>
      </c>
      <c r="AC975">
        <v>0</v>
      </c>
      <c r="AD975">
        <v>10</v>
      </c>
      <c r="AE975">
        <v>0</v>
      </c>
      <c r="AF975">
        <v>3</v>
      </c>
      <c r="AG975">
        <v>2</v>
      </c>
      <c r="AH975">
        <v>0</v>
      </c>
      <c r="AI975" t="s">
        <v>2047</v>
      </c>
      <c r="AJ975">
        <v>39.421649000000002</v>
      </c>
      <c r="AK975" t="s">
        <v>2048</v>
      </c>
      <c r="AL975">
        <v>-76.904297</v>
      </c>
      <c r="AM975">
        <v>100</v>
      </c>
      <c r="AN975">
        <v>8700</v>
      </c>
      <c r="AO975" t="s">
        <v>115</v>
      </c>
      <c r="AP975">
        <v>169</v>
      </c>
      <c r="AQ975">
        <v>89</v>
      </c>
      <c r="AR975">
        <v>0</v>
      </c>
      <c r="AZ975">
        <v>3614</v>
      </c>
      <c r="BA975">
        <v>1</v>
      </c>
      <c r="BB975" t="str">
        <f t="shared" si="47"/>
        <v xml:space="preserve">N959MJ  </v>
      </c>
      <c r="BC975">
        <v>1</v>
      </c>
      <c r="BE975">
        <v>0</v>
      </c>
      <c r="BF975">
        <v>0</v>
      </c>
      <c r="BG975">
        <v>0</v>
      </c>
      <c r="BH975">
        <v>9025</v>
      </c>
      <c r="BI975">
        <v>325</v>
      </c>
      <c r="BJ975">
        <v>1</v>
      </c>
      <c r="BK975">
        <v>1</v>
      </c>
      <c r="BL975">
        <v>1</v>
      </c>
      <c r="BM975">
        <v>0</v>
      </c>
      <c r="BP975">
        <v>0</v>
      </c>
      <c r="BQ975">
        <v>0</v>
      </c>
      <c r="BX975" t="str">
        <f>"14:06:35.430"</f>
        <v>14:06:35.430</v>
      </c>
      <c r="BY975" t="str">
        <f>"425949654"</f>
        <v>425949654</v>
      </c>
      <c r="CL975">
        <v>0</v>
      </c>
      <c r="CM975">
        <v>2</v>
      </c>
      <c r="CN975">
        <v>0</v>
      </c>
      <c r="CO975">
        <v>2</v>
      </c>
      <c r="CP975">
        <v>0</v>
      </c>
      <c r="CQ975">
        <v>6</v>
      </c>
      <c r="CR975" t="s">
        <v>116</v>
      </c>
      <c r="CS975">
        <v>525</v>
      </c>
      <c r="CT975">
        <v>1</v>
      </c>
      <c r="CU975" t="s">
        <v>140</v>
      </c>
      <c r="CV975" t="s">
        <v>141</v>
      </c>
      <c r="CY975">
        <v>8571829</v>
      </c>
      <c r="CZ975" t="s">
        <v>119</v>
      </c>
    </row>
    <row r="976" spans="1:104" x14ac:dyDescent="0.25">
      <c r="A976" t="str">
        <f>"14:06:36.539"</f>
        <v>14:06:36.539</v>
      </c>
      <c r="B976" t="s">
        <v>108</v>
      </c>
      <c r="C976" t="str">
        <f t="shared" si="46"/>
        <v>ffdfd3c0</v>
      </c>
      <c r="D976" t="s">
        <v>109</v>
      </c>
      <c r="E976">
        <v>4</v>
      </c>
      <c r="F976">
        <v>1004</v>
      </c>
      <c r="G976" t="s">
        <v>110</v>
      </c>
      <c r="J976" t="s">
        <v>111</v>
      </c>
      <c r="K976">
        <v>0</v>
      </c>
      <c r="L976">
        <v>3</v>
      </c>
      <c r="M976">
        <v>0</v>
      </c>
      <c r="N976">
        <v>2</v>
      </c>
      <c r="O976">
        <v>1</v>
      </c>
      <c r="P976">
        <v>0</v>
      </c>
      <c r="Q976">
        <v>0</v>
      </c>
      <c r="R976" t="s">
        <v>112</v>
      </c>
      <c r="S976" t="str">
        <f>"14:06:36.367"</f>
        <v>14:06:36.367</v>
      </c>
      <c r="T976" t="str">
        <f>"14:06:35.969"</f>
        <v>14:06:35.969</v>
      </c>
      <c r="U976" t="str">
        <f t="shared" si="45"/>
        <v>ad5732</v>
      </c>
      <c r="V976">
        <v>0</v>
      </c>
      <c r="W976">
        <v>0</v>
      </c>
      <c r="X976">
        <v>1</v>
      </c>
      <c r="Z976">
        <v>0</v>
      </c>
      <c r="AA976">
        <v>9</v>
      </c>
      <c r="AB976">
        <v>3</v>
      </c>
      <c r="AC976">
        <v>0</v>
      </c>
      <c r="AD976">
        <v>10</v>
      </c>
      <c r="AE976">
        <v>0</v>
      </c>
      <c r="AF976">
        <v>3</v>
      </c>
      <c r="AG976">
        <v>2</v>
      </c>
      <c r="AH976">
        <v>0</v>
      </c>
      <c r="AI976" t="s">
        <v>2049</v>
      </c>
      <c r="AJ976">
        <v>39.422013999999997</v>
      </c>
      <c r="AK976" t="s">
        <v>2050</v>
      </c>
      <c r="AL976">
        <v>-76.903396000000001</v>
      </c>
      <c r="AM976">
        <v>100</v>
      </c>
      <c r="AN976">
        <v>8700</v>
      </c>
      <c r="AO976" t="s">
        <v>115</v>
      </c>
      <c r="AP976">
        <v>169</v>
      </c>
      <c r="AQ976">
        <v>89</v>
      </c>
      <c r="AR976">
        <v>0</v>
      </c>
      <c r="AZ976">
        <v>3614</v>
      </c>
      <c r="BA976">
        <v>1</v>
      </c>
      <c r="BB976" t="str">
        <f t="shared" si="47"/>
        <v xml:space="preserve">N959MJ  </v>
      </c>
      <c r="BC976">
        <v>1</v>
      </c>
      <c r="BE976">
        <v>0</v>
      </c>
      <c r="BF976">
        <v>0</v>
      </c>
      <c r="BG976">
        <v>0</v>
      </c>
      <c r="BH976">
        <v>9025</v>
      </c>
      <c r="BI976">
        <v>325</v>
      </c>
      <c r="BJ976">
        <v>1</v>
      </c>
      <c r="BK976">
        <v>1</v>
      </c>
      <c r="BL976">
        <v>1</v>
      </c>
      <c r="BM976">
        <v>0</v>
      </c>
      <c r="BP976">
        <v>0</v>
      </c>
      <c r="BQ976">
        <v>0</v>
      </c>
      <c r="BX976" t="str">
        <f>"14:06:36.375"</f>
        <v>14:06:36.375</v>
      </c>
      <c r="BY976" t="str">
        <f>"374603238"</f>
        <v>374603238</v>
      </c>
      <c r="CL976">
        <v>0</v>
      </c>
      <c r="CM976">
        <v>2</v>
      </c>
      <c r="CN976">
        <v>0</v>
      </c>
      <c r="CO976">
        <v>2</v>
      </c>
      <c r="CP976">
        <v>0</v>
      </c>
      <c r="CQ976">
        <v>6</v>
      </c>
      <c r="CR976" t="s">
        <v>116</v>
      </c>
      <c r="CS976">
        <v>147</v>
      </c>
      <c r="CT976">
        <v>0</v>
      </c>
      <c r="CU976" t="s">
        <v>117</v>
      </c>
      <c r="CV976" t="s">
        <v>118</v>
      </c>
      <c r="CY976">
        <v>5474287</v>
      </c>
      <c r="CZ976" t="s">
        <v>119</v>
      </c>
    </row>
    <row r="977" spans="1:104" x14ac:dyDescent="0.25">
      <c r="A977" t="str">
        <f>"14:06:37.500"</f>
        <v>14:06:37.500</v>
      </c>
      <c r="B977" t="s">
        <v>108</v>
      </c>
      <c r="C977" t="str">
        <f t="shared" si="46"/>
        <v>ffdfd3c0</v>
      </c>
      <c r="D977" t="s">
        <v>109</v>
      </c>
      <c r="E977">
        <v>4</v>
      </c>
      <c r="F977">
        <v>1004</v>
      </c>
      <c r="G977" t="s">
        <v>110</v>
      </c>
      <c r="J977" t="s">
        <v>111</v>
      </c>
      <c r="K977">
        <v>0</v>
      </c>
      <c r="L977">
        <v>3</v>
      </c>
      <c r="M977">
        <v>0</v>
      </c>
      <c r="N977">
        <v>2</v>
      </c>
      <c r="O977">
        <v>1</v>
      </c>
      <c r="P977">
        <v>0</v>
      </c>
      <c r="Q977">
        <v>0</v>
      </c>
      <c r="R977" t="s">
        <v>112</v>
      </c>
      <c r="S977" t="str">
        <f>"14:06:37.289"</f>
        <v>14:06:37.289</v>
      </c>
      <c r="T977" t="str">
        <f>"14:06:36.891"</f>
        <v>14:06:36.891</v>
      </c>
      <c r="U977" t="str">
        <f t="shared" si="45"/>
        <v>ad5732</v>
      </c>
      <c r="V977">
        <v>0</v>
      </c>
      <c r="W977">
        <v>0</v>
      </c>
      <c r="X977">
        <v>1</v>
      </c>
      <c r="Z977">
        <v>0</v>
      </c>
      <c r="AA977">
        <v>9</v>
      </c>
      <c r="AB977">
        <v>3</v>
      </c>
      <c r="AC977">
        <v>0</v>
      </c>
      <c r="AD977">
        <v>10</v>
      </c>
      <c r="AE977">
        <v>0</v>
      </c>
      <c r="AF977">
        <v>3</v>
      </c>
      <c r="AG977">
        <v>2</v>
      </c>
      <c r="AH977">
        <v>0</v>
      </c>
      <c r="AI977" t="s">
        <v>2051</v>
      </c>
      <c r="AJ977">
        <v>39.422421</v>
      </c>
      <c r="AK977" t="s">
        <v>2052</v>
      </c>
      <c r="AL977">
        <v>-76.902387000000004</v>
      </c>
      <c r="AM977">
        <v>100</v>
      </c>
      <c r="AN977">
        <v>8700</v>
      </c>
      <c r="AO977" t="s">
        <v>115</v>
      </c>
      <c r="AP977">
        <v>169</v>
      </c>
      <c r="AQ977">
        <v>90</v>
      </c>
      <c r="AR977">
        <v>0</v>
      </c>
      <c r="AZ977">
        <v>3614</v>
      </c>
      <c r="BA977">
        <v>1</v>
      </c>
      <c r="BB977" t="str">
        <f t="shared" si="47"/>
        <v xml:space="preserve">N959MJ  </v>
      </c>
      <c r="BC977">
        <v>1</v>
      </c>
      <c r="BE977">
        <v>0</v>
      </c>
      <c r="BF977">
        <v>0</v>
      </c>
      <c r="BG977">
        <v>0</v>
      </c>
      <c r="BH977">
        <v>9025</v>
      </c>
      <c r="BI977">
        <v>325</v>
      </c>
      <c r="BJ977">
        <v>1</v>
      </c>
      <c r="BK977">
        <v>1</v>
      </c>
      <c r="BL977">
        <v>1</v>
      </c>
      <c r="BM977">
        <v>0</v>
      </c>
      <c r="BP977">
        <v>0</v>
      </c>
      <c r="BQ977">
        <v>0</v>
      </c>
      <c r="BX977" t="str">
        <f>"14:06:37.297"</f>
        <v>14:06:37.297</v>
      </c>
      <c r="BY977" t="str">
        <f>"293756844"</f>
        <v>293756844</v>
      </c>
      <c r="CL977">
        <v>0</v>
      </c>
      <c r="CM977">
        <v>2</v>
      </c>
      <c r="CN977">
        <v>0</v>
      </c>
      <c r="CO977">
        <v>2</v>
      </c>
      <c r="CP977">
        <v>0</v>
      </c>
      <c r="CQ977">
        <v>6</v>
      </c>
      <c r="CR977" t="s">
        <v>116</v>
      </c>
      <c r="CS977">
        <v>525</v>
      </c>
      <c r="CT977">
        <v>1</v>
      </c>
      <c r="CU977" t="s">
        <v>140</v>
      </c>
      <c r="CV977" t="s">
        <v>141</v>
      </c>
      <c r="CY977">
        <v>8574713</v>
      </c>
      <c r="CZ977" t="s">
        <v>119</v>
      </c>
    </row>
    <row r="978" spans="1:104" x14ac:dyDescent="0.25">
      <c r="A978" t="str">
        <f>"14:06:38.508"</f>
        <v>14:06:38.508</v>
      </c>
      <c r="B978" t="s">
        <v>108</v>
      </c>
      <c r="C978" t="str">
        <f t="shared" si="46"/>
        <v>ffdfd3c0</v>
      </c>
      <c r="D978" t="s">
        <v>109</v>
      </c>
      <c r="E978">
        <v>4</v>
      </c>
      <c r="F978">
        <v>1004</v>
      </c>
      <c r="G978" t="s">
        <v>110</v>
      </c>
      <c r="J978" t="s">
        <v>111</v>
      </c>
      <c r="K978">
        <v>0</v>
      </c>
      <c r="L978">
        <v>3</v>
      </c>
      <c r="M978">
        <v>0</v>
      </c>
      <c r="N978">
        <v>2</v>
      </c>
      <c r="O978">
        <v>1</v>
      </c>
      <c r="P978">
        <v>0</v>
      </c>
      <c r="Q978">
        <v>0</v>
      </c>
      <c r="R978" t="s">
        <v>112</v>
      </c>
      <c r="S978" t="str">
        <f>"14:06:38.359"</f>
        <v>14:06:38.359</v>
      </c>
      <c r="T978" t="str">
        <f>"14:06:37.961"</f>
        <v>14:06:37.961</v>
      </c>
      <c r="U978" t="str">
        <f t="shared" si="45"/>
        <v>ad5732</v>
      </c>
      <c r="V978">
        <v>0</v>
      </c>
      <c r="W978">
        <v>0</v>
      </c>
      <c r="X978">
        <v>1</v>
      </c>
      <c r="Z978">
        <v>0</v>
      </c>
      <c r="AA978">
        <v>9</v>
      </c>
      <c r="AB978">
        <v>3</v>
      </c>
      <c r="AC978">
        <v>0</v>
      </c>
      <c r="AD978">
        <v>10</v>
      </c>
      <c r="AE978">
        <v>0</v>
      </c>
      <c r="AF978">
        <v>3</v>
      </c>
      <c r="AG978">
        <v>2</v>
      </c>
      <c r="AH978">
        <v>0</v>
      </c>
      <c r="AI978" t="s">
        <v>2053</v>
      </c>
      <c r="AJ978">
        <v>39.422871999999998</v>
      </c>
      <c r="AK978" t="s">
        <v>2054</v>
      </c>
      <c r="AL978">
        <v>-76.901379000000006</v>
      </c>
      <c r="AM978">
        <v>100</v>
      </c>
      <c r="AN978">
        <v>8700</v>
      </c>
      <c r="AO978" t="s">
        <v>115</v>
      </c>
      <c r="AP978">
        <v>169</v>
      </c>
      <c r="AQ978">
        <v>90</v>
      </c>
      <c r="AR978">
        <v>-64</v>
      </c>
      <c r="AZ978">
        <v>3614</v>
      </c>
      <c r="BA978">
        <v>1</v>
      </c>
      <c r="BB978" t="str">
        <f t="shared" si="47"/>
        <v xml:space="preserve">N959MJ  </v>
      </c>
      <c r="BC978">
        <v>1</v>
      </c>
      <c r="BE978">
        <v>0</v>
      </c>
      <c r="BF978">
        <v>0</v>
      </c>
      <c r="BG978">
        <v>0</v>
      </c>
      <c r="BH978">
        <v>9025</v>
      </c>
      <c r="BI978">
        <v>325</v>
      </c>
      <c r="BJ978">
        <v>1</v>
      </c>
      <c r="BK978">
        <v>1</v>
      </c>
      <c r="BL978">
        <v>1</v>
      </c>
      <c r="BM978">
        <v>0</v>
      </c>
      <c r="BP978">
        <v>0</v>
      </c>
      <c r="BQ978">
        <v>0</v>
      </c>
      <c r="BX978" t="str">
        <f>"14:06:38.359"</f>
        <v>14:06:38.359</v>
      </c>
      <c r="BY978" t="str">
        <f>"360373056"</f>
        <v>360373056</v>
      </c>
      <c r="CL978">
        <v>0</v>
      </c>
      <c r="CM978">
        <v>2</v>
      </c>
      <c r="CN978">
        <v>0</v>
      </c>
      <c r="CO978">
        <v>2</v>
      </c>
      <c r="CP978">
        <v>0</v>
      </c>
      <c r="CQ978">
        <v>7</v>
      </c>
      <c r="CR978" t="s">
        <v>116</v>
      </c>
      <c r="CS978">
        <v>525</v>
      </c>
      <c r="CT978">
        <v>1</v>
      </c>
      <c r="CU978" t="s">
        <v>140</v>
      </c>
      <c r="CV978" t="s">
        <v>141</v>
      </c>
      <c r="CY978">
        <v>8576324</v>
      </c>
      <c r="CZ978" t="s">
        <v>119</v>
      </c>
    </row>
    <row r="979" spans="1:104" x14ac:dyDescent="0.25">
      <c r="A979" t="str">
        <f>"14:06:39.367"</f>
        <v>14:06:39.367</v>
      </c>
      <c r="B979" t="s">
        <v>108</v>
      </c>
      <c r="C979" t="str">
        <f t="shared" si="46"/>
        <v>ffdfd3c0</v>
      </c>
      <c r="D979" t="s">
        <v>109</v>
      </c>
      <c r="E979">
        <v>4</v>
      </c>
      <c r="F979">
        <v>1004</v>
      </c>
      <c r="G979" t="s">
        <v>110</v>
      </c>
      <c r="J979" t="s">
        <v>111</v>
      </c>
      <c r="K979">
        <v>0</v>
      </c>
      <c r="L979">
        <v>3</v>
      </c>
      <c r="M979">
        <v>0</v>
      </c>
      <c r="N979">
        <v>2</v>
      </c>
      <c r="O979">
        <v>1</v>
      </c>
      <c r="P979">
        <v>0</v>
      </c>
      <c r="Q979">
        <v>0</v>
      </c>
      <c r="R979" t="s">
        <v>112</v>
      </c>
      <c r="S979" t="str">
        <f>"14:06:39.195"</f>
        <v>14:06:39.195</v>
      </c>
      <c r="T979" t="str">
        <f>"14:06:38.797"</f>
        <v>14:06:38.797</v>
      </c>
      <c r="U979" t="str">
        <f t="shared" si="45"/>
        <v>ad5732</v>
      </c>
      <c r="V979">
        <v>0</v>
      </c>
      <c r="W979">
        <v>0</v>
      </c>
      <c r="X979">
        <v>1</v>
      </c>
      <c r="Z979">
        <v>0</v>
      </c>
      <c r="AA979">
        <v>9</v>
      </c>
      <c r="AB979">
        <v>3</v>
      </c>
      <c r="AC979">
        <v>0</v>
      </c>
      <c r="AD979">
        <v>10</v>
      </c>
      <c r="AE979">
        <v>0</v>
      </c>
      <c r="AF979">
        <v>3</v>
      </c>
      <c r="AG979">
        <v>2</v>
      </c>
      <c r="AH979">
        <v>0</v>
      </c>
      <c r="AI979" t="s">
        <v>2055</v>
      </c>
      <c r="AJ979">
        <v>39.423237</v>
      </c>
      <c r="AK979" t="s">
        <v>2056</v>
      </c>
      <c r="AL979">
        <v>-76.900456000000005</v>
      </c>
      <c r="AM979">
        <v>100</v>
      </c>
      <c r="AN979">
        <v>8700</v>
      </c>
      <c r="AO979" t="s">
        <v>115</v>
      </c>
      <c r="AP979">
        <v>169</v>
      </c>
      <c r="AQ979">
        <v>90</v>
      </c>
      <c r="AR979">
        <v>-64</v>
      </c>
      <c r="AZ979">
        <v>3614</v>
      </c>
      <c r="BA979">
        <v>1</v>
      </c>
      <c r="BB979" t="str">
        <f t="shared" si="47"/>
        <v xml:space="preserve">N959MJ  </v>
      </c>
      <c r="BC979">
        <v>1</v>
      </c>
      <c r="BE979">
        <v>0</v>
      </c>
      <c r="BF979">
        <v>0</v>
      </c>
      <c r="BG979">
        <v>0</v>
      </c>
      <c r="BH979">
        <v>9025</v>
      </c>
      <c r="BI979">
        <v>325</v>
      </c>
      <c r="BJ979">
        <v>1</v>
      </c>
      <c r="BK979">
        <v>1</v>
      </c>
      <c r="BL979">
        <v>1</v>
      </c>
      <c r="BM979">
        <v>0</v>
      </c>
      <c r="BP979">
        <v>0</v>
      </c>
      <c r="BQ979">
        <v>0</v>
      </c>
      <c r="BX979" t="str">
        <f>"14:06:39.195"</f>
        <v>14:06:39.195</v>
      </c>
      <c r="BY979" t="str">
        <f>"197609443"</f>
        <v>197609443</v>
      </c>
      <c r="CL979">
        <v>0</v>
      </c>
      <c r="CM979">
        <v>2</v>
      </c>
      <c r="CN979">
        <v>0</v>
      </c>
      <c r="CO979">
        <v>2</v>
      </c>
      <c r="CP979">
        <v>0</v>
      </c>
      <c r="CQ979">
        <v>7</v>
      </c>
      <c r="CR979" t="s">
        <v>116</v>
      </c>
      <c r="CS979">
        <v>525</v>
      </c>
      <c r="CT979">
        <v>1</v>
      </c>
      <c r="CU979" t="s">
        <v>140</v>
      </c>
      <c r="CV979" t="s">
        <v>141</v>
      </c>
      <c r="CY979">
        <v>8577600</v>
      </c>
      <c r="CZ979" t="s">
        <v>119</v>
      </c>
    </row>
    <row r="980" spans="1:104" x14ac:dyDescent="0.25">
      <c r="A980" t="str">
        <f>"14:06:40.227"</f>
        <v>14:06:40.227</v>
      </c>
      <c r="B980" t="s">
        <v>108</v>
      </c>
      <c r="C980" t="str">
        <f t="shared" si="46"/>
        <v>ffdfd3c0</v>
      </c>
      <c r="D980" t="s">
        <v>109</v>
      </c>
      <c r="E980">
        <v>4</v>
      </c>
      <c r="F980">
        <v>1004</v>
      </c>
      <c r="G980" t="s">
        <v>110</v>
      </c>
      <c r="J980" t="s">
        <v>111</v>
      </c>
      <c r="K980">
        <v>0</v>
      </c>
      <c r="L980">
        <v>3</v>
      </c>
      <c r="M980">
        <v>0</v>
      </c>
      <c r="N980">
        <v>2</v>
      </c>
      <c r="O980">
        <v>1</v>
      </c>
      <c r="P980">
        <v>0</v>
      </c>
      <c r="Q980">
        <v>0</v>
      </c>
      <c r="R980" t="s">
        <v>112</v>
      </c>
      <c r="S980" t="str">
        <f>"14:06:40.039"</f>
        <v>14:06:40.039</v>
      </c>
      <c r="T980" t="str">
        <f>"14:06:39.641"</f>
        <v>14:06:39.641</v>
      </c>
      <c r="U980" t="str">
        <f t="shared" si="45"/>
        <v>ad5732</v>
      </c>
      <c r="V980">
        <v>0</v>
      </c>
      <c r="W980">
        <v>0</v>
      </c>
      <c r="X980">
        <v>1</v>
      </c>
      <c r="Z980">
        <v>0</v>
      </c>
      <c r="AA980">
        <v>9</v>
      </c>
      <c r="AB980">
        <v>3</v>
      </c>
      <c r="AC980">
        <v>0</v>
      </c>
      <c r="AD980">
        <v>10</v>
      </c>
      <c r="AE980">
        <v>0</v>
      </c>
      <c r="AF980">
        <v>3</v>
      </c>
      <c r="AG980">
        <v>2</v>
      </c>
      <c r="AH980">
        <v>0</v>
      </c>
      <c r="AI980" t="s">
        <v>2057</v>
      </c>
      <c r="AJ980">
        <v>39.423558999999997</v>
      </c>
      <c r="AK980" t="s">
        <v>2058</v>
      </c>
      <c r="AL980">
        <v>-76.899662000000006</v>
      </c>
      <c r="AM980">
        <v>100</v>
      </c>
      <c r="AN980">
        <v>8700</v>
      </c>
      <c r="AO980" t="s">
        <v>115</v>
      </c>
      <c r="AP980">
        <v>169</v>
      </c>
      <c r="AQ980">
        <v>90</v>
      </c>
      <c r="AR980">
        <v>-64</v>
      </c>
      <c r="AZ980">
        <v>3614</v>
      </c>
      <c r="BA980">
        <v>1</v>
      </c>
      <c r="BB980" t="str">
        <f t="shared" si="47"/>
        <v xml:space="preserve">N959MJ  </v>
      </c>
      <c r="BC980">
        <v>1</v>
      </c>
      <c r="BE980">
        <v>0</v>
      </c>
      <c r="BF980">
        <v>0</v>
      </c>
      <c r="BG980">
        <v>0</v>
      </c>
      <c r="BH980">
        <v>9025</v>
      </c>
      <c r="BI980">
        <v>325</v>
      </c>
      <c r="BJ980">
        <v>1</v>
      </c>
      <c r="BK980">
        <v>1</v>
      </c>
      <c r="BL980">
        <v>1</v>
      </c>
      <c r="BM980">
        <v>0</v>
      </c>
      <c r="BP980">
        <v>0</v>
      </c>
      <c r="BQ980">
        <v>0</v>
      </c>
      <c r="BX980" t="str">
        <f>"14:06:40.039"</f>
        <v>14:06:40.039</v>
      </c>
      <c r="BY980" t="str">
        <f>"039837798"</f>
        <v>039837798</v>
      </c>
      <c r="CL980">
        <v>0</v>
      </c>
      <c r="CM980">
        <v>2</v>
      </c>
      <c r="CN980">
        <v>0</v>
      </c>
      <c r="CO980">
        <v>2</v>
      </c>
      <c r="CP980">
        <v>0</v>
      </c>
      <c r="CQ980">
        <v>6</v>
      </c>
      <c r="CR980" t="s">
        <v>116</v>
      </c>
      <c r="CS980">
        <v>396</v>
      </c>
      <c r="CT980">
        <v>2</v>
      </c>
      <c r="CU980" t="s">
        <v>939</v>
      </c>
      <c r="CV980" t="s">
        <v>940</v>
      </c>
      <c r="CY980">
        <v>4450484</v>
      </c>
      <c r="CZ980" t="s">
        <v>119</v>
      </c>
    </row>
    <row r="981" spans="1:104" x14ac:dyDescent="0.25">
      <c r="A981" t="str">
        <f>"14:06:41.336"</f>
        <v>14:06:41.336</v>
      </c>
      <c r="B981" t="s">
        <v>108</v>
      </c>
      <c r="C981" t="str">
        <f t="shared" si="46"/>
        <v>ffdfd3c0</v>
      </c>
      <c r="D981" t="s">
        <v>109</v>
      </c>
      <c r="E981">
        <v>4</v>
      </c>
      <c r="F981">
        <v>1004</v>
      </c>
      <c r="G981" t="s">
        <v>110</v>
      </c>
      <c r="J981" t="s">
        <v>111</v>
      </c>
      <c r="K981">
        <v>0</v>
      </c>
      <c r="L981">
        <v>3</v>
      </c>
      <c r="M981">
        <v>0</v>
      </c>
      <c r="N981">
        <v>2</v>
      </c>
      <c r="O981">
        <v>1</v>
      </c>
      <c r="P981">
        <v>0</v>
      </c>
      <c r="Q981">
        <v>0</v>
      </c>
      <c r="R981" t="s">
        <v>112</v>
      </c>
      <c r="S981" t="str">
        <f>"14:06:41.141"</f>
        <v>14:06:41.141</v>
      </c>
      <c r="T981" t="str">
        <f>"14:06:40.641"</f>
        <v>14:06:40.641</v>
      </c>
      <c r="U981" t="str">
        <f t="shared" si="45"/>
        <v>ad5732</v>
      </c>
      <c r="V981">
        <v>0</v>
      </c>
      <c r="W981">
        <v>0</v>
      </c>
      <c r="X981">
        <v>1</v>
      </c>
      <c r="Z981">
        <v>0</v>
      </c>
      <c r="AA981">
        <v>9</v>
      </c>
      <c r="AB981">
        <v>3</v>
      </c>
      <c r="AC981">
        <v>0</v>
      </c>
      <c r="AD981">
        <v>10</v>
      </c>
      <c r="AE981">
        <v>0</v>
      </c>
      <c r="AF981">
        <v>3</v>
      </c>
      <c r="AG981">
        <v>2</v>
      </c>
      <c r="AH981">
        <v>0</v>
      </c>
      <c r="AI981" t="s">
        <v>2059</v>
      </c>
      <c r="AJ981">
        <v>39.424030999999999</v>
      </c>
      <c r="AK981" t="s">
        <v>2060</v>
      </c>
      <c r="AL981">
        <v>-76.898567999999997</v>
      </c>
      <c r="AM981">
        <v>100</v>
      </c>
      <c r="AN981">
        <v>8700</v>
      </c>
      <c r="AO981" t="s">
        <v>115</v>
      </c>
      <c r="AP981">
        <v>169</v>
      </c>
      <c r="AQ981">
        <v>90</v>
      </c>
      <c r="AR981">
        <v>-64</v>
      </c>
      <c r="AZ981">
        <v>3614</v>
      </c>
      <c r="BA981">
        <v>1</v>
      </c>
      <c r="BB981" t="str">
        <f t="shared" si="47"/>
        <v xml:space="preserve">N959MJ  </v>
      </c>
      <c r="BC981">
        <v>1</v>
      </c>
      <c r="BE981">
        <v>0</v>
      </c>
      <c r="BF981">
        <v>0</v>
      </c>
      <c r="BG981">
        <v>0</v>
      </c>
      <c r="BH981">
        <v>9025</v>
      </c>
      <c r="BI981">
        <v>325</v>
      </c>
      <c r="BJ981">
        <v>1</v>
      </c>
      <c r="BK981">
        <v>1</v>
      </c>
      <c r="BL981">
        <v>1</v>
      </c>
      <c r="BM981">
        <v>0</v>
      </c>
      <c r="BP981">
        <v>0</v>
      </c>
      <c r="BQ981">
        <v>0</v>
      </c>
      <c r="BX981" t="str">
        <f>"14:06:41.148"</f>
        <v>14:06:41.148</v>
      </c>
      <c r="BY981" t="str">
        <f>"145699580"</f>
        <v>145699580</v>
      </c>
      <c r="CL981">
        <v>0</v>
      </c>
      <c r="CM981">
        <v>2</v>
      </c>
      <c r="CN981">
        <v>0</v>
      </c>
      <c r="CO981">
        <v>2</v>
      </c>
      <c r="CP981">
        <v>0</v>
      </c>
      <c r="CQ981">
        <v>7</v>
      </c>
      <c r="CR981" t="s">
        <v>116</v>
      </c>
      <c r="CS981">
        <v>525</v>
      </c>
      <c r="CT981">
        <v>1</v>
      </c>
      <c r="CU981" t="s">
        <v>140</v>
      </c>
      <c r="CV981" t="s">
        <v>141</v>
      </c>
      <c r="CY981">
        <v>8580506</v>
      </c>
      <c r="CZ981" t="s">
        <v>119</v>
      </c>
    </row>
    <row r="982" spans="1:104" x14ac:dyDescent="0.25">
      <c r="A982" t="str">
        <f>"14:06:42.492"</f>
        <v>14:06:42.492</v>
      </c>
      <c r="B982" t="s">
        <v>108</v>
      </c>
      <c r="C982" t="str">
        <f t="shared" si="46"/>
        <v>ffdfd3c0</v>
      </c>
      <c r="D982" t="s">
        <v>109</v>
      </c>
      <c r="E982">
        <v>4</v>
      </c>
      <c r="F982">
        <v>1004</v>
      </c>
      <c r="G982" t="s">
        <v>110</v>
      </c>
      <c r="J982" t="s">
        <v>111</v>
      </c>
      <c r="K982">
        <v>0</v>
      </c>
      <c r="L982">
        <v>3</v>
      </c>
      <c r="M982">
        <v>0</v>
      </c>
      <c r="N982">
        <v>2</v>
      </c>
      <c r="O982">
        <v>1</v>
      </c>
      <c r="P982">
        <v>0</v>
      </c>
      <c r="Q982">
        <v>0</v>
      </c>
      <c r="R982" t="s">
        <v>112</v>
      </c>
      <c r="S982" t="str">
        <f>"14:06:42.258"</f>
        <v>14:06:42.258</v>
      </c>
      <c r="T982" t="str">
        <f>"14:06:41.758"</f>
        <v>14:06:41.758</v>
      </c>
      <c r="U982" t="str">
        <f t="shared" si="45"/>
        <v>ad5732</v>
      </c>
      <c r="V982">
        <v>0</v>
      </c>
      <c r="W982">
        <v>0</v>
      </c>
      <c r="X982">
        <v>1</v>
      </c>
      <c r="Z982">
        <v>0</v>
      </c>
      <c r="AA982">
        <v>9</v>
      </c>
      <c r="AB982">
        <v>3</v>
      </c>
      <c r="AC982">
        <v>0</v>
      </c>
      <c r="AD982">
        <v>10</v>
      </c>
      <c r="AE982">
        <v>0</v>
      </c>
      <c r="AF982">
        <v>3</v>
      </c>
      <c r="AG982">
        <v>2</v>
      </c>
      <c r="AH982">
        <v>0</v>
      </c>
      <c r="AI982" t="s">
        <v>2061</v>
      </c>
      <c r="AJ982">
        <v>39.424481</v>
      </c>
      <c r="AK982" t="s">
        <v>2062</v>
      </c>
      <c r="AL982">
        <v>-76.897452000000001</v>
      </c>
      <c r="AM982">
        <v>100</v>
      </c>
      <c r="AN982">
        <v>8700</v>
      </c>
      <c r="AO982" t="s">
        <v>115</v>
      </c>
      <c r="AP982">
        <v>169</v>
      </c>
      <c r="AQ982">
        <v>91</v>
      </c>
      <c r="AR982">
        <v>-64</v>
      </c>
      <c r="AZ982">
        <v>3614</v>
      </c>
      <c r="BA982">
        <v>1</v>
      </c>
      <c r="BB982" t="str">
        <f t="shared" si="47"/>
        <v xml:space="preserve">N959MJ  </v>
      </c>
      <c r="BC982">
        <v>1</v>
      </c>
      <c r="BE982">
        <v>0</v>
      </c>
      <c r="BF982">
        <v>0</v>
      </c>
      <c r="BG982">
        <v>0</v>
      </c>
      <c r="BH982">
        <v>9025</v>
      </c>
      <c r="BI982">
        <v>325</v>
      </c>
      <c r="BJ982">
        <v>1</v>
      </c>
      <c r="BK982">
        <v>1</v>
      </c>
      <c r="BL982">
        <v>1</v>
      </c>
      <c r="BM982">
        <v>0</v>
      </c>
      <c r="BP982">
        <v>0</v>
      </c>
      <c r="BQ982">
        <v>0</v>
      </c>
      <c r="BX982" t="str">
        <f>"14:06:42.266"</f>
        <v>14:06:42.266</v>
      </c>
      <c r="BY982" t="str">
        <f>"263295408"</f>
        <v>263295408</v>
      </c>
      <c r="CL982">
        <v>0</v>
      </c>
      <c r="CM982">
        <v>2</v>
      </c>
      <c r="CN982">
        <v>0</v>
      </c>
      <c r="CO982">
        <v>2</v>
      </c>
      <c r="CP982">
        <v>0</v>
      </c>
      <c r="CQ982">
        <v>4</v>
      </c>
      <c r="CR982" t="s">
        <v>116</v>
      </c>
      <c r="CS982">
        <v>373</v>
      </c>
      <c r="CT982">
        <v>3</v>
      </c>
      <c r="CU982" t="s">
        <v>224</v>
      </c>
      <c r="CV982" t="s">
        <v>225</v>
      </c>
      <c r="CY982">
        <v>3106414</v>
      </c>
      <c r="CZ982" t="s">
        <v>119</v>
      </c>
    </row>
    <row r="983" spans="1:104" x14ac:dyDescent="0.25">
      <c r="A983" t="str">
        <f>"14:06:43.453"</f>
        <v>14:06:43.453</v>
      </c>
      <c r="B983" t="s">
        <v>108</v>
      </c>
      <c r="C983" t="str">
        <f t="shared" si="46"/>
        <v>ffdfd3c0</v>
      </c>
      <c r="D983" t="s">
        <v>109</v>
      </c>
      <c r="E983">
        <v>4</v>
      </c>
      <c r="F983">
        <v>1004</v>
      </c>
      <c r="G983" t="s">
        <v>110</v>
      </c>
      <c r="J983" t="s">
        <v>111</v>
      </c>
      <c r="K983">
        <v>0</v>
      </c>
      <c r="L983">
        <v>3</v>
      </c>
      <c r="M983">
        <v>0</v>
      </c>
      <c r="N983">
        <v>2</v>
      </c>
      <c r="O983">
        <v>1</v>
      </c>
      <c r="P983">
        <v>0</v>
      </c>
      <c r="Q983">
        <v>0</v>
      </c>
      <c r="R983" t="s">
        <v>112</v>
      </c>
      <c r="S983" t="str">
        <f>"14:06:43.281"</f>
        <v>14:06:43.281</v>
      </c>
      <c r="T983" t="str">
        <f>"14:06:42.781"</f>
        <v>14:06:42.781</v>
      </c>
      <c r="U983" t="str">
        <f t="shared" si="45"/>
        <v>ad5732</v>
      </c>
      <c r="V983">
        <v>0</v>
      </c>
      <c r="W983">
        <v>0</v>
      </c>
      <c r="X983">
        <v>1</v>
      </c>
      <c r="Z983">
        <v>0</v>
      </c>
      <c r="AA983">
        <v>9</v>
      </c>
      <c r="AB983">
        <v>3</v>
      </c>
      <c r="AC983">
        <v>0</v>
      </c>
      <c r="AD983">
        <v>10</v>
      </c>
      <c r="AE983">
        <v>0</v>
      </c>
      <c r="AF983">
        <v>3</v>
      </c>
      <c r="AG983">
        <v>2</v>
      </c>
      <c r="AH983">
        <v>0</v>
      </c>
      <c r="AI983" t="s">
        <v>2063</v>
      </c>
      <c r="AJ983">
        <v>39.424931999999998</v>
      </c>
      <c r="AK983" t="s">
        <v>2064</v>
      </c>
      <c r="AL983">
        <v>-76.896358000000006</v>
      </c>
      <c r="AM983">
        <v>100</v>
      </c>
      <c r="AN983">
        <v>8700</v>
      </c>
      <c r="AO983" t="s">
        <v>115</v>
      </c>
      <c r="AP983">
        <v>169</v>
      </c>
      <c r="AQ983">
        <v>91</v>
      </c>
      <c r="AR983">
        <v>-64</v>
      </c>
      <c r="AZ983">
        <v>3614</v>
      </c>
      <c r="BA983">
        <v>1</v>
      </c>
      <c r="BB983" t="str">
        <f t="shared" si="47"/>
        <v xml:space="preserve">N959MJ  </v>
      </c>
      <c r="BC983">
        <v>1</v>
      </c>
      <c r="BE983">
        <v>0</v>
      </c>
      <c r="BF983">
        <v>0</v>
      </c>
      <c r="BG983">
        <v>0</v>
      </c>
      <c r="BH983">
        <v>9025</v>
      </c>
      <c r="BI983">
        <v>325</v>
      </c>
      <c r="BJ983">
        <v>1</v>
      </c>
      <c r="BK983">
        <v>1</v>
      </c>
      <c r="BL983">
        <v>1</v>
      </c>
      <c r="BM983">
        <v>0</v>
      </c>
      <c r="BP983">
        <v>0</v>
      </c>
      <c r="BQ983">
        <v>0</v>
      </c>
      <c r="BX983" t="str">
        <f>"14:06:43.289"</f>
        <v>14:06:43.289</v>
      </c>
      <c r="BY983" t="str">
        <f>"288762626"</f>
        <v>288762626</v>
      </c>
      <c r="CL983">
        <v>0</v>
      </c>
      <c r="CM983">
        <v>2</v>
      </c>
      <c r="CN983">
        <v>0</v>
      </c>
      <c r="CO983">
        <v>2</v>
      </c>
      <c r="CP983">
        <v>0</v>
      </c>
      <c r="CQ983">
        <v>6</v>
      </c>
      <c r="CR983" t="s">
        <v>116</v>
      </c>
      <c r="CS983">
        <v>525</v>
      </c>
      <c r="CT983">
        <v>1</v>
      </c>
      <c r="CU983" t="s">
        <v>140</v>
      </c>
      <c r="CV983" t="s">
        <v>141</v>
      </c>
      <c r="CY983">
        <v>8583712</v>
      </c>
      <c r="CZ983" t="s">
        <v>119</v>
      </c>
    </row>
    <row r="984" spans="1:104" x14ac:dyDescent="0.25">
      <c r="A984" t="str">
        <f>"14:06:44.516"</f>
        <v>14:06:44.516</v>
      </c>
      <c r="B984" t="s">
        <v>108</v>
      </c>
      <c r="C984" t="str">
        <f t="shared" si="46"/>
        <v>ffdfd3c0</v>
      </c>
      <c r="D984" t="s">
        <v>109</v>
      </c>
      <c r="E984">
        <v>4</v>
      </c>
      <c r="F984">
        <v>1004</v>
      </c>
      <c r="G984" t="s">
        <v>110</v>
      </c>
      <c r="J984" t="s">
        <v>111</v>
      </c>
      <c r="K984">
        <v>0</v>
      </c>
      <c r="L984">
        <v>3</v>
      </c>
      <c r="M984">
        <v>0</v>
      </c>
      <c r="N984">
        <v>2</v>
      </c>
      <c r="O984">
        <v>1</v>
      </c>
      <c r="P984">
        <v>0</v>
      </c>
      <c r="Q984">
        <v>0</v>
      </c>
      <c r="R984" t="s">
        <v>112</v>
      </c>
      <c r="S984" t="str">
        <f>"14:06:44.344"</f>
        <v>14:06:44.344</v>
      </c>
      <c r="T984" t="str">
        <f>"14:06:43.844"</f>
        <v>14:06:43.844</v>
      </c>
      <c r="U984" t="str">
        <f t="shared" si="45"/>
        <v>ad5732</v>
      </c>
      <c r="V984">
        <v>0</v>
      </c>
      <c r="W984">
        <v>0</v>
      </c>
      <c r="X984">
        <v>1</v>
      </c>
      <c r="Z984">
        <v>0</v>
      </c>
      <c r="AA984">
        <v>9</v>
      </c>
      <c r="AB984">
        <v>3</v>
      </c>
      <c r="AC984">
        <v>0</v>
      </c>
      <c r="AD984">
        <v>10</v>
      </c>
      <c r="AE984">
        <v>0</v>
      </c>
      <c r="AF984">
        <v>3</v>
      </c>
      <c r="AG984">
        <v>2</v>
      </c>
      <c r="AH984">
        <v>0</v>
      </c>
      <c r="AI984" t="s">
        <v>2065</v>
      </c>
      <c r="AJ984">
        <v>39.425361000000002</v>
      </c>
      <c r="AK984" t="s">
        <v>2066</v>
      </c>
      <c r="AL984">
        <v>-76.895348999999996</v>
      </c>
      <c r="AM984">
        <v>100</v>
      </c>
      <c r="AN984">
        <v>8700</v>
      </c>
      <c r="AO984" t="s">
        <v>115</v>
      </c>
      <c r="AP984">
        <v>169</v>
      </c>
      <c r="AQ984">
        <v>91</v>
      </c>
      <c r="AR984">
        <v>-64</v>
      </c>
      <c r="AZ984">
        <v>3614</v>
      </c>
      <c r="BA984">
        <v>1</v>
      </c>
      <c r="BB984" t="str">
        <f t="shared" si="47"/>
        <v xml:space="preserve">N959MJ  </v>
      </c>
      <c r="BC984">
        <v>1</v>
      </c>
      <c r="BE984">
        <v>0</v>
      </c>
      <c r="BF984">
        <v>0</v>
      </c>
      <c r="BG984">
        <v>0</v>
      </c>
      <c r="BH984">
        <v>9025</v>
      </c>
      <c r="BI984">
        <v>325</v>
      </c>
      <c r="BJ984">
        <v>1</v>
      </c>
      <c r="BK984">
        <v>1</v>
      </c>
      <c r="BL984">
        <v>1</v>
      </c>
      <c r="BM984">
        <v>0</v>
      </c>
      <c r="BP984">
        <v>0</v>
      </c>
      <c r="BQ984">
        <v>0</v>
      </c>
      <c r="BX984" t="str">
        <f>"14:06:44.344"</f>
        <v>14:06:44.344</v>
      </c>
      <c r="BY984" t="str">
        <f>"345548226"</f>
        <v>345548226</v>
      </c>
      <c r="CL984">
        <v>0</v>
      </c>
      <c r="CM984">
        <v>2</v>
      </c>
      <c r="CN984">
        <v>0</v>
      </c>
      <c r="CO984">
        <v>2</v>
      </c>
      <c r="CP984">
        <v>0</v>
      </c>
      <c r="CQ984">
        <v>6</v>
      </c>
      <c r="CR984" t="s">
        <v>116</v>
      </c>
      <c r="CS984">
        <v>525</v>
      </c>
      <c r="CT984">
        <v>1</v>
      </c>
      <c r="CU984" t="s">
        <v>140</v>
      </c>
      <c r="CV984" t="s">
        <v>141</v>
      </c>
      <c r="CY984">
        <v>8585231</v>
      </c>
      <c r="CZ984" t="s">
        <v>119</v>
      </c>
    </row>
    <row r="985" spans="1:104" x14ac:dyDescent="0.25">
      <c r="A985" t="str">
        <f>"14:06:45.477"</f>
        <v>14:06:45.477</v>
      </c>
      <c r="B985" t="s">
        <v>108</v>
      </c>
      <c r="C985" t="str">
        <f t="shared" si="46"/>
        <v>ffdfd3c0</v>
      </c>
      <c r="D985" t="s">
        <v>109</v>
      </c>
      <c r="E985">
        <v>4</v>
      </c>
      <c r="F985">
        <v>1004</v>
      </c>
      <c r="G985" t="s">
        <v>110</v>
      </c>
      <c r="J985" t="s">
        <v>111</v>
      </c>
      <c r="K985">
        <v>0</v>
      </c>
      <c r="L985">
        <v>3</v>
      </c>
      <c r="M985">
        <v>0</v>
      </c>
      <c r="N985">
        <v>2</v>
      </c>
      <c r="O985">
        <v>1</v>
      </c>
      <c r="P985">
        <v>0</v>
      </c>
      <c r="Q985">
        <v>0</v>
      </c>
      <c r="R985" t="s">
        <v>112</v>
      </c>
      <c r="S985" t="str">
        <f>"14:06:45.281"</f>
        <v>14:06:45.281</v>
      </c>
      <c r="T985" t="str">
        <f>"14:06:44.883"</f>
        <v>14:06:44.883</v>
      </c>
      <c r="U985" t="str">
        <f t="shared" si="45"/>
        <v>ad5732</v>
      </c>
      <c r="V985">
        <v>0</v>
      </c>
      <c r="W985">
        <v>0</v>
      </c>
      <c r="X985">
        <v>1</v>
      </c>
      <c r="Z985">
        <v>0</v>
      </c>
      <c r="AA985">
        <v>9</v>
      </c>
      <c r="AB985">
        <v>3</v>
      </c>
      <c r="AC985">
        <v>0</v>
      </c>
      <c r="AD985">
        <v>10</v>
      </c>
      <c r="AE985">
        <v>0</v>
      </c>
      <c r="AF985">
        <v>3</v>
      </c>
      <c r="AG985">
        <v>2</v>
      </c>
      <c r="AH985">
        <v>0</v>
      </c>
      <c r="AI985" t="s">
        <v>2067</v>
      </c>
      <c r="AJ985">
        <v>39.425812000000001</v>
      </c>
      <c r="AK985" t="s">
        <v>2068</v>
      </c>
      <c r="AL985">
        <v>-76.894318999999996</v>
      </c>
      <c r="AM985">
        <v>100</v>
      </c>
      <c r="AN985">
        <v>8700</v>
      </c>
      <c r="AO985" t="s">
        <v>115</v>
      </c>
      <c r="AP985">
        <v>169</v>
      </c>
      <c r="AQ985">
        <v>91</v>
      </c>
      <c r="AR985">
        <v>-64</v>
      </c>
      <c r="AZ985">
        <v>3614</v>
      </c>
      <c r="BA985">
        <v>1</v>
      </c>
      <c r="BB985" t="str">
        <f t="shared" si="47"/>
        <v xml:space="preserve">N959MJ  </v>
      </c>
      <c r="BC985">
        <v>1</v>
      </c>
      <c r="BE985">
        <v>0</v>
      </c>
      <c r="BF985">
        <v>0</v>
      </c>
      <c r="BG985">
        <v>0</v>
      </c>
      <c r="BH985">
        <v>9025</v>
      </c>
      <c r="BI985">
        <v>325</v>
      </c>
      <c r="BJ985">
        <v>1</v>
      </c>
      <c r="BK985">
        <v>1</v>
      </c>
      <c r="BL985">
        <v>1</v>
      </c>
      <c r="BM985">
        <v>0</v>
      </c>
      <c r="BP985">
        <v>0</v>
      </c>
      <c r="BQ985">
        <v>0</v>
      </c>
      <c r="BX985" t="str">
        <f>"14:06:45.289"</f>
        <v>14:06:45.289</v>
      </c>
      <c r="BY985" t="str">
        <f>"286079314"</f>
        <v>286079314</v>
      </c>
      <c r="CL985">
        <v>0</v>
      </c>
      <c r="CM985">
        <v>2</v>
      </c>
      <c r="CN985">
        <v>0</v>
      </c>
      <c r="CO985">
        <v>2</v>
      </c>
      <c r="CP985">
        <v>0</v>
      </c>
      <c r="CQ985">
        <v>6</v>
      </c>
      <c r="CR985" t="s">
        <v>116</v>
      </c>
      <c r="CS985">
        <v>396</v>
      </c>
      <c r="CT985">
        <v>2</v>
      </c>
      <c r="CU985" t="s">
        <v>939</v>
      </c>
      <c r="CV985" t="s">
        <v>940</v>
      </c>
      <c r="CY985">
        <v>4459830</v>
      </c>
      <c r="CZ985" t="s">
        <v>119</v>
      </c>
    </row>
    <row r="986" spans="1:104" x14ac:dyDescent="0.25">
      <c r="A986" t="str">
        <f>"14:06:46.430"</f>
        <v>14:06:46.430</v>
      </c>
      <c r="B986" t="s">
        <v>108</v>
      </c>
      <c r="C986" t="str">
        <f t="shared" si="46"/>
        <v>ffdfd3c0</v>
      </c>
      <c r="D986" t="s">
        <v>109</v>
      </c>
      <c r="E986">
        <v>4</v>
      </c>
      <c r="F986">
        <v>1004</v>
      </c>
      <c r="G986" t="s">
        <v>110</v>
      </c>
      <c r="J986" t="s">
        <v>111</v>
      </c>
      <c r="K986">
        <v>0</v>
      </c>
      <c r="L986">
        <v>3</v>
      </c>
      <c r="M986">
        <v>0</v>
      </c>
      <c r="N986">
        <v>2</v>
      </c>
      <c r="O986">
        <v>1</v>
      </c>
      <c r="P986">
        <v>0</v>
      </c>
      <c r="Q986">
        <v>0</v>
      </c>
      <c r="R986" t="s">
        <v>112</v>
      </c>
      <c r="S986" t="str">
        <f>"14:06:46.258"</f>
        <v>14:06:46.258</v>
      </c>
      <c r="T986" t="str">
        <f>"14:06:45.758"</f>
        <v>14:06:45.758</v>
      </c>
      <c r="U986" t="str">
        <f t="shared" si="45"/>
        <v>ad5732</v>
      </c>
      <c r="V986">
        <v>0</v>
      </c>
      <c r="W986">
        <v>0</v>
      </c>
      <c r="X986">
        <v>1</v>
      </c>
      <c r="Z986">
        <v>0</v>
      </c>
      <c r="AA986">
        <v>9</v>
      </c>
      <c r="AB986">
        <v>3</v>
      </c>
      <c r="AC986">
        <v>0</v>
      </c>
      <c r="AD986">
        <v>10</v>
      </c>
      <c r="AE986">
        <v>0</v>
      </c>
      <c r="AF986">
        <v>3</v>
      </c>
      <c r="AG986">
        <v>2</v>
      </c>
      <c r="AH986">
        <v>0</v>
      </c>
      <c r="AI986" t="s">
        <v>2069</v>
      </c>
      <c r="AJ986">
        <v>39.426155000000001</v>
      </c>
      <c r="AK986" t="s">
        <v>2070</v>
      </c>
      <c r="AL986">
        <v>-76.893439000000001</v>
      </c>
      <c r="AM986">
        <v>100</v>
      </c>
      <c r="AN986">
        <v>8700</v>
      </c>
      <c r="AO986" t="s">
        <v>115</v>
      </c>
      <c r="AP986">
        <v>169</v>
      </c>
      <c r="AQ986">
        <v>91</v>
      </c>
      <c r="AR986">
        <v>-64</v>
      </c>
      <c r="AZ986">
        <v>3614</v>
      </c>
      <c r="BA986">
        <v>1</v>
      </c>
      <c r="BB986" t="str">
        <f t="shared" si="47"/>
        <v xml:space="preserve">N959MJ  </v>
      </c>
      <c r="BC986">
        <v>1</v>
      </c>
      <c r="BE986">
        <v>0</v>
      </c>
      <c r="BF986">
        <v>0</v>
      </c>
      <c r="BG986">
        <v>0</v>
      </c>
      <c r="BH986">
        <v>9025</v>
      </c>
      <c r="BI986">
        <v>325</v>
      </c>
      <c r="BJ986">
        <v>1</v>
      </c>
      <c r="BK986">
        <v>1</v>
      </c>
      <c r="BL986">
        <v>1</v>
      </c>
      <c r="BM986">
        <v>0</v>
      </c>
      <c r="BP986">
        <v>0</v>
      </c>
      <c r="BQ986">
        <v>0</v>
      </c>
      <c r="BX986" t="str">
        <f>"14:06:46.266"</f>
        <v>14:06:46.266</v>
      </c>
      <c r="BY986" t="str">
        <f>"262581454"</f>
        <v>262581454</v>
      </c>
      <c r="CL986">
        <v>0</v>
      </c>
      <c r="CM986">
        <v>2</v>
      </c>
      <c r="CN986">
        <v>0</v>
      </c>
      <c r="CO986">
        <v>2</v>
      </c>
      <c r="CP986">
        <v>0</v>
      </c>
      <c r="CQ986">
        <v>6</v>
      </c>
      <c r="CR986" t="s">
        <v>116</v>
      </c>
      <c r="CS986">
        <v>396</v>
      </c>
      <c r="CT986">
        <v>2</v>
      </c>
      <c r="CU986" t="s">
        <v>939</v>
      </c>
      <c r="CV986" t="s">
        <v>940</v>
      </c>
      <c r="CY986">
        <v>4461591</v>
      </c>
      <c r="CZ986" t="s">
        <v>119</v>
      </c>
    </row>
    <row r="987" spans="1:104" x14ac:dyDescent="0.25">
      <c r="A987" t="str">
        <f>"14:06:47.344"</f>
        <v>14:06:47.344</v>
      </c>
      <c r="B987" t="s">
        <v>108</v>
      </c>
      <c r="C987" t="str">
        <f t="shared" si="46"/>
        <v>ffdfd3c0</v>
      </c>
      <c r="D987" t="s">
        <v>109</v>
      </c>
      <c r="E987">
        <v>4</v>
      </c>
      <c r="F987">
        <v>1004</v>
      </c>
      <c r="G987" t="s">
        <v>110</v>
      </c>
      <c r="J987" t="s">
        <v>111</v>
      </c>
      <c r="K987">
        <v>0</v>
      </c>
      <c r="L987">
        <v>3</v>
      </c>
      <c r="M987">
        <v>0</v>
      </c>
      <c r="N987">
        <v>2</v>
      </c>
      <c r="O987">
        <v>1</v>
      </c>
      <c r="P987">
        <v>0</v>
      </c>
      <c r="Q987">
        <v>0</v>
      </c>
      <c r="R987" t="s">
        <v>112</v>
      </c>
      <c r="S987" t="str">
        <f>"14:06:47.188"</f>
        <v>14:06:47.188</v>
      </c>
      <c r="T987" t="str">
        <f>"14:06:46.789"</f>
        <v>14:06:46.789</v>
      </c>
      <c r="U987" t="str">
        <f t="shared" si="45"/>
        <v>ad5732</v>
      </c>
      <c r="V987">
        <v>0</v>
      </c>
      <c r="W987">
        <v>0</v>
      </c>
      <c r="X987">
        <v>1</v>
      </c>
      <c r="Z987">
        <v>0</v>
      </c>
      <c r="AA987">
        <v>9</v>
      </c>
      <c r="AB987">
        <v>3</v>
      </c>
      <c r="AC987">
        <v>0</v>
      </c>
      <c r="AD987">
        <v>10</v>
      </c>
      <c r="AE987">
        <v>0</v>
      </c>
      <c r="AF987">
        <v>3</v>
      </c>
      <c r="AG987">
        <v>2</v>
      </c>
      <c r="AH987">
        <v>0</v>
      </c>
      <c r="AI987" t="s">
        <v>2071</v>
      </c>
      <c r="AJ987">
        <v>39.426583999999998</v>
      </c>
      <c r="AK987" t="s">
        <v>2072</v>
      </c>
      <c r="AL987">
        <v>-76.892387999999997</v>
      </c>
      <c r="AM987">
        <v>100</v>
      </c>
      <c r="AN987">
        <v>8700</v>
      </c>
      <c r="AO987" t="s">
        <v>115</v>
      </c>
      <c r="AP987">
        <v>169</v>
      </c>
      <c r="AQ987">
        <v>91</v>
      </c>
      <c r="AR987">
        <v>-64</v>
      </c>
      <c r="AZ987">
        <v>3614</v>
      </c>
      <c r="BA987">
        <v>1</v>
      </c>
      <c r="BB987" t="str">
        <f t="shared" si="47"/>
        <v xml:space="preserve">N959MJ  </v>
      </c>
      <c r="BC987">
        <v>1</v>
      </c>
      <c r="BE987">
        <v>0</v>
      </c>
      <c r="BF987">
        <v>0</v>
      </c>
      <c r="BG987">
        <v>0</v>
      </c>
      <c r="BH987">
        <v>9025</v>
      </c>
      <c r="BI987">
        <v>325</v>
      </c>
      <c r="BJ987">
        <v>1</v>
      </c>
      <c r="BK987">
        <v>1</v>
      </c>
      <c r="BL987">
        <v>1</v>
      </c>
      <c r="BM987">
        <v>0</v>
      </c>
      <c r="BP987">
        <v>0</v>
      </c>
      <c r="BQ987">
        <v>0</v>
      </c>
      <c r="BX987" t="str">
        <f>"14:06:47.195"</f>
        <v>14:06:47.195</v>
      </c>
      <c r="BY987" t="str">
        <f>"193135020"</f>
        <v>193135020</v>
      </c>
      <c r="CL987">
        <v>0</v>
      </c>
      <c r="CM987">
        <v>2</v>
      </c>
      <c r="CN987">
        <v>0</v>
      </c>
      <c r="CO987">
        <v>2</v>
      </c>
      <c r="CP987">
        <v>0</v>
      </c>
      <c r="CQ987">
        <v>7</v>
      </c>
      <c r="CR987" t="s">
        <v>116</v>
      </c>
      <c r="CS987">
        <v>525</v>
      </c>
      <c r="CT987">
        <v>1</v>
      </c>
      <c r="CU987" t="s">
        <v>140</v>
      </c>
      <c r="CV987" t="s">
        <v>141</v>
      </c>
      <c r="CY987">
        <v>8589402</v>
      </c>
      <c r="CZ987" t="s">
        <v>119</v>
      </c>
    </row>
    <row r="988" spans="1:104" x14ac:dyDescent="0.25">
      <c r="A988" t="str">
        <f>"14:06:48.555"</f>
        <v>14:06:48.555</v>
      </c>
      <c r="B988" t="s">
        <v>108</v>
      </c>
      <c r="C988" t="str">
        <f t="shared" si="46"/>
        <v>ffdfd3c0</v>
      </c>
      <c r="D988" t="s">
        <v>109</v>
      </c>
      <c r="E988">
        <v>4</v>
      </c>
      <c r="F988">
        <v>1004</v>
      </c>
      <c r="G988" t="s">
        <v>110</v>
      </c>
      <c r="J988" t="s">
        <v>111</v>
      </c>
      <c r="K988">
        <v>0</v>
      </c>
      <c r="L988">
        <v>3</v>
      </c>
      <c r="M988">
        <v>0</v>
      </c>
      <c r="N988">
        <v>2</v>
      </c>
      <c r="O988">
        <v>1</v>
      </c>
      <c r="P988">
        <v>0</v>
      </c>
      <c r="Q988">
        <v>0</v>
      </c>
      <c r="R988" t="s">
        <v>112</v>
      </c>
      <c r="S988" t="str">
        <f>"14:06:48.359"</f>
        <v>14:06:48.359</v>
      </c>
      <c r="T988" t="str">
        <f>"14:06:47.859"</f>
        <v>14:06:47.859</v>
      </c>
      <c r="U988" t="str">
        <f t="shared" si="45"/>
        <v>ad5732</v>
      </c>
      <c r="V988">
        <v>0</v>
      </c>
      <c r="W988">
        <v>0</v>
      </c>
      <c r="X988">
        <v>1</v>
      </c>
      <c r="Z988">
        <v>0</v>
      </c>
      <c r="AA988">
        <v>9</v>
      </c>
      <c r="AB988">
        <v>3</v>
      </c>
      <c r="AC988">
        <v>0</v>
      </c>
      <c r="AD988">
        <v>10</v>
      </c>
      <c r="AE988">
        <v>0</v>
      </c>
      <c r="AF988">
        <v>3</v>
      </c>
      <c r="AG988">
        <v>2</v>
      </c>
      <c r="AH988">
        <v>0</v>
      </c>
      <c r="AI988" t="s">
        <v>2073</v>
      </c>
      <c r="AJ988">
        <v>39.427056</v>
      </c>
      <c r="AK988" t="s">
        <v>2074</v>
      </c>
      <c r="AL988">
        <v>-76.891272000000001</v>
      </c>
      <c r="AM988">
        <v>100</v>
      </c>
      <c r="AN988">
        <v>8700</v>
      </c>
      <c r="AO988" t="s">
        <v>115</v>
      </c>
      <c r="AP988">
        <v>169</v>
      </c>
      <c r="AQ988">
        <v>91</v>
      </c>
      <c r="AR988">
        <v>0</v>
      </c>
      <c r="AZ988">
        <v>3614</v>
      </c>
      <c r="BA988">
        <v>1</v>
      </c>
      <c r="BB988" t="str">
        <f t="shared" si="47"/>
        <v xml:space="preserve">N959MJ  </v>
      </c>
      <c r="BC988">
        <v>1</v>
      </c>
      <c r="BE988">
        <v>0</v>
      </c>
      <c r="BF988">
        <v>0</v>
      </c>
      <c r="BG988">
        <v>0</v>
      </c>
      <c r="BH988">
        <v>9000</v>
      </c>
      <c r="BI988">
        <v>300</v>
      </c>
      <c r="BJ988">
        <v>1</v>
      </c>
      <c r="BK988">
        <v>1</v>
      </c>
      <c r="BL988">
        <v>1</v>
      </c>
      <c r="BM988">
        <v>0</v>
      </c>
      <c r="BP988">
        <v>0</v>
      </c>
      <c r="BQ988">
        <v>0</v>
      </c>
      <c r="BX988" t="str">
        <f>"14:06:48.359"</f>
        <v>14:06:48.359</v>
      </c>
      <c r="BY988" t="str">
        <f>"359767349"</f>
        <v>359767349</v>
      </c>
      <c r="CL988">
        <v>0</v>
      </c>
      <c r="CM988">
        <v>2</v>
      </c>
      <c r="CN988">
        <v>0</v>
      </c>
      <c r="CO988">
        <v>2</v>
      </c>
      <c r="CP988">
        <v>0</v>
      </c>
      <c r="CQ988">
        <v>6</v>
      </c>
      <c r="CR988" t="s">
        <v>116</v>
      </c>
      <c r="CS988">
        <v>396</v>
      </c>
      <c r="CT988">
        <v>2</v>
      </c>
      <c r="CU988" t="s">
        <v>939</v>
      </c>
      <c r="CV988" t="s">
        <v>940</v>
      </c>
      <c r="CY988">
        <v>4465447</v>
      </c>
      <c r="CZ988" t="s">
        <v>119</v>
      </c>
    </row>
    <row r="989" spans="1:104" x14ac:dyDescent="0.25">
      <c r="A989" t="str">
        <f>"14:06:49.563"</f>
        <v>14:06:49.563</v>
      </c>
      <c r="B989" t="s">
        <v>108</v>
      </c>
      <c r="C989" t="str">
        <f t="shared" si="46"/>
        <v>ffdfd3c0</v>
      </c>
      <c r="D989" t="s">
        <v>109</v>
      </c>
      <c r="E989">
        <v>4</v>
      </c>
      <c r="F989">
        <v>1004</v>
      </c>
      <c r="G989" t="s">
        <v>110</v>
      </c>
      <c r="J989" t="s">
        <v>111</v>
      </c>
      <c r="K989">
        <v>0</v>
      </c>
      <c r="L989">
        <v>3</v>
      </c>
      <c r="M989">
        <v>0</v>
      </c>
      <c r="N989">
        <v>2</v>
      </c>
      <c r="O989">
        <v>1</v>
      </c>
      <c r="P989">
        <v>0</v>
      </c>
      <c r="Q989">
        <v>0</v>
      </c>
      <c r="R989" t="s">
        <v>112</v>
      </c>
      <c r="S989" t="str">
        <f>"14:06:49.352"</f>
        <v>14:06:49.352</v>
      </c>
      <c r="T989" t="str">
        <f>"14:06:48.953"</f>
        <v>14:06:48.953</v>
      </c>
      <c r="U989" t="str">
        <f t="shared" si="45"/>
        <v>ad5732</v>
      </c>
      <c r="V989">
        <v>0</v>
      </c>
      <c r="W989">
        <v>0</v>
      </c>
      <c r="X989">
        <v>1</v>
      </c>
      <c r="Z989">
        <v>0</v>
      </c>
      <c r="AA989">
        <v>9</v>
      </c>
      <c r="AB989">
        <v>3</v>
      </c>
      <c r="AC989">
        <v>0</v>
      </c>
      <c r="AD989">
        <v>10</v>
      </c>
      <c r="AE989">
        <v>0</v>
      </c>
      <c r="AF989">
        <v>3</v>
      </c>
      <c r="AG989">
        <v>2</v>
      </c>
      <c r="AH989">
        <v>0</v>
      </c>
      <c r="AI989" t="s">
        <v>2075</v>
      </c>
      <c r="AJ989">
        <v>39.427506999999999</v>
      </c>
      <c r="AK989" t="s">
        <v>2076</v>
      </c>
      <c r="AL989">
        <v>-76.890264000000002</v>
      </c>
      <c r="AM989">
        <v>100</v>
      </c>
      <c r="AN989">
        <v>8700</v>
      </c>
      <c r="AO989" t="s">
        <v>115</v>
      </c>
      <c r="AP989">
        <v>169</v>
      </c>
      <c r="AQ989">
        <v>91</v>
      </c>
      <c r="AR989">
        <v>0</v>
      </c>
      <c r="AZ989">
        <v>3614</v>
      </c>
      <c r="BA989">
        <v>1</v>
      </c>
      <c r="BB989" t="str">
        <f t="shared" si="47"/>
        <v xml:space="preserve">N959MJ  </v>
      </c>
      <c r="BC989">
        <v>1</v>
      </c>
      <c r="BE989">
        <v>0</v>
      </c>
      <c r="BF989">
        <v>0</v>
      </c>
      <c r="BG989">
        <v>0</v>
      </c>
      <c r="BH989">
        <v>9000</v>
      </c>
      <c r="BI989">
        <v>300</v>
      </c>
      <c r="BJ989">
        <v>1</v>
      </c>
      <c r="BK989">
        <v>1</v>
      </c>
      <c r="BL989">
        <v>1</v>
      </c>
      <c r="BM989">
        <v>0</v>
      </c>
      <c r="BP989">
        <v>0</v>
      </c>
      <c r="BQ989">
        <v>0</v>
      </c>
      <c r="BX989" t="str">
        <f>"14:06:49.352"</f>
        <v>14:06:49.352</v>
      </c>
      <c r="BY989" t="str">
        <f>"352582333"</f>
        <v>352582333</v>
      </c>
      <c r="CL989">
        <v>0</v>
      </c>
      <c r="CM989">
        <v>2</v>
      </c>
      <c r="CN989">
        <v>0</v>
      </c>
      <c r="CO989">
        <v>2</v>
      </c>
      <c r="CP989">
        <v>0</v>
      </c>
      <c r="CQ989">
        <v>6</v>
      </c>
      <c r="CR989" t="s">
        <v>116</v>
      </c>
      <c r="CS989">
        <v>525</v>
      </c>
      <c r="CT989">
        <v>1</v>
      </c>
      <c r="CU989" t="s">
        <v>140</v>
      </c>
      <c r="CV989" t="s">
        <v>141</v>
      </c>
      <c r="CY989">
        <v>8592638</v>
      </c>
      <c r="CZ989" t="s">
        <v>119</v>
      </c>
    </row>
    <row r="990" spans="1:104" x14ac:dyDescent="0.25">
      <c r="A990" t="str">
        <f>"14:06:50.516"</f>
        <v>14:06:50.516</v>
      </c>
      <c r="B990" t="s">
        <v>108</v>
      </c>
      <c r="C990" t="str">
        <f t="shared" si="46"/>
        <v>ffdfd3c0</v>
      </c>
      <c r="D990" t="s">
        <v>109</v>
      </c>
      <c r="E990">
        <v>4</v>
      </c>
      <c r="F990">
        <v>1004</v>
      </c>
      <c r="G990" t="s">
        <v>110</v>
      </c>
      <c r="J990" t="s">
        <v>111</v>
      </c>
      <c r="K990">
        <v>0</v>
      </c>
      <c r="L990">
        <v>3</v>
      </c>
      <c r="M990">
        <v>0</v>
      </c>
      <c r="N990">
        <v>2</v>
      </c>
      <c r="O990">
        <v>1</v>
      </c>
      <c r="P990">
        <v>0</v>
      </c>
      <c r="Q990">
        <v>0</v>
      </c>
      <c r="R990" t="s">
        <v>112</v>
      </c>
      <c r="S990" t="str">
        <f>"14:06:50.320"</f>
        <v>14:06:50.320</v>
      </c>
      <c r="T990" t="str">
        <f>"14:06:49.820"</f>
        <v>14:06:49.820</v>
      </c>
      <c r="U990" t="str">
        <f t="shared" si="45"/>
        <v>ad5732</v>
      </c>
      <c r="V990">
        <v>0</v>
      </c>
      <c r="W990">
        <v>0</v>
      </c>
      <c r="X990">
        <v>1</v>
      </c>
      <c r="Z990">
        <v>0</v>
      </c>
      <c r="AA990">
        <v>9</v>
      </c>
      <c r="AB990">
        <v>3</v>
      </c>
      <c r="AC990">
        <v>0</v>
      </c>
      <c r="AD990">
        <v>10</v>
      </c>
      <c r="AE990">
        <v>0</v>
      </c>
      <c r="AF990">
        <v>3</v>
      </c>
      <c r="AG990">
        <v>2</v>
      </c>
      <c r="AH990">
        <v>0</v>
      </c>
      <c r="AI990" t="s">
        <v>2077</v>
      </c>
      <c r="AJ990">
        <v>39.427914999999999</v>
      </c>
      <c r="AK990" t="s">
        <v>2078</v>
      </c>
      <c r="AL990">
        <v>-76.889255000000006</v>
      </c>
      <c r="AM990">
        <v>100</v>
      </c>
      <c r="AN990">
        <v>8700</v>
      </c>
      <c r="AO990" t="s">
        <v>115</v>
      </c>
      <c r="AP990">
        <v>169</v>
      </c>
      <c r="AQ990">
        <v>91</v>
      </c>
      <c r="AR990">
        <v>0</v>
      </c>
      <c r="AZ990">
        <v>3614</v>
      </c>
      <c r="BA990">
        <v>1</v>
      </c>
      <c r="BB990" t="str">
        <f t="shared" si="47"/>
        <v xml:space="preserve">N959MJ  </v>
      </c>
      <c r="BC990">
        <v>1</v>
      </c>
      <c r="BE990">
        <v>0</v>
      </c>
      <c r="BF990">
        <v>0</v>
      </c>
      <c r="BG990">
        <v>0</v>
      </c>
      <c r="BH990">
        <v>9000</v>
      </c>
      <c r="BI990">
        <v>300</v>
      </c>
      <c r="BJ990">
        <v>1</v>
      </c>
      <c r="BK990">
        <v>1</v>
      </c>
      <c r="BL990">
        <v>1</v>
      </c>
      <c r="BM990">
        <v>0</v>
      </c>
      <c r="BP990">
        <v>0</v>
      </c>
      <c r="BQ990">
        <v>0</v>
      </c>
      <c r="BX990" t="str">
        <f>"14:06:50.320"</f>
        <v>14:06:50.320</v>
      </c>
      <c r="BY990" t="str">
        <f>"322602302"</f>
        <v>322602302</v>
      </c>
      <c r="CL990">
        <v>0</v>
      </c>
      <c r="CM990">
        <v>2</v>
      </c>
      <c r="CN990">
        <v>0</v>
      </c>
      <c r="CO990">
        <v>2</v>
      </c>
      <c r="CP990">
        <v>0</v>
      </c>
      <c r="CQ990">
        <v>6</v>
      </c>
      <c r="CR990" t="s">
        <v>116</v>
      </c>
      <c r="CS990">
        <v>396</v>
      </c>
      <c r="CT990">
        <v>2</v>
      </c>
      <c r="CU990" t="s">
        <v>939</v>
      </c>
      <c r="CV990" t="s">
        <v>940</v>
      </c>
      <c r="CY990">
        <v>4468895</v>
      </c>
      <c r="CZ990" t="s">
        <v>119</v>
      </c>
    </row>
    <row r="991" spans="1:104" x14ac:dyDescent="0.25">
      <c r="A991" t="str">
        <f>"14:06:51.578"</f>
        <v>14:06:51.578</v>
      </c>
      <c r="B991" t="s">
        <v>108</v>
      </c>
      <c r="C991" t="str">
        <f t="shared" si="46"/>
        <v>ffdfd3c0</v>
      </c>
      <c r="D991" t="s">
        <v>109</v>
      </c>
      <c r="E991">
        <v>4</v>
      </c>
      <c r="F991">
        <v>1004</v>
      </c>
      <c r="G991" t="s">
        <v>110</v>
      </c>
      <c r="J991" t="s">
        <v>111</v>
      </c>
      <c r="K991">
        <v>0</v>
      </c>
      <c r="L991">
        <v>3</v>
      </c>
      <c r="M991">
        <v>0</v>
      </c>
      <c r="N991">
        <v>2</v>
      </c>
      <c r="O991">
        <v>1</v>
      </c>
      <c r="P991">
        <v>0</v>
      </c>
      <c r="Q991">
        <v>0</v>
      </c>
      <c r="R991" t="s">
        <v>112</v>
      </c>
      <c r="S991" t="str">
        <f>"14:06:51.391"</f>
        <v>14:06:51.391</v>
      </c>
      <c r="T991" t="str">
        <f>"14:06:50.891"</f>
        <v>14:06:50.891</v>
      </c>
      <c r="U991" t="str">
        <f t="shared" si="45"/>
        <v>ad5732</v>
      </c>
      <c r="V991">
        <v>0</v>
      </c>
      <c r="W991">
        <v>0</v>
      </c>
      <c r="X991">
        <v>1</v>
      </c>
      <c r="Z991">
        <v>0</v>
      </c>
      <c r="AA991">
        <v>9</v>
      </c>
      <c r="AB991">
        <v>3</v>
      </c>
      <c r="AC991">
        <v>0</v>
      </c>
      <c r="AD991">
        <v>10</v>
      </c>
      <c r="AE991">
        <v>0</v>
      </c>
      <c r="AF991">
        <v>3</v>
      </c>
      <c r="AG991">
        <v>2</v>
      </c>
      <c r="AH991">
        <v>0</v>
      </c>
      <c r="AI991" t="s">
        <v>2079</v>
      </c>
      <c r="AJ991">
        <v>39.428387000000001</v>
      </c>
      <c r="AK991" t="s">
        <v>2080</v>
      </c>
      <c r="AL991">
        <v>-76.888182</v>
      </c>
      <c r="AM991">
        <v>100</v>
      </c>
      <c r="AN991">
        <v>8700</v>
      </c>
      <c r="AO991" t="s">
        <v>115</v>
      </c>
      <c r="AP991">
        <v>169</v>
      </c>
      <c r="AQ991">
        <v>91</v>
      </c>
      <c r="AR991">
        <v>0</v>
      </c>
      <c r="AZ991">
        <v>3614</v>
      </c>
      <c r="BA991">
        <v>1</v>
      </c>
      <c r="BB991" t="str">
        <f t="shared" si="47"/>
        <v xml:space="preserve">N959MJ  </v>
      </c>
      <c r="BC991">
        <v>1</v>
      </c>
      <c r="BE991">
        <v>0</v>
      </c>
      <c r="BF991">
        <v>0</v>
      </c>
      <c r="BG991">
        <v>0</v>
      </c>
      <c r="BH991">
        <v>9025</v>
      </c>
      <c r="BI991">
        <v>325</v>
      </c>
      <c r="BJ991">
        <v>1</v>
      </c>
      <c r="BK991">
        <v>1</v>
      </c>
      <c r="BL991">
        <v>1</v>
      </c>
      <c r="BM991">
        <v>0</v>
      </c>
      <c r="BP991">
        <v>0</v>
      </c>
      <c r="BQ991">
        <v>0</v>
      </c>
      <c r="BX991" t="str">
        <f>"14:06:51.391"</f>
        <v>14:06:51.391</v>
      </c>
      <c r="BY991" t="str">
        <f>"394062808"</f>
        <v>394062808</v>
      </c>
      <c r="CL991">
        <v>0</v>
      </c>
      <c r="CM991">
        <v>2</v>
      </c>
      <c r="CN991">
        <v>0</v>
      </c>
      <c r="CO991">
        <v>2</v>
      </c>
      <c r="CP991">
        <v>0</v>
      </c>
      <c r="CQ991">
        <v>6</v>
      </c>
      <c r="CR991" t="s">
        <v>116</v>
      </c>
      <c r="CS991">
        <v>525</v>
      </c>
      <c r="CT991">
        <v>1</v>
      </c>
      <c r="CU991" t="s">
        <v>140</v>
      </c>
      <c r="CV991" t="s">
        <v>141</v>
      </c>
      <c r="CY991">
        <v>8595619</v>
      </c>
      <c r="CZ991" t="s">
        <v>119</v>
      </c>
    </row>
    <row r="992" spans="1:104" x14ac:dyDescent="0.25">
      <c r="A992" t="str">
        <f>"14:06:52.641"</f>
        <v>14:06:52.641</v>
      </c>
      <c r="B992" t="s">
        <v>108</v>
      </c>
      <c r="C992" t="str">
        <f t="shared" si="46"/>
        <v>ffdfd3c0</v>
      </c>
      <c r="D992" t="s">
        <v>109</v>
      </c>
      <c r="E992">
        <v>4</v>
      </c>
      <c r="F992">
        <v>1004</v>
      </c>
      <c r="G992" t="s">
        <v>110</v>
      </c>
      <c r="J992" t="s">
        <v>111</v>
      </c>
      <c r="K992">
        <v>0</v>
      </c>
      <c r="L992">
        <v>3</v>
      </c>
      <c r="M992">
        <v>0</v>
      </c>
      <c r="N992">
        <v>2</v>
      </c>
      <c r="O992">
        <v>1</v>
      </c>
      <c r="P992">
        <v>0</v>
      </c>
      <c r="Q992">
        <v>0</v>
      </c>
      <c r="R992" t="s">
        <v>112</v>
      </c>
      <c r="S992" t="str">
        <f>"14:06:52.453"</f>
        <v>14:06:52.453</v>
      </c>
      <c r="T992" t="str">
        <f>"14:06:51.953"</f>
        <v>14:06:51.953</v>
      </c>
      <c r="U992" t="str">
        <f t="shared" si="45"/>
        <v>ad5732</v>
      </c>
      <c r="V992">
        <v>0</v>
      </c>
      <c r="W992">
        <v>0</v>
      </c>
      <c r="X992">
        <v>1</v>
      </c>
      <c r="Z992">
        <v>0</v>
      </c>
      <c r="AA992">
        <v>9</v>
      </c>
      <c r="AB992">
        <v>3</v>
      </c>
      <c r="AC992">
        <v>0</v>
      </c>
      <c r="AD992">
        <v>10</v>
      </c>
      <c r="AE992">
        <v>0</v>
      </c>
      <c r="AF992">
        <v>3</v>
      </c>
      <c r="AG992">
        <v>2</v>
      </c>
      <c r="AH992">
        <v>0</v>
      </c>
      <c r="AI992" t="s">
        <v>2081</v>
      </c>
      <c r="AJ992">
        <v>39.428815999999998</v>
      </c>
      <c r="AK992" t="s">
        <v>2082</v>
      </c>
      <c r="AL992">
        <v>-76.887152</v>
      </c>
      <c r="AM992">
        <v>100</v>
      </c>
      <c r="AN992">
        <v>8700</v>
      </c>
      <c r="AO992" t="s">
        <v>115</v>
      </c>
      <c r="AP992">
        <v>169</v>
      </c>
      <c r="AQ992">
        <v>91</v>
      </c>
      <c r="AR992">
        <v>64</v>
      </c>
      <c r="AZ992">
        <v>3614</v>
      </c>
      <c r="BA992">
        <v>1</v>
      </c>
      <c r="BB992" t="str">
        <f t="shared" si="47"/>
        <v xml:space="preserve">N959MJ  </v>
      </c>
      <c r="BC992">
        <v>1</v>
      </c>
      <c r="BE992">
        <v>0</v>
      </c>
      <c r="BF992">
        <v>0</v>
      </c>
      <c r="BG992">
        <v>0</v>
      </c>
      <c r="BH992">
        <v>9025</v>
      </c>
      <c r="BI992">
        <v>325</v>
      </c>
      <c r="BJ992">
        <v>1</v>
      </c>
      <c r="BK992">
        <v>1</v>
      </c>
      <c r="BL992">
        <v>1</v>
      </c>
      <c r="BM992">
        <v>0</v>
      </c>
      <c r="BP992">
        <v>0</v>
      </c>
      <c r="BQ992">
        <v>0</v>
      </c>
      <c r="BX992" t="str">
        <f>"14:06:52.461"</f>
        <v>14:06:52.461</v>
      </c>
      <c r="BY992" t="str">
        <f>"459136997"</f>
        <v>459136997</v>
      </c>
      <c r="CL992">
        <v>0</v>
      </c>
      <c r="CM992">
        <v>2</v>
      </c>
      <c r="CN992">
        <v>0</v>
      </c>
      <c r="CO992">
        <v>2</v>
      </c>
      <c r="CP992">
        <v>0</v>
      </c>
      <c r="CQ992">
        <v>6</v>
      </c>
      <c r="CR992" t="s">
        <v>116</v>
      </c>
      <c r="CS992">
        <v>372</v>
      </c>
      <c r="CT992">
        <v>3</v>
      </c>
      <c r="CU992" t="s">
        <v>877</v>
      </c>
      <c r="CV992" t="s">
        <v>878</v>
      </c>
      <c r="CY992">
        <v>11121037</v>
      </c>
      <c r="CZ992" t="s">
        <v>119</v>
      </c>
    </row>
    <row r="993" spans="1:104" x14ac:dyDescent="0.25">
      <c r="A993" t="str">
        <f>"14:06:53.695"</f>
        <v>14:06:53.695</v>
      </c>
      <c r="B993" t="s">
        <v>108</v>
      </c>
      <c r="C993" t="str">
        <f t="shared" si="46"/>
        <v>ffdfd3c0</v>
      </c>
      <c r="D993" t="s">
        <v>109</v>
      </c>
      <c r="E993">
        <v>4</v>
      </c>
      <c r="F993">
        <v>1004</v>
      </c>
      <c r="G993" t="s">
        <v>110</v>
      </c>
      <c r="J993" t="s">
        <v>111</v>
      </c>
      <c r="K993">
        <v>0</v>
      </c>
      <c r="L993">
        <v>3</v>
      </c>
      <c r="M993">
        <v>0</v>
      </c>
      <c r="N993">
        <v>2</v>
      </c>
      <c r="O993">
        <v>1</v>
      </c>
      <c r="P993">
        <v>0</v>
      </c>
      <c r="Q993">
        <v>0</v>
      </c>
      <c r="R993" t="s">
        <v>112</v>
      </c>
      <c r="S993" t="str">
        <f>"14:06:53.500"</f>
        <v>14:06:53.500</v>
      </c>
      <c r="T993" t="str">
        <f>"14:06:53.102"</f>
        <v>14:06:53.102</v>
      </c>
      <c r="U993" t="str">
        <f t="shared" si="45"/>
        <v>ad5732</v>
      </c>
      <c r="V993">
        <v>0</v>
      </c>
      <c r="W993">
        <v>0</v>
      </c>
      <c r="X993">
        <v>1</v>
      </c>
      <c r="Z993">
        <v>0</v>
      </c>
      <c r="AA993">
        <v>9</v>
      </c>
      <c r="AB993">
        <v>3</v>
      </c>
      <c r="AC993">
        <v>0</v>
      </c>
      <c r="AD993">
        <v>10</v>
      </c>
      <c r="AE993">
        <v>0</v>
      </c>
      <c r="AF993">
        <v>3</v>
      </c>
      <c r="AG993">
        <v>2</v>
      </c>
      <c r="AH993">
        <v>0</v>
      </c>
      <c r="AI993" t="s">
        <v>2083</v>
      </c>
      <c r="AJ993">
        <v>39.429245000000002</v>
      </c>
      <c r="AK993" t="s">
        <v>2084</v>
      </c>
      <c r="AL993">
        <v>-76.886036000000004</v>
      </c>
      <c r="AM993">
        <v>100</v>
      </c>
      <c r="AN993">
        <v>8700</v>
      </c>
      <c r="AO993" t="s">
        <v>115</v>
      </c>
      <c r="AP993">
        <v>169</v>
      </c>
      <c r="AQ993">
        <v>91</v>
      </c>
      <c r="AR993">
        <v>64</v>
      </c>
      <c r="AZ993">
        <v>3614</v>
      </c>
      <c r="BA993">
        <v>1</v>
      </c>
      <c r="BB993" t="str">
        <f t="shared" si="47"/>
        <v xml:space="preserve">N959MJ  </v>
      </c>
      <c r="BC993">
        <v>1</v>
      </c>
      <c r="BE993">
        <v>0</v>
      </c>
      <c r="BF993">
        <v>0</v>
      </c>
      <c r="BG993">
        <v>0</v>
      </c>
      <c r="BH993">
        <v>9025</v>
      </c>
      <c r="BI993">
        <v>325</v>
      </c>
      <c r="BJ993">
        <v>1</v>
      </c>
      <c r="BK993">
        <v>1</v>
      </c>
      <c r="BL993">
        <v>1</v>
      </c>
      <c r="BM993">
        <v>0</v>
      </c>
      <c r="BP993">
        <v>0</v>
      </c>
      <c r="BQ993">
        <v>0</v>
      </c>
      <c r="BX993" t="str">
        <f>"14:06:53.500"</f>
        <v>14:06:53.500</v>
      </c>
      <c r="BY993" t="str">
        <f>"501080405"</f>
        <v>501080405</v>
      </c>
      <c r="CL993">
        <v>0</v>
      </c>
      <c r="CM993">
        <v>2</v>
      </c>
      <c r="CN993">
        <v>0</v>
      </c>
      <c r="CO993">
        <v>2</v>
      </c>
      <c r="CP993">
        <v>0</v>
      </c>
      <c r="CQ993">
        <v>6</v>
      </c>
      <c r="CR993" t="s">
        <v>116</v>
      </c>
      <c r="CS993">
        <v>525</v>
      </c>
      <c r="CT993">
        <v>1</v>
      </c>
      <c r="CU993" t="s">
        <v>140</v>
      </c>
      <c r="CV993" t="s">
        <v>141</v>
      </c>
      <c r="CY993">
        <v>8598840</v>
      </c>
      <c r="CZ993" t="s">
        <v>119</v>
      </c>
    </row>
    <row r="994" spans="1:104" x14ac:dyDescent="0.25">
      <c r="A994" t="str">
        <f>"14:06:54.813"</f>
        <v>14:06:54.813</v>
      </c>
      <c r="B994" t="s">
        <v>108</v>
      </c>
      <c r="C994" t="str">
        <f t="shared" si="46"/>
        <v>ffdfd3c0</v>
      </c>
      <c r="D994" t="s">
        <v>109</v>
      </c>
      <c r="E994">
        <v>4</v>
      </c>
      <c r="F994">
        <v>1004</v>
      </c>
      <c r="G994" t="s">
        <v>110</v>
      </c>
      <c r="J994" t="s">
        <v>111</v>
      </c>
      <c r="K994">
        <v>0</v>
      </c>
      <c r="L994">
        <v>3</v>
      </c>
      <c r="M994">
        <v>0</v>
      </c>
      <c r="N994">
        <v>2</v>
      </c>
      <c r="O994">
        <v>1</v>
      </c>
      <c r="P994">
        <v>0</v>
      </c>
      <c r="Q994">
        <v>0</v>
      </c>
      <c r="R994" t="s">
        <v>112</v>
      </c>
      <c r="S994" t="str">
        <f>"14:06:54.633"</f>
        <v>14:06:54.633</v>
      </c>
      <c r="T994" t="str">
        <f>"14:06:54.133"</f>
        <v>14:06:54.133</v>
      </c>
      <c r="U994" t="str">
        <f t="shared" si="45"/>
        <v>ad5732</v>
      </c>
      <c r="V994">
        <v>0</v>
      </c>
      <c r="W994">
        <v>0</v>
      </c>
      <c r="X994">
        <v>1</v>
      </c>
      <c r="Z994">
        <v>0</v>
      </c>
      <c r="AA994">
        <v>9</v>
      </c>
      <c r="AB994">
        <v>3</v>
      </c>
      <c r="AC994">
        <v>0</v>
      </c>
      <c r="AD994">
        <v>10</v>
      </c>
      <c r="AE994">
        <v>0</v>
      </c>
      <c r="AF994">
        <v>3</v>
      </c>
      <c r="AG994">
        <v>2</v>
      </c>
      <c r="AH994">
        <v>0</v>
      </c>
      <c r="AI994" t="s">
        <v>2085</v>
      </c>
      <c r="AJ994">
        <v>39.429696</v>
      </c>
      <c r="AK994" t="s">
        <v>2086</v>
      </c>
      <c r="AL994">
        <v>-76.884941999999995</v>
      </c>
      <c r="AM994">
        <v>100</v>
      </c>
      <c r="AN994">
        <v>8700</v>
      </c>
      <c r="AO994" t="s">
        <v>115</v>
      </c>
      <c r="AP994">
        <v>169</v>
      </c>
      <c r="AQ994">
        <v>91</v>
      </c>
      <c r="AR994">
        <v>0</v>
      </c>
      <c r="AZ994">
        <v>3614</v>
      </c>
      <c r="BA994">
        <v>1</v>
      </c>
      <c r="BB994" t="str">
        <f t="shared" si="47"/>
        <v xml:space="preserve">N959MJ  </v>
      </c>
      <c r="BC994">
        <v>1</v>
      </c>
      <c r="BE994">
        <v>0</v>
      </c>
      <c r="BF994">
        <v>0</v>
      </c>
      <c r="BG994">
        <v>0</v>
      </c>
      <c r="BH994">
        <v>9025</v>
      </c>
      <c r="BI994">
        <v>325</v>
      </c>
      <c r="BJ994">
        <v>1</v>
      </c>
      <c r="BK994">
        <v>1</v>
      </c>
      <c r="BL994">
        <v>1</v>
      </c>
      <c r="BM994">
        <v>0</v>
      </c>
      <c r="BP994">
        <v>0</v>
      </c>
      <c r="BQ994">
        <v>0</v>
      </c>
      <c r="BX994" t="str">
        <f>"14:06:54.633"</f>
        <v>14:06:54.633</v>
      </c>
      <c r="BY994" t="str">
        <f>"633302302"</f>
        <v>633302302</v>
      </c>
      <c r="CL994">
        <v>0</v>
      </c>
      <c r="CM994">
        <v>2</v>
      </c>
      <c r="CN994">
        <v>0</v>
      </c>
      <c r="CO994">
        <v>2</v>
      </c>
      <c r="CP994">
        <v>0</v>
      </c>
      <c r="CQ994">
        <v>6</v>
      </c>
      <c r="CR994" t="s">
        <v>116</v>
      </c>
      <c r="CS994">
        <v>396</v>
      </c>
      <c r="CT994">
        <v>2</v>
      </c>
      <c r="CU994" t="s">
        <v>939</v>
      </c>
      <c r="CV994" t="s">
        <v>940</v>
      </c>
      <c r="CY994">
        <v>4476672</v>
      </c>
      <c r="CZ994" t="s">
        <v>119</v>
      </c>
    </row>
    <row r="995" spans="1:104" x14ac:dyDescent="0.25">
      <c r="A995" t="str">
        <f>"14:06:55.922"</f>
        <v>14:06:55.922</v>
      </c>
      <c r="B995" t="s">
        <v>108</v>
      </c>
      <c r="C995" t="str">
        <f t="shared" si="46"/>
        <v>ffdfd3c0</v>
      </c>
      <c r="D995" t="s">
        <v>109</v>
      </c>
      <c r="E995">
        <v>4</v>
      </c>
      <c r="F995">
        <v>1004</v>
      </c>
      <c r="G995" t="s">
        <v>110</v>
      </c>
      <c r="J995" t="s">
        <v>111</v>
      </c>
      <c r="K995">
        <v>0</v>
      </c>
      <c r="L995">
        <v>3</v>
      </c>
      <c r="M995">
        <v>0</v>
      </c>
      <c r="N995">
        <v>2</v>
      </c>
      <c r="O995">
        <v>1</v>
      </c>
      <c r="P995">
        <v>0</v>
      </c>
      <c r="Q995">
        <v>0</v>
      </c>
      <c r="R995" t="s">
        <v>112</v>
      </c>
      <c r="S995" t="str">
        <f>"14:06:55.742"</f>
        <v>14:06:55.742</v>
      </c>
      <c r="T995" t="str">
        <f>"14:06:55.242"</f>
        <v>14:06:55.242</v>
      </c>
      <c r="U995" t="str">
        <f t="shared" si="45"/>
        <v>ad5732</v>
      </c>
      <c r="V995">
        <v>0</v>
      </c>
      <c r="W995">
        <v>0</v>
      </c>
      <c r="X995">
        <v>1</v>
      </c>
      <c r="Z995">
        <v>0</v>
      </c>
      <c r="AA995">
        <v>9</v>
      </c>
      <c r="AB995">
        <v>3</v>
      </c>
      <c r="AC995">
        <v>0</v>
      </c>
      <c r="AD995">
        <v>10</v>
      </c>
      <c r="AE995">
        <v>0</v>
      </c>
      <c r="AF995">
        <v>3</v>
      </c>
      <c r="AG995">
        <v>2</v>
      </c>
      <c r="AH995">
        <v>0</v>
      </c>
      <c r="AI995" t="s">
        <v>2087</v>
      </c>
      <c r="AJ995">
        <v>39.430168000000002</v>
      </c>
      <c r="AK995" t="s">
        <v>2088</v>
      </c>
      <c r="AL995">
        <v>-76.883825999999999</v>
      </c>
      <c r="AM995">
        <v>100</v>
      </c>
      <c r="AN995">
        <v>8700</v>
      </c>
      <c r="AO995" t="s">
        <v>115</v>
      </c>
      <c r="AP995">
        <v>169</v>
      </c>
      <c r="AQ995">
        <v>90</v>
      </c>
      <c r="AR995">
        <v>0</v>
      </c>
      <c r="AZ995">
        <v>3614</v>
      </c>
      <c r="BA995">
        <v>1</v>
      </c>
      <c r="BB995" t="str">
        <f t="shared" si="47"/>
        <v xml:space="preserve">N959MJ  </v>
      </c>
      <c r="BC995">
        <v>1</v>
      </c>
      <c r="BE995">
        <v>0</v>
      </c>
      <c r="BF995">
        <v>0</v>
      </c>
      <c r="BG995">
        <v>0</v>
      </c>
      <c r="BH995">
        <v>9025</v>
      </c>
      <c r="BI995">
        <v>325</v>
      </c>
      <c r="BJ995">
        <v>1</v>
      </c>
      <c r="BK995">
        <v>1</v>
      </c>
      <c r="BL995">
        <v>1</v>
      </c>
      <c r="BM995">
        <v>0</v>
      </c>
      <c r="BP995">
        <v>0</v>
      </c>
      <c r="BQ995">
        <v>0</v>
      </c>
      <c r="BX995" t="str">
        <f>"14:06:55.750"</f>
        <v>14:06:55.750</v>
      </c>
      <c r="BY995" t="str">
        <f>"749002780"</f>
        <v>749002780</v>
      </c>
      <c r="CL995">
        <v>0</v>
      </c>
      <c r="CM995">
        <v>2</v>
      </c>
      <c r="CN995">
        <v>0</v>
      </c>
      <c r="CO995">
        <v>2</v>
      </c>
      <c r="CP995">
        <v>0</v>
      </c>
      <c r="CQ995">
        <v>6</v>
      </c>
      <c r="CR995" t="s">
        <v>116</v>
      </c>
      <c r="CS995">
        <v>525</v>
      </c>
      <c r="CT995">
        <v>1</v>
      </c>
      <c r="CU995" t="s">
        <v>140</v>
      </c>
      <c r="CV995" t="s">
        <v>141</v>
      </c>
      <c r="CY995">
        <v>8602131</v>
      </c>
      <c r="CZ995" t="s">
        <v>119</v>
      </c>
    </row>
    <row r="996" spans="1:104" x14ac:dyDescent="0.25">
      <c r="A996" t="str">
        <f>"14:06:56.977"</f>
        <v>14:06:56.977</v>
      </c>
      <c r="B996" t="s">
        <v>108</v>
      </c>
      <c r="C996" t="str">
        <f t="shared" si="46"/>
        <v>ffdfd3c0</v>
      </c>
      <c r="D996" t="s">
        <v>109</v>
      </c>
      <c r="E996">
        <v>4</v>
      </c>
      <c r="F996">
        <v>1004</v>
      </c>
      <c r="G996" t="s">
        <v>110</v>
      </c>
      <c r="J996" t="s">
        <v>111</v>
      </c>
      <c r="K996">
        <v>0</v>
      </c>
      <c r="L996">
        <v>3</v>
      </c>
      <c r="M996">
        <v>0</v>
      </c>
      <c r="N996">
        <v>2</v>
      </c>
      <c r="O996">
        <v>1</v>
      </c>
      <c r="P996">
        <v>0</v>
      </c>
      <c r="Q996">
        <v>0</v>
      </c>
      <c r="R996" t="s">
        <v>112</v>
      </c>
      <c r="S996" t="str">
        <f>"14:06:56.773"</f>
        <v>14:06:56.773</v>
      </c>
      <c r="T996" t="str">
        <f>"14:06:56.375"</f>
        <v>14:06:56.375</v>
      </c>
      <c r="U996" t="str">
        <f t="shared" si="45"/>
        <v>ad5732</v>
      </c>
      <c r="V996">
        <v>0</v>
      </c>
      <c r="W996">
        <v>0</v>
      </c>
      <c r="X996">
        <v>1</v>
      </c>
      <c r="Z996">
        <v>0</v>
      </c>
      <c r="AA996">
        <v>9</v>
      </c>
      <c r="AB996">
        <v>3</v>
      </c>
      <c r="AC996">
        <v>0</v>
      </c>
      <c r="AD996">
        <v>10</v>
      </c>
      <c r="AE996">
        <v>0</v>
      </c>
      <c r="AF996">
        <v>3</v>
      </c>
      <c r="AG996">
        <v>2</v>
      </c>
      <c r="AH996">
        <v>0</v>
      </c>
      <c r="AI996" t="s">
        <v>2089</v>
      </c>
      <c r="AJ996">
        <v>39.430618000000003</v>
      </c>
      <c r="AK996" t="s">
        <v>2090</v>
      </c>
      <c r="AL996">
        <v>-76.882795999999999</v>
      </c>
      <c r="AM996">
        <v>100</v>
      </c>
      <c r="AN996">
        <v>8700</v>
      </c>
      <c r="AO996" t="s">
        <v>115</v>
      </c>
      <c r="AP996">
        <v>169</v>
      </c>
      <c r="AQ996">
        <v>90</v>
      </c>
      <c r="AR996">
        <v>0</v>
      </c>
      <c r="AZ996">
        <v>3614</v>
      </c>
      <c r="BA996">
        <v>1</v>
      </c>
      <c r="BB996" t="str">
        <f t="shared" si="47"/>
        <v xml:space="preserve">N959MJ  </v>
      </c>
      <c r="BC996">
        <v>1</v>
      </c>
      <c r="BE996">
        <v>0</v>
      </c>
      <c r="BF996">
        <v>0</v>
      </c>
      <c r="BG996">
        <v>0</v>
      </c>
      <c r="BH996">
        <v>9025</v>
      </c>
      <c r="BI996">
        <v>325</v>
      </c>
      <c r="BJ996">
        <v>1</v>
      </c>
      <c r="BK996">
        <v>1</v>
      </c>
      <c r="BL996">
        <v>1</v>
      </c>
      <c r="BM996">
        <v>0</v>
      </c>
      <c r="BP996">
        <v>0</v>
      </c>
      <c r="BQ996">
        <v>0</v>
      </c>
      <c r="BX996" t="str">
        <f>"14:06:56.781"</f>
        <v>14:06:56.781</v>
      </c>
      <c r="BY996" t="str">
        <f>"779668405"</f>
        <v>779668405</v>
      </c>
      <c r="CL996">
        <v>0</v>
      </c>
      <c r="CM996">
        <v>2</v>
      </c>
      <c r="CN996">
        <v>0</v>
      </c>
      <c r="CO996">
        <v>2</v>
      </c>
      <c r="CP996">
        <v>0</v>
      </c>
      <c r="CQ996">
        <v>6</v>
      </c>
      <c r="CR996" t="s">
        <v>116</v>
      </c>
      <c r="CS996">
        <v>372</v>
      </c>
      <c r="CT996">
        <v>3</v>
      </c>
      <c r="CU996" t="s">
        <v>877</v>
      </c>
      <c r="CV996" t="s">
        <v>878</v>
      </c>
      <c r="CY996">
        <v>11128706</v>
      </c>
      <c r="CZ996" t="s">
        <v>119</v>
      </c>
    </row>
    <row r="997" spans="1:104" x14ac:dyDescent="0.25">
      <c r="A997" t="str">
        <f>"14:06:57.891"</f>
        <v>14:06:57.891</v>
      </c>
      <c r="B997" t="s">
        <v>108</v>
      </c>
      <c r="C997" t="str">
        <f t="shared" si="46"/>
        <v>ffdfd3c0</v>
      </c>
      <c r="D997" t="s">
        <v>109</v>
      </c>
      <c r="E997">
        <v>4</v>
      </c>
      <c r="F997">
        <v>1004</v>
      </c>
      <c r="G997" t="s">
        <v>110</v>
      </c>
      <c r="J997" t="s">
        <v>111</v>
      </c>
      <c r="K997">
        <v>0</v>
      </c>
      <c r="L997">
        <v>3</v>
      </c>
      <c r="M997">
        <v>0</v>
      </c>
      <c r="N997">
        <v>2</v>
      </c>
      <c r="O997">
        <v>1</v>
      </c>
      <c r="P997">
        <v>0</v>
      </c>
      <c r="Q997">
        <v>0</v>
      </c>
      <c r="R997" t="s">
        <v>112</v>
      </c>
      <c r="S997" t="str">
        <f>"14:06:57.703"</f>
        <v>14:06:57.703</v>
      </c>
      <c r="T997" t="str">
        <f>"14:06:57.305"</f>
        <v>14:06:57.305</v>
      </c>
      <c r="U997" t="str">
        <f t="shared" si="45"/>
        <v>ad5732</v>
      </c>
      <c r="V997">
        <v>0</v>
      </c>
      <c r="W997">
        <v>0</v>
      </c>
      <c r="X997">
        <v>1</v>
      </c>
      <c r="Z997">
        <v>0</v>
      </c>
      <c r="AA997">
        <v>9</v>
      </c>
      <c r="AB997">
        <v>3</v>
      </c>
      <c r="AC997">
        <v>0</v>
      </c>
      <c r="AD997">
        <v>10</v>
      </c>
      <c r="AE997">
        <v>0</v>
      </c>
      <c r="AF997">
        <v>3</v>
      </c>
      <c r="AG997">
        <v>2</v>
      </c>
      <c r="AH997">
        <v>0</v>
      </c>
      <c r="AI997" t="s">
        <v>2091</v>
      </c>
      <c r="AJ997">
        <v>39.431026000000003</v>
      </c>
      <c r="AK997" t="s">
        <v>2092</v>
      </c>
      <c r="AL997">
        <v>-76.881788</v>
      </c>
      <c r="AM997">
        <v>100</v>
      </c>
      <c r="AN997">
        <v>8700</v>
      </c>
      <c r="AO997" t="s">
        <v>115</v>
      </c>
      <c r="AP997">
        <v>169</v>
      </c>
      <c r="AQ997">
        <v>90</v>
      </c>
      <c r="AR997">
        <v>0</v>
      </c>
      <c r="AZ997">
        <v>3614</v>
      </c>
      <c r="BA997">
        <v>1</v>
      </c>
      <c r="BB997" t="str">
        <f t="shared" si="47"/>
        <v xml:space="preserve">N959MJ  </v>
      </c>
      <c r="BC997">
        <v>1</v>
      </c>
      <c r="BE997">
        <v>0</v>
      </c>
      <c r="BF997">
        <v>0</v>
      </c>
      <c r="BG997">
        <v>0</v>
      </c>
      <c r="BH997">
        <v>9025</v>
      </c>
      <c r="BI997">
        <v>325</v>
      </c>
      <c r="BJ997">
        <v>1</v>
      </c>
      <c r="BK997">
        <v>1</v>
      </c>
      <c r="BL997">
        <v>1</v>
      </c>
      <c r="BM997">
        <v>0</v>
      </c>
      <c r="BP997">
        <v>0</v>
      </c>
      <c r="BQ997">
        <v>0</v>
      </c>
      <c r="BX997" t="str">
        <f>"14:06:57.703"</f>
        <v>14:06:57.703</v>
      </c>
      <c r="BY997" t="str">
        <f>"703915644"</f>
        <v>703915644</v>
      </c>
      <c r="CL997">
        <v>0</v>
      </c>
      <c r="CM997">
        <v>2</v>
      </c>
      <c r="CN997">
        <v>0</v>
      </c>
      <c r="CO997">
        <v>2</v>
      </c>
      <c r="CP997">
        <v>0</v>
      </c>
      <c r="CQ997">
        <v>5</v>
      </c>
      <c r="CR997" t="s">
        <v>116</v>
      </c>
      <c r="CS997">
        <v>379</v>
      </c>
      <c r="CT997">
        <v>3</v>
      </c>
      <c r="CU997" t="s">
        <v>538</v>
      </c>
      <c r="CV997" t="s">
        <v>539</v>
      </c>
      <c r="CY997">
        <v>5307225</v>
      </c>
      <c r="CZ997" t="s">
        <v>119</v>
      </c>
    </row>
    <row r="998" spans="1:104" x14ac:dyDescent="0.25">
      <c r="A998" t="str">
        <f>"14:06:58.844"</f>
        <v>14:06:58.844</v>
      </c>
      <c r="B998" t="s">
        <v>108</v>
      </c>
      <c r="C998" t="str">
        <f t="shared" si="46"/>
        <v>ffdfd3c0</v>
      </c>
      <c r="D998" t="s">
        <v>109</v>
      </c>
      <c r="E998">
        <v>4</v>
      </c>
      <c r="F998">
        <v>1004</v>
      </c>
      <c r="G998" t="s">
        <v>110</v>
      </c>
      <c r="J998" t="s">
        <v>111</v>
      </c>
      <c r="K998">
        <v>0</v>
      </c>
      <c r="L998">
        <v>3</v>
      </c>
      <c r="M998">
        <v>0</v>
      </c>
      <c r="N998">
        <v>2</v>
      </c>
      <c r="O998">
        <v>1</v>
      </c>
      <c r="P998">
        <v>0</v>
      </c>
      <c r="Q998">
        <v>0</v>
      </c>
      <c r="R998" t="s">
        <v>112</v>
      </c>
      <c r="S998" t="str">
        <f>"14:06:58.648"</f>
        <v>14:06:58.648</v>
      </c>
      <c r="T998" t="str">
        <f>"14:06:58.250"</f>
        <v>14:06:58.250</v>
      </c>
      <c r="U998" t="str">
        <f t="shared" si="45"/>
        <v>ad5732</v>
      </c>
      <c r="V998">
        <v>0</v>
      </c>
      <c r="W998">
        <v>0</v>
      </c>
      <c r="X998">
        <v>1</v>
      </c>
      <c r="Z998">
        <v>0</v>
      </c>
      <c r="AA998">
        <v>9</v>
      </c>
      <c r="AB998">
        <v>3</v>
      </c>
      <c r="AC998">
        <v>0</v>
      </c>
      <c r="AD998">
        <v>10</v>
      </c>
      <c r="AE998">
        <v>0</v>
      </c>
      <c r="AF998">
        <v>3</v>
      </c>
      <c r="AG998">
        <v>2</v>
      </c>
      <c r="AH998">
        <v>0</v>
      </c>
      <c r="AI998" t="s">
        <v>2093</v>
      </c>
      <c r="AJ998">
        <v>39.431368999999997</v>
      </c>
      <c r="AK998" t="s">
        <v>2094</v>
      </c>
      <c r="AL998">
        <v>-76.880928999999995</v>
      </c>
      <c r="AM998">
        <v>100</v>
      </c>
      <c r="AN998">
        <v>8700</v>
      </c>
      <c r="AO998" t="s">
        <v>115</v>
      </c>
      <c r="AP998">
        <v>169</v>
      </c>
      <c r="AQ998">
        <v>90</v>
      </c>
      <c r="AR998">
        <v>0</v>
      </c>
      <c r="AZ998">
        <v>3614</v>
      </c>
      <c r="BA998">
        <v>1</v>
      </c>
      <c r="BB998" t="str">
        <f t="shared" si="47"/>
        <v xml:space="preserve">N959MJ  </v>
      </c>
      <c r="BC998">
        <v>1</v>
      </c>
      <c r="BE998">
        <v>0</v>
      </c>
      <c r="BF998">
        <v>0</v>
      </c>
      <c r="BG998">
        <v>0</v>
      </c>
      <c r="BH998">
        <v>9025</v>
      </c>
      <c r="BI998">
        <v>325</v>
      </c>
      <c r="BJ998">
        <v>1</v>
      </c>
      <c r="BK998">
        <v>1</v>
      </c>
      <c r="BL998">
        <v>1</v>
      </c>
      <c r="BM998">
        <v>0</v>
      </c>
      <c r="BP998">
        <v>0</v>
      </c>
      <c r="BQ998">
        <v>0</v>
      </c>
      <c r="BX998" t="str">
        <f>"14:06:58.656"</f>
        <v>14:06:58.656</v>
      </c>
      <c r="BY998" t="str">
        <f>"655573033"</f>
        <v>655573033</v>
      </c>
      <c r="CL998">
        <v>0</v>
      </c>
      <c r="CM998">
        <v>2</v>
      </c>
      <c r="CN998">
        <v>0</v>
      </c>
      <c r="CO998">
        <v>2</v>
      </c>
      <c r="CP998">
        <v>0</v>
      </c>
      <c r="CQ998">
        <v>6</v>
      </c>
      <c r="CR998" t="s">
        <v>116</v>
      </c>
      <c r="CS998">
        <v>525</v>
      </c>
      <c r="CT998">
        <v>1</v>
      </c>
      <c r="CU998" t="s">
        <v>140</v>
      </c>
      <c r="CV998" t="s">
        <v>141</v>
      </c>
      <c r="CY998">
        <v>8606591</v>
      </c>
      <c r="CZ998" t="s">
        <v>119</v>
      </c>
    </row>
    <row r="999" spans="1:104" x14ac:dyDescent="0.25">
      <c r="A999" t="str">
        <f>"14:06:59.703"</f>
        <v>14:06:59.703</v>
      </c>
      <c r="B999" t="s">
        <v>108</v>
      </c>
      <c r="C999" t="str">
        <f t="shared" si="46"/>
        <v>ffdfd3c0</v>
      </c>
      <c r="D999" t="s">
        <v>109</v>
      </c>
      <c r="E999">
        <v>4</v>
      </c>
      <c r="F999">
        <v>1004</v>
      </c>
      <c r="G999" t="s">
        <v>110</v>
      </c>
      <c r="J999" t="s">
        <v>111</v>
      </c>
      <c r="K999">
        <v>0</v>
      </c>
      <c r="L999">
        <v>3</v>
      </c>
      <c r="M999">
        <v>0</v>
      </c>
      <c r="N999">
        <v>2</v>
      </c>
      <c r="O999">
        <v>1</v>
      </c>
      <c r="P999">
        <v>0</v>
      </c>
      <c r="Q999">
        <v>0</v>
      </c>
      <c r="R999" t="s">
        <v>112</v>
      </c>
      <c r="S999" t="str">
        <f>"14:06:59.531"</f>
        <v>14:06:59.531</v>
      </c>
      <c r="T999" t="str">
        <f>"14:06:59.133"</f>
        <v>14:06:59.133</v>
      </c>
      <c r="U999" t="str">
        <f t="shared" si="45"/>
        <v>ad5732</v>
      </c>
      <c r="V999">
        <v>0</v>
      </c>
      <c r="W999">
        <v>0</v>
      </c>
      <c r="X999">
        <v>1</v>
      </c>
      <c r="Z999">
        <v>0</v>
      </c>
      <c r="AA999">
        <v>9</v>
      </c>
      <c r="AB999">
        <v>3</v>
      </c>
      <c r="AC999">
        <v>0</v>
      </c>
      <c r="AD999">
        <v>10</v>
      </c>
      <c r="AE999">
        <v>0</v>
      </c>
      <c r="AF999">
        <v>3</v>
      </c>
      <c r="AG999">
        <v>2</v>
      </c>
      <c r="AH999">
        <v>0</v>
      </c>
      <c r="AI999" t="s">
        <v>2095</v>
      </c>
      <c r="AJ999">
        <v>39.431756</v>
      </c>
      <c r="AK999" t="s">
        <v>2096</v>
      </c>
      <c r="AL999">
        <v>-76.879985000000005</v>
      </c>
      <c r="AM999">
        <v>100</v>
      </c>
      <c r="AN999">
        <v>8700</v>
      </c>
      <c r="AO999" t="s">
        <v>115</v>
      </c>
      <c r="AP999">
        <v>169</v>
      </c>
      <c r="AQ999">
        <v>90</v>
      </c>
      <c r="AR999">
        <v>0</v>
      </c>
      <c r="AZ999">
        <v>3614</v>
      </c>
      <c r="BA999">
        <v>1</v>
      </c>
      <c r="BB999" t="str">
        <f t="shared" si="47"/>
        <v xml:space="preserve">N959MJ  </v>
      </c>
      <c r="BC999">
        <v>1</v>
      </c>
      <c r="BE999">
        <v>0</v>
      </c>
      <c r="BF999">
        <v>0</v>
      </c>
      <c r="BG999">
        <v>0</v>
      </c>
      <c r="BH999">
        <v>9025</v>
      </c>
      <c r="BI999">
        <v>325</v>
      </c>
      <c r="BJ999">
        <v>1</v>
      </c>
      <c r="BK999">
        <v>1</v>
      </c>
      <c r="BL999">
        <v>1</v>
      </c>
      <c r="BM999">
        <v>0</v>
      </c>
      <c r="BP999">
        <v>0</v>
      </c>
      <c r="BQ999">
        <v>0</v>
      </c>
      <c r="BX999" t="str">
        <f>"14:06:59.539"</f>
        <v>14:06:59.539</v>
      </c>
      <c r="BY999" t="str">
        <f>"535474352"</f>
        <v>535474352</v>
      </c>
      <c r="CL999">
        <v>0</v>
      </c>
      <c r="CM999">
        <v>2</v>
      </c>
      <c r="CN999">
        <v>0</v>
      </c>
      <c r="CO999">
        <v>2</v>
      </c>
      <c r="CP999">
        <v>0</v>
      </c>
      <c r="CQ999">
        <v>6</v>
      </c>
      <c r="CR999" t="s">
        <v>116</v>
      </c>
      <c r="CS999">
        <v>396</v>
      </c>
      <c r="CT999">
        <v>2</v>
      </c>
      <c r="CU999" t="s">
        <v>939</v>
      </c>
      <c r="CV999" t="s">
        <v>940</v>
      </c>
      <c r="CY999">
        <v>4485660</v>
      </c>
      <c r="CZ999" t="s">
        <v>119</v>
      </c>
    </row>
    <row r="1000" spans="1:104" x14ac:dyDescent="0.25">
      <c r="A1000" t="str">
        <f>"14:07:00.813"</f>
        <v>14:07:00.813</v>
      </c>
      <c r="B1000" t="s">
        <v>108</v>
      </c>
      <c r="C1000" t="str">
        <f t="shared" si="46"/>
        <v>ffdfd3c0</v>
      </c>
      <c r="D1000" t="s">
        <v>109</v>
      </c>
      <c r="E1000">
        <v>4</v>
      </c>
      <c r="F1000">
        <v>1004</v>
      </c>
      <c r="G1000" t="s">
        <v>110</v>
      </c>
      <c r="J1000" t="s">
        <v>111</v>
      </c>
      <c r="K1000">
        <v>0</v>
      </c>
      <c r="L1000">
        <v>3</v>
      </c>
      <c r="M1000">
        <v>0</v>
      </c>
      <c r="N1000">
        <v>2</v>
      </c>
      <c r="O1000">
        <v>1</v>
      </c>
      <c r="P1000">
        <v>0</v>
      </c>
      <c r="Q1000">
        <v>0</v>
      </c>
      <c r="R1000" t="s">
        <v>112</v>
      </c>
      <c r="S1000" t="str">
        <f>"14:07:00.625"</f>
        <v>14:07:00.625</v>
      </c>
      <c r="T1000" t="str">
        <f>"14:07:00.125"</f>
        <v>14:07:00.125</v>
      </c>
      <c r="U1000" t="str">
        <f t="shared" si="45"/>
        <v>ad5732</v>
      </c>
      <c r="V1000">
        <v>0</v>
      </c>
      <c r="W1000">
        <v>0</v>
      </c>
      <c r="X1000">
        <v>1</v>
      </c>
      <c r="Z1000">
        <v>0</v>
      </c>
      <c r="AA1000">
        <v>9</v>
      </c>
      <c r="AB1000">
        <v>3</v>
      </c>
      <c r="AC1000">
        <v>0</v>
      </c>
      <c r="AD1000">
        <v>10</v>
      </c>
      <c r="AE1000">
        <v>0</v>
      </c>
      <c r="AF1000">
        <v>3</v>
      </c>
      <c r="AG1000">
        <v>2</v>
      </c>
      <c r="AH1000">
        <v>0</v>
      </c>
      <c r="AI1000" t="s">
        <v>2097</v>
      </c>
      <c r="AJ1000">
        <v>39.432206000000001</v>
      </c>
      <c r="AK1000" t="s">
        <v>2098</v>
      </c>
      <c r="AL1000">
        <v>-76.878848000000005</v>
      </c>
      <c r="AM1000">
        <v>100</v>
      </c>
      <c r="AN1000">
        <v>8700</v>
      </c>
      <c r="AO1000" t="s">
        <v>115</v>
      </c>
      <c r="AP1000">
        <v>169</v>
      </c>
      <c r="AQ1000">
        <v>89</v>
      </c>
      <c r="AR1000">
        <v>0</v>
      </c>
      <c r="AZ1000">
        <v>3614</v>
      </c>
      <c r="BA1000">
        <v>1</v>
      </c>
      <c r="BB1000" t="str">
        <f t="shared" si="47"/>
        <v xml:space="preserve">N959MJ  </v>
      </c>
      <c r="BC1000">
        <v>1</v>
      </c>
      <c r="BE1000">
        <v>0</v>
      </c>
      <c r="BF1000">
        <v>0</v>
      </c>
      <c r="BG1000">
        <v>0</v>
      </c>
      <c r="BH1000">
        <v>9025</v>
      </c>
      <c r="BI1000">
        <v>325</v>
      </c>
      <c r="BJ1000">
        <v>1</v>
      </c>
      <c r="BK1000">
        <v>1</v>
      </c>
      <c r="BL1000">
        <v>1</v>
      </c>
      <c r="BM1000">
        <v>0</v>
      </c>
      <c r="BP1000">
        <v>0</v>
      </c>
      <c r="BQ1000">
        <v>0</v>
      </c>
      <c r="BX1000" t="str">
        <f>"14:07:00.625"</f>
        <v>14:07:00.625</v>
      </c>
      <c r="BY1000" t="str">
        <f>"626601127"</f>
        <v>626601127</v>
      </c>
      <c r="CL1000">
        <v>0</v>
      </c>
      <c r="CM1000">
        <v>2</v>
      </c>
      <c r="CN1000">
        <v>0</v>
      </c>
      <c r="CO1000">
        <v>2</v>
      </c>
      <c r="CP1000">
        <v>0</v>
      </c>
      <c r="CQ1000">
        <v>6</v>
      </c>
      <c r="CR1000" t="s">
        <v>116</v>
      </c>
      <c r="CS1000">
        <v>525</v>
      </c>
      <c r="CT1000">
        <v>1</v>
      </c>
      <c r="CU1000" t="s">
        <v>140</v>
      </c>
      <c r="CV1000" t="s">
        <v>141</v>
      </c>
      <c r="CY1000">
        <v>8609553</v>
      </c>
      <c r="CZ1000" t="s">
        <v>119</v>
      </c>
    </row>
    <row r="1001" spans="1:104" x14ac:dyDescent="0.25">
      <c r="A1001" t="str">
        <f>"14:07:01.820"</f>
        <v>14:07:01.820</v>
      </c>
      <c r="B1001" t="s">
        <v>108</v>
      </c>
      <c r="C1001" t="str">
        <f t="shared" si="46"/>
        <v>ffdfd3c0</v>
      </c>
      <c r="D1001" t="s">
        <v>109</v>
      </c>
      <c r="E1001">
        <v>4</v>
      </c>
      <c r="F1001">
        <v>1004</v>
      </c>
      <c r="G1001" t="s">
        <v>110</v>
      </c>
      <c r="J1001" t="s">
        <v>111</v>
      </c>
      <c r="K1001">
        <v>0</v>
      </c>
      <c r="L1001">
        <v>3</v>
      </c>
      <c r="M1001">
        <v>0</v>
      </c>
      <c r="N1001">
        <v>2</v>
      </c>
      <c r="O1001">
        <v>1</v>
      </c>
      <c r="P1001">
        <v>0</v>
      </c>
      <c r="Q1001">
        <v>0</v>
      </c>
      <c r="R1001" t="s">
        <v>112</v>
      </c>
      <c r="S1001" t="str">
        <f>"14:07:01.641"</f>
        <v>14:07:01.641</v>
      </c>
      <c r="T1001" t="str">
        <f>"14:07:01.141"</f>
        <v>14:07:01.141</v>
      </c>
      <c r="U1001" t="str">
        <f t="shared" si="45"/>
        <v>ad5732</v>
      </c>
      <c r="V1001">
        <v>0</v>
      </c>
      <c r="W1001">
        <v>0</v>
      </c>
      <c r="X1001">
        <v>1</v>
      </c>
      <c r="Z1001">
        <v>0</v>
      </c>
      <c r="AA1001">
        <v>9</v>
      </c>
      <c r="AB1001">
        <v>3</v>
      </c>
      <c r="AC1001">
        <v>0</v>
      </c>
      <c r="AD1001">
        <v>10</v>
      </c>
      <c r="AE1001">
        <v>0</v>
      </c>
      <c r="AF1001">
        <v>3</v>
      </c>
      <c r="AG1001">
        <v>2</v>
      </c>
      <c r="AH1001">
        <v>0</v>
      </c>
      <c r="AI1001" t="s">
        <v>2099</v>
      </c>
      <c r="AJ1001">
        <v>39.432634999999998</v>
      </c>
      <c r="AK1001" t="s">
        <v>2100</v>
      </c>
      <c r="AL1001">
        <v>-76.877860999999996</v>
      </c>
      <c r="AM1001">
        <v>100</v>
      </c>
      <c r="AN1001">
        <v>8700</v>
      </c>
      <c r="AO1001" t="s">
        <v>115</v>
      </c>
      <c r="AP1001">
        <v>169</v>
      </c>
      <c r="AQ1001">
        <v>89</v>
      </c>
      <c r="AR1001">
        <v>0</v>
      </c>
      <c r="AZ1001">
        <v>3614</v>
      </c>
      <c r="BA1001">
        <v>1</v>
      </c>
      <c r="BB1001" t="str">
        <f t="shared" si="47"/>
        <v xml:space="preserve">N959MJ  </v>
      </c>
      <c r="BC1001">
        <v>1</v>
      </c>
      <c r="BE1001">
        <v>0</v>
      </c>
      <c r="BF1001">
        <v>0</v>
      </c>
      <c r="BG1001">
        <v>0</v>
      </c>
      <c r="BH1001">
        <v>9025</v>
      </c>
      <c r="BI1001">
        <v>325</v>
      </c>
      <c r="BJ1001">
        <v>1</v>
      </c>
      <c r="BK1001">
        <v>1</v>
      </c>
      <c r="BL1001">
        <v>1</v>
      </c>
      <c r="BM1001">
        <v>0</v>
      </c>
      <c r="BP1001">
        <v>0</v>
      </c>
      <c r="BQ1001">
        <v>0</v>
      </c>
      <c r="BX1001" t="str">
        <f>"14:07:01.641"</f>
        <v>14:07:01.641</v>
      </c>
      <c r="BY1001" t="str">
        <f>"640787688"</f>
        <v>640787688</v>
      </c>
      <c r="CL1001">
        <v>0</v>
      </c>
      <c r="CM1001">
        <v>2</v>
      </c>
      <c r="CN1001">
        <v>0</v>
      </c>
      <c r="CO1001">
        <v>2</v>
      </c>
      <c r="CP1001">
        <v>0</v>
      </c>
      <c r="CQ1001">
        <v>6</v>
      </c>
      <c r="CR1001" t="s">
        <v>116</v>
      </c>
      <c r="CS1001">
        <v>525</v>
      </c>
      <c r="CT1001">
        <v>1</v>
      </c>
      <c r="CU1001" t="s">
        <v>140</v>
      </c>
      <c r="CV1001" t="s">
        <v>141</v>
      </c>
      <c r="CY1001">
        <v>8611117</v>
      </c>
      <c r="CZ1001" t="s">
        <v>119</v>
      </c>
    </row>
    <row r="1002" spans="1:104" x14ac:dyDescent="0.25">
      <c r="A1002" t="str">
        <f>"14:07:02.781"</f>
        <v>14:07:02.781</v>
      </c>
      <c r="B1002" t="s">
        <v>108</v>
      </c>
      <c r="C1002" t="str">
        <f t="shared" si="46"/>
        <v>ffdfd3c0</v>
      </c>
      <c r="D1002" t="s">
        <v>109</v>
      </c>
      <c r="E1002">
        <v>4</v>
      </c>
      <c r="F1002">
        <v>1004</v>
      </c>
      <c r="G1002" t="s">
        <v>110</v>
      </c>
      <c r="J1002" t="s">
        <v>111</v>
      </c>
      <c r="K1002">
        <v>0</v>
      </c>
      <c r="L1002">
        <v>3</v>
      </c>
      <c r="M1002">
        <v>0</v>
      </c>
      <c r="N1002">
        <v>2</v>
      </c>
      <c r="O1002">
        <v>1</v>
      </c>
      <c r="P1002">
        <v>0</v>
      </c>
      <c r="Q1002">
        <v>0</v>
      </c>
      <c r="R1002" t="s">
        <v>112</v>
      </c>
      <c r="S1002" t="str">
        <f>"14:07:02.617"</f>
        <v>14:07:02.617</v>
      </c>
      <c r="T1002" t="str">
        <f>"14:07:02.117"</f>
        <v>14:07:02.117</v>
      </c>
      <c r="U1002" t="str">
        <f t="shared" si="45"/>
        <v>ad5732</v>
      </c>
      <c r="V1002">
        <v>0</v>
      </c>
      <c r="W1002">
        <v>0</v>
      </c>
      <c r="X1002">
        <v>1</v>
      </c>
      <c r="Z1002">
        <v>0</v>
      </c>
      <c r="AA1002">
        <v>9</v>
      </c>
      <c r="AB1002">
        <v>3</v>
      </c>
      <c r="AC1002">
        <v>0</v>
      </c>
      <c r="AD1002">
        <v>10</v>
      </c>
      <c r="AE1002">
        <v>0</v>
      </c>
      <c r="AF1002">
        <v>3</v>
      </c>
      <c r="AG1002">
        <v>2</v>
      </c>
      <c r="AH1002">
        <v>0</v>
      </c>
      <c r="AI1002" t="s">
        <v>2101</v>
      </c>
      <c r="AJ1002">
        <v>39.433042999999998</v>
      </c>
      <c r="AK1002" t="s">
        <v>2102</v>
      </c>
      <c r="AL1002">
        <v>-76.876830999999996</v>
      </c>
      <c r="AM1002">
        <v>100</v>
      </c>
      <c r="AN1002">
        <v>8700</v>
      </c>
      <c r="AO1002" t="s">
        <v>115</v>
      </c>
      <c r="AP1002">
        <v>170</v>
      </c>
      <c r="AQ1002">
        <v>89</v>
      </c>
      <c r="AR1002">
        <v>-64</v>
      </c>
      <c r="AZ1002">
        <v>3614</v>
      </c>
      <c r="BA1002">
        <v>1</v>
      </c>
      <c r="BB1002" t="str">
        <f t="shared" si="47"/>
        <v xml:space="preserve">N959MJ  </v>
      </c>
      <c r="BC1002">
        <v>1</v>
      </c>
      <c r="BE1002">
        <v>0</v>
      </c>
      <c r="BF1002">
        <v>0</v>
      </c>
      <c r="BG1002">
        <v>0</v>
      </c>
      <c r="BH1002">
        <v>9000</v>
      </c>
      <c r="BI1002">
        <v>300</v>
      </c>
      <c r="BJ1002">
        <v>1</v>
      </c>
      <c r="BK1002">
        <v>1</v>
      </c>
      <c r="BL1002">
        <v>1</v>
      </c>
      <c r="BM1002">
        <v>0</v>
      </c>
      <c r="BP1002">
        <v>0</v>
      </c>
      <c r="BQ1002">
        <v>0</v>
      </c>
      <c r="BX1002" t="str">
        <f>"14:07:02.625"</f>
        <v>14:07:02.625</v>
      </c>
      <c r="BY1002" t="str">
        <f>"623844123"</f>
        <v>623844123</v>
      </c>
      <c r="CL1002">
        <v>0</v>
      </c>
      <c r="CM1002">
        <v>2</v>
      </c>
      <c r="CN1002">
        <v>0</v>
      </c>
      <c r="CO1002">
        <v>2</v>
      </c>
      <c r="CP1002">
        <v>0</v>
      </c>
      <c r="CQ1002">
        <v>6</v>
      </c>
      <c r="CR1002" t="s">
        <v>116</v>
      </c>
      <c r="CS1002">
        <v>525</v>
      </c>
      <c r="CT1002">
        <v>1</v>
      </c>
      <c r="CU1002" t="s">
        <v>140</v>
      </c>
      <c r="CV1002" t="s">
        <v>141</v>
      </c>
      <c r="CY1002">
        <v>8612688</v>
      </c>
      <c r="CZ1002" t="s">
        <v>119</v>
      </c>
    </row>
    <row r="1003" spans="1:104" x14ac:dyDescent="0.25">
      <c r="A1003" t="str">
        <f>"14:07:03.891"</f>
        <v>14:07:03.891</v>
      </c>
      <c r="B1003" t="s">
        <v>108</v>
      </c>
      <c r="C1003" t="str">
        <f t="shared" si="46"/>
        <v>ffdfd3c0</v>
      </c>
      <c r="D1003" t="s">
        <v>109</v>
      </c>
      <c r="E1003">
        <v>4</v>
      </c>
      <c r="F1003">
        <v>1004</v>
      </c>
      <c r="G1003" t="s">
        <v>110</v>
      </c>
      <c r="J1003" t="s">
        <v>111</v>
      </c>
      <c r="K1003">
        <v>0</v>
      </c>
      <c r="L1003">
        <v>3</v>
      </c>
      <c r="M1003">
        <v>0</v>
      </c>
      <c r="N1003">
        <v>2</v>
      </c>
      <c r="O1003">
        <v>1</v>
      </c>
      <c r="P1003">
        <v>0</v>
      </c>
      <c r="Q1003">
        <v>0</v>
      </c>
      <c r="R1003" t="s">
        <v>112</v>
      </c>
      <c r="S1003" t="str">
        <f>"14:07:03.750"</f>
        <v>14:07:03.750</v>
      </c>
      <c r="T1003" t="str">
        <f>"14:07:03.250"</f>
        <v>14:07:03.250</v>
      </c>
      <c r="U1003" t="str">
        <f t="shared" si="45"/>
        <v>ad5732</v>
      </c>
      <c r="V1003">
        <v>0</v>
      </c>
      <c r="W1003">
        <v>0</v>
      </c>
      <c r="X1003">
        <v>1</v>
      </c>
      <c r="Z1003">
        <v>0</v>
      </c>
      <c r="AA1003">
        <v>9</v>
      </c>
      <c r="AB1003">
        <v>3</v>
      </c>
      <c r="AC1003">
        <v>0</v>
      </c>
      <c r="AD1003">
        <v>10</v>
      </c>
      <c r="AE1003">
        <v>0</v>
      </c>
      <c r="AF1003">
        <v>3</v>
      </c>
      <c r="AG1003">
        <v>2</v>
      </c>
      <c r="AH1003">
        <v>0</v>
      </c>
      <c r="AI1003" t="s">
        <v>2103</v>
      </c>
      <c r="AJ1003">
        <v>39.433494000000003</v>
      </c>
      <c r="AK1003" t="s">
        <v>2104</v>
      </c>
      <c r="AL1003">
        <v>-76.875758000000005</v>
      </c>
      <c r="AM1003">
        <v>100</v>
      </c>
      <c r="AN1003">
        <v>8700</v>
      </c>
      <c r="AO1003" t="s">
        <v>115</v>
      </c>
      <c r="AP1003">
        <v>170</v>
      </c>
      <c r="AQ1003">
        <v>89</v>
      </c>
      <c r="AR1003">
        <v>0</v>
      </c>
      <c r="AZ1003">
        <v>3614</v>
      </c>
      <c r="BA1003">
        <v>1</v>
      </c>
      <c r="BB1003" t="str">
        <f t="shared" si="47"/>
        <v xml:space="preserve">N959MJ  </v>
      </c>
      <c r="BC1003">
        <v>1</v>
      </c>
      <c r="BE1003">
        <v>0</v>
      </c>
      <c r="BF1003">
        <v>0</v>
      </c>
      <c r="BG1003">
        <v>0</v>
      </c>
      <c r="BH1003">
        <v>9025</v>
      </c>
      <c r="BI1003">
        <v>325</v>
      </c>
      <c r="BJ1003">
        <v>1</v>
      </c>
      <c r="BK1003">
        <v>1</v>
      </c>
      <c r="BL1003">
        <v>1</v>
      </c>
      <c r="BM1003">
        <v>0</v>
      </c>
      <c r="BP1003">
        <v>0</v>
      </c>
      <c r="BQ1003">
        <v>0</v>
      </c>
      <c r="BX1003" t="str">
        <f>"14:07:03.750"</f>
        <v>14:07:03.750</v>
      </c>
      <c r="BY1003" t="str">
        <f>"752720661"</f>
        <v>752720661</v>
      </c>
      <c r="CL1003">
        <v>0</v>
      </c>
      <c r="CM1003">
        <v>2</v>
      </c>
      <c r="CN1003">
        <v>0</v>
      </c>
      <c r="CO1003">
        <v>2</v>
      </c>
      <c r="CP1003">
        <v>0</v>
      </c>
      <c r="CQ1003">
        <v>6</v>
      </c>
      <c r="CR1003" t="s">
        <v>116</v>
      </c>
      <c r="CS1003">
        <v>525</v>
      </c>
      <c r="CT1003">
        <v>1</v>
      </c>
      <c r="CU1003" t="s">
        <v>140</v>
      </c>
      <c r="CV1003" t="s">
        <v>141</v>
      </c>
      <c r="CY1003">
        <v>8614350</v>
      </c>
      <c r="CZ1003" t="s">
        <v>119</v>
      </c>
    </row>
    <row r="1004" spans="1:104" x14ac:dyDescent="0.25">
      <c r="A1004" t="str">
        <f>"14:07:04.750"</f>
        <v>14:07:04.750</v>
      </c>
      <c r="B1004" t="s">
        <v>108</v>
      </c>
      <c r="C1004" t="str">
        <f t="shared" si="46"/>
        <v>ffdfd3c0</v>
      </c>
      <c r="D1004" t="s">
        <v>109</v>
      </c>
      <c r="E1004">
        <v>4</v>
      </c>
      <c r="F1004">
        <v>1004</v>
      </c>
      <c r="G1004" t="s">
        <v>110</v>
      </c>
      <c r="J1004" t="s">
        <v>111</v>
      </c>
      <c r="K1004">
        <v>0</v>
      </c>
      <c r="L1004">
        <v>3</v>
      </c>
      <c r="M1004">
        <v>0</v>
      </c>
      <c r="N1004">
        <v>2</v>
      </c>
      <c r="O1004">
        <v>1</v>
      </c>
      <c r="P1004">
        <v>0</v>
      </c>
      <c r="Q1004">
        <v>0</v>
      </c>
      <c r="R1004" t="s">
        <v>112</v>
      </c>
      <c r="S1004" t="str">
        <f>"14:07:04.594"</f>
        <v>14:07:04.594</v>
      </c>
      <c r="T1004" t="str">
        <f>"14:07:03.797"</f>
        <v>14:07:03.797</v>
      </c>
      <c r="U1004" t="str">
        <f t="shared" si="45"/>
        <v>ad5732</v>
      </c>
      <c r="V1004">
        <v>0</v>
      </c>
      <c r="W1004">
        <v>0</v>
      </c>
      <c r="X1004">
        <v>1</v>
      </c>
      <c r="Z1004">
        <v>0</v>
      </c>
      <c r="AA1004">
        <v>9</v>
      </c>
      <c r="AB1004">
        <v>3</v>
      </c>
      <c r="AC1004">
        <v>0</v>
      </c>
      <c r="AD1004">
        <v>10</v>
      </c>
      <c r="AE1004">
        <v>0</v>
      </c>
      <c r="AF1004">
        <v>3</v>
      </c>
      <c r="AG1004">
        <v>2</v>
      </c>
      <c r="AH1004">
        <v>0</v>
      </c>
      <c r="AI1004" t="s">
        <v>2105</v>
      </c>
      <c r="AJ1004">
        <v>39.433836999999997</v>
      </c>
      <c r="AK1004" t="s">
        <v>2106</v>
      </c>
      <c r="AL1004">
        <v>-76.874814000000001</v>
      </c>
      <c r="AM1004">
        <v>100</v>
      </c>
      <c r="AN1004">
        <v>8700</v>
      </c>
      <c r="AO1004" t="s">
        <v>115</v>
      </c>
      <c r="AP1004">
        <v>170</v>
      </c>
      <c r="AQ1004">
        <v>89</v>
      </c>
      <c r="AR1004">
        <v>0</v>
      </c>
      <c r="AZ1004">
        <v>3614</v>
      </c>
      <c r="BA1004">
        <v>1</v>
      </c>
      <c r="BB1004" t="str">
        <f t="shared" si="47"/>
        <v xml:space="preserve">N959MJ  </v>
      </c>
      <c r="BC1004">
        <v>1</v>
      </c>
      <c r="BE1004">
        <v>0</v>
      </c>
      <c r="BF1004">
        <v>0</v>
      </c>
      <c r="BG1004">
        <v>0</v>
      </c>
      <c r="BH1004">
        <v>9025</v>
      </c>
      <c r="BI1004">
        <v>325</v>
      </c>
      <c r="BJ1004">
        <v>1</v>
      </c>
      <c r="BK1004">
        <v>1</v>
      </c>
      <c r="BL1004">
        <v>1</v>
      </c>
      <c r="BM1004">
        <v>0</v>
      </c>
      <c r="BP1004">
        <v>0</v>
      </c>
      <c r="BQ1004">
        <v>0</v>
      </c>
      <c r="BX1004" t="str">
        <f>"14:07:04.602"</f>
        <v>14:07:04.602</v>
      </c>
      <c r="BY1004" t="str">
        <f>"599787337"</f>
        <v>599787337</v>
      </c>
      <c r="CL1004">
        <v>0</v>
      </c>
      <c r="CM1004">
        <v>2</v>
      </c>
      <c r="CN1004">
        <v>0</v>
      </c>
      <c r="CO1004">
        <v>2</v>
      </c>
      <c r="CP1004">
        <v>0</v>
      </c>
      <c r="CQ1004">
        <v>6</v>
      </c>
      <c r="CR1004" t="s">
        <v>116</v>
      </c>
      <c r="CS1004">
        <v>525</v>
      </c>
      <c r="CT1004">
        <v>1</v>
      </c>
      <c r="CU1004" t="s">
        <v>140</v>
      </c>
      <c r="CV1004" t="s">
        <v>141</v>
      </c>
      <c r="CY1004">
        <v>8615580</v>
      </c>
      <c r="CZ1004" t="s">
        <v>119</v>
      </c>
    </row>
    <row r="1005" spans="1:104" x14ac:dyDescent="0.25">
      <c r="A1005" t="str">
        <f>"14:07:05.859"</f>
        <v>14:07:05.859</v>
      </c>
      <c r="B1005" t="s">
        <v>108</v>
      </c>
      <c r="C1005" t="str">
        <f t="shared" si="46"/>
        <v>ffdfd3c0</v>
      </c>
      <c r="D1005" t="s">
        <v>109</v>
      </c>
      <c r="E1005">
        <v>4</v>
      </c>
      <c r="F1005">
        <v>1004</v>
      </c>
      <c r="G1005" t="s">
        <v>110</v>
      </c>
      <c r="J1005" t="s">
        <v>111</v>
      </c>
      <c r="K1005">
        <v>0</v>
      </c>
      <c r="L1005">
        <v>3</v>
      </c>
      <c r="M1005">
        <v>0</v>
      </c>
      <c r="N1005">
        <v>2</v>
      </c>
      <c r="O1005">
        <v>1</v>
      </c>
      <c r="P1005">
        <v>0</v>
      </c>
      <c r="Q1005">
        <v>0</v>
      </c>
      <c r="R1005" t="s">
        <v>112</v>
      </c>
      <c r="S1005" t="str">
        <f>"14:07:05.695"</f>
        <v>14:07:05.695</v>
      </c>
      <c r="T1005" t="str">
        <f>"14:07:05.195"</f>
        <v>14:07:05.195</v>
      </c>
      <c r="U1005" t="str">
        <f t="shared" si="45"/>
        <v>ad5732</v>
      </c>
      <c r="V1005">
        <v>0</v>
      </c>
      <c r="W1005">
        <v>0</v>
      </c>
      <c r="X1005">
        <v>1</v>
      </c>
      <c r="Z1005">
        <v>0</v>
      </c>
      <c r="AA1005">
        <v>9</v>
      </c>
      <c r="AB1005">
        <v>3</v>
      </c>
      <c r="AC1005">
        <v>0</v>
      </c>
      <c r="AD1005">
        <v>10</v>
      </c>
      <c r="AE1005">
        <v>0</v>
      </c>
      <c r="AF1005">
        <v>3</v>
      </c>
      <c r="AG1005">
        <v>2</v>
      </c>
      <c r="AH1005">
        <v>0</v>
      </c>
      <c r="AI1005" t="s">
        <v>2107</v>
      </c>
      <c r="AJ1005">
        <v>39.434330000000003</v>
      </c>
      <c r="AK1005" t="s">
        <v>2108</v>
      </c>
      <c r="AL1005">
        <v>-76.873720000000006</v>
      </c>
      <c r="AM1005">
        <v>100</v>
      </c>
      <c r="AN1005">
        <v>8700</v>
      </c>
      <c r="AO1005" t="s">
        <v>115</v>
      </c>
      <c r="AP1005">
        <v>170</v>
      </c>
      <c r="AQ1005">
        <v>88</v>
      </c>
      <c r="AR1005">
        <v>0</v>
      </c>
      <c r="AZ1005">
        <v>3614</v>
      </c>
      <c r="BA1005">
        <v>1</v>
      </c>
      <c r="BB1005" t="str">
        <f t="shared" si="47"/>
        <v xml:space="preserve">N959MJ  </v>
      </c>
      <c r="BC1005">
        <v>1</v>
      </c>
      <c r="BE1005">
        <v>0</v>
      </c>
      <c r="BF1005">
        <v>0</v>
      </c>
      <c r="BG1005">
        <v>0</v>
      </c>
      <c r="BH1005">
        <v>9025</v>
      </c>
      <c r="BI1005">
        <v>325</v>
      </c>
      <c r="BJ1005">
        <v>1</v>
      </c>
      <c r="BK1005">
        <v>1</v>
      </c>
      <c r="BL1005">
        <v>1</v>
      </c>
      <c r="BM1005">
        <v>0</v>
      </c>
      <c r="BP1005">
        <v>0</v>
      </c>
      <c r="BQ1005">
        <v>0</v>
      </c>
      <c r="BX1005" t="str">
        <f>"14:07:05.695"</f>
        <v>14:07:05.695</v>
      </c>
      <c r="BY1005" t="str">
        <f>"695986729"</f>
        <v>695986729</v>
      </c>
      <c r="CL1005">
        <v>0</v>
      </c>
      <c r="CM1005">
        <v>2</v>
      </c>
      <c r="CN1005">
        <v>0</v>
      </c>
      <c r="CO1005">
        <v>2</v>
      </c>
      <c r="CP1005">
        <v>0</v>
      </c>
      <c r="CQ1005">
        <v>6</v>
      </c>
      <c r="CR1005" t="s">
        <v>116</v>
      </c>
      <c r="CS1005">
        <v>372</v>
      </c>
      <c r="CT1005">
        <v>3</v>
      </c>
      <c r="CU1005" t="s">
        <v>877</v>
      </c>
      <c r="CV1005" t="s">
        <v>878</v>
      </c>
      <c r="CY1005">
        <v>11144633</v>
      </c>
      <c r="CZ1005" t="s">
        <v>119</v>
      </c>
    </row>
    <row r="1006" spans="1:104" x14ac:dyDescent="0.25">
      <c r="A1006" t="str">
        <f>"14:07:06.922"</f>
        <v>14:07:06.922</v>
      </c>
      <c r="B1006" t="s">
        <v>108</v>
      </c>
      <c r="C1006" t="str">
        <f t="shared" si="46"/>
        <v>ffdfd3c0</v>
      </c>
      <c r="D1006" t="s">
        <v>109</v>
      </c>
      <c r="E1006">
        <v>4</v>
      </c>
      <c r="F1006">
        <v>1004</v>
      </c>
      <c r="G1006" t="s">
        <v>110</v>
      </c>
      <c r="J1006" t="s">
        <v>111</v>
      </c>
      <c r="K1006">
        <v>0</v>
      </c>
      <c r="L1006">
        <v>3</v>
      </c>
      <c r="M1006">
        <v>0</v>
      </c>
      <c r="N1006">
        <v>2</v>
      </c>
      <c r="O1006">
        <v>1</v>
      </c>
      <c r="P1006">
        <v>0</v>
      </c>
      <c r="Q1006">
        <v>0</v>
      </c>
      <c r="R1006" t="s">
        <v>112</v>
      </c>
      <c r="S1006" t="str">
        <f>"14:07:06.766"</f>
        <v>14:07:06.766</v>
      </c>
      <c r="T1006" t="str">
        <f>"14:07:06.266"</f>
        <v>14:07:06.266</v>
      </c>
      <c r="U1006" t="str">
        <f t="shared" si="45"/>
        <v>ad5732</v>
      </c>
      <c r="V1006">
        <v>0</v>
      </c>
      <c r="W1006">
        <v>0</v>
      </c>
      <c r="X1006">
        <v>1</v>
      </c>
      <c r="Z1006">
        <v>0</v>
      </c>
      <c r="AA1006">
        <v>9</v>
      </c>
      <c r="AB1006">
        <v>3</v>
      </c>
      <c r="AC1006">
        <v>0</v>
      </c>
      <c r="AD1006">
        <v>10</v>
      </c>
      <c r="AE1006">
        <v>0</v>
      </c>
      <c r="AF1006">
        <v>3</v>
      </c>
      <c r="AG1006">
        <v>2</v>
      </c>
      <c r="AH1006">
        <v>0</v>
      </c>
      <c r="AI1006" t="s">
        <v>2109</v>
      </c>
      <c r="AJ1006">
        <v>39.434694999999998</v>
      </c>
      <c r="AK1006" t="s">
        <v>2110</v>
      </c>
      <c r="AL1006">
        <v>-76.872710999999995</v>
      </c>
      <c r="AM1006">
        <v>100</v>
      </c>
      <c r="AN1006">
        <v>8700</v>
      </c>
      <c r="AO1006" t="s">
        <v>115</v>
      </c>
      <c r="AP1006">
        <v>170</v>
      </c>
      <c r="AQ1006">
        <v>88</v>
      </c>
      <c r="AR1006">
        <v>0</v>
      </c>
      <c r="AZ1006">
        <v>3614</v>
      </c>
      <c r="BA1006">
        <v>1</v>
      </c>
      <c r="BB1006" t="str">
        <f t="shared" si="47"/>
        <v xml:space="preserve">N959MJ  </v>
      </c>
      <c r="BC1006">
        <v>1</v>
      </c>
      <c r="BE1006">
        <v>0</v>
      </c>
      <c r="BF1006">
        <v>0</v>
      </c>
      <c r="BG1006">
        <v>0</v>
      </c>
      <c r="BH1006">
        <v>9025</v>
      </c>
      <c r="BI1006">
        <v>325</v>
      </c>
      <c r="BJ1006">
        <v>1</v>
      </c>
      <c r="BK1006">
        <v>1</v>
      </c>
      <c r="BL1006">
        <v>1</v>
      </c>
      <c r="BM1006">
        <v>0</v>
      </c>
      <c r="BP1006">
        <v>0</v>
      </c>
      <c r="BQ1006">
        <v>0</v>
      </c>
      <c r="BX1006" t="str">
        <f>"14:07:06.773"</f>
        <v>14:07:06.773</v>
      </c>
      <c r="BY1006" t="str">
        <f>"770765814"</f>
        <v>770765814</v>
      </c>
      <c r="CL1006">
        <v>0</v>
      </c>
      <c r="CM1006">
        <v>2</v>
      </c>
      <c r="CN1006">
        <v>0</v>
      </c>
      <c r="CO1006">
        <v>2</v>
      </c>
      <c r="CP1006">
        <v>0</v>
      </c>
      <c r="CQ1006">
        <v>6</v>
      </c>
      <c r="CR1006" t="s">
        <v>116</v>
      </c>
      <c r="CS1006">
        <v>396</v>
      </c>
      <c r="CT1006">
        <v>2</v>
      </c>
      <c r="CU1006" t="s">
        <v>939</v>
      </c>
      <c r="CV1006" t="s">
        <v>940</v>
      </c>
      <c r="CY1006">
        <v>4498817</v>
      </c>
      <c r="CZ1006" t="s">
        <v>119</v>
      </c>
    </row>
    <row r="1007" spans="1:104" x14ac:dyDescent="0.25">
      <c r="A1007" t="str">
        <f>"14:07:07.984"</f>
        <v>14:07:07.984</v>
      </c>
      <c r="B1007" t="s">
        <v>108</v>
      </c>
      <c r="C1007" t="str">
        <f t="shared" si="46"/>
        <v>ffdfd3c0</v>
      </c>
      <c r="D1007" t="s">
        <v>109</v>
      </c>
      <c r="E1007">
        <v>4</v>
      </c>
      <c r="F1007">
        <v>1004</v>
      </c>
      <c r="G1007" t="s">
        <v>110</v>
      </c>
      <c r="J1007" t="s">
        <v>111</v>
      </c>
      <c r="K1007">
        <v>0</v>
      </c>
      <c r="L1007">
        <v>3</v>
      </c>
      <c r="M1007">
        <v>0</v>
      </c>
      <c r="N1007">
        <v>2</v>
      </c>
      <c r="O1007">
        <v>1</v>
      </c>
      <c r="P1007">
        <v>0</v>
      </c>
      <c r="Q1007">
        <v>0</v>
      </c>
      <c r="R1007" t="s">
        <v>112</v>
      </c>
      <c r="S1007" t="str">
        <f>"14:07:07.813"</f>
        <v>14:07:07.813</v>
      </c>
      <c r="T1007" t="str">
        <f>"14:07:07.414"</f>
        <v>14:07:07.414</v>
      </c>
      <c r="U1007" t="str">
        <f t="shared" si="45"/>
        <v>ad5732</v>
      </c>
      <c r="V1007">
        <v>0</v>
      </c>
      <c r="W1007">
        <v>0</v>
      </c>
      <c r="X1007">
        <v>1</v>
      </c>
      <c r="Z1007">
        <v>0</v>
      </c>
      <c r="AA1007">
        <v>9</v>
      </c>
      <c r="AB1007">
        <v>3</v>
      </c>
      <c r="AC1007">
        <v>0</v>
      </c>
      <c r="AD1007">
        <v>10</v>
      </c>
      <c r="AE1007">
        <v>0</v>
      </c>
      <c r="AF1007">
        <v>3</v>
      </c>
      <c r="AG1007">
        <v>2</v>
      </c>
      <c r="AH1007">
        <v>0</v>
      </c>
      <c r="AI1007" t="s">
        <v>2111</v>
      </c>
      <c r="AJ1007">
        <v>39.435146000000003</v>
      </c>
      <c r="AK1007" t="s">
        <v>2112</v>
      </c>
      <c r="AL1007">
        <v>-76.871573999999995</v>
      </c>
      <c r="AM1007">
        <v>100</v>
      </c>
      <c r="AN1007">
        <v>8700</v>
      </c>
      <c r="AO1007" t="s">
        <v>115</v>
      </c>
      <c r="AP1007">
        <v>170</v>
      </c>
      <c r="AQ1007">
        <v>88</v>
      </c>
      <c r="AR1007">
        <v>0</v>
      </c>
      <c r="AZ1007">
        <v>3614</v>
      </c>
      <c r="BA1007">
        <v>1</v>
      </c>
      <c r="BB1007" t="str">
        <f t="shared" si="47"/>
        <v xml:space="preserve">N959MJ  </v>
      </c>
      <c r="BC1007">
        <v>1</v>
      </c>
      <c r="BE1007">
        <v>0</v>
      </c>
      <c r="BF1007">
        <v>0</v>
      </c>
      <c r="BG1007">
        <v>0</v>
      </c>
      <c r="BH1007">
        <v>9000</v>
      </c>
      <c r="BI1007">
        <v>300</v>
      </c>
      <c r="BJ1007">
        <v>1</v>
      </c>
      <c r="BK1007">
        <v>1</v>
      </c>
      <c r="BL1007">
        <v>1</v>
      </c>
      <c r="BM1007">
        <v>0</v>
      </c>
      <c r="BP1007">
        <v>0</v>
      </c>
      <c r="BQ1007">
        <v>0</v>
      </c>
      <c r="BX1007" t="str">
        <f>"14:07:07.813"</f>
        <v>14:07:07.813</v>
      </c>
      <c r="BY1007" t="str">
        <f>"814382142"</f>
        <v>814382142</v>
      </c>
      <c r="CL1007">
        <v>0</v>
      </c>
      <c r="CM1007">
        <v>2</v>
      </c>
      <c r="CN1007">
        <v>0</v>
      </c>
      <c r="CO1007">
        <v>2</v>
      </c>
      <c r="CP1007">
        <v>0</v>
      </c>
      <c r="CQ1007">
        <v>6</v>
      </c>
      <c r="CR1007" t="s">
        <v>116</v>
      </c>
      <c r="CS1007">
        <v>525</v>
      </c>
      <c r="CT1007">
        <v>1</v>
      </c>
      <c r="CU1007" t="s">
        <v>140</v>
      </c>
      <c r="CV1007" t="s">
        <v>141</v>
      </c>
      <c r="CY1007">
        <v>8620551</v>
      </c>
      <c r="CZ1007" t="s">
        <v>119</v>
      </c>
    </row>
    <row r="1008" spans="1:104" x14ac:dyDescent="0.25">
      <c r="A1008" t="str">
        <f>"14:07:09.094"</f>
        <v>14:07:09.094</v>
      </c>
      <c r="B1008" t="s">
        <v>108</v>
      </c>
      <c r="C1008" t="str">
        <f t="shared" si="46"/>
        <v>ffdfd3c0</v>
      </c>
      <c r="D1008" t="s">
        <v>109</v>
      </c>
      <c r="E1008">
        <v>4</v>
      </c>
      <c r="F1008">
        <v>1004</v>
      </c>
      <c r="G1008" t="s">
        <v>110</v>
      </c>
      <c r="J1008" t="s">
        <v>111</v>
      </c>
      <c r="K1008">
        <v>0</v>
      </c>
      <c r="L1008">
        <v>3</v>
      </c>
      <c r="M1008">
        <v>0</v>
      </c>
      <c r="N1008">
        <v>2</v>
      </c>
      <c r="O1008">
        <v>1</v>
      </c>
      <c r="P1008">
        <v>0</v>
      </c>
      <c r="Q1008">
        <v>0</v>
      </c>
      <c r="R1008" t="s">
        <v>112</v>
      </c>
      <c r="S1008" t="str">
        <f>"14:07:08.906"</f>
        <v>14:07:08.906</v>
      </c>
      <c r="T1008" t="str">
        <f>"14:07:08.406"</f>
        <v>14:07:08.406</v>
      </c>
      <c r="U1008" t="str">
        <f t="shared" si="45"/>
        <v>ad5732</v>
      </c>
      <c r="V1008">
        <v>0</v>
      </c>
      <c r="W1008">
        <v>0</v>
      </c>
      <c r="X1008">
        <v>1</v>
      </c>
      <c r="Z1008">
        <v>0</v>
      </c>
      <c r="AA1008">
        <v>9</v>
      </c>
      <c r="AB1008">
        <v>3</v>
      </c>
      <c r="AC1008">
        <v>0</v>
      </c>
      <c r="AD1008">
        <v>10</v>
      </c>
      <c r="AE1008">
        <v>0</v>
      </c>
      <c r="AF1008">
        <v>3</v>
      </c>
      <c r="AG1008">
        <v>2</v>
      </c>
      <c r="AH1008">
        <v>0</v>
      </c>
      <c r="AI1008" t="s">
        <v>2113</v>
      </c>
      <c r="AJ1008">
        <v>39.435617999999998</v>
      </c>
      <c r="AK1008" t="s">
        <v>2114</v>
      </c>
      <c r="AL1008">
        <v>-76.870436999999995</v>
      </c>
      <c r="AM1008">
        <v>100</v>
      </c>
      <c r="AN1008">
        <v>8700</v>
      </c>
      <c r="AO1008" t="s">
        <v>115</v>
      </c>
      <c r="AP1008">
        <v>170</v>
      </c>
      <c r="AQ1008">
        <v>88</v>
      </c>
      <c r="AR1008">
        <v>0</v>
      </c>
      <c r="AZ1008">
        <v>3614</v>
      </c>
      <c r="BA1008">
        <v>1</v>
      </c>
      <c r="BB1008" t="str">
        <f t="shared" si="47"/>
        <v xml:space="preserve">N959MJ  </v>
      </c>
      <c r="BC1008">
        <v>1</v>
      </c>
      <c r="BE1008">
        <v>0</v>
      </c>
      <c r="BF1008">
        <v>0</v>
      </c>
      <c r="BG1008">
        <v>0</v>
      </c>
      <c r="BH1008">
        <v>9000</v>
      </c>
      <c r="BI1008">
        <v>300</v>
      </c>
      <c r="BJ1008">
        <v>1</v>
      </c>
      <c r="BK1008">
        <v>1</v>
      </c>
      <c r="BL1008">
        <v>1</v>
      </c>
      <c r="BM1008">
        <v>0</v>
      </c>
      <c r="BP1008">
        <v>0</v>
      </c>
      <c r="BQ1008">
        <v>0</v>
      </c>
      <c r="BX1008" t="str">
        <f>"14:07:08.906"</f>
        <v>14:07:08.906</v>
      </c>
      <c r="BY1008" t="str">
        <f>"907213229"</f>
        <v>907213229</v>
      </c>
      <c r="CL1008">
        <v>0</v>
      </c>
      <c r="CM1008">
        <v>2</v>
      </c>
      <c r="CN1008">
        <v>0</v>
      </c>
      <c r="CO1008">
        <v>2</v>
      </c>
      <c r="CP1008">
        <v>0</v>
      </c>
      <c r="CQ1008">
        <v>6</v>
      </c>
      <c r="CR1008" t="s">
        <v>116</v>
      </c>
      <c r="CS1008">
        <v>525</v>
      </c>
      <c r="CT1008">
        <v>1</v>
      </c>
      <c r="CU1008" t="s">
        <v>140</v>
      </c>
      <c r="CV1008" t="s">
        <v>141</v>
      </c>
      <c r="CY1008">
        <v>8622182</v>
      </c>
      <c r="CZ1008" t="s">
        <v>119</v>
      </c>
    </row>
    <row r="1009" spans="1:104" x14ac:dyDescent="0.25">
      <c r="A1009" t="str">
        <f>"14:07:10.102"</f>
        <v>14:07:10.102</v>
      </c>
      <c r="B1009" t="s">
        <v>108</v>
      </c>
      <c r="C1009" t="str">
        <f t="shared" si="46"/>
        <v>ffdfd3c0</v>
      </c>
      <c r="D1009" t="s">
        <v>109</v>
      </c>
      <c r="E1009">
        <v>4</v>
      </c>
      <c r="F1009">
        <v>1004</v>
      </c>
      <c r="G1009" t="s">
        <v>110</v>
      </c>
      <c r="J1009" t="s">
        <v>111</v>
      </c>
      <c r="K1009">
        <v>0</v>
      </c>
      <c r="L1009">
        <v>3</v>
      </c>
      <c r="M1009">
        <v>0</v>
      </c>
      <c r="N1009">
        <v>2</v>
      </c>
      <c r="O1009">
        <v>1</v>
      </c>
      <c r="P1009">
        <v>0</v>
      </c>
      <c r="Q1009">
        <v>0</v>
      </c>
      <c r="R1009" t="s">
        <v>112</v>
      </c>
      <c r="S1009" t="str">
        <f>"14:07:09.938"</f>
        <v>14:07:09.938</v>
      </c>
      <c r="T1009" t="str">
        <f>"14:07:09.539"</f>
        <v>14:07:09.539</v>
      </c>
      <c r="U1009" t="str">
        <f t="shared" si="45"/>
        <v>ad5732</v>
      </c>
      <c r="V1009">
        <v>0</v>
      </c>
      <c r="W1009">
        <v>0</v>
      </c>
      <c r="X1009">
        <v>1</v>
      </c>
      <c r="Z1009">
        <v>0</v>
      </c>
      <c r="AA1009">
        <v>9</v>
      </c>
      <c r="AB1009">
        <v>3</v>
      </c>
      <c r="AC1009">
        <v>0</v>
      </c>
      <c r="AD1009">
        <v>10</v>
      </c>
      <c r="AE1009">
        <v>0</v>
      </c>
      <c r="AF1009">
        <v>3</v>
      </c>
      <c r="AG1009">
        <v>2</v>
      </c>
      <c r="AH1009">
        <v>0</v>
      </c>
      <c r="AI1009" t="s">
        <v>2115</v>
      </c>
      <c r="AJ1009">
        <v>39.436025999999998</v>
      </c>
      <c r="AK1009" t="s">
        <v>2116</v>
      </c>
      <c r="AL1009">
        <v>-76.869427999999999</v>
      </c>
      <c r="AM1009">
        <v>100</v>
      </c>
      <c r="AN1009">
        <v>8700</v>
      </c>
      <c r="AO1009" t="s">
        <v>115</v>
      </c>
      <c r="AP1009">
        <v>170</v>
      </c>
      <c r="AQ1009">
        <v>87</v>
      </c>
      <c r="AR1009">
        <v>0</v>
      </c>
      <c r="AZ1009">
        <v>3614</v>
      </c>
      <c r="BA1009">
        <v>1</v>
      </c>
      <c r="BB1009" t="str">
        <f t="shared" si="47"/>
        <v xml:space="preserve">N959MJ  </v>
      </c>
      <c r="BC1009">
        <v>1</v>
      </c>
      <c r="BE1009">
        <v>0</v>
      </c>
      <c r="BF1009">
        <v>0</v>
      </c>
      <c r="BG1009">
        <v>0</v>
      </c>
      <c r="BH1009">
        <v>9000</v>
      </c>
      <c r="BI1009">
        <v>300</v>
      </c>
      <c r="BJ1009">
        <v>1</v>
      </c>
      <c r="BK1009">
        <v>1</v>
      </c>
      <c r="BL1009">
        <v>1</v>
      </c>
      <c r="BM1009">
        <v>0</v>
      </c>
      <c r="BP1009">
        <v>0</v>
      </c>
      <c r="BQ1009">
        <v>0</v>
      </c>
      <c r="BX1009" t="str">
        <f>"14:07:09.938"</f>
        <v>14:07:09.938</v>
      </c>
      <c r="BY1009" t="str">
        <f>"941150471"</f>
        <v>941150471</v>
      </c>
      <c r="CL1009">
        <v>0</v>
      </c>
      <c r="CM1009">
        <v>2</v>
      </c>
      <c r="CN1009">
        <v>0</v>
      </c>
      <c r="CO1009">
        <v>2</v>
      </c>
      <c r="CP1009">
        <v>0</v>
      </c>
      <c r="CQ1009">
        <v>5</v>
      </c>
      <c r="CR1009" t="s">
        <v>116</v>
      </c>
      <c r="CS1009">
        <v>372</v>
      </c>
      <c r="CT1009">
        <v>2</v>
      </c>
      <c r="CU1009" t="s">
        <v>877</v>
      </c>
      <c r="CV1009" t="s">
        <v>878</v>
      </c>
      <c r="CY1009">
        <v>9879233</v>
      </c>
      <c r="CZ1009" t="s">
        <v>119</v>
      </c>
    </row>
    <row r="1010" spans="1:104" x14ac:dyDescent="0.25">
      <c r="A1010" t="str">
        <f>"14:07:11.008"</f>
        <v>14:07:11.008</v>
      </c>
      <c r="B1010" t="s">
        <v>108</v>
      </c>
      <c r="C1010" t="str">
        <f t="shared" si="46"/>
        <v>ffdfd3c0</v>
      </c>
      <c r="D1010" t="s">
        <v>109</v>
      </c>
      <c r="E1010">
        <v>4</v>
      </c>
      <c r="F1010">
        <v>1004</v>
      </c>
      <c r="G1010" t="s">
        <v>110</v>
      </c>
      <c r="J1010" t="s">
        <v>111</v>
      </c>
      <c r="K1010">
        <v>0</v>
      </c>
      <c r="L1010">
        <v>3</v>
      </c>
      <c r="M1010">
        <v>0</v>
      </c>
      <c r="N1010">
        <v>2</v>
      </c>
      <c r="O1010">
        <v>1</v>
      </c>
      <c r="P1010">
        <v>0</v>
      </c>
      <c r="Q1010">
        <v>0</v>
      </c>
      <c r="R1010" t="s">
        <v>112</v>
      </c>
      <c r="S1010" t="str">
        <f>"14:07:10.828"</f>
        <v>14:07:10.828</v>
      </c>
      <c r="T1010" t="str">
        <f>"14:07:10.430"</f>
        <v>14:07:10.430</v>
      </c>
      <c r="U1010" t="str">
        <f t="shared" si="45"/>
        <v>ad5732</v>
      </c>
      <c r="V1010">
        <v>0</v>
      </c>
      <c r="W1010">
        <v>0</v>
      </c>
      <c r="X1010">
        <v>1</v>
      </c>
      <c r="Z1010">
        <v>0</v>
      </c>
      <c r="AA1010">
        <v>9</v>
      </c>
      <c r="AB1010">
        <v>3</v>
      </c>
      <c r="AC1010">
        <v>0</v>
      </c>
      <c r="AD1010">
        <v>10</v>
      </c>
      <c r="AE1010">
        <v>0</v>
      </c>
      <c r="AF1010">
        <v>3</v>
      </c>
      <c r="AG1010">
        <v>2</v>
      </c>
      <c r="AH1010">
        <v>0</v>
      </c>
      <c r="AI1010" t="s">
        <v>2117</v>
      </c>
      <c r="AJ1010">
        <v>39.436411999999997</v>
      </c>
      <c r="AK1010" t="s">
        <v>2118</v>
      </c>
      <c r="AL1010">
        <v>-76.868527</v>
      </c>
      <c r="AM1010">
        <v>100</v>
      </c>
      <c r="AN1010">
        <v>8700</v>
      </c>
      <c r="AO1010" t="s">
        <v>115</v>
      </c>
      <c r="AP1010">
        <v>170</v>
      </c>
      <c r="AQ1010">
        <v>87</v>
      </c>
      <c r="AR1010">
        <v>0</v>
      </c>
      <c r="AZ1010">
        <v>3614</v>
      </c>
      <c r="BA1010">
        <v>1</v>
      </c>
      <c r="BB1010" t="str">
        <f t="shared" si="47"/>
        <v xml:space="preserve">N959MJ  </v>
      </c>
      <c r="BC1010">
        <v>1</v>
      </c>
      <c r="BE1010">
        <v>0</v>
      </c>
      <c r="BF1010">
        <v>0</v>
      </c>
      <c r="BG1010">
        <v>0</v>
      </c>
      <c r="BH1010">
        <v>9000</v>
      </c>
      <c r="BI1010">
        <v>300</v>
      </c>
      <c r="BJ1010">
        <v>1</v>
      </c>
      <c r="BK1010">
        <v>1</v>
      </c>
      <c r="BL1010">
        <v>1</v>
      </c>
      <c r="BM1010">
        <v>0</v>
      </c>
      <c r="BP1010">
        <v>0</v>
      </c>
      <c r="BQ1010">
        <v>0</v>
      </c>
      <c r="BX1010" t="str">
        <f>"14:07:10.836"</f>
        <v>14:07:10.836</v>
      </c>
      <c r="BY1010" t="str">
        <f>"834063507"</f>
        <v>834063507</v>
      </c>
      <c r="CL1010">
        <v>0</v>
      </c>
      <c r="CM1010">
        <v>2</v>
      </c>
      <c r="CN1010">
        <v>0</v>
      </c>
      <c r="CO1010">
        <v>2</v>
      </c>
      <c r="CP1010">
        <v>0</v>
      </c>
      <c r="CQ1010">
        <v>6</v>
      </c>
      <c r="CR1010" t="s">
        <v>116</v>
      </c>
      <c r="CS1010">
        <v>396</v>
      </c>
      <c r="CT1010">
        <v>2</v>
      </c>
      <c r="CU1010" t="s">
        <v>939</v>
      </c>
      <c r="CV1010" t="s">
        <v>940</v>
      </c>
      <c r="CY1010">
        <v>4506158</v>
      </c>
      <c r="CZ1010" t="s">
        <v>119</v>
      </c>
    </row>
    <row r="1011" spans="1:104" x14ac:dyDescent="0.25">
      <c r="A1011" t="str">
        <f>"14:07:12.023"</f>
        <v>14:07:12.023</v>
      </c>
      <c r="B1011" t="s">
        <v>108</v>
      </c>
      <c r="C1011" t="str">
        <f t="shared" si="46"/>
        <v>ffdfd3c0</v>
      </c>
      <c r="D1011" t="s">
        <v>109</v>
      </c>
      <c r="E1011">
        <v>4</v>
      </c>
      <c r="F1011">
        <v>1004</v>
      </c>
      <c r="G1011" t="s">
        <v>110</v>
      </c>
      <c r="J1011" t="s">
        <v>111</v>
      </c>
      <c r="K1011">
        <v>0</v>
      </c>
      <c r="L1011">
        <v>3</v>
      </c>
      <c r="M1011">
        <v>0</v>
      </c>
      <c r="N1011">
        <v>2</v>
      </c>
      <c r="O1011">
        <v>1</v>
      </c>
      <c r="P1011">
        <v>0</v>
      </c>
      <c r="Q1011">
        <v>0</v>
      </c>
      <c r="R1011" t="s">
        <v>112</v>
      </c>
      <c r="S1011" t="str">
        <f>"14:07:11.836"</f>
        <v>14:07:11.836</v>
      </c>
      <c r="T1011" t="str">
        <f>"14:07:11.336"</f>
        <v>14:07:11.336</v>
      </c>
      <c r="U1011" t="str">
        <f t="shared" si="45"/>
        <v>ad5732</v>
      </c>
      <c r="V1011">
        <v>0</v>
      </c>
      <c r="W1011">
        <v>0</v>
      </c>
      <c r="X1011">
        <v>1</v>
      </c>
      <c r="Z1011">
        <v>0</v>
      </c>
      <c r="AA1011">
        <v>9</v>
      </c>
      <c r="AB1011">
        <v>3</v>
      </c>
      <c r="AC1011">
        <v>0</v>
      </c>
      <c r="AD1011">
        <v>10</v>
      </c>
      <c r="AE1011">
        <v>0</v>
      </c>
      <c r="AF1011">
        <v>3</v>
      </c>
      <c r="AG1011">
        <v>2</v>
      </c>
      <c r="AH1011">
        <v>0</v>
      </c>
      <c r="AI1011" t="s">
        <v>2119</v>
      </c>
      <c r="AJ1011">
        <v>39.436776999999999</v>
      </c>
      <c r="AK1011" t="s">
        <v>2120</v>
      </c>
      <c r="AL1011">
        <v>-76.867497</v>
      </c>
      <c r="AM1011">
        <v>100</v>
      </c>
      <c r="AN1011">
        <v>8700</v>
      </c>
      <c r="AO1011" t="s">
        <v>115</v>
      </c>
      <c r="AP1011">
        <v>170</v>
      </c>
      <c r="AQ1011">
        <v>87</v>
      </c>
      <c r="AR1011">
        <v>0</v>
      </c>
      <c r="AZ1011">
        <v>3614</v>
      </c>
      <c r="BA1011">
        <v>1</v>
      </c>
      <c r="BB1011" t="str">
        <f t="shared" si="47"/>
        <v xml:space="preserve">N959MJ  </v>
      </c>
      <c r="BC1011">
        <v>1</v>
      </c>
      <c r="BE1011">
        <v>0</v>
      </c>
      <c r="BF1011">
        <v>0</v>
      </c>
      <c r="BG1011">
        <v>0</v>
      </c>
      <c r="BH1011">
        <v>9000</v>
      </c>
      <c r="BI1011">
        <v>300</v>
      </c>
      <c r="BJ1011">
        <v>1</v>
      </c>
      <c r="BK1011">
        <v>1</v>
      </c>
      <c r="BL1011">
        <v>1</v>
      </c>
      <c r="BM1011">
        <v>0</v>
      </c>
      <c r="BP1011">
        <v>0</v>
      </c>
      <c r="BQ1011">
        <v>0</v>
      </c>
      <c r="BX1011" t="str">
        <f>"14:07:11.844"</f>
        <v>14:07:11.844</v>
      </c>
      <c r="BY1011" t="str">
        <f>"840057378"</f>
        <v>840057378</v>
      </c>
      <c r="CL1011">
        <v>0</v>
      </c>
      <c r="CM1011">
        <v>2</v>
      </c>
      <c r="CN1011">
        <v>0</v>
      </c>
      <c r="CO1011">
        <v>2</v>
      </c>
      <c r="CP1011">
        <v>0</v>
      </c>
      <c r="CQ1011">
        <v>6</v>
      </c>
      <c r="CR1011" t="s">
        <v>116</v>
      </c>
      <c r="CS1011">
        <v>396</v>
      </c>
      <c r="CT1011">
        <v>2</v>
      </c>
      <c r="CU1011" t="s">
        <v>939</v>
      </c>
      <c r="CV1011" t="s">
        <v>940</v>
      </c>
      <c r="CY1011">
        <v>4507994</v>
      </c>
      <c r="CZ1011" t="s">
        <v>119</v>
      </c>
    </row>
    <row r="1012" spans="1:104" x14ac:dyDescent="0.25">
      <c r="A1012" t="str">
        <f>"14:07:12.930"</f>
        <v>14:07:12.930</v>
      </c>
      <c r="B1012" t="s">
        <v>108</v>
      </c>
      <c r="C1012" t="str">
        <f t="shared" si="46"/>
        <v>ffdfd3c0</v>
      </c>
      <c r="D1012" t="s">
        <v>109</v>
      </c>
      <c r="E1012">
        <v>4</v>
      </c>
      <c r="F1012">
        <v>1004</v>
      </c>
      <c r="G1012" t="s">
        <v>110</v>
      </c>
      <c r="J1012" t="s">
        <v>111</v>
      </c>
      <c r="K1012">
        <v>0</v>
      </c>
      <c r="L1012">
        <v>3</v>
      </c>
      <c r="M1012">
        <v>0</v>
      </c>
      <c r="N1012">
        <v>2</v>
      </c>
      <c r="O1012">
        <v>1</v>
      </c>
      <c r="P1012">
        <v>0</v>
      </c>
      <c r="Q1012">
        <v>0</v>
      </c>
      <c r="R1012" t="s">
        <v>112</v>
      </c>
      <c r="S1012" t="str">
        <f>"14:07:12.766"</f>
        <v>14:07:12.766</v>
      </c>
      <c r="T1012" t="str">
        <f>"14:07:12.367"</f>
        <v>14:07:12.367</v>
      </c>
      <c r="U1012" t="str">
        <f t="shared" si="45"/>
        <v>ad5732</v>
      </c>
      <c r="V1012">
        <v>0</v>
      </c>
      <c r="W1012">
        <v>0</v>
      </c>
      <c r="X1012">
        <v>1</v>
      </c>
      <c r="Z1012">
        <v>0</v>
      </c>
      <c r="AA1012">
        <v>9</v>
      </c>
      <c r="AB1012">
        <v>3</v>
      </c>
      <c r="AC1012">
        <v>0</v>
      </c>
      <c r="AD1012">
        <v>10</v>
      </c>
      <c r="AE1012">
        <v>0</v>
      </c>
      <c r="AF1012">
        <v>3</v>
      </c>
      <c r="AG1012">
        <v>2</v>
      </c>
      <c r="AH1012">
        <v>0</v>
      </c>
      <c r="AI1012" t="s">
        <v>2121</v>
      </c>
      <c r="AJ1012">
        <v>39.43712</v>
      </c>
      <c r="AK1012" t="s">
        <v>2122</v>
      </c>
      <c r="AL1012">
        <v>-76.866617000000005</v>
      </c>
      <c r="AM1012">
        <v>100</v>
      </c>
      <c r="AN1012">
        <v>8700</v>
      </c>
      <c r="AO1012" t="s">
        <v>115</v>
      </c>
      <c r="AP1012">
        <v>170</v>
      </c>
      <c r="AQ1012">
        <v>87</v>
      </c>
      <c r="AR1012">
        <v>64</v>
      </c>
      <c r="AZ1012">
        <v>3614</v>
      </c>
      <c r="BA1012">
        <v>1</v>
      </c>
      <c r="BB1012" t="str">
        <f t="shared" si="47"/>
        <v xml:space="preserve">N959MJ  </v>
      </c>
      <c r="BC1012">
        <v>1</v>
      </c>
      <c r="BE1012">
        <v>0</v>
      </c>
      <c r="BF1012">
        <v>0</v>
      </c>
      <c r="BG1012">
        <v>0</v>
      </c>
      <c r="BH1012">
        <v>9000</v>
      </c>
      <c r="BI1012">
        <v>300</v>
      </c>
      <c r="BJ1012">
        <v>1</v>
      </c>
      <c r="BK1012">
        <v>1</v>
      </c>
      <c r="BL1012">
        <v>1</v>
      </c>
      <c r="BM1012">
        <v>0</v>
      </c>
      <c r="BP1012">
        <v>0</v>
      </c>
      <c r="BQ1012">
        <v>0</v>
      </c>
      <c r="BX1012" t="str">
        <f>"14:07:12.766"</f>
        <v>14:07:12.766</v>
      </c>
      <c r="BY1012" t="str">
        <f>"768986696"</f>
        <v>768986696</v>
      </c>
      <c r="CL1012">
        <v>0</v>
      </c>
      <c r="CM1012">
        <v>2</v>
      </c>
      <c r="CN1012">
        <v>0</v>
      </c>
      <c r="CO1012">
        <v>2</v>
      </c>
      <c r="CP1012">
        <v>0</v>
      </c>
      <c r="CQ1012">
        <v>6</v>
      </c>
      <c r="CR1012" t="s">
        <v>116</v>
      </c>
      <c r="CS1012">
        <v>525</v>
      </c>
      <c r="CT1012">
        <v>1</v>
      </c>
      <c r="CU1012" t="s">
        <v>140</v>
      </c>
      <c r="CV1012" t="s">
        <v>141</v>
      </c>
      <c r="CY1012">
        <v>8627797</v>
      </c>
      <c r="CZ1012" t="s">
        <v>119</v>
      </c>
    </row>
    <row r="1013" spans="1:104" x14ac:dyDescent="0.25">
      <c r="A1013" t="str">
        <f>"14:07:13.984"</f>
        <v>14:07:13.984</v>
      </c>
      <c r="B1013" t="s">
        <v>108</v>
      </c>
      <c r="C1013" t="str">
        <f t="shared" si="46"/>
        <v>ffdfd3c0</v>
      </c>
      <c r="D1013" t="s">
        <v>109</v>
      </c>
      <c r="E1013">
        <v>4</v>
      </c>
      <c r="F1013">
        <v>1004</v>
      </c>
      <c r="G1013" t="s">
        <v>110</v>
      </c>
      <c r="J1013" t="s">
        <v>111</v>
      </c>
      <c r="K1013">
        <v>0</v>
      </c>
      <c r="L1013">
        <v>3</v>
      </c>
      <c r="M1013">
        <v>0</v>
      </c>
      <c r="N1013">
        <v>2</v>
      </c>
      <c r="O1013">
        <v>1</v>
      </c>
      <c r="P1013">
        <v>0</v>
      </c>
      <c r="Q1013">
        <v>0</v>
      </c>
      <c r="R1013" t="s">
        <v>112</v>
      </c>
      <c r="S1013" t="str">
        <f>"14:07:13.820"</f>
        <v>14:07:13.820</v>
      </c>
      <c r="T1013" t="str">
        <f>"14:07:13.320"</f>
        <v>14:07:13.320</v>
      </c>
      <c r="U1013" t="str">
        <f t="shared" si="45"/>
        <v>ad5732</v>
      </c>
      <c r="V1013">
        <v>0</v>
      </c>
      <c r="W1013">
        <v>0</v>
      </c>
      <c r="X1013">
        <v>1</v>
      </c>
      <c r="Z1013">
        <v>0</v>
      </c>
      <c r="AA1013">
        <v>9</v>
      </c>
      <c r="AB1013">
        <v>3</v>
      </c>
      <c r="AC1013">
        <v>0</v>
      </c>
      <c r="AD1013">
        <v>10</v>
      </c>
      <c r="AE1013">
        <v>0</v>
      </c>
      <c r="AF1013">
        <v>3</v>
      </c>
      <c r="AG1013">
        <v>2</v>
      </c>
      <c r="AH1013">
        <v>0</v>
      </c>
      <c r="AI1013" t="s">
        <v>2123</v>
      </c>
      <c r="AJ1013">
        <v>39.437570999999998</v>
      </c>
      <c r="AK1013" t="s">
        <v>2124</v>
      </c>
      <c r="AL1013">
        <v>-76.865480000000005</v>
      </c>
      <c r="AM1013">
        <v>100</v>
      </c>
      <c r="AN1013">
        <v>8700</v>
      </c>
      <c r="AO1013" t="s">
        <v>115</v>
      </c>
      <c r="AP1013">
        <v>170</v>
      </c>
      <c r="AQ1013">
        <v>87</v>
      </c>
      <c r="AR1013">
        <v>64</v>
      </c>
      <c r="AZ1013">
        <v>3614</v>
      </c>
      <c r="BA1013">
        <v>1</v>
      </c>
      <c r="BB1013" t="str">
        <f t="shared" si="47"/>
        <v xml:space="preserve">N959MJ  </v>
      </c>
      <c r="BC1013">
        <v>1</v>
      </c>
      <c r="BE1013">
        <v>0</v>
      </c>
      <c r="BF1013">
        <v>0</v>
      </c>
      <c r="BG1013">
        <v>0</v>
      </c>
      <c r="BH1013">
        <v>9000</v>
      </c>
      <c r="BI1013">
        <v>300</v>
      </c>
      <c r="BJ1013">
        <v>1</v>
      </c>
      <c r="BK1013">
        <v>1</v>
      </c>
      <c r="BL1013">
        <v>1</v>
      </c>
      <c r="BM1013">
        <v>0</v>
      </c>
      <c r="BP1013">
        <v>0</v>
      </c>
      <c r="BQ1013">
        <v>0</v>
      </c>
      <c r="BX1013" t="str">
        <f>"14:07:13.820"</f>
        <v>14:07:13.820</v>
      </c>
      <c r="BY1013" t="str">
        <f>"820857047"</f>
        <v>820857047</v>
      </c>
      <c r="CL1013">
        <v>0</v>
      </c>
      <c r="CM1013">
        <v>2</v>
      </c>
      <c r="CN1013">
        <v>0</v>
      </c>
      <c r="CO1013">
        <v>2</v>
      </c>
      <c r="CP1013">
        <v>0</v>
      </c>
      <c r="CQ1013">
        <v>6</v>
      </c>
      <c r="CR1013" t="s">
        <v>116</v>
      </c>
      <c r="CS1013">
        <v>525</v>
      </c>
      <c r="CT1013">
        <v>1</v>
      </c>
      <c r="CU1013" t="s">
        <v>140</v>
      </c>
      <c r="CV1013" t="s">
        <v>141</v>
      </c>
      <c r="CY1013">
        <v>8629302</v>
      </c>
      <c r="CZ1013" t="s">
        <v>119</v>
      </c>
    </row>
    <row r="1014" spans="1:104" x14ac:dyDescent="0.25">
      <c r="A1014" t="str">
        <f>"14:07:15.000"</f>
        <v>14:07:15.000</v>
      </c>
      <c r="B1014" t="s">
        <v>108</v>
      </c>
      <c r="C1014" t="str">
        <f t="shared" si="46"/>
        <v>ffdfd3c0</v>
      </c>
      <c r="D1014" t="s">
        <v>109</v>
      </c>
      <c r="E1014">
        <v>4</v>
      </c>
      <c r="F1014">
        <v>1004</v>
      </c>
      <c r="G1014" t="s">
        <v>110</v>
      </c>
      <c r="J1014" t="s">
        <v>111</v>
      </c>
      <c r="K1014">
        <v>0</v>
      </c>
      <c r="L1014">
        <v>3</v>
      </c>
      <c r="M1014">
        <v>0</v>
      </c>
      <c r="N1014">
        <v>2</v>
      </c>
      <c r="O1014">
        <v>1</v>
      </c>
      <c r="P1014">
        <v>0</v>
      </c>
      <c r="Q1014">
        <v>0</v>
      </c>
      <c r="R1014" t="s">
        <v>112</v>
      </c>
      <c r="S1014" t="str">
        <f>"14:07:14.813"</f>
        <v>14:07:14.813</v>
      </c>
      <c r="T1014" t="str">
        <f>"14:07:14.313"</f>
        <v>14:07:14.313</v>
      </c>
      <c r="U1014" t="str">
        <f t="shared" si="45"/>
        <v>ad5732</v>
      </c>
      <c r="V1014">
        <v>0</v>
      </c>
      <c r="W1014">
        <v>0</v>
      </c>
      <c r="X1014">
        <v>1</v>
      </c>
      <c r="Z1014">
        <v>0</v>
      </c>
      <c r="AA1014">
        <v>9</v>
      </c>
      <c r="AB1014">
        <v>3</v>
      </c>
      <c r="AC1014">
        <v>0</v>
      </c>
      <c r="AD1014">
        <v>10</v>
      </c>
      <c r="AE1014">
        <v>0</v>
      </c>
      <c r="AF1014">
        <v>3</v>
      </c>
      <c r="AG1014">
        <v>2</v>
      </c>
      <c r="AH1014">
        <v>0</v>
      </c>
      <c r="AI1014" t="s">
        <v>2125</v>
      </c>
      <c r="AJ1014">
        <v>39.437978000000001</v>
      </c>
      <c r="AK1014" t="s">
        <v>2126</v>
      </c>
      <c r="AL1014">
        <v>-76.864450000000005</v>
      </c>
      <c r="AM1014">
        <v>100</v>
      </c>
      <c r="AN1014">
        <v>8700</v>
      </c>
      <c r="AO1014" t="s">
        <v>115</v>
      </c>
      <c r="AP1014">
        <v>170</v>
      </c>
      <c r="AQ1014">
        <v>87</v>
      </c>
      <c r="AR1014">
        <v>64</v>
      </c>
      <c r="AZ1014">
        <v>3614</v>
      </c>
      <c r="BA1014">
        <v>1</v>
      </c>
      <c r="BB1014" t="str">
        <f t="shared" si="47"/>
        <v xml:space="preserve">N959MJ  </v>
      </c>
      <c r="BC1014">
        <v>1</v>
      </c>
      <c r="BE1014">
        <v>0</v>
      </c>
      <c r="BF1014">
        <v>0</v>
      </c>
      <c r="BG1014">
        <v>0</v>
      </c>
      <c r="BH1014">
        <v>9025</v>
      </c>
      <c r="BI1014">
        <v>325</v>
      </c>
      <c r="BJ1014">
        <v>1</v>
      </c>
      <c r="BK1014">
        <v>1</v>
      </c>
      <c r="BL1014">
        <v>1</v>
      </c>
      <c r="BM1014">
        <v>0</v>
      </c>
      <c r="BP1014">
        <v>0</v>
      </c>
      <c r="BQ1014">
        <v>0</v>
      </c>
      <c r="BX1014" t="str">
        <f>"14:07:14.820"</f>
        <v>14:07:14.820</v>
      </c>
      <c r="BY1014" t="str">
        <f>"818659391"</f>
        <v>818659391</v>
      </c>
      <c r="CL1014">
        <v>0</v>
      </c>
      <c r="CM1014">
        <v>2</v>
      </c>
      <c r="CN1014">
        <v>0</v>
      </c>
      <c r="CO1014">
        <v>2</v>
      </c>
      <c r="CP1014">
        <v>0</v>
      </c>
      <c r="CQ1014">
        <v>6</v>
      </c>
      <c r="CR1014" t="s">
        <v>116</v>
      </c>
      <c r="CS1014">
        <v>525</v>
      </c>
      <c r="CT1014">
        <v>1</v>
      </c>
      <c r="CU1014" t="s">
        <v>140</v>
      </c>
      <c r="CV1014" t="s">
        <v>141</v>
      </c>
      <c r="CY1014">
        <v>8630747</v>
      </c>
      <c r="CZ1014" t="s">
        <v>119</v>
      </c>
    </row>
    <row r="1015" spans="1:104" x14ac:dyDescent="0.25">
      <c r="A1015" t="str">
        <f>"14:07:15.906"</f>
        <v>14:07:15.906</v>
      </c>
      <c r="B1015" t="s">
        <v>108</v>
      </c>
      <c r="C1015" t="str">
        <f t="shared" si="46"/>
        <v>ffdfd3c0</v>
      </c>
      <c r="D1015" t="s">
        <v>109</v>
      </c>
      <c r="E1015">
        <v>4</v>
      </c>
      <c r="F1015">
        <v>1004</v>
      </c>
      <c r="G1015" t="s">
        <v>110</v>
      </c>
      <c r="J1015" t="s">
        <v>111</v>
      </c>
      <c r="K1015">
        <v>0</v>
      </c>
      <c r="L1015">
        <v>3</v>
      </c>
      <c r="M1015">
        <v>0</v>
      </c>
      <c r="N1015">
        <v>2</v>
      </c>
      <c r="O1015">
        <v>1</v>
      </c>
      <c r="P1015">
        <v>0</v>
      </c>
      <c r="Q1015">
        <v>0</v>
      </c>
      <c r="R1015" t="s">
        <v>112</v>
      </c>
      <c r="S1015" t="str">
        <f>"14:07:15.703"</f>
        <v>14:07:15.703</v>
      </c>
      <c r="T1015" t="str">
        <f>"14:07:15.305"</f>
        <v>14:07:15.305</v>
      </c>
      <c r="U1015" t="str">
        <f t="shared" si="45"/>
        <v>ad5732</v>
      </c>
      <c r="V1015">
        <v>0</v>
      </c>
      <c r="W1015">
        <v>0</v>
      </c>
      <c r="X1015">
        <v>1</v>
      </c>
      <c r="Z1015">
        <v>0</v>
      </c>
      <c r="AA1015">
        <v>9</v>
      </c>
      <c r="AB1015">
        <v>3</v>
      </c>
      <c r="AC1015">
        <v>0</v>
      </c>
      <c r="AD1015">
        <v>10</v>
      </c>
      <c r="AE1015">
        <v>0</v>
      </c>
      <c r="AF1015">
        <v>3</v>
      </c>
      <c r="AG1015">
        <v>2</v>
      </c>
      <c r="AH1015">
        <v>0</v>
      </c>
      <c r="AI1015" t="s">
        <v>2127</v>
      </c>
      <c r="AJ1015">
        <v>39.438364999999997</v>
      </c>
      <c r="AK1015" t="s">
        <v>2128</v>
      </c>
      <c r="AL1015">
        <v>-76.863506000000001</v>
      </c>
      <c r="AM1015">
        <v>100</v>
      </c>
      <c r="AN1015">
        <v>8700</v>
      </c>
      <c r="AO1015" t="s">
        <v>115</v>
      </c>
      <c r="AP1015">
        <v>170</v>
      </c>
      <c r="AQ1015">
        <v>87</v>
      </c>
      <c r="AR1015">
        <v>64</v>
      </c>
      <c r="AZ1015">
        <v>3614</v>
      </c>
      <c r="BA1015">
        <v>1</v>
      </c>
      <c r="BB1015" t="str">
        <f t="shared" si="47"/>
        <v xml:space="preserve">N959MJ  </v>
      </c>
      <c r="BC1015">
        <v>1</v>
      </c>
      <c r="BE1015">
        <v>0</v>
      </c>
      <c r="BF1015">
        <v>0</v>
      </c>
      <c r="BG1015">
        <v>0</v>
      </c>
      <c r="BH1015">
        <v>9025</v>
      </c>
      <c r="BI1015">
        <v>325</v>
      </c>
      <c r="BJ1015">
        <v>1</v>
      </c>
      <c r="BK1015">
        <v>1</v>
      </c>
      <c r="BL1015">
        <v>1</v>
      </c>
      <c r="BM1015">
        <v>0</v>
      </c>
      <c r="BP1015">
        <v>0</v>
      </c>
      <c r="BQ1015">
        <v>0</v>
      </c>
      <c r="BX1015" t="str">
        <f>"14:07:15.703"</f>
        <v>14:07:15.703</v>
      </c>
      <c r="BY1015" t="str">
        <f>"706687263"</f>
        <v>706687263</v>
      </c>
      <c r="CL1015">
        <v>0</v>
      </c>
      <c r="CM1015">
        <v>2</v>
      </c>
      <c r="CN1015">
        <v>0</v>
      </c>
      <c r="CO1015">
        <v>2</v>
      </c>
      <c r="CP1015">
        <v>0</v>
      </c>
      <c r="CQ1015">
        <v>6</v>
      </c>
      <c r="CR1015" t="s">
        <v>116</v>
      </c>
      <c r="CS1015">
        <v>525</v>
      </c>
      <c r="CT1015">
        <v>1</v>
      </c>
      <c r="CU1015" t="s">
        <v>140</v>
      </c>
      <c r="CV1015" t="s">
        <v>141</v>
      </c>
      <c r="CY1015">
        <v>8632055</v>
      </c>
      <c r="CZ1015" t="s">
        <v>119</v>
      </c>
    </row>
    <row r="1016" spans="1:104" x14ac:dyDescent="0.25">
      <c r="A1016" t="str">
        <f>"14:07:16.969"</f>
        <v>14:07:16.969</v>
      </c>
      <c r="B1016" t="s">
        <v>108</v>
      </c>
      <c r="C1016" t="str">
        <f t="shared" si="46"/>
        <v>ffdfd3c0</v>
      </c>
      <c r="D1016" t="s">
        <v>109</v>
      </c>
      <c r="E1016">
        <v>4</v>
      </c>
      <c r="F1016">
        <v>1004</v>
      </c>
      <c r="G1016" t="s">
        <v>110</v>
      </c>
      <c r="J1016" t="s">
        <v>111</v>
      </c>
      <c r="K1016">
        <v>0</v>
      </c>
      <c r="L1016">
        <v>3</v>
      </c>
      <c r="M1016">
        <v>0</v>
      </c>
      <c r="N1016">
        <v>2</v>
      </c>
      <c r="O1016">
        <v>1</v>
      </c>
      <c r="P1016">
        <v>0</v>
      </c>
      <c r="Q1016">
        <v>0</v>
      </c>
      <c r="R1016" t="s">
        <v>112</v>
      </c>
      <c r="S1016" t="str">
        <f>"14:07:16.789"</f>
        <v>14:07:16.789</v>
      </c>
      <c r="T1016" t="str">
        <f>"14:07:16.289"</f>
        <v>14:07:16.289</v>
      </c>
      <c r="U1016" t="str">
        <f t="shared" si="45"/>
        <v>ad5732</v>
      </c>
      <c r="V1016">
        <v>0</v>
      </c>
      <c r="W1016">
        <v>0</v>
      </c>
      <c r="X1016">
        <v>1</v>
      </c>
      <c r="Z1016">
        <v>0</v>
      </c>
      <c r="AA1016">
        <v>9</v>
      </c>
      <c r="AB1016">
        <v>3</v>
      </c>
      <c r="AC1016">
        <v>0</v>
      </c>
      <c r="AD1016">
        <v>10</v>
      </c>
      <c r="AE1016">
        <v>0</v>
      </c>
      <c r="AF1016">
        <v>3</v>
      </c>
      <c r="AG1016">
        <v>2</v>
      </c>
      <c r="AH1016">
        <v>0</v>
      </c>
      <c r="AI1016" t="s">
        <v>2129</v>
      </c>
      <c r="AJ1016">
        <v>39.438772</v>
      </c>
      <c r="AK1016" t="s">
        <v>2130</v>
      </c>
      <c r="AL1016">
        <v>-76.862432999999996</v>
      </c>
      <c r="AM1016">
        <v>100</v>
      </c>
      <c r="AN1016">
        <v>8700</v>
      </c>
      <c r="AO1016" t="s">
        <v>115</v>
      </c>
      <c r="AP1016">
        <v>170</v>
      </c>
      <c r="AQ1016">
        <v>87</v>
      </c>
      <c r="AR1016">
        <v>64</v>
      </c>
      <c r="AZ1016">
        <v>3614</v>
      </c>
      <c r="BA1016">
        <v>1</v>
      </c>
      <c r="BB1016" t="str">
        <f t="shared" si="47"/>
        <v xml:space="preserve">N959MJ  </v>
      </c>
      <c r="BC1016">
        <v>1</v>
      </c>
      <c r="BE1016">
        <v>0</v>
      </c>
      <c r="BF1016">
        <v>0</v>
      </c>
      <c r="BG1016">
        <v>0</v>
      </c>
      <c r="BH1016">
        <v>9025</v>
      </c>
      <c r="BI1016">
        <v>325</v>
      </c>
      <c r="BJ1016">
        <v>1</v>
      </c>
      <c r="BK1016">
        <v>1</v>
      </c>
      <c r="BL1016">
        <v>1</v>
      </c>
      <c r="BM1016">
        <v>0</v>
      </c>
      <c r="BP1016">
        <v>0</v>
      </c>
      <c r="BQ1016">
        <v>0</v>
      </c>
      <c r="BX1016" t="str">
        <f>"14:07:16.789"</f>
        <v>14:07:16.789</v>
      </c>
      <c r="BY1016" t="str">
        <f>"791382316"</f>
        <v>791382316</v>
      </c>
      <c r="CL1016">
        <v>0</v>
      </c>
      <c r="CM1016">
        <v>2</v>
      </c>
      <c r="CN1016">
        <v>0</v>
      </c>
      <c r="CO1016">
        <v>2</v>
      </c>
      <c r="CP1016">
        <v>0</v>
      </c>
      <c r="CQ1016">
        <v>0</v>
      </c>
      <c r="CR1016" t="s">
        <v>116</v>
      </c>
      <c r="CS1016">
        <v>396</v>
      </c>
      <c r="CT1016">
        <v>2</v>
      </c>
      <c r="CU1016" t="s">
        <v>939</v>
      </c>
      <c r="CV1016" t="s">
        <v>940</v>
      </c>
      <c r="CY1016">
        <v>4516864</v>
      </c>
      <c r="CZ1016" t="s">
        <v>119</v>
      </c>
    </row>
    <row r="1017" spans="1:104" x14ac:dyDescent="0.25">
      <c r="A1017" t="str">
        <f>"14:07:17.977"</f>
        <v>14:07:17.977</v>
      </c>
      <c r="B1017" t="s">
        <v>108</v>
      </c>
      <c r="C1017" t="str">
        <f t="shared" si="46"/>
        <v>ffdfd3c0</v>
      </c>
      <c r="D1017" t="s">
        <v>109</v>
      </c>
      <c r="E1017">
        <v>4</v>
      </c>
      <c r="F1017">
        <v>1004</v>
      </c>
      <c r="G1017" t="s">
        <v>110</v>
      </c>
      <c r="J1017" t="s">
        <v>111</v>
      </c>
      <c r="K1017">
        <v>0</v>
      </c>
      <c r="L1017">
        <v>3</v>
      </c>
      <c r="M1017">
        <v>0</v>
      </c>
      <c r="N1017">
        <v>2</v>
      </c>
      <c r="O1017">
        <v>1</v>
      </c>
      <c r="P1017">
        <v>0</v>
      </c>
      <c r="Q1017">
        <v>0</v>
      </c>
      <c r="R1017" t="s">
        <v>112</v>
      </c>
      <c r="S1017" t="str">
        <f>"14:07:17.781"</f>
        <v>14:07:17.781</v>
      </c>
      <c r="T1017" t="str">
        <f>"14:07:17.383"</f>
        <v>14:07:17.383</v>
      </c>
      <c r="U1017" t="str">
        <f t="shared" si="45"/>
        <v>ad5732</v>
      </c>
      <c r="V1017">
        <v>0</v>
      </c>
      <c r="W1017">
        <v>0</v>
      </c>
      <c r="X1017">
        <v>1</v>
      </c>
      <c r="Z1017">
        <v>0</v>
      </c>
      <c r="AA1017">
        <v>9</v>
      </c>
      <c r="AB1017">
        <v>3</v>
      </c>
      <c r="AC1017">
        <v>0</v>
      </c>
      <c r="AD1017">
        <v>10</v>
      </c>
      <c r="AE1017">
        <v>0</v>
      </c>
      <c r="AF1017">
        <v>3</v>
      </c>
      <c r="AG1017">
        <v>2</v>
      </c>
      <c r="AH1017">
        <v>0</v>
      </c>
      <c r="AI1017" t="s">
        <v>2131</v>
      </c>
      <c r="AJ1017">
        <v>39.43918</v>
      </c>
      <c r="AK1017" t="s">
        <v>2132</v>
      </c>
      <c r="AL1017">
        <v>-76.861489000000006</v>
      </c>
      <c r="AM1017">
        <v>100</v>
      </c>
      <c r="AN1017">
        <v>8700</v>
      </c>
      <c r="AO1017" t="s">
        <v>115</v>
      </c>
      <c r="AP1017">
        <v>170</v>
      </c>
      <c r="AQ1017">
        <v>87</v>
      </c>
      <c r="AR1017">
        <v>64</v>
      </c>
      <c r="AZ1017">
        <v>3614</v>
      </c>
      <c r="BA1017">
        <v>1</v>
      </c>
      <c r="BB1017" t="str">
        <f t="shared" si="47"/>
        <v xml:space="preserve">N959MJ  </v>
      </c>
      <c r="BC1017">
        <v>1</v>
      </c>
      <c r="BE1017">
        <v>0</v>
      </c>
      <c r="BF1017">
        <v>0</v>
      </c>
      <c r="BG1017">
        <v>0</v>
      </c>
      <c r="BH1017">
        <v>9025</v>
      </c>
      <c r="BI1017">
        <v>325</v>
      </c>
      <c r="BJ1017">
        <v>1</v>
      </c>
      <c r="BK1017">
        <v>1</v>
      </c>
      <c r="BL1017">
        <v>1</v>
      </c>
      <c r="BM1017">
        <v>0</v>
      </c>
      <c r="BP1017">
        <v>0</v>
      </c>
      <c r="BQ1017">
        <v>0</v>
      </c>
      <c r="BX1017" t="str">
        <f>"14:07:17.781"</f>
        <v>14:07:17.781</v>
      </c>
      <c r="BY1017" t="str">
        <f>"782630418"</f>
        <v>782630418</v>
      </c>
      <c r="CL1017">
        <v>0</v>
      </c>
      <c r="CM1017">
        <v>2</v>
      </c>
      <c r="CN1017">
        <v>0</v>
      </c>
      <c r="CO1017">
        <v>2</v>
      </c>
      <c r="CP1017">
        <v>0</v>
      </c>
      <c r="CQ1017">
        <v>6</v>
      </c>
      <c r="CR1017" t="s">
        <v>116</v>
      </c>
      <c r="CS1017">
        <v>396</v>
      </c>
      <c r="CT1017">
        <v>2</v>
      </c>
      <c r="CU1017" t="s">
        <v>939</v>
      </c>
      <c r="CV1017" t="s">
        <v>940</v>
      </c>
      <c r="CY1017">
        <v>4518630</v>
      </c>
      <c r="CZ1017" t="s">
        <v>119</v>
      </c>
    </row>
    <row r="1018" spans="1:104" x14ac:dyDescent="0.25">
      <c r="A1018" t="str">
        <f>"14:07:18.930"</f>
        <v>14:07:18.930</v>
      </c>
      <c r="B1018" t="s">
        <v>108</v>
      </c>
      <c r="C1018" t="str">
        <f t="shared" si="46"/>
        <v>ffdfd3c0</v>
      </c>
      <c r="D1018" t="s">
        <v>109</v>
      </c>
      <c r="E1018">
        <v>4</v>
      </c>
      <c r="F1018">
        <v>1004</v>
      </c>
      <c r="G1018" t="s">
        <v>110</v>
      </c>
      <c r="J1018" t="s">
        <v>111</v>
      </c>
      <c r="K1018">
        <v>0</v>
      </c>
      <c r="L1018">
        <v>3</v>
      </c>
      <c r="M1018">
        <v>0</v>
      </c>
      <c r="N1018">
        <v>2</v>
      </c>
      <c r="O1018">
        <v>1</v>
      </c>
      <c r="P1018">
        <v>0</v>
      </c>
      <c r="Q1018">
        <v>0</v>
      </c>
      <c r="R1018" t="s">
        <v>112</v>
      </c>
      <c r="S1018" t="str">
        <f>"14:07:18.734"</f>
        <v>14:07:18.734</v>
      </c>
      <c r="T1018" t="str">
        <f>"14:07:18.234"</f>
        <v>14:07:18.234</v>
      </c>
      <c r="U1018" t="str">
        <f t="shared" si="45"/>
        <v>ad5732</v>
      </c>
      <c r="V1018">
        <v>0</v>
      </c>
      <c r="W1018">
        <v>0</v>
      </c>
      <c r="X1018">
        <v>1</v>
      </c>
      <c r="Z1018">
        <v>0</v>
      </c>
      <c r="AA1018">
        <v>9</v>
      </c>
      <c r="AB1018">
        <v>3</v>
      </c>
      <c r="AC1018">
        <v>0</v>
      </c>
      <c r="AD1018">
        <v>10</v>
      </c>
      <c r="AE1018">
        <v>0</v>
      </c>
      <c r="AF1018">
        <v>3</v>
      </c>
      <c r="AG1018">
        <v>2</v>
      </c>
      <c r="AH1018">
        <v>0</v>
      </c>
      <c r="AI1018" t="s">
        <v>2133</v>
      </c>
      <c r="AJ1018">
        <v>39.439545000000003</v>
      </c>
      <c r="AK1018" t="s">
        <v>2134</v>
      </c>
      <c r="AL1018">
        <v>-76.860523000000001</v>
      </c>
      <c r="AM1018">
        <v>100</v>
      </c>
      <c r="AN1018">
        <v>8700</v>
      </c>
      <c r="AO1018" t="s">
        <v>115</v>
      </c>
      <c r="AP1018">
        <v>170</v>
      </c>
      <c r="AQ1018">
        <v>87</v>
      </c>
      <c r="AR1018">
        <v>64</v>
      </c>
      <c r="AZ1018">
        <v>3614</v>
      </c>
      <c r="BA1018">
        <v>1</v>
      </c>
      <c r="BB1018" t="str">
        <f t="shared" si="47"/>
        <v xml:space="preserve">N959MJ  </v>
      </c>
      <c r="BC1018">
        <v>1</v>
      </c>
      <c r="BE1018">
        <v>0</v>
      </c>
      <c r="BF1018">
        <v>0</v>
      </c>
      <c r="BG1018">
        <v>0</v>
      </c>
      <c r="BH1018">
        <v>9025</v>
      </c>
      <c r="BI1018">
        <v>325</v>
      </c>
      <c r="BJ1018">
        <v>1</v>
      </c>
      <c r="BK1018">
        <v>1</v>
      </c>
      <c r="BL1018">
        <v>1</v>
      </c>
      <c r="BM1018">
        <v>0</v>
      </c>
      <c r="BP1018">
        <v>0</v>
      </c>
      <c r="BQ1018">
        <v>0</v>
      </c>
      <c r="BX1018" t="str">
        <f>"14:07:18.742"</f>
        <v>14:07:18.742</v>
      </c>
      <c r="BY1018" t="str">
        <f>"741140712"</f>
        <v>741140712</v>
      </c>
      <c r="CL1018">
        <v>0</v>
      </c>
      <c r="CM1018">
        <v>2</v>
      </c>
      <c r="CN1018">
        <v>0</v>
      </c>
      <c r="CO1018">
        <v>2</v>
      </c>
      <c r="CP1018">
        <v>0</v>
      </c>
      <c r="CQ1018">
        <v>6</v>
      </c>
      <c r="CR1018" t="s">
        <v>116</v>
      </c>
      <c r="CS1018">
        <v>372</v>
      </c>
      <c r="CT1018">
        <v>3</v>
      </c>
      <c r="CU1018" t="s">
        <v>877</v>
      </c>
      <c r="CV1018" t="s">
        <v>878</v>
      </c>
      <c r="CY1018">
        <v>11168250</v>
      </c>
      <c r="CZ1018" t="s">
        <v>119</v>
      </c>
    </row>
    <row r="1019" spans="1:104" x14ac:dyDescent="0.25">
      <c r="A1019" t="str">
        <f>"14:07:19.891"</f>
        <v>14:07:19.891</v>
      </c>
      <c r="B1019" t="s">
        <v>108</v>
      </c>
      <c r="C1019" t="str">
        <f t="shared" si="46"/>
        <v>ffdfd3c0</v>
      </c>
      <c r="D1019" t="s">
        <v>109</v>
      </c>
      <c r="E1019">
        <v>4</v>
      </c>
      <c r="F1019">
        <v>1004</v>
      </c>
      <c r="G1019" t="s">
        <v>110</v>
      </c>
      <c r="J1019" t="s">
        <v>111</v>
      </c>
      <c r="K1019">
        <v>0</v>
      </c>
      <c r="L1019">
        <v>3</v>
      </c>
      <c r="M1019">
        <v>0</v>
      </c>
      <c r="N1019">
        <v>2</v>
      </c>
      <c r="O1019">
        <v>1</v>
      </c>
      <c r="P1019">
        <v>0</v>
      </c>
      <c r="Q1019">
        <v>0</v>
      </c>
      <c r="R1019" t="s">
        <v>112</v>
      </c>
      <c r="S1019" t="str">
        <f>"14:07:19.695"</f>
        <v>14:07:19.695</v>
      </c>
      <c r="T1019" t="str">
        <f>"14:07:19.195"</f>
        <v>14:07:19.195</v>
      </c>
      <c r="U1019" t="str">
        <f t="shared" si="45"/>
        <v>ad5732</v>
      </c>
      <c r="V1019">
        <v>0</v>
      </c>
      <c r="W1019">
        <v>0</v>
      </c>
      <c r="X1019">
        <v>1</v>
      </c>
      <c r="Z1019">
        <v>0</v>
      </c>
      <c r="AA1019">
        <v>9</v>
      </c>
      <c r="AB1019">
        <v>3</v>
      </c>
      <c r="AC1019">
        <v>0</v>
      </c>
      <c r="AD1019">
        <v>10</v>
      </c>
      <c r="AE1019">
        <v>0</v>
      </c>
      <c r="AF1019">
        <v>3</v>
      </c>
      <c r="AG1019">
        <v>2</v>
      </c>
      <c r="AH1019">
        <v>0</v>
      </c>
      <c r="AI1019" t="s">
        <v>2135</v>
      </c>
      <c r="AJ1019">
        <v>39.439951999999998</v>
      </c>
      <c r="AK1019" t="s">
        <v>2136</v>
      </c>
      <c r="AL1019">
        <v>-76.859515000000002</v>
      </c>
      <c r="AM1019">
        <v>100</v>
      </c>
      <c r="AN1019">
        <v>8700</v>
      </c>
      <c r="AO1019" t="s">
        <v>115</v>
      </c>
      <c r="AP1019">
        <v>169</v>
      </c>
      <c r="AQ1019">
        <v>87</v>
      </c>
      <c r="AR1019">
        <v>64</v>
      </c>
      <c r="AZ1019">
        <v>3614</v>
      </c>
      <c r="BA1019">
        <v>1</v>
      </c>
      <c r="BB1019" t="str">
        <f t="shared" si="47"/>
        <v xml:space="preserve">N959MJ  </v>
      </c>
      <c r="BC1019">
        <v>1</v>
      </c>
      <c r="BE1019">
        <v>0</v>
      </c>
      <c r="BF1019">
        <v>0</v>
      </c>
      <c r="BG1019">
        <v>0</v>
      </c>
      <c r="BH1019">
        <v>9025</v>
      </c>
      <c r="BI1019">
        <v>325</v>
      </c>
      <c r="BJ1019">
        <v>1</v>
      </c>
      <c r="BK1019">
        <v>1</v>
      </c>
      <c r="BL1019">
        <v>1</v>
      </c>
      <c r="BM1019">
        <v>0</v>
      </c>
      <c r="BP1019">
        <v>0</v>
      </c>
      <c r="BQ1019">
        <v>0</v>
      </c>
      <c r="BX1019" t="str">
        <f>"14:07:19.703"</f>
        <v>14:07:19.703</v>
      </c>
      <c r="BY1019" t="str">
        <f>"702811496"</f>
        <v>702811496</v>
      </c>
      <c r="CL1019">
        <v>0</v>
      </c>
      <c r="CM1019">
        <v>2</v>
      </c>
      <c r="CN1019">
        <v>0</v>
      </c>
      <c r="CO1019">
        <v>2</v>
      </c>
      <c r="CP1019">
        <v>0</v>
      </c>
      <c r="CQ1019">
        <v>6</v>
      </c>
      <c r="CR1019" t="s">
        <v>116</v>
      </c>
      <c r="CS1019">
        <v>525</v>
      </c>
      <c r="CT1019">
        <v>1</v>
      </c>
      <c r="CU1019" t="s">
        <v>140</v>
      </c>
      <c r="CV1019" t="s">
        <v>141</v>
      </c>
      <c r="CY1019">
        <v>8637998</v>
      </c>
      <c r="CZ1019" t="s">
        <v>119</v>
      </c>
    </row>
    <row r="1020" spans="1:104" x14ac:dyDescent="0.25">
      <c r="A1020" t="str">
        <f>"14:07:21.000"</f>
        <v>14:07:21.000</v>
      </c>
      <c r="B1020" t="s">
        <v>108</v>
      </c>
      <c r="C1020" t="str">
        <f t="shared" si="46"/>
        <v>ffdfd3c0</v>
      </c>
      <c r="D1020" t="s">
        <v>109</v>
      </c>
      <c r="E1020">
        <v>4</v>
      </c>
      <c r="F1020">
        <v>1004</v>
      </c>
      <c r="G1020" t="s">
        <v>110</v>
      </c>
      <c r="J1020" t="s">
        <v>111</v>
      </c>
      <c r="K1020">
        <v>0</v>
      </c>
      <c r="L1020">
        <v>3</v>
      </c>
      <c r="M1020">
        <v>0</v>
      </c>
      <c r="N1020">
        <v>2</v>
      </c>
      <c r="O1020">
        <v>1</v>
      </c>
      <c r="P1020">
        <v>0</v>
      </c>
      <c r="Q1020">
        <v>0</v>
      </c>
      <c r="R1020" t="s">
        <v>112</v>
      </c>
      <c r="S1020" t="str">
        <f>"14:07:20.813"</f>
        <v>14:07:20.813</v>
      </c>
      <c r="T1020" t="str">
        <f>"14:07:20.313"</f>
        <v>14:07:20.313</v>
      </c>
      <c r="U1020" t="str">
        <f t="shared" si="45"/>
        <v>ad5732</v>
      </c>
      <c r="V1020">
        <v>0</v>
      </c>
      <c r="W1020">
        <v>0</v>
      </c>
      <c r="X1020">
        <v>1</v>
      </c>
      <c r="Z1020">
        <v>0</v>
      </c>
      <c r="AA1020">
        <v>9</v>
      </c>
      <c r="AB1020">
        <v>3</v>
      </c>
      <c r="AC1020">
        <v>0</v>
      </c>
      <c r="AD1020">
        <v>10</v>
      </c>
      <c r="AE1020">
        <v>0</v>
      </c>
      <c r="AF1020">
        <v>3</v>
      </c>
      <c r="AG1020">
        <v>2</v>
      </c>
      <c r="AH1020">
        <v>0</v>
      </c>
      <c r="AI1020" t="s">
        <v>2137</v>
      </c>
      <c r="AJ1020">
        <v>39.440403000000003</v>
      </c>
      <c r="AK1020" t="s">
        <v>2138</v>
      </c>
      <c r="AL1020">
        <v>-76.858399000000006</v>
      </c>
      <c r="AM1020">
        <v>100</v>
      </c>
      <c r="AN1020">
        <v>8700</v>
      </c>
      <c r="AO1020" t="s">
        <v>115</v>
      </c>
      <c r="AP1020">
        <v>169</v>
      </c>
      <c r="AQ1020">
        <v>87</v>
      </c>
      <c r="AR1020">
        <v>64</v>
      </c>
      <c r="AZ1020">
        <v>3614</v>
      </c>
      <c r="BA1020">
        <v>1</v>
      </c>
      <c r="BB1020" t="str">
        <f t="shared" si="47"/>
        <v xml:space="preserve">N959MJ  </v>
      </c>
      <c r="BC1020">
        <v>1</v>
      </c>
      <c r="BE1020">
        <v>0</v>
      </c>
      <c r="BF1020">
        <v>0</v>
      </c>
      <c r="BG1020">
        <v>0</v>
      </c>
      <c r="BH1020">
        <v>9025</v>
      </c>
      <c r="BI1020">
        <v>325</v>
      </c>
      <c r="BJ1020">
        <v>1</v>
      </c>
      <c r="BK1020">
        <v>1</v>
      </c>
      <c r="BL1020">
        <v>1</v>
      </c>
      <c r="BM1020">
        <v>0</v>
      </c>
      <c r="BP1020">
        <v>0</v>
      </c>
      <c r="BQ1020">
        <v>0</v>
      </c>
      <c r="BX1020" t="str">
        <f>"14:07:20.820"</f>
        <v>14:07:20.820</v>
      </c>
      <c r="BY1020" t="str">
        <f>"816942193"</f>
        <v>816942193</v>
      </c>
      <c r="CL1020">
        <v>0</v>
      </c>
      <c r="CM1020">
        <v>2</v>
      </c>
      <c r="CN1020">
        <v>0</v>
      </c>
      <c r="CO1020">
        <v>2</v>
      </c>
      <c r="CP1020">
        <v>0</v>
      </c>
      <c r="CQ1020">
        <v>6</v>
      </c>
      <c r="CR1020" t="s">
        <v>116</v>
      </c>
      <c r="CS1020">
        <v>525</v>
      </c>
      <c r="CT1020">
        <v>1</v>
      </c>
      <c r="CU1020" t="s">
        <v>140</v>
      </c>
      <c r="CV1020" t="s">
        <v>141</v>
      </c>
      <c r="CY1020">
        <v>8639665</v>
      </c>
      <c r="CZ1020" t="s">
        <v>119</v>
      </c>
    </row>
    <row r="1021" spans="1:104" x14ac:dyDescent="0.25">
      <c r="A1021" t="str">
        <f>"14:07:22.109"</f>
        <v>14:07:22.109</v>
      </c>
      <c r="B1021" t="s">
        <v>108</v>
      </c>
      <c r="C1021" t="str">
        <f t="shared" si="46"/>
        <v>ffdfd3c0</v>
      </c>
      <c r="D1021" t="s">
        <v>109</v>
      </c>
      <c r="E1021">
        <v>4</v>
      </c>
      <c r="F1021">
        <v>1004</v>
      </c>
      <c r="G1021" t="s">
        <v>110</v>
      </c>
      <c r="J1021" t="s">
        <v>111</v>
      </c>
      <c r="K1021">
        <v>0</v>
      </c>
      <c r="L1021">
        <v>3</v>
      </c>
      <c r="M1021">
        <v>0</v>
      </c>
      <c r="N1021">
        <v>2</v>
      </c>
      <c r="O1021">
        <v>1</v>
      </c>
      <c r="P1021">
        <v>0</v>
      </c>
      <c r="Q1021">
        <v>0</v>
      </c>
      <c r="R1021" t="s">
        <v>112</v>
      </c>
      <c r="S1021" t="str">
        <f>"14:07:21.930"</f>
        <v>14:07:21.930</v>
      </c>
      <c r="T1021" t="str">
        <f>"14:07:21.430"</f>
        <v>14:07:21.430</v>
      </c>
      <c r="U1021" t="str">
        <f t="shared" si="45"/>
        <v>ad5732</v>
      </c>
      <c r="V1021">
        <v>0</v>
      </c>
      <c r="W1021">
        <v>0</v>
      </c>
      <c r="X1021">
        <v>1</v>
      </c>
      <c r="Z1021">
        <v>0</v>
      </c>
      <c r="AA1021">
        <v>9</v>
      </c>
      <c r="AB1021">
        <v>3</v>
      </c>
      <c r="AC1021">
        <v>0</v>
      </c>
      <c r="AD1021">
        <v>10</v>
      </c>
      <c r="AE1021">
        <v>0</v>
      </c>
      <c r="AF1021">
        <v>3</v>
      </c>
      <c r="AG1021">
        <v>2</v>
      </c>
      <c r="AH1021">
        <v>0</v>
      </c>
      <c r="AI1021" t="s">
        <v>2139</v>
      </c>
      <c r="AJ1021">
        <v>39.440874999999998</v>
      </c>
      <c r="AK1021" t="s">
        <v>2140</v>
      </c>
      <c r="AL1021">
        <v>-76.857240000000004</v>
      </c>
      <c r="AM1021">
        <v>100</v>
      </c>
      <c r="AN1021">
        <v>8700</v>
      </c>
      <c r="AO1021" t="s">
        <v>115</v>
      </c>
      <c r="AP1021">
        <v>169</v>
      </c>
      <c r="AQ1021">
        <v>87</v>
      </c>
      <c r="AR1021">
        <v>64</v>
      </c>
      <c r="AZ1021">
        <v>3614</v>
      </c>
      <c r="BA1021">
        <v>1</v>
      </c>
      <c r="BB1021" t="str">
        <f t="shared" si="47"/>
        <v xml:space="preserve">N959MJ  </v>
      </c>
      <c r="BC1021">
        <v>1</v>
      </c>
      <c r="BE1021">
        <v>0</v>
      </c>
      <c r="BF1021">
        <v>0</v>
      </c>
      <c r="BG1021">
        <v>0</v>
      </c>
      <c r="BH1021">
        <v>9025</v>
      </c>
      <c r="BI1021">
        <v>325</v>
      </c>
      <c r="BJ1021">
        <v>1</v>
      </c>
      <c r="BK1021">
        <v>1</v>
      </c>
      <c r="BL1021">
        <v>1</v>
      </c>
      <c r="BM1021">
        <v>0</v>
      </c>
      <c r="BP1021">
        <v>0</v>
      </c>
      <c r="BQ1021">
        <v>0</v>
      </c>
      <c r="BX1021" t="str">
        <f>"14:07:21.938"</f>
        <v>14:07:21.938</v>
      </c>
      <c r="BY1021" t="str">
        <f>"934434529"</f>
        <v>934434529</v>
      </c>
      <c r="CL1021">
        <v>0</v>
      </c>
      <c r="CM1021">
        <v>2</v>
      </c>
      <c r="CN1021">
        <v>0</v>
      </c>
      <c r="CO1021">
        <v>2</v>
      </c>
      <c r="CP1021">
        <v>0</v>
      </c>
      <c r="CQ1021">
        <v>6</v>
      </c>
      <c r="CR1021" t="s">
        <v>116</v>
      </c>
      <c r="CS1021">
        <v>372</v>
      </c>
      <c r="CT1021">
        <v>3</v>
      </c>
      <c r="CU1021" t="s">
        <v>877</v>
      </c>
      <c r="CV1021" t="s">
        <v>878</v>
      </c>
      <c r="CY1021">
        <v>11174127</v>
      </c>
      <c r="CZ1021" t="s">
        <v>119</v>
      </c>
    </row>
    <row r="1022" spans="1:104" x14ac:dyDescent="0.25">
      <c r="A1022" t="str">
        <f>"14:07:23.273"</f>
        <v>14:07:23.273</v>
      </c>
      <c r="B1022" t="s">
        <v>108</v>
      </c>
      <c r="C1022" t="str">
        <f t="shared" si="46"/>
        <v>ffdfd3c0</v>
      </c>
      <c r="D1022" t="s">
        <v>109</v>
      </c>
      <c r="E1022">
        <v>4</v>
      </c>
      <c r="F1022">
        <v>1004</v>
      </c>
      <c r="G1022" t="s">
        <v>110</v>
      </c>
      <c r="J1022" t="s">
        <v>111</v>
      </c>
      <c r="K1022">
        <v>0</v>
      </c>
      <c r="L1022">
        <v>3</v>
      </c>
      <c r="M1022">
        <v>0</v>
      </c>
      <c r="N1022">
        <v>2</v>
      </c>
      <c r="O1022">
        <v>1</v>
      </c>
      <c r="P1022">
        <v>0</v>
      </c>
      <c r="Q1022">
        <v>0</v>
      </c>
      <c r="R1022" t="s">
        <v>112</v>
      </c>
      <c r="S1022" t="str">
        <f>"14:07:23.094"</f>
        <v>14:07:23.094</v>
      </c>
      <c r="T1022" t="str">
        <f>"14:07:22.594"</f>
        <v>14:07:22.594</v>
      </c>
      <c r="U1022" t="str">
        <f t="shared" si="45"/>
        <v>ad5732</v>
      </c>
      <c r="V1022">
        <v>0</v>
      </c>
      <c r="W1022">
        <v>0</v>
      </c>
      <c r="X1022">
        <v>1</v>
      </c>
      <c r="Z1022">
        <v>0</v>
      </c>
      <c r="AA1022">
        <v>9</v>
      </c>
      <c r="AB1022">
        <v>3</v>
      </c>
      <c r="AC1022">
        <v>0</v>
      </c>
      <c r="AD1022">
        <v>10</v>
      </c>
      <c r="AE1022">
        <v>0</v>
      </c>
      <c r="AF1022">
        <v>3</v>
      </c>
      <c r="AG1022">
        <v>2</v>
      </c>
      <c r="AH1022">
        <v>0</v>
      </c>
      <c r="AI1022" t="s">
        <v>2141</v>
      </c>
      <c r="AJ1022">
        <v>39.441325999999997</v>
      </c>
      <c r="AK1022" t="s">
        <v>2142</v>
      </c>
      <c r="AL1022">
        <v>-76.856059999999999</v>
      </c>
      <c r="AM1022">
        <v>100</v>
      </c>
      <c r="AN1022">
        <v>8700</v>
      </c>
      <c r="AO1022" t="s">
        <v>115</v>
      </c>
      <c r="AP1022">
        <v>169</v>
      </c>
      <c r="AQ1022">
        <v>88</v>
      </c>
      <c r="AR1022">
        <v>64</v>
      </c>
      <c r="AZ1022">
        <v>3614</v>
      </c>
      <c r="BA1022">
        <v>1</v>
      </c>
      <c r="BB1022" t="str">
        <f t="shared" si="47"/>
        <v xml:space="preserve">N959MJ  </v>
      </c>
      <c r="BC1022">
        <v>1</v>
      </c>
      <c r="BE1022">
        <v>0</v>
      </c>
      <c r="BF1022">
        <v>0</v>
      </c>
      <c r="BG1022">
        <v>0</v>
      </c>
      <c r="BH1022">
        <v>9025</v>
      </c>
      <c r="BI1022">
        <v>325</v>
      </c>
      <c r="BJ1022">
        <v>1</v>
      </c>
      <c r="BK1022">
        <v>1</v>
      </c>
      <c r="BL1022">
        <v>1</v>
      </c>
      <c r="BM1022">
        <v>0</v>
      </c>
      <c r="BP1022">
        <v>0</v>
      </c>
      <c r="BQ1022">
        <v>0</v>
      </c>
      <c r="BX1022" t="str">
        <f>"14:07:23.102"</f>
        <v>14:07:23.102</v>
      </c>
      <c r="BY1022" t="str">
        <f>"099324462"</f>
        <v>099324462</v>
      </c>
      <c r="CL1022">
        <v>0</v>
      </c>
      <c r="CM1022">
        <v>2</v>
      </c>
      <c r="CN1022">
        <v>0</v>
      </c>
      <c r="CO1022">
        <v>2</v>
      </c>
      <c r="CP1022">
        <v>0</v>
      </c>
      <c r="CQ1022">
        <v>6</v>
      </c>
      <c r="CR1022" t="s">
        <v>116</v>
      </c>
      <c r="CS1022">
        <v>396</v>
      </c>
      <c r="CT1022">
        <v>2</v>
      </c>
      <c r="CU1022" t="s">
        <v>939</v>
      </c>
      <c r="CV1022" t="s">
        <v>940</v>
      </c>
      <c r="CY1022">
        <v>4528167</v>
      </c>
      <c r="CZ1022" t="s">
        <v>119</v>
      </c>
    </row>
    <row r="1023" spans="1:104" x14ac:dyDescent="0.25">
      <c r="A1023" t="str">
        <f>"14:07:24.180"</f>
        <v>14:07:24.180</v>
      </c>
      <c r="B1023" t="s">
        <v>108</v>
      </c>
      <c r="C1023" t="str">
        <f t="shared" si="46"/>
        <v>ffdfd3c0</v>
      </c>
      <c r="D1023" t="s">
        <v>109</v>
      </c>
      <c r="E1023">
        <v>4</v>
      </c>
      <c r="F1023">
        <v>1004</v>
      </c>
      <c r="G1023" t="s">
        <v>110</v>
      </c>
      <c r="J1023" t="s">
        <v>111</v>
      </c>
      <c r="K1023">
        <v>0</v>
      </c>
      <c r="L1023">
        <v>3</v>
      </c>
      <c r="M1023">
        <v>0</v>
      </c>
      <c r="N1023">
        <v>2</v>
      </c>
      <c r="O1023">
        <v>1</v>
      </c>
      <c r="P1023">
        <v>0</v>
      </c>
      <c r="Q1023">
        <v>0</v>
      </c>
      <c r="R1023" t="s">
        <v>112</v>
      </c>
      <c r="S1023" t="str">
        <f>"14:07:24.039"</f>
        <v>14:07:24.039</v>
      </c>
      <c r="T1023" t="str">
        <f>"14:07:23.539"</f>
        <v>14:07:23.539</v>
      </c>
      <c r="U1023" t="str">
        <f t="shared" si="45"/>
        <v>ad5732</v>
      </c>
      <c r="V1023">
        <v>0</v>
      </c>
      <c r="W1023">
        <v>0</v>
      </c>
      <c r="X1023">
        <v>1</v>
      </c>
      <c r="Z1023">
        <v>0</v>
      </c>
      <c r="AA1023">
        <v>9</v>
      </c>
      <c r="AB1023">
        <v>3</v>
      </c>
      <c r="AC1023">
        <v>0</v>
      </c>
      <c r="AD1023">
        <v>10</v>
      </c>
      <c r="AE1023">
        <v>0</v>
      </c>
      <c r="AF1023">
        <v>3</v>
      </c>
      <c r="AG1023">
        <v>2</v>
      </c>
      <c r="AH1023">
        <v>0</v>
      </c>
      <c r="AI1023" t="s">
        <v>2143</v>
      </c>
      <c r="AJ1023">
        <v>39.441712000000003</v>
      </c>
      <c r="AK1023" t="s">
        <v>2144</v>
      </c>
      <c r="AL1023">
        <v>-76.855159</v>
      </c>
      <c r="AM1023">
        <v>100</v>
      </c>
      <c r="AN1023">
        <v>8700</v>
      </c>
      <c r="AO1023" t="s">
        <v>115</v>
      </c>
      <c r="AP1023">
        <v>169</v>
      </c>
      <c r="AQ1023">
        <v>88</v>
      </c>
      <c r="AR1023">
        <v>0</v>
      </c>
      <c r="AZ1023">
        <v>3614</v>
      </c>
      <c r="BA1023">
        <v>1</v>
      </c>
      <c r="BB1023" t="str">
        <f t="shared" si="47"/>
        <v xml:space="preserve">N959MJ  </v>
      </c>
      <c r="BC1023">
        <v>1</v>
      </c>
      <c r="BE1023">
        <v>0</v>
      </c>
      <c r="BF1023">
        <v>0</v>
      </c>
      <c r="BG1023">
        <v>0</v>
      </c>
      <c r="BH1023">
        <v>9025</v>
      </c>
      <c r="BI1023">
        <v>325</v>
      </c>
      <c r="BJ1023">
        <v>1</v>
      </c>
      <c r="BK1023">
        <v>1</v>
      </c>
      <c r="BL1023">
        <v>1</v>
      </c>
      <c r="BM1023">
        <v>0</v>
      </c>
      <c r="BP1023">
        <v>0</v>
      </c>
      <c r="BQ1023">
        <v>0</v>
      </c>
      <c r="BX1023" t="str">
        <f>"14:07:24.039"</f>
        <v>14:07:24.039</v>
      </c>
      <c r="BY1023" t="str">
        <f>"041451435"</f>
        <v>041451435</v>
      </c>
      <c r="CL1023">
        <v>0</v>
      </c>
      <c r="CM1023">
        <v>2</v>
      </c>
      <c r="CN1023">
        <v>0</v>
      </c>
      <c r="CO1023">
        <v>2</v>
      </c>
      <c r="CP1023">
        <v>0</v>
      </c>
      <c r="CQ1023">
        <v>5</v>
      </c>
      <c r="CR1023" t="s">
        <v>116</v>
      </c>
      <c r="CS1023">
        <v>372</v>
      </c>
      <c r="CT1023">
        <v>3</v>
      </c>
      <c r="CU1023" t="s">
        <v>877</v>
      </c>
      <c r="CV1023" t="s">
        <v>878</v>
      </c>
      <c r="CY1023">
        <v>11177879</v>
      </c>
      <c r="CZ1023" t="s">
        <v>119</v>
      </c>
    </row>
    <row r="1024" spans="1:104" x14ac:dyDescent="0.25">
      <c r="A1024" t="str">
        <f>"14:07:25.289"</f>
        <v>14:07:25.289</v>
      </c>
      <c r="B1024" t="s">
        <v>108</v>
      </c>
      <c r="C1024" t="str">
        <f t="shared" si="46"/>
        <v>ffdfd3c0</v>
      </c>
      <c r="D1024" t="s">
        <v>109</v>
      </c>
      <c r="E1024">
        <v>4</v>
      </c>
      <c r="F1024">
        <v>1004</v>
      </c>
      <c r="G1024" t="s">
        <v>110</v>
      </c>
      <c r="J1024" t="s">
        <v>111</v>
      </c>
      <c r="K1024">
        <v>0</v>
      </c>
      <c r="L1024">
        <v>3</v>
      </c>
      <c r="M1024">
        <v>0</v>
      </c>
      <c r="N1024">
        <v>2</v>
      </c>
      <c r="O1024">
        <v>1</v>
      </c>
      <c r="P1024">
        <v>0</v>
      </c>
      <c r="Q1024">
        <v>0</v>
      </c>
      <c r="R1024" t="s">
        <v>112</v>
      </c>
      <c r="S1024" t="str">
        <f>"14:07:25.117"</f>
        <v>14:07:25.117</v>
      </c>
      <c r="T1024" t="str">
        <f>"14:07:24.617"</f>
        <v>14:07:24.617</v>
      </c>
      <c r="U1024" t="str">
        <f t="shared" si="45"/>
        <v>ad5732</v>
      </c>
      <c r="V1024">
        <v>0</v>
      </c>
      <c r="W1024">
        <v>0</v>
      </c>
      <c r="X1024">
        <v>1</v>
      </c>
      <c r="Z1024">
        <v>0</v>
      </c>
      <c r="AA1024">
        <v>9</v>
      </c>
      <c r="AB1024">
        <v>3</v>
      </c>
      <c r="AC1024">
        <v>0</v>
      </c>
      <c r="AD1024">
        <v>10</v>
      </c>
      <c r="AE1024">
        <v>0</v>
      </c>
      <c r="AF1024">
        <v>3</v>
      </c>
      <c r="AG1024">
        <v>2</v>
      </c>
      <c r="AH1024">
        <v>0</v>
      </c>
      <c r="AI1024" t="s">
        <v>2145</v>
      </c>
      <c r="AJ1024">
        <v>39.442163000000001</v>
      </c>
      <c r="AK1024" t="s">
        <v>2146</v>
      </c>
      <c r="AL1024">
        <v>-76.854022000000001</v>
      </c>
      <c r="AM1024">
        <v>100</v>
      </c>
      <c r="AN1024">
        <v>8700</v>
      </c>
      <c r="AO1024" t="s">
        <v>115</v>
      </c>
      <c r="AP1024">
        <v>168</v>
      </c>
      <c r="AQ1024">
        <v>88</v>
      </c>
      <c r="AR1024">
        <v>0</v>
      </c>
      <c r="AZ1024">
        <v>3614</v>
      </c>
      <c r="BA1024">
        <v>1</v>
      </c>
      <c r="BB1024" t="str">
        <f t="shared" si="47"/>
        <v xml:space="preserve">N959MJ  </v>
      </c>
      <c r="BC1024">
        <v>1</v>
      </c>
      <c r="BE1024">
        <v>0</v>
      </c>
      <c r="BF1024">
        <v>0</v>
      </c>
      <c r="BG1024">
        <v>0</v>
      </c>
      <c r="BH1024">
        <v>9025</v>
      </c>
      <c r="BI1024">
        <v>325</v>
      </c>
      <c r="BJ1024">
        <v>1</v>
      </c>
      <c r="BK1024">
        <v>1</v>
      </c>
      <c r="BL1024">
        <v>1</v>
      </c>
      <c r="BM1024">
        <v>0</v>
      </c>
      <c r="BP1024">
        <v>0</v>
      </c>
      <c r="BQ1024">
        <v>0</v>
      </c>
      <c r="BX1024" t="str">
        <f>"14:07:25.125"</f>
        <v>14:07:25.125</v>
      </c>
      <c r="BY1024" t="str">
        <f>"124451557"</f>
        <v>124451557</v>
      </c>
      <c r="CL1024">
        <v>0</v>
      </c>
      <c r="CM1024">
        <v>2</v>
      </c>
      <c r="CN1024">
        <v>0</v>
      </c>
      <c r="CO1024">
        <v>2</v>
      </c>
      <c r="CP1024">
        <v>0</v>
      </c>
      <c r="CQ1024">
        <v>6</v>
      </c>
      <c r="CR1024" t="s">
        <v>116</v>
      </c>
      <c r="CS1024">
        <v>372</v>
      </c>
      <c r="CT1024">
        <v>3</v>
      </c>
      <c r="CU1024" t="s">
        <v>877</v>
      </c>
      <c r="CV1024" t="s">
        <v>878</v>
      </c>
      <c r="CY1024">
        <v>11179780</v>
      </c>
      <c r="CZ1024" t="s">
        <v>119</v>
      </c>
    </row>
    <row r="1025" spans="1:104" x14ac:dyDescent="0.25">
      <c r="A1025" t="str">
        <f>"14:07:26.148"</f>
        <v>14:07:26.148</v>
      </c>
      <c r="B1025" t="s">
        <v>108</v>
      </c>
      <c r="C1025" t="str">
        <f t="shared" si="46"/>
        <v>ffdfd3c0</v>
      </c>
      <c r="D1025" t="s">
        <v>109</v>
      </c>
      <c r="E1025">
        <v>4</v>
      </c>
      <c r="F1025">
        <v>1004</v>
      </c>
      <c r="G1025" t="s">
        <v>110</v>
      </c>
      <c r="J1025" t="s">
        <v>111</v>
      </c>
      <c r="K1025">
        <v>0</v>
      </c>
      <c r="L1025">
        <v>3</v>
      </c>
      <c r="M1025">
        <v>0</v>
      </c>
      <c r="N1025">
        <v>2</v>
      </c>
      <c r="O1025">
        <v>1</v>
      </c>
      <c r="P1025">
        <v>0</v>
      </c>
      <c r="Q1025">
        <v>0</v>
      </c>
      <c r="R1025" t="s">
        <v>112</v>
      </c>
      <c r="S1025" t="str">
        <f>"14:07:25.938"</f>
        <v>14:07:25.938</v>
      </c>
      <c r="T1025" t="str">
        <f>"14:07:25.539"</f>
        <v>14:07:25.539</v>
      </c>
      <c r="U1025" t="str">
        <f t="shared" si="45"/>
        <v>ad5732</v>
      </c>
      <c r="V1025">
        <v>0</v>
      </c>
      <c r="W1025">
        <v>0</v>
      </c>
      <c r="X1025">
        <v>1</v>
      </c>
      <c r="Z1025">
        <v>0</v>
      </c>
      <c r="AA1025">
        <v>9</v>
      </c>
      <c r="AB1025">
        <v>3</v>
      </c>
      <c r="AC1025">
        <v>0</v>
      </c>
      <c r="AD1025">
        <v>10</v>
      </c>
      <c r="AE1025">
        <v>0</v>
      </c>
      <c r="AF1025">
        <v>3</v>
      </c>
      <c r="AG1025">
        <v>2</v>
      </c>
      <c r="AH1025">
        <v>0</v>
      </c>
      <c r="AI1025" t="s">
        <v>2147</v>
      </c>
      <c r="AJ1025">
        <v>39.442484</v>
      </c>
      <c r="AK1025" t="s">
        <v>2148</v>
      </c>
      <c r="AL1025">
        <v>-76.853249000000005</v>
      </c>
      <c r="AM1025">
        <v>100</v>
      </c>
      <c r="AN1025">
        <v>8700</v>
      </c>
      <c r="AO1025" t="s">
        <v>115</v>
      </c>
      <c r="AP1025">
        <v>168</v>
      </c>
      <c r="AQ1025">
        <v>88</v>
      </c>
      <c r="AR1025">
        <v>0</v>
      </c>
      <c r="AZ1025">
        <v>3614</v>
      </c>
      <c r="BA1025">
        <v>1</v>
      </c>
      <c r="BB1025" t="str">
        <f t="shared" si="47"/>
        <v xml:space="preserve">N959MJ  </v>
      </c>
      <c r="BC1025">
        <v>1</v>
      </c>
      <c r="BE1025">
        <v>0</v>
      </c>
      <c r="BF1025">
        <v>0</v>
      </c>
      <c r="BG1025">
        <v>0</v>
      </c>
      <c r="BH1025">
        <v>9025</v>
      </c>
      <c r="BI1025">
        <v>325</v>
      </c>
      <c r="BJ1025">
        <v>1</v>
      </c>
      <c r="BK1025">
        <v>1</v>
      </c>
      <c r="BL1025">
        <v>1</v>
      </c>
      <c r="BM1025">
        <v>0</v>
      </c>
      <c r="BP1025">
        <v>0</v>
      </c>
      <c r="BQ1025">
        <v>0</v>
      </c>
      <c r="BX1025" t="str">
        <f>"14:07:25.945"</f>
        <v>14:07:25.945</v>
      </c>
      <c r="BY1025" t="str">
        <f>"945303388"</f>
        <v>945303388</v>
      </c>
      <c r="CL1025">
        <v>0</v>
      </c>
      <c r="CM1025">
        <v>2</v>
      </c>
      <c r="CN1025">
        <v>0</v>
      </c>
      <c r="CO1025">
        <v>2</v>
      </c>
      <c r="CP1025">
        <v>0</v>
      </c>
      <c r="CQ1025">
        <v>0</v>
      </c>
      <c r="CR1025" t="s">
        <v>116</v>
      </c>
      <c r="CS1025">
        <v>372</v>
      </c>
      <c r="CT1025">
        <v>2</v>
      </c>
      <c r="CU1025" t="s">
        <v>877</v>
      </c>
      <c r="CV1025" t="s">
        <v>878</v>
      </c>
      <c r="CY1025">
        <v>9906448</v>
      </c>
      <c r="CZ1025" t="s">
        <v>119</v>
      </c>
    </row>
    <row r="1026" spans="1:104" x14ac:dyDescent="0.25">
      <c r="A1026" t="str">
        <f>"14:07:27.063"</f>
        <v>14:07:27.063</v>
      </c>
      <c r="B1026" t="s">
        <v>108</v>
      </c>
      <c r="C1026" t="str">
        <f t="shared" si="46"/>
        <v>ffdfd3c0</v>
      </c>
      <c r="D1026" t="s">
        <v>109</v>
      </c>
      <c r="E1026">
        <v>4</v>
      </c>
      <c r="F1026">
        <v>1004</v>
      </c>
      <c r="G1026" t="s">
        <v>110</v>
      </c>
      <c r="J1026" t="s">
        <v>111</v>
      </c>
      <c r="K1026">
        <v>0</v>
      </c>
      <c r="L1026">
        <v>3</v>
      </c>
      <c r="M1026">
        <v>0</v>
      </c>
      <c r="N1026">
        <v>2</v>
      </c>
      <c r="O1026">
        <v>1</v>
      </c>
      <c r="P1026">
        <v>0</v>
      </c>
      <c r="Q1026">
        <v>0</v>
      </c>
      <c r="R1026" t="s">
        <v>112</v>
      </c>
      <c r="S1026" t="str">
        <f>"14:07:26.867"</f>
        <v>14:07:26.867</v>
      </c>
      <c r="T1026" t="str">
        <f>"14:07:26.367"</f>
        <v>14:07:26.367</v>
      </c>
      <c r="U1026" t="str">
        <f t="shared" ref="U1026:U1089" si="48">"ad5732"</f>
        <v>ad5732</v>
      </c>
      <c r="V1026">
        <v>0</v>
      </c>
      <c r="W1026">
        <v>0</v>
      </c>
      <c r="X1026">
        <v>1</v>
      </c>
      <c r="Z1026">
        <v>0</v>
      </c>
      <c r="AA1026">
        <v>9</v>
      </c>
      <c r="AB1026">
        <v>3</v>
      </c>
      <c r="AC1026">
        <v>0</v>
      </c>
      <c r="AD1026">
        <v>10</v>
      </c>
      <c r="AE1026">
        <v>0</v>
      </c>
      <c r="AF1026">
        <v>3</v>
      </c>
      <c r="AG1026">
        <v>2</v>
      </c>
      <c r="AH1026">
        <v>0</v>
      </c>
      <c r="AI1026" t="s">
        <v>2149</v>
      </c>
      <c r="AJ1026">
        <v>39.442870999999997</v>
      </c>
      <c r="AK1026" t="s">
        <v>2150</v>
      </c>
      <c r="AL1026">
        <v>-76.852348000000006</v>
      </c>
      <c r="AM1026">
        <v>100</v>
      </c>
      <c r="AN1026">
        <v>8700</v>
      </c>
      <c r="AO1026" t="s">
        <v>115</v>
      </c>
      <c r="AP1026">
        <v>168</v>
      </c>
      <c r="AQ1026">
        <v>89</v>
      </c>
      <c r="AR1026">
        <v>0</v>
      </c>
      <c r="AZ1026">
        <v>3614</v>
      </c>
      <c r="BA1026">
        <v>1</v>
      </c>
      <c r="BB1026" t="str">
        <f t="shared" si="47"/>
        <v xml:space="preserve">N959MJ  </v>
      </c>
      <c r="BC1026">
        <v>1</v>
      </c>
      <c r="BE1026">
        <v>0</v>
      </c>
      <c r="BF1026">
        <v>0</v>
      </c>
      <c r="BG1026">
        <v>0</v>
      </c>
      <c r="BH1026">
        <v>9025</v>
      </c>
      <c r="BI1026">
        <v>325</v>
      </c>
      <c r="BJ1026">
        <v>1</v>
      </c>
      <c r="BK1026">
        <v>1</v>
      </c>
      <c r="BL1026">
        <v>1</v>
      </c>
      <c r="BM1026">
        <v>0</v>
      </c>
      <c r="BP1026">
        <v>0</v>
      </c>
      <c r="BQ1026">
        <v>0</v>
      </c>
      <c r="BX1026" t="str">
        <f>"14:07:26.867"</f>
        <v>14:07:26.867</v>
      </c>
      <c r="BY1026" t="str">
        <f>"867705496"</f>
        <v>867705496</v>
      </c>
      <c r="CL1026">
        <v>0</v>
      </c>
      <c r="CM1026">
        <v>2</v>
      </c>
      <c r="CN1026">
        <v>0</v>
      </c>
      <c r="CO1026">
        <v>2</v>
      </c>
      <c r="CP1026">
        <v>0</v>
      </c>
      <c r="CQ1026">
        <v>6</v>
      </c>
      <c r="CR1026" t="s">
        <v>116</v>
      </c>
      <c r="CS1026">
        <v>396</v>
      </c>
      <c r="CT1026">
        <v>2</v>
      </c>
      <c r="CU1026" t="s">
        <v>939</v>
      </c>
      <c r="CV1026" t="s">
        <v>940</v>
      </c>
      <c r="CY1026">
        <v>4534881</v>
      </c>
      <c r="CZ1026" t="s">
        <v>119</v>
      </c>
    </row>
    <row r="1027" spans="1:104" x14ac:dyDescent="0.25">
      <c r="A1027" t="str">
        <f>"14:07:28.070"</f>
        <v>14:07:28.070</v>
      </c>
      <c r="B1027" t="s">
        <v>108</v>
      </c>
      <c r="C1027" t="str">
        <f t="shared" si="46"/>
        <v>ffdfd3c0</v>
      </c>
      <c r="D1027" t="s">
        <v>109</v>
      </c>
      <c r="E1027">
        <v>4</v>
      </c>
      <c r="F1027">
        <v>1004</v>
      </c>
      <c r="G1027" t="s">
        <v>110</v>
      </c>
      <c r="J1027" t="s">
        <v>111</v>
      </c>
      <c r="K1027">
        <v>0</v>
      </c>
      <c r="L1027">
        <v>3</v>
      </c>
      <c r="M1027">
        <v>0</v>
      </c>
      <c r="N1027">
        <v>2</v>
      </c>
      <c r="O1027">
        <v>1</v>
      </c>
      <c r="P1027">
        <v>0</v>
      </c>
      <c r="Q1027">
        <v>0</v>
      </c>
      <c r="R1027" t="s">
        <v>112</v>
      </c>
      <c r="S1027" t="str">
        <f>"14:07:27.891"</f>
        <v>14:07:27.891</v>
      </c>
      <c r="T1027" t="str">
        <f>"14:07:27.391"</f>
        <v>14:07:27.391</v>
      </c>
      <c r="U1027" t="str">
        <f t="shared" si="48"/>
        <v>ad5732</v>
      </c>
      <c r="V1027">
        <v>0</v>
      </c>
      <c r="W1027">
        <v>0</v>
      </c>
      <c r="X1027">
        <v>1</v>
      </c>
      <c r="Z1027">
        <v>0</v>
      </c>
      <c r="AA1027">
        <v>9</v>
      </c>
      <c r="AB1027">
        <v>3</v>
      </c>
      <c r="AC1027">
        <v>0</v>
      </c>
      <c r="AD1027">
        <v>10</v>
      </c>
      <c r="AE1027">
        <v>0</v>
      </c>
      <c r="AF1027">
        <v>3</v>
      </c>
      <c r="AG1027">
        <v>2</v>
      </c>
      <c r="AH1027">
        <v>0</v>
      </c>
      <c r="AI1027" t="s">
        <v>2151</v>
      </c>
      <c r="AJ1027">
        <v>39.443300000000001</v>
      </c>
      <c r="AK1027" t="s">
        <v>2152</v>
      </c>
      <c r="AL1027">
        <v>-76.851211000000006</v>
      </c>
      <c r="AM1027">
        <v>100</v>
      </c>
      <c r="AN1027">
        <v>8700</v>
      </c>
      <c r="AO1027" t="s">
        <v>115</v>
      </c>
      <c r="AP1027">
        <v>168</v>
      </c>
      <c r="AQ1027">
        <v>89</v>
      </c>
      <c r="AR1027">
        <v>0</v>
      </c>
      <c r="AZ1027">
        <v>3614</v>
      </c>
      <c r="BA1027">
        <v>1</v>
      </c>
      <c r="BB1027" t="str">
        <f t="shared" si="47"/>
        <v xml:space="preserve">N959MJ  </v>
      </c>
      <c r="BC1027">
        <v>1</v>
      </c>
      <c r="BE1027">
        <v>0</v>
      </c>
      <c r="BF1027">
        <v>0</v>
      </c>
      <c r="BG1027">
        <v>0</v>
      </c>
      <c r="BH1027">
        <v>9025</v>
      </c>
      <c r="BI1027">
        <v>325</v>
      </c>
      <c r="BJ1027">
        <v>1</v>
      </c>
      <c r="BK1027">
        <v>1</v>
      </c>
      <c r="BL1027">
        <v>1</v>
      </c>
      <c r="BM1027">
        <v>0</v>
      </c>
      <c r="BP1027">
        <v>0</v>
      </c>
      <c r="BQ1027">
        <v>0</v>
      </c>
      <c r="BX1027" t="str">
        <f>"14:07:27.898"</f>
        <v>14:07:27.898</v>
      </c>
      <c r="BY1027" t="str">
        <f>"896637365"</f>
        <v>896637365</v>
      </c>
      <c r="CL1027">
        <v>0</v>
      </c>
      <c r="CM1027">
        <v>2</v>
      </c>
      <c r="CN1027">
        <v>0</v>
      </c>
      <c r="CO1027">
        <v>2</v>
      </c>
      <c r="CP1027">
        <v>0</v>
      </c>
      <c r="CQ1027">
        <v>6</v>
      </c>
      <c r="CR1027" t="s">
        <v>116</v>
      </c>
      <c r="CS1027">
        <v>396</v>
      </c>
      <c r="CT1027">
        <v>2</v>
      </c>
      <c r="CU1027" t="s">
        <v>939</v>
      </c>
      <c r="CV1027" t="s">
        <v>940</v>
      </c>
      <c r="CY1027">
        <v>4536726</v>
      </c>
      <c r="CZ1027" t="s">
        <v>119</v>
      </c>
    </row>
    <row r="1028" spans="1:104" x14ac:dyDescent="0.25">
      <c r="A1028" t="str">
        <f>"14:07:29.125"</f>
        <v>14:07:29.125</v>
      </c>
      <c r="B1028" t="s">
        <v>108</v>
      </c>
      <c r="C1028" t="str">
        <f t="shared" si="46"/>
        <v>ffdfd3c0</v>
      </c>
      <c r="D1028" t="s">
        <v>109</v>
      </c>
      <c r="E1028">
        <v>4</v>
      </c>
      <c r="F1028">
        <v>1004</v>
      </c>
      <c r="G1028" t="s">
        <v>110</v>
      </c>
      <c r="J1028" t="s">
        <v>111</v>
      </c>
      <c r="K1028">
        <v>0</v>
      </c>
      <c r="L1028">
        <v>3</v>
      </c>
      <c r="M1028">
        <v>0</v>
      </c>
      <c r="N1028">
        <v>2</v>
      </c>
      <c r="O1028">
        <v>1</v>
      </c>
      <c r="P1028">
        <v>0</v>
      </c>
      <c r="Q1028">
        <v>0</v>
      </c>
      <c r="R1028" t="s">
        <v>112</v>
      </c>
      <c r="S1028" t="str">
        <f>"14:07:28.977"</f>
        <v>14:07:28.977</v>
      </c>
      <c r="T1028" t="str">
        <f>"14:07:28.477"</f>
        <v>14:07:28.477</v>
      </c>
      <c r="U1028" t="str">
        <f t="shared" si="48"/>
        <v>ad5732</v>
      </c>
      <c r="V1028">
        <v>0</v>
      </c>
      <c r="W1028">
        <v>0</v>
      </c>
      <c r="X1028">
        <v>1</v>
      </c>
      <c r="Z1028">
        <v>0</v>
      </c>
      <c r="AA1028">
        <v>9</v>
      </c>
      <c r="AB1028">
        <v>3</v>
      </c>
      <c r="AC1028">
        <v>0</v>
      </c>
      <c r="AD1028">
        <v>10</v>
      </c>
      <c r="AE1028">
        <v>0</v>
      </c>
      <c r="AF1028">
        <v>3</v>
      </c>
      <c r="AG1028">
        <v>2</v>
      </c>
      <c r="AH1028">
        <v>0</v>
      </c>
      <c r="AI1028" t="s">
        <v>2153</v>
      </c>
      <c r="AJ1028">
        <v>39.443707000000003</v>
      </c>
      <c r="AK1028" t="s">
        <v>2154</v>
      </c>
      <c r="AL1028">
        <v>-76.850266000000005</v>
      </c>
      <c r="AM1028">
        <v>100</v>
      </c>
      <c r="AN1028">
        <v>8700</v>
      </c>
      <c r="AO1028" t="s">
        <v>115</v>
      </c>
      <c r="AP1028">
        <v>168</v>
      </c>
      <c r="AQ1028">
        <v>89</v>
      </c>
      <c r="AR1028">
        <v>0</v>
      </c>
      <c r="AZ1028">
        <v>3614</v>
      </c>
      <c r="BA1028">
        <v>1</v>
      </c>
      <c r="BB1028" t="str">
        <f t="shared" si="47"/>
        <v xml:space="preserve">N959MJ  </v>
      </c>
      <c r="BC1028">
        <v>1</v>
      </c>
      <c r="BE1028">
        <v>0</v>
      </c>
      <c r="BF1028">
        <v>0</v>
      </c>
      <c r="BG1028">
        <v>0</v>
      </c>
      <c r="BH1028">
        <v>9025</v>
      </c>
      <c r="BI1028">
        <v>325</v>
      </c>
      <c r="BJ1028">
        <v>1</v>
      </c>
      <c r="BK1028">
        <v>1</v>
      </c>
      <c r="BL1028">
        <v>1</v>
      </c>
      <c r="BM1028">
        <v>0</v>
      </c>
      <c r="BP1028">
        <v>0</v>
      </c>
      <c r="BQ1028">
        <v>0</v>
      </c>
      <c r="BX1028" t="str">
        <f>"14:07:28.977"</f>
        <v>14:07:28.977</v>
      </c>
      <c r="BY1028" t="str">
        <f>"977998922"</f>
        <v>977998922</v>
      </c>
      <c r="CL1028">
        <v>0</v>
      </c>
      <c r="CM1028">
        <v>2</v>
      </c>
      <c r="CN1028">
        <v>0</v>
      </c>
      <c r="CO1028">
        <v>2</v>
      </c>
      <c r="CP1028">
        <v>0</v>
      </c>
      <c r="CQ1028">
        <v>6</v>
      </c>
      <c r="CR1028" t="s">
        <v>116</v>
      </c>
      <c r="CS1028">
        <v>396</v>
      </c>
      <c r="CT1028">
        <v>2</v>
      </c>
      <c r="CU1028" t="s">
        <v>939</v>
      </c>
      <c r="CV1028" t="s">
        <v>940</v>
      </c>
      <c r="CY1028">
        <v>4538611</v>
      </c>
      <c r="CZ1028" t="s">
        <v>119</v>
      </c>
    </row>
    <row r="1029" spans="1:104" x14ac:dyDescent="0.25">
      <c r="A1029" t="str">
        <f>"14:07:30.141"</f>
        <v>14:07:30.141</v>
      </c>
      <c r="B1029" t="s">
        <v>108</v>
      </c>
      <c r="C1029" t="str">
        <f t="shared" si="46"/>
        <v>ffdfd3c0</v>
      </c>
      <c r="D1029" t="s">
        <v>109</v>
      </c>
      <c r="E1029">
        <v>4</v>
      </c>
      <c r="F1029">
        <v>1004</v>
      </c>
      <c r="G1029" t="s">
        <v>110</v>
      </c>
      <c r="J1029" t="s">
        <v>111</v>
      </c>
      <c r="K1029">
        <v>0</v>
      </c>
      <c r="L1029">
        <v>3</v>
      </c>
      <c r="M1029">
        <v>0</v>
      </c>
      <c r="N1029">
        <v>2</v>
      </c>
      <c r="O1029">
        <v>1</v>
      </c>
      <c r="P1029">
        <v>0</v>
      </c>
      <c r="Q1029">
        <v>0</v>
      </c>
      <c r="R1029" t="s">
        <v>112</v>
      </c>
      <c r="S1029" t="str">
        <f>"14:07:29.953"</f>
        <v>14:07:29.953</v>
      </c>
      <c r="T1029" t="str">
        <f>"14:07:29.555"</f>
        <v>14:07:29.555</v>
      </c>
      <c r="U1029" t="str">
        <f t="shared" si="48"/>
        <v>ad5732</v>
      </c>
      <c r="V1029">
        <v>0</v>
      </c>
      <c r="W1029">
        <v>0</v>
      </c>
      <c r="X1029">
        <v>1</v>
      </c>
      <c r="Z1029">
        <v>0</v>
      </c>
      <c r="AA1029">
        <v>9</v>
      </c>
      <c r="AB1029">
        <v>3</v>
      </c>
      <c r="AC1029">
        <v>0</v>
      </c>
      <c r="AD1029">
        <v>10</v>
      </c>
      <c r="AE1029">
        <v>0</v>
      </c>
      <c r="AF1029">
        <v>3</v>
      </c>
      <c r="AG1029">
        <v>2</v>
      </c>
      <c r="AH1029">
        <v>0</v>
      </c>
      <c r="AI1029" t="s">
        <v>2155</v>
      </c>
      <c r="AJ1029">
        <v>39.444114999999996</v>
      </c>
      <c r="AK1029" t="s">
        <v>2156</v>
      </c>
      <c r="AL1029">
        <v>-76.849236000000005</v>
      </c>
      <c r="AM1029">
        <v>100</v>
      </c>
      <c r="AN1029">
        <v>8700</v>
      </c>
      <c r="AO1029" t="s">
        <v>115</v>
      </c>
      <c r="AP1029">
        <v>167</v>
      </c>
      <c r="AQ1029">
        <v>90</v>
      </c>
      <c r="AR1029">
        <v>0</v>
      </c>
      <c r="AZ1029">
        <v>3614</v>
      </c>
      <c r="BA1029">
        <v>1</v>
      </c>
      <c r="BB1029" t="str">
        <f t="shared" si="47"/>
        <v xml:space="preserve">N959MJ  </v>
      </c>
      <c r="BC1029">
        <v>1</v>
      </c>
      <c r="BE1029">
        <v>0</v>
      </c>
      <c r="BF1029">
        <v>0</v>
      </c>
      <c r="BG1029">
        <v>0</v>
      </c>
      <c r="BH1029">
        <v>9025</v>
      </c>
      <c r="BI1029">
        <v>325</v>
      </c>
      <c r="BJ1029">
        <v>1</v>
      </c>
      <c r="BK1029">
        <v>1</v>
      </c>
      <c r="BL1029">
        <v>1</v>
      </c>
      <c r="BM1029">
        <v>0</v>
      </c>
      <c r="BP1029">
        <v>0</v>
      </c>
      <c r="BQ1029">
        <v>0</v>
      </c>
      <c r="BX1029" t="str">
        <f>"14:07:29.953"</f>
        <v>14:07:29.953</v>
      </c>
      <c r="BY1029" t="str">
        <f>"956090655"</f>
        <v>956090655</v>
      </c>
      <c r="CL1029">
        <v>0</v>
      </c>
      <c r="CM1029">
        <v>2</v>
      </c>
      <c r="CN1029">
        <v>0</v>
      </c>
      <c r="CO1029">
        <v>2</v>
      </c>
      <c r="CP1029">
        <v>0</v>
      </c>
      <c r="CQ1029">
        <v>6</v>
      </c>
      <c r="CR1029" t="s">
        <v>116</v>
      </c>
      <c r="CS1029">
        <v>525</v>
      </c>
      <c r="CT1029">
        <v>1</v>
      </c>
      <c r="CU1029" t="s">
        <v>140</v>
      </c>
      <c r="CV1029" t="s">
        <v>141</v>
      </c>
      <c r="CY1029">
        <v>8652952</v>
      </c>
      <c r="CZ1029" t="s">
        <v>119</v>
      </c>
    </row>
    <row r="1030" spans="1:104" x14ac:dyDescent="0.25">
      <c r="A1030" t="str">
        <f>"14:07:31.250"</f>
        <v>14:07:31.250</v>
      </c>
      <c r="B1030" t="s">
        <v>108</v>
      </c>
      <c r="C1030" t="str">
        <f t="shared" si="46"/>
        <v>ffdfd3c0</v>
      </c>
      <c r="D1030" t="s">
        <v>109</v>
      </c>
      <c r="E1030">
        <v>4</v>
      </c>
      <c r="F1030">
        <v>1004</v>
      </c>
      <c r="G1030" t="s">
        <v>110</v>
      </c>
      <c r="J1030" t="s">
        <v>111</v>
      </c>
      <c r="K1030">
        <v>0</v>
      </c>
      <c r="L1030">
        <v>3</v>
      </c>
      <c r="M1030">
        <v>0</v>
      </c>
      <c r="N1030">
        <v>2</v>
      </c>
      <c r="O1030">
        <v>1</v>
      </c>
      <c r="P1030">
        <v>0</v>
      </c>
      <c r="Q1030">
        <v>0</v>
      </c>
      <c r="R1030" t="s">
        <v>112</v>
      </c>
      <c r="S1030" t="str">
        <f>"14:07:31.063"</f>
        <v>14:07:31.063</v>
      </c>
      <c r="T1030" t="str">
        <f>"14:07:30.563"</f>
        <v>14:07:30.563</v>
      </c>
      <c r="U1030" t="str">
        <f t="shared" si="48"/>
        <v>ad5732</v>
      </c>
      <c r="V1030">
        <v>0</v>
      </c>
      <c r="W1030">
        <v>0</v>
      </c>
      <c r="X1030">
        <v>1</v>
      </c>
      <c r="Z1030">
        <v>0</v>
      </c>
      <c r="AA1030">
        <v>9</v>
      </c>
      <c r="AB1030">
        <v>3</v>
      </c>
      <c r="AC1030">
        <v>0</v>
      </c>
      <c r="AD1030">
        <v>10</v>
      </c>
      <c r="AE1030">
        <v>0</v>
      </c>
      <c r="AF1030">
        <v>3</v>
      </c>
      <c r="AG1030">
        <v>2</v>
      </c>
      <c r="AH1030">
        <v>0</v>
      </c>
      <c r="AI1030" t="s">
        <v>2157</v>
      </c>
      <c r="AJ1030">
        <v>39.444586999999999</v>
      </c>
      <c r="AK1030" t="s">
        <v>2158</v>
      </c>
      <c r="AL1030">
        <v>-76.848141999999996</v>
      </c>
      <c r="AM1030">
        <v>100</v>
      </c>
      <c r="AN1030">
        <v>8700</v>
      </c>
      <c r="AO1030" t="s">
        <v>115</v>
      </c>
      <c r="AP1030">
        <v>167</v>
      </c>
      <c r="AQ1030">
        <v>90</v>
      </c>
      <c r="AR1030">
        <v>0</v>
      </c>
      <c r="AZ1030">
        <v>3614</v>
      </c>
      <c r="BA1030">
        <v>1</v>
      </c>
      <c r="BB1030" t="str">
        <f t="shared" si="47"/>
        <v xml:space="preserve">N959MJ  </v>
      </c>
      <c r="BC1030">
        <v>1</v>
      </c>
      <c r="BE1030">
        <v>0</v>
      </c>
      <c r="BF1030">
        <v>0</v>
      </c>
      <c r="BG1030">
        <v>0</v>
      </c>
      <c r="BH1030">
        <v>9025</v>
      </c>
      <c r="BI1030">
        <v>325</v>
      </c>
      <c r="BJ1030">
        <v>1</v>
      </c>
      <c r="BK1030">
        <v>1</v>
      </c>
      <c r="BL1030">
        <v>1</v>
      </c>
      <c r="BM1030">
        <v>0</v>
      </c>
      <c r="BP1030">
        <v>0</v>
      </c>
      <c r="BQ1030">
        <v>0</v>
      </c>
      <c r="BX1030" t="str">
        <f>"14:07:31.063"</f>
        <v>14:07:31.063</v>
      </c>
      <c r="BY1030" t="str">
        <f>"063715864"</f>
        <v>063715864</v>
      </c>
      <c r="CL1030">
        <v>0</v>
      </c>
      <c r="CM1030">
        <v>2</v>
      </c>
      <c r="CN1030">
        <v>0</v>
      </c>
      <c r="CO1030">
        <v>2</v>
      </c>
      <c r="CP1030">
        <v>0</v>
      </c>
      <c r="CQ1030">
        <v>6</v>
      </c>
      <c r="CR1030" t="s">
        <v>116</v>
      </c>
      <c r="CS1030">
        <v>396</v>
      </c>
      <c r="CT1030">
        <v>2</v>
      </c>
      <c r="CU1030" t="s">
        <v>939</v>
      </c>
      <c r="CV1030" t="s">
        <v>940</v>
      </c>
      <c r="CY1030">
        <v>4542559</v>
      </c>
      <c r="CZ1030" t="s">
        <v>119</v>
      </c>
    </row>
    <row r="1031" spans="1:104" x14ac:dyDescent="0.25">
      <c r="A1031" t="str">
        <f>"14:07:32.156"</f>
        <v>14:07:32.156</v>
      </c>
      <c r="B1031" t="s">
        <v>108</v>
      </c>
      <c r="C1031" t="str">
        <f t="shared" si="46"/>
        <v>ffdfd3c0</v>
      </c>
      <c r="D1031" t="s">
        <v>109</v>
      </c>
      <c r="E1031">
        <v>4</v>
      </c>
      <c r="F1031">
        <v>1004</v>
      </c>
      <c r="G1031" t="s">
        <v>110</v>
      </c>
      <c r="J1031" t="s">
        <v>111</v>
      </c>
      <c r="K1031">
        <v>0</v>
      </c>
      <c r="L1031">
        <v>3</v>
      </c>
      <c r="M1031">
        <v>0</v>
      </c>
      <c r="N1031">
        <v>2</v>
      </c>
      <c r="O1031">
        <v>1</v>
      </c>
      <c r="P1031">
        <v>0</v>
      </c>
      <c r="Q1031">
        <v>0</v>
      </c>
      <c r="R1031" t="s">
        <v>112</v>
      </c>
      <c r="S1031" t="str">
        <f>"14:07:31.961"</f>
        <v>14:07:31.961</v>
      </c>
      <c r="T1031" t="str">
        <f>"14:07:31.563"</f>
        <v>14:07:31.563</v>
      </c>
      <c r="U1031" t="str">
        <f t="shared" si="48"/>
        <v>ad5732</v>
      </c>
      <c r="V1031">
        <v>0</v>
      </c>
      <c r="W1031">
        <v>0</v>
      </c>
      <c r="X1031">
        <v>1</v>
      </c>
      <c r="Z1031">
        <v>0</v>
      </c>
      <c r="AA1031">
        <v>9</v>
      </c>
      <c r="AB1031">
        <v>3</v>
      </c>
      <c r="AC1031">
        <v>0</v>
      </c>
      <c r="AD1031">
        <v>10</v>
      </c>
      <c r="AE1031">
        <v>0</v>
      </c>
      <c r="AF1031">
        <v>3</v>
      </c>
      <c r="AG1031">
        <v>2</v>
      </c>
      <c r="AH1031">
        <v>0</v>
      </c>
      <c r="AI1031" t="s">
        <v>2159</v>
      </c>
      <c r="AJ1031">
        <v>39.444994999999999</v>
      </c>
      <c r="AK1031" t="s">
        <v>2160</v>
      </c>
      <c r="AL1031">
        <v>-76.847218999999996</v>
      </c>
      <c r="AM1031">
        <v>100</v>
      </c>
      <c r="AN1031">
        <v>8700</v>
      </c>
      <c r="AO1031" t="s">
        <v>115</v>
      </c>
      <c r="AP1031">
        <v>167</v>
      </c>
      <c r="AQ1031">
        <v>90</v>
      </c>
      <c r="AR1031">
        <v>-64</v>
      </c>
      <c r="AZ1031">
        <v>3614</v>
      </c>
      <c r="BA1031">
        <v>1</v>
      </c>
      <c r="BB1031" t="str">
        <f t="shared" si="47"/>
        <v xml:space="preserve">N959MJ  </v>
      </c>
      <c r="BC1031">
        <v>1</v>
      </c>
      <c r="BE1031">
        <v>0</v>
      </c>
      <c r="BF1031">
        <v>0</v>
      </c>
      <c r="BG1031">
        <v>0</v>
      </c>
      <c r="BH1031">
        <v>9025</v>
      </c>
      <c r="BI1031">
        <v>325</v>
      </c>
      <c r="BJ1031">
        <v>1</v>
      </c>
      <c r="BK1031">
        <v>1</v>
      </c>
      <c r="BL1031">
        <v>1</v>
      </c>
      <c r="BM1031">
        <v>0</v>
      </c>
      <c r="BP1031">
        <v>0</v>
      </c>
      <c r="BQ1031">
        <v>0</v>
      </c>
      <c r="BX1031" t="str">
        <f>"14:07:31.969"</f>
        <v>14:07:31.969</v>
      </c>
      <c r="BY1031" t="str">
        <f>"964850382"</f>
        <v>964850382</v>
      </c>
      <c r="CL1031">
        <v>0</v>
      </c>
      <c r="CM1031">
        <v>2</v>
      </c>
      <c r="CN1031">
        <v>0</v>
      </c>
      <c r="CO1031">
        <v>2</v>
      </c>
      <c r="CP1031">
        <v>0</v>
      </c>
      <c r="CQ1031">
        <v>6</v>
      </c>
      <c r="CR1031" t="s">
        <v>116</v>
      </c>
      <c r="CS1031">
        <v>396</v>
      </c>
      <c r="CT1031">
        <v>2</v>
      </c>
      <c r="CU1031" t="s">
        <v>939</v>
      </c>
      <c r="CV1031" t="s">
        <v>940</v>
      </c>
      <c r="CY1031">
        <v>4544082</v>
      </c>
      <c r="CZ1031" t="s">
        <v>119</v>
      </c>
    </row>
    <row r="1032" spans="1:104" x14ac:dyDescent="0.25">
      <c r="A1032" t="str">
        <f>"14:07:33.117"</f>
        <v>14:07:33.117</v>
      </c>
      <c r="B1032" t="s">
        <v>108</v>
      </c>
      <c r="C1032" t="str">
        <f t="shared" si="46"/>
        <v>ffdfd3c0</v>
      </c>
      <c r="D1032" t="s">
        <v>109</v>
      </c>
      <c r="E1032">
        <v>4</v>
      </c>
      <c r="F1032">
        <v>1004</v>
      </c>
      <c r="G1032" t="s">
        <v>110</v>
      </c>
      <c r="J1032" t="s">
        <v>111</v>
      </c>
      <c r="K1032">
        <v>0</v>
      </c>
      <c r="L1032">
        <v>3</v>
      </c>
      <c r="M1032">
        <v>0</v>
      </c>
      <c r="N1032">
        <v>2</v>
      </c>
      <c r="O1032">
        <v>1</v>
      </c>
      <c r="P1032">
        <v>0</v>
      </c>
      <c r="Q1032">
        <v>0</v>
      </c>
      <c r="R1032" t="s">
        <v>112</v>
      </c>
      <c r="S1032" t="str">
        <f>"14:07:32.961"</f>
        <v>14:07:32.961</v>
      </c>
      <c r="T1032" t="str">
        <f>"14:07:32.563"</f>
        <v>14:07:32.563</v>
      </c>
      <c r="U1032" t="str">
        <f t="shared" si="48"/>
        <v>ad5732</v>
      </c>
      <c r="V1032">
        <v>0</v>
      </c>
      <c r="W1032">
        <v>0</v>
      </c>
      <c r="X1032">
        <v>1</v>
      </c>
      <c r="Z1032">
        <v>0</v>
      </c>
      <c r="AA1032">
        <v>9</v>
      </c>
      <c r="AB1032">
        <v>3</v>
      </c>
      <c r="AC1032">
        <v>0</v>
      </c>
      <c r="AD1032">
        <v>10</v>
      </c>
      <c r="AE1032">
        <v>0</v>
      </c>
      <c r="AF1032">
        <v>3</v>
      </c>
      <c r="AG1032">
        <v>2</v>
      </c>
      <c r="AH1032">
        <v>0</v>
      </c>
      <c r="AI1032" t="s">
        <v>2161</v>
      </c>
      <c r="AJ1032">
        <v>39.445402999999999</v>
      </c>
      <c r="AK1032" t="s">
        <v>2162</v>
      </c>
      <c r="AL1032">
        <v>-76.846254000000002</v>
      </c>
      <c r="AM1032">
        <v>100</v>
      </c>
      <c r="AN1032">
        <v>8700</v>
      </c>
      <c r="AO1032" t="s">
        <v>115</v>
      </c>
      <c r="AP1032">
        <v>167</v>
      </c>
      <c r="AQ1032">
        <v>91</v>
      </c>
      <c r="AR1032">
        <v>0</v>
      </c>
      <c r="AZ1032">
        <v>3614</v>
      </c>
      <c r="BA1032">
        <v>1</v>
      </c>
      <c r="BB1032" t="str">
        <f t="shared" si="47"/>
        <v xml:space="preserve">N959MJ  </v>
      </c>
      <c r="BC1032">
        <v>1</v>
      </c>
      <c r="BE1032">
        <v>0</v>
      </c>
      <c r="BF1032">
        <v>0</v>
      </c>
      <c r="BG1032">
        <v>0</v>
      </c>
      <c r="BH1032">
        <v>9025</v>
      </c>
      <c r="BI1032">
        <v>325</v>
      </c>
      <c r="BJ1032">
        <v>1</v>
      </c>
      <c r="BK1032">
        <v>1</v>
      </c>
      <c r="BL1032">
        <v>1</v>
      </c>
      <c r="BM1032">
        <v>0</v>
      </c>
      <c r="BP1032">
        <v>0</v>
      </c>
      <c r="BQ1032">
        <v>0</v>
      </c>
      <c r="BX1032" t="str">
        <f>"14:07:32.961"</f>
        <v>14:07:32.961</v>
      </c>
      <c r="BY1032" t="str">
        <f>"964246697"</f>
        <v>964246697</v>
      </c>
      <c r="CL1032">
        <v>0</v>
      </c>
      <c r="CM1032">
        <v>2</v>
      </c>
      <c r="CN1032">
        <v>0</v>
      </c>
      <c r="CO1032">
        <v>2</v>
      </c>
      <c r="CP1032">
        <v>0</v>
      </c>
      <c r="CQ1032">
        <v>6</v>
      </c>
      <c r="CR1032" t="s">
        <v>116</v>
      </c>
      <c r="CS1032">
        <v>147</v>
      </c>
      <c r="CT1032">
        <v>0</v>
      </c>
      <c r="CU1032" t="s">
        <v>117</v>
      </c>
      <c r="CV1032" t="s">
        <v>118</v>
      </c>
      <c r="CY1032">
        <v>5570567</v>
      </c>
      <c r="CZ1032" t="s">
        <v>119</v>
      </c>
    </row>
    <row r="1033" spans="1:104" x14ac:dyDescent="0.25">
      <c r="A1033" t="str">
        <f>"14:07:34.180"</f>
        <v>14:07:34.180</v>
      </c>
      <c r="B1033" t="s">
        <v>108</v>
      </c>
      <c r="C1033" t="str">
        <f t="shared" si="46"/>
        <v>ffdfd3c0</v>
      </c>
      <c r="D1033" t="s">
        <v>109</v>
      </c>
      <c r="E1033">
        <v>4</v>
      </c>
      <c r="F1033">
        <v>1004</v>
      </c>
      <c r="G1033" t="s">
        <v>110</v>
      </c>
      <c r="J1033" t="s">
        <v>111</v>
      </c>
      <c r="K1033">
        <v>0</v>
      </c>
      <c r="L1033">
        <v>3</v>
      </c>
      <c r="M1033">
        <v>0</v>
      </c>
      <c r="N1033">
        <v>2</v>
      </c>
      <c r="O1033">
        <v>1</v>
      </c>
      <c r="P1033">
        <v>0</v>
      </c>
      <c r="Q1033">
        <v>0</v>
      </c>
      <c r="R1033" t="s">
        <v>112</v>
      </c>
      <c r="S1033" t="str">
        <f>"14:07:33.977"</f>
        <v>14:07:33.977</v>
      </c>
      <c r="T1033" t="str">
        <f>"14:07:33.477"</f>
        <v>14:07:33.477</v>
      </c>
      <c r="U1033" t="str">
        <f t="shared" si="48"/>
        <v>ad5732</v>
      </c>
      <c r="V1033">
        <v>0</v>
      </c>
      <c r="W1033">
        <v>0</v>
      </c>
      <c r="X1033">
        <v>1</v>
      </c>
      <c r="Z1033">
        <v>0</v>
      </c>
      <c r="AA1033">
        <v>9</v>
      </c>
      <c r="AB1033">
        <v>3</v>
      </c>
      <c r="AC1033">
        <v>0</v>
      </c>
      <c r="AD1033">
        <v>10</v>
      </c>
      <c r="AE1033">
        <v>0</v>
      </c>
      <c r="AF1033">
        <v>3</v>
      </c>
      <c r="AG1033">
        <v>2</v>
      </c>
      <c r="AH1033">
        <v>0</v>
      </c>
      <c r="AI1033" t="s">
        <v>2163</v>
      </c>
      <c r="AJ1033">
        <v>39.445810000000002</v>
      </c>
      <c r="AK1033" t="s">
        <v>2164</v>
      </c>
      <c r="AL1033">
        <v>-76.845245000000006</v>
      </c>
      <c r="AM1033">
        <v>100</v>
      </c>
      <c r="AN1033">
        <v>8700</v>
      </c>
      <c r="AO1033" t="s">
        <v>115</v>
      </c>
      <c r="AP1033">
        <v>167</v>
      </c>
      <c r="AQ1033">
        <v>91</v>
      </c>
      <c r="AR1033">
        <v>-64</v>
      </c>
      <c r="AZ1033">
        <v>3614</v>
      </c>
      <c r="BA1033">
        <v>1</v>
      </c>
      <c r="BB1033" t="str">
        <f t="shared" si="47"/>
        <v xml:space="preserve">N959MJ  </v>
      </c>
      <c r="BC1033">
        <v>1</v>
      </c>
      <c r="BE1033">
        <v>0</v>
      </c>
      <c r="BF1033">
        <v>0</v>
      </c>
      <c r="BG1033">
        <v>0</v>
      </c>
      <c r="BH1033">
        <v>9025</v>
      </c>
      <c r="BI1033">
        <v>325</v>
      </c>
      <c r="BJ1033">
        <v>1</v>
      </c>
      <c r="BK1033">
        <v>1</v>
      </c>
      <c r="BL1033">
        <v>1</v>
      </c>
      <c r="BM1033">
        <v>0</v>
      </c>
      <c r="BP1033">
        <v>0</v>
      </c>
      <c r="BQ1033">
        <v>0</v>
      </c>
      <c r="BX1033" t="str">
        <f>"14:07:33.984"</f>
        <v>14:07:33.984</v>
      </c>
      <c r="BY1033" t="str">
        <f>"981753531"</f>
        <v>981753531</v>
      </c>
      <c r="CL1033">
        <v>0</v>
      </c>
      <c r="CM1033">
        <v>2</v>
      </c>
      <c r="CN1033">
        <v>0</v>
      </c>
      <c r="CO1033">
        <v>2</v>
      </c>
      <c r="CP1033">
        <v>0</v>
      </c>
      <c r="CQ1033">
        <v>6</v>
      </c>
      <c r="CR1033" t="s">
        <v>116</v>
      </c>
      <c r="CS1033">
        <v>396</v>
      </c>
      <c r="CT1033">
        <v>2</v>
      </c>
      <c r="CU1033" t="s">
        <v>939</v>
      </c>
      <c r="CV1033" t="s">
        <v>940</v>
      </c>
      <c r="CY1033">
        <v>4547751</v>
      </c>
      <c r="CZ1033" t="s">
        <v>119</v>
      </c>
    </row>
    <row r="1034" spans="1:104" x14ac:dyDescent="0.25">
      <c r="A1034" t="str">
        <f>"14:07:35.234"</f>
        <v>14:07:35.234</v>
      </c>
      <c r="B1034" t="s">
        <v>108</v>
      </c>
      <c r="C1034" t="str">
        <f t="shared" ref="C1034:C1097" si="49">"ffdfd3c0"</f>
        <v>ffdfd3c0</v>
      </c>
      <c r="D1034" t="s">
        <v>109</v>
      </c>
      <c r="E1034">
        <v>4</v>
      </c>
      <c r="F1034">
        <v>1004</v>
      </c>
      <c r="G1034" t="s">
        <v>110</v>
      </c>
      <c r="J1034" t="s">
        <v>111</v>
      </c>
      <c r="K1034">
        <v>0</v>
      </c>
      <c r="L1034">
        <v>3</v>
      </c>
      <c r="M1034">
        <v>0</v>
      </c>
      <c r="N1034">
        <v>2</v>
      </c>
      <c r="O1034">
        <v>1</v>
      </c>
      <c r="P1034">
        <v>0</v>
      </c>
      <c r="Q1034">
        <v>0</v>
      </c>
      <c r="R1034" t="s">
        <v>112</v>
      </c>
      <c r="S1034" t="str">
        <f>"14:07:35.063"</f>
        <v>14:07:35.063</v>
      </c>
      <c r="T1034" t="str">
        <f>"14:07:34.664"</f>
        <v>14:07:34.664</v>
      </c>
      <c r="U1034" t="str">
        <f t="shared" si="48"/>
        <v>ad5732</v>
      </c>
      <c r="V1034">
        <v>0</v>
      </c>
      <c r="W1034">
        <v>0</v>
      </c>
      <c r="X1034">
        <v>1</v>
      </c>
      <c r="Z1034">
        <v>0</v>
      </c>
      <c r="AA1034">
        <v>9</v>
      </c>
      <c r="AB1034">
        <v>3</v>
      </c>
      <c r="AC1034">
        <v>0</v>
      </c>
      <c r="AD1034">
        <v>10</v>
      </c>
      <c r="AE1034">
        <v>0</v>
      </c>
      <c r="AF1034">
        <v>3</v>
      </c>
      <c r="AG1034">
        <v>2</v>
      </c>
      <c r="AH1034">
        <v>0</v>
      </c>
      <c r="AI1034" t="s">
        <v>2165</v>
      </c>
      <c r="AJ1034">
        <v>39.446261</v>
      </c>
      <c r="AK1034" t="s">
        <v>2166</v>
      </c>
      <c r="AL1034">
        <v>-76.844172</v>
      </c>
      <c r="AM1034">
        <v>100</v>
      </c>
      <c r="AN1034">
        <v>8700</v>
      </c>
      <c r="AO1034" t="s">
        <v>115</v>
      </c>
      <c r="AP1034">
        <v>166</v>
      </c>
      <c r="AQ1034">
        <v>91</v>
      </c>
      <c r="AR1034">
        <v>-64</v>
      </c>
      <c r="AZ1034">
        <v>3614</v>
      </c>
      <c r="BA1034">
        <v>1</v>
      </c>
      <c r="BB1034" t="str">
        <f t="shared" ref="BB1034:BB1097" si="50">"N959MJ  "</f>
        <v xml:space="preserve">N959MJ  </v>
      </c>
      <c r="BC1034">
        <v>1</v>
      </c>
      <c r="BE1034">
        <v>0</v>
      </c>
      <c r="BF1034">
        <v>0</v>
      </c>
      <c r="BG1034">
        <v>0</v>
      </c>
      <c r="BH1034">
        <v>9025</v>
      </c>
      <c r="BI1034">
        <v>325</v>
      </c>
      <c r="BJ1034">
        <v>1</v>
      </c>
      <c r="BK1034">
        <v>1</v>
      </c>
      <c r="BL1034">
        <v>1</v>
      </c>
      <c r="BM1034">
        <v>0</v>
      </c>
      <c r="BP1034">
        <v>0</v>
      </c>
      <c r="BQ1034">
        <v>0</v>
      </c>
      <c r="BX1034" t="str">
        <f>"14:07:35.063"</f>
        <v>14:07:35.063</v>
      </c>
      <c r="BY1034" t="str">
        <f>"064707121"</f>
        <v>064707121</v>
      </c>
      <c r="CL1034">
        <v>0</v>
      </c>
      <c r="CM1034">
        <v>2</v>
      </c>
      <c r="CN1034">
        <v>0</v>
      </c>
      <c r="CO1034">
        <v>2</v>
      </c>
      <c r="CP1034">
        <v>0</v>
      </c>
      <c r="CQ1034">
        <v>6</v>
      </c>
      <c r="CR1034" t="s">
        <v>116</v>
      </c>
      <c r="CS1034">
        <v>525</v>
      </c>
      <c r="CT1034">
        <v>1</v>
      </c>
      <c r="CU1034" t="s">
        <v>140</v>
      </c>
      <c r="CV1034" t="s">
        <v>141</v>
      </c>
      <c r="CY1034">
        <v>8660587</v>
      </c>
      <c r="CZ1034" t="s">
        <v>119</v>
      </c>
    </row>
    <row r="1035" spans="1:104" x14ac:dyDescent="0.25">
      <c r="A1035" t="str">
        <f>"14:07:36.094"</f>
        <v>14:07:36.094</v>
      </c>
      <c r="B1035" t="s">
        <v>108</v>
      </c>
      <c r="C1035" t="str">
        <f t="shared" si="49"/>
        <v>ffdfd3c0</v>
      </c>
      <c r="D1035" t="s">
        <v>109</v>
      </c>
      <c r="E1035">
        <v>4</v>
      </c>
      <c r="F1035">
        <v>1004</v>
      </c>
      <c r="G1035" t="s">
        <v>110</v>
      </c>
      <c r="J1035" t="s">
        <v>111</v>
      </c>
      <c r="K1035">
        <v>0</v>
      </c>
      <c r="L1035">
        <v>3</v>
      </c>
      <c r="M1035">
        <v>0</v>
      </c>
      <c r="N1035">
        <v>2</v>
      </c>
      <c r="O1035">
        <v>1</v>
      </c>
      <c r="P1035">
        <v>0</v>
      </c>
      <c r="Q1035">
        <v>0</v>
      </c>
      <c r="R1035" t="s">
        <v>112</v>
      </c>
      <c r="S1035" t="str">
        <f>"14:07:35.898"</f>
        <v>14:07:35.898</v>
      </c>
      <c r="T1035" t="str">
        <f>"14:07:35.500"</f>
        <v>14:07:35.500</v>
      </c>
      <c r="U1035" t="str">
        <f t="shared" si="48"/>
        <v>ad5732</v>
      </c>
      <c r="V1035">
        <v>0</v>
      </c>
      <c r="W1035">
        <v>0</v>
      </c>
      <c r="X1035">
        <v>1</v>
      </c>
      <c r="Z1035">
        <v>0</v>
      </c>
      <c r="AA1035">
        <v>9</v>
      </c>
      <c r="AB1035">
        <v>3</v>
      </c>
      <c r="AC1035">
        <v>0</v>
      </c>
      <c r="AD1035">
        <v>10</v>
      </c>
      <c r="AE1035">
        <v>0</v>
      </c>
      <c r="AF1035">
        <v>3</v>
      </c>
      <c r="AG1035">
        <v>2</v>
      </c>
      <c r="AH1035">
        <v>0</v>
      </c>
      <c r="AI1035" t="s">
        <v>2167</v>
      </c>
      <c r="AJ1035">
        <v>39.446646999999999</v>
      </c>
      <c r="AK1035" t="s">
        <v>2168</v>
      </c>
      <c r="AL1035">
        <v>-76.843271000000001</v>
      </c>
      <c r="AM1035">
        <v>100</v>
      </c>
      <c r="AN1035">
        <v>8700</v>
      </c>
      <c r="AO1035" t="s">
        <v>115</v>
      </c>
      <c r="AP1035">
        <v>166</v>
      </c>
      <c r="AQ1035">
        <v>91</v>
      </c>
      <c r="AR1035">
        <v>-64</v>
      </c>
      <c r="AZ1035">
        <v>3614</v>
      </c>
      <c r="BA1035">
        <v>1</v>
      </c>
      <c r="BB1035" t="str">
        <f t="shared" si="50"/>
        <v xml:space="preserve">N959MJ  </v>
      </c>
      <c r="BC1035">
        <v>1</v>
      </c>
      <c r="BE1035">
        <v>0</v>
      </c>
      <c r="BF1035">
        <v>0</v>
      </c>
      <c r="BG1035">
        <v>0</v>
      </c>
      <c r="BH1035">
        <v>9025</v>
      </c>
      <c r="BI1035">
        <v>325</v>
      </c>
      <c r="BJ1035">
        <v>1</v>
      </c>
      <c r="BK1035">
        <v>1</v>
      </c>
      <c r="BL1035">
        <v>1</v>
      </c>
      <c r="BM1035">
        <v>0</v>
      </c>
      <c r="BP1035">
        <v>0</v>
      </c>
      <c r="BQ1035">
        <v>0</v>
      </c>
      <c r="BX1035" t="str">
        <f>"14:07:35.898"</f>
        <v>14:07:35.898</v>
      </c>
      <c r="BY1035" t="str">
        <f>"900351018"</f>
        <v>900351018</v>
      </c>
      <c r="CL1035">
        <v>0</v>
      </c>
      <c r="CM1035">
        <v>2</v>
      </c>
      <c r="CN1035">
        <v>0</v>
      </c>
      <c r="CO1035">
        <v>2</v>
      </c>
      <c r="CP1035">
        <v>0</v>
      </c>
      <c r="CQ1035">
        <v>6</v>
      </c>
      <c r="CR1035" t="s">
        <v>116</v>
      </c>
      <c r="CS1035">
        <v>396</v>
      </c>
      <c r="CT1035">
        <v>2</v>
      </c>
      <c r="CU1035" t="s">
        <v>939</v>
      </c>
      <c r="CV1035" t="s">
        <v>940</v>
      </c>
      <c r="CY1035">
        <v>4551254</v>
      </c>
      <c r="CZ1035" t="s">
        <v>119</v>
      </c>
    </row>
    <row r="1036" spans="1:104" x14ac:dyDescent="0.25">
      <c r="A1036" t="str">
        <f>"14:07:37.000"</f>
        <v>14:07:37.000</v>
      </c>
      <c r="B1036" t="s">
        <v>108</v>
      </c>
      <c r="C1036" t="str">
        <f t="shared" si="49"/>
        <v>ffdfd3c0</v>
      </c>
      <c r="D1036" t="s">
        <v>109</v>
      </c>
      <c r="E1036">
        <v>4</v>
      </c>
      <c r="F1036">
        <v>1004</v>
      </c>
      <c r="G1036" t="s">
        <v>110</v>
      </c>
      <c r="J1036" t="s">
        <v>111</v>
      </c>
      <c r="K1036">
        <v>0</v>
      </c>
      <c r="L1036">
        <v>3</v>
      </c>
      <c r="M1036">
        <v>0</v>
      </c>
      <c r="N1036">
        <v>2</v>
      </c>
      <c r="O1036">
        <v>1</v>
      </c>
      <c r="P1036">
        <v>0</v>
      </c>
      <c r="Q1036">
        <v>0</v>
      </c>
      <c r="R1036" t="s">
        <v>112</v>
      </c>
      <c r="S1036" t="str">
        <f>"14:07:36.797"</f>
        <v>14:07:36.797</v>
      </c>
      <c r="T1036" t="str">
        <f>"14:07:36.398"</f>
        <v>14:07:36.398</v>
      </c>
      <c r="U1036" t="str">
        <f t="shared" si="48"/>
        <v>ad5732</v>
      </c>
      <c r="V1036">
        <v>0</v>
      </c>
      <c r="W1036">
        <v>0</v>
      </c>
      <c r="X1036">
        <v>1</v>
      </c>
      <c r="Z1036">
        <v>0</v>
      </c>
      <c r="AA1036">
        <v>9</v>
      </c>
      <c r="AB1036">
        <v>3</v>
      </c>
      <c r="AC1036">
        <v>0</v>
      </c>
      <c r="AD1036">
        <v>10</v>
      </c>
      <c r="AE1036">
        <v>0</v>
      </c>
      <c r="AF1036">
        <v>3</v>
      </c>
      <c r="AG1036">
        <v>2</v>
      </c>
      <c r="AH1036">
        <v>0</v>
      </c>
      <c r="AI1036" t="s">
        <v>2169</v>
      </c>
      <c r="AJ1036">
        <v>39.447054999999999</v>
      </c>
      <c r="AK1036" t="s">
        <v>2170</v>
      </c>
      <c r="AL1036">
        <v>-76.842348999999999</v>
      </c>
      <c r="AM1036">
        <v>100</v>
      </c>
      <c r="AN1036">
        <v>8700</v>
      </c>
      <c r="AO1036" t="s">
        <v>115</v>
      </c>
      <c r="AP1036">
        <v>166</v>
      </c>
      <c r="AQ1036">
        <v>91</v>
      </c>
      <c r="AR1036">
        <v>-64</v>
      </c>
      <c r="AZ1036">
        <v>3614</v>
      </c>
      <c r="BA1036">
        <v>1</v>
      </c>
      <c r="BB1036" t="str">
        <f t="shared" si="50"/>
        <v xml:space="preserve">N959MJ  </v>
      </c>
      <c r="BC1036">
        <v>1</v>
      </c>
      <c r="BE1036">
        <v>0</v>
      </c>
      <c r="BF1036">
        <v>0</v>
      </c>
      <c r="BG1036">
        <v>0</v>
      </c>
      <c r="BH1036">
        <v>9025</v>
      </c>
      <c r="BI1036">
        <v>325</v>
      </c>
      <c r="BJ1036">
        <v>1</v>
      </c>
      <c r="BK1036">
        <v>1</v>
      </c>
      <c r="BL1036">
        <v>1</v>
      </c>
      <c r="BM1036">
        <v>0</v>
      </c>
      <c r="BP1036">
        <v>0</v>
      </c>
      <c r="BQ1036">
        <v>0</v>
      </c>
      <c r="BX1036" t="str">
        <f>"14:07:36.797"</f>
        <v>14:07:36.797</v>
      </c>
      <c r="BY1036" t="str">
        <f>"799801829"</f>
        <v>799801829</v>
      </c>
      <c r="CL1036">
        <v>0</v>
      </c>
      <c r="CM1036">
        <v>2</v>
      </c>
      <c r="CN1036">
        <v>0</v>
      </c>
      <c r="CO1036">
        <v>2</v>
      </c>
      <c r="CP1036">
        <v>0</v>
      </c>
      <c r="CQ1036">
        <v>6</v>
      </c>
      <c r="CR1036" t="s">
        <v>116</v>
      </c>
      <c r="CS1036">
        <v>525</v>
      </c>
      <c r="CT1036">
        <v>1</v>
      </c>
      <c r="CU1036" t="s">
        <v>140</v>
      </c>
      <c r="CV1036" t="s">
        <v>141</v>
      </c>
      <c r="CY1036">
        <v>8663196</v>
      </c>
      <c r="CZ1036" t="s">
        <v>119</v>
      </c>
    </row>
    <row r="1037" spans="1:104" x14ac:dyDescent="0.25">
      <c r="A1037" t="str">
        <f>"14:07:38.063"</f>
        <v>14:07:38.063</v>
      </c>
      <c r="B1037" t="s">
        <v>108</v>
      </c>
      <c r="C1037" t="str">
        <f t="shared" si="49"/>
        <v>ffdfd3c0</v>
      </c>
      <c r="D1037" t="s">
        <v>109</v>
      </c>
      <c r="E1037">
        <v>4</v>
      </c>
      <c r="F1037">
        <v>1004</v>
      </c>
      <c r="G1037" t="s">
        <v>110</v>
      </c>
      <c r="J1037" t="s">
        <v>111</v>
      </c>
      <c r="K1037">
        <v>0</v>
      </c>
      <c r="L1037">
        <v>3</v>
      </c>
      <c r="M1037">
        <v>0</v>
      </c>
      <c r="N1037">
        <v>2</v>
      </c>
      <c r="O1037">
        <v>1</v>
      </c>
      <c r="P1037">
        <v>0</v>
      </c>
      <c r="Q1037">
        <v>0</v>
      </c>
      <c r="R1037" t="s">
        <v>112</v>
      </c>
      <c r="S1037" t="str">
        <f>"14:07:37.859"</f>
        <v>14:07:37.859</v>
      </c>
      <c r="T1037" t="str">
        <f>"14:07:37.359"</f>
        <v>14:07:37.359</v>
      </c>
      <c r="U1037" t="str">
        <f t="shared" si="48"/>
        <v>ad5732</v>
      </c>
      <c r="V1037">
        <v>0</v>
      </c>
      <c r="W1037">
        <v>0</v>
      </c>
      <c r="X1037">
        <v>1</v>
      </c>
      <c r="Z1037">
        <v>0</v>
      </c>
      <c r="AA1037">
        <v>9</v>
      </c>
      <c r="AB1037">
        <v>3</v>
      </c>
      <c r="AC1037">
        <v>0</v>
      </c>
      <c r="AD1037">
        <v>10</v>
      </c>
      <c r="AE1037">
        <v>0</v>
      </c>
      <c r="AF1037">
        <v>3</v>
      </c>
      <c r="AG1037">
        <v>2</v>
      </c>
      <c r="AH1037">
        <v>0</v>
      </c>
      <c r="AI1037" t="s">
        <v>2171</v>
      </c>
      <c r="AJ1037">
        <v>39.447484000000003</v>
      </c>
      <c r="AK1037" t="s">
        <v>2172</v>
      </c>
      <c r="AL1037">
        <v>-76.841362000000004</v>
      </c>
      <c r="AM1037">
        <v>100</v>
      </c>
      <c r="AN1037">
        <v>8700</v>
      </c>
      <c r="AO1037" t="s">
        <v>115</v>
      </c>
      <c r="AP1037">
        <v>166</v>
      </c>
      <c r="AQ1037">
        <v>92</v>
      </c>
      <c r="AR1037">
        <v>-64</v>
      </c>
      <c r="AZ1037">
        <v>3614</v>
      </c>
      <c r="BA1037">
        <v>1</v>
      </c>
      <c r="BB1037" t="str">
        <f t="shared" si="50"/>
        <v xml:space="preserve">N959MJ  </v>
      </c>
      <c r="BC1037">
        <v>1</v>
      </c>
      <c r="BE1037">
        <v>0</v>
      </c>
      <c r="BF1037">
        <v>0</v>
      </c>
      <c r="BG1037">
        <v>0</v>
      </c>
      <c r="BH1037">
        <v>9025</v>
      </c>
      <c r="BI1037">
        <v>325</v>
      </c>
      <c r="BJ1037">
        <v>1</v>
      </c>
      <c r="BK1037">
        <v>1</v>
      </c>
      <c r="BL1037">
        <v>1</v>
      </c>
      <c r="BM1037">
        <v>0</v>
      </c>
      <c r="BP1037">
        <v>0</v>
      </c>
      <c r="BQ1037">
        <v>0</v>
      </c>
      <c r="BX1037" t="str">
        <f>"14:07:37.859"</f>
        <v>14:07:37.859</v>
      </c>
      <c r="BY1037" t="str">
        <f>"859909167"</f>
        <v>859909167</v>
      </c>
      <c r="CL1037">
        <v>0</v>
      </c>
      <c r="CM1037">
        <v>2</v>
      </c>
      <c r="CN1037">
        <v>0</v>
      </c>
      <c r="CO1037">
        <v>2</v>
      </c>
      <c r="CP1037">
        <v>0</v>
      </c>
      <c r="CQ1037">
        <v>6</v>
      </c>
      <c r="CR1037" t="s">
        <v>116</v>
      </c>
      <c r="CS1037">
        <v>396</v>
      </c>
      <c r="CT1037">
        <v>2</v>
      </c>
      <c r="CU1037" t="s">
        <v>939</v>
      </c>
      <c r="CV1037" t="s">
        <v>940</v>
      </c>
      <c r="CY1037">
        <v>4554844</v>
      </c>
      <c r="CZ1037" t="s">
        <v>119</v>
      </c>
    </row>
    <row r="1038" spans="1:104" x14ac:dyDescent="0.25">
      <c r="A1038" t="str">
        <f>"14:07:39.023"</f>
        <v>14:07:39.023</v>
      </c>
      <c r="B1038" t="s">
        <v>108</v>
      </c>
      <c r="C1038" t="str">
        <f t="shared" si="49"/>
        <v>ffdfd3c0</v>
      </c>
      <c r="D1038" t="s">
        <v>109</v>
      </c>
      <c r="E1038">
        <v>4</v>
      </c>
      <c r="F1038">
        <v>1004</v>
      </c>
      <c r="G1038" t="s">
        <v>110</v>
      </c>
      <c r="J1038" t="s">
        <v>111</v>
      </c>
      <c r="K1038">
        <v>0</v>
      </c>
      <c r="L1038">
        <v>3</v>
      </c>
      <c r="M1038">
        <v>0</v>
      </c>
      <c r="N1038">
        <v>2</v>
      </c>
      <c r="O1038">
        <v>1</v>
      </c>
      <c r="P1038">
        <v>0</v>
      </c>
      <c r="Q1038">
        <v>0</v>
      </c>
      <c r="R1038" t="s">
        <v>112</v>
      </c>
      <c r="S1038" t="str">
        <f>"14:07:38.836"</f>
        <v>14:07:38.836</v>
      </c>
      <c r="T1038" t="str">
        <f>"14:07:38.438"</f>
        <v>14:07:38.438</v>
      </c>
      <c r="U1038" t="str">
        <f t="shared" si="48"/>
        <v>ad5732</v>
      </c>
      <c r="V1038">
        <v>0</v>
      </c>
      <c r="W1038">
        <v>0</v>
      </c>
      <c r="X1038">
        <v>1</v>
      </c>
      <c r="Z1038">
        <v>0</v>
      </c>
      <c r="AA1038">
        <v>9</v>
      </c>
      <c r="AB1038">
        <v>3</v>
      </c>
      <c r="AC1038">
        <v>0</v>
      </c>
      <c r="AD1038">
        <v>10</v>
      </c>
      <c r="AE1038">
        <v>0</v>
      </c>
      <c r="AF1038">
        <v>3</v>
      </c>
      <c r="AG1038">
        <v>2</v>
      </c>
      <c r="AH1038">
        <v>0</v>
      </c>
      <c r="AI1038" t="s">
        <v>2173</v>
      </c>
      <c r="AJ1038">
        <v>39.447892000000003</v>
      </c>
      <c r="AK1038" t="s">
        <v>2174</v>
      </c>
      <c r="AL1038">
        <v>-76.840395999999998</v>
      </c>
      <c r="AM1038">
        <v>100</v>
      </c>
      <c r="AN1038">
        <v>8700</v>
      </c>
      <c r="AO1038" t="s">
        <v>115</v>
      </c>
      <c r="AP1038">
        <v>166</v>
      </c>
      <c r="AQ1038">
        <v>92</v>
      </c>
      <c r="AR1038">
        <v>-64</v>
      </c>
      <c r="AZ1038">
        <v>3614</v>
      </c>
      <c r="BA1038">
        <v>1</v>
      </c>
      <c r="BB1038" t="str">
        <f t="shared" si="50"/>
        <v xml:space="preserve">N959MJ  </v>
      </c>
      <c r="BC1038">
        <v>1</v>
      </c>
      <c r="BE1038">
        <v>0</v>
      </c>
      <c r="BF1038">
        <v>0</v>
      </c>
      <c r="BG1038">
        <v>0</v>
      </c>
      <c r="BH1038">
        <v>9025</v>
      </c>
      <c r="BI1038">
        <v>325</v>
      </c>
      <c r="BJ1038">
        <v>1</v>
      </c>
      <c r="BK1038">
        <v>1</v>
      </c>
      <c r="BL1038">
        <v>1</v>
      </c>
      <c r="BM1038">
        <v>0</v>
      </c>
      <c r="BP1038">
        <v>0</v>
      </c>
      <c r="BQ1038">
        <v>0</v>
      </c>
      <c r="BX1038" t="str">
        <f>"14:07:38.844"</f>
        <v>14:07:38.844</v>
      </c>
      <c r="BY1038" t="str">
        <f>"839899815"</f>
        <v>839899815</v>
      </c>
      <c r="CL1038">
        <v>0</v>
      </c>
      <c r="CM1038">
        <v>2</v>
      </c>
      <c r="CN1038">
        <v>0</v>
      </c>
      <c r="CO1038">
        <v>2</v>
      </c>
      <c r="CP1038">
        <v>0</v>
      </c>
      <c r="CQ1038">
        <v>5</v>
      </c>
      <c r="CR1038" t="s">
        <v>116</v>
      </c>
      <c r="CS1038">
        <v>379</v>
      </c>
      <c r="CT1038">
        <v>3</v>
      </c>
      <c r="CU1038" t="s">
        <v>538</v>
      </c>
      <c r="CV1038" t="s">
        <v>539</v>
      </c>
      <c r="CY1038">
        <v>5383215</v>
      </c>
      <c r="CZ1038" t="s">
        <v>119</v>
      </c>
    </row>
    <row r="1039" spans="1:104" x14ac:dyDescent="0.25">
      <c r="A1039" t="str">
        <f>"14:07:39.977"</f>
        <v>14:07:39.977</v>
      </c>
      <c r="B1039" t="s">
        <v>108</v>
      </c>
      <c r="C1039" t="str">
        <f t="shared" si="49"/>
        <v>ffdfd3c0</v>
      </c>
      <c r="D1039" t="s">
        <v>109</v>
      </c>
      <c r="E1039">
        <v>4</v>
      </c>
      <c r="F1039">
        <v>1004</v>
      </c>
      <c r="G1039" t="s">
        <v>110</v>
      </c>
      <c r="J1039" t="s">
        <v>111</v>
      </c>
      <c r="K1039">
        <v>0</v>
      </c>
      <c r="L1039">
        <v>3</v>
      </c>
      <c r="M1039">
        <v>0</v>
      </c>
      <c r="N1039">
        <v>2</v>
      </c>
      <c r="O1039">
        <v>1</v>
      </c>
      <c r="P1039">
        <v>0</v>
      </c>
      <c r="Q1039">
        <v>0</v>
      </c>
      <c r="R1039" t="s">
        <v>112</v>
      </c>
      <c r="S1039" t="str">
        <f>"14:07:39.789"</f>
        <v>14:07:39.789</v>
      </c>
      <c r="T1039" t="str">
        <f>"14:07:39.289"</f>
        <v>14:07:39.289</v>
      </c>
      <c r="U1039" t="str">
        <f t="shared" si="48"/>
        <v>ad5732</v>
      </c>
      <c r="V1039">
        <v>0</v>
      </c>
      <c r="W1039">
        <v>0</v>
      </c>
      <c r="X1039">
        <v>1</v>
      </c>
      <c r="Z1039">
        <v>0</v>
      </c>
      <c r="AA1039">
        <v>9</v>
      </c>
      <c r="AB1039">
        <v>3</v>
      </c>
      <c r="AC1039">
        <v>0</v>
      </c>
      <c r="AD1039">
        <v>10</v>
      </c>
      <c r="AE1039">
        <v>0</v>
      </c>
      <c r="AF1039">
        <v>3</v>
      </c>
      <c r="AG1039">
        <v>2</v>
      </c>
      <c r="AH1039">
        <v>0</v>
      </c>
      <c r="AI1039" t="s">
        <v>2175</v>
      </c>
      <c r="AJ1039">
        <v>39.448321</v>
      </c>
      <c r="AK1039" t="s">
        <v>2176</v>
      </c>
      <c r="AL1039">
        <v>-76.839409000000003</v>
      </c>
      <c r="AM1039">
        <v>100</v>
      </c>
      <c r="AN1039">
        <v>8700</v>
      </c>
      <c r="AO1039" t="s">
        <v>115</v>
      </c>
      <c r="AP1039">
        <v>166</v>
      </c>
      <c r="AQ1039">
        <v>92</v>
      </c>
      <c r="AR1039">
        <v>-64</v>
      </c>
      <c r="AZ1039">
        <v>3614</v>
      </c>
      <c r="BA1039">
        <v>1</v>
      </c>
      <c r="BB1039" t="str">
        <f t="shared" si="50"/>
        <v xml:space="preserve">N959MJ  </v>
      </c>
      <c r="BC1039">
        <v>1</v>
      </c>
      <c r="BE1039">
        <v>0</v>
      </c>
      <c r="BF1039">
        <v>0</v>
      </c>
      <c r="BG1039">
        <v>0</v>
      </c>
      <c r="BH1039">
        <v>9025</v>
      </c>
      <c r="BI1039">
        <v>325</v>
      </c>
      <c r="BJ1039">
        <v>1</v>
      </c>
      <c r="BK1039">
        <v>1</v>
      </c>
      <c r="BL1039">
        <v>1</v>
      </c>
      <c r="BM1039">
        <v>0</v>
      </c>
      <c r="BP1039">
        <v>0</v>
      </c>
      <c r="BQ1039">
        <v>0</v>
      </c>
      <c r="BX1039" t="str">
        <f>"14:07:39.789"</f>
        <v>14:07:39.789</v>
      </c>
      <c r="BY1039" t="str">
        <f>"791570345"</f>
        <v>791570345</v>
      </c>
      <c r="CL1039">
        <v>0</v>
      </c>
      <c r="CM1039">
        <v>2</v>
      </c>
      <c r="CN1039">
        <v>0</v>
      </c>
      <c r="CO1039">
        <v>2</v>
      </c>
      <c r="CP1039">
        <v>0</v>
      </c>
      <c r="CQ1039">
        <v>6</v>
      </c>
      <c r="CR1039" t="s">
        <v>116</v>
      </c>
      <c r="CS1039">
        <v>525</v>
      </c>
      <c r="CT1039">
        <v>1</v>
      </c>
      <c r="CU1039" t="s">
        <v>140</v>
      </c>
      <c r="CV1039" t="s">
        <v>141</v>
      </c>
      <c r="CY1039">
        <v>8667594</v>
      </c>
      <c r="CZ1039" t="s">
        <v>119</v>
      </c>
    </row>
    <row r="1040" spans="1:104" x14ac:dyDescent="0.25">
      <c r="A1040" t="str">
        <f>"14:07:41.039"</f>
        <v>14:07:41.039</v>
      </c>
      <c r="B1040" t="s">
        <v>108</v>
      </c>
      <c r="C1040" t="str">
        <f t="shared" si="49"/>
        <v>ffdfd3c0</v>
      </c>
      <c r="D1040" t="s">
        <v>109</v>
      </c>
      <c r="E1040">
        <v>4</v>
      </c>
      <c r="F1040">
        <v>1004</v>
      </c>
      <c r="G1040" t="s">
        <v>110</v>
      </c>
      <c r="J1040" t="s">
        <v>111</v>
      </c>
      <c r="K1040">
        <v>0</v>
      </c>
      <c r="L1040">
        <v>3</v>
      </c>
      <c r="M1040">
        <v>0</v>
      </c>
      <c r="N1040">
        <v>2</v>
      </c>
      <c r="O1040">
        <v>1</v>
      </c>
      <c r="P1040">
        <v>0</v>
      </c>
      <c r="Q1040">
        <v>0</v>
      </c>
      <c r="R1040" t="s">
        <v>112</v>
      </c>
      <c r="S1040" t="str">
        <f>"14:07:40.852"</f>
        <v>14:07:40.852</v>
      </c>
      <c r="T1040" t="str">
        <f>"14:07:40.352"</f>
        <v>14:07:40.352</v>
      </c>
      <c r="U1040" t="str">
        <f t="shared" si="48"/>
        <v>ad5732</v>
      </c>
      <c r="V1040">
        <v>0</v>
      </c>
      <c r="W1040">
        <v>0</v>
      </c>
      <c r="X1040">
        <v>1</v>
      </c>
      <c r="Z1040">
        <v>0</v>
      </c>
      <c r="AA1040">
        <v>9</v>
      </c>
      <c r="AB1040">
        <v>3</v>
      </c>
      <c r="AC1040">
        <v>0</v>
      </c>
      <c r="AD1040">
        <v>10</v>
      </c>
      <c r="AE1040">
        <v>0</v>
      </c>
      <c r="AF1040">
        <v>3</v>
      </c>
      <c r="AG1040">
        <v>2</v>
      </c>
      <c r="AH1040">
        <v>0</v>
      </c>
      <c r="AI1040" t="s">
        <v>2177</v>
      </c>
      <c r="AJ1040">
        <v>39.448729</v>
      </c>
      <c r="AK1040" t="s">
        <v>2178</v>
      </c>
      <c r="AL1040">
        <v>-76.838379000000003</v>
      </c>
      <c r="AM1040">
        <v>100</v>
      </c>
      <c r="AN1040">
        <v>8700</v>
      </c>
      <c r="AO1040" t="s">
        <v>115</v>
      </c>
      <c r="AP1040">
        <v>166</v>
      </c>
      <c r="AQ1040">
        <v>92</v>
      </c>
      <c r="AR1040">
        <v>-64</v>
      </c>
      <c r="AZ1040">
        <v>3614</v>
      </c>
      <c r="BA1040">
        <v>1</v>
      </c>
      <c r="BB1040" t="str">
        <f t="shared" si="50"/>
        <v xml:space="preserve">N959MJ  </v>
      </c>
      <c r="BC1040">
        <v>1</v>
      </c>
      <c r="BE1040">
        <v>0</v>
      </c>
      <c r="BF1040">
        <v>0</v>
      </c>
      <c r="BG1040">
        <v>0</v>
      </c>
      <c r="BH1040">
        <v>9025</v>
      </c>
      <c r="BI1040">
        <v>325</v>
      </c>
      <c r="BJ1040">
        <v>1</v>
      </c>
      <c r="BK1040">
        <v>1</v>
      </c>
      <c r="BL1040">
        <v>1</v>
      </c>
      <c r="BM1040">
        <v>0</v>
      </c>
      <c r="BP1040">
        <v>0</v>
      </c>
      <c r="BQ1040">
        <v>0</v>
      </c>
      <c r="BX1040" t="str">
        <f>"14:07:40.852"</f>
        <v>14:07:40.852</v>
      </c>
      <c r="BY1040" t="str">
        <f>"851676069"</f>
        <v>851676069</v>
      </c>
      <c r="CL1040">
        <v>0</v>
      </c>
      <c r="CM1040">
        <v>2</v>
      </c>
      <c r="CN1040">
        <v>0</v>
      </c>
      <c r="CO1040">
        <v>2</v>
      </c>
      <c r="CP1040">
        <v>0</v>
      </c>
      <c r="CQ1040">
        <v>6</v>
      </c>
      <c r="CR1040" t="s">
        <v>116</v>
      </c>
      <c r="CS1040">
        <v>396</v>
      </c>
      <c r="CT1040">
        <v>2</v>
      </c>
      <c r="CU1040" t="s">
        <v>939</v>
      </c>
      <c r="CV1040" t="s">
        <v>940</v>
      </c>
      <c r="CY1040">
        <v>4560299</v>
      </c>
      <c r="CZ1040" t="s">
        <v>119</v>
      </c>
    </row>
    <row r="1041" spans="1:104" x14ac:dyDescent="0.25">
      <c r="A1041" t="str">
        <f>"14:07:41.945"</f>
        <v>14:07:41.945</v>
      </c>
      <c r="B1041" t="s">
        <v>108</v>
      </c>
      <c r="C1041" t="str">
        <f t="shared" si="49"/>
        <v>ffdfd3c0</v>
      </c>
      <c r="D1041" t="s">
        <v>109</v>
      </c>
      <c r="E1041">
        <v>4</v>
      </c>
      <c r="F1041">
        <v>1004</v>
      </c>
      <c r="G1041" t="s">
        <v>110</v>
      </c>
      <c r="J1041" t="s">
        <v>111</v>
      </c>
      <c r="K1041">
        <v>0</v>
      </c>
      <c r="L1041">
        <v>3</v>
      </c>
      <c r="M1041">
        <v>0</v>
      </c>
      <c r="N1041">
        <v>2</v>
      </c>
      <c r="O1041">
        <v>1</v>
      </c>
      <c r="P1041">
        <v>0</v>
      </c>
      <c r="Q1041">
        <v>0</v>
      </c>
      <c r="R1041" t="s">
        <v>112</v>
      </c>
      <c r="S1041" t="str">
        <f>"14:07:41.789"</f>
        <v>14:07:41.789</v>
      </c>
      <c r="T1041" t="str">
        <f>"14:07:41.391"</f>
        <v>14:07:41.391</v>
      </c>
      <c r="U1041" t="str">
        <f t="shared" si="48"/>
        <v>ad5732</v>
      </c>
      <c r="V1041">
        <v>0</v>
      </c>
      <c r="W1041">
        <v>0</v>
      </c>
      <c r="X1041">
        <v>1</v>
      </c>
      <c r="Z1041">
        <v>0</v>
      </c>
      <c r="AA1041">
        <v>9</v>
      </c>
      <c r="AB1041">
        <v>3</v>
      </c>
      <c r="AC1041">
        <v>0</v>
      </c>
      <c r="AD1041">
        <v>10</v>
      </c>
      <c r="AE1041">
        <v>0</v>
      </c>
      <c r="AF1041">
        <v>3</v>
      </c>
      <c r="AG1041">
        <v>2</v>
      </c>
      <c r="AH1041">
        <v>0</v>
      </c>
      <c r="AI1041" t="s">
        <v>2179</v>
      </c>
      <c r="AJ1041">
        <v>39.449157999999997</v>
      </c>
      <c r="AK1041" t="s">
        <v>2180</v>
      </c>
      <c r="AL1041">
        <v>-76.837456000000003</v>
      </c>
      <c r="AM1041">
        <v>100</v>
      </c>
      <c r="AN1041">
        <v>8700</v>
      </c>
      <c r="AO1041" t="s">
        <v>115</v>
      </c>
      <c r="AP1041">
        <v>166</v>
      </c>
      <c r="AQ1041">
        <v>92</v>
      </c>
      <c r="AR1041">
        <v>0</v>
      </c>
      <c r="AZ1041">
        <v>3614</v>
      </c>
      <c r="BA1041">
        <v>1</v>
      </c>
      <c r="BB1041" t="str">
        <f t="shared" si="50"/>
        <v xml:space="preserve">N959MJ  </v>
      </c>
      <c r="BC1041">
        <v>1</v>
      </c>
      <c r="BE1041">
        <v>0</v>
      </c>
      <c r="BF1041">
        <v>0</v>
      </c>
      <c r="BG1041">
        <v>0</v>
      </c>
      <c r="BH1041">
        <v>9025</v>
      </c>
      <c r="BI1041">
        <v>325</v>
      </c>
      <c r="BJ1041">
        <v>1</v>
      </c>
      <c r="BK1041">
        <v>1</v>
      </c>
      <c r="BL1041">
        <v>1</v>
      </c>
      <c r="BM1041">
        <v>0</v>
      </c>
      <c r="BP1041">
        <v>0</v>
      </c>
      <c r="BQ1041">
        <v>0</v>
      </c>
      <c r="BX1041" t="str">
        <f>"14:07:41.797"</f>
        <v>14:07:41.797</v>
      </c>
      <c r="BY1041" t="str">
        <f>"795370587"</f>
        <v>795370587</v>
      </c>
      <c r="CL1041">
        <v>0</v>
      </c>
      <c r="CM1041">
        <v>2</v>
      </c>
      <c r="CN1041">
        <v>0</v>
      </c>
      <c r="CO1041">
        <v>2</v>
      </c>
      <c r="CP1041">
        <v>0</v>
      </c>
      <c r="CQ1041">
        <v>6</v>
      </c>
      <c r="CR1041" t="s">
        <v>116</v>
      </c>
      <c r="CS1041">
        <v>147</v>
      </c>
      <c r="CT1041">
        <v>0</v>
      </c>
      <c r="CU1041" t="s">
        <v>117</v>
      </c>
      <c r="CV1041" t="s">
        <v>118</v>
      </c>
      <c r="CY1041">
        <v>5585510</v>
      </c>
      <c r="CZ1041" t="s">
        <v>119</v>
      </c>
    </row>
    <row r="1042" spans="1:104" x14ac:dyDescent="0.25">
      <c r="A1042" t="str">
        <f>"14:07:42.906"</f>
        <v>14:07:42.906</v>
      </c>
      <c r="B1042" t="s">
        <v>108</v>
      </c>
      <c r="C1042" t="str">
        <f t="shared" si="49"/>
        <v>ffdfd3c0</v>
      </c>
      <c r="D1042" t="s">
        <v>109</v>
      </c>
      <c r="E1042">
        <v>4</v>
      </c>
      <c r="F1042">
        <v>1004</v>
      </c>
      <c r="G1042" t="s">
        <v>110</v>
      </c>
      <c r="J1042" t="s">
        <v>111</v>
      </c>
      <c r="K1042">
        <v>0</v>
      </c>
      <c r="L1042">
        <v>3</v>
      </c>
      <c r="M1042">
        <v>0</v>
      </c>
      <c r="N1042">
        <v>2</v>
      </c>
      <c r="O1042">
        <v>1</v>
      </c>
      <c r="P1042">
        <v>0</v>
      </c>
      <c r="Q1042">
        <v>0</v>
      </c>
      <c r="R1042" t="s">
        <v>112</v>
      </c>
      <c r="S1042" t="str">
        <f>"14:07:42.727"</f>
        <v>14:07:42.727</v>
      </c>
      <c r="T1042" t="str">
        <f>"14:07:42.227"</f>
        <v>14:07:42.227</v>
      </c>
      <c r="U1042" t="str">
        <f t="shared" si="48"/>
        <v>ad5732</v>
      </c>
      <c r="V1042">
        <v>0</v>
      </c>
      <c r="W1042">
        <v>0</v>
      </c>
      <c r="X1042">
        <v>1</v>
      </c>
      <c r="Z1042">
        <v>0</v>
      </c>
      <c r="AA1042">
        <v>9</v>
      </c>
      <c r="AB1042">
        <v>3</v>
      </c>
      <c r="AC1042">
        <v>0</v>
      </c>
      <c r="AD1042">
        <v>10</v>
      </c>
      <c r="AE1042">
        <v>0</v>
      </c>
      <c r="AF1042">
        <v>3</v>
      </c>
      <c r="AG1042">
        <v>2</v>
      </c>
      <c r="AH1042">
        <v>0</v>
      </c>
      <c r="AI1042" t="s">
        <v>2181</v>
      </c>
      <c r="AJ1042">
        <v>39.449522000000002</v>
      </c>
      <c r="AK1042" t="s">
        <v>2182</v>
      </c>
      <c r="AL1042">
        <v>-76.836534</v>
      </c>
      <c r="AM1042">
        <v>100</v>
      </c>
      <c r="AN1042">
        <v>8700</v>
      </c>
      <c r="AO1042" t="s">
        <v>115</v>
      </c>
      <c r="AP1042">
        <v>166</v>
      </c>
      <c r="AQ1042">
        <v>92</v>
      </c>
      <c r="AR1042">
        <v>0</v>
      </c>
      <c r="AZ1042">
        <v>3614</v>
      </c>
      <c r="BA1042">
        <v>1</v>
      </c>
      <c r="BB1042" t="str">
        <f t="shared" si="50"/>
        <v xml:space="preserve">N959MJ  </v>
      </c>
      <c r="BC1042">
        <v>1</v>
      </c>
      <c r="BE1042">
        <v>0</v>
      </c>
      <c r="BF1042">
        <v>0</v>
      </c>
      <c r="BG1042">
        <v>0</v>
      </c>
      <c r="BH1042">
        <v>9025</v>
      </c>
      <c r="BI1042">
        <v>325</v>
      </c>
      <c r="BJ1042">
        <v>1</v>
      </c>
      <c r="BK1042">
        <v>1</v>
      </c>
      <c r="BL1042">
        <v>1</v>
      </c>
      <c r="BM1042">
        <v>0</v>
      </c>
      <c r="BP1042">
        <v>0</v>
      </c>
      <c r="BQ1042">
        <v>0</v>
      </c>
      <c r="BX1042" t="str">
        <f>"14:07:42.734"</f>
        <v>14:07:42.734</v>
      </c>
      <c r="BY1042" t="str">
        <f>"732589742"</f>
        <v>732589742</v>
      </c>
      <c r="CL1042">
        <v>0</v>
      </c>
      <c r="CM1042">
        <v>2</v>
      </c>
      <c r="CN1042">
        <v>0</v>
      </c>
      <c r="CO1042">
        <v>2</v>
      </c>
      <c r="CP1042">
        <v>0</v>
      </c>
      <c r="CQ1042">
        <v>6</v>
      </c>
      <c r="CR1042" t="s">
        <v>116</v>
      </c>
      <c r="CS1042">
        <v>396</v>
      </c>
      <c r="CT1042">
        <v>2</v>
      </c>
      <c r="CU1042" t="s">
        <v>939</v>
      </c>
      <c r="CV1042" t="s">
        <v>940</v>
      </c>
      <c r="CY1042">
        <v>4563728</v>
      </c>
      <c r="CZ1042" t="s">
        <v>119</v>
      </c>
    </row>
    <row r="1043" spans="1:104" x14ac:dyDescent="0.25">
      <c r="A1043" t="str">
        <f>"14:07:43.914"</f>
        <v>14:07:43.914</v>
      </c>
      <c r="B1043" t="s">
        <v>108</v>
      </c>
      <c r="C1043" t="str">
        <f t="shared" si="49"/>
        <v>ffdfd3c0</v>
      </c>
      <c r="D1043" t="s">
        <v>109</v>
      </c>
      <c r="E1043">
        <v>4</v>
      </c>
      <c r="F1043">
        <v>1004</v>
      </c>
      <c r="G1043" t="s">
        <v>110</v>
      </c>
      <c r="J1043" t="s">
        <v>111</v>
      </c>
      <c r="K1043">
        <v>0</v>
      </c>
      <c r="L1043">
        <v>3</v>
      </c>
      <c r="M1043">
        <v>0</v>
      </c>
      <c r="N1043">
        <v>2</v>
      </c>
      <c r="O1043">
        <v>1</v>
      </c>
      <c r="P1043">
        <v>0</v>
      </c>
      <c r="Q1043">
        <v>0</v>
      </c>
      <c r="R1043" t="s">
        <v>112</v>
      </c>
      <c r="S1043" t="str">
        <f>"14:07:43.750"</f>
        <v>14:07:43.750</v>
      </c>
      <c r="T1043" t="str">
        <f>"14:07:43.352"</f>
        <v>14:07:43.352</v>
      </c>
      <c r="U1043" t="str">
        <f t="shared" si="48"/>
        <v>ad5732</v>
      </c>
      <c r="V1043">
        <v>0</v>
      </c>
      <c r="W1043">
        <v>0</v>
      </c>
      <c r="X1043">
        <v>1</v>
      </c>
      <c r="Z1043">
        <v>0</v>
      </c>
      <c r="AA1043">
        <v>9</v>
      </c>
      <c r="AB1043">
        <v>3</v>
      </c>
      <c r="AC1043">
        <v>0</v>
      </c>
      <c r="AD1043">
        <v>10</v>
      </c>
      <c r="AE1043">
        <v>0</v>
      </c>
      <c r="AF1043">
        <v>3</v>
      </c>
      <c r="AG1043">
        <v>2</v>
      </c>
      <c r="AH1043">
        <v>0</v>
      </c>
      <c r="AI1043" t="s">
        <v>2183</v>
      </c>
      <c r="AJ1043">
        <v>39.449973</v>
      </c>
      <c r="AK1043" t="s">
        <v>2184</v>
      </c>
      <c r="AL1043">
        <v>-76.835504</v>
      </c>
      <c r="AM1043">
        <v>100</v>
      </c>
      <c r="AN1043">
        <v>8700</v>
      </c>
      <c r="AO1043" t="s">
        <v>115</v>
      </c>
      <c r="AP1043">
        <v>166</v>
      </c>
      <c r="AQ1043">
        <v>92</v>
      </c>
      <c r="AR1043">
        <v>0</v>
      </c>
      <c r="AZ1043">
        <v>3614</v>
      </c>
      <c r="BA1043">
        <v>1</v>
      </c>
      <c r="BB1043" t="str">
        <f t="shared" si="50"/>
        <v xml:space="preserve">N959MJ  </v>
      </c>
      <c r="BC1043">
        <v>1</v>
      </c>
      <c r="BE1043">
        <v>0</v>
      </c>
      <c r="BF1043">
        <v>0</v>
      </c>
      <c r="BG1043">
        <v>0</v>
      </c>
      <c r="BH1043">
        <v>9025</v>
      </c>
      <c r="BI1043">
        <v>325</v>
      </c>
      <c r="BJ1043">
        <v>1</v>
      </c>
      <c r="BK1043">
        <v>1</v>
      </c>
      <c r="BL1043">
        <v>1</v>
      </c>
      <c r="BM1043">
        <v>0</v>
      </c>
      <c r="BP1043">
        <v>0</v>
      </c>
      <c r="BQ1043">
        <v>0</v>
      </c>
      <c r="BX1043" t="str">
        <f>"14:07:43.758"</f>
        <v>14:07:43.758</v>
      </c>
      <c r="BY1043" t="str">
        <f>"754967916"</f>
        <v>754967916</v>
      </c>
      <c r="CL1043">
        <v>0</v>
      </c>
      <c r="CM1043">
        <v>2</v>
      </c>
      <c r="CN1043">
        <v>0</v>
      </c>
      <c r="CO1043">
        <v>2</v>
      </c>
      <c r="CP1043">
        <v>0</v>
      </c>
      <c r="CQ1043">
        <v>6</v>
      </c>
      <c r="CR1043" t="s">
        <v>116</v>
      </c>
      <c r="CS1043">
        <v>396</v>
      </c>
      <c r="CT1043">
        <v>2</v>
      </c>
      <c r="CU1043" t="s">
        <v>939</v>
      </c>
      <c r="CV1043" t="s">
        <v>940</v>
      </c>
      <c r="CY1043">
        <v>4565548</v>
      </c>
      <c r="CZ1043" t="s">
        <v>119</v>
      </c>
    </row>
    <row r="1044" spans="1:104" x14ac:dyDescent="0.25">
      <c r="A1044" t="str">
        <f>"14:07:44.930"</f>
        <v>14:07:44.930</v>
      </c>
      <c r="B1044" t="s">
        <v>108</v>
      </c>
      <c r="C1044" t="str">
        <f t="shared" si="49"/>
        <v>ffdfd3c0</v>
      </c>
      <c r="D1044" t="s">
        <v>109</v>
      </c>
      <c r="E1044">
        <v>4</v>
      </c>
      <c r="F1044">
        <v>1004</v>
      </c>
      <c r="G1044" t="s">
        <v>110</v>
      </c>
      <c r="J1044" t="s">
        <v>111</v>
      </c>
      <c r="K1044">
        <v>0</v>
      </c>
      <c r="L1044">
        <v>3</v>
      </c>
      <c r="M1044">
        <v>0</v>
      </c>
      <c r="N1044">
        <v>2</v>
      </c>
      <c r="O1044">
        <v>1</v>
      </c>
      <c r="P1044">
        <v>0</v>
      </c>
      <c r="Q1044">
        <v>0</v>
      </c>
      <c r="R1044" t="s">
        <v>112</v>
      </c>
      <c r="S1044" t="str">
        <f>"14:07:44.766"</f>
        <v>14:07:44.766</v>
      </c>
      <c r="T1044" t="str">
        <f>"14:07:44.266"</f>
        <v>14:07:44.266</v>
      </c>
      <c r="U1044" t="str">
        <f t="shared" si="48"/>
        <v>ad5732</v>
      </c>
      <c r="V1044">
        <v>0</v>
      </c>
      <c r="W1044">
        <v>0</v>
      </c>
      <c r="X1044">
        <v>1</v>
      </c>
      <c r="Z1044">
        <v>0</v>
      </c>
      <c r="AA1044">
        <v>9</v>
      </c>
      <c r="AB1044">
        <v>3</v>
      </c>
      <c r="AC1044">
        <v>0</v>
      </c>
      <c r="AD1044">
        <v>10</v>
      </c>
      <c r="AE1044">
        <v>0</v>
      </c>
      <c r="AF1044">
        <v>3</v>
      </c>
      <c r="AG1044">
        <v>2</v>
      </c>
      <c r="AH1044">
        <v>0</v>
      </c>
      <c r="AI1044" t="s">
        <v>2185</v>
      </c>
      <c r="AJ1044">
        <v>39.450401999999997</v>
      </c>
      <c r="AK1044" t="s">
        <v>2186</v>
      </c>
      <c r="AL1044">
        <v>-76.834558999999999</v>
      </c>
      <c r="AM1044">
        <v>100</v>
      </c>
      <c r="AN1044">
        <v>8700</v>
      </c>
      <c r="AO1044" t="s">
        <v>115</v>
      </c>
      <c r="AP1044">
        <v>166</v>
      </c>
      <c r="AQ1044">
        <v>92</v>
      </c>
      <c r="AR1044">
        <v>0</v>
      </c>
      <c r="AZ1044">
        <v>3614</v>
      </c>
      <c r="BA1044">
        <v>1</v>
      </c>
      <c r="BB1044" t="str">
        <f t="shared" si="50"/>
        <v xml:space="preserve">N959MJ  </v>
      </c>
      <c r="BC1044">
        <v>1</v>
      </c>
      <c r="BE1044">
        <v>0</v>
      </c>
      <c r="BF1044">
        <v>0</v>
      </c>
      <c r="BG1044">
        <v>0</v>
      </c>
      <c r="BH1044">
        <v>9025</v>
      </c>
      <c r="BI1044">
        <v>325</v>
      </c>
      <c r="BJ1044">
        <v>1</v>
      </c>
      <c r="BK1044">
        <v>1</v>
      </c>
      <c r="BL1044">
        <v>1</v>
      </c>
      <c r="BM1044">
        <v>0</v>
      </c>
      <c r="BP1044">
        <v>0</v>
      </c>
      <c r="BQ1044">
        <v>0</v>
      </c>
      <c r="BX1044" t="str">
        <f>"14:07:44.766"</f>
        <v>14:07:44.766</v>
      </c>
      <c r="BY1044" t="str">
        <f>"767550791"</f>
        <v>767550791</v>
      </c>
      <c r="CL1044">
        <v>0</v>
      </c>
      <c r="CM1044">
        <v>2</v>
      </c>
      <c r="CN1044">
        <v>0</v>
      </c>
      <c r="CO1044">
        <v>2</v>
      </c>
      <c r="CP1044">
        <v>0</v>
      </c>
      <c r="CQ1044">
        <v>6</v>
      </c>
      <c r="CR1044" t="s">
        <v>116</v>
      </c>
      <c r="CS1044">
        <v>372</v>
      </c>
      <c r="CT1044">
        <v>3</v>
      </c>
      <c r="CU1044" t="s">
        <v>877</v>
      </c>
      <c r="CV1044" t="s">
        <v>878</v>
      </c>
      <c r="CY1044">
        <v>11215189</v>
      </c>
      <c r="CZ1044" t="s">
        <v>119</v>
      </c>
    </row>
    <row r="1045" spans="1:104" x14ac:dyDescent="0.25">
      <c r="A1045" t="str">
        <f>"14:07:45.984"</f>
        <v>14:07:45.984</v>
      </c>
      <c r="B1045" t="s">
        <v>108</v>
      </c>
      <c r="C1045" t="str">
        <f t="shared" si="49"/>
        <v>ffdfd3c0</v>
      </c>
      <c r="D1045" t="s">
        <v>109</v>
      </c>
      <c r="E1045">
        <v>4</v>
      </c>
      <c r="F1045">
        <v>1004</v>
      </c>
      <c r="G1045" t="s">
        <v>110</v>
      </c>
      <c r="J1045" t="s">
        <v>111</v>
      </c>
      <c r="K1045">
        <v>0</v>
      </c>
      <c r="L1045">
        <v>3</v>
      </c>
      <c r="M1045">
        <v>0</v>
      </c>
      <c r="N1045">
        <v>2</v>
      </c>
      <c r="O1045">
        <v>1</v>
      </c>
      <c r="P1045">
        <v>0</v>
      </c>
      <c r="Q1045">
        <v>0</v>
      </c>
      <c r="R1045" t="s">
        <v>112</v>
      </c>
      <c r="S1045" t="str">
        <f>"14:07:45.828"</f>
        <v>14:07:45.828</v>
      </c>
      <c r="T1045" t="str">
        <f>"14:07:45.430"</f>
        <v>14:07:45.430</v>
      </c>
      <c r="U1045" t="str">
        <f t="shared" si="48"/>
        <v>ad5732</v>
      </c>
      <c r="V1045">
        <v>0</v>
      </c>
      <c r="W1045">
        <v>0</v>
      </c>
      <c r="X1045">
        <v>1</v>
      </c>
      <c r="Z1045">
        <v>0</v>
      </c>
      <c r="AA1045">
        <v>9</v>
      </c>
      <c r="AB1045">
        <v>3</v>
      </c>
      <c r="AC1045">
        <v>0</v>
      </c>
      <c r="AD1045">
        <v>10</v>
      </c>
      <c r="AE1045">
        <v>0</v>
      </c>
      <c r="AF1045">
        <v>3</v>
      </c>
      <c r="AG1045">
        <v>2</v>
      </c>
      <c r="AH1045">
        <v>0</v>
      </c>
      <c r="AI1045" t="s">
        <v>2187</v>
      </c>
      <c r="AJ1045">
        <v>39.450873999999999</v>
      </c>
      <c r="AK1045" t="s">
        <v>2188</v>
      </c>
      <c r="AL1045">
        <v>-76.833487000000005</v>
      </c>
      <c r="AM1045">
        <v>100</v>
      </c>
      <c r="AN1045">
        <v>8700</v>
      </c>
      <c r="AO1045" t="s">
        <v>115</v>
      </c>
      <c r="AP1045">
        <v>166</v>
      </c>
      <c r="AQ1045">
        <v>92</v>
      </c>
      <c r="AR1045">
        <v>0</v>
      </c>
      <c r="AZ1045">
        <v>3614</v>
      </c>
      <c r="BA1045">
        <v>1</v>
      </c>
      <c r="BB1045" t="str">
        <f t="shared" si="50"/>
        <v xml:space="preserve">N959MJ  </v>
      </c>
      <c r="BC1045">
        <v>1</v>
      </c>
      <c r="BE1045">
        <v>0</v>
      </c>
      <c r="BF1045">
        <v>0</v>
      </c>
      <c r="BG1045">
        <v>0</v>
      </c>
      <c r="BH1045">
        <v>9000</v>
      </c>
      <c r="BI1045">
        <v>300</v>
      </c>
      <c r="BJ1045">
        <v>1</v>
      </c>
      <c r="BK1045">
        <v>1</v>
      </c>
      <c r="BL1045">
        <v>1</v>
      </c>
      <c r="BM1045">
        <v>0</v>
      </c>
      <c r="BP1045">
        <v>0</v>
      </c>
      <c r="BQ1045">
        <v>0</v>
      </c>
      <c r="BX1045" t="str">
        <f>"14:07:45.828"</f>
        <v>14:07:45.828</v>
      </c>
      <c r="BY1045" t="str">
        <f>"829175448"</f>
        <v>829175448</v>
      </c>
      <c r="CL1045">
        <v>0</v>
      </c>
      <c r="CM1045">
        <v>2</v>
      </c>
      <c r="CN1045">
        <v>0</v>
      </c>
      <c r="CO1045">
        <v>2</v>
      </c>
      <c r="CP1045">
        <v>0</v>
      </c>
      <c r="CQ1045">
        <v>6</v>
      </c>
      <c r="CR1045" t="s">
        <v>116</v>
      </c>
      <c r="CS1045">
        <v>525</v>
      </c>
      <c r="CT1045">
        <v>1</v>
      </c>
      <c r="CU1045" t="s">
        <v>140</v>
      </c>
      <c r="CV1045" t="s">
        <v>141</v>
      </c>
      <c r="CY1045">
        <v>8676607</v>
      </c>
      <c r="CZ1045" t="s">
        <v>119</v>
      </c>
    </row>
    <row r="1046" spans="1:104" x14ac:dyDescent="0.25">
      <c r="A1046" t="str">
        <f>"14:07:47.047"</f>
        <v>14:07:47.047</v>
      </c>
      <c r="B1046" t="s">
        <v>108</v>
      </c>
      <c r="C1046" t="str">
        <f t="shared" si="49"/>
        <v>ffdfd3c0</v>
      </c>
      <c r="D1046" t="s">
        <v>109</v>
      </c>
      <c r="E1046">
        <v>4</v>
      </c>
      <c r="F1046">
        <v>1004</v>
      </c>
      <c r="G1046" t="s">
        <v>110</v>
      </c>
      <c r="J1046" t="s">
        <v>111</v>
      </c>
      <c r="K1046">
        <v>0</v>
      </c>
      <c r="L1046">
        <v>3</v>
      </c>
      <c r="M1046">
        <v>0</v>
      </c>
      <c r="N1046">
        <v>2</v>
      </c>
      <c r="O1046">
        <v>1</v>
      </c>
      <c r="P1046">
        <v>0</v>
      </c>
      <c r="Q1046">
        <v>0</v>
      </c>
      <c r="R1046" t="s">
        <v>112</v>
      </c>
      <c r="S1046" t="str">
        <f>"14:07:46.891"</f>
        <v>14:07:46.891</v>
      </c>
      <c r="T1046" t="str">
        <f>"14:07:46.391"</f>
        <v>14:07:46.391</v>
      </c>
      <c r="U1046" t="str">
        <f t="shared" si="48"/>
        <v>ad5732</v>
      </c>
      <c r="V1046">
        <v>0</v>
      </c>
      <c r="W1046">
        <v>0</v>
      </c>
      <c r="X1046">
        <v>1</v>
      </c>
      <c r="Z1046">
        <v>0</v>
      </c>
      <c r="AA1046">
        <v>9</v>
      </c>
      <c r="AB1046">
        <v>3</v>
      </c>
      <c r="AC1046">
        <v>0</v>
      </c>
      <c r="AD1046">
        <v>10</v>
      </c>
      <c r="AE1046">
        <v>0</v>
      </c>
      <c r="AF1046">
        <v>3</v>
      </c>
      <c r="AG1046">
        <v>2</v>
      </c>
      <c r="AH1046">
        <v>0</v>
      </c>
      <c r="AI1046" t="s">
        <v>2189</v>
      </c>
      <c r="AJ1046">
        <v>39.451346000000001</v>
      </c>
      <c r="AK1046" t="s">
        <v>2190</v>
      </c>
      <c r="AL1046">
        <v>-76.832348999999994</v>
      </c>
      <c r="AM1046">
        <v>100</v>
      </c>
      <c r="AN1046">
        <v>8700</v>
      </c>
      <c r="AO1046" t="s">
        <v>115</v>
      </c>
      <c r="AP1046">
        <v>166</v>
      </c>
      <c r="AQ1046">
        <v>92</v>
      </c>
      <c r="AR1046">
        <v>0</v>
      </c>
      <c r="AZ1046">
        <v>3614</v>
      </c>
      <c r="BA1046">
        <v>1</v>
      </c>
      <c r="BB1046" t="str">
        <f t="shared" si="50"/>
        <v xml:space="preserve">N959MJ  </v>
      </c>
      <c r="BC1046">
        <v>1</v>
      </c>
      <c r="BE1046">
        <v>0</v>
      </c>
      <c r="BF1046">
        <v>0</v>
      </c>
      <c r="BG1046">
        <v>0</v>
      </c>
      <c r="BH1046">
        <v>9025</v>
      </c>
      <c r="BI1046">
        <v>325</v>
      </c>
      <c r="BJ1046">
        <v>1</v>
      </c>
      <c r="BK1046">
        <v>1</v>
      </c>
      <c r="BL1046">
        <v>1</v>
      </c>
      <c r="BM1046">
        <v>0</v>
      </c>
      <c r="BP1046">
        <v>0</v>
      </c>
      <c r="BQ1046">
        <v>0</v>
      </c>
      <c r="BX1046" t="str">
        <f>"14:07:46.891"</f>
        <v>14:07:46.891</v>
      </c>
      <c r="BY1046" t="str">
        <f>"894193310"</f>
        <v>894193310</v>
      </c>
      <c r="CL1046">
        <v>0</v>
      </c>
      <c r="CM1046">
        <v>2</v>
      </c>
      <c r="CN1046">
        <v>0</v>
      </c>
      <c r="CO1046">
        <v>2</v>
      </c>
      <c r="CP1046">
        <v>0</v>
      </c>
      <c r="CQ1046">
        <v>6</v>
      </c>
      <c r="CR1046" t="s">
        <v>116</v>
      </c>
      <c r="CS1046">
        <v>396</v>
      </c>
      <c r="CT1046">
        <v>2</v>
      </c>
      <c r="CU1046" t="s">
        <v>939</v>
      </c>
      <c r="CV1046" t="s">
        <v>940</v>
      </c>
      <c r="CY1046">
        <v>4571353</v>
      </c>
      <c r="CZ1046" t="s">
        <v>119</v>
      </c>
    </row>
    <row r="1047" spans="1:104" x14ac:dyDescent="0.25">
      <c r="A1047" t="str">
        <f>"14:07:48.055"</f>
        <v>14:07:48.055</v>
      </c>
      <c r="B1047" t="s">
        <v>108</v>
      </c>
      <c r="C1047" t="str">
        <f t="shared" si="49"/>
        <v>ffdfd3c0</v>
      </c>
      <c r="D1047" t="s">
        <v>109</v>
      </c>
      <c r="E1047">
        <v>4</v>
      </c>
      <c r="F1047">
        <v>1004</v>
      </c>
      <c r="G1047" t="s">
        <v>110</v>
      </c>
      <c r="J1047" t="s">
        <v>111</v>
      </c>
      <c r="K1047">
        <v>0</v>
      </c>
      <c r="L1047">
        <v>3</v>
      </c>
      <c r="M1047">
        <v>0</v>
      </c>
      <c r="N1047">
        <v>2</v>
      </c>
      <c r="O1047">
        <v>1</v>
      </c>
      <c r="P1047">
        <v>0</v>
      </c>
      <c r="Q1047">
        <v>0</v>
      </c>
      <c r="R1047" t="s">
        <v>112</v>
      </c>
      <c r="S1047" t="str">
        <f>"14:07:47.875"</f>
        <v>14:07:47.875</v>
      </c>
      <c r="T1047" t="str">
        <f>"14:07:47.477"</f>
        <v>14:07:47.477</v>
      </c>
      <c r="U1047" t="str">
        <f t="shared" si="48"/>
        <v>ad5732</v>
      </c>
      <c r="V1047">
        <v>0</v>
      </c>
      <c r="W1047">
        <v>0</v>
      </c>
      <c r="X1047">
        <v>1</v>
      </c>
      <c r="Z1047">
        <v>0</v>
      </c>
      <c r="AA1047">
        <v>9</v>
      </c>
      <c r="AB1047">
        <v>3</v>
      </c>
      <c r="AC1047">
        <v>0</v>
      </c>
      <c r="AD1047">
        <v>10</v>
      </c>
      <c r="AE1047">
        <v>0</v>
      </c>
      <c r="AF1047">
        <v>3</v>
      </c>
      <c r="AG1047">
        <v>2</v>
      </c>
      <c r="AH1047">
        <v>0</v>
      </c>
      <c r="AI1047" t="s">
        <v>2191</v>
      </c>
      <c r="AJ1047">
        <v>39.451711000000003</v>
      </c>
      <c r="AK1047" t="s">
        <v>2192</v>
      </c>
      <c r="AL1047">
        <v>-76.831491</v>
      </c>
      <c r="AM1047">
        <v>100</v>
      </c>
      <c r="AN1047">
        <v>8700</v>
      </c>
      <c r="AO1047" t="s">
        <v>115</v>
      </c>
      <c r="AP1047">
        <v>166</v>
      </c>
      <c r="AQ1047">
        <v>92</v>
      </c>
      <c r="AR1047">
        <v>64</v>
      </c>
      <c r="AZ1047">
        <v>3614</v>
      </c>
      <c r="BA1047">
        <v>1</v>
      </c>
      <c r="BB1047" t="str">
        <f t="shared" si="50"/>
        <v xml:space="preserve">N959MJ  </v>
      </c>
      <c r="BC1047">
        <v>1</v>
      </c>
      <c r="BE1047">
        <v>0</v>
      </c>
      <c r="BF1047">
        <v>0</v>
      </c>
      <c r="BG1047">
        <v>0</v>
      </c>
      <c r="BH1047">
        <v>9025</v>
      </c>
      <c r="BI1047">
        <v>325</v>
      </c>
      <c r="BJ1047">
        <v>1</v>
      </c>
      <c r="BK1047">
        <v>1</v>
      </c>
      <c r="BL1047">
        <v>1</v>
      </c>
      <c r="BM1047">
        <v>0</v>
      </c>
      <c r="BP1047">
        <v>0</v>
      </c>
      <c r="BQ1047">
        <v>0</v>
      </c>
      <c r="BX1047" t="str">
        <f>"14:07:47.883"</f>
        <v>14:07:47.883</v>
      </c>
      <c r="BY1047" t="str">
        <f>"880486511"</f>
        <v>880486511</v>
      </c>
      <c r="CL1047">
        <v>0</v>
      </c>
      <c r="CM1047">
        <v>2</v>
      </c>
      <c r="CN1047">
        <v>0</v>
      </c>
      <c r="CO1047">
        <v>2</v>
      </c>
      <c r="CP1047">
        <v>0</v>
      </c>
      <c r="CQ1047">
        <v>6</v>
      </c>
      <c r="CR1047" t="s">
        <v>116</v>
      </c>
      <c r="CS1047">
        <v>525</v>
      </c>
      <c r="CT1047">
        <v>1</v>
      </c>
      <c r="CU1047" t="s">
        <v>140</v>
      </c>
      <c r="CV1047" t="s">
        <v>141</v>
      </c>
      <c r="CY1047">
        <v>8679665</v>
      </c>
      <c r="CZ1047" t="s">
        <v>119</v>
      </c>
    </row>
    <row r="1048" spans="1:104" x14ac:dyDescent="0.25">
      <c r="A1048" t="str">
        <f>"14:07:49.016"</f>
        <v>14:07:49.016</v>
      </c>
      <c r="B1048" t="s">
        <v>108</v>
      </c>
      <c r="C1048" t="str">
        <f t="shared" si="49"/>
        <v>ffdfd3c0</v>
      </c>
      <c r="D1048" t="s">
        <v>109</v>
      </c>
      <c r="E1048">
        <v>4</v>
      </c>
      <c r="F1048">
        <v>1004</v>
      </c>
      <c r="G1048" t="s">
        <v>110</v>
      </c>
      <c r="J1048" t="s">
        <v>111</v>
      </c>
      <c r="K1048">
        <v>0</v>
      </c>
      <c r="L1048">
        <v>3</v>
      </c>
      <c r="M1048">
        <v>0</v>
      </c>
      <c r="N1048">
        <v>2</v>
      </c>
      <c r="O1048">
        <v>1</v>
      </c>
      <c r="P1048">
        <v>0</v>
      </c>
      <c r="Q1048">
        <v>0</v>
      </c>
      <c r="R1048" t="s">
        <v>112</v>
      </c>
      <c r="S1048" t="str">
        <f>"14:07:48.852"</f>
        <v>14:07:48.852</v>
      </c>
      <c r="T1048" t="str">
        <f>"14:07:48.453"</f>
        <v>14:07:48.453</v>
      </c>
      <c r="U1048" t="str">
        <f t="shared" si="48"/>
        <v>ad5732</v>
      </c>
      <c r="V1048">
        <v>0</v>
      </c>
      <c r="W1048">
        <v>0</v>
      </c>
      <c r="X1048">
        <v>1</v>
      </c>
      <c r="Z1048">
        <v>0</v>
      </c>
      <c r="AA1048">
        <v>9</v>
      </c>
      <c r="AB1048">
        <v>3</v>
      </c>
      <c r="AC1048">
        <v>0</v>
      </c>
      <c r="AD1048">
        <v>10</v>
      </c>
      <c r="AE1048">
        <v>0</v>
      </c>
      <c r="AF1048">
        <v>3</v>
      </c>
      <c r="AG1048">
        <v>2</v>
      </c>
      <c r="AH1048">
        <v>0</v>
      </c>
      <c r="AI1048" t="s">
        <v>2193</v>
      </c>
      <c r="AJ1048">
        <v>39.45214</v>
      </c>
      <c r="AK1048" t="s">
        <v>2194</v>
      </c>
      <c r="AL1048">
        <v>-76.830439999999996</v>
      </c>
      <c r="AM1048">
        <v>100</v>
      </c>
      <c r="AN1048">
        <v>8700</v>
      </c>
      <c r="AO1048" t="s">
        <v>115</v>
      </c>
      <c r="AP1048">
        <v>166</v>
      </c>
      <c r="AQ1048">
        <v>91</v>
      </c>
      <c r="AR1048">
        <v>0</v>
      </c>
      <c r="AZ1048">
        <v>3614</v>
      </c>
      <c r="BA1048">
        <v>1</v>
      </c>
      <c r="BB1048" t="str">
        <f t="shared" si="50"/>
        <v xml:space="preserve">N959MJ  </v>
      </c>
      <c r="BC1048">
        <v>1</v>
      </c>
      <c r="BE1048">
        <v>0</v>
      </c>
      <c r="BF1048">
        <v>0</v>
      </c>
      <c r="BG1048">
        <v>0</v>
      </c>
      <c r="BH1048">
        <v>9025</v>
      </c>
      <c r="BI1048">
        <v>325</v>
      </c>
      <c r="BJ1048">
        <v>1</v>
      </c>
      <c r="BK1048">
        <v>1</v>
      </c>
      <c r="BL1048">
        <v>1</v>
      </c>
      <c r="BM1048">
        <v>0</v>
      </c>
      <c r="BP1048">
        <v>0</v>
      </c>
      <c r="BQ1048">
        <v>0</v>
      </c>
      <c r="BX1048" t="str">
        <f>"14:07:48.852"</f>
        <v>14:07:48.852</v>
      </c>
      <c r="BY1048" t="str">
        <f>"853751485"</f>
        <v>853751485</v>
      </c>
      <c r="CL1048">
        <v>0</v>
      </c>
      <c r="CM1048">
        <v>2</v>
      </c>
      <c r="CN1048">
        <v>0</v>
      </c>
      <c r="CO1048">
        <v>2</v>
      </c>
      <c r="CP1048">
        <v>0</v>
      </c>
      <c r="CQ1048">
        <v>6</v>
      </c>
      <c r="CR1048" t="s">
        <v>116</v>
      </c>
      <c r="CS1048">
        <v>396</v>
      </c>
      <c r="CT1048">
        <v>2</v>
      </c>
      <c r="CU1048" t="s">
        <v>939</v>
      </c>
      <c r="CV1048" t="s">
        <v>940</v>
      </c>
      <c r="CY1048">
        <v>4574918</v>
      </c>
      <c r="CZ1048" t="s">
        <v>119</v>
      </c>
    </row>
    <row r="1049" spans="1:104" x14ac:dyDescent="0.25">
      <c r="A1049" t="str">
        <f>"14:07:50.125"</f>
        <v>14:07:50.125</v>
      </c>
      <c r="B1049" t="s">
        <v>108</v>
      </c>
      <c r="C1049" t="str">
        <f t="shared" si="49"/>
        <v>ffdfd3c0</v>
      </c>
      <c r="D1049" t="s">
        <v>109</v>
      </c>
      <c r="E1049">
        <v>4</v>
      </c>
      <c r="F1049">
        <v>1004</v>
      </c>
      <c r="G1049" t="s">
        <v>110</v>
      </c>
      <c r="J1049" t="s">
        <v>111</v>
      </c>
      <c r="K1049">
        <v>0</v>
      </c>
      <c r="L1049">
        <v>3</v>
      </c>
      <c r="M1049">
        <v>0</v>
      </c>
      <c r="N1049">
        <v>2</v>
      </c>
      <c r="O1049">
        <v>1</v>
      </c>
      <c r="P1049">
        <v>0</v>
      </c>
      <c r="Q1049">
        <v>0</v>
      </c>
      <c r="R1049" t="s">
        <v>112</v>
      </c>
      <c r="S1049" t="str">
        <f>"14:07:49.922"</f>
        <v>14:07:49.922</v>
      </c>
      <c r="T1049" t="str">
        <f>"14:07:49.422"</f>
        <v>14:07:49.422</v>
      </c>
      <c r="U1049" t="str">
        <f t="shared" si="48"/>
        <v>ad5732</v>
      </c>
      <c r="V1049">
        <v>0</v>
      </c>
      <c r="W1049">
        <v>0</v>
      </c>
      <c r="X1049">
        <v>1</v>
      </c>
      <c r="Z1049">
        <v>0</v>
      </c>
      <c r="AA1049">
        <v>9</v>
      </c>
      <c r="AB1049">
        <v>3</v>
      </c>
      <c r="AC1049">
        <v>0</v>
      </c>
      <c r="AD1049">
        <v>10</v>
      </c>
      <c r="AE1049">
        <v>0</v>
      </c>
      <c r="AF1049">
        <v>3</v>
      </c>
      <c r="AG1049">
        <v>2</v>
      </c>
      <c r="AH1049">
        <v>0</v>
      </c>
      <c r="AI1049" t="s">
        <v>2195</v>
      </c>
      <c r="AJ1049">
        <v>39.452590999999998</v>
      </c>
      <c r="AK1049" t="s">
        <v>2196</v>
      </c>
      <c r="AL1049">
        <v>-76.829431</v>
      </c>
      <c r="AM1049">
        <v>100</v>
      </c>
      <c r="AN1049">
        <v>8700</v>
      </c>
      <c r="AO1049" t="s">
        <v>115</v>
      </c>
      <c r="AP1049">
        <v>166</v>
      </c>
      <c r="AQ1049">
        <v>91</v>
      </c>
      <c r="AR1049">
        <v>0</v>
      </c>
      <c r="AZ1049">
        <v>3614</v>
      </c>
      <c r="BA1049">
        <v>1</v>
      </c>
      <c r="BB1049" t="str">
        <f t="shared" si="50"/>
        <v xml:space="preserve">N959MJ  </v>
      </c>
      <c r="BC1049">
        <v>1</v>
      </c>
      <c r="BE1049">
        <v>0</v>
      </c>
      <c r="BF1049">
        <v>0</v>
      </c>
      <c r="BG1049">
        <v>0</v>
      </c>
      <c r="BH1049">
        <v>9025</v>
      </c>
      <c r="BI1049">
        <v>325</v>
      </c>
      <c r="BJ1049">
        <v>1</v>
      </c>
      <c r="BK1049">
        <v>1</v>
      </c>
      <c r="BL1049">
        <v>1</v>
      </c>
      <c r="BM1049">
        <v>0</v>
      </c>
      <c r="BP1049">
        <v>0</v>
      </c>
      <c r="BQ1049">
        <v>0</v>
      </c>
      <c r="BX1049" t="str">
        <f>"14:07:49.922"</f>
        <v>14:07:49.922</v>
      </c>
      <c r="BY1049" t="str">
        <f>"925282442"</f>
        <v>925282442</v>
      </c>
      <c r="CL1049">
        <v>0</v>
      </c>
      <c r="CM1049">
        <v>2</v>
      </c>
      <c r="CN1049">
        <v>0</v>
      </c>
      <c r="CO1049">
        <v>2</v>
      </c>
      <c r="CP1049">
        <v>0</v>
      </c>
      <c r="CQ1049">
        <v>6</v>
      </c>
      <c r="CR1049" t="s">
        <v>116</v>
      </c>
      <c r="CS1049">
        <v>396</v>
      </c>
      <c r="CT1049">
        <v>2</v>
      </c>
      <c r="CU1049" t="s">
        <v>939</v>
      </c>
      <c r="CV1049" t="s">
        <v>940</v>
      </c>
      <c r="CY1049">
        <v>4576843</v>
      </c>
      <c r="CZ1049" t="s">
        <v>119</v>
      </c>
    </row>
    <row r="1050" spans="1:104" x14ac:dyDescent="0.25">
      <c r="A1050" t="str">
        <f>"14:07:51.086"</f>
        <v>14:07:51.086</v>
      </c>
      <c r="B1050" t="s">
        <v>108</v>
      </c>
      <c r="C1050" t="str">
        <f t="shared" si="49"/>
        <v>ffdfd3c0</v>
      </c>
      <c r="D1050" t="s">
        <v>109</v>
      </c>
      <c r="E1050">
        <v>4</v>
      </c>
      <c r="F1050">
        <v>1004</v>
      </c>
      <c r="G1050" t="s">
        <v>110</v>
      </c>
      <c r="J1050" t="s">
        <v>111</v>
      </c>
      <c r="K1050">
        <v>0</v>
      </c>
      <c r="L1050">
        <v>3</v>
      </c>
      <c r="M1050">
        <v>0</v>
      </c>
      <c r="N1050">
        <v>2</v>
      </c>
      <c r="O1050">
        <v>1</v>
      </c>
      <c r="P1050">
        <v>0</v>
      </c>
      <c r="Q1050">
        <v>0</v>
      </c>
      <c r="R1050" t="s">
        <v>112</v>
      </c>
      <c r="S1050" t="str">
        <f>"14:07:50.891"</f>
        <v>14:07:50.891</v>
      </c>
      <c r="T1050" t="str">
        <f>"14:07:50.391"</f>
        <v>14:07:50.391</v>
      </c>
      <c r="U1050" t="str">
        <f t="shared" si="48"/>
        <v>ad5732</v>
      </c>
      <c r="V1050">
        <v>0</v>
      </c>
      <c r="W1050">
        <v>0</v>
      </c>
      <c r="X1050">
        <v>1</v>
      </c>
      <c r="Z1050">
        <v>0</v>
      </c>
      <c r="AA1050">
        <v>9</v>
      </c>
      <c r="AB1050">
        <v>3</v>
      </c>
      <c r="AC1050">
        <v>0</v>
      </c>
      <c r="AD1050">
        <v>10</v>
      </c>
      <c r="AE1050">
        <v>0</v>
      </c>
      <c r="AF1050">
        <v>3</v>
      </c>
      <c r="AG1050">
        <v>2</v>
      </c>
      <c r="AH1050">
        <v>0</v>
      </c>
      <c r="AI1050" t="s">
        <v>2197</v>
      </c>
      <c r="AJ1050">
        <v>39.453042000000003</v>
      </c>
      <c r="AK1050" t="s">
        <v>2198</v>
      </c>
      <c r="AL1050">
        <v>-76.828400999999999</v>
      </c>
      <c r="AM1050">
        <v>100</v>
      </c>
      <c r="AN1050">
        <v>8700</v>
      </c>
      <c r="AO1050" t="s">
        <v>115</v>
      </c>
      <c r="AP1050">
        <v>166</v>
      </c>
      <c r="AQ1050">
        <v>91</v>
      </c>
      <c r="AR1050">
        <v>0</v>
      </c>
      <c r="AZ1050">
        <v>3614</v>
      </c>
      <c r="BA1050">
        <v>1</v>
      </c>
      <c r="BB1050" t="str">
        <f t="shared" si="50"/>
        <v xml:space="preserve">N959MJ  </v>
      </c>
      <c r="BC1050">
        <v>1</v>
      </c>
      <c r="BE1050">
        <v>0</v>
      </c>
      <c r="BF1050">
        <v>0</v>
      </c>
      <c r="BG1050">
        <v>0</v>
      </c>
      <c r="BH1050">
        <v>9025</v>
      </c>
      <c r="BI1050">
        <v>325</v>
      </c>
      <c r="BJ1050">
        <v>1</v>
      </c>
      <c r="BK1050">
        <v>1</v>
      </c>
      <c r="BL1050">
        <v>1</v>
      </c>
      <c r="BM1050">
        <v>0</v>
      </c>
      <c r="BP1050">
        <v>0</v>
      </c>
      <c r="BQ1050">
        <v>0</v>
      </c>
      <c r="BX1050" t="str">
        <f>"14:07:50.898"</f>
        <v>14:07:50.898</v>
      </c>
      <c r="BY1050" t="str">
        <f>"896831631"</f>
        <v>896831631</v>
      </c>
      <c r="CL1050">
        <v>0</v>
      </c>
      <c r="CM1050">
        <v>2</v>
      </c>
      <c r="CN1050">
        <v>0</v>
      </c>
      <c r="CO1050">
        <v>2</v>
      </c>
      <c r="CP1050">
        <v>0</v>
      </c>
      <c r="CQ1050">
        <v>6</v>
      </c>
      <c r="CR1050" t="s">
        <v>116</v>
      </c>
      <c r="CS1050">
        <v>525</v>
      </c>
      <c r="CT1050">
        <v>1</v>
      </c>
      <c r="CU1050" t="s">
        <v>140</v>
      </c>
      <c r="CV1050" t="s">
        <v>141</v>
      </c>
      <c r="CY1050">
        <v>8684206</v>
      </c>
      <c r="CZ1050" t="s">
        <v>119</v>
      </c>
    </row>
    <row r="1051" spans="1:104" x14ac:dyDescent="0.25">
      <c r="A1051" t="str">
        <f>"14:07:51.992"</f>
        <v>14:07:51.992</v>
      </c>
      <c r="B1051" t="s">
        <v>108</v>
      </c>
      <c r="C1051" t="str">
        <f t="shared" si="49"/>
        <v>ffdfd3c0</v>
      </c>
      <c r="D1051" t="s">
        <v>109</v>
      </c>
      <c r="E1051">
        <v>4</v>
      </c>
      <c r="F1051">
        <v>1004</v>
      </c>
      <c r="G1051" t="s">
        <v>110</v>
      </c>
      <c r="J1051" t="s">
        <v>111</v>
      </c>
      <c r="K1051">
        <v>0</v>
      </c>
      <c r="L1051">
        <v>3</v>
      </c>
      <c r="M1051">
        <v>0</v>
      </c>
      <c r="N1051">
        <v>2</v>
      </c>
      <c r="O1051">
        <v>1</v>
      </c>
      <c r="P1051">
        <v>0</v>
      </c>
      <c r="Q1051">
        <v>0</v>
      </c>
      <c r="R1051" t="s">
        <v>112</v>
      </c>
      <c r="S1051" t="str">
        <f>"14:07:51.828"</f>
        <v>14:07:51.828</v>
      </c>
      <c r="T1051" t="str">
        <f>"14:07:51.430"</f>
        <v>14:07:51.430</v>
      </c>
      <c r="U1051" t="str">
        <f t="shared" si="48"/>
        <v>ad5732</v>
      </c>
      <c r="V1051">
        <v>0</v>
      </c>
      <c r="W1051">
        <v>0</v>
      </c>
      <c r="X1051">
        <v>1</v>
      </c>
      <c r="Z1051">
        <v>0</v>
      </c>
      <c r="AA1051">
        <v>9</v>
      </c>
      <c r="AB1051">
        <v>3</v>
      </c>
      <c r="AC1051">
        <v>0</v>
      </c>
      <c r="AD1051">
        <v>10</v>
      </c>
      <c r="AE1051">
        <v>0</v>
      </c>
      <c r="AF1051">
        <v>3</v>
      </c>
      <c r="AG1051">
        <v>2</v>
      </c>
      <c r="AH1051">
        <v>0</v>
      </c>
      <c r="AI1051" t="s">
        <v>2199</v>
      </c>
      <c r="AJ1051">
        <v>39.453384999999997</v>
      </c>
      <c r="AK1051" t="s">
        <v>2200</v>
      </c>
      <c r="AL1051">
        <v>-76.827521000000004</v>
      </c>
      <c r="AM1051">
        <v>100</v>
      </c>
      <c r="AN1051">
        <v>8700</v>
      </c>
      <c r="AO1051" t="s">
        <v>115</v>
      </c>
      <c r="AP1051">
        <v>166</v>
      </c>
      <c r="AQ1051">
        <v>91</v>
      </c>
      <c r="AR1051">
        <v>0</v>
      </c>
      <c r="AZ1051">
        <v>3614</v>
      </c>
      <c r="BA1051">
        <v>1</v>
      </c>
      <c r="BB1051" t="str">
        <f t="shared" si="50"/>
        <v xml:space="preserve">N959MJ  </v>
      </c>
      <c r="BC1051">
        <v>1</v>
      </c>
      <c r="BE1051">
        <v>0</v>
      </c>
      <c r="BF1051">
        <v>0</v>
      </c>
      <c r="BG1051">
        <v>0</v>
      </c>
      <c r="BH1051">
        <v>9025</v>
      </c>
      <c r="BI1051">
        <v>325</v>
      </c>
      <c r="BJ1051">
        <v>1</v>
      </c>
      <c r="BK1051">
        <v>1</v>
      </c>
      <c r="BL1051">
        <v>1</v>
      </c>
      <c r="BM1051">
        <v>0</v>
      </c>
      <c r="BP1051">
        <v>0</v>
      </c>
      <c r="BQ1051">
        <v>0</v>
      </c>
      <c r="BX1051" t="str">
        <f>"14:07:51.836"</f>
        <v>14:07:51.836</v>
      </c>
      <c r="BY1051" t="str">
        <f>"835650503"</f>
        <v>835650503</v>
      </c>
      <c r="CL1051">
        <v>0</v>
      </c>
      <c r="CM1051">
        <v>2</v>
      </c>
      <c r="CN1051">
        <v>0</v>
      </c>
      <c r="CO1051">
        <v>2</v>
      </c>
      <c r="CP1051">
        <v>0</v>
      </c>
      <c r="CQ1051">
        <v>6</v>
      </c>
      <c r="CR1051" t="s">
        <v>116</v>
      </c>
      <c r="CS1051">
        <v>525</v>
      </c>
      <c r="CT1051">
        <v>1</v>
      </c>
      <c r="CU1051" t="s">
        <v>140</v>
      </c>
      <c r="CV1051" t="s">
        <v>141</v>
      </c>
      <c r="CY1051">
        <v>8685584</v>
      </c>
      <c r="CZ1051" t="s">
        <v>119</v>
      </c>
    </row>
    <row r="1052" spans="1:104" x14ac:dyDescent="0.25">
      <c r="A1052" t="str">
        <f>"14:07:53.102"</f>
        <v>14:07:53.102</v>
      </c>
      <c r="B1052" t="s">
        <v>108</v>
      </c>
      <c r="C1052" t="str">
        <f t="shared" si="49"/>
        <v>ffdfd3c0</v>
      </c>
      <c r="D1052" t="s">
        <v>109</v>
      </c>
      <c r="E1052">
        <v>4</v>
      </c>
      <c r="F1052">
        <v>1004</v>
      </c>
      <c r="G1052" t="s">
        <v>110</v>
      </c>
      <c r="J1052" t="s">
        <v>111</v>
      </c>
      <c r="K1052">
        <v>0</v>
      </c>
      <c r="L1052">
        <v>3</v>
      </c>
      <c r="M1052">
        <v>0</v>
      </c>
      <c r="N1052">
        <v>2</v>
      </c>
      <c r="O1052">
        <v>1</v>
      </c>
      <c r="P1052">
        <v>0</v>
      </c>
      <c r="Q1052">
        <v>0</v>
      </c>
      <c r="R1052" t="s">
        <v>112</v>
      </c>
      <c r="S1052" t="str">
        <f>"14:07:52.922"</f>
        <v>14:07:52.922</v>
      </c>
      <c r="T1052" t="str">
        <f>"14:07:52.422"</f>
        <v>14:07:52.422</v>
      </c>
      <c r="U1052" t="str">
        <f t="shared" si="48"/>
        <v>ad5732</v>
      </c>
      <c r="V1052">
        <v>0</v>
      </c>
      <c r="W1052">
        <v>0</v>
      </c>
      <c r="X1052">
        <v>1</v>
      </c>
      <c r="Z1052">
        <v>0</v>
      </c>
      <c r="AA1052">
        <v>9</v>
      </c>
      <c r="AB1052">
        <v>3</v>
      </c>
      <c r="AC1052">
        <v>0</v>
      </c>
      <c r="AD1052">
        <v>10</v>
      </c>
      <c r="AE1052">
        <v>0</v>
      </c>
      <c r="AF1052">
        <v>3</v>
      </c>
      <c r="AG1052">
        <v>2</v>
      </c>
      <c r="AH1052">
        <v>0</v>
      </c>
      <c r="AI1052" t="s">
        <v>2201</v>
      </c>
      <c r="AJ1052">
        <v>39.453878000000003</v>
      </c>
      <c r="AK1052" t="s">
        <v>2202</v>
      </c>
      <c r="AL1052">
        <v>-76.826384000000004</v>
      </c>
      <c r="AM1052">
        <v>100</v>
      </c>
      <c r="AN1052">
        <v>8700</v>
      </c>
      <c r="AO1052" t="s">
        <v>115</v>
      </c>
      <c r="AP1052">
        <v>166</v>
      </c>
      <c r="AQ1052">
        <v>91</v>
      </c>
      <c r="AR1052">
        <v>0</v>
      </c>
      <c r="AZ1052">
        <v>3614</v>
      </c>
      <c r="BA1052">
        <v>1</v>
      </c>
      <c r="BB1052" t="str">
        <f t="shared" si="50"/>
        <v xml:space="preserve">N959MJ  </v>
      </c>
      <c r="BC1052">
        <v>1</v>
      </c>
      <c r="BE1052">
        <v>0</v>
      </c>
      <c r="BF1052">
        <v>0</v>
      </c>
      <c r="BG1052">
        <v>0</v>
      </c>
      <c r="BH1052">
        <v>9025</v>
      </c>
      <c r="BI1052">
        <v>325</v>
      </c>
      <c r="BJ1052">
        <v>1</v>
      </c>
      <c r="BK1052">
        <v>1</v>
      </c>
      <c r="BL1052">
        <v>1</v>
      </c>
      <c r="BM1052">
        <v>0</v>
      </c>
      <c r="BP1052">
        <v>0</v>
      </c>
      <c r="BQ1052">
        <v>0</v>
      </c>
      <c r="BX1052" t="str">
        <f>"14:07:52.930"</f>
        <v>14:07:52.930</v>
      </c>
      <c r="BY1052" t="str">
        <f>"928481698"</f>
        <v>928481698</v>
      </c>
      <c r="CL1052">
        <v>0</v>
      </c>
      <c r="CM1052">
        <v>2</v>
      </c>
      <c r="CN1052">
        <v>0</v>
      </c>
      <c r="CO1052">
        <v>2</v>
      </c>
      <c r="CP1052">
        <v>0</v>
      </c>
      <c r="CQ1052">
        <v>6</v>
      </c>
      <c r="CR1052" t="s">
        <v>116</v>
      </c>
      <c r="CS1052">
        <v>525</v>
      </c>
      <c r="CT1052">
        <v>1</v>
      </c>
      <c r="CU1052" t="s">
        <v>140</v>
      </c>
      <c r="CV1052" t="s">
        <v>141</v>
      </c>
      <c r="CY1052">
        <v>8687208</v>
      </c>
      <c r="CZ1052" t="s">
        <v>119</v>
      </c>
    </row>
    <row r="1053" spans="1:104" x14ac:dyDescent="0.25">
      <c r="A1053" t="str">
        <f>"14:07:54.164"</f>
        <v>14:07:54.164</v>
      </c>
      <c r="B1053" t="s">
        <v>108</v>
      </c>
      <c r="C1053" t="str">
        <f t="shared" si="49"/>
        <v>ffdfd3c0</v>
      </c>
      <c r="D1053" t="s">
        <v>109</v>
      </c>
      <c r="E1053">
        <v>4</v>
      </c>
      <c r="F1053">
        <v>1004</v>
      </c>
      <c r="G1053" t="s">
        <v>110</v>
      </c>
      <c r="J1053" t="s">
        <v>111</v>
      </c>
      <c r="K1053">
        <v>0</v>
      </c>
      <c r="L1053">
        <v>3</v>
      </c>
      <c r="M1053">
        <v>0</v>
      </c>
      <c r="N1053">
        <v>2</v>
      </c>
      <c r="O1053">
        <v>1</v>
      </c>
      <c r="P1053">
        <v>0</v>
      </c>
      <c r="Q1053">
        <v>0</v>
      </c>
      <c r="R1053" t="s">
        <v>112</v>
      </c>
      <c r="S1053" t="str">
        <f>"14:07:53.977"</f>
        <v>14:07:53.977</v>
      </c>
      <c r="T1053" t="str">
        <f>"14:07:53.578"</f>
        <v>14:07:53.578</v>
      </c>
      <c r="U1053" t="str">
        <f t="shared" si="48"/>
        <v>ad5732</v>
      </c>
      <c r="V1053">
        <v>0</v>
      </c>
      <c r="W1053">
        <v>0</v>
      </c>
      <c r="X1053">
        <v>1</v>
      </c>
      <c r="Z1053">
        <v>0</v>
      </c>
      <c r="AA1053">
        <v>9</v>
      </c>
      <c r="AB1053">
        <v>3</v>
      </c>
      <c r="AC1053">
        <v>0</v>
      </c>
      <c r="AD1053">
        <v>10</v>
      </c>
      <c r="AE1053">
        <v>0</v>
      </c>
      <c r="AF1053">
        <v>3</v>
      </c>
      <c r="AG1053">
        <v>2</v>
      </c>
      <c r="AH1053">
        <v>0</v>
      </c>
      <c r="AI1053" t="s">
        <v>2203</v>
      </c>
      <c r="AJ1053">
        <v>39.454286000000003</v>
      </c>
      <c r="AK1053" t="s">
        <v>2204</v>
      </c>
      <c r="AL1053">
        <v>-76.825417999999999</v>
      </c>
      <c r="AM1053">
        <v>100</v>
      </c>
      <c r="AN1053">
        <v>8700</v>
      </c>
      <c r="AO1053" t="s">
        <v>115</v>
      </c>
      <c r="AP1053">
        <v>166</v>
      </c>
      <c r="AQ1053">
        <v>90</v>
      </c>
      <c r="AR1053">
        <v>0</v>
      </c>
      <c r="AZ1053">
        <v>3614</v>
      </c>
      <c r="BA1053">
        <v>1</v>
      </c>
      <c r="BB1053" t="str">
        <f t="shared" si="50"/>
        <v xml:space="preserve">N959MJ  </v>
      </c>
      <c r="BC1053">
        <v>1</v>
      </c>
      <c r="BE1053">
        <v>0</v>
      </c>
      <c r="BF1053">
        <v>0</v>
      </c>
      <c r="BG1053">
        <v>0</v>
      </c>
      <c r="BH1053">
        <v>9025</v>
      </c>
      <c r="BI1053">
        <v>325</v>
      </c>
      <c r="BJ1053">
        <v>1</v>
      </c>
      <c r="BK1053">
        <v>1</v>
      </c>
      <c r="BL1053">
        <v>1</v>
      </c>
      <c r="BM1053">
        <v>0</v>
      </c>
      <c r="BP1053">
        <v>0</v>
      </c>
      <c r="BQ1053">
        <v>0</v>
      </c>
      <c r="BX1053" t="str">
        <f>"14:07:53.984"</f>
        <v>14:07:53.984</v>
      </c>
      <c r="BY1053" t="str">
        <f>"982026560"</f>
        <v>982026560</v>
      </c>
      <c r="CL1053">
        <v>0</v>
      </c>
      <c r="CM1053">
        <v>2</v>
      </c>
      <c r="CN1053">
        <v>0</v>
      </c>
      <c r="CO1053">
        <v>2</v>
      </c>
      <c r="CP1053">
        <v>0</v>
      </c>
      <c r="CQ1053">
        <v>6</v>
      </c>
      <c r="CR1053" t="s">
        <v>116</v>
      </c>
      <c r="CS1053">
        <v>396</v>
      </c>
      <c r="CT1053">
        <v>2</v>
      </c>
      <c r="CU1053" t="s">
        <v>939</v>
      </c>
      <c r="CV1053" t="s">
        <v>940</v>
      </c>
      <c r="CY1053">
        <v>4584285</v>
      </c>
      <c r="CZ1053" t="s">
        <v>119</v>
      </c>
    </row>
    <row r="1054" spans="1:104" x14ac:dyDescent="0.25">
      <c r="A1054" t="str">
        <f>"14:07:55.125"</f>
        <v>14:07:55.125</v>
      </c>
      <c r="B1054" t="s">
        <v>108</v>
      </c>
      <c r="C1054" t="str">
        <f t="shared" si="49"/>
        <v>ffdfd3c0</v>
      </c>
      <c r="D1054" t="s">
        <v>109</v>
      </c>
      <c r="E1054">
        <v>4</v>
      </c>
      <c r="F1054">
        <v>1004</v>
      </c>
      <c r="G1054" t="s">
        <v>110</v>
      </c>
      <c r="J1054" t="s">
        <v>111</v>
      </c>
      <c r="K1054">
        <v>0</v>
      </c>
      <c r="L1054">
        <v>3</v>
      </c>
      <c r="M1054">
        <v>0</v>
      </c>
      <c r="N1054">
        <v>2</v>
      </c>
      <c r="O1054">
        <v>1</v>
      </c>
      <c r="P1054">
        <v>0</v>
      </c>
      <c r="Q1054">
        <v>0</v>
      </c>
      <c r="R1054" t="s">
        <v>112</v>
      </c>
      <c r="S1054" t="str">
        <f>"14:07:54.938"</f>
        <v>14:07:54.938</v>
      </c>
      <c r="T1054" t="str">
        <f>"14:07:54.539"</f>
        <v>14:07:54.539</v>
      </c>
      <c r="U1054" t="str">
        <f t="shared" si="48"/>
        <v>ad5732</v>
      </c>
      <c r="V1054">
        <v>0</v>
      </c>
      <c r="W1054">
        <v>0</v>
      </c>
      <c r="X1054">
        <v>1</v>
      </c>
      <c r="Z1054">
        <v>0</v>
      </c>
      <c r="AA1054">
        <v>9</v>
      </c>
      <c r="AB1054">
        <v>3</v>
      </c>
      <c r="AC1054">
        <v>0</v>
      </c>
      <c r="AD1054">
        <v>10</v>
      </c>
      <c r="AE1054">
        <v>0</v>
      </c>
      <c r="AF1054">
        <v>3</v>
      </c>
      <c r="AG1054">
        <v>2</v>
      </c>
      <c r="AH1054">
        <v>0</v>
      </c>
      <c r="AI1054" t="s">
        <v>2205</v>
      </c>
      <c r="AJ1054">
        <v>39.454694000000003</v>
      </c>
      <c r="AK1054" t="s">
        <v>2206</v>
      </c>
      <c r="AL1054">
        <v>-76.82441</v>
      </c>
      <c r="AM1054">
        <v>100</v>
      </c>
      <c r="AN1054">
        <v>8700</v>
      </c>
      <c r="AO1054" t="s">
        <v>115</v>
      </c>
      <c r="AP1054">
        <v>167</v>
      </c>
      <c r="AQ1054">
        <v>90</v>
      </c>
      <c r="AR1054">
        <v>0</v>
      </c>
      <c r="AZ1054">
        <v>3614</v>
      </c>
      <c r="BA1054">
        <v>1</v>
      </c>
      <c r="BB1054" t="str">
        <f t="shared" si="50"/>
        <v xml:space="preserve">N959MJ  </v>
      </c>
      <c r="BC1054">
        <v>1</v>
      </c>
      <c r="BE1054">
        <v>0</v>
      </c>
      <c r="BF1054">
        <v>0</v>
      </c>
      <c r="BG1054">
        <v>0</v>
      </c>
      <c r="BH1054">
        <v>9025</v>
      </c>
      <c r="BI1054">
        <v>325</v>
      </c>
      <c r="BJ1054">
        <v>1</v>
      </c>
      <c r="BK1054">
        <v>1</v>
      </c>
      <c r="BL1054">
        <v>1</v>
      </c>
      <c r="BM1054">
        <v>0</v>
      </c>
      <c r="BP1054">
        <v>0</v>
      </c>
      <c r="BQ1054">
        <v>0</v>
      </c>
      <c r="BX1054" t="str">
        <f>"14:07:54.945"</f>
        <v>14:07:54.945</v>
      </c>
      <c r="BY1054" t="str">
        <f>"942181601"</f>
        <v>942181601</v>
      </c>
      <c r="CL1054">
        <v>0</v>
      </c>
      <c r="CM1054">
        <v>2</v>
      </c>
      <c r="CN1054">
        <v>0</v>
      </c>
      <c r="CO1054">
        <v>2</v>
      </c>
      <c r="CP1054">
        <v>0</v>
      </c>
      <c r="CQ1054">
        <v>5</v>
      </c>
      <c r="CR1054" t="s">
        <v>116</v>
      </c>
      <c r="CS1054">
        <v>372</v>
      </c>
      <c r="CT1054">
        <v>2</v>
      </c>
      <c r="CU1054" t="s">
        <v>877</v>
      </c>
      <c r="CV1054" t="s">
        <v>878</v>
      </c>
      <c r="CY1054">
        <v>9955560</v>
      </c>
      <c r="CZ1054" t="s">
        <v>119</v>
      </c>
    </row>
    <row r="1055" spans="1:104" x14ac:dyDescent="0.25">
      <c r="A1055" t="str">
        <f>"14:07:56.188"</f>
        <v>14:07:56.188</v>
      </c>
      <c r="B1055" t="s">
        <v>108</v>
      </c>
      <c r="C1055" t="str">
        <f t="shared" si="49"/>
        <v>ffdfd3c0</v>
      </c>
      <c r="D1055" t="s">
        <v>109</v>
      </c>
      <c r="E1055">
        <v>4</v>
      </c>
      <c r="F1055">
        <v>1004</v>
      </c>
      <c r="G1055" t="s">
        <v>110</v>
      </c>
      <c r="J1055" t="s">
        <v>111</v>
      </c>
      <c r="K1055">
        <v>0</v>
      </c>
      <c r="L1055">
        <v>3</v>
      </c>
      <c r="M1055">
        <v>0</v>
      </c>
      <c r="N1055">
        <v>2</v>
      </c>
      <c r="O1055">
        <v>1</v>
      </c>
      <c r="P1055">
        <v>0</v>
      </c>
      <c r="Q1055">
        <v>0</v>
      </c>
      <c r="R1055" t="s">
        <v>112</v>
      </c>
      <c r="S1055" t="str">
        <f>"14:07:55.977"</f>
        <v>14:07:55.977</v>
      </c>
      <c r="T1055" t="str">
        <f>"14:07:55.477"</f>
        <v>14:07:55.477</v>
      </c>
      <c r="U1055" t="str">
        <f t="shared" si="48"/>
        <v>ad5732</v>
      </c>
      <c r="V1055">
        <v>0</v>
      </c>
      <c r="W1055">
        <v>0</v>
      </c>
      <c r="X1055">
        <v>1</v>
      </c>
      <c r="Z1055">
        <v>0</v>
      </c>
      <c r="AA1055">
        <v>9</v>
      </c>
      <c r="AB1055">
        <v>3</v>
      </c>
      <c r="AC1055">
        <v>0</v>
      </c>
      <c r="AD1055">
        <v>10</v>
      </c>
      <c r="AE1055">
        <v>0</v>
      </c>
      <c r="AF1055">
        <v>3</v>
      </c>
      <c r="AG1055">
        <v>2</v>
      </c>
      <c r="AH1055">
        <v>0</v>
      </c>
      <c r="AI1055" t="s">
        <v>2207</v>
      </c>
      <c r="AJ1055">
        <v>39.455165999999998</v>
      </c>
      <c r="AK1055" t="s">
        <v>2208</v>
      </c>
      <c r="AL1055">
        <v>-76.823294000000004</v>
      </c>
      <c r="AM1055">
        <v>100</v>
      </c>
      <c r="AN1055">
        <v>8700</v>
      </c>
      <c r="AO1055" t="s">
        <v>115</v>
      </c>
      <c r="AP1055">
        <v>167</v>
      </c>
      <c r="AQ1055">
        <v>90</v>
      </c>
      <c r="AR1055">
        <v>0</v>
      </c>
      <c r="AZ1055">
        <v>3614</v>
      </c>
      <c r="BA1055">
        <v>1</v>
      </c>
      <c r="BB1055" t="str">
        <f t="shared" si="50"/>
        <v xml:space="preserve">N959MJ  </v>
      </c>
      <c r="BC1055">
        <v>1</v>
      </c>
      <c r="BE1055">
        <v>0</v>
      </c>
      <c r="BF1055">
        <v>0</v>
      </c>
      <c r="BG1055">
        <v>0</v>
      </c>
      <c r="BH1055">
        <v>9025</v>
      </c>
      <c r="BI1055">
        <v>325</v>
      </c>
      <c r="BJ1055">
        <v>1</v>
      </c>
      <c r="BK1055">
        <v>1</v>
      </c>
      <c r="BL1055">
        <v>1</v>
      </c>
      <c r="BM1055">
        <v>0</v>
      </c>
      <c r="BP1055">
        <v>0</v>
      </c>
      <c r="BQ1055">
        <v>0</v>
      </c>
      <c r="BX1055" t="str">
        <f>"14:07:55.984"</f>
        <v>14:07:55.984</v>
      </c>
      <c r="BY1055" t="str">
        <f>"984221104"</f>
        <v>984221104</v>
      </c>
      <c r="CL1055">
        <v>0</v>
      </c>
      <c r="CM1055">
        <v>2</v>
      </c>
      <c r="CN1055">
        <v>0</v>
      </c>
      <c r="CO1055">
        <v>2</v>
      </c>
      <c r="CP1055">
        <v>0</v>
      </c>
      <c r="CQ1055">
        <v>6</v>
      </c>
      <c r="CR1055" t="s">
        <v>116</v>
      </c>
      <c r="CS1055">
        <v>372</v>
      </c>
      <c r="CT1055">
        <v>3</v>
      </c>
      <c r="CU1055" t="s">
        <v>877</v>
      </c>
      <c r="CV1055" t="s">
        <v>878</v>
      </c>
      <c r="CY1055">
        <v>11235186</v>
      </c>
      <c r="CZ1055" t="s">
        <v>119</v>
      </c>
    </row>
    <row r="1056" spans="1:104" x14ac:dyDescent="0.25">
      <c r="A1056" t="str">
        <f>"14:07:57.094"</f>
        <v>14:07:57.094</v>
      </c>
      <c r="B1056" t="s">
        <v>108</v>
      </c>
      <c r="C1056" t="str">
        <f t="shared" si="49"/>
        <v>ffdfd3c0</v>
      </c>
      <c r="D1056" t="s">
        <v>109</v>
      </c>
      <c r="E1056">
        <v>4</v>
      </c>
      <c r="F1056">
        <v>1004</v>
      </c>
      <c r="G1056" t="s">
        <v>110</v>
      </c>
      <c r="J1056" t="s">
        <v>111</v>
      </c>
      <c r="K1056">
        <v>0</v>
      </c>
      <c r="L1056">
        <v>3</v>
      </c>
      <c r="M1056">
        <v>0</v>
      </c>
      <c r="N1056">
        <v>2</v>
      </c>
      <c r="O1056">
        <v>1</v>
      </c>
      <c r="P1056">
        <v>0</v>
      </c>
      <c r="Q1056">
        <v>0</v>
      </c>
      <c r="R1056" t="s">
        <v>112</v>
      </c>
      <c r="S1056" t="str">
        <f>"14:07:56.898"</f>
        <v>14:07:56.898</v>
      </c>
      <c r="T1056" t="str">
        <f>"14:07:56.500"</f>
        <v>14:07:56.500</v>
      </c>
      <c r="U1056" t="str">
        <f t="shared" si="48"/>
        <v>ad5732</v>
      </c>
      <c r="V1056">
        <v>0</v>
      </c>
      <c r="W1056">
        <v>0</v>
      </c>
      <c r="X1056">
        <v>1</v>
      </c>
      <c r="Z1056">
        <v>0</v>
      </c>
      <c r="AA1056">
        <v>9</v>
      </c>
      <c r="AB1056">
        <v>3</v>
      </c>
      <c r="AC1056">
        <v>0</v>
      </c>
      <c r="AD1056">
        <v>10</v>
      </c>
      <c r="AE1056">
        <v>0</v>
      </c>
      <c r="AF1056">
        <v>3</v>
      </c>
      <c r="AG1056">
        <v>2</v>
      </c>
      <c r="AH1056">
        <v>0</v>
      </c>
      <c r="AI1056" t="s">
        <v>2209</v>
      </c>
      <c r="AJ1056">
        <v>39.455531000000001</v>
      </c>
      <c r="AK1056" t="s">
        <v>2210</v>
      </c>
      <c r="AL1056">
        <v>-76.822435999999996</v>
      </c>
      <c r="AM1056">
        <v>100</v>
      </c>
      <c r="AN1056">
        <v>8700</v>
      </c>
      <c r="AO1056" t="s">
        <v>115</v>
      </c>
      <c r="AP1056">
        <v>167</v>
      </c>
      <c r="AQ1056">
        <v>89</v>
      </c>
      <c r="AR1056">
        <v>0</v>
      </c>
      <c r="AZ1056">
        <v>3614</v>
      </c>
      <c r="BA1056">
        <v>1</v>
      </c>
      <c r="BB1056" t="str">
        <f t="shared" si="50"/>
        <v xml:space="preserve">N959MJ  </v>
      </c>
      <c r="BC1056">
        <v>1</v>
      </c>
      <c r="BE1056">
        <v>0</v>
      </c>
      <c r="BF1056">
        <v>0</v>
      </c>
      <c r="BG1056">
        <v>0</v>
      </c>
      <c r="BH1056">
        <v>9025</v>
      </c>
      <c r="BI1056">
        <v>325</v>
      </c>
      <c r="BJ1056">
        <v>1</v>
      </c>
      <c r="BK1056">
        <v>1</v>
      </c>
      <c r="BL1056">
        <v>1</v>
      </c>
      <c r="BM1056">
        <v>0</v>
      </c>
      <c r="BP1056">
        <v>0</v>
      </c>
      <c r="BQ1056">
        <v>0</v>
      </c>
      <c r="BX1056" t="str">
        <f>"14:07:56.898"</f>
        <v>14:07:56.898</v>
      </c>
      <c r="BY1056" t="str">
        <f>"900029820"</f>
        <v>900029820</v>
      </c>
      <c r="CL1056">
        <v>0</v>
      </c>
      <c r="CM1056">
        <v>2</v>
      </c>
      <c r="CN1056">
        <v>0</v>
      </c>
      <c r="CO1056">
        <v>2</v>
      </c>
      <c r="CP1056">
        <v>0</v>
      </c>
      <c r="CQ1056">
        <v>6</v>
      </c>
      <c r="CR1056" t="s">
        <v>116</v>
      </c>
      <c r="CS1056">
        <v>525</v>
      </c>
      <c r="CT1056">
        <v>1</v>
      </c>
      <c r="CU1056" t="s">
        <v>140</v>
      </c>
      <c r="CV1056" t="s">
        <v>141</v>
      </c>
      <c r="CY1056">
        <v>8693268</v>
      </c>
      <c r="CZ1056" t="s">
        <v>119</v>
      </c>
    </row>
    <row r="1057" spans="1:104" x14ac:dyDescent="0.25">
      <c r="A1057" t="str">
        <f>"14:07:58.047"</f>
        <v>14:07:58.047</v>
      </c>
      <c r="B1057" t="s">
        <v>108</v>
      </c>
      <c r="C1057" t="str">
        <f t="shared" si="49"/>
        <v>ffdfd3c0</v>
      </c>
      <c r="D1057" t="s">
        <v>109</v>
      </c>
      <c r="E1057">
        <v>4</v>
      </c>
      <c r="F1057">
        <v>1004</v>
      </c>
      <c r="G1057" t="s">
        <v>110</v>
      </c>
      <c r="J1057" t="s">
        <v>111</v>
      </c>
      <c r="K1057">
        <v>0</v>
      </c>
      <c r="L1057">
        <v>3</v>
      </c>
      <c r="M1057">
        <v>0</v>
      </c>
      <c r="N1057">
        <v>2</v>
      </c>
      <c r="O1057">
        <v>1</v>
      </c>
      <c r="P1057">
        <v>0</v>
      </c>
      <c r="Q1057">
        <v>0</v>
      </c>
      <c r="R1057" t="s">
        <v>112</v>
      </c>
      <c r="S1057" t="str">
        <f>"14:07:57.859"</f>
        <v>14:07:57.859</v>
      </c>
      <c r="T1057" t="str">
        <f>"14:07:57.359"</f>
        <v>14:07:57.359</v>
      </c>
      <c r="U1057" t="str">
        <f t="shared" si="48"/>
        <v>ad5732</v>
      </c>
      <c r="V1057">
        <v>0</v>
      </c>
      <c r="W1057">
        <v>0</v>
      </c>
      <c r="X1057">
        <v>1</v>
      </c>
      <c r="Z1057">
        <v>0</v>
      </c>
      <c r="AA1057">
        <v>9</v>
      </c>
      <c r="AB1057">
        <v>3</v>
      </c>
      <c r="AC1057">
        <v>0</v>
      </c>
      <c r="AD1057">
        <v>10</v>
      </c>
      <c r="AE1057">
        <v>0</v>
      </c>
      <c r="AF1057">
        <v>3</v>
      </c>
      <c r="AG1057">
        <v>2</v>
      </c>
      <c r="AH1057">
        <v>0</v>
      </c>
      <c r="AI1057" t="s">
        <v>2211</v>
      </c>
      <c r="AJ1057">
        <v>39.455916999999999</v>
      </c>
      <c r="AK1057" t="s">
        <v>2212</v>
      </c>
      <c r="AL1057">
        <v>-76.821534999999997</v>
      </c>
      <c r="AM1057">
        <v>100</v>
      </c>
      <c r="AN1057">
        <v>8700</v>
      </c>
      <c r="AO1057" t="s">
        <v>115</v>
      </c>
      <c r="AP1057">
        <v>167</v>
      </c>
      <c r="AQ1057">
        <v>89</v>
      </c>
      <c r="AR1057">
        <v>0</v>
      </c>
      <c r="AZ1057">
        <v>3614</v>
      </c>
      <c r="BA1057">
        <v>1</v>
      </c>
      <c r="BB1057" t="str">
        <f t="shared" si="50"/>
        <v xml:space="preserve">N959MJ  </v>
      </c>
      <c r="BC1057">
        <v>1</v>
      </c>
      <c r="BE1057">
        <v>0</v>
      </c>
      <c r="BF1057">
        <v>0</v>
      </c>
      <c r="BG1057">
        <v>0</v>
      </c>
      <c r="BH1057">
        <v>9025</v>
      </c>
      <c r="BI1057">
        <v>325</v>
      </c>
      <c r="BJ1057">
        <v>1</v>
      </c>
      <c r="BK1057">
        <v>1</v>
      </c>
      <c r="BL1057">
        <v>1</v>
      </c>
      <c r="BM1057">
        <v>0</v>
      </c>
      <c r="BP1057">
        <v>0</v>
      </c>
      <c r="BQ1057">
        <v>0</v>
      </c>
      <c r="BX1057" t="str">
        <f>"14:07:57.867"</f>
        <v>14:07:57.867</v>
      </c>
      <c r="BY1057" t="str">
        <f>"865063609"</f>
        <v>865063609</v>
      </c>
      <c r="CL1057">
        <v>0</v>
      </c>
      <c r="CM1057">
        <v>2</v>
      </c>
      <c r="CN1057">
        <v>0</v>
      </c>
      <c r="CO1057">
        <v>2</v>
      </c>
      <c r="CP1057">
        <v>0</v>
      </c>
      <c r="CQ1057">
        <v>6</v>
      </c>
      <c r="CR1057" t="s">
        <v>116</v>
      </c>
      <c r="CS1057">
        <v>525</v>
      </c>
      <c r="CT1057">
        <v>1</v>
      </c>
      <c r="CU1057" t="s">
        <v>140</v>
      </c>
      <c r="CV1057" t="s">
        <v>141</v>
      </c>
      <c r="CY1057">
        <v>8694669</v>
      </c>
      <c r="CZ1057" t="s">
        <v>119</v>
      </c>
    </row>
    <row r="1058" spans="1:104" x14ac:dyDescent="0.25">
      <c r="A1058" t="str">
        <f>"14:07:59.109"</f>
        <v>14:07:59.109</v>
      </c>
      <c r="B1058" t="s">
        <v>108</v>
      </c>
      <c r="C1058" t="str">
        <f t="shared" si="49"/>
        <v>ffdfd3c0</v>
      </c>
      <c r="D1058" t="s">
        <v>109</v>
      </c>
      <c r="E1058">
        <v>4</v>
      </c>
      <c r="F1058">
        <v>1004</v>
      </c>
      <c r="G1058" t="s">
        <v>110</v>
      </c>
      <c r="J1058" t="s">
        <v>111</v>
      </c>
      <c r="K1058">
        <v>0</v>
      </c>
      <c r="L1058">
        <v>3</v>
      </c>
      <c r="M1058">
        <v>0</v>
      </c>
      <c r="N1058">
        <v>2</v>
      </c>
      <c r="O1058">
        <v>1</v>
      </c>
      <c r="P1058">
        <v>0</v>
      </c>
      <c r="Q1058">
        <v>0</v>
      </c>
      <c r="R1058" t="s">
        <v>112</v>
      </c>
      <c r="S1058" t="str">
        <f>"14:07:58.922"</f>
        <v>14:07:58.922</v>
      </c>
      <c r="T1058" t="str">
        <f>"14:07:58.422"</f>
        <v>14:07:58.422</v>
      </c>
      <c r="U1058" t="str">
        <f t="shared" si="48"/>
        <v>ad5732</v>
      </c>
      <c r="V1058">
        <v>0</v>
      </c>
      <c r="W1058">
        <v>0</v>
      </c>
      <c r="X1058">
        <v>1</v>
      </c>
      <c r="Z1058">
        <v>0</v>
      </c>
      <c r="AA1058">
        <v>9</v>
      </c>
      <c r="AB1058">
        <v>3</v>
      </c>
      <c r="AC1058">
        <v>0</v>
      </c>
      <c r="AD1058">
        <v>10</v>
      </c>
      <c r="AE1058">
        <v>0</v>
      </c>
      <c r="AF1058">
        <v>3</v>
      </c>
      <c r="AG1058">
        <v>2</v>
      </c>
      <c r="AH1058">
        <v>0</v>
      </c>
      <c r="AI1058" t="s">
        <v>2213</v>
      </c>
      <c r="AJ1058">
        <v>39.456346000000003</v>
      </c>
      <c r="AK1058" t="s">
        <v>2214</v>
      </c>
      <c r="AL1058">
        <v>-76.820397</v>
      </c>
      <c r="AM1058">
        <v>100</v>
      </c>
      <c r="AN1058">
        <v>8700</v>
      </c>
      <c r="AO1058" t="s">
        <v>115</v>
      </c>
      <c r="AP1058">
        <v>167</v>
      </c>
      <c r="AQ1058">
        <v>89</v>
      </c>
      <c r="AR1058">
        <v>0</v>
      </c>
      <c r="AZ1058">
        <v>3614</v>
      </c>
      <c r="BA1058">
        <v>1</v>
      </c>
      <c r="BB1058" t="str">
        <f t="shared" si="50"/>
        <v xml:space="preserve">N959MJ  </v>
      </c>
      <c r="BC1058">
        <v>1</v>
      </c>
      <c r="BE1058">
        <v>0</v>
      </c>
      <c r="BF1058">
        <v>0</v>
      </c>
      <c r="BG1058">
        <v>0</v>
      </c>
      <c r="BH1058">
        <v>9025</v>
      </c>
      <c r="BI1058">
        <v>325</v>
      </c>
      <c r="BJ1058">
        <v>1</v>
      </c>
      <c r="BK1058">
        <v>1</v>
      </c>
      <c r="BL1058">
        <v>1</v>
      </c>
      <c r="BM1058">
        <v>0</v>
      </c>
      <c r="BP1058">
        <v>0</v>
      </c>
      <c r="BQ1058">
        <v>0</v>
      </c>
      <c r="BX1058" t="str">
        <f>"14:07:58.930"</f>
        <v>14:07:58.930</v>
      </c>
      <c r="BY1058" t="str">
        <f>"928436478"</f>
        <v>928436478</v>
      </c>
      <c r="CL1058">
        <v>0</v>
      </c>
      <c r="CM1058">
        <v>2</v>
      </c>
      <c r="CN1058">
        <v>0</v>
      </c>
      <c r="CO1058">
        <v>2</v>
      </c>
      <c r="CP1058">
        <v>0</v>
      </c>
      <c r="CQ1058">
        <v>6</v>
      </c>
      <c r="CR1058" t="s">
        <v>116</v>
      </c>
      <c r="CS1058">
        <v>396</v>
      </c>
      <c r="CT1058">
        <v>2</v>
      </c>
      <c r="CU1058" t="s">
        <v>939</v>
      </c>
      <c r="CV1058" t="s">
        <v>940</v>
      </c>
      <c r="CY1058">
        <v>4593117</v>
      </c>
      <c r="CZ1058" t="s">
        <v>119</v>
      </c>
    </row>
    <row r="1059" spans="1:104" x14ac:dyDescent="0.25">
      <c r="A1059" t="str">
        <f>"14:08:00.070"</f>
        <v>14:08:00.070</v>
      </c>
      <c r="B1059" t="s">
        <v>108</v>
      </c>
      <c r="C1059" t="str">
        <f t="shared" si="49"/>
        <v>ffdfd3c0</v>
      </c>
      <c r="D1059" t="s">
        <v>109</v>
      </c>
      <c r="E1059">
        <v>4</v>
      </c>
      <c r="F1059">
        <v>1004</v>
      </c>
      <c r="G1059" t="s">
        <v>110</v>
      </c>
      <c r="J1059" t="s">
        <v>111</v>
      </c>
      <c r="K1059">
        <v>0</v>
      </c>
      <c r="L1059">
        <v>3</v>
      </c>
      <c r="M1059">
        <v>0</v>
      </c>
      <c r="N1059">
        <v>2</v>
      </c>
      <c r="O1059">
        <v>1</v>
      </c>
      <c r="P1059">
        <v>0</v>
      </c>
      <c r="Q1059">
        <v>0</v>
      </c>
      <c r="R1059" t="s">
        <v>112</v>
      </c>
      <c r="S1059" t="str">
        <f>"14:07:59.906"</f>
        <v>14:07:59.906</v>
      </c>
      <c r="T1059" t="str">
        <f>"14:07:59.406"</f>
        <v>14:07:59.406</v>
      </c>
      <c r="U1059" t="str">
        <f t="shared" si="48"/>
        <v>ad5732</v>
      </c>
      <c r="V1059">
        <v>0</v>
      </c>
      <c r="W1059">
        <v>0</v>
      </c>
      <c r="X1059">
        <v>1</v>
      </c>
      <c r="Z1059">
        <v>0</v>
      </c>
      <c r="AA1059">
        <v>9</v>
      </c>
      <c r="AB1059">
        <v>3</v>
      </c>
      <c r="AC1059">
        <v>0</v>
      </c>
      <c r="AD1059">
        <v>10</v>
      </c>
      <c r="AE1059">
        <v>0</v>
      </c>
      <c r="AF1059">
        <v>3</v>
      </c>
      <c r="AG1059">
        <v>2</v>
      </c>
      <c r="AH1059">
        <v>0</v>
      </c>
      <c r="AI1059" t="s">
        <v>2215</v>
      </c>
      <c r="AJ1059">
        <v>39.456753999999997</v>
      </c>
      <c r="AK1059" t="s">
        <v>2216</v>
      </c>
      <c r="AL1059">
        <v>-76.819452999999996</v>
      </c>
      <c r="AM1059">
        <v>100</v>
      </c>
      <c r="AN1059">
        <v>8700</v>
      </c>
      <c r="AO1059" t="s">
        <v>115</v>
      </c>
      <c r="AP1059">
        <v>168</v>
      </c>
      <c r="AQ1059">
        <v>88</v>
      </c>
      <c r="AR1059">
        <v>0</v>
      </c>
      <c r="AZ1059">
        <v>3614</v>
      </c>
      <c r="BA1059">
        <v>1</v>
      </c>
      <c r="BB1059" t="str">
        <f t="shared" si="50"/>
        <v xml:space="preserve">N959MJ  </v>
      </c>
      <c r="BC1059">
        <v>1</v>
      </c>
      <c r="BE1059">
        <v>0</v>
      </c>
      <c r="BF1059">
        <v>0</v>
      </c>
      <c r="BG1059">
        <v>0</v>
      </c>
      <c r="BH1059">
        <v>9025</v>
      </c>
      <c r="BI1059">
        <v>325</v>
      </c>
      <c r="BJ1059">
        <v>1</v>
      </c>
      <c r="BK1059">
        <v>1</v>
      </c>
      <c r="BL1059">
        <v>1</v>
      </c>
      <c r="BM1059">
        <v>0</v>
      </c>
      <c r="BP1059">
        <v>0</v>
      </c>
      <c r="BQ1059">
        <v>0</v>
      </c>
      <c r="BX1059" t="str">
        <f>"14:07:59.906"</f>
        <v>14:07:59.906</v>
      </c>
      <c r="BY1059" t="str">
        <f>"909821101"</f>
        <v>909821101</v>
      </c>
      <c r="CL1059">
        <v>0</v>
      </c>
      <c r="CM1059">
        <v>2</v>
      </c>
      <c r="CN1059">
        <v>0</v>
      </c>
      <c r="CO1059">
        <v>2</v>
      </c>
      <c r="CP1059">
        <v>0</v>
      </c>
      <c r="CQ1059">
        <v>6</v>
      </c>
      <c r="CR1059" t="s">
        <v>116</v>
      </c>
      <c r="CS1059">
        <v>525</v>
      </c>
      <c r="CT1059">
        <v>1</v>
      </c>
      <c r="CU1059" t="s">
        <v>140</v>
      </c>
      <c r="CV1059" t="s">
        <v>141</v>
      </c>
      <c r="CY1059">
        <v>8697702</v>
      </c>
      <c r="CZ1059" t="s">
        <v>119</v>
      </c>
    </row>
    <row r="1060" spans="1:104" x14ac:dyDescent="0.25">
      <c r="A1060" t="str">
        <f>"14:08:01.180"</f>
        <v>14:08:01.180</v>
      </c>
      <c r="B1060" t="s">
        <v>108</v>
      </c>
      <c r="C1060" t="str">
        <f t="shared" si="49"/>
        <v>ffdfd3c0</v>
      </c>
      <c r="D1060" t="s">
        <v>109</v>
      </c>
      <c r="E1060">
        <v>4</v>
      </c>
      <c r="F1060">
        <v>1004</v>
      </c>
      <c r="G1060" t="s">
        <v>110</v>
      </c>
      <c r="J1060" t="s">
        <v>111</v>
      </c>
      <c r="K1060">
        <v>0</v>
      </c>
      <c r="L1060">
        <v>3</v>
      </c>
      <c r="M1060">
        <v>0</v>
      </c>
      <c r="N1060">
        <v>2</v>
      </c>
      <c r="O1060">
        <v>1</v>
      </c>
      <c r="P1060">
        <v>0</v>
      </c>
      <c r="Q1060">
        <v>0</v>
      </c>
      <c r="R1060" t="s">
        <v>112</v>
      </c>
      <c r="S1060" t="str">
        <f>"14:08:00.984"</f>
        <v>14:08:00.984</v>
      </c>
      <c r="T1060" t="str">
        <f>"14:08:00.586"</f>
        <v>14:08:00.586</v>
      </c>
      <c r="U1060" t="str">
        <f t="shared" si="48"/>
        <v>ad5732</v>
      </c>
      <c r="V1060">
        <v>0</v>
      </c>
      <c r="W1060">
        <v>0</v>
      </c>
      <c r="X1060">
        <v>1</v>
      </c>
      <c r="Z1060">
        <v>0</v>
      </c>
      <c r="AA1060">
        <v>9</v>
      </c>
      <c r="AB1060">
        <v>3</v>
      </c>
      <c r="AC1060">
        <v>0</v>
      </c>
      <c r="AD1060">
        <v>10</v>
      </c>
      <c r="AE1060">
        <v>0</v>
      </c>
      <c r="AF1060">
        <v>3</v>
      </c>
      <c r="AG1060">
        <v>2</v>
      </c>
      <c r="AH1060">
        <v>0</v>
      </c>
      <c r="AI1060" t="s">
        <v>2217</v>
      </c>
      <c r="AJ1060">
        <v>39.457203999999997</v>
      </c>
      <c r="AK1060" t="s">
        <v>2218</v>
      </c>
      <c r="AL1060">
        <v>-76.818359000000001</v>
      </c>
      <c r="AM1060">
        <v>100</v>
      </c>
      <c r="AN1060">
        <v>8700</v>
      </c>
      <c r="AO1060" t="s">
        <v>115</v>
      </c>
      <c r="AP1060">
        <v>168</v>
      </c>
      <c r="AQ1060">
        <v>88</v>
      </c>
      <c r="AR1060">
        <v>0</v>
      </c>
      <c r="AZ1060">
        <v>3614</v>
      </c>
      <c r="BA1060">
        <v>1</v>
      </c>
      <c r="BB1060" t="str">
        <f t="shared" si="50"/>
        <v xml:space="preserve">N959MJ  </v>
      </c>
      <c r="BC1060">
        <v>1</v>
      </c>
      <c r="BE1060">
        <v>0</v>
      </c>
      <c r="BF1060">
        <v>0</v>
      </c>
      <c r="BG1060">
        <v>0</v>
      </c>
      <c r="BH1060">
        <v>9025</v>
      </c>
      <c r="BI1060">
        <v>325</v>
      </c>
      <c r="BJ1060">
        <v>1</v>
      </c>
      <c r="BK1060">
        <v>1</v>
      </c>
      <c r="BL1060">
        <v>1</v>
      </c>
      <c r="BM1060">
        <v>0</v>
      </c>
      <c r="BP1060">
        <v>0</v>
      </c>
      <c r="BQ1060">
        <v>0</v>
      </c>
      <c r="BX1060" t="str">
        <f>"14:08:00.984"</f>
        <v>14:08:00.984</v>
      </c>
      <c r="BY1060" t="str">
        <f>"986268001"</f>
        <v>986268001</v>
      </c>
      <c r="CL1060">
        <v>0</v>
      </c>
      <c r="CM1060">
        <v>2</v>
      </c>
      <c r="CN1060">
        <v>0</v>
      </c>
      <c r="CO1060">
        <v>2</v>
      </c>
      <c r="CP1060">
        <v>0</v>
      </c>
      <c r="CQ1060">
        <v>6</v>
      </c>
      <c r="CR1060" t="s">
        <v>116</v>
      </c>
      <c r="CS1060">
        <v>525</v>
      </c>
      <c r="CT1060">
        <v>1</v>
      </c>
      <c r="CU1060" t="s">
        <v>140</v>
      </c>
      <c r="CV1060" t="s">
        <v>141</v>
      </c>
      <c r="CY1060">
        <v>8699258</v>
      </c>
      <c r="CZ1060" t="s">
        <v>119</v>
      </c>
    </row>
    <row r="1061" spans="1:104" x14ac:dyDescent="0.25">
      <c r="A1061" t="str">
        <f>"14:08:02.141"</f>
        <v>14:08:02.141</v>
      </c>
      <c r="B1061" t="s">
        <v>108</v>
      </c>
      <c r="C1061" t="str">
        <f t="shared" si="49"/>
        <v>ffdfd3c0</v>
      </c>
      <c r="D1061" t="s">
        <v>109</v>
      </c>
      <c r="E1061">
        <v>4</v>
      </c>
      <c r="F1061">
        <v>1004</v>
      </c>
      <c r="G1061" t="s">
        <v>110</v>
      </c>
      <c r="J1061" t="s">
        <v>111</v>
      </c>
      <c r="K1061">
        <v>0</v>
      </c>
      <c r="L1061">
        <v>3</v>
      </c>
      <c r="M1061">
        <v>0</v>
      </c>
      <c r="N1061">
        <v>2</v>
      </c>
      <c r="O1061">
        <v>1</v>
      </c>
      <c r="P1061">
        <v>0</v>
      </c>
      <c r="Q1061">
        <v>0</v>
      </c>
      <c r="R1061" t="s">
        <v>112</v>
      </c>
      <c r="S1061" t="str">
        <f>"14:08:01.945"</f>
        <v>14:08:01.945</v>
      </c>
      <c r="T1061" t="str">
        <f>"14:08:01.547"</f>
        <v>14:08:01.547</v>
      </c>
      <c r="U1061" t="str">
        <f t="shared" si="48"/>
        <v>ad5732</v>
      </c>
      <c r="V1061">
        <v>0</v>
      </c>
      <c r="W1061">
        <v>0</v>
      </c>
      <c r="X1061">
        <v>1</v>
      </c>
      <c r="Z1061">
        <v>0</v>
      </c>
      <c r="AA1061">
        <v>9</v>
      </c>
      <c r="AB1061">
        <v>3</v>
      </c>
      <c r="AC1061">
        <v>0</v>
      </c>
      <c r="AD1061">
        <v>10</v>
      </c>
      <c r="AE1061">
        <v>0</v>
      </c>
      <c r="AF1061">
        <v>3</v>
      </c>
      <c r="AG1061">
        <v>2</v>
      </c>
      <c r="AH1061">
        <v>0</v>
      </c>
      <c r="AI1061" t="s">
        <v>2219</v>
      </c>
      <c r="AJ1061">
        <v>39.457591000000001</v>
      </c>
      <c r="AK1061" t="s">
        <v>2220</v>
      </c>
      <c r="AL1061">
        <v>-76.817414999999997</v>
      </c>
      <c r="AM1061">
        <v>100</v>
      </c>
      <c r="AN1061">
        <v>8700</v>
      </c>
      <c r="AO1061" t="s">
        <v>115</v>
      </c>
      <c r="AP1061">
        <v>168</v>
      </c>
      <c r="AQ1061">
        <v>87</v>
      </c>
      <c r="AR1061">
        <v>0</v>
      </c>
      <c r="AZ1061">
        <v>3614</v>
      </c>
      <c r="BA1061">
        <v>1</v>
      </c>
      <c r="BB1061" t="str">
        <f t="shared" si="50"/>
        <v xml:space="preserve">N959MJ  </v>
      </c>
      <c r="BC1061">
        <v>1</v>
      </c>
      <c r="BE1061">
        <v>0</v>
      </c>
      <c r="BF1061">
        <v>0</v>
      </c>
      <c r="BG1061">
        <v>0</v>
      </c>
      <c r="BH1061">
        <v>9025</v>
      </c>
      <c r="BI1061">
        <v>325</v>
      </c>
      <c r="BJ1061">
        <v>1</v>
      </c>
      <c r="BK1061">
        <v>1</v>
      </c>
      <c r="BL1061">
        <v>1</v>
      </c>
      <c r="BM1061">
        <v>0</v>
      </c>
      <c r="BP1061">
        <v>0</v>
      </c>
      <c r="BQ1061">
        <v>0</v>
      </c>
      <c r="BX1061" t="str">
        <f>"14:08:01.945"</f>
        <v>14:08:01.945</v>
      </c>
      <c r="BY1061" t="str">
        <f>"948024877"</f>
        <v>948024877</v>
      </c>
      <c r="CL1061">
        <v>0</v>
      </c>
      <c r="CM1061">
        <v>2</v>
      </c>
      <c r="CN1061">
        <v>0</v>
      </c>
      <c r="CO1061">
        <v>2</v>
      </c>
      <c r="CP1061">
        <v>0</v>
      </c>
      <c r="CQ1061">
        <v>6</v>
      </c>
      <c r="CR1061" t="s">
        <v>116</v>
      </c>
      <c r="CS1061">
        <v>525</v>
      </c>
      <c r="CT1061">
        <v>1</v>
      </c>
      <c r="CU1061" t="s">
        <v>140</v>
      </c>
      <c r="CV1061" t="s">
        <v>141</v>
      </c>
      <c r="CY1061">
        <v>8700698</v>
      </c>
      <c r="CZ1061" t="s">
        <v>119</v>
      </c>
    </row>
    <row r="1062" spans="1:104" x14ac:dyDescent="0.25">
      <c r="A1062" t="str">
        <f>"14:08:03.047"</f>
        <v>14:08:03.047</v>
      </c>
      <c r="B1062" t="s">
        <v>108</v>
      </c>
      <c r="C1062" t="str">
        <f t="shared" si="49"/>
        <v>ffdfd3c0</v>
      </c>
      <c r="D1062" t="s">
        <v>109</v>
      </c>
      <c r="E1062">
        <v>4</v>
      </c>
      <c r="F1062">
        <v>1004</v>
      </c>
      <c r="G1062" t="s">
        <v>110</v>
      </c>
      <c r="J1062" t="s">
        <v>111</v>
      </c>
      <c r="K1062">
        <v>0</v>
      </c>
      <c r="L1062">
        <v>3</v>
      </c>
      <c r="M1062">
        <v>0</v>
      </c>
      <c r="N1062">
        <v>2</v>
      </c>
      <c r="O1062">
        <v>1</v>
      </c>
      <c r="P1062">
        <v>0</v>
      </c>
      <c r="Q1062">
        <v>0</v>
      </c>
      <c r="R1062" t="s">
        <v>112</v>
      </c>
      <c r="S1062" t="str">
        <f>"14:08:02.867"</f>
        <v>14:08:02.867</v>
      </c>
      <c r="T1062" t="str">
        <f>"14:08:02.469"</f>
        <v>14:08:02.469</v>
      </c>
      <c r="U1062" t="str">
        <f t="shared" si="48"/>
        <v>ad5732</v>
      </c>
      <c r="V1062">
        <v>0</v>
      </c>
      <c r="W1062">
        <v>0</v>
      </c>
      <c r="X1062">
        <v>1</v>
      </c>
      <c r="Z1062">
        <v>0</v>
      </c>
      <c r="AA1062">
        <v>9</v>
      </c>
      <c r="AB1062">
        <v>3</v>
      </c>
      <c r="AC1062">
        <v>0</v>
      </c>
      <c r="AD1062">
        <v>10</v>
      </c>
      <c r="AE1062">
        <v>0</v>
      </c>
      <c r="AF1062">
        <v>3</v>
      </c>
      <c r="AG1062">
        <v>2</v>
      </c>
      <c r="AH1062">
        <v>0</v>
      </c>
      <c r="AI1062" t="s">
        <v>2221</v>
      </c>
      <c r="AJ1062">
        <v>39.457912</v>
      </c>
      <c r="AK1062" t="s">
        <v>2222</v>
      </c>
      <c r="AL1062">
        <v>-76.816535000000002</v>
      </c>
      <c r="AM1062">
        <v>100</v>
      </c>
      <c r="AN1062">
        <v>8700</v>
      </c>
      <c r="AO1062" t="s">
        <v>115</v>
      </c>
      <c r="AP1062">
        <v>168</v>
      </c>
      <c r="AQ1062">
        <v>87</v>
      </c>
      <c r="AR1062">
        <v>0</v>
      </c>
      <c r="AZ1062">
        <v>3614</v>
      </c>
      <c r="BA1062">
        <v>1</v>
      </c>
      <c r="BB1062" t="str">
        <f t="shared" si="50"/>
        <v xml:space="preserve">N959MJ  </v>
      </c>
      <c r="BC1062">
        <v>1</v>
      </c>
      <c r="BE1062">
        <v>0</v>
      </c>
      <c r="BF1062">
        <v>0</v>
      </c>
      <c r="BG1062">
        <v>0</v>
      </c>
      <c r="BH1062">
        <v>9025</v>
      </c>
      <c r="BI1062">
        <v>325</v>
      </c>
      <c r="BJ1062">
        <v>1</v>
      </c>
      <c r="BK1062">
        <v>1</v>
      </c>
      <c r="BL1062">
        <v>1</v>
      </c>
      <c r="BM1062">
        <v>0</v>
      </c>
      <c r="BP1062">
        <v>0</v>
      </c>
      <c r="BQ1062">
        <v>0</v>
      </c>
      <c r="BX1062" t="str">
        <f>"14:08:02.875"</f>
        <v>14:08:02.875</v>
      </c>
      <c r="BY1062" t="str">
        <f>"872098032"</f>
        <v>872098032</v>
      </c>
      <c r="CL1062">
        <v>0</v>
      </c>
      <c r="CM1062">
        <v>2</v>
      </c>
      <c r="CN1062">
        <v>0</v>
      </c>
      <c r="CO1062">
        <v>2</v>
      </c>
      <c r="CP1062">
        <v>0</v>
      </c>
      <c r="CQ1062">
        <v>6</v>
      </c>
      <c r="CR1062" t="s">
        <v>116</v>
      </c>
      <c r="CS1062">
        <v>525</v>
      </c>
      <c r="CT1062">
        <v>1</v>
      </c>
      <c r="CU1062" t="s">
        <v>140</v>
      </c>
      <c r="CV1062" t="s">
        <v>141</v>
      </c>
      <c r="CY1062">
        <v>8702047</v>
      </c>
      <c r="CZ1062" t="s">
        <v>119</v>
      </c>
    </row>
    <row r="1063" spans="1:104" x14ac:dyDescent="0.25">
      <c r="A1063" t="str">
        <f>"14:08:04.109"</f>
        <v>14:08:04.109</v>
      </c>
      <c r="B1063" t="s">
        <v>108</v>
      </c>
      <c r="C1063" t="str">
        <f t="shared" si="49"/>
        <v>ffdfd3c0</v>
      </c>
      <c r="D1063" t="s">
        <v>109</v>
      </c>
      <c r="E1063">
        <v>4</v>
      </c>
      <c r="F1063">
        <v>1004</v>
      </c>
      <c r="G1063" t="s">
        <v>110</v>
      </c>
      <c r="J1063" t="s">
        <v>111</v>
      </c>
      <c r="K1063">
        <v>0</v>
      </c>
      <c r="L1063">
        <v>3</v>
      </c>
      <c r="M1063">
        <v>0</v>
      </c>
      <c r="N1063">
        <v>2</v>
      </c>
      <c r="O1063">
        <v>1</v>
      </c>
      <c r="P1063">
        <v>0</v>
      </c>
      <c r="Q1063">
        <v>0</v>
      </c>
      <c r="R1063" t="s">
        <v>112</v>
      </c>
      <c r="S1063" t="str">
        <f>"14:08:03.914"</f>
        <v>14:08:03.914</v>
      </c>
      <c r="T1063" t="str">
        <f>"14:08:03.414"</f>
        <v>14:08:03.414</v>
      </c>
      <c r="U1063" t="str">
        <f t="shared" si="48"/>
        <v>ad5732</v>
      </c>
      <c r="V1063">
        <v>0</v>
      </c>
      <c r="W1063">
        <v>0</v>
      </c>
      <c r="X1063">
        <v>1</v>
      </c>
      <c r="Z1063">
        <v>0</v>
      </c>
      <c r="AA1063">
        <v>9</v>
      </c>
      <c r="AB1063">
        <v>3</v>
      </c>
      <c r="AC1063">
        <v>0</v>
      </c>
      <c r="AD1063">
        <v>10</v>
      </c>
      <c r="AE1063">
        <v>0</v>
      </c>
      <c r="AF1063">
        <v>3</v>
      </c>
      <c r="AG1063">
        <v>2</v>
      </c>
      <c r="AH1063">
        <v>0</v>
      </c>
      <c r="AI1063" t="s">
        <v>2223</v>
      </c>
      <c r="AJ1063">
        <v>39.458362999999999</v>
      </c>
      <c r="AK1063" t="s">
        <v>2224</v>
      </c>
      <c r="AL1063">
        <v>-76.815441000000007</v>
      </c>
      <c r="AM1063">
        <v>100</v>
      </c>
      <c r="AN1063">
        <v>8700</v>
      </c>
      <c r="AO1063" t="s">
        <v>115</v>
      </c>
      <c r="AP1063">
        <v>168</v>
      </c>
      <c r="AQ1063">
        <v>87</v>
      </c>
      <c r="AR1063">
        <v>0</v>
      </c>
      <c r="AZ1063">
        <v>3614</v>
      </c>
      <c r="BA1063">
        <v>1</v>
      </c>
      <c r="BB1063" t="str">
        <f t="shared" si="50"/>
        <v xml:space="preserve">N959MJ  </v>
      </c>
      <c r="BC1063">
        <v>1</v>
      </c>
      <c r="BE1063">
        <v>0</v>
      </c>
      <c r="BF1063">
        <v>0</v>
      </c>
      <c r="BG1063">
        <v>0</v>
      </c>
      <c r="BH1063">
        <v>9025</v>
      </c>
      <c r="BI1063">
        <v>325</v>
      </c>
      <c r="BJ1063">
        <v>1</v>
      </c>
      <c r="BK1063">
        <v>1</v>
      </c>
      <c r="BL1063">
        <v>1</v>
      </c>
      <c r="BM1063">
        <v>0</v>
      </c>
      <c r="BP1063">
        <v>0</v>
      </c>
      <c r="BQ1063">
        <v>0</v>
      </c>
      <c r="BX1063" t="str">
        <f>"14:08:03.914"</f>
        <v>14:08:03.914</v>
      </c>
      <c r="BY1063" t="str">
        <f>"917445497"</f>
        <v>917445497</v>
      </c>
      <c r="CL1063">
        <v>0</v>
      </c>
      <c r="CM1063">
        <v>2</v>
      </c>
      <c r="CN1063">
        <v>0</v>
      </c>
      <c r="CO1063">
        <v>2</v>
      </c>
      <c r="CP1063">
        <v>0</v>
      </c>
      <c r="CQ1063">
        <v>6</v>
      </c>
      <c r="CR1063" t="s">
        <v>116</v>
      </c>
      <c r="CS1063">
        <v>396</v>
      </c>
      <c r="CT1063">
        <v>2</v>
      </c>
      <c r="CU1063" t="s">
        <v>939</v>
      </c>
      <c r="CV1063" t="s">
        <v>940</v>
      </c>
      <c r="CY1063">
        <v>4602178</v>
      </c>
      <c r="CZ1063" t="s">
        <v>119</v>
      </c>
    </row>
    <row r="1064" spans="1:104" x14ac:dyDescent="0.25">
      <c r="A1064" t="str">
        <f>"14:08:05.266"</f>
        <v>14:08:05.266</v>
      </c>
      <c r="B1064" t="s">
        <v>108</v>
      </c>
      <c r="C1064" t="str">
        <f t="shared" si="49"/>
        <v>ffdfd3c0</v>
      </c>
      <c r="D1064" t="s">
        <v>109</v>
      </c>
      <c r="E1064">
        <v>4</v>
      </c>
      <c r="F1064">
        <v>1004</v>
      </c>
      <c r="G1064" t="s">
        <v>110</v>
      </c>
      <c r="J1064" t="s">
        <v>111</v>
      </c>
      <c r="K1064">
        <v>0</v>
      </c>
      <c r="L1064">
        <v>3</v>
      </c>
      <c r="M1064">
        <v>0</v>
      </c>
      <c r="N1064">
        <v>2</v>
      </c>
      <c r="O1064">
        <v>1</v>
      </c>
      <c r="P1064">
        <v>0</v>
      </c>
      <c r="Q1064">
        <v>0</v>
      </c>
      <c r="R1064" t="s">
        <v>112</v>
      </c>
      <c r="S1064" t="str">
        <f>"14:08:05.078"</f>
        <v>14:08:05.078</v>
      </c>
      <c r="T1064" t="str">
        <f>"14:08:04.578"</f>
        <v>14:08:04.578</v>
      </c>
      <c r="U1064" t="str">
        <f t="shared" si="48"/>
        <v>ad5732</v>
      </c>
      <c r="V1064">
        <v>0</v>
      </c>
      <c r="W1064">
        <v>0</v>
      </c>
      <c r="X1064">
        <v>1</v>
      </c>
      <c r="Z1064">
        <v>0</v>
      </c>
      <c r="AA1064">
        <v>9</v>
      </c>
      <c r="AB1064">
        <v>3</v>
      </c>
      <c r="AC1064">
        <v>0</v>
      </c>
      <c r="AD1064">
        <v>10</v>
      </c>
      <c r="AE1064">
        <v>0</v>
      </c>
      <c r="AF1064">
        <v>3</v>
      </c>
      <c r="AG1064">
        <v>2</v>
      </c>
      <c r="AH1064">
        <v>0</v>
      </c>
      <c r="AI1064" t="s">
        <v>2225</v>
      </c>
      <c r="AJ1064">
        <v>39.458792000000003</v>
      </c>
      <c r="AK1064" t="s">
        <v>2226</v>
      </c>
      <c r="AL1064">
        <v>-76.814324999999997</v>
      </c>
      <c r="AM1064">
        <v>100</v>
      </c>
      <c r="AN1064">
        <v>8700</v>
      </c>
      <c r="AO1064" t="s">
        <v>115</v>
      </c>
      <c r="AP1064">
        <v>169</v>
      </c>
      <c r="AQ1064">
        <v>86</v>
      </c>
      <c r="AR1064">
        <v>0</v>
      </c>
      <c r="AZ1064">
        <v>3614</v>
      </c>
      <c r="BA1064">
        <v>1</v>
      </c>
      <c r="BB1064" t="str">
        <f t="shared" si="50"/>
        <v xml:space="preserve">N959MJ  </v>
      </c>
      <c r="BC1064">
        <v>1</v>
      </c>
      <c r="BE1064">
        <v>0</v>
      </c>
      <c r="BF1064">
        <v>0</v>
      </c>
      <c r="BG1064">
        <v>0</v>
      </c>
      <c r="BH1064">
        <v>9025</v>
      </c>
      <c r="BI1064">
        <v>325</v>
      </c>
      <c r="BJ1064">
        <v>1</v>
      </c>
      <c r="BK1064">
        <v>1</v>
      </c>
      <c r="BL1064">
        <v>1</v>
      </c>
      <c r="BM1064">
        <v>0</v>
      </c>
      <c r="BP1064">
        <v>0</v>
      </c>
      <c r="BQ1064">
        <v>0</v>
      </c>
      <c r="BX1064" t="str">
        <f>"14:08:05.078"</f>
        <v>14:08:05.078</v>
      </c>
      <c r="BY1064" t="str">
        <f>"079128659"</f>
        <v>079128659</v>
      </c>
      <c r="CL1064">
        <v>0</v>
      </c>
      <c r="CM1064">
        <v>2</v>
      </c>
      <c r="CN1064">
        <v>0</v>
      </c>
      <c r="CO1064">
        <v>2</v>
      </c>
      <c r="CP1064">
        <v>0</v>
      </c>
      <c r="CQ1064">
        <v>6</v>
      </c>
      <c r="CR1064" t="s">
        <v>116</v>
      </c>
      <c r="CS1064">
        <v>372</v>
      </c>
      <c r="CT1064">
        <v>3</v>
      </c>
      <c r="CU1064" t="s">
        <v>877</v>
      </c>
      <c r="CV1064" t="s">
        <v>878</v>
      </c>
      <c r="CY1064">
        <v>11251435</v>
      </c>
      <c r="CZ1064" t="s">
        <v>119</v>
      </c>
    </row>
    <row r="1065" spans="1:104" x14ac:dyDescent="0.25">
      <c r="A1065" t="str">
        <f>"14:08:06.375"</f>
        <v>14:08:06.375</v>
      </c>
      <c r="B1065" t="s">
        <v>108</v>
      </c>
      <c r="C1065" t="str">
        <f t="shared" si="49"/>
        <v>ffdfd3c0</v>
      </c>
      <c r="D1065" t="s">
        <v>109</v>
      </c>
      <c r="E1065">
        <v>4</v>
      </c>
      <c r="F1065">
        <v>1004</v>
      </c>
      <c r="G1065" t="s">
        <v>110</v>
      </c>
      <c r="J1065" t="s">
        <v>111</v>
      </c>
      <c r="K1065">
        <v>0</v>
      </c>
      <c r="L1065">
        <v>3</v>
      </c>
      <c r="M1065">
        <v>0</v>
      </c>
      <c r="N1065">
        <v>2</v>
      </c>
      <c r="O1065">
        <v>1</v>
      </c>
      <c r="P1065">
        <v>0</v>
      </c>
      <c r="Q1065">
        <v>0</v>
      </c>
      <c r="R1065" t="s">
        <v>112</v>
      </c>
      <c r="S1065" t="str">
        <f>"14:08:06.172"</f>
        <v>14:08:06.172</v>
      </c>
      <c r="T1065" t="str">
        <f>"14:08:05.672"</f>
        <v>14:08:05.672</v>
      </c>
      <c r="U1065" t="str">
        <f t="shared" si="48"/>
        <v>ad5732</v>
      </c>
      <c r="V1065">
        <v>0</v>
      </c>
      <c r="W1065">
        <v>0</v>
      </c>
      <c r="X1065">
        <v>1</v>
      </c>
      <c r="Z1065">
        <v>0</v>
      </c>
      <c r="AA1065">
        <v>9</v>
      </c>
      <c r="AB1065">
        <v>3</v>
      </c>
      <c r="AC1065">
        <v>0</v>
      </c>
      <c r="AD1065">
        <v>10</v>
      </c>
      <c r="AE1065">
        <v>0</v>
      </c>
      <c r="AF1065">
        <v>3</v>
      </c>
      <c r="AG1065">
        <v>2</v>
      </c>
      <c r="AH1065">
        <v>0</v>
      </c>
      <c r="AI1065" t="s">
        <v>2227</v>
      </c>
      <c r="AJ1065">
        <v>39.459220999999999</v>
      </c>
      <c r="AK1065" t="s">
        <v>2228</v>
      </c>
      <c r="AL1065">
        <v>-76.813187999999997</v>
      </c>
      <c r="AM1065">
        <v>100</v>
      </c>
      <c r="AN1065">
        <v>8700</v>
      </c>
      <c r="AO1065" t="s">
        <v>115</v>
      </c>
      <c r="AP1065">
        <v>169</v>
      </c>
      <c r="AQ1065">
        <v>86</v>
      </c>
      <c r="AR1065">
        <v>0</v>
      </c>
      <c r="AZ1065">
        <v>3614</v>
      </c>
      <c r="BA1065">
        <v>1</v>
      </c>
      <c r="BB1065" t="str">
        <f t="shared" si="50"/>
        <v xml:space="preserve">N959MJ  </v>
      </c>
      <c r="BC1065">
        <v>1</v>
      </c>
      <c r="BE1065">
        <v>0</v>
      </c>
      <c r="BF1065">
        <v>0</v>
      </c>
      <c r="BG1065">
        <v>0</v>
      </c>
      <c r="BH1065">
        <v>9025</v>
      </c>
      <c r="BI1065">
        <v>325</v>
      </c>
      <c r="BJ1065">
        <v>1</v>
      </c>
      <c r="BK1065">
        <v>1</v>
      </c>
      <c r="BL1065">
        <v>1</v>
      </c>
      <c r="BM1065">
        <v>0</v>
      </c>
      <c r="BP1065">
        <v>0</v>
      </c>
      <c r="BQ1065">
        <v>0</v>
      </c>
      <c r="BX1065" t="str">
        <f>"14:08:06.180"</f>
        <v>14:08:06.180</v>
      </c>
      <c r="BY1065" t="str">
        <f>"178444665"</f>
        <v>178444665</v>
      </c>
      <c r="CL1065">
        <v>0</v>
      </c>
      <c r="CM1065">
        <v>2</v>
      </c>
      <c r="CN1065">
        <v>0</v>
      </c>
      <c r="CO1065">
        <v>2</v>
      </c>
      <c r="CP1065">
        <v>0</v>
      </c>
      <c r="CQ1065">
        <v>6</v>
      </c>
      <c r="CR1065" t="s">
        <v>116</v>
      </c>
      <c r="CS1065">
        <v>525</v>
      </c>
      <c r="CT1065">
        <v>1</v>
      </c>
      <c r="CU1065" t="s">
        <v>140</v>
      </c>
      <c r="CV1065" t="s">
        <v>141</v>
      </c>
      <c r="CY1065">
        <v>8706949</v>
      </c>
      <c r="CZ1065" t="s">
        <v>119</v>
      </c>
    </row>
    <row r="1066" spans="1:104" x14ac:dyDescent="0.25">
      <c r="A1066" t="str">
        <f>"14:08:07.289"</f>
        <v>14:08:07.289</v>
      </c>
      <c r="B1066" t="s">
        <v>108</v>
      </c>
      <c r="C1066" t="str">
        <f t="shared" si="49"/>
        <v>ffdfd3c0</v>
      </c>
      <c r="D1066" t="s">
        <v>109</v>
      </c>
      <c r="E1066">
        <v>4</v>
      </c>
      <c r="F1066">
        <v>1004</v>
      </c>
      <c r="G1066" t="s">
        <v>110</v>
      </c>
      <c r="J1066" t="s">
        <v>111</v>
      </c>
      <c r="K1066">
        <v>0</v>
      </c>
      <c r="L1066">
        <v>3</v>
      </c>
      <c r="M1066">
        <v>0</v>
      </c>
      <c r="N1066">
        <v>2</v>
      </c>
      <c r="O1066">
        <v>1</v>
      </c>
      <c r="P1066">
        <v>0</v>
      </c>
      <c r="Q1066">
        <v>0</v>
      </c>
      <c r="R1066" t="s">
        <v>112</v>
      </c>
      <c r="S1066" t="str">
        <f>"14:08:07.133"</f>
        <v>14:08:07.133</v>
      </c>
      <c r="T1066" t="str">
        <f>"14:08:06.633"</f>
        <v>14:08:06.633</v>
      </c>
      <c r="U1066" t="str">
        <f t="shared" si="48"/>
        <v>ad5732</v>
      </c>
      <c r="V1066">
        <v>0</v>
      </c>
      <c r="W1066">
        <v>0</v>
      </c>
      <c r="X1066">
        <v>1</v>
      </c>
      <c r="Z1066">
        <v>0</v>
      </c>
      <c r="AA1066">
        <v>9</v>
      </c>
      <c r="AB1066">
        <v>3</v>
      </c>
      <c r="AC1066">
        <v>0</v>
      </c>
      <c r="AD1066">
        <v>10</v>
      </c>
      <c r="AE1066">
        <v>0</v>
      </c>
      <c r="AF1066">
        <v>3</v>
      </c>
      <c r="AG1066">
        <v>2</v>
      </c>
      <c r="AH1066">
        <v>0</v>
      </c>
      <c r="AI1066" t="s">
        <v>2229</v>
      </c>
      <c r="AJ1066">
        <v>39.459651000000001</v>
      </c>
      <c r="AK1066" t="s">
        <v>2230</v>
      </c>
      <c r="AL1066">
        <v>-76.812222000000006</v>
      </c>
      <c r="AM1066">
        <v>100</v>
      </c>
      <c r="AN1066">
        <v>8700</v>
      </c>
      <c r="AO1066" t="s">
        <v>115</v>
      </c>
      <c r="AP1066">
        <v>169</v>
      </c>
      <c r="AQ1066">
        <v>85</v>
      </c>
      <c r="AR1066">
        <v>0</v>
      </c>
      <c r="AZ1066">
        <v>3614</v>
      </c>
      <c r="BA1066">
        <v>1</v>
      </c>
      <c r="BB1066" t="str">
        <f t="shared" si="50"/>
        <v xml:space="preserve">N959MJ  </v>
      </c>
      <c r="BC1066">
        <v>1</v>
      </c>
      <c r="BE1066">
        <v>0</v>
      </c>
      <c r="BF1066">
        <v>0</v>
      </c>
      <c r="BG1066">
        <v>0</v>
      </c>
      <c r="BH1066">
        <v>9025</v>
      </c>
      <c r="BI1066">
        <v>325</v>
      </c>
      <c r="BJ1066">
        <v>1</v>
      </c>
      <c r="BK1066">
        <v>1</v>
      </c>
      <c r="BL1066">
        <v>1</v>
      </c>
      <c r="BM1066">
        <v>0</v>
      </c>
      <c r="BP1066">
        <v>0</v>
      </c>
      <c r="BQ1066">
        <v>0</v>
      </c>
      <c r="BX1066" t="str">
        <f>"14:08:07.133"</f>
        <v>14:08:07.133</v>
      </c>
      <c r="BY1066" t="str">
        <f>"135315283"</f>
        <v>135315283</v>
      </c>
      <c r="CL1066">
        <v>0</v>
      </c>
      <c r="CM1066">
        <v>2</v>
      </c>
      <c r="CN1066">
        <v>0</v>
      </c>
      <c r="CO1066">
        <v>2</v>
      </c>
      <c r="CP1066">
        <v>0</v>
      </c>
      <c r="CQ1066">
        <v>6</v>
      </c>
      <c r="CR1066" t="s">
        <v>116</v>
      </c>
      <c r="CS1066">
        <v>396</v>
      </c>
      <c r="CT1066">
        <v>2</v>
      </c>
      <c r="CU1066" t="s">
        <v>939</v>
      </c>
      <c r="CV1066" t="s">
        <v>940</v>
      </c>
      <c r="CY1066">
        <v>4608039</v>
      </c>
      <c r="CZ1066" t="s">
        <v>119</v>
      </c>
    </row>
    <row r="1067" spans="1:104" x14ac:dyDescent="0.25">
      <c r="A1067" t="str">
        <f>"14:08:08.398"</f>
        <v>14:08:08.398</v>
      </c>
      <c r="B1067" t="s">
        <v>108</v>
      </c>
      <c r="C1067" t="str">
        <f t="shared" si="49"/>
        <v>ffdfd3c0</v>
      </c>
      <c r="D1067" t="s">
        <v>109</v>
      </c>
      <c r="E1067">
        <v>4</v>
      </c>
      <c r="F1067">
        <v>1004</v>
      </c>
      <c r="G1067" t="s">
        <v>110</v>
      </c>
      <c r="J1067" t="s">
        <v>111</v>
      </c>
      <c r="K1067">
        <v>0</v>
      </c>
      <c r="L1067">
        <v>3</v>
      </c>
      <c r="M1067">
        <v>0</v>
      </c>
      <c r="N1067">
        <v>2</v>
      </c>
      <c r="O1067">
        <v>1</v>
      </c>
      <c r="P1067">
        <v>0</v>
      </c>
      <c r="Q1067">
        <v>0</v>
      </c>
      <c r="R1067" t="s">
        <v>112</v>
      </c>
      <c r="S1067" t="str">
        <f>"14:08:08.219"</f>
        <v>14:08:08.219</v>
      </c>
      <c r="T1067" t="str">
        <f>"14:08:07.719"</f>
        <v>14:08:07.719</v>
      </c>
      <c r="U1067" t="str">
        <f t="shared" si="48"/>
        <v>ad5732</v>
      </c>
      <c r="V1067">
        <v>0</v>
      </c>
      <c r="W1067">
        <v>0</v>
      </c>
      <c r="X1067">
        <v>1</v>
      </c>
      <c r="Z1067">
        <v>0</v>
      </c>
      <c r="AA1067">
        <v>9</v>
      </c>
      <c r="AB1067">
        <v>3</v>
      </c>
      <c r="AC1067">
        <v>0</v>
      </c>
      <c r="AD1067">
        <v>10</v>
      </c>
      <c r="AE1067">
        <v>0</v>
      </c>
      <c r="AF1067">
        <v>3</v>
      </c>
      <c r="AG1067">
        <v>2</v>
      </c>
      <c r="AH1067">
        <v>0</v>
      </c>
      <c r="AI1067" t="s">
        <v>2231</v>
      </c>
      <c r="AJ1067">
        <v>39.460101000000002</v>
      </c>
      <c r="AK1067" t="s">
        <v>2232</v>
      </c>
      <c r="AL1067">
        <v>-76.811042</v>
      </c>
      <c r="AM1067">
        <v>100</v>
      </c>
      <c r="AN1067">
        <v>8700</v>
      </c>
      <c r="AO1067" t="s">
        <v>115</v>
      </c>
      <c r="AP1067">
        <v>169</v>
      </c>
      <c r="AQ1067">
        <v>85</v>
      </c>
      <c r="AR1067">
        <v>0</v>
      </c>
      <c r="AZ1067">
        <v>3614</v>
      </c>
      <c r="BA1067">
        <v>1</v>
      </c>
      <c r="BB1067" t="str">
        <f t="shared" si="50"/>
        <v xml:space="preserve">N959MJ  </v>
      </c>
      <c r="BC1067">
        <v>1</v>
      </c>
      <c r="BE1067">
        <v>0</v>
      </c>
      <c r="BF1067">
        <v>0</v>
      </c>
      <c r="BG1067">
        <v>0</v>
      </c>
      <c r="BH1067">
        <v>9025</v>
      </c>
      <c r="BI1067">
        <v>325</v>
      </c>
      <c r="BJ1067">
        <v>1</v>
      </c>
      <c r="BK1067">
        <v>1</v>
      </c>
      <c r="BL1067">
        <v>1</v>
      </c>
      <c r="BM1067">
        <v>0</v>
      </c>
      <c r="BP1067">
        <v>0</v>
      </c>
      <c r="BQ1067">
        <v>0</v>
      </c>
      <c r="BX1067" t="str">
        <f>"14:08:08.219"</f>
        <v>14:08:08.219</v>
      </c>
      <c r="BY1067" t="str">
        <f>"221563743"</f>
        <v>221563743</v>
      </c>
      <c r="CL1067">
        <v>0</v>
      </c>
      <c r="CM1067">
        <v>2</v>
      </c>
      <c r="CN1067">
        <v>0</v>
      </c>
      <c r="CO1067">
        <v>2</v>
      </c>
      <c r="CP1067">
        <v>0</v>
      </c>
      <c r="CQ1067">
        <v>6</v>
      </c>
      <c r="CR1067" t="s">
        <v>116</v>
      </c>
      <c r="CS1067">
        <v>525</v>
      </c>
      <c r="CT1067">
        <v>1</v>
      </c>
      <c r="CU1067" t="s">
        <v>140</v>
      </c>
      <c r="CV1067" t="s">
        <v>141</v>
      </c>
      <c r="CY1067">
        <v>8710018</v>
      </c>
      <c r="CZ1067" t="s">
        <v>119</v>
      </c>
    </row>
    <row r="1068" spans="1:104" x14ac:dyDescent="0.25">
      <c r="A1068" t="str">
        <f>"14:08:09.461"</f>
        <v>14:08:09.461</v>
      </c>
      <c r="B1068" t="s">
        <v>108</v>
      </c>
      <c r="C1068" t="str">
        <f t="shared" si="49"/>
        <v>ffdfd3c0</v>
      </c>
      <c r="D1068" t="s">
        <v>109</v>
      </c>
      <c r="E1068">
        <v>4</v>
      </c>
      <c r="F1068">
        <v>1004</v>
      </c>
      <c r="G1068" t="s">
        <v>110</v>
      </c>
      <c r="J1068" t="s">
        <v>111</v>
      </c>
      <c r="K1068">
        <v>0</v>
      </c>
      <c r="L1068">
        <v>3</v>
      </c>
      <c r="M1068">
        <v>0</v>
      </c>
      <c r="N1068">
        <v>2</v>
      </c>
      <c r="O1068">
        <v>1</v>
      </c>
      <c r="P1068">
        <v>0</v>
      </c>
      <c r="Q1068">
        <v>0</v>
      </c>
      <c r="R1068" t="s">
        <v>112</v>
      </c>
      <c r="S1068" t="str">
        <f>"14:08:09.289"</f>
        <v>14:08:09.289</v>
      </c>
      <c r="T1068" t="str">
        <f>"14:08:08.789"</f>
        <v>14:08:08.789</v>
      </c>
      <c r="U1068" t="str">
        <f t="shared" si="48"/>
        <v>ad5732</v>
      </c>
      <c r="V1068">
        <v>0</v>
      </c>
      <c r="W1068">
        <v>0</v>
      </c>
      <c r="X1068">
        <v>1</v>
      </c>
      <c r="Z1068">
        <v>0</v>
      </c>
      <c r="AA1068">
        <v>9</v>
      </c>
      <c r="AB1068">
        <v>3</v>
      </c>
      <c r="AC1068">
        <v>0</v>
      </c>
      <c r="AD1068">
        <v>10</v>
      </c>
      <c r="AE1068">
        <v>0</v>
      </c>
      <c r="AF1068">
        <v>3</v>
      </c>
      <c r="AG1068">
        <v>2</v>
      </c>
      <c r="AH1068">
        <v>0</v>
      </c>
      <c r="AI1068" t="s">
        <v>2233</v>
      </c>
      <c r="AJ1068">
        <v>39.460509000000002</v>
      </c>
      <c r="AK1068" t="s">
        <v>2234</v>
      </c>
      <c r="AL1068">
        <v>-76.809946999999994</v>
      </c>
      <c r="AM1068">
        <v>100</v>
      </c>
      <c r="AN1068">
        <v>8700</v>
      </c>
      <c r="AO1068" t="s">
        <v>115</v>
      </c>
      <c r="AP1068">
        <v>169</v>
      </c>
      <c r="AQ1068">
        <v>85</v>
      </c>
      <c r="AR1068">
        <v>0</v>
      </c>
      <c r="AZ1068">
        <v>3614</v>
      </c>
      <c r="BA1068">
        <v>1</v>
      </c>
      <c r="BB1068" t="str">
        <f t="shared" si="50"/>
        <v xml:space="preserve">N959MJ  </v>
      </c>
      <c r="BC1068">
        <v>1</v>
      </c>
      <c r="BE1068">
        <v>0</v>
      </c>
      <c r="BF1068">
        <v>0</v>
      </c>
      <c r="BG1068">
        <v>0</v>
      </c>
      <c r="BH1068">
        <v>9025</v>
      </c>
      <c r="BI1068">
        <v>325</v>
      </c>
      <c r="BJ1068">
        <v>1</v>
      </c>
      <c r="BK1068">
        <v>1</v>
      </c>
      <c r="BL1068">
        <v>1</v>
      </c>
      <c r="BM1068">
        <v>0</v>
      </c>
      <c r="BP1068">
        <v>0</v>
      </c>
      <c r="BQ1068">
        <v>0</v>
      </c>
      <c r="BX1068" t="str">
        <f>"14:08:09.297"</f>
        <v>14:08:09.297</v>
      </c>
      <c r="BY1068" t="str">
        <f>"296372183"</f>
        <v>296372183</v>
      </c>
      <c r="CL1068">
        <v>0</v>
      </c>
      <c r="CM1068">
        <v>2</v>
      </c>
      <c r="CN1068">
        <v>0</v>
      </c>
      <c r="CO1068">
        <v>2</v>
      </c>
      <c r="CP1068">
        <v>0</v>
      </c>
      <c r="CQ1068">
        <v>6</v>
      </c>
      <c r="CR1068" t="s">
        <v>116</v>
      </c>
      <c r="CS1068">
        <v>525</v>
      </c>
      <c r="CT1068">
        <v>1</v>
      </c>
      <c r="CU1068" t="s">
        <v>140</v>
      </c>
      <c r="CV1068" t="s">
        <v>141</v>
      </c>
      <c r="CY1068">
        <v>8711570</v>
      </c>
      <c r="CZ1068" t="s">
        <v>119</v>
      </c>
    </row>
    <row r="1069" spans="1:104" x14ac:dyDescent="0.25">
      <c r="A1069" t="str">
        <f>"14:08:10.617"</f>
        <v>14:08:10.617</v>
      </c>
      <c r="B1069" t="s">
        <v>108</v>
      </c>
      <c r="C1069" t="str">
        <f t="shared" si="49"/>
        <v>ffdfd3c0</v>
      </c>
      <c r="D1069" t="s">
        <v>109</v>
      </c>
      <c r="E1069">
        <v>4</v>
      </c>
      <c r="F1069">
        <v>1004</v>
      </c>
      <c r="G1069" t="s">
        <v>110</v>
      </c>
      <c r="J1069" t="s">
        <v>111</v>
      </c>
      <c r="K1069">
        <v>0</v>
      </c>
      <c r="L1069">
        <v>3</v>
      </c>
      <c r="M1069">
        <v>0</v>
      </c>
      <c r="N1069">
        <v>2</v>
      </c>
      <c r="O1069">
        <v>1</v>
      </c>
      <c r="P1069">
        <v>0</v>
      </c>
      <c r="Q1069">
        <v>0</v>
      </c>
      <c r="R1069" t="s">
        <v>112</v>
      </c>
      <c r="S1069" t="str">
        <f>"14:08:10.422"</f>
        <v>14:08:10.422</v>
      </c>
      <c r="T1069" t="str">
        <f>"14:08:09.922"</f>
        <v>14:08:09.922</v>
      </c>
      <c r="U1069" t="str">
        <f t="shared" si="48"/>
        <v>ad5732</v>
      </c>
      <c r="V1069">
        <v>0</v>
      </c>
      <c r="W1069">
        <v>0</v>
      </c>
      <c r="X1069">
        <v>1</v>
      </c>
      <c r="Z1069">
        <v>0</v>
      </c>
      <c r="AA1069">
        <v>9</v>
      </c>
      <c r="AB1069">
        <v>3</v>
      </c>
      <c r="AC1069">
        <v>0</v>
      </c>
      <c r="AD1069">
        <v>10</v>
      </c>
      <c r="AE1069">
        <v>0</v>
      </c>
      <c r="AF1069">
        <v>3</v>
      </c>
      <c r="AG1069">
        <v>2</v>
      </c>
      <c r="AH1069">
        <v>0</v>
      </c>
      <c r="AI1069" t="s">
        <v>2235</v>
      </c>
      <c r="AJ1069">
        <v>39.460937999999999</v>
      </c>
      <c r="AK1069" t="s">
        <v>2236</v>
      </c>
      <c r="AL1069">
        <v>-76.808831999999995</v>
      </c>
      <c r="AM1069">
        <v>100</v>
      </c>
      <c r="AN1069">
        <v>8700</v>
      </c>
      <c r="AO1069" t="s">
        <v>115</v>
      </c>
      <c r="AP1069">
        <v>169</v>
      </c>
      <c r="AQ1069">
        <v>85</v>
      </c>
      <c r="AR1069">
        <v>0</v>
      </c>
      <c r="AZ1069">
        <v>3614</v>
      </c>
      <c r="BA1069">
        <v>1</v>
      </c>
      <c r="BB1069" t="str">
        <f t="shared" si="50"/>
        <v xml:space="preserve">N959MJ  </v>
      </c>
      <c r="BC1069">
        <v>1</v>
      </c>
      <c r="BE1069">
        <v>0</v>
      </c>
      <c r="BF1069">
        <v>0</v>
      </c>
      <c r="BG1069">
        <v>0</v>
      </c>
      <c r="BH1069">
        <v>9025</v>
      </c>
      <c r="BI1069">
        <v>325</v>
      </c>
      <c r="BJ1069">
        <v>1</v>
      </c>
      <c r="BK1069">
        <v>1</v>
      </c>
      <c r="BL1069">
        <v>1</v>
      </c>
      <c r="BM1069">
        <v>0</v>
      </c>
      <c r="BP1069">
        <v>0</v>
      </c>
      <c r="BQ1069">
        <v>0</v>
      </c>
      <c r="BX1069" t="str">
        <f>"14:08:10.422"</f>
        <v>14:08:10.422</v>
      </c>
      <c r="BY1069" t="str">
        <f>"421971865"</f>
        <v>421971865</v>
      </c>
      <c r="CL1069">
        <v>0</v>
      </c>
      <c r="CM1069">
        <v>2</v>
      </c>
      <c r="CN1069">
        <v>0</v>
      </c>
      <c r="CO1069">
        <v>2</v>
      </c>
      <c r="CP1069">
        <v>0</v>
      </c>
      <c r="CQ1069">
        <v>6</v>
      </c>
      <c r="CR1069" t="s">
        <v>116</v>
      </c>
      <c r="CS1069">
        <v>525</v>
      </c>
      <c r="CT1069">
        <v>1</v>
      </c>
      <c r="CU1069" t="s">
        <v>140</v>
      </c>
      <c r="CV1069" t="s">
        <v>141</v>
      </c>
      <c r="CY1069">
        <v>8713291</v>
      </c>
      <c r="CZ1069" t="s">
        <v>119</v>
      </c>
    </row>
    <row r="1070" spans="1:104" x14ac:dyDescent="0.25">
      <c r="A1070" t="str">
        <f>"14:08:11.578"</f>
        <v>14:08:11.578</v>
      </c>
      <c r="B1070" t="s">
        <v>108</v>
      </c>
      <c r="C1070" t="str">
        <f t="shared" si="49"/>
        <v>ffdfd3c0</v>
      </c>
      <c r="D1070" t="s">
        <v>109</v>
      </c>
      <c r="E1070">
        <v>4</v>
      </c>
      <c r="F1070">
        <v>1004</v>
      </c>
      <c r="G1070" t="s">
        <v>110</v>
      </c>
      <c r="J1070" t="s">
        <v>111</v>
      </c>
      <c r="K1070">
        <v>0</v>
      </c>
      <c r="L1070">
        <v>3</v>
      </c>
      <c r="M1070">
        <v>0</v>
      </c>
      <c r="N1070">
        <v>2</v>
      </c>
      <c r="O1070">
        <v>1</v>
      </c>
      <c r="P1070">
        <v>0</v>
      </c>
      <c r="Q1070">
        <v>0</v>
      </c>
      <c r="R1070" t="s">
        <v>112</v>
      </c>
      <c r="S1070" t="str">
        <f>"14:08:11.383"</f>
        <v>14:08:11.383</v>
      </c>
      <c r="T1070" t="str">
        <f>"14:08:10.484"</f>
        <v>14:08:10.484</v>
      </c>
      <c r="U1070" t="str">
        <f t="shared" si="48"/>
        <v>ad5732</v>
      </c>
      <c r="V1070">
        <v>0</v>
      </c>
      <c r="W1070">
        <v>0</v>
      </c>
      <c r="X1070">
        <v>1</v>
      </c>
      <c r="Z1070">
        <v>0</v>
      </c>
      <c r="AA1070">
        <v>9</v>
      </c>
      <c r="AB1070">
        <v>3</v>
      </c>
      <c r="AC1070">
        <v>0</v>
      </c>
      <c r="AD1070">
        <v>10</v>
      </c>
      <c r="AE1070">
        <v>0</v>
      </c>
      <c r="AF1070">
        <v>3</v>
      </c>
      <c r="AG1070">
        <v>2</v>
      </c>
      <c r="AH1070">
        <v>0</v>
      </c>
      <c r="AI1070" t="s">
        <v>2237</v>
      </c>
      <c r="AJ1070">
        <v>39.461345999999999</v>
      </c>
      <c r="AK1070" t="s">
        <v>2238</v>
      </c>
      <c r="AL1070">
        <v>-76.807801999999995</v>
      </c>
      <c r="AM1070">
        <v>100</v>
      </c>
      <c r="AN1070">
        <v>8700</v>
      </c>
      <c r="AO1070" t="s">
        <v>115</v>
      </c>
      <c r="AP1070">
        <v>169</v>
      </c>
      <c r="AQ1070">
        <v>85</v>
      </c>
      <c r="AR1070">
        <v>0</v>
      </c>
      <c r="AZ1070">
        <v>3614</v>
      </c>
      <c r="BA1070">
        <v>1</v>
      </c>
      <c r="BB1070" t="str">
        <f t="shared" si="50"/>
        <v xml:space="preserve">N959MJ  </v>
      </c>
      <c r="BC1070">
        <v>1</v>
      </c>
      <c r="BE1070">
        <v>0</v>
      </c>
      <c r="BF1070">
        <v>0</v>
      </c>
      <c r="BG1070">
        <v>0</v>
      </c>
      <c r="BH1070">
        <v>9025</v>
      </c>
      <c r="BI1070">
        <v>325</v>
      </c>
      <c r="BJ1070">
        <v>1</v>
      </c>
      <c r="BK1070">
        <v>1</v>
      </c>
      <c r="BL1070">
        <v>1</v>
      </c>
      <c r="BM1070">
        <v>0</v>
      </c>
      <c r="BP1070">
        <v>0</v>
      </c>
      <c r="BQ1070">
        <v>0</v>
      </c>
      <c r="BX1070" t="str">
        <f>"14:08:11.391"</f>
        <v>14:08:11.391</v>
      </c>
      <c r="BY1070" t="str">
        <f>"390282524"</f>
        <v>390282524</v>
      </c>
      <c r="CL1070">
        <v>0</v>
      </c>
      <c r="CM1070">
        <v>2</v>
      </c>
      <c r="CN1070">
        <v>0</v>
      </c>
      <c r="CO1070">
        <v>2</v>
      </c>
      <c r="CP1070">
        <v>0</v>
      </c>
      <c r="CQ1070">
        <v>6</v>
      </c>
      <c r="CR1070" t="s">
        <v>116</v>
      </c>
      <c r="CS1070">
        <v>525</v>
      </c>
      <c r="CT1070">
        <v>1</v>
      </c>
      <c r="CU1070" t="s">
        <v>140</v>
      </c>
      <c r="CV1070" t="s">
        <v>141</v>
      </c>
      <c r="CY1070">
        <v>8714723</v>
      </c>
      <c r="CZ1070" t="s">
        <v>119</v>
      </c>
    </row>
    <row r="1071" spans="1:104" x14ac:dyDescent="0.25">
      <c r="A1071" t="str">
        <f>"14:08:12.586"</f>
        <v>14:08:12.586</v>
      </c>
      <c r="B1071" t="s">
        <v>108</v>
      </c>
      <c r="C1071" t="str">
        <f t="shared" si="49"/>
        <v>ffdfd3c0</v>
      </c>
      <c r="D1071" t="s">
        <v>109</v>
      </c>
      <c r="E1071">
        <v>4</v>
      </c>
      <c r="F1071">
        <v>1004</v>
      </c>
      <c r="G1071" t="s">
        <v>110</v>
      </c>
      <c r="J1071" t="s">
        <v>111</v>
      </c>
      <c r="K1071">
        <v>0</v>
      </c>
      <c r="L1071">
        <v>3</v>
      </c>
      <c r="M1071">
        <v>0</v>
      </c>
      <c r="N1071">
        <v>2</v>
      </c>
      <c r="O1071">
        <v>1</v>
      </c>
      <c r="P1071">
        <v>0</v>
      </c>
      <c r="Q1071">
        <v>0</v>
      </c>
      <c r="R1071" t="s">
        <v>112</v>
      </c>
      <c r="S1071" t="str">
        <f>"14:08:12.375"</f>
        <v>14:08:12.375</v>
      </c>
      <c r="T1071" t="str">
        <f>"14:08:11.977"</f>
        <v>14:08:11.977</v>
      </c>
      <c r="U1071" t="str">
        <f t="shared" si="48"/>
        <v>ad5732</v>
      </c>
      <c r="V1071">
        <v>0</v>
      </c>
      <c r="W1071">
        <v>0</v>
      </c>
      <c r="X1071">
        <v>1</v>
      </c>
      <c r="Z1071">
        <v>0</v>
      </c>
      <c r="AA1071">
        <v>9</v>
      </c>
      <c r="AB1071">
        <v>3</v>
      </c>
      <c r="AC1071">
        <v>0</v>
      </c>
      <c r="AD1071">
        <v>10</v>
      </c>
      <c r="AE1071">
        <v>0</v>
      </c>
      <c r="AF1071">
        <v>3</v>
      </c>
      <c r="AG1071">
        <v>2</v>
      </c>
      <c r="AH1071">
        <v>0</v>
      </c>
      <c r="AI1071" t="s">
        <v>2239</v>
      </c>
      <c r="AJ1071">
        <v>39.461709999999997</v>
      </c>
      <c r="AK1071" t="s">
        <v>2240</v>
      </c>
      <c r="AL1071">
        <v>-76.806922</v>
      </c>
      <c r="AM1071">
        <v>100</v>
      </c>
      <c r="AN1071">
        <v>8700</v>
      </c>
      <c r="AO1071" t="s">
        <v>115</v>
      </c>
      <c r="AP1071">
        <v>169</v>
      </c>
      <c r="AQ1071">
        <v>84</v>
      </c>
      <c r="AR1071">
        <v>0</v>
      </c>
      <c r="AZ1071">
        <v>3614</v>
      </c>
      <c r="BA1071">
        <v>1</v>
      </c>
      <c r="BB1071" t="str">
        <f t="shared" si="50"/>
        <v xml:space="preserve">N959MJ  </v>
      </c>
      <c r="BC1071">
        <v>1</v>
      </c>
      <c r="BE1071">
        <v>0</v>
      </c>
      <c r="BF1071">
        <v>0</v>
      </c>
      <c r="BG1071">
        <v>0</v>
      </c>
      <c r="BH1071">
        <v>9025</v>
      </c>
      <c r="BI1071">
        <v>325</v>
      </c>
      <c r="BJ1071">
        <v>1</v>
      </c>
      <c r="BK1071">
        <v>1</v>
      </c>
      <c r="BL1071">
        <v>1</v>
      </c>
      <c r="BM1071">
        <v>0</v>
      </c>
      <c r="BP1071">
        <v>0</v>
      </c>
      <c r="BQ1071">
        <v>0</v>
      </c>
      <c r="BX1071" t="str">
        <f>"14:08:12.375"</f>
        <v>14:08:12.375</v>
      </c>
      <c r="BY1071" t="str">
        <f>"375003577"</f>
        <v>375003577</v>
      </c>
      <c r="CL1071">
        <v>0</v>
      </c>
      <c r="CM1071">
        <v>2</v>
      </c>
      <c r="CN1071">
        <v>0</v>
      </c>
      <c r="CO1071">
        <v>2</v>
      </c>
      <c r="CP1071">
        <v>0</v>
      </c>
      <c r="CQ1071">
        <v>6</v>
      </c>
      <c r="CR1071" t="s">
        <v>116</v>
      </c>
      <c r="CS1071">
        <v>396</v>
      </c>
      <c r="CT1071">
        <v>2</v>
      </c>
      <c r="CU1071" t="s">
        <v>939</v>
      </c>
      <c r="CV1071" t="s">
        <v>940</v>
      </c>
      <c r="CY1071">
        <v>4617696</v>
      </c>
      <c r="CZ1071" t="s">
        <v>119</v>
      </c>
    </row>
    <row r="1072" spans="1:104" x14ac:dyDescent="0.25">
      <c r="A1072" t="str">
        <f>"14:08:13.594"</f>
        <v>14:08:13.594</v>
      </c>
      <c r="B1072" t="s">
        <v>108</v>
      </c>
      <c r="C1072" t="str">
        <f t="shared" si="49"/>
        <v>ffdfd3c0</v>
      </c>
      <c r="D1072" t="s">
        <v>109</v>
      </c>
      <c r="E1072">
        <v>4</v>
      </c>
      <c r="F1072">
        <v>1004</v>
      </c>
      <c r="G1072" t="s">
        <v>110</v>
      </c>
      <c r="J1072" t="s">
        <v>111</v>
      </c>
      <c r="K1072">
        <v>0</v>
      </c>
      <c r="L1072">
        <v>3</v>
      </c>
      <c r="M1072">
        <v>0</v>
      </c>
      <c r="N1072">
        <v>2</v>
      </c>
      <c r="O1072">
        <v>1</v>
      </c>
      <c r="P1072">
        <v>0</v>
      </c>
      <c r="Q1072">
        <v>0</v>
      </c>
      <c r="R1072" t="s">
        <v>112</v>
      </c>
      <c r="S1072" t="str">
        <f>"14:08:13.422"</f>
        <v>14:08:13.422</v>
      </c>
      <c r="T1072" t="str">
        <f>"14:08:12.922"</f>
        <v>14:08:12.922</v>
      </c>
      <c r="U1072" t="str">
        <f t="shared" si="48"/>
        <v>ad5732</v>
      </c>
      <c r="V1072">
        <v>0</v>
      </c>
      <c r="W1072">
        <v>0</v>
      </c>
      <c r="X1072">
        <v>1</v>
      </c>
      <c r="Z1072">
        <v>0</v>
      </c>
      <c r="AA1072">
        <v>9</v>
      </c>
      <c r="AB1072">
        <v>3</v>
      </c>
      <c r="AC1072">
        <v>0</v>
      </c>
      <c r="AD1072">
        <v>10</v>
      </c>
      <c r="AE1072">
        <v>0</v>
      </c>
      <c r="AF1072">
        <v>3</v>
      </c>
      <c r="AG1072">
        <v>2</v>
      </c>
      <c r="AH1072">
        <v>0</v>
      </c>
      <c r="AI1072" t="s">
        <v>2241</v>
      </c>
      <c r="AJ1072">
        <v>39.462097</v>
      </c>
      <c r="AK1072" t="s">
        <v>2242</v>
      </c>
      <c r="AL1072">
        <v>-76.805785</v>
      </c>
      <c r="AM1072">
        <v>100</v>
      </c>
      <c r="AN1072">
        <v>8700</v>
      </c>
      <c r="AO1072" t="s">
        <v>115</v>
      </c>
      <c r="AP1072">
        <v>169</v>
      </c>
      <c r="AQ1072">
        <v>84</v>
      </c>
      <c r="AR1072">
        <v>0</v>
      </c>
      <c r="AZ1072">
        <v>3614</v>
      </c>
      <c r="BA1072">
        <v>1</v>
      </c>
      <c r="BB1072" t="str">
        <f t="shared" si="50"/>
        <v xml:space="preserve">N959MJ  </v>
      </c>
      <c r="BC1072">
        <v>1</v>
      </c>
      <c r="BE1072">
        <v>0</v>
      </c>
      <c r="BF1072">
        <v>0</v>
      </c>
      <c r="BG1072">
        <v>0</v>
      </c>
      <c r="BH1072">
        <v>9025</v>
      </c>
      <c r="BI1072">
        <v>325</v>
      </c>
      <c r="BJ1072">
        <v>1</v>
      </c>
      <c r="BK1072">
        <v>1</v>
      </c>
      <c r="BL1072">
        <v>1</v>
      </c>
      <c r="BM1072">
        <v>0</v>
      </c>
      <c r="BP1072">
        <v>0</v>
      </c>
      <c r="BQ1072">
        <v>0</v>
      </c>
      <c r="BX1072" t="str">
        <f>"14:08:13.430"</f>
        <v>14:08:13.430</v>
      </c>
      <c r="BY1072" t="str">
        <f>"426847911"</f>
        <v>426847911</v>
      </c>
      <c r="CL1072">
        <v>0</v>
      </c>
      <c r="CM1072">
        <v>2</v>
      </c>
      <c r="CN1072">
        <v>0</v>
      </c>
      <c r="CO1072">
        <v>2</v>
      </c>
      <c r="CP1072">
        <v>0</v>
      </c>
      <c r="CQ1072">
        <v>6</v>
      </c>
      <c r="CR1072" t="s">
        <v>116</v>
      </c>
      <c r="CS1072">
        <v>525</v>
      </c>
      <c r="CT1072">
        <v>1</v>
      </c>
      <c r="CU1072" t="s">
        <v>140</v>
      </c>
      <c r="CV1072" t="s">
        <v>141</v>
      </c>
      <c r="CY1072">
        <v>8717743</v>
      </c>
      <c r="CZ1072" t="s">
        <v>119</v>
      </c>
    </row>
    <row r="1073" spans="1:104" x14ac:dyDescent="0.25">
      <c r="A1073" t="str">
        <f>"14:08:14.656"</f>
        <v>14:08:14.656</v>
      </c>
      <c r="B1073" t="s">
        <v>108</v>
      </c>
      <c r="C1073" t="str">
        <f t="shared" si="49"/>
        <v>ffdfd3c0</v>
      </c>
      <c r="D1073" t="s">
        <v>109</v>
      </c>
      <c r="E1073">
        <v>4</v>
      </c>
      <c r="F1073">
        <v>1004</v>
      </c>
      <c r="G1073" t="s">
        <v>110</v>
      </c>
      <c r="J1073" t="s">
        <v>111</v>
      </c>
      <c r="K1073">
        <v>0</v>
      </c>
      <c r="L1073">
        <v>3</v>
      </c>
      <c r="M1073">
        <v>0</v>
      </c>
      <c r="N1073">
        <v>2</v>
      </c>
      <c r="O1073">
        <v>1</v>
      </c>
      <c r="P1073">
        <v>0</v>
      </c>
      <c r="Q1073">
        <v>0</v>
      </c>
      <c r="R1073" t="s">
        <v>112</v>
      </c>
      <c r="S1073" t="str">
        <f>"14:08:14.461"</f>
        <v>14:08:14.461</v>
      </c>
      <c r="T1073" t="str">
        <f>"14:08:13.961"</f>
        <v>14:08:13.961</v>
      </c>
      <c r="U1073" t="str">
        <f t="shared" si="48"/>
        <v>ad5732</v>
      </c>
      <c r="V1073">
        <v>0</v>
      </c>
      <c r="W1073">
        <v>0</v>
      </c>
      <c r="X1073">
        <v>1</v>
      </c>
      <c r="Z1073">
        <v>0</v>
      </c>
      <c r="AA1073">
        <v>9</v>
      </c>
      <c r="AB1073">
        <v>3</v>
      </c>
      <c r="AC1073">
        <v>0</v>
      </c>
      <c r="AD1073">
        <v>10</v>
      </c>
      <c r="AE1073">
        <v>0</v>
      </c>
      <c r="AF1073">
        <v>3</v>
      </c>
      <c r="AG1073">
        <v>2</v>
      </c>
      <c r="AH1073">
        <v>0</v>
      </c>
      <c r="AI1073" t="s">
        <v>2243</v>
      </c>
      <c r="AJ1073">
        <v>39.462525999999997</v>
      </c>
      <c r="AK1073" t="s">
        <v>2244</v>
      </c>
      <c r="AL1073">
        <v>-76.804818999999995</v>
      </c>
      <c r="AM1073">
        <v>100</v>
      </c>
      <c r="AN1073">
        <v>8700</v>
      </c>
      <c r="AO1073" t="s">
        <v>115</v>
      </c>
      <c r="AP1073">
        <v>169</v>
      </c>
      <c r="AQ1073">
        <v>84</v>
      </c>
      <c r="AR1073">
        <v>0</v>
      </c>
      <c r="AZ1073">
        <v>3614</v>
      </c>
      <c r="BA1073">
        <v>1</v>
      </c>
      <c r="BB1073" t="str">
        <f t="shared" si="50"/>
        <v xml:space="preserve">N959MJ  </v>
      </c>
      <c r="BC1073">
        <v>1</v>
      </c>
      <c r="BE1073">
        <v>0</v>
      </c>
      <c r="BF1073">
        <v>0</v>
      </c>
      <c r="BG1073">
        <v>0</v>
      </c>
      <c r="BH1073">
        <v>9025</v>
      </c>
      <c r="BI1073">
        <v>325</v>
      </c>
      <c r="BJ1073">
        <v>1</v>
      </c>
      <c r="BK1073">
        <v>1</v>
      </c>
      <c r="BL1073">
        <v>1</v>
      </c>
      <c r="BM1073">
        <v>0</v>
      </c>
      <c r="BP1073">
        <v>0</v>
      </c>
      <c r="BQ1073">
        <v>0</v>
      </c>
      <c r="BX1073" t="str">
        <f>"14:08:14.461"</f>
        <v>14:08:14.461</v>
      </c>
      <c r="BY1073" t="str">
        <f>"463972570"</f>
        <v>463972570</v>
      </c>
      <c r="CL1073">
        <v>0</v>
      </c>
      <c r="CM1073">
        <v>2</v>
      </c>
      <c r="CN1073">
        <v>0</v>
      </c>
      <c r="CO1073">
        <v>2</v>
      </c>
      <c r="CP1073">
        <v>0</v>
      </c>
      <c r="CQ1073">
        <v>6</v>
      </c>
      <c r="CR1073" t="s">
        <v>116</v>
      </c>
      <c r="CS1073">
        <v>525</v>
      </c>
      <c r="CT1073">
        <v>1</v>
      </c>
      <c r="CU1073" t="s">
        <v>140</v>
      </c>
      <c r="CV1073" t="s">
        <v>141</v>
      </c>
      <c r="CY1073">
        <v>8719336</v>
      </c>
      <c r="CZ1073" t="s">
        <v>119</v>
      </c>
    </row>
    <row r="1074" spans="1:104" x14ac:dyDescent="0.25">
      <c r="A1074" t="str">
        <f>"14:08:15.617"</f>
        <v>14:08:15.617</v>
      </c>
      <c r="B1074" t="s">
        <v>108</v>
      </c>
      <c r="C1074" t="str">
        <f t="shared" si="49"/>
        <v>ffdfd3c0</v>
      </c>
      <c r="D1074" t="s">
        <v>109</v>
      </c>
      <c r="E1074">
        <v>4</v>
      </c>
      <c r="F1074">
        <v>1004</v>
      </c>
      <c r="G1074" t="s">
        <v>110</v>
      </c>
      <c r="J1074" t="s">
        <v>111</v>
      </c>
      <c r="K1074">
        <v>0</v>
      </c>
      <c r="L1074">
        <v>3</v>
      </c>
      <c r="M1074">
        <v>0</v>
      </c>
      <c r="N1074">
        <v>2</v>
      </c>
      <c r="O1074">
        <v>1</v>
      </c>
      <c r="P1074">
        <v>0</v>
      </c>
      <c r="Q1074">
        <v>0</v>
      </c>
      <c r="R1074" t="s">
        <v>112</v>
      </c>
      <c r="S1074" t="str">
        <f>"14:08:15.453"</f>
        <v>14:08:15.453</v>
      </c>
      <c r="T1074" t="str">
        <f>"14:08:14.953"</f>
        <v>14:08:14.953</v>
      </c>
      <c r="U1074" t="str">
        <f t="shared" si="48"/>
        <v>ad5732</v>
      </c>
      <c r="V1074">
        <v>0</v>
      </c>
      <c r="W1074">
        <v>0</v>
      </c>
      <c r="X1074">
        <v>1</v>
      </c>
      <c r="Z1074">
        <v>0</v>
      </c>
      <c r="AA1074">
        <v>9</v>
      </c>
      <c r="AB1074">
        <v>3</v>
      </c>
      <c r="AC1074">
        <v>0</v>
      </c>
      <c r="AD1074">
        <v>10</v>
      </c>
      <c r="AE1074">
        <v>0</v>
      </c>
      <c r="AF1074">
        <v>3</v>
      </c>
      <c r="AG1074">
        <v>2</v>
      </c>
      <c r="AH1074">
        <v>0</v>
      </c>
      <c r="AI1074" t="s">
        <v>2245</v>
      </c>
      <c r="AJ1074">
        <v>39.462890999999999</v>
      </c>
      <c r="AK1074" t="s">
        <v>2246</v>
      </c>
      <c r="AL1074">
        <v>-76.803768000000005</v>
      </c>
      <c r="AM1074">
        <v>100</v>
      </c>
      <c r="AN1074">
        <v>8700</v>
      </c>
      <c r="AO1074" t="s">
        <v>115</v>
      </c>
      <c r="AP1074">
        <v>169</v>
      </c>
      <c r="AQ1074">
        <v>84</v>
      </c>
      <c r="AR1074">
        <v>0</v>
      </c>
      <c r="AZ1074">
        <v>3614</v>
      </c>
      <c r="BA1074">
        <v>1</v>
      </c>
      <c r="BB1074" t="str">
        <f t="shared" si="50"/>
        <v xml:space="preserve">N959MJ  </v>
      </c>
      <c r="BC1074">
        <v>1</v>
      </c>
      <c r="BE1074">
        <v>0</v>
      </c>
      <c r="BF1074">
        <v>0</v>
      </c>
      <c r="BG1074">
        <v>0</v>
      </c>
      <c r="BH1074">
        <v>9025</v>
      </c>
      <c r="BI1074">
        <v>325</v>
      </c>
      <c r="BJ1074">
        <v>1</v>
      </c>
      <c r="BK1074">
        <v>1</v>
      </c>
      <c r="BL1074">
        <v>1</v>
      </c>
      <c r="BM1074">
        <v>0</v>
      </c>
      <c r="BP1074">
        <v>0</v>
      </c>
      <c r="BQ1074">
        <v>0</v>
      </c>
      <c r="BX1074" t="str">
        <f>"14:08:15.453"</f>
        <v>14:08:15.453</v>
      </c>
      <c r="BY1074" t="str">
        <f>"456863087"</f>
        <v>456863087</v>
      </c>
      <c r="CL1074">
        <v>0</v>
      </c>
      <c r="CM1074">
        <v>2</v>
      </c>
      <c r="CN1074">
        <v>0</v>
      </c>
      <c r="CO1074">
        <v>2</v>
      </c>
      <c r="CP1074">
        <v>0</v>
      </c>
      <c r="CQ1074">
        <v>6</v>
      </c>
      <c r="CR1074" t="s">
        <v>116</v>
      </c>
      <c r="CS1074">
        <v>147</v>
      </c>
      <c r="CT1074">
        <v>0</v>
      </c>
      <c r="CU1074" t="s">
        <v>117</v>
      </c>
      <c r="CV1074" t="s">
        <v>118</v>
      </c>
      <c r="CY1074">
        <v>5642535</v>
      </c>
      <c r="CZ1074" t="s">
        <v>119</v>
      </c>
    </row>
    <row r="1075" spans="1:104" x14ac:dyDescent="0.25">
      <c r="A1075" t="str">
        <f>"14:08:16.578"</f>
        <v>14:08:16.578</v>
      </c>
      <c r="B1075" t="s">
        <v>108</v>
      </c>
      <c r="C1075" t="str">
        <f t="shared" si="49"/>
        <v>ffdfd3c0</v>
      </c>
      <c r="D1075" t="s">
        <v>109</v>
      </c>
      <c r="E1075">
        <v>4</v>
      </c>
      <c r="F1075">
        <v>1004</v>
      </c>
      <c r="G1075" t="s">
        <v>110</v>
      </c>
      <c r="J1075" t="s">
        <v>111</v>
      </c>
      <c r="K1075">
        <v>0</v>
      </c>
      <c r="L1075">
        <v>3</v>
      </c>
      <c r="M1075">
        <v>0</v>
      </c>
      <c r="N1075">
        <v>2</v>
      </c>
      <c r="O1075">
        <v>1</v>
      </c>
      <c r="P1075">
        <v>0</v>
      </c>
      <c r="Q1075">
        <v>0</v>
      </c>
      <c r="R1075" t="s">
        <v>112</v>
      </c>
      <c r="S1075" t="str">
        <f>"14:08:16.406"</f>
        <v>14:08:16.406</v>
      </c>
      <c r="T1075" t="str">
        <f>"14:08:16.008"</f>
        <v>14:08:16.008</v>
      </c>
      <c r="U1075" t="str">
        <f t="shared" si="48"/>
        <v>ad5732</v>
      </c>
      <c r="V1075">
        <v>0</v>
      </c>
      <c r="W1075">
        <v>0</v>
      </c>
      <c r="X1075">
        <v>1</v>
      </c>
      <c r="Z1075">
        <v>0</v>
      </c>
      <c r="AA1075">
        <v>9</v>
      </c>
      <c r="AB1075">
        <v>3</v>
      </c>
      <c r="AC1075">
        <v>0</v>
      </c>
      <c r="AD1075">
        <v>10</v>
      </c>
      <c r="AE1075">
        <v>0</v>
      </c>
      <c r="AF1075">
        <v>3</v>
      </c>
      <c r="AG1075">
        <v>2</v>
      </c>
      <c r="AH1075">
        <v>0</v>
      </c>
      <c r="AI1075" t="s">
        <v>2247</v>
      </c>
      <c r="AJ1075">
        <v>39.463320000000003</v>
      </c>
      <c r="AK1075" t="s">
        <v>2248</v>
      </c>
      <c r="AL1075">
        <v>-76.802738000000005</v>
      </c>
      <c r="AM1075">
        <v>100</v>
      </c>
      <c r="AN1075">
        <v>8700</v>
      </c>
      <c r="AO1075" t="s">
        <v>115</v>
      </c>
      <c r="AP1075">
        <v>169</v>
      </c>
      <c r="AQ1075">
        <v>85</v>
      </c>
      <c r="AR1075">
        <v>-64</v>
      </c>
      <c r="AZ1075">
        <v>3614</v>
      </c>
      <c r="BA1075">
        <v>1</v>
      </c>
      <c r="BB1075" t="str">
        <f t="shared" si="50"/>
        <v xml:space="preserve">N959MJ  </v>
      </c>
      <c r="BC1075">
        <v>1</v>
      </c>
      <c r="BE1075">
        <v>0</v>
      </c>
      <c r="BF1075">
        <v>0</v>
      </c>
      <c r="BG1075">
        <v>0</v>
      </c>
      <c r="BH1075">
        <v>9025</v>
      </c>
      <c r="BI1075">
        <v>325</v>
      </c>
      <c r="BJ1075">
        <v>1</v>
      </c>
      <c r="BK1075">
        <v>1</v>
      </c>
      <c r="BL1075">
        <v>1</v>
      </c>
      <c r="BM1075">
        <v>0</v>
      </c>
      <c r="BP1075">
        <v>0</v>
      </c>
      <c r="BQ1075">
        <v>0</v>
      </c>
      <c r="BX1075" t="str">
        <f>"14:08:16.414"</f>
        <v>14:08:16.414</v>
      </c>
      <c r="BY1075" t="str">
        <f>"412062830"</f>
        <v>412062830</v>
      </c>
      <c r="CL1075">
        <v>0</v>
      </c>
      <c r="CM1075">
        <v>2</v>
      </c>
      <c r="CN1075">
        <v>0</v>
      </c>
      <c r="CO1075">
        <v>2</v>
      </c>
      <c r="CP1075">
        <v>0</v>
      </c>
      <c r="CQ1075">
        <v>6</v>
      </c>
      <c r="CR1075" t="s">
        <v>116</v>
      </c>
      <c r="CS1075">
        <v>525</v>
      </c>
      <c r="CT1075">
        <v>1</v>
      </c>
      <c r="CU1075" t="s">
        <v>140</v>
      </c>
      <c r="CV1075" t="s">
        <v>141</v>
      </c>
      <c r="CY1075">
        <v>8722300</v>
      </c>
      <c r="CZ1075" t="s">
        <v>119</v>
      </c>
    </row>
    <row r="1076" spans="1:104" x14ac:dyDescent="0.25">
      <c r="A1076" t="str">
        <f>"14:08:17.734"</f>
        <v>14:08:17.734</v>
      </c>
      <c r="B1076" t="s">
        <v>108</v>
      </c>
      <c r="C1076" t="str">
        <f t="shared" si="49"/>
        <v>ffdfd3c0</v>
      </c>
      <c r="D1076" t="s">
        <v>109</v>
      </c>
      <c r="E1076">
        <v>4</v>
      </c>
      <c r="F1076">
        <v>1004</v>
      </c>
      <c r="G1076" t="s">
        <v>110</v>
      </c>
      <c r="J1076" t="s">
        <v>111</v>
      </c>
      <c r="K1076">
        <v>0</v>
      </c>
      <c r="L1076">
        <v>3</v>
      </c>
      <c r="M1076">
        <v>0</v>
      </c>
      <c r="N1076">
        <v>2</v>
      </c>
      <c r="O1076">
        <v>1</v>
      </c>
      <c r="P1076">
        <v>0</v>
      </c>
      <c r="Q1076">
        <v>0</v>
      </c>
      <c r="R1076" t="s">
        <v>112</v>
      </c>
      <c r="S1076" t="str">
        <f>"14:08:17.531"</f>
        <v>14:08:17.531</v>
      </c>
      <c r="T1076" t="str">
        <f>"14:08:17.031"</f>
        <v>14:08:17.031</v>
      </c>
      <c r="U1076" t="str">
        <f t="shared" si="48"/>
        <v>ad5732</v>
      </c>
      <c r="V1076">
        <v>0</v>
      </c>
      <c r="W1076">
        <v>0</v>
      </c>
      <c r="X1076">
        <v>1</v>
      </c>
      <c r="Z1076">
        <v>0</v>
      </c>
      <c r="AA1076">
        <v>9</v>
      </c>
      <c r="AB1076">
        <v>3</v>
      </c>
      <c r="AC1076">
        <v>0</v>
      </c>
      <c r="AD1076">
        <v>10</v>
      </c>
      <c r="AE1076">
        <v>0</v>
      </c>
      <c r="AF1076">
        <v>3</v>
      </c>
      <c r="AG1076">
        <v>2</v>
      </c>
      <c r="AH1076">
        <v>0</v>
      </c>
      <c r="AI1076" t="s">
        <v>2249</v>
      </c>
      <c r="AJ1076">
        <v>39.463706000000002</v>
      </c>
      <c r="AK1076" t="s">
        <v>2250</v>
      </c>
      <c r="AL1076">
        <v>-76.801665</v>
      </c>
      <c r="AM1076">
        <v>100</v>
      </c>
      <c r="AN1076">
        <v>8700</v>
      </c>
      <c r="AO1076" t="s">
        <v>115</v>
      </c>
      <c r="AP1076">
        <v>169</v>
      </c>
      <c r="AQ1076">
        <v>85</v>
      </c>
      <c r="AR1076">
        <v>-64</v>
      </c>
      <c r="AZ1076">
        <v>3614</v>
      </c>
      <c r="BA1076">
        <v>1</v>
      </c>
      <c r="BB1076" t="str">
        <f t="shared" si="50"/>
        <v xml:space="preserve">N959MJ  </v>
      </c>
      <c r="BC1076">
        <v>1</v>
      </c>
      <c r="BE1076">
        <v>0</v>
      </c>
      <c r="BF1076">
        <v>0</v>
      </c>
      <c r="BG1076">
        <v>0</v>
      </c>
      <c r="BH1076">
        <v>9025</v>
      </c>
      <c r="BI1076">
        <v>325</v>
      </c>
      <c r="BJ1076">
        <v>1</v>
      </c>
      <c r="BK1076">
        <v>1</v>
      </c>
      <c r="BL1076">
        <v>1</v>
      </c>
      <c r="BM1076">
        <v>0</v>
      </c>
      <c r="BP1076">
        <v>0</v>
      </c>
      <c r="BQ1076">
        <v>0</v>
      </c>
      <c r="BX1076" t="str">
        <f>"14:08:17.531"</f>
        <v>14:08:17.531</v>
      </c>
      <c r="BY1076" t="str">
        <f>"534409066"</f>
        <v>534409066</v>
      </c>
      <c r="CL1076">
        <v>0</v>
      </c>
      <c r="CM1076">
        <v>2</v>
      </c>
      <c r="CN1076">
        <v>0</v>
      </c>
      <c r="CO1076">
        <v>2</v>
      </c>
      <c r="CP1076">
        <v>0</v>
      </c>
      <c r="CQ1076">
        <v>6</v>
      </c>
      <c r="CR1076" t="s">
        <v>116</v>
      </c>
      <c r="CS1076">
        <v>396</v>
      </c>
      <c r="CT1076">
        <v>2</v>
      </c>
      <c r="CU1076" t="s">
        <v>939</v>
      </c>
      <c r="CV1076" t="s">
        <v>940</v>
      </c>
      <c r="CY1076">
        <v>4627060</v>
      </c>
      <c r="CZ1076" t="s">
        <v>119</v>
      </c>
    </row>
    <row r="1077" spans="1:104" x14ac:dyDescent="0.25">
      <c r="A1077" t="str">
        <f>"14:08:18.695"</f>
        <v>14:08:18.695</v>
      </c>
      <c r="B1077" t="s">
        <v>108</v>
      </c>
      <c r="C1077" t="str">
        <f t="shared" si="49"/>
        <v>ffdfd3c0</v>
      </c>
      <c r="D1077" t="s">
        <v>109</v>
      </c>
      <c r="E1077">
        <v>4</v>
      </c>
      <c r="F1077">
        <v>1004</v>
      </c>
      <c r="G1077" t="s">
        <v>110</v>
      </c>
      <c r="J1077" t="s">
        <v>111</v>
      </c>
      <c r="K1077">
        <v>0</v>
      </c>
      <c r="L1077">
        <v>3</v>
      </c>
      <c r="M1077">
        <v>0</v>
      </c>
      <c r="N1077">
        <v>2</v>
      </c>
      <c r="O1077">
        <v>1</v>
      </c>
      <c r="P1077">
        <v>0</v>
      </c>
      <c r="Q1077">
        <v>0</v>
      </c>
      <c r="R1077" t="s">
        <v>112</v>
      </c>
      <c r="S1077" t="str">
        <f>"14:08:18.500"</f>
        <v>14:08:18.500</v>
      </c>
      <c r="T1077" t="str">
        <f>"14:08:18.000"</f>
        <v>14:08:18.000</v>
      </c>
      <c r="U1077" t="str">
        <f t="shared" si="48"/>
        <v>ad5732</v>
      </c>
      <c r="V1077">
        <v>0</v>
      </c>
      <c r="W1077">
        <v>0</v>
      </c>
      <c r="X1077">
        <v>1</v>
      </c>
      <c r="Z1077">
        <v>0</v>
      </c>
      <c r="AA1077">
        <v>9</v>
      </c>
      <c r="AB1077">
        <v>3</v>
      </c>
      <c r="AC1077">
        <v>0</v>
      </c>
      <c r="AD1077">
        <v>10</v>
      </c>
      <c r="AE1077">
        <v>0</v>
      </c>
      <c r="AF1077">
        <v>3</v>
      </c>
      <c r="AG1077">
        <v>2</v>
      </c>
      <c r="AH1077">
        <v>0</v>
      </c>
      <c r="AI1077" t="s">
        <v>2251</v>
      </c>
      <c r="AJ1077">
        <v>39.464134999999999</v>
      </c>
      <c r="AK1077" t="s">
        <v>2252</v>
      </c>
      <c r="AL1077">
        <v>-76.800635</v>
      </c>
      <c r="AM1077">
        <v>100</v>
      </c>
      <c r="AN1077">
        <v>8700</v>
      </c>
      <c r="AO1077" t="s">
        <v>115</v>
      </c>
      <c r="AP1077">
        <v>169</v>
      </c>
      <c r="AQ1077">
        <v>85</v>
      </c>
      <c r="AR1077">
        <v>0</v>
      </c>
      <c r="AZ1077">
        <v>3614</v>
      </c>
      <c r="BA1077">
        <v>1</v>
      </c>
      <c r="BB1077" t="str">
        <f t="shared" si="50"/>
        <v xml:space="preserve">N959MJ  </v>
      </c>
      <c r="BC1077">
        <v>1</v>
      </c>
      <c r="BE1077">
        <v>0</v>
      </c>
      <c r="BF1077">
        <v>0</v>
      </c>
      <c r="BG1077">
        <v>0</v>
      </c>
      <c r="BH1077">
        <v>9025</v>
      </c>
      <c r="BI1077">
        <v>325</v>
      </c>
      <c r="BJ1077">
        <v>1</v>
      </c>
      <c r="BK1077">
        <v>1</v>
      </c>
      <c r="BL1077">
        <v>1</v>
      </c>
      <c r="BM1077">
        <v>0</v>
      </c>
      <c r="BP1077">
        <v>0</v>
      </c>
      <c r="BQ1077">
        <v>0</v>
      </c>
      <c r="BX1077" t="str">
        <f>"14:08:18.500"</f>
        <v>14:08:18.500</v>
      </c>
      <c r="BY1077" t="str">
        <f>"501121721"</f>
        <v>501121721</v>
      </c>
      <c r="CL1077">
        <v>0</v>
      </c>
      <c r="CM1077">
        <v>2</v>
      </c>
      <c r="CN1077">
        <v>0</v>
      </c>
      <c r="CO1077">
        <v>2</v>
      </c>
      <c r="CP1077">
        <v>0</v>
      </c>
      <c r="CQ1077">
        <v>6</v>
      </c>
      <c r="CR1077" t="s">
        <v>116</v>
      </c>
      <c r="CS1077">
        <v>372</v>
      </c>
      <c r="CT1077">
        <v>3</v>
      </c>
      <c r="CU1077" t="s">
        <v>877</v>
      </c>
      <c r="CV1077" t="s">
        <v>878</v>
      </c>
      <c r="CY1077">
        <v>11275518</v>
      </c>
      <c r="CZ1077" t="s">
        <v>119</v>
      </c>
    </row>
    <row r="1078" spans="1:104" x14ac:dyDescent="0.25">
      <c r="A1078" t="str">
        <f>"14:08:19.703"</f>
        <v>14:08:19.703</v>
      </c>
      <c r="B1078" t="s">
        <v>108</v>
      </c>
      <c r="C1078" t="str">
        <f t="shared" si="49"/>
        <v>ffdfd3c0</v>
      </c>
      <c r="D1078" t="s">
        <v>109</v>
      </c>
      <c r="E1078">
        <v>4</v>
      </c>
      <c r="F1078">
        <v>1004</v>
      </c>
      <c r="G1078" t="s">
        <v>110</v>
      </c>
      <c r="J1078" t="s">
        <v>111</v>
      </c>
      <c r="K1078">
        <v>0</v>
      </c>
      <c r="L1078">
        <v>3</v>
      </c>
      <c r="M1078">
        <v>0</v>
      </c>
      <c r="N1078">
        <v>2</v>
      </c>
      <c r="O1078">
        <v>1</v>
      </c>
      <c r="P1078">
        <v>0</v>
      </c>
      <c r="Q1078">
        <v>0</v>
      </c>
      <c r="R1078" t="s">
        <v>112</v>
      </c>
      <c r="S1078" t="str">
        <f>"14:08:19.531"</f>
        <v>14:08:19.531</v>
      </c>
      <c r="T1078" t="str">
        <f>"14:08:19.031"</f>
        <v>14:08:19.031</v>
      </c>
      <c r="U1078" t="str">
        <f t="shared" si="48"/>
        <v>ad5732</v>
      </c>
      <c r="V1078">
        <v>0</v>
      </c>
      <c r="W1078">
        <v>0</v>
      </c>
      <c r="X1078">
        <v>1</v>
      </c>
      <c r="Z1078">
        <v>0</v>
      </c>
      <c r="AA1078">
        <v>9</v>
      </c>
      <c r="AB1078">
        <v>3</v>
      </c>
      <c r="AC1078">
        <v>0</v>
      </c>
      <c r="AD1078">
        <v>10</v>
      </c>
      <c r="AE1078">
        <v>0</v>
      </c>
      <c r="AF1078">
        <v>3</v>
      </c>
      <c r="AG1078">
        <v>2</v>
      </c>
      <c r="AH1078">
        <v>0</v>
      </c>
      <c r="AI1078" t="s">
        <v>2253</v>
      </c>
      <c r="AJ1078">
        <v>39.464500000000001</v>
      </c>
      <c r="AK1078" t="s">
        <v>2254</v>
      </c>
      <c r="AL1078">
        <v>-76.799626000000004</v>
      </c>
      <c r="AM1078">
        <v>100</v>
      </c>
      <c r="AN1078">
        <v>8700</v>
      </c>
      <c r="AO1078" t="s">
        <v>115</v>
      </c>
      <c r="AP1078">
        <v>169</v>
      </c>
      <c r="AQ1078">
        <v>85</v>
      </c>
      <c r="AR1078">
        <v>0</v>
      </c>
      <c r="AZ1078">
        <v>3614</v>
      </c>
      <c r="BA1078">
        <v>1</v>
      </c>
      <c r="BB1078" t="str">
        <f t="shared" si="50"/>
        <v xml:space="preserve">N959MJ  </v>
      </c>
      <c r="BC1078">
        <v>1</v>
      </c>
      <c r="BE1078">
        <v>0</v>
      </c>
      <c r="BF1078">
        <v>0</v>
      </c>
      <c r="BG1078">
        <v>0</v>
      </c>
      <c r="BH1078">
        <v>9025</v>
      </c>
      <c r="BI1078">
        <v>325</v>
      </c>
      <c r="BJ1078">
        <v>1</v>
      </c>
      <c r="BK1078">
        <v>1</v>
      </c>
      <c r="BL1078">
        <v>1</v>
      </c>
      <c r="BM1078">
        <v>0</v>
      </c>
      <c r="BP1078">
        <v>0</v>
      </c>
      <c r="BQ1078">
        <v>0</v>
      </c>
      <c r="BX1078" t="str">
        <f>"14:08:19.539"</f>
        <v>14:08:19.539</v>
      </c>
      <c r="BY1078" t="str">
        <f>"538204815"</f>
        <v>538204815</v>
      </c>
      <c r="CL1078">
        <v>0</v>
      </c>
      <c r="CM1078">
        <v>2</v>
      </c>
      <c r="CN1078">
        <v>0</v>
      </c>
      <c r="CO1078">
        <v>2</v>
      </c>
      <c r="CP1078">
        <v>0</v>
      </c>
      <c r="CQ1078">
        <v>6</v>
      </c>
      <c r="CR1078" t="s">
        <v>116</v>
      </c>
      <c r="CS1078">
        <v>396</v>
      </c>
      <c r="CT1078">
        <v>2</v>
      </c>
      <c r="CU1078" t="s">
        <v>939</v>
      </c>
      <c r="CV1078" t="s">
        <v>940</v>
      </c>
      <c r="CY1078">
        <v>4630829</v>
      </c>
      <c r="CZ1078" t="s">
        <v>119</v>
      </c>
    </row>
    <row r="1079" spans="1:104" x14ac:dyDescent="0.25">
      <c r="A1079" t="str">
        <f>"14:08:20.766"</f>
        <v>14:08:20.766</v>
      </c>
      <c r="B1079" t="s">
        <v>108</v>
      </c>
      <c r="C1079" t="str">
        <f t="shared" si="49"/>
        <v>ffdfd3c0</v>
      </c>
      <c r="D1079" t="s">
        <v>109</v>
      </c>
      <c r="E1079">
        <v>4</v>
      </c>
      <c r="F1079">
        <v>1004</v>
      </c>
      <c r="G1079" t="s">
        <v>110</v>
      </c>
      <c r="J1079" t="s">
        <v>111</v>
      </c>
      <c r="K1079">
        <v>0</v>
      </c>
      <c r="L1079">
        <v>3</v>
      </c>
      <c r="M1079">
        <v>0</v>
      </c>
      <c r="N1079">
        <v>2</v>
      </c>
      <c r="O1079">
        <v>1</v>
      </c>
      <c r="P1079">
        <v>0</v>
      </c>
      <c r="Q1079">
        <v>0</v>
      </c>
      <c r="R1079" t="s">
        <v>112</v>
      </c>
      <c r="S1079" t="str">
        <f>"14:08:20.570"</f>
        <v>14:08:20.570</v>
      </c>
      <c r="T1079" t="str">
        <f>"14:08:20.172"</f>
        <v>14:08:20.172</v>
      </c>
      <c r="U1079" t="str">
        <f t="shared" si="48"/>
        <v>ad5732</v>
      </c>
      <c r="V1079">
        <v>0</v>
      </c>
      <c r="W1079">
        <v>0</v>
      </c>
      <c r="X1079">
        <v>1</v>
      </c>
      <c r="Z1079">
        <v>0</v>
      </c>
      <c r="AA1079">
        <v>9</v>
      </c>
      <c r="AB1079">
        <v>3</v>
      </c>
      <c r="AC1079">
        <v>0</v>
      </c>
      <c r="AD1079">
        <v>10</v>
      </c>
      <c r="AE1079">
        <v>0</v>
      </c>
      <c r="AF1079">
        <v>3</v>
      </c>
      <c r="AG1079">
        <v>2</v>
      </c>
      <c r="AH1079">
        <v>0</v>
      </c>
      <c r="AI1079" t="s">
        <v>2255</v>
      </c>
      <c r="AJ1079">
        <v>39.464908000000001</v>
      </c>
      <c r="AK1079" t="s">
        <v>2256</v>
      </c>
      <c r="AL1079">
        <v>-76.798618000000005</v>
      </c>
      <c r="AM1079">
        <v>100</v>
      </c>
      <c r="AN1079">
        <v>8700</v>
      </c>
      <c r="AO1079" t="s">
        <v>115</v>
      </c>
      <c r="AP1079">
        <v>169</v>
      </c>
      <c r="AQ1079">
        <v>85</v>
      </c>
      <c r="AR1079">
        <v>0</v>
      </c>
      <c r="AZ1079">
        <v>3614</v>
      </c>
      <c r="BA1079">
        <v>1</v>
      </c>
      <c r="BB1079" t="str">
        <f t="shared" si="50"/>
        <v xml:space="preserve">N959MJ  </v>
      </c>
      <c r="BC1079">
        <v>1</v>
      </c>
      <c r="BE1079">
        <v>0</v>
      </c>
      <c r="BF1079">
        <v>0</v>
      </c>
      <c r="BG1079">
        <v>0</v>
      </c>
      <c r="BH1079">
        <v>9025</v>
      </c>
      <c r="BI1079">
        <v>325</v>
      </c>
      <c r="BJ1079">
        <v>1</v>
      </c>
      <c r="BK1079">
        <v>1</v>
      </c>
      <c r="BL1079">
        <v>1</v>
      </c>
      <c r="BM1079">
        <v>0</v>
      </c>
      <c r="BP1079">
        <v>0</v>
      </c>
      <c r="BQ1079">
        <v>0</v>
      </c>
      <c r="BX1079" t="str">
        <f>"14:08:20.570"</f>
        <v>14:08:20.570</v>
      </c>
      <c r="BY1079" t="str">
        <f>"570391950"</f>
        <v>570391950</v>
      </c>
      <c r="CL1079">
        <v>0</v>
      </c>
      <c r="CM1079">
        <v>2</v>
      </c>
      <c r="CN1079">
        <v>0</v>
      </c>
      <c r="CO1079">
        <v>2</v>
      </c>
      <c r="CP1079">
        <v>0</v>
      </c>
      <c r="CQ1079">
        <v>6</v>
      </c>
      <c r="CR1079" t="s">
        <v>116</v>
      </c>
      <c r="CS1079">
        <v>525</v>
      </c>
      <c r="CT1079">
        <v>1</v>
      </c>
      <c r="CU1079" t="s">
        <v>140</v>
      </c>
      <c r="CV1079" t="s">
        <v>141</v>
      </c>
      <c r="CY1079">
        <v>8728466</v>
      </c>
      <c r="CZ1079" t="s">
        <v>119</v>
      </c>
    </row>
    <row r="1080" spans="1:104" x14ac:dyDescent="0.25">
      <c r="A1080" t="str">
        <f>"14:08:21.773"</f>
        <v>14:08:21.773</v>
      </c>
      <c r="B1080" t="s">
        <v>108</v>
      </c>
      <c r="C1080" t="str">
        <f t="shared" si="49"/>
        <v>ffdfd3c0</v>
      </c>
      <c r="D1080" t="s">
        <v>109</v>
      </c>
      <c r="E1080">
        <v>4</v>
      </c>
      <c r="F1080">
        <v>1004</v>
      </c>
      <c r="G1080" t="s">
        <v>110</v>
      </c>
      <c r="J1080" t="s">
        <v>111</v>
      </c>
      <c r="K1080">
        <v>0</v>
      </c>
      <c r="L1080">
        <v>3</v>
      </c>
      <c r="M1080">
        <v>0</v>
      </c>
      <c r="N1080">
        <v>2</v>
      </c>
      <c r="O1080">
        <v>1</v>
      </c>
      <c r="P1080">
        <v>0</v>
      </c>
      <c r="Q1080">
        <v>0</v>
      </c>
      <c r="R1080" t="s">
        <v>112</v>
      </c>
      <c r="S1080" t="str">
        <f>"14:08:21.578"</f>
        <v>14:08:21.578</v>
      </c>
      <c r="T1080" t="str">
        <f>"14:08:21.180"</f>
        <v>14:08:21.180</v>
      </c>
      <c r="U1080" t="str">
        <f t="shared" si="48"/>
        <v>ad5732</v>
      </c>
      <c r="V1080">
        <v>0</v>
      </c>
      <c r="W1080">
        <v>0</v>
      </c>
      <c r="X1080">
        <v>1</v>
      </c>
      <c r="Z1080">
        <v>0</v>
      </c>
      <c r="AA1080">
        <v>9</v>
      </c>
      <c r="AB1080">
        <v>3</v>
      </c>
      <c r="AC1080">
        <v>0</v>
      </c>
      <c r="AD1080">
        <v>10</v>
      </c>
      <c r="AE1080">
        <v>0</v>
      </c>
      <c r="AF1080">
        <v>3</v>
      </c>
      <c r="AG1080">
        <v>2</v>
      </c>
      <c r="AH1080">
        <v>0</v>
      </c>
      <c r="AI1080" t="s">
        <v>2257</v>
      </c>
      <c r="AJ1080">
        <v>39.465314999999997</v>
      </c>
      <c r="AK1080" t="s">
        <v>2258</v>
      </c>
      <c r="AL1080">
        <v>-76.797588000000005</v>
      </c>
      <c r="AM1080">
        <v>100</v>
      </c>
      <c r="AN1080">
        <v>8700</v>
      </c>
      <c r="AO1080" t="s">
        <v>115</v>
      </c>
      <c r="AP1080">
        <v>169</v>
      </c>
      <c r="AQ1080">
        <v>86</v>
      </c>
      <c r="AR1080">
        <v>0</v>
      </c>
      <c r="AZ1080">
        <v>3614</v>
      </c>
      <c r="BA1080">
        <v>1</v>
      </c>
      <c r="BB1080" t="str">
        <f t="shared" si="50"/>
        <v xml:space="preserve">N959MJ  </v>
      </c>
      <c r="BC1080">
        <v>1</v>
      </c>
      <c r="BE1080">
        <v>0</v>
      </c>
      <c r="BF1080">
        <v>0</v>
      </c>
      <c r="BG1080">
        <v>0</v>
      </c>
      <c r="BH1080">
        <v>9000</v>
      </c>
      <c r="BI1080">
        <v>300</v>
      </c>
      <c r="BJ1080">
        <v>1</v>
      </c>
      <c r="BK1080">
        <v>1</v>
      </c>
      <c r="BL1080">
        <v>1</v>
      </c>
      <c r="BM1080">
        <v>0</v>
      </c>
      <c r="BP1080">
        <v>0</v>
      </c>
      <c r="BQ1080">
        <v>0</v>
      </c>
      <c r="BX1080" t="str">
        <f>"14:08:21.578"</f>
        <v>14:08:21.578</v>
      </c>
      <c r="BY1080" t="str">
        <f>"581527810"</f>
        <v>581527810</v>
      </c>
      <c r="CL1080">
        <v>0</v>
      </c>
      <c r="CM1080">
        <v>2</v>
      </c>
      <c r="CN1080">
        <v>0</v>
      </c>
      <c r="CO1080">
        <v>2</v>
      </c>
      <c r="CP1080">
        <v>0</v>
      </c>
      <c r="CQ1080">
        <v>5</v>
      </c>
      <c r="CR1080" t="s">
        <v>116</v>
      </c>
      <c r="CS1080">
        <v>39</v>
      </c>
      <c r="CT1080">
        <v>2</v>
      </c>
      <c r="CU1080" t="s">
        <v>2259</v>
      </c>
      <c r="CV1080" t="s">
        <v>2260</v>
      </c>
      <c r="CY1080">
        <v>14999156</v>
      </c>
      <c r="CZ1080" t="s">
        <v>119</v>
      </c>
    </row>
    <row r="1081" spans="1:104" x14ac:dyDescent="0.25">
      <c r="A1081" t="str">
        <f>"14:08:22.734"</f>
        <v>14:08:22.734</v>
      </c>
      <c r="B1081" t="s">
        <v>108</v>
      </c>
      <c r="C1081" t="str">
        <f t="shared" si="49"/>
        <v>ffdfd3c0</v>
      </c>
      <c r="D1081" t="s">
        <v>109</v>
      </c>
      <c r="E1081">
        <v>4</v>
      </c>
      <c r="F1081">
        <v>1004</v>
      </c>
      <c r="G1081" t="s">
        <v>110</v>
      </c>
      <c r="J1081" t="s">
        <v>111</v>
      </c>
      <c r="K1081">
        <v>0</v>
      </c>
      <c r="L1081">
        <v>3</v>
      </c>
      <c r="M1081">
        <v>0</v>
      </c>
      <c r="N1081">
        <v>2</v>
      </c>
      <c r="O1081">
        <v>1</v>
      </c>
      <c r="P1081">
        <v>0</v>
      </c>
      <c r="Q1081">
        <v>0</v>
      </c>
      <c r="R1081" t="s">
        <v>112</v>
      </c>
      <c r="S1081" t="str">
        <f>"14:08:22.555"</f>
        <v>14:08:22.555</v>
      </c>
      <c r="T1081" t="str">
        <f>"14:08:22.055"</f>
        <v>14:08:22.055</v>
      </c>
      <c r="U1081" t="str">
        <f t="shared" si="48"/>
        <v>ad5732</v>
      </c>
      <c r="V1081">
        <v>0</v>
      </c>
      <c r="W1081">
        <v>0</v>
      </c>
      <c r="X1081">
        <v>1</v>
      </c>
      <c r="Z1081">
        <v>0</v>
      </c>
      <c r="AA1081">
        <v>9</v>
      </c>
      <c r="AB1081">
        <v>3</v>
      </c>
      <c r="AC1081">
        <v>0</v>
      </c>
      <c r="AD1081">
        <v>10</v>
      </c>
      <c r="AE1081">
        <v>0</v>
      </c>
      <c r="AF1081">
        <v>3</v>
      </c>
      <c r="AG1081">
        <v>2</v>
      </c>
      <c r="AH1081">
        <v>0</v>
      </c>
      <c r="AI1081" t="s">
        <v>2261</v>
      </c>
      <c r="AJ1081">
        <v>39.465679999999999</v>
      </c>
      <c r="AK1081" t="s">
        <v>2262</v>
      </c>
      <c r="AL1081">
        <v>-76.796578999999994</v>
      </c>
      <c r="AM1081">
        <v>100</v>
      </c>
      <c r="AN1081">
        <v>8700</v>
      </c>
      <c r="AO1081" t="s">
        <v>115</v>
      </c>
      <c r="AP1081">
        <v>169</v>
      </c>
      <c r="AQ1081">
        <v>86</v>
      </c>
      <c r="AR1081">
        <v>0</v>
      </c>
      <c r="AZ1081">
        <v>3614</v>
      </c>
      <c r="BA1081">
        <v>1</v>
      </c>
      <c r="BB1081" t="str">
        <f t="shared" si="50"/>
        <v xml:space="preserve">N959MJ  </v>
      </c>
      <c r="BC1081">
        <v>1</v>
      </c>
      <c r="BE1081">
        <v>0</v>
      </c>
      <c r="BF1081">
        <v>0</v>
      </c>
      <c r="BG1081">
        <v>0</v>
      </c>
      <c r="BH1081">
        <v>9000</v>
      </c>
      <c r="BI1081">
        <v>300</v>
      </c>
      <c r="BJ1081">
        <v>1</v>
      </c>
      <c r="BK1081">
        <v>1</v>
      </c>
      <c r="BL1081">
        <v>1</v>
      </c>
      <c r="BM1081">
        <v>0</v>
      </c>
      <c r="BP1081">
        <v>0</v>
      </c>
      <c r="BQ1081">
        <v>0</v>
      </c>
      <c r="BX1081" t="str">
        <f>"14:08:22.563"</f>
        <v>14:08:22.563</v>
      </c>
      <c r="BY1081" t="str">
        <f>"559463530"</f>
        <v>559463530</v>
      </c>
      <c r="CL1081">
        <v>0</v>
      </c>
      <c r="CM1081">
        <v>2</v>
      </c>
      <c r="CN1081">
        <v>0</v>
      </c>
      <c r="CO1081">
        <v>2</v>
      </c>
      <c r="CP1081">
        <v>0</v>
      </c>
      <c r="CQ1081">
        <v>6</v>
      </c>
      <c r="CR1081" t="s">
        <v>116</v>
      </c>
      <c r="CS1081">
        <v>396</v>
      </c>
      <c r="CT1081">
        <v>2</v>
      </c>
      <c r="CU1081" t="s">
        <v>939</v>
      </c>
      <c r="CV1081" t="s">
        <v>940</v>
      </c>
      <c r="CY1081">
        <v>4636141</v>
      </c>
      <c r="CZ1081" t="s">
        <v>119</v>
      </c>
    </row>
    <row r="1082" spans="1:104" x14ac:dyDescent="0.25">
      <c r="A1082" t="str">
        <f>"14:08:23.594"</f>
        <v>14:08:23.594</v>
      </c>
      <c r="B1082" t="s">
        <v>108</v>
      </c>
      <c r="C1082" t="str">
        <f t="shared" si="49"/>
        <v>ffdfd3c0</v>
      </c>
      <c r="D1082" t="s">
        <v>109</v>
      </c>
      <c r="E1082">
        <v>4</v>
      </c>
      <c r="F1082">
        <v>1004</v>
      </c>
      <c r="G1082" t="s">
        <v>110</v>
      </c>
      <c r="J1082" t="s">
        <v>111</v>
      </c>
      <c r="K1082">
        <v>0</v>
      </c>
      <c r="L1082">
        <v>3</v>
      </c>
      <c r="M1082">
        <v>0</v>
      </c>
      <c r="N1082">
        <v>2</v>
      </c>
      <c r="O1082">
        <v>1</v>
      </c>
      <c r="P1082">
        <v>0</v>
      </c>
      <c r="Q1082">
        <v>0</v>
      </c>
      <c r="R1082" t="s">
        <v>112</v>
      </c>
      <c r="S1082" t="str">
        <f>"14:08:23.430"</f>
        <v>14:08:23.430</v>
      </c>
      <c r="T1082" t="str">
        <f>"14:08:23.031"</f>
        <v>14:08:23.031</v>
      </c>
      <c r="U1082" t="str">
        <f t="shared" si="48"/>
        <v>ad5732</v>
      </c>
      <c r="V1082">
        <v>0</v>
      </c>
      <c r="W1082">
        <v>0</v>
      </c>
      <c r="X1082">
        <v>1</v>
      </c>
      <c r="Z1082">
        <v>0</v>
      </c>
      <c r="AA1082">
        <v>9</v>
      </c>
      <c r="AB1082">
        <v>3</v>
      </c>
      <c r="AC1082">
        <v>0</v>
      </c>
      <c r="AD1082">
        <v>10</v>
      </c>
      <c r="AE1082">
        <v>0</v>
      </c>
      <c r="AF1082">
        <v>3</v>
      </c>
      <c r="AG1082">
        <v>2</v>
      </c>
      <c r="AH1082">
        <v>0</v>
      </c>
      <c r="AI1082" t="s">
        <v>2263</v>
      </c>
      <c r="AJ1082">
        <v>39.466065999999998</v>
      </c>
      <c r="AK1082" t="s">
        <v>2264</v>
      </c>
      <c r="AL1082">
        <v>-76.795721</v>
      </c>
      <c r="AM1082">
        <v>100</v>
      </c>
      <c r="AN1082">
        <v>8700</v>
      </c>
      <c r="AO1082" t="s">
        <v>115</v>
      </c>
      <c r="AP1082">
        <v>169</v>
      </c>
      <c r="AQ1082">
        <v>86</v>
      </c>
      <c r="AR1082">
        <v>0</v>
      </c>
      <c r="AZ1082">
        <v>3614</v>
      </c>
      <c r="BA1082">
        <v>1</v>
      </c>
      <c r="BB1082" t="str">
        <f t="shared" si="50"/>
        <v xml:space="preserve">N959MJ  </v>
      </c>
      <c r="BC1082">
        <v>1</v>
      </c>
      <c r="BE1082">
        <v>0</v>
      </c>
      <c r="BF1082">
        <v>0</v>
      </c>
      <c r="BG1082">
        <v>0</v>
      </c>
      <c r="BH1082">
        <v>9000</v>
      </c>
      <c r="BI1082">
        <v>300</v>
      </c>
      <c r="BJ1082">
        <v>1</v>
      </c>
      <c r="BK1082">
        <v>1</v>
      </c>
      <c r="BL1082">
        <v>1</v>
      </c>
      <c r="BM1082">
        <v>0</v>
      </c>
      <c r="BP1082">
        <v>0</v>
      </c>
      <c r="BQ1082">
        <v>0</v>
      </c>
      <c r="BX1082" t="str">
        <f>"14:08:23.438"</f>
        <v>14:08:23.438</v>
      </c>
      <c r="BY1082" t="str">
        <f>"434366376"</f>
        <v>434366376</v>
      </c>
      <c r="CL1082">
        <v>0</v>
      </c>
      <c r="CM1082">
        <v>2</v>
      </c>
      <c r="CN1082">
        <v>0</v>
      </c>
      <c r="CO1082">
        <v>2</v>
      </c>
      <c r="CP1082">
        <v>0</v>
      </c>
      <c r="CQ1082">
        <v>6</v>
      </c>
      <c r="CR1082" t="s">
        <v>116</v>
      </c>
      <c r="CS1082">
        <v>147</v>
      </c>
      <c r="CT1082">
        <v>0</v>
      </c>
      <c r="CU1082" t="s">
        <v>117</v>
      </c>
      <c r="CV1082" t="s">
        <v>118</v>
      </c>
      <c r="CY1082">
        <v>5656105</v>
      </c>
      <c r="CZ1082" t="s">
        <v>119</v>
      </c>
    </row>
    <row r="1083" spans="1:104" x14ac:dyDescent="0.25">
      <c r="A1083" t="str">
        <f>"14:08:24.648"</f>
        <v>14:08:24.648</v>
      </c>
      <c r="B1083" t="s">
        <v>108</v>
      </c>
      <c r="C1083" t="str">
        <f t="shared" si="49"/>
        <v>ffdfd3c0</v>
      </c>
      <c r="D1083" t="s">
        <v>109</v>
      </c>
      <c r="E1083">
        <v>4</v>
      </c>
      <c r="F1083">
        <v>1004</v>
      </c>
      <c r="G1083" t="s">
        <v>110</v>
      </c>
      <c r="J1083" t="s">
        <v>111</v>
      </c>
      <c r="K1083">
        <v>0</v>
      </c>
      <c r="L1083">
        <v>3</v>
      </c>
      <c r="M1083">
        <v>0</v>
      </c>
      <c r="N1083">
        <v>2</v>
      </c>
      <c r="O1083">
        <v>1</v>
      </c>
      <c r="P1083">
        <v>0</v>
      </c>
      <c r="Q1083">
        <v>0</v>
      </c>
      <c r="R1083" t="s">
        <v>112</v>
      </c>
      <c r="S1083" t="str">
        <f>"14:08:24.477"</f>
        <v>14:08:24.477</v>
      </c>
      <c r="T1083" t="str">
        <f>"14:08:23.977"</f>
        <v>14:08:23.977</v>
      </c>
      <c r="U1083" t="str">
        <f t="shared" si="48"/>
        <v>ad5732</v>
      </c>
      <c r="V1083">
        <v>0</v>
      </c>
      <c r="W1083">
        <v>0</v>
      </c>
      <c r="X1083">
        <v>1</v>
      </c>
      <c r="Z1083">
        <v>0</v>
      </c>
      <c r="AA1083">
        <v>9</v>
      </c>
      <c r="AB1083">
        <v>3</v>
      </c>
      <c r="AC1083">
        <v>0</v>
      </c>
      <c r="AD1083">
        <v>10</v>
      </c>
      <c r="AE1083">
        <v>0</v>
      </c>
      <c r="AF1083">
        <v>3</v>
      </c>
      <c r="AG1083">
        <v>2</v>
      </c>
      <c r="AH1083">
        <v>0</v>
      </c>
      <c r="AI1083" t="s">
        <v>2265</v>
      </c>
      <c r="AJ1083">
        <v>39.466473999999998</v>
      </c>
      <c r="AK1083" t="s">
        <v>2266</v>
      </c>
      <c r="AL1083">
        <v>-76.794669999999996</v>
      </c>
      <c r="AM1083">
        <v>100</v>
      </c>
      <c r="AN1083">
        <v>8700</v>
      </c>
      <c r="AO1083" t="s">
        <v>115</v>
      </c>
      <c r="AP1083">
        <v>169</v>
      </c>
      <c r="AQ1083">
        <v>86</v>
      </c>
      <c r="AR1083">
        <v>0</v>
      </c>
      <c r="AZ1083">
        <v>3614</v>
      </c>
      <c r="BA1083">
        <v>1</v>
      </c>
      <c r="BB1083" t="str">
        <f t="shared" si="50"/>
        <v xml:space="preserve">N959MJ  </v>
      </c>
      <c r="BC1083">
        <v>1</v>
      </c>
      <c r="BE1083">
        <v>0</v>
      </c>
      <c r="BF1083">
        <v>0</v>
      </c>
      <c r="BG1083">
        <v>0</v>
      </c>
      <c r="BH1083">
        <v>9000</v>
      </c>
      <c r="BI1083">
        <v>300</v>
      </c>
      <c r="BJ1083">
        <v>1</v>
      </c>
      <c r="BK1083">
        <v>1</v>
      </c>
      <c r="BL1083">
        <v>1</v>
      </c>
      <c r="BM1083">
        <v>0</v>
      </c>
      <c r="BP1083">
        <v>0</v>
      </c>
      <c r="BQ1083">
        <v>0</v>
      </c>
      <c r="BX1083" t="str">
        <f>"14:08:24.477"</f>
        <v>14:08:24.477</v>
      </c>
      <c r="BY1083" t="str">
        <f>"478044538"</f>
        <v>478044538</v>
      </c>
      <c r="CL1083">
        <v>0</v>
      </c>
      <c r="CM1083">
        <v>2</v>
      </c>
      <c r="CN1083">
        <v>0</v>
      </c>
      <c r="CO1083">
        <v>2</v>
      </c>
      <c r="CP1083">
        <v>0</v>
      </c>
      <c r="CQ1083">
        <v>6</v>
      </c>
      <c r="CR1083" t="s">
        <v>116</v>
      </c>
      <c r="CS1083">
        <v>147</v>
      </c>
      <c r="CT1083">
        <v>0</v>
      </c>
      <c r="CU1083" t="s">
        <v>117</v>
      </c>
      <c r="CV1083" t="s">
        <v>118</v>
      </c>
      <c r="CY1083">
        <v>5657828</v>
      </c>
      <c r="CZ1083" t="s">
        <v>119</v>
      </c>
    </row>
    <row r="1084" spans="1:104" x14ac:dyDescent="0.25">
      <c r="A1084" t="str">
        <f>"14:08:25.664"</f>
        <v>14:08:25.664</v>
      </c>
      <c r="B1084" t="s">
        <v>108</v>
      </c>
      <c r="C1084" t="str">
        <f t="shared" si="49"/>
        <v>ffdfd3c0</v>
      </c>
      <c r="D1084" t="s">
        <v>109</v>
      </c>
      <c r="E1084">
        <v>4</v>
      </c>
      <c r="F1084">
        <v>1004</v>
      </c>
      <c r="G1084" t="s">
        <v>110</v>
      </c>
      <c r="J1084" t="s">
        <v>111</v>
      </c>
      <c r="K1084">
        <v>0</v>
      </c>
      <c r="L1084">
        <v>3</v>
      </c>
      <c r="M1084">
        <v>0</v>
      </c>
      <c r="N1084">
        <v>2</v>
      </c>
      <c r="O1084">
        <v>1</v>
      </c>
      <c r="P1084">
        <v>0</v>
      </c>
      <c r="Q1084">
        <v>0</v>
      </c>
      <c r="R1084" t="s">
        <v>112</v>
      </c>
      <c r="S1084" t="str">
        <f>"14:08:25.484"</f>
        <v>14:08:25.484</v>
      </c>
      <c r="T1084" t="str">
        <f>"14:08:24.984"</f>
        <v>14:08:24.984</v>
      </c>
      <c r="U1084" t="str">
        <f t="shared" si="48"/>
        <v>ad5732</v>
      </c>
      <c r="V1084">
        <v>0</v>
      </c>
      <c r="W1084">
        <v>0</v>
      </c>
      <c r="X1084">
        <v>1</v>
      </c>
      <c r="Z1084">
        <v>0</v>
      </c>
      <c r="AA1084">
        <v>9</v>
      </c>
      <c r="AB1084">
        <v>3</v>
      </c>
      <c r="AC1084">
        <v>0</v>
      </c>
      <c r="AD1084">
        <v>10</v>
      </c>
      <c r="AE1084">
        <v>0</v>
      </c>
      <c r="AF1084">
        <v>3</v>
      </c>
      <c r="AG1084">
        <v>2</v>
      </c>
      <c r="AH1084">
        <v>0</v>
      </c>
      <c r="AI1084" t="s">
        <v>2267</v>
      </c>
      <c r="AJ1084">
        <v>39.466925000000003</v>
      </c>
      <c r="AK1084" t="s">
        <v>2268</v>
      </c>
      <c r="AL1084">
        <v>-76.793597000000005</v>
      </c>
      <c r="AM1084">
        <v>100</v>
      </c>
      <c r="AN1084">
        <v>8700</v>
      </c>
      <c r="AO1084" t="s">
        <v>115</v>
      </c>
      <c r="AP1084">
        <v>168</v>
      </c>
      <c r="AQ1084">
        <v>87</v>
      </c>
      <c r="AR1084">
        <v>0</v>
      </c>
      <c r="AZ1084">
        <v>3614</v>
      </c>
      <c r="BA1084">
        <v>1</v>
      </c>
      <c r="BB1084" t="str">
        <f t="shared" si="50"/>
        <v xml:space="preserve">N959MJ  </v>
      </c>
      <c r="BC1084">
        <v>1</v>
      </c>
      <c r="BE1084">
        <v>0</v>
      </c>
      <c r="BF1084">
        <v>0</v>
      </c>
      <c r="BG1084">
        <v>0</v>
      </c>
      <c r="BH1084">
        <v>9000</v>
      </c>
      <c r="BI1084">
        <v>300</v>
      </c>
      <c r="BJ1084">
        <v>1</v>
      </c>
      <c r="BK1084">
        <v>1</v>
      </c>
      <c r="BL1084">
        <v>1</v>
      </c>
      <c r="BM1084">
        <v>0</v>
      </c>
      <c r="BP1084">
        <v>0</v>
      </c>
      <c r="BQ1084">
        <v>0</v>
      </c>
      <c r="BX1084" t="str">
        <f>"14:08:25.492"</f>
        <v>14:08:25.492</v>
      </c>
      <c r="BY1084" t="str">
        <f>"488954449"</f>
        <v>488954449</v>
      </c>
      <c r="CL1084">
        <v>0</v>
      </c>
      <c r="CM1084">
        <v>2</v>
      </c>
      <c r="CN1084">
        <v>0</v>
      </c>
      <c r="CO1084">
        <v>2</v>
      </c>
      <c r="CP1084">
        <v>0</v>
      </c>
      <c r="CQ1084">
        <v>6</v>
      </c>
      <c r="CR1084" t="s">
        <v>116</v>
      </c>
      <c r="CS1084">
        <v>147</v>
      </c>
      <c r="CT1084">
        <v>0</v>
      </c>
      <c r="CU1084" t="s">
        <v>117</v>
      </c>
      <c r="CV1084" t="s">
        <v>118</v>
      </c>
      <c r="CY1084">
        <v>5659556</v>
      </c>
      <c r="CZ1084" t="s">
        <v>119</v>
      </c>
    </row>
    <row r="1085" spans="1:104" x14ac:dyDescent="0.25">
      <c r="A1085" t="str">
        <f>"14:08:26.672"</f>
        <v>14:08:26.672</v>
      </c>
      <c r="B1085" t="s">
        <v>108</v>
      </c>
      <c r="C1085" t="str">
        <f t="shared" si="49"/>
        <v>ffdfd3c0</v>
      </c>
      <c r="D1085" t="s">
        <v>109</v>
      </c>
      <c r="E1085">
        <v>4</v>
      </c>
      <c r="F1085">
        <v>1004</v>
      </c>
      <c r="G1085" t="s">
        <v>110</v>
      </c>
      <c r="J1085" t="s">
        <v>111</v>
      </c>
      <c r="K1085">
        <v>0</v>
      </c>
      <c r="L1085">
        <v>3</v>
      </c>
      <c r="M1085">
        <v>0</v>
      </c>
      <c r="N1085">
        <v>2</v>
      </c>
      <c r="O1085">
        <v>1</v>
      </c>
      <c r="P1085">
        <v>0</v>
      </c>
      <c r="Q1085">
        <v>0</v>
      </c>
      <c r="R1085" t="s">
        <v>112</v>
      </c>
      <c r="S1085" t="str">
        <f>"14:08:26.477"</f>
        <v>14:08:26.477</v>
      </c>
      <c r="T1085" t="str">
        <f>"14:08:26.078"</f>
        <v>14:08:26.078</v>
      </c>
      <c r="U1085" t="str">
        <f t="shared" si="48"/>
        <v>ad5732</v>
      </c>
      <c r="V1085">
        <v>0</v>
      </c>
      <c r="W1085">
        <v>0</v>
      </c>
      <c r="X1085">
        <v>1</v>
      </c>
      <c r="Z1085">
        <v>0</v>
      </c>
      <c r="AA1085">
        <v>9</v>
      </c>
      <c r="AB1085">
        <v>3</v>
      </c>
      <c r="AC1085">
        <v>0</v>
      </c>
      <c r="AD1085">
        <v>10</v>
      </c>
      <c r="AE1085">
        <v>0</v>
      </c>
      <c r="AF1085">
        <v>3</v>
      </c>
      <c r="AG1085">
        <v>2</v>
      </c>
      <c r="AH1085">
        <v>0</v>
      </c>
      <c r="AI1085" t="s">
        <v>2269</v>
      </c>
      <c r="AJ1085">
        <v>39.467267999999997</v>
      </c>
      <c r="AK1085" t="s">
        <v>2270</v>
      </c>
      <c r="AL1085">
        <v>-76.792674000000005</v>
      </c>
      <c r="AM1085">
        <v>100</v>
      </c>
      <c r="AN1085">
        <v>8700</v>
      </c>
      <c r="AO1085" t="s">
        <v>115</v>
      </c>
      <c r="AP1085">
        <v>168</v>
      </c>
      <c r="AQ1085">
        <v>87</v>
      </c>
      <c r="AR1085">
        <v>64</v>
      </c>
      <c r="AZ1085">
        <v>3614</v>
      </c>
      <c r="BA1085">
        <v>1</v>
      </c>
      <c r="BB1085" t="str">
        <f t="shared" si="50"/>
        <v xml:space="preserve">N959MJ  </v>
      </c>
      <c r="BC1085">
        <v>1</v>
      </c>
      <c r="BE1085">
        <v>0</v>
      </c>
      <c r="BF1085">
        <v>0</v>
      </c>
      <c r="BG1085">
        <v>0</v>
      </c>
      <c r="BH1085">
        <v>9000</v>
      </c>
      <c r="BI1085">
        <v>300</v>
      </c>
      <c r="BJ1085">
        <v>1</v>
      </c>
      <c r="BK1085">
        <v>1</v>
      </c>
      <c r="BL1085">
        <v>1</v>
      </c>
      <c r="BM1085">
        <v>0</v>
      </c>
      <c r="BP1085">
        <v>0</v>
      </c>
      <c r="BQ1085">
        <v>0</v>
      </c>
      <c r="BX1085" t="str">
        <f>"14:08:26.477"</f>
        <v>14:08:26.477</v>
      </c>
      <c r="BY1085" t="str">
        <f>"478561446"</f>
        <v>478561446</v>
      </c>
      <c r="CL1085">
        <v>0</v>
      </c>
      <c r="CM1085">
        <v>2</v>
      </c>
      <c r="CN1085">
        <v>0</v>
      </c>
      <c r="CO1085">
        <v>2</v>
      </c>
      <c r="CP1085">
        <v>0</v>
      </c>
      <c r="CQ1085">
        <v>6</v>
      </c>
      <c r="CR1085" t="s">
        <v>116</v>
      </c>
      <c r="CS1085">
        <v>525</v>
      </c>
      <c r="CT1085">
        <v>1</v>
      </c>
      <c r="CU1085" t="s">
        <v>140</v>
      </c>
      <c r="CV1085" t="s">
        <v>141</v>
      </c>
      <c r="CY1085">
        <v>8737324</v>
      </c>
      <c r="CZ1085" t="s">
        <v>119</v>
      </c>
    </row>
    <row r="1086" spans="1:104" x14ac:dyDescent="0.25">
      <c r="A1086" t="str">
        <f>"14:08:27.578"</f>
        <v>14:08:27.578</v>
      </c>
      <c r="B1086" t="s">
        <v>108</v>
      </c>
      <c r="C1086" t="str">
        <f t="shared" si="49"/>
        <v>ffdfd3c0</v>
      </c>
      <c r="D1086" t="s">
        <v>109</v>
      </c>
      <c r="E1086">
        <v>4</v>
      </c>
      <c r="F1086">
        <v>1004</v>
      </c>
      <c r="G1086" t="s">
        <v>110</v>
      </c>
      <c r="J1086" t="s">
        <v>111</v>
      </c>
      <c r="K1086">
        <v>0</v>
      </c>
      <c r="L1086">
        <v>3</v>
      </c>
      <c r="M1086">
        <v>0</v>
      </c>
      <c r="N1086">
        <v>2</v>
      </c>
      <c r="O1086">
        <v>1</v>
      </c>
      <c r="P1086">
        <v>0</v>
      </c>
      <c r="Q1086">
        <v>0</v>
      </c>
      <c r="R1086" t="s">
        <v>112</v>
      </c>
      <c r="S1086" t="str">
        <f>"14:08:27.406"</f>
        <v>14:08:27.406</v>
      </c>
      <c r="T1086" t="str">
        <f>"14:08:27.008"</f>
        <v>14:08:27.008</v>
      </c>
      <c r="U1086" t="str">
        <f t="shared" si="48"/>
        <v>ad5732</v>
      </c>
      <c r="V1086">
        <v>0</v>
      </c>
      <c r="W1086">
        <v>0</v>
      </c>
      <c r="X1086">
        <v>1</v>
      </c>
      <c r="Z1086">
        <v>0</v>
      </c>
      <c r="AA1086">
        <v>9</v>
      </c>
      <c r="AB1086">
        <v>3</v>
      </c>
      <c r="AC1086">
        <v>0</v>
      </c>
      <c r="AD1086">
        <v>10</v>
      </c>
      <c r="AE1086">
        <v>0</v>
      </c>
      <c r="AF1086">
        <v>3</v>
      </c>
      <c r="AG1086">
        <v>2</v>
      </c>
      <c r="AH1086">
        <v>0</v>
      </c>
      <c r="AI1086" t="s">
        <v>2271</v>
      </c>
      <c r="AJ1086">
        <v>39.467675999999997</v>
      </c>
      <c r="AK1086" t="s">
        <v>2272</v>
      </c>
      <c r="AL1086">
        <v>-76.791686999999996</v>
      </c>
      <c r="AM1086">
        <v>100</v>
      </c>
      <c r="AN1086">
        <v>8700</v>
      </c>
      <c r="AO1086" t="s">
        <v>115</v>
      </c>
      <c r="AP1086">
        <v>168</v>
      </c>
      <c r="AQ1086">
        <v>88</v>
      </c>
      <c r="AR1086">
        <v>64</v>
      </c>
      <c r="AZ1086">
        <v>3614</v>
      </c>
      <c r="BA1086">
        <v>1</v>
      </c>
      <c r="BB1086" t="str">
        <f t="shared" si="50"/>
        <v xml:space="preserve">N959MJ  </v>
      </c>
      <c r="BC1086">
        <v>1</v>
      </c>
      <c r="BE1086">
        <v>0</v>
      </c>
      <c r="BF1086">
        <v>0</v>
      </c>
      <c r="BG1086">
        <v>0</v>
      </c>
      <c r="BH1086">
        <v>9025</v>
      </c>
      <c r="BI1086">
        <v>325</v>
      </c>
      <c r="BJ1086">
        <v>1</v>
      </c>
      <c r="BK1086">
        <v>1</v>
      </c>
      <c r="BL1086">
        <v>1</v>
      </c>
      <c r="BM1086">
        <v>0</v>
      </c>
      <c r="BP1086">
        <v>0</v>
      </c>
      <c r="BQ1086">
        <v>0</v>
      </c>
      <c r="BX1086" t="str">
        <f>"14:08:27.414"</f>
        <v>14:08:27.414</v>
      </c>
      <c r="BY1086" t="str">
        <f>"412483264"</f>
        <v>412483264</v>
      </c>
      <c r="CL1086">
        <v>0</v>
      </c>
      <c r="CM1086">
        <v>2</v>
      </c>
      <c r="CN1086">
        <v>0</v>
      </c>
      <c r="CO1086">
        <v>2</v>
      </c>
      <c r="CP1086">
        <v>0</v>
      </c>
      <c r="CQ1086">
        <v>6</v>
      </c>
      <c r="CR1086" t="s">
        <v>116</v>
      </c>
      <c r="CS1086">
        <v>396</v>
      </c>
      <c r="CT1086">
        <v>2</v>
      </c>
      <c r="CU1086" t="s">
        <v>939</v>
      </c>
      <c r="CV1086" t="s">
        <v>940</v>
      </c>
      <c r="CY1086">
        <v>4645026</v>
      </c>
      <c r="CZ1086" t="s">
        <v>119</v>
      </c>
    </row>
    <row r="1087" spans="1:104" x14ac:dyDescent="0.25">
      <c r="A1087" t="str">
        <f>"14:08:28.688"</f>
        <v>14:08:28.688</v>
      </c>
      <c r="B1087" t="s">
        <v>108</v>
      </c>
      <c r="C1087" t="str">
        <f t="shared" si="49"/>
        <v>ffdfd3c0</v>
      </c>
      <c r="D1087" t="s">
        <v>109</v>
      </c>
      <c r="E1087">
        <v>4</v>
      </c>
      <c r="F1087">
        <v>1004</v>
      </c>
      <c r="G1087" t="s">
        <v>110</v>
      </c>
      <c r="J1087" t="s">
        <v>111</v>
      </c>
      <c r="K1087">
        <v>0</v>
      </c>
      <c r="L1087">
        <v>3</v>
      </c>
      <c r="M1087">
        <v>0</v>
      </c>
      <c r="N1087">
        <v>2</v>
      </c>
      <c r="O1087">
        <v>1</v>
      </c>
      <c r="P1087">
        <v>0</v>
      </c>
      <c r="Q1087">
        <v>0</v>
      </c>
      <c r="R1087" t="s">
        <v>112</v>
      </c>
      <c r="S1087" t="str">
        <f>"14:08:28.492"</f>
        <v>14:08:28.492</v>
      </c>
      <c r="T1087" t="str">
        <f>"14:08:28.094"</f>
        <v>14:08:28.094</v>
      </c>
      <c r="U1087" t="str">
        <f t="shared" si="48"/>
        <v>ad5732</v>
      </c>
      <c r="V1087">
        <v>0</v>
      </c>
      <c r="W1087">
        <v>0</v>
      </c>
      <c r="X1087">
        <v>1</v>
      </c>
      <c r="Z1087">
        <v>0</v>
      </c>
      <c r="AA1087">
        <v>9</v>
      </c>
      <c r="AB1087">
        <v>3</v>
      </c>
      <c r="AC1087">
        <v>0</v>
      </c>
      <c r="AD1087">
        <v>10</v>
      </c>
      <c r="AE1087">
        <v>0</v>
      </c>
      <c r="AF1087">
        <v>3</v>
      </c>
      <c r="AG1087">
        <v>2</v>
      </c>
      <c r="AH1087">
        <v>0</v>
      </c>
      <c r="AI1087" t="s">
        <v>2273</v>
      </c>
      <c r="AJ1087">
        <v>39.468105000000001</v>
      </c>
      <c r="AK1087" t="s">
        <v>2274</v>
      </c>
      <c r="AL1087">
        <v>-76.790549999999996</v>
      </c>
      <c r="AM1087">
        <v>100</v>
      </c>
      <c r="AN1087">
        <v>8700</v>
      </c>
      <c r="AO1087" t="s">
        <v>115</v>
      </c>
      <c r="AP1087">
        <v>167</v>
      </c>
      <c r="AQ1087">
        <v>88</v>
      </c>
      <c r="AR1087">
        <v>64</v>
      </c>
      <c r="AZ1087">
        <v>3614</v>
      </c>
      <c r="BA1087">
        <v>1</v>
      </c>
      <c r="BB1087" t="str">
        <f t="shared" si="50"/>
        <v xml:space="preserve">N959MJ  </v>
      </c>
      <c r="BC1087">
        <v>1</v>
      </c>
      <c r="BE1087">
        <v>0</v>
      </c>
      <c r="BF1087">
        <v>0</v>
      </c>
      <c r="BG1087">
        <v>0</v>
      </c>
      <c r="BH1087">
        <v>9025</v>
      </c>
      <c r="BI1087">
        <v>325</v>
      </c>
      <c r="BJ1087">
        <v>1</v>
      </c>
      <c r="BK1087">
        <v>1</v>
      </c>
      <c r="BL1087">
        <v>1</v>
      </c>
      <c r="BM1087">
        <v>0</v>
      </c>
      <c r="BP1087">
        <v>0</v>
      </c>
      <c r="BQ1087">
        <v>0</v>
      </c>
      <c r="BX1087" t="str">
        <f>"14:08:28.492"</f>
        <v>14:08:28.492</v>
      </c>
      <c r="BY1087" t="str">
        <f>"492188871"</f>
        <v>492188871</v>
      </c>
      <c r="CL1087">
        <v>0</v>
      </c>
      <c r="CM1087">
        <v>2</v>
      </c>
      <c r="CN1087">
        <v>0</v>
      </c>
      <c r="CO1087">
        <v>2</v>
      </c>
      <c r="CP1087">
        <v>0</v>
      </c>
      <c r="CQ1087">
        <v>6</v>
      </c>
      <c r="CR1087" t="s">
        <v>116</v>
      </c>
      <c r="CS1087">
        <v>525</v>
      </c>
      <c r="CT1087">
        <v>1</v>
      </c>
      <c r="CU1087" t="s">
        <v>140</v>
      </c>
      <c r="CV1087" t="s">
        <v>141</v>
      </c>
      <c r="CY1087">
        <v>8740372</v>
      </c>
      <c r="CZ1087" t="s">
        <v>119</v>
      </c>
    </row>
    <row r="1088" spans="1:104" x14ac:dyDescent="0.25">
      <c r="A1088" t="str">
        <f>"14:08:29.648"</f>
        <v>14:08:29.648</v>
      </c>
      <c r="B1088" t="s">
        <v>108</v>
      </c>
      <c r="C1088" t="str">
        <f t="shared" si="49"/>
        <v>ffdfd3c0</v>
      </c>
      <c r="D1088" t="s">
        <v>109</v>
      </c>
      <c r="E1088">
        <v>4</v>
      </c>
      <c r="F1088">
        <v>1004</v>
      </c>
      <c r="G1088" t="s">
        <v>110</v>
      </c>
      <c r="J1088" t="s">
        <v>111</v>
      </c>
      <c r="K1088">
        <v>0</v>
      </c>
      <c r="L1088">
        <v>3</v>
      </c>
      <c r="M1088">
        <v>0</v>
      </c>
      <c r="N1088">
        <v>2</v>
      </c>
      <c r="O1088">
        <v>1</v>
      </c>
      <c r="P1088">
        <v>0</v>
      </c>
      <c r="Q1088">
        <v>0</v>
      </c>
      <c r="R1088" t="s">
        <v>112</v>
      </c>
      <c r="S1088" t="str">
        <f>"14:08:29.461"</f>
        <v>14:08:29.461</v>
      </c>
      <c r="T1088" t="str">
        <f>"14:08:29.063"</f>
        <v>14:08:29.063</v>
      </c>
      <c r="U1088" t="str">
        <f t="shared" si="48"/>
        <v>ad5732</v>
      </c>
      <c r="V1088">
        <v>0</v>
      </c>
      <c r="W1088">
        <v>0</v>
      </c>
      <c r="X1088">
        <v>1</v>
      </c>
      <c r="Z1088">
        <v>0</v>
      </c>
      <c r="AA1088">
        <v>9</v>
      </c>
      <c r="AB1088">
        <v>3</v>
      </c>
      <c r="AC1088">
        <v>0</v>
      </c>
      <c r="AD1088">
        <v>10</v>
      </c>
      <c r="AE1088">
        <v>0</v>
      </c>
      <c r="AF1088">
        <v>3</v>
      </c>
      <c r="AG1088">
        <v>2</v>
      </c>
      <c r="AH1088">
        <v>0</v>
      </c>
      <c r="AI1088" t="s">
        <v>2275</v>
      </c>
      <c r="AJ1088">
        <v>39.468470000000003</v>
      </c>
      <c r="AK1088" t="s">
        <v>2276</v>
      </c>
      <c r="AL1088">
        <v>-76.789670000000001</v>
      </c>
      <c r="AM1088">
        <v>100</v>
      </c>
      <c r="AN1088">
        <v>8700</v>
      </c>
      <c r="AO1088" t="s">
        <v>115</v>
      </c>
      <c r="AP1088">
        <v>167</v>
      </c>
      <c r="AQ1088">
        <v>88</v>
      </c>
      <c r="AR1088">
        <v>64</v>
      </c>
      <c r="AZ1088">
        <v>3614</v>
      </c>
      <c r="BA1088">
        <v>1</v>
      </c>
      <c r="BB1088" t="str">
        <f t="shared" si="50"/>
        <v xml:space="preserve">N959MJ  </v>
      </c>
      <c r="BC1088">
        <v>1</v>
      </c>
      <c r="BE1088">
        <v>0</v>
      </c>
      <c r="BF1088">
        <v>0</v>
      </c>
      <c r="BG1088">
        <v>0</v>
      </c>
      <c r="BH1088">
        <v>9025</v>
      </c>
      <c r="BI1088">
        <v>325</v>
      </c>
      <c r="BJ1088">
        <v>1</v>
      </c>
      <c r="BK1088">
        <v>1</v>
      </c>
      <c r="BL1088">
        <v>1</v>
      </c>
      <c r="BM1088">
        <v>0</v>
      </c>
      <c r="BP1088">
        <v>0</v>
      </c>
      <c r="BQ1088">
        <v>0</v>
      </c>
      <c r="BX1088" t="str">
        <f>"14:08:29.461"</f>
        <v>14:08:29.461</v>
      </c>
      <c r="BY1088" t="str">
        <f>"462197795"</f>
        <v>462197795</v>
      </c>
      <c r="CL1088">
        <v>0</v>
      </c>
      <c r="CM1088">
        <v>2</v>
      </c>
      <c r="CN1088">
        <v>0</v>
      </c>
      <c r="CO1088">
        <v>2</v>
      </c>
      <c r="CP1088">
        <v>0</v>
      </c>
      <c r="CQ1088">
        <v>6</v>
      </c>
      <c r="CR1088" t="s">
        <v>116</v>
      </c>
      <c r="CS1088">
        <v>372</v>
      </c>
      <c r="CT1088">
        <v>3</v>
      </c>
      <c r="CU1088" t="s">
        <v>877</v>
      </c>
      <c r="CV1088" t="s">
        <v>878</v>
      </c>
      <c r="CY1088">
        <v>11294853</v>
      </c>
      <c r="CZ1088" t="s">
        <v>119</v>
      </c>
    </row>
    <row r="1089" spans="1:104" x14ac:dyDescent="0.25">
      <c r="A1089" t="str">
        <f>"14:08:30.555"</f>
        <v>14:08:30.555</v>
      </c>
      <c r="B1089" t="s">
        <v>108</v>
      </c>
      <c r="C1089" t="str">
        <f t="shared" si="49"/>
        <v>ffdfd3c0</v>
      </c>
      <c r="D1089" t="s">
        <v>109</v>
      </c>
      <c r="E1089">
        <v>4</v>
      </c>
      <c r="F1089">
        <v>1004</v>
      </c>
      <c r="G1089" t="s">
        <v>110</v>
      </c>
      <c r="J1089" t="s">
        <v>111</v>
      </c>
      <c r="K1089">
        <v>0</v>
      </c>
      <c r="L1089">
        <v>3</v>
      </c>
      <c r="M1089">
        <v>0</v>
      </c>
      <c r="N1089">
        <v>2</v>
      </c>
      <c r="O1089">
        <v>1</v>
      </c>
      <c r="P1089">
        <v>0</v>
      </c>
      <c r="Q1089">
        <v>0</v>
      </c>
      <c r="R1089" t="s">
        <v>112</v>
      </c>
      <c r="S1089" t="str">
        <f>"14:08:30.391"</f>
        <v>14:08:30.391</v>
      </c>
      <c r="T1089" t="str">
        <f>"14:08:29.992"</f>
        <v>14:08:29.992</v>
      </c>
      <c r="U1089" t="str">
        <f t="shared" si="48"/>
        <v>ad5732</v>
      </c>
      <c r="V1089">
        <v>0</v>
      </c>
      <c r="W1089">
        <v>0</v>
      </c>
      <c r="X1089">
        <v>1</v>
      </c>
      <c r="Z1089">
        <v>0</v>
      </c>
      <c r="AA1089">
        <v>9</v>
      </c>
      <c r="AB1089">
        <v>3</v>
      </c>
      <c r="AC1089">
        <v>0</v>
      </c>
      <c r="AD1089">
        <v>10</v>
      </c>
      <c r="AE1089">
        <v>0</v>
      </c>
      <c r="AF1089">
        <v>3</v>
      </c>
      <c r="AG1089">
        <v>2</v>
      </c>
      <c r="AH1089">
        <v>0</v>
      </c>
      <c r="AI1089" t="s">
        <v>2277</v>
      </c>
      <c r="AJ1089">
        <v>39.468899</v>
      </c>
      <c r="AK1089" t="s">
        <v>2278</v>
      </c>
      <c r="AL1089">
        <v>-76.788703999999996</v>
      </c>
      <c r="AM1089">
        <v>100</v>
      </c>
      <c r="AN1089">
        <v>8700</v>
      </c>
      <c r="AO1089" t="s">
        <v>115</v>
      </c>
      <c r="AP1089">
        <v>167</v>
      </c>
      <c r="AQ1089">
        <v>89</v>
      </c>
      <c r="AR1089">
        <v>64</v>
      </c>
      <c r="AZ1089">
        <v>3614</v>
      </c>
      <c r="BA1089">
        <v>1</v>
      </c>
      <c r="BB1089" t="str">
        <f t="shared" si="50"/>
        <v xml:space="preserve">N959MJ  </v>
      </c>
      <c r="BC1089">
        <v>1</v>
      </c>
      <c r="BE1089">
        <v>0</v>
      </c>
      <c r="BF1089">
        <v>0</v>
      </c>
      <c r="BG1089">
        <v>0</v>
      </c>
      <c r="BH1089">
        <v>9025</v>
      </c>
      <c r="BI1089">
        <v>325</v>
      </c>
      <c r="BJ1089">
        <v>1</v>
      </c>
      <c r="BK1089">
        <v>1</v>
      </c>
      <c r="BL1089">
        <v>1</v>
      </c>
      <c r="BM1089">
        <v>0</v>
      </c>
      <c r="BP1089">
        <v>0</v>
      </c>
      <c r="BQ1089">
        <v>0</v>
      </c>
      <c r="BX1089" t="str">
        <f>"14:08:30.391"</f>
        <v>14:08:30.391</v>
      </c>
      <c r="BY1089" t="str">
        <f>"394406361"</f>
        <v>394406361</v>
      </c>
      <c r="CL1089">
        <v>0</v>
      </c>
      <c r="CM1089">
        <v>2</v>
      </c>
      <c r="CN1089">
        <v>0</v>
      </c>
      <c r="CO1089">
        <v>2</v>
      </c>
      <c r="CP1089">
        <v>0</v>
      </c>
      <c r="CQ1089">
        <v>6</v>
      </c>
      <c r="CR1089" t="s">
        <v>116</v>
      </c>
      <c r="CS1089">
        <v>147</v>
      </c>
      <c r="CT1089">
        <v>0</v>
      </c>
      <c r="CU1089" t="s">
        <v>117</v>
      </c>
      <c r="CV1089" t="s">
        <v>118</v>
      </c>
      <c r="CY1089">
        <v>5668024</v>
      </c>
      <c r="CZ1089" t="s">
        <v>119</v>
      </c>
    </row>
    <row r="1090" spans="1:104" x14ac:dyDescent="0.25">
      <c r="A1090" t="str">
        <f>"14:08:31.469"</f>
        <v>14:08:31.469</v>
      </c>
      <c r="B1090" t="s">
        <v>108</v>
      </c>
      <c r="C1090" t="str">
        <f t="shared" si="49"/>
        <v>ffdfd3c0</v>
      </c>
      <c r="D1090" t="s">
        <v>109</v>
      </c>
      <c r="E1090">
        <v>4</v>
      </c>
      <c r="F1090">
        <v>1004</v>
      </c>
      <c r="G1090" t="s">
        <v>110</v>
      </c>
      <c r="J1090" t="s">
        <v>111</v>
      </c>
      <c r="K1090">
        <v>0</v>
      </c>
      <c r="L1090">
        <v>3</v>
      </c>
      <c r="M1090">
        <v>0</v>
      </c>
      <c r="N1090">
        <v>2</v>
      </c>
      <c r="O1090">
        <v>1</v>
      </c>
      <c r="P1090">
        <v>0</v>
      </c>
      <c r="Q1090">
        <v>0</v>
      </c>
      <c r="R1090" t="s">
        <v>112</v>
      </c>
      <c r="S1090" t="str">
        <f>"14:08:31.320"</f>
        <v>14:08:31.320</v>
      </c>
      <c r="T1090" t="str">
        <f>"14:08:30.922"</f>
        <v>14:08:30.922</v>
      </c>
      <c r="U1090" t="str">
        <f t="shared" ref="U1090:U1153" si="51">"ad5732"</f>
        <v>ad5732</v>
      </c>
      <c r="V1090">
        <v>0</v>
      </c>
      <c r="W1090">
        <v>0</v>
      </c>
      <c r="X1090">
        <v>1</v>
      </c>
      <c r="Z1090">
        <v>0</v>
      </c>
      <c r="AA1090">
        <v>9</v>
      </c>
      <c r="AB1090">
        <v>3</v>
      </c>
      <c r="AC1090">
        <v>0</v>
      </c>
      <c r="AD1090">
        <v>10</v>
      </c>
      <c r="AE1090">
        <v>0</v>
      </c>
      <c r="AF1090">
        <v>3</v>
      </c>
      <c r="AG1090">
        <v>2</v>
      </c>
      <c r="AH1090">
        <v>0</v>
      </c>
      <c r="AI1090" t="s">
        <v>2279</v>
      </c>
      <c r="AJ1090">
        <v>39.469264000000003</v>
      </c>
      <c r="AK1090" t="s">
        <v>2280</v>
      </c>
      <c r="AL1090">
        <v>-76.787802999999997</v>
      </c>
      <c r="AM1090">
        <v>100</v>
      </c>
      <c r="AN1090">
        <v>8700</v>
      </c>
      <c r="AO1090" t="s">
        <v>115</v>
      </c>
      <c r="AP1090">
        <v>167</v>
      </c>
      <c r="AQ1090">
        <v>89</v>
      </c>
      <c r="AR1090">
        <v>64</v>
      </c>
      <c r="AZ1090">
        <v>3614</v>
      </c>
      <c r="BA1090">
        <v>1</v>
      </c>
      <c r="BB1090" t="str">
        <f t="shared" si="50"/>
        <v xml:space="preserve">N959MJ  </v>
      </c>
      <c r="BC1090">
        <v>1</v>
      </c>
      <c r="BE1090">
        <v>0</v>
      </c>
      <c r="BF1090">
        <v>0</v>
      </c>
      <c r="BG1090">
        <v>0</v>
      </c>
      <c r="BH1090">
        <v>9025</v>
      </c>
      <c r="BI1090">
        <v>325</v>
      </c>
      <c r="BJ1090">
        <v>1</v>
      </c>
      <c r="BK1090">
        <v>1</v>
      </c>
      <c r="BL1090">
        <v>1</v>
      </c>
      <c r="BM1090">
        <v>0</v>
      </c>
      <c r="BP1090">
        <v>0</v>
      </c>
      <c r="BQ1090">
        <v>0</v>
      </c>
      <c r="BX1090" t="str">
        <f>"14:08:31.320"</f>
        <v>14:08:31.320</v>
      </c>
      <c r="BY1090" t="str">
        <f>"321812373"</f>
        <v>321812373</v>
      </c>
      <c r="CL1090">
        <v>0</v>
      </c>
      <c r="CM1090">
        <v>2</v>
      </c>
      <c r="CN1090">
        <v>0</v>
      </c>
      <c r="CO1090">
        <v>2</v>
      </c>
      <c r="CP1090">
        <v>0</v>
      </c>
      <c r="CQ1090">
        <v>6</v>
      </c>
      <c r="CR1090" t="s">
        <v>116</v>
      </c>
      <c r="CS1090">
        <v>372</v>
      </c>
      <c r="CT1090">
        <v>3</v>
      </c>
      <c r="CU1090" t="s">
        <v>877</v>
      </c>
      <c r="CV1090" t="s">
        <v>878</v>
      </c>
      <c r="CY1090">
        <v>11298308</v>
      </c>
      <c r="CZ1090" t="s">
        <v>119</v>
      </c>
    </row>
    <row r="1091" spans="1:104" x14ac:dyDescent="0.25">
      <c r="A1091" t="str">
        <f>"14:08:32.531"</f>
        <v>14:08:32.531</v>
      </c>
      <c r="B1091" t="s">
        <v>108</v>
      </c>
      <c r="C1091" t="str">
        <f t="shared" si="49"/>
        <v>ffdfd3c0</v>
      </c>
      <c r="D1091" t="s">
        <v>109</v>
      </c>
      <c r="E1091">
        <v>4</v>
      </c>
      <c r="F1091">
        <v>1004</v>
      </c>
      <c r="G1091" t="s">
        <v>110</v>
      </c>
      <c r="J1091" t="s">
        <v>111</v>
      </c>
      <c r="K1091">
        <v>0</v>
      </c>
      <c r="L1091">
        <v>3</v>
      </c>
      <c r="M1091">
        <v>0</v>
      </c>
      <c r="N1091">
        <v>2</v>
      </c>
      <c r="O1091">
        <v>1</v>
      </c>
      <c r="P1091">
        <v>0</v>
      </c>
      <c r="Q1091">
        <v>0</v>
      </c>
      <c r="R1091" t="s">
        <v>112</v>
      </c>
      <c r="S1091" t="str">
        <f>"14:08:32.328"</f>
        <v>14:08:32.328</v>
      </c>
      <c r="T1091" t="str">
        <f>"14:08:31.930"</f>
        <v>14:08:31.930</v>
      </c>
      <c r="U1091" t="str">
        <f t="shared" si="51"/>
        <v>ad5732</v>
      </c>
      <c r="V1091">
        <v>0</v>
      </c>
      <c r="W1091">
        <v>0</v>
      </c>
      <c r="X1091">
        <v>1</v>
      </c>
      <c r="Z1091">
        <v>0</v>
      </c>
      <c r="AA1091">
        <v>9</v>
      </c>
      <c r="AB1091">
        <v>3</v>
      </c>
      <c r="AC1091">
        <v>0</v>
      </c>
      <c r="AD1091">
        <v>10</v>
      </c>
      <c r="AE1091">
        <v>0</v>
      </c>
      <c r="AF1091">
        <v>3</v>
      </c>
      <c r="AG1091">
        <v>2</v>
      </c>
      <c r="AH1091">
        <v>0</v>
      </c>
      <c r="AI1091" t="s">
        <v>2281</v>
      </c>
      <c r="AJ1091">
        <v>39.469670999999998</v>
      </c>
      <c r="AK1091" t="s">
        <v>2282</v>
      </c>
      <c r="AL1091">
        <v>-76.786794999999998</v>
      </c>
      <c r="AM1091">
        <v>100</v>
      </c>
      <c r="AN1091">
        <v>8700</v>
      </c>
      <c r="AO1091" t="s">
        <v>115</v>
      </c>
      <c r="AP1091">
        <v>166</v>
      </c>
      <c r="AQ1091">
        <v>90</v>
      </c>
      <c r="AR1091">
        <v>64</v>
      </c>
      <c r="AZ1091">
        <v>3614</v>
      </c>
      <c r="BA1091">
        <v>1</v>
      </c>
      <c r="BB1091" t="str">
        <f t="shared" si="50"/>
        <v xml:space="preserve">N959MJ  </v>
      </c>
      <c r="BC1091">
        <v>1</v>
      </c>
      <c r="BE1091">
        <v>0</v>
      </c>
      <c r="BF1091">
        <v>0</v>
      </c>
      <c r="BG1091">
        <v>0</v>
      </c>
      <c r="BH1091">
        <v>9025</v>
      </c>
      <c r="BI1091">
        <v>325</v>
      </c>
      <c r="BJ1091">
        <v>1</v>
      </c>
      <c r="BK1091">
        <v>1</v>
      </c>
      <c r="BL1091">
        <v>1</v>
      </c>
      <c r="BM1091">
        <v>0</v>
      </c>
      <c r="BP1091">
        <v>0</v>
      </c>
      <c r="BQ1091">
        <v>0</v>
      </c>
      <c r="BX1091" t="str">
        <f>"14:08:32.328"</f>
        <v>14:08:32.328</v>
      </c>
      <c r="BY1091" t="str">
        <f>"331040004"</f>
        <v>331040004</v>
      </c>
      <c r="CL1091">
        <v>0</v>
      </c>
      <c r="CM1091">
        <v>2</v>
      </c>
      <c r="CN1091">
        <v>0</v>
      </c>
      <c r="CO1091">
        <v>2</v>
      </c>
      <c r="CP1091">
        <v>0</v>
      </c>
      <c r="CQ1091">
        <v>6</v>
      </c>
      <c r="CR1091" t="s">
        <v>116</v>
      </c>
      <c r="CS1091">
        <v>396</v>
      </c>
      <c r="CT1091">
        <v>2</v>
      </c>
      <c r="CU1091" t="s">
        <v>939</v>
      </c>
      <c r="CV1091" t="s">
        <v>940</v>
      </c>
      <c r="CY1091">
        <v>4653952</v>
      </c>
      <c r="CZ1091" t="s">
        <v>119</v>
      </c>
    </row>
    <row r="1092" spans="1:104" x14ac:dyDescent="0.25">
      <c r="A1092" t="str">
        <f>"14:08:33.383"</f>
        <v>14:08:33.383</v>
      </c>
      <c r="B1092" t="s">
        <v>108</v>
      </c>
      <c r="C1092" t="str">
        <f t="shared" si="49"/>
        <v>ffdfd3c0</v>
      </c>
      <c r="D1092" t="s">
        <v>109</v>
      </c>
      <c r="E1092">
        <v>4</v>
      </c>
      <c r="F1092">
        <v>1004</v>
      </c>
      <c r="G1092" t="s">
        <v>110</v>
      </c>
      <c r="J1092" t="s">
        <v>111</v>
      </c>
      <c r="K1092">
        <v>0</v>
      </c>
      <c r="L1092">
        <v>3</v>
      </c>
      <c r="M1092">
        <v>0</v>
      </c>
      <c r="N1092">
        <v>2</v>
      </c>
      <c r="O1092">
        <v>1</v>
      </c>
      <c r="P1092">
        <v>0</v>
      </c>
      <c r="Q1092">
        <v>0</v>
      </c>
      <c r="R1092" t="s">
        <v>112</v>
      </c>
      <c r="S1092" t="str">
        <f>"14:08:33.211"</f>
        <v>14:08:33.211</v>
      </c>
      <c r="T1092" t="str">
        <f>"14:08:32.813"</f>
        <v>14:08:32.813</v>
      </c>
      <c r="U1092" t="str">
        <f t="shared" si="51"/>
        <v>ad5732</v>
      </c>
      <c r="V1092">
        <v>0</v>
      </c>
      <c r="W1092">
        <v>0</v>
      </c>
      <c r="X1092">
        <v>1</v>
      </c>
      <c r="Z1092">
        <v>0</v>
      </c>
      <c r="AA1092">
        <v>9</v>
      </c>
      <c r="AB1092">
        <v>3</v>
      </c>
      <c r="AC1092">
        <v>0</v>
      </c>
      <c r="AD1092">
        <v>10</v>
      </c>
      <c r="AE1092">
        <v>0</v>
      </c>
      <c r="AF1092">
        <v>3</v>
      </c>
      <c r="AG1092">
        <v>2</v>
      </c>
      <c r="AH1092">
        <v>0</v>
      </c>
      <c r="AI1092" t="s">
        <v>2283</v>
      </c>
      <c r="AJ1092">
        <v>39.470056999999997</v>
      </c>
      <c r="AK1092" t="s">
        <v>2284</v>
      </c>
      <c r="AL1092">
        <v>-76.785893000000002</v>
      </c>
      <c r="AM1092">
        <v>100</v>
      </c>
      <c r="AN1092">
        <v>8700</v>
      </c>
      <c r="AO1092" t="s">
        <v>115</v>
      </c>
      <c r="AP1092">
        <v>166</v>
      </c>
      <c r="AQ1092">
        <v>90</v>
      </c>
      <c r="AR1092">
        <v>0</v>
      </c>
      <c r="AZ1092">
        <v>3614</v>
      </c>
      <c r="BA1092">
        <v>1</v>
      </c>
      <c r="BB1092" t="str">
        <f t="shared" si="50"/>
        <v xml:space="preserve">N959MJ  </v>
      </c>
      <c r="BC1092">
        <v>1</v>
      </c>
      <c r="BE1092">
        <v>0</v>
      </c>
      <c r="BF1092">
        <v>0</v>
      </c>
      <c r="BG1092">
        <v>0</v>
      </c>
      <c r="BH1092">
        <v>9025</v>
      </c>
      <c r="BI1092">
        <v>325</v>
      </c>
      <c r="BJ1092">
        <v>1</v>
      </c>
      <c r="BK1092">
        <v>1</v>
      </c>
      <c r="BL1092">
        <v>1</v>
      </c>
      <c r="BM1092">
        <v>0</v>
      </c>
      <c r="BP1092">
        <v>0</v>
      </c>
      <c r="BQ1092">
        <v>0</v>
      </c>
      <c r="BX1092" t="str">
        <f>"14:08:33.211"</f>
        <v>14:08:33.211</v>
      </c>
      <c r="BY1092" t="str">
        <f>"214136970"</f>
        <v>214136970</v>
      </c>
      <c r="CL1092">
        <v>0</v>
      </c>
      <c r="CM1092">
        <v>2</v>
      </c>
      <c r="CN1092">
        <v>0</v>
      </c>
      <c r="CO1092">
        <v>2</v>
      </c>
      <c r="CP1092">
        <v>0</v>
      </c>
      <c r="CQ1092">
        <v>6</v>
      </c>
      <c r="CR1092" t="s">
        <v>116</v>
      </c>
      <c r="CS1092">
        <v>525</v>
      </c>
      <c r="CT1092">
        <v>1</v>
      </c>
      <c r="CU1092" t="s">
        <v>140</v>
      </c>
      <c r="CV1092" t="s">
        <v>141</v>
      </c>
      <c r="CY1092">
        <v>8747435</v>
      </c>
      <c r="CZ1092" t="s">
        <v>119</v>
      </c>
    </row>
    <row r="1093" spans="1:104" x14ac:dyDescent="0.25">
      <c r="A1093" t="str">
        <f>"14:08:34.297"</f>
        <v>14:08:34.297</v>
      </c>
      <c r="B1093" t="s">
        <v>108</v>
      </c>
      <c r="C1093" t="str">
        <f t="shared" si="49"/>
        <v>ffdfd3c0</v>
      </c>
      <c r="D1093" t="s">
        <v>109</v>
      </c>
      <c r="E1093">
        <v>4</v>
      </c>
      <c r="F1093">
        <v>1004</v>
      </c>
      <c r="G1093" t="s">
        <v>110</v>
      </c>
      <c r="J1093" t="s">
        <v>111</v>
      </c>
      <c r="K1093">
        <v>0</v>
      </c>
      <c r="L1093">
        <v>3</v>
      </c>
      <c r="M1093">
        <v>0</v>
      </c>
      <c r="N1093">
        <v>2</v>
      </c>
      <c r="O1093">
        <v>1</v>
      </c>
      <c r="P1093">
        <v>0</v>
      </c>
      <c r="Q1093">
        <v>0</v>
      </c>
      <c r="R1093" t="s">
        <v>112</v>
      </c>
      <c r="S1093" t="str">
        <f>"14:08:34.141"</f>
        <v>14:08:34.141</v>
      </c>
      <c r="T1093" t="str">
        <f>"14:08:33.742"</f>
        <v>14:08:33.742</v>
      </c>
      <c r="U1093" t="str">
        <f t="shared" si="51"/>
        <v>ad5732</v>
      </c>
      <c r="V1093">
        <v>0</v>
      </c>
      <c r="W1093">
        <v>0</v>
      </c>
      <c r="X1093">
        <v>1</v>
      </c>
      <c r="Z1093">
        <v>0</v>
      </c>
      <c r="AA1093">
        <v>9</v>
      </c>
      <c r="AB1093">
        <v>3</v>
      </c>
      <c r="AC1093">
        <v>0</v>
      </c>
      <c r="AD1093">
        <v>10</v>
      </c>
      <c r="AE1093">
        <v>0</v>
      </c>
      <c r="AF1093">
        <v>3</v>
      </c>
      <c r="AG1093">
        <v>2</v>
      </c>
      <c r="AH1093">
        <v>0</v>
      </c>
      <c r="AI1093" t="s">
        <v>2285</v>
      </c>
      <c r="AJ1093">
        <v>39.470444000000001</v>
      </c>
      <c r="AK1093" t="s">
        <v>2286</v>
      </c>
      <c r="AL1093">
        <v>-76.784992000000003</v>
      </c>
      <c r="AM1093">
        <v>100</v>
      </c>
      <c r="AN1093">
        <v>8700</v>
      </c>
      <c r="AO1093" t="s">
        <v>115</v>
      </c>
      <c r="AP1093">
        <v>166</v>
      </c>
      <c r="AQ1093">
        <v>90</v>
      </c>
      <c r="AR1093">
        <v>0</v>
      </c>
      <c r="AZ1093">
        <v>3614</v>
      </c>
      <c r="BA1093">
        <v>1</v>
      </c>
      <c r="BB1093" t="str">
        <f t="shared" si="50"/>
        <v xml:space="preserve">N959MJ  </v>
      </c>
      <c r="BC1093">
        <v>1</v>
      </c>
      <c r="BE1093">
        <v>0</v>
      </c>
      <c r="BF1093">
        <v>0</v>
      </c>
      <c r="BG1093">
        <v>0</v>
      </c>
      <c r="BH1093">
        <v>9025</v>
      </c>
      <c r="BI1093">
        <v>325</v>
      </c>
      <c r="BJ1093">
        <v>1</v>
      </c>
      <c r="BK1093">
        <v>1</v>
      </c>
      <c r="BL1093">
        <v>1</v>
      </c>
      <c r="BM1093">
        <v>0</v>
      </c>
      <c r="BP1093">
        <v>0</v>
      </c>
      <c r="BQ1093">
        <v>0</v>
      </c>
      <c r="BX1093" t="str">
        <f>"14:08:34.148"</f>
        <v>14:08:34.148</v>
      </c>
      <c r="BY1093" t="str">
        <f>"148055145"</f>
        <v>148055145</v>
      </c>
      <c r="CL1093">
        <v>0</v>
      </c>
      <c r="CM1093">
        <v>2</v>
      </c>
      <c r="CN1093">
        <v>0</v>
      </c>
      <c r="CO1093">
        <v>2</v>
      </c>
      <c r="CP1093">
        <v>0</v>
      </c>
      <c r="CQ1093">
        <v>6</v>
      </c>
      <c r="CR1093" t="s">
        <v>116</v>
      </c>
      <c r="CS1093">
        <v>396</v>
      </c>
      <c r="CT1093">
        <v>2</v>
      </c>
      <c r="CU1093" t="s">
        <v>939</v>
      </c>
      <c r="CV1093" t="s">
        <v>940</v>
      </c>
      <c r="CY1093">
        <v>4657316</v>
      </c>
      <c r="CZ1093" t="s">
        <v>119</v>
      </c>
    </row>
    <row r="1094" spans="1:104" x14ac:dyDescent="0.25">
      <c r="A1094" t="str">
        <f>"14:08:35.352"</f>
        <v>14:08:35.352</v>
      </c>
      <c r="B1094" t="s">
        <v>108</v>
      </c>
      <c r="C1094" t="str">
        <f t="shared" si="49"/>
        <v>ffdfd3c0</v>
      </c>
      <c r="D1094" t="s">
        <v>109</v>
      </c>
      <c r="E1094">
        <v>4</v>
      </c>
      <c r="F1094">
        <v>1004</v>
      </c>
      <c r="G1094" t="s">
        <v>110</v>
      </c>
      <c r="J1094" t="s">
        <v>111</v>
      </c>
      <c r="K1094">
        <v>0</v>
      </c>
      <c r="L1094">
        <v>3</v>
      </c>
      <c r="M1094">
        <v>0</v>
      </c>
      <c r="N1094">
        <v>2</v>
      </c>
      <c r="O1094">
        <v>1</v>
      </c>
      <c r="P1094">
        <v>0</v>
      </c>
      <c r="Q1094">
        <v>0</v>
      </c>
      <c r="R1094" t="s">
        <v>112</v>
      </c>
      <c r="S1094" t="str">
        <f>"14:08:35.172"</f>
        <v>14:08:35.172</v>
      </c>
      <c r="T1094" t="str">
        <f>"14:08:34.672"</f>
        <v>14:08:34.672</v>
      </c>
      <c r="U1094" t="str">
        <f t="shared" si="51"/>
        <v>ad5732</v>
      </c>
      <c r="V1094">
        <v>0</v>
      </c>
      <c r="W1094">
        <v>0</v>
      </c>
      <c r="X1094">
        <v>1</v>
      </c>
      <c r="Z1094">
        <v>0</v>
      </c>
      <c r="AA1094">
        <v>9</v>
      </c>
      <c r="AB1094">
        <v>3</v>
      </c>
      <c r="AC1094">
        <v>0</v>
      </c>
      <c r="AD1094">
        <v>10</v>
      </c>
      <c r="AE1094">
        <v>0</v>
      </c>
      <c r="AF1094">
        <v>3</v>
      </c>
      <c r="AG1094">
        <v>2</v>
      </c>
      <c r="AH1094">
        <v>0</v>
      </c>
      <c r="AI1094" t="s">
        <v>2287</v>
      </c>
      <c r="AJ1094">
        <v>39.470851000000003</v>
      </c>
      <c r="AK1094" t="s">
        <v>2288</v>
      </c>
      <c r="AL1094">
        <v>-76.784047999999999</v>
      </c>
      <c r="AM1094">
        <v>100</v>
      </c>
      <c r="AN1094">
        <v>8700</v>
      </c>
      <c r="AO1094" t="s">
        <v>115</v>
      </c>
      <c r="AP1094">
        <v>166</v>
      </c>
      <c r="AQ1094">
        <v>91</v>
      </c>
      <c r="AR1094">
        <v>0</v>
      </c>
      <c r="AZ1094">
        <v>3614</v>
      </c>
      <c r="BA1094">
        <v>1</v>
      </c>
      <c r="BB1094" t="str">
        <f t="shared" si="50"/>
        <v xml:space="preserve">N959MJ  </v>
      </c>
      <c r="BC1094">
        <v>1</v>
      </c>
      <c r="BE1094">
        <v>0</v>
      </c>
      <c r="BF1094">
        <v>0</v>
      </c>
      <c r="BG1094">
        <v>0</v>
      </c>
      <c r="BH1094">
        <v>9025</v>
      </c>
      <c r="BI1094">
        <v>325</v>
      </c>
      <c r="BJ1094">
        <v>1</v>
      </c>
      <c r="BK1094">
        <v>1</v>
      </c>
      <c r="BL1094">
        <v>1</v>
      </c>
      <c r="BM1094">
        <v>0</v>
      </c>
      <c r="BP1094">
        <v>0</v>
      </c>
      <c r="BQ1094">
        <v>0</v>
      </c>
      <c r="BX1094" t="str">
        <f>"14:08:35.180"</f>
        <v>14:08:35.180</v>
      </c>
      <c r="BY1094" t="str">
        <f>"178614588"</f>
        <v>178614588</v>
      </c>
      <c r="CL1094">
        <v>0</v>
      </c>
      <c r="CM1094">
        <v>2</v>
      </c>
      <c r="CN1094">
        <v>0</v>
      </c>
      <c r="CO1094">
        <v>2</v>
      </c>
      <c r="CP1094">
        <v>0</v>
      </c>
      <c r="CQ1094">
        <v>6</v>
      </c>
      <c r="CR1094" t="s">
        <v>116</v>
      </c>
      <c r="CS1094">
        <v>147</v>
      </c>
      <c r="CT1094">
        <v>0</v>
      </c>
      <c r="CU1094" t="s">
        <v>117</v>
      </c>
      <c r="CV1094" t="s">
        <v>118</v>
      </c>
      <c r="CY1094">
        <v>5676503</v>
      </c>
      <c r="CZ1094" t="s">
        <v>119</v>
      </c>
    </row>
    <row r="1095" spans="1:104" x14ac:dyDescent="0.25">
      <c r="A1095" t="str">
        <f>"14:08:36.414"</f>
        <v>14:08:36.414</v>
      </c>
      <c r="B1095" t="s">
        <v>108</v>
      </c>
      <c r="C1095" t="str">
        <f t="shared" si="49"/>
        <v>ffdfd3c0</v>
      </c>
      <c r="D1095" t="s">
        <v>109</v>
      </c>
      <c r="E1095">
        <v>4</v>
      </c>
      <c r="F1095">
        <v>1004</v>
      </c>
      <c r="G1095" t="s">
        <v>110</v>
      </c>
      <c r="J1095" t="s">
        <v>111</v>
      </c>
      <c r="K1095">
        <v>0</v>
      </c>
      <c r="L1095">
        <v>3</v>
      </c>
      <c r="M1095">
        <v>0</v>
      </c>
      <c r="N1095">
        <v>2</v>
      </c>
      <c r="O1095">
        <v>1</v>
      </c>
      <c r="P1095">
        <v>0</v>
      </c>
      <c r="Q1095">
        <v>0</v>
      </c>
      <c r="R1095" t="s">
        <v>112</v>
      </c>
      <c r="S1095" t="str">
        <f>"14:08:36.227"</f>
        <v>14:08:36.227</v>
      </c>
      <c r="T1095" t="str">
        <f>"14:08:35.727"</f>
        <v>14:08:35.727</v>
      </c>
      <c r="U1095" t="str">
        <f t="shared" si="51"/>
        <v>ad5732</v>
      </c>
      <c r="V1095">
        <v>0</v>
      </c>
      <c r="W1095">
        <v>0</v>
      </c>
      <c r="X1095">
        <v>1</v>
      </c>
      <c r="Z1095">
        <v>0</v>
      </c>
      <c r="AA1095">
        <v>9</v>
      </c>
      <c r="AB1095">
        <v>3</v>
      </c>
      <c r="AC1095">
        <v>0</v>
      </c>
      <c r="AD1095">
        <v>10</v>
      </c>
      <c r="AE1095">
        <v>0</v>
      </c>
      <c r="AF1095">
        <v>3</v>
      </c>
      <c r="AG1095">
        <v>2</v>
      </c>
      <c r="AH1095">
        <v>0</v>
      </c>
      <c r="AI1095" t="s">
        <v>2289</v>
      </c>
      <c r="AJ1095">
        <v>39.471322999999998</v>
      </c>
      <c r="AK1095" t="s">
        <v>2290</v>
      </c>
      <c r="AL1095">
        <v>-76.782888999999997</v>
      </c>
      <c r="AM1095">
        <v>100</v>
      </c>
      <c r="AN1095">
        <v>8700</v>
      </c>
      <c r="AO1095" t="s">
        <v>115</v>
      </c>
      <c r="AP1095">
        <v>166</v>
      </c>
      <c r="AQ1095">
        <v>91</v>
      </c>
      <c r="AR1095">
        <v>0</v>
      </c>
      <c r="AZ1095">
        <v>3614</v>
      </c>
      <c r="BA1095">
        <v>1</v>
      </c>
      <c r="BB1095" t="str">
        <f t="shared" si="50"/>
        <v xml:space="preserve">N959MJ  </v>
      </c>
      <c r="BC1095">
        <v>1</v>
      </c>
      <c r="BE1095">
        <v>0</v>
      </c>
      <c r="BF1095">
        <v>0</v>
      </c>
      <c r="BG1095">
        <v>0</v>
      </c>
      <c r="BH1095">
        <v>9025</v>
      </c>
      <c r="BI1095">
        <v>325</v>
      </c>
      <c r="BJ1095">
        <v>1</v>
      </c>
      <c r="BK1095">
        <v>1</v>
      </c>
      <c r="BL1095">
        <v>1</v>
      </c>
      <c r="BM1095">
        <v>0</v>
      </c>
      <c r="BP1095">
        <v>0</v>
      </c>
      <c r="BQ1095">
        <v>0</v>
      </c>
      <c r="BX1095" t="str">
        <f>"14:08:36.227"</f>
        <v>14:08:36.227</v>
      </c>
      <c r="BY1095" t="str">
        <f>"228856990"</f>
        <v>228856990</v>
      </c>
      <c r="CL1095">
        <v>0</v>
      </c>
      <c r="CM1095">
        <v>2</v>
      </c>
      <c r="CN1095">
        <v>0</v>
      </c>
      <c r="CO1095">
        <v>2</v>
      </c>
      <c r="CP1095">
        <v>0</v>
      </c>
      <c r="CQ1095">
        <v>6</v>
      </c>
      <c r="CR1095" t="s">
        <v>116</v>
      </c>
      <c r="CS1095">
        <v>396</v>
      </c>
      <c r="CT1095">
        <v>2</v>
      </c>
      <c r="CU1095" t="s">
        <v>939</v>
      </c>
      <c r="CV1095" t="s">
        <v>940</v>
      </c>
      <c r="CY1095">
        <v>4661124</v>
      </c>
      <c r="CZ1095" t="s">
        <v>119</v>
      </c>
    </row>
    <row r="1096" spans="1:104" x14ac:dyDescent="0.25">
      <c r="A1096" t="str">
        <f>"14:08:37.375"</f>
        <v>14:08:37.375</v>
      </c>
      <c r="B1096" t="s">
        <v>108</v>
      </c>
      <c r="C1096" t="str">
        <f t="shared" si="49"/>
        <v>ffdfd3c0</v>
      </c>
      <c r="D1096" t="s">
        <v>109</v>
      </c>
      <c r="E1096">
        <v>4</v>
      </c>
      <c r="F1096">
        <v>1004</v>
      </c>
      <c r="G1096" t="s">
        <v>110</v>
      </c>
      <c r="J1096" t="s">
        <v>111</v>
      </c>
      <c r="K1096">
        <v>0</v>
      </c>
      <c r="L1096">
        <v>3</v>
      </c>
      <c r="M1096">
        <v>0</v>
      </c>
      <c r="N1096">
        <v>2</v>
      </c>
      <c r="O1096">
        <v>1</v>
      </c>
      <c r="P1096">
        <v>0</v>
      </c>
      <c r="Q1096">
        <v>0</v>
      </c>
      <c r="R1096" t="s">
        <v>112</v>
      </c>
      <c r="S1096" t="str">
        <f>"14:08:37.203"</f>
        <v>14:08:37.203</v>
      </c>
      <c r="T1096" t="str">
        <f>"14:08:36.805"</f>
        <v>14:08:36.805</v>
      </c>
      <c r="U1096" t="str">
        <f t="shared" si="51"/>
        <v>ad5732</v>
      </c>
      <c r="V1096">
        <v>0</v>
      </c>
      <c r="W1096">
        <v>0</v>
      </c>
      <c r="X1096">
        <v>1</v>
      </c>
      <c r="Z1096">
        <v>0</v>
      </c>
      <c r="AA1096">
        <v>9</v>
      </c>
      <c r="AB1096">
        <v>3</v>
      </c>
      <c r="AC1096">
        <v>0</v>
      </c>
      <c r="AD1096">
        <v>10</v>
      </c>
      <c r="AE1096">
        <v>0</v>
      </c>
      <c r="AF1096">
        <v>3</v>
      </c>
      <c r="AG1096">
        <v>2</v>
      </c>
      <c r="AH1096">
        <v>0</v>
      </c>
      <c r="AI1096" t="s">
        <v>2291</v>
      </c>
      <c r="AJ1096">
        <v>39.471730999999998</v>
      </c>
      <c r="AK1096" t="s">
        <v>2292</v>
      </c>
      <c r="AL1096">
        <v>-76.781924000000004</v>
      </c>
      <c r="AM1096">
        <v>100</v>
      </c>
      <c r="AN1096">
        <v>8700</v>
      </c>
      <c r="AO1096" t="s">
        <v>115</v>
      </c>
      <c r="AP1096">
        <v>166</v>
      </c>
      <c r="AQ1096">
        <v>91</v>
      </c>
      <c r="AR1096">
        <v>-64</v>
      </c>
      <c r="AZ1096">
        <v>3614</v>
      </c>
      <c r="BA1096">
        <v>1</v>
      </c>
      <c r="BB1096" t="str">
        <f t="shared" si="50"/>
        <v xml:space="preserve">N959MJ  </v>
      </c>
      <c r="BC1096">
        <v>1</v>
      </c>
      <c r="BE1096">
        <v>0</v>
      </c>
      <c r="BF1096">
        <v>0</v>
      </c>
      <c r="BG1096">
        <v>0</v>
      </c>
      <c r="BH1096">
        <v>9025</v>
      </c>
      <c r="BI1096">
        <v>325</v>
      </c>
      <c r="BJ1096">
        <v>1</v>
      </c>
      <c r="BK1096">
        <v>1</v>
      </c>
      <c r="BL1096">
        <v>1</v>
      </c>
      <c r="BM1096">
        <v>0</v>
      </c>
      <c r="BP1096">
        <v>0</v>
      </c>
      <c r="BQ1096">
        <v>0</v>
      </c>
      <c r="BX1096" t="str">
        <f>"14:08:37.211"</f>
        <v>14:08:37.211</v>
      </c>
      <c r="BY1096" t="str">
        <f>"210274594"</f>
        <v>210274594</v>
      </c>
      <c r="CL1096">
        <v>0</v>
      </c>
      <c r="CM1096">
        <v>2</v>
      </c>
      <c r="CN1096">
        <v>0</v>
      </c>
      <c r="CO1096">
        <v>2</v>
      </c>
      <c r="CP1096">
        <v>0</v>
      </c>
      <c r="CQ1096">
        <v>6</v>
      </c>
      <c r="CR1096" t="s">
        <v>116</v>
      </c>
      <c r="CS1096">
        <v>396</v>
      </c>
      <c r="CT1096">
        <v>2</v>
      </c>
      <c r="CU1096" t="s">
        <v>939</v>
      </c>
      <c r="CV1096" t="s">
        <v>940</v>
      </c>
      <c r="CY1096">
        <v>4662884</v>
      </c>
      <c r="CZ1096" t="s">
        <v>119</v>
      </c>
    </row>
    <row r="1097" spans="1:104" x14ac:dyDescent="0.25">
      <c r="A1097" t="str">
        <f>"14:08:38.531"</f>
        <v>14:08:38.531</v>
      </c>
      <c r="B1097" t="s">
        <v>108</v>
      </c>
      <c r="C1097" t="str">
        <f t="shared" si="49"/>
        <v>ffdfd3c0</v>
      </c>
      <c r="D1097" t="s">
        <v>109</v>
      </c>
      <c r="E1097">
        <v>4</v>
      </c>
      <c r="F1097">
        <v>1004</v>
      </c>
      <c r="G1097" t="s">
        <v>110</v>
      </c>
      <c r="J1097" t="s">
        <v>111</v>
      </c>
      <c r="K1097">
        <v>0</v>
      </c>
      <c r="L1097">
        <v>3</v>
      </c>
      <c r="M1097">
        <v>0</v>
      </c>
      <c r="N1097">
        <v>2</v>
      </c>
      <c r="O1097">
        <v>1</v>
      </c>
      <c r="P1097">
        <v>0</v>
      </c>
      <c r="Q1097">
        <v>0</v>
      </c>
      <c r="R1097" t="s">
        <v>112</v>
      </c>
      <c r="S1097" t="str">
        <f>"14:08:38.344"</f>
        <v>14:08:38.344</v>
      </c>
      <c r="T1097" t="str">
        <f>"14:08:37.844"</f>
        <v>14:08:37.844</v>
      </c>
      <c r="U1097" t="str">
        <f t="shared" si="51"/>
        <v>ad5732</v>
      </c>
      <c r="V1097">
        <v>0</v>
      </c>
      <c r="W1097">
        <v>0</v>
      </c>
      <c r="X1097">
        <v>1</v>
      </c>
      <c r="Z1097">
        <v>0</v>
      </c>
      <c r="AA1097">
        <v>9</v>
      </c>
      <c r="AB1097">
        <v>3</v>
      </c>
      <c r="AC1097">
        <v>0</v>
      </c>
      <c r="AD1097">
        <v>10</v>
      </c>
      <c r="AE1097">
        <v>0</v>
      </c>
      <c r="AF1097">
        <v>3</v>
      </c>
      <c r="AG1097">
        <v>2</v>
      </c>
      <c r="AH1097">
        <v>0</v>
      </c>
      <c r="AI1097" t="s">
        <v>2293</v>
      </c>
      <c r="AJ1097">
        <v>39.472225000000002</v>
      </c>
      <c r="AK1097" t="s">
        <v>2294</v>
      </c>
      <c r="AL1097">
        <v>-76.780828999999997</v>
      </c>
      <c r="AM1097">
        <v>100</v>
      </c>
      <c r="AN1097">
        <v>8700</v>
      </c>
      <c r="AO1097" t="s">
        <v>115</v>
      </c>
      <c r="AP1097">
        <v>166</v>
      </c>
      <c r="AQ1097">
        <v>91</v>
      </c>
      <c r="AR1097">
        <v>0</v>
      </c>
      <c r="AZ1097">
        <v>3614</v>
      </c>
      <c r="BA1097">
        <v>1</v>
      </c>
      <c r="BB1097" t="str">
        <f t="shared" si="50"/>
        <v xml:space="preserve">N959MJ  </v>
      </c>
      <c r="BC1097">
        <v>1</v>
      </c>
      <c r="BE1097">
        <v>0</v>
      </c>
      <c r="BF1097">
        <v>0</v>
      </c>
      <c r="BG1097">
        <v>0</v>
      </c>
      <c r="BH1097">
        <v>9025</v>
      </c>
      <c r="BI1097">
        <v>325</v>
      </c>
      <c r="BJ1097">
        <v>1</v>
      </c>
      <c r="BK1097">
        <v>1</v>
      </c>
      <c r="BL1097">
        <v>1</v>
      </c>
      <c r="BM1097">
        <v>0</v>
      </c>
      <c r="BP1097">
        <v>0</v>
      </c>
      <c r="BQ1097">
        <v>0</v>
      </c>
      <c r="BX1097" t="str">
        <f>"14:08:38.344"</f>
        <v>14:08:38.344</v>
      </c>
      <c r="BY1097" t="str">
        <f>"345704207"</f>
        <v>345704207</v>
      </c>
      <c r="CL1097">
        <v>0</v>
      </c>
      <c r="CM1097">
        <v>2</v>
      </c>
      <c r="CN1097">
        <v>0</v>
      </c>
      <c r="CO1097">
        <v>2</v>
      </c>
      <c r="CP1097">
        <v>0</v>
      </c>
      <c r="CQ1097">
        <v>6</v>
      </c>
      <c r="CR1097" t="s">
        <v>116</v>
      </c>
      <c r="CS1097">
        <v>396</v>
      </c>
      <c r="CT1097">
        <v>2</v>
      </c>
      <c r="CU1097" t="s">
        <v>939</v>
      </c>
      <c r="CV1097" t="s">
        <v>940</v>
      </c>
      <c r="CY1097">
        <v>4664890</v>
      </c>
      <c r="CZ1097" t="s">
        <v>119</v>
      </c>
    </row>
    <row r="1098" spans="1:104" x14ac:dyDescent="0.25">
      <c r="A1098" t="str">
        <f>"14:08:39.594"</f>
        <v>14:08:39.594</v>
      </c>
      <c r="B1098" t="s">
        <v>108</v>
      </c>
      <c r="C1098" t="str">
        <f t="shared" ref="C1098:C1161" si="52">"ffdfd3c0"</f>
        <v>ffdfd3c0</v>
      </c>
      <c r="D1098" t="s">
        <v>109</v>
      </c>
      <c r="E1098">
        <v>4</v>
      </c>
      <c r="F1098">
        <v>1004</v>
      </c>
      <c r="G1098" t="s">
        <v>110</v>
      </c>
      <c r="J1098" t="s">
        <v>111</v>
      </c>
      <c r="K1098">
        <v>0</v>
      </c>
      <c r="L1098">
        <v>3</v>
      </c>
      <c r="M1098">
        <v>0</v>
      </c>
      <c r="N1098">
        <v>2</v>
      </c>
      <c r="O1098">
        <v>1</v>
      </c>
      <c r="P1098">
        <v>0</v>
      </c>
      <c r="Q1098">
        <v>0</v>
      </c>
      <c r="R1098" t="s">
        <v>112</v>
      </c>
      <c r="S1098" t="str">
        <f>"14:08:39.430"</f>
        <v>14:08:39.430</v>
      </c>
      <c r="T1098" t="str">
        <f>"14:08:38.930"</f>
        <v>14:08:38.930</v>
      </c>
      <c r="U1098" t="str">
        <f t="shared" si="51"/>
        <v>ad5732</v>
      </c>
      <c r="V1098">
        <v>0</v>
      </c>
      <c r="W1098">
        <v>0</v>
      </c>
      <c r="X1098">
        <v>1</v>
      </c>
      <c r="Z1098">
        <v>0</v>
      </c>
      <c r="AA1098">
        <v>9</v>
      </c>
      <c r="AB1098">
        <v>3</v>
      </c>
      <c r="AC1098">
        <v>0</v>
      </c>
      <c r="AD1098">
        <v>10</v>
      </c>
      <c r="AE1098">
        <v>0</v>
      </c>
      <c r="AF1098">
        <v>3</v>
      </c>
      <c r="AG1098">
        <v>2</v>
      </c>
      <c r="AH1098">
        <v>0</v>
      </c>
      <c r="AI1098" t="s">
        <v>2295</v>
      </c>
      <c r="AJ1098">
        <v>39.472675000000002</v>
      </c>
      <c r="AK1098" t="s">
        <v>2296</v>
      </c>
      <c r="AL1098">
        <v>-76.779713999999998</v>
      </c>
      <c r="AM1098">
        <v>100</v>
      </c>
      <c r="AN1098">
        <v>8700</v>
      </c>
      <c r="AO1098" t="s">
        <v>115</v>
      </c>
      <c r="AP1098">
        <v>166</v>
      </c>
      <c r="AQ1098">
        <v>91</v>
      </c>
      <c r="AR1098">
        <v>0</v>
      </c>
      <c r="AZ1098">
        <v>3614</v>
      </c>
      <c r="BA1098">
        <v>1</v>
      </c>
      <c r="BB1098" t="str">
        <f t="shared" ref="BB1098:BB1161" si="53">"N959MJ  "</f>
        <v xml:space="preserve">N959MJ  </v>
      </c>
      <c r="BC1098">
        <v>1</v>
      </c>
      <c r="BE1098">
        <v>0</v>
      </c>
      <c r="BF1098">
        <v>0</v>
      </c>
      <c r="BG1098">
        <v>0</v>
      </c>
      <c r="BH1098">
        <v>9025</v>
      </c>
      <c r="BI1098">
        <v>325</v>
      </c>
      <c r="BJ1098">
        <v>1</v>
      </c>
      <c r="BK1098">
        <v>1</v>
      </c>
      <c r="BL1098">
        <v>1</v>
      </c>
      <c r="BM1098">
        <v>0</v>
      </c>
      <c r="BP1098">
        <v>0</v>
      </c>
      <c r="BQ1098">
        <v>0</v>
      </c>
      <c r="BX1098" t="str">
        <f>"14:08:39.438"</f>
        <v>14:08:39.438</v>
      </c>
      <c r="BY1098" t="str">
        <f>"435257945"</f>
        <v>435257945</v>
      </c>
      <c r="CL1098">
        <v>0</v>
      </c>
      <c r="CM1098">
        <v>2</v>
      </c>
      <c r="CN1098">
        <v>0</v>
      </c>
      <c r="CO1098">
        <v>2</v>
      </c>
      <c r="CP1098">
        <v>0</v>
      </c>
      <c r="CQ1098">
        <v>6</v>
      </c>
      <c r="CR1098" t="s">
        <v>116</v>
      </c>
      <c r="CS1098">
        <v>396</v>
      </c>
      <c r="CT1098">
        <v>2</v>
      </c>
      <c r="CU1098" t="s">
        <v>939</v>
      </c>
      <c r="CV1098" t="s">
        <v>940</v>
      </c>
      <c r="CY1098">
        <v>4666878</v>
      </c>
      <c r="CZ1098" t="s">
        <v>119</v>
      </c>
    </row>
    <row r="1099" spans="1:104" x14ac:dyDescent="0.25">
      <c r="A1099" t="str">
        <f>"14:08:40.602"</f>
        <v>14:08:40.602</v>
      </c>
      <c r="B1099" t="s">
        <v>108</v>
      </c>
      <c r="C1099" t="str">
        <f t="shared" si="52"/>
        <v>ffdfd3c0</v>
      </c>
      <c r="D1099" t="s">
        <v>109</v>
      </c>
      <c r="E1099">
        <v>4</v>
      </c>
      <c r="F1099">
        <v>1004</v>
      </c>
      <c r="G1099" t="s">
        <v>110</v>
      </c>
      <c r="J1099" t="s">
        <v>111</v>
      </c>
      <c r="K1099">
        <v>0</v>
      </c>
      <c r="L1099">
        <v>3</v>
      </c>
      <c r="M1099">
        <v>0</v>
      </c>
      <c r="N1099">
        <v>2</v>
      </c>
      <c r="O1099">
        <v>1</v>
      </c>
      <c r="P1099">
        <v>0</v>
      </c>
      <c r="Q1099">
        <v>0</v>
      </c>
      <c r="R1099" t="s">
        <v>112</v>
      </c>
      <c r="S1099" t="str">
        <f>"14:08:40.438"</f>
        <v>14:08:40.438</v>
      </c>
      <c r="T1099" t="str">
        <f>"14:08:39.938"</f>
        <v>14:08:39.938</v>
      </c>
      <c r="U1099" t="str">
        <f t="shared" si="51"/>
        <v>ad5732</v>
      </c>
      <c r="V1099">
        <v>0</v>
      </c>
      <c r="W1099">
        <v>0</v>
      </c>
      <c r="X1099">
        <v>1</v>
      </c>
      <c r="Z1099">
        <v>0</v>
      </c>
      <c r="AA1099">
        <v>9</v>
      </c>
      <c r="AB1099">
        <v>3</v>
      </c>
      <c r="AC1099">
        <v>0</v>
      </c>
      <c r="AD1099">
        <v>10</v>
      </c>
      <c r="AE1099">
        <v>0</v>
      </c>
      <c r="AF1099">
        <v>3</v>
      </c>
      <c r="AG1099">
        <v>2</v>
      </c>
      <c r="AH1099">
        <v>0</v>
      </c>
      <c r="AI1099" t="s">
        <v>2297</v>
      </c>
      <c r="AJ1099">
        <v>39.473083000000003</v>
      </c>
      <c r="AK1099" t="s">
        <v>2298</v>
      </c>
      <c r="AL1099">
        <v>-76.778747999999993</v>
      </c>
      <c r="AM1099">
        <v>100</v>
      </c>
      <c r="AN1099">
        <v>8700</v>
      </c>
      <c r="AO1099" t="s">
        <v>115</v>
      </c>
      <c r="AP1099">
        <v>166</v>
      </c>
      <c r="AQ1099">
        <v>91</v>
      </c>
      <c r="AR1099">
        <v>0</v>
      </c>
      <c r="AZ1099">
        <v>3614</v>
      </c>
      <c r="BA1099">
        <v>1</v>
      </c>
      <c r="BB1099" t="str">
        <f t="shared" si="53"/>
        <v xml:space="preserve">N959MJ  </v>
      </c>
      <c r="BC1099">
        <v>1</v>
      </c>
      <c r="BE1099">
        <v>0</v>
      </c>
      <c r="BF1099">
        <v>0</v>
      </c>
      <c r="BG1099">
        <v>0</v>
      </c>
      <c r="BH1099">
        <v>9025</v>
      </c>
      <c r="BI1099">
        <v>325</v>
      </c>
      <c r="BJ1099">
        <v>1</v>
      </c>
      <c r="BK1099">
        <v>1</v>
      </c>
      <c r="BL1099">
        <v>1</v>
      </c>
      <c r="BM1099">
        <v>0</v>
      </c>
      <c r="BP1099">
        <v>0</v>
      </c>
      <c r="BQ1099">
        <v>0</v>
      </c>
      <c r="BX1099" t="str">
        <f>"14:08:40.438"</f>
        <v>14:08:40.438</v>
      </c>
      <c r="BY1099" t="str">
        <f>"441243794"</f>
        <v>441243794</v>
      </c>
      <c r="CL1099">
        <v>0</v>
      </c>
      <c r="CM1099">
        <v>2</v>
      </c>
      <c r="CN1099">
        <v>0</v>
      </c>
      <c r="CO1099">
        <v>2</v>
      </c>
      <c r="CP1099">
        <v>0</v>
      </c>
      <c r="CQ1099">
        <v>6</v>
      </c>
      <c r="CR1099" t="s">
        <v>116</v>
      </c>
      <c r="CS1099">
        <v>147</v>
      </c>
      <c r="CT1099">
        <v>0</v>
      </c>
      <c r="CU1099" t="s">
        <v>117</v>
      </c>
      <c r="CV1099" t="s">
        <v>118</v>
      </c>
      <c r="CY1099">
        <v>5685630</v>
      </c>
      <c r="CZ1099" t="s">
        <v>119</v>
      </c>
    </row>
    <row r="1100" spans="1:104" x14ac:dyDescent="0.25">
      <c r="A1100" t="str">
        <f>"14:08:41.664"</f>
        <v>14:08:41.664</v>
      </c>
      <c r="B1100" t="s">
        <v>108</v>
      </c>
      <c r="C1100" t="str">
        <f t="shared" si="52"/>
        <v>ffdfd3c0</v>
      </c>
      <c r="D1100" t="s">
        <v>109</v>
      </c>
      <c r="E1100">
        <v>4</v>
      </c>
      <c r="F1100">
        <v>1004</v>
      </c>
      <c r="G1100" t="s">
        <v>110</v>
      </c>
      <c r="J1100" t="s">
        <v>111</v>
      </c>
      <c r="K1100">
        <v>0</v>
      </c>
      <c r="L1100">
        <v>3</v>
      </c>
      <c r="M1100">
        <v>0</v>
      </c>
      <c r="N1100">
        <v>2</v>
      </c>
      <c r="O1100">
        <v>1</v>
      </c>
      <c r="P1100">
        <v>0</v>
      </c>
      <c r="Q1100">
        <v>0</v>
      </c>
      <c r="R1100" t="s">
        <v>112</v>
      </c>
      <c r="S1100" t="str">
        <f>"14:08:41.461"</f>
        <v>14:08:41.461</v>
      </c>
      <c r="T1100" t="str">
        <f>"14:08:40.961"</f>
        <v>14:08:40.961</v>
      </c>
      <c r="U1100" t="str">
        <f t="shared" si="51"/>
        <v>ad5732</v>
      </c>
      <c r="V1100">
        <v>0</v>
      </c>
      <c r="W1100">
        <v>0</v>
      </c>
      <c r="X1100">
        <v>1</v>
      </c>
      <c r="Z1100">
        <v>0</v>
      </c>
      <c r="AA1100">
        <v>9</v>
      </c>
      <c r="AB1100">
        <v>3</v>
      </c>
      <c r="AC1100">
        <v>0</v>
      </c>
      <c r="AD1100">
        <v>10</v>
      </c>
      <c r="AE1100">
        <v>0</v>
      </c>
      <c r="AF1100">
        <v>3</v>
      </c>
      <c r="AG1100">
        <v>2</v>
      </c>
      <c r="AH1100">
        <v>0</v>
      </c>
      <c r="AI1100" t="s">
        <v>2299</v>
      </c>
      <c r="AJ1100">
        <v>39.473511999999999</v>
      </c>
      <c r="AK1100" t="s">
        <v>2300</v>
      </c>
      <c r="AL1100">
        <v>-76.777760999999998</v>
      </c>
      <c r="AM1100">
        <v>100</v>
      </c>
      <c r="AN1100">
        <v>8700</v>
      </c>
      <c r="AO1100" t="s">
        <v>115</v>
      </c>
      <c r="AP1100">
        <v>166</v>
      </c>
      <c r="AQ1100">
        <v>91</v>
      </c>
      <c r="AR1100">
        <v>0</v>
      </c>
      <c r="AZ1100">
        <v>3614</v>
      </c>
      <c r="BA1100">
        <v>1</v>
      </c>
      <c r="BB1100" t="str">
        <f t="shared" si="53"/>
        <v xml:space="preserve">N959MJ  </v>
      </c>
      <c r="BC1100">
        <v>1</v>
      </c>
      <c r="BE1100">
        <v>0</v>
      </c>
      <c r="BF1100">
        <v>0</v>
      </c>
      <c r="BG1100">
        <v>0</v>
      </c>
      <c r="BH1100">
        <v>9025</v>
      </c>
      <c r="BI1100">
        <v>325</v>
      </c>
      <c r="BJ1100">
        <v>1</v>
      </c>
      <c r="BK1100">
        <v>1</v>
      </c>
      <c r="BL1100">
        <v>1</v>
      </c>
      <c r="BM1100">
        <v>0</v>
      </c>
      <c r="BP1100">
        <v>0</v>
      </c>
      <c r="BQ1100">
        <v>0</v>
      </c>
      <c r="BX1100" t="str">
        <f>"14:08:41.469"</f>
        <v>14:08:41.469</v>
      </c>
      <c r="BY1100" t="str">
        <f>"466899414"</f>
        <v>466899414</v>
      </c>
      <c r="CL1100">
        <v>0</v>
      </c>
      <c r="CM1100">
        <v>2</v>
      </c>
      <c r="CN1100">
        <v>0</v>
      </c>
      <c r="CO1100">
        <v>2</v>
      </c>
      <c r="CP1100">
        <v>0</v>
      </c>
      <c r="CQ1100">
        <v>6</v>
      </c>
      <c r="CR1100" t="s">
        <v>116</v>
      </c>
      <c r="CS1100">
        <v>147</v>
      </c>
      <c r="CT1100">
        <v>0</v>
      </c>
      <c r="CU1100" t="s">
        <v>117</v>
      </c>
      <c r="CV1100" t="s">
        <v>118</v>
      </c>
      <c r="CY1100">
        <v>5687410</v>
      </c>
      <c r="CZ1100" t="s">
        <v>119</v>
      </c>
    </row>
    <row r="1101" spans="1:104" x14ac:dyDescent="0.25">
      <c r="A1101" t="str">
        <f>"14:08:42.477"</f>
        <v>14:08:42.477</v>
      </c>
      <c r="B1101" t="s">
        <v>108</v>
      </c>
      <c r="C1101" t="str">
        <f t="shared" si="52"/>
        <v>ffdfd3c0</v>
      </c>
      <c r="D1101" t="s">
        <v>109</v>
      </c>
      <c r="E1101">
        <v>4</v>
      </c>
      <c r="F1101">
        <v>1004</v>
      </c>
      <c r="G1101" t="s">
        <v>110</v>
      </c>
      <c r="J1101" t="s">
        <v>111</v>
      </c>
      <c r="K1101">
        <v>0</v>
      </c>
      <c r="L1101">
        <v>3</v>
      </c>
      <c r="M1101">
        <v>0</v>
      </c>
      <c r="N1101">
        <v>2</v>
      </c>
      <c r="O1101">
        <v>1</v>
      </c>
      <c r="P1101">
        <v>0</v>
      </c>
      <c r="Q1101">
        <v>0</v>
      </c>
      <c r="R1101" t="s">
        <v>112</v>
      </c>
      <c r="S1101" t="str">
        <f>"14:08:42.273"</f>
        <v>14:08:42.273</v>
      </c>
      <c r="T1101" t="str">
        <f>"14:08:41.875"</f>
        <v>14:08:41.875</v>
      </c>
      <c r="U1101" t="str">
        <f t="shared" si="51"/>
        <v>ad5732</v>
      </c>
      <c r="V1101">
        <v>0</v>
      </c>
      <c r="W1101">
        <v>0</v>
      </c>
      <c r="X1101">
        <v>1</v>
      </c>
      <c r="Z1101">
        <v>0</v>
      </c>
      <c r="AA1101">
        <v>9</v>
      </c>
      <c r="AB1101">
        <v>3</v>
      </c>
      <c r="AC1101">
        <v>0</v>
      </c>
      <c r="AD1101">
        <v>10</v>
      </c>
      <c r="AE1101">
        <v>0</v>
      </c>
      <c r="AF1101">
        <v>3</v>
      </c>
      <c r="AG1101">
        <v>2</v>
      </c>
      <c r="AH1101">
        <v>0</v>
      </c>
      <c r="AI1101" t="s">
        <v>2301</v>
      </c>
      <c r="AJ1101">
        <v>39.473877000000002</v>
      </c>
      <c r="AK1101" t="s">
        <v>2302</v>
      </c>
      <c r="AL1101">
        <v>-76.776966999999999</v>
      </c>
      <c r="AM1101">
        <v>100</v>
      </c>
      <c r="AN1101">
        <v>8700</v>
      </c>
      <c r="AO1101" t="s">
        <v>115</v>
      </c>
      <c r="AP1101">
        <v>166</v>
      </c>
      <c r="AQ1101">
        <v>91</v>
      </c>
      <c r="AR1101">
        <v>0</v>
      </c>
      <c r="AZ1101">
        <v>3614</v>
      </c>
      <c r="BA1101">
        <v>1</v>
      </c>
      <c r="BB1101" t="str">
        <f t="shared" si="53"/>
        <v xml:space="preserve">N959MJ  </v>
      </c>
      <c r="BC1101">
        <v>1</v>
      </c>
      <c r="BE1101">
        <v>0</v>
      </c>
      <c r="BF1101">
        <v>0</v>
      </c>
      <c r="BG1101">
        <v>0</v>
      </c>
      <c r="BH1101">
        <v>9025</v>
      </c>
      <c r="BI1101">
        <v>325</v>
      </c>
      <c r="BJ1101">
        <v>1</v>
      </c>
      <c r="BK1101">
        <v>1</v>
      </c>
      <c r="BL1101">
        <v>1</v>
      </c>
      <c r="BM1101">
        <v>0</v>
      </c>
      <c r="BP1101">
        <v>0</v>
      </c>
      <c r="BQ1101">
        <v>0</v>
      </c>
      <c r="BX1101" t="str">
        <f>"14:08:42.281"</f>
        <v>14:08:42.281</v>
      </c>
      <c r="BY1101" t="str">
        <f>"277921045"</f>
        <v>277921045</v>
      </c>
      <c r="CL1101">
        <v>0</v>
      </c>
      <c r="CM1101">
        <v>2</v>
      </c>
      <c r="CN1101">
        <v>0</v>
      </c>
      <c r="CO1101">
        <v>2</v>
      </c>
      <c r="CP1101">
        <v>0</v>
      </c>
      <c r="CQ1101">
        <v>6</v>
      </c>
      <c r="CR1101" t="s">
        <v>116</v>
      </c>
      <c r="CS1101">
        <v>147</v>
      </c>
      <c r="CT1101">
        <v>0</v>
      </c>
      <c r="CU1101" t="s">
        <v>117</v>
      </c>
      <c r="CV1101" t="s">
        <v>118</v>
      </c>
      <c r="CY1101">
        <v>5688778</v>
      </c>
      <c r="CZ1101" t="s">
        <v>119</v>
      </c>
    </row>
    <row r="1102" spans="1:104" x14ac:dyDescent="0.25">
      <c r="A1102" t="str">
        <f>"14:08:43.430"</f>
        <v>14:08:43.430</v>
      </c>
      <c r="B1102" t="s">
        <v>108</v>
      </c>
      <c r="C1102" t="str">
        <f t="shared" si="52"/>
        <v>ffdfd3c0</v>
      </c>
      <c r="D1102" t="s">
        <v>109</v>
      </c>
      <c r="E1102">
        <v>4</v>
      </c>
      <c r="F1102">
        <v>1004</v>
      </c>
      <c r="G1102" t="s">
        <v>110</v>
      </c>
      <c r="J1102" t="s">
        <v>111</v>
      </c>
      <c r="K1102">
        <v>0</v>
      </c>
      <c r="L1102">
        <v>3</v>
      </c>
      <c r="M1102">
        <v>0</v>
      </c>
      <c r="N1102">
        <v>2</v>
      </c>
      <c r="O1102">
        <v>1</v>
      </c>
      <c r="P1102">
        <v>0</v>
      </c>
      <c r="Q1102">
        <v>0</v>
      </c>
      <c r="R1102" t="s">
        <v>112</v>
      </c>
      <c r="S1102" t="str">
        <f>"14:08:43.234"</f>
        <v>14:08:43.234</v>
      </c>
      <c r="T1102" t="str">
        <f>"14:08:42.836"</f>
        <v>14:08:42.836</v>
      </c>
      <c r="U1102" t="str">
        <f t="shared" si="51"/>
        <v>ad5732</v>
      </c>
      <c r="V1102">
        <v>0</v>
      </c>
      <c r="W1102">
        <v>0</v>
      </c>
      <c r="X1102">
        <v>1</v>
      </c>
      <c r="Z1102">
        <v>0</v>
      </c>
      <c r="AA1102">
        <v>9</v>
      </c>
      <c r="AB1102">
        <v>3</v>
      </c>
      <c r="AC1102">
        <v>0</v>
      </c>
      <c r="AD1102">
        <v>10</v>
      </c>
      <c r="AE1102">
        <v>0</v>
      </c>
      <c r="AF1102">
        <v>3</v>
      </c>
      <c r="AG1102">
        <v>2</v>
      </c>
      <c r="AH1102">
        <v>0</v>
      </c>
      <c r="AI1102" t="s">
        <v>2303</v>
      </c>
      <c r="AJ1102">
        <v>39.474305999999999</v>
      </c>
      <c r="AK1102" t="s">
        <v>2304</v>
      </c>
      <c r="AL1102">
        <v>-76.776000999999994</v>
      </c>
      <c r="AM1102">
        <v>100</v>
      </c>
      <c r="AN1102">
        <v>8700</v>
      </c>
      <c r="AO1102" t="s">
        <v>115</v>
      </c>
      <c r="AP1102">
        <v>166</v>
      </c>
      <c r="AQ1102">
        <v>91</v>
      </c>
      <c r="AR1102">
        <v>0</v>
      </c>
      <c r="AZ1102">
        <v>3614</v>
      </c>
      <c r="BA1102">
        <v>1</v>
      </c>
      <c r="BB1102" t="str">
        <f t="shared" si="53"/>
        <v xml:space="preserve">N959MJ  </v>
      </c>
      <c r="BC1102">
        <v>1</v>
      </c>
      <c r="BE1102">
        <v>0</v>
      </c>
      <c r="BF1102">
        <v>0</v>
      </c>
      <c r="BG1102">
        <v>0</v>
      </c>
      <c r="BH1102">
        <v>9025</v>
      </c>
      <c r="BI1102">
        <v>325</v>
      </c>
      <c r="BJ1102">
        <v>1</v>
      </c>
      <c r="BK1102">
        <v>1</v>
      </c>
      <c r="BL1102">
        <v>1</v>
      </c>
      <c r="BM1102">
        <v>0</v>
      </c>
      <c r="BP1102">
        <v>0</v>
      </c>
      <c r="BQ1102">
        <v>0</v>
      </c>
      <c r="BX1102" t="str">
        <f>"14:08:43.242"</f>
        <v>14:08:43.242</v>
      </c>
      <c r="BY1102" t="str">
        <f>"241525989"</f>
        <v>241525989</v>
      </c>
      <c r="CL1102">
        <v>0</v>
      </c>
      <c r="CM1102">
        <v>2</v>
      </c>
      <c r="CN1102">
        <v>0</v>
      </c>
      <c r="CO1102">
        <v>2</v>
      </c>
      <c r="CP1102">
        <v>0</v>
      </c>
      <c r="CQ1102">
        <v>5</v>
      </c>
      <c r="CR1102" t="s">
        <v>116</v>
      </c>
      <c r="CS1102">
        <v>39</v>
      </c>
      <c r="CT1102">
        <v>2</v>
      </c>
      <c r="CU1102" t="s">
        <v>2259</v>
      </c>
      <c r="CV1102" t="s">
        <v>2260</v>
      </c>
      <c r="CY1102">
        <v>15036230</v>
      </c>
      <c r="CZ1102" t="s">
        <v>119</v>
      </c>
    </row>
    <row r="1103" spans="1:104" x14ac:dyDescent="0.25">
      <c r="A1103" t="str">
        <f>"14:08:44.539"</f>
        <v>14:08:44.539</v>
      </c>
      <c r="B1103" t="s">
        <v>108</v>
      </c>
      <c r="C1103" t="str">
        <f t="shared" si="52"/>
        <v>ffdfd3c0</v>
      </c>
      <c r="D1103" t="s">
        <v>109</v>
      </c>
      <c r="E1103">
        <v>4</v>
      </c>
      <c r="F1103">
        <v>1004</v>
      </c>
      <c r="G1103" t="s">
        <v>110</v>
      </c>
      <c r="J1103" t="s">
        <v>111</v>
      </c>
      <c r="K1103">
        <v>0</v>
      </c>
      <c r="L1103">
        <v>3</v>
      </c>
      <c r="M1103">
        <v>0</v>
      </c>
      <c r="N1103">
        <v>2</v>
      </c>
      <c r="O1103">
        <v>1</v>
      </c>
      <c r="P1103">
        <v>0</v>
      </c>
      <c r="Q1103">
        <v>0</v>
      </c>
      <c r="R1103" t="s">
        <v>112</v>
      </c>
      <c r="S1103" t="str">
        <f>"14:08:44.344"</f>
        <v>14:08:44.344</v>
      </c>
      <c r="T1103" t="str">
        <f>"14:08:43.844"</f>
        <v>14:08:43.844</v>
      </c>
      <c r="U1103" t="str">
        <f t="shared" si="51"/>
        <v>ad5732</v>
      </c>
      <c r="V1103">
        <v>0</v>
      </c>
      <c r="W1103">
        <v>0</v>
      </c>
      <c r="X1103">
        <v>1</v>
      </c>
      <c r="Z1103">
        <v>0</v>
      </c>
      <c r="AA1103">
        <v>9</v>
      </c>
      <c r="AB1103">
        <v>3</v>
      </c>
      <c r="AC1103">
        <v>0</v>
      </c>
      <c r="AD1103">
        <v>10</v>
      </c>
      <c r="AE1103">
        <v>0</v>
      </c>
      <c r="AF1103">
        <v>3</v>
      </c>
      <c r="AG1103">
        <v>2</v>
      </c>
      <c r="AH1103">
        <v>0</v>
      </c>
      <c r="AI1103" t="s">
        <v>2305</v>
      </c>
      <c r="AJ1103">
        <v>39.474756999999997</v>
      </c>
      <c r="AK1103" t="s">
        <v>2306</v>
      </c>
      <c r="AL1103">
        <v>-76.774906999999999</v>
      </c>
      <c r="AM1103">
        <v>100</v>
      </c>
      <c r="AN1103">
        <v>8700</v>
      </c>
      <c r="AO1103" t="s">
        <v>115</v>
      </c>
      <c r="AP1103">
        <v>166</v>
      </c>
      <c r="AQ1103">
        <v>91</v>
      </c>
      <c r="AR1103">
        <v>64</v>
      </c>
      <c r="AZ1103">
        <v>3614</v>
      </c>
      <c r="BA1103">
        <v>1</v>
      </c>
      <c r="BB1103" t="str">
        <f t="shared" si="53"/>
        <v xml:space="preserve">N959MJ  </v>
      </c>
      <c r="BC1103">
        <v>1</v>
      </c>
      <c r="BE1103">
        <v>0</v>
      </c>
      <c r="BF1103">
        <v>0</v>
      </c>
      <c r="BG1103">
        <v>0</v>
      </c>
      <c r="BH1103">
        <v>9025</v>
      </c>
      <c r="BI1103">
        <v>325</v>
      </c>
      <c r="BJ1103">
        <v>1</v>
      </c>
      <c r="BK1103">
        <v>1</v>
      </c>
      <c r="BL1103">
        <v>1</v>
      </c>
      <c r="BM1103">
        <v>0</v>
      </c>
      <c r="BP1103">
        <v>0</v>
      </c>
      <c r="BQ1103">
        <v>0</v>
      </c>
      <c r="BX1103" t="str">
        <f>"14:08:44.344"</f>
        <v>14:08:44.344</v>
      </c>
      <c r="BY1103" t="str">
        <f>"343978195"</f>
        <v>343978195</v>
      </c>
      <c r="CL1103">
        <v>0</v>
      </c>
      <c r="CM1103">
        <v>2</v>
      </c>
      <c r="CN1103">
        <v>0</v>
      </c>
      <c r="CO1103">
        <v>2</v>
      </c>
      <c r="CP1103">
        <v>0</v>
      </c>
      <c r="CQ1103">
        <v>6</v>
      </c>
      <c r="CR1103" t="s">
        <v>116</v>
      </c>
      <c r="CS1103">
        <v>147</v>
      </c>
      <c r="CT1103">
        <v>0</v>
      </c>
      <c r="CU1103" t="s">
        <v>117</v>
      </c>
      <c r="CV1103" t="s">
        <v>118</v>
      </c>
      <c r="CY1103">
        <v>5692458</v>
      </c>
      <c r="CZ1103" t="s">
        <v>119</v>
      </c>
    </row>
    <row r="1104" spans="1:104" x14ac:dyDescent="0.25">
      <c r="A1104" t="str">
        <f>"14:08:45.398"</f>
        <v>14:08:45.398</v>
      </c>
      <c r="B1104" t="s">
        <v>108</v>
      </c>
      <c r="C1104" t="str">
        <f t="shared" si="52"/>
        <v>ffdfd3c0</v>
      </c>
      <c r="D1104" t="s">
        <v>109</v>
      </c>
      <c r="E1104">
        <v>4</v>
      </c>
      <c r="F1104">
        <v>1004</v>
      </c>
      <c r="G1104" t="s">
        <v>110</v>
      </c>
      <c r="J1104" t="s">
        <v>111</v>
      </c>
      <c r="K1104">
        <v>0</v>
      </c>
      <c r="L1104">
        <v>3</v>
      </c>
      <c r="M1104">
        <v>0</v>
      </c>
      <c r="N1104">
        <v>2</v>
      </c>
      <c r="O1104">
        <v>1</v>
      </c>
      <c r="P1104">
        <v>0</v>
      </c>
      <c r="Q1104">
        <v>0</v>
      </c>
      <c r="R1104" t="s">
        <v>112</v>
      </c>
      <c r="S1104" t="str">
        <f>"14:08:45.219"</f>
        <v>14:08:45.219</v>
      </c>
      <c r="T1104" t="str">
        <f>"14:08:44.820"</f>
        <v>14:08:44.820</v>
      </c>
      <c r="U1104" t="str">
        <f t="shared" si="51"/>
        <v>ad5732</v>
      </c>
      <c r="V1104">
        <v>0</v>
      </c>
      <c r="W1104">
        <v>0</v>
      </c>
      <c r="X1104">
        <v>1</v>
      </c>
      <c r="Z1104">
        <v>0</v>
      </c>
      <c r="AA1104">
        <v>9</v>
      </c>
      <c r="AB1104">
        <v>3</v>
      </c>
      <c r="AC1104">
        <v>0</v>
      </c>
      <c r="AD1104">
        <v>10</v>
      </c>
      <c r="AE1104">
        <v>0</v>
      </c>
      <c r="AF1104">
        <v>3</v>
      </c>
      <c r="AG1104">
        <v>2</v>
      </c>
      <c r="AH1104">
        <v>0</v>
      </c>
      <c r="AI1104" t="s">
        <v>2307</v>
      </c>
      <c r="AJ1104">
        <v>39.475143000000003</v>
      </c>
      <c r="AK1104" t="s">
        <v>2308</v>
      </c>
      <c r="AL1104">
        <v>-76.773983999999999</v>
      </c>
      <c r="AM1104">
        <v>100</v>
      </c>
      <c r="AN1104">
        <v>8700</v>
      </c>
      <c r="AO1104" t="s">
        <v>115</v>
      </c>
      <c r="AP1104">
        <v>166</v>
      </c>
      <c r="AQ1104">
        <v>91</v>
      </c>
      <c r="AR1104">
        <v>64</v>
      </c>
      <c r="AZ1104">
        <v>3614</v>
      </c>
      <c r="BA1104">
        <v>1</v>
      </c>
      <c r="BB1104" t="str">
        <f t="shared" si="53"/>
        <v xml:space="preserve">N959MJ  </v>
      </c>
      <c r="BC1104">
        <v>1</v>
      </c>
      <c r="BE1104">
        <v>0</v>
      </c>
      <c r="BF1104">
        <v>0</v>
      </c>
      <c r="BG1104">
        <v>0</v>
      </c>
      <c r="BH1104">
        <v>9025</v>
      </c>
      <c r="BI1104">
        <v>325</v>
      </c>
      <c r="BJ1104">
        <v>1</v>
      </c>
      <c r="BK1104">
        <v>1</v>
      </c>
      <c r="BL1104">
        <v>1</v>
      </c>
      <c r="BM1104">
        <v>0</v>
      </c>
      <c r="BP1104">
        <v>0</v>
      </c>
      <c r="BQ1104">
        <v>0</v>
      </c>
      <c r="BX1104" t="str">
        <f>"14:08:45.227"</f>
        <v>14:08:45.227</v>
      </c>
      <c r="BY1104" t="str">
        <f>"225503529"</f>
        <v>225503529</v>
      </c>
      <c r="CL1104">
        <v>0</v>
      </c>
      <c r="CM1104">
        <v>2</v>
      </c>
      <c r="CN1104">
        <v>0</v>
      </c>
      <c r="CO1104">
        <v>2</v>
      </c>
      <c r="CP1104">
        <v>0</v>
      </c>
      <c r="CQ1104">
        <v>5</v>
      </c>
      <c r="CR1104" t="s">
        <v>116</v>
      </c>
      <c r="CS1104">
        <v>372</v>
      </c>
      <c r="CT1104">
        <v>2</v>
      </c>
      <c r="CU1104" t="s">
        <v>877</v>
      </c>
      <c r="CV1104" t="s">
        <v>878</v>
      </c>
      <c r="CY1104">
        <v>10039281</v>
      </c>
      <c r="CZ1104" t="s">
        <v>119</v>
      </c>
    </row>
    <row r="1105" spans="1:104" x14ac:dyDescent="0.25">
      <c r="A1105" t="str">
        <f>"14:08:46.305"</f>
        <v>14:08:46.305</v>
      </c>
      <c r="B1105" t="s">
        <v>108</v>
      </c>
      <c r="C1105" t="str">
        <f t="shared" si="52"/>
        <v>ffdfd3c0</v>
      </c>
      <c r="D1105" t="s">
        <v>109</v>
      </c>
      <c r="E1105">
        <v>4</v>
      </c>
      <c r="F1105">
        <v>1004</v>
      </c>
      <c r="G1105" t="s">
        <v>110</v>
      </c>
      <c r="J1105" t="s">
        <v>111</v>
      </c>
      <c r="K1105">
        <v>0</v>
      </c>
      <c r="L1105">
        <v>3</v>
      </c>
      <c r="M1105">
        <v>0</v>
      </c>
      <c r="N1105">
        <v>2</v>
      </c>
      <c r="O1105">
        <v>1</v>
      </c>
      <c r="P1105">
        <v>0</v>
      </c>
      <c r="Q1105">
        <v>0</v>
      </c>
      <c r="R1105" t="s">
        <v>112</v>
      </c>
      <c r="S1105" t="str">
        <f>"14:08:46.133"</f>
        <v>14:08:46.133</v>
      </c>
      <c r="T1105" t="str">
        <f>"14:08:45.734"</f>
        <v>14:08:45.734</v>
      </c>
      <c r="U1105" t="str">
        <f t="shared" si="51"/>
        <v>ad5732</v>
      </c>
      <c r="V1105">
        <v>0</v>
      </c>
      <c r="W1105">
        <v>0</v>
      </c>
      <c r="X1105">
        <v>1</v>
      </c>
      <c r="Z1105">
        <v>0</v>
      </c>
      <c r="AA1105">
        <v>9</v>
      </c>
      <c r="AB1105">
        <v>3</v>
      </c>
      <c r="AC1105">
        <v>0</v>
      </c>
      <c r="AD1105">
        <v>10</v>
      </c>
      <c r="AE1105">
        <v>0</v>
      </c>
      <c r="AF1105">
        <v>3</v>
      </c>
      <c r="AG1105">
        <v>2</v>
      </c>
      <c r="AH1105">
        <v>0</v>
      </c>
      <c r="AI1105" t="s">
        <v>2309</v>
      </c>
      <c r="AJ1105">
        <v>39.475485999999997</v>
      </c>
      <c r="AK1105" t="s">
        <v>2310</v>
      </c>
      <c r="AL1105">
        <v>-76.773126000000005</v>
      </c>
      <c r="AM1105">
        <v>100</v>
      </c>
      <c r="AN1105">
        <v>8700</v>
      </c>
      <c r="AO1105" t="s">
        <v>115</v>
      </c>
      <c r="AP1105">
        <v>166</v>
      </c>
      <c r="AQ1105">
        <v>90</v>
      </c>
      <c r="AR1105">
        <v>64</v>
      </c>
      <c r="AZ1105">
        <v>3614</v>
      </c>
      <c r="BA1105">
        <v>1</v>
      </c>
      <c r="BB1105" t="str">
        <f t="shared" si="53"/>
        <v xml:space="preserve">N959MJ  </v>
      </c>
      <c r="BC1105">
        <v>1</v>
      </c>
      <c r="BE1105">
        <v>0</v>
      </c>
      <c r="BF1105">
        <v>0</v>
      </c>
      <c r="BG1105">
        <v>0</v>
      </c>
      <c r="BH1105">
        <v>9025</v>
      </c>
      <c r="BI1105">
        <v>325</v>
      </c>
      <c r="BJ1105">
        <v>1</v>
      </c>
      <c r="BK1105">
        <v>1</v>
      </c>
      <c r="BL1105">
        <v>1</v>
      </c>
      <c r="BM1105">
        <v>0</v>
      </c>
      <c r="BP1105">
        <v>0</v>
      </c>
      <c r="BQ1105">
        <v>0</v>
      </c>
      <c r="BX1105" t="str">
        <f>"14:08:46.133"</f>
        <v>14:08:46.133</v>
      </c>
      <c r="BY1105" t="str">
        <f>"133146219"</f>
        <v>133146219</v>
      </c>
      <c r="CL1105">
        <v>0</v>
      </c>
      <c r="CM1105">
        <v>2</v>
      </c>
      <c r="CN1105">
        <v>0</v>
      </c>
      <c r="CO1105">
        <v>2</v>
      </c>
      <c r="CP1105">
        <v>0</v>
      </c>
      <c r="CQ1105">
        <v>6</v>
      </c>
      <c r="CR1105" t="s">
        <v>116</v>
      </c>
      <c r="CS1105">
        <v>396</v>
      </c>
      <c r="CT1105">
        <v>2</v>
      </c>
      <c r="CU1105" t="s">
        <v>939</v>
      </c>
      <c r="CV1105" t="s">
        <v>940</v>
      </c>
      <c r="CY1105">
        <v>4679086</v>
      </c>
      <c r="CZ1105" t="s">
        <v>119</v>
      </c>
    </row>
    <row r="1106" spans="1:104" x14ac:dyDescent="0.25">
      <c r="A1106" t="str">
        <f>"14:08:47.219"</f>
        <v>14:08:47.219</v>
      </c>
      <c r="B1106" t="s">
        <v>108</v>
      </c>
      <c r="C1106" t="str">
        <f t="shared" si="52"/>
        <v>ffdfd3c0</v>
      </c>
      <c r="D1106" t="s">
        <v>109</v>
      </c>
      <c r="E1106">
        <v>4</v>
      </c>
      <c r="F1106">
        <v>1004</v>
      </c>
      <c r="G1106" t="s">
        <v>110</v>
      </c>
      <c r="J1106" t="s">
        <v>111</v>
      </c>
      <c r="K1106">
        <v>0</v>
      </c>
      <c r="L1106">
        <v>3</v>
      </c>
      <c r="M1106">
        <v>0</v>
      </c>
      <c r="N1106">
        <v>2</v>
      </c>
      <c r="O1106">
        <v>1</v>
      </c>
      <c r="P1106">
        <v>0</v>
      </c>
      <c r="Q1106">
        <v>0</v>
      </c>
      <c r="R1106" t="s">
        <v>112</v>
      </c>
      <c r="S1106" t="str">
        <f>"14:08:47.039"</f>
        <v>14:08:47.039</v>
      </c>
      <c r="T1106" t="str">
        <f>"14:08:46.641"</f>
        <v>14:08:46.641</v>
      </c>
      <c r="U1106" t="str">
        <f t="shared" si="51"/>
        <v>ad5732</v>
      </c>
      <c r="V1106">
        <v>0</v>
      </c>
      <c r="W1106">
        <v>0</v>
      </c>
      <c r="X1106">
        <v>1</v>
      </c>
      <c r="Z1106">
        <v>0</v>
      </c>
      <c r="AA1106">
        <v>9</v>
      </c>
      <c r="AB1106">
        <v>3</v>
      </c>
      <c r="AC1106">
        <v>0</v>
      </c>
      <c r="AD1106">
        <v>10</v>
      </c>
      <c r="AE1106">
        <v>0</v>
      </c>
      <c r="AF1106">
        <v>3</v>
      </c>
      <c r="AG1106">
        <v>2</v>
      </c>
      <c r="AH1106">
        <v>0</v>
      </c>
      <c r="AI1106" t="s">
        <v>2311</v>
      </c>
      <c r="AJ1106">
        <v>39.475873</v>
      </c>
      <c r="AK1106" t="s">
        <v>2312</v>
      </c>
      <c r="AL1106">
        <v>-76.772225000000006</v>
      </c>
      <c r="AM1106">
        <v>100</v>
      </c>
      <c r="AN1106">
        <v>8700</v>
      </c>
      <c r="AO1106" t="s">
        <v>115</v>
      </c>
      <c r="AP1106">
        <v>167</v>
      </c>
      <c r="AQ1106">
        <v>90</v>
      </c>
      <c r="AR1106">
        <v>128</v>
      </c>
      <c r="AZ1106">
        <v>3614</v>
      </c>
      <c r="BA1106">
        <v>1</v>
      </c>
      <c r="BB1106" t="str">
        <f t="shared" si="53"/>
        <v xml:space="preserve">N959MJ  </v>
      </c>
      <c r="BC1106">
        <v>1</v>
      </c>
      <c r="BE1106">
        <v>0</v>
      </c>
      <c r="BF1106">
        <v>0</v>
      </c>
      <c r="BG1106">
        <v>0</v>
      </c>
      <c r="BH1106">
        <v>9025</v>
      </c>
      <c r="BI1106">
        <v>325</v>
      </c>
      <c r="BJ1106">
        <v>1</v>
      </c>
      <c r="BK1106">
        <v>1</v>
      </c>
      <c r="BL1106">
        <v>1</v>
      </c>
      <c r="BM1106">
        <v>0</v>
      </c>
      <c r="BP1106">
        <v>0</v>
      </c>
      <c r="BQ1106">
        <v>0</v>
      </c>
      <c r="BX1106" t="str">
        <f>"14:08:47.047"</f>
        <v>14:08:47.047</v>
      </c>
      <c r="BY1106" t="str">
        <f>"044111386"</f>
        <v>044111386</v>
      </c>
      <c r="CL1106">
        <v>0</v>
      </c>
      <c r="CM1106">
        <v>2</v>
      </c>
      <c r="CN1106">
        <v>0</v>
      </c>
      <c r="CO1106">
        <v>2</v>
      </c>
      <c r="CP1106">
        <v>0</v>
      </c>
      <c r="CQ1106">
        <v>6</v>
      </c>
      <c r="CR1106" t="s">
        <v>116</v>
      </c>
      <c r="CS1106">
        <v>396</v>
      </c>
      <c r="CT1106">
        <v>2</v>
      </c>
      <c r="CU1106" t="s">
        <v>939</v>
      </c>
      <c r="CV1106" t="s">
        <v>940</v>
      </c>
      <c r="CY1106">
        <v>4680832</v>
      </c>
      <c r="CZ1106" t="s">
        <v>119</v>
      </c>
    </row>
    <row r="1107" spans="1:104" x14ac:dyDescent="0.25">
      <c r="A1107" t="str">
        <f>"14:08:48.273"</f>
        <v>14:08:48.273</v>
      </c>
      <c r="B1107" t="s">
        <v>108</v>
      </c>
      <c r="C1107" t="str">
        <f t="shared" si="52"/>
        <v>ffdfd3c0</v>
      </c>
      <c r="D1107" t="s">
        <v>109</v>
      </c>
      <c r="E1107">
        <v>4</v>
      </c>
      <c r="F1107">
        <v>1004</v>
      </c>
      <c r="G1107" t="s">
        <v>110</v>
      </c>
      <c r="J1107" t="s">
        <v>111</v>
      </c>
      <c r="K1107">
        <v>0</v>
      </c>
      <c r="L1107">
        <v>3</v>
      </c>
      <c r="M1107">
        <v>0</v>
      </c>
      <c r="N1107">
        <v>2</v>
      </c>
      <c r="O1107">
        <v>1</v>
      </c>
      <c r="P1107">
        <v>0</v>
      </c>
      <c r="Q1107">
        <v>0</v>
      </c>
      <c r="R1107" t="s">
        <v>112</v>
      </c>
      <c r="S1107" t="str">
        <f>"14:08:48.125"</f>
        <v>14:08:48.125</v>
      </c>
      <c r="T1107" t="str">
        <f>"14:08:47.625"</f>
        <v>14:08:47.625</v>
      </c>
      <c r="U1107" t="str">
        <f t="shared" si="51"/>
        <v>ad5732</v>
      </c>
      <c r="V1107">
        <v>0</v>
      </c>
      <c r="W1107">
        <v>0</v>
      </c>
      <c r="X1107">
        <v>1</v>
      </c>
      <c r="Z1107">
        <v>0</v>
      </c>
      <c r="AA1107">
        <v>9</v>
      </c>
      <c r="AB1107">
        <v>3</v>
      </c>
      <c r="AC1107">
        <v>0</v>
      </c>
      <c r="AD1107">
        <v>10</v>
      </c>
      <c r="AE1107">
        <v>0</v>
      </c>
      <c r="AF1107">
        <v>3</v>
      </c>
      <c r="AG1107">
        <v>2</v>
      </c>
      <c r="AH1107">
        <v>0</v>
      </c>
      <c r="AI1107" t="s">
        <v>2313</v>
      </c>
      <c r="AJ1107">
        <v>39.476301999999997</v>
      </c>
      <c r="AK1107" t="s">
        <v>2314</v>
      </c>
      <c r="AL1107">
        <v>-76.771152000000001</v>
      </c>
      <c r="AM1107">
        <v>100</v>
      </c>
      <c r="AN1107">
        <v>8700</v>
      </c>
      <c r="AO1107" t="s">
        <v>115</v>
      </c>
      <c r="AP1107">
        <v>167</v>
      </c>
      <c r="AQ1107">
        <v>90</v>
      </c>
      <c r="AR1107">
        <v>128</v>
      </c>
      <c r="AZ1107">
        <v>3614</v>
      </c>
      <c r="BA1107">
        <v>1</v>
      </c>
      <c r="BB1107" t="str">
        <f t="shared" si="53"/>
        <v xml:space="preserve">N959MJ  </v>
      </c>
      <c r="BC1107">
        <v>1</v>
      </c>
      <c r="BE1107">
        <v>0</v>
      </c>
      <c r="BF1107">
        <v>0</v>
      </c>
      <c r="BG1107">
        <v>0</v>
      </c>
      <c r="BH1107">
        <v>9025</v>
      </c>
      <c r="BI1107">
        <v>325</v>
      </c>
      <c r="BJ1107">
        <v>1</v>
      </c>
      <c r="BK1107">
        <v>1</v>
      </c>
      <c r="BL1107">
        <v>1</v>
      </c>
      <c r="BM1107">
        <v>0</v>
      </c>
      <c r="BP1107">
        <v>0</v>
      </c>
      <c r="BQ1107">
        <v>0</v>
      </c>
      <c r="BX1107" t="str">
        <f>"14:08:48.125"</f>
        <v>14:08:48.125</v>
      </c>
      <c r="BY1107" t="str">
        <f>"125465983"</f>
        <v>125465983</v>
      </c>
      <c r="CL1107">
        <v>0</v>
      </c>
      <c r="CM1107">
        <v>2</v>
      </c>
      <c r="CN1107">
        <v>0</v>
      </c>
      <c r="CO1107">
        <v>2</v>
      </c>
      <c r="CP1107">
        <v>0</v>
      </c>
      <c r="CQ1107">
        <v>6</v>
      </c>
      <c r="CR1107" t="s">
        <v>116</v>
      </c>
      <c r="CS1107">
        <v>525</v>
      </c>
      <c r="CT1107">
        <v>1</v>
      </c>
      <c r="CU1107" t="s">
        <v>140</v>
      </c>
      <c r="CV1107" t="s">
        <v>141</v>
      </c>
      <c r="CY1107">
        <v>8769921</v>
      </c>
      <c r="CZ1107" t="s">
        <v>119</v>
      </c>
    </row>
    <row r="1108" spans="1:104" x14ac:dyDescent="0.25">
      <c r="A1108" t="str">
        <f>"14:08:49.336"</f>
        <v>14:08:49.336</v>
      </c>
      <c r="B1108" t="s">
        <v>108</v>
      </c>
      <c r="C1108" t="str">
        <f t="shared" si="52"/>
        <v>ffdfd3c0</v>
      </c>
      <c r="D1108" t="s">
        <v>109</v>
      </c>
      <c r="E1108">
        <v>4</v>
      </c>
      <c r="F1108">
        <v>1004</v>
      </c>
      <c r="G1108" t="s">
        <v>110</v>
      </c>
      <c r="J1108" t="s">
        <v>111</v>
      </c>
      <c r="K1108">
        <v>0</v>
      </c>
      <c r="L1108">
        <v>3</v>
      </c>
      <c r="M1108">
        <v>0</v>
      </c>
      <c r="N1108">
        <v>2</v>
      </c>
      <c r="O1108">
        <v>1</v>
      </c>
      <c r="P1108">
        <v>0</v>
      </c>
      <c r="Q1108">
        <v>0</v>
      </c>
      <c r="R1108" t="s">
        <v>112</v>
      </c>
      <c r="S1108" t="str">
        <f>"14:08:49.141"</f>
        <v>14:08:49.141</v>
      </c>
      <c r="T1108" t="str">
        <f>"14:08:48.641"</f>
        <v>14:08:48.641</v>
      </c>
      <c r="U1108" t="str">
        <f t="shared" si="51"/>
        <v>ad5732</v>
      </c>
      <c r="V1108">
        <v>0</v>
      </c>
      <c r="W1108">
        <v>0</v>
      </c>
      <c r="X1108">
        <v>1</v>
      </c>
      <c r="Z1108">
        <v>0</v>
      </c>
      <c r="AA1108">
        <v>9</v>
      </c>
      <c r="AB1108">
        <v>3</v>
      </c>
      <c r="AC1108">
        <v>0</v>
      </c>
      <c r="AD1108">
        <v>10</v>
      </c>
      <c r="AE1108">
        <v>0</v>
      </c>
      <c r="AF1108">
        <v>3</v>
      </c>
      <c r="AG1108">
        <v>2</v>
      </c>
      <c r="AH1108">
        <v>0</v>
      </c>
      <c r="AI1108" t="s">
        <v>2315</v>
      </c>
      <c r="AJ1108">
        <v>39.476709</v>
      </c>
      <c r="AK1108" t="s">
        <v>2316</v>
      </c>
      <c r="AL1108">
        <v>-76.770122000000001</v>
      </c>
      <c r="AM1108">
        <v>100</v>
      </c>
      <c r="AN1108">
        <v>8700</v>
      </c>
      <c r="AO1108" t="s">
        <v>115</v>
      </c>
      <c r="AP1108">
        <v>167</v>
      </c>
      <c r="AQ1108">
        <v>89</v>
      </c>
      <c r="AR1108">
        <v>128</v>
      </c>
      <c r="AZ1108">
        <v>3614</v>
      </c>
      <c r="BA1108">
        <v>1</v>
      </c>
      <c r="BB1108" t="str">
        <f t="shared" si="53"/>
        <v xml:space="preserve">N959MJ  </v>
      </c>
      <c r="BC1108">
        <v>1</v>
      </c>
      <c r="BE1108">
        <v>0</v>
      </c>
      <c r="BF1108">
        <v>0</v>
      </c>
      <c r="BG1108">
        <v>0</v>
      </c>
      <c r="BH1108">
        <v>9025</v>
      </c>
      <c r="BI1108">
        <v>325</v>
      </c>
      <c r="BJ1108">
        <v>1</v>
      </c>
      <c r="BK1108">
        <v>1</v>
      </c>
      <c r="BL1108">
        <v>1</v>
      </c>
      <c r="BM1108">
        <v>0</v>
      </c>
      <c r="BP1108">
        <v>0</v>
      </c>
      <c r="BQ1108">
        <v>0</v>
      </c>
      <c r="BX1108" t="str">
        <f>"14:08:49.148"</f>
        <v>14:08:49.148</v>
      </c>
      <c r="BY1108" t="str">
        <f>"146525738"</f>
        <v>146525738</v>
      </c>
      <c r="CL1108">
        <v>0</v>
      </c>
      <c r="CM1108">
        <v>2</v>
      </c>
      <c r="CN1108">
        <v>0</v>
      </c>
      <c r="CO1108">
        <v>2</v>
      </c>
      <c r="CP1108">
        <v>0</v>
      </c>
      <c r="CQ1108">
        <v>3</v>
      </c>
      <c r="CR1108" t="s">
        <v>116</v>
      </c>
      <c r="CS1108">
        <v>408</v>
      </c>
      <c r="CT1108">
        <v>2</v>
      </c>
      <c r="CU1108" t="s">
        <v>2317</v>
      </c>
      <c r="CV1108" t="s">
        <v>2318</v>
      </c>
      <c r="CY1108">
        <v>16679457</v>
      </c>
      <c r="CZ1108" t="s">
        <v>119</v>
      </c>
    </row>
    <row r="1109" spans="1:104" x14ac:dyDescent="0.25">
      <c r="A1109" t="str">
        <f>"14:08:51.359"</f>
        <v>14:08:51.359</v>
      </c>
      <c r="B1109" t="s">
        <v>108</v>
      </c>
      <c r="C1109" t="str">
        <f t="shared" si="52"/>
        <v>ffdfd3c0</v>
      </c>
      <c r="D1109" t="s">
        <v>109</v>
      </c>
      <c r="E1109">
        <v>4</v>
      </c>
      <c r="F1109">
        <v>1004</v>
      </c>
      <c r="G1109" t="s">
        <v>110</v>
      </c>
      <c r="J1109" t="s">
        <v>111</v>
      </c>
      <c r="K1109">
        <v>0</v>
      </c>
      <c r="L1109">
        <v>3</v>
      </c>
      <c r="M1109">
        <v>0</v>
      </c>
      <c r="N1109">
        <v>2</v>
      </c>
      <c r="O1109">
        <v>1</v>
      </c>
      <c r="P1109">
        <v>0</v>
      </c>
      <c r="Q1109">
        <v>0</v>
      </c>
      <c r="R1109" t="s">
        <v>112</v>
      </c>
      <c r="S1109" t="str">
        <f>"14:08:51.188"</f>
        <v>14:08:51.188</v>
      </c>
      <c r="T1109" t="str">
        <f>"14:08:50.789"</f>
        <v>14:08:50.789</v>
      </c>
      <c r="U1109" t="str">
        <f t="shared" si="51"/>
        <v>ad5732</v>
      </c>
      <c r="V1109">
        <v>0</v>
      </c>
      <c r="W1109">
        <v>0</v>
      </c>
      <c r="X1109">
        <v>1</v>
      </c>
      <c r="Z1109">
        <v>0</v>
      </c>
      <c r="AA1109">
        <v>9</v>
      </c>
      <c r="AB1109">
        <v>3</v>
      </c>
      <c r="AC1109">
        <v>0</v>
      </c>
      <c r="AD1109">
        <v>10</v>
      </c>
      <c r="AE1109">
        <v>0</v>
      </c>
      <c r="AF1109">
        <v>3</v>
      </c>
      <c r="AG1109">
        <v>2</v>
      </c>
      <c r="AH1109">
        <v>0</v>
      </c>
      <c r="AI1109" t="s">
        <v>2319</v>
      </c>
      <c r="AJ1109">
        <v>39.477611000000003</v>
      </c>
      <c r="AK1109" t="s">
        <v>2320</v>
      </c>
      <c r="AL1109">
        <v>-76.767998000000006</v>
      </c>
      <c r="AM1109">
        <v>100</v>
      </c>
      <c r="AN1109">
        <v>8700</v>
      </c>
      <c r="AO1109" t="s">
        <v>115</v>
      </c>
      <c r="AP1109">
        <v>167</v>
      </c>
      <c r="AQ1109">
        <v>88</v>
      </c>
      <c r="AR1109">
        <v>64</v>
      </c>
      <c r="AZ1109">
        <v>3614</v>
      </c>
      <c r="BA1109">
        <v>1</v>
      </c>
      <c r="BB1109" t="str">
        <f t="shared" si="53"/>
        <v xml:space="preserve">N959MJ  </v>
      </c>
      <c r="BC1109">
        <v>1</v>
      </c>
      <c r="BE1109">
        <v>0</v>
      </c>
      <c r="BF1109">
        <v>0</v>
      </c>
      <c r="BG1109">
        <v>0</v>
      </c>
      <c r="BH1109">
        <v>9025</v>
      </c>
      <c r="BI1109">
        <v>325</v>
      </c>
      <c r="BJ1109">
        <v>1</v>
      </c>
      <c r="BK1109">
        <v>1</v>
      </c>
      <c r="BL1109">
        <v>1</v>
      </c>
      <c r="BM1109">
        <v>0</v>
      </c>
      <c r="BP1109">
        <v>0</v>
      </c>
      <c r="BQ1109">
        <v>0</v>
      </c>
      <c r="BX1109" t="str">
        <f>"14:08:51.188"</f>
        <v>14:08:51.188</v>
      </c>
      <c r="BY1109" t="str">
        <f>"190963962"</f>
        <v>190963962</v>
      </c>
      <c r="CL1109">
        <v>0</v>
      </c>
      <c r="CM1109">
        <v>2</v>
      </c>
      <c r="CN1109">
        <v>0</v>
      </c>
      <c r="CO1109">
        <v>2</v>
      </c>
      <c r="CP1109">
        <v>0</v>
      </c>
      <c r="CQ1109">
        <v>6</v>
      </c>
      <c r="CR1109" t="s">
        <v>116</v>
      </c>
      <c r="CS1109">
        <v>525</v>
      </c>
      <c r="CT1109">
        <v>1</v>
      </c>
      <c r="CU1109" t="s">
        <v>140</v>
      </c>
      <c r="CV1109" t="s">
        <v>141</v>
      </c>
      <c r="CY1109">
        <v>8774469</v>
      </c>
      <c r="CZ1109" t="s">
        <v>119</v>
      </c>
    </row>
    <row r="1110" spans="1:104" x14ac:dyDescent="0.25">
      <c r="A1110" t="str">
        <f>"14:08:52.367"</f>
        <v>14:08:52.367</v>
      </c>
      <c r="B1110" t="s">
        <v>108</v>
      </c>
      <c r="C1110" t="str">
        <f t="shared" si="52"/>
        <v>ffdfd3c0</v>
      </c>
      <c r="D1110" t="s">
        <v>109</v>
      </c>
      <c r="E1110">
        <v>4</v>
      </c>
      <c r="F1110">
        <v>1004</v>
      </c>
      <c r="G1110" t="s">
        <v>110</v>
      </c>
      <c r="J1110" t="s">
        <v>111</v>
      </c>
      <c r="K1110">
        <v>0</v>
      </c>
      <c r="L1110">
        <v>3</v>
      </c>
      <c r="M1110">
        <v>0</v>
      </c>
      <c r="N1110">
        <v>2</v>
      </c>
      <c r="O1110">
        <v>1</v>
      </c>
      <c r="P1110">
        <v>0</v>
      </c>
      <c r="Q1110">
        <v>0</v>
      </c>
      <c r="R1110" t="s">
        <v>112</v>
      </c>
      <c r="S1110" t="str">
        <f>"14:08:52.180"</f>
        <v>14:08:52.180</v>
      </c>
      <c r="T1110" t="str">
        <f>"14:08:51.680"</f>
        <v>14:08:51.680</v>
      </c>
      <c r="U1110" t="str">
        <f t="shared" si="51"/>
        <v>ad5732</v>
      </c>
      <c r="V1110">
        <v>0</v>
      </c>
      <c r="W1110">
        <v>0</v>
      </c>
      <c r="X1110">
        <v>1</v>
      </c>
      <c r="Z1110">
        <v>0</v>
      </c>
      <c r="AA1110">
        <v>9</v>
      </c>
      <c r="AB1110">
        <v>3</v>
      </c>
      <c r="AC1110">
        <v>0</v>
      </c>
      <c r="AD1110">
        <v>10</v>
      </c>
      <c r="AE1110">
        <v>0</v>
      </c>
      <c r="AF1110">
        <v>3</v>
      </c>
      <c r="AG1110">
        <v>2</v>
      </c>
      <c r="AH1110">
        <v>0</v>
      </c>
      <c r="AI1110" t="s">
        <v>2321</v>
      </c>
      <c r="AJ1110">
        <v>39.478017999999999</v>
      </c>
      <c r="AK1110" t="s">
        <v>2322</v>
      </c>
      <c r="AL1110">
        <v>-76.767032</v>
      </c>
      <c r="AM1110">
        <v>100</v>
      </c>
      <c r="AN1110">
        <v>8700</v>
      </c>
      <c r="AO1110" t="s">
        <v>115</v>
      </c>
      <c r="AP1110">
        <v>168</v>
      </c>
      <c r="AQ1110">
        <v>87</v>
      </c>
      <c r="AR1110">
        <v>64</v>
      </c>
      <c r="AZ1110">
        <v>3614</v>
      </c>
      <c r="BA1110">
        <v>1</v>
      </c>
      <c r="BB1110" t="str">
        <f t="shared" si="53"/>
        <v xml:space="preserve">N959MJ  </v>
      </c>
      <c r="BC1110">
        <v>1</v>
      </c>
      <c r="BE1110">
        <v>0</v>
      </c>
      <c r="BF1110">
        <v>0</v>
      </c>
      <c r="BG1110">
        <v>0</v>
      </c>
      <c r="BH1110">
        <v>9025</v>
      </c>
      <c r="BI1110">
        <v>325</v>
      </c>
      <c r="BJ1110">
        <v>1</v>
      </c>
      <c r="BK1110">
        <v>1</v>
      </c>
      <c r="BL1110">
        <v>1</v>
      </c>
      <c r="BM1110">
        <v>0</v>
      </c>
      <c r="BP1110">
        <v>0</v>
      </c>
      <c r="BQ1110">
        <v>0</v>
      </c>
      <c r="BX1110" t="str">
        <f>"14:08:52.188"</f>
        <v>14:08:52.188</v>
      </c>
      <c r="BY1110" t="str">
        <f>"185541309"</f>
        <v>185541309</v>
      </c>
      <c r="CL1110">
        <v>0</v>
      </c>
      <c r="CM1110">
        <v>2</v>
      </c>
      <c r="CN1110">
        <v>0</v>
      </c>
      <c r="CO1110">
        <v>2</v>
      </c>
      <c r="CP1110">
        <v>0</v>
      </c>
      <c r="CQ1110">
        <v>5</v>
      </c>
      <c r="CR1110" t="s">
        <v>116</v>
      </c>
      <c r="CS1110">
        <v>372</v>
      </c>
      <c r="CT1110">
        <v>2</v>
      </c>
      <c r="CU1110" t="s">
        <v>877</v>
      </c>
      <c r="CV1110" t="s">
        <v>878</v>
      </c>
      <c r="CY1110">
        <v>10050790</v>
      </c>
      <c r="CZ1110" t="s">
        <v>119</v>
      </c>
    </row>
    <row r="1111" spans="1:104" x14ac:dyDescent="0.25">
      <c r="A1111" t="str">
        <f>"14:08:53.273"</f>
        <v>14:08:53.273</v>
      </c>
      <c r="B1111" t="s">
        <v>108</v>
      </c>
      <c r="C1111" t="str">
        <f t="shared" si="52"/>
        <v>ffdfd3c0</v>
      </c>
      <c r="D1111" t="s">
        <v>109</v>
      </c>
      <c r="E1111">
        <v>4</v>
      </c>
      <c r="F1111">
        <v>1004</v>
      </c>
      <c r="G1111" t="s">
        <v>110</v>
      </c>
      <c r="J1111" t="s">
        <v>111</v>
      </c>
      <c r="K1111">
        <v>0</v>
      </c>
      <c r="L1111">
        <v>3</v>
      </c>
      <c r="M1111">
        <v>0</v>
      </c>
      <c r="N1111">
        <v>2</v>
      </c>
      <c r="O1111">
        <v>1</v>
      </c>
      <c r="P1111">
        <v>0</v>
      </c>
      <c r="Q1111">
        <v>0</v>
      </c>
      <c r="R1111" t="s">
        <v>112</v>
      </c>
      <c r="S1111" t="str">
        <f>"14:08:53.102"</f>
        <v>14:08:53.102</v>
      </c>
      <c r="T1111" t="str">
        <f>"14:08:52.703"</f>
        <v>14:08:52.703</v>
      </c>
      <c r="U1111" t="str">
        <f t="shared" si="51"/>
        <v>ad5732</v>
      </c>
      <c r="V1111">
        <v>0</v>
      </c>
      <c r="W1111">
        <v>0</v>
      </c>
      <c r="X1111">
        <v>1</v>
      </c>
      <c r="Z1111">
        <v>0</v>
      </c>
      <c r="AA1111">
        <v>9</v>
      </c>
      <c r="AB1111">
        <v>3</v>
      </c>
      <c r="AC1111">
        <v>0</v>
      </c>
      <c r="AD1111">
        <v>10</v>
      </c>
      <c r="AE1111">
        <v>0</v>
      </c>
      <c r="AF1111">
        <v>3</v>
      </c>
      <c r="AG1111">
        <v>2</v>
      </c>
      <c r="AH1111">
        <v>0</v>
      </c>
      <c r="AI1111" t="s">
        <v>2323</v>
      </c>
      <c r="AJ1111">
        <v>39.478361999999997</v>
      </c>
      <c r="AK1111" t="s">
        <v>2324</v>
      </c>
      <c r="AL1111">
        <v>-76.766131000000001</v>
      </c>
      <c r="AM1111">
        <v>100</v>
      </c>
      <c r="AN1111">
        <v>8700</v>
      </c>
      <c r="AO1111" t="s">
        <v>115</v>
      </c>
      <c r="AP1111">
        <v>168</v>
      </c>
      <c r="AQ1111">
        <v>87</v>
      </c>
      <c r="AR1111">
        <v>0</v>
      </c>
      <c r="AZ1111">
        <v>3614</v>
      </c>
      <c r="BA1111">
        <v>1</v>
      </c>
      <c r="BB1111" t="str">
        <f t="shared" si="53"/>
        <v xml:space="preserve">N959MJ  </v>
      </c>
      <c r="BC1111">
        <v>1</v>
      </c>
      <c r="BE1111">
        <v>0</v>
      </c>
      <c r="BF1111">
        <v>0</v>
      </c>
      <c r="BG1111">
        <v>0</v>
      </c>
      <c r="BH1111">
        <v>9025</v>
      </c>
      <c r="BI1111">
        <v>325</v>
      </c>
      <c r="BJ1111">
        <v>1</v>
      </c>
      <c r="BK1111">
        <v>1</v>
      </c>
      <c r="BL1111">
        <v>1</v>
      </c>
      <c r="BM1111">
        <v>0</v>
      </c>
      <c r="BP1111">
        <v>0</v>
      </c>
      <c r="BQ1111">
        <v>0</v>
      </c>
      <c r="BX1111" t="str">
        <f>"14:08:53.102"</f>
        <v>14:08:53.102</v>
      </c>
      <c r="BY1111" t="str">
        <f>"103060449"</f>
        <v>103060449</v>
      </c>
      <c r="CL1111">
        <v>0</v>
      </c>
      <c r="CM1111">
        <v>2</v>
      </c>
      <c r="CN1111">
        <v>0</v>
      </c>
      <c r="CO1111">
        <v>2</v>
      </c>
      <c r="CP1111">
        <v>0</v>
      </c>
      <c r="CQ1111">
        <v>5</v>
      </c>
      <c r="CR1111" t="s">
        <v>116</v>
      </c>
      <c r="CS1111">
        <v>372</v>
      </c>
      <c r="CT1111">
        <v>2</v>
      </c>
      <c r="CU1111" t="s">
        <v>877</v>
      </c>
      <c r="CV1111" t="s">
        <v>878</v>
      </c>
      <c r="CY1111">
        <v>10052275</v>
      </c>
      <c r="CZ1111" t="s">
        <v>119</v>
      </c>
    </row>
    <row r="1112" spans="1:104" x14ac:dyDescent="0.25">
      <c r="A1112" t="str">
        <f>"14:08:54.438"</f>
        <v>14:08:54.438</v>
      </c>
      <c r="B1112" t="s">
        <v>108</v>
      </c>
      <c r="C1112" t="str">
        <f t="shared" si="52"/>
        <v>ffdfd3c0</v>
      </c>
      <c r="D1112" t="s">
        <v>109</v>
      </c>
      <c r="E1112">
        <v>4</v>
      </c>
      <c r="F1112">
        <v>1004</v>
      </c>
      <c r="G1112" t="s">
        <v>110</v>
      </c>
      <c r="J1112" t="s">
        <v>111</v>
      </c>
      <c r="K1112">
        <v>0</v>
      </c>
      <c r="L1112">
        <v>3</v>
      </c>
      <c r="M1112">
        <v>0</v>
      </c>
      <c r="N1112">
        <v>2</v>
      </c>
      <c r="O1112">
        <v>1</v>
      </c>
      <c r="P1112">
        <v>0</v>
      </c>
      <c r="Q1112">
        <v>0</v>
      </c>
      <c r="R1112" t="s">
        <v>112</v>
      </c>
      <c r="S1112" t="str">
        <f>"14:08:54.242"</f>
        <v>14:08:54.242</v>
      </c>
      <c r="T1112" t="str">
        <f>"14:08:53.742"</f>
        <v>14:08:53.742</v>
      </c>
      <c r="U1112" t="str">
        <f t="shared" si="51"/>
        <v>ad5732</v>
      </c>
      <c r="V1112">
        <v>0</v>
      </c>
      <c r="W1112">
        <v>0</v>
      </c>
      <c r="X1112">
        <v>1</v>
      </c>
      <c r="Z1112">
        <v>0</v>
      </c>
      <c r="AA1112">
        <v>9</v>
      </c>
      <c r="AB1112">
        <v>3</v>
      </c>
      <c r="AC1112">
        <v>0</v>
      </c>
      <c r="AD1112">
        <v>10</v>
      </c>
      <c r="AE1112">
        <v>0</v>
      </c>
      <c r="AF1112">
        <v>3</v>
      </c>
      <c r="AG1112">
        <v>2</v>
      </c>
      <c r="AH1112">
        <v>0</v>
      </c>
      <c r="AI1112" t="s">
        <v>2325</v>
      </c>
      <c r="AJ1112">
        <v>39.478811999999998</v>
      </c>
      <c r="AK1112" t="s">
        <v>2326</v>
      </c>
      <c r="AL1112">
        <v>-76.765015000000005</v>
      </c>
      <c r="AM1112">
        <v>100</v>
      </c>
      <c r="AN1112">
        <v>8700</v>
      </c>
      <c r="AO1112" t="s">
        <v>115</v>
      </c>
      <c r="AP1112">
        <v>168</v>
      </c>
      <c r="AQ1112">
        <v>87</v>
      </c>
      <c r="AR1112">
        <v>-64</v>
      </c>
      <c r="AZ1112">
        <v>3614</v>
      </c>
      <c r="BA1112">
        <v>1</v>
      </c>
      <c r="BB1112" t="str">
        <f t="shared" si="53"/>
        <v xml:space="preserve">N959MJ  </v>
      </c>
      <c r="BC1112">
        <v>1</v>
      </c>
      <c r="BE1112">
        <v>0</v>
      </c>
      <c r="BF1112">
        <v>0</v>
      </c>
      <c r="BG1112">
        <v>0</v>
      </c>
      <c r="BH1112">
        <v>9025</v>
      </c>
      <c r="BI1112">
        <v>325</v>
      </c>
      <c r="BJ1112">
        <v>1</v>
      </c>
      <c r="BK1112">
        <v>1</v>
      </c>
      <c r="BL1112">
        <v>1</v>
      </c>
      <c r="BM1112">
        <v>0</v>
      </c>
      <c r="BP1112">
        <v>0</v>
      </c>
      <c r="BQ1112">
        <v>0</v>
      </c>
      <c r="BX1112" t="str">
        <f>"14:08:54.250"</f>
        <v>14:08:54.250</v>
      </c>
      <c r="BY1112" t="str">
        <f>"246635064"</f>
        <v>246635064</v>
      </c>
      <c r="CL1112">
        <v>0</v>
      </c>
      <c r="CM1112">
        <v>2</v>
      </c>
      <c r="CN1112">
        <v>0</v>
      </c>
      <c r="CO1112">
        <v>2</v>
      </c>
      <c r="CP1112">
        <v>0</v>
      </c>
      <c r="CQ1112">
        <v>6</v>
      </c>
      <c r="CR1112" t="s">
        <v>116</v>
      </c>
      <c r="CS1112">
        <v>396</v>
      </c>
      <c r="CT1112">
        <v>2</v>
      </c>
      <c r="CU1112" t="s">
        <v>939</v>
      </c>
      <c r="CV1112" t="s">
        <v>940</v>
      </c>
      <c r="CY1112">
        <v>4693926</v>
      </c>
      <c r="CZ1112" t="s">
        <v>119</v>
      </c>
    </row>
    <row r="1113" spans="1:104" x14ac:dyDescent="0.25">
      <c r="A1113" t="str">
        <f>"14:08:55.445"</f>
        <v>14:08:55.445</v>
      </c>
      <c r="B1113" t="s">
        <v>108</v>
      </c>
      <c r="C1113" t="str">
        <f t="shared" si="52"/>
        <v>ffdfd3c0</v>
      </c>
      <c r="D1113" t="s">
        <v>109</v>
      </c>
      <c r="E1113">
        <v>4</v>
      </c>
      <c r="F1113">
        <v>1004</v>
      </c>
      <c r="G1113" t="s">
        <v>110</v>
      </c>
      <c r="J1113" t="s">
        <v>111</v>
      </c>
      <c r="K1113">
        <v>0</v>
      </c>
      <c r="L1113">
        <v>3</v>
      </c>
      <c r="M1113">
        <v>0</v>
      </c>
      <c r="N1113">
        <v>2</v>
      </c>
      <c r="O1113">
        <v>1</v>
      </c>
      <c r="P1113">
        <v>0</v>
      </c>
      <c r="Q1113">
        <v>0</v>
      </c>
      <c r="R1113" t="s">
        <v>112</v>
      </c>
      <c r="S1113" t="str">
        <f>"14:08:55.273"</f>
        <v>14:08:55.273</v>
      </c>
      <c r="T1113" t="str">
        <f>"14:08:54.773"</f>
        <v>14:08:54.773</v>
      </c>
      <c r="U1113" t="str">
        <f t="shared" si="51"/>
        <v>ad5732</v>
      </c>
      <c r="V1113">
        <v>0</v>
      </c>
      <c r="W1113">
        <v>0</v>
      </c>
      <c r="X1113">
        <v>1</v>
      </c>
      <c r="Z1113">
        <v>0</v>
      </c>
      <c r="AA1113">
        <v>9</v>
      </c>
      <c r="AB1113">
        <v>3</v>
      </c>
      <c r="AC1113">
        <v>0</v>
      </c>
      <c r="AD1113">
        <v>10</v>
      </c>
      <c r="AE1113">
        <v>0</v>
      </c>
      <c r="AF1113">
        <v>3</v>
      </c>
      <c r="AG1113">
        <v>2</v>
      </c>
      <c r="AH1113">
        <v>0</v>
      </c>
      <c r="AI1113" t="s">
        <v>2327</v>
      </c>
      <c r="AJ1113">
        <v>39.479177</v>
      </c>
      <c r="AK1113" t="s">
        <v>2328</v>
      </c>
      <c r="AL1113">
        <v>-76.763985000000005</v>
      </c>
      <c r="AM1113">
        <v>100</v>
      </c>
      <c r="AN1113">
        <v>8700</v>
      </c>
      <c r="AO1113" t="s">
        <v>115</v>
      </c>
      <c r="AP1113">
        <v>168</v>
      </c>
      <c r="AQ1113">
        <v>86</v>
      </c>
      <c r="AR1113">
        <v>-64</v>
      </c>
      <c r="AZ1113">
        <v>3614</v>
      </c>
      <c r="BA1113">
        <v>1</v>
      </c>
      <c r="BB1113" t="str">
        <f t="shared" si="53"/>
        <v xml:space="preserve">N959MJ  </v>
      </c>
      <c r="BC1113">
        <v>1</v>
      </c>
      <c r="BE1113">
        <v>0</v>
      </c>
      <c r="BF1113">
        <v>0</v>
      </c>
      <c r="BG1113">
        <v>0</v>
      </c>
      <c r="BH1113">
        <v>9025</v>
      </c>
      <c r="BI1113">
        <v>325</v>
      </c>
      <c r="BJ1113">
        <v>1</v>
      </c>
      <c r="BK1113">
        <v>1</v>
      </c>
      <c r="BL1113">
        <v>1</v>
      </c>
      <c r="BM1113">
        <v>0</v>
      </c>
      <c r="BP1113">
        <v>0</v>
      </c>
      <c r="BQ1113">
        <v>0</v>
      </c>
      <c r="BX1113" t="str">
        <f>"14:08:55.281"</f>
        <v>14:08:55.281</v>
      </c>
      <c r="BY1113" t="str">
        <f>"278891437"</f>
        <v>278891437</v>
      </c>
      <c r="CL1113">
        <v>0</v>
      </c>
      <c r="CM1113">
        <v>2</v>
      </c>
      <c r="CN1113">
        <v>0</v>
      </c>
      <c r="CO1113">
        <v>2</v>
      </c>
      <c r="CP1113">
        <v>0</v>
      </c>
      <c r="CQ1113">
        <v>5</v>
      </c>
      <c r="CR1113" t="s">
        <v>116</v>
      </c>
      <c r="CS1113">
        <v>372</v>
      </c>
      <c r="CT1113">
        <v>3</v>
      </c>
      <c r="CU1113" t="s">
        <v>877</v>
      </c>
      <c r="CV1113" t="s">
        <v>878</v>
      </c>
      <c r="CY1113">
        <v>11340796</v>
      </c>
      <c r="CZ1113" t="s">
        <v>119</v>
      </c>
    </row>
    <row r="1114" spans="1:104" x14ac:dyDescent="0.25">
      <c r="A1114" t="str">
        <f>"14:08:56.406"</f>
        <v>14:08:56.406</v>
      </c>
      <c r="B1114" t="s">
        <v>108</v>
      </c>
      <c r="C1114" t="str">
        <f t="shared" si="52"/>
        <v>ffdfd3c0</v>
      </c>
      <c r="D1114" t="s">
        <v>109</v>
      </c>
      <c r="E1114">
        <v>4</v>
      </c>
      <c r="F1114">
        <v>1004</v>
      </c>
      <c r="G1114" t="s">
        <v>110</v>
      </c>
      <c r="J1114" t="s">
        <v>111</v>
      </c>
      <c r="K1114">
        <v>0</v>
      </c>
      <c r="L1114">
        <v>3</v>
      </c>
      <c r="M1114">
        <v>0</v>
      </c>
      <c r="N1114">
        <v>2</v>
      </c>
      <c r="O1114">
        <v>1</v>
      </c>
      <c r="P1114">
        <v>0</v>
      </c>
      <c r="Q1114">
        <v>0</v>
      </c>
      <c r="R1114" t="s">
        <v>112</v>
      </c>
      <c r="S1114" t="str">
        <f>"14:08:56.250"</f>
        <v>14:08:56.250</v>
      </c>
      <c r="T1114" t="str">
        <f>"14:08:55.852"</f>
        <v>14:08:55.852</v>
      </c>
      <c r="U1114" t="str">
        <f t="shared" si="51"/>
        <v>ad5732</v>
      </c>
      <c r="V1114">
        <v>0</v>
      </c>
      <c r="W1114">
        <v>0</v>
      </c>
      <c r="X1114">
        <v>1</v>
      </c>
      <c r="Z1114">
        <v>0</v>
      </c>
      <c r="AA1114">
        <v>9</v>
      </c>
      <c r="AB1114">
        <v>3</v>
      </c>
      <c r="AC1114">
        <v>0</v>
      </c>
      <c r="AD1114">
        <v>10</v>
      </c>
      <c r="AE1114">
        <v>0</v>
      </c>
      <c r="AF1114">
        <v>3</v>
      </c>
      <c r="AG1114">
        <v>2</v>
      </c>
      <c r="AH1114">
        <v>0</v>
      </c>
      <c r="AI1114" t="s">
        <v>2329</v>
      </c>
      <c r="AJ1114">
        <v>39.479605999999997</v>
      </c>
      <c r="AK1114" t="s">
        <v>2330</v>
      </c>
      <c r="AL1114">
        <v>-76.762997999999996</v>
      </c>
      <c r="AM1114">
        <v>100</v>
      </c>
      <c r="AN1114">
        <v>8700</v>
      </c>
      <c r="AO1114" t="s">
        <v>115</v>
      </c>
      <c r="AP1114">
        <v>168</v>
      </c>
      <c r="AQ1114">
        <v>86</v>
      </c>
      <c r="AR1114">
        <v>-64</v>
      </c>
      <c r="AZ1114">
        <v>3614</v>
      </c>
      <c r="BA1114">
        <v>1</v>
      </c>
      <c r="BB1114" t="str">
        <f t="shared" si="53"/>
        <v xml:space="preserve">N959MJ  </v>
      </c>
      <c r="BC1114">
        <v>1</v>
      </c>
      <c r="BE1114">
        <v>0</v>
      </c>
      <c r="BF1114">
        <v>0</v>
      </c>
      <c r="BG1114">
        <v>0</v>
      </c>
      <c r="BH1114">
        <v>9025</v>
      </c>
      <c r="BI1114">
        <v>325</v>
      </c>
      <c r="BJ1114">
        <v>1</v>
      </c>
      <c r="BK1114">
        <v>1</v>
      </c>
      <c r="BL1114">
        <v>1</v>
      </c>
      <c r="BM1114">
        <v>0</v>
      </c>
      <c r="BP1114">
        <v>0</v>
      </c>
      <c r="BQ1114">
        <v>0</v>
      </c>
      <c r="BX1114" t="str">
        <f>"14:08:56.250"</f>
        <v>14:08:56.250</v>
      </c>
      <c r="BY1114" t="str">
        <f>"250428184"</f>
        <v>250428184</v>
      </c>
      <c r="CL1114">
        <v>0</v>
      </c>
      <c r="CM1114">
        <v>2</v>
      </c>
      <c r="CN1114">
        <v>0</v>
      </c>
      <c r="CO1114">
        <v>2</v>
      </c>
      <c r="CP1114">
        <v>0</v>
      </c>
      <c r="CQ1114">
        <v>6</v>
      </c>
      <c r="CR1114" t="s">
        <v>116</v>
      </c>
      <c r="CS1114">
        <v>525</v>
      </c>
      <c r="CT1114">
        <v>1</v>
      </c>
      <c r="CU1114" t="s">
        <v>140</v>
      </c>
      <c r="CV1114" t="s">
        <v>141</v>
      </c>
      <c r="CY1114">
        <v>8781999</v>
      </c>
      <c r="CZ1114" t="s">
        <v>119</v>
      </c>
    </row>
    <row r="1115" spans="1:104" x14ac:dyDescent="0.25">
      <c r="A1115" t="str">
        <f>"14:08:57.313"</f>
        <v>14:08:57.313</v>
      </c>
      <c r="B1115" t="s">
        <v>108</v>
      </c>
      <c r="C1115" t="str">
        <f t="shared" si="52"/>
        <v>ffdfd3c0</v>
      </c>
      <c r="D1115" t="s">
        <v>109</v>
      </c>
      <c r="E1115">
        <v>4</v>
      </c>
      <c r="F1115">
        <v>1004</v>
      </c>
      <c r="G1115" t="s">
        <v>110</v>
      </c>
      <c r="J1115" t="s">
        <v>111</v>
      </c>
      <c r="K1115">
        <v>0</v>
      </c>
      <c r="L1115">
        <v>3</v>
      </c>
      <c r="M1115">
        <v>0</v>
      </c>
      <c r="N1115">
        <v>2</v>
      </c>
      <c r="O1115">
        <v>1</v>
      </c>
      <c r="P1115">
        <v>0</v>
      </c>
      <c r="Q1115">
        <v>0</v>
      </c>
      <c r="R1115" t="s">
        <v>112</v>
      </c>
      <c r="S1115" t="str">
        <f>"14:08:57.117"</f>
        <v>14:08:57.117</v>
      </c>
      <c r="T1115" t="str">
        <f>"14:08:56.719"</f>
        <v>14:08:56.719</v>
      </c>
      <c r="U1115" t="str">
        <f t="shared" si="51"/>
        <v>ad5732</v>
      </c>
      <c r="V1115">
        <v>0</v>
      </c>
      <c r="W1115">
        <v>0</v>
      </c>
      <c r="X1115">
        <v>1</v>
      </c>
      <c r="Z1115">
        <v>0</v>
      </c>
      <c r="AA1115">
        <v>9</v>
      </c>
      <c r="AB1115">
        <v>3</v>
      </c>
      <c r="AC1115">
        <v>0</v>
      </c>
      <c r="AD1115">
        <v>10</v>
      </c>
      <c r="AE1115">
        <v>0</v>
      </c>
      <c r="AF1115">
        <v>3</v>
      </c>
      <c r="AG1115">
        <v>2</v>
      </c>
      <c r="AH1115">
        <v>0</v>
      </c>
      <c r="AI1115" t="s">
        <v>2331</v>
      </c>
      <c r="AJ1115">
        <v>39.479970999999999</v>
      </c>
      <c r="AK1115" t="s">
        <v>2332</v>
      </c>
      <c r="AL1115">
        <v>-76.762140000000002</v>
      </c>
      <c r="AM1115">
        <v>100</v>
      </c>
      <c r="AN1115">
        <v>8700</v>
      </c>
      <c r="AO1115" t="s">
        <v>115</v>
      </c>
      <c r="AP1115">
        <v>169</v>
      </c>
      <c r="AQ1115">
        <v>86</v>
      </c>
      <c r="AR1115">
        <v>-64</v>
      </c>
      <c r="AZ1115">
        <v>3614</v>
      </c>
      <c r="BA1115">
        <v>1</v>
      </c>
      <c r="BB1115" t="str">
        <f t="shared" si="53"/>
        <v xml:space="preserve">N959MJ  </v>
      </c>
      <c r="BC1115">
        <v>1</v>
      </c>
      <c r="BE1115">
        <v>0</v>
      </c>
      <c r="BF1115">
        <v>0</v>
      </c>
      <c r="BG1115">
        <v>0</v>
      </c>
      <c r="BH1115">
        <v>9025</v>
      </c>
      <c r="BI1115">
        <v>325</v>
      </c>
      <c r="BJ1115">
        <v>1</v>
      </c>
      <c r="BK1115">
        <v>1</v>
      </c>
      <c r="BL1115">
        <v>1</v>
      </c>
      <c r="BM1115">
        <v>0</v>
      </c>
      <c r="BP1115">
        <v>0</v>
      </c>
      <c r="BQ1115">
        <v>0</v>
      </c>
      <c r="BX1115" t="str">
        <f>"14:08:57.125"</f>
        <v>14:08:57.125</v>
      </c>
      <c r="BY1115" t="str">
        <f>"122071604"</f>
        <v>122071604</v>
      </c>
      <c r="CL1115">
        <v>0</v>
      </c>
      <c r="CM1115">
        <v>2</v>
      </c>
      <c r="CN1115">
        <v>0</v>
      </c>
      <c r="CO1115">
        <v>2</v>
      </c>
      <c r="CP1115">
        <v>0</v>
      </c>
      <c r="CQ1115">
        <v>6</v>
      </c>
      <c r="CR1115" t="s">
        <v>116</v>
      </c>
      <c r="CS1115">
        <v>525</v>
      </c>
      <c r="CT1115">
        <v>1</v>
      </c>
      <c r="CU1115" t="s">
        <v>140</v>
      </c>
      <c r="CV1115" t="s">
        <v>141</v>
      </c>
      <c r="CY1115">
        <v>8783306</v>
      </c>
      <c r="CZ1115" t="s">
        <v>119</v>
      </c>
    </row>
    <row r="1116" spans="1:104" x14ac:dyDescent="0.25">
      <c r="A1116" t="str">
        <f>"14:08:58.422"</f>
        <v>14:08:58.422</v>
      </c>
      <c r="B1116" t="s">
        <v>108</v>
      </c>
      <c r="C1116" t="str">
        <f t="shared" si="52"/>
        <v>ffdfd3c0</v>
      </c>
      <c r="D1116" t="s">
        <v>109</v>
      </c>
      <c r="E1116">
        <v>4</v>
      </c>
      <c r="F1116">
        <v>1004</v>
      </c>
      <c r="G1116" t="s">
        <v>110</v>
      </c>
      <c r="J1116" t="s">
        <v>111</v>
      </c>
      <c r="K1116">
        <v>0</v>
      </c>
      <c r="L1116">
        <v>3</v>
      </c>
      <c r="M1116">
        <v>0</v>
      </c>
      <c r="N1116">
        <v>2</v>
      </c>
      <c r="O1116">
        <v>1</v>
      </c>
      <c r="P1116">
        <v>0</v>
      </c>
      <c r="Q1116">
        <v>0</v>
      </c>
      <c r="R1116" t="s">
        <v>112</v>
      </c>
      <c r="S1116" t="str">
        <f>"14:08:58.227"</f>
        <v>14:08:58.227</v>
      </c>
      <c r="T1116" t="str">
        <f>"14:08:57.727"</f>
        <v>14:08:57.727</v>
      </c>
      <c r="U1116" t="str">
        <f t="shared" si="51"/>
        <v>ad5732</v>
      </c>
      <c r="V1116">
        <v>0</v>
      </c>
      <c r="W1116">
        <v>0</v>
      </c>
      <c r="X1116">
        <v>1</v>
      </c>
      <c r="Z1116">
        <v>0</v>
      </c>
      <c r="AA1116">
        <v>9</v>
      </c>
      <c r="AB1116">
        <v>3</v>
      </c>
      <c r="AC1116">
        <v>0</v>
      </c>
      <c r="AD1116">
        <v>10</v>
      </c>
      <c r="AE1116">
        <v>0</v>
      </c>
      <c r="AF1116">
        <v>3</v>
      </c>
      <c r="AG1116">
        <v>2</v>
      </c>
      <c r="AH1116">
        <v>0</v>
      </c>
      <c r="AI1116" t="s">
        <v>2333</v>
      </c>
      <c r="AJ1116">
        <v>39.480400000000003</v>
      </c>
      <c r="AK1116" t="s">
        <v>2334</v>
      </c>
      <c r="AL1116">
        <v>-76.760981000000001</v>
      </c>
      <c r="AM1116">
        <v>100</v>
      </c>
      <c r="AN1116">
        <v>8700</v>
      </c>
      <c r="AO1116" t="s">
        <v>115</v>
      </c>
      <c r="AP1116">
        <v>169</v>
      </c>
      <c r="AQ1116">
        <v>86</v>
      </c>
      <c r="AR1116">
        <v>-64</v>
      </c>
      <c r="AZ1116">
        <v>3614</v>
      </c>
      <c r="BA1116">
        <v>1</v>
      </c>
      <c r="BB1116" t="str">
        <f t="shared" si="53"/>
        <v xml:space="preserve">N959MJ  </v>
      </c>
      <c r="BC1116">
        <v>1</v>
      </c>
      <c r="BE1116">
        <v>0</v>
      </c>
      <c r="BF1116">
        <v>0</v>
      </c>
      <c r="BG1116">
        <v>0</v>
      </c>
      <c r="BH1116">
        <v>9025</v>
      </c>
      <c r="BI1116">
        <v>325</v>
      </c>
      <c r="BJ1116">
        <v>1</v>
      </c>
      <c r="BK1116">
        <v>1</v>
      </c>
      <c r="BL1116">
        <v>1</v>
      </c>
      <c r="BM1116">
        <v>0</v>
      </c>
      <c r="BP1116">
        <v>0</v>
      </c>
      <c r="BQ1116">
        <v>0</v>
      </c>
      <c r="BX1116" t="str">
        <f>"14:08:58.227"</f>
        <v>14:08:58.227</v>
      </c>
      <c r="BY1116" t="str">
        <f>"228010209"</f>
        <v>228010209</v>
      </c>
      <c r="CL1116">
        <v>0</v>
      </c>
      <c r="CM1116">
        <v>2</v>
      </c>
      <c r="CN1116">
        <v>0</v>
      </c>
      <c r="CO1116">
        <v>2</v>
      </c>
      <c r="CP1116">
        <v>0</v>
      </c>
      <c r="CQ1116">
        <v>6</v>
      </c>
      <c r="CR1116" t="s">
        <v>116</v>
      </c>
      <c r="CS1116">
        <v>525</v>
      </c>
      <c r="CT1116">
        <v>1</v>
      </c>
      <c r="CU1116" t="s">
        <v>140</v>
      </c>
      <c r="CV1116" t="s">
        <v>141</v>
      </c>
      <c r="CY1116">
        <v>8784880</v>
      </c>
      <c r="CZ1116" t="s">
        <v>119</v>
      </c>
    </row>
    <row r="1117" spans="1:104" x14ac:dyDescent="0.25">
      <c r="A1117" t="str">
        <f>"14:08:59.336"</f>
        <v>14:08:59.336</v>
      </c>
      <c r="B1117" t="s">
        <v>108</v>
      </c>
      <c r="C1117" t="str">
        <f t="shared" si="52"/>
        <v>ffdfd3c0</v>
      </c>
      <c r="D1117" t="s">
        <v>109</v>
      </c>
      <c r="E1117">
        <v>4</v>
      </c>
      <c r="F1117">
        <v>1004</v>
      </c>
      <c r="G1117" t="s">
        <v>110</v>
      </c>
      <c r="J1117" t="s">
        <v>111</v>
      </c>
      <c r="K1117">
        <v>0</v>
      </c>
      <c r="L1117">
        <v>3</v>
      </c>
      <c r="M1117">
        <v>0</v>
      </c>
      <c r="N1117">
        <v>2</v>
      </c>
      <c r="O1117">
        <v>1</v>
      </c>
      <c r="P1117">
        <v>0</v>
      </c>
      <c r="Q1117">
        <v>0</v>
      </c>
      <c r="R1117" t="s">
        <v>112</v>
      </c>
      <c r="S1117" t="str">
        <f>"14:08:59.164"</f>
        <v>14:08:59.164</v>
      </c>
      <c r="T1117" t="str">
        <f>"14:08:58.766"</f>
        <v>14:08:58.766</v>
      </c>
      <c r="U1117" t="str">
        <f t="shared" si="51"/>
        <v>ad5732</v>
      </c>
      <c r="V1117">
        <v>0</v>
      </c>
      <c r="W1117">
        <v>0</v>
      </c>
      <c r="X1117">
        <v>1</v>
      </c>
      <c r="Z1117">
        <v>0</v>
      </c>
      <c r="AA1117">
        <v>9</v>
      </c>
      <c r="AB1117">
        <v>3</v>
      </c>
      <c r="AC1117">
        <v>0</v>
      </c>
      <c r="AD1117">
        <v>10</v>
      </c>
      <c r="AE1117">
        <v>0</v>
      </c>
      <c r="AF1117">
        <v>3</v>
      </c>
      <c r="AG1117">
        <v>2</v>
      </c>
      <c r="AH1117">
        <v>0</v>
      </c>
      <c r="AI1117" t="s">
        <v>2335</v>
      </c>
      <c r="AJ1117">
        <v>39.480742999999997</v>
      </c>
      <c r="AK1117" t="s">
        <v>2336</v>
      </c>
      <c r="AL1117">
        <v>-76.760101000000006</v>
      </c>
      <c r="AM1117">
        <v>100</v>
      </c>
      <c r="AN1117">
        <v>8700</v>
      </c>
      <c r="AO1117" t="s">
        <v>115</v>
      </c>
      <c r="AP1117">
        <v>169</v>
      </c>
      <c r="AQ1117">
        <v>86</v>
      </c>
      <c r="AR1117">
        <v>-64</v>
      </c>
      <c r="AZ1117">
        <v>3614</v>
      </c>
      <c r="BA1117">
        <v>1</v>
      </c>
      <c r="BB1117" t="str">
        <f t="shared" si="53"/>
        <v xml:space="preserve">N959MJ  </v>
      </c>
      <c r="BC1117">
        <v>1</v>
      </c>
      <c r="BE1117">
        <v>0</v>
      </c>
      <c r="BF1117">
        <v>0</v>
      </c>
      <c r="BG1117">
        <v>0</v>
      </c>
      <c r="BH1117">
        <v>9025</v>
      </c>
      <c r="BI1117">
        <v>325</v>
      </c>
      <c r="BJ1117">
        <v>1</v>
      </c>
      <c r="BK1117">
        <v>1</v>
      </c>
      <c r="BL1117">
        <v>1</v>
      </c>
      <c r="BM1117">
        <v>0</v>
      </c>
      <c r="BP1117">
        <v>0</v>
      </c>
      <c r="BQ1117">
        <v>0</v>
      </c>
      <c r="BX1117" t="str">
        <f>"14:08:59.172"</f>
        <v>14:08:59.172</v>
      </c>
      <c r="BY1117" t="str">
        <f>"168470556"</f>
        <v>168470556</v>
      </c>
      <c r="CL1117">
        <v>0</v>
      </c>
      <c r="CM1117">
        <v>2</v>
      </c>
      <c r="CN1117">
        <v>0</v>
      </c>
      <c r="CO1117">
        <v>2</v>
      </c>
      <c r="CP1117">
        <v>0</v>
      </c>
      <c r="CQ1117">
        <v>6</v>
      </c>
      <c r="CR1117" t="s">
        <v>116</v>
      </c>
      <c r="CS1117">
        <v>147</v>
      </c>
      <c r="CT1117">
        <v>0</v>
      </c>
      <c r="CU1117" t="s">
        <v>117</v>
      </c>
      <c r="CV1117" t="s">
        <v>118</v>
      </c>
      <c r="CY1117">
        <v>5717518</v>
      </c>
      <c r="CZ1117" t="s">
        <v>119</v>
      </c>
    </row>
    <row r="1118" spans="1:104" x14ac:dyDescent="0.25">
      <c r="A1118" t="str">
        <f>"14:09:00.344"</f>
        <v>14:09:00.344</v>
      </c>
      <c r="B1118" t="s">
        <v>108</v>
      </c>
      <c r="C1118" t="str">
        <f t="shared" si="52"/>
        <v>ffdfd3c0</v>
      </c>
      <c r="D1118" t="s">
        <v>109</v>
      </c>
      <c r="E1118">
        <v>4</v>
      </c>
      <c r="F1118">
        <v>1004</v>
      </c>
      <c r="G1118" t="s">
        <v>110</v>
      </c>
      <c r="J1118" t="s">
        <v>111</v>
      </c>
      <c r="K1118">
        <v>0</v>
      </c>
      <c r="L1118">
        <v>3</v>
      </c>
      <c r="M1118">
        <v>0</v>
      </c>
      <c r="N1118">
        <v>2</v>
      </c>
      <c r="O1118">
        <v>1</v>
      </c>
      <c r="P1118">
        <v>0</v>
      </c>
      <c r="Q1118">
        <v>0</v>
      </c>
      <c r="R1118" t="s">
        <v>112</v>
      </c>
      <c r="S1118" t="str">
        <f>"14:09:00.180"</f>
        <v>14:09:00.180</v>
      </c>
      <c r="T1118" t="str">
        <f>"14:08:59.781"</f>
        <v>14:08:59.781</v>
      </c>
      <c r="U1118" t="str">
        <f t="shared" si="51"/>
        <v>ad5732</v>
      </c>
      <c r="V1118">
        <v>0</v>
      </c>
      <c r="W1118">
        <v>0</v>
      </c>
      <c r="X1118">
        <v>1</v>
      </c>
      <c r="Z1118">
        <v>0</v>
      </c>
      <c r="AA1118">
        <v>9</v>
      </c>
      <c r="AB1118">
        <v>3</v>
      </c>
      <c r="AC1118">
        <v>0</v>
      </c>
      <c r="AD1118">
        <v>10</v>
      </c>
      <c r="AE1118">
        <v>0</v>
      </c>
      <c r="AF1118">
        <v>3</v>
      </c>
      <c r="AG1118">
        <v>2</v>
      </c>
      <c r="AH1118">
        <v>0</v>
      </c>
      <c r="AI1118" t="s">
        <v>2337</v>
      </c>
      <c r="AJ1118">
        <v>39.481150999999997</v>
      </c>
      <c r="AK1118" t="s">
        <v>2338</v>
      </c>
      <c r="AL1118">
        <v>-76.759092999999993</v>
      </c>
      <c r="AM1118">
        <v>100</v>
      </c>
      <c r="AN1118">
        <v>8700</v>
      </c>
      <c r="AO1118" t="s">
        <v>115</v>
      </c>
      <c r="AP1118">
        <v>169</v>
      </c>
      <c r="AQ1118">
        <v>87</v>
      </c>
      <c r="AR1118">
        <v>-64</v>
      </c>
      <c r="AZ1118">
        <v>3614</v>
      </c>
      <c r="BA1118">
        <v>1</v>
      </c>
      <c r="BB1118" t="str">
        <f t="shared" si="53"/>
        <v xml:space="preserve">N959MJ  </v>
      </c>
      <c r="BC1118">
        <v>1</v>
      </c>
      <c r="BE1118">
        <v>0</v>
      </c>
      <c r="BF1118">
        <v>0</v>
      </c>
      <c r="BG1118">
        <v>0</v>
      </c>
      <c r="BH1118">
        <v>9025</v>
      </c>
      <c r="BI1118">
        <v>325</v>
      </c>
      <c r="BJ1118">
        <v>1</v>
      </c>
      <c r="BK1118">
        <v>1</v>
      </c>
      <c r="BL1118">
        <v>1</v>
      </c>
      <c r="BM1118">
        <v>0</v>
      </c>
      <c r="BP1118">
        <v>0</v>
      </c>
      <c r="BQ1118">
        <v>0</v>
      </c>
      <c r="BX1118" t="str">
        <f>"14:09:00.180"</f>
        <v>14:09:00.180</v>
      </c>
      <c r="BY1118" t="str">
        <f>"182654284"</f>
        <v>182654284</v>
      </c>
      <c r="CL1118">
        <v>0</v>
      </c>
      <c r="CM1118">
        <v>2</v>
      </c>
      <c r="CN1118">
        <v>0</v>
      </c>
      <c r="CO1118">
        <v>2</v>
      </c>
      <c r="CP1118">
        <v>0</v>
      </c>
      <c r="CQ1118">
        <v>6</v>
      </c>
      <c r="CR1118" t="s">
        <v>116</v>
      </c>
      <c r="CS1118">
        <v>525</v>
      </c>
      <c r="CT1118">
        <v>1</v>
      </c>
      <c r="CU1118" t="s">
        <v>140</v>
      </c>
      <c r="CV1118" t="s">
        <v>141</v>
      </c>
      <c r="CY1118">
        <v>8787701</v>
      </c>
      <c r="CZ1118" t="s">
        <v>119</v>
      </c>
    </row>
    <row r="1119" spans="1:104" x14ac:dyDescent="0.25">
      <c r="A1119" t="str">
        <f>"14:09:01.305"</f>
        <v>14:09:01.305</v>
      </c>
      <c r="B1119" t="s">
        <v>108</v>
      </c>
      <c r="C1119" t="str">
        <f t="shared" si="52"/>
        <v>ffdfd3c0</v>
      </c>
      <c r="D1119" t="s">
        <v>109</v>
      </c>
      <c r="E1119">
        <v>4</v>
      </c>
      <c r="F1119">
        <v>1004</v>
      </c>
      <c r="G1119" t="s">
        <v>110</v>
      </c>
      <c r="J1119" t="s">
        <v>111</v>
      </c>
      <c r="K1119">
        <v>0</v>
      </c>
      <c r="L1119">
        <v>3</v>
      </c>
      <c r="M1119">
        <v>0</v>
      </c>
      <c r="N1119">
        <v>2</v>
      </c>
      <c r="O1119">
        <v>1</v>
      </c>
      <c r="P1119">
        <v>0</v>
      </c>
      <c r="Q1119">
        <v>0</v>
      </c>
      <c r="R1119" t="s">
        <v>112</v>
      </c>
      <c r="S1119" t="str">
        <f>"14:09:01.125"</f>
        <v>14:09:01.125</v>
      </c>
      <c r="T1119" t="str">
        <f>"14:09:00.727"</f>
        <v>14:09:00.727</v>
      </c>
      <c r="U1119" t="str">
        <f t="shared" si="51"/>
        <v>ad5732</v>
      </c>
      <c r="V1119">
        <v>0</v>
      </c>
      <c r="W1119">
        <v>0</v>
      </c>
      <c r="X1119">
        <v>1</v>
      </c>
      <c r="Z1119">
        <v>0</v>
      </c>
      <c r="AA1119">
        <v>9</v>
      </c>
      <c r="AB1119">
        <v>3</v>
      </c>
      <c r="AC1119">
        <v>0</v>
      </c>
      <c r="AD1119">
        <v>10</v>
      </c>
      <c r="AE1119">
        <v>0</v>
      </c>
      <c r="AF1119">
        <v>3</v>
      </c>
      <c r="AG1119">
        <v>2</v>
      </c>
      <c r="AH1119">
        <v>0</v>
      </c>
      <c r="AI1119" t="s">
        <v>2339</v>
      </c>
      <c r="AJ1119">
        <v>39.481558999999997</v>
      </c>
      <c r="AK1119" t="s">
        <v>2340</v>
      </c>
      <c r="AL1119">
        <v>-76.758063000000007</v>
      </c>
      <c r="AM1119">
        <v>100</v>
      </c>
      <c r="AN1119">
        <v>8700</v>
      </c>
      <c r="AO1119" t="s">
        <v>115</v>
      </c>
      <c r="AP1119">
        <v>169</v>
      </c>
      <c r="AQ1119">
        <v>87</v>
      </c>
      <c r="AR1119">
        <v>-64</v>
      </c>
      <c r="AZ1119">
        <v>3614</v>
      </c>
      <c r="BA1119">
        <v>1</v>
      </c>
      <c r="BB1119" t="str">
        <f t="shared" si="53"/>
        <v xml:space="preserve">N959MJ  </v>
      </c>
      <c r="BC1119">
        <v>1</v>
      </c>
      <c r="BE1119">
        <v>0</v>
      </c>
      <c r="BF1119">
        <v>0</v>
      </c>
      <c r="BG1119">
        <v>0</v>
      </c>
      <c r="BH1119">
        <v>9025</v>
      </c>
      <c r="BI1119">
        <v>325</v>
      </c>
      <c r="BJ1119">
        <v>1</v>
      </c>
      <c r="BK1119">
        <v>1</v>
      </c>
      <c r="BL1119">
        <v>1</v>
      </c>
      <c r="BM1119">
        <v>0</v>
      </c>
      <c r="BP1119">
        <v>0</v>
      </c>
      <c r="BQ1119">
        <v>0</v>
      </c>
      <c r="BX1119" t="str">
        <f>"14:09:01.125"</f>
        <v>14:09:01.125</v>
      </c>
      <c r="BY1119" t="str">
        <f>"128029860"</f>
        <v>128029860</v>
      </c>
      <c r="CL1119">
        <v>0</v>
      </c>
      <c r="CM1119">
        <v>2</v>
      </c>
      <c r="CN1119">
        <v>0</v>
      </c>
      <c r="CO1119">
        <v>2</v>
      </c>
      <c r="CP1119">
        <v>0</v>
      </c>
      <c r="CQ1119">
        <v>6</v>
      </c>
      <c r="CR1119" t="s">
        <v>116</v>
      </c>
      <c r="CS1119">
        <v>147</v>
      </c>
      <c r="CT1119">
        <v>0</v>
      </c>
      <c r="CU1119" t="s">
        <v>117</v>
      </c>
      <c r="CV1119" t="s">
        <v>118</v>
      </c>
      <c r="CY1119">
        <v>5720745</v>
      </c>
      <c r="CZ1119" t="s">
        <v>119</v>
      </c>
    </row>
    <row r="1120" spans="1:104" x14ac:dyDescent="0.25">
      <c r="A1120" t="str">
        <f>"14:09:02.156"</f>
        <v>14:09:02.156</v>
      </c>
      <c r="B1120" t="s">
        <v>108</v>
      </c>
      <c r="C1120" t="str">
        <f t="shared" si="52"/>
        <v>ffdfd3c0</v>
      </c>
      <c r="D1120" t="s">
        <v>109</v>
      </c>
      <c r="E1120">
        <v>4</v>
      </c>
      <c r="F1120">
        <v>1004</v>
      </c>
      <c r="G1120" t="s">
        <v>110</v>
      </c>
      <c r="J1120" t="s">
        <v>111</v>
      </c>
      <c r="K1120">
        <v>0</v>
      </c>
      <c r="L1120">
        <v>3</v>
      </c>
      <c r="M1120">
        <v>0</v>
      </c>
      <c r="N1120">
        <v>2</v>
      </c>
      <c r="O1120">
        <v>1</v>
      </c>
      <c r="P1120">
        <v>0</v>
      </c>
      <c r="Q1120">
        <v>0</v>
      </c>
      <c r="R1120" t="s">
        <v>112</v>
      </c>
      <c r="S1120" t="str">
        <f>"14:09:01.984"</f>
        <v>14:09:01.984</v>
      </c>
      <c r="T1120" t="str">
        <f>"14:09:01.586"</f>
        <v>14:09:01.586</v>
      </c>
      <c r="U1120" t="str">
        <f t="shared" si="51"/>
        <v>ad5732</v>
      </c>
      <c r="V1120">
        <v>0</v>
      </c>
      <c r="W1120">
        <v>0</v>
      </c>
      <c r="X1120">
        <v>1</v>
      </c>
      <c r="Z1120">
        <v>0</v>
      </c>
      <c r="AA1120">
        <v>9</v>
      </c>
      <c r="AB1120">
        <v>3</v>
      </c>
      <c r="AC1120">
        <v>0</v>
      </c>
      <c r="AD1120">
        <v>10</v>
      </c>
      <c r="AE1120">
        <v>0</v>
      </c>
      <c r="AF1120">
        <v>3</v>
      </c>
      <c r="AG1120">
        <v>2</v>
      </c>
      <c r="AH1120">
        <v>0</v>
      </c>
      <c r="AI1120" t="s">
        <v>2341</v>
      </c>
      <c r="AJ1120">
        <v>39.481923999999999</v>
      </c>
      <c r="AK1120" t="s">
        <v>2342</v>
      </c>
      <c r="AL1120">
        <v>-76.757140000000007</v>
      </c>
      <c r="AM1120">
        <v>100</v>
      </c>
      <c r="AN1120">
        <v>8700</v>
      </c>
      <c r="AO1120" t="s">
        <v>115</v>
      </c>
      <c r="AP1120">
        <v>169</v>
      </c>
      <c r="AQ1120">
        <v>87</v>
      </c>
      <c r="AR1120">
        <v>0</v>
      </c>
      <c r="AZ1120">
        <v>3614</v>
      </c>
      <c r="BA1120">
        <v>1</v>
      </c>
      <c r="BB1120" t="str">
        <f t="shared" si="53"/>
        <v xml:space="preserve">N959MJ  </v>
      </c>
      <c r="BC1120">
        <v>1</v>
      </c>
      <c r="BE1120">
        <v>0</v>
      </c>
      <c r="BF1120">
        <v>0</v>
      </c>
      <c r="BG1120">
        <v>0</v>
      </c>
      <c r="BH1120">
        <v>9025</v>
      </c>
      <c r="BI1120">
        <v>325</v>
      </c>
      <c r="BJ1120">
        <v>1</v>
      </c>
      <c r="BK1120">
        <v>1</v>
      </c>
      <c r="BL1120">
        <v>1</v>
      </c>
      <c r="BM1120">
        <v>0</v>
      </c>
      <c r="BP1120">
        <v>0</v>
      </c>
      <c r="BQ1120">
        <v>0</v>
      </c>
      <c r="BX1120" t="str">
        <f>"14:09:01.984"</f>
        <v>14:09:01.984</v>
      </c>
      <c r="BY1120" t="str">
        <f>"986763768"</f>
        <v>986763768</v>
      </c>
      <c r="CL1120">
        <v>0</v>
      </c>
      <c r="CM1120">
        <v>2</v>
      </c>
      <c r="CN1120">
        <v>0</v>
      </c>
      <c r="CO1120">
        <v>2</v>
      </c>
      <c r="CP1120">
        <v>0</v>
      </c>
      <c r="CQ1120">
        <v>4</v>
      </c>
      <c r="CR1120" t="s">
        <v>116</v>
      </c>
      <c r="CS1120">
        <v>39</v>
      </c>
      <c r="CT1120">
        <v>2</v>
      </c>
      <c r="CU1120" t="s">
        <v>2259</v>
      </c>
      <c r="CV1120" t="s">
        <v>2260</v>
      </c>
      <c r="CY1120">
        <v>15067711</v>
      </c>
      <c r="CZ1120" t="s">
        <v>119</v>
      </c>
    </row>
    <row r="1121" spans="1:104" x14ac:dyDescent="0.25">
      <c r="A1121" t="str">
        <f>"14:09:03.070"</f>
        <v>14:09:03.070</v>
      </c>
      <c r="B1121" t="s">
        <v>108</v>
      </c>
      <c r="C1121" t="str">
        <f t="shared" si="52"/>
        <v>ffdfd3c0</v>
      </c>
      <c r="D1121" t="s">
        <v>109</v>
      </c>
      <c r="E1121">
        <v>4</v>
      </c>
      <c r="F1121">
        <v>1004</v>
      </c>
      <c r="G1121" t="s">
        <v>110</v>
      </c>
      <c r="J1121" t="s">
        <v>111</v>
      </c>
      <c r="K1121">
        <v>0</v>
      </c>
      <c r="L1121">
        <v>3</v>
      </c>
      <c r="M1121">
        <v>0</v>
      </c>
      <c r="N1121">
        <v>2</v>
      </c>
      <c r="O1121">
        <v>1</v>
      </c>
      <c r="P1121">
        <v>0</v>
      </c>
      <c r="Q1121">
        <v>0</v>
      </c>
      <c r="R1121" t="s">
        <v>112</v>
      </c>
      <c r="S1121" t="str">
        <f>"14:09:02.867"</f>
        <v>14:09:02.867</v>
      </c>
      <c r="T1121" t="str">
        <f>"14:09:02.469"</f>
        <v>14:09:02.469</v>
      </c>
      <c r="U1121" t="str">
        <f t="shared" si="51"/>
        <v>ad5732</v>
      </c>
      <c r="V1121">
        <v>0</v>
      </c>
      <c r="W1121">
        <v>0</v>
      </c>
      <c r="X1121">
        <v>1</v>
      </c>
      <c r="Z1121">
        <v>0</v>
      </c>
      <c r="AA1121">
        <v>9</v>
      </c>
      <c r="AB1121">
        <v>3</v>
      </c>
      <c r="AC1121">
        <v>0</v>
      </c>
      <c r="AD1121">
        <v>10</v>
      </c>
      <c r="AE1121">
        <v>0</v>
      </c>
      <c r="AF1121">
        <v>3</v>
      </c>
      <c r="AG1121">
        <v>2</v>
      </c>
      <c r="AH1121">
        <v>0</v>
      </c>
      <c r="AI1121" t="s">
        <v>2343</v>
      </c>
      <c r="AJ1121">
        <v>39.482267</v>
      </c>
      <c r="AK1121" t="s">
        <v>2344</v>
      </c>
      <c r="AL1121">
        <v>-76.756345999999994</v>
      </c>
      <c r="AM1121">
        <v>100</v>
      </c>
      <c r="AN1121">
        <v>8700</v>
      </c>
      <c r="AO1121" t="s">
        <v>115</v>
      </c>
      <c r="AP1121">
        <v>169</v>
      </c>
      <c r="AQ1121">
        <v>87</v>
      </c>
      <c r="AR1121">
        <v>0</v>
      </c>
      <c r="AZ1121">
        <v>3614</v>
      </c>
      <c r="BA1121">
        <v>1</v>
      </c>
      <c r="BB1121" t="str">
        <f t="shared" si="53"/>
        <v xml:space="preserve">N959MJ  </v>
      </c>
      <c r="BC1121">
        <v>1</v>
      </c>
      <c r="BE1121">
        <v>0</v>
      </c>
      <c r="BF1121">
        <v>0</v>
      </c>
      <c r="BG1121">
        <v>0</v>
      </c>
      <c r="BH1121">
        <v>9025</v>
      </c>
      <c r="BI1121">
        <v>325</v>
      </c>
      <c r="BJ1121">
        <v>1</v>
      </c>
      <c r="BK1121">
        <v>1</v>
      </c>
      <c r="BL1121">
        <v>1</v>
      </c>
      <c r="BM1121">
        <v>0</v>
      </c>
      <c r="BP1121">
        <v>0</v>
      </c>
      <c r="BQ1121">
        <v>0</v>
      </c>
      <c r="BX1121" t="str">
        <f>"14:09:02.875"</f>
        <v>14:09:02.875</v>
      </c>
      <c r="BY1121" t="str">
        <f>"871514104"</f>
        <v>871514104</v>
      </c>
      <c r="CL1121">
        <v>0</v>
      </c>
      <c r="CM1121">
        <v>2</v>
      </c>
      <c r="CN1121">
        <v>0</v>
      </c>
      <c r="CO1121">
        <v>2</v>
      </c>
      <c r="CP1121">
        <v>0</v>
      </c>
      <c r="CQ1121">
        <v>5</v>
      </c>
      <c r="CR1121" t="s">
        <v>116</v>
      </c>
      <c r="CS1121">
        <v>39</v>
      </c>
      <c r="CT1121">
        <v>2</v>
      </c>
      <c r="CU1121" t="s">
        <v>2259</v>
      </c>
      <c r="CV1121" t="s">
        <v>2260</v>
      </c>
      <c r="CY1121">
        <v>15069203</v>
      </c>
      <c r="CZ1121" t="s">
        <v>119</v>
      </c>
    </row>
    <row r="1122" spans="1:104" x14ac:dyDescent="0.25">
      <c r="A1122" t="str">
        <f>"14:09:03.977"</f>
        <v>14:09:03.977</v>
      </c>
      <c r="B1122" t="s">
        <v>108</v>
      </c>
      <c r="C1122" t="str">
        <f t="shared" si="52"/>
        <v>ffdfd3c0</v>
      </c>
      <c r="D1122" t="s">
        <v>109</v>
      </c>
      <c r="E1122">
        <v>4</v>
      </c>
      <c r="F1122">
        <v>1004</v>
      </c>
      <c r="G1122" t="s">
        <v>110</v>
      </c>
      <c r="J1122" t="s">
        <v>111</v>
      </c>
      <c r="K1122">
        <v>0</v>
      </c>
      <c r="L1122">
        <v>3</v>
      </c>
      <c r="M1122">
        <v>0</v>
      </c>
      <c r="N1122">
        <v>2</v>
      </c>
      <c r="O1122">
        <v>1</v>
      </c>
      <c r="P1122">
        <v>0</v>
      </c>
      <c r="Q1122">
        <v>0</v>
      </c>
      <c r="R1122" t="s">
        <v>112</v>
      </c>
      <c r="S1122" t="str">
        <f>"14:09:03.766"</f>
        <v>14:09:03.766</v>
      </c>
      <c r="T1122" t="str">
        <f>"14:09:03.367"</f>
        <v>14:09:03.367</v>
      </c>
      <c r="U1122" t="str">
        <f t="shared" si="51"/>
        <v>ad5732</v>
      </c>
      <c r="V1122">
        <v>0</v>
      </c>
      <c r="W1122">
        <v>0</v>
      </c>
      <c r="X1122">
        <v>1</v>
      </c>
      <c r="Z1122">
        <v>0</v>
      </c>
      <c r="AA1122">
        <v>9</v>
      </c>
      <c r="AB1122">
        <v>3</v>
      </c>
      <c r="AC1122">
        <v>0</v>
      </c>
      <c r="AD1122">
        <v>10</v>
      </c>
      <c r="AE1122">
        <v>0</v>
      </c>
      <c r="AF1122">
        <v>3</v>
      </c>
      <c r="AG1122">
        <v>2</v>
      </c>
      <c r="AH1122">
        <v>0</v>
      </c>
      <c r="AI1122" t="s">
        <v>2345</v>
      </c>
      <c r="AJ1122">
        <v>39.482610000000001</v>
      </c>
      <c r="AK1122" t="s">
        <v>2346</v>
      </c>
      <c r="AL1122">
        <v>-76.755444999999995</v>
      </c>
      <c r="AM1122">
        <v>100</v>
      </c>
      <c r="AN1122">
        <v>8700</v>
      </c>
      <c r="AO1122" t="s">
        <v>115</v>
      </c>
      <c r="AP1122">
        <v>168</v>
      </c>
      <c r="AQ1122">
        <v>88</v>
      </c>
      <c r="AR1122">
        <v>0</v>
      </c>
      <c r="AZ1122">
        <v>3614</v>
      </c>
      <c r="BA1122">
        <v>1</v>
      </c>
      <c r="BB1122" t="str">
        <f t="shared" si="53"/>
        <v xml:space="preserve">N959MJ  </v>
      </c>
      <c r="BC1122">
        <v>1</v>
      </c>
      <c r="BE1122">
        <v>0</v>
      </c>
      <c r="BF1122">
        <v>0</v>
      </c>
      <c r="BG1122">
        <v>0</v>
      </c>
      <c r="BH1122">
        <v>9025</v>
      </c>
      <c r="BI1122">
        <v>325</v>
      </c>
      <c r="BJ1122">
        <v>1</v>
      </c>
      <c r="BK1122">
        <v>1</v>
      </c>
      <c r="BL1122">
        <v>1</v>
      </c>
      <c r="BM1122">
        <v>0</v>
      </c>
      <c r="BP1122">
        <v>0</v>
      </c>
      <c r="BQ1122">
        <v>0</v>
      </c>
      <c r="BX1122" t="str">
        <f>"14:09:03.766"</f>
        <v>14:09:03.766</v>
      </c>
      <c r="BY1122" t="str">
        <f>"766036574"</f>
        <v>766036574</v>
      </c>
      <c r="CL1122">
        <v>0</v>
      </c>
      <c r="CM1122">
        <v>2</v>
      </c>
      <c r="CN1122">
        <v>0</v>
      </c>
      <c r="CO1122">
        <v>2</v>
      </c>
      <c r="CP1122">
        <v>0</v>
      </c>
      <c r="CQ1122">
        <v>5</v>
      </c>
      <c r="CR1122" t="s">
        <v>116</v>
      </c>
      <c r="CS1122">
        <v>148</v>
      </c>
      <c r="CT1122">
        <v>2</v>
      </c>
      <c r="CU1122" t="s">
        <v>470</v>
      </c>
      <c r="CV1122" t="s">
        <v>471</v>
      </c>
      <c r="CY1122">
        <v>4340238</v>
      </c>
      <c r="CZ1122" t="s">
        <v>119</v>
      </c>
    </row>
    <row r="1123" spans="1:104" x14ac:dyDescent="0.25">
      <c r="A1123" t="str">
        <f>"14:09:04.938"</f>
        <v>14:09:04.938</v>
      </c>
      <c r="B1123" t="s">
        <v>108</v>
      </c>
      <c r="C1123" t="str">
        <f t="shared" si="52"/>
        <v>ffdfd3c0</v>
      </c>
      <c r="D1123" t="s">
        <v>109</v>
      </c>
      <c r="E1123">
        <v>4</v>
      </c>
      <c r="F1123">
        <v>1004</v>
      </c>
      <c r="G1123" t="s">
        <v>110</v>
      </c>
      <c r="J1123" t="s">
        <v>111</v>
      </c>
      <c r="K1123">
        <v>0</v>
      </c>
      <c r="L1123">
        <v>3</v>
      </c>
      <c r="M1123">
        <v>0</v>
      </c>
      <c r="N1123">
        <v>2</v>
      </c>
      <c r="O1123">
        <v>1</v>
      </c>
      <c r="P1123">
        <v>0</v>
      </c>
      <c r="Q1123">
        <v>0</v>
      </c>
      <c r="R1123" t="s">
        <v>112</v>
      </c>
      <c r="S1123" t="str">
        <f>"14:09:04.781"</f>
        <v>14:09:04.781</v>
      </c>
      <c r="T1123" t="str">
        <f>"14:09:04.281"</f>
        <v>14:09:04.281</v>
      </c>
      <c r="U1123" t="str">
        <f t="shared" si="51"/>
        <v>ad5732</v>
      </c>
      <c r="V1123">
        <v>0</v>
      </c>
      <c r="W1123">
        <v>0</v>
      </c>
      <c r="X1123">
        <v>1</v>
      </c>
      <c r="Z1123">
        <v>0</v>
      </c>
      <c r="AA1123">
        <v>9</v>
      </c>
      <c r="AB1123">
        <v>3</v>
      </c>
      <c r="AC1123">
        <v>0</v>
      </c>
      <c r="AD1123">
        <v>10</v>
      </c>
      <c r="AE1123">
        <v>0</v>
      </c>
      <c r="AF1123">
        <v>3</v>
      </c>
      <c r="AG1123">
        <v>2</v>
      </c>
      <c r="AH1123">
        <v>0</v>
      </c>
      <c r="AI1123" t="s">
        <v>2347</v>
      </c>
      <c r="AJ1123">
        <v>39.483038999999998</v>
      </c>
      <c r="AK1123" t="s">
        <v>2348</v>
      </c>
      <c r="AL1123">
        <v>-76.754435999999998</v>
      </c>
      <c r="AM1123">
        <v>100</v>
      </c>
      <c r="AN1123">
        <v>8700</v>
      </c>
      <c r="AO1123" t="s">
        <v>115</v>
      </c>
      <c r="AP1123">
        <v>168</v>
      </c>
      <c r="AQ1123">
        <v>88</v>
      </c>
      <c r="AR1123">
        <v>0</v>
      </c>
      <c r="AZ1123">
        <v>3614</v>
      </c>
      <c r="BA1123">
        <v>1</v>
      </c>
      <c r="BB1123" t="str">
        <f t="shared" si="53"/>
        <v xml:space="preserve">N959MJ  </v>
      </c>
      <c r="BC1123">
        <v>1</v>
      </c>
      <c r="BE1123">
        <v>0</v>
      </c>
      <c r="BF1123">
        <v>0</v>
      </c>
      <c r="BG1123">
        <v>0</v>
      </c>
      <c r="BH1123">
        <v>9025</v>
      </c>
      <c r="BI1123">
        <v>325</v>
      </c>
      <c r="BJ1123">
        <v>1</v>
      </c>
      <c r="BK1123">
        <v>1</v>
      </c>
      <c r="BL1123">
        <v>1</v>
      </c>
      <c r="BM1123">
        <v>0</v>
      </c>
      <c r="BP1123">
        <v>0</v>
      </c>
      <c r="BQ1123">
        <v>0</v>
      </c>
      <c r="BX1123" t="str">
        <f>"14:09:04.781"</f>
        <v>14:09:04.781</v>
      </c>
      <c r="BY1123" t="str">
        <f>"781718725"</f>
        <v>781718725</v>
      </c>
      <c r="CL1123">
        <v>0</v>
      </c>
      <c r="CM1123">
        <v>2</v>
      </c>
      <c r="CN1123">
        <v>0</v>
      </c>
      <c r="CO1123">
        <v>2</v>
      </c>
      <c r="CP1123">
        <v>0</v>
      </c>
      <c r="CQ1123">
        <v>6</v>
      </c>
      <c r="CR1123" t="s">
        <v>116</v>
      </c>
      <c r="CS1123">
        <v>396</v>
      </c>
      <c r="CT1123">
        <v>2</v>
      </c>
      <c r="CU1123" t="s">
        <v>939</v>
      </c>
      <c r="CV1123" t="s">
        <v>940</v>
      </c>
      <c r="CY1123">
        <v>4712935</v>
      </c>
      <c r="CZ1123" t="s">
        <v>119</v>
      </c>
    </row>
    <row r="1124" spans="1:104" x14ac:dyDescent="0.25">
      <c r="A1124" t="str">
        <f>"14:09:05.844"</f>
        <v>14:09:05.844</v>
      </c>
      <c r="B1124" t="s">
        <v>108</v>
      </c>
      <c r="C1124" t="str">
        <f t="shared" si="52"/>
        <v>ffdfd3c0</v>
      </c>
      <c r="D1124" t="s">
        <v>109</v>
      </c>
      <c r="E1124">
        <v>4</v>
      </c>
      <c r="F1124">
        <v>1004</v>
      </c>
      <c r="G1124" t="s">
        <v>110</v>
      </c>
      <c r="J1124" t="s">
        <v>111</v>
      </c>
      <c r="K1124">
        <v>0</v>
      </c>
      <c r="L1124">
        <v>3</v>
      </c>
      <c r="M1124">
        <v>0</v>
      </c>
      <c r="N1124">
        <v>2</v>
      </c>
      <c r="O1124">
        <v>1</v>
      </c>
      <c r="P1124">
        <v>0</v>
      </c>
      <c r="Q1124">
        <v>0</v>
      </c>
      <c r="R1124" t="s">
        <v>112</v>
      </c>
      <c r="S1124" t="str">
        <f>"14:09:05.672"</f>
        <v>14:09:05.672</v>
      </c>
      <c r="T1124" t="str">
        <f>"14:09:05.273"</f>
        <v>14:09:05.273</v>
      </c>
      <c r="U1124" t="str">
        <f t="shared" si="51"/>
        <v>ad5732</v>
      </c>
      <c r="V1124">
        <v>0</v>
      </c>
      <c r="W1124">
        <v>0</v>
      </c>
      <c r="X1124">
        <v>1</v>
      </c>
      <c r="Z1124">
        <v>0</v>
      </c>
      <c r="AA1124">
        <v>9</v>
      </c>
      <c r="AB1124">
        <v>3</v>
      </c>
      <c r="AC1124">
        <v>0</v>
      </c>
      <c r="AD1124">
        <v>10</v>
      </c>
      <c r="AE1124">
        <v>0</v>
      </c>
      <c r="AF1124">
        <v>3</v>
      </c>
      <c r="AG1124">
        <v>2</v>
      </c>
      <c r="AH1124">
        <v>0</v>
      </c>
      <c r="AI1124" t="s">
        <v>2349</v>
      </c>
      <c r="AJ1124">
        <v>39.483383000000003</v>
      </c>
      <c r="AK1124" t="s">
        <v>2350</v>
      </c>
      <c r="AL1124">
        <v>-76.753534999999999</v>
      </c>
      <c r="AM1124">
        <v>100</v>
      </c>
      <c r="AN1124">
        <v>8700</v>
      </c>
      <c r="AO1124" t="s">
        <v>115</v>
      </c>
      <c r="AP1124">
        <v>168</v>
      </c>
      <c r="AQ1124">
        <v>88</v>
      </c>
      <c r="AR1124">
        <v>0</v>
      </c>
      <c r="AZ1124">
        <v>3614</v>
      </c>
      <c r="BA1124">
        <v>1</v>
      </c>
      <c r="BB1124" t="str">
        <f t="shared" si="53"/>
        <v xml:space="preserve">N959MJ  </v>
      </c>
      <c r="BC1124">
        <v>1</v>
      </c>
      <c r="BE1124">
        <v>0</v>
      </c>
      <c r="BF1124">
        <v>0</v>
      </c>
      <c r="BG1124">
        <v>0</v>
      </c>
      <c r="BH1124">
        <v>9025</v>
      </c>
      <c r="BI1124">
        <v>325</v>
      </c>
      <c r="BJ1124">
        <v>1</v>
      </c>
      <c r="BK1124">
        <v>1</v>
      </c>
      <c r="BL1124">
        <v>1</v>
      </c>
      <c r="BM1124">
        <v>0</v>
      </c>
      <c r="BP1124">
        <v>0</v>
      </c>
      <c r="BQ1124">
        <v>0</v>
      </c>
      <c r="BX1124" t="str">
        <f>"14:09:05.680"</f>
        <v>14:09:05.680</v>
      </c>
      <c r="BY1124" t="str">
        <f>"677987534"</f>
        <v>677987534</v>
      </c>
      <c r="CL1124">
        <v>0</v>
      </c>
      <c r="CM1124">
        <v>2</v>
      </c>
      <c r="CN1124">
        <v>0</v>
      </c>
      <c r="CO1124">
        <v>2</v>
      </c>
      <c r="CP1124">
        <v>0</v>
      </c>
      <c r="CQ1124">
        <v>5</v>
      </c>
      <c r="CR1124" t="s">
        <v>116</v>
      </c>
      <c r="CS1124">
        <v>372</v>
      </c>
      <c r="CT1124">
        <v>3</v>
      </c>
      <c r="CU1124" t="s">
        <v>877</v>
      </c>
      <c r="CV1124" t="s">
        <v>878</v>
      </c>
      <c r="CY1124">
        <v>11358917</v>
      </c>
      <c r="CZ1124" t="s">
        <v>119</v>
      </c>
    </row>
    <row r="1125" spans="1:104" x14ac:dyDescent="0.25">
      <c r="A1125" t="str">
        <f>"14:09:06.750"</f>
        <v>14:09:06.750</v>
      </c>
      <c r="B1125" t="s">
        <v>108</v>
      </c>
      <c r="C1125" t="str">
        <f t="shared" si="52"/>
        <v>ffdfd3c0</v>
      </c>
      <c r="D1125" t="s">
        <v>109</v>
      </c>
      <c r="E1125">
        <v>4</v>
      </c>
      <c r="F1125">
        <v>1004</v>
      </c>
      <c r="G1125" t="s">
        <v>110</v>
      </c>
      <c r="J1125" t="s">
        <v>111</v>
      </c>
      <c r="K1125">
        <v>0</v>
      </c>
      <c r="L1125">
        <v>3</v>
      </c>
      <c r="M1125">
        <v>0</v>
      </c>
      <c r="N1125">
        <v>2</v>
      </c>
      <c r="O1125">
        <v>1</v>
      </c>
      <c r="P1125">
        <v>0</v>
      </c>
      <c r="Q1125">
        <v>0</v>
      </c>
      <c r="R1125" t="s">
        <v>112</v>
      </c>
      <c r="S1125" t="str">
        <f>"14:09:06.570"</f>
        <v>14:09:06.570</v>
      </c>
      <c r="T1125" t="str">
        <f>"14:09:06.172"</f>
        <v>14:09:06.172</v>
      </c>
      <c r="U1125" t="str">
        <f t="shared" si="51"/>
        <v>ad5732</v>
      </c>
      <c r="V1125">
        <v>0</v>
      </c>
      <c r="W1125">
        <v>0</v>
      </c>
      <c r="X1125">
        <v>1</v>
      </c>
      <c r="Z1125">
        <v>0</v>
      </c>
      <c r="AA1125">
        <v>9</v>
      </c>
      <c r="AB1125">
        <v>3</v>
      </c>
      <c r="AC1125">
        <v>0</v>
      </c>
      <c r="AD1125">
        <v>10</v>
      </c>
      <c r="AE1125">
        <v>0</v>
      </c>
      <c r="AF1125">
        <v>3</v>
      </c>
      <c r="AG1125">
        <v>2</v>
      </c>
      <c r="AH1125">
        <v>0</v>
      </c>
      <c r="AI1125" t="s">
        <v>2351</v>
      </c>
      <c r="AJ1125">
        <v>39.483769000000002</v>
      </c>
      <c r="AK1125" t="s">
        <v>2352</v>
      </c>
      <c r="AL1125">
        <v>-76.752634</v>
      </c>
      <c r="AM1125">
        <v>100</v>
      </c>
      <c r="AN1125">
        <v>8700</v>
      </c>
      <c r="AO1125" t="s">
        <v>115</v>
      </c>
      <c r="AP1125">
        <v>168</v>
      </c>
      <c r="AQ1125">
        <v>89</v>
      </c>
      <c r="AR1125">
        <v>0</v>
      </c>
      <c r="AZ1125">
        <v>3614</v>
      </c>
      <c r="BA1125">
        <v>1</v>
      </c>
      <c r="BB1125" t="str">
        <f t="shared" si="53"/>
        <v xml:space="preserve">N959MJ  </v>
      </c>
      <c r="BC1125">
        <v>1</v>
      </c>
      <c r="BE1125">
        <v>0</v>
      </c>
      <c r="BF1125">
        <v>0</v>
      </c>
      <c r="BG1125">
        <v>0</v>
      </c>
      <c r="BH1125">
        <v>9025</v>
      </c>
      <c r="BI1125">
        <v>325</v>
      </c>
      <c r="BJ1125">
        <v>1</v>
      </c>
      <c r="BK1125">
        <v>1</v>
      </c>
      <c r="BL1125">
        <v>1</v>
      </c>
      <c r="BM1125">
        <v>0</v>
      </c>
      <c r="BP1125">
        <v>0</v>
      </c>
      <c r="BQ1125">
        <v>0</v>
      </c>
      <c r="BX1125" t="str">
        <f>"14:09:06.578"</f>
        <v>14:09:06.578</v>
      </c>
      <c r="BY1125" t="str">
        <f>"577437070"</f>
        <v>577437070</v>
      </c>
      <c r="CL1125">
        <v>0</v>
      </c>
      <c r="CM1125">
        <v>2</v>
      </c>
      <c r="CN1125">
        <v>0</v>
      </c>
      <c r="CO1125">
        <v>2</v>
      </c>
      <c r="CP1125">
        <v>0</v>
      </c>
      <c r="CQ1125">
        <v>6</v>
      </c>
      <c r="CR1125" t="s">
        <v>116</v>
      </c>
      <c r="CS1125">
        <v>525</v>
      </c>
      <c r="CT1125">
        <v>1</v>
      </c>
      <c r="CU1125" t="s">
        <v>140</v>
      </c>
      <c r="CV1125" t="s">
        <v>141</v>
      </c>
      <c r="CY1125">
        <v>8797224</v>
      </c>
      <c r="CZ1125" t="s">
        <v>119</v>
      </c>
    </row>
    <row r="1126" spans="1:104" x14ac:dyDescent="0.25">
      <c r="A1126" t="str">
        <f>"14:09:07.820"</f>
        <v>14:09:07.820</v>
      </c>
      <c r="B1126" t="s">
        <v>108</v>
      </c>
      <c r="C1126" t="str">
        <f t="shared" si="52"/>
        <v>ffdfd3c0</v>
      </c>
      <c r="D1126" t="s">
        <v>109</v>
      </c>
      <c r="E1126">
        <v>4</v>
      </c>
      <c r="F1126">
        <v>1004</v>
      </c>
      <c r="G1126" t="s">
        <v>110</v>
      </c>
      <c r="J1126" t="s">
        <v>111</v>
      </c>
      <c r="K1126">
        <v>0</v>
      </c>
      <c r="L1126">
        <v>3</v>
      </c>
      <c r="M1126">
        <v>0</v>
      </c>
      <c r="N1126">
        <v>2</v>
      </c>
      <c r="O1126">
        <v>1</v>
      </c>
      <c r="P1126">
        <v>0</v>
      </c>
      <c r="Q1126">
        <v>0</v>
      </c>
      <c r="R1126" t="s">
        <v>112</v>
      </c>
      <c r="S1126" t="str">
        <f>"14:09:07.648"</f>
        <v>14:09:07.648</v>
      </c>
      <c r="T1126" t="str">
        <f>"14:09:07.148"</f>
        <v>14:09:07.148</v>
      </c>
      <c r="U1126" t="str">
        <f t="shared" si="51"/>
        <v>ad5732</v>
      </c>
      <c r="V1126">
        <v>0</v>
      </c>
      <c r="W1126">
        <v>0</v>
      </c>
      <c r="X1126">
        <v>1</v>
      </c>
      <c r="Z1126">
        <v>0</v>
      </c>
      <c r="AA1126">
        <v>9</v>
      </c>
      <c r="AB1126">
        <v>3</v>
      </c>
      <c r="AC1126">
        <v>0</v>
      </c>
      <c r="AD1126">
        <v>10</v>
      </c>
      <c r="AE1126">
        <v>0</v>
      </c>
      <c r="AF1126">
        <v>3</v>
      </c>
      <c r="AG1126">
        <v>2</v>
      </c>
      <c r="AH1126">
        <v>0</v>
      </c>
      <c r="AI1126" t="s">
        <v>2353</v>
      </c>
      <c r="AJ1126">
        <v>39.484220000000001</v>
      </c>
      <c r="AK1126" t="s">
        <v>2354</v>
      </c>
      <c r="AL1126">
        <v>-76.751518000000004</v>
      </c>
      <c r="AM1126">
        <v>100</v>
      </c>
      <c r="AN1126">
        <v>8700</v>
      </c>
      <c r="AO1126" t="s">
        <v>115</v>
      </c>
      <c r="AP1126">
        <v>168</v>
      </c>
      <c r="AQ1126">
        <v>89</v>
      </c>
      <c r="AR1126">
        <v>0</v>
      </c>
      <c r="AZ1126">
        <v>3614</v>
      </c>
      <c r="BA1126">
        <v>1</v>
      </c>
      <c r="BB1126" t="str">
        <f t="shared" si="53"/>
        <v xml:space="preserve">N959MJ  </v>
      </c>
      <c r="BC1126">
        <v>1</v>
      </c>
      <c r="BE1126">
        <v>0</v>
      </c>
      <c r="BF1126">
        <v>0</v>
      </c>
      <c r="BG1126">
        <v>0</v>
      </c>
      <c r="BH1126">
        <v>9025</v>
      </c>
      <c r="BI1126">
        <v>325</v>
      </c>
      <c r="BJ1126">
        <v>1</v>
      </c>
      <c r="BK1126">
        <v>1</v>
      </c>
      <c r="BL1126">
        <v>1</v>
      </c>
      <c r="BM1126">
        <v>0</v>
      </c>
      <c r="BP1126">
        <v>0</v>
      </c>
      <c r="BQ1126">
        <v>0</v>
      </c>
      <c r="BX1126" t="str">
        <f>"14:09:07.656"</f>
        <v>14:09:07.656</v>
      </c>
      <c r="BY1126" t="str">
        <f>"653883976"</f>
        <v>653883976</v>
      </c>
      <c r="CL1126">
        <v>0</v>
      </c>
      <c r="CM1126">
        <v>2</v>
      </c>
      <c r="CN1126">
        <v>0</v>
      </c>
      <c r="CO1126">
        <v>2</v>
      </c>
      <c r="CP1126">
        <v>0</v>
      </c>
      <c r="CQ1126">
        <v>6</v>
      </c>
      <c r="CR1126" t="s">
        <v>116</v>
      </c>
      <c r="CS1126">
        <v>525</v>
      </c>
      <c r="CT1126">
        <v>1</v>
      </c>
      <c r="CU1126" t="s">
        <v>140</v>
      </c>
      <c r="CV1126" t="s">
        <v>141</v>
      </c>
      <c r="CY1126">
        <v>8798832</v>
      </c>
      <c r="CZ1126" t="s">
        <v>119</v>
      </c>
    </row>
    <row r="1127" spans="1:104" x14ac:dyDescent="0.25">
      <c r="A1127" t="str">
        <f>"14:09:08.875"</f>
        <v>14:09:08.875</v>
      </c>
      <c r="B1127" t="s">
        <v>108</v>
      </c>
      <c r="C1127" t="str">
        <f t="shared" si="52"/>
        <v>ffdfd3c0</v>
      </c>
      <c r="D1127" t="s">
        <v>109</v>
      </c>
      <c r="E1127">
        <v>4</v>
      </c>
      <c r="F1127">
        <v>1004</v>
      </c>
      <c r="G1127" t="s">
        <v>110</v>
      </c>
      <c r="J1127" t="s">
        <v>111</v>
      </c>
      <c r="K1127">
        <v>0</v>
      </c>
      <c r="L1127">
        <v>3</v>
      </c>
      <c r="M1127">
        <v>0</v>
      </c>
      <c r="N1127">
        <v>2</v>
      </c>
      <c r="O1127">
        <v>1</v>
      </c>
      <c r="P1127">
        <v>0</v>
      </c>
      <c r="Q1127">
        <v>0</v>
      </c>
      <c r="R1127" t="s">
        <v>112</v>
      </c>
      <c r="S1127" t="str">
        <f>"14:09:08.695"</f>
        <v>14:09:08.695</v>
      </c>
      <c r="T1127" t="str">
        <f>"14:09:08.297"</f>
        <v>14:09:08.297</v>
      </c>
      <c r="U1127" t="str">
        <f t="shared" si="51"/>
        <v>ad5732</v>
      </c>
      <c r="V1127">
        <v>0</v>
      </c>
      <c r="W1127">
        <v>0</v>
      </c>
      <c r="X1127">
        <v>1</v>
      </c>
      <c r="Z1127">
        <v>0</v>
      </c>
      <c r="AA1127">
        <v>9</v>
      </c>
      <c r="AB1127">
        <v>3</v>
      </c>
      <c r="AC1127">
        <v>0</v>
      </c>
      <c r="AD1127">
        <v>10</v>
      </c>
      <c r="AE1127">
        <v>0</v>
      </c>
      <c r="AF1127">
        <v>3</v>
      </c>
      <c r="AG1127">
        <v>2</v>
      </c>
      <c r="AH1127">
        <v>0</v>
      </c>
      <c r="AI1127" t="s">
        <v>2355</v>
      </c>
      <c r="AJ1127">
        <v>39.484670000000001</v>
      </c>
      <c r="AK1127" t="s">
        <v>2356</v>
      </c>
      <c r="AL1127">
        <v>-76.750423999999995</v>
      </c>
      <c r="AM1127">
        <v>100</v>
      </c>
      <c r="AN1127">
        <v>8700</v>
      </c>
      <c r="AO1127" t="s">
        <v>115</v>
      </c>
      <c r="AP1127">
        <v>168</v>
      </c>
      <c r="AQ1127">
        <v>89</v>
      </c>
      <c r="AR1127">
        <v>64</v>
      </c>
      <c r="AZ1127">
        <v>3614</v>
      </c>
      <c r="BA1127">
        <v>1</v>
      </c>
      <c r="BB1127" t="str">
        <f t="shared" si="53"/>
        <v xml:space="preserve">N959MJ  </v>
      </c>
      <c r="BC1127">
        <v>1</v>
      </c>
      <c r="BE1127">
        <v>0</v>
      </c>
      <c r="BF1127">
        <v>0</v>
      </c>
      <c r="BG1127">
        <v>0</v>
      </c>
      <c r="BH1127">
        <v>9025</v>
      </c>
      <c r="BI1127">
        <v>325</v>
      </c>
      <c r="BJ1127">
        <v>1</v>
      </c>
      <c r="BK1127">
        <v>1</v>
      </c>
      <c r="BL1127">
        <v>1</v>
      </c>
      <c r="BM1127">
        <v>0</v>
      </c>
      <c r="BP1127">
        <v>0</v>
      </c>
      <c r="BQ1127">
        <v>0</v>
      </c>
      <c r="BX1127" t="str">
        <f>"14:09:08.703"</f>
        <v>14:09:08.703</v>
      </c>
      <c r="BY1127" t="str">
        <f>"700839246"</f>
        <v>700839246</v>
      </c>
      <c r="CL1127">
        <v>0</v>
      </c>
      <c r="CM1127">
        <v>2</v>
      </c>
      <c r="CN1127">
        <v>0</v>
      </c>
      <c r="CO1127">
        <v>2</v>
      </c>
      <c r="CP1127">
        <v>0</v>
      </c>
      <c r="CQ1127">
        <v>6</v>
      </c>
      <c r="CR1127" t="s">
        <v>116</v>
      </c>
      <c r="CS1127">
        <v>525</v>
      </c>
      <c r="CT1127">
        <v>1</v>
      </c>
      <c r="CU1127" t="s">
        <v>140</v>
      </c>
      <c r="CV1127" t="s">
        <v>141</v>
      </c>
      <c r="CY1127">
        <v>8800356</v>
      </c>
      <c r="CZ1127" t="s">
        <v>119</v>
      </c>
    </row>
    <row r="1128" spans="1:104" x14ac:dyDescent="0.25">
      <c r="A1128" t="str">
        <f>"14:09:09.930"</f>
        <v>14:09:09.930</v>
      </c>
      <c r="B1128" t="s">
        <v>108</v>
      </c>
      <c r="C1128" t="str">
        <f t="shared" si="52"/>
        <v>ffdfd3c0</v>
      </c>
      <c r="D1128" t="s">
        <v>109</v>
      </c>
      <c r="E1128">
        <v>4</v>
      </c>
      <c r="F1128">
        <v>1004</v>
      </c>
      <c r="G1128" t="s">
        <v>110</v>
      </c>
      <c r="J1128" t="s">
        <v>111</v>
      </c>
      <c r="K1128">
        <v>0</v>
      </c>
      <c r="L1128">
        <v>3</v>
      </c>
      <c r="M1128">
        <v>0</v>
      </c>
      <c r="N1128">
        <v>2</v>
      </c>
      <c r="O1128">
        <v>1</v>
      </c>
      <c r="P1128">
        <v>0</v>
      </c>
      <c r="Q1128">
        <v>0</v>
      </c>
      <c r="R1128" t="s">
        <v>112</v>
      </c>
      <c r="S1128" t="str">
        <f>"14:09:09.727"</f>
        <v>14:09:09.727</v>
      </c>
      <c r="T1128" t="str">
        <f>"14:09:09.328"</f>
        <v>14:09:09.328</v>
      </c>
      <c r="U1128" t="str">
        <f t="shared" si="51"/>
        <v>ad5732</v>
      </c>
      <c r="V1128">
        <v>0</v>
      </c>
      <c r="W1128">
        <v>0</v>
      </c>
      <c r="X1128">
        <v>1</v>
      </c>
      <c r="Z1128">
        <v>0</v>
      </c>
      <c r="AA1128">
        <v>9</v>
      </c>
      <c r="AB1128">
        <v>3</v>
      </c>
      <c r="AC1128">
        <v>0</v>
      </c>
      <c r="AD1128">
        <v>10</v>
      </c>
      <c r="AE1128">
        <v>0</v>
      </c>
      <c r="AF1128">
        <v>3</v>
      </c>
      <c r="AG1128">
        <v>2</v>
      </c>
      <c r="AH1128">
        <v>0</v>
      </c>
      <c r="AI1128" t="s">
        <v>2357</v>
      </c>
      <c r="AJ1128">
        <v>39.485098999999998</v>
      </c>
      <c r="AK1128" t="s">
        <v>2358</v>
      </c>
      <c r="AL1128">
        <v>-76.749414999999999</v>
      </c>
      <c r="AM1128">
        <v>100</v>
      </c>
      <c r="AN1128">
        <v>8700</v>
      </c>
      <c r="AO1128" t="s">
        <v>115</v>
      </c>
      <c r="AP1128">
        <v>167</v>
      </c>
      <c r="AQ1128">
        <v>89</v>
      </c>
      <c r="AR1128">
        <v>64</v>
      </c>
      <c r="AZ1128">
        <v>3614</v>
      </c>
      <c r="BA1128">
        <v>1</v>
      </c>
      <c r="BB1128" t="str">
        <f t="shared" si="53"/>
        <v xml:space="preserve">N959MJ  </v>
      </c>
      <c r="BC1128">
        <v>1</v>
      </c>
      <c r="BE1128">
        <v>0</v>
      </c>
      <c r="BF1128">
        <v>0</v>
      </c>
      <c r="BG1128">
        <v>0</v>
      </c>
      <c r="BH1128">
        <v>9025</v>
      </c>
      <c r="BI1128">
        <v>325</v>
      </c>
      <c r="BJ1128">
        <v>1</v>
      </c>
      <c r="BK1128">
        <v>1</v>
      </c>
      <c r="BL1128">
        <v>1</v>
      </c>
      <c r="BM1128">
        <v>0</v>
      </c>
      <c r="BP1128">
        <v>0</v>
      </c>
      <c r="BQ1128">
        <v>0</v>
      </c>
      <c r="BX1128" t="str">
        <f>"14:09:09.727"</f>
        <v>14:09:09.727</v>
      </c>
      <c r="BY1128" t="str">
        <f>"729771714"</f>
        <v>729771714</v>
      </c>
      <c r="CL1128">
        <v>0</v>
      </c>
      <c r="CM1128">
        <v>2</v>
      </c>
      <c r="CN1128">
        <v>0</v>
      </c>
      <c r="CO1128">
        <v>2</v>
      </c>
      <c r="CP1128">
        <v>0</v>
      </c>
      <c r="CQ1128">
        <v>6</v>
      </c>
      <c r="CR1128" t="s">
        <v>116</v>
      </c>
      <c r="CS1128">
        <v>525</v>
      </c>
      <c r="CT1128">
        <v>1</v>
      </c>
      <c r="CU1128" t="s">
        <v>140</v>
      </c>
      <c r="CV1128" t="s">
        <v>141</v>
      </c>
      <c r="CY1128">
        <v>8801833</v>
      </c>
      <c r="CZ1128" t="s">
        <v>119</v>
      </c>
    </row>
    <row r="1129" spans="1:104" x14ac:dyDescent="0.25">
      <c r="A1129" t="str">
        <f>"14:09:10.789"</f>
        <v>14:09:10.789</v>
      </c>
      <c r="B1129" t="s">
        <v>108</v>
      </c>
      <c r="C1129" t="str">
        <f t="shared" si="52"/>
        <v>ffdfd3c0</v>
      </c>
      <c r="D1129" t="s">
        <v>109</v>
      </c>
      <c r="E1129">
        <v>4</v>
      </c>
      <c r="F1129">
        <v>1004</v>
      </c>
      <c r="G1129" t="s">
        <v>110</v>
      </c>
      <c r="J1129" t="s">
        <v>111</v>
      </c>
      <c r="K1129">
        <v>0</v>
      </c>
      <c r="L1129">
        <v>3</v>
      </c>
      <c r="M1129">
        <v>0</v>
      </c>
      <c r="N1129">
        <v>2</v>
      </c>
      <c r="O1129">
        <v>1</v>
      </c>
      <c r="P1129">
        <v>0</v>
      </c>
      <c r="Q1129">
        <v>0</v>
      </c>
      <c r="R1129" t="s">
        <v>112</v>
      </c>
      <c r="S1129" t="str">
        <f>"14:09:10.633"</f>
        <v>14:09:10.633</v>
      </c>
      <c r="T1129" t="str">
        <f>"14:09:10.234"</f>
        <v>14:09:10.234</v>
      </c>
      <c r="U1129" t="str">
        <f t="shared" si="51"/>
        <v>ad5732</v>
      </c>
      <c r="V1129">
        <v>0</v>
      </c>
      <c r="W1129">
        <v>0</v>
      </c>
      <c r="X1129">
        <v>1</v>
      </c>
      <c r="Z1129">
        <v>0</v>
      </c>
      <c r="AA1129">
        <v>9</v>
      </c>
      <c r="AB1129">
        <v>3</v>
      </c>
      <c r="AC1129">
        <v>0</v>
      </c>
      <c r="AD1129">
        <v>10</v>
      </c>
      <c r="AE1129">
        <v>0</v>
      </c>
      <c r="AF1129">
        <v>3</v>
      </c>
      <c r="AG1129">
        <v>2</v>
      </c>
      <c r="AH1129">
        <v>0</v>
      </c>
      <c r="AI1129" t="s">
        <v>2359</v>
      </c>
      <c r="AJ1129">
        <v>39.485421000000002</v>
      </c>
      <c r="AK1129" t="s">
        <v>2360</v>
      </c>
      <c r="AL1129">
        <v>-76.748536000000001</v>
      </c>
      <c r="AM1129">
        <v>100</v>
      </c>
      <c r="AN1129">
        <v>8700</v>
      </c>
      <c r="AO1129" t="s">
        <v>115</v>
      </c>
      <c r="AP1129">
        <v>167</v>
      </c>
      <c r="AQ1129">
        <v>89</v>
      </c>
      <c r="AR1129">
        <v>64</v>
      </c>
      <c r="AZ1129">
        <v>3614</v>
      </c>
      <c r="BA1129">
        <v>1</v>
      </c>
      <c r="BB1129" t="str">
        <f t="shared" si="53"/>
        <v xml:space="preserve">N959MJ  </v>
      </c>
      <c r="BC1129">
        <v>1</v>
      </c>
      <c r="BE1129">
        <v>0</v>
      </c>
      <c r="BF1129">
        <v>0</v>
      </c>
      <c r="BG1129">
        <v>0</v>
      </c>
      <c r="BH1129">
        <v>9025</v>
      </c>
      <c r="BI1129">
        <v>325</v>
      </c>
      <c r="BJ1129">
        <v>1</v>
      </c>
      <c r="BK1129">
        <v>1</v>
      </c>
      <c r="BL1129">
        <v>1</v>
      </c>
      <c r="BM1129">
        <v>0</v>
      </c>
      <c r="BP1129">
        <v>0</v>
      </c>
      <c r="BQ1129">
        <v>0</v>
      </c>
      <c r="BX1129" t="str">
        <f>"14:09:10.641"</f>
        <v>14:09:10.641</v>
      </c>
      <c r="BY1129" t="str">
        <f>"639094182"</f>
        <v>639094182</v>
      </c>
      <c r="CL1129">
        <v>0</v>
      </c>
      <c r="CM1129">
        <v>2</v>
      </c>
      <c r="CN1129">
        <v>0</v>
      </c>
      <c r="CO1129">
        <v>2</v>
      </c>
      <c r="CP1129">
        <v>0</v>
      </c>
      <c r="CQ1129">
        <v>5</v>
      </c>
      <c r="CR1129" t="s">
        <v>116</v>
      </c>
      <c r="CS1129">
        <v>396</v>
      </c>
      <c r="CT1129">
        <v>2</v>
      </c>
      <c r="CU1129" t="s">
        <v>939</v>
      </c>
      <c r="CV1129" t="s">
        <v>940</v>
      </c>
      <c r="CY1129">
        <v>4723615</v>
      </c>
      <c r="CZ1129" t="s">
        <v>119</v>
      </c>
    </row>
    <row r="1130" spans="1:104" x14ac:dyDescent="0.25">
      <c r="A1130" t="str">
        <f>"14:09:11.703"</f>
        <v>14:09:11.703</v>
      </c>
      <c r="B1130" t="s">
        <v>108</v>
      </c>
      <c r="C1130" t="str">
        <f t="shared" si="52"/>
        <v>ffdfd3c0</v>
      </c>
      <c r="D1130" t="s">
        <v>109</v>
      </c>
      <c r="E1130">
        <v>4</v>
      </c>
      <c r="F1130">
        <v>1004</v>
      </c>
      <c r="G1130" t="s">
        <v>110</v>
      </c>
      <c r="J1130" t="s">
        <v>111</v>
      </c>
      <c r="K1130">
        <v>0</v>
      </c>
      <c r="L1130">
        <v>3</v>
      </c>
      <c r="M1130">
        <v>0</v>
      </c>
      <c r="N1130">
        <v>2</v>
      </c>
      <c r="O1130">
        <v>1</v>
      </c>
      <c r="P1130">
        <v>0</v>
      </c>
      <c r="Q1130">
        <v>0</v>
      </c>
      <c r="R1130" t="s">
        <v>112</v>
      </c>
      <c r="S1130" t="str">
        <f>"14:09:11.539"</f>
        <v>14:09:11.539</v>
      </c>
      <c r="T1130" t="str">
        <f>"14:09:11.141"</f>
        <v>14:09:11.141</v>
      </c>
      <c r="U1130" t="str">
        <f t="shared" si="51"/>
        <v>ad5732</v>
      </c>
      <c r="V1130">
        <v>0</v>
      </c>
      <c r="W1130">
        <v>0</v>
      </c>
      <c r="X1130">
        <v>1</v>
      </c>
      <c r="Z1130">
        <v>0</v>
      </c>
      <c r="AA1130">
        <v>9</v>
      </c>
      <c r="AB1130">
        <v>3</v>
      </c>
      <c r="AC1130">
        <v>0</v>
      </c>
      <c r="AD1130">
        <v>10</v>
      </c>
      <c r="AE1130">
        <v>0</v>
      </c>
      <c r="AF1130">
        <v>3</v>
      </c>
      <c r="AG1130">
        <v>2</v>
      </c>
      <c r="AH1130">
        <v>0</v>
      </c>
      <c r="AI1130" t="s">
        <v>2361</v>
      </c>
      <c r="AJ1130">
        <v>39.485829000000003</v>
      </c>
      <c r="AK1130" t="s">
        <v>2362</v>
      </c>
      <c r="AL1130">
        <v>-76.747613000000001</v>
      </c>
      <c r="AM1130">
        <v>100</v>
      </c>
      <c r="AN1130">
        <v>8700</v>
      </c>
      <c r="AO1130" t="s">
        <v>115</v>
      </c>
      <c r="AP1130">
        <v>167</v>
      </c>
      <c r="AQ1130">
        <v>89</v>
      </c>
      <c r="AR1130">
        <v>0</v>
      </c>
      <c r="AZ1130">
        <v>3614</v>
      </c>
      <c r="BA1130">
        <v>1</v>
      </c>
      <c r="BB1130" t="str">
        <f t="shared" si="53"/>
        <v xml:space="preserve">N959MJ  </v>
      </c>
      <c r="BC1130">
        <v>1</v>
      </c>
      <c r="BE1130">
        <v>0</v>
      </c>
      <c r="BF1130">
        <v>0</v>
      </c>
      <c r="BG1130">
        <v>0</v>
      </c>
      <c r="BH1130">
        <v>9025</v>
      </c>
      <c r="BI1130">
        <v>325</v>
      </c>
      <c r="BJ1130">
        <v>1</v>
      </c>
      <c r="BK1130">
        <v>1</v>
      </c>
      <c r="BL1130">
        <v>1</v>
      </c>
      <c r="BM1130">
        <v>0</v>
      </c>
      <c r="BP1130">
        <v>0</v>
      </c>
      <c r="BQ1130">
        <v>0</v>
      </c>
      <c r="BX1130" t="str">
        <f>"14:09:11.547"</f>
        <v>14:09:11.547</v>
      </c>
      <c r="BY1130" t="str">
        <f>"543556236"</f>
        <v>543556236</v>
      </c>
      <c r="CL1130">
        <v>0</v>
      </c>
      <c r="CM1130">
        <v>2</v>
      </c>
      <c r="CN1130">
        <v>0</v>
      </c>
      <c r="CO1130">
        <v>2</v>
      </c>
      <c r="CP1130">
        <v>0</v>
      </c>
      <c r="CQ1130">
        <v>6</v>
      </c>
      <c r="CR1130" t="s">
        <v>116</v>
      </c>
      <c r="CS1130">
        <v>372</v>
      </c>
      <c r="CT1130">
        <v>3</v>
      </c>
      <c r="CU1130" t="s">
        <v>877</v>
      </c>
      <c r="CV1130" t="s">
        <v>878</v>
      </c>
      <c r="CY1130">
        <v>11369343</v>
      </c>
      <c r="CZ1130" t="s">
        <v>119</v>
      </c>
    </row>
    <row r="1131" spans="1:104" x14ac:dyDescent="0.25">
      <c r="A1131" t="str">
        <f>"14:09:12.609"</f>
        <v>14:09:12.609</v>
      </c>
      <c r="B1131" t="s">
        <v>108</v>
      </c>
      <c r="C1131" t="str">
        <f t="shared" si="52"/>
        <v>ffdfd3c0</v>
      </c>
      <c r="D1131" t="s">
        <v>109</v>
      </c>
      <c r="E1131">
        <v>4</v>
      </c>
      <c r="F1131">
        <v>1004</v>
      </c>
      <c r="G1131" t="s">
        <v>110</v>
      </c>
      <c r="J1131" t="s">
        <v>111</v>
      </c>
      <c r="K1131">
        <v>0</v>
      </c>
      <c r="L1131">
        <v>3</v>
      </c>
      <c r="M1131">
        <v>0</v>
      </c>
      <c r="N1131">
        <v>2</v>
      </c>
      <c r="O1131">
        <v>1</v>
      </c>
      <c r="P1131">
        <v>0</v>
      </c>
      <c r="Q1131">
        <v>0</v>
      </c>
      <c r="R1131" t="s">
        <v>112</v>
      </c>
      <c r="S1131" t="str">
        <f>"14:09:12.422"</f>
        <v>14:09:12.422</v>
      </c>
      <c r="T1131" t="str">
        <f>"14:09:12.023"</f>
        <v>14:09:12.023</v>
      </c>
      <c r="U1131" t="str">
        <f t="shared" si="51"/>
        <v>ad5732</v>
      </c>
      <c r="V1131">
        <v>0</v>
      </c>
      <c r="W1131">
        <v>0</v>
      </c>
      <c r="X1131">
        <v>1</v>
      </c>
      <c r="Z1131">
        <v>0</v>
      </c>
      <c r="AA1131">
        <v>9</v>
      </c>
      <c r="AB1131">
        <v>3</v>
      </c>
      <c r="AC1131">
        <v>0</v>
      </c>
      <c r="AD1131">
        <v>10</v>
      </c>
      <c r="AE1131">
        <v>0</v>
      </c>
      <c r="AF1131">
        <v>3</v>
      </c>
      <c r="AG1131">
        <v>2</v>
      </c>
      <c r="AH1131">
        <v>0</v>
      </c>
      <c r="AI1131" t="s">
        <v>2363</v>
      </c>
      <c r="AJ1131">
        <v>39.486215000000001</v>
      </c>
      <c r="AK1131" t="s">
        <v>2364</v>
      </c>
      <c r="AL1131">
        <v>-76.746712000000002</v>
      </c>
      <c r="AM1131">
        <v>100</v>
      </c>
      <c r="AN1131">
        <v>8700</v>
      </c>
      <c r="AO1131" t="s">
        <v>115</v>
      </c>
      <c r="AP1131">
        <v>167</v>
      </c>
      <c r="AQ1131">
        <v>89</v>
      </c>
      <c r="AR1131">
        <v>0</v>
      </c>
      <c r="AZ1131">
        <v>3614</v>
      </c>
      <c r="BA1131">
        <v>1</v>
      </c>
      <c r="BB1131" t="str">
        <f t="shared" si="53"/>
        <v xml:space="preserve">N959MJ  </v>
      </c>
      <c r="BC1131">
        <v>1</v>
      </c>
      <c r="BE1131">
        <v>0</v>
      </c>
      <c r="BF1131">
        <v>0</v>
      </c>
      <c r="BG1131">
        <v>0</v>
      </c>
      <c r="BH1131">
        <v>9025</v>
      </c>
      <c r="BI1131">
        <v>325</v>
      </c>
      <c r="BJ1131">
        <v>1</v>
      </c>
      <c r="BK1131">
        <v>1</v>
      </c>
      <c r="BL1131">
        <v>1</v>
      </c>
      <c r="BM1131">
        <v>0</v>
      </c>
      <c r="BP1131">
        <v>0</v>
      </c>
      <c r="BQ1131">
        <v>0</v>
      </c>
      <c r="BX1131" t="str">
        <f>"14:09:12.422"</f>
        <v>14:09:12.422</v>
      </c>
      <c r="BY1131" t="str">
        <f>"424985083"</f>
        <v>424985083</v>
      </c>
      <c r="CL1131">
        <v>0</v>
      </c>
      <c r="CM1131">
        <v>2</v>
      </c>
      <c r="CN1131">
        <v>0</v>
      </c>
      <c r="CO1131">
        <v>2</v>
      </c>
      <c r="CP1131">
        <v>0</v>
      </c>
      <c r="CQ1131">
        <v>6</v>
      </c>
      <c r="CR1131" t="s">
        <v>116</v>
      </c>
      <c r="CS1131">
        <v>525</v>
      </c>
      <c r="CT1131">
        <v>1</v>
      </c>
      <c r="CU1131" t="s">
        <v>140</v>
      </c>
      <c r="CV1131" t="s">
        <v>141</v>
      </c>
      <c r="CY1131">
        <v>8805891</v>
      </c>
      <c r="CZ1131" t="s">
        <v>119</v>
      </c>
    </row>
    <row r="1132" spans="1:104" x14ac:dyDescent="0.25">
      <c r="A1132" t="str">
        <f>"14:09:13.664"</f>
        <v>14:09:13.664</v>
      </c>
      <c r="B1132" t="s">
        <v>108</v>
      </c>
      <c r="C1132" t="str">
        <f t="shared" si="52"/>
        <v>ffdfd3c0</v>
      </c>
      <c r="D1132" t="s">
        <v>109</v>
      </c>
      <c r="E1132">
        <v>4</v>
      </c>
      <c r="F1132">
        <v>1004</v>
      </c>
      <c r="G1132" t="s">
        <v>110</v>
      </c>
      <c r="J1132" t="s">
        <v>111</v>
      </c>
      <c r="K1132">
        <v>0</v>
      </c>
      <c r="L1132">
        <v>3</v>
      </c>
      <c r="M1132">
        <v>0</v>
      </c>
      <c r="N1132">
        <v>2</v>
      </c>
      <c r="O1132">
        <v>1</v>
      </c>
      <c r="P1132">
        <v>0</v>
      </c>
      <c r="Q1132">
        <v>0</v>
      </c>
      <c r="R1132" t="s">
        <v>112</v>
      </c>
      <c r="S1132" t="str">
        <f>"14:09:13.453"</f>
        <v>14:09:13.453</v>
      </c>
      <c r="T1132" t="str">
        <f>"14:09:12.453"</f>
        <v>14:09:12.453</v>
      </c>
      <c r="U1132" t="str">
        <f t="shared" si="51"/>
        <v>ad5732</v>
      </c>
      <c r="V1132">
        <v>0</v>
      </c>
      <c r="W1132">
        <v>0</v>
      </c>
      <c r="X1132">
        <v>1</v>
      </c>
      <c r="Z1132">
        <v>0</v>
      </c>
      <c r="AA1132">
        <v>9</v>
      </c>
      <c r="AB1132">
        <v>3</v>
      </c>
      <c r="AC1132">
        <v>0</v>
      </c>
      <c r="AD1132">
        <v>10</v>
      </c>
      <c r="AE1132">
        <v>0</v>
      </c>
      <c r="AF1132">
        <v>3</v>
      </c>
      <c r="AG1132">
        <v>2</v>
      </c>
      <c r="AH1132">
        <v>0</v>
      </c>
      <c r="AI1132" t="s">
        <v>2365</v>
      </c>
      <c r="AJ1132">
        <v>39.486623000000002</v>
      </c>
      <c r="AK1132" t="s">
        <v>2366</v>
      </c>
      <c r="AL1132">
        <v>-76.745724999999993</v>
      </c>
      <c r="AM1132">
        <v>100</v>
      </c>
      <c r="AN1132">
        <v>8700</v>
      </c>
      <c r="AO1132" t="s">
        <v>115</v>
      </c>
      <c r="AP1132">
        <v>167</v>
      </c>
      <c r="AQ1132">
        <v>89</v>
      </c>
      <c r="AR1132">
        <v>0</v>
      </c>
      <c r="AZ1132">
        <v>3614</v>
      </c>
      <c r="BA1132">
        <v>1</v>
      </c>
      <c r="BB1132" t="str">
        <f t="shared" si="53"/>
        <v xml:space="preserve">N959MJ  </v>
      </c>
      <c r="BC1132">
        <v>1</v>
      </c>
      <c r="BE1132">
        <v>0</v>
      </c>
      <c r="BF1132">
        <v>0</v>
      </c>
      <c r="BG1132">
        <v>0</v>
      </c>
      <c r="BH1132">
        <v>9025</v>
      </c>
      <c r="BI1132">
        <v>325</v>
      </c>
      <c r="BJ1132">
        <v>1</v>
      </c>
      <c r="BK1132">
        <v>1</v>
      </c>
      <c r="BL1132">
        <v>1</v>
      </c>
      <c r="BM1132">
        <v>0</v>
      </c>
      <c r="BP1132">
        <v>0</v>
      </c>
      <c r="BQ1132">
        <v>0</v>
      </c>
      <c r="BX1132" t="str">
        <f>"14:09:13.453"</f>
        <v>14:09:13.453</v>
      </c>
      <c r="BY1132" t="str">
        <f>"453962152"</f>
        <v>453962152</v>
      </c>
      <c r="CL1132">
        <v>0</v>
      </c>
      <c r="CM1132">
        <v>2</v>
      </c>
      <c r="CN1132">
        <v>0</v>
      </c>
      <c r="CO1132">
        <v>2</v>
      </c>
      <c r="CP1132">
        <v>0</v>
      </c>
      <c r="CQ1132">
        <v>6</v>
      </c>
      <c r="CR1132" t="s">
        <v>116</v>
      </c>
      <c r="CS1132">
        <v>372</v>
      </c>
      <c r="CT1132">
        <v>3</v>
      </c>
      <c r="CU1132" t="s">
        <v>877</v>
      </c>
      <c r="CV1132" t="s">
        <v>878</v>
      </c>
      <c r="CY1132">
        <v>11372714</v>
      </c>
      <c r="CZ1132" t="s">
        <v>119</v>
      </c>
    </row>
    <row r="1133" spans="1:104" x14ac:dyDescent="0.25">
      <c r="A1133" t="str">
        <f>"14:09:14.781"</f>
        <v>14:09:14.781</v>
      </c>
      <c r="B1133" t="s">
        <v>108</v>
      </c>
      <c r="C1133" t="str">
        <f t="shared" si="52"/>
        <v>ffdfd3c0</v>
      </c>
      <c r="D1133" t="s">
        <v>109</v>
      </c>
      <c r="E1133">
        <v>4</v>
      </c>
      <c r="F1133">
        <v>1004</v>
      </c>
      <c r="G1133" t="s">
        <v>110</v>
      </c>
      <c r="J1133" t="s">
        <v>111</v>
      </c>
      <c r="K1133">
        <v>0</v>
      </c>
      <c r="L1133">
        <v>3</v>
      </c>
      <c r="M1133">
        <v>0</v>
      </c>
      <c r="N1133">
        <v>2</v>
      </c>
      <c r="O1133">
        <v>1</v>
      </c>
      <c r="P1133">
        <v>0</v>
      </c>
      <c r="Q1133">
        <v>0</v>
      </c>
      <c r="R1133" t="s">
        <v>112</v>
      </c>
      <c r="S1133" t="str">
        <f>"14:09:14.609"</f>
        <v>14:09:14.609</v>
      </c>
      <c r="T1133" t="str">
        <f>"14:09:14.109"</f>
        <v>14:09:14.109</v>
      </c>
      <c r="U1133" t="str">
        <f t="shared" si="51"/>
        <v>ad5732</v>
      </c>
      <c r="V1133">
        <v>0</v>
      </c>
      <c r="W1133">
        <v>0</v>
      </c>
      <c r="X1133">
        <v>1</v>
      </c>
      <c r="Z1133">
        <v>0</v>
      </c>
      <c r="AA1133">
        <v>9</v>
      </c>
      <c r="AB1133">
        <v>3</v>
      </c>
      <c r="AC1133">
        <v>0</v>
      </c>
      <c r="AD1133">
        <v>10</v>
      </c>
      <c r="AE1133">
        <v>0</v>
      </c>
      <c r="AF1133">
        <v>3</v>
      </c>
      <c r="AG1133">
        <v>2</v>
      </c>
      <c r="AH1133">
        <v>0</v>
      </c>
      <c r="AI1133" t="s">
        <v>2367</v>
      </c>
      <c r="AJ1133">
        <v>39.487094999999997</v>
      </c>
      <c r="AK1133" t="s">
        <v>2368</v>
      </c>
      <c r="AL1133">
        <v>-76.744501999999997</v>
      </c>
      <c r="AM1133">
        <v>100</v>
      </c>
      <c r="AN1133">
        <v>8700</v>
      </c>
      <c r="AO1133" t="s">
        <v>115</v>
      </c>
      <c r="AP1133">
        <v>167</v>
      </c>
      <c r="AQ1133">
        <v>89</v>
      </c>
      <c r="AR1133">
        <v>0</v>
      </c>
      <c r="AZ1133">
        <v>3614</v>
      </c>
      <c r="BA1133">
        <v>1</v>
      </c>
      <c r="BB1133" t="str">
        <f t="shared" si="53"/>
        <v xml:space="preserve">N959MJ  </v>
      </c>
      <c r="BC1133">
        <v>1</v>
      </c>
      <c r="BE1133">
        <v>0</v>
      </c>
      <c r="BF1133">
        <v>0</v>
      </c>
      <c r="BG1133">
        <v>0</v>
      </c>
      <c r="BH1133">
        <v>9025</v>
      </c>
      <c r="BI1133">
        <v>325</v>
      </c>
      <c r="BJ1133">
        <v>1</v>
      </c>
      <c r="BK1133">
        <v>1</v>
      </c>
      <c r="BL1133">
        <v>1</v>
      </c>
      <c r="BM1133">
        <v>0</v>
      </c>
      <c r="BP1133">
        <v>0</v>
      </c>
      <c r="BQ1133">
        <v>0</v>
      </c>
      <c r="BX1133" t="str">
        <f>"14:09:14.609"</f>
        <v>14:09:14.609</v>
      </c>
      <c r="BY1133" t="str">
        <f>"610691614"</f>
        <v>610691614</v>
      </c>
      <c r="CL1133">
        <v>0</v>
      </c>
      <c r="CM1133">
        <v>2</v>
      </c>
      <c r="CN1133">
        <v>0</v>
      </c>
      <c r="CO1133">
        <v>2</v>
      </c>
      <c r="CP1133">
        <v>0</v>
      </c>
      <c r="CQ1133">
        <v>6</v>
      </c>
      <c r="CR1133" t="s">
        <v>116</v>
      </c>
      <c r="CS1133">
        <v>372</v>
      </c>
      <c r="CT1133">
        <v>3</v>
      </c>
      <c r="CU1133" t="s">
        <v>877</v>
      </c>
      <c r="CV1133" t="s">
        <v>878</v>
      </c>
      <c r="CY1133">
        <v>11374722</v>
      </c>
      <c r="CZ1133" t="s">
        <v>119</v>
      </c>
    </row>
    <row r="1134" spans="1:104" x14ac:dyDescent="0.25">
      <c r="A1134" t="str">
        <f>"14:09:15.789"</f>
        <v>14:09:15.789</v>
      </c>
      <c r="B1134" t="s">
        <v>108</v>
      </c>
      <c r="C1134" t="str">
        <f t="shared" si="52"/>
        <v>ffdfd3c0</v>
      </c>
      <c r="D1134" t="s">
        <v>109</v>
      </c>
      <c r="E1134">
        <v>4</v>
      </c>
      <c r="F1134">
        <v>1004</v>
      </c>
      <c r="G1134" t="s">
        <v>110</v>
      </c>
      <c r="J1134" t="s">
        <v>111</v>
      </c>
      <c r="K1134">
        <v>0</v>
      </c>
      <c r="L1134">
        <v>3</v>
      </c>
      <c r="M1134">
        <v>0</v>
      </c>
      <c r="N1134">
        <v>2</v>
      </c>
      <c r="O1134">
        <v>1</v>
      </c>
      <c r="P1134">
        <v>0</v>
      </c>
      <c r="Q1134">
        <v>0</v>
      </c>
      <c r="R1134" t="s">
        <v>112</v>
      </c>
      <c r="S1134" t="str">
        <f>"14:09:15.609"</f>
        <v>14:09:15.609</v>
      </c>
      <c r="T1134" t="str">
        <f>"14:09:14.711"</f>
        <v>14:09:14.711</v>
      </c>
      <c r="U1134" t="str">
        <f t="shared" si="51"/>
        <v>ad5732</v>
      </c>
      <c r="V1134">
        <v>0</v>
      </c>
      <c r="W1134">
        <v>0</v>
      </c>
      <c r="X1134">
        <v>1</v>
      </c>
      <c r="Z1134">
        <v>0</v>
      </c>
      <c r="AA1134">
        <v>9</v>
      </c>
      <c r="AB1134">
        <v>3</v>
      </c>
      <c r="AC1134">
        <v>0</v>
      </c>
      <c r="AD1134">
        <v>10</v>
      </c>
      <c r="AE1134">
        <v>0</v>
      </c>
      <c r="AF1134">
        <v>3</v>
      </c>
      <c r="AG1134">
        <v>2</v>
      </c>
      <c r="AH1134">
        <v>0</v>
      </c>
      <c r="AI1134" t="s">
        <v>2369</v>
      </c>
      <c r="AJ1134">
        <v>39.487524000000001</v>
      </c>
      <c r="AK1134" t="s">
        <v>2370</v>
      </c>
      <c r="AL1134">
        <v>-76.743536000000006</v>
      </c>
      <c r="AM1134">
        <v>100</v>
      </c>
      <c r="AN1134">
        <v>8700</v>
      </c>
      <c r="AO1134" t="s">
        <v>115</v>
      </c>
      <c r="AP1134">
        <v>167</v>
      </c>
      <c r="AQ1134">
        <v>89</v>
      </c>
      <c r="AR1134">
        <v>0</v>
      </c>
      <c r="AZ1134">
        <v>3614</v>
      </c>
      <c r="BA1134">
        <v>1</v>
      </c>
      <c r="BB1134" t="str">
        <f t="shared" si="53"/>
        <v xml:space="preserve">N959MJ  </v>
      </c>
      <c r="BC1134">
        <v>1</v>
      </c>
      <c r="BE1134">
        <v>0</v>
      </c>
      <c r="BF1134">
        <v>0</v>
      </c>
      <c r="BG1134">
        <v>0</v>
      </c>
      <c r="BH1134">
        <v>9025</v>
      </c>
      <c r="BI1134">
        <v>325</v>
      </c>
      <c r="BJ1134">
        <v>1</v>
      </c>
      <c r="BK1134">
        <v>1</v>
      </c>
      <c r="BL1134">
        <v>1</v>
      </c>
      <c r="BM1134">
        <v>0</v>
      </c>
      <c r="BP1134">
        <v>0</v>
      </c>
      <c r="BQ1134">
        <v>0</v>
      </c>
      <c r="BX1134" t="str">
        <f>"14:09:15.609"</f>
        <v>14:09:15.609</v>
      </c>
      <c r="BY1134" t="str">
        <f>"610088268"</f>
        <v>610088268</v>
      </c>
      <c r="CL1134">
        <v>0</v>
      </c>
      <c r="CM1134">
        <v>2</v>
      </c>
      <c r="CN1134">
        <v>0</v>
      </c>
      <c r="CO1134">
        <v>2</v>
      </c>
      <c r="CP1134">
        <v>0</v>
      </c>
      <c r="CQ1134">
        <v>6</v>
      </c>
      <c r="CR1134" t="s">
        <v>116</v>
      </c>
      <c r="CS1134">
        <v>525</v>
      </c>
      <c r="CT1134">
        <v>1</v>
      </c>
      <c r="CU1134" t="s">
        <v>140</v>
      </c>
      <c r="CV1134" t="s">
        <v>141</v>
      </c>
      <c r="CY1134">
        <v>8810558</v>
      </c>
      <c r="CZ1134" t="s">
        <v>119</v>
      </c>
    </row>
    <row r="1135" spans="1:104" x14ac:dyDescent="0.25">
      <c r="A1135" t="str">
        <f>"14:09:16.797"</f>
        <v>14:09:16.797</v>
      </c>
      <c r="B1135" t="s">
        <v>108</v>
      </c>
      <c r="C1135" t="str">
        <f t="shared" si="52"/>
        <v>ffdfd3c0</v>
      </c>
      <c r="D1135" t="s">
        <v>109</v>
      </c>
      <c r="E1135">
        <v>4</v>
      </c>
      <c r="F1135">
        <v>1004</v>
      </c>
      <c r="G1135" t="s">
        <v>110</v>
      </c>
      <c r="J1135" t="s">
        <v>111</v>
      </c>
      <c r="K1135">
        <v>0</v>
      </c>
      <c r="L1135">
        <v>3</v>
      </c>
      <c r="M1135">
        <v>0</v>
      </c>
      <c r="N1135">
        <v>2</v>
      </c>
      <c r="O1135">
        <v>1</v>
      </c>
      <c r="P1135">
        <v>0</v>
      </c>
      <c r="Q1135">
        <v>0</v>
      </c>
      <c r="R1135" t="s">
        <v>112</v>
      </c>
      <c r="S1135" t="str">
        <f>"14:09:16.625"</f>
        <v>14:09:16.625</v>
      </c>
      <c r="T1135" t="str">
        <f>"14:09:16.227"</f>
        <v>14:09:16.227</v>
      </c>
      <c r="U1135" t="str">
        <f t="shared" si="51"/>
        <v>ad5732</v>
      </c>
      <c r="V1135">
        <v>0</v>
      </c>
      <c r="W1135">
        <v>0</v>
      </c>
      <c r="X1135">
        <v>1</v>
      </c>
      <c r="Z1135">
        <v>0</v>
      </c>
      <c r="AA1135">
        <v>9</v>
      </c>
      <c r="AB1135">
        <v>3</v>
      </c>
      <c r="AC1135">
        <v>0</v>
      </c>
      <c r="AD1135">
        <v>10</v>
      </c>
      <c r="AE1135">
        <v>0</v>
      </c>
      <c r="AF1135">
        <v>3</v>
      </c>
      <c r="AG1135">
        <v>2</v>
      </c>
      <c r="AH1135">
        <v>0</v>
      </c>
      <c r="AI1135" t="s">
        <v>2371</v>
      </c>
      <c r="AJ1135">
        <v>39.487932000000001</v>
      </c>
      <c r="AK1135" t="s">
        <v>2372</v>
      </c>
      <c r="AL1135">
        <v>-76.742548999999997</v>
      </c>
      <c r="AM1135">
        <v>100</v>
      </c>
      <c r="AN1135">
        <v>8700</v>
      </c>
      <c r="AO1135" t="s">
        <v>115</v>
      </c>
      <c r="AP1135">
        <v>168</v>
      </c>
      <c r="AQ1135">
        <v>88</v>
      </c>
      <c r="AR1135">
        <v>0</v>
      </c>
      <c r="AZ1135">
        <v>3614</v>
      </c>
      <c r="BA1135">
        <v>1</v>
      </c>
      <c r="BB1135" t="str">
        <f t="shared" si="53"/>
        <v xml:space="preserve">N959MJ  </v>
      </c>
      <c r="BC1135">
        <v>1</v>
      </c>
      <c r="BE1135">
        <v>0</v>
      </c>
      <c r="BF1135">
        <v>0</v>
      </c>
      <c r="BG1135">
        <v>0</v>
      </c>
      <c r="BH1135">
        <v>9025</v>
      </c>
      <c r="BI1135">
        <v>325</v>
      </c>
      <c r="BJ1135">
        <v>1</v>
      </c>
      <c r="BK1135">
        <v>1</v>
      </c>
      <c r="BL1135">
        <v>1</v>
      </c>
      <c r="BM1135">
        <v>0</v>
      </c>
      <c r="BP1135">
        <v>0</v>
      </c>
      <c r="BQ1135">
        <v>0</v>
      </c>
      <c r="BX1135" t="str">
        <f>"14:09:16.625"</f>
        <v>14:09:16.625</v>
      </c>
      <c r="BY1135" t="str">
        <f>"627543839"</f>
        <v>627543839</v>
      </c>
      <c r="CL1135">
        <v>0</v>
      </c>
      <c r="CM1135">
        <v>2</v>
      </c>
      <c r="CN1135">
        <v>0</v>
      </c>
      <c r="CO1135">
        <v>2</v>
      </c>
      <c r="CP1135">
        <v>0</v>
      </c>
      <c r="CQ1135">
        <v>6</v>
      </c>
      <c r="CR1135" t="s">
        <v>116</v>
      </c>
      <c r="CS1135">
        <v>396</v>
      </c>
      <c r="CT1135">
        <v>2</v>
      </c>
      <c r="CU1135" t="s">
        <v>939</v>
      </c>
      <c r="CV1135" t="s">
        <v>940</v>
      </c>
      <c r="CY1135">
        <v>4734638</v>
      </c>
      <c r="CZ1135" t="s">
        <v>119</v>
      </c>
    </row>
    <row r="1136" spans="1:104" x14ac:dyDescent="0.25">
      <c r="A1136" t="str">
        <f>"14:09:17.805"</f>
        <v>14:09:17.805</v>
      </c>
      <c r="B1136" t="s">
        <v>108</v>
      </c>
      <c r="C1136" t="str">
        <f t="shared" si="52"/>
        <v>ffdfd3c0</v>
      </c>
      <c r="D1136" t="s">
        <v>109</v>
      </c>
      <c r="E1136">
        <v>4</v>
      </c>
      <c r="F1136">
        <v>1004</v>
      </c>
      <c r="G1136" t="s">
        <v>110</v>
      </c>
      <c r="J1136" t="s">
        <v>111</v>
      </c>
      <c r="K1136">
        <v>0</v>
      </c>
      <c r="L1136">
        <v>3</v>
      </c>
      <c r="M1136">
        <v>0</v>
      </c>
      <c r="N1136">
        <v>2</v>
      </c>
      <c r="O1136">
        <v>1</v>
      </c>
      <c r="P1136">
        <v>0</v>
      </c>
      <c r="Q1136">
        <v>0</v>
      </c>
      <c r="R1136" t="s">
        <v>112</v>
      </c>
      <c r="S1136" t="str">
        <f>"14:09:17.633"</f>
        <v>14:09:17.633</v>
      </c>
      <c r="T1136" t="str">
        <f>"14:09:17.133"</f>
        <v>14:09:17.133</v>
      </c>
      <c r="U1136" t="str">
        <f t="shared" si="51"/>
        <v>ad5732</v>
      </c>
      <c r="V1136">
        <v>0</v>
      </c>
      <c r="W1136">
        <v>0</v>
      </c>
      <c r="X1136">
        <v>1</v>
      </c>
      <c r="Z1136">
        <v>0</v>
      </c>
      <c r="AA1136">
        <v>9</v>
      </c>
      <c r="AB1136">
        <v>3</v>
      </c>
      <c r="AC1136">
        <v>0</v>
      </c>
      <c r="AD1136">
        <v>10</v>
      </c>
      <c r="AE1136">
        <v>0</v>
      </c>
      <c r="AF1136">
        <v>3</v>
      </c>
      <c r="AG1136">
        <v>2</v>
      </c>
      <c r="AH1136">
        <v>0</v>
      </c>
      <c r="AI1136" t="s">
        <v>2373</v>
      </c>
      <c r="AJ1136">
        <v>39.488318</v>
      </c>
      <c r="AK1136" t="s">
        <v>2374</v>
      </c>
      <c r="AL1136">
        <v>-76.741518999999997</v>
      </c>
      <c r="AM1136">
        <v>100</v>
      </c>
      <c r="AN1136">
        <v>8700</v>
      </c>
      <c r="AO1136" t="s">
        <v>115</v>
      </c>
      <c r="AP1136">
        <v>168</v>
      </c>
      <c r="AQ1136">
        <v>88</v>
      </c>
      <c r="AR1136">
        <v>0</v>
      </c>
      <c r="AZ1136">
        <v>3614</v>
      </c>
      <c r="BA1136">
        <v>1</v>
      </c>
      <c r="BB1136" t="str">
        <f t="shared" si="53"/>
        <v xml:space="preserve">N959MJ  </v>
      </c>
      <c r="BC1136">
        <v>1</v>
      </c>
      <c r="BE1136">
        <v>0</v>
      </c>
      <c r="BF1136">
        <v>0</v>
      </c>
      <c r="BG1136">
        <v>0</v>
      </c>
      <c r="BH1136">
        <v>9025</v>
      </c>
      <c r="BI1136">
        <v>325</v>
      </c>
      <c r="BJ1136">
        <v>1</v>
      </c>
      <c r="BK1136">
        <v>1</v>
      </c>
      <c r="BL1136">
        <v>1</v>
      </c>
      <c r="BM1136">
        <v>0</v>
      </c>
      <c r="BP1136">
        <v>0</v>
      </c>
      <c r="BQ1136">
        <v>0</v>
      </c>
      <c r="BX1136" t="str">
        <f>"14:09:17.641"</f>
        <v>14:09:17.641</v>
      </c>
      <c r="BY1136" t="str">
        <f>"640100049"</f>
        <v>640100049</v>
      </c>
      <c r="CL1136">
        <v>0</v>
      </c>
      <c r="CM1136">
        <v>2</v>
      </c>
      <c r="CN1136">
        <v>0</v>
      </c>
      <c r="CO1136">
        <v>2</v>
      </c>
      <c r="CP1136">
        <v>0</v>
      </c>
      <c r="CQ1136">
        <v>6</v>
      </c>
      <c r="CR1136" t="s">
        <v>116</v>
      </c>
      <c r="CS1136">
        <v>525</v>
      </c>
      <c r="CT1136">
        <v>1</v>
      </c>
      <c r="CU1136" t="s">
        <v>140</v>
      </c>
      <c r="CV1136" t="s">
        <v>141</v>
      </c>
      <c r="CY1136">
        <v>8813623</v>
      </c>
      <c r="CZ1136" t="s">
        <v>119</v>
      </c>
    </row>
    <row r="1137" spans="1:104" x14ac:dyDescent="0.25">
      <c r="A1137" t="str">
        <f>"14:09:18.867"</f>
        <v>14:09:18.867</v>
      </c>
      <c r="B1137" t="s">
        <v>108</v>
      </c>
      <c r="C1137" t="str">
        <f t="shared" si="52"/>
        <v>ffdfd3c0</v>
      </c>
      <c r="D1137" t="s">
        <v>109</v>
      </c>
      <c r="E1137">
        <v>4</v>
      </c>
      <c r="F1137">
        <v>1004</v>
      </c>
      <c r="G1137" t="s">
        <v>110</v>
      </c>
      <c r="J1137" t="s">
        <v>111</v>
      </c>
      <c r="K1137">
        <v>0</v>
      </c>
      <c r="L1137">
        <v>3</v>
      </c>
      <c r="M1137">
        <v>0</v>
      </c>
      <c r="N1137">
        <v>2</v>
      </c>
      <c r="O1137">
        <v>1</v>
      </c>
      <c r="P1137">
        <v>0</v>
      </c>
      <c r="Q1137">
        <v>0</v>
      </c>
      <c r="R1137" t="s">
        <v>112</v>
      </c>
      <c r="S1137" t="str">
        <f>"14:09:18.688"</f>
        <v>14:09:18.688</v>
      </c>
      <c r="T1137" t="str">
        <f>"14:09:18.188"</f>
        <v>14:09:18.188</v>
      </c>
      <c r="U1137" t="str">
        <f t="shared" si="51"/>
        <v>ad5732</v>
      </c>
      <c r="V1137">
        <v>0</v>
      </c>
      <c r="W1137">
        <v>0</v>
      </c>
      <c r="X1137">
        <v>1</v>
      </c>
      <c r="Z1137">
        <v>0</v>
      </c>
      <c r="AA1137">
        <v>9</v>
      </c>
      <c r="AB1137">
        <v>3</v>
      </c>
      <c r="AC1137">
        <v>0</v>
      </c>
      <c r="AD1137">
        <v>10</v>
      </c>
      <c r="AE1137">
        <v>0</v>
      </c>
      <c r="AF1137">
        <v>3</v>
      </c>
      <c r="AG1137">
        <v>2</v>
      </c>
      <c r="AH1137">
        <v>0</v>
      </c>
      <c r="AI1137" t="s">
        <v>2375</v>
      </c>
      <c r="AJ1137">
        <v>39.488746999999996</v>
      </c>
      <c r="AK1137" t="s">
        <v>2376</v>
      </c>
      <c r="AL1137">
        <v>-76.740403000000001</v>
      </c>
      <c r="AM1137">
        <v>100</v>
      </c>
      <c r="AN1137">
        <v>8700</v>
      </c>
      <c r="AO1137" t="s">
        <v>115</v>
      </c>
      <c r="AP1137">
        <v>168</v>
      </c>
      <c r="AQ1137">
        <v>88</v>
      </c>
      <c r="AR1137">
        <v>0</v>
      </c>
      <c r="AZ1137">
        <v>3614</v>
      </c>
      <c r="BA1137">
        <v>1</v>
      </c>
      <c r="BB1137" t="str">
        <f t="shared" si="53"/>
        <v xml:space="preserve">N959MJ  </v>
      </c>
      <c r="BC1137">
        <v>1</v>
      </c>
      <c r="BE1137">
        <v>0</v>
      </c>
      <c r="BF1137">
        <v>0</v>
      </c>
      <c r="BG1137">
        <v>0</v>
      </c>
      <c r="BH1137">
        <v>9025</v>
      </c>
      <c r="BI1137">
        <v>325</v>
      </c>
      <c r="BJ1137">
        <v>1</v>
      </c>
      <c r="BK1137">
        <v>1</v>
      </c>
      <c r="BL1137">
        <v>1</v>
      </c>
      <c r="BM1137">
        <v>0</v>
      </c>
      <c r="BP1137">
        <v>0</v>
      </c>
      <c r="BQ1137">
        <v>0</v>
      </c>
      <c r="BX1137" t="str">
        <f>"14:09:18.688"</f>
        <v>14:09:18.688</v>
      </c>
      <c r="BY1137" t="str">
        <f>"688736476"</f>
        <v>688736476</v>
      </c>
      <c r="CL1137">
        <v>0</v>
      </c>
      <c r="CM1137">
        <v>2</v>
      </c>
      <c r="CN1137">
        <v>0</v>
      </c>
      <c r="CO1137">
        <v>2</v>
      </c>
      <c r="CP1137">
        <v>0</v>
      </c>
      <c r="CQ1137">
        <v>6</v>
      </c>
      <c r="CR1137" t="s">
        <v>116</v>
      </c>
      <c r="CS1137">
        <v>372</v>
      </c>
      <c r="CT1137">
        <v>3</v>
      </c>
      <c r="CU1137" t="s">
        <v>877</v>
      </c>
      <c r="CV1137" t="s">
        <v>878</v>
      </c>
      <c r="CY1137">
        <v>11382047</v>
      </c>
      <c r="CZ1137" t="s">
        <v>119</v>
      </c>
    </row>
    <row r="1138" spans="1:104" x14ac:dyDescent="0.25">
      <c r="A1138" t="str">
        <f>"14:09:20.031"</f>
        <v>14:09:20.031</v>
      </c>
      <c r="B1138" t="s">
        <v>108</v>
      </c>
      <c r="C1138" t="str">
        <f t="shared" si="52"/>
        <v>ffdfd3c0</v>
      </c>
      <c r="D1138" t="s">
        <v>109</v>
      </c>
      <c r="E1138">
        <v>4</v>
      </c>
      <c r="F1138">
        <v>1004</v>
      </c>
      <c r="G1138" t="s">
        <v>110</v>
      </c>
      <c r="J1138" t="s">
        <v>111</v>
      </c>
      <c r="K1138">
        <v>0</v>
      </c>
      <c r="L1138">
        <v>3</v>
      </c>
      <c r="M1138">
        <v>0</v>
      </c>
      <c r="N1138">
        <v>2</v>
      </c>
      <c r="O1138">
        <v>1</v>
      </c>
      <c r="P1138">
        <v>0</v>
      </c>
      <c r="Q1138">
        <v>0</v>
      </c>
      <c r="R1138" t="s">
        <v>112</v>
      </c>
      <c r="S1138" t="str">
        <f>"14:09:19.844"</f>
        <v>14:09:19.844</v>
      </c>
      <c r="T1138" t="str">
        <f>"14:09:19.344"</f>
        <v>14:09:19.344</v>
      </c>
      <c r="U1138" t="str">
        <f t="shared" si="51"/>
        <v>ad5732</v>
      </c>
      <c r="V1138">
        <v>0</v>
      </c>
      <c r="W1138">
        <v>0</v>
      </c>
      <c r="X1138">
        <v>1</v>
      </c>
      <c r="Z1138">
        <v>0</v>
      </c>
      <c r="AA1138">
        <v>9</v>
      </c>
      <c r="AB1138">
        <v>3</v>
      </c>
      <c r="AC1138">
        <v>0</v>
      </c>
      <c r="AD1138">
        <v>10</v>
      </c>
      <c r="AE1138">
        <v>0</v>
      </c>
      <c r="AF1138">
        <v>3</v>
      </c>
      <c r="AG1138">
        <v>2</v>
      </c>
      <c r="AH1138">
        <v>0</v>
      </c>
      <c r="AI1138" t="s">
        <v>2377</v>
      </c>
      <c r="AJ1138">
        <v>39.489198000000002</v>
      </c>
      <c r="AK1138" t="s">
        <v>2378</v>
      </c>
      <c r="AL1138">
        <v>-76.739309000000006</v>
      </c>
      <c r="AM1138">
        <v>100</v>
      </c>
      <c r="AN1138">
        <v>8700</v>
      </c>
      <c r="AO1138" t="s">
        <v>115</v>
      </c>
      <c r="AP1138">
        <v>168</v>
      </c>
      <c r="AQ1138">
        <v>87</v>
      </c>
      <c r="AR1138">
        <v>-64</v>
      </c>
      <c r="AZ1138">
        <v>3614</v>
      </c>
      <c r="BA1138">
        <v>1</v>
      </c>
      <c r="BB1138" t="str">
        <f t="shared" si="53"/>
        <v xml:space="preserve">N959MJ  </v>
      </c>
      <c r="BC1138">
        <v>1</v>
      </c>
      <c r="BE1138">
        <v>0</v>
      </c>
      <c r="BF1138">
        <v>0</v>
      </c>
      <c r="BG1138">
        <v>0</v>
      </c>
      <c r="BH1138">
        <v>9025</v>
      </c>
      <c r="BI1138">
        <v>325</v>
      </c>
      <c r="BJ1138">
        <v>1</v>
      </c>
      <c r="BK1138">
        <v>1</v>
      </c>
      <c r="BL1138">
        <v>1</v>
      </c>
      <c r="BM1138">
        <v>0</v>
      </c>
      <c r="BP1138">
        <v>0</v>
      </c>
      <c r="BQ1138">
        <v>0</v>
      </c>
      <c r="BX1138" t="str">
        <f>"14:09:19.844"</f>
        <v>14:09:19.844</v>
      </c>
      <c r="BY1138" t="str">
        <f>"843775552"</f>
        <v>843775552</v>
      </c>
      <c r="CL1138">
        <v>0</v>
      </c>
      <c r="CM1138">
        <v>2</v>
      </c>
      <c r="CN1138">
        <v>0</v>
      </c>
      <c r="CO1138">
        <v>2</v>
      </c>
      <c r="CP1138">
        <v>0</v>
      </c>
      <c r="CQ1138">
        <v>6</v>
      </c>
      <c r="CR1138" t="s">
        <v>116</v>
      </c>
      <c r="CS1138">
        <v>396</v>
      </c>
      <c r="CT1138">
        <v>2</v>
      </c>
      <c r="CU1138" t="s">
        <v>939</v>
      </c>
      <c r="CV1138" t="s">
        <v>940</v>
      </c>
      <c r="CY1138">
        <v>4740330</v>
      </c>
      <c r="CZ1138" t="s">
        <v>119</v>
      </c>
    </row>
    <row r="1139" spans="1:104" x14ac:dyDescent="0.25">
      <c r="A1139" t="str">
        <f>"14:09:20.883"</f>
        <v>14:09:20.883</v>
      </c>
      <c r="B1139" t="s">
        <v>108</v>
      </c>
      <c r="C1139" t="str">
        <f t="shared" si="52"/>
        <v>ffdfd3c0</v>
      </c>
      <c r="D1139" t="s">
        <v>109</v>
      </c>
      <c r="E1139">
        <v>4</v>
      </c>
      <c r="F1139">
        <v>1004</v>
      </c>
      <c r="G1139" t="s">
        <v>110</v>
      </c>
      <c r="J1139" t="s">
        <v>111</v>
      </c>
      <c r="K1139">
        <v>0</v>
      </c>
      <c r="L1139">
        <v>3</v>
      </c>
      <c r="M1139">
        <v>0</v>
      </c>
      <c r="N1139">
        <v>2</v>
      </c>
      <c r="O1139">
        <v>1</v>
      </c>
      <c r="P1139">
        <v>0</v>
      </c>
      <c r="Q1139">
        <v>0</v>
      </c>
      <c r="R1139" t="s">
        <v>112</v>
      </c>
      <c r="S1139" t="str">
        <f>"14:09:20.727"</f>
        <v>14:09:20.727</v>
      </c>
      <c r="T1139" t="str">
        <f>"14:09:20.328"</f>
        <v>14:09:20.328</v>
      </c>
      <c r="U1139" t="str">
        <f t="shared" si="51"/>
        <v>ad5732</v>
      </c>
      <c r="V1139">
        <v>0</v>
      </c>
      <c r="W1139">
        <v>0</v>
      </c>
      <c r="X1139">
        <v>1</v>
      </c>
      <c r="Z1139">
        <v>0</v>
      </c>
      <c r="AA1139">
        <v>9</v>
      </c>
      <c r="AB1139">
        <v>3</v>
      </c>
      <c r="AC1139">
        <v>0</v>
      </c>
      <c r="AD1139">
        <v>10</v>
      </c>
      <c r="AE1139">
        <v>0</v>
      </c>
      <c r="AF1139">
        <v>3</v>
      </c>
      <c r="AG1139">
        <v>2</v>
      </c>
      <c r="AH1139">
        <v>0</v>
      </c>
      <c r="AI1139" t="s">
        <v>2379</v>
      </c>
      <c r="AJ1139">
        <v>39.489584000000001</v>
      </c>
      <c r="AK1139" t="s">
        <v>2380</v>
      </c>
      <c r="AL1139">
        <v>-76.738428999999996</v>
      </c>
      <c r="AM1139">
        <v>100</v>
      </c>
      <c r="AN1139">
        <v>8700</v>
      </c>
      <c r="AO1139" t="s">
        <v>115</v>
      </c>
      <c r="AP1139">
        <v>168</v>
      </c>
      <c r="AQ1139">
        <v>87</v>
      </c>
      <c r="AR1139">
        <v>-64</v>
      </c>
      <c r="AZ1139">
        <v>3614</v>
      </c>
      <c r="BA1139">
        <v>1</v>
      </c>
      <c r="BB1139" t="str">
        <f t="shared" si="53"/>
        <v xml:space="preserve">N959MJ  </v>
      </c>
      <c r="BC1139">
        <v>1</v>
      </c>
      <c r="BE1139">
        <v>0</v>
      </c>
      <c r="BF1139">
        <v>0</v>
      </c>
      <c r="BG1139">
        <v>0</v>
      </c>
      <c r="BH1139">
        <v>9025</v>
      </c>
      <c r="BI1139">
        <v>325</v>
      </c>
      <c r="BJ1139">
        <v>1</v>
      </c>
      <c r="BK1139">
        <v>1</v>
      </c>
      <c r="BL1139">
        <v>1</v>
      </c>
      <c r="BM1139">
        <v>0</v>
      </c>
      <c r="BP1139">
        <v>0</v>
      </c>
      <c r="BQ1139">
        <v>0</v>
      </c>
      <c r="BX1139" t="str">
        <f>"14:09:20.727"</f>
        <v>14:09:20.727</v>
      </c>
      <c r="BY1139" t="str">
        <f>"730164413"</f>
        <v>730164413</v>
      </c>
      <c r="CL1139">
        <v>0</v>
      </c>
      <c r="CM1139">
        <v>2</v>
      </c>
      <c r="CN1139">
        <v>0</v>
      </c>
      <c r="CO1139">
        <v>2</v>
      </c>
      <c r="CP1139">
        <v>0</v>
      </c>
      <c r="CQ1139">
        <v>6</v>
      </c>
      <c r="CR1139" t="s">
        <v>116</v>
      </c>
      <c r="CS1139">
        <v>396</v>
      </c>
      <c r="CT1139">
        <v>2</v>
      </c>
      <c r="CU1139" t="s">
        <v>939</v>
      </c>
      <c r="CV1139" t="s">
        <v>940</v>
      </c>
      <c r="CY1139">
        <v>4741959</v>
      </c>
      <c r="CZ1139" t="s">
        <v>119</v>
      </c>
    </row>
    <row r="1140" spans="1:104" x14ac:dyDescent="0.25">
      <c r="A1140" t="str">
        <f>"14:09:22.047"</f>
        <v>14:09:22.047</v>
      </c>
      <c r="B1140" t="s">
        <v>108</v>
      </c>
      <c r="C1140" t="str">
        <f t="shared" si="52"/>
        <v>ffdfd3c0</v>
      </c>
      <c r="D1140" t="s">
        <v>109</v>
      </c>
      <c r="E1140">
        <v>4</v>
      </c>
      <c r="F1140">
        <v>1004</v>
      </c>
      <c r="G1140" t="s">
        <v>110</v>
      </c>
      <c r="J1140" t="s">
        <v>111</v>
      </c>
      <c r="K1140">
        <v>0</v>
      </c>
      <c r="L1140">
        <v>3</v>
      </c>
      <c r="M1140">
        <v>0</v>
      </c>
      <c r="N1140">
        <v>2</v>
      </c>
      <c r="O1140">
        <v>1</v>
      </c>
      <c r="P1140">
        <v>0</v>
      </c>
      <c r="Q1140">
        <v>0</v>
      </c>
      <c r="R1140" t="s">
        <v>112</v>
      </c>
      <c r="S1140" t="str">
        <f>"14:09:21.844"</f>
        <v>14:09:21.844</v>
      </c>
      <c r="T1140" t="str">
        <f>"14:09:21.344"</f>
        <v>14:09:21.344</v>
      </c>
      <c r="U1140" t="str">
        <f t="shared" si="51"/>
        <v>ad5732</v>
      </c>
      <c r="V1140">
        <v>0</v>
      </c>
      <c r="W1140">
        <v>0</v>
      </c>
      <c r="X1140">
        <v>1</v>
      </c>
      <c r="Z1140">
        <v>0</v>
      </c>
      <c r="AA1140">
        <v>9</v>
      </c>
      <c r="AB1140">
        <v>3</v>
      </c>
      <c r="AC1140">
        <v>0</v>
      </c>
      <c r="AD1140">
        <v>10</v>
      </c>
      <c r="AE1140">
        <v>0</v>
      </c>
      <c r="AF1140">
        <v>3</v>
      </c>
      <c r="AG1140">
        <v>2</v>
      </c>
      <c r="AH1140">
        <v>0</v>
      </c>
      <c r="AI1140" t="s">
        <v>2381</v>
      </c>
      <c r="AJ1140">
        <v>39.490034999999999</v>
      </c>
      <c r="AK1140" t="s">
        <v>2382</v>
      </c>
      <c r="AL1140">
        <v>-76.737313</v>
      </c>
      <c r="AM1140">
        <v>100</v>
      </c>
      <c r="AN1140">
        <v>8700</v>
      </c>
      <c r="AO1140" t="s">
        <v>115</v>
      </c>
      <c r="AP1140">
        <v>169</v>
      </c>
      <c r="AQ1140">
        <v>87</v>
      </c>
      <c r="AR1140">
        <v>-64</v>
      </c>
      <c r="AZ1140">
        <v>3614</v>
      </c>
      <c r="BA1140">
        <v>1</v>
      </c>
      <c r="BB1140" t="str">
        <f t="shared" si="53"/>
        <v xml:space="preserve">N959MJ  </v>
      </c>
      <c r="BC1140">
        <v>1</v>
      </c>
      <c r="BE1140">
        <v>0</v>
      </c>
      <c r="BF1140">
        <v>0</v>
      </c>
      <c r="BG1140">
        <v>0</v>
      </c>
      <c r="BH1140">
        <v>9025</v>
      </c>
      <c r="BI1140">
        <v>325</v>
      </c>
      <c r="BJ1140">
        <v>1</v>
      </c>
      <c r="BK1140">
        <v>1</v>
      </c>
      <c r="BL1140">
        <v>1</v>
      </c>
      <c r="BM1140">
        <v>0</v>
      </c>
      <c r="BP1140">
        <v>0</v>
      </c>
      <c r="BQ1140">
        <v>0</v>
      </c>
      <c r="BX1140" t="str">
        <f>"14:09:21.852"</f>
        <v>14:09:21.852</v>
      </c>
      <c r="BY1140" t="str">
        <f>"851083549"</f>
        <v>851083549</v>
      </c>
      <c r="CL1140">
        <v>0</v>
      </c>
      <c r="CM1140">
        <v>2</v>
      </c>
      <c r="CN1140">
        <v>0</v>
      </c>
      <c r="CO1140">
        <v>2</v>
      </c>
      <c r="CP1140">
        <v>0</v>
      </c>
      <c r="CQ1140">
        <v>5</v>
      </c>
      <c r="CR1140" t="s">
        <v>116</v>
      </c>
      <c r="CS1140">
        <v>379</v>
      </c>
      <c r="CT1140">
        <v>0</v>
      </c>
      <c r="CU1140" t="s">
        <v>538</v>
      </c>
      <c r="CV1140" t="s">
        <v>539</v>
      </c>
      <c r="CY1140">
        <v>7221184</v>
      </c>
      <c r="CZ1140" t="s">
        <v>119</v>
      </c>
    </row>
    <row r="1141" spans="1:104" x14ac:dyDescent="0.25">
      <c r="A1141" t="str">
        <f>"14:09:22.953"</f>
        <v>14:09:22.953</v>
      </c>
      <c r="B1141" t="s">
        <v>108</v>
      </c>
      <c r="C1141" t="str">
        <f t="shared" si="52"/>
        <v>ffdfd3c0</v>
      </c>
      <c r="D1141" t="s">
        <v>109</v>
      </c>
      <c r="E1141">
        <v>4</v>
      </c>
      <c r="F1141">
        <v>1004</v>
      </c>
      <c r="G1141" t="s">
        <v>110</v>
      </c>
      <c r="J1141" t="s">
        <v>111</v>
      </c>
      <c r="K1141">
        <v>0</v>
      </c>
      <c r="L1141">
        <v>3</v>
      </c>
      <c r="M1141">
        <v>0</v>
      </c>
      <c r="N1141">
        <v>2</v>
      </c>
      <c r="O1141">
        <v>1</v>
      </c>
      <c r="P1141">
        <v>0</v>
      </c>
      <c r="Q1141">
        <v>0</v>
      </c>
      <c r="R1141" t="s">
        <v>112</v>
      </c>
      <c r="S1141" t="str">
        <f>"14:09:22.750"</f>
        <v>14:09:22.750</v>
      </c>
      <c r="T1141" t="str">
        <f>"14:09:22.352"</f>
        <v>14:09:22.352</v>
      </c>
      <c r="U1141" t="str">
        <f t="shared" si="51"/>
        <v>ad5732</v>
      </c>
      <c r="V1141">
        <v>0</v>
      </c>
      <c r="W1141">
        <v>0</v>
      </c>
      <c r="X1141">
        <v>1</v>
      </c>
      <c r="Z1141">
        <v>0</v>
      </c>
      <c r="AA1141">
        <v>9</v>
      </c>
      <c r="AB1141">
        <v>3</v>
      </c>
      <c r="AC1141">
        <v>0</v>
      </c>
      <c r="AD1141">
        <v>10</v>
      </c>
      <c r="AE1141">
        <v>0</v>
      </c>
      <c r="AF1141">
        <v>3</v>
      </c>
      <c r="AG1141">
        <v>2</v>
      </c>
      <c r="AH1141">
        <v>0</v>
      </c>
      <c r="AI1141" t="s">
        <v>2383</v>
      </c>
      <c r="AJ1141">
        <v>39.490355999999998</v>
      </c>
      <c r="AK1141" t="s">
        <v>2384</v>
      </c>
      <c r="AL1141">
        <v>-76.736390999999998</v>
      </c>
      <c r="AM1141">
        <v>100</v>
      </c>
      <c r="AN1141">
        <v>8700</v>
      </c>
      <c r="AO1141" t="s">
        <v>115</v>
      </c>
      <c r="AP1141">
        <v>169</v>
      </c>
      <c r="AQ1141">
        <v>86</v>
      </c>
      <c r="AR1141">
        <v>-64</v>
      </c>
      <c r="AZ1141">
        <v>3614</v>
      </c>
      <c r="BA1141">
        <v>1</v>
      </c>
      <c r="BB1141" t="str">
        <f t="shared" si="53"/>
        <v xml:space="preserve">N959MJ  </v>
      </c>
      <c r="BC1141">
        <v>1</v>
      </c>
      <c r="BE1141">
        <v>0</v>
      </c>
      <c r="BF1141">
        <v>0</v>
      </c>
      <c r="BG1141">
        <v>0</v>
      </c>
      <c r="BH1141">
        <v>9025</v>
      </c>
      <c r="BI1141">
        <v>325</v>
      </c>
      <c r="BJ1141">
        <v>1</v>
      </c>
      <c r="BK1141">
        <v>1</v>
      </c>
      <c r="BL1141">
        <v>1</v>
      </c>
      <c r="BM1141">
        <v>0</v>
      </c>
      <c r="BP1141">
        <v>0</v>
      </c>
      <c r="BQ1141">
        <v>0</v>
      </c>
      <c r="BX1141" t="str">
        <f>"14:09:22.758"</f>
        <v>14:09:22.758</v>
      </c>
      <c r="BY1141" t="str">
        <f>"756912172"</f>
        <v>756912172</v>
      </c>
      <c r="CL1141">
        <v>0</v>
      </c>
      <c r="CM1141">
        <v>2</v>
      </c>
      <c r="CN1141">
        <v>0</v>
      </c>
      <c r="CO1141">
        <v>2</v>
      </c>
      <c r="CP1141">
        <v>0</v>
      </c>
      <c r="CQ1141">
        <v>6</v>
      </c>
      <c r="CR1141" t="s">
        <v>116</v>
      </c>
      <c r="CS1141">
        <v>147</v>
      </c>
      <c r="CT1141">
        <v>0</v>
      </c>
      <c r="CU1141" t="s">
        <v>117</v>
      </c>
      <c r="CV1141" t="s">
        <v>118</v>
      </c>
      <c r="CY1141">
        <v>5758106</v>
      </c>
      <c r="CZ1141" t="s">
        <v>119</v>
      </c>
    </row>
    <row r="1142" spans="1:104" x14ac:dyDescent="0.25">
      <c r="A1142" t="str">
        <f>"14:09:23.969"</f>
        <v>14:09:23.969</v>
      </c>
      <c r="B1142" t="s">
        <v>108</v>
      </c>
      <c r="C1142" t="str">
        <f t="shared" si="52"/>
        <v>ffdfd3c0</v>
      </c>
      <c r="D1142" t="s">
        <v>109</v>
      </c>
      <c r="E1142">
        <v>4</v>
      </c>
      <c r="F1142">
        <v>1004</v>
      </c>
      <c r="G1142" t="s">
        <v>110</v>
      </c>
      <c r="J1142" t="s">
        <v>111</v>
      </c>
      <c r="K1142">
        <v>0</v>
      </c>
      <c r="L1142">
        <v>3</v>
      </c>
      <c r="M1142">
        <v>0</v>
      </c>
      <c r="N1142">
        <v>2</v>
      </c>
      <c r="O1142">
        <v>1</v>
      </c>
      <c r="P1142">
        <v>0</v>
      </c>
      <c r="Q1142">
        <v>0</v>
      </c>
      <c r="R1142" t="s">
        <v>112</v>
      </c>
      <c r="S1142" t="str">
        <f>"14:09:23.789"</f>
        <v>14:09:23.789</v>
      </c>
      <c r="T1142" t="str">
        <f>"14:09:23.289"</f>
        <v>14:09:23.289</v>
      </c>
      <c r="U1142" t="str">
        <f t="shared" si="51"/>
        <v>ad5732</v>
      </c>
      <c r="V1142">
        <v>0</v>
      </c>
      <c r="W1142">
        <v>0</v>
      </c>
      <c r="X1142">
        <v>1</v>
      </c>
      <c r="Z1142">
        <v>0</v>
      </c>
      <c r="AA1142">
        <v>9</v>
      </c>
      <c r="AB1142">
        <v>3</v>
      </c>
      <c r="AC1142">
        <v>0</v>
      </c>
      <c r="AD1142">
        <v>10</v>
      </c>
      <c r="AE1142">
        <v>0</v>
      </c>
      <c r="AF1142">
        <v>3</v>
      </c>
      <c r="AG1142">
        <v>2</v>
      </c>
      <c r="AH1142">
        <v>0</v>
      </c>
      <c r="AI1142" t="s">
        <v>2385</v>
      </c>
      <c r="AJ1142">
        <v>39.490828999999998</v>
      </c>
      <c r="AK1142" t="s">
        <v>2386</v>
      </c>
      <c r="AL1142">
        <v>-76.735296000000005</v>
      </c>
      <c r="AM1142">
        <v>100</v>
      </c>
      <c r="AN1142">
        <v>8700</v>
      </c>
      <c r="AO1142" t="s">
        <v>115</v>
      </c>
      <c r="AP1142">
        <v>169</v>
      </c>
      <c r="AQ1142">
        <v>86</v>
      </c>
      <c r="AR1142">
        <v>-64</v>
      </c>
      <c r="AZ1142">
        <v>3614</v>
      </c>
      <c r="BA1142">
        <v>1</v>
      </c>
      <c r="BB1142" t="str">
        <f t="shared" si="53"/>
        <v xml:space="preserve">N959MJ  </v>
      </c>
      <c r="BC1142">
        <v>1</v>
      </c>
      <c r="BE1142">
        <v>0</v>
      </c>
      <c r="BF1142">
        <v>0</v>
      </c>
      <c r="BG1142">
        <v>0</v>
      </c>
      <c r="BH1142">
        <v>9025</v>
      </c>
      <c r="BI1142">
        <v>325</v>
      </c>
      <c r="BJ1142">
        <v>1</v>
      </c>
      <c r="BK1142">
        <v>1</v>
      </c>
      <c r="BL1142">
        <v>1</v>
      </c>
      <c r="BM1142">
        <v>0</v>
      </c>
      <c r="BP1142">
        <v>0</v>
      </c>
      <c r="BQ1142">
        <v>0</v>
      </c>
      <c r="BX1142" t="str">
        <f>"14:09:23.789"</f>
        <v>14:09:23.789</v>
      </c>
      <c r="BY1142" t="str">
        <f>"792395699"</f>
        <v>792395699</v>
      </c>
      <c r="CL1142">
        <v>0</v>
      </c>
      <c r="CM1142">
        <v>2</v>
      </c>
      <c r="CN1142">
        <v>0</v>
      </c>
      <c r="CO1142">
        <v>2</v>
      </c>
      <c r="CP1142">
        <v>0</v>
      </c>
      <c r="CQ1142">
        <v>6</v>
      </c>
      <c r="CR1142" t="s">
        <v>116</v>
      </c>
      <c r="CS1142">
        <v>525</v>
      </c>
      <c r="CT1142">
        <v>1</v>
      </c>
      <c r="CU1142" t="s">
        <v>140</v>
      </c>
      <c r="CV1142" t="s">
        <v>141</v>
      </c>
      <c r="CY1142">
        <v>8822718</v>
      </c>
      <c r="CZ1142" t="s">
        <v>119</v>
      </c>
    </row>
    <row r="1143" spans="1:104" x14ac:dyDescent="0.25">
      <c r="A1143" t="str">
        <f>"14:09:24.922"</f>
        <v>14:09:24.922</v>
      </c>
      <c r="B1143" t="s">
        <v>108</v>
      </c>
      <c r="C1143" t="str">
        <f t="shared" si="52"/>
        <v>ffdfd3c0</v>
      </c>
      <c r="D1143" t="s">
        <v>109</v>
      </c>
      <c r="E1143">
        <v>4</v>
      </c>
      <c r="F1143">
        <v>1004</v>
      </c>
      <c r="G1143" t="s">
        <v>110</v>
      </c>
      <c r="J1143" t="s">
        <v>111</v>
      </c>
      <c r="K1143">
        <v>0</v>
      </c>
      <c r="L1143">
        <v>3</v>
      </c>
      <c r="M1143">
        <v>0</v>
      </c>
      <c r="N1143">
        <v>2</v>
      </c>
      <c r="O1143">
        <v>1</v>
      </c>
      <c r="P1143">
        <v>0</v>
      </c>
      <c r="Q1143">
        <v>0</v>
      </c>
      <c r="R1143" t="s">
        <v>112</v>
      </c>
      <c r="S1143" t="str">
        <f>"14:09:24.727"</f>
        <v>14:09:24.727</v>
      </c>
      <c r="T1143" t="str">
        <f>"14:09:24.430"</f>
        <v>14:09:24.430</v>
      </c>
      <c r="U1143" t="str">
        <f t="shared" si="51"/>
        <v>ad5732</v>
      </c>
      <c r="V1143">
        <v>0</v>
      </c>
      <c r="W1143">
        <v>0</v>
      </c>
      <c r="X1143">
        <v>1</v>
      </c>
      <c r="Z1143">
        <v>0</v>
      </c>
      <c r="AA1143">
        <v>9</v>
      </c>
      <c r="AB1143">
        <v>3</v>
      </c>
      <c r="AC1143">
        <v>0</v>
      </c>
      <c r="AD1143">
        <v>10</v>
      </c>
      <c r="AE1143">
        <v>0</v>
      </c>
      <c r="AF1143">
        <v>3</v>
      </c>
      <c r="AG1143">
        <v>2</v>
      </c>
      <c r="AH1143">
        <v>0</v>
      </c>
      <c r="AI1143" t="s">
        <v>2387</v>
      </c>
      <c r="AJ1143">
        <v>39.491171999999999</v>
      </c>
      <c r="AK1143" t="s">
        <v>2388</v>
      </c>
      <c r="AL1143">
        <v>-76.734374000000003</v>
      </c>
      <c r="AM1143">
        <v>100</v>
      </c>
      <c r="AN1143">
        <v>8700</v>
      </c>
      <c r="AO1143" t="s">
        <v>115</v>
      </c>
      <c r="AP1143">
        <v>169</v>
      </c>
      <c r="AQ1143">
        <v>86</v>
      </c>
      <c r="AR1143">
        <v>0</v>
      </c>
      <c r="AZ1143">
        <v>3614</v>
      </c>
      <c r="BA1143">
        <v>1</v>
      </c>
      <c r="BB1143" t="str">
        <f t="shared" si="53"/>
        <v xml:space="preserve">N959MJ  </v>
      </c>
      <c r="BC1143">
        <v>1</v>
      </c>
      <c r="BE1143">
        <v>0</v>
      </c>
      <c r="BF1143">
        <v>0</v>
      </c>
      <c r="BG1143">
        <v>0</v>
      </c>
      <c r="BH1143">
        <v>9025</v>
      </c>
      <c r="BI1143">
        <v>325</v>
      </c>
      <c r="BJ1143">
        <v>1</v>
      </c>
      <c r="BK1143">
        <v>1</v>
      </c>
      <c r="BL1143">
        <v>1</v>
      </c>
      <c r="BM1143">
        <v>0</v>
      </c>
      <c r="BP1143">
        <v>0</v>
      </c>
      <c r="BQ1143">
        <v>0</v>
      </c>
      <c r="BX1143" t="str">
        <f>"14:09:24.727"</f>
        <v>14:09:24.727</v>
      </c>
      <c r="BY1143" t="str">
        <f>"729576236"</f>
        <v>729576236</v>
      </c>
      <c r="CL1143">
        <v>0</v>
      </c>
      <c r="CM1143">
        <v>2</v>
      </c>
      <c r="CN1143">
        <v>0</v>
      </c>
      <c r="CO1143">
        <v>2</v>
      </c>
      <c r="CP1143">
        <v>0</v>
      </c>
      <c r="CQ1143">
        <v>6</v>
      </c>
      <c r="CR1143" t="s">
        <v>116</v>
      </c>
      <c r="CS1143">
        <v>525</v>
      </c>
      <c r="CT1143">
        <v>1</v>
      </c>
      <c r="CU1143" t="s">
        <v>140</v>
      </c>
      <c r="CV1143" t="s">
        <v>141</v>
      </c>
      <c r="CY1143">
        <v>8824073</v>
      </c>
      <c r="CZ1143" t="s">
        <v>119</v>
      </c>
    </row>
    <row r="1144" spans="1:104" x14ac:dyDescent="0.25">
      <c r="A1144" t="str">
        <f>"14:09:25.883"</f>
        <v>14:09:25.883</v>
      </c>
      <c r="B1144" t="s">
        <v>108</v>
      </c>
      <c r="C1144" t="str">
        <f t="shared" si="52"/>
        <v>ffdfd3c0</v>
      </c>
      <c r="D1144" t="s">
        <v>109</v>
      </c>
      <c r="E1144">
        <v>4</v>
      </c>
      <c r="F1144">
        <v>1004</v>
      </c>
      <c r="G1144" t="s">
        <v>110</v>
      </c>
      <c r="J1144" t="s">
        <v>111</v>
      </c>
      <c r="K1144">
        <v>0</v>
      </c>
      <c r="L1144">
        <v>3</v>
      </c>
      <c r="M1144">
        <v>0</v>
      </c>
      <c r="N1144">
        <v>2</v>
      </c>
      <c r="O1144">
        <v>1</v>
      </c>
      <c r="P1144">
        <v>0</v>
      </c>
      <c r="Q1144">
        <v>0</v>
      </c>
      <c r="R1144" t="s">
        <v>112</v>
      </c>
      <c r="S1144" t="str">
        <f>"14:09:25.688"</f>
        <v>14:09:25.688</v>
      </c>
      <c r="T1144" t="str">
        <f>"14:09:25.289"</f>
        <v>14:09:25.289</v>
      </c>
      <c r="U1144" t="str">
        <f t="shared" si="51"/>
        <v>ad5732</v>
      </c>
      <c r="V1144">
        <v>0</v>
      </c>
      <c r="W1144">
        <v>0</v>
      </c>
      <c r="X1144">
        <v>1</v>
      </c>
      <c r="Z1144">
        <v>0</v>
      </c>
      <c r="AA1144">
        <v>9</v>
      </c>
      <c r="AB1144">
        <v>3</v>
      </c>
      <c r="AC1144">
        <v>0</v>
      </c>
      <c r="AD1144">
        <v>10</v>
      </c>
      <c r="AE1144">
        <v>0</v>
      </c>
      <c r="AF1144">
        <v>3</v>
      </c>
      <c r="AG1144">
        <v>2</v>
      </c>
      <c r="AH1144">
        <v>0</v>
      </c>
      <c r="AI1144" t="s">
        <v>2389</v>
      </c>
      <c r="AJ1144">
        <v>39.491537000000001</v>
      </c>
      <c r="AK1144" t="s">
        <v>2390</v>
      </c>
      <c r="AL1144">
        <v>-76.733344000000002</v>
      </c>
      <c r="AM1144">
        <v>100</v>
      </c>
      <c r="AN1144">
        <v>8700</v>
      </c>
      <c r="AO1144" t="s">
        <v>115</v>
      </c>
      <c r="AP1144">
        <v>169</v>
      </c>
      <c r="AQ1144">
        <v>86</v>
      </c>
      <c r="AR1144">
        <v>-64</v>
      </c>
      <c r="AZ1144">
        <v>3614</v>
      </c>
      <c r="BA1144">
        <v>1</v>
      </c>
      <c r="BB1144" t="str">
        <f t="shared" si="53"/>
        <v xml:space="preserve">N959MJ  </v>
      </c>
      <c r="BC1144">
        <v>1</v>
      </c>
      <c r="BE1144">
        <v>0</v>
      </c>
      <c r="BF1144">
        <v>0</v>
      </c>
      <c r="BG1144">
        <v>0</v>
      </c>
      <c r="BH1144">
        <v>9025</v>
      </c>
      <c r="BI1144">
        <v>325</v>
      </c>
      <c r="BJ1144">
        <v>1</v>
      </c>
      <c r="BK1144">
        <v>1</v>
      </c>
      <c r="BL1144">
        <v>1</v>
      </c>
      <c r="BM1144">
        <v>0</v>
      </c>
      <c r="BP1144">
        <v>0</v>
      </c>
      <c r="BQ1144">
        <v>0</v>
      </c>
      <c r="BX1144" t="str">
        <f>"14:09:25.695"</f>
        <v>14:09:25.695</v>
      </c>
      <c r="BY1144" t="str">
        <f>"693012127"</f>
        <v>693012127</v>
      </c>
      <c r="CL1144">
        <v>0</v>
      </c>
      <c r="CM1144">
        <v>2</v>
      </c>
      <c r="CN1144">
        <v>0</v>
      </c>
      <c r="CO1144">
        <v>2</v>
      </c>
      <c r="CP1144">
        <v>0</v>
      </c>
      <c r="CQ1144">
        <v>5</v>
      </c>
      <c r="CR1144" t="s">
        <v>116</v>
      </c>
      <c r="CS1144">
        <v>372</v>
      </c>
      <c r="CT1144">
        <v>3</v>
      </c>
      <c r="CU1144" t="s">
        <v>877</v>
      </c>
      <c r="CV1144" t="s">
        <v>878</v>
      </c>
      <c r="CY1144">
        <v>11394644</v>
      </c>
      <c r="CZ1144" t="s">
        <v>119</v>
      </c>
    </row>
    <row r="1145" spans="1:104" x14ac:dyDescent="0.25">
      <c r="A1145" t="str">
        <f>"14:09:26.844"</f>
        <v>14:09:26.844</v>
      </c>
      <c r="B1145" t="s">
        <v>108</v>
      </c>
      <c r="C1145" t="str">
        <f t="shared" si="52"/>
        <v>ffdfd3c0</v>
      </c>
      <c r="D1145" t="s">
        <v>109</v>
      </c>
      <c r="E1145">
        <v>4</v>
      </c>
      <c r="F1145">
        <v>1004</v>
      </c>
      <c r="G1145" t="s">
        <v>110</v>
      </c>
      <c r="J1145" t="s">
        <v>111</v>
      </c>
      <c r="K1145">
        <v>0</v>
      </c>
      <c r="L1145">
        <v>3</v>
      </c>
      <c r="M1145">
        <v>0</v>
      </c>
      <c r="N1145">
        <v>2</v>
      </c>
      <c r="O1145">
        <v>1</v>
      </c>
      <c r="P1145">
        <v>0</v>
      </c>
      <c r="Q1145">
        <v>0</v>
      </c>
      <c r="R1145" t="s">
        <v>112</v>
      </c>
      <c r="S1145" t="str">
        <f>"14:09:26.609"</f>
        <v>14:09:26.609</v>
      </c>
      <c r="T1145" t="str">
        <f>"14:09:26.211"</f>
        <v>14:09:26.211</v>
      </c>
      <c r="U1145" t="str">
        <f t="shared" si="51"/>
        <v>ad5732</v>
      </c>
      <c r="V1145">
        <v>0</v>
      </c>
      <c r="W1145">
        <v>0</v>
      </c>
      <c r="X1145">
        <v>1</v>
      </c>
      <c r="Z1145">
        <v>0</v>
      </c>
      <c r="AA1145">
        <v>9</v>
      </c>
      <c r="AB1145">
        <v>3</v>
      </c>
      <c r="AC1145">
        <v>0</v>
      </c>
      <c r="AD1145">
        <v>10</v>
      </c>
      <c r="AE1145">
        <v>0</v>
      </c>
      <c r="AF1145">
        <v>3</v>
      </c>
      <c r="AG1145">
        <v>2</v>
      </c>
      <c r="AH1145">
        <v>0</v>
      </c>
      <c r="AI1145" t="s">
        <v>2391</v>
      </c>
      <c r="AJ1145">
        <v>39.491943999999997</v>
      </c>
      <c r="AK1145" t="s">
        <v>2392</v>
      </c>
      <c r="AL1145">
        <v>-76.732484999999997</v>
      </c>
      <c r="AM1145">
        <v>100</v>
      </c>
      <c r="AN1145">
        <v>8700</v>
      </c>
      <c r="AO1145" t="s">
        <v>115</v>
      </c>
      <c r="AP1145">
        <v>169</v>
      </c>
      <c r="AQ1145">
        <v>86</v>
      </c>
      <c r="AR1145">
        <v>0</v>
      </c>
      <c r="AZ1145">
        <v>3614</v>
      </c>
      <c r="BA1145">
        <v>1</v>
      </c>
      <c r="BB1145" t="str">
        <f t="shared" si="53"/>
        <v xml:space="preserve">N959MJ  </v>
      </c>
      <c r="BC1145">
        <v>1</v>
      </c>
      <c r="BE1145">
        <v>0</v>
      </c>
      <c r="BF1145">
        <v>0</v>
      </c>
      <c r="BG1145">
        <v>0</v>
      </c>
      <c r="BH1145">
        <v>9025</v>
      </c>
      <c r="BI1145">
        <v>325</v>
      </c>
      <c r="BJ1145">
        <v>1</v>
      </c>
      <c r="BK1145">
        <v>1</v>
      </c>
      <c r="BL1145">
        <v>1</v>
      </c>
      <c r="BM1145">
        <v>0</v>
      </c>
      <c r="BP1145">
        <v>0</v>
      </c>
      <c r="BQ1145">
        <v>0</v>
      </c>
      <c r="BX1145" t="str">
        <f>"14:09:26.617"</f>
        <v>14:09:26.617</v>
      </c>
      <c r="BY1145" t="str">
        <f>"615446474"</f>
        <v>615446474</v>
      </c>
      <c r="CL1145">
        <v>0</v>
      </c>
      <c r="CM1145">
        <v>2</v>
      </c>
      <c r="CN1145">
        <v>0</v>
      </c>
      <c r="CO1145">
        <v>2</v>
      </c>
      <c r="CP1145">
        <v>0</v>
      </c>
      <c r="CQ1145">
        <v>6</v>
      </c>
      <c r="CR1145" t="s">
        <v>116</v>
      </c>
      <c r="CS1145">
        <v>372</v>
      </c>
      <c r="CT1145">
        <v>3</v>
      </c>
      <c r="CU1145" t="s">
        <v>877</v>
      </c>
      <c r="CV1145" t="s">
        <v>878</v>
      </c>
      <c r="CY1145">
        <v>11396347</v>
      </c>
      <c r="CZ1145" t="s">
        <v>119</v>
      </c>
    </row>
    <row r="1146" spans="1:104" x14ac:dyDescent="0.25">
      <c r="A1146" t="str">
        <f>"14:09:27.750"</f>
        <v>14:09:27.750</v>
      </c>
      <c r="B1146" t="s">
        <v>108</v>
      </c>
      <c r="C1146" t="str">
        <f t="shared" si="52"/>
        <v>ffdfd3c0</v>
      </c>
      <c r="D1146" t="s">
        <v>109</v>
      </c>
      <c r="E1146">
        <v>4</v>
      </c>
      <c r="F1146">
        <v>1004</v>
      </c>
      <c r="G1146" t="s">
        <v>110</v>
      </c>
      <c r="J1146" t="s">
        <v>111</v>
      </c>
      <c r="K1146">
        <v>0</v>
      </c>
      <c r="L1146">
        <v>3</v>
      </c>
      <c r="M1146">
        <v>0</v>
      </c>
      <c r="N1146">
        <v>2</v>
      </c>
      <c r="O1146">
        <v>1</v>
      </c>
      <c r="P1146">
        <v>0</v>
      </c>
      <c r="Q1146">
        <v>0</v>
      </c>
      <c r="R1146" t="s">
        <v>112</v>
      </c>
      <c r="S1146" t="str">
        <f>"14:09:27.563"</f>
        <v>14:09:27.563</v>
      </c>
      <c r="T1146" t="str">
        <f>"14:09:27.164"</f>
        <v>14:09:27.164</v>
      </c>
      <c r="U1146" t="str">
        <f t="shared" si="51"/>
        <v>ad5732</v>
      </c>
      <c r="V1146">
        <v>0</v>
      </c>
      <c r="W1146">
        <v>0</v>
      </c>
      <c r="X1146">
        <v>1</v>
      </c>
      <c r="Z1146">
        <v>0</v>
      </c>
      <c r="AA1146">
        <v>9</v>
      </c>
      <c r="AB1146">
        <v>3</v>
      </c>
      <c r="AC1146">
        <v>0</v>
      </c>
      <c r="AD1146">
        <v>10</v>
      </c>
      <c r="AE1146">
        <v>0</v>
      </c>
      <c r="AF1146">
        <v>3</v>
      </c>
      <c r="AG1146">
        <v>2</v>
      </c>
      <c r="AH1146">
        <v>0</v>
      </c>
      <c r="AI1146" t="s">
        <v>2393</v>
      </c>
      <c r="AJ1146">
        <v>39.492288000000002</v>
      </c>
      <c r="AK1146" t="s">
        <v>2394</v>
      </c>
      <c r="AL1146">
        <v>-76.731498000000002</v>
      </c>
      <c r="AM1146">
        <v>100</v>
      </c>
      <c r="AN1146">
        <v>8700</v>
      </c>
      <c r="AO1146" t="s">
        <v>115</v>
      </c>
      <c r="AP1146">
        <v>169</v>
      </c>
      <c r="AQ1146">
        <v>86</v>
      </c>
      <c r="AR1146">
        <v>0</v>
      </c>
      <c r="AZ1146">
        <v>3614</v>
      </c>
      <c r="BA1146">
        <v>1</v>
      </c>
      <c r="BB1146" t="str">
        <f t="shared" si="53"/>
        <v xml:space="preserve">N959MJ  </v>
      </c>
      <c r="BC1146">
        <v>1</v>
      </c>
      <c r="BE1146">
        <v>0</v>
      </c>
      <c r="BF1146">
        <v>0</v>
      </c>
      <c r="BG1146">
        <v>0</v>
      </c>
      <c r="BH1146">
        <v>9025</v>
      </c>
      <c r="BI1146">
        <v>325</v>
      </c>
      <c r="BJ1146">
        <v>1</v>
      </c>
      <c r="BK1146">
        <v>1</v>
      </c>
      <c r="BL1146">
        <v>1</v>
      </c>
      <c r="BM1146">
        <v>0</v>
      </c>
      <c r="BP1146">
        <v>0</v>
      </c>
      <c r="BQ1146">
        <v>0</v>
      </c>
      <c r="BX1146" t="str">
        <f>"14:09:27.563"</f>
        <v>14:09:27.563</v>
      </c>
      <c r="BY1146" t="str">
        <f>"564042283"</f>
        <v>564042283</v>
      </c>
      <c r="CL1146">
        <v>0</v>
      </c>
      <c r="CM1146">
        <v>2</v>
      </c>
      <c r="CN1146">
        <v>0</v>
      </c>
      <c r="CO1146">
        <v>2</v>
      </c>
      <c r="CP1146">
        <v>0</v>
      </c>
      <c r="CQ1146">
        <v>6</v>
      </c>
      <c r="CR1146" t="s">
        <v>116</v>
      </c>
      <c r="CS1146">
        <v>396</v>
      </c>
      <c r="CT1146">
        <v>2</v>
      </c>
      <c r="CU1146" t="s">
        <v>939</v>
      </c>
      <c r="CV1146" t="s">
        <v>940</v>
      </c>
      <c r="CY1146">
        <v>4754170</v>
      </c>
      <c r="CZ1146" t="s">
        <v>119</v>
      </c>
    </row>
    <row r="1147" spans="1:104" x14ac:dyDescent="0.25">
      <c r="A1147" t="str">
        <f>"14:09:28.711"</f>
        <v>14:09:28.711</v>
      </c>
      <c r="B1147" t="s">
        <v>108</v>
      </c>
      <c r="C1147" t="str">
        <f t="shared" si="52"/>
        <v>ffdfd3c0</v>
      </c>
      <c r="D1147" t="s">
        <v>109</v>
      </c>
      <c r="E1147">
        <v>4</v>
      </c>
      <c r="F1147">
        <v>1004</v>
      </c>
      <c r="G1147" t="s">
        <v>110</v>
      </c>
      <c r="J1147" t="s">
        <v>111</v>
      </c>
      <c r="K1147">
        <v>0</v>
      </c>
      <c r="L1147">
        <v>3</v>
      </c>
      <c r="M1147">
        <v>0</v>
      </c>
      <c r="N1147">
        <v>2</v>
      </c>
      <c r="O1147">
        <v>1</v>
      </c>
      <c r="P1147">
        <v>0</v>
      </c>
      <c r="Q1147">
        <v>0</v>
      </c>
      <c r="R1147" t="s">
        <v>112</v>
      </c>
      <c r="S1147" t="str">
        <f>"14:09:28.516"</f>
        <v>14:09:28.516</v>
      </c>
      <c r="T1147" t="str">
        <f>"14:09:28.117"</f>
        <v>14:09:28.117</v>
      </c>
      <c r="U1147" t="str">
        <f t="shared" si="51"/>
        <v>ad5732</v>
      </c>
      <c r="V1147">
        <v>0</v>
      </c>
      <c r="W1147">
        <v>0</v>
      </c>
      <c r="X1147">
        <v>1</v>
      </c>
      <c r="Z1147">
        <v>0</v>
      </c>
      <c r="AA1147">
        <v>9</v>
      </c>
      <c r="AB1147">
        <v>3</v>
      </c>
      <c r="AC1147">
        <v>0</v>
      </c>
      <c r="AD1147">
        <v>10</v>
      </c>
      <c r="AE1147">
        <v>0</v>
      </c>
      <c r="AF1147">
        <v>3</v>
      </c>
      <c r="AG1147">
        <v>2</v>
      </c>
      <c r="AH1147">
        <v>0</v>
      </c>
      <c r="AI1147" t="s">
        <v>2395</v>
      </c>
      <c r="AJ1147">
        <v>39.492694999999998</v>
      </c>
      <c r="AK1147" t="s">
        <v>2396</v>
      </c>
      <c r="AL1147">
        <v>-76.730490000000003</v>
      </c>
      <c r="AM1147">
        <v>100</v>
      </c>
      <c r="AN1147">
        <v>8700</v>
      </c>
      <c r="AO1147" t="s">
        <v>115</v>
      </c>
      <c r="AP1147">
        <v>169</v>
      </c>
      <c r="AQ1147">
        <v>86</v>
      </c>
      <c r="AR1147">
        <v>0</v>
      </c>
      <c r="AZ1147">
        <v>3614</v>
      </c>
      <c r="BA1147">
        <v>1</v>
      </c>
      <c r="BB1147" t="str">
        <f t="shared" si="53"/>
        <v xml:space="preserve">N959MJ  </v>
      </c>
      <c r="BC1147">
        <v>1</v>
      </c>
      <c r="BE1147">
        <v>0</v>
      </c>
      <c r="BF1147">
        <v>0</v>
      </c>
      <c r="BG1147">
        <v>0</v>
      </c>
      <c r="BH1147">
        <v>9025</v>
      </c>
      <c r="BI1147">
        <v>325</v>
      </c>
      <c r="BJ1147">
        <v>1</v>
      </c>
      <c r="BK1147">
        <v>1</v>
      </c>
      <c r="BL1147">
        <v>1</v>
      </c>
      <c r="BM1147">
        <v>0</v>
      </c>
      <c r="BP1147">
        <v>0</v>
      </c>
      <c r="BQ1147">
        <v>0</v>
      </c>
      <c r="BX1147" t="str">
        <f>"14:09:28.523"</f>
        <v>14:09:28.523</v>
      </c>
      <c r="BY1147" t="str">
        <f>"522575515"</f>
        <v>522575515</v>
      </c>
      <c r="CL1147">
        <v>0</v>
      </c>
      <c r="CM1147">
        <v>2</v>
      </c>
      <c r="CN1147">
        <v>0</v>
      </c>
      <c r="CO1147">
        <v>2</v>
      </c>
      <c r="CP1147">
        <v>0</v>
      </c>
      <c r="CQ1147">
        <v>6</v>
      </c>
      <c r="CR1147" t="s">
        <v>116</v>
      </c>
      <c r="CS1147">
        <v>372</v>
      </c>
      <c r="CT1147">
        <v>3</v>
      </c>
      <c r="CU1147" t="s">
        <v>877</v>
      </c>
      <c r="CV1147" t="s">
        <v>878</v>
      </c>
      <c r="CY1147">
        <v>11399565</v>
      </c>
      <c r="CZ1147" t="s">
        <v>119</v>
      </c>
    </row>
    <row r="1148" spans="1:104" x14ac:dyDescent="0.25">
      <c r="A1148" t="str">
        <f>"14:09:29.766"</f>
        <v>14:09:29.766</v>
      </c>
      <c r="B1148" t="s">
        <v>108</v>
      </c>
      <c r="C1148" t="str">
        <f t="shared" si="52"/>
        <v>ffdfd3c0</v>
      </c>
      <c r="D1148" t="s">
        <v>109</v>
      </c>
      <c r="E1148">
        <v>4</v>
      </c>
      <c r="F1148">
        <v>1004</v>
      </c>
      <c r="G1148" t="s">
        <v>110</v>
      </c>
      <c r="J1148" t="s">
        <v>111</v>
      </c>
      <c r="K1148">
        <v>0</v>
      </c>
      <c r="L1148">
        <v>3</v>
      </c>
      <c r="M1148">
        <v>0</v>
      </c>
      <c r="N1148">
        <v>2</v>
      </c>
      <c r="O1148">
        <v>1</v>
      </c>
      <c r="P1148">
        <v>0</v>
      </c>
      <c r="Q1148">
        <v>0</v>
      </c>
      <c r="R1148" t="s">
        <v>112</v>
      </c>
      <c r="S1148" t="str">
        <f>"14:09:29.602"</f>
        <v>14:09:29.602</v>
      </c>
      <c r="T1148" t="str">
        <f>"14:09:29.102"</f>
        <v>14:09:29.102</v>
      </c>
      <c r="U1148" t="str">
        <f t="shared" si="51"/>
        <v>ad5732</v>
      </c>
      <c r="V1148">
        <v>0</v>
      </c>
      <c r="W1148">
        <v>0</v>
      </c>
      <c r="X1148">
        <v>1</v>
      </c>
      <c r="Z1148">
        <v>0</v>
      </c>
      <c r="AA1148">
        <v>9</v>
      </c>
      <c r="AB1148">
        <v>3</v>
      </c>
      <c r="AC1148">
        <v>0</v>
      </c>
      <c r="AD1148">
        <v>10</v>
      </c>
      <c r="AE1148">
        <v>0</v>
      </c>
      <c r="AF1148">
        <v>3</v>
      </c>
      <c r="AG1148">
        <v>2</v>
      </c>
      <c r="AH1148">
        <v>0</v>
      </c>
      <c r="AI1148" t="s">
        <v>2397</v>
      </c>
      <c r="AJ1148">
        <v>39.493102999999998</v>
      </c>
      <c r="AK1148" t="s">
        <v>2398</v>
      </c>
      <c r="AL1148">
        <v>-76.729438000000002</v>
      </c>
      <c r="AM1148">
        <v>100</v>
      </c>
      <c r="AN1148">
        <v>8700</v>
      </c>
      <c r="AO1148" t="s">
        <v>115</v>
      </c>
      <c r="AP1148">
        <v>169</v>
      </c>
      <c r="AQ1148">
        <v>86</v>
      </c>
      <c r="AR1148">
        <v>0</v>
      </c>
      <c r="AZ1148">
        <v>3614</v>
      </c>
      <c r="BA1148">
        <v>1</v>
      </c>
      <c r="BB1148" t="str">
        <f t="shared" si="53"/>
        <v xml:space="preserve">N959MJ  </v>
      </c>
      <c r="BC1148">
        <v>1</v>
      </c>
      <c r="BE1148">
        <v>0</v>
      </c>
      <c r="BF1148">
        <v>0</v>
      </c>
      <c r="BG1148">
        <v>0</v>
      </c>
      <c r="BH1148">
        <v>9025</v>
      </c>
      <c r="BI1148">
        <v>325</v>
      </c>
      <c r="BJ1148">
        <v>1</v>
      </c>
      <c r="BK1148">
        <v>1</v>
      </c>
      <c r="BL1148">
        <v>1</v>
      </c>
      <c r="BM1148">
        <v>0</v>
      </c>
      <c r="BP1148">
        <v>0</v>
      </c>
      <c r="BQ1148">
        <v>0</v>
      </c>
      <c r="BX1148" t="str">
        <f>"14:09:29.602"</f>
        <v>14:09:29.602</v>
      </c>
      <c r="BY1148" t="str">
        <f>"603883586"</f>
        <v>603883586</v>
      </c>
      <c r="CL1148">
        <v>0</v>
      </c>
      <c r="CM1148">
        <v>2</v>
      </c>
      <c r="CN1148">
        <v>0</v>
      </c>
      <c r="CO1148">
        <v>2</v>
      </c>
      <c r="CP1148">
        <v>0</v>
      </c>
      <c r="CQ1148">
        <v>6</v>
      </c>
      <c r="CR1148" t="s">
        <v>116</v>
      </c>
      <c r="CS1148">
        <v>396</v>
      </c>
      <c r="CT1148">
        <v>2</v>
      </c>
      <c r="CU1148" t="s">
        <v>939</v>
      </c>
      <c r="CV1148" t="s">
        <v>940</v>
      </c>
      <c r="CY1148">
        <v>4757877</v>
      </c>
      <c r="CZ1148" t="s">
        <v>119</v>
      </c>
    </row>
    <row r="1149" spans="1:104" x14ac:dyDescent="0.25">
      <c r="A1149" t="str">
        <f>"14:09:30.727"</f>
        <v>14:09:30.727</v>
      </c>
      <c r="B1149" t="s">
        <v>108</v>
      </c>
      <c r="C1149" t="str">
        <f t="shared" si="52"/>
        <v>ffdfd3c0</v>
      </c>
      <c r="D1149" t="s">
        <v>109</v>
      </c>
      <c r="E1149">
        <v>4</v>
      </c>
      <c r="F1149">
        <v>1004</v>
      </c>
      <c r="G1149" t="s">
        <v>110</v>
      </c>
      <c r="J1149" t="s">
        <v>111</v>
      </c>
      <c r="K1149">
        <v>0</v>
      </c>
      <c r="L1149">
        <v>3</v>
      </c>
      <c r="M1149">
        <v>0</v>
      </c>
      <c r="N1149">
        <v>2</v>
      </c>
      <c r="O1149">
        <v>1</v>
      </c>
      <c r="P1149">
        <v>0</v>
      </c>
      <c r="Q1149">
        <v>0</v>
      </c>
      <c r="R1149" t="s">
        <v>112</v>
      </c>
      <c r="S1149" t="str">
        <f>"14:09:30.531"</f>
        <v>14:09:30.531</v>
      </c>
      <c r="T1149" t="str">
        <f>"14:09:30.133"</f>
        <v>14:09:30.133</v>
      </c>
      <c r="U1149" t="str">
        <f t="shared" si="51"/>
        <v>ad5732</v>
      </c>
      <c r="V1149">
        <v>0</v>
      </c>
      <c r="W1149">
        <v>0</v>
      </c>
      <c r="X1149">
        <v>1</v>
      </c>
      <c r="Z1149">
        <v>0</v>
      </c>
      <c r="AA1149">
        <v>9</v>
      </c>
      <c r="AB1149">
        <v>3</v>
      </c>
      <c r="AC1149">
        <v>0</v>
      </c>
      <c r="AD1149">
        <v>10</v>
      </c>
      <c r="AE1149">
        <v>0</v>
      </c>
      <c r="AF1149">
        <v>3</v>
      </c>
      <c r="AG1149">
        <v>2</v>
      </c>
      <c r="AH1149">
        <v>0</v>
      </c>
      <c r="AI1149" t="s">
        <v>2399</v>
      </c>
      <c r="AJ1149">
        <v>39.493468</v>
      </c>
      <c r="AK1149" t="s">
        <v>2400</v>
      </c>
      <c r="AL1149">
        <v>-76.728515999999999</v>
      </c>
      <c r="AM1149">
        <v>100</v>
      </c>
      <c r="AN1149">
        <v>8700</v>
      </c>
      <c r="AO1149" t="s">
        <v>115</v>
      </c>
      <c r="AP1149">
        <v>169</v>
      </c>
      <c r="AQ1149">
        <v>86</v>
      </c>
      <c r="AR1149">
        <v>0</v>
      </c>
      <c r="AZ1149">
        <v>3614</v>
      </c>
      <c r="BA1149">
        <v>1</v>
      </c>
      <c r="BB1149" t="str">
        <f t="shared" si="53"/>
        <v xml:space="preserve">N959MJ  </v>
      </c>
      <c r="BC1149">
        <v>1</v>
      </c>
      <c r="BE1149">
        <v>0</v>
      </c>
      <c r="BF1149">
        <v>0</v>
      </c>
      <c r="BG1149">
        <v>0</v>
      </c>
      <c r="BH1149">
        <v>9025</v>
      </c>
      <c r="BI1149">
        <v>325</v>
      </c>
      <c r="BJ1149">
        <v>1</v>
      </c>
      <c r="BK1149">
        <v>1</v>
      </c>
      <c r="BL1149">
        <v>1</v>
      </c>
      <c r="BM1149">
        <v>0</v>
      </c>
      <c r="BP1149">
        <v>0</v>
      </c>
      <c r="BQ1149">
        <v>0</v>
      </c>
      <c r="BX1149" t="str">
        <f>"14:09:30.531"</f>
        <v>14:09:30.531</v>
      </c>
      <c r="BY1149" t="str">
        <f>"534525209"</f>
        <v>534525209</v>
      </c>
      <c r="CL1149">
        <v>0</v>
      </c>
      <c r="CM1149">
        <v>2</v>
      </c>
      <c r="CN1149">
        <v>0</v>
      </c>
      <c r="CO1149">
        <v>2</v>
      </c>
      <c r="CP1149">
        <v>0</v>
      </c>
      <c r="CQ1149">
        <v>6</v>
      </c>
      <c r="CR1149" t="s">
        <v>116</v>
      </c>
      <c r="CS1149">
        <v>525</v>
      </c>
      <c r="CT1149">
        <v>1</v>
      </c>
      <c r="CU1149" t="s">
        <v>140</v>
      </c>
      <c r="CV1149" t="s">
        <v>141</v>
      </c>
      <c r="CY1149">
        <v>8832667</v>
      </c>
      <c r="CZ1149" t="s">
        <v>119</v>
      </c>
    </row>
    <row r="1150" spans="1:104" x14ac:dyDescent="0.25">
      <c r="A1150" t="str">
        <f>"14:09:31.836"</f>
        <v>14:09:31.836</v>
      </c>
      <c r="B1150" t="s">
        <v>108</v>
      </c>
      <c r="C1150" t="str">
        <f t="shared" si="52"/>
        <v>ffdfd3c0</v>
      </c>
      <c r="D1150" t="s">
        <v>109</v>
      </c>
      <c r="E1150">
        <v>4</v>
      </c>
      <c r="F1150">
        <v>1004</v>
      </c>
      <c r="G1150" t="s">
        <v>110</v>
      </c>
      <c r="J1150" t="s">
        <v>111</v>
      </c>
      <c r="K1150">
        <v>0</v>
      </c>
      <c r="L1150">
        <v>3</v>
      </c>
      <c r="M1150">
        <v>0</v>
      </c>
      <c r="N1150">
        <v>2</v>
      </c>
      <c r="O1150">
        <v>1</v>
      </c>
      <c r="P1150">
        <v>0</v>
      </c>
      <c r="Q1150">
        <v>0</v>
      </c>
      <c r="R1150" t="s">
        <v>112</v>
      </c>
      <c r="S1150" t="str">
        <f>"14:09:31.641"</f>
        <v>14:09:31.641</v>
      </c>
      <c r="T1150" t="str">
        <f>"14:09:31.141"</f>
        <v>14:09:31.141</v>
      </c>
      <c r="U1150" t="str">
        <f t="shared" si="51"/>
        <v>ad5732</v>
      </c>
      <c r="V1150">
        <v>0</v>
      </c>
      <c r="W1150">
        <v>0</v>
      </c>
      <c r="X1150">
        <v>1</v>
      </c>
      <c r="Z1150">
        <v>0</v>
      </c>
      <c r="AA1150">
        <v>9</v>
      </c>
      <c r="AB1150">
        <v>3</v>
      </c>
      <c r="AC1150">
        <v>0</v>
      </c>
      <c r="AD1150">
        <v>10</v>
      </c>
      <c r="AE1150">
        <v>0</v>
      </c>
      <c r="AF1150">
        <v>3</v>
      </c>
      <c r="AG1150">
        <v>2</v>
      </c>
      <c r="AH1150">
        <v>0</v>
      </c>
      <c r="AI1150" t="s">
        <v>2401</v>
      </c>
      <c r="AJ1150">
        <v>39.493896999999997</v>
      </c>
      <c r="AK1150" t="s">
        <v>2402</v>
      </c>
      <c r="AL1150">
        <v>-76.727421000000007</v>
      </c>
      <c r="AM1150">
        <v>100</v>
      </c>
      <c r="AN1150">
        <v>8700</v>
      </c>
      <c r="AO1150" t="s">
        <v>115</v>
      </c>
      <c r="AP1150">
        <v>169</v>
      </c>
      <c r="AQ1150">
        <v>86</v>
      </c>
      <c r="AR1150">
        <v>0</v>
      </c>
      <c r="AZ1150">
        <v>3614</v>
      </c>
      <c r="BA1150">
        <v>1</v>
      </c>
      <c r="BB1150" t="str">
        <f t="shared" si="53"/>
        <v xml:space="preserve">N959MJ  </v>
      </c>
      <c r="BC1150">
        <v>1</v>
      </c>
      <c r="BE1150">
        <v>0</v>
      </c>
      <c r="BF1150">
        <v>0</v>
      </c>
      <c r="BG1150">
        <v>0</v>
      </c>
      <c r="BH1150">
        <v>9025</v>
      </c>
      <c r="BI1150">
        <v>325</v>
      </c>
      <c r="BJ1150">
        <v>1</v>
      </c>
      <c r="BK1150">
        <v>1</v>
      </c>
      <c r="BL1150">
        <v>1</v>
      </c>
      <c r="BM1150">
        <v>0</v>
      </c>
      <c r="BP1150">
        <v>0</v>
      </c>
      <c r="BQ1150">
        <v>0</v>
      </c>
      <c r="BX1150" t="str">
        <f>"14:09:31.641"</f>
        <v>14:09:31.641</v>
      </c>
      <c r="BY1150" t="str">
        <f>"643779040"</f>
        <v>643779040</v>
      </c>
      <c r="CL1150">
        <v>0</v>
      </c>
      <c r="CM1150">
        <v>2</v>
      </c>
      <c r="CN1150">
        <v>0</v>
      </c>
      <c r="CO1150">
        <v>2</v>
      </c>
      <c r="CP1150">
        <v>0</v>
      </c>
      <c r="CQ1150">
        <v>6</v>
      </c>
      <c r="CR1150" t="s">
        <v>116</v>
      </c>
      <c r="CS1150">
        <v>372</v>
      </c>
      <c r="CT1150">
        <v>3</v>
      </c>
      <c r="CU1150" t="s">
        <v>877</v>
      </c>
      <c r="CV1150" t="s">
        <v>878</v>
      </c>
      <c r="CY1150">
        <v>11405249</v>
      </c>
      <c r="CZ1150" t="s">
        <v>119</v>
      </c>
    </row>
    <row r="1151" spans="1:104" x14ac:dyDescent="0.25">
      <c r="A1151" t="str">
        <f>"14:09:32.852"</f>
        <v>14:09:32.852</v>
      </c>
      <c r="B1151" t="s">
        <v>108</v>
      </c>
      <c r="C1151" t="str">
        <f t="shared" si="52"/>
        <v>ffdfd3c0</v>
      </c>
      <c r="D1151" t="s">
        <v>109</v>
      </c>
      <c r="E1151">
        <v>4</v>
      </c>
      <c r="F1151">
        <v>1004</v>
      </c>
      <c r="G1151" t="s">
        <v>110</v>
      </c>
      <c r="J1151" t="s">
        <v>111</v>
      </c>
      <c r="K1151">
        <v>0</v>
      </c>
      <c r="L1151">
        <v>3</v>
      </c>
      <c r="M1151">
        <v>0</v>
      </c>
      <c r="N1151">
        <v>2</v>
      </c>
      <c r="O1151">
        <v>1</v>
      </c>
      <c r="P1151">
        <v>0</v>
      </c>
      <c r="Q1151">
        <v>0</v>
      </c>
      <c r="R1151" t="s">
        <v>112</v>
      </c>
      <c r="S1151" t="str">
        <f>"14:09:32.656"</f>
        <v>14:09:32.656</v>
      </c>
      <c r="T1151" t="str">
        <f>"14:09:32.156"</f>
        <v>14:09:32.156</v>
      </c>
      <c r="U1151" t="str">
        <f t="shared" si="51"/>
        <v>ad5732</v>
      </c>
      <c r="V1151">
        <v>0</v>
      </c>
      <c r="W1151">
        <v>0</v>
      </c>
      <c r="X1151">
        <v>1</v>
      </c>
      <c r="Z1151">
        <v>0</v>
      </c>
      <c r="AA1151">
        <v>9</v>
      </c>
      <c r="AB1151">
        <v>3</v>
      </c>
      <c r="AC1151">
        <v>0</v>
      </c>
      <c r="AD1151">
        <v>10</v>
      </c>
      <c r="AE1151">
        <v>0</v>
      </c>
      <c r="AF1151">
        <v>3</v>
      </c>
      <c r="AG1151">
        <v>2</v>
      </c>
      <c r="AH1151">
        <v>0</v>
      </c>
      <c r="AI1151" t="s">
        <v>2403</v>
      </c>
      <c r="AJ1151">
        <v>39.494304999999997</v>
      </c>
      <c r="AK1151" t="s">
        <v>2404</v>
      </c>
      <c r="AL1151">
        <v>-76.726370000000003</v>
      </c>
      <c r="AM1151">
        <v>100</v>
      </c>
      <c r="AN1151">
        <v>8700</v>
      </c>
      <c r="AO1151" t="s">
        <v>115</v>
      </c>
      <c r="AP1151">
        <v>168</v>
      </c>
      <c r="AQ1151">
        <v>86</v>
      </c>
      <c r="AR1151">
        <v>0</v>
      </c>
      <c r="AZ1151">
        <v>3614</v>
      </c>
      <c r="BA1151">
        <v>1</v>
      </c>
      <c r="BB1151" t="str">
        <f t="shared" si="53"/>
        <v xml:space="preserve">N959MJ  </v>
      </c>
      <c r="BC1151">
        <v>1</v>
      </c>
      <c r="BE1151">
        <v>0</v>
      </c>
      <c r="BF1151">
        <v>0</v>
      </c>
      <c r="BG1151">
        <v>0</v>
      </c>
      <c r="BH1151">
        <v>9025</v>
      </c>
      <c r="BI1151">
        <v>325</v>
      </c>
      <c r="BJ1151">
        <v>1</v>
      </c>
      <c r="BK1151">
        <v>1</v>
      </c>
      <c r="BL1151">
        <v>1</v>
      </c>
      <c r="BM1151">
        <v>0</v>
      </c>
      <c r="BP1151">
        <v>0</v>
      </c>
      <c r="BQ1151">
        <v>0</v>
      </c>
      <c r="BX1151" t="str">
        <f>"14:09:32.664"</f>
        <v>14:09:32.664</v>
      </c>
      <c r="BY1151" t="str">
        <f>"662880713"</f>
        <v>662880713</v>
      </c>
      <c r="CL1151">
        <v>0</v>
      </c>
      <c r="CM1151">
        <v>2</v>
      </c>
      <c r="CN1151">
        <v>0</v>
      </c>
      <c r="CO1151">
        <v>2</v>
      </c>
      <c r="CP1151">
        <v>0</v>
      </c>
      <c r="CQ1151">
        <v>6</v>
      </c>
      <c r="CR1151" t="s">
        <v>116</v>
      </c>
      <c r="CS1151">
        <v>372</v>
      </c>
      <c r="CT1151">
        <v>3</v>
      </c>
      <c r="CU1151" t="s">
        <v>877</v>
      </c>
      <c r="CV1151" t="s">
        <v>878</v>
      </c>
      <c r="CY1151">
        <v>11407000</v>
      </c>
      <c r="CZ1151" t="s">
        <v>119</v>
      </c>
    </row>
    <row r="1152" spans="1:104" x14ac:dyDescent="0.25">
      <c r="A1152" t="str">
        <f>"14:09:33.859"</f>
        <v>14:09:33.859</v>
      </c>
      <c r="B1152" t="s">
        <v>108</v>
      </c>
      <c r="C1152" t="str">
        <f t="shared" si="52"/>
        <v>ffdfd3c0</v>
      </c>
      <c r="D1152" t="s">
        <v>109</v>
      </c>
      <c r="E1152">
        <v>4</v>
      </c>
      <c r="F1152">
        <v>1004</v>
      </c>
      <c r="G1152" t="s">
        <v>110</v>
      </c>
      <c r="J1152" t="s">
        <v>111</v>
      </c>
      <c r="K1152">
        <v>0</v>
      </c>
      <c r="L1152">
        <v>3</v>
      </c>
      <c r="M1152">
        <v>0</v>
      </c>
      <c r="N1152">
        <v>2</v>
      </c>
      <c r="O1152">
        <v>1</v>
      </c>
      <c r="P1152">
        <v>0</v>
      </c>
      <c r="Q1152">
        <v>0</v>
      </c>
      <c r="R1152" t="s">
        <v>112</v>
      </c>
      <c r="S1152" t="str">
        <f>"14:09:33.656"</f>
        <v>14:09:33.656</v>
      </c>
      <c r="T1152" t="str">
        <f>"14:09:33.258"</f>
        <v>14:09:33.258</v>
      </c>
      <c r="U1152" t="str">
        <f t="shared" si="51"/>
        <v>ad5732</v>
      </c>
      <c r="V1152">
        <v>0</v>
      </c>
      <c r="W1152">
        <v>0</v>
      </c>
      <c r="X1152">
        <v>1</v>
      </c>
      <c r="Z1152">
        <v>0</v>
      </c>
      <c r="AA1152">
        <v>9</v>
      </c>
      <c r="AB1152">
        <v>3</v>
      </c>
      <c r="AC1152">
        <v>0</v>
      </c>
      <c r="AD1152">
        <v>10</v>
      </c>
      <c r="AE1152">
        <v>0</v>
      </c>
      <c r="AF1152">
        <v>3</v>
      </c>
      <c r="AG1152">
        <v>2</v>
      </c>
      <c r="AH1152">
        <v>0</v>
      </c>
      <c r="AI1152" t="s">
        <v>2405</v>
      </c>
      <c r="AJ1152">
        <v>39.494691000000003</v>
      </c>
      <c r="AK1152" t="s">
        <v>2406</v>
      </c>
      <c r="AL1152">
        <v>-76.725403999999997</v>
      </c>
      <c r="AM1152">
        <v>100</v>
      </c>
      <c r="AN1152">
        <v>8700</v>
      </c>
      <c r="AO1152" t="s">
        <v>115</v>
      </c>
      <c r="AP1152">
        <v>168</v>
      </c>
      <c r="AQ1152">
        <v>86</v>
      </c>
      <c r="AR1152">
        <v>0</v>
      </c>
      <c r="AZ1152">
        <v>3614</v>
      </c>
      <c r="BA1152">
        <v>1</v>
      </c>
      <c r="BB1152" t="str">
        <f t="shared" si="53"/>
        <v xml:space="preserve">N959MJ  </v>
      </c>
      <c r="BC1152">
        <v>1</v>
      </c>
      <c r="BE1152">
        <v>0</v>
      </c>
      <c r="BF1152">
        <v>0</v>
      </c>
      <c r="BG1152">
        <v>0</v>
      </c>
      <c r="BH1152">
        <v>9025</v>
      </c>
      <c r="BI1152">
        <v>325</v>
      </c>
      <c r="BJ1152">
        <v>1</v>
      </c>
      <c r="BK1152">
        <v>1</v>
      </c>
      <c r="BL1152">
        <v>1</v>
      </c>
      <c r="BM1152">
        <v>0</v>
      </c>
      <c r="BP1152">
        <v>0</v>
      </c>
      <c r="BQ1152">
        <v>0</v>
      </c>
      <c r="BX1152" t="str">
        <f>"14:09:33.664"</f>
        <v>14:09:33.664</v>
      </c>
      <c r="BY1152" t="str">
        <f>"662283506"</f>
        <v>662283506</v>
      </c>
      <c r="CL1152">
        <v>0</v>
      </c>
      <c r="CM1152">
        <v>2</v>
      </c>
      <c r="CN1152">
        <v>0</v>
      </c>
      <c r="CO1152">
        <v>2</v>
      </c>
      <c r="CP1152">
        <v>0</v>
      </c>
      <c r="CQ1152">
        <v>6</v>
      </c>
      <c r="CR1152" t="s">
        <v>116</v>
      </c>
      <c r="CS1152">
        <v>525</v>
      </c>
      <c r="CT1152">
        <v>1</v>
      </c>
      <c r="CU1152" t="s">
        <v>140</v>
      </c>
      <c r="CV1152" t="s">
        <v>141</v>
      </c>
      <c r="CY1152">
        <v>8837262</v>
      </c>
      <c r="CZ1152" t="s">
        <v>119</v>
      </c>
    </row>
    <row r="1153" spans="1:104" x14ac:dyDescent="0.25">
      <c r="A1153" t="str">
        <f>"14:09:34.766"</f>
        <v>14:09:34.766</v>
      </c>
      <c r="B1153" t="s">
        <v>108</v>
      </c>
      <c r="C1153" t="str">
        <f t="shared" si="52"/>
        <v>ffdfd3c0</v>
      </c>
      <c r="D1153" t="s">
        <v>109</v>
      </c>
      <c r="E1153">
        <v>4</v>
      </c>
      <c r="F1153">
        <v>1004</v>
      </c>
      <c r="G1153" t="s">
        <v>110</v>
      </c>
      <c r="J1153" t="s">
        <v>111</v>
      </c>
      <c r="K1153">
        <v>0</v>
      </c>
      <c r="L1153">
        <v>3</v>
      </c>
      <c r="M1153">
        <v>0</v>
      </c>
      <c r="N1153">
        <v>2</v>
      </c>
      <c r="O1153">
        <v>1</v>
      </c>
      <c r="P1153">
        <v>0</v>
      </c>
      <c r="Q1153">
        <v>0</v>
      </c>
      <c r="R1153" t="s">
        <v>112</v>
      </c>
      <c r="S1153" t="str">
        <f>"14:09:34.594"</f>
        <v>14:09:34.594</v>
      </c>
      <c r="T1153" t="str">
        <f>"14:09:34.094"</f>
        <v>14:09:34.094</v>
      </c>
      <c r="U1153" t="str">
        <f t="shared" si="51"/>
        <v>ad5732</v>
      </c>
      <c r="V1153">
        <v>0</v>
      </c>
      <c r="W1153">
        <v>0</v>
      </c>
      <c r="X1153">
        <v>1</v>
      </c>
      <c r="Z1153">
        <v>0</v>
      </c>
      <c r="AA1153">
        <v>9</v>
      </c>
      <c r="AB1153">
        <v>3</v>
      </c>
      <c r="AC1153">
        <v>0</v>
      </c>
      <c r="AD1153">
        <v>10</v>
      </c>
      <c r="AE1153">
        <v>0</v>
      </c>
      <c r="AF1153">
        <v>3</v>
      </c>
      <c r="AG1153">
        <v>2</v>
      </c>
      <c r="AH1153">
        <v>0</v>
      </c>
      <c r="AI1153" t="s">
        <v>2407</v>
      </c>
      <c r="AJ1153">
        <v>39.495099000000003</v>
      </c>
      <c r="AK1153" t="s">
        <v>2408</v>
      </c>
      <c r="AL1153">
        <v>-76.724373999999997</v>
      </c>
      <c r="AM1153">
        <v>100</v>
      </c>
      <c r="AN1153">
        <v>8700</v>
      </c>
      <c r="AO1153" t="s">
        <v>115</v>
      </c>
      <c r="AP1153">
        <v>168</v>
      </c>
      <c r="AQ1153">
        <v>87</v>
      </c>
      <c r="AR1153">
        <v>0</v>
      </c>
      <c r="AZ1153">
        <v>3614</v>
      </c>
      <c r="BA1153">
        <v>1</v>
      </c>
      <c r="BB1153" t="str">
        <f t="shared" si="53"/>
        <v xml:space="preserve">N959MJ  </v>
      </c>
      <c r="BC1153">
        <v>1</v>
      </c>
      <c r="BE1153">
        <v>0</v>
      </c>
      <c r="BF1153">
        <v>0</v>
      </c>
      <c r="BG1153">
        <v>0</v>
      </c>
      <c r="BH1153">
        <v>9025</v>
      </c>
      <c r="BI1153">
        <v>325</v>
      </c>
      <c r="BJ1153">
        <v>1</v>
      </c>
      <c r="BK1153">
        <v>1</v>
      </c>
      <c r="BL1153">
        <v>1</v>
      </c>
      <c r="BM1153">
        <v>0</v>
      </c>
      <c r="BP1153">
        <v>0</v>
      </c>
      <c r="BQ1153">
        <v>0</v>
      </c>
      <c r="BX1153" t="str">
        <f>"14:09:34.602"</f>
        <v>14:09:34.602</v>
      </c>
      <c r="BY1153" t="str">
        <f>"601085209"</f>
        <v>601085209</v>
      </c>
      <c r="CL1153">
        <v>0</v>
      </c>
      <c r="CM1153">
        <v>2</v>
      </c>
      <c r="CN1153">
        <v>0</v>
      </c>
      <c r="CO1153">
        <v>2</v>
      </c>
      <c r="CP1153">
        <v>0</v>
      </c>
      <c r="CQ1153">
        <v>6</v>
      </c>
      <c r="CR1153" t="s">
        <v>116</v>
      </c>
      <c r="CS1153">
        <v>396</v>
      </c>
      <c r="CT1153">
        <v>2</v>
      </c>
      <c r="CU1153" t="s">
        <v>939</v>
      </c>
      <c r="CV1153" t="s">
        <v>940</v>
      </c>
      <c r="CY1153">
        <v>4766988</v>
      </c>
      <c r="CZ1153" t="s">
        <v>119</v>
      </c>
    </row>
    <row r="1154" spans="1:104" x14ac:dyDescent="0.25">
      <c r="A1154" t="str">
        <f>"14:09:35.828"</f>
        <v>14:09:35.828</v>
      </c>
      <c r="B1154" t="s">
        <v>108</v>
      </c>
      <c r="C1154" t="str">
        <f t="shared" si="52"/>
        <v>ffdfd3c0</v>
      </c>
      <c r="D1154" t="s">
        <v>109</v>
      </c>
      <c r="E1154">
        <v>4</v>
      </c>
      <c r="F1154">
        <v>1004</v>
      </c>
      <c r="G1154" t="s">
        <v>110</v>
      </c>
      <c r="J1154" t="s">
        <v>111</v>
      </c>
      <c r="K1154">
        <v>0</v>
      </c>
      <c r="L1154">
        <v>3</v>
      </c>
      <c r="M1154">
        <v>0</v>
      </c>
      <c r="N1154">
        <v>2</v>
      </c>
      <c r="O1154">
        <v>1</v>
      </c>
      <c r="P1154">
        <v>0</v>
      </c>
      <c r="Q1154">
        <v>0</v>
      </c>
      <c r="R1154" t="s">
        <v>112</v>
      </c>
      <c r="S1154" t="str">
        <f>"14:09:35.648"</f>
        <v>14:09:35.648</v>
      </c>
      <c r="T1154" t="str">
        <f>"14:09:35.148"</f>
        <v>14:09:35.148</v>
      </c>
      <c r="U1154" t="str">
        <f t="shared" ref="U1154:U1217" si="54">"ad5732"</f>
        <v>ad5732</v>
      </c>
      <c r="V1154">
        <v>0</v>
      </c>
      <c r="W1154">
        <v>0</v>
      </c>
      <c r="X1154">
        <v>1</v>
      </c>
      <c r="Z1154">
        <v>0</v>
      </c>
      <c r="AA1154">
        <v>9</v>
      </c>
      <c r="AB1154">
        <v>3</v>
      </c>
      <c r="AC1154">
        <v>0</v>
      </c>
      <c r="AD1154">
        <v>10</v>
      </c>
      <c r="AE1154">
        <v>0</v>
      </c>
      <c r="AF1154">
        <v>3</v>
      </c>
      <c r="AG1154">
        <v>2</v>
      </c>
      <c r="AH1154">
        <v>0</v>
      </c>
      <c r="AI1154" t="s">
        <v>2409</v>
      </c>
      <c r="AJ1154">
        <v>39.495528</v>
      </c>
      <c r="AK1154" t="s">
        <v>2410</v>
      </c>
      <c r="AL1154">
        <v>-76.723387000000002</v>
      </c>
      <c r="AM1154">
        <v>100</v>
      </c>
      <c r="AN1154">
        <v>8700</v>
      </c>
      <c r="AO1154" t="s">
        <v>115</v>
      </c>
      <c r="AP1154">
        <v>168</v>
      </c>
      <c r="AQ1154">
        <v>87</v>
      </c>
      <c r="AR1154">
        <v>0</v>
      </c>
      <c r="AZ1154">
        <v>3614</v>
      </c>
      <c r="BA1154">
        <v>1</v>
      </c>
      <c r="BB1154" t="str">
        <f t="shared" si="53"/>
        <v xml:space="preserve">N959MJ  </v>
      </c>
      <c r="BC1154">
        <v>1</v>
      </c>
      <c r="BE1154">
        <v>0</v>
      </c>
      <c r="BF1154">
        <v>0</v>
      </c>
      <c r="BG1154">
        <v>0</v>
      </c>
      <c r="BH1154">
        <v>9025</v>
      </c>
      <c r="BI1154">
        <v>325</v>
      </c>
      <c r="BJ1154">
        <v>1</v>
      </c>
      <c r="BK1154">
        <v>1</v>
      </c>
      <c r="BL1154">
        <v>1</v>
      </c>
      <c r="BM1154">
        <v>0</v>
      </c>
      <c r="BP1154">
        <v>0</v>
      </c>
      <c r="BQ1154">
        <v>0</v>
      </c>
      <c r="BX1154" t="str">
        <f>"14:09:35.656"</f>
        <v>14:09:35.656</v>
      </c>
      <c r="BY1154" t="str">
        <f>"654648509"</f>
        <v>654648509</v>
      </c>
      <c r="CL1154">
        <v>0</v>
      </c>
      <c r="CM1154">
        <v>2</v>
      </c>
      <c r="CN1154">
        <v>0</v>
      </c>
      <c r="CO1154">
        <v>2</v>
      </c>
      <c r="CP1154">
        <v>0</v>
      </c>
      <c r="CQ1154">
        <v>6</v>
      </c>
      <c r="CR1154" t="s">
        <v>116</v>
      </c>
      <c r="CS1154">
        <v>372</v>
      </c>
      <c r="CT1154">
        <v>3</v>
      </c>
      <c r="CU1154" t="s">
        <v>877</v>
      </c>
      <c r="CV1154" t="s">
        <v>878</v>
      </c>
      <c r="CY1154">
        <v>11412315</v>
      </c>
      <c r="CZ1154" t="s">
        <v>119</v>
      </c>
    </row>
    <row r="1155" spans="1:104" x14ac:dyDescent="0.25">
      <c r="A1155" t="str">
        <f>"14:09:36.836"</f>
        <v>14:09:36.836</v>
      </c>
      <c r="B1155" t="s">
        <v>108</v>
      </c>
      <c r="C1155" t="str">
        <f t="shared" si="52"/>
        <v>ffdfd3c0</v>
      </c>
      <c r="D1155" t="s">
        <v>109</v>
      </c>
      <c r="E1155">
        <v>4</v>
      </c>
      <c r="F1155">
        <v>1004</v>
      </c>
      <c r="G1155" t="s">
        <v>110</v>
      </c>
      <c r="J1155" t="s">
        <v>111</v>
      </c>
      <c r="K1155">
        <v>0</v>
      </c>
      <c r="L1155">
        <v>3</v>
      </c>
      <c r="M1155">
        <v>0</v>
      </c>
      <c r="N1155">
        <v>2</v>
      </c>
      <c r="O1155">
        <v>1</v>
      </c>
      <c r="P1155">
        <v>0</v>
      </c>
      <c r="Q1155">
        <v>0</v>
      </c>
      <c r="R1155" t="s">
        <v>112</v>
      </c>
      <c r="S1155" t="str">
        <f>"14:09:36.641"</f>
        <v>14:09:36.641</v>
      </c>
      <c r="T1155" t="str">
        <f>"14:09:36.242"</f>
        <v>14:09:36.242</v>
      </c>
      <c r="U1155" t="str">
        <f t="shared" si="54"/>
        <v>ad5732</v>
      </c>
      <c r="V1155">
        <v>0</v>
      </c>
      <c r="W1155">
        <v>0</v>
      </c>
      <c r="X1155">
        <v>1</v>
      </c>
      <c r="Z1155">
        <v>0</v>
      </c>
      <c r="AA1155">
        <v>9</v>
      </c>
      <c r="AB1155">
        <v>3</v>
      </c>
      <c r="AC1155">
        <v>0</v>
      </c>
      <c r="AD1155">
        <v>10</v>
      </c>
      <c r="AE1155">
        <v>0</v>
      </c>
      <c r="AF1155">
        <v>3</v>
      </c>
      <c r="AG1155">
        <v>2</v>
      </c>
      <c r="AH1155">
        <v>0</v>
      </c>
      <c r="AI1155" t="s">
        <v>2411</v>
      </c>
      <c r="AJ1155">
        <v>39.495893000000002</v>
      </c>
      <c r="AK1155" t="s">
        <v>2412</v>
      </c>
      <c r="AL1155">
        <v>-76.722421999999995</v>
      </c>
      <c r="AM1155">
        <v>100</v>
      </c>
      <c r="AN1155">
        <v>8700</v>
      </c>
      <c r="AO1155" t="s">
        <v>115</v>
      </c>
      <c r="AP1155">
        <v>167</v>
      </c>
      <c r="AQ1155">
        <v>87</v>
      </c>
      <c r="AR1155">
        <v>0</v>
      </c>
      <c r="AZ1155">
        <v>3614</v>
      </c>
      <c r="BA1155">
        <v>1</v>
      </c>
      <c r="BB1155" t="str">
        <f t="shared" si="53"/>
        <v xml:space="preserve">N959MJ  </v>
      </c>
      <c r="BC1155">
        <v>1</v>
      </c>
      <c r="BE1155">
        <v>0</v>
      </c>
      <c r="BF1155">
        <v>0</v>
      </c>
      <c r="BG1155">
        <v>0</v>
      </c>
      <c r="BH1155">
        <v>9025</v>
      </c>
      <c r="BI1155">
        <v>325</v>
      </c>
      <c r="BJ1155">
        <v>1</v>
      </c>
      <c r="BK1155">
        <v>1</v>
      </c>
      <c r="BL1155">
        <v>1</v>
      </c>
      <c r="BM1155">
        <v>0</v>
      </c>
      <c r="BP1155">
        <v>0</v>
      </c>
      <c r="BQ1155">
        <v>0</v>
      </c>
      <c r="BX1155" t="str">
        <f>"14:09:36.648"</f>
        <v>14:09:36.648</v>
      </c>
      <c r="BY1155" t="str">
        <f>"645841893"</f>
        <v>645841893</v>
      </c>
      <c r="CL1155">
        <v>0</v>
      </c>
      <c r="CM1155">
        <v>2</v>
      </c>
      <c r="CN1155">
        <v>0</v>
      </c>
      <c r="CO1155">
        <v>2</v>
      </c>
      <c r="CP1155">
        <v>0</v>
      </c>
      <c r="CQ1155">
        <v>6</v>
      </c>
      <c r="CR1155" t="s">
        <v>116</v>
      </c>
      <c r="CS1155">
        <v>396</v>
      </c>
      <c r="CT1155">
        <v>2</v>
      </c>
      <c r="CU1155" t="s">
        <v>939</v>
      </c>
      <c r="CV1155" t="s">
        <v>940</v>
      </c>
      <c r="CY1155">
        <v>4770577</v>
      </c>
      <c r="CZ1155" t="s">
        <v>119</v>
      </c>
    </row>
    <row r="1156" spans="1:104" x14ac:dyDescent="0.25">
      <c r="A1156" t="str">
        <f>"14:09:38.352"</f>
        <v>14:09:38.352</v>
      </c>
      <c r="B1156" t="s">
        <v>108</v>
      </c>
      <c r="C1156" t="str">
        <f t="shared" si="52"/>
        <v>ffdfd3c0</v>
      </c>
      <c r="D1156" t="s">
        <v>109</v>
      </c>
      <c r="E1156">
        <v>4</v>
      </c>
      <c r="F1156">
        <v>1004</v>
      </c>
      <c r="G1156" t="s">
        <v>110</v>
      </c>
      <c r="J1156" t="s">
        <v>111</v>
      </c>
      <c r="K1156">
        <v>0</v>
      </c>
      <c r="L1156">
        <v>3</v>
      </c>
      <c r="M1156">
        <v>0</v>
      </c>
      <c r="N1156">
        <v>2</v>
      </c>
      <c r="O1156">
        <v>1</v>
      </c>
      <c r="P1156">
        <v>0</v>
      </c>
      <c r="Q1156">
        <v>0</v>
      </c>
      <c r="R1156" t="s">
        <v>112</v>
      </c>
      <c r="S1156" t="str">
        <f>"14:09:38.156"</f>
        <v>14:09:38.156</v>
      </c>
      <c r="T1156" t="str">
        <f>"14:09:37.758"</f>
        <v>14:09:37.758</v>
      </c>
      <c r="U1156" t="str">
        <f t="shared" si="54"/>
        <v>ad5732</v>
      </c>
      <c r="V1156">
        <v>0</v>
      </c>
      <c r="W1156">
        <v>0</v>
      </c>
      <c r="X1156">
        <v>1</v>
      </c>
      <c r="Z1156">
        <v>0</v>
      </c>
      <c r="AA1156">
        <v>9</v>
      </c>
      <c r="AB1156">
        <v>3</v>
      </c>
      <c r="AC1156">
        <v>0</v>
      </c>
      <c r="AD1156">
        <v>10</v>
      </c>
      <c r="AE1156">
        <v>0</v>
      </c>
      <c r="AF1156">
        <v>3</v>
      </c>
      <c r="AG1156">
        <v>2</v>
      </c>
      <c r="AH1156">
        <v>0</v>
      </c>
      <c r="AI1156" t="s">
        <v>2413</v>
      </c>
      <c r="AJ1156">
        <v>39.496535999999999</v>
      </c>
      <c r="AK1156" t="s">
        <v>2414</v>
      </c>
      <c r="AL1156">
        <v>-76.720877000000002</v>
      </c>
      <c r="AM1156">
        <v>100</v>
      </c>
      <c r="AN1156">
        <v>8700</v>
      </c>
      <c r="AO1156" t="s">
        <v>115</v>
      </c>
      <c r="AP1156">
        <v>167</v>
      </c>
      <c r="AQ1156">
        <v>88</v>
      </c>
      <c r="AR1156">
        <v>0</v>
      </c>
      <c r="AZ1156">
        <v>3614</v>
      </c>
      <c r="BA1156">
        <v>1</v>
      </c>
      <c r="BB1156" t="str">
        <f t="shared" si="53"/>
        <v xml:space="preserve">N959MJ  </v>
      </c>
      <c r="BC1156">
        <v>1</v>
      </c>
      <c r="BE1156">
        <v>0</v>
      </c>
      <c r="BF1156">
        <v>0</v>
      </c>
      <c r="BG1156">
        <v>0</v>
      </c>
      <c r="BH1156">
        <v>9025</v>
      </c>
      <c r="BI1156">
        <v>325</v>
      </c>
      <c r="BJ1156">
        <v>1</v>
      </c>
      <c r="BK1156">
        <v>1</v>
      </c>
      <c r="BL1156">
        <v>1</v>
      </c>
      <c r="BM1156">
        <v>0</v>
      </c>
      <c r="BP1156">
        <v>0</v>
      </c>
      <c r="BQ1156">
        <v>0</v>
      </c>
      <c r="BX1156" t="str">
        <f>"14:09:38.164"</f>
        <v>14:09:38.164</v>
      </c>
      <c r="BY1156" t="str">
        <f>"161441908"</f>
        <v>161441908</v>
      </c>
      <c r="CL1156">
        <v>0</v>
      </c>
      <c r="CM1156">
        <v>2</v>
      </c>
      <c r="CN1156">
        <v>0</v>
      </c>
      <c r="CO1156">
        <v>2</v>
      </c>
      <c r="CP1156">
        <v>0</v>
      </c>
      <c r="CQ1156">
        <v>6</v>
      </c>
      <c r="CR1156" t="s">
        <v>116</v>
      </c>
      <c r="CS1156">
        <v>372</v>
      </c>
      <c r="CT1156">
        <v>3</v>
      </c>
      <c r="CU1156" t="s">
        <v>877</v>
      </c>
      <c r="CV1156" t="s">
        <v>878</v>
      </c>
      <c r="CY1156">
        <v>11416628</v>
      </c>
      <c r="CZ1156" t="s">
        <v>119</v>
      </c>
    </row>
    <row r="1157" spans="1:104" x14ac:dyDescent="0.25">
      <c r="A1157" t="str">
        <f>"14:09:39.313"</f>
        <v>14:09:39.313</v>
      </c>
      <c r="B1157" t="s">
        <v>108</v>
      </c>
      <c r="C1157" t="str">
        <f t="shared" si="52"/>
        <v>ffdfd3c0</v>
      </c>
      <c r="D1157" t="s">
        <v>109</v>
      </c>
      <c r="E1157">
        <v>4</v>
      </c>
      <c r="F1157">
        <v>1004</v>
      </c>
      <c r="G1157" t="s">
        <v>110</v>
      </c>
      <c r="J1157" t="s">
        <v>111</v>
      </c>
      <c r="K1157">
        <v>0</v>
      </c>
      <c r="L1157">
        <v>3</v>
      </c>
      <c r="M1157">
        <v>0</v>
      </c>
      <c r="N1157">
        <v>2</v>
      </c>
      <c r="O1157">
        <v>1</v>
      </c>
      <c r="P1157">
        <v>0</v>
      </c>
      <c r="Q1157">
        <v>0</v>
      </c>
      <c r="R1157" t="s">
        <v>112</v>
      </c>
      <c r="S1157" t="str">
        <f>"14:09:39.109"</f>
        <v>14:09:39.109</v>
      </c>
      <c r="T1157" t="str">
        <f>"14:09:38.609"</f>
        <v>14:09:38.609</v>
      </c>
      <c r="U1157" t="str">
        <f t="shared" si="54"/>
        <v>ad5732</v>
      </c>
      <c r="V1157">
        <v>0</v>
      </c>
      <c r="W1157">
        <v>0</v>
      </c>
      <c r="X1157">
        <v>1</v>
      </c>
      <c r="Z1157">
        <v>0</v>
      </c>
      <c r="AA1157">
        <v>9</v>
      </c>
      <c r="AB1157">
        <v>3</v>
      </c>
      <c r="AC1157">
        <v>0</v>
      </c>
      <c r="AD1157">
        <v>10</v>
      </c>
      <c r="AE1157">
        <v>0</v>
      </c>
      <c r="AF1157">
        <v>3</v>
      </c>
      <c r="AG1157">
        <v>2</v>
      </c>
      <c r="AH1157">
        <v>0</v>
      </c>
      <c r="AI1157" t="s">
        <v>2415</v>
      </c>
      <c r="AJ1157">
        <v>39.496943999999999</v>
      </c>
      <c r="AK1157" t="s">
        <v>2416</v>
      </c>
      <c r="AL1157">
        <v>-76.719910999999996</v>
      </c>
      <c r="AM1157">
        <v>100</v>
      </c>
      <c r="AN1157">
        <v>8700</v>
      </c>
      <c r="AO1157" t="s">
        <v>115</v>
      </c>
      <c r="AP1157">
        <v>167</v>
      </c>
      <c r="AQ1157">
        <v>88</v>
      </c>
      <c r="AR1157">
        <v>0</v>
      </c>
      <c r="AZ1157">
        <v>3614</v>
      </c>
      <c r="BA1157">
        <v>1</v>
      </c>
      <c r="BB1157" t="str">
        <f t="shared" si="53"/>
        <v xml:space="preserve">N959MJ  </v>
      </c>
      <c r="BC1157">
        <v>1</v>
      </c>
      <c r="BE1157">
        <v>0</v>
      </c>
      <c r="BF1157">
        <v>0</v>
      </c>
      <c r="BG1157">
        <v>0</v>
      </c>
      <c r="BH1157">
        <v>9025</v>
      </c>
      <c r="BI1157">
        <v>325</v>
      </c>
      <c r="BJ1157">
        <v>1</v>
      </c>
      <c r="BK1157">
        <v>1</v>
      </c>
      <c r="BL1157">
        <v>1</v>
      </c>
      <c r="BM1157">
        <v>0</v>
      </c>
      <c r="BP1157">
        <v>0</v>
      </c>
      <c r="BQ1157">
        <v>0</v>
      </c>
      <c r="BX1157" t="str">
        <f>"14:09:39.117"</f>
        <v>14:09:39.117</v>
      </c>
      <c r="BY1157" t="str">
        <f>"114970577"</f>
        <v>114970577</v>
      </c>
      <c r="CL1157">
        <v>0</v>
      </c>
      <c r="CM1157">
        <v>2</v>
      </c>
      <c r="CN1157">
        <v>0</v>
      </c>
      <c r="CO1157">
        <v>2</v>
      </c>
      <c r="CP1157">
        <v>0</v>
      </c>
      <c r="CQ1157">
        <v>6</v>
      </c>
      <c r="CR1157" t="s">
        <v>116</v>
      </c>
      <c r="CS1157">
        <v>525</v>
      </c>
      <c r="CT1157">
        <v>1</v>
      </c>
      <c r="CU1157" t="s">
        <v>140</v>
      </c>
      <c r="CV1157" t="s">
        <v>141</v>
      </c>
      <c r="CY1157">
        <v>8845150</v>
      </c>
      <c r="CZ1157" t="s">
        <v>119</v>
      </c>
    </row>
    <row r="1158" spans="1:104" x14ac:dyDescent="0.25">
      <c r="A1158" t="str">
        <f>"14:09:40.266"</f>
        <v>14:09:40.266</v>
      </c>
      <c r="B1158" t="s">
        <v>108</v>
      </c>
      <c r="C1158" t="str">
        <f t="shared" si="52"/>
        <v>ffdfd3c0</v>
      </c>
      <c r="D1158" t="s">
        <v>109</v>
      </c>
      <c r="E1158">
        <v>4</v>
      </c>
      <c r="F1158">
        <v>1004</v>
      </c>
      <c r="G1158" t="s">
        <v>110</v>
      </c>
      <c r="J1158" t="s">
        <v>111</v>
      </c>
      <c r="K1158">
        <v>0</v>
      </c>
      <c r="L1158">
        <v>3</v>
      </c>
      <c r="M1158">
        <v>0</v>
      </c>
      <c r="N1158">
        <v>2</v>
      </c>
      <c r="O1158">
        <v>1</v>
      </c>
      <c r="P1158">
        <v>0</v>
      </c>
      <c r="Q1158">
        <v>0</v>
      </c>
      <c r="R1158" t="s">
        <v>112</v>
      </c>
      <c r="S1158" t="str">
        <f>"14:09:40.094"</f>
        <v>14:09:40.094</v>
      </c>
      <c r="T1158" t="str">
        <f>"14:09:39.695"</f>
        <v>14:09:39.695</v>
      </c>
      <c r="U1158" t="str">
        <f t="shared" si="54"/>
        <v>ad5732</v>
      </c>
      <c r="V1158">
        <v>0</v>
      </c>
      <c r="W1158">
        <v>0</v>
      </c>
      <c r="X1158">
        <v>1</v>
      </c>
      <c r="Z1158">
        <v>0</v>
      </c>
      <c r="AA1158">
        <v>9</v>
      </c>
      <c r="AB1158">
        <v>3</v>
      </c>
      <c r="AC1158">
        <v>0</v>
      </c>
      <c r="AD1158">
        <v>10</v>
      </c>
      <c r="AE1158">
        <v>0</v>
      </c>
      <c r="AF1158">
        <v>3</v>
      </c>
      <c r="AG1158">
        <v>2</v>
      </c>
      <c r="AH1158">
        <v>0</v>
      </c>
      <c r="AI1158" t="s">
        <v>2417</v>
      </c>
      <c r="AJ1158">
        <v>39.497351999999999</v>
      </c>
      <c r="AK1158" t="s">
        <v>2418</v>
      </c>
      <c r="AL1158">
        <v>-76.718902999999997</v>
      </c>
      <c r="AM1158">
        <v>100</v>
      </c>
      <c r="AN1158">
        <v>8700</v>
      </c>
      <c r="AO1158" t="s">
        <v>115</v>
      </c>
      <c r="AP1158">
        <v>167</v>
      </c>
      <c r="AQ1158">
        <v>89</v>
      </c>
      <c r="AR1158">
        <v>0</v>
      </c>
      <c r="AZ1158">
        <v>3614</v>
      </c>
      <c r="BA1158">
        <v>1</v>
      </c>
      <c r="BB1158" t="str">
        <f t="shared" si="53"/>
        <v xml:space="preserve">N959MJ  </v>
      </c>
      <c r="BC1158">
        <v>1</v>
      </c>
      <c r="BE1158">
        <v>0</v>
      </c>
      <c r="BF1158">
        <v>0</v>
      </c>
      <c r="BG1158">
        <v>0</v>
      </c>
      <c r="BH1158">
        <v>9025</v>
      </c>
      <c r="BI1158">
        <v>325</v>
      </c>
      <c r="BJ1158">
        <v>1</v>
      </c>
      <c r="BK1158">
        <v>1</v>
      </c>
      <c r="BL1158">
        <v>1</v>
      </c>
      <c r="BM1158">
        <v>0</v>
      </c>
      <c r="BP1158">
        <v>0</v>
      </c>
      <c r="BQ1158">
        <v>0</v>
      </c>
      <c r="BX1158" t="str">
        <f>"14:09:40.094"</f>
        <v>14:09:40.094</v>
      </c>
      <c r="BY1158" t="str">
        <f>"096424295"</f>
        <v>096424295</v>
      </c>
      <c r="CL1158">
        <v>0</v>
      </c>
      <c r="CM1158">
        <v>2</v>
      </c>
      <c r="CN1158">
        <v>0</v>
      </c>
      <c r="CO1158">
        <v>2</v>
      </c>
      <c r="CP1158">
        <v>0</v>
      </c>
      <c r="CQ1158">
        <v>6</v>
      </c>
      <c r="CR1158" t="s">
        <v>116</v>
      </c>
      <c r="CS1158">
        <v>372</v>
      </c>
      <c r="CT1158">
        <v>3</v>
      </c>
      <c r="CU1158" t="s">
        <v>877</v>
      </c>
      <c r="CV1158" t="s">
        <v>878</v>
      </c>
      <c r="CY1158">
        <v>11420184</v>
      </c>
      <c r="CZ1158" t="s">
        <v>119</v>
      </c>
    </row>
    <row r="1159" spans="1:104" x14ac:dyDescent="0.25">
      <c r="A1159" t="str">
        <f>"14:09:41.281"</f>
        <v>14:09:41.281</v>
      </c>
      <c r="B1159" t="s">
        <v>108</v>
      </c>
      <c r="C1159" t="str">
        <f t="shared" si="52"/>
        <v>ffdfd3c0</v>
      </c>
      <c r="D1159" t="s">
        <v>109</v>
      </c>
      <c r="E1159">
        <v>4</v>
      </c>
      <c r="F1159">
        <v>1004</v>
      </c>
      <c r="G1159" t="s">
        <v>110</v>
      </c>
      <c r="J1159" t="s">
        <v>111</v>
      </c>
      <c r="K1159">
        <v>0</v>
      </c>
      <c r="L1159">
        <v>3</v>
      </c>
      <c r="M1159">
        <v>0</v>
      </c>
      <c r="N1159">
        <v>2</v>
      </c>
      <c r="O1159">
        <v>1</v>
      </c>
      <c r="P1159">
        <v>0</v>
      </c>
      <c r="Q1159">
        <v>0</v>
      </c>
      <c r="R1159" t="s">
        <v>112</v>
      </c>
      <c r="S1159" t="str">
        <f>"14:09:41.086"</f>
        <v>14:09:41.086</v>
      </c>
      <c r="T1159" t="str">
        <f>"14:09:40.188"</f>
        <v>14:09:40.188</v>
      </c>
      <c r="U1159" t="str">
        <f t="shared" si="54"/>
        <v>ad5732</v>
      </c>
      <c r="V1159">
        <v>0</v>
      </c>
      <c r="W1159">
        <v>0</v>
      </c>
      <c r="X1159">
        <v>1</v>
      </c>
      <c r="Z1159">
        <v>0</v>
      </c>
      <c r="AA1159">
        <v>9</v>
      </c>
      <c r="AB1159">
        <v>3</v>
      </c>
      <c r="AC1159">
        <v>0</v>
      </c>
      <c r="AD1159">
        <v>10</v>
      </c>
      <c r="AE1159">
        <v>0</v>
      </c>
      <c r="AF1159">
        <v>3</v>
      </c>
      <c r="AG1159">
        <v>2</v>
      </c>
      <c r="AH1159">
        <v>0</v>
      </c>
      <c r="AI1159" t="s">
        <v>2419</v>
      </c>
      <c r="AJ1159">
        <v>39.497781000000003</v>
      </c>
      <c r="AK1159" t="s">
        <v>2420</v>
      </c>
      <c r="AL1159">
        <v>-76.717894000000001</v>
      </c>
      <c r="AM1159">
        <v>100</v>
      </c>
      <c r="AN1159">
        <v>8700</v>
      </c>
      <c r="AO1159" t="s">
        <v>115</v>
      </c>
      <c r="AP1159">
        <v>167</v>
      </c>
      <c r="AQ1159">
        <v>89</v>
      </c>
      <c r="AR1159">
        <v>0</v>
      </c>
      <c r="AZ1159">
        <v>3614</v>
      </c>
      <c r="BA1159">
        <v>1</v>
      </c>
      <c r="BB1159" t="str">
        <f t="shared" si="53"/>
        <v xml:space="preserve">N959MJ  </v>
      </c>
      <c r="BC1159">
        <v>1</v>
      </c>
      <c r="BE1159">
        <v>0</v>
      </c>
      <c r="BF1159">
        <v>0</v>
      </c>
      <c r="BG1159">
        <v>0</v>
      </c>
      <c r="BH1159">
        <v>9025</v>
      </c>
      <c r="BI1159">
        <v>325</v>
      </c>
      <c r="BJ1159">
        <v>1</v>
      </c>
      <c r="BK1159">
        <v>1</v>
      </c>
      <c r="BL1159">
        <v>1</v>
      </c>
      <c r="BM1159">
        <v>0</v>
      </c>
      <c r="BP1159">
        <v>0</v>
      </c>
      <c r="BQ1159">
        <v>0</v>
      </c>
      <c r="BX1159" t="str">
        <f>"14:09:41.086"</f>
        <v>14:09:41.086</v>
      </c>
      <c r="BY1159" t="str">
        <f>"087616783"</f>
        <v>087616783</v>
      </c>
      <c r="CL1159">
        <v>0</v>
      </c>
      <c r="CM1159">
        <v>2</v>
      </c>
      <c r="CN1159">
        <v>0</v>
      </c>
      <c r="CO1159">
        <v>2</v>
      </c>
      <c r="CP1159">
        <v>0</v>
      </c>
      <c r="CQ1159">
        <v>6</v>
      </c>
      <c r="CR1159" t="s">
        <v>116</v>
      </c>
      <c r="CS1159">
        <v>396</v>
      </c>
      <c r="CT1159">
        <v>2</v>
      </c>
      <c r="CU1159" t="s">
        <v>939</v>
      </c>
      <c r="CV1159" t="s">
        <v>940</v>
      </c>
      <c r="CY1159">
        <v>4778613</v>
      </c>
      <c r="CZ1159" t="s">
        <v>119</v>
      </c>
    </row>
    <row r="1160" spans="1:104" x14ac:dyDescent="0.25">
      <c r="A1160" t="str">
        <f>"14:09:42.188"</f>
        <v>14:09:42.188</v>
      </c>
      <c r="B1160" t="s">
        <v>108</v>
      </c>
      <c r="C1160" t="str">
        <f t="shared" si="52"/>
        <v>ffdfd3c0</v>
      </c>
      <c r="D1160" t="s">
        <v>109</v>
      </c>
      <c r="E1160">
        <v>4</v>
      </c>
      <c r="F1160">
        <v>1004</v>
      </c>
      <c r="G1160" t="s">
        <v>110</v>
      </c>
      <c r="J1160" t="s">
        <v>111</v>
      </c>
      <c r="K1160">
        <v>0</v>
      </c>
      <c r="L1160">
        <v>3</v>
      </c>
      <c r="M1160">
        <v>0</v>
      </c>
      <c r="N1160">
        <v>2</v>
      </c>
      <c r="O1160">
        <v>1</v>
      </c>
      <c r="P1160">
        <v>0</v>
      </c>
      <c r="Q1160">
        <v>0</v>
      </c>
      <c r="R1160" t="s">
        <v>112</v>
      </c>
      <c r="S1160" t="str">
        <f>"14:09:41.992"</f>
        <v>14:09:41.992</v>
      </c>
      <c r="T1160" t="str">
        <f>"14:09:41.594"</f>
        <v>14:09:41.594</v>
      </c>
      <c r="U1160" t="str">
        <f t="shared" si="54"/>
        <v>ad5732</v>
      </c>
      <c r="V1160">
        <v>0</v>
      </c>
      <c r="W1160">
        <v>0</v>
      </c>
      <c r="X1160">
        <v>1</v>
      </c>
      <c r="Z1160">
        <v>0</v>
      </c>
      <c r="AA1160">
        <v>9</v>
      </c>
      <c r="AB1160">
        <v>3</v>
      </c>
      <c r="AC1160">
        <v>0</v>
      </c>
      <c r="AD1160">
        <v>10</v>
      </c>
      <c r="AE1160">
        <v>0</v>
      </c>
      <c r="AF1160">
        <v>3</v>
      </c>
      <c r="AG1160">
        <v>2</v>
      </c>
      <c r="AH1160">
        <v>0</v>
      </c>
      <c r="AI1160" t="s">
        <v>2421</v>
      </c>
      <c r="AJ1160">
        <v>39.498123999999997</v>
      </c>
      <c r="AK1160" t="s">
        <v>2422</v>
      </c>
      <c r="AL1160">
        <v>-76.716971000000001</v>
      </c>
      <c r="AM1160">
        <v>100</v>
      </c>
      <c r="AN1160">
        <v>8700</v>
      </c>
      <c r="AO1160" t="s">
        <v>115</v>
      </c>
      <c r="AP1160">
        <v>166</v>
      </c>
      <c r="AQ1160">
        <v>89</v>
      </c>
      <c r="AR1160">
        <v>-64</v>
      </c>
      <c r="AZ1160">
        <v>3614</v>
      </c>
      <c r="BA1160">
        <v>1</v>
      </c>
      <c r="BB1160" t="str">
        <f t="shared" si="53"/>
        <v xml:space="preserve">N959MJ  </v>
      </c>
      <c r="BC1160">
        <v>1</v>
      </c>
      <c r="BE1160">
        <v>0</v>
      </c>
      <c r="BF1160">
        <v>0</v>
      </c>
      <c r="BG1160">
        <v>0</v>
      </c>
      <c r="BH1160">
        <v>9025</v>
      </c>
      <c r="BI1160">
        <v>325</v>
      </c>
      <c r="BJ1160">
        <v>1</v>
      </c>
      <c r="BK1160">
        <v>1</v>
      </c>
      <c r="BL1160">
        <v>1</v>
      </c>
      <c r="BM1160">
        <v>0</v>
      </c>
      <c r="BP1160">
        <v>0</v>
      </c>
      <c r="BQ1160">
        <v>0</v>
      </c>
      <c r="BX1160" t="str">
        <f>"14:09:42.000"</f>
        <v>14:09:42.000</v>
      </c>
      <c r="BY1160" t="str">
        <f>"998603194"</f>
        <v>998603194</v>
      </c>
      <c r="CL1160">
        <v>0</v>
      </c>
      <c r="CM1160">
        <v>2</v>
      </c>
      <c r="CN1160">
        <v>0</v>
      </c>
      <c r="CO1160">
        <v>2</v>
      </c>
      <c r="CP1160">
        <v>0</v>
      </c>
      <c r="CQ1160">
        <v>6</v>
      </c>
      <c r="CR1160" t="s">
        <v>116</v>
      </c>
      <c r="CS1160">
        <v>525</v>
      </c>
      <c r="CT1160">
        <v>1</v>
      </c>
      <c r="CU1160" t="s">
        <v>140</v>
      </c>
      <c r="CV1160" t="s">
        <v>141</v>
      </c>
      <c r="CY1160">
        <v>8849462</v>
      </c>
      <c r="CZ1160" t="s">
        <v>119</v>
      </c>
    </row>
    <row r="1161" spans="1:104" x14ac:dyDescent="0.25">
      <c r="A1161" t="str">
        <f>"14:09:43.297"</f>
        <v>14:09:43.297</v>
      </c>
      <c r="B1161" t="s">
        <v>108</v>
      </c>
      <c r="C1161" t="str">
        <f t="shared" si="52"/>
        <v>ffdfd3c0</v>
      </c>
      <c r="D1161" t="s">
        <v>109</v>
      </c>
      <c r="E1161">
        <v>4</v>
      </c>
      <c r="F1161">
        <v>1004</v>
      </c>
      <c r="G1161" t="s">
        <v>110</v>
      </c>
      <c r="J1161" t="s">
        <v>111</v>
      </c>
      <c r="K1161">
        <v>0</v>
      </c>
      <c r="L1161">
        <v>3</v>
      </c>
      <c r="M1161">
        <v>0</v>
      </c>
      <c r="N1161">
        <v>2</v>
      </c>
      <c r="O1161">
        <v>1</v>
      </c>
      <c r="P1161">
        <v>0</v>
      </c>
      <c r="Q1161">
        <v>0</v>
      </c>
      <c r="R1161" t="s">
        <v>112</v>
      </c>
      <c r="S1161" t="str">
        <f>"14:09:43.117"</f>
        <v>14:09:43.117</v>
      </c>
      <c r="T1161" t="str">
        <f>"14:09:42.617"</f>
        <v>14:09:42.617</v>
      </c>
      <c r="U1161" t="str">
        <f t="shared" si="54"/>
        <v>ad5732</v>
      </c>
      <c r="V1161">
        <v>0</v>
      </c>
      <c r="W1161">
        <v>0</v>
      </c>
      <c r="X1161">
        <v>1</v>
      </c>
      <c r="Z1161">
        <v>0</v>
      </c>
      <c r="AA1161">
        <v>9</v>
      </c>
      <c r="AB1161">
        <v>3</v>
      </c>
      <c r="AC1161">
        <v>0</v>
      </c>
      <c r="AD1161">
        <v>10</v>
      </c>
      <c r="AE1161">
        <v>0</v>
      </c>
      <c r="AF1161">
        <v>3</v>
      </c>
      <c r="AG1161">
        <v>2</v>
      </c>
      <c r="AH1161">
        <v>0</v>
      </c>
      <c r="AI1161" t="s">
        <v>2423</v>
      </c>
      <c r="AJ1161">
        <v>39.498595999999999</v>
      </c>
      <c r="AK1161" t="s">
        <v>2424</v>
      </c>
      <c r="AL1161">
        <v>-76.715919999999997</v>
      </c>
      <c r="AM1161">
        <v>100</v>
      </c>
      <c r="AN1161">
        <v>8700</v>
      </c>
      <c r="AO1161" t="s">
        <v>115</v>
      </c>
      <c r="AP1161">
        <v>166</v>
      </c>
      <c r="AQ1161">
        <v>90</v>
      </c>
      <c r="AR1161">
        <v>0</v>
      </c>
      <c r="AZ1161">
        <v>3614</v>
      </c>
      <c r="BA1161">
        <v>1</v>
      </c>
      <c r="BB1161" t="str">
        <f t="shared" si="53"/>
        <v xml:space="preserve">N959MJ  </v>
      </c>
      <c r="BC1161">
        <v>1</v>
      </c>
      <c r="BE1161">
        <v>0</v>
      </c>
      <c r="BF1161">
        <v>0</v>
      </c>
      <c r="BG1161">
        <v>0</v>
      </c>
      <c r="BH1161">
        <v>9025</v>
      </c>
      <c r="BI1161">
        <v>325</v>
      </c>
      <c r="BJ1161">
        <v>1</v>
      </c>
      <c r="BK1161">
        <v>1</v>
      </c>
      <c r="BL1161">
        <v>1</v>
      </c>
      <c r="BM1161">
        <v>0</v>
      </c>
      <c r="BP1161">
        <v>0</v>
      </c>
      <c r="BQ1161">
        <v>0</v>
      </c>
      <c r="BX1161" t="str">
        <f>"14:09:43.117"</f>
        <v>14:09:43.117</v>
      </c>
      <c r="BY1161" t="str">
        <f>"119287750"</f>
        <v>119287750</v>
      </c>
      <c r="CL1161">
        <v>0</v>
      </c>
      <c r="CM1161">
        <v>2</v>
      </c>
      <c r="CN1161">
        <v>0</v>
      </c>
      <c r="CO1161">
        <v>2</v>
      </c>
      <c r="CP1161">
        <v>0</v>
      </c>
      <c r="CQ1161">
        <v>6</v>
      </c>
      <c r="CR1161" t="s">
        <v>116</v>
      </c>
      <c r="CS1161">
        <v>525</v>
      </c>
      <c r="CT1161">
        <v>1</v>
      </c>
      <c r="CU1161" t="s">
        <v>140</v>
      </c>
      <c r="CV1161" t="s">
        <v>141</v>
      </c>
      <c r="CY1161">
        <v>8851069</v>
      </c>
      <c r="CZ1161" t="s">
        <v>119</v>
      </c>
    </row>
    <row r="1162" spans="1:104" x14ac:dyDescent="0.25">
      <c r="A1162" t="str">
        <f>"14:09:44.258"</f>
        <v>14:09:44.258</v>
      </c>
      <c r="B1162" t="s">
        <v>108</v>
      </c>
      <c r="C1162" t="str">
        <f t="shared" ref="C1162:C1225" si="55">"ffdfd3c0"</f>
        <v>ffdfd3c0</v>
      </c>
      <c r="D1162" t="s">
        <v>109</v>
      </c>
      <c r="E1162">
        <v>4</v>
      </c>
      <c r="F1162">
        <v>1004</v>
      </c>
      <c r="G1162" t="s">
        <v>110</v>
      </c>
      <c r="J1162" t="s">
        <v>111</v>
      </c>
      <c r="K1162">
        <v>0</v>
      </c>
      <c r="L1162">
        <v>3</v>
      </c>
      <c r="M1162">
        <v>0</v>
      </c>
      <c r="N1162">
        <v>2</v>
      </c>
      <c r="O1162">
        <v>1</v>
      </c>
      <c r="P1162">
        <v>0</v>
      </c>
      <c r="Q1162">
        <v>0</v>
      </c>
      <c r="R1162" t="s">
        <v>112</v>
      </c>
      <c r="S1162" t="str">
        <f>"14:09:44.055"</f>
        <v>14:09:44.055</v>
      </c>
      <c r="T1162" t="str">
        <f>"14:09:43.656"</f>
        <v>14:09:43.656</v>
      </c>
      <c r="U1162" t="str">
        <f t="shared" si="54"/>
        <v>ad5732</v>
      </c>
      <c r="V1162">
        <v>0</v>
      </c>
      <c r="W1162">
        <v>0</v>
      </c>
      <c r="X1162">
        <v>1</v>
      </c>
      <c r="Z1162">
        <v>0</v>
      </c>
      <c r="AA1162">
        <v>9</v>
      </c>
      <c r="AB1162">
        <v>3</v>
      </c>
      <c r="AC1162">
        <v>0</v>
      </c>
      <c r="AD1162">
        <v>10</v>
      </c>
      <c r="AE1162">
        <v>0</v>
      </c>
      <c r="AF1162">
        <v>3</v>
      </c>
      <c r="AG1162">
        <v>2</v>
      </c>
      <c r="AH1162">
        <v>0</v>
      </c>
      <c r="AI1162" t="s">
        <v>2425</v>
      </c>
      <c r="AJ1162">
        <v>39.498961000000001</v>
      </c>
      <c r="AK1162" t="s">
        <v>2426</v>
      </c>
      <c r="AL1162">
        <v>-76.715018999999998</v>
      </c>
      <c r="AM1162">
        <v>100</v>
      </c>
      <c r="AN1162">
        <v>8700</v>
      </c>
      <c r="AO1162" t="s">
        <v>115</v>
      </c>
      <c r="AP1162">
        <v>166</v>
      </c>
      <c r="AQ1162">
        <v>90</v>
      </c>
      <c r="AR1162">
        <v>0</v>
      </c>
      <c r="AZ1162">
        <v>3614</v>
      </c>
      <c r="BA1162">
        <v>1</v>
      </c>
      <c r="BB1162" t="str">
        <f t="shared" ref="BB1162:BB1225" si="56">"N959MJ  "</f>
        <v xml:space="preserve">N959MJ  </v>
      </c>
      <c r="BC1162">
        <v>1</v>
      </c>
      <c r="BE1162">
        <v>0</v>
      </c>
      <c r="BF1162">
        <v>0</v>
      </c>
      <c r="BG1162">
        <v>0</v>
      </c>
      <c r="BH1162">
        <v>9025</v>
      </c>
      <c r="BI1162">
        <v>325</v>
      </c>
      <c r="BJ1162">
        <v>1</v>
      </c>
      <c r="BK1162">
        <v>1</v>
      </c>
      <c r="BL1162">
        <v>1</v>
      </c>
      <c r="BM1162">
        <v>0</v>
      </c>
      <c r="BP1162">
        <v>0</v>
      </c>
      <c r="BQ1162">
        <v>0</v>
      </c>
      <c r="BX1162" t="str">
        <f>"14:09:44.055"</f>
        <v>14:09:44.055</v>
      </c>
      <c r="BY1162" t="str">
        <f>"058107064"</f>
        <v>058107064</v>
      </c>
      <c r="CL1162">
        <v>0</v>
      </c>
      <c r="CM1162">
        <v>2</v>
      </c>
      <c r="CN1162">
        <v>0</v>
      </c>
      <c r="CO1162">
        <v>2</v>
      </c>
      <c r="CP1162">
        <v>0</v>
      </c>
      <c r="CQ1162">
        <v>6</v>
      </c>
      <c r="CR1162" t="s">
        <v>116</v>
      </c>
      <c r="CS1162">
        <v>525</v>
      </c>
      <c r="CT1162">
        <v>1</v>
      </c>
      <c r="CU1162" t="s">
        <v>140</v>
      </c>
      <c r="CV1162" t="s">
        <v>141</v>
      </c>
      <c r="CY1162">
        <v>8852438</v>
      </c>
      <c r="CZ1162" t="s">
        <v>119</v>
      </c>
    </row>
    <row r="1163" spans="1:104" x14ac:dyDescent="0.25">
      <c r="A1163" t="str">
        <f>"14:09:45.266"</f>
        <v>14:09:45.266</v>
      </c>
      <c r="B1163" t="s">
        <v>108</v>
      </c>
      <c r="C1163" t="str">
        <f t="shared" si="55"/>
        <v>ffdfd3c0</v>
      </c>
      <c r="D1163" t="s">
        <v>109</v>
      </c>
      <c r="E1163">
        <v>4</v>
      </c>
      <c r="F1163">
        <v>1004</v>
      </c>
      <c r="G1163" t="s">
        <v>110</v>
      </c>
      <c r="J1163" t="s">
        <v>111</v>
      </c>
      <c r="K1163">
        <v>0</v>
      </c>
      <c r="L1163">
        <v>3</v>
      </c>
      <c r="M1163">
        <v>0</v>
      </c>
      <c r="N1163">
        <v>2</v>
      </c>
      <c r="O1163">
        <v>1</v>
      </c>
      <c r="P1163">
        <v>0</v>
      </c>
      <c r="Q1163">
        <v>0</v>
      </c>
      <c r="R1163" t="s">
        <v>112</v>
      </c>
      <c r="S1163" t="str">
        <f>"14:09:45.070"</f>
        <v>14:09:45.070</v>
      </c>
      <c r="T1163" t="str">
        <f>"14:09:44.570"</f>
        <v>14:09:44.570</v>
      </c>
      <c r="U1163" t="str">
        <f t="shared" si="54"/>
        <v>ad5732</v>
      </c>
      <c r="V1163">
        <v>0</v>
      </c>
      <c r="W1163">
        <v>0</v>
      </c>
      <c r="X1163">
        <v>1</v>
      </c>
      <c r="Z1163">
        <v>0</v>
      </c>
      <c r="AA1163">
        <v>9</v>
      </c>
      <c r="AB1163">
        <v>3</v>
      </c>
      <c r="AC1163">
        <v>0</v>
      </c>
      <c r="AD1163">
        <v>10</v>
      </c>
      <c r="AE1163">
        <v>0</v>
      </c>
      <c r="AF1163">
        <v>3</v>
      </c>
      <c r="AG1163">
        <v>2</v>
      </c>
      <c r="AH1163">
        <v>0</v>
      </c>
      <c r="AI1163" t="s">
        <v>2427</v>
      </c>
      <c r="AJ1163">
        <v>39.499389999999998</v>
      </c>
      <c r="AK1163" t="s">
        <v>2428</v>
      </c>
      <c r="AL1163">
        <v>-76.714053000000007</v>
      </c>
      <c r="AM1163">
        <v>100</v>
      </c>
      <c r="AN1163">
        <v>8700</v>
      </c>
      <c r="AO1163" t="s">
        <v>115</v>
      </c>
      <c r="AP1163">
        <v>166</v>
      </c>
      <c r="AQ1163">
        <v>90</v>
      </c>
      <c r="AR1163">
        <v>0</v>
      </c>
      <c r="AZ1163">
        <v>3614</v>
      </c>
      <c r="BA1163">
        <v>1</v>
      </c>
      <c r="BB1163" t="str">
        <f t="shared" si="56"/>
        <v xml:space="preserve">N959MJ  </v>
      </c>
      <c r="BC1163">
        <v>1</v>
      </c>
      <c r="BE1163">
        <v>0</v>
      </c>
      <c r="BF1163">
        <v>0</v>
      </c>
      <c r="BG1163">
        <v>0</v>
      </c>
      <c r="BH1163">
        <v>9025</v>
      </c>
      <c r="BI1163">
        <v>325</v>
      </c>
      <c r="BJ1163">
        <v>1</v>
      </c>
      <c r="BK1163">
        <v>1</v>
      </c>
      <c r="BL1163">
        <v>1</v>
      </c>
      <c r="BM1163">
        <v>0</v>
      </c>
      <c r="BP1163">
        <v>0</v>
      </c>
      <c r="BQ1163">
        <v>0</v>
      </c>
      <c r="BX1163" t="str">
        <f>"14:09:45.070"</f>
        <v>14:09:45.070</v>
      </c>
      <c r="BY1163" t="str">
        <f>"073931789"</f>
        <v>073931789</v>
      </c>
      <c r="CL1163">
        <v>0</v>
      </c>
      <c r="CM1163">
        <v>2</v>
      </c>
      <c r="CN1163">
        <v>0</v>
      </c>
      <c r="CO1163">
        <v>2</v>
      </c>
      <c r="CP1163">
        <v>0</v>
      </c>
      <c r="CQ1163">
        <v>6</v>
      </c>
      <c r="CR1163" t="s">
        <v>116</v>
      </c>
      <c r="CS1163">
        <v>525</v>
      </c>
      <c r="CT1163">
        <v>1</v>
      </c>
      <c r="CU1163" t="s">
        <v>140</v>
      </c>
      <c r="CV1163" t="s">
        <v>141</v>
      </c>
      <c r="CY1163">
        <v>8853915</v>
      </c>
      <c r="CZ1163" t="s">
        <v>119</v>
      </c>
    </row>
    <row r="1164" spans="1:104" x14ac:dyDescent="0.25">
      <c r="A1164" t="str">
        <f>"14:09:46.172"</f>
        <v>14:09:46.172</v>
      </c>
      <c r="B1164" t="s">
        <v>108</v>
      </c>
      <c r="C1164" t="str">
        <f t="shared" si="55"/>
        <v>ffdfd3c0</v>
      </c>
      <c r="D1164" t="s">
        <v>109</v>
      </c>
      <c r="E1164">
        <v>4</v>
      </c>
      <c r="F1164">
        <v>1004</v>
      </c>
      <c r="G1164" t="s">
        <v>110</v>
      </c>
      <c r="J1164" t="s">
        <v>111</v>
      </c>
      <c r="K1164">
        <v>0</v>
      </c>
      <c r="L1164">
        <v>3</v>
      </c>
      <c r="M1164">
        <v>0</v>
      </c>
      <c r="N1164">
        <v>2</v>
      </c>
      <c r="O1164">
        <v>1</v>
      </c>
      <c r="P1164">
        <v>0</v>
      </c>
      <c r="Q1164">
        <v>0</v>
      </c>
      <c r="R1164" t="s">
        <v>112</v>
      </c>
      <c r="S1164" t="str">
        <f>"14:09:45.977"</f>
        <v>14:09:45.977</v>
      </c>
      <c r="T1164" t="str">
        <f>"14:09:45.578"</f>
        <v>14:09:45.578</v>
      </c>
      <c r="U1164" t="str">
        <f t="shared" si="54"/>
        <v>ad5732</v>
      </c>
      <c r="V1164">
        <v>0</v>
      </c>
      <c r="W1164">
        <v>0</v>
      </c>
      <c r="X1164">
        <v>1</v>
      </c>
      <c r="Z1164">
        <v>0</v>
      </c>
      <c r="AA1164">
        <v>9</v>
      </c>
      <c r="AB1164">
        <v>3</v>
      </c>
      <c r="AC1164">
        <v>0</v>
      </c>
      <c r="AD1164">
        <v>10</v>
      </c>
      <c r="AE1164">
        <v>0</v>
      </c>
      <c r="AF1164">
        <v>3</v>
      </c>
      <c r="AG1164">
        <v>2</v>
      </c>
      <c r="AH1164">
        <v>0</v>
      </c>
      <c r="AI1164" t="s">
        <v>2429</v>
      </c>
      <c r="AJ1164">
        <v>39.499732999999999</v>
      </c>
      <c r="AK1164" t="s">
        <v>2430</v>
      </c>
      <c r="AL1164">
        <v>-76.713109000000003</v>
      </c>
      <c r="AM1164">
        <v>100</v>
      </c>
      <c r="AN1164">
        <v>8700</v>
      </c>
      <c r="AO1164" t="s">
        <v>115</v>
      </c>
      <c r="AP1164">
        <v>166</v>
      </c>
      <c r="AQ1164">
        <v>90</v>
      </c>
      <c r="AR1164">
        <v>0</v>
      </c>
      <c r="AZ1164">
        <v>3614</v>
      </c>
      <c r="BA1164">
        <v>1</v>
      </c>
      <c r="BB1164" t="str">
        <f t="shared" si="56"/>
        <v xml:space="preserve">N959MJ  </v>
      </c>
      <c r="BC1164">
        <v>1</v>
      </c>
      <c r="BE1164">
        <v>0</v>
      </c>
      <c r="BF1164">
        <v>0</v>
      </c>
      <c r="BG1164">
        <v>0</v>
      </c>
      <c r="BH1164">
        <v>9025</v>
      </c>
      <c r="BI1164">
        <v>325</v>
      </c>
      <c r="BJ1164">
        <v>1</v>
      </c>
      <c r="BK1164">
        <v>1</v>
      </c>
      <c r="BL1164">
        <v>1</v>
      </c>
      <c r="BM1164">
        <v>0</v>
      </c>
      <c r="BP1164">
        <v>0</v>
      </c>
      <c r="BQ1164">
        <v>0</v>
      </c>
      <c r="BX1164" t="str">
        <f>"14:09:45.977"</f>
        <v>14:09:45.977</v>
      </c>
      <c r="BY1164" t="str">
        <f>"978343839"</f>
        <v>978343839</v>
      </c>
      <c r="CL1164">
        <v>0</v>
      </c>
      <c r="CM1164">
        <v>2</v>
      </c>
      <c r="CN1164">
        <v>0</v>
      </c>
      <c r="CO1164">
        <v>2</v>
      </c>
      <c r="CP1164">
        <v>0</v>
      </c>
      <c r="CQ1164">
        <v>6</v>
      </c>
      <c r="CR1164" t="s">
        <v>116</v>
      </c>
      <c r="CS1164">
        <v>525</v>
      </c>
      <c r="CT1164">
        <v>1</v>
      </c>
      <c r="CU1164" t="s">
        <v>140</v>
      </c>
      <c r="CV1164" t="s">
        <v>141</v>
      </c>
      <c r="CY1164">
        <v>8855270</v>
      </c>
      <c r="CZ1164" t="s">
        <v>119</v>
      </c>
    </row>
    <row r="1165" spans="1:104" x14ac:dyDescent="0.25">
      <c r="A1165" t="str">
        <f>"14:09:46.984"</f>
        <v>14:09:46.984</v>
      </c>
      <c r="B1165" t="s">
        <v>108</v>
      </c>
      <c r="C1165" t="str">
        <f t="shared" si="55"/>
        <v>ffdfd3c0</v>
      </c>
      <c r="D1165" t="s">
        <v>109</v>
      </c>
      <c r="E1165">
        <v>4</v>
      </c>
      <c r="F1165">
        <v>1004</v>
      </c>
      <c r="G1165" t="s">
        <v>110</v>
      </c>
      <c r="J1165" t="s">
        <v>111</v>
      </c>
      <c r="K1165">
        <v>0</v>
      </c>
      <c r="L1165">
        <v>3</v>
      </c>
      <c r="M1165">
        <v>0</v>
      </c>
      <c r="N1165">
        <v>2</v>
      </c>
      <c r="O1165">
        <v>1</v>
      </c>
      <c r="P1165">
        <v>0</v>
      </c>
      <c r="Q1165">
        <v>0</v>
      </c>
      <c r="R1165" t="s">
        <v>112</v>
      </c>
      <c r="S1165" t="str">
        <f>"14:09:46.820"</f>
        <v>14:09:46.820</v>
      </c>
      <c r="T1165" t="str">
        <f>"14:09:46.422"</f>
        <v>14:09:46.422</v>
      </c>
      <c r="U1165" t="str">
        <f t="shared" si="54"/>
        <v>ad5732</v>
      </c>
      <c r="V1165">
        <v>0</v>
      </c>
      <c r="W1165">
        <v>0</v>
      </c>
      <c r="X1165">
        <v>1</v>
      </c>
      <c r="Z1165">
        <v>0</v>
      </c>
      <c r="AA1165">
        <v>9</v>
      </c>
      <c r="AB1165">
        <v>3</v>
      </c>
      <c r="AC1165">
        <v>0</v>
      </c>
      <c r="AD1165">
        <v>10</v>
      </c>
      <c r="AE1165">
        <v>0</v>
      </c>
      <c r="AF1165">
        <v>3</v>
      </c>
      <c r="AG1165">
        <v>2</v>
      </c>
      <c r="AH1165">
        <v>0</v>
      </c>
      <c r="AI1165" t="s">
        <v>2431</v>
      </c>
      <c r="AJ1165">
        <v>39.500140999999999</v>
      </c>
      <c r="AK1165" t="s">
        <v>2432</v>
      </c>
      <c r="AL1165">
        <v>-76.712271999999999</v>
      </c>
      <c r="AM1165">
        <v>100</v>
      </c>
      <c r="AN1165">
        <v>8700</v>
      </c>
      <c r="AO1165" t="s">
        <v>115</v>
      </c>
      <c r="AP1165">
        <v>166</v>
      </c>
      <c r="AQ1165">
        <v>90</v>
      </c>
      <c r="AR1165">
        <v>0</v>
      </c>
      <c r="AZ1165">
        <v>3614</v>
      </c>
      <c r="BA1165">
        <v>1</v>
      </c>
      <c r="BB1165" t="str">
        <f t="shared" si="56"/>
        <v xml:space="preserve">N959MJ  </v>
      </c>
      <c r="BC1165">
        <v>1</v>
      </c>
      <c r="BE1165">
        <v>0</v>
      </c>
      <c r="BF1165">
        <v>0</v>
      </c>
      <c r="BG1165">
        <v>0</v>
      </c>
      <c r="BH1165">
        <v>9025</v>
      </c>
      <c r="BI1165">
        <v>325</v>
      </c>
      <c r="BJ1165">
        <v>1</v>
      </c>
      <c r="BK1165">
        <v>1</v>
      </c>
      <c r="BL1165">
        <v>1</v>
      </c>
      <c r="BM1165">
        <v>0</v>
      </c>
      <c r="BP1165">
        <v>0</v>
      </c>
      <c r="BQ1165">
        <v>0</v>
      </c>
      <c r="BX1165" t="str">
        <f>"14:09:46.820"</f>
        <v>14:09:46.820</v>
      </c>
      <c r="BY1165" t="str">
        <f>"822134070"</f>
        <v>822134070</v>
      </c>
      <c r="CL1165">
        <v>0</v>
      </c>
      <c r="CM1165">
        <v>2</v>
      </c>
      <c r="CN1165">
        <v>0</v>
      </c>
      <c r="CO1165">
        <v>2</v>
      </c>
      <c r="CP1165">
        <v>0</v>
      </c>
      <c r="CQ1165">
        <v>6</v>
      </c>
      <c r="CR1165" t="s">
        <v>116</v>
      </c>
      <c r="CS1165">
        <v>525</v>
      </c>
      <c r="CT1165">
        <v>1</v>
      </c>
      <c r="CU1165" t="s">
        <v>140</v>
      </c>
      <c r="CV1165" t="s">
        <v>141</v>
      </c>
      <c r="CY1165">
        <v>8856439</v>
      </c>
      <c r="CZ1165" t="s">
        <v>119</v>
      </c>
    </row>
    <row r="1166" spans="1:104" x14ac:dyDescent="0.25">
      <c r="A1166" t="str">
        <f>"14:09:48.094"</f>
        <v>14:09:48.094</v>
      </c>
      <c r="B1166" t="s">
        <v>108</v>
      </c>
      <c r="C1166" t="str">
        <f t="shared" si="55"/>
        <v>ffdfd3c0</v>
      </c>
      <c r="D1166" t="s">
        <v>109</v>
      </c>
      <c r="E1166">
        <v>4</v>
      </c>
      <c r="F1166">
        <v>1004</v>
      </c>
      <c r="G1166" t="s">
        <v>110</v>
      </c>
      <c r="J1166" t="s">
        <v>111</v>
      </c>
      <c r="K1166">
        <v>0</v>
      </c>
      <c r="L1166">
        <v>3</v>
      </c>
      <c r="M1166">
        <v>0</v>
      </c>
      <c r="N1166">
        <v>2</v>
      </c>
      <c r="O1166">
        <v>1</v>
      </c>
      <c r="P1166">
        <v>0</v>
      </c>
      <c r="Q1166">
        <v>0</v>
      </c>
      <c r="R1166" t="s">
        <v>112</v>
      </c>
      <c r="S1166" t="str">
        <f>"14:09:47.898"</f>
        <v>14:09:47.898</v>
      </c>
      <c r="T1166" t="str">
        <f>"14:09:47.500"</f>
        <v>14:09:47.500</v>
      </c>
      <c r="U1166" t="str">
        <f t="shared" si="54"/>
        <v>ad5732</v>
      </c>
      <c r="V1166">
        <v>0</v>
      </c>
      <c r="W1166">
        <v>0</v>
      </c>
      <c r="X1166">
        <v>1</v>
      </c>
      <c r="Z1166">
        <v>0</v>
      </c>
      <c r="AA1166">
        <v>9</v>
      </c>
      <c r="AB1166">
        <v>3</v>
      </c>
      <c r="AC1166">
        <v>0</v>
      </c>
      <c r="AD1166">
        <v>10</v>
      </c>
      <c r="AE1166">
        <v>0</v>
      </c>
      <c r="AF1166">
        <v>3</v>
      </c>
      <c r="AG1166">
        <v>2</v>
      </c>
      <c r="AH1166">
        <v>0</v>
      </c>
      <c r="AI1166" t="s">
        <v>2433</v>
      </c>
      <c r="AJ1166">
        <v>39.500613000000001</v>
      </c>
      <c r="AK1166" t="s">
        <v>2434</v>
      </c>
      <c r="AL1166">
        <v>-76.711134999999999</v>
      </c>
      <c r="AM1166">
        <v>100</v>
      </c>
      <c r="AN1166">
        <v>8700</v>
      </c>
      <c r="AO1166" t="s">
        <v>115</v>
      </c>
      <c r="AP1166">
        <v>165</v>
      </c>
      <c r="AQ1166">
        <v>90</v>
      </c>
      <c r="AR1166">
        <v>0</v>
      </c>
      <c r="AZ1166">
        <v>3614</v>
      </c>
      <c r="BA1166">
        <v>1</v>
      </c>
      <c r="BB1166" t="str">
        <f t="shared" si="56"/>
        <v xml:space="preserve">N959MJ  </v>
      </c>
      <c r="BC1166">
        <v>1</v>
      </c>
      <c r="BE1166">
        <v>0</v>
      </c>
      <c r="BF1166">
        <v>0</v>
      </c>
      <c r="BG1166">
        <v>0</v>
      </c>
      <c r="BH1166">
        <v>9025</v>
      </c>
      <c r="BI1166">
        <v>325</v>
      </c>
      <c r="BJ1166">
        <v>1</v>
      </c>
      <c r="BK1166">
        <v>1</v>
      </c>
      <c r="BL1166">
        <v>1</v>
      </c>
      <c r="BM1166">
        <v>0</v>
      </c>
      <c r="BP1166">
        <v>0</v>
      </c>
      <c r="BQ1166">
        <v>0</v>
      </c>
      <c r="BX1166" t="str">
        <f>"14:09:47.898"</f>
        <v>14:09:47.898</v>
      </c>
      <c r="BY1166" t="str">
        <f>"898556775"</f>
        <v>898556775</v>
      </c>
      <c r="CL1166">
        <v>0</v>
      </c>
      <c r="CM1166">
        <v>2</v>
      </c>
      <c r="CN1166">
        <v>0</v>
      </c>
      <c r="CO1166">
        <v>2</v>
      </c>
      <c r="CP1166">
        <v>0</v>
      </c>
      <c r="CQ1166">
        <v>4</v>
      </c>
      <c r="CR1166" t="s">
        <v>116</v>
      </c>
      <c r="CS1166">
        <v>396</v>
      </c>
      <c r="CT1166">
        <v>1</v>
      </c>
      <c r="CU1166" t="s">
        <v>939</v>
      </c>
      <c r="CV1166" t="s">
        <v>940</v>
      </c>
      <c r="CY1166">
        <v>8386989</v>
      </c>
      <c r="CZ1166" t="s">
        <v>119</v>
      </c>
    </row>
    <row r="1167" spans="1:104" x14ac:dyDescent="0.25">
      <c r="A1167" t="str">
        <f>"14:09:49.000"</f>
        <v>14:09:49.000</v>
      </c>
      <c r="B1167" t="s">
        <v>108</v>
      </c>
      <c r="C1167" t="str">
        <f t="shared" si="55"/>
        <v>ffdfd3c0</v>
      </c>
      <c r="D1167" t="s">
        <v>109</v>
      </c>
      <c r="E1167">
        <v>4</v>
      </c>
      <c r="F1167">
        <v>1004</v>
      </c>
      <c r="G1167" t="s">
        <v>110</v>
      </c>
      <c r="J1167" t="s">
        <v>111</v>
      </c>
      <c r="K1167">
        <v>0</v>
      </c>
      <c r="L1167">
        <v>3</v>
      </c>
      <c r="M1167">
        <v>0</v>
      </c>
      <c r="N1167">
        <v>2</v>
      </c>
      <c r="O1167">
        <v>1</v>
      </c>
      <c r="P1167">
        <v>0</v>
      </c>
      <c r="Q1167">
        <v>0</v>
      </c>
      <c r="R1167" t="s">
        <v>112</v>
      </c>
      <c r="S1167" t="str">
        <f>"14:09:48.844"</f>
        <v>14:09:48.844</v>
      </c>
      <c r="T1167" t="str">
        <f>"14:09:48.445"</f>
        <v>14:09:48.445</v>
      </c>
      <c r="U1167" t="str">
        <f t="shared" si="54"/>
        <v>ad5732</v>
      </c>
      <c r="V1167">
        <v>0</v>
      </c>
      <c r="W1167">
        <v>0</v>
      </c>
      <c r="X1167">
        <v>1</v>
      </c>
      <c r="Z1167">
        <v>0</v>
      </c>
      <c r="AA1167">
        <v>9</v>
      </c>
      <c r="AB1167">
        <v>3</v>
      </c>
      <c r="AC1167">
        <v>0</v>
      </c>
      <c r="AD1167">
        <v>10</v>
      </c>
      <c r="AE1167">
        <v>0</v>
      </c>
      <c r="AF1167">
        <v>3</v>
      </c>
      <c r="AG1167">
        <v>2</v>
      </c>
      <c r="AH1167">
        <v>0</v>
      </c>
      <c r="AI1167" t="s">
        <v>2435</v>
      </c>
      <c r="AJ1167">
        <v>39.500978000000003</v>
      </c>
      <c r="AK1167" t="s">
        <v>2436</v>
      </c>
      <c r="AL1167">
        <v>-76.710277000000005</v>
      </c>
      <c r="AM1167">
        <v>100</v>
      </c>
      <c r="AN1167">
        <v>8700</v>
      </c>
      <c r="AO1167" t="s">
        <v>115</v>
      </c>
      <c r="AP1167">
        <v>165</v>
      </c>
      <c r="AQ1167">
        <v>90</v>
      </c>
      <c r="AR1167">
        <v>64</v>
      </c>
      <c r="AZ1167">
        <v>3614</v>
      </c>
      <c r="BA1167">
        <v>1</v>
      </c>
      <c r="BB1167" t="str">
        <f t="shared" si="56"/>
        <v xml:space="preserve">N959MJ  </v>
      </c>
      <c r="BC1167">
        <v>1</v>
      </c>
      <c r="BE1167">
        <v>0</v>
      </c>
      <c r="BF1167">
        <v>0</v>
      </c>
      <c r="BG1167">
        <v>0</v>
      </c>
      <c r="BH1167">
        <v>9025</v>
      </c>
      <c r="BI1167">
        <v>325</v>
      </c>
      <c r="BJ1167">
        <v>1</v>
      </c>
      <c r="BK1167">
        <v>1</v>
      </c>
      <c r="BL1167">
        <v>1</v>
      </c>
      <c r="BM1167">
        <v>0</v>
      </c>
      <c r="BP1167">
        <v>0</v>
      </c>
      <c r="BQ1167">
        <v>0</v>
      </c>
      <c r="BX1167" t="str">
        <f>"14:09:48.844"</f>
        <v>14:09:48.844</v>
      </c>
      <c r="BY1167" t="str">
        <f>"843953790"</f>
        <v>843953790</v>
      </c>
      <c r="CL1167">
        <v>0</v>
      </c>
      <c r="CM1167">
        <v>2</v>
      </c>
      <c r="CN1167">
        <v>0</v>
      </c>
      <c r="CO1167">
        <v>2</v>
      </c>
      <c r="CP1167">
        <v>0</v>
      </c>
      <c r="CQ1167">
        <v>6</v>
      </c>
      <c r="CR1167" t="s">
        <v>116</v>
      </c>
      <c r="CS1167">
        <v>525</v>
      </c>
      <c r="CT1167">
        <v>1</v>
      </c>
      <c r="CU1167" t="s">
        <v>140</v>
      </c>
      <c r="CV1167" t="s">
        <v>141</v>
      </c>
      <c r="CY1167">
        <v>8859371</v>
      </c>
      <c r="CZ1167" t="s">
        <v>119</v>
      </c>
    </row>
    <row r="1168" spans="1:104" x14ac:dyDescent="0.25">
      <c r="A1168" t="str">
        <f>"14:09:49.906"</f>
        <v>14:09:49.906</v>
      </c>
      <c r="B1168" t="s">
        <v>108</v>
      </c>
      <c r="C1168" t="str">
        <f t="shared" si="55"/>
        <v>ffdfd3c0</v>
      </c>
      <c r="D1168" t="s">
        <v>109</v>
      </c>
      <c r="E1168">
        <v>4</v>
      </c>
      <c r="F1168">
        <v>1004</v>
      </c>
      <c r="G1168" t="s">
        <v>110</v>
      </c>
      <c r="J1168" t="s">
        <v>111</v>
      </c>
      <c r="K1168">
        <v>0</v>
      </c>
      <c r="L1168">
        <v>3</v>
      </c>
      <c r="M1168">
        <v>0</v>
      </c>
      <c r="N1168">
        <v>2</v>
      </c>
      <c r="O1168">
        <v>1</v>
      </c>
      <c r="P1168">
        <v>0</v>
      </c>
      <c r="Q1168">
        <v>0</v>
      </c>
      <c r="R1168" t="s">
        <v>112</v>
      </c>
      <c r="S1168" t="str">
        <f>"14:09:49.727"</f>
        <v>14:09:49.727</v>
      </c>
      <c r="T1168" t="str">
        <f>"14:09:49.328"</f>
        <v>14:09:49.328</v>
      </c>
      <c r="U1168" t="str">
        <f t="shared" si="54"/>
        <v>ad5732</v>
      </c>
      <c r="V1168">
        <v>0</v>
      </c>
      <c r="W1168">
        <v>0</v>
      </c>
      <c r="X1168">
        <v>1</v>
      </c>
      <c r="Z1168">
        <v>0</v>
      </c>
      <c r="AA1168">
        <v>9</v>
      </c>
      <c r="AB1168">
        <v>3</v>
      </c>
      <c r="AC1168">
        <v>0</v>
      </c>
      <c r="AD1168">
        <v>10</v>
      </c>
      <c r="AE1168">
        <v>0</v>
      </c>
      <c r="AF1168">
        <v>3</v>
      </c>
      <c r="AG1168">
        <v>2</v>
      </c>
      <c r="AH1168">
        <v>0</v>
      </c>
      <c r="AI1168" t="s">
        <v>2437</v>
      </c>
      <c r="AJ1168">
        <v>39.501342999999999</v>
      </c>
      <c r="AK1168" t="s">
        <v>2438</v>
      </c>
      <c r="AL1168">
        <v>-76.709417999999999</v>
      </c>
      <c r="AM1168">
        <v>100</v>
      </c>
      <c r="AN1168">
        <v>8700</v>
      </c>
      <c r="AO1168" t="s">
        <v>115</v>
      </c>
      <c r="AP1168">
        <v>165</v>
      </c>
      <c r="AQ1168">
        <v>90</v>
      </c>
      <c r="AR1168">
        <v>64</v>
      </c>
      <c r="AZ1168">
        <v>3614</v>
      </c>
      <c r="BA1168">
        <v>1</v>
      </c>
      <c r="BB1168" t="str">
        <f t="shared" si="56"/>
        <v xml:space="preserve">N959MJ  </v>
      </c>
      <c r="BC1168">
        <v>1</v>
      </c>
      <c r="BE1168">
        <v>0</v>
      </c>
      <c r="BF1168">
        <v>0</v>
      </c>
      <c r="BG1168">
        <v>0</v>
      </c>
      <c r="BH1168">
        <v>9025</v>
      </c>
      <c r="BI1168">
        <v>325</v>
      </c>
      <c r="BJ1168">
        <v>1</v>
      </c>
      <c r="BK1168">
        <v>1</v>
      </c>
      <c r="BL1168">
        <v>1</v>
      </c>
      <c r="BM1168">
        <v>0</v>
      </c>
      <c r="BP1168">
        <v>0</v>
      </c>
      <c r="BQ1168">
        <v>0</v>
      </c>
      <c r="BX1168" t="str">
        <f>"14:09:49.727"</f>
        <v>14:09:49.727</v>
      </c>
      <c r="BY1168" t="str">
        <f>"730317932"</f>
        <v>730317932</v>
      </c>
      <c r="CL1168">
        <v>0</v>
      </c>
      <c r="CM1168">
        <v>2</v>
      </c>
      <c r="CN1168">
        <v>0</v>
      </c>
      <c r="CO1168">
        <v>2</v>
      </c>
      <c r="CP1168">
        <v>0</v>
      </c>
      <c r="CQ1168">
        <v>6</v>
      </c>
      <c r="CR1168" t="s">
        <v>116</v>
      </c>
      <c r="CS1168">
        <v>396</v>
      </c>
      <c r="CT1168">
        <v>2</v>
      </c>
      <c r="CU1168" t="s">
        <v>939</v>
      </c>
      <c r="CV1168" t="s">
        <v>940</v>
      </c>
      <c r="CY1168">
        <v>4794249</v>
      </c>
      <c r="CZ1168" t="s">
        <v>119</v>
      </c>
    </row>
    <row r="1169" spans="1:104" x14ac:dyDescent="0.25">
      <c r="A1169" t="str">
        <f>"14:09:50.766"</f>
        <v>14:09:50.766</v>
      </c>
      <c r="B1169" t="s">
        <v>108</v>
      </c>
      <c r="C1169" t="str">
        <f t="shared" si="55"/>
        <v>ffdfd3c0</v>
      </c>
      <c r="D1169" t="s">
        <v>109</v>
      </c>
      <c r="E1169">
        <v>4</v>
      </c>
      <c r="F1169">
        <v>1004</v>
      </c>
      <c r="G1169" t="s">
        <v>110</v>
      </c>
      <c r="J1169" t="s">
        <v>111</v>
      </c>
      <c r="K1169">
        <v>0</v>
      </c>
      <c r="L1169">
        <v>3</v>
      </c>
      <c r="M1169">
        <v>0</v>
      </c>
      <c r="N1169">
        <v>2</v>
      </c>
      <c r="O1169">
        <v>1</v>
      </c>
      <c r="P1169">
        <v>0</v>
      </c>
      <c r="Q1169">
        <v>0</v>
      </c>
      <c r="R1169" t="s">
        <v>112</v>
      </c>
      <c r="S1169" t="str">
        <f>"14:09:50.594"</f>
        <v>14:09:50.594</v>
      </c>
      <c r="T1169" t="str">
        <f>"14:09:50.195"</f>
        <v>14:09:50.195</v>
      </c>
      <c r="U1169" t="str">
        <f t="shared" si="54"/>
        <v>ad5732</v>
      </c>
      <c r="V1169">
        <v>0</v>
      </c>
      <c r="W1169">
        <v>0</v>
      </c>
      <c r="X1169">
        <v>1</v>
      </c>
      <c r="Z1169">
        <v>0</v>
      </c>
      <c r="AA1169">
        <v>9</v>
      </c>
      <c r="AB1169">
        <v>3</v>
      </c>
      <c r="AC1169">
        <v>0</v>
      </c>
      <c r="AD1169">
        <v>10</v>
      </c>
      <c r="AE1169">
        <v>0</v>
      </c>
      <c r="AF1169">
        <v>3</v>
      </c>
      <c r="AG1169">
        <v>2</v>
      </c>
      <c r="AH1169">
        <v>0</v>
      </c>
      <c r="AI1169" t="s">
        <v>2439</v>
      </c>
      <c r="AJ1169">
        <v>39.501708000000001</v>
      </c>
      <c r="AK1169" t="s">
        <v>2440</v>
      </c>
      <c r="AL1169">
        <v>-76.708495999999997</v>
      </c>
      <c r="AM1169">
        <v>100</v>
      </c>
      <c r="AN1169">
        <v>8700</v>
      </c>
      <c r="AO1169" t="s">
        <v>115</v>
      </c>
      <c r="AP1169">
        <v>165</v>
      </c>
      <c r="AQ1169">
        <v>90</v>
      </c>
      <c r="AR1169">
        <v>64</v>
      </c>
      <c r="AZ1169">
        <v>3614</v>
      </c>
      <c r="BA1169">
        <v>1</v>
      </c>
      <c r="BB1169" t="str">
        <f t="shared" si="56"/>
        <v xml:space="preserve">N959MJ  </v>
      </c>
      <c r="BC1169">
        <v>1</v>
      </c>
      <c r="BE1169">
        <v>0</v>
      </c>
      <c r="BF1169">
        <v>0</v>
      </c>
      <c r="BG1169">
        <v>0</v>
      </c>
      <c r="BH1169">
        <v>9025</v>
      </c>
      <c r="BI1169">
        <v>325</v>
      </c>
      <c r="BJ1169">
        <v>1</v>
      </c>
      <c r="BK1169">
        <v>1</v>
      </c>
      <c r="BL1169">
        <v>1</v>
      </c>
      <c r="BM1169">
        <v>0</v>
      </c>
      <c r="BP1169">
        <v>0</v>
      </c>
      <c r="BQ1169">
        <v>0</v>
      </c>
      <c r="BX1169" t="str">
        <f>"14:09:50.594"</f>
        <v>14:09:50.594</v>
      </c>
      <c r="BY1169" t="str">
        <f>"593768935"</f>
        <v>593768935</v>
      </c>
      <c r="CL1169">
        <v>0</v>
      </c>
      <c r="CM1169">
        <v>2</v>
      </c>
      <c r="CN1169">
        <v>0</v>
      </c>
      <c r="CO1169">
        <v>2</v>
      </c>
      <c r="CP1169">
        <v>0</v>
      </c>
      <c r="CQ1169">
        <v>6</v>
      </c>
      <c r="CR1169" t="s">
        <v>116</v>
      </c>
      <c r="CS1169">
        <v>396</v>
      </c>
      <c r="CT1169">
        <v>2</v>
      </c>
      <c r="CU1169" t="s">
        <v>939</v>
      </c>
      <c r="CV1169" t="s">
        <v>940</v>
      </c>
      <c r="CY1169">
        <v>4795795</v>
      </c>
      <c r="CZ1169" t="s">
        <v>119</v>
      </c>
    </row>
    <row r="1170" spans="1:104" x14ac:dyDescent="0.25">
      <c r="A1170" t="str">
        <f>"14:09:51.672"</f>
        <v>14:09:51.672</v>
      </c>
      <c r="B1170" t="s">
        <v>108</v>
      </c>
      <c r="C1170" t="str">
        <f t="shared" si="55"/>
        <v>ffdfd3c0</v>
      </c>
      <c r="D1170" t="s">
        <v>109</v>
      </c>
      <c r="E1170">
        <v>4</v>
      </c>
      <c r="F1170">
        <v>1004</v>
      </c>
      <c r="G1170" t="s">
        <v>110</v>
      </c>
      <c r="J1170" t="s">
        <v>111</v>
      </c>
      <c r="K1170">
        <v>0</v>
      </c>
      <c r="L1170">
        <v>3</v>
      </c>
      <c r="M1170">
        <v>0</v>
      </c>
      <c r="N1170">
        <v>2</v>
      </c>
      <c r="O1170">
        <v>1</v>
      </c>
      <c r="P1170">
        <v>0</v>
      </c>
      <c r="Q1170">
        <v>0</v>
      </c>
      <c r="R1170" t="s">
        <v>112</v>
      </c>
      <c r="S1170" t="str">
        <f>"14:09:51.477"</f>
        <v>14:09:51.477</v>
      </c>
      <c r="T1170" t="str">
        <f>"14:09:51.078"</f>
        <v>14:09:51.078</v>
      </c>
      <c r="U1170" t="str">
        <f t="shared" si="54"/>
        <v>ad5732</v>
      </c>
      <c r="V1170">
        <v>0</v>
      </c>
      <c r="W1170">
        <v>0</v>
      </c>
      <c r="X1170">
        <v>1</v>
      </c>
      <c r="Z1170">
        <v>0</v>
      </c>
      <c r="AA1170">
        <v>9</v>
      </c>
      <c r="AB1170">
        <v>3</v>
      </c>
      <c r="AC1170">
        <v>0</v>
      </c>
      <c r="AD1170">
        <v>10</v>
      </c>
      <c r="AE1170">
        <v>0</v>
      </c>
      <c r="AF1170">
        <v>3</v>
      </c>
      <c r="AG1170">
        <v>2</v>
      </c>
      <c r="AH1170">
        <v>0</v>
      </c>
      <c r="AI1170" t="s">
        <v>2441</v>
      </c>
      <c r="AJ1170">
        <v>39.502094</v>
      </c>
      <c r="AK1170" t="s">
        <v>2442</v>
      </c>
      <c r="AL1170">
        <v>-76.707701999999998</v>
      </c>
      <c r="AM1170">
        <v>100</v>
      </c>
      <c r="AN1170">
        <v>8700</v>
      </c>
      <c r="AO1170" t="s">
        <v>115</v>
      </c>
      <c r="AP1170">
        <v>165</v>
      </c>
      <c r="AQ1170">
        <v>90</v>
      </c>
      <c r="AR1170">
        <v>0</v>
      </c>
      <c r="AZ1170">
        <v>3614</v>
      </c>
      <c r="BA1170">
        <v>1</v>
      </c>
      <c r="BB1170" t="str">
        <f t="shared" si="56"/>
        <v xml:space="preserve">N959MJ  </v>
      </c>
      <c r="BC1170">
        <v>1</v>
      </c>
      <c r="BE1170">
        <v>0</v>
      </c>
      <c r="BF1170">
        <v>0</v>
      </c>
      <c r="BG1170">
        <v>0</v>
      </c>
      <c r="BH1170">
        <v>9025</v>
      </c>
      <c r="BI1170">
        <v>325</v>
      </c>
      <c r="BJ1170">
        <v>1</v>
      </c>
      <c r="BK1170">
        <v>1</v>
      </c>
      <c r="BL1170">
        <v>1</v>
      </c>
      <c r="BM1170">
        <v>0</v>
      </c>
      <c r="BP1170">
        <v>0</v>
      </c>
      <c r="BQ1170">
        <v>0</v>
      </c>
      <c r="BX1170" t="str">
        <f>"14:09:51.484"</f>
        <v>14:09:51.484</v>
      </c>
      <c r="BY1170" t="str">
        <f>"481796155"</f>
        <v>481796155</v>
      </c>
      <c r="CL1170">
        <v>0</v>
      </c>
      <c r="CM1170">
        <v>2</v>
      </c>
      <c r="CN1170">
        <v>0</v>
      </c>
      <c r="CO1170">
        <v>2</v>
      </c>
      <c r="CP1170">
        <v>0</v>
      </c>
      <c r="CQ1170">
        <v>6</v>
      </c>
      <c r="CR1170" t="s">
        <v>116</v>
      </c>
      <c r="CS1170">
        <v>396</v>
      </c>
      <c r="CT1170">
        <v>2</v>
      </c>
      <c r="CU1170" t="s">
        <v>939</v>
      </c>
      <c r="CV1170" t="s">
        <v>940</v>
      </c>
      <c r="CY1170">
        <v>4797412</v>
      </c>
      <c r="CZ1170" t="s">
        <v>119</v>
      </c>
    </row>
    <row r="1171" spans="1:104" x14ac:dyDescent="0.25">
      <c r="A1171" t="str">
        <f>"14:09:52.680"</f>
        <v>14:09:52.680</v>
      </c>
      <c r="B1171" t="s">
        <v>108</v>
      </c>
      <c r="C1171" t="str">
        <f t="shared" si="55"/>
        <v>ffdfd3c0</v>
      </c>
      <c r="D1171" t="s">
        <v>109</v>
      </c>
      <c r="E1171">
        <v>4</v>
      </c>
      <c r="F1171">
        <v>1004</v>
      </c>
      <c r="G1171" t="s">
        <v>110</v>
      </c>
      <c r="J1171" t="s">
        <v>111</v>
      </c>
      <c r="K1171">
        <v>0</v>
      </c>
      <c r="L1171">
        <v>3</v>
      </c>
      <c r="M1171">
        <v>0</v>
      </c>
      <c r="N1171">
        <v>2</v>
      </c>
      <c r="O1171">
        <v>1</v>
      </c>
      <c r="P1171">
        <v>0</v>
      </c>
      <c r="Q1171">
        <v>0</v>
      </c>
      <c r="R1171" t="s">
        <v>112</v>
      </c>
      <c r="S1171" t="str">
        <f>"14:09:52.469"</f>
        <v>14:09:52.469</v>
      </c>
      <c r="T1171" t="str">
        <f>"14:09:52.070"</f>
        <v>14:09:52.070</v>
      </c>
      <c r="U1171" t="str">
        <f t="shared" si="54"/>
        <v>ad5732</v>
      </c>
      <c r="V1171">
        <v>0</v>
      </c>
      <c r="W1171">
        <v>0</v>
      </c>
      <c r="X1171">
        <v>1</v>
      </c>
      <c r="Z1171">
        <v>0</v>
      </c>
      <c r="AA1171">
        <v>9</v>
      </c>
      <c r="AB1171">
        <v>3</v>
      </c>
      <c r="AC1171">
        <v>0</v>
      </c>
      <c r="AD1171">
        <v>10</v>
      </c>
      <c r="AE1171">
        <v>0</v>
      </c>
      <c r="AF1171">
        <v>3</v>
      </c>
      <c r="AG1171">
        <v>2</v>
      </c>
      <c r="AH1171">
        <v>0</v>
      </c>
      <c r="AI1171" t="s">
        <v>2443</v>
      </c>
      <c r="AJ1171">
        <v>39.502501000000002</v>
      </c>
      <c r="AK1171" t="s">
        <v>2444</v>
      </c>
      <c r="AL1171">
        <v>-76.706671999999998</v>
      </c>
      <c r="AM1171">
        <v>100</v>
      </c>
      <c r="AN1171">
        <v>8700</v>
      </c>
      <c r="AO1171" t="s">
        <v>115</v>
      </c>
      <c r="AP1171">
        <v>165</v>
      </c>
      <c r="AQ1171">
        <v>90</v>
      </c>
      <c r="AR1171">
        <v>0</v>
      </c>
      <c r="AZ1171">
        <v>3614</v>
      </c>
      <c r="BA1171">
        <v>1</v>
      </c>
      <c r="BB1171" t="str">
        <f t="shared" si="56"/>
        <v xml:space="preserve">N959MJ  </v>
      </c>
      <c r="BC1171">
        <v>1</v>
      </c>
      <c r="BE1171">
        <v>0</v>
      </c>
      <c r="BF1171">
        <v>0</v>
      </c>
      <c r="BG1171">
        <v>0</v>
      </c>
      <c r="BH1171">
        <v>9025</v>
      </c>
      <c r="BI1171">
        <v>325</v>
      </c>
      <c r="BJ1171">
        <v>1</v>
      </c>
      <c r="BK1171">
        <v>1</v>
      </c>
      <c r="BL1171">
        <v>1</v>
      </c>
      <c r="BM1171">
        <v>0</v>
      </c>
      <c r="BP1171">
        <v>0</v>
      </c>
      <c r="BQ1171">
        <v>0</v>
      </c>
      <c r="BX1171" t="str">
        <f>"14:09:52.477"</f>
        <v>14:09:52.477</v>
      </c>
      <c r="BY1171" t="str">
        <f>"476321266"</f>
        <v>476321266</v>
      </c>
      <c r="CL1171">
        <v>0</v>
      </c>
      <c r="CM1171">
        <v>2</v>
      </c>
      <c r="CN1171">
        <v>0</v>
      </c>
      <c r="CO1171">
        <v>2</v>
      </c>
      <c r="CP1171">
        <v>0</v>
      </c>
      <c r="CQ1171">
        <v>6</v>
      </c>
      <c r="CR1171" t="s">
        <v>116</v>
      </c>
      <c r="CS1171">
        <v>396</v>
      </c>
      <c r="CT1171">
        <v>2</v>
      </c>
      <c r="CU1171" t="s">
        <v>939</v>
      </c>
      <c r="CV1171" t="s">
        <v>940</v>
      </c>
      <c r="CY1171">
        <v>4799184</v>
      </c>
      <c r="CZ1171" t="s">
        <v>119</v>
      </c>
    </row>
    <row r="1172" spans="1:104" x14ac:dyDescent="0.25">
      <c r="A1172" t="str">
        <f>"14:09:53.695"</f>
        <v>14:09:53.695</v>
      </c>
      <c r="B1172" t="s">
        <v>108</v>
      </c>
      <c r="C1172" t="str">
        <f t="shared" si="55"/>
        <v>ffdfd3c0</v>
      </c>
      <c r="D1172" t="s">
        <v>109</v>
      </c>
      <c r="E1172">
        <v>4</v>
      </c>
      <c r="F1172">
        <v>1004</v>
      </c>
      <c r="G1172" t="s">
        <v>110</v>
      </c>
      <c r="J1172" t="s">
        <v>111</v>
      </c>
      <c r="K1172">
        <v>0</v>
      </c>
      <c r="L1172">
        <v>3</v>
      </c>
      <c r="M1172">
        <v>0</v>
      </c>
      <c r="N1172">
        <v>2</v>
      </c>
      <c r="O1172">
        <v>1</v>
      </c>
      <c r="P1172">
        <v>0</v>
      </c>
      <c r="Q1172">
        <v>0</v>
      </c>
      <c r="R1172" t="s">
        <v>112</v>
      </c>
      <c r="S1172" t="str">
        <f>"14:09:53.500"</f>
        <v>14:09:53.500</v>
      </c>
      <c r="T1172" t="str">
        <f>"14:09:53.102"</f>
        <v>14:09:53.102</v>
      </c>
      <c r="U1172" t="str">
        <f t="shared" si="54"/>
        <v>ad5732</v>
      </c>
      <c r="V1172">
        <v>0</v>
      </c>
      <c r="W1172">
        <v>0</v>
      </c>
      <c r="X1172">
        <v>1</v>
      </c>
      <c r="Z1172">
        <v>0</v>
      </c>
      <c r="AA1172">
        <v>9</v>
      </c>
      <c r="AB1172">
        <v>3</v>
      </c>
      <c r="AC1172">
        <v>0</v>
      </c>
      <c r="AD1172">
        <v>10</v>
      </c>
      <c r="AE1172">
        <v>0</v>
      </c>
      <c r="AF1172">
        <v>3</v>
      </c>
      <c r="AG1172">
        <v>2</v>
      </c>
      <c r="AH1172">
        <v>0</v>
      </c>
      <c r="AI1172" t="s">
        <v>2445</v>
      </c>
      <c r="AJ1172">
        <v>39.502952000000001</v>
      </c>
      <c r="AK1172" t="s">
        <v>2446</v>
      </c>
      <c r="AL1172">
        <v>-76.705577000000005</v>
      </c>
      <c r="AM1172">
        <v>100</v>
      </c>
      <c r="AN1172">
        <v>8700</v>
      </c>
      <c r="AO1172" t="s">
        <v>115</v>
      </c>
      <c r="AP1172">
        <v>165</v>
      </c>
      <c r="AQ1172">
        <v>90</v>
      </c>
      <c r="AR1172">
        <v>0</v>
      </c>
      <c r="AZ1172">
        <v>3614</v>
      </c>
      <c r="BA1172">
        <v>1</v>
      </c>
      <c r="BB1172" t="str">
        <f t="shared" si="56"/>
        <v xml:space="preserve">N959MJ  </v>
      </c>
      <c r="BC1172">
        <v>1</v>
      </c>
      <c r="BE1172">
        <v>0</v>
      </c>
      <c r="BF1172">
        <v>0</v>
      </c>
      <c r="BG1172">
        <v>0</v>
      </c>
      <c r="BH1172">
        <v>9025</v>
      </c>
      <c r="BI1172">
        <v>325</v>
      </c>
      <c r="BJ1172">
        <v>1</v>
      </c>
      <c r="BK1172">
        <v>1</v>
      </c>
      <c r="BL1172">
        <v>1</v>
      </c>
      <c r="BM1172">
        <v>0</v>
      </c>
      <c r="BP1172">
        <v>0</v>
      </c>
      <c r="BQ1172">
        <v>0</v>
      </c>
      <c r="BX1172" t="str">
        <f>"14:09:53.500"</f>
        <v>14:09:53.500</v>
      </c>
      <c r="BY1172" t="str">
        <f>"503673111"</f>
        <v>503673111</v>
      </c>
      <c r="CL1172">
        <v>0</v>
      </c>
      <c r="CM1172">
        <v>2</v>
      </c>
      <c r="CN1172">
        <v>0</v>
      </c>
      <c r="CO1172">
        <v>2</v>
      </c>
      <c r="CP1172">
        <v>0</v>
      </c>
      <c r="CQ1172">
        <v>6</v>
      </c>
      <c r="CR1172" t="s">
        <v>116</v>
      </c>
      <c r="CS1172">
        <v>372</v>
      </c>
      <c r="CT1172">
        <v>3</v>
      </c>
      <c r="CU1172" t="s">
        <v>877</v>
      </c>
      <c r="CV1172" t="s">
        <v>878</v>
      </c>
      <c r="CY1172">
        <v>11444038</v>
      </c>
      <c r="CZ1172" t="s">
        <v>119</v>
      </c>
    </row>
    <row r="1173" spans="1:104" x14ac:dyDescent="0.25">
      <c r="A1173" t="str">
        <f>"14:09:54.656"</f>
        <v>14:09:54.656</v>
      </c>
      <c r="B1173" t="s">
        <v>108</v>
      </c>
      <c r="C1173" t="str">
        <f t="shared" si="55"/>
        <v>ffdfd3c0</v>
      </c>
      <c r="D1173" t="s">
        <v>109</v>
      </c>
      <c r="E1173">
        <v>4</v>
      </c>
      <c r="F1173">
        <v>1004</v>
      </c>
      <c r="G1173" t="s">
        <v>110</v>
      </c>
      <c r="J1173" t="s">
        <v>111</v>
      </c>
      <c r="K1173">
        <v>0</v>
      </c>
      <c r="L1173">
        <v>3</v>
      </c>
      <c r="M1173">
        <v>0</v>
      </c>
      <c r="N1173">
        <v>2</v>
      </c>
      <c r="O1173">
        <v>1</v>
      </c>
      <c r="P1173">
        <v>0</v>
      </c>
      <c r="Q1173">
        <v>0</v>
      </c>
      <c r="R1173" t="s">
        <v>112</v>
      </c>
      <c r="S1173" t="str">
        <f>"14:09:54.445"</f>
        <v>14:09:54.445</v>
      </c>
      <c r="T1173" t="str">
        <f>"14:09:54.047"</f>
        <v>14:09:54.047</v>
      </c>
      <c r="U1173" t="str">
        <f t="shared" si="54"/>
        <v>ad5732</v>
      </c>
      <c r="V1173">
        <v>0</v>
      </c>
      <c r="W1173">
        <v>0</v>
      </c>
      <c r="X1173">
        <v>1</v>
      </c>
      <c r="Z1173">
        <v>0</v>
      </c>
      <c r="AA1173">
        <v>9</v>
      </c>
      <c r="AB1173">
        <v>3</v>
      </c>
      <c r="AC1173">
        <v>0</v>
      </c>
      <c r="AD1173">
        <v>10</v>
      </c>
      <c r="AE1173">
        <v>0</v>
      </c>
      <c r="AF1173">
        <v>3</v>
      </c>
      <c r="AG1173">
        <v>2</v>
      </c>
      <c r="AH1173">
        <v>0</v>
      </c>
      <c r="AI1173" t="s">
        <v>2447</v>
      </c>
      <c r="AJ1173">
        <v>39.503295000000001</v>
      </c>
      <c r="AK1173" t="s">
        <v>2448</v>
      </c>
      <c r="AL1173">
        <v>-76.704718999999997</v>
      </c>
      <c r="AM1173">
        <v>100</v>
      </c>
      <c r="AN1173">
        <v>8700</v>
      </c>
      <c r="AO1173" t="s">
        <v>115</v>
      </c>
      <c r="AP1173">
        <v>165</v>
      </c>
      <c r="AQ1173">
        <v>90</v>
      </c>
      <c r="AR1173">
        <v>0</v>
      </c>
      <c r="AZ1173">
        <v>3614</v>
      </c>
      <c r="BA1173">
        <v>1</v>
      </c>
      <c r="BB1173" t="str">
        <f t="shared" si="56"/>
        <v xml:space="preserve">N959MJ  </v>
      </c>
      <c r="BC1173">
        <v>1</v>
      </c>
      <c r="BE1173">
        <v>0</v>
      </c>
      <c r="BF1173">
        <v>0</v>
      </c>
      <c r="BG1173">
        <v>0</v>
      </c>
      <c r="BH1173">
        <v>9025</v>
      </c>
      <c r="BI1173">
        <v>325</v>
      </c>
      <c r="BJ1173">
        <v>1</v>
      </c>
      <c r="BK1173">
        <v>1</v>
      </c>
      <c r="BL1173">
        <v>1</v>
      </c>
      <c r="BM1173">
        <v>0</v>
      </c>
      <c r="BP1173">
        <v>0</v>
      </c>
      <c r="BQ1173">
        <v>0</v>
      </c>
      <c r="BX1173" t="str">
        <f>"14:09:54.453"</f>
        <v>14:09:54.453</v>
      </c>
      <c r="BY1173" t="str">
        <f>"452291496"</f>
        <v>452291496</v>
      </c>
      <c r="CL1173">
        <v>0</v>
      </c>
      <c r="CM1173">
        <v>2</v>
      </c>
      <c r="CN1173">
        <v>0</v>
      </c>
      <c r="CO1173">
        <v>2</v>
      </c>
      <c r="CP1173">
        <v>0</v>
      </c>
      <c r="CQ1173">
        <v>6</v>
      </c>
      <c r="CR1173" t="s">
        <v>116</v>
      </c>
      <c r="CS1173">
        <v>525</v>
      </c>
      <c r="CT1173">
        <v>1</v>
      </c>
      <c r="CU1173" t="s">
        <v>140</v>
      </c>
      <c r="CV1173" t="s">
        <v>141</v>
      </c>
      <c r="CY1173">
        <v>8867600</v>
      </c>
      <c r="CZ1173" t="s">
        <v>119</v>
      </c>
    </row>
    <row r="1174" spans="1:104" x14ac:dyDescent="0.25">
      <c r="A1174" t="str">
        <f>"14:09:55.508"</f>
        <v>14:09:55.508</v>
      </c>
      <c r="B1174" t="s">
        <v>108</v>
      </c>
      <c r="C1174" t="str">
        <f t="shared" si="55"/>
        <v>ffdfd3c0</v>
      </c>
      <c r="D1174" t="s">
        <v>109</v>
      </c>
      <c r="E1174">
        <v>4</v>
      </c>
      <c r="F1174">
        <v>1004</v>
      </c>
      <c r="G1174" t="s">
        <v>110</v>
      </c>
      <c r="J1174" t="s">
        <v>111</v>
      </c>
      <c r="K1174">
        <v>0</v>
      </c>
      <c r="L1174">
        <v>3</v>
      </c>
      <c r="M1174">
        <v>0</v>
      </c>
      <c r="N1174">
        <v>2</v>
      </c>
      <c r="O1174">
        <v>1</v>
      </c>
      <c r="P1174">
        <v>0</v>
      </c>
      <c r="Q1174">
        <v>0</v>
      </c>
      <c r="R1174" t="s">
        <v>112</v>
      </c>
      <c r="S1174" t="str">
        <f>"14:09:55.367"</f>
        <v>14:09:55.367</v>
      </c>
      <c r="T1174" t="str">
        <f>"14:09:54.969"</f>
        <v>14:09:54.969</v>
      </c>
      <c r="U1174" t="str">
        <f t="shared" si="54"/>
        <v>ad5732</v>
      </c>
      <c r="V1174">
        <v>0</v>
      </c>
      <c r="W1174">
        <v>0</v>
      </c>
      <c r="X1174">
        <v>1</v>
      </c>
      <c r="Z1174">
        <v>0</v>
      </c>
      <c r="AA1174">
        <v>9</v>
      </c>
      <c r="AB1174">
        <v>3</v>
      </c>
      <c r="AC1174">
        <v>0</v>
      </c>
      <c r="AD1174">
        <v>10</v>
      </c>
      <c r="AE1174">
        <v>0</v>
      </c>
      <c r="AF1174">
        <v>3</v>
      </c>
      <c r="AG1174">
        <v>2</v>
      </c>
      <c r="AH1174">
        <v>0</v>
      </c>
      <c r="AI1174" t="s">
        <v>2449</v>
      </c>
      <c r="AJ1174">
        <v>39.503681999999998</v>
      </c>
      <c r="AK1174" t="s">
        <v>2450</v>
      </c>
      <c r="AL1174">
        <v>-76.703795999999997</v>
      </c>
      <c r="AM1174">
        <v>100</v>
      </c>
      <c r="AN1174">
        <v>8700</v>
      </c>
      <c r="AO1174" t="s">
        <v>115</v>
      </c>
      <c r="AP1174">
        <v>166</v>
      </c>
      <c r="AQ1174">
        <v>90</v>
      </c>
      <c r="AR1174">
        <v>0</v>
      </c>
      <c r="AZ1174">
        <v>3614</v>
      </c>
      <c r="BA1174">
        <v>1</v>
      </c>
      <c r="BB1174" t="str">
        <f t="shared" si="56"/>
        <v xml:space="preserve">N959MJ  </v>
      </c>
      <c r="BC1174">
        <v>1</v>
      </c>
      <c r="BE1174">
        <v>0</v>
      </c>
      <c r="BF1174">
        <v>0</v>
      </c>
      <c r="BG1174">
        <v>0</v>
      </c>
      <c r="BH1174">
        <v>9025</v>
      </c>
      <c r="BI1174">
        <v>325</v>
      </c>
      <c r="BJ1174">
        <v>1</v>
      </c>
      <c r="BK1174">
        <v>1</v>
      </c>
      <c r="BL1174">
        <v>1</v>
      </c>
      <c r="BM1174">
        <v>0</v>
      </c>
      <c r="BP1174">
        <v>0</v>
      </c>
      <c r="BQ1174">
        <v>0</v>
      </c>
      <c r="BX1174" t="str">
        <f>"14:09:55.375"</f>
        <v>14:09:55.375</v>
      </c>
      <c r="BY1174" t="str">
        <f>"371421392"</f>
        <v>371421392</v>
      </c>
      <c r="CL1174">
        <v>0</v>
      </c>
      <c r="CM1174">
        <v>2</v>
      </c>
      <c r="CN1174">
        <v>0</v>
      </c>
      <c r="CO1174">
        <v>2</v>
      </c>
      <c r="CP1174">
        <v>0</v>
      </c>
      <c r="CQ1174">
        <v>6</v>
      </c>
      <c r="CR1174" t="s">
        <v>116</v>
      </c>
      <c r="CS1174">
        <v>396</v>
      </c>
      <c r="CT1174">
        <v>2</v>
      </c>
      <c r="CU1174" t="s">
        <v>939</v>
      </c>
      <c r="CV1174" t="s">
        <v>940</v>
      </c>
      <c r="CY1174">
        <v>4804243</v>
      </c>
      <c r="CZ1174" t="s">
        <v>119</v>
      </c>
    </row>
    <row r="1175" spans="1:104" x14ac:dyDescent="0.25">
      <c r="A1175" t="str">
        <f>"14:09:56.625"</f>
        <v>14:09:56.625</v>
      </c>
      <c r="B1175" t="s">
        <v>108</v>
      </c>
      <c r="C1175" t="str">
        <f t="shared" si="55"/>
        <v>ffdfd3c0</v>
      </c>
      <c r="D1175" t="s">
        <v>109</v>
      </c>
      <c r="E1175">
        <v>4</v>
      </c>
      <c r="F1175">
        <v>1004</v>
      </c>
      <c r="G1175" t="s">
        <v>110</v>
      </c>
      <c r="J1175" t="s">
        <v>111</v>
      </c>
      <c r="K1175">
        <v>0</v>
      </c>
      <c r="L1175">
        <v>3</v>
      </c>
      <c r="M1175">
        <v>0</v>
      </c>
      <c r="N1175">
        <v>2</v>
      </c>
      <c r="O1175">
        <v>1</v>
      </c>
      <c r="P1175">
        <v>0</v>
      </c>
      <c r="Q1175">
        <v>0</v>
      </c>
      <c r="R1175" t="s">
        <v>112</v>
      </c>
      <c r="S1175" t="str">
        <f>"14:09:56.438"</f>
        <v>14:09:56.438</v>
      </c>
      <c r="T1175" t="str">
        <f>"14:09:56.039"</f>
        <v>14:09:56.039</v>
      </c>
      <c r="U1175" t="str">
        <f t="shared" si="54"/>
        <v>ad5732</v>
      </c>
      <c r="V1175">
        <v>0</v>
      </c>
      <c r="W1175">
        <v>0</v>
      </c>
      <c r="X1175">
        <v>1</v>
      </c>
      <c r="Z1175">
        <v>0</v>
      </c>
      <c r="AA1175">
        <v>9</v>
      </c>
      <c r="AB1175">
        <v>3</v>
      </c>
      <c r="AC1175">
        <v>0</v>
      </c>
      <c r="AD1175">
        <v>10</v>
      </c>
      <c r="AE1175">
        <v>0</v>
      </c>
      <c r="AF1175">
        <v>3</v>
      </c>
      <c r="AG1175">
        <v>2</v>
      </c>
      <c r="AH1175">
        <v>0</v>
      </c>
      <c r="AI1175" t="s">
        <v>2451</v>
      </c>
      <c r="AJ1175">
        <v>39.504131999999998</v>
      </c>
      <c r="AK1175" t="s">
        <v>2452</v>
      </c>
      <c r="AL1175">
        <v>-76.702765999999997</v>
      </c>
      <c r="AM1175">
        <v>100</v>
      </c>
      <c r="AN1175">
        <v>8700</v>
      </c>
      <c r="AO1175" t="s">
        <v>115</v>
      </c>
      <c r="AP1175">
        <v>166</v>
      </c>
      <c r="AQ1175">
        <v>89</v>
      </c>
      <c r="AR1175">
        <v>0</v>
      </c>
      <c r="AZ1175">
        <v>3614</v>
      </c>
      <c r="BA1175">
        <v>1</v>
      </c>
      <c r="BB1175" t="str">
        <f t="shared" si="56"/>
        <v xml:space="preserve">N959MJ  </v>
      </c>
      <c r="BC1175">
        <v>1</v>
      </c>
      <c r="BE1175">
        <v>0</v>
      </c>
      <c r="BF1175">
        <v>0</v>
      </c>
      <c r="BG1175">
        <v>0</v>
      </c>
      <c r="BH1175">
        <v>9025</v>
      </c>
      <c r="BI1175">
        <v>325</v>
      </c>
      <c r="BJ1175">
        <v>1</v>
      </c>
      <c r="BK1175">
        <v>1</v>
      </c>
      <c r="BL1175">
        <v>1</v>
      </c>
      <c r="BM1175">
        <v>0</v>
      </c>
      <c r="BP1175">
        <v>0</v>
      </c>
      <c r="BQ1175">
        <v>0</v>
      </c>
      <c r="BX1175" t="str">
        <f>"14:09:56.438"</f>
        <v>14:09:56.438</v>
      </c>
      <c r="BY1175" t="str">
        <f>"438232142"</f>
        <v>438232142</v>
      </c>
      <c r="CL1175">
        <v>0</v>
      </c>
      <c r="CM1175">
        <v>2</v>
      </c>
      <c r="CN1175">
        <v>0</v>
      </c>
      <c r="CO1175">
        <v>2</v>
      </c>
      <c r="CP1175">
        <v>0</v>
      </c>
      <c r="CQ1175">
        <v>5</v>
      </c>
      <c r="CR1175" t="s">
        <v>116</v>
      </c>
      <c r="CS1175">
        <v>39</v>
      </c>
      <c r="CT1175">
        <v>2</v>
      </c>
      <c r="CU1175" t="s">
        <v>2259</v>
      </c>
      <c r="CV1175" t="s">
        <v>2260</v>
      </c>
      <c r="CY1175">
        <v>15159314</v>
      </c>
      <c r="CZ1175" t="s">
        <v>119</v>
      </c>
    </row>
    <row r="1176" spans="1:104" x14ac:dyDescent="0.25">
      <c r="A1176" t="str">
        <f>"14:09:57.477"</f>
        <v>14:09:57.477</v>
      </c>
      <c r="B1176" t="s">
        <v>108</v>
      </c>
      <c r="C1176" t="str">
        <f t="shared" si="55"/>
        <v>ffdfd3c0</v>
      </c>
      <c r="D1176" t="s">
        <v>109</v>
      </c>
      <c r="E1176">
        <v>4</v>
      </c>
      <c r="F1176">
        <v>1004</v>
      </c>
      <c r="G1176" t="s">
        <v>110</v>
      </c>
      <c r="J1176" t="s">
        <v>111</v>
      </c>
      <c r="K1176">
        <v>0</v>
      </c>
      <c r="L1176">
        <v>3</v>
      </c>
      <c r="M1176">
        <v>0</v>
      </c>
      <c r="N1176">
        <v>2</v>
      </c>
      <c r="O1176">
        <v>1</v>
      </c>
      <c r="P1176">
        <v>0</v>
      </c>
      <c r="Q1176">
        <v>0</v>
      </c>
      <c r="R1176" t="s">
        <v>112</v>
      </c>
      <c r="S1176" t="str">
        <f>"14:09:57.273"</f>
        <v>14:09:57.273</v>
      </c>
      <c r="T1176" t="str">
        <f>"14:09:56.875"</f>
        <v>14:09:56.875</v>
      </c>
      <c r="U1176" t="str">
        <f t="shared" si="54"/>
        <v>ad5732</v>
      </c>
      <c r="V1176">
        <v>0</v>
      </c>
      <c r="W1176">
        <v>0</v>
      </c>
      <c r="X1176">
        <v>1</v>
      </c>
      <c r="Z1176">
        <v>0</v>
      </c>
      <c r="AA1176">
        <v>9</v>
      </c>
      <c r="AB1176">
        <v>3</v>
      </c>
      <c r="AC1176">
        <v>0</v>
      </c>
      <c r="AD1176">
        <v>10</v>
      </c>
      <c r="AE1176">
        <v>0</v>
      </c>
      <c r="AF1176">
        <v>3</v>
      </c>
      <c r="AG1176">
        <v>2</v>
      </c>
      <c r="AH1176">
        <v>0</v>
      </c>
      <c r="AI1176" t="s">
        <v>2453</v>
      </c>
      <c r="AJ1176">
        <v>39.504454000000003</v>
      </c>
      <c r="AK1176" t="s">
        <v>2454</v>
      </c>
      <c r="AL1176">
        <v>-76.701971999999998</v>
      </c>
      <c r="AM1176">
        <v>100</v>
      </c>
      <c r="AN1176">
        <v>8700</v>
      </c>
      <c r="AO1176" t="s">
        <v>115</v>
      </c>
      <c r="AP1176">
        <v>166</v>
      </c>
      <c r="AQ1176">
        <v>89</v>
      </c>
      <c r="AR1176">
        <v>0</v>
      </c>
      <c r="AZ1176">
        <v>3614</v>
      </c>
      <c r="BA1176">
        <v>1</v>
      </c>
      <c r="BB1176" t="str">
        <f t="shared" si="56"/>
        <v xml:space="preserve">N959MJ  </v>
      </c>
      <c r="BC1176">
        <v>1</v>
      </c>
      <c r="BE1176">
        <v>0</v>
      </c>
      <c r="BF1176">
        <v>0</v>
      </c>
      <c r="BG1176">
        <v>0</v>
      </c>
      <c r="BH1176">
        <v>9025</v>
      </c>
      <c r="BI1176">
        <v>325</v>
      </c>
      <c r="BJ1176">
        <v>1</v>
      </c>
      <c r="BK1176">
        <v>1</v>
      </c>
      <c r="BL1176">
        <v>1</v>
      </c>
      <c r="BM1176">
        <v>0</v>
      </c>
      <c r="BP1176">
        <v>0</v>
      </c>
      <c r="BQ1176">
        <v>0</v>
      </c>
      <c r="BX1176" t="str">
        <f>"14:09:57.273"</f>
        <v>14:09:57.273</v>
      </c>
      <c r="BY1176" t="str">
        <f>"275332313"</f>
        <v>275332313</v>
      </c>
      <c r="CL1176">
        <v>0</v>
      </c>
      <c r="CM1176">
        <v>2</v>
      </c>
      <c r="CN1176">
        <v>0</v>
      </c>
      <c r="CO1176">
        <v>2</v>
      </c>
      <c r="CP1176">
        <v>0</v>
      </c>
      <c r="CQ1176">
        <v>6</v>
      </c>
      <c r="CR1176" t="s">
        <v>116</v>
      </c>
      <c r="CS1176">
        <v>372</v>
      </c>
      <c r="CT1176">
        <v>3</v>
      </c>
      <c r="CU1176" t="s">
        <v>877</v>
      </c>
      <c r="CV1176" t="s">
        <v>878</v>
      </c>
      <c r="CY1176">
        <v>11450665</v>
      </c>
      <c r="CZ1176" t="s">
        <v>119</v>
      </c>
    </row>
    <row r="1177" spans="1:104" x14ac:dyDescent="0.25">
      <c r="A1177" t="str">
        <f>"14:09:58.289"</f>
        <v>14:09:58.289</v>
      </c>
      <c r="B1177" t="s">
        <v>108</v>
      </c>
      <c r="C1177" t="str">
        <f t="shared" si="55"/>
        <v>ffdfd3c0</v>
      </c>
      <c r="D1177" t="s">
        <v>109</v>
      </c>
      <c r="E1177">
        <v>4</v>
      </c>
      <c r="F1177">
        <v>1004</v>
      </c>
      <c r="G1177" t="s">
        <v>110</v>
      </c>
      <c r="J1177" t="s">
        <v>111</v>
      </c>
      <c r="K1177">
        <v>0</v>
      </c>
      <c r="L1177">
        <v>3</v>
      </c>
      <c r="M1177">
        <v>0</v>
      </c>
      <c r="N1177">
        <v>2</v>
      </c>
      <c r="O1177">
        <v>1</v>
      </c>
      <c r="P1177">
        <v>0</v>
      </c>
      <c r="Q1177">
        <v>0</v>
      </c>
      <c r="R1177" t="s">
        <v>112</v>
      </c>
      <c r="S1177" t="str">
        <f>"14:09:58.117"</f>
        <v>14:09:58.117</v>
      </c>
      <c r="T1177" t="str">
        <f>"14:09:57.719"</f>
        <v>14:09:57.719</v>
      </c>
      <c r="U1177" t="str">
        <f t="shared" si="54"/>
        <v>ad5732</v>
      </c>
      <c r="V1177">
        <v>0</v>
      </c>
      <c r="W1177">
        <v>0</v>
      </c>
      <c r="X1177">
        <v>1</v>
      </c>
      <c r="Z1177">
        <v>0</v>
      </c>
      <c r="AA1177">
        <v>9</v>
      </c>
      <c r="AB1177">
        <v>3</v>
      </c>
      <c r="AC1177">
        <v>0</v>
      </c>
      <c r="AD1177">
        <v>10</v>
      </c>
      <c r="AE1177">
        <v>0</v>
      </c>
      <c r="AF1177">
        <v>3</v>
      </c>
      <c r="AG1177">
        <v>2</v>
      </c>
      <c r="AH1177">
        <v>0</v>
      </c>
      <c r="AI1177" t="s">
        <v>2455</v>
      </c>
      <c r="AJ1177">
        <v>39.504818999999998</v>
      </c>
      <c r="AK1177" t="s">
        <v>2456</v>
      </c>
      <c r="AL1177">
        <v>-76.701049999999995</v>
      </c>
      <c r="AM1177">
        <v>100</v>
      </c>
      <c r="AN1177">
        <v>8700</v>
      </c>
      <c r="AO1177" t="s">
        <v>115</v>
      </c>
      <c r="AP1177">
        <v>166</v>
      </c>
      <c r="AQ1177">
        <v>89</v>
      </c>
      <c r="AR1177">
        <v>0</v>
      </c>
      <c r="AZ1177">
        <v>3614</v>
      </c>
      <c r="BA1177">
        <v>1</v>
      </c>
      <c r="BB1177" t="str">
        <f t="shared" si="56"/>
        <v xml:space="preserve">N959MJ  </v>
      </c>
      <c r="BC1177">
        <v>1</v>
      </c>
      <c r="BE1177">
        <v>0</v>
      </c>
      <c r="BF1177">
        <v>0</v>
      </c>
      <c r="BG1177">
        <v>0</v>
      </c>
      <c r="BH1177">
        <v>9025</v>
      </c>
      <c r="BI1177">
        <v>325</v>
      </c>
      <c r="BJ1177">
        <v>1</v>
      </c>
      <c r="BK1177">
        <v>1</v>
      </c>
      <c r="BL1177">
        <v>1</v>
      </c>
      <c r="BM1177">
        <v>0</v>
      </c>
      <c r="BP1177">
        <v>0</v>
      </c>
      <c r="BQ1177">
        <v>0</v>
      </c>
      <c r="BX1177" t="str">
        <f>"14:09:58.117"</f>
        <v>14:09:58.117</v>
      </c>
      <c r="BY1177" t="str">
        <f>"117483851"</f>
        <v>117483851</v>
      </c>
      <c r="CL1177">
        <v>0</v>
      </c>
      <c r="CM1177">
        <v>2</v>
      </c>
      <c r="CN1177">
        <v>0</v>
      </c>
      <c r="CO1177">
        <v>2</v>
      </c>
      <c r="CP1177">
        <v>0</v>
      </c>
      <c r="CQ1177">
        <v>6</v>
      </c>
      <c r="CR1177" t="s">
        <v>116</v>
      </c>
      <c r="CS1177">
        <v>372</v>
      </c>
      <c r="CT1177">
        <v>3</v>
      </c>
      <c r="CU1177" t="s">
        <v>877</v>
      </c>
      <c r="CV1177" t="s">
        <v>878</v>
      </c>
      <c r="CY1177">
        <v>11452200</v>
      </c>
      <c r="CZ1177" t="s">
        <v>119</v>
      </c>
    </row>
    <row r="1178" spans="1:104" x14ac:dyDescent="0.25">
      <c r="A1178" t="str">
        <f>"14:09:59.398"</f>
        <v>14:09:59.398</v>
      </c>
      <c r="B1178" t="s">
        <v>108</v>
      </c>
      <c r="C1178" t="str">
        <f t="shared" si="55"/>
        <v>ffdfd3c0</v>
      </c>
      <c r="D1178" t="s">
        <v>109</v>
      </c>
      <c r="E1178">
        <v>4</v>
      </c>
      <c r="F1178">
        <v>1004</v>
      </c>
      <c r="G1178" t="s">
        <v>110</v>
      </c>
      <c r="J1178" t="s">
        <v>111</v>
      </c>
      <c r="K1178">
        <v>0</v>
      </c>
      <c r="L1178">
        <v>3</v>
      </c>
      <c r="M1178">
        <v>0</v>
      </c>
      <c r="N1178">
        <v>2</v>
      </c>
      <c r="O1178">
        <v>1</v>
      </c>
      <c r="P1178">
        <v>0</v>
      </c>
      <c r="Q1178">
        <v>0</v>
      </c>
      <c r="R1178" t="s">
        <v>112</v>
      </c>
      <c r="S1178" t="str">
        <f>"14:09:59.219"</f>
        <v>14:09:59.219</v>
      </c>
      <c r="T1178" t="str">
        <f>"14:09:58.719"</f>
        <v>14:09:58.719</v>
      </c>
      <c r="U1178" t="str">
        <f t="shared" si="54"/>
        <v>ad5732</v>
      </c>
      <c r="V1178">
        <v>0</v>
      </c>
      <c r="W1178">
        <v>0</v>
      </c>
      <c r="X1178">
        <v>1</v>
      </c>
      <c r="Z1178">
        <v>0</v>
      </c>
      <c r="AA1178">
        <v>9</v>
      </c>
      <c r="AB1178">
        <v>3</v>
      </c>
      <c r="AC1178">
        <v>0</v>
      </c>
      <c r="AD1178">
        <v>10</v>
      </c>
      <c r="AE1178">
        <v>0</v>
      </c>
      <c r="AF1178">
        <v>3</v>
      </c>
      <c r="AG1178">
        <v>2</v>
      </c>
      <c r="AH1178">
        <v>0</v>
      </c>
      <c r="AI1178" t="s">
        <v>2457</v>
      </c>
      <c r="AJ1178">
        <v>39.505291</v>
      </c>
      <c r="AK1178" t="s">
        <v>2458</v>
      </c>
      <c r="AL1178">
        <v>-76.699955000000003</v>
      </c>
      <c r="AM1178">
        <v>100</v>
      </c>
      <c r="AN1178">
        <v>8700</v>
      </c>
      <c r="AO1178" t="s">
        <v>115</v>
      </c>
      <c r="AP1178">
        <v>166</v>
      </c>
      <c r="AQ1178">
        <v>88</v>
      </c>
      <c r="AR1178">
        <v>0</v>
      </c>
      <c r="AZ1178">
        <v>3614</v>
      </c>
      <c r="BA1178">
        <v>1</v>
      </c>
      <c r="BB1178" t="str">
        <f t="shared" si="56"/>
        <v xml:space="preserve">N959MJ  </v>
      </c>
      <c r="BC1178">
        <v>1</v>
      </c>
      <c r="BE1178">
        <v>0</v>
      </c>
      <c r="BF1178">
        <v>0</v>
      </c>
      <c r="BG1178">
        <v>0</v>
      </c>
      <c r="BH1178">
        <v>9025</v>
      </c>
      <c r="BI1178">
        <v>325</v>
      </c>
      <c r="BJ1178">
        <v>1</v>
      </c>
      <c r="BK1178">
        <v>1</v>
      </c>
      <c r="BL1178">
        <v>1</v>
      </c>
      <c r="BM1178">
        <v>0</v>
      </c>
      <c r="BP1178">
        <v>0</v>
      </c>
      <c r="BQ1178">
        <v>0</v>
      </c>
      <c r="BX1178" t="str">
        <f>"14:09:59.227"</f>
        <v>14:09:59.227</v>
      </c>
      <c r="BY1178" t="str">
        <f>"223557368"</f>
        <v>223557368</v>
      </c>
      <c r="CL1178">
        <v>0</v>
      </c>
      <c r="CM1178">
        <v>2</v>
      </c>
      <c r="CN1178">
        <v>0</v>
      </c>
      <c r="CO1178">
        <v>2</v>
      </c>
      <c r="CP1178">
        <v>0</v>
      </c>
      <c r="CQ1178">
        <v>5</v>
      </c>
      <c r="CR1178" t="s">
        <v>116</v>
      </c>
      <c r="CS1178">
        <v>39</v>
      </c>
      <c r="CT1178">
        <v>2</v>
      </c>
      <c r="CU1178" t="s">
        <v>2259</v>
      </c>
      <c r="CV1178" t="s">
        <v>2260</v>
      </c>
      <c r="CY1178">
        <v>15163894</v>
      </c>
      <c r="CZ1178" t="s">
        <v>119</v>
      </c>
    </row>
    <row r="1179" spans="1:104" x14ac:dyDescent="0.25">
      <c r="A1179" t="str">
        <f>"14:10:00.563"</f>
        <v>14:10:00.563</v>
      </c>
      <c r="B1179" t="s">
        <v>108</v>
      </c>
      <c r="C1179" t="str">
        <f t="shared" si="55"/>
        <v>ffdfd3c0</v>
      </c>
      <c r="D1179" t="s">
        <v>109</v>
      </c>
      <c r="E1179">
        <v>4</v>
      </c>
      <c r="F1179">
        <v>1004</v>
      </c>
      <c r="G1179" t="s">
        <v>110</v>
      </c>
      <c r="J1179" t="s">
        <v>111</v>
      </c>
      <c r="K1179">
        <v>0</v>
      </c>
      <c r="L1179">
        <v>3</v>
      </c>
      <c r="M1179">
        <v>0</v>
      </c>
      <c r="N1179">
        <v>2</v>
      </c>
      <c r="O1179">
        <v>1</v>
      </c>
      <c r="P1179">
        <v>0</v>
      </c>
      <c r="Q1179">
        <v>0</v>
      </c>
      <c r="R1179" t="s">
        <v>112</v>
      </c>
      <c r="S1179" t="str">
        <f>"14:10:00.336"</f>
        <v>14:10:00.336</v>
      </c>
      <c r="T1179" t="str">
        <f>"14:09:59.836"</f>
        <v>14:09:59.836</v>
      </c>
      <c r="U1179" t="str">
        <f t="shared" si="54"/>
        <v>ad5732</v>
      </c>
      <c r="V1179">
        <v>0</v>
      </c>
      <c r="W1179">
        <v>0</v>
      </c>
      <c r="X1179">
        <v>1</v>
      </c>
      <c r="Z1179">
        <v>0</v>
      </c>
      <c r="AA1179">
        <v>9</v>
      </c>
      <c r="AB1179">
        <v>3</v>
      </c>
      <c r="AC1179">
        <v>0</v>
      </c>
      <c r="AD1179">
        <v>10</v>
      </c>
      <c r="AE1179">
        <v>0</v>
      </c>
      <c r="AF1179">
        <v>3</v>
      </c>
      <c r="AG1179">
        <v>2</v>
      </c>
      <c r="AH1179">
        <v>0</v>
      </c>
      <c r="AI1179" t="s">
        <v>2459</v>
      </c>
      <c r="AJ1179">
        <v>39.505741999999998</v>
      </c>
      <c r="AK1179" t="s">
        <v>2460</v>
      </c>
      <c r="AL1179">
        <v>-76.698840000000004</v>
      </c>
      <c r="AM1179">
        <v>100</v>
      </c>
      <c r="AN1179">
        <v>8700</v>
      </c>
      <c r="AO1179" t="s">
        <v>115</v>
      </c>
      <c r="AP1179">
        <v>167</v>
      </c>
      <c r="AQ1179">
        <v>88</v>
      </c>
      <c r="AR1179">
        <v>-64</v>
      </c>
      <c r="AZ1179">
        <v>3614</v>
      </c>
      <c r="BA1179">
        <v>1</v>
      </c>
      <c r="BB1179" t="str">
        <f t="shared" si="56"/>
        <v xml:space="preserve">N959MJ  </v>
      </c>
      <c r="BC1179">
        <v>1</v>
      </c>
      <c r="BE1179">
        <v>0</v>
      </c>
      <c r="BF1179">
        <v>0</v>
      </c>
      <c r="BG1179">
        <v>0</v>
      </c>
      <c r="BH1179">
        <v>9025</v>
      </c>
      <c r="BI1179">
        <v>325</v>
      </c>
      <c r="BJ1179">
        <v>1</v>
      </c>
      <c r="BK1179">
        <v>1</v>
      </c>
      <c r="BL1179">
        <v>1</v>
      </c>
      <c r="BM1179">
        <v>0</v>
      </c>
      <c r="BP1179">
        <v>0</v>
      </c>
      <c r="BQ1179">
        <v>0</v>
      </c>
      <c r="BX1179" t="str">
        <f>"14:10:00.344"</f>
        <v>14:10:00.344</v>
      </c>
      <c r="BY1179" t="str">
        <f>"340829435"</f>
        <v>340829435</v>
      </c>
      <c r="CL1179">
        <v>0</v>
      </c>
      <c r="CM1179">
        <v>2</v>
      </c>
      <c r="CN1179">
        <v>0</v>
      </c>
      <c r="CO1179">
        <v>2</v>
      </c>
      <c r="CP1179">
        <v>0</v>
      </c>
      <c r="CQ1179">
        <v>6</v>
      </c>
      <c r="CR1179" t="s">
        <v>116</v>
      </c>
      <c r="CS1179">
        <v>372</v>
      </c>
      <c r="CT1179">
        <v>3</v>
      </c>
      <c r="CU1179" t="s">
        <v>877</v>
      </c>
      <c r="CV1179" t="s">
        <v>878</v>
      </c>
      <c r="CY1179">
        <v>11456146</v>
      </c>
      <c r="CZ1179" t="s">
        <v>119</v>
      </c>
    </row>
    <row r="1180" spans="1:104" x14ac:dyDescent="0.25">
      <c r="A1180" t="str">
        <f>"14:10:01.516"</f>
        <v>14:10:01.516</v>
      </c>
      <c r="B1180" t="s">
        <v>108</v>
      </c>
      <c r="C1180" t="str">
        <f t="shared" si="55"/>
        <v>ffdfd3c0</v>
      </c>
      <c r="D1180" t="s">
        <v>109</v>
      </c>
      <c r="E1180">
        <v>4</v>
      </c>
      <c r="F1180">
        <v>1004</v>
      </c>
      <c r="G1180" t="s">
        <v>110</v>
      </c>
      <c r="J1180" t="s">
        <v>111</v>
      </c>
      <c r="K1180">
        <v>0</v>
      </c>
      <c r="L1180">
        <v>3</v>
      </c>
      <c r="M1180">
        <v>0</v>
      </c>
      <c r="N1180">
        <v>2</v>
      </c>
      <c r="O1180">
        <v>1</v>
      </c>
      <c r="P1180">
        <v>0</v>
      </c>
      <c r="Q1180">
        <v>0</v>
      </c>
      <c r="R1180" t="s">
        <v>112</v>
      </c>
      <c r="S1180" t="str">
        <f>"14:10:01.359"</f>
        <v>14:10:01.359</v>
      </c>
      <c r="T1180" t="str">
        <f>"14:10:00.859"</f>
        <v>14:10:00.859</v>
      </c>
      <c r="U1180" t="str">
        <f t="shared" si="54"/>
        <v>ad5732</v>
      </c>
      <c r="V1180">
        <v>0</v>
      </c>
      <c r="W1180">
        <v>0</v>
      </c>
      <c r="X1180">
        <v>1</v>
      </c>
      <c r="Z1180">
        <v>0</v>
      </c>
      <c r="AA1180">
        <v>9</v>
      </c>
      <c r="AB1180">
        <v>3</v>
      </c>
      <c r="AC1180">
        <v>0</v>
      </c>
      <c r="AD1180">
        <v>10</v>
      </c>
      <c r="AE1180">
        <v>0</v>
      </c>
      <c r="AF1180">
        <v>3</v>
      </c>
      <c r="AG1180">
        <v>2</v>
      </c>
      <c r="AH1180">
        <v>0</v>
      </c>
      <c r="AI1180" t="s">
        <v>2461</v>
      </c>
      <c r="AJ1180">
        <v>39.506149000000001</v>
      </c>
      <c r="AK1180" t="s">
        <v>2462</v>
      </c>
      <c r="AL1180">
        <v>-76.697830999999994</v>
      </c>
      <c r="AM1180">
        <v>100</v>
      </c>
      <c r="AN1180">
        <v>8700</v>
      </c>
      <c r="AO1180" t="s">
        <v>115</v>
      </c>
      <c r="AP1180">
        <v>167</v>
      </c>
      <c r="AQ1180">
        <v>87</v>
      </c>
      <c r="AR1180">
        <v>-64</v>
      </c>
      <c r="AZ1180">
        <v>3614</v>
      </c>
      <c r="BA1180">
        <v>1</v>
      </c>
      <c r="BB1180" t="str">
        <f t="shared" si="56"/>
        <v xml:space="preserve">N959MJ  </v>
      </c>
      <c r="BC1180">
        <v>1</v>
      </c>
      <c r="BE1180">
        <v>0</v>
      </c>
      <c r="BF1180">
        <v>0</v>
      </c>
      <c r="BG1180">
        <v>0</v>
      </c>
      <c r="BH1180">
        <v>9025</v>
      </c>
      <c r="BI1180">
        <v>325</v>
      </c>
      <c r="BJ1180">
        <v>1</v>
      </c>
      <c r="BK1180">
        <v>1</v>
      </c>
      <c r="BL1180">
        <v>1</v>
      </c>
      <c r="BM1180">
        <v>0</v>
      </c>
      <c r="BP1180">
        <v>0</v>
      </c>
      <c r="BQ1180">
        <v>0</v>
      </c>
      <c r="BX1180" t="str">
        <f>"14:10:01.367"</f>
        <v>14:10:01.367</v>
      </c>
      <c r="BY1180" t="str">
        <f>"366619350"</f>
        <v>366619350</v>
      </c>
      <c r="CL1180">
        <v>0</v>
      </c>
      <c r="CM1180">
        <v>2</v>
      </c>
      <c r="CN1180">
        <v>0</v>
      </c>
      <c r="CO1180">
        <v>2</v>
      </c>
      <c r="CP1180">
        <v>0</v>
      </c>
      <c r="CQ1180">
        <v>5</v>
      </c>
      <c r="CR1180" t="s">
        <v>116</v>
      </c>
      <c r="CS1180">
        <v>39</v>
      </c>
      <c r="CT1180">
        <v>2</v>
      </c>
      <c r="CU1180" t="s">
        <v>2259</v>
      </c>
      <c r="CV1180" t="s">
        <v>2260</v>
      </c>
      <c r="CY1180">
        <v>15167561</v>
      </c>
      <c r="CZ1180" t="s">
        <v>119</v>
      </c>
    </row>
    <row r="1181" spans="1:104" x14ac:dyDescent="0.25">
      <c r="A1181" t="str">
        <f>"14:10:02.625"</f>
        <v>14:10:02.625</v>
      </c>
      <c r="B1181" t="s">
        <v>108</v>
      </c>
      <c r="C1181" t="str">
        <f t="shared" si="55"/>
        <v>ffdfd3c0</v>
      </c>
      <c r="D1181" t="s">
        <v>109</v>
      </c>
      <c r="E1181">
        <v>4</v>
      </c>
      <c r="F1181">
        <v>1004</v>
      </c>
      <c r="G1181" t="s">
        <v>110</v>
      </c>
      <c r="J1181" t="s">
        <v>111</v>
      </c>
      <c r="K1181">
        <v>0</v>
      </c>
      <c r="L1181">
        <v>3</v>
      </c>
      <c r="M1181">
        <v>0</v>
      </c>
      <c r="N1181">
        <v>2</v>
      </c>
      <c r="O1181">
        <v>1</v>
      </c>
      <c r="P1181">
        <v>0</v>
      </c>
      <c r="Q1181">
        <v>0</v>
      </c>
      <c r="R1181" t="s">
        <v>112</v>
      </c>
      <c r="S1181" t="str">
        <f>"14:10:02.422"</f>
        <v>14:10:02.422</v>
      </c>
      <c r="T1181" t="str">
        <f>"14:10:01.922"</f>
        <v>14:10:01.922</v>
      </c>
      <c r="U1181" t="str">
        <f t="shared" si="54"/>
        <v>ad5732</v>
      </c>
      <c r="V1181">
        <v>0</v>
      </c>
      <c r="W1181">
        <v>0</v>
      </c>
      <c r="X1181">
        <v>1</v>
      </c>
      <c r="Z1181">
        <v>0</v>
      </c>
      <c r="AA1181">
        <v>9</v>
      </c>
      <c r="AB1181">
        <v>3</v>
      </c>
      <c r="AC1181">
        <v>0</v>
      </c>
      <c r="AD1181">
        <v>10</v>
      </c>
      <c r="AE1181">
        <v>0</v>
      </c>
      <c r="AF1181">
        <v>3</v>
      </c>
      <c r="AG1181">
        <v>2</v>
      </c>
      <c r="AH1181">
        <v>0</v>
      </c>
      <c r="AI1181" t="s">
        <v>2463</v>
      </c>
      <c r="AJ1181">
        <v>39.506599999999999</v>
      </c>
      <c r="AK1181" t="s">
        <v>2464</v>
      </c>
      <c r="AL1181">
        <v>-76.696780000000004</v>
      </c>
      <c r="AM1181">
        <v>100</v>
      </c>
      <c r="AN1181">
        <v>8700</v>
      </c>
      <c r="AO1181" t="s">
        <v>115</v>
      </c>
      <c r="AP1181">
        <v>167</v>
      </c>
      <c r="AQ1181">
        <v>87</v>
      </c>
      <c r="AR1181">
        <v>-64</v>
      </c>
      <c r="AZ1181">
        <v>3614</v>
      </c>
      <c r="BA1181">
        <v>1</v>
      </c>
      <c r="BB1181" t="str">
        <f t="shared" si="56"/>
        <v xml:space="preserve">N959MJ  </v>
      </c>
      <c r="BC1181">
        <v>1</v>
      </c>
      <c r="BE1181">
        <v>0</v>
      </c>
      <c r="BF1181">
        <v>0</v>
      </c>
      <c r="BG1181">
        <v>0</v>
      </c>
      <c r="BH1181">
        <v>9025</v>
      </c>
      <c r="BI1181">
        <v>325</v>
      </c>
      <c r="BJ1181">
        <v>1</v>
      </c>
      <c r="BK1181">
        <v>1</v>
      </c>
      <c r="BL1181">
        <v>1</v>
      </c>
      <c r="BM1181">
        <v>0</v>
      </c>
      <c r="BP1181">
        <v>0</v>
      </c>
      <c r="BQ1181">
        <v>0</v>
      </c>
      <c r="BX1181" t="str">
        <f>"14:10:02.422"</f>
        <v>14:10:02.422</v>
      </c>
      <c r="BY1181" t="str">
        <f>"423210286"</f>
        <v>423210286</v>
      </c>
      <c r="CL1181">
        <v>0</v>
      </c>
      <c r="CM1181">
        <v>2</v>
      </c>
      <c r="CN1181">
        <v>0</v>
      </c>
      <c r="CO1181">
        <v>2</v>
      </c>
      <c r="CP1181">
        <v>0</v>
      </c>
      <c r="CQ1181">
        <v>6</v>
      </c>
      <c r="CR1181" t="s">
        <v>116</v>
      </c>
      <c r="CS1181">
        <v>396</v>
      </c>
      <c r="CT1181">
        <v>2</v>
      </c>
      <c r="CU1181" t="s">
        <v>939</v>
      </c>
      <c r="CV1181" t="s">
        <v>940</v>
      </c>
      <c r="CY1181">
        <v>4816998</v>
      </c>
      <c r="CZ1181" t="s">
        <v>119</v>
      </c>
    </row>
    <row r="1182" spans="1:104" x14ac:dyDescent="0.25">
      <c r="A1182" t="str">
        <f>"14:10:03.539"</f>
        <v>14:10:03.539</v>
      </c>
      <c r="B1182" t="s">
        <v>108</v>
      </c>
      <c r="C1182" t="str">
        <f t="shared" si="55"/>
        <v>ffdfd3c0</v>
      </c>
      <c r="D1182" t="s">
        <v>109</v>
      </c>
      <c r="E1182">
        <v>4</v>
      </c>
      <c r="F1182">
        <v>1004</v>
      </c>
      <c r="G1182" t="s">
        <v>110</v>
      </c>
      <c r="J1182" t="s">
        <v>111</v>
      </c>
      <c r="K1182">
        <v>0</v>
      </c>
      <c r="L1182">
        <v>3</v>
      </c>
      <c r="M1182">
        <v>0</v>
      </c>
      <c r="N1182">
        <v>2</v>
      </c>
      <c r="O1182">
        <v>1</v>
      </c>
      <c r="P1182">
        <v>0</v>
      </c>
      <c r="Q1182">
        <v>0</v>
      </c>
      <c r="R1182" t="s">
        <v>112</v>
      </c>
      <c r="S1182" t="str">
        <f>"14:10:03.359"</f>
        <v>14:10:03.359</v>
      </c>
      <c r="T1182" t="str">
        <f>"14:10:02.961"</f>
        <v>14:10:02.961</v>
      </c>
      <c r="U1182" t="str">
        <f t="shared" si="54"/>
        <v>ad5732</v>
      </c>
      <c r="V1182">
        <v>0</v>
      </c>
      <c r="W1182">
        <v>0</v>
      </c>
      <c r="X1182">
        <v>1</v>
      </c>
      <c r="Z1182">
        <v>0</v>
      </c>
      <c r="AA1182">
        <v>9</v>
      </c>
      <c r="AB1182">
        <v>3</v>
      </c>
      <c r="AC1182">
        <v>0</v>
      </c>
      <c r="AD1182">
        <v>10</v>
      </c>
      <c r="AE1182">
        <v>0</v>
      </c>
      <c r="AF1182">
        <v>3</v>
      </c>
      <c r="AG1182">
        <v>2</v>
      </c>
      <c r="AH1182">
        <v>0</v>
      </c>
      <c r="AI1182" t="s">
        <v>2465</v>
      </c>
      <c r="AJ1182">
        <v>39.506922000000003</v>
      </c>
      <c r="AK1182" t="s">
        <v>2466</v>
      </c>
      <c r="AL1182">
        <v>-76.695857000000004</v>
      </c>
      <c r="AM1182">
        <v>100</v>
      </c>
      <c r="AN1182">
        <v>8700</v>
      </c>
      <c r="AO1182" t="s">
        <v>115</v>
      </c>
      <c r="AP1182">
        <v>167</v>
      </c>
      <c r="AQ1182">
        <v>87</v>
      </c>
      <c r="AR1182">
        <v>-64</v>
      </c>
      <c r="AZ1182">
        <v>3614</v>
      </c>
      <c r="BA1182">
        <v>1</v>
      </c>
      <c r="BB1182" t="str">
        <f t="shared" si="56"/>
        <v xml:space="preserve">N959MJ  </v>
      </c>
      <c r="BC1182">
        <v>1</v>
      </c>
      <c r="BE1182">
        <v>0</v>
      </c>
      <c r="BF1182">
        <v>0</v>
      </c>
      <c r="BG1182">
        <v>0</v>
      </c>
      <c r="BH1182">
        <v>9025</v>
      </c>
      <c r="BI1182">
        <v>325</v>
      </c>
      <c r="BJ1182">
        <v>1</v>
      </c>
      <c r="BK1182">
        <v>1</v>
      </c>
      <c r="BL1182">
        <v>1</v>
      </c>
      <c r="BM1182">
        <v>0</v>
      </c>
      <c r="BP1182">
        <v>0</v>
      </c>
      <c r="BQ1182">
        <v>0</v>
      </c>
      <c r="BX1182" t="str">
        <f>"14:10:03.367"</f>
        <v>14:10:03.367</v>
      </c>
      <c r="BY1182" t="str">
        <f>"363667273"</f>
        <v>363667273</v>
      </c>
      <c r="CL1182">
        <v>0</v>
      </c>
      <c r="CM1182">
        <v>2</v>
      </c>
      <c r="CN1182">
        <v>0</v>
      </c>
      <c r="CO1182">
        <v>2</v>
      </c>
      <c r="CP1182">
        <v>0</v>
      </c>
      <c r="CQ1182">
        <v>6</v>
      </c>
      <c r="CR1182" t="s">
        <v>116</v>
      </c>
      <c r="CS1182">
        <v>396</v>
      </c>
      <c r="CT1182">
        <v>2</v>
      </c>
      <c r="CU1182" t="s">
        <v>939</v>
      </c>
      <c r="CV1182" t="s">
        <v>940</v>
      </c>
      <c r="CY1182">
        <v>4818567</v>
      </c>
      <c r="CZ1182" t="s">
        <v>119</v>
      </c>
    </row>
    <row r="1183" spans="1:104" x14ac:dyDescent="0.25">
      <c r="A1183" t="str">
        <f>"14:10:04.500"</f>
        <v>14:10:04.500</v>
      </c>
      <c r="B1183" t="s">
        <v>108</v>
      </c>
      <c r="C1183" t="str">
        <f t="shared" si="55"/>
        <v>ffdfd3c0</v>
      </c>
      <c r="D1183" t="s">
        <v>109</v>
      </c>
      <c r="E1183">
        <v>4</v>
      </c>
      <c r="F1183">
        <v>1004</v>
      </c>
      <c r="G1183" t="s">
        <v>110</v>
      </c>
      <c r="J1183" t="s">
        <v>111</v>
      </c>
      <c r="K1183">
        <v>0</v>
      </c>
      <c r="L1183">
        <v>3</v>
      </c>
      <c r="M1183">
        <v>0</v>
      </c>
      <c r="N1183">
        <v>2</v>
      </c>
      <c r="O1183">
        <v>1</v>
      </c>
      <c r="P1183">
        <v>0</v>
      </c>
      <c r="Q1183">
        <v>0</v>
      </c>
      <c r="R1183" t="s">
        <v>112</v>
      </c>
      <c r="S1183" t="str">
        <f>"14:10:04.336"</f>
        <v>14:10:04.336</v>
      </c>
      <c r="T1183" t="str">
        <f>"14:10:03.836"</f>
        <v>14:10:03.836</v>
      </c>
      <c r="U1183" t="str">
        <f t="shared" si="54"/>
        <v>ad5732</v>
      </c>
      <c r="V1183">
        <v>0</v>
      </c>
      <c r="W1183">
        <v>0</v>
      </c>
      <c r="X1183">
        <v>1</v>
      </c>
      <c r="Z1183">
        <v>0</v>
      </c>
      <c r="AA1183">
        <v>9</v>
      </c>
      <c r="AB1183">
        <v>3</v>
      </c>
      <c r="AC1183">
        <v>0</v>
      </c>
      <c r="AD1183">
        <v>10</v>
      </c>
      <c r="AE1183">
        <v>0</v>
      </c>
      <c r="AF1183">
        <v>3</v>
      </c>
      <c r="AG1183">
        <v>2</v>
      </c>
      <c r="AH1183">
        <v>0</v>
      </c>
      <c r="AI1183" t="s">
        <v>2467</v>
      </c>
      <c r="AJ1183">
        <v>39.507328999999999</v>
      </c>
      <c r="AK1183" t="s">
        <v>2468</v>
      </c>
      <c r="AL1183">
        <v>-76.694849000000005</v>
      </c>
      <c r="AM1183">
        <v>100</v>
      </c>
      <c r="AN1183">
        <v>8700</v>
      </c>
      <c r="AO1183" t="s">
        <v>115</v>
      </c>
      <c r="AP1183">
        <v>167</v>
      </c>
      <c r="AQ1183">
        <v>87</v>
      </c>
      <c r="AR1183">
        <v>0</v>
      </c>
      <c r="AZ1183">
        <v>3614</v>
      </c>
      <c r="BA1183">
        <v>1</v>
      </c>
      <c r="BB1183" t="str">
        <f t="shared" si="56"/>
        <v xml:space="preserve">N959MJ  </v>
      </c>
      <c r="BC1183">
        <v>1</v>
      </c>
      <c r="BE1183">
        <v>0</v>
      </c>
      <c r="BF1183">
        <v>0</v>
      </c>
      <c r="BG1183">
        <v>0</v>
      </c>
      <c r="BH1183">
        <v>9025</v>
      </c>
      <c r="BI1183">
        <v>325</v>
      </c>
      <c r="BJ1183">
        <v>1</v>
      </c>
      <c r="BK1183">
        <v>1</v>
      </c>
      <c r="BL1183">
        <v>1</v>
      </c>
      <c r="BM1183">
        <v>0</v>
      </c>
      <c r="BP1183">
        <v>0</v>
      </c>
      <c r="BQ1183">
        <v>0</v>
      </c>
      <c r="BX1183" t="str">
        <f>"14:10:04.344"</f>
        <v>14:10:04.344</v>
      </c>
      <c r="BY1183" t="str">
        <f>"340169658"</f>
        <v>340169658</v>
      </c>
      <c r="CL1183">
        <v>0</v>
      </c>
      <c r="CM1183">
        <v>2</v>
      </c>
      <c r="CN1183">
        <v>0</v>
      </c>
      <c r="CO1183">
        <v>2</v>
      </c>
      <c r="CP1183">
        <v>0</v>
      </c>
      <c r="CQ1183">
        <v>6</v>
      </c>
      <c r="CR1183" t="s">
        <v>116</v>
      </c>
      <c r="CS1183">
        <v>396</v>
      </c>
      <c r="CT1183">
        <v>2</v>
      </c>
      <c r="CU1183" t="s">
        <v>939</v>
      </c>
      <c r="CV1183" t="s">
        <v>940</v>
      </c>
      <c r="CY1183">
        <v>4820355</v>
      </c>
      <c r="CZ1183" t="s">
        <v>119</v>
      </c>
    </row>
    <row r="1184" spans="1:104" x14ac:dyDescent="0.25">
      <c r="A1184" t="str">
        <f>"14:10:05.453"</f>
        <v>14:10:05.453</v>
      </c>
      <c r="B1184" t="s">
        <v>108</v>
      </c>
      <c r="C1184" t="str">
        <f t="shared" si="55"/>
        <v>ffdfd3c0</v>
      </c>
      <c r="D1184" t="s">
        <v>109</v>
      </c>
      <c r="E1184">
        <v>4</v>
      </c>
      <c r="F1184">
        <v>1004</v>
      </c>
      <c r="G1184" t="s">
        <v>110</v>
      </c>
      <c r="J1184" t="s">
        <v>111</v>
      </c>
      <c r="K1184">
        <v>0</v>
      </c>
      <c r="L1184">
        <v>3</v>
      </c>
      <c r="M1184">
        <v>0</v>
      </c>
      <c r="N1184">
        <v>2</v>
      </c>
      <c r="O1184">
        <v>1</v>
      </c>
      <c r="P1184">
        <v>0</v>
      </c>
      <c r="Q1184">
        <v>0</v>
      </c>
      <c r="R1184" t="s">
        <v>112</v>
      </c>
      <c r="S1184" t="str">
        <f>"14:10:05.266"</f>
        <v>14:10:05.266</v>
      </c>
      <c r="T1184" t="str">
        <f>"14:10:04.867"</f>
        <v>14:10:04.867</v>
      </c>
      <c r="U1184" t="str">
        <f t="shared" si="54"/>
        <v>ad5732</v>
      </c>
      <c r="V1184">
        <v>0</v>
      </c>
      <c r="W1184">
        <v>0</v>
      </c>
      <c r="X1184">
        <v>1</v>
      </c>
      <c r="Z1184">
        <v>0</v>
      </c>
      <c r="AA1184">
        <v>9</v>
      </c>
      <c r="AB1184">
        <v>3</v>
      </c>
      <c r="AC1184">
        <v>0</v>
      </c>
      <c r="AD1184">
        <v>10</v>
      </c>
      <c r="AE1184">
        <v>0</v>
      </c>
      <c r="AF1184">
        <v>3</v>
      </c>
      <c r="AG1184">
        <v>2</v>
      </c>
      <c r="AH1184">
        <v>0</v>
      </c>
      <c r="AI1184" t="s">
        <v>2469</v>
      </c>
      <c r="AJ1184">
        <v>39.507716000000002</v>
      </c>
      <c r="AK1184" t="s">
        <v>2470</v>
      </c>
      <c r="AL1184">
        <v>-76.693968999999996</v>
      </c>
      <c r="AM1184">
        <v>100</v>
      </c>
      <c r="AN1184">
        <v>8700</v>
      </c>
      <c r="AO1184" t="s">
        <v>115</v>
      </c>
      <c r="AP1184">
        <v>167</v>
      </c>
      <c r="AQ1184">
        <v>87</v>
      </c>
      <c r="AR1184">
        <v>0</v>
      </c>
      <c r="AZ1184">
        <v>3614</v>
      </c>
      <c r="BA1184">
        <v>1</v>
      </c>
      <c r="BB1184" t="str">
        <f t="shared" si="56"/>
        <v xml:space="preserve">N959MJ  </v>
      </c>
      <c r="BC1184">
        <v>1</v>
      </c>
      <c r="BE1184">
        <v>0</v>
      </c>
      <c r="BF1184">
        <v>0</v>
      </c>
      <c r="BG1184">
        <v>0</v>
      </c>
      <c r="BH1184">
        <v>9025</v>
      </c>
      <c r="BI1184">
        <v>325</v>
      </c>
      <c r="BJ1184">
        <v>1</v>
      </c>
      <c r="BK1184">
        <v>1</v>
      </c>
      <c r="BL1184">
        <v>1</v>
      </c>
      <c r="BM1184">
        <v>0</v>
      </c>
      <c r="BP1184">
        <v>0</v>
      </c>
      <c r="BQ1184">
        <v>0</v>
      </c>
      <c r="BX1184" t="str">
        <f>"14:10:05.273"</f>
        <v>14:10:05.273</v>
      </c>
      <c r="BY1184" t="str">
        <f>"270856672"</f>
        <v>270856672</v>
      </c>
      <c r="CL1184">
        <v>0</v>
      </c>
      <c r="CM1184">
        <v>2</v>
      </c>
      <c r="CN1184">
        <v>0</v>
      </c>
      <c r="CO1184">
        <v>2</v>
      </c>
      <c r="CP1184">
        <v>0</v>
      </c>
      <c r="CQ1184">
        <v>6</v>
      </c>
      <c r="CR1184" t="s">
        <v>116</v>
      </c>
      <c r="CS1184">
        <v>372</v>
      </c>
      <c r="CT1184">
        <v>3</v>
      </c>
      <c r="CU1184" t="s">
        <v>877</v>
      </c>
      <c r="CV1184" t="s">
        <v>878</v>
      </c>
      <c r="CY1184">
        <v>11464915</v>
      </c>
      <c r="CZ1184" t="s">
        <v>119</v>
      </c>
    </row>
    <row r="1185" spans="1:104" x14ac:dyDescent="0.25">
      <c r="A1185" t="str">
        <f>"14:10:06.617"</f>
        <v>14:10:06.617</v>
      </c>
      <c r="B1185" t="s">
        <v>108</v>
      </c>
      <c r="C1185" t="str">
        <f t="shared" si="55"/>
        <v>ffdfd3c0</v>
      </c>
      <c r="D1185" t="s">
        <v>109</v>
      </c>
      <c r="E1185">
        <v>4</v>
      </c>
      <c r="F1185">
        <v>1004</v>
      </c>
      <c r="G1185" t="s">
        <v>110</v>
      </c>
      <c r="J1185" t="s">
        <v>111</v>
      </c>
      <c r="K1185">
        <v>0</v>
      </c>
      <c r="L1185">
        <v>3</v>
      </c>
      <c r="M1185">
        <v>0</v>
      </c>
      <c r="N1185">
        <v>2</v>
      </c>
      <c r="O1185">
        <v>1</v>
      </c>
      <c r="P1185">
        <v>0</v>
      </c>
      <c r="Q1185">
        <v>0</v>
      </c>
      <c r="R1185" t="s">
        <v>112</v>
      </c>
      <c r="S1185" t="str">
        <f>"14:10:06.430"</f>
        <v>14:10:06.430</v>
      </c>
      <c r="T1185" t="str">
        <f>"14:10:05.930"</f>
        <v>14:10:05.930</v>
      </c>
      <c r="U1185" t="str">
        <f t="shared" si="54"/>
        <v>ad5732</v>
      </c>
      <c r="V1185">
        <v>0</v>
      </c>
      <c r="W1185">
        <v>0</v>
      </c>
      <c r="X1185">
        <v>1</v>
      </c>
      <c r="Z1185">
        <v>0</v>
      </c>
      <c r="AA1185">
        <v>9</v>
      </c>
      <c r="AB1185">
        <v>3</v>
      </c>
      <c r="AC1185">
        <v>0</v>
      </c>
      <c r="AD1185">
        <v>10</v>
      </c>
      <c r="AE1185">
        <v>0</v>
      </c>
      <c r="AF1185">
        <v>3</v>
      </c>
      <c r="AG1185">
        <v>2</v>
      </c>
      <c r="AH1185">
        <v>0</v>
      </c>
      <c r="AI1185" t="s">
        <v>2471</v>
      </c>
      <c r="AJ1185">
        <v>39.508231000000002</v>
      </c>
      <c r="AK1185" t="s">
        <v>2472</v>
      </c>
      <c r="AL1185">
        <v>-76.692746</v>
      </c>
      <c r="AM1185">
        <v>100</v>
      </c>
      <c r="AN1185">
        <v>8700</v>
      </c>
      <c r="AO1185" t="s">
        <v>115</v>
      </c>
      <c r="AP1185">
        <v>167</v>
      </c>
      <c r="AQ1185">
        <v>87</v>
      </c>
      <c r="AR1185">
        <v>64</v>
      </c>
      <c r="AZ1185">
        <v>3614</v>
      </c>
      <c r="BA1185">
        <v>1</v>
      </c>
      <c r="BB1185" t="str">
        <f t="shared" si="56"/>
        <v xml:space="preserve">N959MJ  </v>
      </c>
      <c r="BC1185">
        <v>1</v>
      </c>
      <c r="BE1185">
        <v>0</v>
      </c>
      <c r="BF1185">
        <v>0</v>
      </c>
      <c r="BG1185">
        <v>0</v>
      </c>
      <c r="BH1185">
        <v>9025</v>
      </c>
      <c r="BI1185">
        <v>325</v>
      </c>
      <c r="BJ1185">
        <v>1</v>
      </c>
      <c r="BK1185">
        <v>1</v>
      </c>
      <c r="BL1185">
        <v>1</v>
      </c>
      <c r="BM1185">
        <v>0</v>
      </c>
      <c r="BP1185">
        <v>0</v>
      </c>
      <c r="BQ1185">
        <v>0</v>
      </c>
      <c r="BX1185" t="str">
        <f>"14:10:06.438"</f>
        <v>14:10:06.438</v>
      </c>
      <c r="BY1185" t="str">
        <f>"437416725"</f>
        <v>437416725</v>
      </c>
      <c r="CL1185">
        <v>0</v>
      </c>
      <c r="CM1185">
        <v>2</v>
      </c>
      <c r="CN1185">
        <v>0</v>
      </c>
      <c r="CO1185">
        <v>2</v>
      </c>
      <c r="CP1185">
        <v>0</v>
      </c>
      <c r="CQ1185">
        <v>6</v>
      </c>
      <c r="CR1185" t="s">
        <v>116</v>
      </c>
      <c r="CS1185">
        <v>372</v>
      </c>
      <c r="CT1185">
        <v>3</v>
      </c>
      <c r="CU1185" t="s">
        <v>877</v>
      </c>
      <c r="CV1185" t="s">
        <v>878</v>
      </c>
      <c r="CY1185">
        <v>11466977</v>
      </c>
      <c r="CZ1185" t="s">
        <v>119</v>
      </c>
    </row>
    <row r="1186" spans="1:104" x14ac:dyDescent="0.25">
      <c r="A1186" t="str">
        <f>"14:10:07.625"</f>
        <v>14:10:07.625</v>
      </c>
      <c r="B1186" t="s">
        <v>108</v>
      </c>
      <c r="C1186" t="str">
        <f t="shared" si="55"/>
        <v>ffdfd3c0</v>
      </c>
      <c r="D1186" t="s">
        <v>109</v>
      </c>
      <c r="E1186">
        <v>4</v>
      </c>
      <c r="F1186">
        <v>1004</v>
      </c>
      <c r="G1186" t="s">
        <v>110</v>
      </c>
      <c r="J1186" t="s">
        <v>111</v>
      </c>
      <c r="K1186">
        <v>0</v>
      </c>
      <c r="L1186">
        <v>3</v>
      </c>
      <c r="M1186">
        <v>0</v>
      </c>
      <c r="N1186">
        <v>2</v>
      </c>
      <c r="O1186">
        <v>1</v>
      </c>
      <c r="P1186">
        <v>0</v>
      </c>
      <c r="Q1186">
        <v>0</v>
      </c>
      <c r="R1186" t="s">
        <v>112</v>
      </c>
      <c r="S1186" t="str">
        <f>"14:10:07.430"</f>
        <v>14:10:07.430</v>
      </c>
      <c r="T1186" t="str">
        <f>"14:10:07.031"</f>
        <v>14:10:07.031</v>
      </c>
      <c r="U1186" t="str">
        <f t="shared" si="54"/>
        <v>ad5732</v>
      </c>
      <c r="V1186">
        <v>0</v>
      </c>
      <c r="W1186">
        <v>0</v>
      </c>
      <c r="X1186">
        <v>1</v>
      </c>
      <c r="Z1186">
        <v>0</v>
      </c>
      <c r="AA1186">
        <v>9</v>
      </c>
      <c r="AB1186">
        <v>3</v>
      </c>
      <c r="AC1186">
        <v>0</v>
      </c>
      <c r="AD1186">
        <v>10</v>
      </c>
      <c r="AE1186">
        <v>0</v>
      </c>
      <c r="AF1186">
        <v>3</v>
      </c>
      <c r="AG1186">
        <v>2</v>
      </c>
      <c r="AH1186">
        <v>0</v>
      </c>
      <c r="AI1186" t="s">
        <v>2473</v>
      </c>
      <c r="AJ1186">
        <v>39.508595</v>
      </c>
      <c r="AK1186" t="s">
        <v>2474</v>
      </c>
      <c r="AL1186">
        <v>-76.691716</v>
      </c>
      <c r="AM1186">
        <v>100</v>
      </c>
      <c r="AN1186">
        <v>8700</v>
      </c>
      <c r="AO1186" t="s">
        <v>115</v>
      </c>
      <c r="AP1186">
        <v>167</v>
      </c>
      <c r="AQ1186">
        <v>88</v>
      </c>
      <c r="AR1186">
        <v>64</v>
      </c>
      <c r="AZ1186">
        <v>3614</v>
      </c>
      <c r="BA1186">
        <v>1</v>
      </c>
      <c r="BB1186" t="str">
        <f t="shared" si="56"/>
        <v xml:space="preserve">N959MJ  </v>
      </c>
      <c r="BC1186">
        <v>1</v>
      </c>
      <c r="BE1186">
        <v>0</v>
      </c>
      <c r="BF1186">
        <v>0</v>
      </c>
      <c r="BG1186">
        <v>0</v>
      </c>
      <c r="BH1186">
        <v>9025</v>
      </c>
      <c r="BI1186">
        <v>325</v>
      </c>
      <c r="BJ1186">
        <v>1</v>
      </c>
      <c r="BK1186">
        <v>1</v>
      </c>
      <c r="BL1186">
        <v>1</v>
      </c>
      <c r="BM1186">
        <v>0</v>
      </c>
      <c r="BP1186">
        <v>0</v>
      </c>
      <c r="BQ1186">
        <v>0</v>
      </c>
      <c r="BX1186" t="str">
        <f>"14:10:07.430"</f>
        <v>14:10:07.430</v>
      </c>
      <c r="BY1186" t="str">
        <f>"430441684"</f>
        <v>430441684</v>
      </c>
      <c r="CL1186">
        <v>0</v>
      </c>
      <c r="CM1186">
        <v>2</v>
      </c>
      <c r="CN1186">
        <v>0</v>
      </c>
      <c r="CO1186">
        <v>2</v>
      </c>
      <c r="CP1186">
        <v>0</v>
      </c>
      <c r="CQ1186">
        <v>3</v>
      </c>
      <c r="CR1186" t="s">
        <v>116</v>
      </c>
      <c r="CS1186">
        <v>373</v>
      </c>
      <c r="CT1186">
        <v>3</v>
      </c>
      <c r="CU1186" t="s">
        <v>224</v>
      </c>
      <c r="CV1186" t="s">
        <v>225</v>
      </c>
      <c r="CY1186">
        <v>3487582</v>
      </c>
      <c r="CZ1186" t="s">
        <v>119</v>
      </c>
    </row>
    <row r="1187" spans="1:104" x14ac:dyDescent="0.25">
      <c r="A1187" t="str">
        <f>"14:10:08.586"</f>
        <v>14:10:08.586</v>
      </c>
      <c r="B1187" t="s">
        <v>108</v>
      </c>
      <c r="C1187" t="str">
        <f t="shared" si="55"/>
        <v>ffdfd3c0</v>
      </c>
      <c r="D1187" t="s">
        <v>109</v>
      </c>
      <c r="E1187">
        <v>4</v>
      </c>
      <c r="F1187">
        <v>1004</v>
      </c>
      <c r="G1187" t="s">
        <v>110</v>
      </c>
      <c r="J1187" t="s">
        <v>111</v>
      </c>
      <c r="K1187">
        <v>0</v>
      </c>
      <c r="L1187">
        <v>3</v>
      </c>
      <c r="M1187">
        <v>0</v>
      </c>
      <c r="N1187">
        <v>2</v>
      </c>
      <c r="O1187">
        <v>1</v>
      </c>
      <c r="P1187">
        <v>0</v>
      </c>
      <c r="Q1187">
        <v>0</v>
      </c>
      <c r="R1187" t="s">
        <v>112</v>
      </c>
      <c r="S1187" t="str">
        <f>"14:10:08.398"</f>
        <v>14:10:08.398</v>
      </c>
      <c r="T1187" t="str">
        <f>"14:10:07.898"</f>
        <v>14:10:07.898</v>
      </c>
      <c r="U1187" t="str">
        <f t="shared" si="54"/>
        <v>ad5732</v>
      </c>
      <c r="V1187">
        <v>0</v>
      </c>
      <c r="W1187">
        <v>0</v>
      </c>
      <c r="X1187">
        <v>1</v>
      </c>
      <c r="Z1187">
        <v>0</v>
      </c>
      <c r="AA1187">
        <v>9</v>
      </c>
      <c r="AB1187">
        <v>3</v>
      </c>
      <c r="AC1187">
        <v>0</v>
      </c>
      <c r="AD1187">
        <v>10</v>
      </c>
      <c r="AE1187">
        <v>0</v>
      </c>
      <c r="AF1187">
        <v>3</v>
      </c>
      <c r="AG1187">
        <v>2</v>
      </c>
      <c r="AH1187">
        <v>0</v>
      </c>
      <c r="AI1187" t="s">
        <v>2475</v>
      </c>
      <c r="AJ1187">
        <v>39.509025000000001</v>
      </c>
      <c r="AK1187" t="s">
        <v>2476</v>
      </c>
      <c r="AL1187">
        <v>-76.690729000000005</v>
      </c>
      <c r="AM1187">
        <v>100</v>
      </c>
      <c r="AN1187">
        <v>8700</v>
      </c>
      <c r="AO1187" t="s">
        <v>115</v>
      </c>
      <c r="AP1187">
        <v>167</v>
      </c>
      <c r="AQ1187">
        <v>88</v>
      </c>
      <c r="AR1187">
        <v>64</v>
      </c>
      <c r="AZ1187">
        <v>3614</v>
      </c>
      <c r="BA1187">
        <v>1</v>
      </c>
      <c r="BB1187" t="str">
        <f t="shared" si="56"/>
        <v xml:space="preserve">N959MJ  </v>
      </c>
      <c r="BC1187">
        <v>1</v>
      </c>
      <c r="BE1187">
        <v>0</v>
      </c>
      <c r="BF1187">
        <v>0</v>
      </c>
      <c r="BG1187">
        <v>0</v>
      </c>
      <c r="BH1187">
        <v>9025</v>
      </c>
      <c r="BI1187">
        <v>325</v>
      </c>
      <c r="BJ1187">
        <v>1</v>
      </c>
      <c r="BK1187">
        <v>1</v>
      </c>
      <c r="BL1187">
        <v>1</v>
      </c>
      <c r="BM1187">
        <v>0</v>
      </c>
      <c r="BP1187">
        <v>0</v>
      </c>
      <c r="BQ1187">
        <v>0</v>
      </c>
      <c r="BX1187" t="str">
        <f>"14:10:08.398"</f>
        <v>14:10:08.398</v>
      </c>
      <c r="BY1187" t="str">
        <f>"400191335"</f>
        <v>400191335</v>
      </c>
      <c r="CL1187">
        <v>0</v>
      </c>
      <c r="CM1187">
        <v>2</v>
      </c>
      <c r="CN1187">
        <v>0</v>
      </c>
      <c r="CO1187">
        <v>2</v>
      </c>
      <c r="CP1187">
        <v>0</v>
      </c>
      <c r="CQ1187">
        <v>6</v>
      </c>
      <c r="CR1187" t="s">
        <v>116</v>
      </c>
      <c r="CS1187">
        <v>396</v>
      </c>
      <c r="CT1187">
        <v>2</v>
      </c>
      <c r="CU1187" t="s">
        <v>939</v>
      </c>
      <c r="CV1187" t="s">
        <v>940</v>
      </c>
      <c r="CY1187">
        <v>4827860</v>
      </c>
      <c r="CZ1187" t="s">
        <v>119</v>
      </c>
    </row>
    <row r="1188" spans="1:104" x14ac:dyDescent="0.25">
      <c r="A1188" t="str">
        <f>"14:10:09.648"</f>
        <v>14:10:09.648</v>
      </c>
      <c r="B1188" t="s">
        <v>108</v>
      </c>
      <c r="C1188" t="str">
        <f t="shared" si="55"/>
        <v>ffdfd3c0</v>
      </c>
      <c r="D1188" t="s">
        <v>109</v>
      </c>
      <c r="E1188">
        <v>4</v>
      </c>
      <c r="F1188">
        <v>1004</v>
      </c>
      <c r="G1188" t="s">
        <v>110</v>
      </c>
      <c r="J1188" t="s">
        <v>111</v>
      </c>
      <c r="K1188">
        <v>0</v>
      </c>
      <c r="L1188">
        <v>3</v>
      </c>
      <c r="M1188">
        <v>0</v>
      </c>
      <c r="N1188">
        <v>2</v>
      </c>
      <c r="O1188">
        <v>1</v>
      </c>
      <c r="P1188">
        <v>0</v>
      </c>
      <c r="Q1188">
        <v>0</v>
      </c>
      <c r="R1188" t="s">
        <v>112</v>
      </c>
      <c r="S1188" t="str">
        <f>"14:10:09.469"</f>
        <v>14:10:09.469</v>
      </c>
      <c r="T1188" t="str">
        <f>"14:10:08.969"</f>
        <v>14:10:08.969</v>
      </c>
      <c r="U1188" t="str">
        <f t="shared" si="54"/>
        <v>ad5732</v>
      </c>
      <c r="V1188">
        <v>0</v>
      </c>
      <c r="W1188">
        <v>0</v>
      </c>
      <c r="X1188">
        <v>1</v>
      </c>
      <c r="Z1188">
        <v>0</v>
      </c>
      <c r="AA1188">
        <v>9</v>
      </c>
      <c r="AB1188">
        <v>3</v>
      </c>
      <c r="AC1188">
        <v>0</v>
      </c>
      <c r="AD1188">
        <v>10</v>
      </c>
      <c r="AE1188">
        <v>0</v>
      </c>
      <c r="AF1188">
        <v>3</v>
      </c>
      <c r="AG1188">
        <v>2</v>
      </c>
      <c r="AH1188">
        <v>0</v>
      </c>
      <c r="AI1188" t="s">
        <v>2477</v>
      </c>
      <c r="AJ1188">
        <v>39.509431999999997</v>
      </c>
      <c r="AK1188" t="s">
        <v>2478</v>
      </c>
      <c r="AL1188">
        <v>-76.689762999999999</v>
      </c>
      <c r="AM1188">
        <v>100</v>
      </c>
      <c r="AN1188">
        <v>8700</v>
      </c>
      <c r="AO1188" t="s">
        <v>115</v>
      </c>
      <c r="AP1188">
        <v>166</v>
      </c>
      <c r="AQ1188">
        <v>88</v>
      </c>
      <c r="AR1188">
        <v>64</v>
      </c>
      <c r="AZ1188">
        <v>3614</v>
      </c>
      <c r="BA1188">
        <v>1</v>
      </c>
      <c r="BB1188" t="str">
        <f t="shared" si="56"/>
        <v xml:space="preserve">N959MJ  </v>
      </c>
      <c r="BC1188">
        <v>1</v>
      </c>
      <c r="BE1188">
        <v>0</v>
      </c>
      <c r="BF1188">
        <v>0</v>
      </c>
      <c r="BG1188">
        <v>0</v>
      </c>
      <c r="BH1188">
        <v>9025</v>
      </c>
      <c r="BI1188">
        <v>325</v>
      </c>
      <c r="BJ1188">
        <v>1</v>
      </c>
      <c r="BK1188">
        <v>1</v>
      </c>
      <c r="BL1188">
        <v>1</v>
      </c>
      <c r="BM1188">
        <v>0</v>
      </c>
      <c r="BP1188">
        <v>0</v>
      </c>
      <c r="BQ1188">
        <v>0</v>
      </c>
      <c r="BX1188" t="str">
        <f>"14:10:09.469"</f>
        <v>14:10:09.469</v>
      </c>
      <c r="BY1188" t="str">
        <f>"471722540"</f>
        <v>471722540</v>
      </c>
      <c r="CL1188">
        <v>0</v>
      </c>
      <c r="CM1188">
        <v>2</v>
      </c>
      <c r="CN1188">
        <v>0</v>
      </c>
      <c r="CO1188">
        <v>2</v>
      </c>
      <c r="CP1188">
        <v>0</v>
      </c>
      <c r="CQ1188">
        <v>6</v>
      </c>
      <c r="CR1188" t="s">
        <v>116</v>
      </c>
      <c r="CS1188">
        <v>396</v>
      </c>
      <c r="CT1188">
        <v>2</v>
      </c>
      <c r="CU1188" t="s">
        <v>939</v>
      </c>
      <c r="CV1188" t="s">
        <v>940</v>
      </c>
      <c r="CY1188">
        <v>4829855</v>
      </c>
      <c r="CZ1188" t="s">
        <v>119</v>
      </c>
    </row>
    <row r="1189" spans="1:104" x14ac:dyDescent="0.25">
      <c r="A1189" t="str">
        <f>"14:10:10.711"</f>
        <v>14:10:10.711</v>
      </c>
      <c r="B1189" t="s">
        <v>108</v>
      </c>
      <c r="C1189" t="str">
        <f t="shared" si="55"/>
        <v>ffdfd3c0</v>
      </c>
      <c r="D1189" t="s">
        <v>109</v>
      </c>
      <c r="E1189">
        <v>4</v>
      </c>
      <c r="F1189">
        <v>1004</v>
      </c>
      <c r="G1189" t="s">
        <v>110</v>
      </c>
      <c r="J1189" t="s">
        <v>111</v>
      </c>
      <c r="K1189">
        <v>0</v>
      </c>
      <c r="L1189">
        <v>3</v>
      </c>
      <c r="M1189">
        <v>0</v>
      </c>
      <c r="N1189">
        <v>2</v>
      </c>
      <c r="O1189">
        <v>1</v>
      </c>
      <c r="P1189">
        <v>0</v>
      </c>
      <c r="Q1189">
        <v>0</v>
      </c>
      <c r="R1189" t="s">
        <v>112</v>
      </c>
      <c r="S1189" t="str">
        <f>"14:10:10.531"</f>
        <v>14:10:10.531</v>
      </c>
      <c r="T1189" t="str">
        <f>"14:10:10.031"</f>
        <v>14:10:10.031</v>
      </c>
      <c r="U1189" t="str">
        <f t="shared" si="54"/>
        <v>ad5732</v>
      </c>
      <c r="V1189">
        <v>0</v>
      </c>
      <c r="W1189">
        <v>0</v>
      </c>
      <c r="X1189">
        <v>1</v>
      </c>
      <c r="Z1189">
        <v>0</v>
      </c>
      <c r="AA1189">
        <v>9</v>
      </c>
      <c r="AB1189">
        <v>3</v>
      </c>
      <c r="AC1189">
        <v>0</v>
      </c>
      <c r="AD1189">
        <v>10</v>
      </c>
      <c r="AE1189">
        <v>0</v>
      </c>
      <c r="AF1189">
        <v>3</v>
      </c>
      <c r="AG1189">
        <v>2</v>
      </c>
      <c r="AH1189">
        <v>0</v>
      </c>
      <c r="AI1189" t="s">
        <v>2479</v>
      </c>
      <c r="AJ1189">
        <v>39.509903999999999</v>
      </c>
      <c r="AK1189" t="s">
        <v>2480</v>
      </c>
      <c r="AL1189">
        <v>-76.688625999999999</v>
      </c>
      <c r="AM1189">
        <v>100</v>
      </c>
      <c r="AN1189">
        <v>8700</v>
      </c>
      <c r="AO1189" t="s">
        <v>115</v>
      </c>
      <c r="AP1189">
        <v>166</v>
      </c>
      <c r="AQ1189">
        <v>88</v>
      </c>
      <c r="AR1189">
        <v>64</v>
      </c>
      <c r="AZ1189">
        <v>3614</v>
      </c>
      <c r="BA1189">
        <v>1</v>
      </c>
      <c r="BB1189" t="str">
        <f t="shared" si="56"/>
        <v xml:space="preserve">N959MJ  </v>
      </c>
      <c r="BC1189">
        <v>1</v>
      </c>
      <c r="BE1189">
        <v>0</v>
      </c>
      <c r="BF1189">
        <v>0</v>
      </c>
      <c r="BG1189">
        <v>0</v>
      </c>
      <c r="BH1189">
        <v>9025</v>
      </c>
      <c r="BI1189">
        <v>325</v>
      </c>
      <c r="BJ1189">
        <v>1</v>
      </c>
      <c r="BK1189">
        <v>1</v>
      </c>
      <c r="BL1189">
        <v>1</v>
      </c>
      <c r="BM1189">
        <v>0</v>
      </c>
      <c r="BP1189">
        <v>0</v>
      </c>
      <c r="BQ1189">
        <v>0</v>
      </c>
      <c r="BX1189" t="str">
        <f>"14:10:10.539"</f>
        <v>14:10:10.539</v>
      </c>
      <c r="BY1189" t="str">
        <f>"536761365"</f>
        <v>536761365</v>
      </c>
      <c r="CL1189">
        <v>0</v>
      </c>
      <c r="CM1189">
        <v>2</v>
      </c>
      <c r="CN1189">
        <v>0</v>
      </c>
      <c r="CO1189">
        <v>2</v>
      </c>
      <c r="CP1189">
        <v>0</v>
      </c>
      <c r="CQ1189">
        <v>6</v>
      </c>
      <c r="CR1189" t="s">
        <v>116</v>
      </c>
      <c r="CS1189">
        <v>372</v>
      </c>
      <c r="CT1189">
        <v>3</v>
      </c>
      <c r="CU1189" t="s">
        <v>877</v>
      </c>
      <c r="CV1189" t="s">
        <v>878</v>
      </c>
      <c r="CY1189">
        <v>11474208</v>
      </c>
      <c r="CZ1189" t="s">
        <v>119</v>
      </c>
    </row>
    <row r="1190" spans="1:104" x14ac:dyDescent="0.25">
      <c r="A1190" t="str">
        <f>"14:10:11.766"</f>
        <v>14:10:11.766</v>
      </c>
      <c r="B1190" t="s">
        <v>108</v>
      </c>
      <c r="C1190" t="str">
        <f t="shared" si="55"/>
        <v>ffdfd3c0</v>
      </c>
      <c r="D1190" t="s">
        <v>109</v>
      </c>
      <c r="E1190">
        <v>4</v>
      </c>
      <c r="F1190">
        <v>1004</v>
      </c>
      <c r="G1190" t="s">
        <v>110</v>
      </c>
      <c r="J1190" t="s">
        <v>111</v>
      </c>
      <c r="K1190">
        <v>0</v>
      </c>
      <c r="L1190">
        <v>3</v>
      </c>
      <c r="M1190">
        <v>0</v>
      </c>
      <c r="N1190">
        <v>2</v>
      </c>
      <c r="O1190">
        <v>1</v>
      </c>
      <c r="P1190">
        <v>0</v>
      </c>
      <c r="Q1190">
        <v>0</v>
      </c>
      <c r="R1190" t="s">
        <v>112</v>
      </c>
      <c r="S1190" t="str">
        <f>"14:10:11.578"</f>
        <v>14:10:11.578</v>
      </c>
      <c r="T1190" t="str">
        <f>"14:10:11.180"</f>
        <v>14:10:11.180</v>
      </c>
      <c r="U1190" t="str">
        <f t="shared" si="54"/>
        <v>ad5732</v>
      </c>
      <c r="V1190">
        <v>0</v>
      </c>
      <c r="W1190">
        <v>0</v>
      </c>
      <c r="X1190">
        <v>1</v>
      </c>
      <c r="Z1190">
        <v>0</v>
      </c>
      <c r="AA1190">
        <v>9</v>
      </c>
      <c r="AB1190">
        <v>3</v>
      </c>
      <c r="AC1190">
        <v>0</v>
      </c>
      <c r="AD1190">
        <v>10</v>
      </c>
      <c r="AE1190">
        <v>0</v>
      </c>
      <c r="AF1190">
        <v>3</v>
      </c>
      <c r="AG1190">
        <v>2</v>
      </c>
      <c r="AH1190">
        <v>0</v>
      </c>
      <c r="AI1190" t="s">
        <v>2481</v>
      </c>
      <c r="AJ1190">
        <v>39.510269000000001</v>
      </c>
      <c r="AK1190" t="s">
        <v>2482</v>
      </c>
      <c r="AL1190">
        <v>-76.687681999999995</v>
      </c>
      <c r="AM1190">
        <v>100</v>
      </c>
      <c r="AN1190">
        <v>8700</v>
      </c>
      <c r="AO1190" t="s">
        <v>115</v>
      </c>
      <c r="AP1190">
        <v>166</v>
      </c>
      <c r="AQ1190">
        <v>88</v>
      </c>
      <c r="AR1190">
        <v>64</v>
      </c>
      <c r="AZ1190">
        <v>3614</v>
      </c>
      <c r="BA1190">
        <v>1</v>
      </c>
      <c r="BB1190" t="str">
        <f t="shared" si="56"/>
        <v xml:space="preserve">N959MJ  </v>
      </c>
      <c r="BC1190">
        <v>1</v>
      </c>
      <c r="BE1190">
        <v>0</v>
      </c>
      <c r="BF1190">
        <v>0</v>
      </c>
      <c r="BG1190">
        <v>0</v>
      </c>
      <c r="BH1190">
        <v>9025</v>
      </c>
      <c r="BI1190">
        <v>325</v>
      </c>
      <c r="BJ1190">
        <v>1</v>
      </c>
      <c r="BK1190">
        <v>1</v>
      </c>
      <c r="BL1190">
        <v>1</v>
      </c>
      <c r="BM1190">
        <v>0</v>
      </c>
      <c r="BP1190">
        <v>0</v>
      </c>
      <c r="BQ1190">
        <v>0</v>
      </c>
      <c r="BX1190" t="str">
        <f>"14:10:11.578"</f>
        <v>14:10:11.578</v>
      </c>
      <c r="BY1190" t="str">
        <f>"578801074"</f>
        <v>578801074</v>
      </c>
      <c r="CL1190">
        <v>0</v>
      </c>
      <c r="CM1190">
        <v>2</v>
      </c>
      <c r="CN1190">
        <v>0</v>
      </c>
      <c r="CO1190">
        <v>2</v>
      </c>
      <c r="CP1190">
        <v>0</v>
      </c>
      <c r="CQ1190">
        <v>6</v>
      </c>
      <c r="CR1190" t="s">
        <v>116</v>
      </c>
      <c r="CS1190">
        <v>372</v>
      </c>
      <c r="CT1190">
        <v>3</v>
      </c>
      <c r="CU1190" t="s">
        <v>877</v>
      </c>
      <c r="CV1190" t="s">
        <v>878</v>
      </c>
      <c r="CY1190">
        <v>11476111</v>
      </c>
      <c r="CZ1190" t="s">
        <v>119</v>
      </c>
    </row>
    <row r="1191" spans="1:104" x14ac:dyDescent="0.25">
      <c r="A1191" t="str">
        <f>"14:10:12.930"</f>
        <v>14:10:12.930</v>
      </c>
      <c r="B1191" t="s">
        <v>108</v>
      </c>
      <c r="C1191" t="str">
        <f t="shared" si="55"/>
        <v>ffdfd3c0</v>
      </c>
      <c r="D1191" t="s">
        <v>109</v>
      </c>
      <c r="E1191">
        <v>4</v>
      </c>
      <c r="F1191">
        <v>1004</v>
      </c>
      <c r="G1191" t="s">
        <v>110</v>
      </c>
      <c r="J1191" t="s">
        <v>111</v>
      </c>
      <c r="K1191">
        <v>0</v>
      </c>
      <c r="L1191">
        <v>3</v>
      </c>
      <c r="M1191">
        <v>0</v>
      </c>
      <c r="N1191">
        <v>2</v>
      </c>
      <c r="O1191">
        <v>1</v>
      </c>
      <c r="P1191">
        <v>0</v>
      </c>
      <c r="Q1191">
        <v>0</v>
      </c>
      <c r="R1191" t="s">
        <v>112</v>
      </c>
      <c r="S1191" t="str">
        <f>"14:10:12.711"</f>
        <v>14:10:12.711</v>
      </c>
      <c r="T1191" t="str">
        <f>"14:10:12.211"</f>
        <v>14:10:12.211</v>
      </c>
      <c r="U1191" t="str">
        <f t="shared" si="54"/>
        <v>ad5732</v>
      </c>
      <c r="V1191">
        <v>0</v>
      </c>
      <c r="W1191">
        <v>0</v>
      </c>
      <c r="X1191">
        <v>1</v>
      </c>
      <c r="Z1191">
        <v>0</v>
      </c>
      <c r="AA1191">
        <v>9</v>
      </c>
      <c r="AB1191">
        <v>3</v>
      </c>
      <c r="AC1191">
        <v>0</v>
      </c>
      <c r="AD1191">
        <v>10</v>
      </c>
      <c r="AE1191">
        <v>0</v>
      </c>
      <c r="AF1191">
        <v>3</v>
      </c>
      <c r="AG1191">
        <v>2</v>
      </c>
      <c r="AH1191">
        <v>0</v>
      </c>
      <c r="AI1191" t="s">
        <v>2483</v>
      </c>
      <c r="AJ1191">
        <v>39.510762999999997</v>
      </c>
      <c r="AK1191" t="s">
        <v>2484</v>
      </c>
      <c r="AL1191">
        <v>-76.686480000000003</v>
      </c>
      <c r="AM1191">
        <v>100</v>
      </c>
      <c r="AN1191">
        <v>8700</v>
      </c>
      <c r="AO1191" t="s">
        <v>115</v>
      </c>
      <c r="AP1191">
        <v>166</v>
      </c>
      <c r="AQ1191">
        <v>89</v>
      </c>
      <c r="AR1191">
        <v>0</v>
      </c>
      <c r="AZ1191">
        <v>3614</v>
      </c>
      <c r="BA1191">
        <v>1</v>
      </c>
      <c r="BB1191" t="str">
        <f t="shared" si="56"/>
        <v xml:space="preserve">N959MJ  </v>
      </c>
      <c r="BC1191">
        <v>1</v>
      </c>
      <c r="BE1191">
        <v>0</v>
      </c>
      <c r="BF1191">
        <v>0</v>
      </c>
      <c r="BG1191">
        <v>0</v>
      </c>
      <c r="BH1191">
        <v>9025</v>
      </c>
      <c r="BI1191">
        <v>325</v>
      </c>
      <c r="BJ1191">
        <v>1</v>
      </c>
      <c r="BK1191">
        <v>1</v>
      </c>
      <c r="BL1191">
        <v>1</v>
      </c>
      <c r="BM1191">
        <v>0</v>
      </c>
      <c r="BP1191">
        <v>0</v>
      </c>
      <c r="BQ1191">
        <v>0</v>
      </c>
      <c r="BX1191" t="str">
        <f>"14:10:12.711"</f>
        <v>14:10:12.711</v>
      </c>
      <c r="BY1191" t="str">
        <f>"711085183"</f>
        <v>711085183</v>
      </c>
      <c r="CL1191">
        <v>0</v>
      </c>
      <c r="CM1191">
        <v>2</v>
      </c>
      <c r="CN1191">
        <v>0</v>
      </c>
      <c r="CO1191">
        <v>2</v>
      </c>
      <c r="CP1191">
        <v>0</v>
      </c>
      <c r="CQ1191">
        <v>5</v>
      </c>
      <c r="CR1191" t="s">
        <v>116</v>
      </c>
      <c r="CS1191">
        <v>39</v>
      </c>
      <c r="CT1191">
        <v>2</v>
      </c>
      <c r="CU1191" t="s">
        <v>2259</v>
      </c>
      <c r="CV1191" t="s">
        <v>2260</v>
      </c>
      <c r="CY1191">
        <v>15186278</v>
      </c>
      <c r="CZ1191" t="s">
        <v>119</v>
      </c>
    </row>
    <row r="1192" spans="1:104" x14ac:dyDescent="0.25">
      <c r="A1192" t="str">
        <f>"14:10:13.992"</f>
        <v>14:10:13.992</v>
      </c>
      <c r="B1192" t="s">
        <v>108</v>
      </c>
      <c r="C1192" t="str">
        <f t="shared" si="55"/>
        <v>ffdfd3c0</v>
      </c>
      <c r="D1192" t="s">
        <v>109</v>
      </c>
      <c r="E1192">
        <v>4</v>
      </c>
      <c r="F1192">
        <v>1004</v>
      </c>
      <c r="G1192" t="s">
        <v>110</v>
      </c>
      <c r="J1192" t="s">
        <v>111</v>
      </c>
      <c r="K1192">
        <v>0</v>
      </c>
      <c r="L1192">
        <v>3</v>
      </c>
      <c r="M1192">
        <v>0</v>
      </c>
      <c r="N1192">
        <v>2</v>
      </c>
      <c r="O1192">
        <v>1</v>
      </c>
      <c r="P1192">
        <v>0</v>
      </c>
      <c r="Q1192">
        <v>0</v>
      </c>
      <c r="R1192" t="s">
        <v>112</v>
      </c>
      <c r="S1192" t="str">
        <f>"14:10:13.820"</f>
        <v>14:10:13.820</v>
      </c>
      <c r="T1192" t="str">
        <f>"14:10:13.320"</f>
        <v>14:10:13.320</v>
      </c>
      <c r="U1192" t="str">
        <f t="shared" si="54"/>
        <v>ad5732</v>
      </c>
      <c r="V1192">
        <v>0</v>
      </c>
      <c r="W1192">
        <v>0</v>
      </c>
      <c r="X1192">
        <v>1</v>
      </c>
      <c r="Z1192">
        <v>0</v>
      </c>
      <c r="AA1192">
        <v>9</v>
      </c>
      <c r="AB1192">
        <v>3</v>
      </c>
      <c r="AC1192">
        <v>0</v>
      </c>
      <c r="AD1192">
        <v>10</v>
      </c>
      <c r="AE1192">
        <v>0</v>
      </c>
      <c r="AF1192">
        <v>3</v>
      </c>
      <c r="AG1192">
        <v>2</v>
      </c>
      <c r="AH1192">
        <v>0</v>
      </c>
      <c r="AI1192" t="s">
        <v>2485</v>
      </c>
      <c r="AJ1192">
        <v>39.511212999999998</v>
      </c>
      <c r="AK1192" t="s">
        <v>2486</v>
      </c>
      <c r="AL1192">
        <v>-76.685428999999999</v>
      </c>
      <c r="AM1192">
        <v>100</v>
      </c>
      <c r="AN1192">
        <v>8700</v>
      </c>
      <c r="AO1192" t="s">
        <v>115</v>
      </c>
      <c r="AP1192">
        <v>166</v>
      </c>
      <c r="AQ1192">
        <v>89</v>
      </c>
      <c r="AR1192">
        <v>0</v>
      </c>
      <c r="AZ1192">
        <v>3614</v>
      </c>
      <c r="BA1192">
        <v>1</v>
      </c>
      <c r="BB1192" t="str">
        <f t="shared" si="56"/>
        <v xml:space="preserve">N959MJ  </v>
      </c>
      <c r="BC1192">
        <v>1</v>
      </c>
      <c r="BE1192">
        <v>0</v>
      </c>
      <c r="BF1192">
        <v>0</v>
      </c>
      <c r="BG1192">
        <v>0</v>
      </c>
      <c r="BH1192">
        <v>9025</v>
      </c>
      <c r="BI1192">
        <v>325</v>
      </c>
      <c r="BJ1192">
        <v>1</v>
      </c>
      <c r="BK1192">
        <v>1</v>
      </c>
      <c r="BL1192">
        <v>1</v>
      </c>
      <c r="BM1192">
        <v>0</v>
      </c>
      <c r="BP1192">
        <v>0</v>
      </c>
      <c r="BQ1192">
        <v>0</v>
      </c>
      <c r="BX1192" t="str">
        <f>"14:10:13.828"</f>
        <v>14:10:13.828</v>
      </c>
      <c r="BY1192" t="str">
        <f>"826723084"</f>
        <v>826723084</v>
      </c>
      <c r="CL1192">
        <v>0</v>
      </c>
      <c r="CM1192">
        <v>2</v>
      </c>
      <c r="CN1192">
        <v>0</v>
      </c>
      <c r="CO1192">
        <v>2</v>
      </c>
      <c r="CP1192">
        <v>0</v>
      </c>
      <c r="CQ1192">
        <v>6</v>
      </c>
      <c r="CR1192" t="s">
        <v>116</v>
      </c>
      <c r="CS1192">
        <v>372</v>
      </c>
      <c r="CT1192">
        <v>3</v>
      </c>
      <c r="CU1192" t="s">
        <v>877</v>
      </c>
      <c r="CV1192" t="s">
        <v>878</v>
      </c>
      <c r="CY1192">
        <v>11480059</v>
      </c>
      <c r="CZ1192" t="s">
        <v>119</v>
      </c>
    </row>
    <row r="1193" spans="1:104" x14ac:dyDescent="0.25">
      <c r="A1193" t="str">
        <f>"14:10:15.047"</f>
        <v>14:10:15.047</v>
      </c>
      <c r="B1193" t="s">
        <v>108</v>
      </c>
      <c r="C1193" t="str">
        <f t="shared" si="55"/>
        <v>ffdfd3c0</v>
      </c>
      <c r="D1193" t="s">
        <v>109</v>
      </c>
      <c r="E1193">
        <v>4</v>
      </c>
      <c r="F1193">
        <v>1004</v>
      </c>
      <c r="G1193" t="s">
        <v>110</v>
      </c>
      <c r="J1193" t="s">
        <v>111</v>
      </c>
      <c r="K1193">
        <v>0</v>
      </c>
      <c r="L1193">
        <v>3</v>
      </c>
      <c r="M1193">
        <v>0</v>
      </c>
      <c r="N1193">
        <v>2</v>
      </c>
      <c r="O1193">
        <v>1</v>
      </c>
      <c r="P1193">
        <v>0</v>
      </c>
      <c r="Q1193">
        <v>0</v>
      </c>
      <c r="R1193" t="s">
        <v>112</v>
      </c>
      <c r="S1193" t="str">
        <f>"14:10:14.852"</f>
        <v>14:10:14.852</v>
      </c>
      <c r="T1193" t="str">
        <f>"14:10:14.453"</f>
        <v>14:10:14.453</v>
      </c>
      <c r="U1193" t="str">
        <f t="shared" si="54"/>
        <v>ad5732</v>
      </c>
      <c r="V1193">
        <v>0</v>
      </c>
      <c r="W1193">
        <v>0</v>
      </c>
      <c r="X1193">
        <v>1</v>
      </c>
      <c r="Z1193">
        <v>0</v>
      </c>
      <c r="AA1193">
        <v>9</v>
      </c>
      <c r="AB1193">
        <v>3</v>
      </c>
      <c r="AC1193">
        <v>0</v>
      </c>
      <c r="AD1193">
        <v>10</v>
      </c>
      <c r="AE1193">
        <v>0</v>
      </c>
      <c r="AF1193">
        <v>3</v>
      </c>
      <c r="AG1193">
        <v>2</v>
      </c>
      <c r="AH1193">
        <v>0</v>
      </c>
      <c r="AI1193" t="s">
        <v>2487</v>
      </c>
      <c r="AJ1193">
        <v>39.511620999999998</v>
      </c>
      <c r="AK1193" t="s">
        <v>2488</v>
      </c>
      <c r="AL1193">
        <v>-76.684376999999998</v>
      </c>
      <c r="AM1193">
        <v>100</v>
      </c>
      <c r="AN1193">
        <v>8700</v>
      </c>
      <c r="AO1193" t="s">
        <v>115</v>
      </c>
      <c r="AP1193">
        <v>166</v>
      </c>
      <c r="AQ1193">
        <v>89</v>
      </c>
      <c r="AR1193">
        <v>-64</v>
      </c>
      <c r="AZ1193">
        <v>3614</v>
      </c>
      <c r="BA1193">
        <v>1</v>
      </c>
      <c r="BB1193" t="str">
        <f t="shared" si="56"/>
        <v xml:space="preserve">N959MJ  </v>
      </c>
      <c r="BC1193">
        <v>1</v>
      </c>
      <c r="BE1193">
        <v>0</v>
      </c>
      <c r="BF1193">
        <v>0</v>
      </c>
      <c r="BG1193">
        <v>0</v>
      </c>
      <c r="BH1193">
        <v>9025</v>
      </c>
      <c r="BI1193">
        <v>325</v>
      </c>
      <c r="BJ1193">
        <v>1</v>
      </c>
      <c r="BK1193">
        <v>1</v>
      </c>
      <c r="BL1193">
        <v>1</v>
      </c>
      <c r="BM1193">
        <v>0</v>
      </c>
      <c r="BP1193">
        <v>0</v>
      </c>
      <c r="BQ1193">
        <v>0</v>
      </c>
      <c r="BX1193" t="str">
        <f>"14:10:14.859"</f>
        <v>14:10:14.859</v>
      </c>
      <c r="BY1193" t="str">
        <f>"857293807"</f>
        <v>857293807</v>
      </c>
      <c r="CL1193">
        <v>0</v>
      </c>
      <c r="CM1193">
        <v>2</v>
      </c>
      <c r="CN1193">
        <v>0</v>
      </c>
      <c r="CO1193">
        <v>2</v>
      </c>
      <c r="CP1193">
        <v>0</v>
      </c>
      <c r="CQ1193">
        <v>6</v>
      </c>
      <c r="CR1193" t="s">
        <v>116</v>
      </c>
      <c r="CS1193">
        <v>372</v>
      </c>
      <c r="CT1193">
        <v>3</v>
      </c>
      <c r="CU1193" t="s">
        <v>877</v>
      </c>
      <c r="CV1193" t="s">
        <v>878</v>
      </c>
      <c r="CY1193">
        <v>11481936</v>
      </c>
      <c r="CZ1193" t="s">
        <v>119</v>
      </c>
    </row>
    <row r="1194" spans="1:104" x14ac:dyDescent="0.25">
      <c r="A1194" t="str">
        <f>"14:10:15.953"</f>
        <v>14:10:15.953</v>
      </c>
      <c r="B1194" t="s">
        <v>108</v>
      </c>
      <c r="C1194" t="str">
        <f t="shared" si="55"/>
        <v>ffdfd3c0</v>
      </c>
      <c r="D1194" t="s">
        <v>109</v>
      </c>
      <c r="E1194">
        <v>4</v>
      </c>
      <c r="F1194">
        <v>1004</v>
      </c>
      <c r="G1194" t="s">
        <v>110</v>
      </c>
      <c r="J1194" t="s">
        <v>111</v>
      </c>
      <c r="K1194">
        <v>0</v>
      </c>
      <c r="L1194">
        <v>3</v>
      </c>
      <c r="M1194">
        <v>0</v>
      </c>
      <c r="N1194">
        <v>2</v>
      </c>
      <c r="O1194">
        <v>1</v>
      </c>
      <c r="P1194">
        <v>0</v>
      </c>
      <c r="Q1194">
        <v>0</v>
      </c>
      <c r="R1194" t="s">
        <v>112</v>
      </c>
      <c r="S1194" t="str">
        <f>"14:10:15.781"</f>
        <v>14:10:15.781</v>
      </c>
      <c r="T1194" t="str">
        <f>"14:10:15.383"</f>
        <v>14:10:15.383</v>
      </c>
      <c r="U1194" t="str">
        <f t="shared" si="54"/>
        <v>ad5732</v>
      </c>
      <c r="V1194">
        <v>0</v>
      </c>
      <c r="W1194">
        <v>0</v>
      </c>
      <c r="X1194">
        <v>1</v>
      </c>
      <c r="Z1194">
        <v>0</v>
      </c>
      <c r="AA1194">
        <v>9</v>
      </c>
      <c r="AB1194">
        <v>3</v>
      </c>
      <c r="AC1194">
        <v>0</v>
      </c>
      <c r="AD1194">
        <v>10</v>
      </c>
      <c r="AE1194">
        <v>0</v>
      </c>
      <c r="AF1194">
        <v>3</v>
      </c>
      <c r="AG1194">
        <v>2</v>
      </c>
      <c r="AH1194">
        <v>0</v>
      </c>
      <c r="AI1194" t="s">
        <v>2489</v>
      </c>
      <c r="AJ1194">
        <v>39.512006999999997</v>
      </c>
      <c r="AK1194" t="s">
        <v>2490</v>
      </c>
      <c r="AL1194">
        <v>-76.683497000000003</v>
      </c>
      <c r="AM1194">
        <v>100</v>
      </c>
      <c r="AN1194">
        <v>8700</v>
      </c>
      <c r="AO1194" t="s">
        <v>115</v>
      </c>
      <c r="AP1194">
        <v>166</v>
      </c>
      <c r="AQ1194">
        <v>90</v>
      </c>
      <c r="AR1194">
        <v>-64</v>
      </c>
      <c r="AZ1194">
        <v>3614</v>
      </c>
      <c r="BA1194">
        <v>1</v>
      </c>
      <c r="BB1194" t="str">
        <f t="shared" si="56"/>
        <v xml:space="preserve">N959MJ  </v>
      </c>
      <c r="BC1194">
        <v>1</v>
      </c>
      <c r="BE1194">
        <v>0</v>
      </c>
      <c r="BF1194">
        <v>0</v>
      </c>
      <c r="BG1194">
        <v>0</v>
      </c>
      <c r="BH1194">
        <v>9025</v>
      </c>
      <c r="BI1194">
        <v>325</v>
      </c>
      <c r="BJ1194">
        <v>1</v>
      </c>
      <c r="BK1194">
        <v>1</v>
      </c>
      <c r="BL1194">
        <v>1</v>
      </c>
      <c r="BM1194">
        <v>0</v>
      </c>
      <c r="BP1194">
        <v>0</v>
      </c>
      <c r="BQ1194">
        <v>0</v>
      </c>
      <c r="BX1194" t="str">
        <f>"14:10:15.781"</f>
        <v>14:10:15.781</v>
      </c>
      <c r="BY1194" t="str">
        <f>"781366719"</f>
        <v>781366719</v>
      </c>
      <c r="CL1194">
        <v>0</v>
      </c>
      <c r="CM1194">
        <v>2</v>
      </c>
      <c r="CN1194">
        <v>0</v>
      </c>
      <c r="CO1194">
        <v>2</v>
      </c>
      <c r="CP1194">
        <v>0</v>
      </c>
      <c r="CQ1194">
        <v>6</v>
      </c>
      <c r="CR1194" t="s">
        <v>116</v>
      </c>
      <c r="CS1194">
        <v>372</v>
      </c>
      <c r="CT1194">
        <v>3</v>
      </c>
      <c r="CU1194" t="s">
        <v>877</v>
      </c>
      <c r="CV1194" t="s">
        <v>878</v>
      </c>
      <c r="CY1194">
        <v>11483651</v>
      </c>
      <c r="CZ1194" t="s">
        <v>119</v>
      </c>
    </row>
    <row r="1195" spans="1:104" x14ac:dyDescent="0.25">
      <c r="A1195" t="str">
        <f>"14:10:16.914"</f>
        <v>14:10:16.914</v>
      </c>
      <c r="B1195" t="s">
        <v>108</v>
      </c>
      <c r="C1195" t="str">
        <f t="shared" si="55"/>
        <v>ffdfd3c0</v>
      </c>
      <c r="D1195" t="s">
        <v>109</v>
      </c>
      <c r="E1195">
        <v>4</v>
      </c>
      <c r="F1195">
        <v>1004</v>
      </c>
      <c r="G1195" t="s">
        <v>110</v>
      </c>
      <c r="J1195" t="s">
        <v>111</v>
      </c>
      <c r="K1195">
        <v>0</v>
      </c>
      <c r="L1195">
        <v>3</v>
      </c>
      <c r="M1195">
        <v>0</v>
      </c>
      <c r="N1195">
        <v>2</v>
      </c>
      <c r="O1195">
        <v>1</v>
      </c>
      <c r="P1195">
        <v>0</v>
      </c>
      <c r="Q1195">
        <v>0</v>
      </c>
      <c r="R1195" t="s">
        <v>112</v>
      </c>
      <c r="S1195" t="str">
        <f>"14:10:16.727"</f>
        <v>14:10:16.727</v>
      </c>
      <c r="T1195" t="str">
        <f>"14:10:16.328"</f>
        <v>14:10:16.328</v>
      </c>
      <c r="U1195" t="str">
        <f t="shared" si="54"/>
        <v>ad5732</v>
      </c>
      <c r="V1195">
        <v>0</v>
      </c>
      <c r="W1195">
        <v>0</v>
      </c>
      <c r="X1195">
        <v>1</v>
      </c>
      <c r="Z1195">
        <v>0</v>
      </c>
      <c r="AA1195">
        <v>9</v>
      </c>
      <c r="AB1195">
        <v>3</v>
      </c>
      <c r="AC1195">
        <v>0</v>
      </c>
      <c r="AD1195">
        <v>10</v>
      </c>
      <c r="AE1195">
        <v>0</v>
      </c>
      <c r="AF1195">
        <v>3</v>
      </c>
      <c r="AG1195">
        <v>2</v>
      </c>
      <c r="AH1195">
        <v>0</v>
      </c>
      <c r="AI1195" t="s">
        <v>2491</v>
      </c>
      <c r="AJ1195">
        <v>39.512414999999997</v>
      </c>
      <c r="AK1195" t="s">
        <v>2492</v>
      </c>
      <c r="AL1195">
        <v>-76.682531999999995</v>
      </c>
      <c r="AM1195">
        <v>100</v>
      </c>
      <c r="AN1195">
        <v>8700</v>
      </c>
      <c r="AO1195" t="s">
        <v>115</v>
      </c>
      <c r="AP1195">
        <v>166</v>
      </c>
      <c r="AQ1195">
        <v>90</v>
      </c>
      <c r="AR1195">
        <v>-64</v>
      </c>
      <c r="AZ1195">
        <v>3614</v>
      </c>
      <c r="BA1195">
        <v>1</v>
      </c>
      <c r="BB1195" t="str">
        <f t="shared" si="56"/>
        <v xml:space="preserve">N959MJ  </v>
      </c>
      <c r="BC1195">
        <v>1</v>
      </c>
      <c r="BE1195">
        <v>0</v>
      </c>
      <c r="BF1195">
        <v>0</v>
      </c>
      <c r="BG1195">
        <v>0</v>
      </c>
      <c r="BH1195">
        <v>9025</v>
      </c>
      <c r="BI1195">
        <v>325</v>
      </c>
      <c r="BJ1195">
        <v>1</v>
      </c>
      <c r="BK1195">
        <v>1</v>
      </c>
      <c r="BL1195">
        <v>1</v>
      </c>
      <c r="BM1195">
        <v>0</v>
      </c>
      <c r="BP1195">
        <v>0</v>
      </c>
      <c r="BQ1195">
        <v>0</v>
      </c>
      <c r="BX1195" t="str">
        <f>"14:10:16.734"</f>
        <v>14:10:16.734</v>
      </c>
      <c r="BY1195" t="str">
        <f>"733230166"</f>
        <v>733230166</v>
      </c>
      <c r="CL1195">
        <v>0</v>
      </c>
      <c r="CM1195">
        <v>2</v>
      </c>
      <c r="CN1195">
        <v>0</v>
      </c>
      <c r="CO1195">
        <v>2</v>
      </c>
      <c r="CP1195">
        <v>0</v>
      </c>
      <c r="CQ1195">
        <v>6</v>
      </c>
      <c r="CR1195" t="s">
        <v>116</v>
      </c>
      <c r="CS1195">
        <v>396</v>
      </c>
      <c r="CT1195">
        <v>2</v>
      </c>
      <c r="CU1195" t="s">
        <v>939</v>
      </c>
      <c r="CV1195" t="s">
        <v>940</v>
      </c>
      <c r="CY1195">
        <v>4842990</v>
      </c>
      <c r="CZ1195" t="s">
        <v>119</v>
      </c>
    </row>
    <row r="1196" spans="1:104" x14ac:dyDescent="0.25">
      <c r="A1196" t="str">
        <f>"14:10:17.773"</f>
        <v>14:10:17.773</v>
      </c>
      <c r="B1196" t="s">
        <v>108</v>
      </c>
      <c r="C1196" t="str">
        <f t="shared" si="55"/>
        <v>ffdfd3c0</v>
      </c>
      <c r="D1196" t="s">
        <v>109</v>
      </c>
      <c r="E1196">
        <v>4</v>
      </c>
      <c r="F1196">
        <v>1004</v>
      </c>
      <c r="G1196" t="s">
        <v>110</v>
      </c>
      <c r="J1196" t="s">
        <v>111</v>
      </c>
      <c r="K1196">
        <v>0</v>
      </c>
      <c r="L1196">
        <v>3</v>
      </c>
      <c r="M1196">
        <v>0</v>
      </c>
      <c r="N1196">
        <v>2</v>
      </c>
      <c r="O1196">
        <v>1</v>
      </c>
      <c r="P1196">
        <v>0</v>
      </c>
      <c r="Q1196">
        <v>0</v>
      </c>
      <c r="R1196" t="s">
        <v>112</v>
      </c>
      <c r="S1196" t="str">
        <f>"14:10:17.609"</f>
        <v>14:10:17.609</v>
      </c>
      <c r="T1196" t="str">
        <f>"14:10:17.211"</f>
        <v>14:10:17.211</v>
      </c>
      <c r="U1196" t="str">
        <f t="shared" si="54"/>
        <v>ad5732</v>
      </c>
      <c r="V1196">
        <v>0</v>
      </c>
      <c r="W1196">
        <v>0</v>
      </c>
      <c r="X1196">
        <v>1</v>
      </c>
      <c r="Z1196">
        <v>0</v>
      </c>
      <c r="AA1196">
        <v>9</v>
      </c>
      <c r="AB1196">
        <v>3</v>
      </c>
      <c r="AC1196">
        <v>0</v>
      </c>
      <c r="AD1196">
        <v>10</v>
      </c>
      <c r="AE1196">
        <v>0</v>
      </c>
      <c r="AF1196">
        <v>3</v>
      </c>
      <c r="AG1196">
        <v>2</v>
      </c>
      <c r="AH1196">
        <v>0</v>
      </c>
      <c r="AI1196" t="s">
        <v>2493</v>
      </c>
      <c r="AJ1196">
        <v>39.512801000000003</v>
      </c>
      <c r="AK1196" t="s">
        <v>2494</v>
      </c>
      <c r="AL1196">
        <v>-76.681630999999996</v>
      </c>
      <c r="AM1196">
        <v>100</v>
      </c>
      <c r="AN1196">
        <v>8700</v>
      </c>
      <c r="AO1196" t="s">
        <v>115</v>
      </c>
      <c r="AP1196">
        <v>166</v>
      </c>
      <c r="AQ1196">
        <v>90</v>
      </c>
      <c r="AR1196">
        <v>-64</v>
      </c>
      <c r="AZ1196">
        <v>3614</v>
      </c>
      <c r="BA1196">
        <v>1</v>
      </c>
      <c r="BB1196" t="str">
        <f t="shared" si="56"/>
        <v xml:space="preserve">N959MJ  </v>
      </c>
      <c r="BC1196">
        <v>1</v>
      </c>
      <c r="BE1196">
        <v>0</v>
      </c>
      <c r="BF1196">
        <v>0</v>
      </c>
      <c r="BG1196">
        <v>0</v>
      </c>
      <c r="BH1196">
        <v>9025</v>
      </c>
      <c r="BI1196">
        <v>325</v>
      </c>
      <c r="BJ1196">
        <v>1</v>
      </c>
      <c r="BK1196">
        <v>1</v>
      </c>
      <c r="BL1196">
        <v>1</v>
      </c>
      <c r="BM1196">
        <v>0</v>
      </c>
      <c r="BP1196">
        <v>0</v>
      </c>
      <c r="BQ1196">
        <v>0</v>
      </c>
      <c r="BX1196" t="str">
        <f>"14:10:17.609"</f>
        <v>14:10:17.609</v>
      </c>
      <c r="BY1196" t="str">
        <f>"613065311"</f>
        <v>613065311</v>
      </c>
      <c r="CL1196">
        <v>0</v>
      </c>
      <c r="CM1196">
        <v>2</v>
      </c>
      <c r="CN1196">
        <v>0</v>
      </c>
      <c r="CO1196">
        <v>2</v>
      </c>
      <c r="CP1196">
        <v>0</v>
      </c>
      <c r="CQ1196">
        <v>6</v>
      </c>
      <c r="CR1196" t="s">
        <v>116</v>
      </c>
      <c r="CS1196">
        <v>396</v>
      </c>
      <c r="CT1196">
        <v>2</v>
      </c>
      <c r="CU1196" t="s">
        <v>939</v>
      </c>
      <c r="CV1196" t="s">
        <v>940</v>
      </c>
      <c r="CY1196">
        <v>4844536</v>
      </c>
      <c r="CZ1196" t="s">
        <v>119</v>
      </c>
    </row>
    <row r="1197" spans="1:104" x14ac:dyDescent="0.25">
      <c r="A1197" t="str">
        <f>"14:10:18.938"</f>
        <v>14:10:18.938</v>
      </c>
      <c r="B1197" t="s">
        <v>108</v>
      </c>
      <c r="C1197" t="str">
        <f t="shared" si="55"/>
        <v>ffdfd3c0</v>
      </c>
      <c r="D1197" t="s">
        <v>109</v>
      </c>
      <c r="E1197">
        <v>4</v>
      </c>
      <c r="F1197">
        <v>1004</v>
      </c>
      <c r="G1197" t="s">
        <v>110</v>
      </c>
      <c r="J1197" t="s">
        <v>111</v>
      </c>
      <c r="K1197">
        <v>0</v>
      </c>
      <c r="L1197">
        <v>3</v>
      </c>
      <c r="M1197">
        <v>0</v>
      </c>
      <c r="N1197">
        <v>2</v>
      </c>
      <c r="O1197">
        <v>1</v>
      </c>
      <c r="P1197">
        <v>0</v>
      </c>
      <c r="Q1197">
        <v>0</v>
      </c>
      <c r="R1197" t="s">
        <v>112</v>
      </c>
      <c r="S1197" t="str">
        <f>"14:10:18.703"</f>
        <v>14:10:18.703</v>
      </c>
      <c r="T1197" t="str">
        <f>"14:10:18.203"</f>
        <v>14:10:18.203</v>
      </c>
      <c r="U1197" t="str">
        <f t="shared" si="54"/>
        <v>ad5732</v>
      </c>
      <c r="V1197">
        <v>0</v>
      </c>
      <c r="W1197">
        <v>0</v>
      </c>
      <c r="X1197">
        <v>1</v>
      </c>
      <c r="Z1197">
        <v>0</v>
      </c>
      <c r="AA1197">
        <v>9</v>
      </c>
      <c r="AB1197">
        <v>3</v>
      </c>
      <c r="AC1197">
        <v>0</v>
      </c>
      <c r="AD1197">
        <v>10</v>
      </c>
      <c r="AE1197">
        <v>0</v>
      </c>
      <c r="AF1197">
        <v>3</v>
      </c>
      <c r="AG1197">
        <v>2</v>
      </c>
      <c r="AH1197">
        <v>0</v>
      </c>
      <c r="AI1197" t="s">
        <v>2495</v>
      </c>
      <c r="AJ1197">
        <v>39.513252000000001</v>
      </c>
      <c r="AK1197" t="s">
        <v>2496</v>
      </c>
      <c r="AL1197">
        <v>-76.680578999999994</v>
      </c>
      <c r="AM1197">
        <v>100</v>
      </c>
      <c r="AN1197">
        <v>8700</v>
      </c>
      <c r="AO1197" t="s">
        <v>115</v>
      </c>
      <c r="AP1197">
        <v>166</v>
      </c>
      <c r="AQ1197">
        <v>90</v>
      </c>
      <c r="AR1197">
        <v>-64</v>
      </c>
      <c r="AZ1197">
        <v>3614</v>
      </c>
      <c r="BA1197">
        <v>1</v>
      </c>
      <c r="BB1197" t="str">
        <f t="shared" si="56"/>
        <v xml:space="preserve">N959MJ  </v>
      </c>
      <c r="BC1197">
        <v>1</v>
      </c>
      <c r="BE1197">
        <v>0</v>
      </c>
      <c r="BF1197">
        <v>0</v>
      </c>
      <c r="BG1197">
        <v>0</v>
      </c>
      <c r="BH1197">
        <v>9025</v>
      </c>
      <c r="BI1197">
        <v>325</v>
      </c>
      <c r="BJ1197">
        <v>1</v>
      </c>
      <c r="BK1197">
        <v>1</v>
      </c>
      <c r="BL1197">
        <v>1</v>
      </c>
      <c r="BM1197">
        <v>0</v>
      </c>
      <c r="BP1197">
        <v>0</v>
      </c>
      <c r="BQ1197">
        <v>0</v>
      </c>
      <c r="BX1197" t="str">
        <f>"14:10:18.703"</f>
        <v>14:10:18.703</v>
      </c>
      <c r="BY1197" t="str">
        <f>"704299844"</f>
        <v>704299844</v>
      </c>
      <c r="CL1197">
        <v>0</v>
      </c>
      <c r="CM1197">
        <v>2</v>
      </c>
      <c r="CN1197">
        <v>0</v>
      </c>
      <c r="CO1197">
        <v>2</v>
      </c>
      <c r="CP1197">
        <v>0</v>
      </c>
      <c r="CQ1197">
        <v>5</v>
      </c>
      <c r="CR1197" t="s">
        <v>116</v>
      </c>
      <c r="CS1197">
        <v>147</v>
      </c>
      <c r="CT1197">
        <v>0</v>
      </c>
      <c r="CU1197" t="s">
        <v>117</v>
      </c>
      <c r="CV1197" t="s">
        <v>118</v>
      </c>
      <c r="CY1197">
        <v>5854049</v>
      </c>
      <c r="CZ1197" t="s">
        <v>119</v>
      </c>
    </row>
    <row r="1198" spans="1:104" x14ac:dyDescent="0.25">
      <c r="A1198" t="str">
        <f>"14:10:19.891"</f>
        <v>14:10:19.891</v>
      </c>
      <c r="B1198" t="s">
        <v>108</v>
      </c>
      <c r="C1198" t="str">
        <f t="shared" si="55"/>
        <v>ffdfd3c0</v>
      </c>
      <c r="D1198" t="s">
        <v>109</v>
      </c>
      <c r="E1198">
        <v>4</v>
      </c>
      <c r="F1198">
        <v>1004</v>
      </c>
      <c r="G1198" t="s">
        <v>110</v>
      </c>
      <c r="J1198" t="s">
        <v>111</v>
      </c>
      <c r="K1198">
        <v>0</v>
      </c>
      <c r="L1198">
        <v>3</v>
      </c>
      <c r="M1198">
        <v>0</v>
      </c>
      <c r="N1198">
        <v>2</v>
      </c>
      <c r="O1198">
        <v>1</v>
      </c>
      <c r="P1198">
        <v>0</v>
      </c>
      <c r="Q1198">
        <v>0</v>
      </c>
      <c r="R1198" t="s">
        <v>112</v>
      </c>
      <c r="S1198" t="str">
        <f>"14:10:19.711"</f>
        <v>14:10:19.711</v>
      </c>
      <c r="T1198" t="str">
        <f>"14:10:19.211"</f>
        <v>14:10:19.211</v>
      </c>
      <c r="U1198" t="str">
        <f t="shared" si="54"/>
        <v>ad5732</v>
      </c>
      <c r="V1198">
        <v>0</v>
      </c>
      <c r="W1198">
        <v>0</v>
      </c>
      <c r="X1198">
        <v>1</v>
      </c>
      <c r="Z1198">
        <v>0</v>
      </c>
      <c r="AA1198">
        <v>9</v>
      </c>
      <c r="AB1198">
        <v>3</v>
      </c>
      <c r="AC1198">
        <v>0</v>
      </c>
      <c r="AD1198">
        <v>10</v>
      </c>
      <c r="AE1198">
        <v>0</v>
      </c>
      <c r="AF1198">
        <v>3</v>
      </c>
      <c r="AG1198">
        <v>2</v>
      </c>
      <c r="AH1198">
        <v>0</v>
      </c>
      <c r="AI1198" t="s">
        <v>2497</v>
      </c>
      <c r="AJ1198">
        <v>39.513702000000002</v>
      </c>
      <c r="AK1198" t="s">
        <v>2498</v>
      </c>
      <c r="AL1198">
        <v>-76.679548999999994</v>
      </c>
      <c r="AM1198">
        <v>100</v>
      </c>
      <c r="AN1198">
        <v>8700</v>
      </c>
      <c r="AO1198" t="s">
        <v>115</v>
      </c>
      <c r="AP1198">
        <v>166</v>
      </c>
      <c r="AQ1198">
        <v>90</v>
      </c>
      <c r="AR1198">
        <v>-64</v>
      </c>
      <c r="AZ1198">
        <v>3614</v>
      </c>
      <c r="BA1198">
        <v>1</v>
      </c>
      <c r="BB1198" t="str">
        <f t="shared" si="56"/>
        <v xml:space="preserve">N959MJ  </v>
      </c>
      <c r="BC1198">
        <v>1</v>
      </c>
      <c r="BE1198">
        <v>0</v>
      </c>
      <c r="BF1198">
        <v>0</v>
      </c>
      <c r="BG1198">
        <v>0</v>
      </c>
      <c r="BH1198">
        <v>9025</v>
      </c>
      <c r="BI1198">
        <v>325</v>
      </c>
      <c r="BJ1198">
        <v>1</v>
      </c>
      <c r="BK1198">
        <v>1</v>
      </c>
      <c r="BL1198">
        <v>1</v>
      </c>
      <c r="BM1198">
        <v>0</v>
      </c>
      <c r="BP1198">
        <v>0</v>
      </c>
      <c r="BQ1198">
        <v>0</v>
      </c>
      <c r="BX1198" t="str">
        <f>"14:10:19.719"</f>
        <v>14:10:19.719</v>
      </c>
      <c r="BY1198" t="str">
        <f>"718443783"</f>
        <v>718443783</v>
      </c>
      <c r="CL1198">
        <v>0</v>
      </c>
      <c r="CM1198">
        <v>2</v>
      </c>
      <c r="CN1198">
        <v>0</v>
      </c>
      <c r="CO1198">
        <v>2</v>
      </c>
      <c r="CP1198">
        <v>0</v>
      </c>
      <c r="CQ1198">
        <v>6</v>
      </c>
      <c r="CR1198" t="s">
        <v>116</v>
      </c>
      <c r="CS1198">
        <v>396</v>
      </c>
      <c r="CT1198">
        <v>2</v>
      </c>
      <c r="CU1198" t="s">
        <v>939</v>
      </c>
      <c r="CV1198" t="s">
        <v>940</v>
      </c>
      <c r="CY1198">
        <v>4848466</v>
      </c>
      <c r="CZ1198" t="s">
        <v>119</v>
      </c>
    </row>
    <row r="1199" spans="1:104" x14ac:dyDescent="0.25">
      <c r="A1199" t="str">
        <f>"14:10:20.906"</f>
        <v>14:10:20.906</v>
      </c>
      <c r="B1199" t="s">
        <v>108</v>
      </c>
      <c r="C1199" t="str">
        <f t="shared" si="55"/>
        <v>ffdfd3c0</v>
      </c>
      <c r="D1199" t="s">
        <v>109</v>
      </c>
      <c r="E1199">
        <v>4</v>
      </c>
      <c r="F1199">
        <v>1004</v>
      </c>
      <c r="G1199" t="s">
        <v>110</v>
      </c>
      <c r="J1199" t="s">
        <v>111</v>
      </c>
      <c r="K1199">
        <v>0</v>
      </c>
      <c r="L1199">
        <v>3</v>
      </c>
      <c r="M1199">
        <v>0</v>
      </c>
      <c r="N1199">
        <v>2</v>
      </c>
      <c r="O1199">
        <v>1</v>
      </c>
      <c r="P1199">
        <v>0</v>
      </c>
      <c r="Q1199">
        <v>0</v>
      </c>
      <c r="R1199" t="s">
        <v>112</v>
      </c>
      <c r="S1199" t="str">
        <f>"14:10:20.695"</f>
        <v>14:10:20.695</v>
      </c>
      <c r="T1199" t="str">
        <f>"14:10:20.195"</f>
        <v>14:10:20.195</v>
      </c>
      <c r="U1199" t="str">
        <f t="shared" si="54"/>
        <v>ad5732</v>
      </c>
      <c r="V1199">
        <v>0</v>
      </c>
      <c r="W1199">
        <v>0</v>
      </c>
      <c r="X1199">
        <v>1</v>
      </c>
      <c r="Z1199">
        <v>0</v>
      </c>
      <c r="AA1199">
        <v>9</v>
      </c>
      <c r="AB1199">
        <v>3</v>
      </c>
      <c r="AC1199">
        <v>0</v>
      </c>
      <c r="AD1199">
        <v>10</v>
      </c>
      <c r="AE1199">
        <v>0</v>
      </c>
      <c r="AF1199">
        <v>3</v>
      </c>
      <c r="AG1199">
        <v>2</v>
      </c>
      <c r="AH1199">
        <v>0</v>
      </c>
      <c r="AI1199" t="s">
        <v>2499</v>
      </c>
      <c r="AJ1199">
        <v>39.514110000000002</v>
      </c>
      <c r="AK1199" t="s">
        <v>2500</v>
      </c>
      <c r="AL1199">
        <v>-76.678540999999996</v>
      </c>
      <c r="AM1199">
        <v>100</v>
      </c>
      <c r="AN1199">
        <v>8700</v>
      </c>
      <c r="AO1199" t="s">
        <v>115</v>
      </c>
      <c r="AP1199">
        <v>166</v>
      </c>
      <c r="AQ1199">
        <v>90</v>
      </c>
      <c r="AR1199">
        <v>-64</v>
      </c>
      <c r="AZ1199">
        <v>3614</v>
      </c>
      <c r="BA1199">
        <v>1</v>
      </c>
      <c r="BB1199" t="str">
        <f t="shared" si="56"/>
        <v xml:space="preserve">N959MJ  </v>
      </c>
      <c r="BC1199">
        <v>1</v>
      </c>
      <c r="BE1199">
        <v>0</v>
      </c>
      <c r="BF1199">
        <v>0</v>
      </c>
      <c r="BG1199">
        <v>0</v>
      </c>
      <c r="BH1199">
        <v>9025</v>
      </c>
      <c r="BI1199">
        <v>325</v>
      </c>
      <c r="BJ1199">
        <v>1</v>
      </c>
      <c r="BK1199">
        <v>1</v>
      </c>
      <c r="BL1199">
        <v>1</v>
      </c>
      <c r="BM1199">
        <v>0</v>
      </c>
      <c r="BP1199">
        <v>0</v>
      </c>
      <c r="BQ1199">
        <v>0</v>
      </c>
      <c r="BX1199" t="str">
        <f>"14:10:20.703"</f>
        <v>14:10:20.703</v>
      </c>
      <c r="BY1199" t="str">
        <f>"701499888"</f>
        <v>701499888</v>
      </c>
      <c r="CL1199">
        <v>0</v>
      </c>
      <c r="CM1199">
        <v>2</v>
      </c>
      <c r="CN1199">
        <v>0</v>
      </c>
      <c r="CO1199">
        <v>2</v>
      </c>
      <c r="CP1199">
        <v>0</v>
      </c>
      <c r="CQ1199">
        <v>6</v>
      </c>
      <c r="CR1199" t="s">
        <v>116</v>
      </c>
      <c r="CS1199">
        <v>396</v>
      </c>
      <c r="CT1199">
        <v>2</v>
      </c>
      <c r="CU1199" t="s">
        <v>939</v>
      </c>
      <c r="CV1199" t="s">
        <v>940</v>
      </c>
      <c r="CY1199">
        <v>4850216</v>
      </c>
      <c r="CZ1199" t="s">
        <v>119</v>
      </c>
    </row>
    <row r="1200" spans="1:104" x14ac:dyDescent="0.25">
      <c r="A1200" t="str">
        <f>"14:10:22.016"</f>
        <v>14:10:22.016</v>
      </c>
      <c r="B1200" t="s">
        <v>108</v>
      </c>
      <c r="C1200" t="str">
        <f t="shared" si="55"/>
        <v>ffdfd3c0</v>
      </c>
      <c r="D1200" t="s">
        <v>109</v>
      </c>
      <c r="E1200">
        <v>4</v>
      </c>
      <c r="F1200">
        <v>1004</v>
      </c>
      <c r="G1200" t="s">
        <v>110</v>
      </c>
      <c r="J1200" t="s">
        <v>111</v>
      </c>
      <c r="K1200">
        <v>0</v>
      </c>
      <c r="L1200">
        <v>3</v>
      </c>
      <c r="M1200">
        <v>0</v>
      </c>
      <c r="N1200">
        <v>2</v>
      </c>
      <c r="O1200">
        <v>1</v>
      </c>
      <c r="P1200">
        <v>0</v>
      </c>
      <c r="Q1200">
        <v>0</v>
      </c>
      <c r="R1200" t="s">
        <v>112</v>
      </c>
      <c r="S1200" t="str">
        <f>"14:10:21.828"</f>
        <v>14:10:21.828</v>
      </c>
      <c r="T1200" t="str">
        <f>"14:10:21.328"</f>
        <v>14:10:21.328</v>
      </c>
      <c r="U1200" t="str">
        <f t="shared" si="54"/>
        <v>ad5732</v>
      </c>
      <c r="V1200">
        <v>0</v>
      </c>
      <c r="W1200">
        <v>0</v>
      </c>
      <c r="X1200">
        <v>1</v>
      </c>
      <c r="Z1200">
        <v>0</v>
      </c>
      <c r="AA1200">
        <v>9</v>
      </c>
      <c r="AB1200">
        <v>3</v>
      </c>
      <c r="AC1200">
        <v>0</v>
      </c>
      <c r="AD1200">
        <v>10</v>
      </c>
      <c r="AE1200">
        <v>0</v>
      </c>
      <c r="AF1200">
        <v>3</v>
      </c>
      <c r="AG1200">
        <v>2</v>
      </c>
      <c r="AH1200">
        <v>0</v>
      </c>
      <c r="AI1200" t="s">
        <v>2501</v>
      </c>
      <c r="AJ1200">
        <v>39.514561</v>
      </c>
      <c r="AK1200" t="s">
        <v>2502</v>
      </c>
      <c r="AL1200">
        <v>-76.677488999999994</v>
      </c>
      <c r="AM1200">
        <v>100</v>
      </c>
      <c r="AN1200">
        <v>8700</v>
      </c>
      <c r="AO1200" t="s">
        <v>115</v>
      </c>
      <c r="AP1200">
        <v>166</v>
      </c>
      <c r="AQ1200">
        <v>90</v>
      </c>
      <c r="AR1200">
        <v>-64</v>
      </c>
      <c r="AZ1200">
        <v>3614</v>
      </c>
      <c r="BA1200">
        <v>1</v>
      </c>
      <c r="BB1200" t="str">
        <f t="shared" si="56"/>
        <v xml:space="preserve">N959MJ  </v>
      </c>
      <c r="BC1200">
        <v>1</v>
      </c>
      <c r="BE1200">
        <v>0</v>
      </c>
      <c r="BF1200">
        <v>0</v>
      </c>
      <c r="BG1200">
        <v>0</v>
      </c>
      <c r="BH1200">
        <v>9000</v>
      </c>
      <c r="BI1200">
        <v>300</v>
      </c>
      <c r="BJ1200">
        <v>1</v>
      </c>
      <c r="BK1200">
        <v>1</v>
      </c>
      <c r="BL1200">
        <v>1</v>
      </c>
      <c r="BM1200">
        <v>0</v>
      </c>
      <c r="BP1200">
        <v>0</v>
      </c>
      <c r="BQ1200">
        <v>0</v>
      </c>
      <c r="BX1200" t="str">
        <f>"14:10:21.828"</f>
        <v>14:10:21.828</v>
      </c>
      <c r="BY1200" t="str">
        <f>"830376032"</f>
        <v>830376032</v>
      </c>
      <c r="CL1200">
        <v>0</v>
      </c>
      <c r="CM1200">
        <v>2</v>
      </c>
      <c r="CN1200">
        <v>0</v>
      </c>
      <c r="CO1200">
        <v>2</v>
      </c>
      <c r="CP1200">
        <v>0</v>
      </c>
      <c r="CQ1200">
        <v>6</v>
      </c>
      <c r="CR1200" t="s">
        <v>116</v>
      </c>
      <c r="CS1200">
        <v>396</v>
      </c>
      <c r="CT1200">
        <v>2</v>
      </c>
      <c r="CU1200" t="s">
        <v>939</v>
      </c>
      <c r="CV1200" t="s">
        <v>940</v>
      </c>
      <c r="CY1200">
        <v>4852244</v>
      </c>
      <c r="CZ1200" t="s">
        <v>119</v>
      </c>
    </row>
    <row r="1201" spans="1:104" x14ac:dyDescent="0.25">
      <c r="A1201" t="str">
        <f>"14:10:22.875"</f>
        <v>14:10:22.875</v>
      </c>
      <c r="B1201" t="s">
        <v>108</v>
      </c>
      <c r="C1201" t="str">
        <f t="shared" si="55"/>
        <v>ffdfd3c0</v>
      </c>
      <c r="D1201" t="s">
        <v>109</v>
      </c>
      <c r="E1201">
        <v>4</v>
      </c>
      <c r="F1201">
        <v>1004</v>
      </c>
      <c r="G1201" t="s">
        <v>110</v>
      </c>
      <c r="J1201" t="s">
        <v>111</v>
      </c>
      <c r="K1201">
        <v>0</v>
      </c>
      <c r="L1201">
        <v>3</v>
      </c>
      <c r="M1201">
        <v>0</v>
      </c>
      <c r="N1201">
        <v>2</v>
      </c>
      <c r="O1201">
        <v>1</v>
      </c>
      <c r="P1201">
        <v>0</v>
      </c>
      <c r="Q1201">
        <v>0</v>
      </c>
      <c r="R1201" t="s">
        <v>112</v>
      </c>
      <c r="S1201" t="str">
        <f>"14:10:22.672"</f>
        <v>14:10:22.672</v>
      </c>
      <c r="T1201" t="str">
        <f>"14:10:22.273"</f>
        <v>14:10:22.273</v>
      </c>
      <c r="U1201" t="str">
        <f t="shared" si="54"/>
        <v>ad5732</v>
      </c>
      <c r="V1201">
        <v>0</v>
      </c>
      <c r="W1201">
        <v>0</v>
      </c>
      <c r="X1201">
        <v>1</v>
      </c>
      <c r="Z1201">
        <v>0</v>
      </c>
      <c r="AA1201">
        <v>9</v>
      </c>
      <c r="AB1201">
        <v>3</v>
      </c>
      <c r="AC1201">
        <v>0</v>
      </c>
      <c r="AD1201">
        <v>10</v>
      </c>
      <c r="AE1201">
        <v>0</v>
      </c>
      <c r="AF1201">
        <v>3</v>
      </c>
      <c r="AG1201">
        <v>2</v>
      </c>
      <c r="AH1201">
        <v>0</v>
      </c>
      <c r="AI1201" t="s">
        <v>2503</v>
      </c>
      <c r="AJ1201">
        <v>39.514882999999998</v>
      </c>
      <c r="AK1201" t="s">
        <v>2504</v>
      </c>
      <c r="AL1201">
        <v>-76.676694999999995</v>
      </c>
      <c r="AM1201">
        <v>100</v>
      </c>
      <c r="AN1201">
        <v>8700</v>
      </c>
      <c r="AO1201" t="s">
        <v>115</v>
      </c>
      <c r="AP1201">
        <v>166</v>
      </c>
      <c r="AQ1201">
        <v>89</v>
      </c>
      <c r="AR1201">
        <v>0</v>
      </c>
      <c r="AZ1201">
        <v>3614</v>
      </c>
      <c r="BA1201">
        <v>1</v>
      </c>
      <c r="BB1201" t="str">
        <f t="shared" si="56"/>
        <v xml:space="preserve">N959MJ  </v>
      </c>
      <c r="BC1201">
        <v>1</v>
      </c>
      <c r="BE1201">
        <v>0</v>
      </c>
      <c r="BF1201">
        <v>0</v>
      </c>
      <c r="BG1201">
        <v>0</v>
      </c>
      <c r="BH1201">
        <v>9000</v>
      </c>
      <c r="BI1201">
        <v>300</v>
      </c>
      <c r="BJ1201">
        <v>1</v>
      </c>
      <c r="BK1201">
        <v>1</v>
      </c>
      <c r="BL1201">
        <v>1</v>
      </c>
      <c r="BM1201">
        <v>0</v>
      </c>
      <c r="BP1201">
        <v>0</v>
      </c>
      <c r="BQ1201">
        <v>0</v>
      </c>
      <c r="BX1201" t="str">
        <f>"14:10:22.680"</f>
        <v>14:10:22.680</v>
      </c>
      <c r="BY1201" t="str">
        <f>"677593061"</f>
        <v>677593061</v>
      </c>
      <c r="CL1201">
        <v>0</v>
      </c>
      <c r="CM1201">
        <v>2</v>
      </c>
      <c r="CN1201">
        <v>0</v>
      </c>
      <c r="CO1201">
        <v>2</v>
      </c>
      <c r="CP1201">
        <v>0</v>
      </c>
      <c r="CQ1201">
        <v>5</v>
      </c>
      <c r="CR1201" t="s">
        <v>116</v>
      </c>
      <c r="CS1201">
        <v>148</v>
      </c>
      <c r="CT1201">
        <v>2</v>
      </c>
      <c r="CU1201" t="s">
        <v>470</v>
      </c>
      <c r="CV1201" t="s">
        <v>471</v>
      </c>
      <c r="CY1201">
        <v>4485876</v>
      </c>
      <c r="CZ1201" t="s">
        <v>119</v>
      </c>
    </row>
    <row r="1202" spans="1:104" x14ac:dyDescent="0.25">
      <c r="A1202" t="str">
        <f>"14:10:23.984"</f>
        <v>14:10:23.984</v>
      </c>
      <c r="B1202" t="s">
        <v>108</v>
      </c>
      <c r="C1202" t="str">
        <f t="shared" si="55"/>
        <v>ffdfd3c0</v>
      </c>
      <c r="D1202" t="s">
        <v>109</v>
      </c>
      <c r="E1202">
        <v>4</v>
      </c>
      <c r="F1202">
        <v>1004</v>
      </c>
      <c r="G1202" t="s">
        <v>110</v>
      </c>
      <c r="J1202" t="s">
        <v>111</v>
      </c>
      <c r="K1202">
        <v>0</v>
      </c>
      <c r="L1202">
        <v>3</v>
      </c>
      <c r="M1202">
        <v>0</v>
      </c>
      <c r="N1202">
        <v>2</v>
      </c>
      <c r="O1202">
        <v>1</v>
      </c>
      <c r="P1202">
        <v>0</v>
      </c>
      <c r="Q1202">
        <v>0</v>
      </c>
      <c r="R1202" t="s">
        <v>112</v>
      </c>
      <c r="S1202" t="str">
        <f>"14:10:23.773"</f>
        <v>14:10:23.773</v>
      </c>
      <c r="T1202" t="str">
        <f>"14:10:23.273"</f>
        <v>14:10:23.273</v>
      </c>
      <c r="U1202" t="str">
        <f t="shared" si="54"/>
        <v>ad5732</v>
      </c>
      <c r="V1202">
        <v>0</v>
      </c>
      <c r="W1202">
        <v>0</v>
      </c>
      <c r="X1202">
        <v>1</v>
      </c>
      <c r="Z1202">
        <v>0</v>
      </c>
      <c r="AA1202">
        <v>9</v>
      </c>
      <c r="AB1202">
        <v>3</v>
      </c>
      <c r="AC1202">
        <v>0</v>
      </c>
      <c r="AD1202">
        <v>10</v>
      </c>
      <c r="AE1202">
        <v>0</v>
      </c>
      <c r="AF1202">
        <v>3</v>
      </c>
      <c r="AG1202">
        <v>2</v>
      </c>
      <c r="AH1202">
        <v>0</v>
      </c>
      <c r="AI1202" t="s">
        <v>2505</v>
      </c>
      <c r="AJ1202">
        <v>39.515355</v>
      </c>
      <c r="AK1202" t="s">
        <v>2506</v>
      </c>
      <c r="AL1202">
        <v>-76.675557999999995</v>
      </c>
      <c r="AM1202">
        <v>100</v>
      </c>
      <c r="AN1202">
        <v>8700</v>
      </c>
      <c r="AO1202" t="s">
        <v>115</v>
      </c>
      <c r="AP1202">
        <v>166</v>
      </c>
      <c r="AQ1202">
        <v>89</v>
      </c>
      <c r="AR1202">
        <v>0</v>
      </c>
      <c r="AZ1202">
        <v>3614</v>
      </c>
      <c r="BA1202">
        <v>1</v>
      </c>
      <c r="BB1202" t="str">
        <f t="shared" si="56"/>
        <v xml:space="preserve">N959MJ  </v>
      </c>
      <c r="BC1202">
        <v>1</v>
      </c>
      <c r="BE1202">
        <v>0</v>
      </c>
      <c r="BF1202">
        <v>0</v>
      </c>
      <c r="BG1202">
        <v>0</v>
      </c>
      <c r="BH1202">
        <v>9000</v>
      </c>
      <c r="BI1202">
        <v>300</v>
      </c>
      <c r="BJ1202">
        <v>1</v>
      </c>
      <c r="BK1202">
        <v>1</v>
      </c>
      <c r="BL1202">
        <v>1</v>
      </c>
      <c r="BM1202">
        <v>0</v>
      </c>
      <c r="BP1202">
        <v>0</v>
      </c>
      <c r="BQ1202">
        <v>0</v>
      </c>
      <c r="BX1202" t="str">
        <f>"14:10:23.773"</f>
        <v>14:10:23.773</v>
      </c>
      <c r="BY1202" t="str">
        <f>"773595032"</f>
        <v>773595032</v>
      </c>
      <c r="CL1202">
        <v>0</v>
      </c>
      <c r="CM1202">
        <v>2</v>
      </c>
      <c r="CN1202">
        <v>0</v>
      </c>
      <c r="CO1202">
        <v>2</v>
      </c>
      <c r="CP1202">
        <v>0</v>
      </c>
      <c r="CQ1202">
        <v>6</v>
      </c>
      <c r="CR1202" t="s">
        <v>116</v>
      </c>
      <c r="CS1202">
        <v>147</v>
      </c>
      <c r="CT1202">
        <v>0</v>
      </c>
      <c r="CU1202" t="s">
        <v>117</v>
      </c>
      <c r="CV1202" t="s">
        <v>118</v>
      </c>
      <c r="CY1202">
        <v>5862757</v>
      </c>
      <c r="CZ1202" t="s">
        <v>119</v>
      </c>
    </row>
    <row r="1203" spans="1:104" x14ac:dyDescent="0.25">
      <c r="A1203" t="str">
        <f>"14:10:25.047"</f>
        <v>14:10:25.047</v>
      </c>
      <c r="B1203" t="s">
        <v>108</v>
      </c>
      <c r="C1203" t="str">
        <f t="shared" si="55"/>
        <v>ffdfd3c0</v>
      </c>
      <c r="D1203" t="s">
        <v>109</v>
      </c>
      <c r="E1203">
        <v>4</v>
      </c>
      <c r="F1203">
        <v>1004</v>
      </c>
      <c r="G1203" t="s">
        <v>110</v>
      </c>
      <c r="J1203" t="s">
        <v>111</v>
      </c>
      <c r="K1203">
        <v>0</v>
      </c>
      <c r="L1203">
        <v>3</v>
      </c>
      <c r="M1203">
        <v>0</v>
      </c>
      <c r="N1203">
        <v>2</v>
      </c>
      <c r="O1203">
        <v>1</v>
      </c>
      <c r="P1203">
        <v>0</v>
      </c>
      <c r="Q1203">
        <v>0</v>
      </c>
      <c r="R1203" t="s">
        <v>112</v>
      </c>
      <c r="S1203" t="str">
        <f>"14:10:24.844"</f>
        <v>14:10:24.844</v>
      </c>
      <c r="T1203" t="str">
        <f>"14:10:24.344"</f>
        <v>14:10:24.344</v>
      </c>
      <c r="U1203" t="str">
        <f t="shared" si="54"/>
        <v>ad5732</v>
      </c>
      <c r="V1203">
        <v>0</v>
      </c>
      <c r="W1203">
        <v>0</v>
      </c>
      <c r="X1203">
        <v>1</v>
      </c>
      <c r="Z1203">
        <v>0</v>
      </c>
      <c r="AA1203">
        <v>9</v>
      </c>
      <c r="AB1203">
        <v>3</v>
      </c>
      <c r="AC1203">
        <v>0</v>
      </c>
      <c r="AD1203">
        <v>10</v>
      </c>
      <c r="AE1203">
        <v>0</v>
      </c>
      <c r="AF1203">
        <v>3</v>
      </c>
      <c r="AG1203">
        <v>2</v>
      </c>
      <c r="AH1203">
        <v>0</v>
      </c>
      <c r="AI1203" t="s">
        <v>2507</v>
      </c>
      <c r="AJ1203">
        <v>39.515783999999996</v>
      </c>
      <c r="AK1203" t="s">
        <v>2508</v>
      </c>
      <c r="AL1203">
        <v>-76.674507000000006</v>
      </c>
      <c r="AM1203">
        <v>100</v>
      </c>
      <c r="AN1203">
        <v>8700</v>
      </c>
      <c r="AO1203" t="s">
        <v>115</v>
      </c>
      <c r="AP1203">
        <v>167</v>
      </c>
      <c r="AQ1203">
        <v>89</v>
      </c>
      <c r="AR1203">
        <v>0</v>
      </c>
      <c r="AZ1203">
        <v>3614</v>
      </c>
      <c r="BA1203">
        <v>1</v>
      </c>
      <c r="BB1203" t="str">
        <f t="shared" si="56"/>
        <v xml:space="preserve">N959MJ  </v>
      </c>
      <c r="BC1203">
        <v>1</v>
      </c>
      <c r="BE1203">
        <v>0</v>
      </c>
      <c r="BF1203">
        <v>0</v>
      </c>
      <c r="BG1203">
        <v>0</v>
      </c>
      <c r="BH1203">
        <v>9000</v>
      </c>
      <c r="BI1203">
        <v>300</v>
      </c>
      <c r="BJ1203">
        <v>1</v>
      </c>
      <c r="BK1203">
        <v>1</v>
      </c>
      <c r="BL1203">
        <v>1</v>
      </c>
      <c r="BM1203">
        <v>0</v>
      </c>
      <c r="BP1203">
        <v>0</v>
      </c>
      <c r="BQ1203">
        <v>0</v>
      </c>
      <c r="BX1203" t="str">
        <f>"14:10:24.852"</f>
        <v>14:10:24.852</v>
      </c>
      <c r="BY1203" t="str">
        <f>"848358264"</f>
        <v>848358264</v>
      </c>
      <c r="CL1203">
        <v>0</v>
      </c>
      <c r="CM1203">
        <v>2</v>
      </c>
      <c r="CN1203">
        <v>0</v>
      </c>
      <c r="CO1203">
        <v>2</v>
      </c>
      <c r="CP1203">
        <v>0</v>
      </c>
      <c r="CQ1203">
        <v>6</v>
      </c>
      <c r="CR1203" t="s">
        <v>116</v>
      </c>
      <c r="CS1203">
        <v>396</v>
      </c>
      <c r="CT1203">
        <v>2</v>
      </c>
      <c r="CU1203" t="s">
        <v>939</v>
      </c>
      <c r="CV1203" t="s">
        <v>940</v>
      </c>
      <c r="CY1203">
        <v>4857732</v>
      </c>
      <c r="CZ1203" t="s">
        <v>119</v>
      </c>
    </row>
    <row r="1204" spans="1:104" x14ac:dyDescent="0.25">
      <c r="A1204" t="str">
        <f>"14:10:26.055"</f>
        <v>14:10:26.055</v>
      </c>
      <c r="B1204" t="s">
        <v>108</v>
      </c>
      <c r="C1204" t="str">
        <f t="shared" si="55"/>
        <v>ffdfd3c0</v>
      </c>
      <c r="D1204" t="s">
        <v>109</v>
      </c>
      <c r="E1204">
        <v>4</v>
      </c>
      <c r="F1204">
        <v>1004</v>
      </c>
      <c r="G1204" t="s">
        <v>110</v>
      </c>
      <c r="J1204" t="s">
        <v>111</v>
      </c>
      <c r="K1204">
        <v>0</v>
      </c>
      <c r="L1204">
        <v>3</v>
      </c>
      <c r="M1204">
        <v>0</v>
      </c>
      <c r="N1204">
        <v>2</v>
      </c>
      <c r="O1204">
        <v>1</v>
      </c>
      <c r="P1204">
        <v>0</v>
      </c>
      <c r="Q1204">
        <v>0</v>
      </c>
      <c r="R1204" t="s">
        <v>112</v>
      </c>
      <c r="S1204" t="str">
        <f>"14:10:25.891"</f>
        <v>14:10:25.891</v>
      </c>
      <c r="T1204" t="str">
        <f>"14:10:25.492"</f>
        <v>14:10:25.492</v>
      </c>
      <c r="U1204" t="str">
        <f t="shared" si="54"/>
        <v>ad5732</v>
      </c>
      <c r="V1204">
        <v>0</v>
      </c>
      <c r="W1204">
        <v>0</v>
      </c>
      <c r="X1204">
        <v>1</v>
      </c>
      <c r="Z1204">
        <v>0</v>
      </c>
      <c r="AA1204">
        <v>9</v>
      </c>
      <c r="AB1204">
        <v>3</v>
      </c>
      <c r="AC1204">
        <v>0</v>
      </c>
      <c r="AD1204">
        <v>10</v>
      </c>
      <c r="AE1204">
        <v>0</v>
      </c>
      <c r="AF1204">
        <v>3</v>
      </c>
      <c r="AG1204">
        <v>2</v>
      </c>
      <c r="AH1204">
        <v>0</v>
      </c>
      <c r="AI1204" t="s">
        <v>2509</v>
      </c>
      <c r="AJ1204">
        <v>39.516213</v>
      </c>
      <c r="AK1204" t="s">
        <v>2510</v>
      </c>
      <c r="AL1204">
        <v>-76.673411999999999</v>
      </c>
      <c r="AM1204">
        <v>100</v>
      </c>
      <c r="AN1204">
        <v>8700</v>
      </c>
      <c r="AO1204" t="s">
        <v>115</v>
      </c>
      <c r="AP1204">
        <v>167</v>
      </c>
      <c r="AQ1204">
        <v>89</v>
      </c>
      <c r="AR1204">
        <v>64</v>
      </c>
      <c r="AZ1204">
        <v>3614</v>
      </c>
      <c r="BA1204">
        <v>1</v>
      </c>
      <c r="BB1204" t="str">
        <f t="shared" si="56"/>
        <v xml:space="preserve">N959MJ  </v>
      </c>
      <c r="BC1204">
        <v>1</v>
      </c>
      <c r="BE1204">
        <v>0</v>
      </c>
      <c r="BF1204">
        <v>0</v>
      </c>
      <c r="BG1204">
        <v>0</v>
      </c>
      <c r="BH1204">
        <v>9000</v>
      </c>
      <c r="BI1204">
        <v>300</v>
      </c>
      <c r="BJ1204">
        <v>1</v>
      </c>
      <c r="BK1204">
        <v>1</v>
      </c>
      <c r="BL1204">
        <v>1</v>
      </c>
      <c r="BM1204">
        <v>0</v>
      </c>
      <c r="BP1204">
        <v>0</v>
      </c>
      <c r="BQ1204">
        <v>0</v>
      </c>
      <c r="BX1204" t="str">
        <f>"14:10:25.891"</f>
        <v>14:10:25.891</v>
      </c>
      <c r="BY1204" t="str">
        <f>"892285966"</f>
        <v>892285966</v>
      </c>
      <c r="CL1204">
        <v>0</v>
      </c>
      <c r="CM1204">
        <v>2</v>
      </c>
      <c r="CN1204">
        <v>0</v>
      </c>
      <c r="CO1204">
        <v>2</v>
      </c>
      <c r="CP1204">
        <v>0</v>
      </c>
      <c r="CQ1204">
        <v>5</v>
      </c>
      <c r="CR1204" t="s">
        <v>116</v>
      </c>
      <c r="CS1204">
        <v>379</v>
      </c>
      <c r="CT1204">
        <v>0</v>
      </c>
      <c r="CU1204" t="s">
        <v>538</v>
      </c>
      <c r="CV1204" t="s">
        <v>539</v>
      </c>
      <c r="CY1204">
        <v>7339656</v>
      </c>
      <c r="CZ1204" t="s">
        <v>119</v>
      </c>
    </row>
    <row r="1205" spans="1:104" x14ac:dyDescent="0.25">
      <c r="A1205" t="str">
        <f>"14:10:27.164"</f>
        <v>14:10:27.164</v>
      </c>
      <c r="B1205" t="s">
        <v>108</v>
      </c>
      <c r="C1205" t="str">
        <f t="shared" si="55"/>
        <v>ffdfd3c0</v>
      </c>
      <c r="D1205" t="s">
        <v>109</v>
      </c>
      <c r="E1205">
        <v>4</v>
      </c>
      <c r="F1205">
        <v>1004</v>
      </c>
      <c r="G1205" t="s">
        <v>110</v>
      </c>
      <c r="J1205" t="s">
        <v>111</v>
      </c>
      <c r="K1205">
        <v>0</v>
      </c>
      <c r="L1205">
        <v>3</v>
      </c>
      <c r="M1205">
        <v>0</v>
      </c>
      <c r="N1205">
        <v>2</v>
      </c>
      <c r="O1205">
        <v>1</v>
      </c>
      <c r="P1205">
        <v>0</v>
      </c>
      <c r="Q1205">
        <v>0</v>
      </c>
      <c r="R1205" t="s">
        <v>112</v>
      </c>
      <c r="S1205" t="str">
        <f>"14:10:26.984"</f>
        <v>14:10:26.984</v>
      </c>
      <c r="T1205" t="str">
        <f>"14:10:26.484"</f>
        <v>14:10:26.484</v>
      </c>
      <c r="U1205" t="str">
        <f t="shared" si="54"/>
        <v>ad5732</v>
      </c>
      <c r="V1205">
        <v>0</v>
      </c>
      <c r="W1205">
        <v>0</v>
      </c>
      <c r="X1205">
        <v>1</v>
      </c>
      <c r="Z1205">
        <v>0</v>
      </c>
      <c r="AA1205">
        <v>9</v>
      </c>
      <c r="AB1205">
        <v>3</v>
      </c>
      <c r="AC1205">
        <v>0</v>
      </c>
      <c r="AD1205">
        <v>10</v>
      </c>
      <c r="AE1205">
        <v>0</v>
      </c>
      <c r="AF1205">
        <v>3</v>
      </c>
      <c r="AG1205">
        <v>2</v>
      </c>
      <c r="AH1205">
        <v>0</v>
      </c>
      <c r="AI1205" t="s">
        <v>2511</v>
      </c>
      <c r="AJ1205">
        <v>39.516641999999997</v>
      </c>
      <c r="AK1205" t="s">
        <v>2512</v>
      </c>
      <c r="AL1205">
        <v>-76.672381999999999</v>
      </c>
      <c r="AM1205">
        <v>100</v>
      </c>
      <c r="AN1205">
        <v>8700</v>
      </c>
      <c r="AO1205" t="s">
        <v>115</v>
      </c>
      <c r="AP1205">
        <v>167</v>
      </c>
      <c r="AQ1205">
        <v>88</v>
      </c>
      <c r="AR1205">
        <v>64</v>
      </c>
      <c r="AZ1205">
        <v>3614</v>
      </c>
      <c r="BA1205">
        <v>1</v>
      </c>
      <c r="BB1205" t="str">
        <f t="shared" si="56"/>
        <v xml:space="preserve">N959MJ  </v>
      </c>
      <c r="BC1205">
        <v>1</v>
      </c>
      <c r="BE1205">
        <v>0</v>
      </c>
      <c r="BF1205">
        <v>0</v>
      </c>
      <c r="BG1205">
        <v>0</v>
      </c>
      <c r="BH1205">
        <v>9025</v>
      </c>
      <c r="BI1205">
        <v>325</v>
      </c>
      <c r="BJ1205">
        <v>1</v>
      </c>
      <c r="BK1205">
        <v>1</v>
      </c>
      <c r="BL1205">
        <v>1</v>
      </c>
      <c r="BM1205">
        <v>0</v>
      </c>
      <c r="BP1205">
        <v>0</v>
      </c>
      <c r="BQ1205">
        <v>0</v>
      </c>
      <c r="BX1205" t="str">
        <f>"14:10:26.984"</f>
        <v>14:10:26.984</v>
      </c>
      <c r="BY1205" t="str">
        <f>"984866875"</f>
        <v>984866875</v>
      </c>
      <c r="CL1205">
        <v>0</v>
      </c>
      <c r="CM1205">
        <v>2</v>
      </c>
      <c r="CN1205">
        <v>0</v>
      </c>
      <c r="CO1205">
        <v>2</v>
      </c>
      <c r="CP1205">
        <v>0</v>
      </c>
      <c r="CQ1205">
        <v>6</v>
      </c>
      <c r="CR1205" t="s">
        <v>116</v>
      </c>
      <c r="CS1205">
        <v>396</v>
      </c>
      <c r="CT1205">
        <v>2</v>
      </c>
      <c r="CU1205" t="s">
        <v>939</v>
      </c>
      <c r="CV1205" t="s">
        <v>940</v>
      </c>
      <c r="CY1205">
        <v>4861478</v>
      </c>
      <c r="CZ1205" t="s">
        <v>119</v>
      </c>
    </row>
    <row r="1206" spans="1:104" x14ac:dyDescent="0.25">
      <c r="A1206" t="str">
        <f>"14:10:28.227"</f>
        <v>14:10:28.227</v>
      </c>
      <c r="B1206" t="s">
        <v>108</v>
      </c>
      <c r="C1206" t="str">
        <f t="shared" si="55"/>
        <v>ffdfd3c0</v>
      </c>
      <c r="D1206" t="s">
        <v>109</v>
      </c>
      <c r="E1206">
        <v>4</v>
      </c>
      <c r="F1206">
        <v>1004</v>
      </c>
      <c r="G1206" t="s">
        <v>110</v>
      </c>
      <c r="J1206" t="s">
        <v>111</v>
      </c>
      <c r="K1206">
        <v>0</v>
      </c>
      <c r="L1206">
        <v>3</v>
      </c>
      <c r="M1206">
        <v>0</v>
      </c>
      <c r="N1206">
        <v>2</v>
      </c>
      <c r="O1206">
        <v>1</v>
      </c>
      <c r="P1206">
        <v>0</v>
      </c>
      <c r="Q1206">
        <v>0</v>
      </c>
      <c r="R1206" t="s">
        <v>112</v>
      </c>
      <c r="S1206" t="str">
        <f>"14:10:28.016"</f>
        <v>14:10:28.016</v>
      </c>
      <c r="T1206" t="str">
        <f>"14:10:27.617"</f>
        <v>14:10:27.617</v>
      </c>
      <c r="U1206" t="str">
        <f t="shared" si="54"/>
        <v>ad5732</v>
      </c>
      <c r="V1206">
        <v>0</v>
      </c>
      <c r="W1206">
        <v>0</v>
      </c>
      <c r="X1206">
        <v>1</v>
      </c>
      <c r="Z1206">
        <v>0</v>
      </c>
      <c r="AA1206">
        <v>9</v>
      </c>
      <c r="AB1206">
        <v>3</v>
      </c>
      <c r="AC1206">
        <v>0</v>
      </c>
      <c r="AD1206">
        <v>10</v>
      </c>
      <c r="AE1206">
        <v>0</v>
      </c>
      <c r="AF1206">
        <v>3</v>
      </c>
      <c r="AG1206">
        <v>2</v>
      </c>
      <c r="AH1206">
        <v>0</v>
      </c>
      <c r="AI1206" t="s">
        <v>2513</v>
      </c>
      <c r="AJ1206">
        <v>39.517071000000001</v>
      </c>
      <c r="AK1206" t="s">
        <v>2514</v>
      </c>
      <c r="AL1206">
        <v>-76.671330999999995</v>
      </c>
      <c r="AM1206">
        <v>100</v>
      </c>
      <c r="AN1206">
        <v>8700</v>
      </c>
      <c r="AO1206" t="s">
        <v>115</v>
      </c>
      <c r="AP1206">
        <v>167</v>
      </c>
      <c r="AQ1206">
        <v>88</v>
      </c>
      <c r="AR1206">
        <v>64</v>
      </c>
      <c r="AZ1206">
        <v>3614</v>
      </c>
      <c r="BA1206">
        <v>1</v>
      </c>
      <c r="BB1206" t="str">
        <f t="shared" si="56"/>
        <v xml:space="preserve">N959MJ  </v>
      </c>
      <c r="BC1206">
        <v>1</v>
      </c>
      <c r="BE1206">
        <v>0</v>
      </c>
      <c r="BF1206">
        <v>0</v>
      </c>
      <c r="BG1206">
        <v>0</v>
      </c>
      <c r="BH1206">
        <v>9025</v>
      </c>
      <c r="BI1206">
        <v>325</v>
      </c>
      <c r="BJ1206">
        <v>1</v>
      </c>
      <c r="BK1206">
        <v>1</v>
      </c>
      <c r="BL1206">
        <v>1</v>
      </c>
      <c r="BM1206">
        <v>0</v>
      </c>
      <c r="BP1206">
        <v>0</v>
      </c>
      <c r="BQ1206">
        <v>0</v>
      </c>
      <c r="BX1206" t="str">
        <f>"14:10:28.016"</f>
        <v>14:10:28.016</v>
      </c>
      <c r="BY1206" t="str">
        <f>"018758680"</f>
        <v>018758680</v>
      </c>
      <c r="CL1206">
        <v>0</v>
      </c>
      <c r="CM1206">
        <v>2</v>
      </c>
      <c r="CN1206">
        <v>0</v>
      </c>
      <c r="CO1206">
        <v>2</v>
      </c>
      <c r="CP1206">
        <v>0</v>
      </c>
      <c r="CQ1206">
        <v>6</v>
      </c>
      <c r="CR1206" t="s">
        <v>116</v>
      </c>
      <c r="CS1206">
        <v>525</v>
      </c>
      <c r="CT1206">
        <v>1</v>
      </c>
      <c r="CU1206" t="s">
        <v>140</v>
      </c>
      <c r="CV1206" t="s">
        <v>141</v>
      </c>
      <c r="CY1206">
        <v>8915935</v>
      </c>
      <c r="CZ1206" t="s">
        <v>119</v>
      </c>
    </row>
    <row r="1207" spans="1:104" x14ac:dyDescent="0.25">
      <c r="A1207" t="str">
        <f>"14:10:29.086"</f>
        <v>14:10:29.086</v>
      </c>
      <c r="B1207" t="s">
        <v>108</v>
      </c>
      <c r="C1207" t="str">
        <f t="shared" si="55"/>
        <v>ffdfd3c0</v>
      </c>
      <c r="D1207" t="s">
        <v>109</v>
      </c>
      <c r="E1207">
        <v>4</v>
      </c>
      <c r="F1207">
        <v>1004</v>
      </c>
      <c r="G1207" t="s">
        <v>110</v>
      </c>
      <c r="J1207" t="s">
        <v>111</v>
      </c>
      <c r="K1207">
        <v>0</v>
      </c>
      <c r="L1207">
        <v>3</v>
      </c>
      <c r="M1207">
        <v>0</v>
      </c>
      <c r="N1207">
        <v>2</v>
      </c>
      <c r="O1207">
        <v>1</v>
      </c>
      <c r="P1207">
        <v>0</v>
      </c>
      <c r="Q1207">
        <v>0</v>
      </c>
      <c r="R1207" t="s">
        <v>112</v>
      </c>
      <c r="S1207" t="str">
        <f>"14:10:28.906"</f>
        <v>14:10:28.906</v>
      </c>
      <c r="T1207" t="str">
        <f>"14:10:28.508"</f>
        <v>14:10:28.508</v>
      </c>
      <c r="U1207" t="str">
        <f t="shared" si="54"/>
        <v>ad5732</v>
      </c>
      <c r="V1207">
        <v>0</v>
      </c>
      <c r="W1207">
        <v>0</v>
      </c>
      <c r="X1207">
        <v>1</v>
      </c>
      <c r="Z1207">
        <v>0</v>
      </c>
      <c r="AA1207">
        <v>9</v>
      </c>
      <c r="AB1207">
        <v>3</v>
      </c>
      <c r="AC1207">
        <v>0</v>
      </c>
      <c r="AD1207">
        <v>10</v>
      </c>
      <c r="AE1207">
        <v>0</v>
      </c>
      <c r="AF1207">
        <v>3</v>
      </c>
      <c r="AG1207">
        <v>2</v>
      </c>
      <c r="AH1207">
        <v>0</v>
      </c>
      <c r="AI1207" t="s">
        <v>2515</v>
      </c>
      <c r="AJ1207">
        <v>39.517457</v>
      </c>
      <c r="AK1207" t="s">
        <v>2516</v>
      </c>
      <c r="AL1207">
        <v>-76.670429999999996</v>
      </c>
      <c r="AM1207">
        <v>100</v>
      </c>
      <c r="AN1207">
        <v>8700</v>
      </c>
      <c r="AO1207" t="s">
        <v>115</v>
      </c>
      <c r="AP1207">
        <v>167</v>
      </c>
      <c r="AQ1207">
        <v>87</v>
      </c>
      <c r="AR1207">
        <v>128</v>
      </c>
      <c r="AZ1207">
        <v>3614</v>
      </c>
      <c r="BA1207">
        <v>1</v>
      </c>
      <c r="BB1207" t="str">
        <f t="shared" si="56"/>
        <v xml:space="preserve">N959MJ  </v>
      </c>
      <c r="BC1207">
        <v>1</v>
      </c>
      <c r="BE1207">
        <v>0</v>
      </c>
      <c r="BF1207">
        <v>0</v>
      </c>
      <c r="BG1207">
        <v>0</v>
      </c>
      <c r="BH1207">
        <v>9025</v>
      </c>
      <c r="BI1207">
        <v>325</v>
      </c>
      <c r="BJ1207">
        <v>1</v>
      </c>
      <c r="BK1207">
        <v>1</v>
      </c>
      <c r="BL1207">
        <v>1</v>
      </c>
      <c r="BM1207">
        <v>0</v>
      </c>
      <c r="BP1207">
        <v>0</v>
      </c>
      <c r="BQ1207">
        <v>0</v>
      </c>
      <c r="BX1207" t="str">
        <f>"14:10:28.914"</f>
        <v>14:10:28.914</v>
      </c>
      <c r="BY1207" t="str">
        <f>"911701763"</f>
        <v>911701763</v>
      </c>
      <c r="CL1207">
        <v>0</v>
      </c>
      <c r="CM1207">
        <v>2</v>
      </c>
      <c r="CN1207">
        <v>0</v>
      </c>
      <c r="CO1207">
        <v>2</v>
      </c>
      <c r="CP1207">
        <v>0</v>
      </c>
      <c r="CQ1207">
        <v>6</v>
      </c>
      <c r="CR1207" t="s">
        <v>116</v>
      </c>
      <c r="CS1207">
        <v>525</v>
      </c>
      <c r="CT1207">
        <v>1</v>
      </c>
      <c r="CU1207" t="s">
        <v>140</v>
      </c>
      <c r="CV1207" t="s">
        <v>141</v>
      </c>
      <c r="CY1207">
        <v>8917327</v>
      </c>
      <c r="CZ1207" t="s">
        <v>119</v>
      </c>
    </row>
    <row r="1208" spans="1:104" x14ac:dyDescent="0.25">
      <c r="A1208" t="str">
        <f>"14:10:30.094"</f>
        <v>14:10:30.094</v>
      </c>
      <c r="B1208" t="s">
        <v>108</v>
      </c>
      <c r="C1208" t="str">
        <f t="shared" si="55"/>
        <v>ffdfd3c0</v>
      </c>
      <c r="D1208" t="s">
        <v>109</v>
      </c>
      <c r="E1208">
        <v>4</v>
      </c>
      <c r="F1208">
        <v>1004</v>
      </c>
      <c r="G1208" t="s">
        <v>110</v>
      </c>
      <c r="J1208" t="s">
        <v>111</v>
      </c>
      <c r="K1208">
        <v>0</v>
      </c>
      <c r="L1208">
        <v>3</v>
      </c>
      <c r="M1208">
        <v>0</v>
      </c>
      <c r="N1208">
        <v>2</v>
      </c>
      <c r="O1208">
        <v>1</v>
      </c>
      <c r="P1208">
        <v>0</v>
      </c>
      <c r="Q1208">
        <v>0</v>
      </c>
      <c r="R1208" t="s">
        <v>112</v>
      </c>
      <c r="S1208" t="str">
        <f>"14:10:29.914"</f>
        <v>14:10:29.914</v>
      </c>
      <c r="T1208" t="str">
        <f>"14:10:29.414"</f>
        <v>14:10:29.414</v>
      </c>
      <c r="U1208" t="str">
        <f t="shared" si="54"/>
        <v>ad5732</v>
      </c>
      <c r="V1208">
        <v>0</v>
      </c>
      <c r="W1208">
        <v>0</v>
      </c>
      <c r="X1208">
        <v>1</v>
      </c>
      <c r="Z1208">
        <v>0</v>
      </c>
      <c r="AA1208">
        <v>9</v>
      </c>
      <c r="AB1208">
        <v>3</v>
      </c>
      <c r="AC1208">
        <v>0</v>
      </c>
      <c r="AD1208">
        <v>10</v>
      </c>
      <c r="AE1208">
        <v>0</v>
      </c>
      <c r="AF1208">
        <v>3</v>
      </c>
      <c r="AG1208">
        <v>2</v>
      </c>
      <c r="AH1208">
        <v>0</v>
      </c>
      <c r="AI1208" t="s">
        <v>2517</v>
      </c>
      <c r="AJ1208">
        <v>39.517865</v>
      </c>
      <c r="AK1208" t="s">
        <v>2518</v>
      </c>
      <c r="AL1208">
        <v>-76.669399999999996</v>
      </c>
      <c r="AM1208">
        <v>100</v>
      </c>
      <c r="AN1208">
        <v>8700</v>
      </c>
      <c r="AO1208" t="s">
        <v>115</v>
      </c>
      <c r="AP1208">
        <v>167</v>
      </c>
      <c r="AQ1208">
        <v>87</v>
      </c>
      <c r="AR1208">
        <v>128</v>
      </c>
      <c r="AZ1208">
        <v>3614</v>
      </c>
      <c r="BA1208">
        <v>1</v>
      </c>
      <c r="BB1208" t="str">
        <f t="shared" si="56"/>
        <v xml:space="preserve">N959MJ  </v>
      </c>
      <c r="BC1208">
        <v>1</v>
      </c>
      <c r="BE1208">
        <v>0</v>
      </c>
      <c r="BF1208">
        <v>0</v>
      </c>
      <c r="BG1208">
        <v>0</v>
      </c>
      <c r="BH1208">
        <v>9025</v>
      </c>
      <c r="BI1208">
        <v>325</v>
      </c>
      <c r="BJ1208">
        <v>1</v>
      </c>
      <c r="BK1208">
        <v>1</v>
      </c>
      <c r="BL1208">
        <v>1</v>
      </c>
      <c r="BM1208">
        <v>0</v>
      </c>
      <c r="BP1208">
        <v>0</v>
      </c>
      <c r="BQ1208">
        <v>0</v>
      </c>
      <c r="BX1208" t="str">
        <f>"14:10:29.914"</f>
        <v>14:10:29.914</v>
      </c>
      <c r="BY1208" t="str">
        <f>"917650895"</f>
        <v>917650895</v>
      </c>
      <c r="CL1208">
        <v>0</v>
      </c>
      <c r="CM1208">
        <v>2</v>
      </c>
      <c r="CN1208">
        <v>0</v>
      </c>
      <c r="CO1208">
        <v>2</v>
      </c>
      <c r="CP1208">
        <v>0</v>
      </c>
      <c r="CQ1208">
        <v>6</v>
      </c>
      <c r="CR1208" t="s">
        <v>116</v>
      </c>
      <c r="CS1208">
        <v>396</v>
      </c>
      <c r="CT1208">
        <v>2</v>
      </c>
      <c r="CU1208" t="s">
        <v>939</v>
      </c>
      <c r="CV1208" t="s">
        <v>940</v>
      </c>
      <c r="CY1208">
        <v>4867017</v>
      </c>
      <c r="CZ1208" t="s">
        <v>119</v>
      </c>
    </row>
    <row r="1209" spans="1:104" x14ac:dyDescent="0.25">
      <c r="A1209" t="str">
        <f>"14:10:31.055"</f>
        <v>14:10:31.055</v>
      </c>
      <c r="B1209" t="s">
        <v>108</v>
      </c>
      <c r="C1209" t="str">
        <f t="shared" si="55"/>
        <v>ffdfd3c0</v>
      </c>
      <c r="D1209" t="s">
        <v>109</v>
      </c>
      <c r="E1209">
        <v>4</v>
      </c>
      <c r="F1209">
        <v>1004</v>
      </c>
      <c r="G1209" t="s">
        <v>110</v>
      </c>
      <c r="J1209" t="s">
        <v>111</v>
      </c>
      <c r="K1209">
        <v>0</v>
      </c>
      <c r="L1209">
        <v>3</v>
      </c>
      <c r="M1209">
        <v>0</v>
      </c>
      <c r="N1209">
        <v>2</v>
      </c>
      <c r="O1209">
        <v>1</v>
      </c>
      <c r="P1209">
        <v>0</v>
      </c>
      <c r="Q1209">
        <v>0</v>
      </c>
      <c r="R1209" t="s">
        <v>112</v>
      </c>
      <c r="S1209" t="str">
        <f>"14:10:30.844"</f>
        <v>14:10:30.844</v>
      </c>
      <c r="T1209" t="str">
        <f>"14:10:30.445"</f>
        <v>14:10:30.445</v>
      </c>
      <c r="U1209" t="str">
        <f t="shared" si="54"/>
        <v>ad5732</v>
      </c>
      <c r="V1209">
        <v>0</v>
      </c>
      <c r="W1209">
        <v>0</v>
      </c>
      <c r="X1209">
        <v>1</v>
      </c>
      <c r="Z1209">
        <v>0</v>
      </c>
      <c r="AA1209">
        <v>9</v>
      </c>
      <c r="AB1209">
        <v>3</v>
      </c>
      <c r="AC1209">
        <v>0</v>
      </c>
      <c r="AD1209">
        <v>10</v>
      </c>
      <c r="AE1209">
        <v>0</v>
      </c>
      <c r="AF1209">
        <v>3</v>
      </c>
      <c r="AG1209">
        <v>2</v>
      </c>
      <c r="AH1209">
        <v>0</v>
      </c>
      <c r="AI1209" t="s">
        <v>2519</v>
      </c>
      <c r="AJ1209">
        <v>39.518250999999999</v>
      </c>
      <c r="AK1209" t="s">
        <v>2520</v>
      </c>
      <c r="AL1209">
        <v>-76.668520000000001</v>
      </c>
      <c r="AM1209">
        <v>100</v>
      </c>
      <c r="AN1209">
        <v>8700</v>
      </c>
      <c r="AO1209" t="s">
        <v>115</v>
      </c>
      <c r="AP1209">
        <v>167</v>
      </c>
      <c r="AQ1209">
        <v>87</v>
      </c>
      <c r="AR1209">
        <v>128</v>
      </c>
      <c r="AZ1209">
        <v>3614</v>
      </c>
      <c r="BA1209">
        <v>1</v>
      </c>
      <c r="BB1209" t="str">
        <f t="shared" si="56"/>
        <v xml:space="preserve">N959MJ  </v>
      </c>
      <c r="BC1209">
        <v>1</v>
      </c>
      <c r="BE1209">
        <v>0</v>
      </c>
      <c r="BF1209">
        <v>0</v>
      </c>
      <c r="BG1209">
        <v>0</v>
      </c>
      <c r="BH1209">
        <v>9025</v>
      </c>
      <c r="BI1209">
        <v>325</v>
      </c>
      <c r="BJ1209">
        <v>1</v>
      </c>
      <c r="BK1209">
        <v>1</v>
      </c>
      <c r="BL1209">
        <v>1</v>
      </c>
      <c r="BM1209">
        <v>0</v>
      </c>
      <c r="BP1209">
        <v>0</v>
      </c>
      <c r="BQ1209">
        <v>0</v>
      </c>
      <c r="BX1209" t="str">
        <f>"14:10:30.844"</f>
        <v>14:10:30.844</v>
      </c>
      <c r="BY1209" t="str">
        <f>"846638985"</f>
        <v>846638985</v>
      </c>
      <c r="CL1209">
        <v>0</v>
      </c>
      <c r="CM1209">
        <v>2</v>
      </c>
      <c r="CN1209">
        <v>0</v>
      </c>
      <c r="CO1209">
        <v>2</v>
      </c>
      <c r="CP1209">
        <v>0</v>
      </c>
      <c r="CQ1209">
        <v>6</v>
      </c>
      <c r="CR1209" t="s">
        <v>116</v>
      </c>
      <c r="CS1209">
        <v>396</v>
      </c>
      <c r="CT1209">
        <v>2</v>
      </c>
      <c r="CU1209" t="s">
        <v>939</v>
      </c>
      <c r="CV1209" t="s">
        <v>940</v>
      </c>
      <c r="CY1209">
        <v>4868718</v>
      </c>
      <c r="CZ1209" t="s">
        <v>119</v>
      </c>
    </row>
    <row r="1210" spans="1:104" x14ac:dyDescent="0.25">
      <c r="A1210" t="str">
        <f>"14:10:32.063"</f>
        <v>14:10:32.063</v>
      </c>
      <c r="B1210" t="s">
        <v>108</v>
      </c>
      <c r="C1210" t="str">
        <f t="shared" si="55"/>
        <v>ffdfd3c0</v>
      </c>
      <c r="D1210" t="s">
        <v>109</v>
      </c>
      <c r="E1210">
        <v>4</v>
      </c>
      <c r="F1210">
        <v>1004</v>
      </c>
      <c r="G1210" t="s">
        <v>110</v>
      </c>
      <c r="J1210" t="s">
        <v>111</v>
      </c>
      <c r="K1210">
        <v>0</v>
      </c>
      <c r="L1210">
        <v>3</v>
      </c>
      <c r="M1210">
        <v>0</v>
      </c>
      <c r="N1210">
        <v>2</v>
      </c>
      <c r="O1210">
        <v>1</v>
      </c>
      <c r="P1210">
        <v>0</v>
      </c>
      <c r="Q1210">
        <v>0</v>
      </c>
      <c r="R1210" t="s">
        <v>112</v>
      </c>
      <c r="S1210" t="str">
        <f>"14:10:31.898"</f>
        <v>14:10:31.898</v>
      </c>
      <c r="T1210" t="str">
        <f>"14:10:31.398"</f>
        <v>14:10:31.398</v>
      </c>
      <c r="U1210" t="str">
        <f t="shared" si="54"/>
        <v>ad5732</v>
      </c>
      <c r="V1210">
        <v>0</v>
      </c>
      <c r="W1210">
        <v>0</v>
      </c>
      <c r="X1210">
        <v>1</v>
      </c>
      <c r="Z1210">
        <v>0</v>
      </c>
      <c r="AA1210">
        <v>9</v>
      </c>
      <c r="AB1210">
        <v>3</v>
      </c>
      <c r="AC1210">
        <v>0</v>
      </c>
      <c r="AD1210">
        <v>10</v>
      </c>
      <c r="AE1210">
        <v>0</v>
      </c>
      <c r="AF1210">
        <v>3</v>
      </c>
      <c r="AG1210">
        <v>2</v>
      </c>
      <c r="AH1210">
        <v>0</v>
      </c>
      <c r="AI1210" t="s">
        <v>2521</v>
      </c>
      <c r="AJ1210">
        <v>39.518638000000003</v>
      </c>
      <c r="AK1210" t="s">
        <v>2522</v>
      </c>
      <c r="AL1210">
        <v>-76.667383000000001</v>
      </c>
      <c r="AM1210">
        <v>100</v>
      </c>
      <c r="AN1210">
        <v>8700</v>
      </c>
      <c r="AO1210" t="s">
        <v>115</v>
      </c>
      <c r="AP1210">
        <v>167</v>
      </c>
      <c r="AQ1210">
        <v>86</v>
      </c>
      <c r="AR1210">
        <v>64</v>
      </c>
      <c r="AZ1210">
        <v>3614</v>
      </c>
      <c r="BA1210">
        <v>1</v>
      </c>
      <c r="BB1210" t="str">
        <f t="shared" si="56"/>
        <v xml:space="preserve">N959MJ  </v>
      </c>
      <c r="BC1210">
        <v>1</v>
      </c>
      <c r="BE1210">
        <v>0</v>
      </c>
      <c r="BF1210">
        <v>0</v>
      </c>
      <c r="BG1210">
        <v>0</v>
      </c>
      <c r="BH1210">
        <v>9025</v>
      </c>
      <c r="BI1210">
        <v>325</v>
      </c>
      <c r="BJ1210">
        <v>1</v>
      </c>
      <c r="BK1210">
        <v>1</v>
      </c>
      <c r="BL1210">
        <v>1</v>
      </c>
      <c r="BM1210">
        <v>0</v>
      </c>
      <c r="BP1210">
        <v>0</v>
      </c>
      <c r="BQ1210">
        <v>0</v>
      </c>
      <c r="BX1210" t="str">
        <f>"14:10:31.898"</f>
        <v>14:10:31.898</v>
      </c>
      <c r="BY1210" t="str">
        <f>"898508991"</f>
        <v>898508991</v>
      </c>
      <c r="CL1210">
        <v>0</v>
      </c>
      <c r="CM1210">
        <v>2</v>
      </c>
      <c r="CN1210">
        <v>0</v>
      </c>
      <c r="CO1210">
        <v>2</v>
      </c>
      <c r="CP1210">
        <v>0</v>
      </c>
      <c r="CQ1210">
        <v>6</v>
      </c>
      <c r="CR1210" t="s">
        <v>116</v>
      </c>
      <c r="CS1210">
        <v>396</v>
      </c>
      <c r="CT1210">
        <v>2</v>
      </c>
      <c r="CU1210" t="s">
        <v>939</v>
      </c>
      <c r="CV1210" t="s">
        <v>940</v>
      </c>
      <c r="CY1210">
        <v>4870505</v>
      </c>
      <c r="CZ1210" t="s">
        <v>119</v>
      </c>
    </row>
    <row r="1211" spans="1:104" x14ac:dyDescent="0.25">
      <c r="A1211" t="str">
        <f>"14:10:33.070"</f>
        <v>14:10:33.070</v>
      </c>
      <c r="B1211" t="s">
        <v>108</v>
      </c>
      <c r="C1211" t="str">
        <f t="shared" si="55"/>
        <v>ffdfd3c0</v>
      </c>
      <c r="D1211" t="s">
        <v>109</v>
      </c>
      <c r="E1211">
        <v>4</v>
      </c>
      <c r="F1211">
        <v>1004</v>
      </c>
      <c r="G1211" t="s">
        <v>110</v>
      </c>
      <c r="J1211" t="s">
        <v>111</v>
      </c>
      <c r="K1211">
        <v>0</v>
      </c>
      <c r="L1211">
        <v>3</v>
      </c>
      <c r="M1211">
        <v>0</v>
      </c>
      <c r="N1211">
        <v>2</v>
      </c>
      <c r="O1211">
        <v>1</v>
      </c>
      <c r="P1211">
        <v>0</v>
      </c>
      <c r="Q1211">
        <v>0</v>
      </c>
      <c r="R1211" t="s">
        <v>112</v>
      </c>
      <c r="S1211" t="str">
        <f>"14:10:32.891"</f>
        <v>14:10:32.891</v>
      </c>
      <c r="T1211" t="str">
        <f>"14:10:32.391"</f>
        <v>14:10:32.391</v>
      </c>
      <c r="U1211" t="str">
        <f t="shared" si="54"/>
        <v>ad5732</v>
      </c>
      <c r="V1211">
        <v>0</v>
      </c>
      <c r="W1211">
        <v>0</v>
      </c>
      <c r="X1211">
        <v>1</v>
      </c>
      <c r="Z1211">
        <v>0</v>
      </c>
      <c r="AA1211">
        <v>9</v>
      </c>
      <c r="AB1211">
        <v>3</v>
      </c>
      <c r="AC1211">
        <v>0</v>
      </c>
      <c r="AD1211">
        <v>10</v>
      </c>
      <c r="AE1211">
        <v>0</v>
      </c>
      <c r="AF1211">
        <v>3</v>
      </c>
      <c r="AG1211">
        <v>2</v>
      </c>
      <c r="AH1211">
        <v>0</v>
      </c>
      <c r="AI1211" t="s">
        <v>2523</v>
      </c>
      <c r="AJ1211">
        <v>39.519067</v>
      </c>
      <c r="AK1211" t="s">
        <v>2524</v>
      </c>
      <c r="AL1211">
        <v>-76.666416999999996</v>
      </c>
      <c r="AM1211">
        <v>100</v>
      </c>
      <c r="AN1211">
        <v>8700</v>
      </c>
      <c r="AO1211" t="s">
        <v>115</v>
      </c>
      <c r="AP1211">
        <v>167</v>
      </c>
      <c r="AQ1211">
        <v>86</v>
      </c>
      <c r="AR1211">
        <v>64</v>
      </c>
      <c r="AZ1211">
        <v>3614</v>
      </c>
      <c r="BA1211">
        <v>1</v>
      </c>
      <c r="BB1211" t="str">
        <f t="shared" si="56"/>
        <v xml:space="preserve">N959MJ  </v>
      </c>
      <c r="BC1211">
        <v>1</v>
      </c>
      <c r="BE1211">
        <v>0</v>
      </c>
      <c r="BF1211">
        <v>0</v>
      </c>
      <c r="BG1211">
        <v>0</v>
      </c>
      <c r="BH1211">
        <v>9025</v>
      </c>
      <c r="BI1211">
        <v>325</v>
      </c>
      <c r="BJ1211">
        <v>1</v>
      </c>
      <c r="BK1211">
        <v>1</v>
      </c>
      <c r="BL1211">
        <v>1</v>
      </c>
      <c r="BM1211">
        <v>0</v>
      </c>
      <c r="BP1211">
        <v>0</v>
      </c>
      <c r="BQ1211">
        <v>0</v>
      </c>
      <c r="BX1211" t="str">
        <f>"14:10:32.898"</f>
        <v>14:10:32.898</v>
      </c>
      <c r="BY1211" t="str">
        <f>"896311033"</f>
        <v>896311033</v>
      </c>
      <c r="CL1211">
        <v>0</v>
      </c>
      <c r="CM1211">
        <v>2</v>
      </c>
      <c r="CN1211">
        <v>0</v>
      </c>
      <c r="CO1211">
        <v>2</v>
      </c>
      <c r="CP1211">
        <v>0</v>
      </c>
      <c r="CQ1211">
        <v>6</v>
      </c>
      <c r="CR1211" t="s">
        <v>116</v>
      </c>
      <c r="CS1211">
        <v>396</v>
      </c>
      <c r="CT1211">
        <v>2</v>
      </c>
      <c r="CU1211" t="s">
        <v>939</v>
      </c>
      <c r="CV1211" t="s">
        <v>940</v>
      </c>
      <c r="CY1211">
        <v>4872406</v>
      </c>
      <c r="CZ1211" t="s">
        <v>119</v>
      </c>
    </row>
    <row r="1212" spans="1:104" x14ac:dyDescent="0.25">
      <c r="A1212" t="str">
        <f>"14:10:33.977"</f>
        <v>14:10:33.977</v>
      </c>
      <c r="B1212" t="s">
        <v>108</v>
      </c>
      <c r="C1212" t="str">
        <f t="shared" si="55"/>
        <v>ffdfd3c0</v>
      </c>
      <c r="D1212" t="s">
        <v>109</v>
      </c>
      <c r="E1212">
        <v>4</v>
      </c>
      <c r="F1212">
        <v>1004</v>
      </c>
      <c r="G1212" t="s">
        <v>110</v>
      </c>
      <c r="J1212" t="s">
        <v>111</v>
      </c>
      <c r="K1212">
        <v>0</v>
      </c>
      <c r="L1212">
        <v>3</v>
      </c>
      <c r="M1212">
        <v>0</v>
      </c>
      <c r="N1212">
        <v>2</v>
      </c>
      <c r="O1212">
        <v>1</v>
      </c>
      <c r="P1212">
        <v>0</v>
      </c>
      <c r="Q1212">
        <v>0</v>
      </c>
      <c r="R1212" t="s">
        <v>112</v>
      </c>
      <c r="S1212" t="str">
        <f>"14:10:33.781"</f>
        <v>14:10:33.781</v>
      </c>
      <c r="T1212" t="str">
        <f>"14:10:33.383"</f>
        <v>14:10:33.383</v>
      </c>
      <c r="U1212" t="str">
        <f t="shared" si="54"/>
        <v>ad5732</v>
      </c>
      <c r="V1212">
        <v>0</v>
      </c>
      <c r="W1212">
        <v>0</v>
      </c>
      <c r="X1212">
        <v>1</v>
      </c>
      <c r="Z1212">
        <v>0</v>
      </c>
      <c r="AA1212">
        <v>9</v>
      </c>
      <c r="AB1212">
        <v>3</v>
      </c>
      <c r="AC1212">
        <v>0</v>
      </c>
      <c r="AD1212">
        <v>10</v>
      </c>
      <c r="AE1212">
        <v>0</v>
      </c>
      <c r="AF1212">
        <v>3</v>
      </c>
      <c r="AG1212">
        <v>2</v>
      </c>
      <c r="AH1212">
        <v>0</v>
      </c>
      <c r="AI1212" t="s">
        <v>2525</v>
      </c>
      <c r="AJ1212">
        <v>39.519388999999997</v>
      </c>
      <c r="AK1212" t="s">
        <v>2526</v>
      </c>
      <c r="AL1212">
        <v>-76.665580000000006</v>
      </c>
      <c r="AM1212">
        <v>100</v>
      </c>
      <c r="AN1212">
        <v>8700</v>
      </c>
      <c r="AO1212" t="s">
        <v>115</v>
      </c>
      <c r="AP1212">
        <v>168</v>
      </c>
      <c r="AQ1212">
        <v>86</v>
      </c>
      <c r="AR1212">
        <v>0</v>
      </c>
      <c r="AZ1212">
        <v>3614</v>
      </c>
      <c r="BA1212">
        <v>1</v>
      </c>
      <c r="BB1212" t="str">
        <f t="shared" si="56"/>
        <v xml:space="preserve">N959MJ  </v>
      </c>
      <c r="BC1212">
        <v>1</v>
      </c>
      <c r="BE1212">
        <v>0</v>
      </c>
      <c r="BF1212">
        <v>0</v>
      </c>
      <c r="BG1212">
        <v>0</v>
      </c>
      <c r="BH1212">
        <v>9025</v>
      </c>
      <c r="BI1212">
        <v>325</v>
      </c>
      <c r="BJ1212">
        <v>1</v>
      </c>
      <c r="BK1212">
        <v>1</v>
      </c>
      <c r="BL1212">
        <v>1</v>
      </c>
      <c r="BM1212">
        <v>0</v>
      </c>
      <c r="BP1212">
        <v>0</v>
      </c>
      <c r="BQ1212">
        <v>0</v>
      </c>
      <c r="BX1212" t="str">
        <f>"14:10:33.781"</f>
        <v>14:10:33.781</v>
      </c>
      <c r="BY1212" t="str">
        <f>"784338544"</f>
        <v>784338544</v>
      </c>
      <c r="CL1212">
        <v>0</v>
      </c>
      <c r="CM1212">
        <v>2</v>
      </c>
      <c r="CN1212">
        <v>0</v>
      </c>
      <c r="CO1212">
        <v>2</v>
      </c>
      <c r="CP1212">
        <v>0</v>
      </c>
      <c r="CQ1212">
        <v>6</v>
      </c>
      <c r="CR1212" t="s">
        <v>116</v>
      </c>
      <c r="CS1212">
        <v>396</v>
      </c>
      <c r="CT1212">
        <v>2</v>
      </c>
      <c r="CU1212" t="s">
        <v>939</v>
      </c>
      <c r="CV1212" t="s">
        <v>940</v>
      </c>
      <c r="CY1212">
        <v>4874142</v>
      </c>
      <c r="CZ1212" t="s">
        <v>119</v>
      </c>
    </row>
    <row r="1213" spans="1:104" x14ac:dyDescent="0.25">
      <c r="A1213" t="str">
        <f>"14:10:35.086"</f>
        <v>14:10:35.086</v>
      </c>
      <c r="B1213" t="s">
        <v>108</v>
      </c>
      <c r="C1213" t="str">
        <f t="shared" si="55"/>
        <v>ffdfd3c0</v>
      </c>
      <c r="D1213" t="s">
        <v>109</v>
      </c>
      <c r="E1213">
        <v>4</v>
      </c>
      <c r="F1213">
        <v>1004</v>
      </c>
      <c r="G1213" t="s">
        <v>110</v>
      </c>
      <c r="J1213" t="s">
        <v>111</v>
      </c>
      <c r="K1213">
        <v>0</v>
      </c>
      <c r="L1213">
        <v>3</v>
      </c>
      <c r="M1213">
        <v>0</v>
      </c>
      <c r="N1213">
        <v>2</v>
      </c>
      <c r="O1213">
        <v>1</v>
      </c>
      <c r="P1213">
        <v>0</v>
      </c>
      <c r="Q1213">
        <v>0</v>
      </c>
      <c r="R1213" t="s">
        <v>112</v>
      </c>
      <c r="S1213" t="str">
        <f>"14:10:34.867"</f>
        <v>14:10:34.867</v>
      </c>
      <c r="T1213" t="str">
        <f>"14:10:34.367"</f>
        <v>14:10:34.367</v>
      </c>
      <c r="U1213" t="str">
        <f t="shared" si="54"/>
        <v>ad5732</v>
      </c>
      <c r="V1213">
        <v>0</v>
      </c>
      <c r="W1213">
        <v>0</v>
      </c>
      <c r="X1213">
        <v>1</v>
      </c>
      <c r="Z1213">
        <v>0</v>
      </c>
      <c r="AA1213">
        <v>9</v>
      </c>
      <c r="AB1213">
        <v>3</v>
      </c>
      <c r="AC1213">
        <v>0</v>
      </c>
      <c r="AD1213">
        <v>10</v>
      </c>
      <c r="AE1213">
        <v>0</v>
      </c>
      <c r="AF1213">
        <v>3</v>
      </c>
      <c r="AG1213">
        <v>2</v>
      </c>
      <c r="AH1213">
        <v>0</v>
      </c>
      <c r="AI1213" t="s">
        <v>2527</v>
      </c>
      <c r="AJ1213">
        <v>39.519818000000001</v>
      </c>
      <c r="AK1213" t="s">
        <v>2528</v>
      </c>
      <c r="AL1213">
        <v>-76.664485999999997</v>
      </c>
      <c r="AM1213">
        <v>100</v>
      </c>
      <c r="AN1213">
        <v>8700</v>
      </c>
      <c r="AO1213" t="s">
        <v>115</v>
      </c>
      <c r="AP1213">
        <v>168</v>
      </c>
      <c r="AQ1213">
        <v>86</v>
      </c>
      <c r="AR1213">
        <v>-64</v>
      </c>
      <c r="AZ1213">
        <v>3614</v>
      </c>
      <c r="BA1213">
        <v>1</v>
      </c>
      <c r="BB1213" t="str">
        <f t="shared" si="56"/>
        <v xml:space="preserve">N959MJ  </v>
      </c>
      <c r="BC1213">
        <v>1</v>
      </c>
      <c r="BE1213">
        <v>0</v>
      </c>
      <c r="BF1213">
        <v>0</v>
      </c>
      <c r="BG1213">
        <v>0</v>
      </c>
      <c r="BH1213">
        <v>9025</v>
      </c>
      <c r="BI1213">
        <v>325</v>
      </c>
      <c r="BJ1213">
        <v>1</v>
      </c>
      <c r="BK1213">
        <v>1</v>
      </c>
      <c r="BL1213">
        <v>1</v>
      </c>
      <c r="BM1213">
        <v>0</v>
      </c>
      <c r="BP1213">
        <v>0</v>
      </c>
      <c r="BQ1213">
        <v>0</v>
      </c>
      <c r="BX1213" t="str">
        <f>"14:10:34.867"</f>
        <v>14:10:34.867</v>
      </c>
      <c r="BY1213" t="str">
        <f>"868976885"</f>
        <v>868976885</v>
      </c>
      <c r="CL1213">
        <v>0</v>
      </c>
      <c r="CM1213">
        <v>2</v>
      </c>
      <c r="CN1213">
        <v>0</v>
      </c>
      <c r="CO1213">
        <v>2</v>
      </c>
      <c r="CP1213">
        <v>0</v>
      </c>
      <c r="CQ1213">
        <v>6</v>
      </c>
      <c r="CR1213" t="s">
        <v>116</v>
      </c>
      <c r="CS1213">
        <v>396</v>
      </c>
      <c r="CT1213">
        <v>2</v>
      </c>
      <c r="CU1213" t="s">
        <v>939</v>
      </c>
      <c r="CV1213" t="s">
        <v>940</v>
      </c>
      <c r="CY1213">
        <v>4876113</v>
      </c>
      <c r="CZ1213" t="s">
        <v>119</v>
      </c>
    </row>
    <row r="1214" spans="1:104" x14ac:dyDescent="0.25">
      <c r="A1214" t="str">
        <f>"14:10:36.047"</f>
        <v>14:10:36.047</v>
      </c>
      <c r="B1214" t="s">
        <v>108</v>
      </c>
      <c r="C1214" t="str">
        <f t="shared" si="55"/>
        <v>ffdfd3c0</v>
      </c>
      <c r="D1214" t="s">
        <v>109</v>
      </c>
      <c r="E1214">
        <v>4</v>
      </c>
      <c r="F1214">
        <v>1004</v>
      </c>
      <c r="G1214" t="s">
        <v>110</v>
      </c>
      <c r="J1214" t="s">
        <v>111</v>
      </c>
      <c r="K1214">
        <v>0</v>
      </c>
      <c r="L1214">
        <v>3</v>
      </c>
      <c r="M1214">
        <v>0</v>
      </c>
      <c r="N1214">
        <v>2</v>
      </c>
      <c r="O1214">
        <v>1</v>
      </c>
      <c r="P1214">
        <v>0</v>
      </c>
      <c r="Q1214">
        <v>0</v>
      </c>
      <c r="R1214" t="s">
        <v>112</v>
      </c>
      <c r="S1214" t="str">
        <f>"14:10:35.859"</f>
        <v>14:10:35.859</v>
      </c>
      <c r="T1214" t="str">
        <f>"14:10:35.461"</f>
        <v>14:10:35.461</v>
      </c>
      <c r="U1214" t="str">
        <f t="shared" si="54"/>
        <v>ad5732</v>
      </c>
      <c r="V1214">
        <v>0</v>
      </c>
      <c r="W1214">
        <v>0</v>
      </c>
      <c r="X1214">
        <v>1</v>
      </c>
      <c r="Z1214">
        <v>0</v>
      </c>
      <c r="AA1214">
        <v>9</v>
      </c>
      <c r="AB1214">
        <v>3</v>
      </c>
      <c r="AC1214">
        <v>0</v>
      </c>
      <c r="AD1214">
        <v>10</v>
      </c>
      <c r="AE1214">
        <v>0</v>
      </c>
      <c r="AF1214">
        <v>3</v>
      </c>
      <c r="AG1214">
        <v>2</v>
      </c>
      <c r="AH1214">
        <v>0</v>
      </c>
      <c r="AI1214" t="s">
        <v>2529</v>
      </c>
      <c r="AJ1214">
        <v>39.520204</v>
      </c>
      <c r="AK1214" t="s">
        <v>2530</v>
      </c>
      <c r="AL1214">
        <v>-76.663520000000005</v>
      </c>
      <c r="AM1214">
        <v>100</v>
      </c>
      <c r="AN1214">
        <v>8700</v>
      </c>
      <c r="AO1214" t="s">
        <v>115</v>
      </c>
      <c r="AP1214">
        <v>168</v>
      </c>
      <c r="AQ1214">
        <v>85</v>
      </c>
      <c r="AR1214">
        <v>-64</v>
      </c>
      <c r="AZ1214">
        <v>3614</v>
      </c>
      <c r="BA1214">
        <v>1</v>
      </c>
      <c r="BB1214" t="str">
        <f t="shared" si="56"/>
        <v xml:space="preserve">N959MJ  </v>
      </c>
      <c r="BC1214">
        <v>1</v>
      </c>
      <c r="BE1214">
        <v>0</v>
      </c>
      <c r="BF1214">
        <v>0</v>
      </c>
      <c r="BG1214">
        <v>0</v>
      </c>
      <c r="BH1214">
        <v>9025</v>
      </c>
      <c r="BI1214">
        <v>325</v>
      </c>
      <c r="BJ1214">
        <v>1</v>
      </c>
      <c r="BK1214">
        <v>1</v>
      </c>
      <c r="BL1214">
        <v>1</v>
      </c>
      <c r="BM1214">
        <v>0</v>
      </c>
      <c r="BP1214">
        <v>0</v>
      </c>
      <c r="BQ1214">
        <v>0</v>
      </c>
      <c r="BX1214" t="str">
        <f>"14:10:35.859"</f>
        <v>14:10:35.859</v>
      </c>
      <c r="BY1214" t="str">
        <f>"860273520"</f>
        <v>860273520</v>
      </c>
      <c r="CL1214">
        <v>0</v>
      </c>
      <c r="CM1214">
        <v>2</v>
      </c>
      <c r="CN1214">
        <v>0</v>
      </c>
      <c r="CO1214">
        <v>2</v>
      </c>
      <c r="CP1214">
        <v>0</v>
      </c>
      <c r="CQ1214">
        <v>6</v>
      </c>
      <c r="CR1214" t="s">
        <v>116</v>
      </c>
      <c r="CS1214">
        <v>525</v>
      </c>
      <c r="CT1214">
        <v>1</v>
      </c>
      <c r="CU1214" t="s">
        <v>140</v>
      </c>
      <c r="CV1214" t="s">
        <v>141</v>
      </c>
      <c r="CY1214">
        <v>8927402</v>
      </c>
      <c r="CZ1214" t="s">
        <v>119</v>
      </c>
    </row>
    <row r="1215" spans="1:104" x14ac:dyDescent="0.25">
      <c r="A1215" t="str">
        <f>"14:10:37.008"</f>
        <v>14:10:37.008</v>
      </c>
      <c r="B1215" t="s">
        <v>108</v>
      </c>
      <c r="C1215" t="str">
        <f t="shared" si="55"/>
        <v>ffdfd3c0</v>
      </c>
      <c r="D1215" t="s">
        <v>109</v>
      </c>
      <c r="E1215">
        <v>4</v>
      </c>
      <c r="F1215">
        <v>1004</v>
      </c>
      <c r="G1215" t="s">
        <v>110</v>
      </c>
      <c r="J1215" t="s">
        <v>111</v>
      </c>
      <c r="K1215">
        <v>0</v>
      </c>
      <c r="L1215">
        <v>3</v>
      </c>
      <c r="M1215">
        <v>0</v>
      </c>
      <c r="N1215">
        <v>2</v>
      </c>
      <c r="O1215">
        <v>1</v>
      </c>
      <c r="P1215">
        <v>0</v>
      </c>
      <c r="Q1215">
        <v>0</v>
      </c>
      <c r="R1215" t="s">
        <v>112</v>
      </c>
      <c r="S1215" t="str">
        <f>"14:10:36.813"</f>
        <v>14:10:36.813</v>
      </c>
      <c r="T1215" t="str">
        <f>"14:10:36.313"</f>
        <v>14:10:36.313</v>
      </c>
      <c r="U1215" t="str">
        <f t="shared" si="54"/>
        <v>ad5732</v>
      </c>
      <c r="V1215">
        <v>0</v>
      </c>
      <c r="W1215">
        <v>0</v>
      </c>
      <c r="X1215">
        <v>1</v>
      </c>
      <c r="Z1215">
        <v>0</v>
      </c>
      <c r="AA1215">
        <v>9</v>
      </c>
      <c r="AB1215">
        <v>3</v>
      </c>
      <c r="AC1215">
        <v>0</v>
      </c>
      <c r="AD1215">
        <v>10</v>
      </c>
      <c r="AE1215">
        <v>0</v>
      </c>
      <c r="AF1215">
        <v>3</v>
      </c>
      <c r="AG1215">
        <v>2</v>
      </c>
      <c r="AH1215">
        <v>0</v>
      </c>
      <c r="AI1215" t="s">
        <v>2531</v>
      </c>
      <c r="AJ1215">
        <v>39.520612</v>
      </c>
      <c r="AK1215" t="s">
        <v>2532</v>
      </c>
      <c r="AL1215">
        <v>-76.662469000000002</v>
      </c>
      <c r="AM1215">
        <v>100</v>
      </c>
      <c r="AN1215">
        <v>8700</v>
      </c>
      <c r="AO1215" t="s">
        <v>115</v>
      </c>
      <c r="AP1215">
        <v>168</v>
      </c>
      <c r="AQ1215">
        <v>85</v>
      </c>
      <c r="AR1215">
        <v>-64</v>
      </c>
      <c r="AZ1215">
        <v>3614</v>
      </c>
      <c r="BA1215">
        <v>1</v>
      </c>
      <c r="BB1215" t="str">
        <f t="shared" si="56"/>
        <v xml:space="preserve">N959MJ  </v>
      </c>
      <c r="BC1215">
        <v>1</v>
      </c>
      <c r="BE1215">
        <v>0</v>
      </c>
      <c r="BF1215">
        <v>0</v>
      </c>
      <c r="BG1215">
        <v>0</v>
      </c>
      <c r="BH1215">
        <v>9025</v>
      </c>
      <c r="BI1215">
        <v>325</v>
      </c>
      <c r="BJ1215">
        <v>1</v>
      </c>
      <c r="BK1215">
        <v>1</v>
      </c>
      <c r="BL1215">
        <v>1</v>
      </c>
      <c r="BM1215">
        <v>0</v>
      </c>
      <c r="BP1215">
        <v>0</v>
      </c>
      <c r="BQ1215">
        <v>0</v>
      </c>
      <c r="BX1215" t="str">
        <f>"14:10:36.820"</f>
        <v>14:10:36.820</v>
      </c>
      <c r="BY1215" t="str">
        <f>"818704861"</f>
        <v>818704861</v>
      </c>
      <c r="CL1215">
        <v>0</v>
      </c>
      <c r="CM1215">
        <v>2</v>
      </c>
      <c r="CN1215">
        <v>0</v>
      </c>
      <c r="CO1215">
        <v>2</v>
      </c>
      <c r="CP1215">
        <v>0</v>
      </c>
      <c r="CQ1215">
        <v>6</v>
      </c>
      <c r="CR1215" t="s">
        <v>116</v>
      </c>
      <c r="CS1215">
        <v>396</v>
      </c>
      <c r="CT1215">
        <v>2</v>
      </c>
      <c r="CU1215" t="s">
        <v>939</v>
      </c>
      <c r="CV1215" t="s">
        <v>940</v>
      </c>
      <c r="CY1215">
        <v>4879553</v>
      </c>
      <c r="CZ1215" t="s">
        <v>119</v>
      </c>
    </row>
    <row r="1216" spans="1:104" x14ac:dyDescent="0.25">
      <c r="A1216" t="str">
        <f>"14:10:37.969"</f>
        <v>14:10:37.969</v>
      </c>
      <c r="B1216" t="s">
        <v>108</v>
      </c>
      <c r="C1216" t="str">
        <f t="shared" si="55"/>
        <v>ffdfd3c0</v>
      </c>
      <c r="D1216" t="s">
        <v>109</v>
      </c>
      <c r="E1216">
        <v>4</v>
      </c>
      <c r="F1216">
        <v>1004</v>
      </c>
      <c r="G1216" t="s">
        <v>110</v>
      </c>
      <c r="J1216" t="s">
        <v>111</v>
      </c>
      <c r="K1216">
        <v>0</v>
      </c>
      <c r="L1216">
        <v>3</v>
      </c>
      <c r="M1216">
        <v>0</v>
      </c>
      <c r="N1216">
        <v>2</v>
      </c>
      <c r="O1216">
        <v>1</v>
      </c>
      <c r="P1216">
        <v>0</v>
      </c>
      <c r="Q1216">
        <v>0</v>
      </c>
      <c r="R1216" t="s">
        <v>112</v>
      </c>
      <c r="S1216" t="str">
        <f>"14:10:37.773"</f>
        <v>14:10:37.773</v>
      </c>
      <c r="T1216" t="str">
        <f>"14:10:37.273"</f>
        <v>14:10:37.273</v>
      </c>
      <c r="U1216" t="str">
        <f t="shared" si="54"/>
        <v>ad5732</v>
      </c>
      <c r="V1216">
        <v>0</v>
      </c>
      <c r="W1216">
        <v>0</v>
      </c>
      <c r="X1216">
        <v>1</v>
      </c>
      <c r="Z1216">
        <v>0</v>
      </c>
      <c r="AA1216">
        <v>9</v>
      </c>
      <c r="AB1216">
        <v>3</v>
      </c>
      <c r="AC1216">
        <v>0</v>
      </c>
      <c r="AD1216">
        <v>10</v>
      </c>
      <c r="AE1216">
        <v>0</v>
      </c>
      <c r="AF1216">
        <v>3</v>
      </c>
      <c r="AG1216">
        <v>2</v>
      </c>
      <c r="AH1216">
        <v>0</v>
      </c>
      <c r="AI1216" t="s">
        <v>2533</v>
      </c>
      <c r="AJ1216">
        <v>39.520933999999997</v>
      </c>
      <c r="AK1216" t="s">
        <v>2534</v>
      </c>
      <c r="AL1216">
        <v>-76.661589000000006</v>
      </c>
      <c r="AM1216">
        <v>100</v>
      </c>
      <c r="AN1216">
        <v>8700</v>
      </c>
      <c r="AO1216" t="s">
        <v>115</v>
      </c>
      <c r="AP1216">
        <v>168</v>
      </c>
      <c r="AQ1216">
        <v>85</v>
      </c>
      <c r="AR1216">
        <v>-64</v>
      </c>
      <c r="AZ1216">
        <v>3614</v>
      </c>
      <c r="BA1216">
        <v>1</v>
      </c>
      <c r="BB1216" t="str">
        <f t="shared" si="56"/>
        <v xml:space="preserve">N959MJ  </v>
      </c>
      <c r="BC1216">
        <v>1</v>
      </c>
      <c r="BE1216">
        <v>0</v>
      </c>
      <c r="BF1216">
        <v>0</v>
      </c>
      <c r="BG1216">
        <v>0</v>
      </c>
      <c r="BH1216">
        <v>9025</v>
      </c>
      <c r="BI1216">
        <v>325</v>
      </c>
      <c r="BJ1216">
        <v>1</v>
      </c>
      <c r="BK1216">
        <v>1</v>
      </c>
      <c r="BL1216">
        <v>1</v>
      </c>
      <c r="BM1216">
        <v>0</v>
      </c>
      <c r="BP1216">
        <v>0</v>
      </c>
      <c r="BQ1216">
        <v>0</v>
      </c>
      <c r="BX1216" t="str">
        <f>"14:10:37.781"</f>
        <v>14:10:37.781</v>
      </c>
      <c r="BY1216" t="str">
        <f>"780510849"</f>
        <v>780510849</v>
      </c>
      <c r="CL1216">
        <v>0</v>
      </c>
      <c r="CM1216">
        <v>2</v>
      </c>
      <c r="CN1216">
        <v>0</v>
      </c>
      <c r="CO1216">
        <v>2</v>
      </c>
      <c r="CP1216">
        <v>0</v>
      </c>
      <c r="CQ1216">
        <v>6</v>
      </c>
      <c r="CR1216" t="s">
        <v>116</v>
      </c>
      <c r="CS1216">
        <v>525</v>
      </c>
      <c r="CT1216">
        <v>1</v>
      </c>
      <c r="CU1216" t="s">
        <v>140</v>
      </c>
      <c r="CV1216" t="s">
        <v>141</v>
      </c>
      <c r="CY1216">
        <v>8930188</v>
      </c>
      <c r="CZ1216" t="s">
        <v>119</v>
      </c>
    </row>
    <row r="1217" spans="1:104" x14ac:dyDescent="0.25">
      <c r="A1217" t="str">
        <f>"14:10:39.078"</f>
        <v>14:10:39.078</v>
      </c>
      <c r="B1217" t="s">
        <v>108</v>
      </c>
      <c r="C1217" t="str">
        <f t="shared" si="55"/>
        <v>ffdfd3c0</v>
      </c>
      <c r="D1217" t="s">
        <v>109</v>
      </c>
      <c r="E1217">
        <v>4</v>
      </c>
      <c r="F1217">
        <v>1004</v>
      </c>
      <c r="G1217" t="s">
        <v>110</v>
      </c>
      <c r="J1217" t="s">
        <v>111</v>
      </c>
      <c r="K1217">
        <v>0</v>
      </c>
      <c r="L1217">
        <v>3</v>
      </c>
      <c r="M1217">
        <v>0</v>
      </c>
      <c r="N1217">
        <v>2</v>
      </c>
      <c r="O1217">
        <v>1</v>
      </c>
      <c r="P1217">
        <v>0</v>
      </c>
      <c r="Q1217">
        <v>0</v>
      </c>
      <c r="R1217" t="s">
        <v>112</v>
      </c>
      <c r="S1217" t="str">
        <f>"14:10:38.891"</f>
        <v>14:10:38.891</v>
      </c>
      <c r="T1217" t="str">
        <f>"14:10:38.391"</f>
        <v>14:10:38.391</v>
      </c>
      <c r="U1217" t="str">
        <f t="shared" si="54"/>
        <v>ad5732</v>
      </c>
      <c r="V1217">
        <v>0</v>
      </c>
      <c r="W1217">
        <v>0</v>
      </c>
      <c r="X1217">
        <v>1</v>
      </c>
      <c r="Z1217">
        <v>0</v>
      </c>
      <c r="AA1217">
        <v>9</v>
      </c>
      <c r="AB1217">
        <v>3</v>
      </c>
      <c r="AC1217">
        <v>0</v>
      </c>
      <c r="AD1217">
        <v>10</v>
      </c>
      <c r="AE1217">
        <v>0</v>
      </c>
      <c r="AF1217">
        <v>3</v>
      </c>
      <c r="AG1217">
        <v>2</v>
      </c>
      <c r="AH1217">
        <v>0</v>
      </c>
      <c r="AI1217" t="s">
        <v>2535</v>
      </c>
      <c r="AJ1217">
        <v>39.521448999999997</v>
      </c>
      <c r="AK1217" t="s">
        <v>2536</v>
      </c>
      <c r="AL1217">
        <v>-76.660387999999998</v>
      </c>
      <c r="AM1217">
        <v>100</v>
      </c>
      <c r="AN1217">
        <v>8700</v>
      </c>
      <c r="AO1217" t="s">
        <v>115</v>
      </c>
      <c r="AP1217">
        <v>168</v>
      </c>
      <c r="AQ1217">
        <v>85</v>
      </c>
      <c r="AR1217">
        <v>-64</v>
      </c>
      <c r="AZ1217">
        <v>3614</v>
      </c>
      <c r="BA1217">
        <v>1</v>
      </c>
      <c r="BB1217" t="str">
        <f t="shared" si="56"/>
        <v xml:space="preserve">N959MJ  </v>
      </c>
      <c r="BC1217">
        <v>1</v>
      </c>
      <c r="BE1217">
        <v>0</v>
      </c>
      <c r="BF1217">
        <v>0</v>
      </c>
      <c r="BG1217">
        <v>0</v>
      </c>
      <c r="BH1217">
        <v>9025</v>
      </c>
      <c r="BI1217">
        <v>325</v>
      </c>
      <c r="BJ1217">
        <v>1</v>
      </c>
      <c r="BK1217">
        <v>1</v>
      </c>
      <c r="BL1217">
        <v>1</v>
      </c>
      <c r="BM1217">
        <v>0</v>
      </c>
      <c r="BP1217">
        <v>0</v>
      </c>
      <c r="BQ1217">
        <v>0</v>
      </c>
      <c r="BX1217" t="str">
        <f>"14:10:38.898"</f>
        <v>14:10:38.898</v>
      </c>
      <c r="BY1217" t="str">
        <f>"894658607"</f>
        <v>894658607</v>
      </c>
      <c r="CL1217">
        <v>0</v>
      </c>
      <c r="CM1217">
        <v>2</v>
      </c>
      <c r="CN1217">
        <v>0</v>
      </c>
      <c r="CO1217">
        <v>2</v>
      </c>
      <c r="CP1217">
        <v>0</v>
      </c>
      <c r="CQ1217">
        <v>6</v>
      </c>
      <c r="CR1217" t="s">
        <v>116</v>
      </c>
      <c r="CS1217">
        <v>372</v>
      </c>
      <c r="CT1217">
        <v>3</v>
      </c>
      <c r="CU1217" t="s">
        <v>877</v>
      </c>
      <c r="CV1217" t="s">
        <v>878</v>
      </c>
      <c r="CY1217">
        <v>11525351</v>
      </c>
      <c r="CZ1217" t="s">
        <v>119</v>
      </c>
    </row>
    <row r="1218" spans="1:104" x14ac:dyDescent="0.25">
      <c r="A1218" t="str">
        <f>"14:10:40.188"</f>
        <v>14:10:40.188</v>
      </c>
      <c r="B1218" t="s">
        <v>108</v>
      </c>
      <c r="C1218" t="str">
        <f t="shared" si="55"/>
        <v>ffdfd3c0</v>
      </c>
      <c r="D1218" t="s">
        <v>109</v>
      </c>
      <c r="E1218">
        <v>4</v>
      </c>
      <c r="F1218">
        <v>1004</v>
      </c>
      <c r="G1218" t="s">
        <v>110</v>
      </c>
      <c r="J1218" t="s">
        <v>111</v>
      </c>
      <c r="K1218">
        <v>0</v>
      </c>
      <c r="L1218">
        <v>3</v>
      </c>
      <c r="M1218">
        <v>0</v>
      </c>
      <c r="N1218">
        <v>2</v>
      </c>
      <c r="O1218">
        <v>1</v>
      </c>
      <c r="P1218">
        <v>0</v>
      </c>
      <c r="Q1218">
        <v>0</v>
      </c>
      <c r="R1218" t="s">
        <v>112</v>
      </c>
      <c r="S1218" t="str">
        <f>"14:10:40.008"</f>
        <v>14:10:40.008</v>
      </c>
      <c r="T1218" t="str">
        <f>"14:10:39.508"</f>
        <v>14:10:39.508</v>
      </c>
      <c r="U1218" t="str">
        <f t="shared" ref="U1218:U1281" si="57">"ad5732"</f>
        <v>ad5732</v>
      </c>
      <c r="V1218">
        <v>0</v>
      </c>
      <c r="W1218">
        <v>0</v>
      </c>
      <c r="X1218">
        <v>1</v>
      </c>
      <c r="Z1218">
        <v>0</v>
      </c>
      <c r="AA1218">
        <v>9</v>
      </c>
      <c r="AB1218">
        <v>3</v>
      </c>
      <c r="AC1218">
        <v>0</v>
      </c>
      <c r="AD1218">
        <v>10</v>
      </c>
      <c r="AE1218">
        <v>0</v>
      </c>
      <c r="AF1218">
        <v>3</v>
      </c>
      <c r="AG1218">
        <v>2</v>
      </c>
      <c r="AH1218">
        <v>0</v>
      </c>
      <c r="AI1218" t="s">
        <v>2537</v>
      </c>
      <c r="AJ1218">
        <v>39.521878000000001</v>
      </c>
      <c r="AK1218" t="s">
        <v>2538</v>
      </c>
      <c r="AL1218">
        <v>-76.65925</v>
      </c>
      <c r="AM1218">
        <v>100</v>
      </c>
      <c r="AN1218">
        <v>8700</v>
      </c>
      <c r="AO1218" t="s">
        <v>115</v>
      </c>
      <c r="AP1218">
        <v>169</v>
      </c>
      <c r="AQ1218">
        <v>85</v>
      </c>
      <c r="AR1218">
        <v>-64</v>
      </c>
      <c r="AZ1218">
        <v>3614</v>
      </c>
      <c r="BA1218">
        <v>1</v>
      </c>
      <c r="BB1218" t="str">
        <f t="shared" si="56"/>
        <v xml:space="preserve">N959MJ  </v>
      </c>
      <c r="BC1218">
        <v>1</v>
      </c>
      <c r="BE1218">
        <v>0</v>
      </c>
      <c r="BF1218">
        <v>0</v>
      </c>
      <c r="BG1218">
        <v>0</v>
      </c>
      <c r="BH1218">
        <v>9025</v>
      </c>
      <c r="BI1218">
        <v>325</v>
      </c>
      <c r="BJ1218">
        <v>1</v>
      </c>
      <c r="BK1218">
        <v>1</v>
      </c>
      <c r="BL1218">
        <v>1</v>
      </c>
      <c r="BM1218">
        <v>0</v>
      </c>
      <c r="BP1218">
        <v>0</v>
      </c>
      <c r="BQ1218">
        <v>0</v>
      </c>
      <c r="BX1218" t="str">
        <f>"14:10:40.016"</f>
        <v>14:10:40.016</v>
      </c>
      <c r="BY1218" t="str">
        <f>"011998860"</f>
        <v>011998860</v>
      </c>
      <c r="CL1218">
        <v>0</v>
      </c>
      <c r="CM1218">
        <v>2</v>
      </c>
      <c r="CN1218">
        <v>0</v>
      </c>
      <c r="CO1218">
        <v>2</v>
      </c>
      <c r="CP1218">
        <v>0</v>
      </c>
      <c r="CQ1218">
        <v>6</v>
      </c>
      <c r="CR1218" t="s">
        <v>116</v>
      </c>
      <c r="CS1218">
        <v>396</v>
      </c>
      <c r="CT1218">
        <v>2</v>
      </c>
      <c r="CU1218" t="s">
        <v>939</v>
      </c>
      <c r="CV1218" t="s">
        <v>940</v>
      </c>
      <c r="CY1218">
        <v>4885507</v>
      </c>
      <c r="CZ1218" t="s">
        <v>119</v>
      </c>
    </row>
    <row r="1219" spans="1:104" x14ac:dyDescent="0.25">
      <c r="A1219" t="str">
        <f>"14:10:41.352"</f>
        <v>14:10:41.352</v>
      </c>
      <c r="B1219" t="s">
        <v>108</v>
      </c>
      <c r="C1219" t="str">
        <f t="shared" si="55"/>
        <v>ffdfd3c0</v>
      </c>
      <c r="D1219" t="s">
        <v>109</v>
      </c>
      <c r="E1219">
        <v>4</v>
      </c>
      <c r="F1219">
        <v>1004</v>
      </c>
      <c r="G1219" t="s">
        <v>110</v>
      </c>
      <c r="J1219" t="s">
        <v>111</v>
      </c>
      <c r="K1219">
        <v>0</v>
      </c>
      <c r="L1219">
        <v>3</v>
      </c>
      <c r="M1219">
        <v>0</v>
      </c>
      <c r="N1219">
        <v>2</v>
      </c>
      <c r="O1219">
        <v>1</v>
      </c>
      <c r="P1219">
        <v>0</v>
      </c>
      <c r="Q1219">
        <v>0</v>
      </c>
      <c r="R1219" t="s">
        <v>112</v>
      </c>
      <c r="S1219" t="str">
        <f>"14:10:41.172"</f>
        <v>14:10:41.172</v>
      </c>
      <c r="T1219" t="str">
        <f>"14:10:40.672"</f>
        <v>14:10:40.672</v>
      </c>
      <c r="U1219" t="str">
        <f t="shared" si="57"/>
        <v>ad5732</v>
      </c>
      <c r="V1219">
        <v>0</v>
      </c>
      <c r="W1219">
        <v>0</v>
      </c>
      <c r="X1219">
        <v>1</v>
      </c>
      <c r="Z1219">
        <v>0</v>
      </c>
      <c r="AA1219">
        <v>9</v>
      </c>
      <c r="AB1219">
        <v>3</v>
      </c>
      <c r="AC1219">
        <v>0</v>
      </c>
      <c r="AD1219">
        <v>10</v>
      </c>
      <c r="AE1219">
        <v>0</v>
      </c>
      <c r="AF1219">
        <v>3</v>
      </c>
      <c r="AG1219">
        <v>2</v>
      </c>
      <c r="AH1219">
        <v>0</v>
      </c>
      <c r="AI1219" t="s">
        <v>2539</v>
      </c>
      <c r="AJ1219">
        <v>39.522306999999998</v>
      </c>
      <c r="AK1219" t="s">
        <v>2540</v>
      </c>
      <c r="AL1219">
        <v>-76.658113</v>
      </c>
      <c r="AM1219">
        <v>100</v>
      </c>
      <c r="AN1219">
        <v>8700</v>
      </c>
      <c r="AO1219" t="s">
        <v>115</v>
      </c>
      <c r="AP1219">
        <v>169</v>
      </c>
      <c r="AQ1219">
        <v>85</v>
      </c>
      <c r="AR1219">
        <v>-64</v>
      </c>
      <c r="AZ1219">
        <v>3614</v>
      </c>
      <c r="BA1219">
        <v>1</v>
      </c>
      <c r="BB1219" t="str">
        <f t="shared" si="56"/>
        <v xml:space="preserve">N959MJ  </v>
      </c>
      <c r="BC1219">
        <v>1</v>
      </c>
      <c r="BE1219">
        <v>0</v>
      </c>
      <c r="BF1219">
        <v>0</v>
      </c>
      <c r="BG1219">
        <v>0</v>
      </c>
      <c r="BH1219">
        <v>9025</v>
      </c>
      <c r="BI1219">
        <v>325</v>
      </c>
      <c r="BJ1219">
        <v>1</v>
      </c>
      <c r="BK1219">
        <v>1</v>
      </c>
      <c r="BL1219">
        <v>1</v>
      </c>
      <c r="BM1219">
        <v>0</v>
      </c>
      <c r="BP1219">
        <v>0</v>
      </c>
      <c r="BQ1219">
        <v>0</v>
      </c>
      <c r="BX1219" t="str">
        <f>"14:10:41.180"</f>
        <v>14:10:41.180</v>
      </c>
      <c r="BY1219" t="str">
        <f>"176987656"</f>
        <v>176987656</v>
      </c>
      <c r="CL1219">
        <v>0</v>
      </c>
      <c r="CM1219">
        <v>2</v>
      </c>
      <c r="CN1219">
        <v>0</v>
      </c>
      <c r="CO1219">
        <v>2</v>
      </c>
      <c r="CP1219">
        <v>0</v>
      </c>
      <c r="CQ1219">
        <v>6</v>
      </c>
      <c r="CR1219" t="s">
        <v>116</v>
      </c>
      <c r="CS1219">
        <v>372</v>
      </c>
      <c r="CT1219">
        <v>3</v>
      </c>
      <c r="CU1219" t="s">
        <v>877</v>
      </c>
      <c r="CV1219" t="s">
        <v>878</v>
      </c>
      <c r="CY1219">
        <v>11529534</v>
      </c>
      <c r="CZ1219" t="s">
        <v>119</v>
      </c>
    </row>
    <row r="1220" spans="1:104" x14ac:dyDescent="0.25">
      <c r="A1220" t="str">
        <f>"14:10:42.313"</f>
        <v>14:10:42.313</v>
      </c>
      <c r="B1220" t="s">
        <v>108</v>
      </c>
      <c r="C1220" t="str">
        <f t="shared" si="55"/>
        <v>ffdfd3c0</v>
      </c>
      <c r="D1220" t="s">
        <v>109</v>
      </c>
      <c r="E1220">
        <v>4</v>
      </c>
      <c r="F1220">
        <v>1004</v>
      </c>
      <c r="G1220" t="s">
        <v>110</v>
      </c>
      <c r="J1220" t="s">
        <v>111</v>
      </c>
      <c r="K1220">
        <v>0</v>
      </c>
      <c r="L1220">
        <v>3</v>
      </c>
      <c r="M1220">
        <v>0</v>
      </c>
      <c r="N1220">
        <v>2</v>
      </c>
      <c r="O1220">
        <v>1</v>
      </c>
      <c r="P1220">
        <v>0</v>
      </c>
      <c r="Q1220">
        <v>0</v>
      </c>
      <c r="R1220" t="s">
        <v>112</v>
      </c>
      <c r="S1220" t="str">
        <f>"14:10:42.117"</f>
        <v>14:10:42.117</v>
      </c>
      <c r="T1220" t="str">
        <f>"14:10:41.617"</f>
        <v>14:10:41.617</v>
      </c>
      <c r="U1220" t="str">
        <f t="shared" si="57"/>
        <v>ad5732</v>
      </c>
      <c r="V1220">
        <v>0</v>
      </c>
      <c r="W1220">
        <v>0</v>
      </c>
      <c r="X1220">
        <v>1</v>
      </c>
      <c r="Z1220">
        <v>0</v>
      </c>
      <c r="AA1220">
        <v>9</v>
      </c>
      <c r="AB1220">
        <v>3</v>
      </c>
      <c r="AC1220">
        <v>0</v>
      </c>
      <c r="AD1220">
        <v>10</v>
      </c>
      <c r="AE1220">
        <v>0</v>
      </c>
      <c r="AF1220">
        <v>3</v>
      </c>
      <c r="AG1220">
        <v>2</v>
      </c>
      <c r="AH1220">
        <v>0</v>
      </c>
      <c r="AI1220" t="s">
        <v>2541</v>
      </c>
      <c r="AJ1220">
        <v>39.522672</v>
      </c>
      <c r="AK1220" t="s">
        <v>2542</v>
      </c>
      <c r="AL1220">
        <v>-76.657168999999996</v>
      </c>
      <c r="AM1220">
        <v>100</v>
      </c>
      <c r="AN1220">
        <v>8700</v>
      </c>
      <c r="AO1220" t="s">
        <v>115</v>
      </c>
      <c r="AP1220">
        <v>169</v>
      </c>
      <c r="AQ1220">
        <v>85</v>
      </c>
      <c r="AR1220">
        <v>0</v>
      </c>
      <c r="AZ1220">
        <v>3614</v>
      </c>
      <c r="BA1220">
        <v>1</v>
      </c>
      <c r="BB1220" t="str">
        <f t="shared" si="56"/>
        <v xml:space="preserve">N959MJ  </v>
      </c>
      <c r="BC1220">
        <v>1</v>
      </c>
      <c r="BE1220">
        <v>0</v>
      </c>
      <c r="BF1220">
        <v>0</v>
      </c>
      <c r="BG1220">
        <v>0</v>
      </c>
      <c r="BH1220">
        <v>9025</v>
      </c>
      <c r="BI1220">
        <v>325</v>
      </c>
      <c r="BJ1220">
        <v>1</v>
      </c>
      <c r="BK1220">
        <v>1</v>
      </c>
      <c r="BL1220">
        <v>1</v>
      </c>
      <c r="BM1220">
        <v>0</v>
      </c>
      <c r="BP1220">
        <v>0</v>
      </c>
      <c r="BQ1220">
        <v>0</v>
      </c>
      <c r="BX1220" t="str">
        <f>"14:10:42.117"</f>
        <v>14:10:42.117</v>
      </c>
      <c r="BY1220" t="str">
        <f>"119015917"</f>
        <v>119015917</v>
      </c>
      <c r="CL1220">
        <v>0</v>
      </c>
      <c r="CM1220">
        <v>2</v>
      </c>
      <c r="CN1220">
        <v>0</v>
      </c>
      <c r="CO1220">
        <v>2</v>
      </c>
      <c r="CP1220">
        <v>0</v>
      </c>
      <c r="CQ1220">
        <v>6</v>
      </c>
      <c r="CR1220" t="s">
        <v>116</v>
      </c>
      <c r="CS1220">
        <v>396</v>
      </c>
      <c r="CT1220">
        <v>2</v>
      </c>
      <c r="CU1220" t="s">
        <v>939</v>
      </c>
      <c r="CV1220" t="s">
        <v>940</v>
      </c>
      <c r="CY1220">
        <v>4889268</v>
      </c>
      <c r="CZ1220" t="s">
        <v>119</v>
      </c>
    </row>
    <row r="1221" spans="1:104" x14ac:dyDescent="0.25">
      <c r="A1221" t="str">
        <f>"14:10:43.367"</f>
        <v>14:10:43.367</v>
      </c>
      <c r="B1221" t="s">
        <v>108</v>
      </c>
      <c r="C1221" t="str">
        <f t="shared" si="55"/>
        <v>ffdfd3c0</v>
      </c>
      <c r="D1221" t="s">
        <v>109</v>
      </c>
      <c r="E1221">
        <v>4</v>
      </c>
      <c r="F1221">
        <v>1004</v>
      </c>
      <c r="G1221" t="s">
        <v>110</v>
      </c>
      <c r="J1221" t="s">
        <v>111</v>
      </c>
      <c r="K1221">
        <v>0</v>
      </c>
      <c r="L1221">
        <v>3</v>
      </c>
      <c r="M1221">
        <v>0</v>
      </c>
      <c r="N1221">
        <v>2</v>
      </c>
      <c r="O1221">
        <v>1</v>
      </c>
      <c r="P1221">
        <v>0</v>
      </c>
      <c r="Q1221">
        <v>0</v>
      </c>
      <c r="R1221" t="s">
        <v>112</v>
      </c>
      <c r="S1221" t="str">
        <f>"14:10:43.195"</f>
        <v>14:10:43.195</v>
      </c>
      <c r="T1221" t="str">
        <f>"14:10:42.695"</f>
        <v>14:10:42.695</v>
      </c>
      <c r="U1221" t="str">
        <f t="shared" si="57"/>
        <v>ad5732</v>
      </c>
      <c r="V1221">
        <v>0</v>
      </c>
      <c r="W1221">
        <v>0</v>
      </c>
      <c r="X1221">
        <v>1</v>
      </c>
      <c r="Z1221">
        <v>0</v>
      </c>
      <c r="AA1221">
        <v>9</v>
      </c>
      <c r="AB1221">
        <v>3</v>
      </c>
      <c r="AC1221">
        <v>0</v>
      </c>
      <c r="AD1221">
        <v>10</v>
      </c>
      <c r="AE1221">
        <v>0</v>
      </c>
      <c r="AF1221">
        <v>3</v>
      </c>
      <c r="AG1221">
        <v>2</v>
      </c>
      <c r="AH1221">
        <v>0</v>
      </c>
      <c r="AI1221" t="s">
        <v>2543</v>
      </c>
      <c r="AJ1221">
        <v>39.523122000000001</v>
      </c>
      <c r="AK1221" t="s">
        <v>2544</v>
      </c>
      <c r="AL1221">
        <v>-76.656009999999995</v>
      </c>
      <c r="AM1221">
        <v>100</v>
      </c>
      <c r="AN1221">
        <v>8700</v>
      </c>
      <c r="AO1221" t="s">
        <v>115</v>
      </c>
      <c r="AP1221">
        <v>169</v>
      </c>
      <c r="AQ1221">
        <v>85</v>
      </c>
      <c r="AR1221">
        <v>0</v>
      </c>
      <c r="AZ1221">
        <v>3614</v>
      </c>
      <c r="BA1221">
        <v>1</v>
      </c>
      <c r="BB1221" t="str">
        <f t="shared" si="56"/>
        <v xml:space="preserve">N959MJ  </v>
      </c>
      <c r="BC1221">
        <v>1</v>
      </c>
      <c r="BE1221">
        <v>0</v>
      </c>
      <c r="BF1221">
        <v>0</v>
      </c>
      <c r="BG1221">
        <v>0</v>
      </c>
      <c r="BH1221">
        <v>9025</v>
      </c>
      <c r="BI1221">
        <v>325</v>
      </c>
      <c r="BJ1221">
        <v>1</v>
      </c>
      <c r="BK1221">
        <v>1</v>
      </c>
      <c r="BL1221">
        <v>1</v>
      </c>
      <c r="BM1221">
        <v>0</v>
      </c>
      <c r="BP1221">
        <v>0</v>
      </c>
      <c r="BQ1221">
        <v>0</v>
      </c>
      <c r="BX1221" t="str">
        <f>"14:10:43.203"</f>
        <v>14:10:43.203</v>
      </c>
      <c r="BY1221" t="str">
        <f>"202068033"</f>
        <v>202068033</v>
      </c>
      <c r="CL1221">
        <v>0</v>
      </c>
      <c r="CM1221">
        <v>2</v>
      </c>
      <c r="CN1221">
        <v>0</v>
      </c>
      <c r="CO1221">
        <v>2</v>
      </c>
      <c r="CP1221">
        <v>0</v>
      </c>
      <c r="CQ1221">
        <v>6</v>
      </c>
      <c r="CR1221" t="s">
        <v>116</v>
      </c>
      <c r="CS1221">
        <v>525</v>
      </c>
      <c r="CT1221">
        <v>1</v>
      </c>
      <c r="CU1221" t="s">
        <v>140</v>
      </c>
      <c r="CV1221" t="s">
        <v>141</v>
      </c>
      <c r="CY1221">
        <v>8938351</v>
      </c>
      <c r="CZ1221" t="s">
        <v>119</v>
      </c>
    </row>
    <row r="1222" spans="1:104" x14ac:dyDescent="0.25">
      <c r="A1222" t="str">
        <f>"14:10:44.180"</f>
        <v>14:10:44.180</v>
      </c>
      <c r="B1222" t="s">
        <v>108</v>
      </c>
      <c r="C1222" t="str">
        <f t="shared" si="55"/>
        <v>ffdfd3c0</v>
      </c>
      <c r="D1222" t="s">
        <v>109</v>
      </c>
      <c r="E1222">
        <v>4</v>
      </c>
      <c r="F1222">
        <v>1004</v>
      </c>
      <c r="G1222" t="s">
        <v>110</v>
      </c>
      <c r="J1222" t="s">
        <v>111</v>
      </c>
      <c r="K1222">
        <v>0</v>
      </c>
      <c r="L1222">
        <v>3</v>
      </c>
      <c r="M1222">
        <v>0</v>
      </c>
      <c r="N1222">
        <v>2</v>
      </c>
      <c r="O1222">
        <v>1</v>
      </c>
      <c r="P1222">
        <v>0</v>
      </c>
      <c r="Q1222">
        <v>0</v>
      </c>
      <c r="R1222" t="s">
        <v>112</v>
      </c>
      <c r="S1222" t="str">
        <f>"14:10:44.016"</f>
        <v>14:10:44.016</v>
      </c>
      <c r="T1222" t="str">
        <f>"14:10:43.617"</f>
        <v>14:10:43.617</v>
      </c>
      <c r="U1222" t="str">
        <f t="shared" si="57"/>
        <v>ad5732</v>
      </c>
      <c r="V1222">
        <v>0</v>
      </c>
      <c r="W1222">
        <v>0</v>
      </c>
      <c r="X1222">
        <v>1</v>
      </c>
      <c r="Z1222">
        <v>0</v>
      </c>
      <c r="AA1222">
        <v>9</v>
      </c>
      <c r="AB1222">
        <v>3</v>
      </c>
      <c r="AC1222">
        <v>0</v>
      </c>
      <c r="AD1222">
        <v>10</v>
      </c>
      <c r="AE1222">
        <v>0</v>
      </c>
      <c r="AF1222">
        <v>3</v>
      </c>
      <c r="AG1222">
        <v>2</v>
      </c>
      <c r="AH1222">
        <v>0</v>
      </c>
      <c r="AI1222" t="s">
        <v>2545</v>
      </c>
      <c r="AJ1222">
        <v>39.523465999999999</v>
      </c>
      <c r="AK1222" t="s">
        <v>2546</v>
      </c>
      <c r="AL1222">
        <v>-76.655215999999996</v>
      </c>
      <c r="AM1222">
        <v>100</v>
      </c>
      <c r="AN1222">
        <v>8700</v>
      </c>
      <c r="AO1222" t="s">
        <v>115</v>
      </c>
      <c r="AP1222">
        <v>169</v>
      </c>
      <c r="AQ1222">
        <v>85</v>
      </c>
      <c r="AR1222">
        <v>64</v>
      </c>
      <c r="AZ1222">
        <v>3614</v>
      </c>
      <c r="BA1222">
        <v>1</v>
      </c>
      <c r="BB1222" t="str">
        <f t="shared" si="56"/>
        <v xml:space="preserve">N959MJ  </v>
      </c>
      <c r="BC1222">
        <v>1</v>
      </c>
      <c r="BE1222">
        <v>0</v>
      </c>
      <c r="BF1222">
        <v>0</v>
      </c>
      <c r="BG1222">
        <v>0</v>
      </c>
      <c r="BH1222">
        <v>9025</v>
      </c>
      <c r="BI1222">
        <v>325</v>
      </c>
      <c r="BJ1222">
        <v>1</v>
      </c>
      <c r="BK1222">
        <v>1</v>
      </c>
      <c r="BL1222">
        <v>1</v>
      </c>
      <c r="BM1222">
        <v>0</v>
      </c>
      <c r="BP1222">
        <v>0</v>
      </c>
      <c r="BQ1222">
        <v>0</v>
      </c>
      <c r="BX1222" t="str">
        <f>"14:10:44.023"</f>
        <v>14:10:44.023</v>
      </c>
      <c r="BY1222" t="str">
        <f>"022867861"</f>
        <v>022867861</v>
      </c>
      <c r="CL1222">
        <v>0</v>
      </c>
      <c r="CM1222">
        <v>2</v>
      </c>
      <c r="CN1222">
        <v>0</v>
      </c>
      <c r="CO1222">
        <v>2</v>
      </c>
      <c r="CP1222">
        <v>0</v>
      </c>
      <c r="CQ1222">
        <v>6</v>
      </c>
      <c r="CR1222" t="s">
        <v>116</v>
      </c>
      <c r="CS1222">
        <v>396</v>
      </c>
      <c r="CT1222">
        <v>2</v>
      </c>
      <c r="CU1222" t="s">
        <v>939</v>
      </c>
      <c r="CV1222" t="s">
        <v>940</v>
      </c>
      <c r="CY1222">
        <v>4892911</v>
      </c>
      <c r="CZ1222" t="s">
        <v>119</v>
      </c>
    </row>
    <row r="1223" spans="1:104" x14ac:dyDescent="0.25">
      <c r="A1223" t="str">
        <f>"14:10:45.141"</f>
        <v>14:10:45.141</v>
      </c>
      <c r="B1223" t="s">
        <v>108</v>
      </c>
      <c r="C1223" t="str">
        <f t="shared" si="55"/>
        <v>ffdfd3c0</v>
      </c>
      <c r="D1223" t="s">
        <v>109</v>
      </c>
      <c r="E1223">
        <v>4</v>
      </c>
      <c r="F1223">
        <v>1004</v>
      </c>
      <c r="G1223" t="s">
        <v>110</v>
      </c>
      <c r="J1223" t="s">
        <v>111</v>
      </c>
      <c r="K1223">
        <v>0</v>
      </c>
      <c r="L1223">
        <v>3</v>
      </c>
      <c r="M1223">
        <v>0</v>
      </c>
      <c r="N1223">
        <v>2</v>
      </c>
      <c r="O1223">
        <v>1</v>
      </c>
      <c r="P1223">
        <v>0</v>
      </c>
      <c r="Q1223">
        <v>0</v>
      </c>
      <c r="R1223" t="s">
        <v>112</v>
      </c>
      <c r="S1223" t="str">
        <f>"14:10:44.938"</f>
        <v>14:10:44.938</v>
      </c>
      <c r="T1223" t="str">
        <f>"14:10:44.438"</f>
        <v>14:10:44.438</v>
      </c>
      <c r="U1223" t="str">
        <f t="shared" si="57"/>
        <v>ad5732</v>
      </c>
      <c r="V1223">
        <v>0</v>
      </c>
      <c r="W1223">
        <v>0</v>
      </c>
      <c r="X1223">
        <v>1</v>
      </c>
      <c r="Z1223">
        <v>0</v>
      </c>
      <c r="AA1223">
        <v>9</v>
      </c>
      <c r="AB1223">
        <v>3</v>
      </c>
      <c r="AC1223">
        <v>0</v>
      </c>
      <c r="AD1223">
        <v>10</v>
      </c>
      <c r="AE1223">
        <v>0</v>
      </c>
      <c r="AF1223">
        <v>3</v>
      </c>
      <c r="AG1223">
        <v>2</v>
      </c>
      <c r="AH1223">
        <v>0</v>
      </c>
      <c r="AI1223" t="s">
        <v>2547</v>
      </c>
      <c r="AJ1223">
        <v>39.523766000000002</v>
      </c>
      <c r="AK1223" t="s">
        <v>2548</v>
      </c>
      <c r="AL1223">
        <v>-76.654293999999993</v>
      </c>
      <c r="AM1223">
        <v>100</v>
      </c>
      <c r="AN1223">
        <v>8700</v>
      </c>
      <c r="AO1223" t="s">
        <v>115</v>
      </c>
      <c r="AP1223">
        <v>168</v>
      </c>
      <c r="AQ1223">
        <v>85</v>
      </c>
      <c r="AR1223">
        <v>64</v>
      </c>
      <c r="AZ1223">
        <v>3614</v>
      </c>
      <c r="BA1223">
        <v>1</v>
      </c>
      <c r="BB1223" t="str">
        <f t="shared" si="56"/>
        <v xml:space="preserve">N959MJ  </v>
      </c>
      <c r="BC1223">
        <v>1</v>
      </c>
      <c r="BE1223">
        <v>0</v>
      </c>
      <c r="BF1223">
        <v>0</v>
      </c>
      <c r="BG1223">
        <v>0</v>
      </c>
      <c r="BH1223">
        <v>9025</v>
      </c>
      <c r="BI1223">
        <v>325</v>
      </c>
      <c r="BJ1223">
        <v>1</v>
      </c>
      <c r="BK1223">
        <v>1</v>
      </c>
      <c r="BL1223">
        <v>1</v>
      </c>
      <c r="BM1223">
        <v>0</v>
      </c>
      <c r="BP1223">
        <v>0</v>
      </c>
      <c r="BQ1223">
        <v>0</v>
      </c>
      <c r="BX1223" t="str">
        <f>"14:10:44.945"</f>
        <v>14:10:44.945</v>
      </c>
      <c r="BY1223" t="str">
        <f>"945302313"</f>
        <v>945302313</v>
      </c>
      <c r="CL1223">
        <v>0</v>
      </c>
      <c r="CM1223">
        <v>2</v>
      </c>
      <c r="CN1223">
        <v>0</v>
      </c>
      <c r="CO1223">
        <v>2</v>
      </c>
      <c r="CP1223">
        <v>0</v>
      </c>
      <c r="CQ1223">
        <v>6</v>
      </c>
      <c r="CR1223" t="s">
        <v>116</v>
      </c>
      <c r="CS1223">
        <v>396</v>
      </c>
      <c r="CT1223">
        <v>2</v>
      </c>
      <c r="CU1223" t="s">
        <v>939</v>
      </c>
      <c r="CV1223" t="s">
        <v>940</v>
      </c>
      <c r="CY1223">
        <v>4894513</v>
      </c>
      <c r="CZ1223" t="s">
        <v>119</v>
      </c>
    </row>
    <row r="1224" spans="1:104" x14ac:dyDescent="0.25">
      <c r="A1224" t="str">
        <f>"14:10:46.148"</f>
        <v>14:10:46.148</v>
      </c>
      <c r="B1224" t="s">
        <v>108</v>
      </c>
      <c r="C1224" t="str">
        <f t="shared" si="55"/>
        <v>ffdfd3c0</v>
      </c>
      <c r="D1224" t="s">
        <v>109</v>
      </c>
      <c r="E1224">
        <v>4</v>
      </c>
      <c r="F1224">
        <v>1004</v>
      </c>
      <c r="G1224" t="s">
        <v>110</v>
      </c>
      <c r="J1224" t="s">
        <v>111</v>
      </c>
      <c r="K1224">
        <v>0</v>
      </c>
      <c r="L1224">
        <v>3</v>
      </c>
      <c r="M1224">
        <v>0</v>
      </c>
      <c r="N1224">
        <v>2</v>
      </c>
      <c r="O1224">
        <v>1</v>
      </c>
      <c r="P1224">
        <v>0</v>
      </c>
      <c r="Q1224">
        <v>0</v>
      </c>
      <c r="R1224" t="s">
        <v>112</v>
      </c>
      <c r="S1224" t="str">
        <f>"14:10:45.969"</f>
        <v>14:10:45.969</v>
      </c>
      <c r="T1224" t="str">
        <f>"14:10:45.469"</f>
        <v>14:10:45.469</v>
      </c>
      <c r="U1224" t="str">
        <f t="shared" si="57"/>
        <v>ad5732</v>
      </c>
      <c r="V1224">
        <v>0</v>
      </c>
      <c r="W1224">
        <v>0</v>
      </c>
      <c r="X1224">
        <v>1</v>
      </c>
      <c r="Z1224">
        <v>0</v>
      </c>
      <c r="AA1224">
        <v>9</v>
      </c>
      <c r="AB1224">
        <v>3</v>
      </c>
      <c r="AC1224">
        <v>0</v>
      </c>
      <c r="AD1224">
        <v>10</v>
      </c>
      <c r="AE1224">
        <v>0</v>
      </c>
      <c r="AF1224">
        <v>3</v>
      </c>
      <c r="AG1224">
        <v>2</v>
      </c>
      <c r="AH1224">
        <v>0</v>
      </c>
      <c r="AI1224" t="s">
        <v>2549</v>
      </c>
      <c r="AJ1224">
        <v>39.524194999999999</v>
      </c>
      <c r="AK1224" t="s">
        <v>2550</v>
      </c>
      <c r="AL1224">
        <v>-76.653284999999997</v>
      </c>
      <c r="AM1224">
        <v>100</v>
      </c>
      <c r="AN1224">
        <v>8700</v>
      </c>
      <c r="AO1224" t="s">
        <v>115</v>
      </c>
      <c r="AP1224">
        <v>168</v>
      </c>
      <c r="AQ1224">
        <v>85</v>
      </c>
      <c r="AR1224">
        <v>64</v>
      </c>
      <c r="AZ1224">
        <v>3614</v>
      </c>
      <c r="BA1224">
        <v>1</v>
      </c>
      <c r="BB1224" t="str">
        <f t="shared" si="56"/>
        <v xml:space="preserve">N959MJ  </v>
      </c>
      <c r="BC1224">
        <v>1</v>
      </c>
      <c r="BE1224">
        <v>0</v>
      </c>
      <c r="BF1224">
        <v>0</v>
      </c>
      <c r="BG1224">
        <v>0</v>
      </c>
      <c r="BH1224">
        <v>9025</v>
      </c>
      <c r="BI1224">
        <v>325</v>
      </c>
      <c r="BJ1224">
        <v>1</v>
      </c>
      <c r="BK1224">
        <v>1</v>
      </c>
      <c r="BL1224">
        <v>1</v>
      </c>
      <c r="BM1224">
        <v>0</v>
      </c>
      <c r="BP1224">
        <v>0</v>
      </c>
      <c r="BQ1224">
        <v>0</v>
      </c>
      <c r="BX1224" t="str">
        <f>"14:10:45.977"</f>
        <v>14:10:45.977</v>
      </c>
      <c r="BY1224" t="str">
        <f>"974302456"</f>
        <v>974302456</v>
      </c>
      <c r="CL1224">
        <v>0</v>
      </c>
      <c r="CM1224">
        <v>2</v>
      </c>
      <c r="CN1224">
        <v>0</v>
      </c>
      <c r="CO1224">
        <v>2</v>
      </c>
      <c r="CP1224">
        <v>0</v>
      </c>
      <c r="CQ1224">
        <v>6</v>
      </c>
      <c r="CR1224" t="s">
        <v>116</v>
      </c>
      <c r="CS1224">
        <v>372</v>
      </c>
      <c r="CT1224">
        <v>3</v>
      </c>
      <c r="CU1224" t="s">
        <v>877</v>
      </c>
      <c r="CV1224" t="s">
        <v>878</v>
      </c>
      <c r="CY1224">
        <v>11538142</v>
      </c>
      <c r="CZ1224" t="s">
        <v>119</v>
      </c>
    </row>
    <row r="1225" spans="1:104" x14ac:dyDescent="0.25">
      <c r="A1225" t="str">
        <f>"14:10:47.258"</f>
        <v>14:10:47.258</v>
      </c>
      <c r="B1225" t="s">
        <v>108</v>
      </c>
      <c r="C1225" t="str">
        <f t="shared" si="55"/>
        <v>ffdfd3c0</v>
      </c>
      <c r="D1225" t="s">
        <v>109</v>
      </c>
      <c r="E1225">
        <v>4</v>
      </c>
      <c r="F1225">
        <v>1004</v>
      </c>
      <c r="G1225" t="s">
        <v>110</v>
      </c>
      <c r="J1225" t="s">
        <v>111</v>
      </c>
      <c r="K1225">
        <v>0</v>
      </c>
      <c r="L1225">
        <v>3</v>
      </c>
      <c r="M1225">
        <v>0</v>
      </c>
      <c r="N1225">
        <v>2</v>
      </c>
      <c r="O1225">
        <v>1</v>
      </c>
      <c r="P1225">
        <v>0</v>
      </c>
      <c r="Q1225">
        <v>0</v>
      </c>
      <c r="R1225" t="s">
        <v>112</v>
      </c>
      <c r="S1225" t="str">
        <f>"14:10:47.055"</f>
        <v>14:10:47.055</v>
      </c>
      <c r="T1225" t="str">
        <f>"14:10:46.555"</f>
        <v>14:10:46.555</v>
      </c>
      <c r="U1225" t="str">
        <f t="shared" si="57"/>
        <v>ad5732</v>
      </c>
      <c r="V1225">
        <v>0</v>
      </c>
      <c r="W1225">
        <v>0</v>
      </c>
      <c r="X1225">
        <v>1</v>
      </c>
      <c r="Z1225">
        <v>0</v>
      </c>
      <c r="AA1225">
        <v>9</v>
      </c>
      <c r="AB1225">
        <v>3</v>
      </c>
      <c r="AC1225">
        <v>0</v>
      </c>
      <c r="AD1225">
        <v>10</v>
      </c>
      <c r="AE1225">
        <v>0</v>
      </c>
      <c r="AF1225">
        <v>3</v>
      </c>
      <c r="AG1225">
        <v>2</v>
      </c>
      <c r="AH1225">
        <v>0</v>
      </c>
      <c r="AI1225" t="s">
        <v>2551</v>
      </c>
      <c r="AJ1225">
        <v>39.524624000000003</v>
      </c>
      <c r="AK1225" t="s">
        <v>2552</v>
      </c>
      <c r="AL1225">
        <v>-76.652212000000006</v>
      </c>
      <c r="AM1225">
        <v>100</v>
      </c>
      <c r="AN1225">
        <v>8700</v>
      </c>
      <c r="AO1225" t="s">
        <v>115</v>
      </c>
      <c r="AP1225">
        <v>168</v>
      </c>
      <c r="AQ1225">
        <v>85</v>
      </c>
      <c r="AR1225">
        <v>64</v>
      </c>
      <c r="AZ1225">
        <v>3614</v>
      </c>
      <c r="BA1225">
        <v>1</v>
      </c>
      <c r="BB1225" t="str">
        <f t="shared" si="56"/>
        <v xml:space="preserve">N959MJ  </v>
      </c>
      <c r="BC1225">
        <v>1</v>
      </c>
      <c r="BE1225">
        <v>0</v>
      </c>
      <c r="BF1225">
        <v>0</v>
      </c>
      <c r="BG1225">
        <v>0</v>
      </c>
      <c r="BH1225">
        <v>9025</v>
      </c>
      <c r="BI1225">
        <v>325</v>
      </c>
      <c r="BJ1225">
        <v>1</v>
      </c>
      <c r="BK1225">
        <v>1</v>
      </c>
      <c r="BL1225">
        <v>1</v>
      </c>
      <c r="BM1225">
        <v>0</v>
      </c>
      <c r="BP1225">
        <v>0</v>
      </c>
      <c r="BQ1225">
        <v>0</v>
      </c>
      <c r="BX1225" t="str">
        <f>"14:10:47.055"</f>
        <v>14:10:47.055</v>
      </c>
      <c r="BY1225" t="str">
        <f>"055664453"</f>
        <v>055664453</v>
      </c>
      <c r="CL1225">
        <v>0</v>
      </c>
      <c r="CM1225">
        <v>2</v>
      </c>
      <c r="CN1225">
        <v>0</v>
      </c>
      <c r="CO1225">
        <v>2</v>
      </c>
      <c r="CP1225">
        <v>0</v>
      </c>
      <c r="CQ1225">
        <v>6</v>
      </c>
      <c r="CR1225" t="s">
        <v>116</v>
      </c>
      <c r="CS1225">
        <v>372</v>
      </c>
      <c r="CT1225">
        <v>3</v>
      </c>
      <c r="CU1225" t="s">
        <v>877</v>
      </c>
      <c r="CV1225" t="s">
        <v>878</v>
      </c>
      <c r="CY1225">
        <v>11539934</v>
      </c>
      <c r="CZ1225" t="s">
        <v>119</v>
      </c>
    </row>
    <row r="1226" spans="1:104" x14ac:dyDescent="0.25">
      <c r="A1226" t="str">
        <f>"14:10:48.219"</f>
        <v>14:10:48.219</v>
      </c>
      <c r="B1226" t="s">
        <v>108</v>
      </c>
      <c r="C1226" t="str">
        <f t="shared" ref="C1226:C1289" si="58">"ffdfd3c0"</f>
        <v>ffdfd3c0</v>
      </c>
      <c r="D1226" t="s">
        <v>109</v>
      </c>
      <c r="E1226">
        <v>4</v>
      </c>
      <c r="F1226">
        <v>1004</v>
      </c>
      <c r="G1226" t="s">
        <v>110</v>
      </c>
      <c r="J1226" t="s">
        <v>111</v>
      </c>
      <c r="K1226">
        <v>0</v>
      </c>
      <c r="L1226">
        <v>3</v>
      </c>
      <c r="M1226">
        <v>0</v>
      </c>
      <c r="N1226">
        <v>2</v>
      </c>
      <c r="O1226">
        <v>1</v>
      </c>
      <c r="P1226">
        <v>0</v>
      </c>
      <c r="Q1226">
        <v>0</v>
      </c>
      <c r="R1226" t="s">
        <v>112</v>
      </c>
      <c r="S1226" t="str">
        <f>"14:10:48.031"</f>
        <v>14:10:48.031</v>
      </c>
      <c r="T1226" t="str">
        <f>"14:10:47.633"</f>
        <v>14:10:47.633</v>
      </c>
      <c r="U1226" t="str">
        <f t="shared" si="57"/>
        <v>ad5732</v>
      </c>
      <c r="V1226">
        <v>0</v>
      </c>
      <c r="W1226">
        <v>0</v>
      </c>
      <c r="X1226">
        <v>1</v>
      </c>
      <c r="Z1226">
        <v>0</v>
      </c>
      <c r="AA1226">
        <v>9</v>
      </c>
      <c r="AB1226">
        <v>3</v>
      </c>
      <c r="AC1226">
        <v>0</v>
      </c>
      <c r="AD1226">
        <v>10</v>
      </c>
      <c r="AE1226">
        <v>0</v>
      </c>
      <c r="AF1226">
        <v>3</v>
      </c>
      <c r="AG1226">
        <v>2</v>
      </c>
      <c r="AH1226">
        <v>0</v>
      </c>
      <c r="AI1226" t="s">
        <v>2553</v>
      </c>
      <c r="AJ1226">
        <v>39.525032000000003</v>
      </c>
      <c r="AK1226" t="s">
        <v>2554</v>
      </c>
      <c r="AL1226">
        <v>-76.651182000000006</v>
      </c>
      <c r="AM1226">
        <v>100</v>
      </c>
      <c r="AN1226">
        <v>8700</v>
      </c>
      <c r="AO1226" t="s">
        <v>115</v>
      </c>
      <c r="AP1226">
        <v>168</v>
      </c>
      <c r="AQ1226">
        <v>86</v>
      </c>
      <c r="AR1226">
        <v>64</v>
      </c>
      <c r="AZ1226">
        <v>3614</v>
      </c>
      <c r="BA1226">
        <v>1</v>
      </c>
      <c r="BB1226" t="str">
        <f t="shared" ref="BB1226:BB1289" si="59">"N959MJ  "</f>
        <v xml:space="preserve">N959MJ  </v>
      </c>
      <c r="BC1226">
        <v>1</v>
      </c>
      <c r="BE1226">
        <v>0</v>
      </c>
      <c r="BF1226">
        <v>0</v>
      </c>
      <c r="BG1226">
        <v>0</v>
      </c>
      <c r="BH1226">
        <v>9025</v>
      </c>
      <c r="BI1226">
        <v>325</v>
      </c>
      <c r="BJ1226">
        <v>1</v>
      </c>
      <c r="BK1226">
        <v>1</v>
      </c>
      <c r="BL1226">
        <v>1</v>
      </c>
      <c r="BM1226">
        <v>0</v>
      </c>
      <c r="BP1226">
        <v>0</v>
      </c>
      <c r="BQ1226">
        <v>0</v>
      </c>
      <c r="BX1226" t="str">
        <f>"14:10:48.031"</f>
        <v>14:10:48.031</v>
      </c>
      <c r="BY1226" t="str">
        <f>"033736909"</f>
        <v>033736909</v>
      </c>
      <c r="CL1226">
        <v>0</v>
      </c>
      <c r="CM1226">
        <v>2</v>
      </c>
      <c r="CN1226">
        <v>0</v>
      </c>
      <c r="CO1226">
        <v>2</v>
      </c>
      <c r="CP1226">
        <v>0</v>
      </c>
      <c r="CQ1226">
        <v>6</v>
      </c>
      <c r="CR1226" t="s">
        <v>116</v>
      </c>
      <c r="CS1226">
        <v>396</v>
      </c>
      <c r="CT1226">
        <v>2</v>
      </c>
      <c r="CU1226" t="s">
        <v>939</v>
      </c>
      <c r="CV1226" t="s">
        <v>940</v>
      </c>
      <c r="CY1226">
        <v>4900103</v>
      </c>
      <c r="CZ1226" t="s">
        <v>119</v>
      </c>
    </row>
    <row r="1227" spans="1:104" x14ac:dyDescent="0.25">
      <c r="A1227" t="str">
        <f>"14:10:49.328"</f>
        <v>14:10:49.328</v>
      </c>
      <c r="B1227" t="s">
        <v>108</v>
      </c>
      <c r="C1227" t="str">
        <f t="shared" si="58"/>
        <v>ffdfd3c0</v>
      </c>
      <c r="D1227" t="s">
        <v>109</v>
      </c>
      <c r="E1227">
        <v>4</v>
      </c>
      <c r="F1227">
        <v>1004</v>
      </c>
      <c r="G1227" t="s">
        <v>110</v>
      </c>
      <c r="J1227" t="s">
        <v>111</v>
      </c>
      <c r="K1227">
        <v>0</v>
      </c>
      <c r="L1227">
        <v>3</v>
      </c>
      <c r="M1227">
        <v>0</v>
      </c>
      <c r="N1227">
        <v>2</v>
      </c>
      <c r="O1227">
        <v>1</v>
      </c>
      <c r="P1227">
        <v>0</v>
      </c>
      <c r="Q1227">
        <v>0</v>
      </c>
      <c r="R1227" t="s">
        <v>112</v>
      </c>
      <c r="S1227" t="str">
        <f>"14:10:49.141"</f>
        <v>14:10:49.141</v>
      </c>
      <c r="T1227" t="str">
        <f>"14:10:48.641"</f>
        <v>14:10:48.641</v>
      </c>
      <c r="U1227" t="str">
        <f t="shared" si="57"/>
        <v>ad5732</v>
      </c>
      <c r="V1227">
        <v>0</v>
      </c>
      <c r="W1227">
        <v>0</v>
      </c>
      <c r="X1227">
        <v>1</v>
      </c>
      <c r="Z1227">
        <v>0</v>
      </c>
      <c r="AA1227">
        <v>9</v>
      </c>
      <c r="AB1227">
        <v>3</v>
      </c>
      <c r="AC1227">
        <v>0</v>
      </c>
      <c r="AD1227">
        <v>10</v>
      </c>
      <c r="AE1227">
        <v>0</v>
      </c>
      <c r="AF1227">
        <v>3</v>
      </c>
      <c r="AG1227">
        <v>2</v>
      </c>
      <c r="AH1227">
        <v>0</v>
      </c>
      <c r="AI1227" t="s">
        <v>2555</v>
      </c>
      <c r="AJ1227">
        <v>39.525461</v>
      </c>
      <c r="AK1227" t="s">
        <v>2556</v>
      </c>
      <c r="AL1227">
        <v>-76.650109</v>
      </c>
      <c r="AM1227">
        <v>100</v>
      </c>
      <c r="AN1227">
        <v>8700</v>
      </c>
      <c r="AO1227" t="s">
        <v>115</v>
      </c>
      <c r="AP1227">
        <v>168</v>
      </c>
      <c r="AQ1227">
        <v>86</v>
      </c>
      <c r="AR1227">
        <v>0</v>
      </c>
      <c r="AZ1227">
        <v>3614</v>
      </c>
      <c r="BA1227">
        <v>1</v>
      </c>
      <c r="BB1227" t="str">
        <f t="shared" si="59"/>
        <v xml:space="preserve">N959MJ  </v>
      </c>
      <c r="BC1227">
        <v>1</v>
      </c>
      <c r="BE1227">
        <v>0</v>
      </c>
      <c r="BF1227">
        <v>0</v>
      </c>
      <c r="BG1227">
        <v>0</v>
      </c>
      <c r="BH1227">
        <v>9025</v>
      </c>
      <c r="BI1227">
        <v>325</v>
      </c>
      <c r="BJ1227">
        <v>1</v>
      </c>
      <c r="BK1227">
        <v>1</v>
      </c>
      <c r="BL1227">
        <v>1</v>
      </c>
      <c r="BM1227">
        <v>0</v>
      </c>
      <c r="BP1227">
        <v>0</v>
      </c>
      <c r="BQ1227">
        <v>0</v>
      </c>
      <c r="BX1227" t="str">
        <f>"14:10:49.141"</f>
        <v>14:10:49.141</v>
      </c>
      <c r="BY1227" t="str">
        <f>"141313469"</f>
        <v>141313469</v>
      </c>
      <c r="CL1227">
        <v>0</v>
      </c>
      <c r="CM1227">
        <v>2</v>
      </c>
      <c r="CN1227">
        <v>0</v>
      </c>
      <c r="CO1227">
        <v>2</v>
      </c>
      <c r="CP1227">
        <v>0</v>
      </c>
      <c r="CQ1227">
        <v>6</v>
      </c>
      <c r="CR1227" t="s">
        <v>116</v>
      </c>
      <c r="CS1227">
        <v>396</v>
      </c>
      <c r="CT1227">
        <v>2</v>
      </c>
      <c r="CU1227" t="s">
        <v>939</v>
      </c>
      <c r="CV1227" t="s">
        <v>940</v>
      </c>
      <c r="CY1227">
        <v>4902136</v>
      </c>
      <c r="CZ1227" t="s">
        <v>119</v>
      </c>
    </row>
    <row r="1228" spans="1:104" x14ac:dyDescent="0.25">
      <c r="A1228" t="str">
        <f>"14:10:50.188"</f>
        <v>14:10:50.188</v>
      </c>
      <c r="B1228" t="s">
        <v>108</v>
      </c>
      <c r="C1228" t="str">
        <f t="shared" si="58"/>
        <v>ffdfd3c0</v>
      </c>
      <c r="D1228" t="s">
        <v>109</v>
      </c>
      <c r="E1228">
        <v>4</v>
      </c>
      <c r="F1228">
        <v>1004</v>
      </c>
      <c r="G1228" t="s">
        <v>110</v>
      </c>
      <c r="J1228" t="s">
        <v>111</v>
      </c>
      <c r="K1228">
        <v>0</v>
      </c>
      <c r="L1228">
        <v>3</v>
      </c>
      <c r="M1228">
        <v>0</v>
      </c>
      <c r="N1228">
        <v>2</v>
      </c>
      <c r="O1228">
        <v>1</v>
      </c>
      <c r="P1228">
        <v>0</v>
      </c>
      <c r="Q1228">
        <v>0</v>
      </c>
      <c r="R1228" t="s">
        <v>112</v>
      </c>
      <c r="S1228" t="str">
        <f>"14:10:50.039"</f>
        <v>14:10:50.039</v>
      </c>
      <c r="T1228" t="str">
        <f>"14:10:49.641"</f>
        <v>14:10:49.641</v>
      </c>
      <c r="U1228" t="str">
        <f t="shared" si="57"/>
        <v>ad5732</v>
      </c>
      <c r="V1228">
        <v>0</v>
      </c>
      <c r="W1228">
        <v>0</v>
      </c>
      <c r="X1228">
        <v>1</v>
      </c>
      <c r="Z1228">
        <v>0</v>
      </c>
      <c r="AA1228">
        <v>9</v>
      </c>
      <c r="AB1228">
        <v>3</v>
      </c>
      <c r="AC1228">
        <v>0</v>
      </c>
      <c r="AD1228">
        <v>10</v>
      </c>
      <c r="AE1228">
        <v>0</v>
      </c>
      <c r="AF1228">
        <v>3</v>
      </c>
      <c r="AG1228">
        <v>2</v>
      </c>
      <c r="AH1228">
        <v>0</v>
      </c>
      <c r="AI1228" t="s">
        <v>2557</v>
      </c>
      <c r="AJ1228">
        <v>39.525826000000002</v>
      </c>
      <c r="AK1228" t="s">
        <v>2558</v>
      </c>
      <c r="AL1228">
        <v>-76.649164999999996</v>
      </c>
      <c r="AM1228">
        <v>100</v>
      </c>
      <c r="AN1228">
        <v>8700</v>
      </c>
      <c r="AO1228" t="s">
        <v>115</v>
      </c>
      <c r="AP1228">
        <v>168</v>
      </c>
      <c r="AQ1228">
        <v>86</v>
      </c>
      <c r="AR1228">
        <v>0</v>
      </c>
      <c r="AZ1228">
        <v>3614</v>
      </c>
      <c r="BA1228">
        <v>1</v>
      </c>
      <c r="BB1228" t="str">
        <f t="shared" si="59"/>
        <v xml:space="preserve">N959MJ  </v>
      </c>
      <c r="BC1228">
        <v>1</v>
      </c>
      <c r="BE1228">
        <v>0</v>
      </c>
      <c r="BF1228">
        <v>0</v>
      </c>
      <c r="BG1228">
        <v>0</v>
      </c>
      <c r="BH1228">
        <v>9025</v>
      </c>
      <c r="BI1228">
        <v>325</v>
      </c>
      <c r="BJ1228">
        <v>1</v>
      </c>
      <c r="BK1228">
        <v>1</v>
      </c>
      <c r="BL1228">
        <v>1</v>
      </c>
      <c r="BM1228">
        <v>0</v>
      </c>
      <c r="BP1228">
        <v>0</v>
      </c>
      <c r="BQ1228">
        <v>0</v>
      </c>
      <c r="BX1228" t="str">
        <f>"14:10:50.039"</f>
        <v>14:10:50.039</v>
      </c>
      <c r="BY1228" t="str">
        <f>"042448269"</f>
        <v>042448269</v>
      </c>
      <c r="CL1228">
        <v>0</v>
      </c>
      <c r="CM1228">
        <v>2</v>
      </c>
      <c r="CN1228">
        <v>0</v>
      </c>
      <c r="CO1228">
        <v>2</v>
      </c>
      <c r="CP1228">
        <v>0</v>
      </c>
      <c r="CQ1228">
        <v>6</v>
      </c>
      <c r="CR1228" t="s">
        <v>116</v>
      </c>
      <c r="CS1228">
        <v>396</v>
      </c>
      <c r="CT1228">
        <v>2</v>
      </c>
      <c r="CU1228" t="s">
        <v>939</v>
      </c>
      <c r="CV1228" t="s">
        <v>940</v>
      </c>
      <c r="CY1228">
        <v>4903686</v>
      </c>
      <c r="CZ1228" t="s">
        <v>119</v>
      </c>
    </row>
    <row r="1229" spans="1:104" x14ac:dyDescent="0.25">
      <c r="A1229" t="str">
        <f>"14:10:51.195"</f>
        <v>14:10:51.195</v>
      </c>
      <c r="B1229" t="s">
        <v>108</v>
      </c>
      <c r="C1229" t="str">
        <f t="shared" si="58"/>
        <v>ffdfd3c0</v>
      </c>
      <c r="D1229" t="s">
        <v>109</v>
      </c>
      <c r="E1229">
        <v>4</v>
      </c>
      <c r="F1229">
        <v>1004</v>
      </c>
      <c r="G1229" t="s">
        <v>110</v>
      </c>
      <c r="J1229" t="s">
        <v>111</v>
      </c>
      <c r="K1229">
        <v>0</v>
      </c>
      <c r="L1229">
        <v>3</v>
      </c>
      <c r="M1229">
        <v>0</v>
      </c>
      <c r="N1229">
        <v>2</v>
      </c>
      <c r="O1229">
        <v>1</v>
      </c>
      <c r="P1229">
        <v>0</v>
      </c>
      <c r="Q1229">
        <v>0</v>
      </c>
      <c r="R1229" t="s">
        <v>112</v>
      </c>
      <c r="S1229" t="str">
        <f>"14:10:51.039"</f>
        <v>14:10:51.039</v>
      </c>
      <c r="T1229" t="str">
        <f>"14:10:50.641"</f>
        <v>14:10:50.641</v>
      </c>
      <c r="U1229" t="str">
        <f t="shared" si="57"/>
        <v>ad5732</v>
      </c>
      <c r="V1229">
        <v>0</v>
      </c>
      <c r="W1229">
        <v>0</v>
      </c>
      <c r="X1229">
        <v>1</v>
      </c>
      <c r="Z1229">
        <v>0</v>
      </c>
      <c r="AA1229">
        <v>9</v>
      </c>
      <c r="AB1229">
        <v>3</v>
      </c>
      <c r="AC1229">
        <v>0</v>
      </c>
      <c r="AD1229">
        <v>10</v>
      </c>
      <c r="AE1229">
        <v>0</v>
      </c>
      <c r="AF1229">
        <v>3</v>
      </c>
      <c r="AG1229">
        <v>2</v>
      </c>
      <c r="AH1229">
        <v>0</v>
      </c>
      <c r="AI1229" t="s">
        <v>2559</v>
      </c>
      <c r="AJ1229">
        <v>39.526212000000001</v>
      </c>
      <c r="AK1229" t="s">
        <v>2560</v>
      </c>
      <c r="AL1229">
        <v>-76.648200000000003</v>
      </c>
      <c r="AM1229">
        <v>100</v>
      </c>
      <c r="AN1229">
        <v>8700</v>
      </c>
      <c r="AO1229" t="s">
        <v>115</v>
      </c>
      <c r="AP1229">
        <v>168</v>
      </c>
      <c r="AQ1229">
        <v>86</v>
      </c>
      <c r="AR1229">
        <v>0</v>
      </c>
      <c r="AZ1229">
        <v>3614</v>
      </c>
      <c r="BA1229">
        <v>1</v>
      </c>
      <c r="BB1229" t="str">
        <f t="shared" si="59"/>
        <v xml:space="preserve">N959MJ  </v>
      </c>
      <c r="BC1229">
        <v>1</v>
      </c>
      <c r="BE1229">
        <v>0</v>
      </c>
      <c r="BF1229">
        <v>0</v>
      </c>
      <c r="BG1229">
        <v>0</v>
      </c>
      <c r="BH1229">
        <v>9025</v>
      </c>
      <c r="BI1229">
        <v>325</v>
      </c>
      <c r="BJ1229">
        <v>1</v>
      </c>
      <c r="BK1229">
        <v>1</v>
      </c>
      <c r="BL1229">
        <v>1</v>
      </c>
      <c r="BM1229">
        <v>0</v>
      </c>
      <c r="BP1229">
        <v>0</v>
      </c>
      <c r="BQ1229">
        <v>0</v>
      </c>
      <c r="BX1229" t="str">
        <f>"14:10:51.039"</f>
        <v>14:10:51.039</v>
      </c>
      <c r="BY1229" t="str">
        <f>"041957783"</f>
        <v>041957783</v>
      </c>
      <c r="CL1229">
        <v>0</v>
      </c>
      <c r="CM1229">
        <v>2</v>
      </c>
      <c r="CN1229">
        <v>0</v>
      </c>
      <c r="CO1229">
        <v>2</v>
      </c>
      <c r="CP1229">
        <v>0</v>
      </c>
      <c r="CQ1229">
        <v>6</v>
      </c>
      <c r="CR1229" t="s">
        <v>116</v>
      </c>
      <c r="CS1229">
        <v>372</v>
      </c>
      <c r="CT1229">
        <v>3</v>
      </c>
      <c r="CU1229" t="s">
        <v>877</v>
      </c>
      <c r="CV1229" t="s">
        <v>878</v>
      </c>
      <c r="CY1229">
        <v>11547060</v>
      </c>
      <c r="CZ1229" t="s">
        <v>119</v>
      </c>
    </row>
    <row r="1230" spans="1:104" x14ac:dyDescent="0.25">
      <c r="A1230" t="str">
        <f>"14:10:52.258"</f>
        <v>14:10:52.258</v>
      </c>
      <c r="B1230" t="s">
        <v>108</v>
      </c>
      <c r="C1230" t="str">
        <f t="shared" si="58"/>
        <v>ffdfd3c0</v>
      </c>
      <c r="D1230" t="s">
        <v>109</v>
      </c>
      <c r="E1230">
        <v>4</v>
      </c>
      <c r="F1230">
        <v>1004</v>
      </c>
      <c r="G1230" t="s">
        <v>110</v>
      </c>
      <c r="J1230" t="s">
        <v>111</v>
      </c>
      <c r="K1230">
        <v>0</v>
      </c>
      <c r="L1230">
        <v>3</v>
      </c>
      <c r="M1230">
        <v>0</v>
      </c>
      <c r="N1230">
        <v>2</v>
      </c>
      <c r="O1230">
        <v>1</v>
      </c>
      <c r="P1230">
        <v>0</v>
      </c>
      <c r="Q1230">
        <v>0</v>
      </c>
      <c r="R1230" t="s">
        <v>112</v>
      </c>
      <c r="S1230" t="str">
        <f>"14:10:52.055"</f>
        <v>14:10:52.055</v>
      </c>
      <c r="T1230" t="str">
        <f>"14:10:51.555"</f>
        <v>14:10:51.555</v>
      </c>
      <c r="U1230" t="str">
        <f t="shared" si="57"/>
        <v>ad5732</v>
      </c>
      <c r="V1230">
        <v>0</v>
      </c>
      <c r="W1230">
        <v>0</v>
      </c>
      <c r="X1230">
        <v>1</v>
      </c>
      <c r="Z1230">
        <v>0</v>
      </c>
      <c r="AA1230">
        <v>9</v>
      </c>
      <c r="AB1230">
        <v>3</v>
      </c>
      <c r="AC1230">
        <v>0</v>
      </c>
      <c r="AD1230">
        <v>10</v>
      </c>
      <c r="AE1230">
        <v>0</v>
      </c>
      <c r="AF1230">
        <v>3</v>
      </c>
      <c r="AG1230">
        <v>2</v>
      </c>
      <c r="AH1230">
        <v>0</v>
      </c>
      <c r="AI1230" t="s">
        <v>2561</v>
      </c>
      <c r="AJ1230">
        <v>39.526620000000001</v>
      </c>
      <c r="AK1230" t="s">
        <v>2562</v>
      </c>
      <c r="AL1230">
        <v>-76.647148000000001</v>
      </c>
      <c r="AM1230">
        <v>100</v>
      </c>
      <c r="AN1230">
        <v>8700</v>
      </c>
      <c r="AO1230" t="s">
        <v>115</v>
      </c>
      <c r="AP1230">
        <v>168</v>
      </c>
      <c r="AQ1230">
        <v>87</v>
      </c>
      <c r="AR1230">
        <v>0</v>
      </c>
      <c r="AZ1230">
        <v>3614</v>
      </c>
      <c r="BA1230">
        <v>1</v>
      </c>
      <c r="BB1230" t="str">
        <f t="shared" si="59"/>
        <v xml:space="preserve">N959MJ  </v>
      </c>
      <c r="BC1230">
        <v>1</v>
      </c>
      <c r="BE1230">
        <v>0</v>
      </c>
      <c r="BF1230">
        <v>0</v>
      </c>
      <c r="BG1230">
        <v>0</v>
      </c>
      <c r="BH1230">
        <v>9025</v>
      </c>
      <c r="BI1230">
        <v>325</v>
      </c>
      <c r="BJ1230">
        <v>1</v>
      </c>
      <c r="BK1230">
        <v>1</v>
      </c>
      <c r="BL1230">
        <v>1</v>
      </c>
      <c r="BM1230">
        <v>0</v>
      </c>
      <c r="BP1230">
        <v>0</v>
      </c>
      <c r="BQ1230">
        <v>0</v>
      </c>
      <c r="BX1230" t="str">
        <f>"14:10:52.063"</f>
        <v>14:10:52.063</v>
      </c>
      <c r="BY1230" t="str">
        <f>"059408152"</f>
        <v>059408152</v>
      </c>
      <c r="CL1230">
        <v>0</v>
      </c>
      <c r="CM1230">
        <v>2</v>
      </c>
      <c r="CN1230">
        <v>0</v>
      </c>
      <c r="CO1230">
        <v>2</v>
      </c>
      <c r="CP1230">
        <v>0</v>
      </c>
      <c r="CQ1230">
        <v>6</v>
      </c>
      <c r="CR1230" t="s">
        <v>116</v>
      </c>
      <c r="CS1230">
        <v>525</v>
      </c>
      <c r="CT1230">
        <v>1</v>
      </c>
      <c r="CU1230" t="s">
        <v>140</v>
      </c>
      <c r="CV1230" t="s">
        <v>141</v>
      </c>
      <c r="CY1230">
        <v>8951174</v>
      </c>
      <c r="CZ1230" t="s">
        <v>119</v>
      </c>
    </row>
    <row r="1231" spans="1:104" x14ac:dyDescent="0.25">
      <c r="A1231" t="str">
        <f>"14:10:53.313"</f>
        <v>14:10:53.313</v>
      </c>
      <c r="B1231" t="s">
        <v>108</v>
      </c>
      <c r="C1231" t="str">
        <f t="shared" si="58"/>
        <v>ffdfd3c0</v>
      </c>
      <c r="D1231" t="s">
        <v>109</v>
      </c>
      <c r="E1231">
        <v>4</v>
      </c>
      <c r="F1231">
        <v>1004</v>
      </c>
      <c r="G1231" t="s">
        <v>110</v>
      </c>
      <c r="J1231" t="s">
        <v>111</v>
      </c>
      <c r="K1231">
        <v>0</v>
      </c>
      <c r="L1231">
        <v>3</v>
      </c>
      <c r="M1231">
        <v>0</v>
      </c>
      <c r="N1231">
        <v>2</v>
      </c>
      <c r="O1231">
        <v>1</v>
      </c>
      <c r="P1231">
        <v>0</v>
      </c>
      <c r="Q1231">
        <v>0</v>
      </c>
      <c r="R1231" t="s">
        <v>112</v>
      </c>
      <c r="S1231" t="str">
        <f>"14:10:53.141"</f>
        <v>14:10:53.141</v>
      </c>
      <c r="T1231" t="str">
        <f>"14:10:52.742"</f>
        <v>14:10:52.742</v>
      </c>
      <c r="U1231" t="str">
        <f t="shared" si="57"/>
        <v>ad5732</v>
      </c>
      <c r="V1231">
        <v>0</v>
      </c>
      <c r="W1231">
        <v>0</v>
      </c>
      <c r="X1231">
        <v>1</v>
      </c>
      <c r="Z1231">
        <v>0</v>
      </c>
      <c r="AA1231">
        <v>9</v>
      </c>
      <c r="AB1231">
        <v>3</v>
      </c>
      <c r="AC1231">
        <v>0</v>
      </c>
      <c r="AD1231">
        <v>10</v>
      </c>
      <c r="AE1231">
        <v>0</v>
      </c>
      <c r="AF1231">
        <v>3</v>
      </c>
      <c r="AG1231">
        <v>2</v>
      </c>
      <c r="AH1231">
        <v>0</v>
      </c>
      <c r="AI1231" t="s">
        <v>2563</v>
      </c>
      <c r="AJ1231">
        <v>39.527070999999999</v>
      </c>
      <c r="AK1231" t="s">
        <v>2564</v>
      </c>
      <c r="AL1231">
        <v>-76.646054000000007</v>
      </c>
      <c r="AM1231">
        <v>100</v>
      </c>
      <c r="AN1231">
        <v>8700</v>
      </c>
      <c r="AO1231" t="s">
        <v>115</v>
      </c>
      <c r="AP1231">
        <v>168</v>
      </c>
      <c r="AQ1231">
        <v>87</v>
      </c>
      <c r="AR1231">
        <v>-64</v>
      </c>
      <c r="AZ1231">
        <v>3614</v>
      </c>
      <c r="BA1231">
        <v>1</v>
      </c>
      <c r="BB1231" t="str">
        <f t="shared" si="59"/>
        <v xml:space="preserve">N959MJ  </v>
      </c>
      <c r="BC1231">
        <v>1</v>
      </c>
      <c r="BE1231">
        <v>0</v>
      </c>
      <c r="BF1231">
        <v>0</v>
      </c>
      <c r="BG1231">
        <v>0</v>
      </c>
      <c r="BH1231">
        <v>9025</v>
      </c>
      <c r="BI1231">
        <v>325</v>
      </c>
      <c r="BJ1231">
        <v>1</v>
      </c>
      <c r="BK1231">
        <v>1</v>
      </c>
      <c r="BL1231">
        <v>1</v>
      </c>
      <c r="BM1231">
        <v>0</v>
      </c>
      <c r="BP1231">
        <v>0</v>
      </c>
      <c r="BQ1231">
        <v>0</v>
      </c>
      <c r="BX1231" t="str">
        <f>"14:10:53.141"</f>
        <v>14:10:53.141</v>
      </c>
      <c r="BY1231" t="str">
        <f>"142408812"</f>
        <v>142408812</v>
      </c>
      <c r="CL1231">
        <v>0</v>
      </c>
      <c r="CM1231">
        <v>2</v>
      </c>
      <c r="CN1231">
        <v>0</v>
      </c>
      <c r="CO1231">
        <v>2</v>
      </c>
      <c r="CP1231">
        <v>0</v>
      </c>
      <c r="CQ1231">
        <v>6</v>
      </c>
      <c r="CR1231" t="s">
        <v>116</v>
      </c>
      <c r="CS1231">
        <v>525</v>
      </c>
      <c r="CT1231">
        <v>1</v>
      </c>
      <c r="CU1231" t="s">
        <v>140</v>
      </c>
      <c r="CV1231" t="s">
        <v>141</v>
      </c>
      <c r="CY1231">
        <v>8952809</v>
      </c>
      <c r="CZ1231" t="s">
        <v>119</v>
      </c>
    </row>
    <row r="1232" spans="1:104" x14ac:dyDescent="0.25">
      <c r="A1232" t="str">
        <f>"14:10:54.125"</f>
        <v>14:10:54.125</v>
      </c>
      <c r="B1232" t="s">
        <v>108</v>
      </c>
      <c r="C1232" t="str">
        <f t="shared" si="58"/>
        <v>ffdfd3c0</v>
      </c>
      <c r="D1232" t="s">
        <v>109</v>
      </c>
      <c r="E1232">
        <v>4</v>
      </c>
      <c r="F1232">
        <v>1004</v>
      </c>
      <c r="G1232" t="s">
        <v>110</v>
      </c>
      <c r="J1232" t="s">
        <v>111</v>
      </c>
      <c r="K1232">
        <v>0</v>
      </c>
      <c r="L1232">
        <v>3</v>
      </c>
      <c r="M1232">
        <v>0</v>
      </c>
      <c r="N1232">
        <v>2</v>
      </c>
      <c r="O1232">
        <v>1</v>
      </c>
      <c r="P1232">
        <v>0</v>
      </c>
      <c r="Q1232">
        <v>0</v>
      </c>
      <c r="R1232" t="s">
        <v>112</v>
      </c>
      <c r="S1232" t="str">
        <f>"14:10:53.977"</f>
        <v>14:10:53.977</v>
      </c>
      <c r="T1232" t="str">
        <f>"14:10:53.578"</f>
        <v>14:10:53.578</v>
      </c>
      <c r="U1232" t="str">
        <f t="shared" si="57"/>
        <v>ad5732</v>
      </c>
      <c r="V1232">
        <v>0</v>
      </c>
      <c r="W1232">
        <v>0</v>
      </c>
      <c r="X1232">
        <v>1</v>
      </c>
      <c r="Z1232">
        <v>0</v>
      </c>
      <c r="AA1232">
        <v>9</v>
      </c>
      <c r="AB1232">
        <v>3</v>
      </c>
      <c r="AC1232">
        <v>0</v>
      </c>
      <c r="AD1232">
        <v>10</v>
      </c>
      <c r="AE1232">
        <v>0</v>
      </c>
      <c r="AF1232">
        <v>3</v>
      </c>
      <c r="AG1232">
        <v>2</v>
      </c>
      <c r="AH1232">
        <v>0</v>
      </c>
      <c r="AI1232" t="s">
        <v>2565</v>
      </c>
      <c r="AJ1232">
        <v>39.527391999999999</v>
      </c>
      <c r="AK1232" t="s">
        <v>2566</v>
      </c>
      <c r="AL1232">
        <v>-76.645280999999997</v>
      </c>
      <c r="AM1232">
        <v>100</v>
      </c>
      <c r="AN1232">
        <v>8700</v>
      </c>
      <c r="AO1232" t="s">
        <v>115</v>
      </c>
      <c r="AP1232">
        <v>168</v>
      </c>
      <c r="AQ1232">
        <v>87</v>
      </c>
      <c r="AR1232">
        <v>-64</v>
      </c>
      <c r="AZ1232">
        <v>3614</v>
      </c>
      <c r="BA1232">
        <v>1</v>
      </c>
      <c r="BB1232" t="str">
        <f t="shared" si="59"/>
        <v xml:space="preserve">N959MJ  </v>
      </c>
      <c r="BC1232">
        <v>1</v>
      </c>
      <c r="BE1232">
        <v>0</v>
      </c>
      <c r="BF1232">
        <v>0</v>
      </c>
      <c r="BG1232">
        <v>0</v>
      </c>
      <c r="BH1232">
        <v>9025</v>
      </c>
      <c r="BI1232">
        <v>325</v>
      </c>
      <c r="BJ1232">
        <v>1</v>
      </c>
      <c r="BK1232">
        <v>1</v>
      </c>
      <c r="BL1232">
        <v>1</v>
      </c>
      <c r="BM1232">
        <v>0</v>
      </c>
      <c r="BP1232">
        <v>0</v>
      </c>
      <c r="BQ1232">
        <v>0</v>
      </c>
      <c r="BX1232" t="str">
        <f>"14:10:53.977"</f>
        <v>14:10:53.977</v>
      </c>
      <c r="BY1232" t="str">
        <f>"978019325"</f>
        <v>978019325</v>
      </c>
      <c r="CL1232">
        <v>0</v>
      </c>
      <c r="CM1232">
        <v>2</v>
      </c>
      <c r="CN1232">
        <v>0</v>
      </c>
      <c r="CO1232">
        <v>2</v>
      </c>
      <c r="CP1232">
        <v>0</v>
      </c>
      <c r="CQ1232">
        <v>6</v>
      </c>
      <c r="CR1232" t="s">
        <v>116</v>
      </c>
      <c r="CS1232">
        <v>372</v>
      </c>
      <c r="CT1232">
        <v>3</v>
      </c>
      <c r="CU1232" t="s">
        <v>877</v>
      </c>
      <c r="CV1232" t="s">
        <v>878</v>
      </c>
      <c r="CY1232">
        <v>11552464</v>
      </c>
      <c r="CZ1232" t="s">
        <v>119</v>
      </c>
    </row>
    <row r="1233" spans="1:104" x14ac:dyDescent="0.25">
      <c r="A1233" t="str">
        <f>"14:10:55.031"</f>
        <v>14:10:55.031</v>
      </c>
      <c r="B1233" t="s">
        <v>108</v>
      </c>
      <c r="C1233" t="str">
        <f t="shared" si="58"/>
        <v>ffdfd3c0</v>
      </c>
      <c r="D1233" t="s">
        <v>109</v>
      </c>
      <c r="E1233">
        <v>4</v>
      </c>
      <c r="F1233">
        <v>1004</v>
      </c>
      <c r="G1233" t="s">
        <v>110</v>
      </c>
      <c r="J1233" t="s">
        <v>111</v>
      </c>
      <c r="K1233">
        <v>0</v>
      </c>
      <c r="L1233">
        <v>3</v>
      </c>
      <c r="M1233">
        <v>0</v>
      </c>
      <c r="N1233">
        <v>2</v>
      </c>
      <c r="O1233">
        <v>1</v>
      </c>
      <c r="P1233">
        <v>0</v>
      </c>
      <c r="Q1233">
        <v>0</v>
      </c>
      <c r="R1233" t="s">
        <v>112</v>
      </c>
      <c r="S1233" t="str">
        <f>"14:10:54.875"</f>
        <v>14:10:54.875</v>
      </c>
      <c r="T1233" t="str">
        <f>"14:10:54.477"</f>
        <v>14:10:54.477</v>
      </c>
      <c r="U1233" t="str">
        <f t="shared" si="57"/>
        <v>ad5732</v>
      </c>
      <c r="V1233">
        <v>0</v>
      </c>
      <c r="W1233">
        <v>0</v>
      </c>
      <c r="X1233">
        <v>1</v>
      </c>
      <c r="Z1233">
        <v>0</v>
      </c>
      <c r="AA1233">
        <v>9</v>
      </c>
      <c r="AB1233">
        <v>3</v>
      </c>
      <c r="AC1233">
        <v>0</v>
      </c>
      <c r="AD1233">
        <v>10</v>
      </c>
      <c r="AE1233">
        <v>0</v>
      </c>
      <c r="AF1233">
        <v>3</v>
      </c>
      <c r="AG1233">
        <v>2</v>
      </c>
      <c r="AH1233">
        <v>0</v>
      </c>
      <c r="AI1233" t="s">
        <v>2567</v>
      </c>
      <c r="AJ1233">
        <v>39.527735999999997</v>
      </c>
      <c r="AK1233" t="s">
        <v>2568</v>
      </c>
      <c r="AL1233">
        <v>-76.644358999999994</v>
      </c>
      <c r="AM1233">
        <v>100</v>
      </c>
      <c r="AN1233">
        <v>8700</v>
      </c>
      <c r="AO1233" t="s">
        <v>115</v>
      </c>
      <c r="AP1233">
        <v>168</v>
      </c>
      <c r="AQ1233">
        <v>88</v>
      </c>
      <c r="AR1233">
        <v>-64</v>
      </c>
      <c r="AZ1233">
        <v>3614</v>
      </c>
      <c r="BA1233">
        <v>1</v>
      </c>
      <c r="BB1233" t="str">
        <f t="shared" si="59"/>
        <v xml:space="preserve">N959MJ  </v>
      </c>
      <c r="BC1233">
        <v>1</v>
      </c>
      <c r="BE1233">
        <v>0</v>
      </c>
      <c r="BF1233">
        <v>0</v>
      </c>
      <c r="BG1233">
        <v>0</v>
      </c>
      <c r="BH1233">
        <v>9025</v>
      </c>
      <c r="BI1233">
        <v>325</v>
      </c>
      <c r="BJ1233">
        <v>1</v>
      </c>
      <c r="BK1233">
        <v>1</v>
      </c>
      <c r="BL1233">
        <v>1</v>
      </c>
      <c r="BM1233">
        <v>0</v>
      </c>
      <c r="BP1233">
        <v>0</v>
      </c>
      <c r="BQ1233">
        <v>0</v>
      </c>
      <c r="BX1233" t="str">
        <f>"14:10:54.875"</f>
        <v>14:10:54.875</v>
      </c>
      <c r="BY1233" t="str">
        <f>"877446206"</f>
        <v>877446206</v>
      </c>
      <c r="CL1233">
        <v>0</v>
      </c>
      <c r="CM1233">
        <v>2</v>
      </c>
      <c r="CN1233">
        <v>0</v>
      </c>
      <c r="CO1233">
        <v>2</v>
      </c>
      <c r="CP1233">
        <v>0</v>
      </c>
      <c r="CQ1233">
        <v>6</v>
      </c>
      <c r="CR1233" t="s">
        <v>116</v>
      </c>
      <c r="CS1233">
        <v>396</v>
      </c>
      <c r="CT1233">
        <v>2</v>
      </c>
      <c r="CU1233" t="s">
        <v>939</v>
      </c>
      <c r="CV1233" t="s">
        <v>940</v>
      </c>
      <c r="CY1233">
        <v>4912325</v>
      </c>
      <c r="CZ1233" t="s">
        <v>119</v>
      </c>
    </row>
    <row r="1234" spans="1:104" x14ac:dyDescent="0.25">
      <c r="A1234" t="str">
        <f>"14:10:56.094"</f>
        <v>14:10:56.094</v>
      </c>
      <c r="B1234" t="s">
        <v>108</v>
      </c>
      <c r="C1234" t="str">
        <f t="shared" si="58"/>
        <v>ffdfd3c0</v>
      </c>
      <c r="D1234" t="s">
        <v>109</v>
      </c>
      <c r="E1234">
        <v>4</v>
      </c>
      <c r="F1234">
        <v>1004</v>
      </c>
      <c r="G1234" t="s">
        <v>110</v>
      </c>
      <c r="J1234" t="s">
        <v>111</v>
      </c>
      <c r="K1234">
        <v>0</v>
      </c>
      <c r="L1234">
        <v>3</v>
      </c>
      <c r="M1234">
        <v>0</v>
      </c>
      <c r="N1234">
        <v>2</v>
      </c>
      <c r="O1234">
        <v>1</v>
      </c>
      <c r="P1234">
        <v>0</v>
      </c>
      <c r="Q1234">
        <v>0</v>
      </c>
      <c r="R1234" t="s">
        <v>112</v>
      </c>
      <c r="S1234" t="str">
        <f>"14:10:55.938"</f>
        <v>14:10:55.938</v>
      </c>
      <c r="T1234" t="str">
        <f>"14:10:55.438"</f>
        <v>14:10:55.438</v>
      </c>
      <c r="U1234" t="str">
        <f t="shared" si="57"/>
        <v>ad5732</v>
      </c>
      <c r="V1234">
        <v>0</v>
      </c>
      <c r="W1234">
        <v>0</v>
      </c>
      <c r="X1234">
        <v>1</v>
      </c>
      <c r="Z1234">
        <v>0</v>
      </c>
      <c r="AA1234">
        <v>9</v>
      </c>
      <c r="AB1234">
        <v>3</v>
      </c>
      <c r="AC1234">
        <v>0</v>
      </c>
      <c r="AD1234">
        <v>10</v>
      </c>
      <c r="AE1234">
        <v>0</v>
      </c>
      <c r="AF1234">
        <v>3</v>
      </c>
      <c r="AG1234">
        <v>2</v>
      </c>
      <c r="AH1234">
        <v>0</v>
      </c>
      <c r="AI1234" t="s">
        <v>2569</v>
      </c>
      <c r="AJ1234">
        <v>39.528207999999999</v>
      </c>
      <c r="AK1234" t="s">
        <v>2570</v>
      </c>
      <c r="AL1234">
        <v>-76.643242999999998</v>
      </c>
      <c r="AM1234">
        <v>100</v>
      </c>
      <c r="AN1234">
        <v>8700</v>
      </c>
      <c r="AO1234" t="s">
        <v>115</v>
      </c>
      <c r="AP1234">
        <v>167</v>
      </c>
      <c r="AQ1234">
        <v>88</v>
      </c>
      <c r="AR1234">
        <v>-64</v>
      </c>
      <c r="AZ1234">
        <v>3614</v>
      </c>
      <c r="BA1234">
        <v>1</v>
      </c>
      <c r="BB1234" t="str">
        <f t="shared" si="59"/>
        <v xml:space="preserve">N959MJ  </v>
      </c>
      <c r="BC1234">
        <v>1</v>
      </c>
      <c r="BE1234">
        <v>0</v>
      </c>
      <c r="BF1234">
        <v>0</v>
      </c>
      <c r="BG1234">
        <v>0</v>
      </c>
      <c r="BH1234">
        <v>9025</v>
      </c>
      <c r="BI1234">
        <v>325</v>
      </c>
      <c r="BJ1234">
        <v>1</v>
      </c>
      <c r="BK1234">
        <v>1</v>
      </c>
      <c r="BL1234">
        <v>1</v>
      </c>
      <c r="BM1234">
        <v>0</v>
      </c>
      <c r="BP1234">
        <v>0</v>
      </c>
      <c r="BQ1234">
        <v>0</v>
      </c>
      <c r="BX1234" t="str">
        <f>"14:10:55.938"</f>
        <v>14:10:55.938</v>
      </c>
      <c r="BY1234" t="str">
        <f>"937578269"</f>
        <v>937578269</v>
      </c>
      <c r="CL1234">
        <v>0</v>
      </c>
      <c r="CM1234">
        <v>2</v>
      </c>
      <c r="CN1234">
        <v>0</v>
      </c>
      <c r="CO1234">
        <v>2</v>
      </c>
      <c r="CP1234">
        <v>0</v>
      </c>
      <c r="CQ1234">
        <v>6</v>
      </c>
      <c r="CR1234" t="s">
        <v>116</v>
      </c>
      <c r="CS1234">
        <v>372</v>
      </c>
      <c r="CT1234">
        <v>3</v>
      </c>
      <c r="CU1234" t="s">
        <v>877</v>
      </c>
      <c r="CV1234" t="s">
        <v>878</v>
      </c>
      <c r="CY1234">
        <v>11555973</v>
      </c>
      <c r="CZ1234" t="s">
        <v>119</v>
      </c>
    </row>
    <row r="1235" spans="1:104" x14ac:dyDescent="0.25">
      <c r="A1235" t="str">
        <f>"14:10:57.102"</f>
        <v>14:10:57.102</v>
      </c>
      <c r="B1235" t="s">
        <v>108</v>
      </c>
      <c r="C1235" t="str">
        <f t="shared" si="58"/>
        <v>ffdfd3c0</v>
      </c>
      <c r="D1235" t="s">
        <v>109</v>
      </c>
      <c r="E1235">
        <v>4</v>
      </c>
      <c r="F1235">
        <v>1004</v>
      </c>
      <c r="G1235" t="s">
        <v>110</v>
      </c>
      <c r="J1235" t="s">
        <v>111</v>
      </c>
      <c r="K1235">
        <v>0</v>
      </c>
      <c r="L1235">
        <v>3</v>
      </c>
      <c r="M1235">
        <v>0</v>
      </c>
      <c r="N1235">
        <v>2</v>
      </c>
      <c r="O1235">
        <v>1</v>
      </c>
      <c r="P1235">
        <v>0</v>
      </c>
      <c r="Q1235">
        <v>0</v>
      </c>
      <c r="R1235" t="s">
        <v>112</v>
      </c>
      <c r="S1235" t="str">
        <f>"14:10:56.914"</f>
        <v>14:10:56.914</v>
      </c>
      <c r="T1235" t="str">
        <f>"14:10:56.516"</f>
        <v>14:10:56.516</v>
      </c>
      <c r="U1235" t="str">
        <f t="shared" si="57"/>
        <v>ad5732</v>
      </c>
      <c r="V1235">
        <v>0</v>
      </c>
      <c r="W1235">
        <v>0</v>
      </c>
      <c r="X1235">
        <v>1</v>
      </c>
      <c r="Z1235">
        <v>0</v>
      </c>
      <c r="AA1235">
        <v>9</v>
      </c>
      <c r="AB1235">
        <v>3</v>
      </c>
      <c r="AC1235">
        <v>0</v>
      </c>
      <c r="AD1235">
        <v>10</v>
      </c>
      <c r="AE1235">
        <v>0</v>
      </c>
      <c r="AF1235">
        <v>3</v>
      </c>
      <c r="AG1235">
        <v>2</v>
      </c>
      <c r="AH1235">
        <v>0</v>
      </c>
      <c r="AI1235" t="s">
        <v>2571</v>
      </c>
      <c r="AJ1235">
        <v>39.528615000000002</v>
      </c>
      <c r="AK1235" t="s">
        <v>2572</v>
      </c>
      <c r="AL1235">
        <v>-76.642298999999994</v>
      </c>
      <c r="AM1235">
        <v>100</v>
      </c>
      <c r="AN1235">
        <v>8700</v>
      </c>
      <c r="AO1235" t="s">
        <v>115</v>
      </c>
      <c r="AP1235">
        <v>167</v>
      </c>
      <c r="AQ1235">
        <v>88</v>
      </c>
      <c r="AR1235">
        <v>0</v>
      </c>
      <c r="AZ1235">
        <v>3614</v>
      </c>
      <c r="BA1235">
        <v>1</v>
      </c>
      <c r="BB1235" t="str">
        <f t="shared" si="59"/>
        <v xml:space="preserve">N959MJ  </v>
      </c>
      <c r="BC1235">
        <v>1</v>
      </c>
      <c r="BE1235">
        <v>0</v>
      </c>
      <c r="BF1235">
        <v>0</v>
      </c>
      <c r="BG1235">
        <v>0</v>
      </c>
      <c r="BH1235">
        <v>9025</v>
      </c>
      <c r="BI1235">
        <v>325</v>
      </c>
      <c r="BJ1235">
        <v>1</v>
      </c>
      <c r="BK1235">
        <v>1</v>
      </c>
      <c r="BL1235">
        <v>1</v>
      </c>
      <c r="BM1235">
        <v>0</v>
      </c>
      <c r="BP1235">
        <v>0</v>
      </c>
      <c r="BQ1235">
        <v>0</v>
      </c>
      <c r="BX1235" t="str">
        <f>"14:10:56.914"</f>
        <v>14:10:56.914</v>
      </c>
      <c r="BY1235" t="str">
        <f>"917287474"</f>
        <v>917287474</v>
      </c>
      <c r="CL1235">
        <v>0</v>
      </c>
      <c r="CM1235">
        <v>2</v>
      </c>
      <c r="CN1235">
        <v>0</v>
      </c>
      <c r="CO1235">
        <v>2</v>
      </c>
      <c r="CP1235">
        <v>0</v>
      </c>
      <c r="CQ1235">
        <v>7</v>
      </c>
      <c r="CR1235" t="s">
        <v>116</v>
      </c>
      <c r="CS1235">
        <v>396</v>
      </c>
      <c r="CT1235">
        <v>2</v>
      </c>
      <c r="CU1235" t="s">
        <v>939</v>
      </c>
      <c r="CV1235" t="s">
        <v>940</v>
      </c>
      <c r="CY1235">
        <v>4916011</v>
      </c>
      <c r="CZ1235" t="s">
        <v>119</v>
      </c>
    </row>
    <row r="1236" spans="1:104" x14ac:dyDescent="0.25">
      <c r="A1236" t="str">
        <f>"14:10:58.063"</f>
        <v>14:10:58.063</v>
      </c>
      <c r="B1236" t="s">
        <v>108</v>
      </c>
      <c r="C1236" t="str">
        <f t="shared" si="58"/>
        <v>ffdfd3c0</v>
      </c>
      <c r="D1236" t="s">
        <v>109</v>
      </c>
      <c r="E1236">
        <v>4</v>
      </c>
      <c r="F1236">
        <v>1004</v>
      </c>
      <c r="G1236" t="s">
        <v>110</v>
      </c>
      <c r="J1236" t="s">
        <v>111</v>
      </c>
      <c r="K1236">
        <v>0</v>
      </c>
      <c r="L1236">
        <v>3</v>
      </c>
      <c r="M1236">
        <v>0</v>
      </c>
      <c r="N1236">
        <v>2</v>
      </c>
      <c r="O1236">
        <v>1</v>
      </c>
      <c r="P1236">
        <v>0</v>
      </c>
      <c r="Q1236">
        <v>0</v>
      </c>
      <c r="R1236" t="s">
        <v>112</v>
      </c>
      <c r="S1236" t="str">
        <f>"14:10:57.867"</f>
        <v>14:10:57.867</v>
      </c>
      <c r="T1236" t="str">
        <f>"14:10:57.367"</f>
        <v>14:10:57.367</v>
      </c>
      <c r="U1236" t="str">
        <f t="shared" si="57"/>
        <v>ad5732</v>
      </c>
      <c r="V1236">
        <v>0</v>
      </c>
      <c r="W1236">
        <v>0</v>
      </c>
      <c r="X1236">
        <v>1</v>
      </c>
      <c r="Z1236">
        <v>0</v>
      </c>
      <c r="AA1236">
        <v>9</v>
      </c>
      <c r="AB1236">
        <v>3</v>
      </c>
      <c r="AC1236">
        <v>0</v>
      </c>
      <c r="AD1236">
        <v>10</v>
      </c>
      <c r="AE1236">
        <v>0</v>
      </c>
      <c r="AF1236">
        <v>3</v>
      </c>
      <c r="AG1236">
        <v>2</v>
      </c>
      <c r="AH1236">
        <v>0</v>
      </c>
      <c r="AI1236" t="s">
        <v>2573</v>
      </c>
      <c r="AJ1236">
        <v>39.529001999999998</v>
      </c>
      <c r="AK1236" t="s">
        <v>2574</v>
      </c>
      <c r="AL1236">
        <v>-76.641355000000004</v>
      </c>
      <c r="AM1236">
        <v>100</v>
      </c>
      <c r="AN1236">
        <v>8700</v>
      </c>
      <c r="AO1236" t="s">
        <v>115</v>
      </c>
      <c r="AP1236">
        <v>167</v>
      </c>
      <c r="AQ1236">
        <v>89</v>
      </c>
      <c r="AR1236">
        <v>0</v>
      </c>
      <c r="AZ1236">
        <v>3614</v>
      </c>
      <c r="BA1236">
        <v>1</v>
      </c>
      <c r="BB1236" t="str">
        <f t="shared" si="59"/>
        <v xml:space="preserve">N959MJ  </v>
      </c>
      <c r="BC1236">
        <v>1</v>
      </c>
      <c r="BE1236">
        <v>0</v>
      </c>
      <c r="BF1236">
        <v>0</v>
      </c>
      <c r="BG1236">
        <v>0</v>
      </c>
      <c r="BH1236">
        <v>9025</v>
      </c>
      <c r="BI1236">
        <v>325</v>
      </c>
      <c r="BJ1236">
        <v>1</v>
      </c>
      <c r="BK1236">
        <v>1</v>
      </c>
      <c r="BL1236">
        <v>1</v>
      </c>
      <c r="BM1236">
        <v>0</v>
      </c>
      <c r="BP1236">
        <v>0</v>
      </c>
      <c r="BQ1236">
        <v>0</v>
      </c>
      <c r="BX1236" t="str">
        <f>"14:10:57.867"</f>
        <v>14:10:57.867</v>
      </c>
      <c r="BY1236" t="str">
        <f>"869284014"</f>
        <v>869284014</v>
      </c>
      <c r="CL1236">
        <v>0</v>
      </c>
      <c r="CM1236">
        <v>2</v>
      </c>
      <c r="CN1236">
        <v>0</v>
      </c>
      <c r="CO1236">
        <v>2</v>
      </c>
      <c r="CP1236">
        <v>0</v>
      </c>
      <c r="CQ1236">
        <v>6</v>
      </c>
      <c r="CR1236" t="s">
        <v>116</v>
      </c>
      <c r="CS1236">
        <v>372</v>
      </c>
      <c r="CT1236">
        <v>3</v>
      </c>
      <c r="CU1236" t="s">
        <v>877</v>
      </c>
      <c r="CV1236" t="s">
        <v>878</v>
      </c>
      <c r="CY1236">
        <v>11559495</v>
      </c>
      <c r="CZ1236" t="s">
        <v>119</v>
      </c>
    </row>
    <row r="1237" spans="1:104" x14ac:dyDescent="0.25">
      <c r="A1237" t="str">
        <f>"14:10:59.125"</f>
        <v>14:10:59.125</v>
      </c>
      <c r="B1237" t="s">
        <v>108</v>
      </c>
      <c r="C1237" t="str">
        <f t="shared" si="58"/>
        <v>ffdfd3c0</v>
      </c>
      <c r="D1237" t="s">
        <v>109</v>
      </c>
      <c r="E1237">
        <v>4</v>
      </c>
      <c r="F1237">
        <v>1004</v>
      </c>
      <c r="G1237" t="s">
        <v>110</v>
      </c>
      <c r="J1237" t="s">
        <v>111</v>
      </c>
      <c r="K1237">
        <v>0</v>
      </c>
      <c r="L1237">
        <v>3</v>
      </c>
      <c r="M1237">
        <v>0</v>
      </c>
      <c r="N1237">
        <v>2</v>
      </c>
      <c r="O1237">
        <v>1</v>
      </c>
      <c r="P1237">
        <v>0</v>
      </c>
      <c r="Q1237">
        <v>0</v>
      </c>
      <c r="R1237" t="s">
        <v>112</v>
      </c>
      <c r="S1237" t="str">
        <f>"14:10:58.922"</f>
        <v>14:10:58.922</v>
      </c>
      <c r="T1237" t="str">
        <f>"14:10:58.422"</f>
        <v>14:10:58.422</v>
      </c>
      <c r="U1237" t="str">
        <f t="shared" si="57"/>
        <v>ad5732</v>
      </c>
      <c r="V1237">
        <v>0</v>
      </c>
      <c r="W1237">
        <v>0</v>
      </c>
      <c r="X1237">
        <v>1</v>
      </c>
      <c r="Z1237">
        <v>0</v>
      </c>
      <c r="AA1237">
        <v>9</v>
      </c>
      <c r="AB1237">
        <v>3</v>
      </c>
      <c r="AC1237">
        <v>0</v>
      </c>
      <c r="AD1237">
        <v>10</v>
      </c>
      <c r="AE1237">
        <v>0</v>
      </c>
      <c r="AF1237">
        <v>3</v>
      </c>
      <c r="AG1237">
        <v>2</v>
      </c>
      <c r="AH1237">
        <v>0</v>
      </c>
      <c r="AI1237" t="s">
        <v>2575</v>
      </c>
      <c r="AJ1237">
        <v>39.529451999999999</v>
      </c>
      <c r="AK1237" t="s">
        <v>2576</v>
      </c>
      <c r="AL1237">
        <v>-76.640259999999998</v>
      </c>
      <c r="AM1237">
        <v>100</v>
      </c>
      <c r="AN1237">
        <v>8700</v>
      </c>
      <c r="AO1237" t="s">
        <v>115</v>
      </c>
      <c r="AP1237">
        <v>167</v>
      </c>
      <c r="AQ1237">
        <v>89</v>
      </c>
      <c r="AR1237">
        <v>0</v>
      </c>
      <c r="AZ1237">
        <v>3614</v>
      </c>
      <c r="BA1237">
        <v>1</v>
      </c>
      <c r="BB1237" t="str">
        <f t="shared" si="59"/>
        <v xml:space="preserve">N959MJ  </v>
      </c>
      <c r="BC1237">
        <v>1</v>
      </c>
      <c r="BE1237">
        <v>0</v>
      </c>
      <c r="BF1237">
        <v>0</v>
      </c>
      <c r="BG1237">
        <v>0</v>
      </c>
      <c r="BH1237">
        <v>9025</v>
      </c>
      <c r="BI1237">
        <v>325</v>
      </c>
      <c r="BJ1237">
        <v>1</v>
      </c>
      <c r="BK1237">
        <v>1</v>
      </c>
      <c r="BL1237">
        <v>1</v>
      </c>
      <c r="BM1237">
        <v>0</v>
      </c>
      <c r="BP1237">
        <v>0</v>
      </c>
      <c r="BQ1237">
        <v>0</v>
      </c>
      <c r="BX1237" t="str">
        <f>"14:10:58.930"</f>
        <v>14:10:58.930</v>
      </c>
      <c r="BY1237" t="str">
        <f>"929346375"</f>
        <v>929346375</v>
      </c>
      <c r="CL1237">
        <v>0</v>
      </c>
      <c r="CM1237">
        <v>2</v>
      </c>
      <c r="CN1237">
        <v>0</v>
      </c>
      <c r="CO1237">
        <v>2</v>
      </c>
      <c r="CP1237">
        <v>0</v>
      </c>
      <c r="CQ1237">
        <v>6</v>
      </c>
      <c r="CR1237" t="s">
        <v>116</v>
      </c>
      <c r="CS1237">
        <v>372</v>
      </c>
      <c r="CT1237">
        <v>3</v>
      </c>
      <c r="CU1237" t="s">
        <v>877</v>
      </c>
      <c r="CV1237" t="s">
        <v>878</v>
      </c>
      <c r="CY1237">
        <v>11561522</v>
      </c>
      <c r="CZ1237" t="s">
        <v>119</v>
      </c>
    </row>
    <row r="1238" spans="1:104" x14ac:dyDescent="0.25">
      <c r="A1238" t="str">
        <f>"14:11:00.031"</f>
        <v>14:11:00.031</v>
      </c>
      <c r="B1238" t="s">
        <v>108</v>
      </c>
      <c r="C1238" t="str">
        <f t="shared" si="58"/>
        <v>ffdfd3c0</v>
      </c>
      <c r="D1238" t="s">
        <v>109</v>
      </c>
      <c r="E1238">
        <v>4</v>
      </c>
      <c r="F1238">
        <v>1004</v>
      </c>
      <c r="G1238" t="s">
        <v>110</v>
      </c>
      <c r="J1238" t="s">
        <v>111</v>
      </c>
      <c r="K1238">
        <v>0</v>
      </c>
      <c r="L1238">
        <v>3</v>
      </c>
      <c r="M1238">
        <v>0</v>
      </c>
      <c r="N1238">
        <v>2</v>
      </c>
      <c r="O1238">
        <v>1</v>
      </c>
      <c r="P1238">
        <v>0</v>
      </c>
      <c r="Q1238">
        <v>0</v>
      </c>
      <c r="R1238" t="s">
        <v>112</v>
      </c>
      <c r="S1238" t="str">
        <f>"14:10:59.867"</f>
        <v>14:10:59.867</v>
      </c>
      <c r="T1238" t="str">
        <f>"14:10:59.469"</f>
        <v>14:10:59.469</v>
      </c>
      <c r="U1238" t="str">
        <f t="shared" si="57"/>
        <v>ad5732</v>
      </c>
      <c r="V1238">
        <v>0</v>
      </c>
      <c r="W1238">
        <v>0</v>
      </c>
      <c r="X1238">
        <v>1</v>
      </c>
      <c r="Z1238">
        <v>0</v>
      </c>
      <c r="AA1238">
        <v>9</v>
      </c>
      <c r="AB1238">
        <v>3</v>
      </c>
      <c r="AC1238">
        <v>0</v>
      </c>
      <c r="AD1238">
        <v>10</v>
      </c>
      <c r="AE1238">
        <v>0</v>
      </c>
      <c r="AF1238">
        <v>3</v>
      </c>
      <c r="AG1238">
        <v>2</v>
      </c>
      <c r="AH1238">
        <v>0</v>
      </c>
      <c r="AI1238" t="s">
        <v>2577</v>
      </c>
      <c r="AJ1238">
        <v>39.529795999999997</v>
      </c>
      <c r="AK1238" t="s">
        <v>2578</v>
      </c>
      <c r="AL1238">
        <v>-76.639402000000004</v>
      </c>
      <c r="AM1238">
        <v>100</v>
      </c>
      <c r="AN1238">
        <v>8700</v>
      </c>
      <c r="AO1238" t="s">
        <v>115</v>
      </c>
      <c r="AP1238">
        <v>167</v>
      </c>
      <c r="AQ1238">
        <v>90</v>
      </c>
      <c r="AR1238">
        <v>0</v>
      </c>
      <c r="AZ1238">
        <v>3614</v>
      </c>
      <c r="BA1238">
        <v>1</v>
      </c>
      <c r="BB1238" t="str">
        <f t="shared" si="59"/>
        <v xml:space="preserve">N959MJ  </v>
      </c>
      <c r="BC1238">
        <v>1</v>
      </c>
      <c r="BE1238">
        <v>0</v>
      </c>
      <c r="BF1238">
        <v>0</v>
      </c>
      <c r="BG1238">
        <v>0</v>
      </c>
      <c r="BH1238">
        <v>9025</v>
      </c>
      <c r="BI1238">
        <v>325</v>
      </c>
      <c r="BJ1238">
        <v>1</v>
      </c>
      <c r="BK1238">
        <v>1</v>
      </c>
      <c r="BL1238">
        <v>1</v>
      </c>
      <c r="BM1238">
        <v>0</v>
      </c>
      <c r="BP1238">
        <v>0</v>
      </c>
      <c r="BQ1238">
        <v>0</v>
      </c>
      <c r="BX1238" t="str">
        <f>"14:10:59.875"</f>
        <v>14:10:59.875</v>
      </c>
      <c r="BY1238" t="str">
        <f>"873009679"</f>
        <v>873009679</v>
      </c>
      <c r="CL1238">
        <v>0</v>
      </c>
      <c r="CM1238">
        <v>2</v>
      </c>
      <c r="CN1238">
        <v>0</v>
      </c>
      <c r="CO1238">
        <v>2</v>
      </c>
      <c r="CP1238">
        <v>0</v>
      </c>
      <c r="CQ1238">
        <v>6</v>
      </c>
      <c r="CR1238" t="s">
        <v>116</v>
      </c>
      <c r="CS1238">
        <v>396</v>
      </c>
      <c r="CT1238">
        <v>2</v>
      </c>
      <c r="CU1238" t="s">
        <v>939</v>
      </c>
      <c r="CV1238" t="s">
        <v>940</v>
      </c>
      <c r="CY1238">
        <v>4921342</v>
      </c>
      <c r="CZ1238" t="s">
        <v>119</v>
      </c>
    </row>
    <row r="1239" spans="1:104" x14ac:dyDescent="0.25">
      <c r="A1239" t="str">
        <f>"14:11:01.039"</f>
        <v>14:11:01.039</v>
      </c>
      <c r="B1239" t="s">
        <v>108</v>
      </c>
      <c r="C1239" t="str">
        <f t="shared" si="58"/>
        <v>ffdfd3c0</v>
      </c>
      <c r="D1239" t="s">
        <v>109</v>
      </c>
      <c r="E1239">
        <v>4</v>
      </c>
      <c r="F1239">
        <v>1004</v>
      </c>
      <c r="G1239" t="s">
        <v>110</v>
      </c>
      <c r="J1239" t="s">
        <v>111</v>
      </c>
      <c r="K1239">
        <v>0</v>
      </c>
      <c r="L1239">
        <v>3</v>
      </c>
      <c r="M1239">
        <v>0</v>
      </c>
      <c r="N1239">
        <v>2</v>
      </c>
      <c r="O1239">
        <v>1</v>
      </c>
      <c r="P1239">
        <v>0</v>
      </c>
      <c r="Q1239">
        <v>0</v>
      </c>
      <c r="R1239" t="s">
        <v>112</v>
      </c>
      <c r="S1239" t="str">
        <f>"14:11:00.805"</f>
        <v>14:11:00.805</v>
      </c>
      <c r="T1239" t="str">
        <f>"14:11:00.305"</f>
        <v>14:11:00.305</v>
      </c>
      <c r="U1239" t="str">
        <f t="shared" si="57"/>
        <v>ad5732</v>
      </c>
      <c r="V1239">
        <v>0</v>
      </c>
      <c r="W1239">
        <v>0</v>
      </c>
      <c r="X1239">
        <v>1</v>
      </c>
      <c r="Z1239">
        <v>0</v>
      </c>
      <c r="AA1239">
        <v>9</v>
      </c>
      <c r="AB1239">
        <v>3</v>
      </c>
      <c r="AC1239">
        <v>0</v>
      </c>
      <c r="AD1239">
        <v>10</v>
      </c>
      <c r="AE1239">
        <v>0</v>
      </c>
      <c r="AF1239">
        <v>3</v>
      </c>
      <c r="AG1239">
        <v>2</v>
      </c>
      <c r="AH1239">
        <v>0</v>
      </c>
      <c r="AI1239" t="s">
        <v>2579</v>
      </c>
      <c r="AJ1239">
        <v>39.530203</v>
      </c>
      <c r="AK1239" t="s">
        <v>2580</v>
      </c>
      <c r="AL1239">
        <v>-76.638372000000004</v>
      </c>
      <c r="AM1239">
        <v>100</v>
      </c>
      <c r="AN1239">
        <v>8700</v>
      </c>
      <c r="AO1239" t="s">
        <v>115</v>
      </c>
      <c r="AP1239">
        <v>167</v>
      </c>
      <c r="AQ1239">
        <v>90</v>
      </c>
      <c r="AR1239">
        <v>0</v>
      </c>
      <c r="AZ1239">
        <v>3614</v>
      </c>
      <c r="BA1239">
        <v>1</v>
      </c>
      <c r="BB1239" t="str">
        <f t="shared" si="59"/>
        <v xml:space="preserve">N959MJ  </v>
      </c>
      <c r="BC1239">
        <v>1</v>
      </c>
      <c r="BE1239">
        <v>0</v>
      </c>
      <c r="BF1239">
        <v>0</v>
      </c>
      <c r="BG1239">
        <v>0</v>
      </c>
      <c r="BH1239">
        <v>9025</v>
      </c>
      <c r="BI1239">
        <v>325</v>
      </c>
      <c r="BJ1239">
        <v>1</v>
      </c>
      <c r="BK1239">
        <v>1</v>
      </c>
      <c r="BL1239">
        <v>1</v>
      </c>
      <c r="BM1239">
        <v>0</v>
      </c>
      <c r="BP1239">
        <v>0</v>
      </c>
      <c r="BQ1239">
        <v>0</v>
      </c>
      <c r="BX1239" t="str">
        <f>"14:11:00.813"</f>
        <v>14:11:00.813</v>
      </c>
      <c r="BY1239" t="str">
        <f>"810260823"</f>
        <v>810260823</v>
      </c>
      <c r="CL1239">
        <v>0</v>
      </c>
      <c r="CM1239">
        <v>2</v>
      </c>
      <c r="CN1239">
        <v>0</v>
      </c>
      <c r="CO1239">
        <v>2</v>
      </c>
      <c r="CP1239">
        <v>0</v>
      </c>
      <c r="CQ1239">
        <v>6</v>
      </c>
      <c r="CR1239" t="s">
        <v>116</v>
      </c>
      <c r="CS1239">
        <v>372</v>
      </c>
      <c r="CT1239">
        <v>3</v>
      </c>
      <c r="CU1239" t="s">
        <v>877</v>
      </c>
      <c r="CV1239" t="s">
        <v>878</v>
      </c>
      <c r="CY1239">
        <v>11564797</v>
      </c>
      <c r="CZ1239" t="s">
        <v>119</v>
      </c>
    </row>
    <row r="1240" spans="1:104" x14ac:dyDescent="0.25">
      <c r="A1240" t="str">
        <f>"14:11:02.000"</f>
        <v>14:11:02.000</v>
      </c>
      <c r="B1240" t="s">
        <v>108</v>
      </c>
      <c r="C1240" t="str">
        <f t="shared" si="58"/>
        <v>ffdfd3c0</v>
      </c>
      <c r="D1240" t="s">
        <v>109</v>
      </c>
      <c r="E1240">
        <v>4</v>
      </c>
      <c r="F1240">
        <v>1004</v>
      </c>
      <c r="G1240" t="s">
        <v>110</v>
      </c>
      <c r="J1240" t="s">
        <v>111</v>
      </c>
      <c r="K1240">
        <v>0</v>
      </c>
      <c r="L1240">
        <v>3</v>
      </c>
      <c r="M1240">
        <v>0</v>
      </c>
      <c r="N1240">
        <v>2</v>
      </c>
      <c r="O1240">
        <v>1</v>
      </c>
      <c r="P1240">
        <v>0</v>
      </c>
      <c r="Q1240">
        <v>0</v>
      </c>
      <c r="R1240" t="s">
        <v>112</v>
      </c>
      <c r="S1240" t="str">
        <f>"14:11:01.828"</f>
        <v>14:11:01.828</v>
      </c>
      <c r="T1240" t="str">
        <f>"14:11:01.430"</f>
        <v>14:11:01.430</v>
      </c>
      <c r="U1240" t="str">
        <f t="shared" si="57"/>
        <v>ad5732</v>
      </c>
      <c r="V1240">
        <v>0</v>
      </c>
      <c r="W1240">
        <v>0</v>
      </c>
      <c r="X1240">
        <v>1</v>
      </c>
      <c r="Z1240">
        <v>0</v>
      </c>
      <c r="AA1240">
        <v>9</v>
      </c>
      <c r="AB1240">
        <v>3</v>
      </c>
      <c r="AC1240">
        <v>0</v>
      </c>
      <c r="AD1240">
        <v>10</v>
      </c>
      <c r="AE1240">
        <v>0</v>
      </c>
      <c r="AF1240">
        <v>3</v>
      </c>
      <c r="AG1240">
        <v>2</v>
      </c>
      <c r="AH1240">
        <v>0</v>
      </c>
      <c r="AI1240" t="s">
        <v>2581</v>
      </c>
      <c r="AJ1240">
        <v>39.530631999999997</v>
      </c>
      <c r="AK1240" t="s">
        <v>2582</v>
      </c>
      <c r="AL1240">
        <v>-76.637384999999995</v>
      </c>
      <c r="AM1240">
        <v>100</v>
      </c>
      <c r="AN1240">
        <v>8700</v>
      </c>
      <c r="AO1240" t="s">
        <v>115</v>
      </c>
      <c r="AP1240">
        <v>167</v>
      </c>
      <c r="AQ1240">
        <v>90</v>
      </c>
      <c r="AR1240">
        <v>0</v>
      </c>
      <c r="AZ1240">
        <v>3614</v>
      </c>
      <c r="BA1240">
        <v>1</v>
      </c>
      <c r="BB1240" t="str">
        <f t="shared" si="59"/>
        <v xml:space="preserve">N959MJ  </v>
      </c>
      <c r="BC1240">
        <v>1</v>
      </c>
      <c r="BE1240">
        <v>0</v>
      </c>
      <c r="BF1240">
        <v>0</v>
      </c>
      <c r="BG1240">
        <v>0</v>
      </c>
      <c r="BH1240">
        <v>9025</v>
      </c>
      <c r="BI1240">
        <v>325</v>
      </c>
      <c r="BJ1240">
        <v>1</v>
      </c>
      <c r="BK1240">
        <v>1</v>
      </c>
      <c r="BL1240">
        <v>1</v>
      </c>
      <c r="BM1240">
        <v>0</v>
      </c>
      <c r="BP1240">
        <v>0</v>
      </c>
      <c r="BQ1240">
        <v>0</v>
      </c>
      <c r="BX1240" t="str">
        <f>"14:11:01.836"</f>
        <v>14:11:01.836</v>
      </c>
      <c r="BY1240" t="str">
        <f>"832568251"</f>
        <v>832568251</v>
      </c>
      <c r="CL1240">
        <v>0</v>
      </c>
      <c r="CM1240">
        <v>2</v>
      </c>
      <c r="CN1240">
        <v>0</v>
      </c>
      <c r="CO1240">
        <v>2</v>
      </c>
      <c r="CP1240">
        <v>0</v>
      </c>
      <c r="CQ1240">
        <v>6</v>
      </c>
      <c r="CR1240" t="s">
        <v>116</v>
      </c>
      <c r="CS1240">
        <v>396</v>
      </c>
      <c r="CT1240">
        <v>2</v>
      </c>
      <c r="CU1240" t="s">
        <v>939</v>
      </c>
      <c r="CV1240" t="s">
        <v>940</v>
      </c>
      <c r="CY1240">
        <v>4924824</v>
      </c>
      <c r="CZ1240" t="s">
        <v>119</v>
      </c>
    </row>
    <row r="1241" spans="1:104" x14ac:dyDescent="0.25">
      <c r="A1241" t="str">
        <f>"14:11:03.008"</f>
        <v>14:11:03.008</v>
      </c>
      <c r="B1241" t="s">
        <v>108</v>
      </c>
      <c r="C1241" t="str">
        <f t="shared" si="58"/>
        <v>ffdfd3c0</v>
      </c>
      <c r="D1241" t="s">
        <v>109</v>
      </c>
      <c r="E1241">
        <v>4</v>
      </c>
      <c r="F1241">
        <v>1004</v>
      </c>
      <c r="G1241" t="s">
        <v>110</v>
      </c>
      <c r="J1241" t="s">
        <v>111</v>
      </c>
      <c r="K1241">
        <v>0</v>
      </c>
      <c r="L1241">
        <v>3</v>
      </c>
      <c r="M1241">
        <v>0</v>
      </c>
      <c r="N1241">
        <v>2</v>
      </c>
      <c r="O1241">
        <v>1</v>
      </c>
      <c r="P1241">
        <v>0</v>
      </c>
      <c r="Q1241">
        <v>0</v>
      </c>
      <c r="R1241" t="s">
        <v>112</v>
      </c>
      <c r="S1241" t="str">
        <f>"14:11:02.844"</f>
        <v>14:11:02.844</v>
      </c>
      <c r="T1241" t="str">
        <f>"14:11:02.344"</f>
        <v>14:11:02.344</v>
      </c>
      <c r="U1241" t="str">
        <f t="shared" si="57"/>
        <v>ad5732</v>
      </c>
      <c r="V1241">
        <v>0</v>
      </c>
      <c r="W1241">
        <v>0</v>
      </c>
      <c r="X1241">
        <v>1</v>
      </c>
      <c r="Z1241">
        <v>0</v>
      </c>
      <c r="AA1241">
        <v>9</v>
      </c>
      <c r="AB1241">
        <v>3</v>
      </c>
      <c r="AC1241">
        <v>0</v>
      </c>
      <c r="AD1241">
        <v>10</v>
      </c>
      <c r="AE1241">
        <v>0</v>
      </c>
      <c r="AF1241">
        <v>3</v>
      </c>
      <c r="AG1241">
        <v>2</v>
      </c>
      <c r="AH1241">
        <v>0</v>
      </c>
      <c r="AI1241" t="s">
        <v>2583</v>
      </c>
      <c r="AJ1241">
        <v>39.531039999999997</v>
      </c>
      <c r="AK1241" t="s">
        <v>2584</v>
      </c>
      <c r="AL1241">
        <v>-76.636419000000004</v>
      </c>
      <c r="AM1241">
        <v>100</v>
      </c>
      <c r="AN1241">
        <v>8700</v>
      </c>
      <c r="AO1241" t="s">
        <v>115</v>
      </c>
      <c r="AP1241">
        <v>166</v>
      </c>
      <c r="AQ1241">
        <v>91</v>
      </c>
      <c r="AR1241">
        <v>64</v>
      </c>
      <c r="AZ1241">
        <v>3614</v>
      </c>
      <c r="BA1241">
        <v>1</v>
      </c>
      <c r="BB1241" t="str">
        <f t="shared" si="59"/>
        <v xml:space="preserve">N959MJ  </v>
      </c>
      <c r="BC1241">
        <v>1</v>
      </c>
      <c r="BE1241">
        <v>0</v>
      </c>
      <c r="BF1241">
        <v>0</v>
      </c>
      <c r="BG1241">
        <v>0</v>
      </c>
      <c r="BH1241">
        <v>9025</v>
      </c>
      <c r="BI1241">
        <v>325</v>
      </c>
      <c r="BJ1241">
        <v>1</v>
      </c>
      <c r="BK1241">
        <v>1</v>
      </c>
      <c r="BL1241">
        <v>1</v>
      </c>
      <c r="BM1241">
        <v>0</v>
      </c>
      <c r="BP1241">
        <v>0</v>
      </c>
      <c r="BQ1241">
        <v>0</v>
      </c>
      <c r="BX1241" t="str">
        <f>"14:11:02.844"</f>
        <v>14:11:02.844</v>
      </c>
      <c r="BY1241" t="str">
        <f>"845116053"</f>
        <v>845116053</v>
      </c>
      <c r="CL1241">
        <v>0</v>
      </c>
      <c r="CM1241">
        <v>2</v>
      </c>
      <c r="CN1241">
        <v>0</v>
      </c>
      <c r="CO1241">
        <v>2</v>
      </c>
      <c r="CP1241">
        <v>0</v>
      </c>
      <c r="CQ1241">
        <v>6</v>
      </c>
      <c r="CR1241" t="s">
        <v>116</v>
      </c>
      <c r="CS1241">
        <v>396</v>
      </c>
      <c r="CT1241">
        <v>2</v>
      </c>
      <c r="CU1241" t="s">
        <v>939</v>
      </c>
      <c r="CV1241" t="s">
        <v>940</v>
      </c>
      <c r="CY1241">
        <v>4926769</v>
      </c>
      <c r="CZ1241" t="s">
        <v>119</v>
      </c>
    </row>
    <row r="1242" spans="1:104" x14ac:dyDescent="0.25">
      <c r="A1242" t="str">
        <f>"14:11:04.070"</f>
        <v>14:11:04.070</v>
      </c>
      <c r="B1242" t="s">
        <v>108</v>
      </c>
      <c r="C1242" t="str">
        <f t="shared" si="58"/>
        <v>ffdfd3c0</v>
      </c>
      <c r="D1242" t="s">
        <v>109</v>
      </c>
      <c r="E1242">
        <v>4</v>
      </c>
      <c r="F1242">
        <v>1004</v>
      </c>
      <c r="G1242" t="s">
        <v>110</v>
      </c>
      <c r="J1242" t="s">
        <v>111</v>
      </c>
      <c r="K1242">
        <v>0</v>
      </c>
      <c r="L1242">
        <v>3</v>
      </c>
      <c r="M1242">
        <v>0</v>
      </c>
      <c r="N1242">
        <v>2</v>
      </c>
      <c r="O1242">
        <v>1</v>
      </c>
      <c r="P1242">
        <v>0</v>
      </c>
      <c r="Q1242">
        <v>0</v>
      </c>
      <c r="R1242" t="s">
        <v>112</v>
      </c>
      <c r="S1242" t="str">
        <f>"14:11:03.906"</f>
        <v>14:11:03.906</v>
      </c>
      <c r="T1242" t="str">
        <f>"14:11:03.508"</f>
        <v>14:11:03.508</v>
      </c>
      <c r="U1242" t="str">
        <f t="shared" si="57"/>
        <v>ad5732</v>
      </c>
      <c r="V1242">
        <v>0</v>
      </c>
      <c r="W1242">
        <v>0</v>
      </c>
      <c r="X1242">
        <v>1</v>
      </c>
      <c r="Z1242">
        <v>0</v>
      </c>
      <c r="AA1242">
        <v>9</v>
      </c>
      <c r="AB1242">
        <v>3</v>
      </c>
      <c r="AC1242">
        <v>0</v>
      </c>
      <c r="AD1242">
        <v>10</v>
      </c>
      <c r="AE1242">
        <v>0</v>
      </c>
      <c r="AF1242">
        <v>3</v>
      </c>
      <c r="AG1242">
        <v>2</v>
      </c>
      <c r="AH1242">
        <v>0</v>
      </c>
      <c r="AI1242" t="s">
        <v>2585</v>
      </c>
      <c r="AJ1242">
        <v>39.531511999999999</v>
      </c>
      <c r="AK1242" t="s">
        <v>2586</v>
      </c>
      <c r="AL1242">
        <v>-76.635302999999993</v>
      </c>
      <c r="AM1242">
        <v>100</v>
      </c>
      <c r="AN1242">
        <v>8700</v>
      </c>
      <c r="AO1242" t="s">
        <v>115</v>
      </c>
      <c r="AP1242">
        <v>166</v>
      </c>
      <c r="AQ1242">
        <v>91</v>
      </c>
      <c r="AR1242">
        <v>64</v>
      </c>
      <c r="AZ1242">
        <v>3614</v>
      </c>
      <c r="BA1242">
        <v>1</v>
      </c>
      <c r="BB1242" t="str">
        <f t="shared" si="59"/>
        <v xml:space="preserve">N959MJ  </v>
      </c>
      <c r="BC1242">
        <v>1</v>
      </c>
      <c r="BE1242">
        <v>0</v>
      </c>
      <c r="BF1242">
        <v>0</v>
      </c>
      <c r="BG1242">
        <v>0</v>
      </c>
      <c r="BH1242">
        <v>9025</v>
      </c>
      <c r="BI1242">
        <v>325</v>
      </c>
      <c r="BJ1242">
        <v>1</v>
      </c>
      <c r="BK1242">
        <v>1</v>
      </c>
      <c r="BL1242">
        <v>1</v>
      </c>
      <c r="BM1242">
        <v>0</v>
      </c>
      <c r="BP1242">
        <v>0</v>
      </c>
      <c r="BQ1242">
        <v>0</v>
      </c>
      <c r="BX1242" t="str">
        <f>"14:11:03.906"</f>
        <v>14:11:03.906</v>
      </c>
      <c r="BY1242" t="str">
        <f>"906816722"</f>
        <v>906816722</v>
      </c>
      <c r="CL1242">
        <v>0</v>
      </c>
      <c r="CM1242">
        <v>2</v>
      </c>
      <c r="CN1242">
        <v>0</v>
      </c>
      <c r="CO1242">
        <v>2</v>
      </c>
      <c r="CP1242">
        <v>0</v>
      </c>
      <c r="CQ1242">
        <v>6</v>
      </c>
      <c r="CR1242" t="s">
        <v>116</v>
      </c>
      <c r="CS1242">
        <v>396</v>
      </c>
      <c r="CT1242">
        <v>2</v>
      </c>
      <c r="CU1242" t="s">
        <v>939</v>
      </c>
      <c r="CV1242" t="s">
        <v>940</v>
      </c>
      <c r="CY1242">
        <v>4928657</v>
      </c>
      <c r="CZ1242" t="s">
        <v>119</v>
      </c>
    </row>
    <row r="1243" spans="1:104" x14ac:dyDescent="0.25">
      <c r="A1243" t="str">
        <f>"14:11:05.180"</f>
        <v>14:11:05.180</v>
      </c>
      <c r="B1243" t="s">
        <v>108</v>
      </c>
      <c r="C1243" t="str">
        <f t="shared" si="58"/>
        <v>ffdfd3c0</v>
      </c>
      <c r="D1243" t="s">
        <v>109</v>
      </c>
      <c r="E1243">
        <v>4</v>
      </c>
      <c r="F1243">
        <v>1004</v>
      </c>
      <c r="G1243" t="s">
        <v>110</v>
      </c>
      <c r="J1243" t="s">
        <v>111</v>
      </c>
      <c r="K1243">
        <v>0</v>
      </c>
      <c r="L1243">
        <v>3</v>
      </c>
      <c r="M1243">
        <v>0</v>
      </c>
      <c r="N1243">
        <v>2</v>
      </c>
      <c r="O1243">
        <v>1</v>
      </c>
      <c r="P1243">
        <v>0</v>
      </c>
      <c r="Q1243">
        <v>0</v>
      </c>
      <c r="R1243" t="s">
        <v>112</v>
      </c>
      <c r="S1243" t="str">
        <f>"14:11:04.969"</f>
        <v>14:11:04.969</v>
      </c>
      <c r="T1243" t="str">
        <f>"14:11:04.469"</f>
        <v>14:11:04.469</v>
      </c>
      <c r="U1243" t="str">
        <f t="shared" si="57"/>
        <v>ad5732</v>
      </c>
      <c r="V1243">
        <v>0</v>
      </c>
      <c r="W1243">
        <v>0</v>
      </c>
      <c r="X1243">
        <v>1</v>
      </c>
      <c r="Z1243">
        <v>0</v>
      </c>
      <c r="AA1243">
        <v>9</v>
      </c>
      <c r="AB1243">
        <v>3</v>
      </c>
      <c r="AC1243">
        <v>0</v>
      </c>
      <c r="AD1243">
        <v>10</v>
      </c>
      <c r="AE1243">
        <v>0</v>
      </c>
      <c r="AF1243">
        <v>3</v>
      </c>
      <c r="AG1243">
        <v>2</v>
      </c>
      <c r="AH1243">
        <v>0</v>
      </c>
      <c r="AI1243" t="s">
        <v>2587</v>
      </c>
      <c r="AJ1243">
        <v>39.531962999999998</v>
      </c>
      <c r="AK1243" t="s">
        <v>2588</v>
      </c>
      <c r="AL1243">
        <v>-76.634294999999995</v>
      </c>
      <c r="AM1243">
        <v>100</v>
      </c>
      <c r="AN1243">
        <v>8700</v>
      </c>
      <c r="AO1243" t="s">
        <v>115</v>
      </c>
      <c r="AP1243">
        <v>166</v>
      </c>
      <c r="AQ1243">
        <v>91</v>
      </c>
      <c r="AR1243">
        <v>64</v>
      </c>
      <c r="AZ1243">
        <v>3614</v>
      </c>
      <c r="BA1243">
        <v>1</v>
      </c>
      <c r="BB1243" t="str">
        <f t="shared" si="59"/>
        <v xml:space="preserve">N959MJ  </v>
      </c>
      <c r="BC1243">
        <v>1</v>
      </c>
      <c r="BE1243">
        <v>0</v>
      </c>
      <c r="BF1243">
        <v>0</v>
      </c>
      <c r="BG1243">
        <v>0</v>
      </c>
      <c r="BH1243">
        <v>9025</v>
      </c>
      <c r="BI1243">
        <v>325</v>
      </c>
      <c r="BJ1243">
        <v>1</v>
      </c>
      <c r="BK1243">
        <v>1</v>
      </c>
      <c r="BL1243">
        <v>1</v>
      </c>
      <c r="BM1243">
        <v>0</v>
      </c>
      <c r="BP1243">
        <v>0</v>
      </c>
      <c r="BQ1243">
        <v>0</v>
      </c>
      <c r="BX1243" t="str">
        <f>"14:11:04.969"</f>
        <v>14:11:04.969</v>
      </c>
      <c r="BY1243" t="str">
        <f>"971794324"</f>
        <v>971794324</v>
      </c>
      <c r="CL1243">
        <v>0</v>
      </c>
      <c r="CM1243">
        <v>2</v>
      </c>
      <c r="CN1243">
        <v>0</v>
      </c>
      <c r="CO1243">
        <v>2</v>
      </c>
      <c r="CP1243">
        <v>0</v>
      </c>
      <c r="CQ1243">
        <v>7</v>
      </c>
      <c r="CR1243" t="s">
        <v>116</v>
      </c>
      <c r="CS1243">
        <v>396</v>
      </c>
      <c r="CT1243">
        <v>2</v>
      </c>
      <c r="CU1243" t="s">
        <v>939</v>
      </c>
      <c r="CV1243" t="s">
        <v>940</v>
      </c>
      <c r="CY1243">
        <v>4930573</v>
      </c>
      <c r="CZ1243" t="s">
        <v>119</v>
      </c>
    </row>
    <row r="1244" spans="1:104" x14ac:dyDescent="0.25">
      <c r="A1244" t="str">
        <f>"14:11:06.141"</f>
        <v>14:11:06.141</v>
      </c>
      <c r="B1244" t="s">
        <v>108</v>
      </c>
      <c r="C1244" t="str">
        <f t="shared" si="58"/>
        <v>ffdfd3c0</v>
      </c>
      <c r="D1244" t="s">
        <v>109</v>
      </c>
      <c r="E1244">
        <v>4</v>
      </c>
      <c r="F1244">
        <v>1004</v>
      </c>
      <c r="G1244" t="s">
        <v>110</v>
      </c>
      <c r="J1244" t="s">
        <v>111</v>
      </c>
      <c r="K1244">
        <v>0</v>
      </c>
      <c r="L1244">
        <v>3</v>
      </c>
      <c r="M1244">
        <v>0</v>
      </c>
      <c r="N1244">
        <v>2</v>
      </c>
      <c r="O1244">
        <v>1</v>
      </c>
      <c r="P1244">
        <v>0</v>
      </c>
      <c r="Q1244">
        <v>0</v>
      </c>
      <c r="R1244" t="s">
        <v>112</v>
      </c>
      <c r="S1244" t="str">
        <f>"14:11:05.953"</f>
        <v>14:11:05.953</v>
      </c>
      <c r="T1244" t="str">
        <f>"14:11:05.555"</f>
        <v>14:11:05.555</v>
      </c>
      <c r="U1244" t="str">
        <f t="shared" si="57"/>
        <v>ad5732</v>
      </c>
      <c r="V1244">
        <v>0</v>
      </c>
      <c r="W1244">
        <v>0</v>
      </c>
      <c r="X1244">
        <v>1</v>
      </c>
      <c r="Z1244">
        <v>0</v>
      </c>
      <c r="AA1244">
        <v>9</v>
      </c>
      <c r="AB1244">
        <v>3</v>
      </c>
      <c r="AC1244">
        <v>0</v>
      </c>
      <c r="AD1244">
        <v>10</v>
      </c>
      <c r="AE1244">
        <v>0</v>
      </c>
      <c r="AF1244">
        <v>3</v>
      </c>
      <c r="AG1244">
        <v>2</v>
      </c>
      <c r="AH1244">
        <v>0</v>
      </c>
      <c r="AI1244" t="s">
        <v>2589</v>
      </c>
      <c r="AJ1244">
        <v>39.532370999999998</v>
      </c>
      <c r="AK1244" t="s">
        <v>2590</v>
      </c>
      <c r="AL1244">
        <v>-76.633285999999998</v>
      </c>
      <c r="AM1244">
        <v>100</v>
      </c>
      <c r="AN1244">
        <v>8700</v>
      </c>
      <c r="AO1244" t="s">
        <v>115</v>
      </c>
      <c r="AP1244">
        <v>166</v>
      </c>
      <c r="AQ1244">
        <v>91</v>
      </c>
      <c r="AR1244">
        <v>64</v>
      </c>
      <c r="AZ1244">
        <v>3614</v>
      </c>
      <c r="BA1244">
        <v>1</v>
      </c>
      <c r="BB1244" t="str">
        <f t="shared" si="59"/>
        <v xml:space="preserve">N959MJ  </v>
      </c>
      <c r="BC1244">
        <v>1</v>
      </c>
      <c r="BE1244">
        <v>0</v>
      </c>
      <c r="BF1244">
        <v>0</v>
      </c>
      <c r="BG1244">
        <v>0</v>
      </c>
      <c r="BH1244">
        <v>9025</v>
      </c>
      <c r="BI1244">
        <v>325</v>
      </c>
      <c r="BJ1244">
        <v>1</v>
      </c>
      <c r="BK1244">
        <v>1</v>
      </c>
      <c r="BL1244">
        <v>1</v>
      </c>
      <c r="BM1244">
        <v>0</v>
      </c>
      <c r="BP1244">
        <v>0</v>
      </c>
      <c r="BQ1244">
        <v>0</v>
      </c>
      <c r="BX1244" t="str">
        <f>"14:11:05.961"</f>
        <v>14:11:05.961</v>
      </c>
      <c r="BY1244" t="str">
        <f>"958312662"</f>
        <v>958312662</v>
      </c>
      <c r="CL1244">
        <v>0</v>
      </c>
      <c r="CM1244">
        <v>2</v>
      </c>
      <c r="CN1244">
        <v>0</v>
      </c>
      <c r="CO1244">
        <v>2</v>
      </c>
      <c r="CP1244">
        <v>0</v>
      </c>
      <c r="CQ1244">
        <v>5</v>
      </c>
      <c r="CR1244" t="s">
        <v>116</v>
      </c>
      <c r="CS1244">
        <v>39</v>
      </c>
      <c r="CT1244">
        <v>2</v>
      </c>
      <c r="CU1244" t="s">
        <v>2259</v>
      </c>
      <c r="CV1244" t="s">
        <v>2260</v>
      </c>
      <c r="CY1244">
        <v>15275210</v>
      </c>
      <c r="CZ1244" t="s">
        <v>119</v>
      </c>
    </row>
    <row r="1245" spans="1:104" x14ac:dyDescent="0.25">
      <c r="A1245" t="str">
        <f>"14:11:07.094"</f>
        <v>14:11:07.094</v>
      </c>
      <c r="B1245" t="s">
        <v>108</v>
      </c>
      <c r="C1245" t="str">
        <f t="shared" si="58"/>
        <v>ffdfd3c0</v>
      </c>
      <c r="D1245" t="s">
        <v>109</v>
      </c>
      <c r="E1245">
        <v>4</v>
      </c>
      <c r="F1245">
        <v>1004</v>
      </c>
      <c r="G1245" t="s">
        <v>110</v>
      </c>
      <c r="J1245" t="s">
        <v>111</v>
      </c>
      <c r="K1245">
        <v>0</v>
      </c>
      <c r="L1245">
        <v>3</v>
      </c>
      <c r="M1245">
        <v>0</v>
      </c>
      <c r="N1245">
        <v>2</v>
      </c>
      <c r="O1245">
        <v>1</v>
      </c>
      <c r="P1245">
        <v>0</v>
      </c>
      <c r="Q1245">
        <v>0</v>
      </c>
      <c r="R1245" t="s">
        <v>112</v>
      </c>
      <c r="S1245" t="str">
        <f>"14:11:06.930"</f>
        <v>14:11:06.930</v>
      </c>
      <c r="T1245" t="str">
        <f>"14:11:06.531"</f>
        <v>14:11:06.531</v>
      </c>
      <c r="U1245" t="str">
        <f t="shared" si="57"/>
        <v>ad5732</v>
      </c>
      <c r="V1245">
        <v>0</v>
      </c>
      <c r="W1245">
        <v>0</v>
      </c>
      <c r="X1245">
        <v>1</v>
      </c>
      <c r="Z1245">
        <v>0</v>
      </c>
      <c r="AA1245">
        <v>9</v>
      </c>
      <c r="AB1245">
        <v>3</v>
      </c>
      <c r="AC1245">
        <v>0</v>
      </c>
      <c r="AD1245">
        <v>10</v>
      </c>
      <c r="AE1245">
        <v>0</v>
      </c>
      <c r="AF1245">
        <v>3</v>
      </c>
      <c r="AG1245">
        <v>2</v>
      </c>
      <c r="AH1245">
        <v>0</v>
      </c>
      <c r="AI1245" t="s">
        <v>2591</v>
      </c>
      <c r="AJ1245">
        <v>39.532800000000002</v>
      </c>
      <c r="AK1245" t="s">
        <v>2592</v>
      </c>
      <c r="AL1245">
        <v>-76.632321000000005</v>
      </c>
      <c r="AM1245">
        <v>100</v>
      </c>
      <c r="AN1245">
        <v>8700</v>
      </c>
      <c r="AO1245" t="s">
        <v>115</v>
      </c>
      <c r="AP1245">
        <v>166</v>
      </c>
      <c r="AQ1245">
        <v>91</v>
      </c>
      <c r="AR1245">
        <v>64</v>
      </c>
      <c r="AZ1245">
        <v>3614</v>
      </c>
      <c r="BA1245">
        <v>1</v>
      </c>
      <c r="BB1245" t="str">
        <f t="shared" si="59"/>
        <v xml:space="preserve">N959MJ  </v>
      </c>
      <c r="BC1245">
        <v>1</v>
      </c>
      <c r="BE1245">
        <v>0</v>
      </c>
      <c r="BF1245">
        <v>0</v>
      </c>
      <c r="BG1245">
        <v>0</v>
      </c>
      <c r="BH1245">
        <v>9025</v>
      </c>
      <c r="BI1245">
        <v>325</v>
      </c>
      <c r="BJ1245">
        <v>1</v>
      </c>
      <c r="BK1245">
        <v>1</v>
      </c>
      <c r="BL1245">
        <v>1</v>
      </c>
      <c r="BM1245">
        <v>0</v>
      </c>
      <c r="BP1245">
        <v>0</v>
      </c>
      <c r="BQ1245">
        <v>0</v>
      </c>
      <c r="BX1245" t="str">
        <f>"14:11:06.930"</f>
        <v>14:11:06.930</v>
      </c>
      <c r="BY1245" t="str">
        <f>"931352901"</f>
        <v>931352901</v>
      </c>
      <c r="CL1245">
        <v>0</v>
      </c>
      <c r="CM1245">
        <v>2</v>
      </c>
      <c r="CN1245">
        <v>0</v>
      </c>
      <c r="CO1245">
        <v>2</v>
      </c>
      <c r="CP1245">
        <v>0</v>
      </c>
      <c r="CQ1245">
        <v>6</v>
      </c>
      <c r="CR1245" t="s">
        <v>116</v>
      </c>
      <c r="CS1245">
        <v>396</v>
      </c>
      <c r="CT1245">
        <v>2</v>
      </c>
      <c r="CU1245" t="s">
        <v>939</v>
      </c>
      <c r="CV1245" t="s">
        <v>940</v>
      </c>
      <c r="CY1245">
        <v>4934252</v>
      </c>
      <c r="CZ1245" t="s">
        <v>119</v>
      </c>
    </row>
    <row r="1246" spans="1:104" x14ac:dyDescent="0.25">
      <c r="A1246" t="str">
        <f>"14:11:08.211"</f>
        <v>14:11:08.211</v>
      </c>
      <c r="B1246" t="s">
        <v>108</v>
      </c>
      <c r="C1246" t="str">
        <f t="shared" si="58"/>
        <v>ffdfd3c0</v>
      </c>
      <c r="D1246" t="s">
        <v>109</v>
      </c>
      <c r="E1246">
        <v>4</v>
      </c>
      <c r="F1246">
        <v>1004</v>
      </c>
      <c r="G1246" t="s">
        <v>110</v>
      </c>
      <c r="J1246" t="s">
        <v>111</v>
      </c>
      <c r="K1246">
        <v>0</v>
      </c>
      <c r="L1246">
        <v>3</v>
      </c>
      <c r="M1246">
        <v>0</v>
      </c>
      <c r="N1246">
        <v>2</v>
      </c>
      <c r="O1246">
        <v>1</v>
      </c>
      <c r="P1246">
        <v>0</v>
      </c>
      <c r="Q1246">
        <v>0</v>
      </c>
      <c r="R1246" t="s">
        <v>112</v>
      </c>
      <c r="S1246" t="str">
        <f>"14:11:08.000"</f>
        <v>14:11:08.000</v>
      </c>
      <c r="T1246" t="str">
        <f>"14:11:07.500"</f>
        <v>14:11:07.500</v>
      </c>
      <c r="U1246" t="str">
        <f t="shared" si="57"/>
        <v>ad5732</v>
      </c>
      <c r="V1246">
        <v>0</v>
      </c>
      <c r="W1246">
        <v>0</v>
      </c>
      <c r="X1246">
        <v>1</v>
      </c>
      <c r="Z1246">
        <v>0</v>
      </c>
      <c r="AA1246">
        <v>9</v>
      </c>
      <c r="AB1246">
        <v>3</v>
      </c>
      <c r="AC1246">
        <v>0</v>
      </c>
      <c r="AD1246">
        <v>10</v>
      </c>
      <c r="AE1246">
        <v>0</v>
      </c>
      <c r="AF1246">
        <v>3</v>
      </c>
      <c r="AG1246">
        <v>2</v>
      </c>
      <c r="AH1246">
        <v>0</v>
      </c>
      <c r="AI1246" t="s">
        <v>2593</v>
      </c>
      <c r="AJ1246">
        <v>39.533271999999997</v>
      </c>
      <c r="AK1246" t="s">
        <v>2594</v>
      </c>
      <c r="AL1246">
        <v>-76.631226999999996</v>
      </c>
      <c r="AM1246">
        <v>100</v>
      </c>
      <c r="AN1246">
        <v>8700</v>
      </c>
      <c r="AO1246" t="s">
        <v>115</v>
      </c>
      <c r="AP1246">
        <v>166</v>
      </c>
      <c r="AQ1246">
        <v>91</v>
      </c>
      <c r="AR1246">
        <v>64</v>
      </c>
      <c r="AZ1246">
        <v>3614</v>
      </c>
      <c r="BA1246">
        <v>1</v>
      </c>
      <c r="BB1246" t="str">
        <f t="shared" si="59"/>
        <v xml:space="preserve">N959MJ  </v>
      </c>
      <c r="BC1246">
        <v>1</v>
      </c>
      <c r="BE1246">
        <v>0</v>
      </c>
      <c r="BF1246">
        <v>0</v>
      </c>
      <c r="BG1246">
        <v>0</v>
      </c>
      <c r="BH1246">
        <v>9025</v>
      </c>
      <c r="BI1246">
        <v>325</v>
      </c>
      <c r="BJ1246">
        <v>1</v>
      </c>
      <c r="BK1246">
        <v>1</v>
      </c>
      <c r="BL1246">
        <v>1</v>
      </c>
      <c r="BM1246">
        <v>0</v>
      </c>
      <c r="BP1246">
        <v>0</v>
      </c>
      <c r="BQ1246">
        <v>0</v>
      </c>
      <c r="BX1246" t="str">
        <f>"14:11:08.000"</f>
        <v>14:11:08.000</v>
      </c>
      <c r="BY1246" t="str">
        <f>"002956419"</f>
        <v>002956419</v>
      </c>
      <c r="CL1246">
        <v>0</v>
      </c>
      <c r="CM1246">
        <v>2</v>
      </c>
      <c r="CN1246">
        <v>0</v>
      </c>
      <c r="CO1246">
        <v>2</v>
      </c>
      <c r="CP1246">
        <v>0</v>
      </c>
      <c r="CQ1246">
        <v>5</v>
      </c>
      <c r="CR1246" t="s">
        <v>116</v>
      </c>
      <c r="CS1246">
        <v>372</v>
      </c>
      <c r="CT1246">
        <v>3</v>
      </c>
      <c r="CU1246" t="s">
        <v>877</v>
      </c>
      <c r="CV1246" t="s">
        <v>878</v>
      </c>
      <c r="CY1246">
        <v>11577936</v>
      </c>
      <c r="CZ1246" t="s">
        <v>119</v>
      </c>
    </row>
    <row r="1247" spans="1:104" x14ac:dyDescent="0.25">
      <c r="A1247" t="str">
        <f>"14:11:09.164"</f>
        <v>14:11:09.164</v>
      </c>
      <c r="B1247" t="s">
        <v>108</v>
      </c>
      <c r="C1247" t="str">
        <f t="shared" si="58"/>
        <v>ffdfd3c0</v>
      </c>
      <c r="D1247" t="s">
        <v>109</v>
      </c>
      <c r="E1247">
        <v>4</v>
      </c>
      <c r="F1247">
        <v>1004</v>
      </c>
      <c r="G1247" t="s">
        <v>110</v>
      </c>
      <c r="J1247" t="s">
        <v>111</v>
      </c>
      <c r="K1247">
        <v>0</v>
      </c>
      <c r="L1247">
        <v>3</v>
      </c>
      <c r="M1247">
        <v>0</v>
      </c>
      <c r="N1247">
        <v>2</v>
      </c>
      <c r="O1247">
        <v>1</v>
      </c>
      <c r="P1247">
        <v>0</v>
      </c>
      <c r="Q1247">
        <v>0</v>
      </c>
      <c r="R1247" t="s">
        <v>112</v>
      </c>
      <c r="S1247" t="str">
        <f>"14:11:08.969"</f>
        <v>14:11:08.969</v>
      </c>
      <c r="T1247" t="str">
        <f>"14:11:08.469"</f>
        <v>14:11:08.469</v>
      </c>
      <c r="U1247" t="str">
        <f t="shared" si="57"/>
        <v>ad5732</v>
      </c>
      <c r="V1247">
        <v>0</v>
      </c>
      <c r="W1247">
        <v>0</v>
      </c>
      <c r="X1247">
        <v>1</v>
      </c>
      <c r="Z1247">
        <v>0</v>
      </c>
      <c r="AA1247">
        <v>9</v>
      </c>
      <c r="AB1247">
        <v>3</v>
      </c>
      <c r="AC1247">
        <v>0</v>
      </c>
      <c r="AD1247">
        <v>10</v>
      </c>
      <c r="AE1247">
        <v>0</v>
      </c>
      <c r="AF1247">
        <v>3</v>
      </c>
      <c r="AG1247">
        <v>2</v>
      </c>
      <c r="AH1247">
        <v>0</v>
      </c>
      <c r="AI1247" t="s">
        <v>2595</v>
      </c>
      <c r="AJ1247">
        <v>39.533658000000003</v>
      </c>
      <c r="AK1247" t="s">
        <v>2596</v>
      </c>
      <c r="AL1247">
        <v>-76.630347</v>
      </c>
      <c r="AM1247">
        <v>100</v>
      </c>
      <c r="AN1247">
        <v>8700</v>
      </c>
      <c r="AO1247" t="s">
        <v>115</v>
      </c>
      <c r="AP1247">
        <v>166</v>
      </c>
      <c r="AQ1247">
        <v>91</v>
      </c>
      <c r="AR1247">
        <v>64</v>
      </c>
      <c r="AZ1247">
        <v>3614</v>
      </c>
      <c r="BA1247">
        <v>1</v>
      </c>
      <c r="BB1247" t="str">
        <f t="shared" si="59"/>
        <v xml:space="preserve">N959MJ  </v>
      </c>
      <c r="BC1247">
        <v>1</v>
      </c>
      <c r="BE1247">
        <v>0</v>
      </c>
      <c r="BF1247">
        <v>0</v>
      </c>
      <c r="BG1247">
        <v>0</v>
      </c>
      <c r="BH1247">
        <v>9025</v>
      </c>
      <c r="BI1247">
        <v>325</v>
      </c>
      <c r="BJ1247">
        <v>1</v>
      </c>
      <c r="BK1247">
        <v>1</v>
      </c>
      <c r="BL1247">
        <v>1</v>
      </c>
      <c r="BM1247">
        <v>0</v>
      </c>
      <c r="BP1247">
        <v>0</v>
      </c>
      <c r="BQ1247">
        <v>0</v>
      </c>
      <c r="BX1247" t="str">
        <f>"14:11:08.977"</f>
        <v>14:11:08.977</v>
      </c>
      <c r="BY1247" t="str">
        <f>"974471185"</f>
        <v>974471185</v>
      </c>
      <c r="CL1247">
        <v>0</v>
      </c>
      <c r="CM1247">
        <v>2</v>
      </c>
      <c r="CN1247">
        <v>0</v>
      </c>
      <c r="CO1247">
        <v>2</v>
      </c>
      <c r="CP1247">
        <v>0</v>
      </c>
      <c r="CQ1247">
        <v>6</v>
      </c>
      <c r="CR1247" t="s">
        <v>116</v>
      </c>
      <c r="CS1247">
        <v>396</v>
      </c>
      <c r="CT1247">
        <v>2</v>
      </c>
      <c r="CU1247" t="s">
        <v>939</v>
      </c>
      <c r="CV1247" t="s">
        <v>940</v>
      </c>
      <c r="CY1247">
        <v>4937903</v>
      </c>
      <c r="CZ1247" t="s">
        <v>119</v>
      </c>
    </row>
    <row r="1248" spans="1:104" x14ac:dyDescent="0.25">
      <c r="A1248" t="str">
        <f>"14:11:10.078"</f>
        <v>14:11:10.078</v>
      </c>
      <c r="B1248" t="s">
        <v>108</v>
      </c>
      <c r="C1248" t="str">
        <f t="shared" si="58"/>
        <v>ffdfd3c0</v>
      </c>
      <c r="D1248" t="s">
        <v>109</v>
      </c>
      <c r="E1248">
        <v>4</v>
      </c>
      <c r="F1248">
        <v>1004</v>
      </c>
      <c r="G1248" t="s">
        <v>110</v>
      </c>
      <c r="J1248" t="s">
        <v>111</v>
      </c>
      <c r="K1248">
        <v>0</v>
      </c>
      <c r="L1248">
        <v>3</v>
      </c>
      <c r="M1248">
        <v>0</v>
      </c>
      <c r="N1248">
        <v>2</v>
      </c>
      <c r="O1248">
        <v>1</v>
      </c>
      <c r="P1248">
        <v>0</v>
      </c>
      <c r="Q1248">
        <v>0</v>
      </c>
      <c r="R1248" t="s">
        <v>112</v>
      </c>
      <c r="S1248" t="str">
        <f>"14:11:09.906"</f>
        <v>14:11:09.906</v>
      </c>
      <c r="T1248" t="str">
        <f>"14:11:09.508"</f>
        <v>14:11:09.508</v>
      </c>
      <c r="U1248" t="str">
        <f t="shared" si="57"/>
        <v>ad5732</v>
      </c>
      <c r="V1248">
        <v>0</v>
      </c>
      <c r="W1248">
        <v>0</v>
      </c>
      <c r="X1248">
        <v>1</v>
      </c>
      <c r="Z1248">
        <v>0</v>
      </c>
      <c r="AA1248">
        <v>9</v>
      </c>
      <c r="AB1248">
        <v>3</v>
      </c>
      <c r="AC1248">
        <v>0</v>
      </c>
      <c r="AD1248">
        <v>10</v>
      </c>
      <c r="AE1248">
        <v>0</v>
      </c>
      <c r="AF1248">
        <v>3</v>
      </c>
      <c r="AG1248">
        <v>2</v>
      </c>
      <c r="AH1248">
        <v>0</v>
      </c>
      <c r="AI1248" t="s">
        <v>2597</v>
      </c>
      <c r="AJ1248">
        <v>39.534066000000003</v>
      </c>
      <c r="AK1248" t="s">
        <v>2598</v>
      </c>
      <c r="AL1248">
        <v>-76.629338000000004</v>
      </c>
      <c r="AM1248">
        <v>100</v>
      </c>
      <c r="AN1248">
        <v>8700</v>
      </c>
      <c r="AO1248" t="s">
        <v>115</v>
      </c>
      <c r="AP1248">
        <v>166</v>
      </c>
      <c r="AQ1248">
        <v>91</v>
      </c>
      <c r="AR1248">
        <v>128</v>
      </c>
      <c r="AZ1248">
        <v>3614</v>
      </c>
      <c r="BA1248">
        <v>1</v>
      </c>
      <c r="BB1248" t="str">
        <f t="shared" si="59"/>
        <v xml:space="preserve">N959MJ  </v>
      </c>
      <c r="BC1248">
        <v>1</v>
      </c>
      <c r="BE1248">
        <v>0</v>
      </c>
      <c r="BF1248">
        <v>0</v>
      </c>
      <c r="BG1248">
        <v>0</v>
      </c>
      <c r="BH1248">
        <v>9025</v>
      </c>
      <c r="BI1248">
        <v>325</v>
      </c>
      <c r="BJ1248">
        <v>1</v>
      </c>
      <c r="BK1248">
        <v>1</v>
      </c>
      <c r="BL1248">
        <v>1</v>
      </c>
      <c r="BM1248">
        <v>0</v>
      </c>
      <c r="BP1248">
        <v>0</v>
      </c>
      <c r="BQ1248">
        <v>0</v>
      </c>
      <c r="BX1248" t="str">
        <f>"14:11:09.914"</f>
        <v>14:11:09.914</v>
      </c>
      <c r="BY1248" t="str">
        <f>"913289797"</f>
        <v>913289797</v>
      </c>
      <c r="CL1248">
        <v>0</v>
      </c>
      <c r="CM1248">
        <v>2</v>
      </c>
      <c r="CN1248">
        <v>0</v>
      </c>
      <c r="CO1248">
        <v>2</v>
      </c>
      <c r="CP1248">
        <v>0</v>
      </c>
      <c r="CQ1248">
        <v>7</v>
      </c>
      <c r="CR1248" t="s">
        <v>116</v>
      </c>
      <c r="CS1248">
        <v>396</v>
      </c>
      <c r="CT1248">
        <v>2</v>
      </c>
      <c r="CU1248" t="s">
        <v>939</v>
      </c>
      <c r="CV1248" t="s">
        <v>940</v>
      </c>
      <c r="CY1248">
        <v>4939540</v>
      </c>
      <c r="CZ1248" t="s">
        <v>119</v>
      </c>
    </row>
    <row r="1249" spans="1:104" x14ac:dyDescent="0.25">
      <c r="A1249" t="str">
        <f>"14:11:11.188"</f>
        <v>14:11:11.188</v>
      </c>
      <c r="B1249" t="s">
        <v>108</v>
      </c>
      <c r="C1249" t="str">
        <f t="shared" si="58"/>
        <v>ffdfd3c0</v>
      </c>
      <c r="D1249" t="s">
        <v>109</v>
      </c>
      <c r="E1249">
        <v>4</v>
      </c>
      <c r="F1249">
        <v>1004</v>
      </c>
      <c r="G1249" t="s">
        <v>110</v>
      </c>
      <c r="J1249" t="s">
        <v>111</v>
      </c>
      <c r="K1249">
        <v>0</v>
      </c>
      <c r="L1249">
        <v>3</v>
      </c>
      <c r="M1249">
        <v>0</v>
      </c>
      <c r="N1249">
        <v>2</v>
      </c>
      <c r="O1249">
        <v>1</v>
      </c>
      <c r="P1249">
        <v>0</v>
      </c>
      <c r="Q1249">
        <v>0</v>
      </c>
      <c r="R1249" t="s">
        <v>112</v>
      </c>
      <c r="S1249" t="str">
        <f>"14:11:11.000"</f>
        <v>14:11:11.000</v>
      </c>
      <c r="T1249" t="str">
        <f>"14:11:10.000"</f>
        <v>14:11:10.000</v>
      </c>
      <c r="U1249" t="str">
        <f t="shared" si="57"/>
        <v>ad5732</v>
      </c>
      <c r="V1249">
        <v>0</v>
      </c>
      <c r="W1249">
        <v>0</v>
      </c>
      <c r="X1249">
        <v>1</v>
      </c>
      <c r="Z1249">
        <v>0</v>
      </c>
      <c r="AA1249">
        <v>9</v>
      </c>
      <c r="AB1249">
        <v>3</v>
      </c>
      <c r="AC1249">
        <v>0</v>
      </c>
      <c r="AD1249">
        <v>10</v>
      </c>
      <c r="AE1249">
        <v>0</v>
      </c>
      <c r="AF1249">
        <v>3</v>
      </c>
      <c r="AG1249">
        <v>2</v>
      </c>
      <c r="AH1249">
        <v>0</v>
      </c>
      <c r="AI1249" t="s">
        <v>2599</v>
      </c>
      <c r="AJ1249">
        <v>39.534537999999998</v>
      </c>
      <c r="AK1249" t="s">
        <v>2600</v>
      </c>
      <c r="AL1249">
        <v>-76.628243999999995</v>
      </c>
      <c r="AM1249">
        <v>100</v>
      </c>
      <c r="AN1249">
        <v>8700</v>
      </c>
      <c r="AO1249" t="s">
        <v>115</v>
      </c>
      <c r="AP1249">
        <v>166</v>
      </c>
      <c r="AQ1249">
        <v>91</v>
      </c>
      <c r="AR1249">
        <v>128</v>
      </c>
      <c r="AZ1249">
        <v>3614</v>
      </c>
      <c r="BA1249">
        <v>1</v>
      </c>
      <c r="BB1249" t="str">
        <f t="shared" si="59"/>
        <v xml:space="preserve">N959MJ  </v>
      </c>
      <c r="BC1249">
        <v>1</v>
      </c>
      <c r="BE1249">
        <v>0</v>
      </c>
      <c r="BF1249">
        <v>0</v>
      </c>
      <c r="BG1249">
        <v>0</v>
      </c>
      <c r="BH1249">
        <v>9025</v>
      </c>
      <c r="BI1249">
        <v>325</v>
      </c>
      <c r="BJ1249">
        <v>1</v>
      </c>
      <c r="BK1249">
        <v>1</v>
      </c>
      <c r="BL1249">
        <v>1</v>
      </c>
      <c r="BM1249">
        <v>0</v>
      </c>
      <c r="BP1249">
        <v>0</v>
      </c>
      <c r="BQ1249">
        <v>0</v>
      </c>
      <c r="BX1249" t="str">
        <f>"14:11:11.008"</f>
        <v>14:11:11.008</v>
      </c>
      <c r="BY1249" t="str">
        <f>"006120597"</f>
        <v>006120597</v>
      </c>
      <c r="CL1249">
        <v>0</v>
      </c>
      <c r="CM1249">
        <v>2</v>
      </c>
      <c r="CN1249">
        <v>0</v>
      </c>
      <c r="CO1249">
        <v>2</v>
      </c>
      <c r="CP1249">
        <v>0</v>
      </c>
      <c r="CQ1249">
        <v>7</v>
      </c>
      <c r="CR1249" t="s">
        <v>116</v>
      </c>
      <c r="CS1249">
        <v>396</v>
      </c>
      <c r="CT1249">
        <v>2</v>
      </c>
      <c r="CU1249" t="s">
        <v>939</v>
      </c>
      <c r="CV1249" t="s">
        <v>940</v>
      </c>
      <c r="CY1249">
        <v>4941592</v>
      </c>
      <c r="CZ1249" t="s">
        <v>119</v>
      </c>
    </row>
    <row r="1250" spans="1:104" x14ac:dyDescent="0.25">
      <c r="A1250" t="str">
        <f>"14:11:12.250"</f>
        <v>14:11:12.250</v>
      </c>
      <c r="B1250" t="s">
        <v>108</v>
      </c>
      <c r="C1250" t="str">
        <f t="shared" si="58"/>
        <v>ffdfd3c0</v>
      </c>
      <c r="D1250" t="s">
        <v>109</v>
      </c>
      <c r="E1250">
        <v>4</v>
      </c>
      <c r="F1250">
        <v>1004</v>
      </c>
      <c r="G1250" t="s">
        <v>110</v>
      </c>
      <c r="J1250" t="s">
        <v>111</v>
      </c>
      <c r="K1250">
        <v>0</v>
      </c>
      <c r="L1250">
        <v>3</v>
      </c>
      <c r="M1250">
        <v>0</v>
      </c>
      <c r="N1250">
        <v>2</v>
      </c>
      <c r="O1250">
        <v>1</v>
      </c>
      <c r="P1250">
        <v>0</v>
      </c>
      <c r="Q1250">
        <v>0</v>
      </c>
      <c r="R1250" t="s">
        <v>112</v>
      </c>
      <c r="S1250" t="str">
        <f>"14:11:12.055"</f>
        <v>14:11:12.055</v>
      </c>
      <c r="T1250" t="str">
        <f>"14:11:11.656"</f>
        <v>14:11:11.656</v>
      </c>
      <c r="U1250" t="str">
        <f t="shared" si="57"/>
        <v>ad5732</v>
      </c>
      <c r="V1250">
        <v>0</v>
      </c>
      <c r="W1250">
        <v>0</v>
      </c>
      <c r="X1250">
        <v>1</v>
      </c>
      <c r="Z1250">
        <v>0</v>
      </c>
      <c r="AA1250">
        <v>9</v>
      </c>
      <c r="AB1250">
        <v>3</v>
      </c>
      <c r="AC1250">
        <v>0</v>
      </c>
      <c r="AD1250">
        <v>10</v>
      </c>
      <c r="AE1250">
        <v>0</v>
      </c>
      <c r="AF1250">
        <v>3</v>
      </c>
      <c r="AG1250">
        <v>2</v>
      </c>
      <c r="AH1250">
        <v>0</v>
      </c>
      <c r="AI1250" t="s">
        <v>2601</v>
      </c>
      <c r="AJ1250">
        <v>39.534945</v>
      </c>
      <c r="AK1250" t="s">
        <v>2602</v>
      </c>
      <c r="AL1250">
        <v>-76.627257</v>
      </c>
      <c r="AM1250">
        <v>100</v>
      </c>
      <c r="AN1250">
        <v>8700</v>
      </c>
      <c r="AO1250" t="s">
        <v>115</v>
      </c>
      <c r="AP1250">
        <v>166</v>
      </c>
      <c r="AQ1250">
        <v>91</v>
      </c>
      <c r="AR1250">
        <v>64</v>
      </c>
      <c r="AZ1250">
        <v>3614</v>
      </c>
      <c r="BA1250">
        <v>1</v>
      </c>
      <c r="BB1250" t="str">
        <f t="shared" si="59"/>
        <v xml:space="preserve">N959MJ  </v>
      </c>
      <c r="BC1250">
        <v>1</v>
      </c>
      <c r="BE1250">
        <v>0</v>
      </c>
      <c r="BF1250">
        <v>0</v>
      </c>
      <c r="BG1250">
        <v>0</v>
      </c>
      <c r="BH1250">
        <v>9025</v>
      </c>
      <c r="BI1250">
        <v>325</v>
      </c>
      <c r="BJ1250">
        <v>1</v>
      </c>
      <c r="BK1250">
        <v>1</v>
      </c>
      <c r="BL1250">
        <v>1</v>
      </c>
      <c r="BM1250">
        <v>0</v>
      </c>
      <c r="BP1250">
        <v>0</v>
      </c>
      <c r="BQ1250">
        <v>0</v>
      </c>
      <c r="BX1250" t="str">
        <f>"14:11:12.063"</f>
        <v>14:11:12.063</v>
      </c>
      <c r="BY1250" t="str">
        <f>"059702275"</f>
        <v>059702275</v>
      </c>
      <c r="CL1250">
        <v>0</v>
      </c>
      <c r="CM1250">
        <v>2</v>
      </c>
      <c r="CN1250">
        <v>0</v>
      </c>
      <c r="CO1250">
        <v>2</v>
      </c>
      <c r="CP1250">
        <v>0</v>
      </c>
      <c r="CQ1250">
        <v>5</v>
      </c>
      <c r="CR1250" t="s">
        <v>116</v>
      </c>
      <c r="CS1250">
        <v>372</v>
      </c>
      <c r="CT1250">
        <v>3</v>
      </c>
      <c r="CU1250" t="s">
        <v>877</v>
      </c>
      <c r="CV1250" t="s">
        <v>878</v>
      </c>
      <c r="CY1250">
        <v>11585170</v>
      </c>
      <c r="CZ1250" t="s">
        <v>119</v>
      </c>
    </row>
    <row r="1251" spans="1:104" x14ac:dyDescent="0.25">
      <c r="A1251" t="str">
        <f>"14:11:13.203"</f>
        <v>14:11:13.203</v>
      </c>
      <c r="B1251" t="s">
        <v>108</v>
      </c>
      <c r="C1251" t="str">
        <f t="shared" si="58"/>
        <v>ffdfd3c0</v>
      </c>
      <c r="D1251" t="s">
        <v>109</v>
      </c>
      <c r="E1251">
        <v>4</v>
      </c>
      <c r="F1251">
        <v>1004</v>
      </c>
      <c r="G1251" t="s">
        <v>110</v>
      </c>
      <c r="J1251" t="s">
        <v>111</v>
      </c>
      <c r="K1251">
        <v>0</v>
      </c>
      <c r="L1251">
        <v>3</v>
      </c>
      <c r="M1251">
        <v>0</v>
      </c>
      <c r="N1251">
        <v>2</v>
      </c>
      <c r="O1251">
        <v>1</v>
      </c>
      <c r="P1251">
        <v>0</v>
      </c>
      <c r="Q1251">
        <v>0</v>
      </c>
      <c r="R1251" t="s">
        <v>112</v>
      </c>
      <c r="S1251" t="str">
        <f>"14:11:13.016"</f>
        <v>14:11:13.016</v>
      </c>
      <c r="T1251" t="str">
        <f>"14:11:12.617"</f>
        <v>14:11:12.617</v>
      </c>
      <c r="U1251" t="str">
        <f t="shared" si="57"/>
        <v>ad5732</v>
      </c>
      <c r="V1251">
        <v>0</v>
      </c>
      <c r="W1251">
        <v>0</v>
      </c>
      <c r="X1251">
        <v>1</v>
      </c>
      <c r="Z1251">
        <v>0</v>
      </c>
      <c r="AA1251">
        <v>9</v>
      </c>
      <c r="AB1251">
        <v>3</v>
      </c>
      <c r="AC1251">
        <v>0</v>
      </c>
      <c r="AD1251">
        <v>10</v>
      </c>
      <c r="AE1251">
        <v>0</v>
      </c>
      <c r="AF1251">
        <v>3</v>
      </c>
      <c r="AG1251">
        <v>2</v>
      </c>
      <c r="AH1251">
        <v>0</v>
      </c>
      <c r="AI1251" t="s">
        <v>2603</v>
      </c>
      <c r="AJ1251">
        <v>39.535375000000002</v>
      </c>
      <c r="AK1251" t="s">
        <v>2604</v>
      </c>
      <c r="AL1251">
        <v>-76.626290999999995</v>
      </c>
      <c r="AM1251">
        <v>100</v>
      </c>
      <c r="AN1251">
        <v>8700</v>
      </c>
      <c r="AO1251" t="s">
        <v>115</v>
      </c>
      <c r="AP1251">
        <v>166</v>
      </c>
      <c r="AQ1251">
        <v>91</v>
      </c>
      <c r="AR1251">
        <v>64</v>
      </c>
      <c r="AZ1251">
        <v>3614</v>
      </c>
      <c r="BA1251">
        <v>1</v>
      </c>
      <c r="BB1251" t="str">
        <f t="shared" si="59"/>
        <v xml:space="preserve">N959MJ  </v>
      </c>
      <c r="BC1251">
        <v>1</v>
      </c>
      <c r="BE1251">
        <v>0</v>
      </c>
      <c r="BF1251">
        <v>0</v>
      </c>
      <c r="BG1251">
        <v>0</v>
      </c>
      <c r="BH1251">
        <v>9025</v>
      </c>
      <c r="BI1251">
        <v>325</v>
      </c>
      <c r="BJ1251">
        <v>1</v>
      </c>
      <c r="BK1251">
        <v>1</v>
      </c>
      <c r="BL1251">
        <v>1</v>
      </c>
      <c r="BM1251">
        <v>0</v>
      </c>
      <c r="BP1251">
        <v>0</v>
      </c>
      <c r="BQ1251">
        <v>0</v>
      </c>
      <c r="BX1251" t="str">
        <f>"14:11:13.023"</f>
        <v>14:11:13.023</v>
      </c>
      <c r="BY1251" t="str">
        <f>"019815969"</f>
        <v>019815969</v>
      </c>
      <c r="CL1251">
        <v>0</v>
      </c>
      <c r="CM1251">
        <v>2</v>
      </c>
      <c r="CN1251">
        <v>0</v>
      </c>
      <c r="CO1251">
        <v>2</v>
      </c>
      <c r="CP1251">
        <v>0</v>
      </c>
      <c r="CQ1251">
        <v>6</v>
      </c>
      <c r="CR1251" t="s">
        <v>116</v>
      </c>
      <c r="CS1251">
        <v>147</v>
      </c>
      <c r="CT1251">
        <v>0</v>
      </c>
      <c r="CU1251" t="s">
        <v>117</v>
      </c>
      <c r="CV1251" t="s">
        <v>118</v>
      </c>
      <c r="CY1251">
        <v>5948536</v>
      </c>
      <c r="CZ1251" t="s">
        <v>119</v>
      </c>
    </row>
    <row r="1252" spans="1:104" x14ac:dyDescent="0.25">
      <c r="A1252" t="str">
        <f>"14:11:14.266"</f>
        <v>14:11:14.266</v>
      </c>
      <c r="B1252" t="s">
        <v>108</v>
      </c>
      <c r="C1252" t="str">
        <f t="shared" si="58"/>
        <v>ffdfd3c0</v>
      </c>
      <c r="D1252" t="s">
        <v>109</v>
      </c>
      <c r="E1252">
        <v>4</v>
      </c>
      <c r="F1252">
        <v>1004</v>
      </c>
      <c r="G1252" t="s">
        <v>110</v>
      </c>
      <c r="J1252" t="s">
        <v>111</v>
      </c>
      <c r="K1252">
        <v>0</v>
      </c>
      <c r="L1252">
        <v>3</v>
      </c>
      <c r="M1252">
        <v>0</v>
      </c>
      <c r="N1252">
        <v>2</v>
      </c>
      <c r="O1252">
        <v>1</v>
      </c>
      <c r="P1252">
        <v>0</v>
      </c>
      <c r="Q1252">
        <v>0</v>
      </c>
      <c r="R1252" t="s">
        <v>112</v>
      </c>
      <c r="S1252" t="str">
        <f>"14:11:14.055"</f>
        <v>14:11:14.055</v>
      </c>
      <c r="T1252" t="str">
        <f>"14:11:13.555"</f>
        <v>14:11:13.555</v>
      </c>
      <c r="U1252" t="str">
        <f t="shared" si="57"/>
        <v>ad5732</v>
      </c>
      <c r="V1252">
        <v>0</v>
      </c>
      <c r="W1252">
        <v>0</v>
      </c>
      <c r="X1252">
        <v>1</v>
      </c>
      <c r="Z1252">
        <v>0</v>
      </c>
      <c r="AA1252">
        <v>9</v>
      </c>
      <c r="AB1252">
        <v>3</v>
      </c>
      <c r="AC1252">
        <v>0</v>
      </c>
      <c r="AD1252">
        <v>10</v>
      </c>
      <c r="AE1252">
        <v>0</v>
      </c>
      <c r="AF1252">
        <v>3</v>
      </c>
      <c r="AG1252">
        <v>2</v>
      </c>
      <c r="AH1252">
        <v>0</v>
      </c>
      <c r="AI1252" t="s">
        <v>2605</v>
      </c>
      <c r="AJ1252">
        <v>39.535781999999998</v>
      </c>
      <c r="AK1252" t="s">
        <v>2606</v>
      </c>
      <c r="AL1252">
        <v>-76.625240000000005</v>
      </c>
      <c r="AM1252">
        <v>100</v>
      </c>
      <c r="AN1252">
        <v>8700</v>
      </c>
      <c r="AO1252" t="s">
        <v>115</v>
      </c>
      <c r="AP1252">
        <v>166</v>
      </c>
      <c r="AQ1252">
        <v>91</v>
      </c>
      <c r="AR1252">
        <v>0</v>
      </c>
      <c r="AZ1252">
        <v>3614</v>
      </c>
      <c r="BA1252">
        <v>1</v>
      </c>
      <c r="BB1252" t="str">
        <f t="shared" si="59"/>
        <v xml:space="preserve">N959MJ  </v>
      </c>
      <c r="BC1252">
        <v>1</v>
      </c>
      <c r="BE1252">
        <v>0</v>
      </c>
      <c r="BF1252">
        <v>0</v>
      </c>
      <c r="BG1252">
        <v>0</v>
      </c>
      <c r="BH1252">
        <v>9025</v>
      </c>
      <c r="BI1252">
        <v>325</v>
      </c>
      <c r="BJ1252">
        <v>1</v>
      </c>
      <c r="BK1252">
        <v>1</v>
      </c>
      <c r="BL1252">
        <v>1</v>
      </c>
      <c r="BM1252">
        <v>0</v>
      </c>
      <c r="BP1252">
        <v>0</v>
      </c>
      <c r="BQ1252">
        <v>0</v>
      </c>
      <c r="BX1252" t="str">
        <f>"14:11:14.063"</f>
        <v>14:11:14.063</v>
      </c>
      <c r="BY1252" t="str">
        <f>"061786763"</f>
        <v>061786763</v>
      </c>
      <c r="CL1252">
        <v>0</v>
      </c>
      <c r="CM1252">
        <v>2</v>
      </c>
      <c r="CN1252">
        <v>0</v>
      </c>
      <c r="CO1252">
        <v>2</v>
      </c>
      <c r="CP1252">
        <v>0</v>
      </c>
      <c r="CQ1252">
        <v>6</v>
      </c>
      <c r="CR1252" t="s">
        <v>116</v>
      </c>
      <c r="CS1252">
        <v>396</v>
      </c>
      <c r="CT1252">
        <v>2</v>
      </c>
      <c r="CU1252" t="s">
        <v>939</v>
      </c>
      <c r="CV1252" t="s">
        <v>940</v>
      </c>
      <c r="CY1252">
        <v>4947048</v>
      </c>
      <c r="CZ1252" t="s">
        <v>119</v>
      </c>
    </row>
    <row r="1253" spans="1:104" x14ac:dyDescent="0.25">
      <c r="A1253" t="str">
        <f>"14:11:15.172"</f>
        <v>14:11:15.172</v>
      </c>
      <c r="B1253" t="s">
        <v>108</v>
      </c>
      <c r="C1253" t="str">
        <f t="shared" si="58"/>
        <v>ffdfd3c0</v>
      </c>
      <c r="D1253" t="s">
        <v>109</v>
      </c>
      <c r="E1253">
        <v>4</v>
      </c>
      <c r="F1253">
        <v>1004</v>
      </c>
      <c r="G1253" t="s">
        <v>110</v>
      </c>
      <c r="J1253" t="s">
        <v>111</v>
      </c>
      <c r="K1253">
        <v>0</v>
      </c>
      <c r="L1253">
        <v>3</v>
      </c>
      <c r="M1253">
        <v>0</v>
      </c>
      <c r="N1253">
        <v>2</v>
      </c>
      <c r="O1253">
        <v>1</v>
      </c>
      <c r="P1253">
        <v>0</v>
      </c>
      <c r="Q1253">
        <v>0</v>
      </c>
      <c r="R1253" t="s">
        <v>112</v>
      </c>
      <c r="S1253" t="str">
        <f>"14:11:14.977"</f>
        <v>14:11:14.977</v>
      </c>
      <c r="T1253" t="str">
        <f>"14:11:14.578"</f>
        <v>14:11:14.578</v>
      </c>
      <c r="U1253" t="str">
        <f t="shared" si="57"/>
        <v>ad5732</v>
      </c>
      <c r="V1253">
        <v>0</v>
      </c>
      <c r="W1253">
        <v>0</v>
      </c>
      <c r="X1253">
        <v>1</v>
      </c>
      <c r="Z1253">
        <v>0</v>
      </c>
      <c r="AA1253">
        <v>9</v>
      </c>
      <c r="AB1253">
        <v>3</v>
      </c>
      <c r="AC1253">
        <v>0</v>
      </c>
      <c r="AD1253">
        <v>10</v>
      </c>
      <c r="AE1253">
        <v>0</v>
      </c>
      <c r="AF1253">
        <v>3</v>
      </c>
      <c r="AG1253">
        <v>2</v>
      </c>
      <c r="AH1253">
        <v>0</v>
      </c>
      <c r="AI1253" t="s">
        <v>2607</v>
      </c>
      <c r="AJ1253">
        <v>39.536169000000001</v>
      </c>
      <c r="AK1253" t="s">
        <v>2608</v>
      </c>
      <c r="AL1253">
        <v>-76.624381999999997</v>
      </c>
      <c r="AM1253">
        <v>100</v>
      </c>
      <c r="AN1253">
        <v>8700</v>
      </c>
      <c r="AO1253" t="s">
        <v>115</v>
      </c>
      <c r="AP1253">
        <v>166</v>
      </c>
      <c r="AQ1253">
        <v>91</v>
      </c>
      <c r="AR1253">
        <v>-64</v>
      </c>
      <c r="AZ1253">
        <v>3614</v>
      </c>
      <c r="BA1253">
        <v>1</v>
      </c>
      <c r="BB1253" t="str">
        <f t="shared" si="59"/>
        <v xml:space="preserve">N959MJ  </v>
      </c>
      <c r="BC1253">
        <v>1</v>
      </c>
      <c r="BE1253">
        <v>0</v>
      </c>
      <c r="BF1253">
        <v>0</v>
      </c>
      <c r="BG1253">
        <v>0</v>
      </c>
      <c r="BH1253">
        <v>9025</v>
      </c>
      <c r="BI1253">
        <v>325</v>
      </c>
      <c r="BJ1253">
        <v>1</v>
      </c>
      <c r="BK1253">
        <v>1</v>
      </c>
      <c r="BL1253">
        <v>1</v>
      </c>
      <c r="BM1253">
        <v>0</v>
      </c>
      <c r="BP1253">
        <v>0</v>
      </c>
      <c r="BQ1253">
        <v>0</v>
      </c>
      <c r="BX1253" t="str">
        <f>"14:11:14.977"</f>
        <v>14:11:14.977</v>
      </c>
      <c r="BY1253" t="str">
        <f>"977734911"</f>
        <v>977734911</v>
      </c>
      <c r="CL1253">
        <v>0</v>
      </c>
      <c r="CM1253">
        <v>2</v>
      </c>
      <c r="CN1253">
        <v>0</v>
      </c>
      <c r="CO1253">
        <v>2</v>
      </c>
      <c r="CP1253">
        <v>0</v>
      </c>
      <c r="CQ1253">
        <v>5</v>
      </c>
      <c r="CR1253" t="s">
        <v>116</v>
      </c>
      <c r="CS1253">
        <v>525</v>
      </c>
      <c r="CT1253">
        <v>1</v>
      </c>
      <c r="CU1253" t="s">
        <v>140</v>
      </c>
      <c r="CV1253" t="s">
        <v>141</v>
      </c>
      <c r="CY1253">
        <v>8984841</v>
      </c>
      <c r="CZ1253" t="s">
        <v>119</v>
      </c>
    </row>
    <row r="1254" spans="1:104" x14ac:dyDescent="0.25">
      <c r="A1254" t="str">
        <f>"14:11:16.133"</f>
        <v>14:11:16.133</v>
      </c>
      <c r="B1254" t="s">
        <v>108</v>
      </c>
      <c r="C1254" t="str">
        <f t="shared" si="58"/>
        <v>ffdfd3c0</v>
      </c>
      <c r="D1254" t="s">
        <v>109</v>
      </c>
      <c r="E1254">
        <v>4</v>
      </c>
      <c r="F1254">
        <v>1004</v>
      </c>
      <c r="G1254" t="s">
        <v>110</v>
      </c>
      <c r="J1254" t="s">
        <v>111</v>
      </c>
      <c r="K1254">
        <v>0</v>
      </c>
      <c r="L1254">
        <v>3</v>
      </c>
      <c r="M1254">
        <v>0</v>
      </c>
      <c r="N1254">
        <v>2</v>
      </c>
      <c r="O1254">
        <v>1</v>
      </c>
      <c r="P1254">
        <v>0</v>
      </c>
      <c r="Q1254">
        <v>0</v>
      </c>
      <c r="R1254" t="s">
        <v>112</v>
      </c>
      <c r="S1254" t="str">
        <f>"14:11:15.938"</f>
        <v>14:11:15.938</v>
      </c>
      <c r="T1254" t="str">
        <f>"14:11:15.438"</f>
        <v>14:11:15.438</v>
      </c>
      <c r="U1254" t="str">
        <f t="shared" si="57"/>
        <v>ad5732</v>
      </c>
      <c r="V1254">
        <v>0</v>
      </c>
      <c r="W1254">
        <v>0</v>
      </c>
      <c r="X1254">
        <v>1</v>
      </c>
      <c r="Z1254">
        <v>0</v>
      </c>
      <c r="AA1254">
        <v>9</v>
      </c>
      <c r="AB1254">
        <v>3</v>
      </c>
      <c r="AC1254">
        <v>0</v>
      </c>
      <c r="AD1254">
        <v>10</v>
      </c>
      <c r="AE1254">
        <v>0</v>
      </c>
      <c r="AF1254">
        <v>3</v>
      </c>
      <c r="AG1254">
        <v>2</v>
      </c>
      <c r="AH1254">
        <v>0</v>
      </c>
      <c r="AI1254" t="s">
        <v>2609</v>
      </c>
      <c r="AJ1254">
        <v>39.536597999999998</v>
      </c>
      <c r="AK1254" t="s">
        <v>2610</v>
      </c>
      <c r="AL1254">
        <v>-76.623373000000001</v>
      </c>
      <c r="AM1254">
        <v>100</v>
      </c>
      <c r="AN1254">
        <v>8700</v>
      </c>
      <c r="AO1254" t="s">
        <v>115</v>
      </c>
      <c r="AP1254">
        <v>166</v>
      </c>
      <c r="AQ1254">
        <v>91</v>
      </c>
      <c r="AR1254">
        <v>-64</v>
      </c>
      <c r="AZ1254">
        <v>3614</v>
      </c>
      <c r="BA1254">
        <v>1</v>
      </c>
      <c r="BB1254" t="str">
        <f t="shared" si="59"/>
        <v xml:space="preserve">N959MJ  </v>
      </c>
      <c r="BC1254">
        <v>1</v>
      </c>
      <c r="BE1254">
        <v>0</v>
      </c>
      <c r="BF1254">
        <v>0</v>
      </c>
      <c r="BG1254">
        <v>0</v>
      </c>
      <c r="BH1254">
        <v>9025</v>
      </c>
      <c r="BI1254">
        <v>325</v>
      </c>
      <c r="BJ1254">
        <v>1</v>
      </c>
      <c r="BK1254">
        <v>1</v>
      </c>
      <c r="BL1254">
        <v>1</v>
      </c>
      <c r="BM1254">
        <v>0</v>
      </c>
      <c r="BP1254">
        <v>0</v>
      </c>
      <c r="BQ1254">
        <v>0</v>
      </c>
      <c r="BX1254" t="str">
        <f>"14:11:15.945"</f>
        <v>14:11:15.945</v>
      </c>
      <c r="BY1254" t="str">
        <f>"942768837"</f>
        <v>942768837</v>
      </c>
      <c r="CL1254">
        <v>0</v>
      </c>
      <c r="CM1254">
        <v>2</v>
      </c>
      <c r="CN1254">
        <v>0</v>
      </c>
      <c r="CO1254">
        <v>2</v>
      </c>
      <c r="CP1254">
        <v>0</v>
      </c>
      <c r="CQ1254">
        <v>5</v>
      </c>
      <c r="CR1254" t="s">
        <v>116</v>
      </c>
      <c r="CS1254">
        <v>525</v>
      </c>
      <c r="CT1254">
        <v>1</v>
      </c>
      <c r="CU1254" t="s">
        <v>140</v>
      </c>
      <c r="CV1254" t="s">
        <v>141</v>
      </c>
      <c r="CY1254">
        <v>8986306</v>
      </c>
      <c r="CZ1254" t="s">
        <v>119</v>
      </c>
    </row>
    <row r="1255" spans="1:104" x14ac:dyDescent="0.25">
      <c r="A1255" t="str">
        <f>"14:11:17.195"</f>
        <v>14:11:17.195</v>
      </c>
      <c r="B1255" t="s">
        <v>108</v>
      </c>
      <c r="C1255" t="str">
        <f t="shared" si="58"/>
        <v>ffdfd3c0</v>
      </c>
      <c r="D1255" t="s">
        <v>109</v>
      </c>
      <c r="E1255">
        <v>4</v>
      </c>
      <c r="F1255">
        <v>1004</v>
      </c>
      <c r="G1255" t="s">
        <v>110</v>
      </c>
      <c r="J1255" t="s">
        <v>111</v>
      </c>
      <c r="K1255">
        <v>0</v>
      </c>
      <c r="L1255">
        <v>3</v>
      </c>
      <c r="M1255">
        <v>0</v>
      </c>
      <c r="N1255">
        <v>2</v>
      </c>
      <c r="O1255">
        <v>1</v>
      </c>
      <c r="P1255">
        <v>0</v>
      </c>
      <c r="Q1255">
        <v>0</v>
      </c>
      <c r="R1255" t="s">
        <v>112</v>
      </c>
      <c r="S1255" t="str">
        <f>"14:11:17.000"</f>
        <v>14:11:17.000</v>
      </c>
      <c r="T1255" t="str">
        <f>"14:11:16.500"</f>
        <v>14:11:16.500</v>
      </c>
      <c r="U1255" t="str">
        <f t="shared" si="57"/>
        <v>ad5732</v>
      </c>
      <c r="V1255">
        <v>0</v>
      </c>
      <c r="W1255">
        <v>0</v>
      </c>
      <c r="X1255">
        <v>1</v>
      </c>
      <c r="Z1255">
        <v>0</v>
      </c>
      <c r="AA1255">
        <v>9</v>
      </c>
      <c r="AB1255">
        <v>3</v>
      </c>
      <c r="AC1255">
        <v>0</v>
      </c>
      <c r="AD1255">
        <v>10</v>
      </c>
      <c r="AE1255">
        <v>0</v>
      </c>
      <c r="AF1255">
        <v>3</v>
      </c>
      <c r="AG1255">
        <v>2</v>
      </c>
      <c r="AH1255">
        <v>0</v>
      </c>
      <c r="AI1255" t="s">
        <v>2611</v>
      </c>
      <c r="AJ1255">
        <v>39.537047999999999</v>
      </c>
      <c r="AK1255" t="s">
        <v>2612</v>
      </c>
      <c r="AL1255">
        <v>-76.622257000000005</v>
      </c>
      <c r="AM1255">
        <v>100</v>
      </c>
      <c r="AN1255">
        <v>8700</v>
      </c>
      <c r="AO1255" t="s">
        <v>115</v>
      </c>
      <c r="AP1255">
        <v>167</v>
      </c>
      <c r="AQ1255">
        <v>91</v>
      </c>
      <c r="AR1255">
        <v>-128</v>
      </c>
      <c r="AZ1255">
        <v>3614</v>
      </c>
      <c r="BA1255">
        <v>1</v>
      </c>
      <c r="BB1255" t="str">
        <f t="shared" si="59"/>
        <v xml:space="preserve">N959MJ  </v>
      </c>
      <c r="BC1255">
        <v>1</v>
      </c>
      <c r="BE1255">
        <v>0</v>
      </c>
      <c r="BF1255">
        <v>0</v>
      </c>
      <c r="BG1255">
        <v>0</v>
      </c>
      <c r="BH1255">
        <v>9025</v>
      </c>
      <c r="BI1255">
        <v>325</v>
      </c>
      <c r="BJ1255">
        <v>1</v>
      </c>
      <c r="BK1255">
        <v>1</v>
      </c>
      <c r="BL1255">
        <v>1</v>
      </c>
      <c r="BM1255">
        <v>0</v>
      </c>
      <c r="BP1255">
        <v>0</v>
      </c>
      <c r="BQ1255">
        <v>0</v>
      </c>
      <c r="BX1255" t="str">
        <f>"14:11:17.008"</f>
        <v>14:11:17.008</v>
      </c>
      <c r="BY1255" t="str">
        <f>"006114239"</f>
        <v>006114239</v>
      </c>
      <c r="CL1255">
        <v>0</v>
      </c>
      <c r="CM1255">
        <v>2</v>
      </c>
      <c r="CN1255">
        <v>0</v>
      </c>
      <c r="CO1255">
        <v>2</v>
      </c>
      <c r="CP1255">
        <v>0</v>
      </c>
      <c r="CQ1255">
        <v>6</v>
      </c>
      <c r="CR1255" t="s">
        <v>116</v>
      </c>
      <c r="CS1255">
        <v>372</v>
      </c>
      <c r="CT1255">
        <v>3</v>
      </c>
      <c r="CU1255" t="s">
        <v>877</v>
      </c>
      <c r="CV1255" t="s">
        <v>878</v>
      </c>
      <c r="CY1255">
        <v>11594247</v>
      </c>
      <c r="CZ1255" t="s">
        <v>119</v>
      </c>
    </row>
    <row r="1256" spans="1:104" x14ac:dyDescent="0.25">
      <c r="A1256" t="str">
        <f>"14:11:18.156"</f>
        <v>14:11:18.156</v>
      </c>
      <c r="B1256" t="s">
        <v>108</v>
      </c>
      <c r="C1256" t="str">
        <f t="shared" si="58"/>
        <v>ffdfd3c0</v>
      </c>
      <c r="D1256" t="s">
        <v>109</v>
      </c>
      <c r="E1256">
        <v>4</v>
      </c>
      <c r="F1256">
        <v>1004</v>
      </c>
      <c r="G1256" t="s">
        <v>110</v>
      </c>
      <c r="J1256" t="s">
        <v>111</v>
      </c>
      <c r="K1256">
        <v>0</v>
      </c>
      <c r="L1256">
        <v>3</v>
      </c>
      <c r="M1256">
        <v>0</v>
      </c>
      <c r="N1256">
        <v>2</v>
      </c>
      <c r="O1256">
        <v>1</v>
      </c>
      <c r="P1256">
        <v>0</v>
      </c>
      <c r="Q1256">
        <v>0</v>
      </c>
      <c r="R1256" t="s">
        <v>112</v>
      </c>
      <c r="S1256" t="str">
        <f>"14:11:17.984"</f>
        <v>14:11:17.984</v>
      </c>
      <c r="T1256" t="str">
        <f>"14:11:17.484"</f>
        <v>14:11:17.484</v>
      </c>
      <c r="U1256" t="str">
        <f t="shared" si="57"/>
        <v>ad5732</v>
      </c>
      <c r="V1256">
        <v>0</v>
      </c>
      <c r="W1256">
        <v>0</v>
      </c>
      <c r="X1256">
        <v>1</v>
      </c>
      <c r="Z1256">
        <v>0</v>
      </c>
      <c r="AA1256">
        <v>9</v>
      </c>
      <c r="AB1256">
        <v>3</v>
      </c>
      <c r="AC1256">
        <v>0</v>
      </c>
      <c r="AD1256">
        <v>10</v>
      </c>
      <c r="AE1256">
        <v>0</v>
      </c>
      <c r="AF1256">
        <v>3</v>
      </c>
      <c r="AG1256">
        <v>2</v>
      </c>
      <c r="AH1256">
        <v>0</v>
      </c>
      <c r="AI1256" t="s">
        <v>2613</v>
      </c>
      <c r="AJ1256">
        <v>39.537477000000003</v>
      </c>
      <c r="AK1256" t="s">
        <v>2614</v>
      </c>
      <c r="AL1256">
        <v>-76.621269999999996</v>
      </c>
      <c r="AM1256">
        <v>100</v>
      </c>
      <c r="AN1256">
        <v>8700</v>
      </c>
      <c r="AO1256" t="s">
        <v>115</v>
      </c>
      <c r="AP1256">
        <v>167</v>
      </c>
      <c r="AQ1256">
        <v>91</v>
      </c>
      <c r="AR1256">
        <v>-128</v>
      </c>
      <c r="AZ1256">
        <v>3614</v>
      </c>
      <c r="BA1256">
        <v>1</v>
      </c>
      <c r="BB1256" t="str">
        <f t="shared" si="59"/>
        <v xml:space="preserve">N959MJ  </v>
      </c>
      <c r="BC1256">
        <v>1</v>
      </c>
      <c r="BE1256">
        <v>0</v>
      </c>
      <c r="BF1256">
        <v>0</v>
      </c>
      <c r="BG1256">
        <v>0</v>
      </c>
      <c r="BH1256">
        <v>9025</v>
      </c>
      <c r="BI1256">
        <v>325</v>
      </c>
      <c r="BJ1256">
        <v>1</v>
      </c>
      <c r="BK1256">
        <v>1</v>
      </c>
      <c r="BL1256">
        <v>1</v>
      </c>
      <c r="BM1256">
        <v>0</v>
      </c>
      <c r="BP1256">
        <v>0</v>
      </c>
      <c r="BQ1256">
        <v>0</v>
      </c>
      <c r="BX1256" t="str">
        <f>"14:11:17.984"</f>
        <v>14:11:17.984</v>
      </c>
      <c r="BY1256" t="str">
        <f>"987457710"</f>
        <v>987457710</v>
      </c>
      <c r="CL1256">
        <v>0</v>
      </c>
      <c r="CM1256">
        <v>2</v>
      </c>
      <c r="CN1256">
        <v>0</v>
      </c>
      <c r="CO1256">
        <v>2</v>
      </c>
      <c r="CP1256">
        <v>0</v>
      </c>
      <c r="CQ1256">
        <v>7</v>
      </c>
      <c r="CR1256" t="s">
        <v>116</v>
      </c>
      <c r="CS1256">
        <v>396</v>
      </c>
      <c r="CT1256">
        <v>2</v>
      </c>
      <c r="CU1256" t="s">
        <v>939</v>
      </c>
      <c r="CV1256" t="s">
        <v>940</v>
      </c>
      <c r="CY1256">
        <v>4954098</v>
      </c>
      <c r="CZ1256" t="s">
        <v>119</v>
      </c>
    </row>
    <row r="1257" spans="1:104" x14ac:dyDescent="0.25">
      <c r="A1257" t="str">
        <f>"14:11:19.266"</f>
        <v>14:11:19.266</v>
      </c>
      <c r="B1257" t="s">
        <v>108</v>
      </c>
      <c r="C1257" t="str">
        <f t="shared" si="58"/>
        <v>ffdfd3c0</v>
      </c>
      <c r="D1257" t="s">
        <v>109</v>
      </c>
      <c r="E1257">
        <v>4</v>
      </c>
      <c r="F1257">
        <v>1004</v>
      </c>
      <c r="G1257" t="s">
        <v>110</v>
      </c>
      <c r="J1257" t="s">
        <v>111</v>
      </c>
      <c r="K1257">
        <v>0</v>
      </c>
      <c r="L1257">
        <v>3</v>
      </c>
      <c r="M1257">
        <v>0</v>
      </c>
      <c r="N1257">
        <v>2</v>
      </c>
      <c r="O1257">
        <v>1</v>
      </c>
      <c r="P1257">
        <v>0</v>
      </c>
      <c r="Q1257">
        <v>0</v>
      </c>
      <c r="R1257" t="s">
        <v>112</v>
      </c>
      <c r="S1257" t="str">
        <f>"14:11:19.063"</f>
        <v>14:11:19.063</v>
      </c>
      <c r="T1257" t="str">
        <f>"14:11:18.664"</f>
        <v>14:11:18.664</v>
      </c>
      <c r="U1257" t="str">
        <f t="shared" si="57"/>
        <v>ad5732</v>
      </c>
      <c r="V1257">
        <v>0</v>
      </c>
      <c r="W1257">
        <v>0</v>
      </c>
      <c r="X1257">
        <v>1</v>
      </c>
      <c r="Z1257">
        <v>0</v>
      </c>
      <c r="AA1257">
        <v>9</v>
      </c>
      <c r="AB1257">
        <v>3</v>
      </c>
      <c r="AC1257">
        <v>0</v>
      </c>
      <c r="AD1257">
        <v>10</v>
      </c>
      <c r="AE1257">
        <v>0</v>
      </c>
      <c r="AF1257">
        <v>3</v>
      </c>
      <c r="AG1257">
        <v>2</v>
      </c>
      <c r="AH1257">
        <v>0</v>
      </c>
      <c r="AI1257" t="s">
        <v>2615</v>
      </c>
      <c r="AJ1257">
        <v>39.537885000000003</v>
      </c>
      <c r="AK1257" t="s">
        <v>2616</v>
      </c>
      <c r="AL1257">
        <v>-76.620305000000002</v>
      </c>
      <c r="AM1257">
        <v>100</v>
      </c>
      <c r="AN1257">
        <v>8700</v>
      </c>
      <c r="AO1257" t="s">
        <v>115</v>
      </c>
      <c r="AP1257">
        <v>167</v>
      </c>
      <c r="AQ1257">
        <v>91</v>
      </c>
      <c r="AR1257">
        <v>-128</v>
      </c>
      <c r="AZ1257">
        <v>3614</v>
      </c>
      <c r="BA1257">
        <v>1</v>
      </c>
      <c r="BB1257" t="str">
        <f t="shared" si="59"/>
        <v xml:space="preserve">N959MJ  </v>
      </c>
      <c r="BC1257">
        <v>1</v>
      </c>
      <c r="BE1257">
        <v>0</v>
      </c>
      <c r="BF1257">
        <v>0</v>
      </c>
      <c r="BG1257">
        <v>0</v>
      </c>
      <c r="BH1257">
        <v>9025</v>
      </c>
      <c r="BI1257">
        <v>325</v>
      </c>
      <c r="BJ1257">
        <v>1</v>
      </c>
      <c r="BK1257">
        <v>1</v>
      </c>
      <c r="BL1257">
        <v>1</v>
      </c>
      <c r="BM1257">
        <v>0</v>
      </c>
      <c r="BP1257">
        <v>0</v>
      </c>
      <c r="BQ1257">
        <v>0</v>
      </c>
      <c r="BX1257" t="str">
        <f>"14:11:19.063"</f>
        <v>14:11:19.063</v>
      </c>
      <c r="BY1257" t="str">
        <f>"063904245"</f>
        <v>063904245</v>
      </c>
      <c r="CL1257">
        <v>0</v>
      </c>
      <c r="CM1257">
        <v>2</v>
      </c>
      <c r="CN1257">
        <v>0</v>
      </c>
      <c r="CO1257">
        <v>2</v>
      </c>
      <c r="CP1257">
        <v>0</v>
      </c>
      <c r="CQ1257">
        <v>6</v>
      </c>
      <c r="CR1257" t="s">
        <v>116</v>
      </c>
      <c r="CS1257">
        <v>396</v>
      </c>
      <c r="CT1257">
        <v>2</v>
      </c>
      <c r="CU1257" t="s">
        <v>939</v>
      </c>
      <c r="CV1257" t="s">
        <v>940</v>
      </c>
      <c r="CY1257">
        <v>4956066</v>
      </c>
      <c r="CZ1257" t="s">
        <v>119</v>
      </c>
    </row>
    <row r="1258" spans="1:104" x14ac:dyDescent="0.25">
      <c r="A1258" t="str">
        <f>"14:11:20.219"</f>
        <v>14:11:20.219</v>
      </c>
      <c r="B1258" t="s">
        <v>108</v>
      </c>
      <c r="C1258" t="str">
        <f t="shared" si="58"/>
        <v>ffdfd3c0</v>
      </c>
      <c r="D1258" t="s">
        <v>109</v>
      </c>
      <c r="E1258">
        <v>4</v>
      </c>
      <c r="F1258">
        <v>1004</v>
      </c>
      <c r="G1258" t="s">
        <v>110</v>
      </c>
      <c r="J1258" t="s">
        <v>111</v>
      </c>
      <c r="K1258">
        <v>0</v>
      </c>
      <c r="L1258">
        <v>3</v>
      </c>
      <c r="M1258">
        <v>0</v>
      </c>
      <c r="N1258">
        <v>2</v>
      </c>
      <c r="O1258">
        <v>1</v>
      </c>
      <c r="P1258">
        <v>0</v>
      </c>
      <c r="Q1258">
        <v>0</v>
      </c>
      <c r="R1258" t="s">
        <v>112</v>
      </c>
      <c r="S1258" t="str">
        <f>"14:11:20.023"</f>
        <v>14:11:20.023</v>
      </c>
      <c r="T1258" t="str">
        <f>"14:11:19.625"</f>
        <v>14:11:19.625</v>
      </c>
      <c r="U1258" t="str">
        <f t="shared" si="57"/>
        <v>ad5732</v>
      </c>
      <c r="V1258">
        <v>0</v>
      </c>
      <c r="W1258">
        <v>0</v>
      </c>
      <c r="X1258">
        <v>1</v>
      </c>
      <c r="Z1258">
        <v>0</v>
      </c>
      <c r="AA1258">
        <v>9</v>
      </c>
      <c r="AB1258">
        <v>3</v>
      </c>
      <c r="AC1258">
        <v>0</v>
      </c>
      <c r="AD1258">
        <v>10</v>
      </c>
      <c r="AE1258">
        <v>0</v>
      </c>
      <c r="AF1258">
        <v>3</v>
      </c>
      <c r="AG1258">
        <v>2</v>
      </c>
      <c r="AH1258">
        <v>0</v>
      </c>
      <c r="AI1258" t="s">
        <v>2617</v>
      </c>
      <c r="AJ1258">
        <v>39.538314</v>
      </c>
      <c r="AK1258" t="s">
        <v>2618</v>
      </c>
      <c r="AL1258">
        <v>-76.619253</v>
      </c>
      <c r="AM1258">
        <v>100</v>
      </c>
      <c r="AN1258">
        <v>8700</v>
      </c>
      <c r="AO1258" t="s">
        <v>115</v>
      </c>
      <c r="AP1258">
        <v>167</v>
      </c>
      <c r="AQ1258">
        <v>90</v>
      </c>
      <c r="AR1258">
        <v>-128</v>
      </c>
      <c r="AZ1258">
        <v>3614</v>
      </c>
      <c r="BA1258">
        <v>1</v>
      </c>
      <c r="BB1258" t="str">
        <f t="shared" si="59"/>
        <v xml:space="preserve">N959MJ  </v>
      </c>
      <c r="BC1258">
        <v>1</v>
      </c>
      <c r="BE1258">
        <v>0</v>
      </c>
      <c r="BF1258">
        <v>0</v>
      </c>
      <c r="BG1258">
        <v>0</v>
      </c>
      <c r="BH1258">
        <v>9025</v>
      </c>
      <c r="BI1258">
        <v>325</v>
      </c>
      <c r="BJ1258">
        <v>1</v>
      </c>
      <c r="BK1258">
        <v>1</v>
      </c>
      <c r="BL1258">
        <v>1</v>
      </c>
      <c r="BM1258">
        <v>0</v>
      </c>
      <c r="BP1258">
        <v>0</v>
      </c>
      <c r="BQ1258">
        <v>0</v>
      </c>
      <c r="BX1258" t="str">
        <f>"14:11:20.023"</f>
        <v>14:11:20.023</v>
      </c>
      <c r="BY1258" t="str">
        <f>"025816543"</f>
        <v>025816543</v>
      </c>
      <c r="CL1258">
        <v>0</v>
      </c>
      <c r="CM1258">
        <v>2</v>
      </c>
      <c r="CN1258">
        <v>0</v>
      </c>
      <c r="CO1258">
        <v>2</v>
      </c>
      <c r="CP1258">
        <v>0</v>
      </c>
      <c r="CQ1258">
        <v>5</v>
      </c>
      <c r="CR1258" t="s">
        <v>116</v>
      </c>
      <c r="CS1258">
        <v>148</v>
      </c>
      <c r="CT1258">
        <v>2</v>
      </c>
      <c r="CU1258" t="s">
        <v>470</v>
      </c>
      <c r="CV1258" t="s">
        <v>471</v>
      </c>
      <c r="CY1258">
        <v>4592224</v>
      </c>
      <c r="CZ1258" t="s">
        <v>119</v>
      </c>
    </row>
    <row r="1259" spans="1:104" x14ac:dyDescent="0.25">
      <c r="A1259" t="str">
        <f>"14:11:21.133"</f>
        <v>14:11:21.133</v>
      </c>
      <c r="B1259" t="s">
        <v>108</v>
      </c>
      <c r="C1259" t="str">
        <f t="shared" si="58"/>
        <v>ffdfd3c0</v>
      </c>
      <c r="D1259" t="s">
        <v>109</v>
      </c>
      <c r="E1259">
        <v>4</v>
      </c>
      <c r="F1259">
        <v>1004</v>
      </c>
      <c r="G1259" t="s">
        <v>110</v>
      </c>
      <c r="J1259" t="s">
        <v>111</v>
      </c>
      <c r="K1259">
        <v>0</v>
      </c>
      <c r="L1259">
        <v>3</v>
      </c>
      <c r="M1259">
        <v>0</v>
      </c>
      <c r="N1259">
        <v>2</v>
      </c>
      <c r="O1259">
        <v>1</v>
      </c>
      <c r="P1259">
        <v>0</v>
      </c>
      <c r="Q1259">
        <v>0</v>
      </c>
      <c r="R1259" t="s">
        <v>112</v>
      </c>
      <c r="S1259" t="str">
        <f>"14:11:20.945"</f>
        <v>14:11:20.945</v>
      </c>
      <c r="T1259" t="str">
        <f>"14:11:20.547"</f>
        <v>14:11:20.547</v>
      </c>
      <c r="U1259" t="str">
        <f t="shared" si="57"/>
        <v>ad5732</v>
      </c>
      <c r="V1259">
        <v>0</v>
      </c>
      <c r="W1259">
        <v>0</v>
      </c>
      <c r="X1259">
        <v>1</v>
      </c>
      <c r="Z1259">
        <v>0</v>
      </c>
      <c r="AA1259">
        <v>9</v>
      </c>
      <c r="AB1259">
        <v>3</v>
      </c>
      <c r="AC1259">
        <v>0</v>
      </c>
      <c r="AD1259">
        <v>10</v>
      </c>
      <c r="AE1259">
        <v>0</v>
      </c>
      <c r="AF1259">
        <v>3</v>
      </c>
      <c r="AG1259">
        <v>2</v>
      </c>
      <c r="AH1259">
        <v>0</v>
      </c>
      <c r="AI1259" t="s">
        <v>2619</v>
      </c>
      <c r="AJ1259">
        <v>39.538701000000003</v>
      </c>
      <c r="AK1259" t="s">
        <v>2620</v>
      </c>
      <c r="AL1259">
        <v>-76.618352000000002</v>
      </c>
      <c r="AM1259">
        <v>100</v>
      </c>
      <c r="AN1259">
        <v>8700</v>
      </c>
      <c r="AO1259" t="s">
        <v>115</v>
      </c>
      <c r="AP1259">
        <v>168</v>
      </c>
      <c r="AQ1259">
        <v>90</v>
      </c>
      <c r="AR1259">
        <v>-128</v>
      </c>
      <c r="AZ1259">
        <v>3614</v>
      </c>
      <c r="BA1259">
        <v>1</v>
      </c>
      <c r="BB1259" t="str">
        <f t="shared" si="59"/>
        <v xml:space="preserve">N959MJ  </v>
      </c>
      <c r="BC1259">
        <v>1</v>
      </c>
      <c r="BE1259">
        <v>0</v>
      </c>
      <c r="BF1259">
        <v>0</v>
      </c>
      <c r="BG1259">
        <v>0</v>
      </c>
      <c r="BH1259">
        <v>9025</v>
      </c>
      <c r="BI1259">
        <v>325</v>
      </c>
      <c r="BJ1259">
        <v>1</v>
      </c>
      <c r="BK1259">
        <v>1</v>
      </c>
      <c r="BL1259">
        <v>1</v>
      </c>
      <c r="BM1259">
        <v>0</v>
      </c>
      <c r="BP1259">
        <v>0</v>
      </c>
      <c r="BQ1259">
        <v>0</v>
      </c>
      <c r="BX1259" t="str">
        <f>"14:11:20.953"</f>
        <v>14:11:20.953</v>
      </c>
      <c r="BY1259" t="str">
        <f>"949808660"</f>
        <v>949808660</v>
      </c>
      <c r="CL1259">
        <v>0</v>
      </c>
      <c r="CM1259">
        <v>2</v>
      </c>
      <c r="CN1259">
        <v>0</v>
      </c>
      <c r="CO1259">
        <v>2</v>
      </c>
      <c r="CP1259">
        <v>0</v>
      </c>
      <c r="CQ1259">
        <v>6</v>
      </c>
      <c r="CR1259" t="s">
        <v>116</v>
      </c>
      <c r="CS1259">
        <v>372</v>
      </c>
      <c r="CT1259">
        <v>3</v>
      </c>
      <c r="CU1259" t="s">
        <v>877</v>
      </c>
      <c r="CV1259" t="s">
        <v>878</v>
      </c>
      <c r="CY1259">
        <v>11601384</v>
      </c>
      <c r="CZ1259" t="s">
        <v>119</v>
      </c>
    </row>
    <row r="1260" spans="1:104" x14ac:dyDescent="0.25">
      <c r="A1260" t="str">
        <f>"14:11:22.195"</f>
        <v>14:11:22.195</v>
      </c>
      <c r="B1260" t="s">
        <v>108</v>
      </c>
      <c r="C1260" t="str">
        <f t="shared" si="58"/>
        <v>ffdfd3c0</v>
      </c>
      <c r="D1260" t="s">
        <v>109</v>
      </c>
      <c r="E1260">
        <v>4</v>
      </c>
      <c r="F1260">
        <v>1004</v>
      </c>
      <c r="G1260" t="s">
        <v>110</v>
      </c>
      <c r="J1260" t="s">
        <v>111</v>
      </c>
      <c r="K1260">
        <v>0</v>
      </c>
      <c r="L1260">
        <v>3</v>
      </c>
      <c r="M1260">
        <v>0</v>
      </c>
      <c r="N1260">
        <v>2</v>
      </c>
      <c r="O1260">
        <v>1</v>
      </c>
      <c r="P1260">
        <v>0</v>
      </c>
      <c r="Q1260">
        <v>0</v>
      </c>
      <c r="R1260" t="s">
        <v>112</v>
      </c>
      <c r="S1260" t="str">
        <f>"14:11:21.992"</f>
        <v>14:11:21.992</v>
      </c>
      <c r="T1260" t="str">
        <f>"14:11:21.492"</f>
        <v>14:11:21.492</v>
      </c>
      <c r="U1260" t="str">
        <f t="shared" si="57"/>
        <v>ad5732</v>
      </c>
      <c r="V1260">
        <v>0</v>
      </c>
      <c r="W1260">
        <v>0</v>
      </c>
      <c r="X1260">
        <v>1</v>
      </c>
      <c r="Z1260">
        <v>0</v>
      </c>
      <c r="AA1260">
        <v>9</v>
      </c>
      <c r="AB1260">
        <v>3</v>
      </c>
      <c r="AC1260">
        <v>0</v>
      </c>
      <c r="AD1260">
        <v>10</v>
      </c>
      <c r="AE1260">
        <v>0</v>
      </c>
      <c r="AF1260">
        <v>3</v>
      </c>
      <c r="AG1260">
        <v>2</v>
      </c>
      <c r="AH1260">
        <v>0</v>
      </c>
      <c r="AI1260" t="s">
        <v>2621</v>
      </c>
      <c r="AJ1260">
        <v>39.539150999999997</v>
      </c>
      <c r="AK1260" t="s">
        <v>2622</v>
      </c>
      <c r="AL1260">
        <v>-76.617258000000007</v>
      </c>
      <c r="AM1260">
        <v>100</v>
      </c>
      <c r="AN1260">
        <v>8700</v>
      </c>
      <c r="AO1260" t="s">
        <v>115</v>
      </c>
      <c r="AP1260">
        <v>168</v>
      </c>
      <c r="AQ1260">
        <v>90</v>
      </c>
      <c r="AR1260">
        <v>-128</v>
      </c>
      <c r="AZ1260">
        <v>3614</v>
      </c>
      <c r="BA1260">
        <v>1</v>
      </c>
      <c r="BB1260" t="str">
        <f t="shared" si="59"/>
        <v xml:space="preserve">N959MJ  </v>
      </c>
      <c r="BC1260">
        <v>1</v>
      </c>
      <c r="BE1260">
        <v>0</v>
      </c>
      <c r="BF1260">
        <v>0</v>
      </c>
      <c r="BG1260">
        <v>0</v>
      </c>
      <c r="BH1260">
        <v>9025</v>
      </c>
      <c r="BI1260">
        <v>325</v>
      </c>
      <c r="BJ1260">
        <v>1</v>
      </c>
      <c r="BK1260">
        <v>1</v>
      </c>
      <c r="BL1260">
        <v>1</v>
      </c>
      <c r="BM1260">
        <v>0</v>
      </c>
      <c r="BP1260">
        <v>0</v>
      </c>
      <c r="BQ1260">
        <v>0</v>
      </c>
      <c r="BX1260" t="str">
        <f>"14:11:21.992"</f>
        <v>14:11:21.992</v>
      </c>
      <c r="BY1260" t="str">
        <f>"995268384"</f>
        <v>995268384</v>
      </c>
      <c r="CL1260">
        <v>0</v>
      </c>
      <c r="CM1260">
        <v>2</v>
      </c>
      <c r="CN1260">
        <v>0</v>
      </c>
      <c r="CO1260">
        <v>2</v>
      </c>
      <c r="CP1260">
        <v>0</v>
      </c>
      <c r="CQ1260">
        <v>5</v>
      </c>
      <c r="CR1260" t="s">
        <v>116</v>
      </c>
      <c r="CS1260">
        <v>525</v>
      </c>
      <c r="CT1260">
        <v>1</v>
      </c>
      <c r="CU1260" t="s">
        <v>140</v>
      </c>
      <c r="CV1260" t="s">
        <v>141</v>
      </c>
      <c r="CY1260">
        <v>8995306</v>
      </c>
      <c r="CZ1260" t="s">
        <v>119</v>
      </c>
    </row>
    <row r="1261" spans="1:104" x14ac:dyDescent="0.25">
      <c r="A1261" t="str">
        <f>"14:11:23.352"</f>
        <v>14:11:23.352</v>
      </c>
      <c r="B1261" t="s">
        <v>108</v>
      </c>
      <c r="C1261" t="str">
        <f t="shared" si="58"/>
        <v>ffdfd3c0</v>
      </c>
      <c r="D1261" t="s">
        <v>109</v>
      </c>
      <c r="E1261">
        <v>4</v>
      </c>
      <c r="F1261">
        <v>1004</v>
      </c>
      <c r="G1261" t="s">
        <v>110</v>
      </c>
      <c r="J1261" t="s">
        <v>111</v>
      </c>
      <c r="K1261">
        <v>0</v>
      </c>
      <c r="L1261">
        <v>3</v>
      </c>
      <c r="M1261">
        <v>0</v>
      </c>
      <c r="N1261">
        <v>2</v>
      </c>
      <c r="O1261">
        <v>1</v>
      </c>
      <c r="P1261">
        <v>0</v>
      </c>
      <c r="Q1261">
        <v>0</v>
      </c>
      <c r="R1261" t="s">
        <v>112</v>
      </c>
      <c r="S1261" t="str">
        <f>"14:11:23.156"</f>
        <v>14:11:23.156</v>
      </c>
      <c r="T1261" t="str">
        <f>"14:11:22.656"</f>
        <v>14:11:22.656</v>
      </c>
      <c r="U1261" t="str">
        <f t="shared" si="57"/>
        <v>ad5732</v>
      </c>
      <c r="V1261">
        <v>0</v>
      </c>
      <c r="W1261">
        <v>0</v>
      </c>
      <c r="X1261">
        <v>1</v>
      </c>
      <c r="Z1261">
        <v>0</v>
      </c>
      <c r="AA1261">
        <v>9</v>
      </c>
      <c r="AB1261">
        <v>3</v>
      </c>
      <c r="AC1261">
        <v>0</v>
      </c>
      <c r="AD1261">
        <v>10</v>
      </c>
      <c r="AE1261">
        <v>0</v>
      </c>
      <c r="AF1261">
        <v>3</v>
      </c>
      <c r="AG1261">
        <v>2</v>
      </c>
      <c r="AH1261">
        <v>0</v>
      </c>
      <c r="AI1261" t="s">
        <v>2623</v>
      </c>
      <c r="AJ1261">
        <v>39.539602000000002</v>
      </c>
      <c r="AK1261" t="s">
        <v>2624</v>
      </c>
      <c r="AL1261">
        <v>-76.616141999999996</v>
      </c>
      <c r="AM1261">
        <v>100</v>
      </c>
      <c r="AN1261">
        <v>8700</v>
      </c>
      <c r="AO1261" t="s">
        <v>115</v>
      </c>
      <c r="AP1261">
        <v>168</v>
      </c>
      <c r="AQ1261">
        <v>90</v>
      </c>
      <c r="AR1261">
        <v>-64</v>
      </c>
      <c r="AZ1261">
        <v>3614</v>
      </c>
      <c r="BA1261">
        <v>1</v>
      </c>
      <c r="BB1261" t="str">
        <f t="shared" si="59"/>
        <v xml:space="preserve">N959MJ  </v>
      </c>
      <c r="BC1261">
        <v>1</v>
      </c>
      <c r="BE1261">
        <v>0</v>
      </c>
      <c r="BF1261">
        <v>0</v>
      </c>
      <c r="BG1261">
        <v>0</v>
      </c>
      <c r="BH1261">
        <v>9025</v>
      </c>
      <c r="BI1261">
        <v>325</v>
      </c>
      <c r="BJ1261">
        <v>1</v>
      </c>
      <c r="BK1261">
        <v>1</v>
      </c>
      <c r="BL1261">
        <v>1</v>
      </c>
      <c r="BM1261">
        <v>0</v>
      </c>
      <c r="BP1261">
        <v>0</v>
      </c>
      <c r="BQ1261">
        <v>0</v>
      </c>
      <c r="BX1261" t="str">
        <f>"14:11:23.156"</f>
        <v>14:11:23.156</v>
      </c>
      <c r="BY1261" t="str">
        <f>"156877518"</f>
        <v>156877518</v>
      </c>
      <c r="CL1261">
        <v>0</v>
      </c>
      <c r="CM1261">
        <v>2</v>
      </c>
      <c r="CN1261">
        <v>0</v>
      </c>
      <c r="CO1261">
        <v>2</v>
      </c>
      <c r="CP1261">
        <v>0</v>
      </c>
      <c r="CQ1261">
        <v>6</v>
      </c>
      <c r="CR1261" t="s">
        <v>116</v>
      </c>
      <c r="CS1261">
        <v>39</v>
      </c>
      <c r="CT1261">
        <v>2</v>
      </c>
      <c r="CU1261" t="s">
        <v>2259</v>
      </c>
      <c r="CV1261" t="s">
        <v>2260</v>
      </c>
      <c r="CY1261">
        <v>15303883</v>
      </c>
      <c r="CZ1261" t="s">
        <v>119</v>
      </c>
    </row>
    <row r="1262" spans="1:104" x14ac:dyDescent="0.25">
      <c r="A1262" t="str">
        <f>"14:11:24.414"</f>
        <v>14:11:24.414</v>
      </c>
      <c r="B1262" t="s">
        <v>108</v>
      </c>
      <c r="C1262" t="str">
        <f t="shared" si="58"/>
        <v>ffdfd3c0</v>
      </c>
      <c r="D1262" t="s">
        <v>109</v>
      </c>
      <c r="E1262">
        <v>4</v>
      </c>
      <c r="F1262">
        <v>1004</v>
      </c>
      <c r="G1262" t="s">
        <v>110</v>
      </c>
      <c r="J1262" t="s">
        <v>111</v>
      </c>
      <c r="K1262">
        <v>0</v>
      </c>
      <c r="L1262">
        <v>3</v>
      </c>
      <c r="M1262">
        <v>0</v>
      </c>
      <c r="N1262">
        <v>2</v>
      </c>
      <c r="O1262">
        <v>1</v>
      </c>
      <c r="P1262">
        <v>0</v>
      </c>
      <c r="Q1262">
        <v>0</v>
      </c>
      <c r="R1262" t="s">
        <v>112</v>
      </c>
      <c r="S1262" t="str">
        <f>"14:11:24.250"</f>
        <v>14:11:24.250</v>
      </c>
      <c r="T1262" t="str">
        <f>"14:11:23.750"</f>
        <v>14:11:23.750</v>
      </c>
      <c r="U1262" t="str">
        <f t="shared" si="57"/>
        <v>ad5732</v>
      </c>
      <c r="V1262">
        <v>0</v>
      </c>
      <c r="W1262">
        <v>0</v>
      </c>
      <c r="X1262">
        <v>1</v>
      </c>
      <c r="Z1262">
        <v>0</v>
      </c>
      <c r="AA1262">
        <v>9</v>
      </c>
      <c r="AB1262">
        <v>3</v>
      </c>
      <c r="AC1262">
        <v>0</v>
      </c>
      <c r="AD1262">
        <v>10</v>
      </c>
      <c r="AE1262">
        <v>0</v>
      </c>
      <c r="AF1262">
        <v>3</v>
      </c>
      <c r="AG1262">
        <v>2</v>
      </c>
      <c r="AH1262">
        <v>0</v>
      </c>
      <c r="AI1262" t="s">
        <v>2625</v>
      </c>
      <c r="AJ1262">
        <v>39.540073999999997</v>
      </c>
      <c r="AK1262" t="s">
        <v>2626</v>
      </c>
      <c r="AL1262">
        <v>-76.615047000000004</v>
      </c>
      <c r="AM1262">
        <v>100</v>
      </c>
      <c r="AN1262">
        <v>8700</v>
      </c>
      <c r="AO1262" t="s">
        <v>115</v>
      </c>
      <c r="AP1262">
        <v>168</v>
      </c>
      <c r="AQ1262">
        <v>89</v>
      </c>
      <c r="AR1262">
        <v>0</v>
      </c>
      <c r="AZ1262">
        <v>3614</v>
      </c>
      <c r="BA1262">
        <v>1</v>
      </c>
      <c r="BB1262" t="str">
        <f t="shared" si="59"/>
        <v xml:space="preserve">N959MJ  </v>
      </c>
      <c r="BC1262">
        <v>1</v>
      </c>
      <c r="BE1262">
        <v>0</v>
      </c>
      <c r="BF1262">
        <v>0</v>
      </c>
      <c r="BG1262">
        <v>0</v>
      </c>
      <c r="BH1262">
        <v>9025</v>
      </c>
      <c r="BI1262">
        <v>325</v>
      </c>
      <c r="BJ1262">
        <v>1</v>
      </c>
      <c r="BK1262">
        <v>1</v>
      </c>
      <c r="BL1262">
        <v>1</v>
      </c>
      <c r="BM1262">
        <v>0</v>
      </c>
      <c r="BP1262">
        <v>0</v>
      </c>
      <c r="BQ1262">
        <v>0</v>
      </c>
      <c r="BX1262" t="str">
        <f>"14:11:24.258"</f>
        <v>14:11:24.258</v>
      </c>
      <c r="BY1262" t="str">
        <f>"256079163"</f>
        <v>256079163</v>
      </c>
      <c r="CL1262">
        <v>0</v>
      </c>
      <c r="CM1262">
        <v>2</v>
      </c>
      <c r="CN1262">
        <v>0</v>
      </c>
      <c r="CO1262">
        <v>2</v>
      </c>
      <c r="CP1262">
        <v>0</v>
      </c>
      <c r="CQ1262">
        <v>6</v>
      </c>
      <c r="CR1262" t="s">
        <v>116</v>
      </c>
      <c r="CS1262">
        <v>396</v>
      </c>
      <c r="CT1262">
        <v>2</v>
      </c>
      <c r="CU1262" t="s">
        <v>939</v>
      </c>
      <c r="CV1262" t="s">
        <v>940</v>
      </c>
      <c r="CY1262">
        <v>4965503</v>
      </c>
      <c r="CZ1262" t="s">
        <v>119</v>
      </c>
    </row>
    <row r="1263" spans="1:104" x14ac:dyDescent="0.25">
      <c r="A1263" t="str">
        <f>"14:11:25.422"</f>
        <v>14:11:25.422</v>
      </c>
      <c r="B1263" t="s">
        <v>108</v>
      </c>
      <c r="C1263" t="str">
        <f t="shared" si="58"/>
        <v>ffdfd3c0</v>
      </c>
      <c r="D1263" t="s">
        <v>109</v>
      </c>
      <c r="E1263">
        <v>4</v>
      </c>
      <c r="F1263">
        <v>1004</v>
      </c>
      <c r="G1263" t="s">
        <v>110</v>
      </c>
      <c r="J1263" t="s">
        <v>111</v>
      </c>
      <c r="K1263">
        <v>0</v>
      </c>
      <c r="L1263">
        <v>3</v>
      </c>
      <c r="M1263">
        <v>0</v>
      </c>
      <c r="N1263">
        <v>2</v>
      </c>
      <c r="O1263">
        <v>1</v>
      </c>
      <c r="P1263">
        <v>0</v>
      </c>
      <c r="Q1263">
        <v>0</v>
      </c>
      <c r="R1263" t="s">
        <v>112</v>
      </c>
      <c r="S1263" t="str">
        <f>"14:11:25.211"</f>
        <v>14:11:25.211</v>
      </c>
      <c r="T1263" t="str">
        <f>"14:11:24.711"</f>
        <v>14:11:24.711</v>
      </c>
      <c r="U1263" t="str">
        <f t="shared" si="57"/>
        <v>ad5732</v>
      </c>
      <c r="V1263">
        <v>0</v>
      </c>
      <c r="W1263">
        <v>0</v>
      </c>
      <c r="X1263">
        <v>1</v>
      </c>
      <c r="Z1263">
        <v>0</v>
      </c>
      <c r="AA1263">
        <v>9</v>
      </c>
      <c r="AB1263">
        <v>3</v>
      </c>
      <c r="AC1263">
        <v>0</v>
      </c>
      <c r="AD1263">
        <v>10</v>
      </c>
      <c r="AE1263">
        <v>0</v>
      </c>
      <c r="AF1263">
        <v>3</v>
      </c>
      <c r="AG1263">
        <v>2</v>
      </c>
      <c r="AH1263">
        <v>0</v>
      </c>
      <c r="AI1263" t="s">
        <v>2627</v>
      </c>
      <c r="AJ1263">
        <v>39.540503000000001</v>
      </c>
      <c r="AK1263" t="s">
        <v>2628</v>
      </c>
      <c r="AL1263">
        <v>-76.614017000000004</v>
      </c>
      <c r="AM1263">
        <v>100</v>
      </c>
      <c r="AN1263">
        <v>8700</v>
      </c>
      <c r="AO1263" t="s">
        <v>115</v>
      </c>
      <c r="AP1263">
        <v>168</v>
      </c>
      <c r="AQ1263">
        <v>89</v>
      </c>
      <c r="AR1263">
        <v>64</v>
      </c>
      <c r="AZ1263">
        <v>3614</v>
      </c>
      <c r="BA1263">
        <v>1</v>
      </c>
      <c r="BB1263" t="str">
        <f t="shared" si="59"/>
        <v xml:space="preserve">N959MJ  </v>
      </c>
      <c r="BC1263">
        <v>1</v>
      </c>
      <c r="BE1263">
        <v>0</v>
      </c>
      <c r="BF1263">
        <v>0</v>
      </c>
      <c r="BG1263">
        <v>0</v>
      </c>
      <c r="BH1263">
        <v>9025</v>
      </c>
      <c r="BI1263">
        <v>325</v>
      </c>
      <c r="BJ1263">
        <v>1</v>
      </c>
      <c r="BK1263">
        <v>1</v>
      </c>
      <c r="BL1263">
        <v>1</v>
      </c>
      <c r="BM1263">
        <v>0</v>
      </c>
      <c r="BP1263">
        <v>0</v>
      </c>
      <c r="BQ1263">
        <v>0</v>
      </c>
      <c r="BX1263" t="str">
        <f>"14:11:25.211"</f>
        <v>14:11:25.211</v>
      </c>
      <c r="BY1263" t="str">
        <f>"212920540"</f>
        <v>212920540</v>
      </c>
      <c r="CL1263">
        <v>0</v>
      </c>
      <c r="CM1263">
        <v>2</v>
      </c>
      <c r="CN1263">
        <v>0</v>
      </c>
      <c r="CO1263">
        <v>2</v>
      </c>
      <c r="CP1263">
        <v>0</v>
      </c>
      <c r="CQ1263">
        <v>7</v>
      </c>
      <c r="CR1263" t="s">
        <v>116</v>
      </c>
      <c r="CS1263">
        <v>396</v>
      </c>
      <c r="CT1263">
        <v>2</v>
      </c>
      <c r="CU1263" t="s">
        <v>939</v>
      </c>
      <c r="CV1263" t="s">
        <v>940</v>
      </c>
      <c r="CY1263">
        <v>4967258</v>
      </c>
      <c r="CZ1263" t="s">
        <v>119</v>
      </c>
    </row>
    <row r="1264" spans="1:104" x14ac:dyDescent="0.25">
      <c r="A1264" t="str">
        <f>"14:11:26.484"</f>
        <v>14:11:26.484</v>
      </c>
      <c r="B1264" t="s">
        <v>108</v>
      </c>
      <c r="C1264" t="str">
        <f t="shared" si="58"/>
        <v>ffdfd3c0</v>
      </c>
      <c r="D1264" t="s">
        <v>109</v>
      </c>
      <c r="E1264">
        <v>4</v>
      </c>
      <c r="F1264">
        <v>1004</v>
      </c>
      <c r="G1264" t="s">
        <v>110</v>
      </c>
      <c r="J1264" t="s">
        <v>111</v>
      </c>
      <c r="K1264">
        <v>0</v>
      </c>
      <c r="L1264">
        <v>3</v>
      </c>
      <c r="M1264">
        <v>0</v>
      </c>
      <c r="N1264">
        <v>2</v>
      </c>
      <c r="O1264">
        <v>1</v>
      </c>
      <c r="P1264">
        <v>0</v>
      </c>
      <c r="Q1264">
        <v>0</v>
      </c>
      <c r="R1264" t="s">
        <v>112</v>
      </c>
      <c r="S1264" t="str">
        <f>"14:11:26.297"</f>
        <v>14:11:26.297</v>
      </c>
      <c r="T1264" t="str">
        <f>"14:11:25.797"</f>
        <v>14:11:25.797</v>
      </c>
      <c r="U1264" t="str">
        <f t="shared" si="57"/>
        <v>ad5732</v>
      </c>
      <c r="V1264">
        <v>0</v>
      </c>
      <c r="W1264">
        <v>0</v>
      </c>
      <c r="X1264">
        <v>1</v>
      </c>
      <c r="Z1264">
        <v>0</v>
      </c>
      <c r="AA1264">
        <v>9</v>
      </c>
      <c r="AB1264">
        <v>3</v>
      </c>
      <c r="AC1264">
        <v>0</v>
      </c>
      <c r="AD1264">
        <v>10</v>
      </c>
      <c r="AE1264">
        <v>0</v>
      </c>
      <c r="AF1264">
        <v>3</v>
      </c>
      <c r="AG1264">
        <v>2</v>
      </c>
      <c r="AH1264">
        <v>0</v>
      </c>
      <c r="AI1264" t="s">
        <v>2629</v>
      </c>
      <c r="AJ1264">
        <v>39.540931999999998</v>
      </c>
      <c r="AK1264" t="s">
        <v>2630</v>
      </c>
      <c r="AL1264">
        <v>-76.612922999999995</v>
      </c>
      <c r="AM1264">
        <v>100</v>
      </c>
      <c r="AN1264">
        <v>8700</v>
      </c>
      <c r="AO1264" t="s">
        <v>115</v>
      </c>
      <c r="AP1264">
        <v>168</v>
      </c>
      <c r="AQ1264">
        <v>89</v>
      </c>
      <c r="AR1264">
        <v>64</v>
      </c>
      <c r="AZ1264">
        <v>3614</v>
      </c>
      <c r="BA1264">
        <v>1</v>
      </c>
      <c r="BB1264" t="str">
        <f t="shared" si="59"/>
        <v xml:space="preserve">N959MJ  </v>
      </c>
      <c r="BC1264">
        <v>1</v>
      </c>
      <c r="BE1264">
        <v>0</v>
      </c>
      <c r="BF1264">
        <v>0</v>
      </c>
      <c r="BG1264">
        <v>0</v>
      </c>
      <c r="BH1264">
        <v>9025</v>
      </c>
      <c r="BI1264">
        <v>325</v>
      </c>
      <c r="BJ1264">
        <v>1</v>
      </c>
      <c r="BK1264">
        <v>1</v>
      </c>
      <c r="BL1264">
        <v>1</v>
      </c>
      <c r="BM1264">
        <v>0</v>
      </c>
      <c r="BP1264">
        <v>0</v>
      </c>
      <c r="BQ1264">
        <v>0</v>
      </c>
      <c r="BX1264" t="str">
        <f>"14:11:26.297"</f>
        <v>14:11:26.297</v>
      </c>
      <c r="BY1264" t="str">
        <f>"299197485"</f>
        <v>299197485</v>
      </c>
      <c r="CL1264">
        <v>0</v>
      </c>
      <c r="CM1264">
        <v>2</v>
      </c>
      <c r="CN1264">
        <v>0</v>
      </c>
      <c r="CO1264">
        <v>2</v>
      </c>
      <c r="CP1264">
        <v>0</v>
      </c>
      <c r="CQ1264">
        <v>7</v>
      </c>
      <c r="CR1264" t="s">
        <v>116</v>
      </c>
      <c r="CS1264">
        <v>396</v>
      </c>
      <c r="CT1264">
        <v>2</v>
      </c>
      <c r="CU1264" t="s">
        <v>939</v>
      </c>
      <c r="CV1264" t="s">
        <v>940</v>
      </c>
      <c r="CY1264">
        <v>4969078</v>
      </c>
      <c r="CZ1264" t="s">
        <v>119</v>
      </c>
    </row>
    <row r="1265" spans="1:104" x14ac:dyDescent="0.25">
      <c r="A1265" t="str">
        <f>"14:11:27.539"</f>
        <v>14:11:27.539</v>
      </c>
      <c r="B1265" t="s">
        <v>108</v>
      </c>
      <c r="C1265" t="str">
        <f t="shared" si="58"/>
        <v>ffdfd3c0</v>
      </c>
      <c r="D1265" t="s">
        <v>109</v>
      </c>
      <c r="E1265">
        <v>4</v>
      </c>
      <c r="F1265">
        <v>1004</v>
      </c>
      <c r="G1265" t="s">
        <v>110</v>
      </c>
      <c r="J1265" t="s">
        <v>111</v>
      </c>
      <c r="K1265">
        <v>0</v>
      </c>
      <c r="L1265">
        <v>3</v>
      </c>
      <c r="M1265">
        <v>0</v>
      </c>
      <c r="N1265">
        <v>2</v>
      </c>
      <c r="O1265">
        <v>1</v>
      </c>
      <c r="P1265">
        <v>0</v>
      </c>
      <c r="Q1265">
        <v>0</v>
      </c>
      <c r="R1265" t="s">
        <v>112</v>
      </c>
      <c r="S1265" t="str">
        <f>"14:11:27.367"</f>
        <v>14:11:27.367</v>
      </c>
      <c r="T1265" t="str">
        <f>"14:11:26.867"</f>
        <v>14:11:26.867</v>
      </c>
      <c r="U1265" t="str">
        <f t="shared" si="57"/>
        <v>ad5732</v>
      </c>
      <c r="V1265">
        <v>0</v>
      </c>
      <c r="W1265">
        <v>0</v>
      </c>
      <c r="X1265">
        <v>1</v>
      </c>
      <c r="Z1265">
        <v>0</v>
      </c>
      <c r="AA1265">
        <v>9</v>
      </c>
      <c r="AB1265">
        <v>3</v>
      </c>
      <c r="AC1265">
        <v>0</v>
      </c>
      <c r="AD1265">
        <v>10</v>
      </c>
      <c r="AE1265">
        <v>0</v>
      </c>
      <c r="AF1265">
        <v>3</v>
      </c>
      <c r="AG1265">
        <v>2</v>
      </c>
      <c r="AH1265">
        <v>0</v>
      </c>
      <c r="AI1265" t="s">
        <v>2631</v>
      </c>
      <c r="AJ1265">
        <v>39.541361000000002</v>
      </c>
      <c r="AK1265" t="s">
        <v>2632</v>
      </c>
      <c r="AL1265">
        <v>-76.611914999999996</v>
      </c>
      <c r="AM1265">
        <v>100</v>
      </c>
      <c r="AN1265">
        <v>8700</v>
      </c>
      <c r="AO1265" t="s">
        <v>115</v>
      </c>
      <c r="AP1265">
        <v>169</v>
      </c>
      <c r="AQ1265">
        <v>88</v>
      </c>
      <c r="AR1265">
        <v>64</v>
      </c>
      <c r="AZ1265">
        <v>3614</v>
      </c>
      <c r="BA1265">
        <v>1</v>
      </c>
      <c r="BB1265" t="str">
        <f t="shared" si="59"/>
        <v xml:space="preserve">N959MJ  </v>
      </c>
      <c r="BC1265">
        <v>1</v>
      </c>
      <c r="BE1265">
        <v>0</v>
      </c>
      <c r="BF1265">
        <v>0</v>
      </c>
      <c r="BG1265">
        <v>0</v>
      </c>
      <c r="BH1265">
        <v>9025</v>
      </c>
      <c r="BI1265">
        <v>325</v>
      </c>
      <c r="BJ1265">
        <v>1</v>
      </c>
      <c r="BK1265">
        <v>1</v>
      </c>
      <c r="BL1265">
        <v>1</v>
      </c>
      <c r="BM1265">
        <v>0</v>
      </c>
      <c r="BP1265">
        <v>0</v>
      </c>
      <c r="BQ1265">
        <v>0</v>
      </c>
      <c r="BX1265" t="str">
        <f>"14:11:27.375"</f>
        <v>14:11:27.375</v>
      </c>
      <c r="BY1265" t="str">
        <f>"374081940"</f>
        <v>374081940</v>
      </c>
      <c r="CL1265">
        <v>0</v>
      </c>
      <c r="CM1265">
        <v>2</v>
      </c>
      <c r="CN1265">
        <v>0</v>
      </c>
      <c r="CO1265">
        <v>2</v>
      </c>
      <c r="CP1265">
        <v>0</v>
      </c>
      <c r="CQ1265">
        <v>6</v>
      </c>
      <c r="CR1265" t="s">
        <v>116</v>
      </c>
      <c r="CS1265">
        <v>372</v>
      </c>
      <c r="CT1265">
        <v>3</v>
      </c>
      <c r="CU1265" t="s">
        <v>877</v>
      </c>
      <c r="CV1265" t="s">
        <v>878</v>
      </c>
      <c r="CY1265">
        <v>11612908</v>
      </c>
      <c r="CZ1265" t="s">
        <v>119</v>
      </c>
    </row>
    <row r="1266" spans="1:104" x14ac:dyDescent="0.25">
      <c r="A1266" t="str">
        <f>"14:11:28.656"</f>
        <v>14:11:28.656</v>
      </c>
      <c r="B1266" t="s">
        <v>108</v>
      </c>
      <c r="C1266" t="str">
        <f t="shared" si="58"/>
        <v>ffdfd3c0</v>
      </c>
      <c r="D1266" t="s">
        <v>109</v>
      </c>
      <c r="E1266">
        <v>4</v>
      </c>
      <c r="F1266">
        <v>1004</v>
      </c>
      <c r="G1266" t="s">
        <v>110</v>
      </c>
      <c r="J1266" t="s">
        <v>111</v>
      </c>
      <c r="K1266">
        <v>0</v>
      </c>
      <c r="L1266">
        <v>3</v>
      </c>
      <c r="M1266">
        <v>0</v>
      </c>
      <c r="N1266">
        <v>2</v>
      </c>
      <c r="O1266">
        <v>1</v>
      </c>
      <c r="P1266">
        <v>0</v>
      </c>
      <c r="Q1266">
        <v>0</v>
      </c>
      <c r="R1266" t="s">
        <v>112</v>
      </c>
      <c r="S1266" t="str">
        <f>"14:11:28.492"</f>
        <v>14:11:28.492</v>
      </c>
      <c r="T1266" t="str">
        <f>"14:11:27.992"</f>
        <v>14:11:27.992</v>
      </c>
      <c r="U1266" t="str">
        <f t="shared" si="57"/>
        <v>ad5732</v>
      </c>
      <c r="V1266">
        <v>0</v>
      </c>
      <c r="W1266">
        <v>0</v>
      </c>
      <c r="X1266">
        <v>1</v>
      </c>
      <c r="Z1266">
        <v>0</v>
      </c>
      <c r="AA1266">
        <v>9</v>
      </c>
      <c r="AB1266">
        <v>3</v>
      </c>
      <c r="AC1266">
        <v>0</v>
      </c>
      <c r="AD1266">
        <v>10</v>
      </c>
      <c r="AE1266">
        <v>0</v>
      </c>
      <c r="AF1266">
        <v>3</v>
      </c>
      <c r="AG1266">
        <v>2</v>
      </c>
      <c r="AH1266">
        <v>0</v>
      </c>
      <c r="AI1266" t="s">
        <v>2633</v>
      </c>
      <c r="AJ1266">
        <v>39.541812</v>
      </c>
      <c r="AK1266" t="s">
        <v>2634</v>
      </c>
      <c r="AL1266">
        <v>-76.610713000000004</v>
      </c>
      <c r="AM1266">
        <v>100</v>
      </c>
      <c r="AN1266">
        <v>8700</v>
      </c>
      <c r="AO1266" t="s">
        <v>115</v>
      </c>
      <c r="AP1266">
        <v>169</v>
      </c>
      <c r="AQ1266">
        <v>88</v>
      </c>
      <c r="AR1266">
        <v>64</v>
      </c>
      <c r="AZ1266">
        <v>3614</v>
      </c>
      <c r="BA1266">
        <v>1</v>
      </c>
      <c r="BB1266" t="str">
        <f t="shared" si="59"/>
        <v xml:space="preserve">N959MJ  </v>
      </c>
      <c r="BC1266">
        <v>1</v>
      </c>
      <c r="BE1266">
        <v>0</v>
      </c>
      <c r="BF1266">
        <v>0</v>
      </c>
      <c r="BG1266">
        <v>0</v>
      </c>
      <c r="BH1266">
        <v>9025</v>
      </c>
      <c r="BI1266">
        <v>325</v>
      </c>
      <c r="BJ1266">
        <v>1</v>
      </c>
      <c r="BK1266">
        <v>1</v>
      </c>
      <c r="BL1266">
        <v>1</v>
      </c>
      <c r="BM1266">
        <v>0</v>
      </c>
      <c r="BP1266">
        <v>0</v>
      </c>
      <c r="BQ1266">
        <v>0</v>
      </c>
      <c r="BX1266" t="str">
        <f>"14:11:28.500"</f>
        <v>14:11:28.500</v>
      </c>
      <c r="BY1266" t="str">
        <f>"499604980"</f>
        <v>499604980</v>
      </c>
      <c r="CL1266">
        <v>0</v>
      </c>
      <c r="CM1266">
        <v>2</v>
      </c>
      <c r="CN1266">
        <v>0</v>
      </c>
      <c r="CO1266">
        <v>2</v>
      </c>
      <c r="CP1266">
        <v>0</v>
      </c>
      <c r="CQ1266">
        <v>7</v>
      </c>
      <c r="CR1266" t="s">
        <v>116</v>
      </c>
      <c r="CS1266">
        <v>396</v>
      </c>
      <c r="CT1266">
        <v>2</v>
      </c>
      <c r="CU1266" t="s">
        <v>939</v>
      </c>
      <c r="CV1266" t="s">
        <v>940</v>
      </c>
      <c r="CY1266">
        <v>4972966</v>
      </c>
      <c r="CZ1266" t="s">
        <v>119</v>
      </c>
    </row>
    <row r="1267" spans="1:104" x14ac:dyDescent="0.25">
      <c r="A1267" t="str">
        <f>"14:11:29.664"</f>
        <v>14:11:29.664</v>
      </c>
      <c r="B1267" t="s">
        <v>108</v>
      </c>
      <c r="C1267" t="str">
        <f t="shared" si="58"/>
        <v>ffdfd3c0</v>
      </c>
      <c r="D1267" t="s">
        <v>109</v>
      </c>
      <c r="E1267">
        <v>4</v>
      </c>
      <c r="F1267">
        <v>1004</v>
      </c>
      <c r="G1267" t="s">
        <v>110</v>
      </c>
      <c r="J1267" t="s">
        <v>111</v>
      </c>
      <c r="K1267">
        <v>0</v>
      </c>
      <c r="L1267">
        <v>3</v>
      </c>
      <c r="M1267">
        <v>0</v>
      </c>
      <c r="N1267">
        <v>2</v>
      </c>
      <c r="O1267">
        <v>1</v>
      </c>
      <c r="P1267">
        <v>0</v>
      </c>
      <c r="Q1267">
        <v>0</v>
      </c>
      <c r="R1267" t="s">
        <v>112</v>
      </c>
      <c r="S1267" t="str">
        <f>"14:11:29.461"</f>
        <v>14:11:29.461</v>
      </c>
      <c r="T1267" t="str">
        <f>"14:11:29.063"</f>
        <v>14:11:29.063</v>
      </c>
      <c r="U1267" t="str">
        <f t="shared" si="57"/>
        <v>ad5732</v>
      </c>
      <c r="V1267">
        <v>0</v>
      </c>
      <c r="W1267">
        <v>0</v>
      </c>
      <c r="X1267">
        <v>1</v>
      </c>
      <c r="Z1267">
        <v>0</v>
      </c>
      <c r="AA1267">
        <v>9</v>
      </c>
      <c r="AB1267">
        <v>3</v>
      </c>
      <c r="AC1267">
        <v>0</v>
      </c>
      <c r="AD1267">
        <v>10</v>
      </c>
      <c r="AE1267">
        <v>0</v>
      </c>
      <c r="AF1267">
        <v>3</v>
      </c>
      <c r="AG1267">
        <v>2</v>
      </c>
      <c r="AH1267">
        <v>0</v>
      </c>
      <c r="AI1267" t="s">
        <v>2635</v>
      </c>
      <c r="AJ1267">
        <v>39.542177000000002</v>
      </c>
      <c r="AK1267" t="s">
        <v>2636</v>
      </c>
      <c r="AL1267">
        <v>-76.609812000000005</v>
      </c>
      <c r="AM1267">
        <v>100</v>
      </c>
      <c r="AN1267">
        <v>8700</v>
      </c>
      <c r="AO1267" t="s">
        <v>115</v>
      </c>
      <c r="AP1267">
        <v>169</v>
      </c>
      <c r="AQ1267">
        <v>87</v>
      </c>
      <c r="AR1267">
        <v>128</v>
      </c>
      <c r="AZ1267">
        <v>3614</v>
      </c>
      <c r="BA1267">
        <v>1</v>
      </c>
      <c r="BB1267" t="str">
        <f t="shared" si="59"/>
        <v xml:space="preserve">N959MJ  </v>
      </c>
      <c r="BC1267">
        <v>1</v>
      </c>
      <c r="BE1267">
        <v>0</v>
      </c>
      <c r="BF1267">
        <v>0</v>
      </c>
      <c r="BG1267">
        <v>0</v>
      </c>
      <c r="BH1267">
        <v>9025</v>
      </c>
      <c r="BI1267">
        <v>325</v>
      </c>
      <c r="BJ1267">
        <v>1</v>
      </c>
      <c r="BK1267">
        <v>1</v>
      </c>
      <c r="BL1267">
        <v>1</v>
      </c>
      <c r="BM1267">
        <v>0</v>
      </c>
      <c r="BP1267">
        <v>0</v>
      </c>
      <c r="BQ1267">
        <v>0</v>
      </c>
      <c r="BX1267" t="str">
        <f>"14:11:29.469"</f>
        <v>14:11:29.469</v>
      </c>
      <c r="BY1267" t="str">
        <f>"467915365"</f>
        <v>467915365</v>
      </c>
      <c r="CL1267">
        <v>0</v>
      </c>
      <c r="CM1267">
        <v>2</v>
      </c>
      <c r="CN1267">
        <v>0</v>
      </c>
      <c r="CO1267">
        <v>2</v>
      </c>
      <c r="CP1267">
        <v>0</v>
      </c>
      <c r="CQ1267">
        <v>7</v>
      </c>
      <c r="CR1267" t="s">
        <v>116</v>
      </c>
      <c r="CS1267">
        <v>396</v>
      </c>
      <c r="CT1267">
        <v>2</v>
      </c>
      <c r="CU1267" t="s">
        <v>939</v>
      </c>
      <c r="CV1267" t="s">
        <v>940</v>
      </c>
      <c r="CY1267">
        <v>4974687</v>
      </c>
      <c r="CZ1267" t="s">
        <v>119</v>
      </c>
    </row>
    <row r="1268" spans="1:104" x14ac:dyDescent="0.25">
      <c r="A1268" t="str">
        <f>"14:11:30.625"</f>
        <v>14:11:30.625</v>
      </c>
      <c r="B1268" t="s">
        <v>108</v>
      </c>
      <c r="C1268" t="str">
        <f t="shared" si="58"/>
        <v>ffdfd3c0</v>
      </c>
      <c r="D1268" t="s">
        <v>109</v>
      </c>
      <c r="E1268">
        <v>4</v>
      </c>
      <c r="F1268">
        <v>1004</v>
      </c>
      <c r="G1268" t="s">
        <v>110</v>
      </c>
      <c r="J1268" t="s">
        <v>111</v>
      </c>
      <c r="K1268">
        <v>0</v>
      </c>
      <c r="L1268">
        <v>3</v>
      </c>
      <c r="M1268">
        <v>0</v>
      </c>
      <c r="N1268">
        <v>2</v>
      </c>
      <c r="O1268">
        <v>1</v>
      </c>
      <c r="P1268">
        <v>0</v>
      </c>
      <c r="Q1268">
        <v>0</v>
      </c>
      <c r="R1268" t="s">
        <v>112</v>
      </c>
      <c r="S1268" t="str">
        <f>"14:11:30.445"</f>
        <v>14:11:30.445</v>
      </c>
      <c r="T1268" t="str">
        <f>"14:11:30.047"</f>
        <v>14:11:30.047</v>
      </c>
      <c r="U1268" t="str">
        <f t="shared" si="57"/>
        <v>ad5732</v>
      </c>
      <c r="V1268">
        <v>0</v>
      </c>
      <c r="W1268">
        <v>0</v>
      </c>
      <c r="X1268">
        <v>1</v>
      </c>
      <c r="Z1268">
        <v>0</v>
      </c>
      <c r="AA1268">
        <v>9</v>
      </c>
      <c r="AB1268">
        <v>3</v>
      </c>
      <c r="AC1268">
        <v>0</v>
      </c>
      <c r="AD1268">
        <v>10</v>
      </c>
      <c r="AE1268">
        <v>0</v>
      </c>
      <c r="AF1268">
        <v>3</v>
      </c>
      <c r="AG1268">
        <v>2</v>
      </c>
      <c r="AH1268">
        <v>0</v>
      </c>
      <c r="AI1268" t="s">
        <v>2637</v>
      </c>
      <c r="AJ1268">
        <v>39.542583999999998</v>
      </c>
      <c r="AK1268" t="s">
        <v>2638</v>
      </c>
      <c r="AL1268">
        <v>-76.608824999999996</v>
      </c>
      <c r="AM1268">
        <v>100</v>
      </c>
      <c r="AN1268">
        <v>8700</v>
      </c>
      <c r="AO1268" t="s">
        <v>115</v>
      </c>
      <c r="AP1268">
        <v>169</v>
      </c>
      <c r="AQ1268">
        <v>87</v>
      </c>
      <c r="AR1268">
        <v>128</v>
      </c>
      <c r="AZ1268">
        <v>3614</v>
      </c>
      <c r="BA1268">
        <v>1</v>
      </c>
      <c r="BB1268" t="str">
        <f t="shared" si="59"/>
        <v xml:space="preserve">N959MJ  </v>
      </c>
      <c r="BC1268">
        <v>1</v>
      </c>
      <c r="BE1268">
        <v>0</v>
      </c>
      <c r="BF1268">
        <v>0</v>
      </c>
      <c r="BG1268">
        <v>0</v>
      </c>
      <c r="BH1268">
        <v>9025</v>
      </c>
      <c r="BI1268">
        <v>325</v>
      </c>
      <c r="BJ1268">
        <v>1</v>
      </c>
      <c r="BK1268">
        <v>1</v>
      </c>
      <c r="BL1268">
        <v>1</v>
      </c>
      <c r="BM1268">
        <v>0</v>
      </c>
      <c r="BP1268">
        <v>0</v>
      </c>
      <c r="BQ1268">
        <v>0</v>
      </c>
      <c r="BX1268" t="str">
        <f>"14:11:30.453"</f>
        <v>14:11:30.453</v>
      </c>
      <c r="BY1268" t="str">
        <f>"452609978"</f>
        <v>452609978</v>
      </c>
      <c r="CL1268">
        <v>0</v>
      </c>
      <c r="CM1268">
        <v>2</v>
      </c>
      <c r="CN1268">
        <v>0</v>
      </c>
      <c r="CO1268">
        <v>2</v>
      </c>
      <c r="CP1268">
        <v>0</v>
      </c>
      <c r="CQ1268">
        <v>7</v>
      </c>
      <c r="CR1268" t="s">
        <v>116</v>
      </c>
      <c r="CS1268">
        <v>396</v>
      </c>
      <c r="CT1268">
        <v>2</v>
      </c>
      <c r="CU1268" t="s">
        <v>939</v>
      </c>
      <c r="CV1268" t="s">
        <v>940</v>
      </c>
      <c r="CY1268">
        <v>4976497</v>
      </c>
      <c r="CZ1268" t="s">
        <v>119</v>
      </c>
    </row>
    <row r="1269" spans="1:104" x14ac:dyDescent="0.25">
      <c r="A1269" t="str">
        <f>"14:11:31.680"</f>
        <v>14:11:31.680</v>
      </c>
      <c r="B1269" t="s">
        <v>108</v>
      </c>
      <c r="C1269" t="str">
        <f t="shared" si="58"/>
        <v>ffdfd3c0</v>
      </c>
      <c r="D1269" t="s">
        <v>109</v>
      </c>
      <c r="E1269">
        <v>4</v>
      </c>
      <c r="F1269">
        <v>1004</v>
      </c>
      <c r="G1269" t="s">
        <v>110</v>
      </c>
      <c r="J1269" t="s">
        <v>111</v>
      </c>
      <c r="K1269">
        <v>0</v>
      </c>
      <c r="L1269">
        <v>3</v>
      </c>
      <c r="M1269">
        <v>0</v>
      </c>
      <c r="N1269">
        <v>2</v>
      </c>
      <c r="O1269">
        <v>1</v>
      </c>
      <c r="P1269">
        <v>0</v>
      </c>
      <c r="Q1269">
        <v>0</v>
      </c>
      <c r="R1269" t="s">
        <v>112</v>
      </c>
      <c r="S1269" t="str">
        <f>"14:11:31.500"</f>
        <v>14:11:31.500</v>
      </c>
      <c r="T1269" t="str">
        <f>"14:11:31.000"</f>
        <v>14:11:31.000</v>
      </c>
      <c r="U1269" t="str">
        <f t="shared" si="57"/>
        <v>ad5732</v>
      </c>
      <c r="V1269">
        <v>0</v>
      </c>
      <c r="W1269">
        <v>0</v>
      </c>
      <c r="X1269">
        <v>1</v>
      </c>
      <c r="Z1269">
        <v>0</v>
      </c>
      <c r="AA1269">
        <v>9</v>
      </c>
      <c r="AB1269">
        <v>3</v>
      </c>
      <c r="AC1269">
        <v>0</v>
      </c>
      <c r="AD1269">
        <v>10</v>
      </c>
      <c r="AE1269">
        <v>0</v>
      </c>
      <c r="AF1269">
        <v>3</v>
      </c>
      <c r="AG1269">
        <v>2</v>
      </c>
      <c r="AH1269">
        <v>0</v>
      </c>
      <c r="AI1269" t="s">
        <v>2639</v>
      </c>
      <c r="AJ1269">
        <v>39.543035000000003</v>
      </c>
      <c r="AK1269" t="s">
        <v>2640</v>
      </c>
      <c r="AL1269">
        <v>-76.607665999999995</v>
      </c>
      <c r="AM1269">
        <v>100</v>
      </c>
      <c r="AN1269">
        <v>8700</v>
      </c>
      <c r="AO1269" t="s">
        <v>115</v>
      </c>
      <c r="AP1269">
        <v>169</v>
      </c>
      <c r="AQ1269">
        <v>87</v>
      </c>
      <c r="AR1269">
        <v>64</v>
      </c>
      <c r="AZ1269">
        <v>3614</v>
      </c>
      <c r="BA1269">
        <v>1</v>
      </c>
      <c r="BB1269" t="str">
        <f t="shared" si="59"/>
        <v xml:space="preserve">N959MJ  </v>
      </c>
      <c r="BC1269">
        <v>1</v>
      </c>
      <c r="BE1269">
        <v>0</v>
      </c>
      <c r="BF1269">
        <v>0</v>
      </c>
      <c r="BG1269">
        <v>0</v>
      </c>
      <c r="BH1269">
        <v>9025</v>
      </c>
      <c r="BI1269">
        <v>325</v>
      </c>
      <c r="BJ1269">
        <v>1</v>
      </c>
      <c r="BK1269">
        <v>1</v>
      </c>
      <c r="BL1269">
        <v>1</v>
      </c>
      <c r="BM1269">
        <v>0</v>
      </c>
      <c r="BP1269">
        <v>0</v>
      </c>
      <c r="BQ1269">
        <v>0</v>
      </c>
      <c r="BX1269" t="str">
        <f>"14:11:31.508"</f>
        <v>14:11:31.508</v>
      </c>
      <c r="BY1269" t="str">
        <f>"504480089"</f>
        <v>504480089</v>
      </c>
      <c r="CL1269">
        <v>0</v>
      </c>
      <c r="CM1269">
        <v>2</v>
      </c>
      <c r="CN1269">
        <v>0</v>
      </c>
      <c r="CO1269">
        <v>2</v>
      </c>
      <c r="CP1269">
        <v>0</v>
      </c>
      <c r="CQ1269">
        <v>6</v>
      </c>
      <c r="CR1269" t="s">
        <v>116</v>
      </c>
      <c r="CS1269">
        <v>396</v>
      </c>
      <c r="CT1269">
        <v>2</v>
      </c>
      <c r="CU1269" t="s">
        <v>939</v>
      </c>
      <c r="CV1269" t="s">
        <v>940</v>
      </c>
      <c r="CY1269">
        <v>4978284</v>
      </c>
      <c r="CZ1269" t="s">
        <v>119</v>
      </c>
    </row>
    <row r="1270" spans="1:104" x14ac:dyDescent="0.25">
      <c r="A1270" t="str">
        <f>"14:11:32.695"</f>
        <v>14:11:32.695</v>
      </c>
      <c r="B1270" t="s">
        <v>108</v>
      </c>
      <c r="C1270" t="str">
        <f t="shared" si="58"/>
        <v>ffdfd3c0</v>
      </c>
      <c r="D1270" t="s">
        <v>109</v>
      </c>
      <c r="E1270">
        <v>4</v>
      </c>
      <c r="F1270">
        <v>1004</v>
      </c>
      <c r="G1270" t="s">
        <v>110</v>
      </c>
      <c r="J1270" t="s">
        <v>111</v>
      </c>
      <c r="K1270">
        <v>0</v>
      </c>
      <c r="L1270">
        <v>3</v>
      </c>
      <c r="M1270">
        <v>0</v>
      </c>
      <c r="N1270">
        <v>2</v>
      </c>
      <c r="O1270">
        <v>1</v>
      </c>
      <c r="P1270">
        <v>0</v>
      </c>
      <c r="Q1270">
        <v>0</v>
      </c>
      <c r="R1270" t="s">
        <v>112</v>
      </c>
      <c r="S1270" t="str">
        <f>"14:11:32.539"</f>
        <v>14:11:32.539</v>
      </c>
      <c r="T1270" t="str">
        <f>"14:11:32.039"</f>
        <v>14:11:32.039</v>
      </c>
      <c r="U1270" t="str">
        <f t="shared" si="57"/>
        <v>ad5732</v>
      </c>
      <c r="V1270">
        <v>0</v>
      </c>
      <c r="W1270">
        <v>0</v>
      </c>
      <c r="X1270">
        <v>1</v>
      </c>
      <c r="Z1270">
        <v>0</v>
      </c>
      <c r="AA1270">
        <v>9</v>
      </c>
      <c r="AB1270">
        <v>3</v>
      </c>
      <c r="AC1270">
        <v>0</v>
      </c>
      <c r="AD1270">
        <v>10</v>
      </c>
      <c r="AE1270">
        <v>0</v>
      </c>
      <c r="AF1270">
        <v>3</v>
      </c>
      <c r="AG1270">
        <v>2</v>
      </c>
      <c r="AH1270">
        <v>0</v>
      </c>
      <c r="AI1270" t="s">
        <v>2641</v>
      </c>
      <c r="AJ1270">
        <v>39.543464</v>
      </c>
      <c r="AK1270" t="s">
        <v>2642</v>
      </c>
      <c r="AL1270">
        <v>-76.606657999999996</v>
      </c>
      <c r="AM1270">
        <v>100</v>
      </c>
      <c r="AN1270">
        <v>8700</v>
      </c>
      <c r="AO1270" t="s">
        <v>115</v>
      </c>
      <c r="AP1270">
        <v>169</v>
      </c>
      <c r="AQ1270">
        <v>87</v>
      </c>
      <c r="AR1270">
        <v>0</v>
      </c>
      <c r="AZ1270">
        <v>3614</v>
      </c>
      <c r="BA1270">
        <v>1</v>
      </c>
      <c r="BB1270" t="str">
        <f t="shared" si="59"/>
        <v xml:space="preserve">N959MJ  </v>
      </c>
      <c r="BC1270">
        <v>1</v>
      </c>
      <c r="BE1270">
        <v>0</v>
      </c>
      <c r="BF1270">
        <v>0</v>
      </c>
      <c r="BG1270">
        <v>0</v>
      </c>
      <c r="BH1270">
        <v>9025</v>
      </c>
      <c r="BI1270">
        <v>325</v>
      </c>
      <c r="BJ1270">
        <v>1</v>
      </c>
      <c r="BK1270">
        <v>1</v>
      </c>
      <c r="BL1270">
        <v>1</v>
      </c>
      <c r="BM1270">
        <v>0</v>
      </c>
      <c r="BP1270">
        <v>0</v>
      </c>
      <c r="BQ1270">
        <v>0</v>
      </c>
      <c r="BX1270" t="str">
        <f>"14:11:32.539"</f>
        <v>14:11:32.539</v>
      </c>
      <c r="BY1270" t="str">
        <f>"541604406"</f>
        <v>541604406</v>
      </c>
      <c r="CL1270">
        <v>0</v>
      </c>
      <c r="CM1270">
        <v>2</v>
      </c>
      <c r="CN1270">
        <v>0</v>
      </c>
      <c r="CO1270">
        <v>2</v>
      </c>
      <c r="CP1270">
        <v>0</v>
      </c>
      <c r="CQ1270">
        <v>7</v>
      </c>
      <c r="CR1270" t="s">
        <v>116</v>
      </c>
      <c r="CS1270">
        <v>396</v>
      </c>
      <c r="CT1270">
        <v>2</v>
      </c>
      <c r="CU1270" t="s">
        <v>939</v>
      </c>
      <c r="CV1270" t="s">
        <v>940</v>
      </c>
      <c r="CY1270">
        <v>4980044</v>
      </c>
      <c r="CZ1270" t="s">
        <v>119</v>
      </c>
    </row>
    <row r="1271" spans="1:104" x14ac:dyDescent="0.25">
      <c r="A1271" t="str">
        <f>"14:11:33.750"</f>
        <v>14:11:33.750</v>
      </c>
      <c r="B1271" t="s">
        <v>108</v>
      </c>
      <c r="C1271" t="str">
        <f t="shared" si="58"/>
        <v>ffdfd3c0</v>
      </c>
      <c r="D1271" t="s">
        <v>109</v>
      </c>
      <c r="E1271">
        <v>4</v>
      </c>
      <c r="F1271">
        <v>1004</v>
      </c>
      <c r="G1271" t="s">
        <v>110</v>
      </c>
      <c r="J1271" t="s">
        <v>111</v>
      </c>
      <c r="K1271">
        <v>0</v>
      </c>
      <c r="L1271">
        <v>3</v>
      </c>
      <c r="M1271">
        <v>0</v>
      </c>
      <c r="N1271">
        <v>2</v>
      </c>
      <c r="O1271">
        <v>1</v>
      </c>
      <c r="P1271">
        <v>0</v>
      </c>
      <c r="Q1271">
        <v>0</v>
      </c>
      <c r="R1271" t="s">
        <v>112</v>
      </c>
      <c r="S1271" t="str">
        <f>"14:11:33.531"</f>
        <v>14:11:33.531</v>
      </c>
      <c r="T1271" t="str">
        <f>"14:11:33.031"</f>
        <v>14:11:33.031</v>
      </c>
      <c r="U1271" t="str">
        <f t="shared" si="57"/>
        <v>ad5732</v>
      </c>
      <c r="V1271">
        <v>0</v>
      </c>
      <c r="W1271">
        <v>0</v>
      </c>
      <c r="X1271">
        <v>1</v>
      </c>
      <c r="Z1271">
        <v>0</v>
      </c>
      <c r="AA1271">
        <v>9</v>
      </c>
      <c r="AB1271">
        <v>3</v>
      </c>
      <c r="AC1271">
        <v>0</v>
      </c>
      <c r="AD1271">
        <v>10</v>
      </c>
      <c r="AE1271">
        <v>0</v>
      </c>
      <c r="AF1271">
        <v>3</v>
      </c>
      <c r="AG1271">
        <v>2</v>
      </c>
      <c r="AH1271">
        <v>0</v>
      </c>
      <c r="AI1271" t="s">
        <v>2643</v>
      </c>
      <c r="AJ1271">
        <v>39.543829000000002</v>
      </c>
      <c r="AK1271" t="s">
        <v>2644</v>
      </c>
      <c r="AL1271">
        <v>-76.605692000000005</v>
      </c>
      <c r="AM1271">
        <v>100</v>
      </c>
      <c r="AN1271">
        <v>8700</v>
      </c>
      <c r="AO1271" t="s">
        <v>115</v>
      </c>
      <c r="AP1271">
        <v>169</v>
      </c>
      <c r="AQ1271">
        <v>87</v>
      </c>
      <c r="AR1271">
        <v>0</v>
      </c>
      <c r="AZ1271">
        <v>3614</v>
      </c>
      <c r="BA1271">
        <v>1</v>
      </c>
      <c r="BB1271" t="str">
        <f t="shared" si="59"/>
        <v xml:space="preserve">N959MJ  </v>
      </c>
      <c r="BC1271">
        <v>1</v>
      </c>
      <c r="BE1271">
        <v>0</v>
      </c>
      <c r="BF1271">
        <v>0</v>
      </c>
      <c r="BG1271">
        <v>0</v>
      </c>
      <c r="BH1271">
        <v>9025</v>
      </c>
      <c r="BI1271">
        <v>325</v>
      </c>
      <c r="BJ1271">
        <v>1</v>
      </c>
      <c r="BK1271">
        <v>1</v>
      </c>
      <c r="BL1271">
        <v>1</v>
      </c>
      <c r="BM1271">
        <v>0</v>
      </c>
      <c r="BP1271">
        <v>0</v>
      </c>
      <c r="BQ1271">
        <v>0</v>
      </c>
      <c r="BX1271" t="str">
        <f>"14:11:33.531"</f>
        <v>14:11:33.531</v>
      </c>
      <c r="BY1271" t="str">
        <f>"534568568"</f>
        <v>534568568</v>
      </c>
      <c r="CL1271">
        <v>0</v>
      </c>
      <c r="CM1271">
        <v>2</v>
      </c>
      <c r="CN1271">
        <v>0</v>
      </c>
      <c r="CO1271">
        <v>2</v>
      </c>
      <c r="CP1271">
        <v>0</v>
      </c>
      <c r="CQ1271">
        <v>6</v>
      </c>
      <c r="CR1271" t="s">
        <v>116</v>
      </c>
      <c r="CS1271">
        <v>372</v>
      </c>
      <c r="CT1271">
        <v>3</v>
      </c>
      <c r="CU1271" t="s">
        <v>877</v>
      </c>
      <c r="CV1271" t="s">
        <v>878</v>
      </c>
      <c r="CY1271">
        <v>11623830</v>
      </c>
      <c r="CZ1271" t="s">
        <v>119</v>
      </c>
    </row>
    <row r="1272" spans="1:104" x14ac:dyDescent="0.25">
      <c r="A1272" t="str">
        <f>"14:11:34.656"</f>
        <v>14:11:34.656</v>
      </c>
      <c r="B1272" t="s">
        <v>108</v>
      </c>
      <c r="C1272" t="str">
        <f t="shared" si="58"/>
        <v>ffdfd3c0</v>
      </c>
      <c r="D1272" t="s">
        <v>109</v>
      </c>
      <c r="E1272">
        <v>4</v>
      </c>
      <c r="F1272">
        <v>1004</v>
      </c>
      <c r="G1272" t="s">
        <v>110</v>
      </c>
      <c r="J1272" t="s">
        <v>111</v>
      </c>
      <c r="K1272">
        <v>0</v>
      </c>
      <c r="L1272">
        <v>3</v>
      </c>
      <c r="M1272">
        <v>0</v>
      </c>
      <c r="N1272">
        <v>2</v>
      </c>
      <c r="O1272">
        <v>1</v>
      </c>
      <c r="P1272">
        <v>0</v>
      </c>
      <c r="Q1272">
        <v>0</v>
      </c>
      <c r="R1272" t="s">
        <v>112</v>
      </c>
      <c r="S1272" t="str">
        <f>"14:11:34.484"</f>
        <v>14:11:34.484</v>
      </c>
      <c r="T1272" t="str">
        <f>"14:11:34.086"</f>
        <v>14:11:34.086</v>
      </c>
      <c r="U1272" t="str">
        <f t="shared" si="57"/>
        <v>ad5732</v>
      </c>
      <c r="V1272">
        <v>0</v>
      </c>
      <c r="W1272">
        <v>0</v>
      </c>
      <c r="X1272">
        <v>1</v>
      </c>
      <c r="Z1272">
        <v>0</v>
      </c>
      <c r="AA1272">
        <v>9</v>
      </c>
      <c r="AB1272">
        <v>3</v>
      </c>
      <c r="AC1272">
        <v>0</v>
      </c>
      <c r="AD1272">
        <v>10</v>
      </c>
      <c r="AE1272">
        <v>0</v>
      </c>
      <c r="AF1272">
        <v>3</v>
      </c>
      <c r="AG1272">
        <v>2</v>
      </c>
      <c r="AH1272">
        <v>0</v>
      </c>
      <c r="AI1272" t="s">
        <v>2645</v>
      </c>
      <c r="AJ1272">
        <v>39.544237000000003</v>
      </c>
      <c r="AK1272" t="s">
        <v>2646</v>
      </c>
      <c r="AL1272">
        <v>-76.604619</v>
      </c>
      <c r="AM1272">
        <v>100</v>
      </c>
      <c r="AN1272">
        <v>8700</v>
      </c>
      <c r="AO1272" t="s">
        <v>115</v>
      </c>
      <c r="AP1272">
        <v>169</v>
      </c>
      <c r="AQ1272">
        <v>86</v>
      </c>
      <c r="AR1272">
        <v>-64</v>
      </c>
      <c r="AZ1272">
        <v>3614</v>
      </c>
      <c r="BA1272">
        <v>1</v>
      </c>
      <c r="BB1272" t="str">
        <f t="shared" si="59"/>
        <v xml:space="preserve">N959MJ  </v>
      </c>
      <c r="BC1272">
        <v>1</v>
      </c>
      <c r="BE1272">
        <v>0</v>
      </c>
      <c r="BF1272">
        <v>0</v>
      </c>
      <c r="BG1272">
        <v>0</v>
      </c>
      <c r="BH1272">
        <v>9025</v>
      </c>
      <c r="BI1272">
        <v>325</v>
      </c>
      <c r="BJ1272">
        <v>1</v>
      </c>
      <c r="BK1272">
        <v>1</v>
      </c>
      <c r="BL1272">
        <v>1</v>
      </c>
      <c r="BM1272">
        <v>0</v>
      </c>
      <c r="BP1272">
        <v>0</v>
      </c>
      <c r="BQ1272">
        <v>0</v>
      </c>
      <c r="BX1272" t="str">
        <f>"14:11:34.492"</f>
        <v>14:11:34.492</v>
      </c>
      <c r="BY1272" t="str">
        <f>"489958504"</f>
        <v>489958504</v>
      </c>
      <c r="CL1272">
        <v>0</v>
      </c>
      <c r="CM1272">
        <v>2</v>
      </c>
      <c r="CN1272">
        <v>0</v>
      </c>
      <c r="CO1272">
        <v>2</v>
      </c>
      <c r="CP1272">
        <v>0</v>
      </c>
      <c r="CQ1272">
        <v>5</v>
      </c>
      <c r="CR1272" t="s">
        <v>116</v>
      </c>
      <c r="CS1272">
        <v>379</v>
      </c>
      <c r="CT1272">
        <v>0</v>
      </c>
      <c r="CU1272" t="s">
        <v>538</v>
      </c>
      <c r="CV1272" t="s">
        <v>539</v>
      </c>
      <c r="CY1272">
        <v>7469282</v>
      </c>
      <c r="CZ1272" t="s">
        <v>119</v>
      </c>
    </row>
    <row r="1273" spans="1:104" x14ac:dyDescent="0.25">
      <c r="A1273" t="str">
        <f>"14:11:35.773"</f>
        <v>14:11:35.773</v>
      </c>
      <c r="B1273" t="s">
        <v>108</v>
      </c>
      <c r="C1273" t="str">
        <f t="shared" si="58"/>
        <v>ffdfd3c0</v>
      </c>
      <c r="D1273" t="s">
        <v>109</v>
      </c>
      <c r="E1273">
        <v>4</v>
      </c>
      <c r="F1273">
        <v>1004</v>
      </c>
      <c r="G1273" t="s">
        <v>110</v>
      </c>
      <c r="J1273" t="s">
        <v>111</v>
      </c>
      <c r="K1273">
        <v>0</v>
      </c>
      <c r="L1273">
        <v>3</v>
      </c>
      <c r="M1273">
        <v>0</v>
      </c>
      <c r="N1273">
        <v>2</v>
      </c>
      <c r="O1273">
        <v>1</v>
      </c>
      <c r="P1273">
        <v>0</v>
      </c>
      <c r="Q1273">
        <v>0</v>
      </c>
      <c r="R1273" t="s">
        <v>112</v>
      </c>
      <c r="S1273" t="str">
        <f>"14:11:35.609"</f>
        <v>14:11:35.609</v>
      </c>
      <c r="T1273" t="str">
        <f>"14:11:34.508"</f>
        <v>14:11:34.508</v>
      </c>
      <c r="U1273" t="str">
        <f t="shared" si="57"/>
        <v>ad5732</v>
      </c>
      <c r="V1273">
        <v>0</v>
      </c>
      <c r="W1273">
        <v>0</v>
      </c>
      <c r="X1273">
        <v>1</v>
      </c>
      <c r="Z1273">
        <v>0</v>
      </c>
      <c r="AA1273">
        <v>9</v>
      </c>
      <c r="AB1273">
        <v>3</v>
      </c>
      <c r="AC1273">
        <v>0</v>
      </c>
      <c r="AD1273">
        <v>10</v>
      </c>
      <c r="AE1273">
        <v>0</v>
      </c>
      <c r="AF1273">
        <v>3</v>
      </c>
      <c r="AG1273">
        <v>2</v>
      </c>
      <c r="AH1273">
        <v>0</v>
      </c>
      <c r="AI1273" t="s">
        <v>2647</v>
      </c>
      <c r="AJ1273">
        <v>39.544687000000003</v>
      </c>
      <c r="AK1273" t="s">
        <v>2648</v>
      </c>
      <c r="AL1273">
        <v>-76.603525000000005</v>
      </c>
      <c r="AM1273">
        <v>100</v>
      </c>
      <c r="AN1273">
        <v>8700</v>
      </c>
      <c r="AO1273" t="s">
        <v>115</v>
      </c>
      <c r="AP1273">
        <v>169</v>
      </c>
      <c r="AQ1273">
        <v>86</v>
      </c>
      <c r="AR1273">
        <v>-64</v>
      </c>
      <c r="AZ1273">
        <v>3614</v>
      </c>
      <c r="BA1273">
        <v>1</v>
      </c>
      <c r="BB1273" t="str">
        <f t="shared" si="59"/>
        <v xml:space="preserve">N959MJ  </v>
      </c>
      <c r="BC1273">
        <v>1</v>
      </c>
      <c r="BE1273">
        <v>0</v>
      </c>
      <c r="BF1273">
        <v>0</v>
      </c>
      <c r="BG1273">
        <v>0</v>
      </c>
      <c r="BH1273">
        <v>9025</v>
      </c>
      <c r="BI1273">
        <v>325</v>
      </c>
      <c r="BJ1273">
        <v>1</v>
      </c>
      <c r="BK1273">
        <v>1</v>
      </c>
      <c r="BL1273">
        <v>1</v>
      </c>
      <c r="BM1273">
        <v>0</v>
      </c>
      <c r="BP1273">
        <v>0</v>
      </c>
      <c r="BQ1273">
        <v>0</v>
      </c>
      <c r="BX1273" t="str">
        <f>"14:11:35.609"</f>
        <v>14:11:35.609</v>
      </c>
      <c r="BY1273" t="str">
        <f>"612016521"</f>
        <v>612016521</v>
      </c>
      <c r="CL1273">
        <v>0</v>
      </c>
      <c r="CM1273">
        <v>2</v>
      </c>
      <c r="CN1273">
        <v>0</v>
      </c>
      <c r="CO1273">
        <v>2</v>
      </c>
      <c r="CP1273">
        <v>0</v>
      </c>
      <c r="CQ1273">
        <v>6</v>
      </c>
      <c r="CR1273" t="s">
        <v>116</v>
      </c>
      <c r="CS1273">
        <v>396</v>
      </c>
      <c r="CT1273">
        <v>2</v>
      </c>
      <c r="CU1273" t="s">
        <v>939</v>
      </c>
      <c r="CV1273" t="s">
        <v>940</v>
      </c>
      <c r="CY1273">
        <v>4985654</v>
      </c>
      <c r="CZ1273" t="s">
        <v>119</v>
      </c>
    </row>
    <row r="1274" spans="1:104" x14ac:dyDescent="0.25">
      <c r="A1274" t="str">
        <f>"14:11:36.781"</f>
        <v>14:11:36.781</v>
      </c>
      <c r="B1274" t="s">
        <v>108</v>
      </c>
      <c r="C1274" t="str">
        <f t="shared" si="58"/>
        <v>ffdfd3c0</v>
      </c>
      <c r="D1274" t="s">
        <v>109</v>
      </c>
      <c r="E1274">
        <v>4</v>
      </c>
      <c r="F1274">
        <v>1004</v>
      </c>
      <c r="G1274" t="s">
        <v>110</v>
      </c>
      <c r="J1274" t="s">
        <v>111</v>
      </c>
      <c r="K1274">
        <v>0</v>
      </c>
      <c r="L1274">
        <v>3</v>
      </c>
      <c r="M1274">
        <v>0</v>
      </c>
      <c r="N1274">
        <v>2</v>
      </c>
      <c r="O1274">
        <v>1</v>
      </c>
      <c r="P1274">
        <v>0</v>
      </c>
      <c r="Q1274">
        <v>0</v>
      </c>
      <c r="R1274" t="s">
        <v>112</v>
      </c>
      <c r="S1274" t="str">
        <f>"14:11:36.578"</f>
        <v>14:11:36.578</v>
      </c>
      <c r="T1274" t="str">
        <f>"14:11:36.078"</f>
        <v>14:11:36.078</v>
      </c>
      <c r="U1274" t="str">
        <f t="shared" si="57"/>
        <v>ad5732</v>
      </c>
      <c r="V1274">
        <v>0</v>
      </c>
      <c r="W1274">
        <v>0</v>
      </c>
      <c r="X1274">
        <v>1</v>
      </c>
      <c r="Z1274">
        <v>0</v>
      </c>
      <c r="AA1274">
        <v>9</v>
      </c>
      <c r="AB1274">
        <v>3</v>
      </c>
      <c r="AC1274">
        <v>0</v>
      </c>
      <c r="AD1274">
        <v>10</v>
      </c>
      <c r="AE1274">
        <v>0</v>
      </c>
      <c r="AF1274">
        <v>3</v>
      </c>
      <c r="AG1274">
        <v>2</v>
      </c>
      <c r="AH1274">
        <v>0</v>
      </c>
      <c r="AI1274" t="s">
        <v>2649</v>
      </c>
      <c r="AJ1274">
        <v>39.545009</v>
      </c>
      <c r="AK1274" t="s">
        <v>2650</v>
      </c>
      <c r="AL1274">
        <v>-76.602644999999995</v>
      </c>
      <c r="AM1274">
        <v>100</v>
      </c>
      <c r="AN1274">
        <v>8700</v>
      </c>
      <c r="AO1274" t="s">
        <v>115</v>
      </c>
      <c r="AP1274">
        <v>170</v>
      </c>
      <c r="AQ1274">
        <v>86</v>
      </c>
      <c r="AR1274">
        <v>-64</v>
      </c>
      <c r="AZ1274">
        <v>3614</v>
      </c>
      <c r="BA1274">
        <v>1</v>
      </c>
      <c r="BB1274" t="str">
        <f t="shared" si="59"/>
        <v xml:space="preserve">N959MJ  </v>
      </c>
      <c r="BC1274">
        <v>1</v>
      </c>
      <c r="BE1274">
        <v>0</v>
      </c>
      <c r="BF1274">
        <v>0</v>
      </c>
      <c r="BG1274">
        <v>0</v>
      </c>
      <c r="BH1274">
        <v>9025</v>
      </c>
      <c r="BI1274">
        <v>325</v>
      </c>
      <c r="BJ1274">
        <v>1</v>
      </c>
      <c r="BK1274">
        <v>1</v>
      </c>
      <c r="BL1274">
        <v>1</v>
      </c>
      <c r="BM1274">
        <v>0</v>
      </c>
      <c r="BP1274">
        <v>0</v>
      </c>
      <c r="BQ1274">
        <v>0</v>
      </c>
      <c r="BX1274" t="str">
        <f>"14:11:36.578"</f>
        <v>14:11:36.578</v>
      </c>
      <c r="BY1274" t="str">
        <f>"578766389"</f>
        <v>578766389</v>
      </c>
      <c r="CL1274">
        <v>0</v>
      </c>
      <c r="CM1274">
        <v>2</v>
      </c>
      <c r="CN1274">
        <v>0</v>
      </c>
      <c r="CO1274">
        <v>2</v>
      </c>
      <c r="CP1274">
        <v>0</v>
      </c>
      <c r="CQ1274">
        <v>6</v>
      </c>
      <c r="CR1274" t="s">
        <v>116</v>
      </c>
      <c r="CS1274">
        <v>372</v>
      </c>
      <c r="CT1274">
        <v>3</v>
      </c>
      <c r="CU1274" t="s">
        <v>877</v>
      </c>
      <c r="CV1274" t="s">
        <v>878</v>
      </c>
      <c r="CY1274">
        <v>11629403</v>
      </c>
      <c r="CZ1274" t="s">
        <v>119</v>
      </c>
    </row>
    <row r="1275" spans="1:104" x14ac:dyDescent="0.25">
      <c r="A1275" t="str">
        <f>"14:11:37.789"</f>
        <v>14:11:37.789</v>
      </c>
      <c r="B1275" t="s">
        <v>108</v>
      </c>
      <c r="C1275" t="str">
        <f t="shared" si="58"/>
        <v>ffdfd3c0</v>
      </c>
      <c r="D1275" t="s">
        <v>109</v>
      </c>
      <c r="E1275">
        <v>4</v>
      </c>
      <c r="F1275">
        <v>1004</v>
      </c>
      <c r="G1275" t="s">
        <v>110</v>
      </c>
      <c r="J1275" t="s">
        <v>111</v>
      </c>
      <c r="K1275">
        <v>0</v>
      </c>
      <c r="L1275">
        <v>3</v>
      </c>
      <c r="M1275">
        <v>0</v>
      </c>
      <c r="N1275">
        <v>2</v>
      </c>
      <c r="O1275">
        <v>1</v>
      </c>
      <c r="P1275">
        <v>0</v>
      </c>
      <c r="Q1275">
        <v>0</v>
      </c>
      <c r="R1275" t="s">
        <v>112</v>
      </c>
      <c r="S1275" t="str">
        <f>"14:11:37.609"</f>
        <v>14:11:37.609</v>
      </c>
      <c r="T1275" t="str">
        <f>"14:11:37.109"</f>
        <v>14:11:37.109</v>
      </c>
      <c r="U1275" t="str">
        <f t="shared" si="57"/>
        <v>ad5732</v>
      </c>
      <c r="V1275">
        <v>0</v>
      </c>
      <c r="W1275">
        <v>0</v>
      </c>
      <c r="X1275">
        <v>1</v>
      </c>
      <c r="Z1275">
        <v>0</v>
      </c>
      <c r="AA1275">
        <v>9</v>
      </c>
      <c r="AB1275">
        <v>3</v>
      </c>
      <c r="AC1275">
        <v>0</v>
      </c>
      <c r="AD1275">
        <v>10</v>
      </c>
      <c r="AE1275">
        <v>0</v>
      </c>
      <c r="AF1275">
        <v>3</v>
      </c>
      <c r="AG1275">
        <v>2</v>
      </c>
      <c r="AH1275">
        <v>0</v>
      </c>
      <c r="AI1275" t="s">
        <v>2651</v>
      </c>
      <c r="AJ1275">
        <v>39.545481000000002</v>
      </c>
      <c r="AK1275" t="s">
        <v>2652</v>
      </c>
      <c r="AL1275">
        <v>-76.601507999999995</v>
      </c>
      <c r="AM1275">
        <v>100</v>
      </c>
      <c r="AN1275">
        <v>8700</v>
      </c>
      <c r="AO1275" t="s">
        <v>115</v>
      </c>
      <c r="AP1275">
        <v>170</v>
      </c>
      <c r="AQ1275">
        <v>86</v>
      </c>
      <c r="AR1275">
        <v>-64</v>
      </c>
      <c r="AZ1275">
        <v>3614</v>
      </c>
      <c r="BA1275">
        <v>1</v>
      </c>
      <c r="BB1275" t="str">
        <f t="shared" si="59"/>
        <v xml:space="preserve">N959MJ  </v>
      </c>
      <c r="BC1275">
        <v>1</v>
      </c>
      <c r="BE1275">
        <v>0</v>
      </c>
      <c r="BF1275">
        <v>0</v>
      </c>
      <c r="BG1275">
        <v>0</v>
      </c>
      <c r="BH1275">
        <v>9025</v>
      </c>
      <c r="BI1275">
        <v>325</v>
      </c>
      <c r="BJ1275">
        <v>1</v>
      </c>
      <c r="BK1275">
        <v>1</v>
      </c>
      <c r="BL1275">
        <v>1</v>
      </c>
      <c r="BM1275">
        <v>0</v>
      </c>
      <c r="BP1275">
        <v>0</v>
      </c>
      <c r="BQ1275">
        <v>0</v>
      </c>
      <c r="BX1275" t="str">
        <f>"14:11:37.617"</f>
        <v>14:11:37.617</v>
      </c>
      <c r="BY1275" t="str">
        <f>"615812737"</f>
        <v>615812737</v>
      </c>
      <c r="CL1275">
        <v>0</v>
      </c>
      <c r="CM1275">
        <v>2</v>
      </c>
      <c r="CN1275">
        <v>0</v>
      </c>
      <c r="CO1275">
        <v>2</v>
      </c>
      <c r="CP1275">
        <v>0</v>
      </c>
      <c r="CQ1275">
        <v>6</v>
      </c>
      <c r="CR1275" t="s">
        <v>116</v>
      </c>
      <c r="CS1275">
        <v>396</v>
      </c>
      <c r="CT1275">
        <v>2</v>
      </c>
      <c r="CU1275" t="s">
        <v>939</v>
      </c>
      <c r="CV1275" t="s">
        <v>940</v>
      </c>
      <c r="CY1275">
        <v>4989194</v>
      </c>
      <c r="CZ1275" t="s">
        <v>119</v>
      </c>
    </row>
    <row r="1276" spans="1:104" x14ac:dyDescent="0.25">
      <c r="A1276" t="str">
        <f>"14:11:38.852"</f>
        <v>14:11:38.852</v>
      </c>
      <c r="B1276" t="s">
        <v>108</v>
      </c>
      <c r="C1276" t="str">
        <f t="shared" si="58"/>
        <v>ffdfd3c0</v>
      </c>
      <c r="D1276" t="s">
        <v>109</v>
      </c>
      <c r="E1276">
        <v>4</v>
      </c>
      <c r="F1276">
        <v>1004</v>
      </c>
      <c r="G1276" t="s">
        <v>110</v>
      </c>
      <c r="J1276" t="s">
        <v>111</v>
      </c>
      <c r="K1276">
        <v>0</v>
      </c>
      <c r="L1276">
        <v>3</v>
      </c>
      <c r="M1276">
        <v>0</v>
      </c>
      <c r="N1276">
        <v>2</v>
      </c>
      <c r="O1276">
        <v>1</v>
      </c>
      <c r="P1276">
        <v>0</v>
      </c>
      <c r="Q1276">
        <v>0</v>
      </c>
      <c r="R1276" t="s">
        <v>112</v>
      </c>
      <c r="S1276" t="str">
        <f>"14:11:38.641"</f>
        <v>14:11:38.641</v>
      </c>
      <c r="T1276" t="str">
        <f>"14:11:38.242"</f>
        <v>14:11:38.242</v>
      </c>
      <c r="U1276" t="str">
        <f t="shared" si="57"/>
        <v>ad5732</v>
      </c>
      <c r="V1276">
        <v>0</v>
      </c>
      <c r="W1276">
        <v>0</v>
      </c>
      <c r="X1276">
        <v>1</v>
      </c>
      <c r="Z1276">
        <v>0</v>
      </c>
      <c r="AA1276">
        <v>9</v>
      </c>
      <c r="AB1276">
        <v>3</v>
      </c>
      <c r="AC1276">
        <v>0</v>
      </c>
      <c r="AD1276">
        <v>10</v>
      </c>
      <c r="AE1276">
        <v>0</v>
      </c>
      <c r="AF1276">
        <v>3</v>
      </c>
      <c r="AG1276">
        <v>2</v>
      </c>
      <c r="AH1276">
        <v>0</v>
      </c>
      <c r="AI1276" t="s">
        <v>2653</v>
      </c>
      <c r="AJ1276">
        <v>39.545845999999997</v>
      </c>
      <c r="AK1276" t="s">
        <v>2654</v>
      </c>
      <c r="AL1276">
        <v>-76.600521000000001</v>
      </c>
      <c r="AM1276">
        <v>100</v>
      </c>
      <c r="AN1276">
        <v>8700</v>
      </c>
      <c r="AO1276" t="s">
        <v>115</v>
      </c>
      <c r="AP1276">
        <v>170</v>
      </c>
      <c r="AQ1276">
        <v>86</v>
      </c>
      <c r="AR1276">
        <v>-128</v>
      </c>
      <c r="AZ1276">
        <v>3614</v>
      </c>
      <c r="BA1276">
        <v>1</v>
      </c>
      <c r="BB1276" t="str">
        <f t="shared" si="59"/>
        <v xml:space="preserve">N959MJ  </v>
      </c>
      <c r="BC1276">
        <v>1</v>
      </c>
      <c r="BE1276">
        <v>0</v>
      </c>
      <c r="BF1276">
        <v>0</v>
      </c>
      <c r="BG1276">
        <v>0</v>
      </c>
      <c r="BH1276">
        <v>9025</v>
      </c>
      <c r="BI1276">
        <v>325</v>
      </c>
      <c r="BJ1276">
        <v>1</v>
      </c>
      <c r="BK1276">
        <v>1</v>
      </c>
      <c r="BL1276">
        <v>1</v>
      </c>
      <c r="BM1276">
        <v>0</v>
      </c>
      <c r="BP1276">
        <v>0</v>
      </c>
      <c r="BQ1276">
        <v>0</v>
      </c>
      <c r="BX1276" t="str">
        <f>"14:11:38.648"</f>
        <v>14:11:38.648</v>
      </c>
      <c r="BY1276" t="str">
        <f>"648021768"</f>
        <v>648021768</v>
      </c>
      <c r="CL1276">
        <v>0</v>
      </c>
      <c r="CM1276">
        <v>2</v>
      </c>
      <c r="CN1276">
        <v>0</v>
      </c>
      <c r="CO1276">
        <v>2</v>
      </c>
      <c r="CP1276">
        <v>0</v>
      </c>
      <c r="CQ1276">
        <v>6</v>
      </c>
      <c r="CR1276" t="s">
        <v>116</v>
      </c>
      <c r="CS1276">
        <v>396</v>
      </c>
      <c r="CT1276">
        <v>2</v>
      </c>
      <c r="CU1276" t="s">
        <v>939</v>
      </c>
      <c r="CV1276" t="s">
        <v>940</v>
      </c>
      <c r="CY1276">
        <v>4991058</v>
      </c>
      <c r="CZ1276" t="s">
        <v>119</v>
      </c>
    </row>
    <row r="1277" spans="1:104" x14ac:dyDescent="0.25">
      <c r="A1277" t="str">
        <f>"14:11:39.859"</f>
        <v>14:11:39.859</v>
      </c>
      <c r="B1277" t="s">
        <v>108</v>
      </c>
      <c r="C1277" t="str">
        <f t="shared" si="58"/>
        <v>ffdfd3c0</v>
      </c>
      <c r="D1277" t="s">
        <v>109</v>
      </c>
      <c r="E1277">
        <v>4</v>
      </c>
      <c r="F1277">
        <v>1004</v>
      </c>
      <c r="G1277" t="s">
        <v>110</v>
      </c>
      <c r="J1277" t="s">
        <v>111</v>
      </c>
      <c r="K1277">
        <v>0</v>
      </c>
      <c r="L1277">
        <v>3</v>
      </c>
      <c r="M1277">
        <v>0</v>
      </c>
      <c r="N1277">
        <v>2</v>
      </c>
      <c r="O1277">
        <v>1</v>
      </c>
      <c r="P1277">
        <v>0</v>
      </c>
      <c r="Q1277">
        <v>0</v>
      </c>
      <c r="R1277" t="s">
        <v>112</v>
      </c>
      <c r="S1277" t="str">
        <f>"14:11:39.656"</f>
        <v>14:11:39.656</v>
      </c>
      <c r="T1277" t="str">
        <f>"14:11:39.258"</f>
        <v>14:11:39.258</v>
      </c>
      <c r="U1277" t="str">
        <f t="shared" si="57"/>
        <v>ad5732</v>
      </c>
      <c r="V1277">
        <v>0</v>
      </c>
      <c r="W1277">
        <v>0</v>
      </c>
      <c r="X1277">
        <v>1</v>
      </c>
      <c r="Z1277">
        <v>0</v>
      </c>
      <c r="AA1277">
        <v>9</v>
      </c>
      <c r="AB1277">
        <v>3</v>
      </c>
      <c r="AC1277">
        <v>0</v>
      </c>
      <c r="AD1277">
        <v>10</v>
      </c>
      <c r="AE1277">
        <v>0</v>
      </c>
      <c r="AF1277">
        <v>3</v>
      </c>
      <c r="AG1277">
        <v>2</v>
      </c>
      <c r="AH1277">
        <v>0</v>
      </c>
      <c r="AI1277" t="s">
        <v>2655</v>
      </c>
      <c r="AJ1277">
        <v>39.546275000000001</v>
      </c>
      <c r="AK1277" t="s">
        <v>2656</v>
      </c>
      <c r="AL1277">
        <v>-76.599491</v>
      </c>
      <c r="AM1277">
        <v>100</v>
      </c>
      <c r="AN1277">
        <v>8700</v>
      </c>
      <c r="AO1277" t="s">
        <v>115</v>
      </c>
      <c r="AP1277">
        <v>170</v>
      </c>
      <c r="AQ1277">
        <v>85</v>
      </c>
      <c r="AR1277">
        <v>-64</v>
      </c>
      <c r="AZ1277">
        <v>3614</v>
      </c>
      <c r="BA1277">
        <v>1</v>
      </c>
      <c r="BB1277" t="str">
        <f t="shared" si="59"/>
        <v xml:space="preserve">N959MJ  </v>
      </c>
      <c r="BC1277">
        <v>1</v>
      </c>
      <c r="BE1277">
        <v>0</v>
      </c>
      <c r="BF1277">
        <v>0</v>
      </c>
      <c r="BG1277">
        <v>0</v>
      </c>
      <c r="BH1277">
        <v>9025</v>
      </c>
      <c r="BI1277">
        <v>325</v>
      </c>
      <c r="BJ1277">
        <v>1</v>
      </c>
      <c r="BK1277">
        <v>1</v>
      </c>
      <c r="BL1277">
        <v>1</v>
      </c>
      <c r="BM1277">
        <v>0</v>
      </c>
      <c r="BP1277">
        <v>0</v>
      </c>
      <c r="BQ1277">
        <v>0</v>
      </c>
      <c r="BX1277" t="str">
        <f>"14:11:39.656"</f>
        <v>14:11:39.656</v>
      </c>
      <c r="BY1277" t="str">
        <f>"658931236"</f>
        <v>658931236</v>
      </c>
      <c r="CL1277">
        <v>0</v>
      </c>
      <c r="CM1277">
        <v>2</v>
      </c>
      <c r="CN1277">
        <v>0</v>
      </c>
      <c r="CO1277">
        <v>2</v>
      </c>
      <c r="CP1277">
        <v>0</v>
      </c>
      <c r="CQ1277">
        <v>6</v>
      </c>
      <c r="CR1277" t="s">
        <v>116</v>
      </c>
      <c r="CS1277">
        <v>396</v>
      </c>
      <c r="CT1277">
        <v>2</v>
      </c>
      <c r="CU1277" t="s">
        <v>939</v>
      </c>
      <c r="CV1277" t="s">
        <v>940</v>
      </c>
      <c r="CY1277">
        <v>4992928</v>
      </c>
      <c r="CZ1277" t="s">
        <v>119</v>
      </c>
    </row>
    <row r="1278" spans="1:104" x14ac:dyDescent="0.25">
      <c r="A1278" t="str">
        <f>"14:11:40.820"</f>
        <v>14:11:40.820</v>
      </c>
      <c r="B1278" t="s">
        <v>108</v>
      </c>
      <c r="C1278" t="str">
        <f t="shared" si="58"/>
        <v>ffdfd3c0</v>
      </c>
      <c r="D1278" t="s">
        <v>109</v>
      </c>
      <c r="E1278">
        <v>4</v>
      </c>
      <c r="F1278">
        <v>1004</v>
      </c>
      <c r="G1278" t="s">
        <v>110</v>
      </c>
      <c r="J1278" t="s">
        <v>111</v>
      </c>
      <c r="K1278">
        <v>0</v>
      </c>
      <c r="L1278">
        <v>3</v>
      </c>
      <c r="M1278">
        <v>0</v>
      </c>
      <c r="N1278">
        <v>2</v>
      </c>
      <c r="O1278">
        <v>1</v>
      </c>
      <c r="P1278">
        <v>0</v>
      </c>
      <c r="Q1278">
        <v>0</v>
      </c>
      <c r="R1278" t="s">
        <v>112</v>
      </c>
      <c r="S1278" t="str">
        <f>"14:11:40.633"</f>
        <v>14:11:40.633</v>
      </c>
      <c r="T1278" t="str">
        <f>"14:11:40.133"</f>
        <v>14:11:40.133</v>
      </c>
      <c r="U1278" t="str">
        <f t="shared" si="57"/>
        <v>ad5732</v>
      </c>
      <c r="V1278">
        <v>0</v>
      </c>
      <c r="W1278">
        <v>0</v>
      </c>
      <c r="X1278">
        <v>1</v>
      </c>
      <c r="Z1278">
        <v>0</v>
      </c>
      <c r="AA1278">
        <v>9</v>
      </c>
      <c r="AB1278">
        <v>3</v>
      </c>
      <c r="AC1278">
        <v>0</v>
      </c>
      <c r="AD1278">
        <v>10</v>
      </c>
      <c r="AE1278">
        <v>0</v>
      </c>
      <c r="AF1278">
        <v>3</v>
      </c>
      <c r="AG1278">
        <v>2</v>
      </c>
      <c r="AH1278">
        <v>0</v>
      </c>
      <c r="AI1278" t="s">
        <v>2657</v>
      </c>
      <c r="AJ1278">
        <v>39.546639999999996</v>
      </c>
      <c r="AK1278" t="s">
        <v>2658</v>
      </c>
      <c r="AL1278">
        <v>-76.598438999999999</v>
      </c>
      <c r="AM1278">
        <v>100</v>
      </c>
      <c r="AN1278">
        <v>8700</v>
      </c>
      <c r="AO1278" t="s">
        <v>115</v>
      </c>
      <c r="AP1278">
        <v>170</v>
      </c>
      <c r="AQ1278">
        <v>85</v>
      </c>
      <c r="AR1278">
        <v>-64</v>
      </c>
      <c r="AZ1278">
        <v>3614</v>
      </c>
      <c r="BA1278">
        <v>1</v>
      </c>
      <c r="BB1278" t="str">
        <f t="shared" si="59"/>
        <v xml:space="preserve">N959MJ  </v>
      </c>
      <c r="BC1278">
        <v>1</v>
      </c>
      <c r="BE1278">
        <v>0</v>
      </c>
      <c r="BF1278">
        <v>0</v>
      </c>
      <c r="BG1278">
        <v>0</v>
      </c>
      <c r="BH1278">
        <v>9025</v>
      </c>
      <c r="BI1278">
        <v>325</v>
      </c>
      <c r="BJ1278">
        <v>1</v>
      </c>
      <c r="BK1278">
        <v>1</v>
      </c>
      <c r="BL1278">
        <v>1</v>
      </c>
      <c r="BM1278">
        <v>0</v>
      </c>
      <c r="BP1278">
        <v>0</v>
      </c>
      <c r="BQ1278">
        <v>0</v>
      </c>
      <c r="BX1278" t="str">
        <f>"14:11:40.641"</f>
        <v>14:11:40.641</v>
      </c>
      <c r="BY1278" t="str">
        <f>"637072109"</f>
        <v>637072109</v>
      </c>
      <c r="CL1278">
        <v>0</v>
      </c>
      <c r="CM1278">
        <v>2</v>
      </c>
      <c r="CN1278">
        <v>0</v>
      </c>
      <c r="CO1278">
        <v>2</v>
      </c>
      <c r="CP1278">
        <v>0</v>
      </c>
      <c r="CQ1278">
        <v>6</v>
      </c>
      <c r="CR1278" t="s">
        <v>116</v>
      </c>
      <c r="CS1278">
        <v>396</v>
      </c>
      <c r="CT1278">
        <v>2</v>
      </c>
      <c r="CU1278" t="s">
        <v>939</v>
      </c>
      <c r="CV1278" t="s">
        <v>940</v>
      </c>
      <c r="CY1278">
        <v>4994658</v>
      </c>
      <c r="CZ1278" t="s">
        <v>119</v>
      </c>
    </row>
    <row r="1279" spans="1:104" x14ac:dyDescent="0.25">
      <c r="A1279" t="str">
        <f>"14:11:41.680"</f>
        <v>14:11:41.680</v>
      </c>
      <c r="B1279" t="s">
        <v>108</v>
      </c>
      <c r="C1279" t="str">
        <f t="shared" si="58"/>
        <v>ffdfd3c0</v>
      </c>
      <c r="D1279" t="s">
        <v>109</v>
      </c>
      <c r="E1279">
        <v>4</v>
      </c>
      <c r="F1279">
        <v>1004</v>
      </c>
      <c r="G1279" t="s">
        <v>110</v>
      </c>
      <c r="J1279" t="s">
        <v>111</v>
      </c>
      <c r="K1279">
        <v>0</v>
      </c>
      <c r="L1279">
        <v>3</v>
      </c>
      <c r="M1279">
        <v>0</v>
      </c>
      <c r="N1279">
        <v>2</v>
      </c>
      <c r="O1279">
        <v>1</v>
      </c>
      <c r="P1279">
        <v>0</v>
      </c>
      <c r="Q1279">
        <v>0</v>
      </c>
      <c r="R1279" t="s">
        <v>112</v>
      </c>
      <c r="S1279" t="str">
        <f>"14:11:41.508"</f>
        <v>14:11:41.508</v>
      </c>
      <c r="T1279" t="str">
        <f>"14:11:41.109"</f>
        <v>14:11:41.109</v>
      </c>
      <c r="U1279" t="str">
        <f t="shared" si="57"/>
        <v>ad5732</v>
      </c>
      <c r="V1279">
        <v>0</v>
      </c>
      <c r="W1279">
        <v>0</v>
      </c>
      <c r="X1279">
        <v>1</v>
      </c>
      <c r="Z1279">
        <v>0</v>
      </c>
      <c r="AA1279">
        <v>9</v>
      </c>
      <c r="AB1279">
        <v>3</v>
      </c>
      <c r="AC1279">
        <v>0</v>
      </c>
      <c r="AD1279">
        <v>10</v>
      </c>
      <c r="AE1279">
        <v>0</v>
      </c>
      <c r="AF1279">
        <v>3</v>
      </c>
      <c r="AG1279">
        <v>2</v>
      </c>
      <c r="AH1279">
        <v>0</v>
      </c>
      <c r="AI1279" t="s">
        <v>2659</v>
      </c>
      <c r="AJ1279">
        <v>39.547026000000002</v>
      </c>
      <c r="AK1279" t="s">
        <v>2660</v>
      </c>
      <c r="AL1279">
        <v>-76.597516999999996</v>
      </c>
      <c r="AM1279">
        <v>100</v>
      </c>
      <c r="AN1279">
        <v>8700</v>
      </c>
      <c r="AO1279" t="s">
        <v>115</v>
      </c>
      <c r="AP1279">
        <v>170</v>
      </c>
      <c r="AQ1279">
        <v>85</v>
      </c>
      <c r="AR1279">
        <v>-64</v>
      </c>
      <c r="AZ1279">
        <v>3614</v>
      </c>
      <c r="BA1279">
        <v>1</v>
      </c>
      <c r="BB1279" t="str">
        <f t="shared" si="59"/>
        <v xml:space="preserve">N959MJ  </v>
      </c>
      <c r="BC1279">
        <v>1</v>
      </c>
      <c r="BE1279">
        <v>0</v>
      </c>
      <c r="BF1279">
        <v>0</v>
      </c>
      <c r="BG1279">
        <v>0</v>
      </c>
      <c r="BH1279">
        <v>9025</v>
      </c>
      <c r="BI1279">
        <v>325</v>
      </c>
      <c r="BJ1279">
        <v>1</v>
      </c>
      <c r="BK1279">
        <v>1</v>
      </c>
      <c r="BL1279">
        <v>1</v>
      </c>
      <c r="BM1279">
        <v>0</v>
      </c>
      <c r="BP1279">
        <v>0</v>
      </c>
      <c r="BQ1279">
        <v>0</v>
      </c>
      <c r="BX1279" t="str">
        <f>"14:11:41.516"</f>
        <v>14:11:41.516</v>
      </c>
      <c r="BY1279" t="str">
        <f>"512071056"</f>
        <v>512071056</v>
      </c>
      <c r="CL1279">
        <v>0</v>
      </c>
      <c r="CM1279">
        <v>2</v>
      </c>
      <c r="CN1279">
        <v>0</v>
      </c>
      <c r="CO1279">
        <v>2</v>
      </c>
      <c r="CP1279">
        <v>0</v>
      </c>
      <c r="CQ1279">
        <v>6</v>
      </c>
      <c r="CR1279" t="s">
        <v>116</v>
      </c>
      <c r="CS1279">
        <v>372</v>
      </c>
      <c r="CT1279">
        <v>3</v>
      </c>
      <c r="CU1279" t="s">
        <v>877</v>
      </c>
      <c r="CV1279" t="s">
        <v>878</v>
      </c>
      <c r="CY1279">
        <v>11638311</v>
      </c>
      <c r="CZ1279" t="s">
        <v>119</v>
      </c>
    </row>
    <row r="1280" spans="1:104" x14ac:dyDescent="0.25">
      <c r="A1280" t="str">
        <f>"14:11:42.734"</f>
        <v>14:11:42.734</v>
      </c>
      <c r="B1280" t="s">
        <v>108</v>
      </c>
      <c r="C1280" t="str">
        <f t="shared" si="58"/>
        <v>ffdfd3c0</v>
      </c>
      <c r="D1280" t="s">
        <v>109</v>
      </c>
      <c r="E1280">
        <v>4</v>
      </c>
      <c r="F1280">
        <v>1004</v>
      </c>
      <c r="G1280" t="s">
        <v>110</v>
      </c>
      <c r="J1280" t="s">
        <v>111</v>
      </c>
      <c r="K1280">
        <v>0</v>
      </c>
      <c r="L1280">
        <v>3</v>
      </c>
      <c r="M1280">
        <v>0</v>
      </c>
      <c r="N1280">
        <v>2</v>
      </c>
      <c r="O1280">
        <v>1</v>
      </c>
      <c r="P1280">
        <v>0</v>
      </c>
      <c r="Q1280">
        <v>0</v>
      </c>
      <c r="R1280" t="s">
        <v>112</v>
      </c>
      <c r="S1280" t="str">
        <f>"14:11:42.555"</f>
        <v>14:11:42.555</v>
      </c>
      <c r="T1280" t="str">
        <f>"14:11:42.055"</f>
        <v>14:11:42.055</v>
      </c>
      <c r="U1280" t="str">
        <f t="shared" si="57"/>
        <v>ad5732</v>
      </c>
      <c r="V1280">
        <v>0</v>
      </c>
      <c r="W1280">
        <v>0</v>
      </c>
      <c r="X1280">
        <v>1</v>
      </c>
      <c r="Z1280">
        <v>0</v>
      </c>
      <c r="AA1280">
        <v>9</v>
      </c>
      <c r="AB1280">
        <v>3</v>
      </c>
      <c r="AC1280">
        <v>0</v>
      </c>
      <c r="AD1280">
        <v>10</v>
      </c>
      <c r="AE1280">
        <v>0</v>
      </c>
      <c r="AF1280">
        <v>3</v>
      </c>
      <c r="AG1280">
        <v>2</v>
      </c>
      <c r="AH1280">
        <v>0</v>
      </c>
      <c r="AI1280" t="s">
        <v>2661</v>
      </c>
      <c r="AJ1280">
        <v>39.547390999999998</v>
      </c>
      <c r="AK1280" t="s">
        <v>2662</v>
      </c>
      <c r="AL1280">
        <v>-76.596508</v>
      </c>
      <c r="AM1280">
        <v>100</v>
      </c>
      <c r="AN1280">
        <v>8700</v>
      </c>
      <c r="AO1280" t="s">
        <v>115</v>
      </c>
      <c r="AP1280">
        <v>170</v>
      </c>
      <c r="AQ1280">
        <v>85</v>
      </c>
      <c r="AR1280">
        <v>-64</v>
      </c>
      <c r="AZ1280">
        <v>3614</v>
      </c>
      <c r="BA1280">
        <v>1</v>
      </c>
      <c r="BB1280" t="str">
        <f t="shared" si="59"/>
        <v xml:space="preserve">N959MJ  </v>
      </c>
      <c r="BC1280">
        <v>1</v>
      </c>
      <c r="BE1280">
        <v>0</v>
      </c>
      <c r="BF1280">
        <v>0</v>
      </c>
      <c r="BG1280">
        <v>0</v>
      </c>
      <c r="BH1280">
        <v>9025</v>
      </c>
      <c r="BI1280">
        <v>325</v>
      </c>
      <c r="BJ1280">
        <v>1</v>
      </c>
      <c r="BK1280">
        <v>1</v>
      </c>
      <c r="BL1280">
        <v>1</v>
      </c>
      <c r="BM1280">
        <v>0</v>
      </c>
      <c r="BP1280">
        <v>0</v>
      </c>
      <c r="BQ1280">
        <v>0</v>
      </c>
      <c r="BX1280" t="str">
        <f>"14:11:42.555"</f>
        <v>14:11:42.555</v>
      </c>
      <c r="BY1280" t="str">
        <f>"555849767"</f>
        <v>555849767</v>
      </c>
      <c r="CL1280">
        <v>0</v>
      </c>
      <c r="CM1280">
        <v>2</v>
      </c>
      <c r="CN1280">
        <v>0</v>
      </c>
      <c r="CO1280">
        <v>2</v>
      </c>
      <c r="CP1280">
        <v>0</v>
      </c>
      <c r="CQ1280">
        <v>6</v>
      </c>
      <c r="CR1280" t="s">
        <v>116</v>
      </c>
      <c r="CS1280">
        <v>39</v>
      </c>
      <c r="CT1280">
        <v>2</v>
      </c>
      <c r="CU1280" t="s">
        <v>2259</v>
      </c>
      <c r="CV1280" t="s">
        <v>2260</v>
      </c>
      <c r="CY1280">
        <v>15336195</v>
      </c>
      <c r="CZ1280" t="s">
        <v>119</v>
      </c>
    </row>
    <row r="1281" spans="1:104" x14ac:dyDescent="0.25">
      <c r="A1281" t="str">
        <f>"14:11:43.750"</f>
        <v>14:11:43.750</v>
      </c>
      <c r="B1281" t="s">
        <v>108</v>
      </c>
      <c r="C1281" t="str">
        <f t="shared" si="58"/>
        <v>ffdfd3c0</v>
      </c>
      <c r="D1281" t="s">
        <v>109</v>
      </c>
      <c r="E1281">
        <v>4</v>
      </c>
      <c r="F1281">
        <v>1004</v>
      </c>
      <c r="G1281" t="s">
        <v>110</v>
      </c>
      <c r="J1281" t="s">
        <v>111</v>
      </c>
      <c r="K1281">
        <v>0</v>
      </c>
      <c r="L1281">
        <v>3</v>
      </c>
      <c r="M1281">
        <v>0</v>
      </c>
      <c r="N1281">
        <v>2</v>
      </c>
      <c r="O1281">
        <v>1</v>
      </c>
      <c r="P1281">
        <v>0</v>
      </c>
      <c r="Q1281">
        <v>0</v>
      </c>
      <c r="R1281" t="s">
        <v>112</v>
      </c>
      <c r="S1281" t="str">
        <f>"14:11:43.563"</f>
        <v>14:11:43.563</v>
      </c>
      <c r="T1281" t="str">
        <f>"14:11:43.063"</f>
        <v>14:11:43.063</v>
      </c>
      <c r="U1281" t="str">
        <f t="shared" si="57"/>
        <v>ad5732</v>
      </c>
      <c r="V1281">
        <v>0</v>
      </c>
      <c r="W1281">
        <v>0</v>
      </c>
      <c r="X1281">
        <v>1</v>
      </c>
      <c r="Z1281">
        <v>0</v>
      </c>
      <c r="AA1281">
        <v>9</v>
      </c>
      <c r="AB1281">
        <v>3</v>
      </c>
      <c r="AC1281">
        <v>0</v>
      </c>
      <c r="AD1281">
        <v>10</v>
      </c>
      <c r="AE1281">
        <v>0</v>
      </c>
      <c r="AF1281">
        <v>3</v>
      </c>
      <c r="AG1281">
        <v>2</v>
      </c>
      <c r="AH1281">
        <v>0</v>
      </c>
      <c r="AI1281" t="s">
        <v>2663</v>
      </c>
      <c r="AJ1281">
        <v>39.547798999999998</v>
      </c>
      <c r="AK1281" t="s">
        <v>2664</v>
      </c>
      <c r="AL1281">
        <v>-76.595478</v>
      </c>
      <c r="AM1281">
        <v>100</v>
      </c>
      <c r="AN1281">
        <v>8700</v>
      </c>
      <c r="AO1281" t="s">
        <v>115</v>
      </c>
      <c r="AP1281">
        <v>170</v>
      </c>
      <c r="AQ1281">
        <v>85</v>
      </c>
      <c r="AR1281">
        <v>0</v>
      </c>
      <c r="AZ1281">
        <v>3614</v>
      </c>
      <c r="BA1281">
        <v>1</v>
      </c>
      <c r="BB1281" t="str">
        <f t="shared" si="59"/>
        <v xml:space="preserve">N959MJ  </v>
      </c>
      <c r="BC1281">
        <v>1</v>
      </c>
      <c r="BE1281">
        <v>0</v>
      </c>
      <c r="BF1281">
        <v>0</v>
      </c>
      <c r="BG1281">
        <v>0</v>
      </c>
      <c r="BH1281">
        <v>9025</v>
      </c>
      <c r="BI1281">
        <v>325</v>
      </c>
      <c r="BJ1281">
        <v>1</v>
      </c>
      <c r="BK1281">
        <v>1</v>
      </c>
      <c r="BL1281">
        <v>1</v>
      </c>
      <c r="BM1281">
        <v>0</v>
      </c>
      <c r="BP1281">
        <v>0</v>
      </c>
      <c r="BQ1281">
        <v>0</v>
      </c>
      <c r="BX1281" t="str">
        <f>"14:11:43.570"</f>
        <v>14:11:43.570</v>
      </c>
      <c r="BY1281" t="str">
        <f>"566658942"</f>
        <v>566658942</v>
      </c>
      <c r="CL1281">
        <v>0</v>
      </c>
      <c r="CM1281">
        <v>2</v>
      </c>
      <c r="CN1281">
        <v>0</v>
      </c>
      <c r="CO1281">
        <v>2</v>
      </c>
      <c r="CP1281">
        <v>0</v>
      </c>
      <c r="CQ1281">
        <v>6</v>
      </c>
      <c r="CR1281" t="s">
        <v>116</v>
      </c>
      <c r="CS1281">
        <v>372</v>
      </c>
      <c r="CT1281">
        <v>3</v>
      </c>
      <c r="CU1281" t="s">
        <v>877</v>
      </c>
      <c r="CV1281" t="s">
        <v>878</v>
      </c>
      <c r="CY1281">
        <v>11642001</v>
      </c>
      <c r="CZ1281" t="s">
        <v>119</v>
      </c>
    </row>
    <row r="1282" spans="1:104" x14ac:dyDescent="0.25">
      <c r="A1282" t="str">
        <f>"14:11:44.758"</f>
        <v>14:11:44.758</v>
      </c>
      <c r="B1282" t="s">
        <v>108</v>
      </c>
      <c r="C1282" t="str">
        <f t="shared" si="58"/>
        <v>ffdfd3c0</v>
      </c>
      <c r="D1282" t="s">
        <v>109</v>
      </c>
      <c r="E1282">
        <v>4</v>
      </c>
      <c r="F1282">
        <v>1004</v>
      </c>
      <c r="G1282" t="s">
        <v>110</v>
      </c>
      <c r="J1282" t="s">
        <v>111</v>
      </c>
      <c r="K1282">
        <v>0</v>
      </c>
      <c r="L1282">
        <v>3</v>
      </c>
      <c r="M1282">
        <v>0</v>
      </c>
      <c r="N1282">
        <v>2</v>
      </c>
      <c r="O1282">
        <v>1</v>
      </c>
      <c r="P1282">
        <v>0</v>
      </c>
      <c r="Q1282">
        <v>0</v>
      </c>
      <c r="R1282" t="s">
        <v>112</v>
      </c>
      <c r="S1282" t="str">
        <f>"14:11:44.555"</f>
        <v>14:11:44.555</v>
      </c>
      <c r="T1282" t="str">
        <f>"14:11:44.156"</f>
        <v>14:11:44.156</v>
      </c>
      <c r="U1282" t="str">
        <f t="shared" ref="U1282:U1345" si="60">"ad5732"</f>
        <v>ad5732</v>
      </c>
      <c r="V1282">
        <v>0</v>
      </c>
      <c r="W1282">
        <v>0</v>
      </c>
      <c r="X1282">
        <v>1</v>
      </c>
      <c r="Z1282">
        <v>0</v>
      </c>
      <c r="AA1282">
        <v>9</v>
      </c>
      <c r="AB1282">
        <v>3</v>
      </c>
      <c r="AC1282">
        <v>0</v>
      </c>
      <c r="AD1282">
        <v>10</v>
      </c>
      <c r="AE1282">
        <v>0</v>
      </c>
      <c r="AF1282">
        <v>3</v>
      </c>
      <c r="AG1282">
        <v>2</v>
      </c>
      <c r="AH1282">
        <v>0</v>
      </c>
      <c r="AI1282" t="s">
        <v>2665</v>
      </c>
      <c r="AJ1282">
        <v>39.548228000000002</v>
      </c>
      <c r="AK1282" t="s">
        <v>2666</v>
      </c>
      <c r="AL1282">
        <v>-76.594470000000001</v>
      </c>
      <c r="AM1282">
        <v>100</v>
      </c>
      <c r="AN1282">
        <v>8700</v>
      </c>
      <c r="AO1282" t="s">
        <v>115</v>
      </c>
      <c r="AP1282">
        <v>170</v>
      </c>
      <c r="AQ1282">
        <v>85</v>
      </c>
      <c r="AR1282">
        <v>64</v>
      </c>
      <c r="AZ1282">
        <v>3614</v>
      </c>
      <c r="BA1282">
        <v>1</v>
      </c>
      <c r="BB1282" t="str">
        <f t="shared" si="59"/>
        <v xml:space="preserve">N959MJ  </v>
      </c>
      <c r="BC1282">
        <v>1</v>
      </c>
      <c r="BE1282">
        <v>0</v>
      </c>
      <c r="BF1282">
        <v>0</v>
      </c>
      <c r="BG1282">
        <v>0</v>
      </c>
      <c r="BH1282">
        <v>9025</v>
      </c>
      <c r="BI1282">
        <v>325</v>
      </c>
      <c r="BJ1282">
        <v>1</v>
      </c>
      <c r="BK1282">
        <v>1</v>
      </c>
      <c r="BL1282">
        <v>1</v>
      </c>
      <c r="BM1282">
        <v>0</v>
      </c>
      <c r="BP1282">
        <v>0</v>
      </c>
      <c r="BQ1282">
        <v>0</v>
      </c>
      <c r="BX1282" t="str">
        <f>"14:11:44.555"</f>
        <v>14:11:44.555</v>
      </c>
      <c r="BY1282" t="str">
        <f>"556189504"</f>
        <v>556189504</v>
      </c>
      <c r="CL1282">
        <v>0</v>
      </c>
      <c r="CM1282">
        <v>2</v>
      </c>
      <c r="CN1282">
        <v>0</v>
      </c>
      <c r="CO1282">
        <v>2</v>
      </c>
      <c r="CP1282">
        <v>0</v>
      </c>
      <c r="CQ1282">
        <v>7</v>
      </c>
      <c r="CR1282" t="s">
        <v>116</v>
      </c>
      <c r="CS1282">
        <v>396</v>
      </c>
      <c r="CT1282">
        <v>2</v>
      </c>
      <c r="CU1282" t="s">
        <v>939</v>
      </c>
      <c r="CV1282" t="s">
        <v>940</v>
      </c>
      <c r="CY1282">
        <v>5001628</v>
      </c>
      <c r="CZ1282" t="s">
        <v>119</v>
      </c>
    </row>
    <row r="1283" spans="1:104" x14ac:dyDescent="0.25">
      <c r="A1283" t="str">
        <f>"14:11:45.664"</f>
        <v>14:11:45.664</v>
      </c>
      <c r="B1283" t="s">
        <v>108</v>
      </c>
      <c r="C1283" t="str">
        <f t="shared" si="58"/>
        <v>ffdfd3c0</v>
      </c>
      <c r="D1283" t="s">
        <v>109</v>
      </c>
      <c r="E1283">
        <v>4</v>
      </c>
      <c r="F1283">
        <v>1004</v>
      </c>
      <c r="G1283" t="s">
        <v>110</v>
      </c>
      <c r="J1283" t="s">
        <v>111</v>
      </c>
      <c r="K1283">
        <v>0</v>
      </c>
      <c r="L1283">
        <v>3</v>
      </c>
      <c r="M1283">
        <v>0</v>
      </c>
      <c r="N1283">
        <v>2</v>
      </c>
      <c r="O1283">
        <v>1</v>
      </c>
      <c r="P1283">
        <v>0</v>
      </c>
      <c r="Q1283">
        <v>0</v>
      </c>
      <c r="R1283" t="s">
        <v>112</v>
      </c>
      <c r="S1283" t="str">
        <f>"14:11:45.484"</f>
        <v>14:11:45.484</v>
      </c>
      <c r="T1283" t="str">
        <f>"14:11:45.086"</f>
        <v>14:11:45.086</v>
      </c>
      <c r="U1283" t="str">
        <f t="shared" si="60"/>
        <v>ad5732</v>
      </c>
      <c r="V1283">
        <v>0</v>
      </c>
      <c r="W1283">
        <v>0</v>
      </c>
      <c r="X1283">
        <v>1</v>
      </c>
      <c r="Z1283">
        <v>0</v>
      </c>
      <c r="AA1283">
        <v>9</v>
      </c>
      <c r="AB1283">
        <v>3</v>
      </c>
      <c r="AC1283">
        <v>0</v>
      </c>
      <c r="AD1283">
        <v>10</v>
      </c>
      <c r="AE1283">
        <v>0</v>
      </c>
      <c r="AF1283">
        <v>3</v>
      </c>
      <c r="AG1283">
        <v>2</v>
      </c>
      <c r="AH1283">
        <v>0</v>
      </c>
      <c r="AI1283" t="s">
        <v>2667</v>
      </c>
      <c r="AJ1283">
        <v>39.548592999999997</v>
      </c>
      <c r="AK1283" t="s">
        <v>2668</v>
      </c>
      <c r="AL1283">
        <v>-76.593461000000005</v>
      </c>
      <c r="AM1283">
        <v>100</v>
      </c>
      <c r="AN1283">
        <v>8700</v>
      </c>
      <c r="AO1283" t="s">
        <v>115</v>
      </c>
      <c r="AP1283">
        <v>170</v>
      </c>
      <c r="AQ1283">
        <v>85</v>
      </c>
      <c r="AR1283">
        <v>64</v>
      </c>
      <c r="AZ1283">
        <v>3614</v>
      </c>
      <c r="BA1283">
        <v>1</v>
      </c>
      <c r="BB1283" t="str">
        <f t="shared" si="59"/>
        <v xml:space="preserve">N959MJ  </v>
      </c>
      <c r="BC1283">
        <v>1</v>
      </c>
      <c r="BE1283">
        <v>0</v>
      </c>
      <c r="BF1283">
        <v>0</v>
      </c>
      <c r="BG1283">
        <v>0</v>
      </c>
      <c r="BH1283">
        <v>9025</v>
      </c>
      <c r="BI1283">
        <v>325</v>
      </c>
      <c r="BJ1283">
        <v>1</v>
      </c>
      <c r="BK1283">
        <v>1</v>
      </c>
      <c r="BL1283">
        <v>1</v>
      </c>
      <c r="BM1283">
        <v>0</v>
      </c>
      <c r="BP1283">
        <v>0</v>
      </c>
      <c r="BQ1283">
        <v>0</v>
      </c>
      <c r="BX1283" t="str">
        <f>"14:11:45.492"</f>
        <v>14:11:45.492</v>
      </c>
      <c r="BY1283" t="str">
        <f>"490092948"</f>
        <v>490092948</v>
      </c>
      <c r="CL1283">
        <v>0</v>
      </c>
      <c r="CM1283">
        <v>2</v>
      </c>
      <c r="CN1283">
        <v>0</v>
      </c>
      <c r="CO1283">
        <v>2</v>
      </c>
      <c r="CP1283">
        <v>0</v>
      </c>
      <c r="CQ1283">
        <v>7</v>
      </c>
      <c r="CR1283" t="s">
        <v>116</v>
      </c>
      <c r="CS1283">
        <v>396</v>
      </c>
      <c r="CT1283">
        <v>2</v>
      </c>
      <c r="CU1283" t="s">
        <v>939</v>
      </c>
      <c r="CV1283" t="s">
        <v>940</v>
      </c>
      <c r="CY1283">
        <v>5003245</v>
      </c>
      <c r="CZ1283" t="s">
        <v>119</v>
      </c>
    </row>
    <row r="1284" spans="1:104" x14ac:dyDescent="0.25">
      <c r="A1284" t="str">
        <f>"14:11:46.727"</f>
        <v>14:11:46.727</v>
      </c>
      <c r="B1284" t="s">
        <v>108</v>
      </c>
      <c r="C1284" t="str">
        <f t="shared" si="58"/>
        <v>ffdfd3c0</v>
      </c>
      <c r="D1284" t="s">
        <v>109</v>
      </c>
      <c r="E1284">
        <v>4</v>
      </c>
      <c r="F1284">
        <v>1004</v>
      </c>
      <c r="G1284" t="s">
        <v>110</v>
      </c>
      <c r="J1284" t="s">
        <v>111</v>
      </c>
      <c r="K1284">
        <v>0</v>
      </c>
      <c r="L1284">
        <v>3</v>
      </c>
      <c r="M1284">
        <v>0</v>
      </c>
      <c r="N1284">
        <v>2</v>
      </c>
      <c r="O1284">
        <v>1</v>
      </c>
      <c r="P1284">
        <v>0</v>
      </c>
      <c r="Q1284">
        <v>0</v>
      </c>
      <c r="R1284" t="s">
        <v>112</v>
      </c>
      <c r="S1284" t="str">
        <f>"14:11:46.563"</f>
        <v>14:11:46.563</v>
      </c>
      <c r="T1284" t="str">
        <f>"14:11:46.164"</f>
        <v>14:11:46.164</v>
      </c>
      <c r="U1284" t="str">
        <f t="shared" si="60"/>
        <v>ad5732</v>
      </c>
      <c r="V1284">
        <v>0</v>
      </c>
      <c r="W1284">
        <v>0</v>
      </c>
      <c r="X1284">
        <v>1</v>
      </c>
      <c r="Z1284">
        <v>0</v>
      </c>
      <c r="AA1284">
        <v>9</v>
      </c>
      <c r="AB1284">
        <v>3</v>
      </c>
      <c r="AC1284">
        <v>0</v>
      </c>
      <c r="AD1284">
        <v>10</v>
      </c>
      <c r="AE1284">
        <v>0</v>
      </c>
      <c r="AF1284">
        <v>3</v>
      </c>
      <c r="AG1284">
        <v>2</v>
      </c>
      <c r="AH1284">
        <v>0</v>
      </c>
      <c r="AI1284" t="s">
        <v>2669</v>
      </c>
      <c r="AJ1284">
        <v>39.548999999999999</v>
      </c>
      <c r="AK1284" t="s">
        <v>2670</v>
      </c>
      <c r="AL1284">
        <v>-76.592431000000005</v>
      </c>
      <c r="AM1284">
        <v>100</v>
      </c>
      <c r="AN1284">
        <v>8700</v>
      </c>
      <c r="AO1284" t="s">
        <v>115</v>
      </c>
      <c r="AP1284">
        <v>170</v>
      </c>
      <c r="AQ1284">
        <v>86</v>
      </c>
      <c r="AR1284">
        <v>128</v>
      </c>
      <c r="AZ1284">
        <v>3614</v>
      </c>
      <c r="BA1284">
        <v>1</v>
      </c>
      <c r="BB1284" t="str">
        <f t="shared" si="59"/>
        <v xml:space="preserve">N959MJ  </v>
      </c>
      <c r="BC1284">
        <v>1</v>
      </c>
      <c r="BE1284">
        <v>0</v>
      </c>
      <c r="BF1284">
        <v>0</v>
      </c>
      <c r="BG1284">
        <v>0</v>
      </c>
      <c r="BH1284">
        <v>9025</v>
      </c>
      <c r="BI1284">
        <v>325</v>
      </c>
      <c r="BJ1284">
        <v>1</v>
      </c>
      <c r="BK1284">
        <v>1</v>
      </c>
      <c r="BL1284">
        <v>1</v>
      </c>
      <c r="BM1284">
        <v>0</v>
      </c>
      <c r="BP1284">
        <v>0</v>
      </c>
      <c r="BQ1284">
        <v>0</v>
      </c>
      <c r="BX1284" t="str">
        <f>"14:11:46.570"</f>
        <v>14:11:46.570</v>
      </c>
      <c r="BY1284" t="str">
        <f>"569896007"</f>
        <v>569896007</v>
      </c>
      <c r="CL1284">
        <v>0</v>
      </c>
      <c r="CM1284">
        <v>2</v>
      </c>
      <c r="CN1284">
        <v>0</v>
      </c>
      <c r="CO1284">
        <v>2</v>
      </c>
      <c r="CP1284">
        <v>0</v>
      </c>
      <c r="CQ1284">
        <v>6</v>
      </c>
      <c r="CR1284" t="s">
        <v>116</v>
      </c>
      <c r="CS1284">
        <v>372</v>
      </c>
      <c r="CT1284">
        <v>3</v>
      </c>
      <c r="CU1284" t="s">
        <v>877</v>
      </c>
      <c r="CV1284" t="s">
        <v>878</v>
      </c>
      <c r="CY1284">
        <v>11647427</v>
      </c>
      <c r="CZ1284" t="s">
        <v>119</v>
      </c>
    </row>
    <row r="1285" spans="1:104" x14ac:dyDescent="0.25">
      <c r="A1285" t="str">
        <f>"14:11:47.734"</f>
        <v>14:11:47.734</v>
      </c>
      <c r="B1285" t="s">
        <v>108</v>
      </c>
      <c r="C1285" t="str">
        <f t="shared" si="58"/>
        <v>ffdfd3c0</v>
      </c>
      <c r="D1285" t="s">
        <v>109</v>
      </c>
      <c r="E1285">
        <v>4</v>
      </c>
      <c r="F1285">
        <v>1004</v>
      </c>
      <c r="G1285" t="s">
        <v>110</v>
      </c>
      <c r="J1285" t="s">
        <v>111</v>
      </c>
      <c r="K1285">
        <v>0</v>
      </c>
      <c r="L1285">
        <v>3</v>
      </c>
      <c r="M1285">
        <v>0</v>
      </c>
      <c r="N1285">
        <v>2</v>
      </c>
      <c r="O1285">
        <v>1</v>
      </c>
      <c r="P1285">
        <v>0</v>
      </c>
      <c r="Q1285">
        <v>0</v>
      </c>
      <c r="R1285" t="s">
        <v>112</v>
      </c>
      <c r="S1285" t="str">
        <f>"14:11:47.539"</f>
        <v>14:11:47.539</v>
      </c>
      <c r="T1285" t="str">
        <f>"14:11:47.141"</f>
        <v>14:11:47.141</v>
      </c>
      <c r="U1285" t="str">
        <f t="shared" si="60"/>
        <v>ad5732</v>
      </c>
      <c r="V1285">
        <v>0</v>
      </c>
      <c r="W1285">
        <v>0</v>
      </c>
      <c r="X1285">
        <v>1</v>
      </c>
      <c r="Z1285">
        <v>0</v>
      </c>
      <c r="AA1285">
        <v>9</v>
      </c>
      <c r="AB1285">
        <v>3</v>
      </c>
      <c r="AC1285">
        <v>0</v>
      </c>
      <c r="AD1285">
        <v>10</v>
      </c>
      <c r="AE1285">
        <v>0</v>
      </c>
      <c r="AF1285">
        <v>3</v>
      </c>
      <c r="AG1285">
        <v>2</v>
      </c>
      <c r="AH1285">
        <v>0</v>
      </c>
      <c r="AI1285" t="s">
        <v>2671</v>
      </c>
      <c r="AJ1285">
        <v>39.549408</v>
      </c>
      <c r="AK1285" t="s">
        <v>2672</v>
      </c>
      <c r="AL1285">
        <v>-76.591423000000006</v>
      </c>
      <c r="AM1285">
        <v>100</v>
      </c>
      <c r="AN1285">
        <v>8700</v>
      </c>
      <c r="AO1285" t="s">
        <v>115</v>
      </c>
      <c r="AP1285">
        <v>170</v>
      </c>
      <c r="AQ1285">
        <v>86</v>
      </c>
      <c r="AR1285">
        <v>128</v>
      </c>
      <c r="AZ1285">
        <v>3614</v>
      </c>
      <c r="BA1285">
        <v>1</v>
      </c>
      <c r="BB1285" t="str">
        <f t="shared" si="59"/>
        <v xml:space="preserve">N959MJ  </v>
      </c>
      <c r="BC1285">
        <v>1</v>
      </c>
      <c r="BE1285">
        <v>0</v>
      </c>
      <c r="BF1285">
        <v>0</v>
      </c>
      <c r="BG1285">
        <v>0</v>
      </c>
      <c r="BH1285">
        <v>9025</v>
      </c>
      <c r="BI1285">
        <v>325</v>
      </c>
      <c r="BJ1285">
        <v>1</v>
      </c>
      <c r="BK1285">
        <v>1</v>
      </c>
      <c r="BL1285">
        <v>1</v>
      </c>
      <c r="BM1285">
        <v>0</v>
      </c>
      <c r="BP1285">
        <v>0</v>
      </c>
      <c r="BQ1285">
        <v>0</v>
      </c>
      <c r="BX1285" t="str">
        <f>"14:11:47.539"</f>
        <v>14:11:47.539</v>
      </c>
      <c r="BY1285" t="str">
        <f>"539847992"</f>
        <v>539847992</v>
      </c>
      <c r="CL1285">
        <v>0</v>
      </c>
      <c r="CM1285">
        <v>2</v>
      </c>
      <c r="CN1285">
        <v>0</v>
      </c>
      <c r="CO1285">
        <v>2</v>
      </c>
      <c r="CP1285">
        <v>0</v>
      </c>
      <c r="CQ1285">
        <v>5</v>
      </c>
      <c r="CR1285" t="s">
        <v>116</v>
      </c>
      <c r="CS1285">
        <v>525</v>
      </c>
      <c r="CT1285">
        <v>1</v>
      </c>
      <c r="CU1285" t="s">
        <v>140</v>
      </c>
      <c r="CV1285" t="s">
        <v>141</v>
      </c>
      <c r="CY1285">
        <v>9032954</v>
      </c>
      <c r="CZ1285" t="s">
        <v>119</v>
      </c>
    </row>
    <row r="1286" spans="1:104" x14ac:dyDescent="0.25">
      <c r="A1286" t="str">
        <f>"14:11:48.641"</f>
        <v>14:11:48.641</v>
      </c>
      <c r="B1286" t="s">
        <v>108</v>
      </c>
      <c r="C1286" t="str">
        <f t="shared" si="58"/>
        <v>ffdfd3c0</v>
      </c>
      <c r="D1286" t="s">
        <v>109</v>
      </c>
      <c r="E1286">
        <v>4</v>
      </c>
      <c r="F1286">
        <v>1004</v>
      </c>
      <c r="G1286" t="s">
        <v>110</v>
      </c>
      <c r="J1286" t="s">
        <v>111</v>
      </c>
      <c r="K1286">
        <v>0</v>
      </c>
      <c r="L1286">
        <v>3</v>
      </c>
      <c r="M1286">
        <v>0</v>
      </c>
      <c r="N1286">
        <v>2</v>
      </c>
      <c r="O1286">
        <v>1</v>
      </c>
      <c r="P1286">
        <v>0</v>
      </c>
      <c r="Q1286">
        <v>0</v>
      </c>
      <c r="R1286" t="s">
        <v>112</v>
      </c>
      <c r="S1286" t="str">
        <f>"14:11:48.469"</f>
        <v>14:11:48.469</v>
      </c>
      <c r="T1286" t="str">
        <f>"14:11:47.570"</f>
        <v>14:11:47.570</v>
      </c>
      <c r="U1286" t="str">
        <f t="shared" si="60"/>
        <v>ad5732</v>
      </c>
      <c r="V1286">
        <v>0</v>
      </c>
      <c r="W1286">
        <v>0</v>
      </c>
      <c r="X1286">
        <v>1</v>
      </c>
      <c r="Z1286">
        <v>0</v>
      </c>
      <c r="AA1286">
        <v>9</v>
      </c>
      <c r="AB1286">
        <v>3</v>
      </c>
      <c r="AC1286">
        <v>0</v>
      </c>
      <c r="AD1286">
        <v>10</v>
      </c>
      <c r="AE1286">
        <v>0</v>
      </c>
      <c r="AF1286">
        <v>3</v>
      </c>
      <c r="AG1286">
        <v>2</v>
      </c>
      <c r="AH1286">
        <v>0</v>
      </c>
      <c r="AI1286" t="s">
        <v>2673</v>
      </c>
      <c r="AJ1286">
        <v>39.549751000000001</v>
      </c>
      <c r="AK1286" t="s">
        <v>2674</v>
      </c>
      <c r="AL1286">
        <v>-76.590520999999995</v>
      </c>
      <c r="AM1286">
        <v>100</v>
      </c>
      <c r="AN1286">
        <v>8700</v>
      </c>
      <c r="AO1286" t="s">
        <v>115</v>
      </c>
      <c r="AP1286">
        <v>170</v>
      </c>
      <c r="AQ1286">
        <v>86</v>
      </c>
      <c r="AR1286">
        <v>128</v>
      </c>
      <c r="AZ1286">
        <v>3614</v>
      </c>
      <c r="BA1286">
        <v>1</v>
      </c>
      <c r="BB1286" t="str">
        <f t="shared" si="59"/>
        <v xml:space="preserve">N959MJ  </v>
      </c>
      <c r="BC1286">
        <v>1</v>
      </c>
      <c r="BE1286">
        <v>0</v>
      </c>
      <c r="BF1286">
        <v>0</v>
      </c>
      <c r="BG1286">
        <v>0</v>
      </c>
      <c r="BH1286">
        <v>9025</v>
      </c>
      <c r="BI1286">
        <v>325</v>
      </c>
      <c r="BJ1286">
        <v>1</v>
      </c>
      <c r="BK1286">
        <v>1</v>
      </c>
      <c r="BL1286">
        <v>1</v>
      </c>
      <c r="BM1286">
        <v>0</v>
      </c>
      <c r="BP1286">
        <v>0</v>
      </c>
      <c r="BQ1286">
        <v>0</v>
      </c>
      <c r="BX1286" t="str">
        <f>"14:11:48.469"</f>
        <v>14:11:48.469</v>
      </c>
      <c r="BY1286" t="str">
        <f>"472208685"</f>
        <v>472208685</v>
      </c>
      <c r="CL1286">
        <v>0</v>
      </c>
      <c r="CM1286">
        <v>2</v>
      </c>
      <c r="CN1286">
        <v>0</v>
      </c>
      <c r="CO1286">
        <v>2</v>
      </c>
      <c r="CP1286">
        <v>0</v>
      </c>
      <c r="CQ1286">
        <v>5</v>
      </c>
      <c r="CR1286" t="s">
        <v>116</v>
      </c>
      <c r="CS1286">
        <v>39</v>
      </c>
      <c r="CT1286">
        <v>2</v>
      </c>
      <c r="CU1286" t="s">
        <v>2259</v>
      </c>
      <c r="CV1286" t="s">
        <v>2260</v>
      </c>
      <c r="CY1286">
        <v>15345946</v>
      </c>
      <c r="CZ1286" t="s">
        <v>119</v>
      </c>
    </row>
    <row r="1287" spans="1:104" x14ac:dyDescent="0.25">
      <c r="A1287" t="str">
        <f>"14:11:49.555"</f>
        <v>14:11:49.555</v>
      </c>
      <c r="B1287" t="s">
        <v>108</v>
      </c>
      <c r="C1287" t="str">
        <f t="shared" si="58"/>
        <v>ffdfd3c0</v>
      </c>
      <c r="D1287" t="s">
        <v>109</v>
      </c>
      <c r="E1287">
        <v>4</v>
      </c>
      <c r="F1287">
        <v>1004</v>
      </c>
      <c r="G1287" t="s">
        <v>110</v>
      </c>
      <c r="J1287" t="s">
        <v>111</v>
      </c>
      <c r="K1287">
        <v>0</v>
      </c>
      <c r="L1287">
        <v>3</v>
      </c>
      <c r="M1287">
        <v>0</v>
      </c>
      <c r="N1287">
        <v>2</v>
      </c>
      <c r="O1287">
        <v>1</v>
      </c>
      <c r="P1287">
        <v>0</v>
      </c>
      <c r="Q1287">
        <v>0</v>
      </c>
      <c r="R1287" t="s">
        <v>112</v>
      </c>
      <c r="S1287" t="str">
        <f>"14:11:49.398"</f>
        <v>14:11:49.398</v>
      </c>
      <c r="T1287" t="str">
        <f>"14:11:49.000"</f>
        <v>14:11:49.000</v>
      </c>
      <c r="U1287" t="str">
        <f t="shared" si="60"/>
        <v>ad5732</v>
      </c>
      <c r="V1287">
        <v>0</v>
      </c>
      <c r="W1287">
        <v>0</v>
      </c>
      <c r="X1287">
        <v>1</v>
      </c>
      <c r="Z1287">
        <v>0</v>
      </c>
      <c r="AA1287">
        <v>9</v>
      </c>
      <c r="AB1287">
        <v>3</v>
      </c>
      <c r="AC1287">
        <v>0</v>
      </c>
      <c r="AD1287">
        <v>10</v>
      </c>
      <c r="AE1287">
        <v>0</v>
      </c>
      <c r="AF1287">
        <v>3</v>
      </c>
      <c r="AG1287">
        <v>2</v>
      </c>
      <c r="AH1287">
        <v>0</v>
      </c>
      <c r="AI1287" t="s">
        <v>2675</v>
      </c>
      <c r="AJ1287">
        <v>39.550137999999997</v>
      </c>
      <c r="AK1287" t="s">
        <v>2676</v>
      </c>
      <c r="AL1287">
        <v>-76.589470000000006</v>
      </c>
      <c r="AM1287">
        <v>100</v>
      </c>
      <c r="AN1287">
        <v>8700</v>
      </c>
      <c r="AO1287" t="s">
        <v>115</v>
      </c>
      <c r="AP1287">
        <v>170</v>
      </c>
      <c r="AQ1287">
        <v>86</v>
      </c>
      <c r="AR1287">
        <v>128</v>
      </c>
      <c r="AZ1287">
        <v>3614</v>
      </c>
      <c r="BA1287">
        <v>1</v>
      </c>
      <c r="BB1287" t="str">
        <f t="shared" si="59"/>
        <v xml:space="preserve">N959MJ  </v>
      </c>
      <c r="BC1287">
        <v>1</v>
      </c>
      <c r="BE1287">
        <v>0</v>
      </c>
      <c r="BF1287">
        <v>0</v>
      </c>
      <c r="BG1287">
        <v>0</v>
      </c>
      <c r="BH1287">
        <v>9025</v>
      </c>
      <c r="BI1287">
        <v>325</v>
      </c>
      <c r="BJ1287">
        <v>1</v>
      </c>
      <c r="BK1287">
        <v>1</v>
      </c>
      <c r="BL1287">
        <v>1</v>
      </c>
      <c r="BM1287">
        <v>0</v>
      </c>
      <c r="BP1287">
        <v>0</v>
      </c>
      <c r="BQ1287">
        <v>0</v>
      </c>
      <c r="BX1287" t="str">
        <f>"14:11:49.398"</f>
        <v>14:11:49.398</v>
      </c>
      <c r="BY1287" t="str">
        <f>"399459979"</f>
        <v>399459979</v>
      </c>
      <c r="CL1287">
        <v>0</v>
      </c>
      <c r="CM1287">
        <v>2</v>
      </c>
      <c r="CN1287">
        <v>0</v>
      </c>
      <c r="CO1287">
        <v>2</v>
      </c>
      <c r="CP1287">
        <v>0</v>
      </c>
      <c r="CQ1287">
        <v>6</v>
      </c>
      <c r="CR1287" t="s">
        <v>116</v>
      </c>
      <c r="CS1287">
        <v>372</v>
      </c>
      <c r="CT1287">
        <v>3</v>
      </c>
      <c r="CU1287" t="s">
        <v>877</v>
      </c>
      <c r="CV1287" t="s">
        <v>878</v>
      </c>
      <c r="CY1287">
        <v>11652555</v>
      </c>
      <c r="CZ1287" t="s">
        <v>119</v>
      </c>
    </row>
    <row r="1288" spans="1:104" x14ac:dyDescent="0.25">
      <c r="A1288" t="str">
        <f>"14:11:50.563"</f>
        <v>14:11:50.563</v>
      </c>
      <c r="B1288" t="s">
        <v>108</v>
      </c>
      <c r="C1288" t="str">
        <f t="shared" si="58"/>
        <v>ffdfd3c0</v>
      </c>
      <c r="D1288" t="s">
        <v>109</v>
      </c>
      <c r="E1288">
        <v>4</v>
      </c>
      <c r="F1288">
        <v>1004</v>
      </c>
      <c r="G1288" t="s">
        <v>110</v>
      </c>
      <c r="J1288" t="s">
        <v>111</v>
      </c>
      <c r="K1288">
        <v>0</v>
      </c>
      <c r="L1288">
        <v>3</v>
      </c>
      <c r="M1288">
        <v>0</v>
      </c>
      <c r="N1288">
        <v>2</v>
      </c>
      <c r="O1288">
        <v>1</v>
      </c>
      <c r="P1288">
        <v>0</v>
      </c>
      <c r="Q1288">
        <v>0</v>
      </c>
      <c r="R1288" t="s">
        <v>112</v>
      </c>
      <c r="S1288" t="str">
        <f>"14:11:50.406"</f>
        <v>14:11:50.406</v>
      </c>
      <c r="T1288" t="str">
        <f>"14:11:50.008"</f>
        <v>14:11:50.008</v>
      </c>
      <c r="U1288" t="str">
        <f t="shared" si="60"/>
        <v>ad5732</v>
      </c>
      <c r="V1288">
        <v>0</v>
      </c>
      <c r="W1288">
        <v>0</v>
      </c>
      <c r="X1288">
        <v>1</v>
      </c>
      <c r="Z1288">
        <v>0</v>
      </c>
      <c r="AA1288">
        <v>9</v>
      </c>
      <c r="AB1288">
        <v>3</v>
      </c>
      <c r="AC1288">
        <v>0</v>
      </c>
      <c r="AD1288">
        <v>10</v>
      </c>
      <c r="AE1288">
        <v>0</v>
      </c>
      <c r="AF1288">
        <v>3</v>
      </c>
      <c r="AG1288">
        <v>2</v>
      </c>
      <c r="AH1288">
        <v>0</v>
      </c>
      <c r="AI1288" t="s">
        <v>2677</v>
      </c>
      <c r="AJ1288">
        <v>39.550545</v>
      </c>
      <c r="AK1288" t="s">
        <v>2678</v>
      </c>
      <c r="AL1288">
        <v>-76.588504</v>
      </c>
      <c r="AM1288">
        <v>100</v>
      </c>
      <c r="AN1288">
        <v>8700</v>
      </c>
      <c r="AO1288" t="s">
        <v>115</v>
      </c>
      <c r="AP1288">
        <v>170</v>
      </c>
      <c r="AQ1288">
        <v>86</v>
      </c>
      <c r="AR1288">
        <v>128</v>
      </c>
      <c r="AZ1288">
        <v>3614</v>
      </c>
      <c r="BA1288">
        <v>1</v>
      </c>
      <c r="BB1288" t="str">
        <f t="shared" si="59"/>
        <v xml:space="preserve">N959MJ  </v>
      </c>
      <c r="BC1288">
        <v>1</v>
      </c>
      <c r="BE1288">
        <v>0</v>
      </c>
      <c r="BF1288">
        <v>0</v>
      </c>
      <c r="BG1288">
        <v>0</v>
      </c>
      <c r="BH1288">
        <v>9025</v>
      </c>
      <c r="BI1288">
        <v>325</v>
      </c>
      <c r="BJ1288">
        <v>1</v>
      </c>
      <c r="BK1288">
        <v>1</v>
      </c>
      <c r="BL1288">
        <v>1</v>
      </c>
      <c r="BM1288">
        <v>0</v>
      </c>
      <c r="BP1288">
        <v>0</v>
      </c>
      <c r="BQ1288">
        <v>0</v>
      </c>
      <c r="BX1288" t="str">
        <f>"14:11:50.406"</f>
        <v>14:11:50.406</v>
      </c>
      <c r="BY1288" t="str">
        <f>"408828969"</f>
        <v>408828969</v>
      </c>
      <c r="CL1288">
        <v>0</v>
      </c>
      <c r="CM1288">
        <v>2</v>
      </c>
      <c r="CN1288">
        <v>0</v>
      </c>
      <c r="CO1288">
        <v>2</v>
      </c>
      <c r="CP1288">
        <v>0</v>
      </c>
      <c r="CQ1288">
        <v>6</v>
      </c>
      <c r="CR1288" t="s">
        <v>116</v>
      </c>
      <c r="CS1288">
        <v>39</v>
      </c>
      <c r="CT1288">
        <v>2</v>
      </c>
      <c r="CU1288" t="s">
        <v>2259</v>
      </c>
      <c r="CV1288" t="s">
        <v>2260</v>
      </c>
      <c r="CY1288">
        <v>15349190</v>
      </c>
      <c r="CZ1288" t="s">
        <v>119</v>
      </c>
    </row>
    <row r="1289" spans="1:104" x14ac:dyDescent="0.25">
      <c r="A1289" t="str">
        <f>"14:11:51.469"</f>
        <v>14:11:51.469</v>
      </c>
      <c r="B1289" t="s">
        <v>108</v>
      </c>
      <c r="C1289" t="str">
        <f t="shared" si="58"/>
        <v>ffdfd3c0</v>
      </c>
      <c r="D1289" t="s">
        <v>109</v>
      </c>
      <c r="E1289">
        <v>4</v>
      </c>
      <c r="F1289">
        <v>1004</v>
      </c>
      <c r="G1289" t="s">
        <v>110</v>
      </c>
      <c r="J1289" t="s">
        <v>111</v>
      </c>
      <c r="K1289">
        <v>0</v>
      </c>
      <c r="L1289">
        <v>3</v>
      </c>
      <c r="M1289">
        <v>0</v>
      </c>
      <c r="N1289">
        <v>2</v>
      </c>
      <c r="O1289">
        <v>1</v>
      </c>
      <c r="P1289">
        <v>0</v>
      </c>
      <c r="Q1289">
        <v>0</v>
      </c>
      <c r="R1289" t="s">
        <v>112</v>
      </c>
      <c r="S1289" t="str">
        <f>"14:11:51.289"</f>
        <v>14:11:51.289</v>
      </c>
      <c r="T1289" t="str">
        <f>"14:11:50.891"</f>
        <v>14:11:50.891</v>
      </c>
      <c r="U1289" t="str">
        <f t="shared" si="60"/>
        <v>ad5732</v>
      </c>
      <c r="V1289">
        <v>0</v>
      </c>
      <c r="W1289">
        <v>0</v>
      </c>
      <c r="X1289">
        <v>1</v>
      </c>
      <c r="Z1289">
        <v>0</v>
      </c>
      <c r="AA1289">
        <v>9</v>
      </c>
      <c r="AB1289">
        <v>3</v>
      </c>
      <c r="AC1289">
        <v>0</v>
      </c>
      <c r="AD1289">
        <v>10</v>
      </c>
      <c r="AE1289">
        <v>0</v>
      </c>
      <c r="AF1289">
        <v>3</v>
      </c>
      <c r="AG1289">
        <v>2</v>
      </c>
      <c r="AH1289">
        <v>0</v>
      </c>
      <c r="AI1289" t="s">
        <v>2679</v>
      </c>
      <c r="AJ1289">
        <v>39.550910000000002</v>
      </c>
      <c r="AK1289" t="s">
        <v>2680</v>
      </c>
      <c r="AL1289">
        <v>-76.587603000000001</v>
      </c>
      <c r="AM1289">
        <v>100</v>
      </c>
      <c r="AN1289">
        <v>8700</v>
      </c>
      <c r="AO1289" t="s">
        <v>115</v>
      </c>
      <c r="AP1289">
        <v>169</v>
      </c>
      <c r="AQ1289">
        <v>86</v>
      </c>
      <c r="AR1289">
        <v>128</v>
      </c>
      <c r="AZ1289">
        <v>3614</v>
      </c>
      <c r="BA1289">
        <v>1</v>
      </c>
      <c r="BB1289" t="str">
        <f t="shared" si="59"/>
        <v xml:space="preserve">N959MJ  </v>
      </c>
      <c r="BC1289">
        <v>1</v>
      </c>
      <c r="BE1289">
        <v>0</v>
      </c>
      <c r="BF1289">
        <v>0</v>
      </c>
      <c r="BG1289">
        <v>0</v>
      </c>
      <c r="BH1289">
        <v>9025</v>
      </c>
      <c r="BI1289">
        <v>325</v>
      </c>
      <c r="BJ1289">
        <v>1</v>
      </c>
      <c r="BK1289">
        <v>1</v>
      </c>
      <c r="BL1289">
        <v>1</v>
      </c>
      <c r="BM1289">
        <v>0</v>
      </c>
      <c r="BP1289">
        <v>0</v>
      </c>
      <c r="BQ1289">
        <v>0</v>
      </c>
      <c r="BX1289" t="str">
        <f>"14:11:51.289"</f>
        <v>14:11:51.289</v>
      </c>
      <c r="BY1289" t="str">
        <f>"291940976"</f>
        <v>291940976</v>
      </c>
      <c r="CL1289">
        <v>0</v>
      </c>
      <c r="CM1289">
        <v>2</v>
      </c>
      <c r="CN1289">
        <v>0</v>
      </c>
      <c r="CO1289">
        <v>2</v>
      </c>
      <c r="CP1289">
        <v>0</v>
      </c>
      <c r="CQ1289">
        <v>6</v>
      </c>
      <c r="CR1289" t="s">
        <v>116</v>
      </c>
      <c r="CS1289">
        <v>39</v>
      </c>
      <c r="CT1289">
        <v>2</v>
      </c>
      <c r="CU1289" t="s">
        <v>2259</v>
      </c>
      <c r="CV1289" t="s">
        <v>2260</v>
      </c>
      <c r="CY1289">
        <v>15350603</v>
      </c>
      <c r="CZ1289" t="s">
        <v>119</v>
      </c>
    </row>
    <row r="1290" spans="1:104" x14ac:dyDescent="0.25">
      <c r="A1290" t="str">
        <f>"14:11:52.430"</f>
        <v>14:11:52.430</v>
      </c>
      <c r="B1290" t="s">
        <v>108</v>
      </c>
      <c r="C1290" t="str">
        <f t="shared" ref="C1290:C1353" si="61">"ffdfd3c0"</f>
        <v>ffdfd3c0</v>
      </c>
      <c r="D1290" t="s">
        <v>109</v>
      </c>
      <c r="E1290">
        <v>4</v>
      </c>
      <c r="F1290">
        <v>1004</v>
      </c>
      <c r="G1290" t="s">
        <v>110</v>
      </c>
      <c r="J1290" t="s">
        <v>111</v>
      </c>
      <c r="K1290">
        <v>0</v>
      </c>
      <c r="L1290">
        <v>3</v>
      </c>
      <c r="M1290">
        <v>0</v>
      </c>
      <c r="N1290">
        <v>2</v>
      </c>
      <c r="O1290">
        <v>1</v>
      </c>
      <c r="P1290">
        <v>0</v>
      </c>
      <c r="Q1290">
        <v>0</v>
      </c>
      <c r="R1290" t="s">
        <v>112</v>
      </c>
      <c r="S1290" t="str">
        <f>"14:11:52.219"</f>
        <v>14:11:52.219</v>
      </c>
      <c r="T1290" t="str">
        <f>"14:11:51.820"</f>
        <v>14:11:51.820</v>
      </c>
      <c r="U1290" t="str">
        <f t="shared" si="60"/>
        <v>ad5732</v>
      </c>
      <c r="V1290">
        <v>0</v>
      </c>
      <c r="W1290">
        <v>0</v>
      </c>
      <c r="X1290">
        <v>1</v>
      </c>
      <c r="Z1290">
        <v>0</v>
      </c>
      <c r="AA1290">
        <v>9</v>
      </c>
      <c r="AB1290">
        <v>3</v>
      </c>
      <c r="AC1290">
        <v>0</v>
      </c>
      <c r="AD1290">
        <v>10</v>
      </c>
      <c r="AE1290">
        <v>0</v>
      </c>
      <c r="AF1290">
        <v>3</v>
      </c>
      <c r="AG1290">
        <v>2</v>
      </c>
      <c r="AH1290">
        <v>0</v>
      </c>
      <c r="AI1290" t="s">
        <v>2681</v>
      </c>
      <c r="AJ1290">
        <v>39.551253000000003</v>
      </c>
      <c r="AK1290" t="s">
        <v>2682</v>
      </c>
      <c r="AL1290">
        <v>-76.586680000000001</v>
      </c>
      <c r="AM1290">
        <v>100</v>
      </c>
      <c r="AN1290">
        <v>8700</v>
      </c>
      <c r="AO1290" t="s">
        <v>115</v>
      </c>
      <c r="AP1290">
        <v>169</v>
      </c>
      <c r="AQ1290">
        <v>86</v>
      </c>
      <c r="AR1290">
        <v>64</v>
      </c>
      <c r="AZ1290">
        <v>3614</v>
      </c>
      <c r="BA1290">
        <v>1</v>
      </c>
      <c r="BB1290" t="str">
        <f t="shared" ref="BB1290:BB1353" si="62">"N959MJ  "</f>
        <v xml:space="preserve">N959MJ  </v>
      </c>
      <c r="BC1290">
        <v>1</v>
      </c>
      <c r="BE1290">
        <v>0</v>
      </c>
      <c r="BF1290">
        <v>0</v>
      </c>
      <c r="BG1290">
        <v>0</v>
      </c>
      <c r="BH1290">
        <v>9025</v>
      </c>
      <c r="BI1290">
        <v>325</v>
      </c>
      <c r="BJ1290">
        <v>1</v>
      </c>
      <c r="BK1290">
        <v>1</v>
      </c>
      <c r="BL1290">
        <v>1</v>
      </c>
      <c r="BM1290">
        <v>0</v>
      </c>
      <c r="BP1290">
        <v>0</v>
      </c>
      <c r="BQ1290">
        <v>0</v>
      </c>
      <c r="BX1290" t="str">
        <f>"14:11:52.227"</f>
        <v>14:11:52.227</v>
      </c>
      <c r="BY1290" t="str">
        <f>"225934129"</f>
        <v>225934129</v>
      </c>
      <c r="CL1290">
        <v>0</v>
      </c>
      <c r="CM1290">
        <v>2</v>
      </c>
      <c r="CN1290">
        <v>0</v>
      </c>
      <c r="CO1290">
        <v>2</v>
      </c>
      <c r="CP1290">
        <v>0</v>
      </c>
      <c r="CQ1290">
        <v>6</v>
      </c>
      <c r="CR1290" t="s">
        <v>116</v>
      </c>
      <c r="CS1290">
        <v>379</v>
      </c>
      <c r="CT1290">
        <v>0</v>
      </c>
      <c r="CU1290" t="s">
        <v>538</v>
      </c>
      <c r="CV1290" t="s">
        <v>539</v>
      </c>
      <c r="CY1290">
        <v>7502482</v>
      </c>
      <c r="CZ1290" t="s">
        <v>119</v>
      </c>
    </row>
    <row r="1291" spans="1:104" x14ac:dyDescent="0.25">
      <c r="A1291" t="str">
        <f>"14:11:53.438"</f>
        <v>14:11:53.438</v>
      </c>
      <c r="B1291" t="s">
        <v>108</v>
      </c>
      <c r="C1291" t="str">
        <f t="shared" si="61"/>
        <v>ffdfd3c0</v>
      </c>
      <c r="D1291" t="s">
        <v>109</v>
      </c>
      <c r="E1291">
        <v>4</v>
      </c>
      <c r="F1291">
        <v>1004</v>
      </c>
      <c r="G1291" t="s">
        <v>110</v>
      </c>
      <c r="J1291" t="s">
        <v>111</v>
      </c>
      <c r="K1291">
        <v>0</v>
      </c>
      <c r="L1291">
        <v>3</v>
      </c>
      <c r="M1291">
        <v>0</v>
      </c>
      <c r="N1291">
        <v>2</v>
      </c>
      <c r="O1291">
        <v>1</v>
      </c>
      <c r="P1291">
        <v>0</v>
      </c>
      <c r="Q1291">
        <v>0</v>
      </c>
      <c r="R1291" t="s">
        <v>112</v>
      </c>
      <c r="S1291" t="str">
        <f>"14:11:53.250"</f>
        <v>14:11:53.250</v>
      </c>
      <c r="T1291" t="str">
        <f>"14:11:52.750"</f>
        <v>14:11:52.750</v>
      </c>
      <c r="U1291" t="str">
        <f t="shared" si="60"/>
        <v>ad5732</v>
      </c>
      <c r="V1291">
        <v>0</v>
      </c>
      <c r="W1291">
        <v>0</v>
      </c>
      <c r="X1291">
        <v>1</v>
      </c>
      <c r="Z1291">
        <v>0</v>
      </c>
      <c r="AA1291">
        <v>9</v>
      </c>
      <c r="AB1291">
        <v>3</v>
      </c>
      <c r="AC1291">
        <v>0</v>
      </c>
      <c r="AD1291">
        <v>10</v>
      </c>
      <c r="AE1291">
        <v>0</v>
      </c>
      <c r="AF1291">
        <v>3</v>
      </c>
      <c r="AG1291">
        <v>2</v>
      </c>
      <c r="AH1291">
        <v>0</v>
      </c>
      <c r="AI1291" t="s">
        <v>2683</v>
      </c>
      <c r="AJ1291">
        <v>39.551661000000003</v>
      </c>
      <c r="AK1291" t="s">
        <v>2684</v>
      </c>
      <c r="AL1291">
        <v>-76.585628999999997</v>
      </c>
      <c r="AM1291">
        <v>100</v>
      </c>
      <c r="AN1291">
        <v>8700</v>
      </c>
      <c r="AO1291" t="s">
        <v>115</v>
      </c>
      <c r="AP1291">
        <v>169</v>
      </c>
      <c r="AQ1291">
        <v>86</v>
      </c>
      <c r="AR1291">
        <v>0</v>
      </c>
      <c r="AZ1291">
        <v>3614</v>
      </c>
      <c r="BA1291">
        <v>1</v>
      </c>
      <c r="BB1291" t="str">
        <f t="shared" si="62"/>
        <v xml:space="preserve">N959MJ  </v>
      </c>
      <c r="BC1291">
        <v>1</v>
      </c>
      <c r="BE1291">
        <v>0</v>
      </c>
      <c r="BF1291">
        <v>0</v>
      </c>
      <c r="BG1291">
        <v>0</v>
      </c>
      <c r="BH1291">
        <v>9025</v>
      </c>
      <c r="BI1291">
        <v>325</v>
      </c>
      <c r="BJ1291">
        <v>1</v>
      </c>
      <c r="BK1291">
        <v>1</v>
      </c>
      <c r="BL1291">
        <v>1</v>
      </c>
      <c r="BM1291">
        <v>0</v>
      </c>
      <c r="BP1291">
        <v>0</v>
      </c>
      <c r="BQ1291">
        <v>0</v>
      </c>
      <c r="BX1291" t="str">
        <f>"14:11:53.258"</f>
        <v>14:11:53.258</v>
      </c>
      <c r="BY1291" t="str">
        <f>"256515324"</f>
        <v>256515324</v>
      </c>
      <c r="CL1291">
        <v>0</v>
      </c>
      <c r="CM1291">
        <v>2</v>
      </c>
      <c r="CN1291">
        <v>0</v>
      </c>
      <c r="CO1291">
        <v>2</v>
      </c>
      <c r="CP1291">
        <v>0</v>
      </c>
      <c r="CQ1291">
        <v>4</v>
      </c>
      <c r="CR1291" t="s">
        <v>116</v>
      </c>
      <c r="CS1291">
        <v>40</v>
      </c>
      <c r="CT1291">
        <v>2</v>
      </c>
      <c r="CU1291" t="s">
        <v>2685</v>
      </c>
      <c r="CV1291" t="s">
        <v>2686</v>
      </c>
      <c r="CY1291">
        <v>15023587</v>
      </c>
      <c r="CZ1291" t="s">
        <v>119</v>
      </c>
    </row>
    <row r="1292" spans="1:104" x14ac:dyDescent="0.25">
      <c r="A1292" t="str">
        <f>"14:11:54.500"</f>
        <v>14:11:54.500</v>
      </c>
      <c r="B1292" t="s">
        <v>108</v>
      </c>
      <c r="C1292" t="str">
        <f t="shared" si="61"/>
        <v>ffdfd3c0</v>
      </c>
      <c r="D1292" t="s">
        <v>109</v>
      </c>
      <c r="E1292">
        <v>4</v>
      </c>
      <c r="F1292">
        <v>1004</v>
      </c>
      <c r="G1292" t="s">
        <v>110</v>
      </c>
      <c r="J1292" t="s">
        <v>111</v>
      </c>
      <c r="K1292">
        <v>0</v>
      </c>
      <c r="L1292">
        <v>3</v>
      </c>
      <c r="M1292">
        <v>0</v>
      </c>
      <c r="N1292">
        <v>2</v>
      </c>
      <c r="O1292">
        <v>1</v>
      </c>
      <c r="P1292">
        <v>0</v>
      </c>
      <c r="Q1292">
        <v>0</v>
      </c>
      <c r="R1292" t="s">
        <v>112</v>
      </c>
      <c r="S1292" t="str">
        <f>"14:11:54.305"</f>
        <v>14:11:54.305</v>
      </c>
      <c r="T1292" t="str">
        <f>"14:11:53.805"</f>
        <v>14:11:53.805</v>
      </c>
      <c r="U1292" t="str">
        <f t="shared" si="60"/>
        <v>ad5732</v>
      </c>
      <c r="V1292">
        <v>0</v>
      </c>
      <c r="W1292">
        <v>0</v>
      </c>
      <c r="X1292">
        <v>1</v>
      </c>
      <c r="Z1292">
        <v>0</v>
      </c>
      <c r="AA1292">
        <v>9</v>
      </c>
      <c r="AB1292">
        <v>3</v>
      </c>
      <c r="AC1292">
        <v>0</v>
      </c>
      <c r="AD1292">
        <v>10</v>
      </c>
      <c r="AE1292">
        <v>0</v>
      </c>
      <c r="AF1292">
        <v>3</v>
      </c>
      <c r="AG1292">
        <v>2</v>
      </c>
      <c r="AH1292">
        <v>0</v>
      </c>
      <c r="AI1292" t="s">
        <v>2687</v>
      </c>
      <c r="AJ1292">
        <v>39.552112000000001</v>
      </c>
      <c r="AK1292" t="s">
        <v>2688</v>
      </c>
      <c r="AL1292">
        <v>-76.584556000000006</v>
      </c>
      <c r="AM1292">
        <v>100</v>
      </c>
      <c r="AN1292">
        <v>8700</v>
      </c>
      <c r="AO1292" t="s">
        <v>115</v>
      </c>
      <c r="AP1292">
        <v>169</v>
      </c>
      <c r="AQ1292">
        <v>87</v>
      </c>
      <c r="AR1292">
        <v>-64</v>
      </c>
      <c r="AZ1292">
        <v>3614</v>
      </c>
      <c r="BA1292">
        <v>1</v>
      </c>
      <c r="BB1292" t="str">
        <f t="shared" si="62"/>
        <v xml:space="preserve">N959MJ  </v>
      </c>
      <c r="BC1292">
        <v>1</v>
      </c>
      <c r="BE1292">
        <v>0</v>
      </c>
      <c r="BF1292">
        <v>0</v>
      </c>
      <c r="BG1292">
        <v>0</v>
      </c>
      <c r="BH1292">
        <v>9025</v>
      </c>
      <c r="BI1292">
        <v>325</v>
      </c>
      <c r="BJ1292">
        <v>1</v>
      </c>
      <c r="BK1292">
        <v>1</v>
      </c>
      <c r="BL1292">
        <v>1</v>
      </c>
      <c r="BM1292">
        <v>0</v>
      </c>
      <c r="BP1292">
        <v>0</v>
      </c>
      <c r="BQ1292">
        <v>0</v>
      </c>
      <c r="BX1292" t="str">
        <f>"14:11:54.305"</f>
        <v>14:11:54.305</v>
      </c>
      <c r="BY1292" t="str">
        <f>"306646145"</f>
        <v>306646145</v>
      </c>
      <c r="CL1292">
        <v>0</v>
      </c>
      <c r="CM1292">
        <v>2</v>
      </c>
      <c r="CN1292">
        <v>0</v>
      </c>
      <c r="CO1292">
        <v>2</v>
      </c>
      <c r="CP1292">
        <v>0</v>
      </c>
      <c r="CQ1292">
        <v>6</v>
      </c>
      <c r="CR1292" t="s">
        <v>116</v>
      </c>
      <c r="CS1292">
        <v>39</v>
      </c>
      <c r="CT1292">
        <v>2</v>
      </c>
      <c r="CU1292" t="s">
        <v>2259</v>
      </c>
      <c r="CV1292" t="s">
        <v>2260</v>
      </c>
      <c r="CY1292">
        <v>15355795</v>
      </c>
      <c r="CZ1292" t="s">
        <v>119</v>
      </c>
    </row>
    <row r="1293" spans="1:104" x14ac:dyDescent="0.25">
      <c r="A1293" t="str">
        <f>"14:11:55.453"</f>
        <v>14:11:55.453</v>
      </c>
      <c r="B1293" t="s">
        <v>108</v>
      </c>
      <c r="C1293" t="str">
        <f t="shared" si="61"/>
        <v>ffdfd3c0</v>
      </c>
      <c r="D1293" t="s">
        <v>109</v>
      </c>
      <c r="E1293">
        <v>4</v>
      </c>
      <c r="F1293">
        <v>1004</v>
      </c>
      <c r="G1293" t="s">
        <v>110</v>
      </c>
      <c r="J1293" t="s">
        <v>111</v>
      </c>
      <c r="K1293">
        <v>0</v>
      </c>
      <c r="L1293">
        <v>3</v>
      </c>
      <c r="M1293">
        <v>0</v>
      </c>
      <c r="N1293">
        <v>2</v>
      </c>
      <c r="O1293">
        <v>1</v>
      </c>
      <c r="P1293">
        <v>0</v>
      </c>
      <c r="Q1293">
        <v>0</v>
      </c>
      <c r="R1293" t="s">
        <v>112</v>
      </c>
      <c r="S1293" t="str">
        <f>"14:11:55.281"</f>
        <v>14:11:55.281</v>
      </c>
      <c r="T1293" t="str">
        <f>"14:11:54.883"</f>
        <v>14:11:54.883</v>
      </c>
      <c r="U1293" t="str">
        <f t="shared" si="60"/>
        <v>ad5732</v>
      </c>
      <c r="V1293">
        <v>0</v>
      </c>
      <c r="W1293">
        <v>0</v>
      </c>
      <c r="X1293">
        <v>1</v>
      </c>
      <c r="Z1293">
        <v>0</v>
      </c>
      <c r="AA1293">
        <v>9</v>
      </c>
      <c r="AB1293">
        <v>3</v>
      </c>
      <c r="AC1293">
        <v>0</v>
      </c>
      <c r="AD1293">
        <v>10</v>
      </c>
      <c r="AE1293">
        <v>0</v>
      </c>
      <c r="AF1293">
        <v>3</v>
      </c>
      <c r="AG1293">
        <v>2</v>
      </c>
      <c r="AH1293">
        <v>0</v>
      </c>
      <c r="AI1293" t="s">
        <v>2689</v>
      </c>
      <c r="AJ1293">
        <v>39.552518999999997</v>
      </c>
      <c r="AK1293" t="s">
        <v>2690</v>
      </c>
      <c r="AL1293">
        <v>-76.583547999999993</v>
      </c>
      <c r="AM1293">
        <v>100</v>
      </c>
      <c r="AN1293">
        <v>8700</v>
      </c>
      <c r="AO1293" t="s">
        <v>115</v>
      </c>
      <c r="AP1293">
        <v>169</v>
      </c>
      <c r="AQ1293">
        <v>87</v>
      </c>
      <c r="AR1293">
        <v>-64</v>
      </c>
      <c r="AZ1293">
        <v>3614</v>
      </c>
      <c r="BA1293">
        <v>1</v>
      </c>
      <c r="BB1293" t="str">
        <f t="shared" si="62"/>
        <v xml:space="preserve">N959MJ  </v>
      </c>
      <c r="BC1293">
        <v>1</v>
      </c>
      <c r="BE1293">
        <v>0</v>
      </c>
      <c r="BF1293">
        <v>0</v>
      </c>
      <c r="BG1293">
        <v>0</v>
      </c>
      <c r="BH1293">
        <v>9025</v>
      </c>
      <c r="BI1293">
        <v>325</v>
      </c>
      <c r="BJ1293">
        <v>1</v>
      </c>
      <c r="BK1293">
        <v>1</v>
      </c>
      <c r="BL1293">
        <v>1</v>
      </c>
      <c r="BM1293">
        <v>0</v>
      </c>
      <c r="BP1293">
        <v>0</v>
      </c>
      <c r="BQ1293">
        <v>0</v>
      </c>
      <c r="BX1293" t="str">
        <f>"14:11:55.289"</f>
        <v>14:11:55.289</v>
      </c>
      <c r="BY1293" t="str">
        <f>"288063797"</f>
        <v>288063797</v>
      </c>
      <c r="CL1293">
        <v>0</v>
      </c>
      <c r="CM1293">
        <v>2</v>
      </c>
      <c r="CN1293">
        <v>0</v>
      </c>
      <c r="CO1293">
        <v>2</v>
      </c>
      <c r="CP1293">
        <v>0</v>
      </c>
      <c r="CQ1293">
        <v>6</v>
      </c>
      <c r="CR1293" t="s">
        <v>116</v>
      </c>
      <c r="CS1293">
        <v>39</v>
      </c>
      <c r="CT1293">
        <v>2</v>
      </c>
      <c r="CU1293" t="s">
        <v>2259</v>
      </c>
      <c r="CV1293" t="s">
        <v>2260</v>
      </c>
      <c r="CY1293">
        <v>15357528</v>
      </c>
      <c r="CZ1293" t="s">
        <v>119</v>
      </c>
    </row>
    <row r="1294" spans="1:104" x14ac:dyDescent="0.25">
      <c r="A1294" t="str">
        <f>"14:11:56.617"</f>
        <v>14:11:56.617</v>
      </c>
      <c r="B1294" t="s">
        <v>108</v>
      </c>
      <c r="C1294" t="str">
        <f t="shared" si="61"/>
        <v>ffdfd3c0</v>
      </c>
      <c r="D1294" t="s">
        <v>109</v>
      </c>
      <c r="E1294">
        <v>4</v>
      </c>
      <c r="F1294">
        <v>1004</v>
      </c>
      <c r="G1294" t="s">
        <v>110</v>
      </c>
      <c r="J1294" t="s">
        <v>111</v>
      </c>
      <c r="K1294">
        <v>0</v>
      </c>
      <c r="L1294">
        <v>3</v>
      </c>
      <c r="M1294">
        <v>0</v>
      </c>
      <c r="N1294">
        <v>2</v>
      </c>
      <c r="O1294">
        <v>1</v>
      </c>
      <c r="P1294">
        <v>0</v>
      </c>
      <c r="Q1294">
        <v>0</v>
      </c>
      <c r="R1294" t="s">
        <v>112</v>
      </c>
      <c r="S1294" t="str">
        <f>"14:11:56.422"</f>
        <v>14:11:56.422</v>
      </c>
      <c r="T1294" t="str">
        <f>"14:11:55.922"</f>
        <v>14:11:55.922</v>
      </c>
      <c r="U1294" t="str">
        <f t="shared" si="60"/>
        <v>ad5732</v>
      </c>
      <c r="V1294">
        <v>0</v>
      </c>
      <c r="W1294">
        <v>0</v>
      </c>
      <c r="X1294">
        <v>1</v>
      </c>
      <c r="Z1294">
        <v>0</v>
      </c>
      <c r="AA1294">
        <v>9</v>
      </c>
      <c r="AB1294">
        <v>3</v>
      </c>
      <c r="AC1294">
        <v>0</v>
      </c>
      <c r="AD1294">
        <v>10</v>
      </c>
      <c r="AE1294">
        <v>0</v>
      </c>
      <c r="AF1294">
        <v>3</v>
      </c>
      <c r="AG1294">
        <v>2</v>
      </c>
      <c r="AH1294">
        <v>0</v>
      </c>
      <c r="AI1294" t="s">
        <v>2691</v>
      </c>
      <c r="AJ1294">
        <v>39.552970000000002</v>
      </c>
      <c r="AK1294" t="s">
        <v>2692</v>
      </c>
      <c r="AL1294">
        <v>-76.582389000000006</v>
      </c>
      <c r="AM1294">
        <v>100</v>
      </c>
      <c r="AN1294">
        <v>8700</v>
      </c>
      <c r="AO1294" t="s">
        <v>115</v>
      </c>
      <c r="AP1294">
        <v>169</v>
      </c>
      <c r="AQ1294">
        <v>87</v>
      </c>
      <c r="AR1294">
        <v>-128</v>
      </c>
      <c r="AZ1294">
        <v>3614</v>
      </c>
      <c r="BA1294">
        <v>1</v>
      </c>
      <c r="BB1294" t="str">
        <f t="shared" si="62"/>
        <v xml:space="preserve">N959MJ  </v>
      </c>
      <c r="BC1294">
        <v>1</v>
      </c>
      <c r="BE1294">
        <v>0</v>
      </c>
      <c r="BF1294">
        <v>0</v>
      </c>
      <c r="BG1294">
        <v>0</v>
      </c>
      <c r="BH1294">
        <v>9025</v>
      </c>
      <c r="BI1294">
        <v>325</v>
      </c>
      <c r="BJ1294">
        <v>1</v>
      </c>
      <c r="BK1294">
        <v>1</v>
      </c>
      <c r="BL1294">
        <v>1</v>
      </c>
      <c r="BM1294">
        <v>0</v>
      </c>
      <c r="BP1294">
        <v>0</v>
      </c>
      <c r="BQ1294">
        <v>0</v>
      </c>
      <c r="BX1294" t="str">
        <f>"14:11:56.422"</f>
        <v>14:11:56.422</v>
      </c>
      <c r="BY1294" t="str">
        <f>"423316479"</f>
        <v>423316479</v>
      </c>
      <c r="CL1294">
        <v>0</v>
      </c>
      <c r="CM1294">
        <v>2</v>
      </c>
      <c r="CN1294">
        <v>0</v>
      </c>
      <c r="CO1294">
        <v>2</v>
      </c>
      <c r="CP1294">
        <v>0</v>
      </c>
      <c r="CQ1294">
        <v>6</v>
      </c>
      <c r="CR1294" t="s">
        <v>116</v>
      </c>
      <c r="CS1294">
        <v>396</v>
      </c>
      <c r="CT1294">
        <v>2</v>
      </c>
      <c r="CU1294" t="s">
        <v>939</v>
      </c>
      <c r="CV1294" t="s">
        <v>940</v>
      </c>
      <c r="CY1294">
        <v>5022874</v>
      </c>
      <c r="CZ1294" t="s">
        <v>119</v>
      </c>
    </row>
    <row r="1295" spans="1:104" x14ac:dyDescent="0.25">
      <c r="A1295" t="str">
        <f>"14:11:57.680"</f>
        <v>14:11:57.680</v>
      </c>
      <c r="B1295" t="s">
        <v>108</v>
      </c>
      <c r="C1295" t="str">
        <f t="shared" si="61"/>
        <v>ffdfd3c0</v>
      </c>
      <c r="D1295" t="s">
        <v>109</v>
      </c>
      <c r="E1295">
        <v>4</v>
      </c>
      <c r="F1295">
        <v>1004</v>
      </c>
      <c r="G1295" t="s">
        <v>110</v>
      </c>
      <c r="J1295" t="s">
        <v>111</v>
      </c>
      <c r="K1295">
        <v>0</v>
      </c>
      <c r="L1295">
        <v>3</v>
      </c>
      <c r="M1295">
        <v>0</v>
      </c>
      <c r="N1295">
        <v>2</v>
      </c>
      <c r="O1295">
        <v>1</v>
      </c>
      <c r="P1295">
        <v>0</v>
      </c>
      <c r="Q1295">
        <v>0</v>
      </c>
      <c r="R1295" t="s">
        <v>112</v>
      </c>
      <c r="S1295" t="str">
        <f>"14:11:57.508"</f>
        <v>14:11:57.508</v>
      </c>
      <c r="T1295" t="str">
        <f>"14:11:57.008"</f>
        <v>14:11:57.008</v>
      </c>
      <c r="U1295" t="str">
        <f t="shared" si="60"/>
        <v>ad5732</v>
      </c>
      <c r="V1295">
        <v>0</v>
      </c>
      <c r="W1295">
        <v>0</v>
      </c>
      <c r="X1295">
        <v>1</v>
      </c>
      <c r="Z1295">
        <v>0</v>
      </c>
      <c r="AA1295">
        <v>9</v>
      </c>
      <c r="AB1295">
        <v>3</v>
      </c>
      <c r="AC1295">
        <v>0</v>
      </c>
      <c r="AD1295">
        <v>10</v>
      </c>
      <c r="AE1295">
        <v>0</v>
      </c>
      <c r="AF1295">
        <v>3</v>
      </c>
      <c r="AG1295">
        <v>2</v>
      </c>
      <c r="AH1295">
        <v>0</v>
      </c>
      <c r="AI1295" t="s">
        <v>2693</v>
      </c>
      <c r="AJ1295">
        <v>39.553398999999999</v>
      </c>
      <c r="AK1295" t="s">
        <v>2694</v>
      </c>
      <c r="AL1295">
        <v>-76.581272999999996</v>
      </c>
      <c r="AM1295">
        <v>100</v>
      </c>
      <c r="AN1295">
        <v>8700</v>
      </c>
      <c r="AO1295" t="s">
        <v>115</v>
      </c>
      <c r="AP1295">
        <v>169</v>
      </c>
      <c r="AQ1295">
        <v>88</v>
      </c>
      <c r="AR1295">
        <v>-128</v>
      </c>
      <c r="AZ1295">
        <v>3614</v>
      </c>
      <c r="BA1295">
        <v>1</v>
      </c>
      <c r="BB1295" t="str">
        <f t="shared" si="62"/>
        <v xml:space="preserve">N959MJ  </v>
      </c>
      <c r="BC1295">
        <v>1</v>
      </c>
      <c r="BE1295">
        <v>0</v>
      </c>
      <c r="BF1295">
        <v>0</v>
      </c>
      <c r="BG1295">
        <v>0</v>
      </c>
      <c r="BH1295">
        <v>9025</v>
      </c>
      <c r="BI1295">
        <v>325</v>
      </c>
      <c r="BJ1295">
        <v>1</v>
      </c>
      <c r="BK1295">
        <v>1</v>
      </c>
      <c r="BL1295">
        <v>1</v>
      </c>
      <c r="BM1295">
        <v>0</v>
      </c>
      <c r="BP1295">
        <v>0</v>
      </c>
      <c r="BQ1295">
        <v>0</v>
      </c>
      <c r="BX1295" t="str">
        <f>"14:11:57.516"</f>
        <v>14:11:57.516</v>
      </c>
      <c r="BY1295" t="str">
        <f>"513047250"</f>
        <v>513047250</v>
      </c>
      <c r="CL1295">
        <v>0</v>
      </c>
      <c r="CM1295">
        <v>2</v>
      </c>
      <c r="CN1295">
        <v>0</v>
      </c>
      <c r="CO1295">
        <v>2</v>
      </c>
      <c r="CP1295">
        <v>0</v>
      </c>
      <c r="CQ1295">
        <v>6</v>
      </c>
      <c r="CR1295" t="s">
        <v>116</v>
      </c>
      <c r="CS1295">
        <v>39</v>
      </c>
      <c r="CT1295">
        <v>2</v>
      </c>
      <c r="CU1295" t="s">
        <v>2259</v>
      </c>
      <c r="CV1295" t="s">
        <v>2260</v>
      </c>
      <c r="CY1295">
        <v>15361315</v>
      </c>
      <c r="CZ1295" t="s">
        <v>119</v>
      </c>
    </row>
    <row r="1296" spans="1:104" x14ac:dyDescent="0.25">
      <c r="A1296" t="str">
        <f>"14:11:58.688"</f>
        <v>14:11:58.688</v>
      </c>
      <c r="B1296" t="s">
        <v>108</v>
      </c>
      <c r="C1296" t="str">
        <f t="shared" si="61"/>
        <v>ffdfd3c0</v>
      </c>
      <c r="D1296" t="s">
        <v>109</v>
      </c>
      <c r="E1296">
        <v>4</v>
      </c>
      <c r="F1296">
        <v>1004</v>
      </c>
      <c r="G1296" t="s">
        <v>110</v>
      </c>
      <c r="J1296" t="s">
        <v>111</v>
      </c>
      <c r="K1296">
        <v>0</v>
      </c>
      <c r="L1296">
        <v>3</v>
      </c>
      <c r="M1296">
        <v>0</v>
      </c>
      <c r="N1296">
        <v>2</v>
      </c>
      <c r="O1296">
        <v>1</v>
      </c>
      <c r="P1296">
        <v>0</v>
      </c>
      <c r="Q1296">
        <v>0</v>
      </c>
      <c r="R1296" t="s">
        <v>112</v>
      </c>
      <c r="S1296" t="str">
        <f>"14:11:58.516"</f>
        <v>14:11:58.516</v>
      </c>
      <c r="T1296" t="str">
        <f>"14:11:58.016"</f>
        <v>14:11:58.016</v>
      </c>
      <c r="U1296" t="str">
        <f t="shared" si="60"/>
        <v>ad5732</v>
      </c>
      <c r="V1296">
        <v>0</v>
      </c>
      <c r="W1296">
        <v>0</v>
      </c>
      <c r="X1296">
        <v>1</v>
      </c>
      <c r="Z1296">
        <v>0</v>
      </c>
      <c r="AA1296">
        <v>9</v>
      </c>
      <c r="AB1296">
        <v>3</v>
      </c>
      <c r="AC1296">
        <v>0</v>
      </c>
      <c r="AD1296">
        <v>10</v>
      </c>
      <c r="AE1296">
        <v>0</v>
      </c>
      <c r="AF1296">
        <v>3</v>
      </c>
      <c r="AG1296">
        <v>2</v>
      </c>
      <c r="AH1296">
        <v>0</v>
      </c>
      <c r="AI1296" t="s">
        <v>2695</v>
      </c>
      <c r="AJ1296">
        <v>39.553806999999999</v>
      </c>
      <c r="AK1296" t="s">
        <v>2696</v>
      </c>
      <c r="AL1296">
        <v>-76.580264999999997</v>
      </c>
      <c r="AM1296">
        <v>100</v>
      </c>
      <c r="AN1296">
        <v>8700</v>
      </c>
      <c r="AO1296" t="s">
        <v>115</v>
      </c>
      <c r="AP1296">
        <v>169</v>
      </c>
      <c r="AQ1296">
        <v>88</v>
      </c>
      <c r="AR1296">
        <v>-128</v>
      </c>
      <c r="AZ1296">
        <v>3614</v>
      </c>
      <c r="BA1296">
        <v>1</v>
      </c>
      <c r="BB1296" t="str">
        <f t="shared" si="62"/>
        <v xml:space="preserve">N959MJ  </v>
      </c>
      <c r="BC1296">
        <v>1</v>
      </c>
      <c r="BE1296">
        <v>0</v>
      </c>
      <c r="BF1296">
        <v>0</v>
      </c>
      <c r="BG1296">
        <v>0</v>
      </c>
      <c r="BH1296">
        <v>9025</v>
      </c>
      <c r="BI1296">
        <v>325</v>
      </c>
      <c r="BJ1296">
        <v>1</v>
      </c>
      <c r="BK1296">
        <v>1</v>
      </c>
      <c r="BL1296">
        <v>1</v>
      </c>
      <c r="BM1296">
        <v>0</v>
      </c>
      <c r="BP1296">
        <v>0</v>
      </c>
      <c r="BQ1296">
        <v>0</v>
      </c>
      <c r="BX1296" t="str">
        <f>"14:11:58.516"</f>
        <v>14:11:58.516</v>
      </c>
      <c r="BY1296" t="str">
        <f>"519041257"</f>
        <v>519041257</v>
      </c>
      <c r="CL1296">
        <v>0</v>
      </c>
      <c r="CM1296">
        <v>2</v>
      </c>
      <c r="CN1296">
        <v>0</v>
      </c>
      <c r="CO1296">
        <v>2</v>
      </c>
      <c r="CP1296">
        <v>0</v>
      </c>
      <c r="CQ1296">
        <v>6</v>
      </c>
      <c r="CR1296" t="s">
        <v>116</v>
      </c>
      <c r="CS1296">
        <v>39</v>
      </c>
      <c r="CT1296">
        <v>2</v>
      </c>
      <c r="CU1296" t="s">
        <v>2259</v>
      </c>
      <c r="CV1296" t="s">
        <v>2260</v>
      </c>
      <c r="CY1296">
        <v>15362989</v>
      </c>
      <c r="CZ1296" t="s">
        <v>119</v>
      </c>
    </row>
    <row r="1297" spans="1:104" x14ac:dyDescent="0.25">
      <c r="A1297" t="str">
        <f>"14:11:59.695"</f>
        <v>14:11:59.695</v>
      </c>
      <c r="B1297" t="s">
        <v>108</v>
      </c>
      <c r="C1297" t="str">
        <f t="shared" si="61"/>
        <v>ffdfd3c0</v>
      </c>
      <c r="D1297" t="s">
        <v>109</v>
      </c>
      <c r="E1297">
        <v>4</v>
      </c>
      <c r="F1297">
        <v>1004</v>
      </c>
      <c r="G1297" t="s">
        <v>110</v>
      </c>
      <c r="J1297" t="s">
        <v>111</v>
      </c>
      <c r="K1297">
        <v>0</v>
      </c>
      <c r="L1297">
        <v>3</v>
      </c>
      <c r="M1297">
        <v>0</v>
      </c>
      <c r="N1297">
        <v>2</v>
      </c>
      <c r="O1297">
        <v>1</v>
      </c>
      <c r="P1297">
        <v>0</v>
      </c>
      <c r="Q1297">
        <v>0</v>
      </c>
      <c r="R1297" t="s">
        <v>112</v>
      </c>
      <c r="S1297" t="str">
        <f>"14:11:59.539"</f>
        <v>14:11:59.539</v>
      </c>
      <c r="T1297" t="str">
        <f>"14:11:59.039"</f>
        <v>14:11:59.039</v>
      </c>
      <c r="U1297" t="str">
        <f t="shared" si="60"/>
        <v>ad5732</v>
      </c>
      <c r="V1297">
        <v>0</v>
      </c>
      <c r="W1297">
        <v>0</v>
      </c>
      <c r="X1297">
        <v>1</v>
      </c>
      <c r="Z1297">
        <v>0</v>
      </c>
      <c r="AA1297">
        <v>9</v>
      </c>
      <c r="AB1297">
        <v>3</v>
      </c>
      <c r="AC1297">
        <v>0</v>
      </c>
      <c r="AD1297">
        <v>10</v>
      </c>
      <c r="AE1297">
        <v>0</v>
      </c>
      <c r="AF1297">
        <v>3</v>
      </c>
      <c r="AG1297">
        <v>2</v>
      </c>
      <c r="AH1297">
        <v>0</v>
      </c>
      <c r="AI1297" t="s">
        <v>2697</v>
      </c>
      <c r="AJ1297">
        <v>39.554214000000002</v>
      </c>
      <c r="AK1297" t="s">
        <v>2698</v>
      </c>
      <c r="AL1297">
        <v>-76.579234999999997</v>
      </c>
      <c r="AM1297">
        <v>100</v>
      </c>
      <c r="AN1297">
        <v>8700</v>
      </c>
      <c r="AO1297" t="s">
        <v>115</v>
      </c>
      <c r="AP1297">
        <v>169</v>
      </c>
      <c r="AQ1297">
        <v>88</v>
      </c>
      <c r="AR1297">
        <v>-64</v>
      </c>
      <c r="AZ1297">
        <v>3614</v>
      </c>
      <c r="BA1297">
        <v>1</v>
      </c>
      <c r="BB1297" t="str">
        <f t="shared" si="62"/>
        <v xml:space="preserve">N959MJ  </v>
      </c>
      <c r="BC1297">
        <v>1</v>
      </c>
      <c r="BE1297">
        <v>0</v>
      </c>
      <c r="BF1297">
        <v>0</v>
      </c>
      <c r="BG1297">
        <v>0</v>
      </c>
      <c r="BH1297">
        <v>9025</v>
      </c>
      <c r="BI1297">
        <v>325</v>
      </c>
      <c r="BJ1297">
        <v>1</v>
      </c>
      <c r="BK1297">
        <v>1</v>
      </c>
      <c r="BL1297">
        <v>1</v>
      </c>
      <c r="BM1297">
        <v>0</v>
      </c>
      <c r="BP1297">
        <v>0</v>
      </c>
      <c r="BQ1297">
        <v>0</v>
      </c>
      <c r="BX1297" t="str">
        <f>"14:11:59.547"</f>
        <v>14:11:59.547</v>
      </c>
      <c r="BY1297" t="str">
        <f>"544601946"</f>
        <v>544601946</v>
      </c>
      <c r="CL1297">
        <v>0</v>
      </c>
      <c r="CM1297">
        <v>2</v>
      </c>
      <c r="CN1297">
        <v>0</v>
      </c>
      <c r="CO1297">
        <v>2</v>
      </c>
      <c r="CP1297">
        <v>0</v>
      </c>
      <c r="CQ1297">
        <v>6</v>
      </c>
      <c r="CR1297" t="s">
        <v>116</v>
      </c>
      <c r="CS1297">
        <v>372</v>
      </c>
      <c r="CT1297">
        <v>3</v>
      </c>
      <c r="CU1297" t="s">
        <v>877</v>
      </c>
      <c r="CV1297" t="s">
        <v>878</v>
      </c>
      <c r="CY1297">
        <v>11671069</v>
      </c>
      <c r="CZ1297" t="s">
        <v>119</v>
      </c>
    </row>
    <row r="1298" spans="1:104" x14ac:dyDescent="0.25">
      <c r="A1298" t="str">
        <f>"14:12:00.508"</f>
        <v>14:12:00.508</v>
      </c>
      <c r="B1298" t="s">
        <v>108</v>
      </c>
      <c r="C1298" t="str">
        <f t="shared" si="61"/>
        <v>ffdfd3c0</v>
      </c>
      <c r="D1298" t="s">
        <v>109</v>
      </c>
      <c r="E1298">
        <v>4</v>
      </c>
      <c r="F1298">
        <v>1004</v>
      </c>
      <c r="G1298" t="s">
        <v>110</v>
      </c>
      <c r="J1298" t="s">
        <v>111</v>
      </c>
      <c r="K1298">
        <v>0</v>
      </c>
      <c r="L1298">
        <v>3</v>
      </c>
      <c r="M1298">
        <v>0</v>
      </c>
      <c r="N1298">
        <v>2</v>
      </c>
      <c r="O1298">
        <v>1</v>
      </c>
      <c r="P1298">
        <v>0</v>
      </c>
      <c r="Q1298">
        <v>0</v>
      </c>
      <c r="R1298" t="s">
        <v>112</v>
      </c>
      <c r="S1298" t="str">
        <f>"14:12:00.352"</f>
        <v>14:12:00.352</v>
      </c>
      <c r="T1298" t="str">
        <f>"14:11:59.953"</f>
        <v>14:11:59.953</v>
      </c>
      <c r="U1298" t="str">
        <f t="shared" si="60"/>
        <v>ad5732</v>
      </c>
      <c r="V1298">
        <v>0</v>
      </c>
      <c r="W1298">
        <v>0</v>
      </c>
      <c r="X1298">
        <v>1</v>
      </c>
      <c r="Z1298">
        <v>0</v>
      </c>
      <c r="AA1298">
        <v>9</v>
      </c>
      <c r="AB1298">
        <v>3</v>
      </c>
      <c r="AC1298">
        <v>0</v>
      </c>
      <c r="AD1298">
        <v>10</v>
      </c>
      <c r="AE1298">
        <v>0</v>
      </c>
      <c r="AF1298">
        <v>3</v>
      </c>
      <c r="AG1298">
        <v>2</v>
      </c>
      <c r="AH1298">
        <v>0</v>
      </c>
      <c r="AI1298" t="s">
        <v>2699</v>
      </c>
      <c r="AJ1298">
        <v>39.554535999999999</v>
      </c>
      <c r="AK1298" t="s">
        <v>2700</v>
      </c>
      <c r="AL1298">
        <v>-76.578462000000002</v>
      </c>
      <c r="AM1298">
        <v>100</v>
      </c>
      <c r="AN1298">
        <v>8700</v>
      </c>
      <c r="AO1298" t="s">
        <v>115</v>
      </c>
      <c r="AP1298">
        <v>169</v>
      </c>
      <c r="AQ1298">
        <v>89</v>
      </c>
      <c r="AR1298">
        <v>-64</v>
      </c>
      <c r="AZ1298">
        <v>3614</v>
      </c>
      <c r="BA1298">
        <v>1</v>
      </c>
      <c r="BB1298" t="str">
        <f t="shared" si="62"/>
        <v xml:space="preserve">N959MJ  </v>
      </c>
      <c r="BC1298">
        <v>1</v>
      </c>
      <c r="BE1298">
        <v>0</v>
      </c>
      <c r="BF1298">
        <v>0</v>
      </c>
      <c r="BG1298">
        <v>0</v>
      </c>
      <c r="BH1298">
        <v>9025</v>
      </c>
      <c r="BI1298">
        <v>325</v>
      </c>
      <c r="BJ1298">
        <v>1</v>
      </c>
      <c r="BK1298">
        <v>1</v>
      </c>
      <c r="BL1298">
        <v>1</v>
      </c>
      <c r="BM1298">
        <v>0</v>
      </c>
      <c r="BP1298">
        <v>0</v>
      </c>
      <c r="BQ1298">
        <v>0</v>
      </c>
      <c r="BX1298" t="str">
        <f>"14:12:00.359"</f>
        <v>14:12:00.359</v>
      </c>
      <c r="BY1298" t="str">
        <f>"355717611"</f>
        <v>355717611</v>
      </c>
      <c r="CL1298">
        <v>0</v>
      </c>
      <c r="CM1298">
        <v>2</v>
      </c>
      <c r="CN1298">
        <v>0</v>
      </c>
      <c r="CO1298">
        <v>2</v>
      </c>
      <c r="CP1298">
        <v>0</v>
      </c>
      <c r="CQ1298">
        <v>6</v>
      </c>
      <c r="CR1298" t="s">
        <v>116</v>
      </c>
      <c r="CS1298">
        <v>39</v>
      </c>
      <c r="CT1298">
        <v>2</v>
      </c>
      <c r="CU1298" t="s">
        <v>2259</v>
      </c>
      <c r="CV1298" t="s">
        <v>2260</v>
      </c>
      <c r="CY1298">
        <v>15366033</v>
      </c>
      <c r="CZ1298" t="s">
        <v>119</v>
      </c>
    </row>
    <row r="1299" spans="1:104" x14ac:dyDescent="0.25">
      <c r="A1299" t="str">
        <f>"14:12:01.516"</f>
        <v>14:12:01.516</v>
      </c>
      <c r="B1299" t="s">
        <v>108</v>
      </c>
      <c r="C1299" t="str">
        <f t="shared" si="61"/>
        <v>ffdfd3c0</v>
      </c>
      <c r="D1299" t="s">
        <v>109</v>
      </c>
      <c r="E1299">
        <v>4</v>
      </c>
      <c r="F1299">
        <v>1004</v>
      </c>
      <c r="G1299" t="s">
        <v>110</v>
      </c>
      <c r="J1299" t="s">
        <v>111</v>
      </c>
      <c r="K1299">
        <v>0</v>
      </c>
      <c r="L1299">
        <v>3</v>
      </c>
      <c r="M1299">
        <v>0</v>
      </c>
      <c r="N1299">
        <v>2</v>
      </c>
      <c r="O1299">
        <v>1</v>
      </c>
      <c r="P1299">
        <v>0</v>
      </c>
      <c r="Q1299">
        <v>0</v>
      </c>
      <c r="R1299" t="s">
        <v>112</v>
      </c>
      <c r="S1299" t="str">
        <f>"14:12:01.313"</f>
        <v>14:12:01.313</v>
      </c>
      <c r="T1299" t="str">
        <f>"14:12:00.914"</f>
        <v>14:12:00.914</v>
      </c>
      <c r="U1299" t="str">
        <f t="shared" si="60"/>
        <v>ad5732</v>
      </c>
      <c r="V1299">
        <v>0</v>
      </c>
      <c r="W1299">
        <v>0</v>
      </c>
      <c r="X1299">
        <v>1</v>
      </c>
      <c r="Z1299">
        <v>0</v>
      </c>
      <c r="AA1299">
        <v>9</v>
      </c>
      <c r="AB1299">
        <v>3</v>
      </c>
      <c r="AC1299">
        <v>0</v>
      </c>
      <c r="AD1299">
        <v>10</v>
      </c>
      <c r="AE1299">
        <v>0</v>
      </c>
      <c r="AF1299">
        <v>3</v>
      </c>
      <c r="AG1299">
        <v>2</v>
      </c>
      <c r="AH1299">
        <v>0</v>
      </c>
      <c r="AI1299" t="s">
        <v>2701</v>
      </c>
      <c r="AJ1299">
        <v>39.554943999999999</v>
      </c>
      <c r="AK1299" t="s">
        <v>2702</v>
      </c>
      <c r="AL1299">
        <v>-76.577454000000003</v>
      </c>
      <c r="AM1299">
        <v>100</v>
      </c>
      <c r="AN1299">
        <v>8700</v>
      </c>
      <c r="AO1299" t="s">
        <v>115</v>
      </c>
      <c r="AP1299">
        <v>169</v>
      </c>
      <c r="AQ1299">
        <v>89</v>
      </c>
      <c r="AR1299">
        <v>0</v>
      </c>
      <c r="AZ1299">
        <v>3614</v>
      </c>
      <c r="BA1299">
        <v>1</v>
      </c>
      <c r="BB1299" t="str">
        <f t="shared" si="62"/>
        <v xml:space="preserve">N959MJ  </v>
      </c>
      <c r="BC1299">
        <v>1</v>
      </c>
      <c r="BE1299">
        <v>0</v>
      </c>
      <c r="BF1299">
        <v>0</v>
      </c>
      <c r="BG1299">
        <v>0</v>
      </c>
      <c r="BH1299">
        <v>9025</v>
      </c>
      <c r="BI1299">
        <v>325</v>
      </c>
      <c r="BJ1299">
        <v>1</v>
      </c>
      <c r="BK1299">
        <v>1</v>
      </c>
      <c r="BL1299">
        <v>1</v>
      </c>
      <c r="BM1299">
        <v>0</v>
      </c>
      <c r="BP1299">
        <v>0</v>
      </c>
      <c r="BQ1299">
        <v>0</v>
      </c>
      <c r="BX1299" t="str">
        <f>"14:12:01.320"</f>
        <v>14:12:01.320</v>
      </c>
      <c r="BY1299" t="str">
        <f>"318936328"</f>
        <v>318936328</v>
      </c>
      <c r="CL1299">
        <v>0</v>
      </c>
      <c r="CM1299">
        <v>2</v>
      </c>
      <c r="CN1299">
        <v>0</v>
      </c>
      <c r="CO1299">
        <v>2</v>
      </c>
      <c r="CP1299">
        <v>0</v>
      </c>
      <c r="CQ1299">
        <v>6</v>
      </c>
      <c r="CR1299" t="s">
        <v>116</v>
      </c>
      <c r="CS1299">
        <v>396</v>
      </c>
      <c r="CT1299">
        <v>2</v>
      </c>
      <c r="CU1299" t="s">
        <v>939</v>
      </c>
      <c r="CV1299" t="s">
        <v>940</v>
      </c>
      <c r="CY1299">
        <v>5031729</v>
      </c>
      <c r="CZ1299" t="s">
        <v>119</v>
      </c>
    </row>
    <row r="1300" spans="1:104" x14ac:dyDescent="0.25">
      <c r="A1300" t="str">
        <f>"14:12:02.578"</f>
        <v>14:12:02.578</v>
      </c>
      <c r="B1300" t="s">
        <v>108</v>
      </c>
      <c r="C1300" t="str">
        <f t="shared" si="61"/>
        <v>ffdfd3c0</v>
      </c>
      <c r="D1300" t="s">
        <v>109</v>
      </c>
      <c r="E1300">
        <v>4</v>
      </c>
      <c r="F1300">
        <v>1004</v>
      </c>
      <c r="G1300" t="s">
        <v>110</v>
      </c>
      <c r="J1300" t="s">
        <v>111</v>
      </c>
      <c r="K1300">
        <v>0</v>
      </c>
      <c r="L1300">
        <v>3</v>
      </c>
      <c r="M1300">
        <v>0</v>
      </c>
      <c r="N1300">
        <v>2</v>
      </c>
      <c r="O1300">
        <v>1</v>
      </c>
      <c r="P1300">
        <v>0</v>
      </c>
      <c r="Q1300">
        <v>0</v>
      </c>
      <c r="R1300" t="s">
        <v>112</v>
      </c>
      <c r="S1300" t="str">
        <f>"14:12:02.414"</f>
        <v>14:12:02.414</v>
      </c>
      <c r="T1300" t="str">
        <f>"14:12:01.914"</f>
        <v>14:12:01.914</v>
      </c>
      <c r="U1300" t="str">
        <f t="shared" si="60"/>
        <v>ad5732</v>
      </c>
      <c r="V1300">
        <v>0</v>
      </c>
      <c r="W1300">
        <v>0</v>
      </c>
      <c r="X1300">
        <v>1</v>
      </c>
      <c r="Z1300">
        <v>0</v>
      </c>
      <c r="AA1300">
        <v>9</v>
      </c>
      <c r="AB1300">
        <v>3</v>
      </c>
      <c r="AC1300">
        <v>0</v>
      </c>
      <c r="AD1300">
        <v>10</v>
      </c>
      <c r="AE1300">
        <v>0</v>
      </c>
      <c r="AF1300">
        <v>3</v>
      </c>
      <c r="AG1300">
        <v>2</v>
      </c>
      <c r="AH1300">
        <v>0</v>
      </c>
      <c r="AI1300" t="s">
        <v>2703</v>
      </c>
      <c r="AJ1300">
        <v>39.555394999999997</v>
      </c>
      <c r="AK1300" t="s">
        <v>2704</v>
      </c>
      <c r="AL1300">
        <v>-76.576358999999997</v>
      </c>
      <c r="AM1300">
        <v>100</v>
      </c>
      <c r="AN1300">
        <v>8700</v>
      </c>
      <c r="AO1300" t="s">
        <v>115</v>
      </c>
      <c r="AP1300">
        <v>169</v>
      </c>
      <c r="AQ1300">
        <v>89</v>
      </c>
      <c r="AR1300">
        <v>64</v>
      </c>
      <c r="AZ1300">
        <v>3614</v>
      </c>
      <c r="BA1300">
        <v>1</v>
      </c>
      <c r="BB1300" t="str">
        <f t="shared" si="62"/>
        <v xml:space="preserve">N959MJ  </v>
      </c>
      <c r="BC1300">
        <v>1</v>
      </c>
      <c r="BE1300">
        <v>0</v>
      </c>
      <c r="BF1300">
        <v>0</v>
      </c>
      <c r="BG1300">
        <v>0</v>
      </c>
      <c r="BH1300">
        <v>9025</v>
      </c>
      <c r="BI1300">
        <v>325</v>
      </c>
      <c r="BJ1300">
        <v>1</v>
      </c>
      <c r="BK1300">
        <v>1</v>
      </c>
      <c r="BL1300">
        <v>1</v>
      </c>
      <c r="BM1300">
        <v>0</v>
      </c>
      <c r="BP1300">
        <v>0</v>
      </c>
      <c r="BQ1300">
        <v>0</v>
      </c>
      <c r="BX1300" t="str">
        <f>"14:12:02.422"</f>
        <v>14:12:02.422</v>
      </c>
      <c r="BY1300" t="str">
        <f>"421597770"</f>
        <v>421597770</v>
      </c>
      <c r="CL1300">
        <v>0</v>
      </c>
      <c r="CM1300">
        <v>2</v>
      </c>
      <c r="CN1300">
        <v>0</v>
      </c>
      <c r="CO1300">
        <v>2</v>
      </c>
      <c r="CP1300">
        <v>0</v>
      </c>
      <c r="CQ1300">
        <v>6</v>
      </c>
      <c r="CR1300" t="s">
        <v>116</v>
      </c>
      <c r="CS1300">
        <v>396</v>
      </c>
      <c r="CT1300">
        <v>2</v>
      </c>
      <c r="CU1300" t="s">
        <v>939</v>
      </c>
      <c r="CV1300" t="s">
        <v>940</v>
      </c>
      <c r="CY1300">
        <v>5033706</v>
      </c>
      <c r="CZ1300" t="s">
        <v>119</v>
      </c>
    </row>
    <row r="1301" spans="1:104" x14ac:dyDescent="0.25">
      <c r="A1301" t="str">
        <f>"14:12:03.484"</f>
        <v>14:12:03.484</v>
      </c>
      <c r="B1301" t="s">
        <v>108</v>
      </c>
      <c r="C1301" t="str">
        <f t="shared" si="61"/>
        <v>ffdfd3c0</v>
      </c>
      <c r="D1301" t="s">
        <v>109</v>
      </c>
      <c r="E1301">
        <v>4</v>
      </c>
      <c r="F1301">
        <v>1004</v>
      </c>
      <c r="G1301" t="s">
        <v>110</v>
      </c>
      <c r="J1301" t="s">
        <v>111</v>
      </c>
      <c r="K1301">
        <v>0</v>
      </c>
      <c r="L1301">
        <v>3</v>
      </c>
      <c r="M1301">
        <v>0</v>
      </c>
      <c r="N1301">
        <v>2</v>
      </c>
      <c r="O1301">
        <v>1</v>
      </c>
      <c r="P1301">
        <v>0</v>
      </c>
      <c r="Q1301">
        <v>0</v>
      </c>
      <c r="R1301" t="s">
        <v>112</v>
      </c>
      <c r="S1301" t="str">
        <f>"14:12:03.297"</f>
        <v>14:12:03.297</v>
      </c>
      <c r="T1301" t="str">
        <f>"14:12:02.898"</f>
        <v>14:12:02.898</v>
      </c>
      <c r="U1301" t="str">
        <f t="shared" si="60"/>
        <v>ad5732</v>
      </c>
      <c r="V1301">
        <v>0</v>
      </c>
      <c r="W1301">
        <v>0</v>
      </c>
      <c r="X1301">
        <v>1</v>
      </c>
      <c r="Z1301">
        <v>0</v>
      </c>
      <c r="AA1301">
        <v>9</v>
      </c>
      <c r="AB1301">
        <v>3</v>
      </c>
      <c r="AC1301">
        <v>0</v>
      </c>
      <c r="AD1301">
        <v>10</v>
      </c>
      <c r="AE1301">
        <v>0</v>
      </c>
      <c r="AF1301">
        <v>3</v>
      </c>
      <c r="AG1301">
        <v>2</v>
      </c>
      <c r="AH1301">
        <v>0</v>
      </c>
      <c r="AI1301" t="s">
        <v>2705</v>
      </c>
      <c r="AJ1301">
        <v>39.555781000000003</v>
      </c>
      <c r="AK1301" t="s">
        <v>2706</v>
      </c>
      <c r="AL1301">
        <v>-76.575415000000007</v>
      </c>
      <c r="AM1301">
        <v>100</v>
      </c>
      <c r="AN1301">
        <v>8700</v>
      </c>
      <c r="AO1301" t="s">
        <v>115</v>
      </c>
      <c r="AP1301">
        <v>169</v>
      </c>
      <c r="AQ1301">
        <v>89</v>
      </c>
      <c r="AR1301">
        <v>64</v>
      </c>
      <c r="AZ1301">
        <v>3614</v>
      </c>
      <c r="BA1301">
        <v>1</v>
      </c>
      <c r="BB1301" t="str">
        <f t="shared" si="62"/>
        <v xml:space="preserve">N959MJ  </v>
      </c>
      <c r="BC1301">
        <v>1</v>
      </c>
      <c r="BE1301">
        <v>0</v>
      </c>
      <c r="BF1301">
        <v>0</v>
      </c>
      <c r="BG1301">
        <v>0</v>
      </c>
      <c r="BH1301">
        <v>9025</v>
      </c>
      <c r="BI1301">
        <v>325</v>
      </c>
      <c r="BJ1301">
        <v>1</v>
      </c>
      <c r="BK1301">
        <v>1</v>
      </c>
      <c r="BL1301">
        <v>1</v>
      </c>
      <c r="BM1301">
        <v>0</v>
      </c>
      <c r="BP1301">
        <v>0</v>
      </c>
      <c r="BQ1301">
        <v>0</v>
      </c>
      <c r="BX1301" t="str">
        <f>"14:12:03.305"</f>
        <v>14:12:03.305</v>
      </c>
      <c r="BY1301" t="str">
        <f>"303071462"</f>
        <v>303071462</v>
      </c>
      <c r="CL1301">
        <v>0</v>
      </c>
      <c r="CM1301">
        <v>2</v>
      </c>
      <c r="CN1301">
        <v>0</v>
      </c>
      <c r="CO1301">
        <v>2</v>
      </c>
      <c r="CP1301">
        <v>0</v>
      </c>
      <c r="CQ1301">
        <v>6</v>
      </c>
      <c r="CR1301" t="s">
        <v>116</v>
      </c>
      <c r="CS1301">
        <v>396</v>
      </c>
      <c r="CT1301">
        <v>2</v>
      </c>
      <c r="CU1301" t="s">
        <v>939</v>
      </c>
      <c r="CV1301" t="s">
        <v>940</v>
      </c>
      <c r="CY1301">
        <v>5035368</v>
      </c>
      <c r="CZ1301" t="s">
        <v>119</v>
      </c>
    </row>
    <row r="1302" spans="1:104" x14ac:dyDescent="0.25">
      <c r="A1302" t="str">
        <f>"14:12:04.398"</f>
        <v>14:12:04.398</v>
      </c>
      <c r="B1302" t="s">
        <v>108</v>
      </c>
      <c r="C1302" t="str">
        <f t="shared" si="61"/>
        <v>ffdfd3c0</v>
      </c>
      <c r="D1302" t="s">
        <v>109</v>
      </c>
      <c r="E1302">
        <v>4</v>
      </c>
      <c r="F1302">
        <v>1004</v>
      </c>
      <c r="G1302" t="s">
        <v>110</v>
      </c>
      <c r="J1302" t="s">
        <v>111</v>
      </c>
      <c r="K1302">
        <v>0</v>
      </c>
      <c r="L1302">
        <v>3</v>
      </c>
      <c r="M1302">
        <v>0</v>
      </c>
      <c r="N1302">
        <v>2</v>
      </c>
      <c r="O1302">
        <v>1</v>
      </c>
      <c r="P1302">
        <v>0</v>
      </c>
      <c r="Q1302">
        <v>0</v>
      </c>
      <c r="R1302" t="s">
        <v>112</v>
      </c>
      <c r="S1302" t="str">
        <f>"14:12:04.203"</f>
        <v>14:12:04.203</v>
      </c>
      <c r="T1302" t="str">
        <f>"14:12:03.805"</f>
        <v>14:12:03.805</v>
      </c>
      <c r="U1302" t="str">
        <f t="shared" si="60"/>
        <v>ad5732</v>
      </c>
      <c r="V1302">
        <v>0</v>
      </c>
      <c r="W1302">
        <v>0</v>
      </c>
      <c r="X1302">
        <v>1</v>
      </c>
      <c r="Z1302">
        <v>0</v>
      </c>
      <c r="AA1302">
        <v>9</v>
      </c>
      <c r="AB1302">
        <v>3</v>
      </c>
      <c r="AC1302">
        <v>0</v>
      </c>
      <c r="AD1302">
        <v>10</v>
      </c>
      <c r="AE1302">
        <v>0</v>
      </c>
      <c r="AF1302">
        <v>3</v>
      </c>
      <c r="AG1302">
        <v>2</v>
      </c>
      <c r="AH1302">
        <v>0</v>
      </c>
      <c r="AI1302" t="s">
        <v>2707</v>
      </c>
      <c r="AJ1302">
        <v>39.556189000000003</v>
      </c>
      <c r="AK1302" t="s">
        <v>2708</v>
      </c>
      <c r="AL1302">
        <v>-76.574513999999994</v>
      </c>
      <c r="AM1302">
        <v>100</v>
      </c>
      <c r="AN1302">
        <v>8700</v>
      </c>
      <c r="AO1302" t="s">
        <v>115</v>
      </c>
      <c r="AP1302">
        <v>169</v>
      </c>
      <c r="AQ1302">
        <v>89</v>
      </c>
      <c r="AR1302">
        <v>64</v>
      </c>
      <c r="AZ1302">
        <v>3614</v>
      </c>
      <c r="BA1302">
        <v>1</v>
      </c>
      <c r="BB1302" t="str">
        <f t="shared" si="62"/>
        <v xml:space="preserve">N959MJ  </v>
      </c>
      <c r="BC1302">
        <v>1</v>
      </c>
      <c r="BE1302">
        <v>0</v>
      </c>
      <c r="BF1302">
        <v>0</v>
      </c>
      <c r="BG1302">
        <v>0</v>
      </c>
      <c r="BH1302">
        <v>9025</v>
      </c>
      <c r="BI1302">
        <v>325</v>
      </c>
      <c r="BJ1302">
        <v>1</v>
      </c>
      <c r="BK1302">
        <v>1</v>
      </c>
      <c r="BL1302">
        <v>1</v>
      </c>
      <c r="BM1302">
        <v>0</v>
      </c>
      <c r="BP1302">
        <v>0</v>
      </c>
      <c r="BQ1302">
        <v>0</v>
      </c>
      <c r="BX1302" t="str">
        <f>"14:12:04.211"</f>
        <v>14:12:04.211</v>
      </c>
      <c r="BY1302" t="str">
        <f>"210935845"</f>
        <v>210935845</v>
      </c>
      <c r="CL1302">
        <v>0</v>
      </c>
      <c r="CM1302">
        <v>2</v>
      </c>
      <c r="CN1302">
        <v>0</v>
      </c>
      <c r="CO1302">
        <v>2</v>
      </c>
      <c r="CP1302">
        <v>0</v>
      </c>
      <c r="CQ1302">
        <v>6</v>
      </c>
      <c r="CR1302" t="s">
        <v>116</v>
      </c>
      <c r="CS1302">
        <v>39</v>
      </c>
      <c r="CT1302">
        <v>2</v>
      </c>
      <c r="CU1302" t="s">
        <v>2259</v>
      </c>
      <c r="CV1302" t="s">
        <v>2260</v>
      </c>
      <c r="CY1302">
        <v>15372556</v>
      </c>
      <c r="CZ1302" t="s">
        <v>119</v>
      </c>
    </row>
    <row r="1303" spans="1:104" x14ac:dyDescent="0.25">
      <c r="A1303" t="str">
        <f>"14:12:05.297"</f>
        <v>14:12:05.297</v>
      </c>
      <c r="B1303" t="s">
        <v>108</v>
      </c>
      <c r="C1303" t="str">
        <f t="shared" si="61"/>
        <v>ffdfd3c0</v>
      </c>
      <c r="D1303" t="s">
        <v>109</v>
      </c>
      <c r="E1303">
        <v>4</v>
      </c>
      <c r="F1303">
        <v>1004</v>
      </c>
      <c r="G1303" t="s">
        <v>110</v>
      </c>
      <c r="J1303" t="s">
        <v>111</v>
      </c>
      <c r="K1303">
        <v>0</v>
      </c>
      <c r="L1303">
        <v>3</v>
      </c>
      <c r="M1303">
        <v>0</v>
      </c>
      <c r="N1303">
        <v>2</v>
      </c>
      <c r="O1303">
        <v>1</v>
      </c>
      <c r="P1303">
        <v>0</v>
      </c>
      <c r="Q1303">
        <v>0</v>
      </c>
      <c r="R1303" t="s">
        <v>112</v>
      </c>
      <c r="S1303" t="str">
        <f>"14:12:05.117"</f>
        <v>14:12:05.117</v>
      </c>
      <c r="T1303" t="str">
        <f>"14:12:04.719"</f>
        <v>14:12:04.719</v>
      </c>
      <c r="U1303" t="str">
        <f t="shared" si="60"/>
        <v>ad5732</v>
      </c>
      <c r="V1303">
        <v>0</v>
      </c>
      <c r="W1303">
        <v>0</v>
      </c>
      <c r="X1303">
        <v>1</v>
      </c>
      <c r="Z1303">
        <v>0</v>
      </c>
      <c r="AA1303">
        <v>9</v>
      </c>
      <c r="AB1303">
        <v>3</v>
      </c>
      <c r="AC1303">
        <v>0</v>
      </c>
      <c r="AD1303">
        <v>10</v>
      </c>
      <c r="AE1303">
        <v>0</v>
      </c>
      <c r="AF1303">
        <v>3</v>
      </c>
      <c r="AG1303">
        <v>2</v>
      </c>
      <c r="AH1303">
        <v>0</v>
      </c>
      <c r="AI1303" t="s">
        <v>2709</v>
      </c>
      <c r="AJ1303">
        <v>39.556553000000001</v>
      </c>
      <c r="AK1303" t="s">
        <v>2710</v>
      </c>
      <c r="AL1303">
        <v>-76.573633999999998</v>
      </c>
      <c r="AM1303">
        <v>100</v>
      </c>
      <c r="AN1303">
        <v>8700</v>
      </c>
      <c r="AO1303" t="s">
        <v>115</v>
      </c>
      <c r="AP1303">
        <v>169</v>
      </c>
      <c r="AQ1303">
        <v>89</v>
      </c>
      <c r="AR1303">
        <v>128</v>
      </c>
      <c r="AZ1303">
        <v>3614</v>
      </c>
      <c r="BA1303">
        <v>1</v>
      </c>
      <c r="BB1303" t="str">
        <f t="shared" si="62"/>
        <v xml:space="preserve">N959MJ  </v>
      </c>
      <c r="BC1303">
        <v>1</v>
      </c>
      <c r="BE1303">
        <v>0</v>
      </c>
      <c r="BF1303">
        <v>0</v>
      </c>
      <c r="BG1303">
        <v>0</v>
      </c>
      <c r="BH1303">
        <v>9025</v>
      </c>
      <c r="BI1303">
        <v>325</v>
      </c>
      <c r="BJ1303">
        <v>1</v>
      </c>
      <c r="BK1303">
        <v>1</v>
      </c>
      <c r="BL1303">
        <v>1</v>
      </c>
      <c r="BM1303">
        <v>0</v>
      </c>
      <c r="BP1303">
        <v>0</v>
      </c>
      <c r="BQ1303">
        <v>0</v>
      </c>
      <c r="BX1303" t="str">
        <f>"14:12:05.125"</f>
        <v>14:12:05.125</v>
      </c>
      <c r="BY1303" t="str">
        <f>"121726476"</f>
        <v>121726476</v>
      </c>
      <c r="CL1303">
        <v>0</v>
      </c>
      <c r="CM1303">
        <v>2</v>
      </c>
      <c r="CN1303">
        <v>0</v>
      </c>
      <c r="CO1303">
        <v>2</v>
      </c>
      <c r="CP1303">
        <v>0</v>
      </c>
      <c r="CQ1303">
        <v>6</v>
      </c>
      <c r="CR1303" t="s">
        <v>116</v>
      </c>
      <c r="CS1303">
        <v>396</v>
      </c>
      <c r="CT1303">
        <v>2</v>
      </c>
      <c r="CU1303" t="s">
        <v>939</v>
      </c>
      <c r="CV1303" t="s">
        <v>940</v>
      </c>
      <c r="CY1303">
        <v>5038635</v>
      </c>
      <c r="CZ1303" t="s">
        <v>119</v>
      </c>
    </row>
    <row r="1304" spans="1:104" x14ac:dyDescent="0.25">
      <c r="A1304" t="str">
        <f>"14:12:06.359"</f>
        <v>14:12:06.359</v>
      </c>
      <c r="B1304" t="s">
        <v>108</v>
      </c>
      <c r="C1304" t="str">
        <f t="shared" si="61"/>
        <v>ffdfd3c0</v>
      </c>
      <c r="D1304" t="s">
        <v>109</v>
      </c>
      <c r="E1304">
        <v>4</v>
      </c>
      <c r="F1304">
        <v>1004</v>
      </c>
      <c r="G1304" t="s">
        <v>110</v>
      </c>
      <c r="J1304" t="s">
        <v>111</v>
      </c>
      <c r="K1304">
        <v>0</v>
      </c>
      <c r="L1304">
        <v>3</v>
      </c>
      <c r="M1304">
        <v>0</v>
      </c>
      <c r="N1304">
        <v>2</v>
      </c>
      <c r="O1304">
        <v>1</v>
      </c>
      <c r="P1304">
        <v>0</v>
      </c>
      <c r="Q1304">
        <v>0</v>
      </c>
      <c r="R1304" t="s">
        <v>112</v>
      </c>
      <c r="S1304" t="str">
        <f>"14:12:06.203"</f>
        <v>14:12:06.203</v>
      </c>
      <c r="T1304" t="str">
        <f>"14:12:05.703"</f>
        <v>14:12:05.703</v>
      </c>
      <c r="U1304" t="str">
        <f t="shared" si="60"/>
        <v>ad5732</v>
      </c>
      <c r="V1304">
        <v>0</v>
      </c>
      <c r="W1304">
        <v>0</v>
      </c>
      <c r="X1304">
        <v>1</v>
      </c>
      <c r="Z1304">
        <v>0</v>
      </c>
      <c r="AA1304">
        <v>9</v>
      </c>
      <c r="AB1304">
        <v>3</v>
      </c>
      <c r="AC1304">
        <v>0</v>
      </c>
      <c r="AD1304">
        <v>10</v>
      </c>
      <c r="AE1304">
        <v>0</v>
      </c>
      <c r="AF1304">
        <v>3</v>
      </c>
      <c r="AG1304">
        <v>2</v>
      </c>
      <c r="AH1304">
        <v>0</v>
      </c>
      <c r="AI1304" t="s">
        <v>2711</v>
      </c>
      <c r="AJ1304">
        <v>39.556983000000002</v>
      </c>
      <c r="AK1304" t="s">
        <v>2712</v>
      </c>
      <c r="AL1304">
        <v>-76.572518000000002</v>
      </c>
      <c r="AM1304">
        <v>100</v>
      </c>
      <c r="AN1304">
        <v>8700</v>
      </c>
      <c r="AO1304" t="s">
        <v>115</v>
      </c>
      <c r="AP1304">
        <v>169</v>
      </c>
      <c r="AQ1304">
        <v>89</v>
      </c>
      <c r="AR1304">
        <v>128</v>
      </c>
      <c r="AZ1304">
        <v>3614</v>
      </c>
      <c r="BA1304">
        <v>1</v>
      </c>
      <c r="BB1304" t="str">
        <f t="shared" si="62"/>
        <v xml:space="preserve">N959MJ  </v>
      </c>
      <c r="BC1304">
        <v>1</v>
      </c>
      <c r="BE1304">
        <v>0</v>
      </c>
      <c r="BF1304">
        <v>0</v>
      </c>
      <c r="BG1304">
        <v>0</v>
      </c>
      <c r="BH1304">
        <v>9025</v>
      </c>
      <c r="BI1304">
        <v>325</v>
      </c>
      <c r="BJ1304">
        <v>1</v>
      </c>
      <c r="BK1304">
        <v>1</v>
      </c>
      <c r="BL1304">
        <v>1</v>
      </c>
      <c r="BM1304">
        <v>0</v>
      </c>
      <c r="BP1304">
        <v>0</v>
      </c>
      <c r="BQ1304">
        <v>0</v>
      </c>
      <c r="BX1304" t="str">
        <f>"14:12:06.203"</f>
        <v>14:12:06.203</v>
      </c>
      <c r="BY1304" t="str">
        <f>"203170721"</f>
        <v>203170721</v>
      </c>
      <c r="CL1304">
        <v>0</v>
      </c>
      <c r="CM1304">
        <v>2</v>
      </c>
      <c r="CN1304">
        <v>0</v>
      </c>
      <c r="CO1304">
        <v>2</v>
      </c>
      <c r="CP1304">
        <v>0</v>
      </c>
      <c r="CQ1304">
        <v>6</v>
      </c>
      <c r="CR1304" t="s">
        <v>116</v>
      </c>
      <c r="CS1304">
        <v>372</v>
      </c>
      <c r="CT1304">
        <v>3</v>
      </c>
      <c r="CU1304" t="s">
        <v>877</v>
      </c>
      <c r="CV1304" t="s">
        <v>878</v>
      </c>
      <c r="CY1304">
        <v>11683216</v>
      </c>
      <c r="CZ1304" t="s">
        <v>119</v>
      </c>
    </row>
    <row r="1305" spans="1:104" x14ac:dyDescent="0.25">
      <c r="A1305" t="str">
        <f>"14:12:07.422"</f>
        <v>14:12:07.422</v>
      </c>
      <c r="B1305" t="s">
        <v>108</v>
      </c>
      <c r="C1305" t="str">
        <f t="shared" si="61"/>
        <v>ffdfd3c0</v>
      </c>
      <c r="D1305" t="s">
        <v>109</v>
      </c>
      <c r="E1305">
        <v>4</v>
      </c>
      <c r="F1305">
        <v>1004</v>
      </c>
      <c r="G1305" t="s">
        <v>110</v>
      </c>
      <c r="J1305" t="s">
        <v>111</v>
      </c>
      <c r="K1305">
        <v>0</v>
      </c>
      <c r="L1305">
        <v>3</v>
      </c>
      <c r="M1305">
        <v>0</v>
      </c>
      <c r="N1305">
        <v>2</v>
      </c>
      <c r="O1305">
        <v>1</v>
      </c>
      <c r="P1305">
        <v>0</v>
      </c>
      <c r="Q1305">
        <v>0</v>
      </c>
      <c r="R1305" t="s">
        <v>112</v>
      </c>
      <c r="S1305" t="str">
        <f>"14:12:07.219"</f>
        <v>14:12:07.219</v>
      </c>
      <c r="T1305" t="str">
        <f>"14:12:06.719"</f>
        <v>14:12:06.719</v>
      </c>
      <c r="U1305" t="str">
        <f t="shared" si="60"/>
        <v>ad5732</v>
      </c>
      <c r="V1305">
        <v>0</v>
      </c>
      <c r="W1305">
        <v>0</v>
      </c>
      <c r="X1305">
        <v>1</v>
      </c>
      <c r="Z1305">
        <v>0</v>
      </c>
      <c r="AA1305">
        <v>9</v>
      </c>
      <c r="AB1305">
        <v>3</v>
      </c>
      <c r="AC1305">
        <v>0</v>
      </c>
      <c r="AD1305">
        <v>10</v>
      </c>
      <c r="AE1305">
        <v>0</v>
      </c>
      <c r="AF1305">
        <v>3</v>
      </c>
      <c r="AG1305">
        <v>2</v>
      </c>
      <c r="AH1305">
        <v>0</v>
      </c>
      <c r="AI1305" t="s">
        <v>2713</v>
      </c>
      <c r="AJ1305">
        <v>39.557389999999998</v>
      </c>
      <c r="AK1305" t="s">
        <v>2714</v>
      </c>
      <c r="AL1305">
        <v>-76.571466999999998</v>
      </c>
      <c r="AM1305">
        <v>100</v>
      </c>
      <c r="AN1305">
        <v>8700</v>
      </c>
      <c r="AO1305" t="s">
        <v>115</v>
      </c>
      <c r="AP1305">
        <v>168</v>
      </c>
      <c r="AQ1305">
        <v>90</v>
      </c>
      <c r="AR1305">
        <v>128</v>
      </c>
      <c r="AZ1305">
        <v>3614</v>
      </c>
      <c r="BA1305">
        <v>1</v>
      </c>
      <c r="BB1305" t="str">
        <f t="shared" si="62"/>
        <v xml:space="preserve">N959MJ  </v>
      </c>
      <c r="BC1305">
        <v>1</v>
      </c>
      <c r="BE1305">
        <v>0</v>
      </c>
      <c r="BF1305">
        <v>0</v>
      </c>
      <c r="BG1305">
        <v>0</v>
      </c>
      <c r="BH1305">
        <v>9025</v>
      </c>
      <c r="BI1305">
        <v>325</v>
      </c>
      <c r="BJ1305">
        <v>1</v>
      </c>
      <c r="BK1305">
        <v>1</v>
      </c>
      <c r="BL1305">
        <v>1</v>
      </c>
      <c r="BM1305">
        <v>0</v>
      </c>
      <c r="BP1305">
        <v>0</v>
      </c>
      <c r="BQ1305">
        <v>0</v>
      </c>
      <c r="BX1305" t="str">
        <f>"14:12:07.227"</f>
        <v>14:12:07.227</v>
      </c>
      <c r="BY1305" t="str">
        <f>"223911055"</f>
        <v>223911055</v>
      </c>
      <c r="CL1305">
        <v>0</v>
      </c>
      <c r="CM1305">
        <v>2</v>
      </c>
      <c r="CN1305">
        <v>0</v>
      </c>
      <c r="CO1305">
        <v>2</v>
      </c>
      <c r="CP1305">
        <v>0</v>
      </c>
      <c r="CQ1305">
        <v>6</v>
      </c>
      <c r="CR1305" t="s">
        <v>116</v>
      </c>
      <c r="CS1305">
        <v>372</v>
      </c>
      <c r="CT1305">
        <v>3</v>
      </c>
      <c r="CU1305" t="s">
        <v>877</v>
      </c>
      <c r="CV1305" t="s">
        <v>878</v>
      </c>
      <c r="CY1305">
        <v>11685212</v>
      </c>
      <c r="CZ1305" t="s">
        <v>119</v>
      </c>
    </row>
    <row r="1306" spans="1:104" x14ac:dyDescent="0.25">
      <c r="A1306" t="str">
        <f>"14:12:08.430"</f>
        <v>14:12:08.430</v>
      </c>
      <c r="B1306" t="s">
        <v>108</v>
      </c>
      <c r="C1306" t="str">
        <f t="shared" si="61"/>
        <v>ffdfd3c0</v>
      </c>
      <c r="D1306" t="s">
        <v>109</v>
      </c>
      <c r="E1306">
        <v>4</v>
      </c>
      <c r="F1306">
        <v>1004</v>
      </c>
      <c r="G1306" t="s">
        <v>110</v>
      </c>
      <c r="J1306" t="s">
        <v>111</v>
      </c>
      <c r="K1306">
        <v>0</v>
      </c>
      <c r="L1306">
        <v>3</v>
      </c>
      <c r="M1306">
        <v>0</v>
      </c>
      <c r="N1306">
        <v>2</v>
      </c>
      <c r="O1306">
        <v>1</v>
      </c>
      <c r="P1306">
        <v>0</v>
      </c>
      <c r="Q1306">
        <v>0</v>
      </c>
      <c r="R1306" t="s">
        <v>112</v>
      </c>
      <c r="S1306" t="str">
        <f>"14:12:08.227"</f>
        <v>14:12:08.227</v>
      </c>
      <c r="T1306" t="str">
        <f>"14:12:07.828"</f>
        <v>14:12:07.828</v>
      </c>
      <c r="U1306" t="str">
        <f t="shared" si="60"/>
        <v>ad5732</v>
      </c>
      <c r="V1306">
        <v>0</v>
      </c>
      <c r="W1306">
        <v>0</v>
      </c>
      <c r="X1306">
        <v>1</v>
      </c>
      <c r="Z1306">
        <v>0</v>
      </c>
      <c r="AA1306">
        <v>9</v>
      </c>
      <c r="AB1306">
        <v>3</v>
      </c>
      <c r="AC1306">
        <v>0</v>
      </c>
      <c r="AD1306">
        <v>10</v>
      </c>
      <c r="AE1306">
        <v>0</v>
      </c>
      <c r="AF1306">
        <v>3</v>
      </c>
      <c r="AG1306">
        <v>2</v>
      </c>
      <c r="AH1306">
        <v>0</v>
      </c>
      <c r="AI1306" t="s">
        <v>2715</v>
      </c>
      <c r="AJ1306">
        <v>39.557819000000002</v>
      </c>
      <c r="AK1306" t="s">
        <v>2716</v>
      </c>
      <c r="AL1306">
        <v>-76.570500999999993</v>
      </c>
      <c r="AM1306">
        <v>100</v>
      </c>
      <c r="AN1306">
        <v>8700</v>
      </c>
      <c r="AO1306" t="s">
        <v>115</v>
      </c>
      <c r="AP1306">
        <v>168</v>
      </c>
      <c r="AQ1306">
        <v>90</v>
      </c>
      <c r="AR1306">
        <v>64</v>
      </c>
      <c r="AZ1306">
        <v>3614</v>
      </c>
      <c r="BA1306">
        <v>1</v>
      </c>
      <c r="BB1306" t="str">
        <f t="shared" si="62"/>
        <v xml:space="preserve">N959MJ  </v>
      </c>
      <c r="BC1306">
        <v>1</v>
      </c>
      <c r="BE1306">
        <v>0</v>
      </c>
      <c r="BF1306">
        <v>0</v>
      </c>
      <c r="BG1306">
        <v>0</v>
      </c>
      <c r="BH1306">
        <v>9025</v>
      </c>
      <c r="BI1306">
        <v>325</v>
      </c>
      <c r="BJ1306">
        <v>1</v>
      </c>
      <c r="BK1306">
        <v>1</v>
      </c>
      <c r="BL1306">
        <v>1</v>
      </c>
      <c r="BM1306">
        <v>0</v>
      </c>
      <c r="BP1306">
        <v>0</v>
      </c>
      <c r="BQ1306">
        <v>0</v>
      </c>
      <c r="BX1306" t="str">
        <f>"14:12:08.227"</f>
        <v>14:12:08.227</v>
      </c>
      <c r="BY1306" t="str">
        <f>"229996465"</f>
        <v>229996465</v>
      </c>
      <c r="CL1306">
        <v>0</v>
      </c>
      <c r="CM1306">
        <v>2</v>
      </c>
      <c r="CN1306">
        <v>0</v>
      </c>
      <c r="CO1306">
        <v>2</v>
      </c>
      <c r="CP1306">
        <v>0</v>
      </c>
      <c r="CQ1306">
        <v>6</v>
      </c>
      <c r="CR1306" t="s">
        <v>116</v>
      </c>
      <c r="CS1306">
        <v>39</v>
      </c>
      <c r="CT1306">
        <v>2</v>
      </c>
      <c r="CU1306" t="s">
        <v>2259</v>
      </c>
      <c r="CV1306" t="s">
        <v>2260</v>
      </c>
      <c r="CY1306">
        <v>15379328</v>
      </c>
      <c r="CZ1306" t="s">
        <v>119</v>
      </c>
    </row>
    <row r="1307" spans="1:104" x14ac:dyDescent="0.25">
      <c r="A1307" t="str">
        <f>"14:12:09.438"</f>
        <v>14:12:09.438</v>
      </c>
      <c r="B1307" t="s">
        <v>108</v>
      </c>
      <c r="C1307" t="str">
        <f t="shared" si="61"/>
        <v>ffdfd3c0</v>
      </c>
      <c r="D1307" t="s">
        <v>109</v>
      </c>
      <c r="E1307">
        <v>4</v>
      </c>
      <c r="F1307">
        <v>1004</v>
      </c>
      <c r="G1307" t="s">
        <v>110</v>
      </c>
      <c r="J1307" t="s">
        <v>111</v>
      </c>
      <c r="K1307">
        <v>0</v>
      </c>
      <c r="L1307">
        <v>3</v>
      </c>
      <c r="M1307">
        <v>0</v>
      </c>
      <c r="N1307">
        <v>2</v>
      </c>
      <c r="O1307">
        <v>1</v>
      </c>
      <c r="P1307">
        <v>0</v>
      </c>
      <c r="Q1307">
        <v>0</v>
      </c>
      <c r="R1307" t="s">
        <v>112</v>
      </c>
      <c r="S1307" t="str">
        <f>"14:12:09.266"</f>
        <v>14:12:09.266</v>
      </c>
      <c r="T1307" t="str">
        <f>"14:12:08.266"</f>
        <v>14:12:08.266</v>
      </c>
      <c r="U1307" t="str">
        <f t="shared" si="60"/>
        <v>ad5732</v>
      </c>
      <c r="V1307">
        <v>0</v>
      </c>
      <c r="W1307">
        <v>0</v>
      </c>
      <c r="X1307">
        <v>1</v>
      </c>
      <c r="Z1307">
        <v>0</v>
      </c>
      <c r="AA1307">
        <v>9</v>
      </c>
      <c r="AB1307">
        <v>3</v>
      </c>
      <c r="AC1307">
        <v>0</v>
      </c>
      <c r="AD1307">
        <v>10</v>
      </c>
      <c r="AE1307">
        <v>0</v>
      </c>
      <c r="AF1307">
        <v>3</v>
      </c>
      <c r="AG1307">
        <v>2</v>
      </c>
      <c r="AH1307">
        <v>0</v>
      </c>
      <c r="AI1307" t="s">
        <v>2717</v>
      </c>
      <c r="AJ1307">
        <v>39.558227000000002</v>
      </c>
      <c r="AK1307" t="s">
        <v>2718</v>
      </c>
      <c r="AL1307">
        <v>-76.569450000000003</v>
      </c>
      <c r="AM1307">
        <v>100</v>
      </c>
      <c r="AN1307">
        <v>8700</v>
      </c>
      <c r="AO1307" t="s">
        <v>115</v>
      </c>
      <c r="AP1307">
        <v>168</v>
      </c>
      <c r="AQ1307">
        <v>90</v>
      </c>
      <c r="AR1307">
        <v>64</v>
      </c>
      <c r="AZ1307">
        <v>3614</v>
      </c>
      <c r="BA1307">
        <v>1</v>
      </c>
      <c r="BB1307" t="str">
        <f t="shared" si="62"/>
        <v xml:space="preserve">N959MJ  </v>
      </c>
      <c r="BC1307">
        <v>1</v>
      </c>
      <c r="BE1307">
        <v>0</v>
      </c>
      <c r="BF1307">
        <v>0</v>
      </c>
      <c r="BG1307">
        <v>0</v>
      </c>
      <c r="BH1307">
        <v>9025</v>
      </c>
      <c r="BI1307">
        <v>325</v>
      </c>
      <c r="BJ1307">
        <v>1</v>
      </c>
      <c r="BK1307">
        <v>1</v>
      </c>
      <c r="BL1307">
        <v>1</v>
      </c>
      <c r="BM1307">
        <v>0</v>
      </c>
      <c r="BP1307">
        <v>0</v>
      </c>
      <c r="BQ1307">
        <v>0</v>
      </c>
      <c r="BX1307" t="str">
        <f>"14:12:09.266"</f>
        <v>14:12:09.266</v>
      </c>
      <c r="BY1307" t="str">
        <f>"268584436"</f>
        <v>268584436</v>
      </c>
      <c r="CL1307">
        <v>0</v>
      </c>
      <c r="CM1307">
        <v>2</v>
      </c>
      <c r="CN1307">
        <v>0</v>
      </c>
      <c r="CO1307">
        <v>2</v>
      </c>
      <c r="CP1307">
        <v>0</v>
      </c>
      <c r="CQ1307">
        <v>6</v>
      </c>
      <c r="CR1307" t="s">
        <v>116</v>
      </c>
      <c r="CS1307">
        <v>396</v>
      </c>
      <c r="CT1307">
        <v>2</v>
      </c>
      <c r="CU1307" t="s">
        <v>939</v>
      </c>
      <c r="CV1307" t="s">
        <v>940</v>
      </c>
      <c r="CY1307">
        <v>5046143</v>
      </c>
      <c r="CZ1307" t="s">
        <v>119</v>
      </c>
    </row>
    <row r="1308" spans="1:104" x14ac:dyDescent="0.25">
      <c r="A1308" t="str">
        <f>"14:12:10.500"</f>
        <v>14:12:10.500</v>
      </c>
      <c r="B1308" t="s">
        <v>108</v>
      </c>
      <c r="C1308" t="str">
        <f t="shared" si="61"/>
        <v>ffdfd3c0</v>
      </c>
      <c r="D1308" t="s">
        <v>109</v>
      </c>
      <c r="E1308">
        <v>4</v>
      </c>
      <c r="F1308">
        <v>1004</v>
      </c>
      <c r="G1308" t="s">
        <v>110</v>
      </c>
      <c r="J1308" t="s">
        <v>111</v>
      </c>
      <c r="K1308">
        <v>0</v>
      </c>
      <c r="L1308">
        <v>3</v>
      </c>
      <c r="M1308">
        <v>0</v>
      </c>
      <c r="N1308">
        <v>2</v>
      </c>
      <c r="O1308">
        <v>1</v>
      </c>
      <c r="P1308">
        <v>0</v>
      </c>
      <c r="Q1308">
        <v>0</v>
      </c>
      <c r="R1308" t="s">
        <v>112</v>
      </c>
      <c r="S1308" t="str">
        <f>"14:12:10.258"</f>
        <v>14:12:10.258</v>
      </c>
      <c r="T1308" t="str">
        <f>"14:12:09.758"</f>
        <v>14:12:09.758</v>
      </c>
      <c r="U1308" t="str">
        <f t="shared" si="60"/>
        <v>ad5732</v>
      </c>
      <c r="V1308">
        <v>0</v>
      </c>
      <c r="W1308">
        <v>0</v>
      </c>
      <c r="X1308">
        <v>1</v>
      </c>
      <c r="Z1308">
        <v>0</v>
      </c>
      <c r="AA1308">
        <v>9</v>
      </c>
      <c r="AB1308">
        <v>3</v>
      </c>
      <c r="AC1308">
        <v>0</v>
      </c>
      <c r="AD1308">
        <v>10</v>
      </c>
      <c r="AE1308">
        <v>0</v>
      </c>
      <c r="AF1308">
        <v>3</v>
      </c>
      <c r="AG1308">
        <v>2</v>
      </c>
      <c r="AH1308">
        <v>0</v>
      </c>
      <c r="AI1308" t="s">
        <v>2719</v>
      </c>
      <c r="AJ1308">
        <v>39.558655999999999</v>
      </c>
      <c r="AK1308" t="s">
        <v>2720</v>
      </c>
      <c r="AL1308">
        <v>-76.568483999999998</v>
      </c>
      <c r="AM1308">
        <v>100</v>
      </c>
      <c r="AN1308">
        <v>8700</v>
      </c>
      <c r="AO1308" t="s">
        <v>115</v>
      </c>
      <c r="AP1308">
        <v>168</v>
      </c>
      <c r="AQ1308">
        <v>90</v>
      </c>
      <c r="AR1308">
        <v>0</v>
      </c>
      <c r="AZ1308">
        <v>3614</v>
      </c>
      <c r="BA1308">
        <v>1</v>
      </c>
      <c r="BB1308" t="str">
        <f t="shared" si="62"/>
        <v xml:space="preserve">N959MJ  </v>
      </c>
      <c r="BC1308">
        <v>1</v>
      </c>
      <c r="BE1308">
        <v>0</v>
      </c>
      <c r="BF1308">
        <v>0</v>
      </c>
      <c r="BG1308">
        <v>0</v>
      </c>
      <c r="BH1308">
        <v>9025</v>
      </c>
      <c r="BI1308">
        <v>325</v>
      </c>
      <c r="BJ1308">
        <v>1</v>
      </c>
      <c r="BK1308">
        <v>1</v>
      </c>
      <c r="BL1308">
        <v>1</v>
      </c>
      <c r="BM1308">
        <v>0</v>
      </c>
      <c r="BP1308">
        <v>0</v>
      </c>
      <c r="BQ1308">
        <v>0</v>
      </c>
      <c r="BX1308" t="str">
        <f>"14:12:10.266"</f>
        <v>14:12:10.266</v>
      </c>
      <c r="BY1308" t="str">
        <f>"263109551"</f>
        <v>263109551</v>
      </c>
      <c r="CL1308">
        <v>0</v>
      </c>
      <c r="CM1308">
        <v>2</v>
      </c>
      <c r="CN1308">
        <v>0</v>
      </c>
      <c r="CO1308">
        <v>2</v>
      </c>
      <c r="CP1308">
        <v>0</v>
      </c>
      <c r="CQ1308">
        <v>7</v>
      </c>
      <c r="CR1308" t="s">
        <v>116</v>
      </c>
      <c r="CS1308">
        <v>396</v>
      </c>
      <c r="CT1308">
        <v>2</v>
      </c>
      <c r="CU1308" t="s">
        <v>939</v>
      </c>
      <c r="CV1308" t="s">
        <v>940</v>
      </c>
      <c r="CY1308">
        <v>5047954</v>
      </c>
      <c r="CZ1308" t="s">
        <v>119</v>
      </c>
    </row>
    <row r="1309" spans="1:104" x14ac:dyDescent="0.25">
      <c r="A1309" t="str">
        <f>"14:12:11.359"</f>
        <v>14:12:11.359</v>
      </c>
      <c r="B1309" t="s">
        <v>108</v>
      </c>
      <c r="C1309" t="str">
        <f t="shared" si="61"/>
        <v>ffdfd3c0</v>
      </c>
      <c r="D1309" t="s">
        <v>109</v>
      </c>
      <c r="E1309">
        <v>4</v>
      </c>
      <c r="F1309">
        <v>1004</v>
      </c>
      <c r="G1309" t="s">
        <v>110</v>
      </c>
      <c r="J1309" t="s">
        <v>111</v>
      </c>
      <c r="K1309">
        <v>0</v>
      </c>
      <c r="L1309">
        <v>3</v>
      </c>
      <c r="M1309">
        <v>0</v>
      </c>
      <c r="N1309">
        <v>2</v>
      </c>
      <c r="O1309">
        <v>1</v>
      </c>
      <c r="P1309">
        <v>0</v>
      </c>
      <c r="Q1309">
        <v>0</v>
      </c>
      <c r="R1309" t="s">
        <v>112</v>
      </c>
      <c r="S1309" t="str">
        <f>"14:12:11.180"</f>
        <v>14:12:11.180</v>
      </c>
      <c r="T1309" t="str">
        <f>"14:12:10.781"</f>
        <v>14:12:10.781</v>
      </c>
      <c r="U1309" t="str">
        <f t="shared" si="60"/>
        <v>ad5732</v>
      </c>
      <c r="V1309">
        <v>0</v>
      </c>
      <c r="W1309">
        <v>0</v>
      </c>
      <c r="X1309">
        <v>1</v>
      </c>
      <c r="Z1309">
        <v>0</v>
      </c>
      <c r="AA1309">
        <v>9</v>
      </c>
      <c r="AB1309">
        <v>3</v>
      </c>
      <c r="AC1309">
        <v>0</v>
      </c>
      <c r="AD1309">
        <v>10</v>
      </c>
      <c r="AE1309">
        <v>0</v>
      </c>
      <c r="AF1309">
        <v>3</v>
      </c>
      <c r="AG1309">
        <v>2</v>
      </c>
      <c r="AH1309">
        <v>0</v>
      </c>
      <c r="AI1309" t="s">
        <v>2721</v>
      </c>
      <c r="AJ1309">
        <v>39.559021000000001</v>
      </c>
      <c r="AK1309" t="s">
        <v>2722</v>
      </c>
      <c r="AL1309">
        <v>-76.567605</v>
      </c>
      <c r="AM1309">
        <v>100</v>
      </c>
      <c r="AN1309">
        <v>8700</v>
      </c>
      <c r="AO1309" t="s">
        <v>115</v>
      </c>
      <c r="AP1309">
        <v>168</v>
      </c>
      <c r="AQ1309">
        <v>90</v>
      </c>
      <c r="AR1309">
        <v>0</v>
      </c>
      <c r="AZ1309">
        <v>3614</v>
      </c>
      <c r="BA1309">
        <v>1</v>
      </c>
      <c r="BB1309" t="str">
        <f t="shared" si="62"/>
        <v xml:space="preserve">N959MJ  </v>
      </c>
      <c r="BC1309">
        <v>1</v>
      </c>
      <c r="BE1309">
        <v>0</v>
      </c>
      <c r="BF1309">
        <v>0</v>
      </c>
      <c r="BG1309">
        <v>0</v>
      </c>
      <c r="BH1309">
        <v>9025</v>
      </c>
      <c r="BI1309">
        <v>325</v>
      </c>
      <c r="BJ1309">
        <v>1</v>
      </c>
      <c r="BK1309">
        <v>1</v>
      </c>
      <c r="BL1309">
        <v>1</v>
      </c>
      <c r="BM1309">
        <v>0</v>
      </c>
      <c r="BP1309">
        <v>0</v>
      </c>
      <c r="BQ1309">
        <v>0</v>
      </c>
      <c r="BX1309" t="str">
        <f>"14:12:11.180"</f>
        <v>14:12:11.180</v>
      </c>
      <c r="BY1309" t="str">
        <f>"180628690"</f>
        <v>180628690</v>
      </c>
      <c r="CL1309">
        <v>0</v>
      </c>
      <c r="CM1309">
        <v>2</v>
      </c>
      <c r="CN1309">
        <v>0</v>
      </c>
      <c r="CO1309">
        <v>2</v>
      </c>
      <c r="CP1309">
        <v>0</v>
      </c>
      <c r="CQ1309">
        <v>7</v>
      </c>
      <c r="CR1309" t="s">
        <v>116</v>
      </c>
      <c r="CS1309">
        <v>396</v>
      </c>
      <c r="CT1309">
        <v>2</v>
      </c>
      <c r="CU1309" t="s">
        <v>939</v>
      </c>
      <c r="CV1309" t="s">
        <v>940</v>
      </c>
      <c r="CY1309">
        <v>5049529</v>
      </c>
      <c r="CZ1309" t="s">
        <v>119</v>
      </c>
    </row>
    <row r="1310" spans="1:104" x14ac:dyDescent="0.25">
      <c r="A1310" t="str">
        <f>"14:12:12.516"</f>
        <v>14:12:12.516</v>
      </c>
      <c r="B1310" t="s">
        <v>108</v>
      </c>
      <c r="C1310" t="str">
        <f t="shared" si="61"/>
        <v>ffdfd3c0</v>
      </c>
      <c r="D1310" t="s">
        <v>109</v>
      </c>
      <c r="E1310">
        <v>4</v>
      </c>
      <c r="F1310">
        <v>1004</v>
      </c>
      <c r="G1310" t="s">
        <v>110</v>
      </c>
      <c r="J1310" t="s">
        <v>111</v>
      </c>
      <c r="K1310">
        <v>0</v>
      </c>
      <c r="L1310">
        <v>3</v>
      </c>
      <c r="M1310">
        <v>0</v>
      </c>
      <c r="N1310">
        <v>2</v>
      </c>
      <c r="O1310">
        <v>1</v>
      </c>
      <c r="P1310">
        <v>0</v>
      </c>
      <c r="Q1310">
        <v>0</v>
      </c>
      <c r="R1310" t="s">
        <v>112</v>
      </c>
      <c r="S1310" t="str">
        <f>"14:12:12.320"</f>
        <v>14:12:12.320</v>
      </c>
      <c r="T1310" t="str">
        <f>"14:12:11.820"</f>
        <v>14:12:11.820</v>
      </c>
      <c r="U1310" t="str">
        <f t="shared" si="60"/>
        <v>ad5732</v>
      </c>
      <c r="V1310">
        <v>0</v>
      </c>
      <c r="W1310">
        <v>0</v>
      </c>
      <c r="X1310">
        <v>1</v>
      </c>
      <c r="Z1310">
        <v>0</v>
      </c>
      <c r="AA1310">
        <v>9</v>
      </c>
      <c r="AB1310">
        <v>3</v>
      </c>
      <c r="AC1310">
        <v>0</v>
      </c>
      <c r="AD1310">
        <v>10</v>
      </c>
      <c r="AE1310">
        <v>0</v>
      </c>
      <c r="AF1310">
        <v>3</v>
      </c>
      <c r="AG1310">
        <v>2</v>
      </c>
      <c r="AH1310">
        <v>0</v>
      </c>
      <c r="AI1310" t="s">
        <v>2723</v>
      </c>
      <c r="AJ1310">
        <v>39.559514999999998</v>
      </c>
      <c r="AK1310" t="s">
        <v>2724</v>
      </c>
      <c r="AL1310">
        <v>-76.566338999999999</v>
      </c>
      <c r="AM1310">
        <v>100</v>
      </c>
      <c r="AN1310">
        <v>8700</v>
      </c>
      <c r="AO1310" t="s">
        <v>115</v>
      </c>
      <c r="AP1310">
        <v>168</v>
      </c>
      <c r="AQ1310">
        <v>90</v>
      </c>
      <c r="AR1310">
        <v>-64</v>
      </c>
      <c r="AZ1310">
        <v>3614</v>
      </c>
      <c r="BA1310">
        <v>1</v>
      </c>
      <c r="BB1310" t="str">
        <f t="shared" si="62"/>
        <v xml:space="preserve">N959MJ  </v>
      </c>
      <c r="BC1310">
        <v>1</v>
      </c>
      <c r="BE1310">
        <v>0</v>
      </c>
      <c r="BF1310">
        <v>0</v>
      </c>
      <c r="BG1310">
        <v>0</v>
      </c>
      <c r="BH1310">
        <v>9025</v>
      </c>
      <c r="BI1310">
        <v>325</v>
      </c>
      <c r="BJ1310">
        <v>1</v>
      </c>
      <c r="BK1310">
        <v>1</v>
      </c>
      <c r="BL1310">
        <v>1</v>
      </c>
      <c r="BM1310">
        <v>0</v>
      </c>
      <c r="BP1310">
        <v>0</v>
      </c>
      <c r="BQ1310">
        <v>0</v>
      </c>
      <c r="BX1310" t="str">
        <f>"14:12:12.328"</f>
        <v>14:12:12.328</v>
      </c>
      <c r="BY1310" t="str">
        <f>"324250775"</f>
        <v>324250775</v>
      </c>
      <c r="CL1310">
        <v>0</v>
      </c>
      <c r="CM1310">
        <v>2</v>
      </c>
      <c r="CN1310">
        <v>0</v>
      </c>
      <c r="CO1310">
        <v>2</v>
      </c>
      <c r="CP1310">
        <v>0</v>
      </c>
      <c r="CQ1310">
        <v>7</v>
      </c>
      <c r="CR1310" t="s">
        <v>116</v>
      </c>
      <c r="CS1310">
        <v>396</v>
      </c>
      <c r="CT1310">
        <v>2</v>
      </c>
      <c r="CU1310" t="s">
        <v>939</v>
      </c>
      <c r="CV1310" t="s">
        <v>940</v>
      </c>
      <c r="CY1310">
        <v>5051680</v>
      </c>
      <c r="CZ1310" t="s">
        <v>119</v>
      </c>
    </row>
    <row r="1311" spans="1:104" x14ac:dyDescent="0.25">
      <c r="A1311" t="str">
        <f>"14:12:13.531"</f>
        <v>14:12:13.531</v>
      </c>
      <c r="B1311" t="s">
        <v>108</v>
      </c>
      <c r="C1311" t="str">
        <f t="shared" si="61"/>
        <v>ffdfd3c0</v>
      </c>
      <c r="D1311" t="s">
        <v>109</v>
      </c>
      <c r="E1311">
        <v>4</v>
      </c>
      <c r="F1311">
        <v>1004</v>
      </c>
      <c r="G1311" t="s">
        <v>110</v>
      </c>
      <c r="J1311" t="s">
        <v>111</v>
      </c>
      <c r="K1311">
        <v>0</v>
      </c>
      <c r="L1311">
        <v>3</v>
      </c>
      <c r="M1311">
        <v>0</v>
      </c>
      <c r="N1311">
        <v>2</v>
      </c>
      <c r="O1311">
        <v>1</v>
      </c>
      <c r="P1311">
        <v>0</v>
      </c>
      <c r="Q1311">
        <v>0</v>
      </c>
      <c r="R1311" t="s">
        <v>112</v>
      </c>
      <c r="S1311" t="str">
        <f>"14:12:13.352"</f>
        <v>14:12:13.352</v>
      </c>
      <c r="T1311" t="str">
        <f>"14:12:12.852"</f>
        <v>14:12:12.852</v>
      </c>
      <c r="U1311" t="str">
        <f t="shared" si="60"/>
        <v>ad5732</v>
      </c>
      <c r="V1311">
        <v>0</v>
      </c>
      <c r="W1311">
        <v>0</v>
      </c>
      <c r="X1311">
        <v>1</v>
      </c>
      <c r="Z1311">
        <v>0</v>
      </c>
      <c r="AA1311">
        <v>9</v>
      </c>
      <c r="AB1311">
        <v>3</v>
      </c>
      <c r="AC1311">
        <v>0</v>
      </c>
      <c r="AD1311">
        <v>10</v>
      </c>
      <c r="AE1311">
        <v>0</v>
      </c>
      <c r="AF1311">
        <v>3</v>
      </c>
      <c r="AG1311">
        <v>2</v>
      </c>
      <c r="AH1311">
        <v>0</v>
      </c>
      <c r="AI1311" t="s">
        <v>2725</v>
      </c>
      <c r="AJ1311">
        <v>39.559944000000002</v>
      </c>
      <c r="AK1311" t="s">
        <v>2726</v>
      </c>
      <c r="AL1311">
        <v>-76.565330000000003</v>
      </c>
      <c r="AM1311">
        <v>100</v>
      </c>
      <c r="AN1311">
        <v>8700</v>
      </c>
      <c r="AO1311" t="s">
        <v>115</v>
      </c>
      <c r="AP1311">
        <v>168</v>
      </c>
      <c r="AQ1311">
        <v>89</v>
      </c>
      <c r="AR1311">
        <v>-64</v>
      </c>
      <c r="AZ1311">
        <v>3614</v>
      </c>
      <c r="BA1311">
        <v>1</v>
      </c>
      <c r="BB1311" t="str">
        <f t="shared" si="62"/>
        <v xml:space="preserve">N959MJ  </v>
      </c>
      <c r="BC1311">
        <v>1</v>
      </c>
      <c r="BE1311">
        <v>0</v>
      </c>
      <c r="BF1311">
        <v>0</v>
      </c>
      <c r="BG1311">
        <v>0</v>
      </c>
      <c r="BH1311">
        <v>9025</v>
      </c>
      <c r="BI1311">
        <v>325</v>
      </c>
      <c r="BJ1311">
        <v>1</v>
      </c>
      <c r="BK1311">
        <v>1</v>
      </c>
      <c r="BL1311">
        <v>1</v>
      </c>
      <c r="BM1311">
        <v>0</v>
      </c>
      <c r="BP1311">
        <v>0</v>
      </c>
      <c r="BQ1311">
        <v>0</v>
      </c>
      <c r="BX1311" t="str">
        <f>"14:12:13.359"</f>
        <v>14:12:13.359</v>
      </c>
      <c r="BY1311" t="str">
        <f>"356459825"</f>
        <v>356459825</v>
      </c>
      <c r="CL1311">
        <v>0</v>
      </c>
      <c r="CM1311">
        <v>2</v>
      </c>
      <c r="CN1311">
        <v>0</v>
      </c>
      <c r="CO1311">
        <v>2</v>
      </c>
      <c r="CP1311">
        <v>0</v>
      </c>
      <c r="CQ1311">
        <v>7</v>
      </c>
      <c r="CR1311" t="s">
        <v>116</v>
      </c>
      <c r="CS1311">
        <v>396</v>
      </c>
      <c r="CT1311">
        <v>2</v>
      </c>
      <c r="CU1311" t="s">
        <v>939</v>
      </c>
      <c r="CV1311" t="s">
        <v>940</v>
      </c>
      <c r="CY1311">
        <v>5053450</v>
      </c>
      <c r="CZ1311" t="s">
        <v>119</v>
      </c>
    </row>
    <row r="1312" spans="1:104" x14ac:dyDescent="0.25">
      <c r="A1312" t="str">
        <f>"14:12:14.539"</f>
        <v>14:12:14.539</v>
      </c>
      <c r="B1312" t="s">
        <v>108</v>
      </c>
      <c r="C1312" t="str">
        <f t="shared" si="61"/>
        <v>ffdfd3c0</v>
      </c>
      <c r="D1312" t="s">
        <v>109</v>
      </c>
      <c r="E1312">
        <v>4</v>
      </c>
      <c r="F1312">
        <v>1004</v>
      </c>
      <c r="G1312" t="s">
        <v>110</v>
      </c>
      <c r="J1312" t="s">
        <v>111</v>
      </c>
      <c r="K1312">
        <v>0</v>
      </c>
      <c r="L1312">
        <v>3</v>
      </c>
      <c r="M1312">
        <v>0</v>
      </c>
      <c r="N1312">
        <v>2</v>
      </c>
      <c r="O1312">
        <v>1</v>
      </c>
      <c r="P1312">
        <v>0</v>
      </c>
      <c r="Q1312">
        <v>0</v>
      </c>
      <c r="R1312" t="s">
        <v>112</v>
      </c>
      <c r="S1312" t="str">
        <f>"14:12:14.320"</f>
        <v>14:12:14.320</v>
      </c>
      <c r="T1312" t="str">
        <f>"14:12:13.922"</f>
        <v>14:12:13.922</v>
      </c>
      <c r="U1312" t="str">
        <f t="shared" si="60"/>
        <v>ad5732</v>
      </c>
      <c r="V1312">
        <v>0</v>
      </c>
      <c r="W1312">
        <v>0</v>
      </c>
      <c r="X1312">
        <v>1</v>
      </c>
      <c r="Z1312">
        <v>0</v>
      </c>
      <c r="AA1312">
        <v>9</v>
      </c>
      <c r="AB1312">
        <v>3</v>
      </c>
      <c r="AC1312">
        <v>0</v>
      </c>
      <c r="AD1312">
        <v>10</v>
      </c>
      <c r="AE1312">
        <v>0</v>
      </c>
      <c r="AF1312">
        <v>3</v>
      </c>
      <c r="AG1312">
        <v>2</v>
      </c>
      <c r="AH1312">
        <v>0</v>
      </c>
      <c r="AI1312" t="s">
        <v>2727</v>
      </c>
      <c r="AJ1312">
        <v>39.560350999999997</v>
      </c>
      <c r="AK1312" t="s">
        <v>2728</v>
      </c>
      <c r="AL1312">
        <v>-76.564385999999999</v>
      </c>
      <c r="AM1312">
        <v>100</v>
      </c>
      <c r="AN1312">
        <v>8700</v>
      </c>
      <c r="AO1312" t="s">
        <v>115</v>
      </c>
      <c r="AP1312">
        <v>168</v>
      </c>
      <c r="AQ1312">
        <v>89</v>
      </c>
      <c r="AR1312">
        <v>-64</v>
      </c>
      <c r="AZ1312">
        <v>3614</v>
      </c>
      <c r="BA1312">
        <v>1</v>
      </c>
      <c r="BB1312" t="str">
        <f t="shared" si="62"/>
        <v xml:space="preserve">N959MJ  </v>
      </c>
      <c r="BC1312">
        <v>1</v>
      </c>
      <c r="BE1312">
        <v>0</v>
      </c>
      <c r="BF1312">
        <v>0</v>
      </c>
      <c r="BG1312">
        <v>0</v>
      </c>
      <c r="BH1312">
        <v>9025</v>
      </c>
      <c r="BI1312">
        <v>325</v>
      </c>
      <c r="BJ1312">
        <v>1</v>
      </c>
      <c r="BK1312">
        <v>1</v>
      </c>
      <c r="BL1312">
        <v>1</v>
      </c>
      <c r="BM1312">
        <v>0</v>
      </c>
      <c r="BP1312">
        <v>0</v>
      </c>
      <c r="BQ1312">
        <v>0</v>
      </c>
      <c r="BX1312" t="str">
        <f>"14:12:14.328"</f>
        <v>14:12:14.328</v>
      </c>
      <c r="BY1312" t="str">
        <f>"328047115"</f>
        <v>328047115</v>
      </c>
      <c r="CL1312">
        <v>0</v>
      </c>
      <c r="CM1312">
        <v>2</v>
      </c>
      <c r="CN1312">
        <v>0</v>
      </c>
      <c r="CO1312">
        <v>2</v>
      </c>
      <c r="CP1312">
        <v>0</v>
      </c>
      <c r="CQ1312">
        <v>7</v>
      </c>
      <c r="CR1312" t="s">
        <v>116</v>
      </c>
      <c r="CS1312">
        <v>396</v>
      </c>
      <c r="CT1312">
        <v>2</v>
      </c>
      <c r="CU1312" t="s">
        <v>939</v>
      </c>
      <c r="CV1312" t="s">
        <v>940</v>
      </c>
      <c r="CY1312">
        <v>5055157</v>
      </c>
      <c r="CZ1312" t="s">
        <v>119</v>
      </c>
    </row>
    <row r="1313" spans="1:104" x14ac:dyDescent="0.25">
      <c r="A1313" t="str">
        <f>"14:12:15.398"</f>
        <v>14:12:15.398</v>
      </c>
      <c r="B1313" t="s">
        <v>108</v>
      </c>
      <c r="C1313" t="str">
        <f t="shared" si="61"/>
        <v>ffdfd3c0</v>
      </c>
      <c r="D1313" t="s">
        <v>109</v>
      </c>
      <c r="E1313">
        <v>4</v>
      </c>
      <c r="F1313">
        <v>1004</v>
      </c>
      <c r="G1313" t="s">
        <v>110</v>
      </c>
      <c r="J1313" t="s">
        <v>111</v>
      </c>
      <c r="K1313">
        <v>0</v>
      </c>
      <c r="L1313">
        <v>3</v>
      </c>
      <c r="M1313">
        <v>0</v>
      </c>
      <c r="N1313">
        <v>2</v>
      </c>
      <c r="O1313">
        <v>1</v>
      </c>
      <c r="P1313">
        <v>0</v>
      </c>
      <c r="Q1313">
        <v>0</v>
      </c>
      <c r="R1313" t="s">
        <v>112</v>
      </c>
      <c r="S1313" t="str">
        <f>"14:12:15.195"</f>
        <v>14:12:15.195</v>
      </c>
      <c r="T1313" t="str">
        <f>"14:12:14.797"</f>
        <v>14:12:14.797</v>
      </c>
      <c r="U1313" t="str">
        <f t="shared" si="60"/>
        <v>ad5732</v>
      </c>
      <c r="V1313">
        <v>0</v>
      </c>
      <c r="W1313">
        <v>0</v>
      </c>
      <c r="X1313">
        <v>1</v>
      </c>
      <c r="Z1313">
        <v>0</v>
      </c>
      <c r="AA1313">
        <v>9</v>
      </c>
      <c r="AB1313">
        <v>3</v>
      </c>
      <c r="AC1313">
        <v>0</v>
      </c>
      <c r="AD1313">
        <v>10</v>
      </c>
      <c r="AE1313">
        <v>0</v>
      </c>
      <c r="AF1313">
        <v>3</v>
      </c>
      <c r="AG1313">
        <v>2</v>
      </c>
      <c r="AH1313">
        <v>0</v>
      </c>
      <c r="AI1313" t="s">
        <v>2729</v>
      </c>
      <c r="AJ1313">
        <v>39.560695000000003</v>
      </c>
      <c r="AK1313" t="s">
        <v>2730</v>
      </c>
      <c r="AL1313">
        <v>-76.563419999999994</v>
      </c>
      <c r="AM1313">
        <v>100</v>
      </c>
      <c r="AN1313">
        <v>8700</v>
      </c>
      <c r="AO1313" t="s">
        <v>115</v>
      </c>
      <c r="AP1313">
        <v>169</v>
      </c>
      <c r="AQ1313">
        <v>89</v>
      </c>
      <c r="AR1313">
        <v>-128</v>
      </c>
      <c r="AZ1313">
        <v>3614</v>
      </c>
      <c r="BA1313">
        <v>1</v>
      </c>
      <c r="BB1313" t="str">
        <f t="shared" si="62"/>
        <v xml:space="preserve">N959MJ  </v>
      </c>
      <c r="BC1313">
        <v>1</v>
      </c>
      <c r="BE1313">
        <v>0</v>
      </c>
      <c r="BF1313">
        <v>0</v>
      </c>
      <c r="BG1313">
        <v>0</v>
      </c>
      <c r="BH1313">
        <v>9025</v>
      </c>
      <c r="BI1313">
        <v>325</v>
      </c>
      <c r="BJ1313">
        <v>1</v>
      </c>
      <c r="BK1313">
        <v>1</v>
      </c>
      <c r="BL1313">
        <v>1</v>
      </c>
      <c r="BM1313">
        <v>0</v>
      </c>
      <c r="BP1313">
        <v>0</v>
      </c>
      <c r="BQ1313">
        <v>0</v>
      </c>
      <c r="BX1313" t="str">
        <f>"14:12:15.203"</f>
        <v>14:12:15.203</v>
      </c>
      <c r="BY1313" t="str">
        <f>"199785886"</f>
        <v>199785886</v>
      </c>
      <c r="CL1313">
        <v>0</v>
      </c>
      <c r="CM1313">
        <v>2</v>
      </c>
      <c r="CN1313">
        <v>0</v>
      </c>
      <c r="CO1313">
        <v>2</v>
      </c>
      <c r="CP1313">
        <v>0</v>
      </c>
      <c r="CQ1313">
        <v>5</v>
      </c>
      <c r="CR1313" t="s">
        <v>116</v>
      </c>
      <c r="CS1313">
        <v>525</v>
      </c>
      <c r="CT1313">
        <v>1</v>
      </c>
      <c r="CU1313" t="s">
        <v>140</v>
      </c>
      <c r="CV1313" t="s">
        <v>141</v>
      </c>
      <c r="CY1313">
        <v>9074283</v>
      </c>
      <c r="CZ1313" t="s">
        <v>119</v>
      </c>
    </row>
    <row r="1314" spans="1:104" x14ac:dyDescent="0.25">
      <c r="A1314" t="str">
        <f>"14:12:16.453"</f>
        <v>14:12:16.453</v>
      </c>
      <c r="B1314" t="s">
        <v>108</v>
      </c>
      <c r="C1314" t="str">
        <f t="shared" si="61"/>
        <v>ffdfd3c0</v>
      </c>
      <c r="D1314" t="s">
        <v>109</v>
      </c>
      <c r="E1314">
        <v>4</v>
      </c>
      <c r="F1314">
        <v>1004</v>
      </c>
      <c r="G1314" t="s">
        <v>110</v>
      </c>
      <c r="J1314" t="s">
        <v>111</v>
      </c>
      <c r="K1314">
        <v>0</v>
      </c>
      <c r="L1314">
        <v>3</v>
      </c>
      <c r="M1314">
        <v>0</v>
      </c>
      <c r="N1314">
        <v>2</v>
      </c>
      <c r="O1314">
        <v>1</v>
      </c>
      <c r="P1314">
        <v>0</v>
      </c>
      <c r="Q1314">
        <v>0</v>
      </c>
      <c r="R1314" t="s">
        <v>112</v>
      </c>
      <c r="S1314" t="str">
        <f>"14:12:16.305"</f>
        <v>14:12:16.305</v>
      </c>
      <c r="T1314" t="str">
        <f>"14:12:15.805"</f>
        <v>14:12:15.805</v>
      </c>
      <c r="U1314" t="str">
        <f t="shared" si="60"/>
        <v>ad5732</v>
      </c>
      <c r="V1314">
        <v>0</v>
      </c>
      <c r="W1314">
        <v>0</v>
      </c>
      <c r="X1314">
        <v>1</v>
      </c>
      <c r="Z1314">
        <v>0</v>
      </c>
      <c r="AA1314">
        <v>9</v>
      </c>
      <c r="AB1314">
        <v>3</v>
      </c>
      <c r="AC1314">
        <v>0</v>
      </c>
      <c r="AD1314">
        <v>10</v>
      </c>
      <c r="AE1314">
        <v>0</v>
      </c>
      <c r="AF1314">
        <v>3</v>
      </c>
      <c r="AG1314">
        <v>2</v>
      </c>
      <c r="AH1314">
        <v>0</v>
      </c>
      <c r="AI1314" t="s">
        <v>2731</v>
      </c>
      <c r="AJ1314">
        <v>39.561166999999998</v>
      </c>
      <c r="AK1314" t="s">
        <v>2732</v>
      </c>
      <c r="AL1314">
        <v>-76.562347000000003</v>
      </c>
      <c r="AM1314">
        <v>100</v>
      </c>
      <c r="AN1314">
        <v>8700</v>
      </c>
      <c r="AO1314" t="s">
        <v>115</v>
      </c>
      <c r="AP1314">
        <v>169</v>
      </c>
      <c r="AQ1314">
        <v>89</v>
      </c>
      <c r="AR1314">
        <v>-128</v>
      </c>
      <c r="AZ1314">
        <v>3614</v>
      </c>
      <c r="BA1314">
        <v>1</v>
      </c>
      <c r="BB1314" t="str">
        <f t="shared" si="62"/>
        <v xml:space="preserve">N959MJ  </v>
      </c>
      <c r="BC1314">
        <v>1</v>
      </c>
      <c r="BE1314">
        <v>0</v>
      </c>
      <c r="BF1314">
        <v>0</v>
      </c>
      <c r="BG1314">
        <v>0</v>
      </c>
      <c r="BH1314">
        <v>9025</v>
      </c>
      <c r="BI1314">
        <v>325</v>
      </c>
      <c r="BJ1314">
        <v>1</v>
      </c>
      <c r="BK1314">
        <v>1</v>
      </c>
      <c r="BL1314">
        <v>1</v>
      </c>
      <c r="BM1314">
        <v>0</v>
      </c>
      <c r="BP1314">
        <v>0</v>
      </c>
      <c r="BQ1314">
        <v>0</v>
      </c>
      <c r="BX1314" t="str">
        <f>"14:12:16.305"</f>
        <v>14:12:16.305</v>
      </c>
      <c r="BY1314" t="str">
        <f>"305713790"</f>
        <v>305713790</v>
      </c>
      <c r="CL1314">
        <v>0</v>
      </c>
      <c r="CM1314">
        <v>2</v>
      </c>
      <c r="CN1314">
        <v>0</v>
      </c>
      <c r="CO1314">
        <v>2</v>
      </c>
      <c r="CP1314">
        <v>0</v>
      </c>
      <c r="CQ1314">
        <v>6</v>
      </c>
      <c r="CR1314" t="s">
        <v>116</v>
      </c>
      <c r="CS1314">
        <v>372</v>
      </c>
      <c r="CT1314">
        <v>3</v>
      </c>
      <c r="CU1314" t="s">
        <v>877</v>
      </c>
      <c r="CV1314" t="s">
        <v>878</v>
      </c>
      <c r="CY1314">
        <v>11701666</v>
      </c>
      <c r="CZ1314" t="s">
        <v>119</v>
      </c>
    </row>
    <row r="1315" spans="1:104" x14ac:dyDescent="0.25">
      <c r="A1315" t="str">
        <f>"14:12:17.414"</f>
        <v>14:12:17.414</v>
      </c>
      <c r="B1315" t="s">
        <v>108</v>
      </c>
      <c r="C1315" t="str">
        <f t="shared" si="61"/>
        <v>ffdfd3c0</v>
      </c>
      <c r="D1315" t="s">
        <v>109</v>
      </c>
      <c r="E1315">
        <v>4</v>
      </c>
      <c r="F1315">
        <v>1004</v>
      </c>
      <c r="G1315" t="s">
        <v>110</v>
      </c>
      <c r="J1315" t="s">
        <v>111</v>
      </c>
      <c r="K1315">
        <v>0</v>
      </c>
      <c r="L1315">
        <v>3</v>
      </c>
      <c r="M1315">
        <v>0</v>
      </c>
      <c r="N1315">
        <v>2</v>
      </c>
      <c r="O1315">
        <v>1</v>
      </c>
      <c r="P1315">
        <v>0</v>
      </c>
      <c r="Q1315">
        <v>0</v>
      </c>
      <c r="R1315" t="s">
        <v>112</v>
      </c>
      <c r="S1315" t="str">
        <f>"14:12:17.242"</f>
        <v>14:12:17.242</v>
      </c>
      <c r="T1315" t="str">
        <f>"14:12:16.844"</f>
        <v>14:12:16.844</v>
      </c>
      <c r="U1315" t="str">
        <f t="shared" si="60"/>
        <v>ad5732</v>
      </c>
      <c r="V1315">
        <v>0</v>
      </c>
      <c r="W1315">
        <v>0</v>
      </c>
      <c r="X1315">
        <v>1</v>
      </c>
      <c r="Z1315">
        <v>0</v>
      </c>
      <c r="AA1315">
        <v>9</v>
      </c>
      <c r="AB1315">
        <v>3</v>
      </c>
      <c r="AC1315">
        <v>0</v>
      </c>
      <c r="AD1315">
        <v>10</v>
      </c>
      <c r="AE1315">
        <v>0</v>
      </c>
      <c r="AF1315">
        <v>3</v>
      </c>
      <c r="AG1315">
        <v>2</v>
      </c>
      <c r="AH1315">
        <v>0</v>
      </c>
      <c r="AI1315" t="s">
        <v>2733</v>
      </c>
      <c r="AJ1315">
        <v>39.561532</v>
      </c>
      <c r="AK1315" t="s">
        <v>2734</v>
      </c>
      <c r="AL1315">
        <v>-76.561402999999999</v>
      </c>
      <c r="AM1315">
        <v>100</v>
      </c>
      <c r="AN1315">
        <v>8700</v>
      </c>
      <c r="AO1315" t="s">
        <v>115</v>
      </c>
      <c r="AP1315">
        <v>169</v>
      </c>
      <c r="AQ1315">
        <v>89</v>
      </c>
      <c r="AR1315">
        <v>-128</v>
      </c>
      <c r="AZ1315">
        <v>3614</v>
      </c>
      <c r="BA1315">
        <v>1</v>
      </c>
      <c r="BB1315" t="str">
        <f t="shared" si="62"/>
        <v xml:space="preserve">N959MJ  </v>
      </c>
      <c r="BC1315">
        <v>1</v>
      </c>
      <c r="BE1315">
        <v>0</v>
      </c>
      <c r="BF1315">
        <v>0</v>
      </c>
      <c r="BG1315">
        <v>0</v>
      </c>
      <c r="BH1315">
        <v>9025</v>
      </c>
      <c r="BI1315">
        <v>325</v>
      </c>
      <c r="BJ1315">
        <v>1</v>
      </c>
      <c r="BK1315">
        <v>1</v>
      </c>
      <c r="BL1315">
        <v>1</v>
      </c>
      <c r="BM1315">
        <v>0</v>
      </c>
      <c r="BP1315">
        <v>0</v>
      </c>
      <c r="BQ1315">
        <v>0</v>
      </c>
      <c r="BX1315" t="str">
        <f>"14:12:17.242"</f>
        <v>14:12:17.242</v>
      </c>
      <c r="BY1315" t="str">
        <f>"246085668"</f>
        <v>246085668</v>
      </c>
      <c r="CL1315">
        <v>0</v>
      </c>
      <c r="CM1315">
        <v>2</v>
      </c>
      <c r="CN1315">
        <v>0</v>
      </c>
      <c r="CO1315">
        <v>2</v>
      </c>
      <c r="CP1315">
        <v>0</v>
      </c>
      <c r="CQ1315">
        <v>7</v>
      </c>
      <c r="CR1315" t="s">
        <v>116</v>
      </c>
      <c r="CS1315">
        <v>396</v>
      </c>
      <c r="CT1315">
        <v>2</v>
      </c>
      <c r="CU1315" t="s">
        <v>939</v>
      </c>
      <c r="CV1315" t="s">
        <v>940</v>
      </c>
      <c r="CY1315">
        <v>5060482</v>
      </c>
      <c r="CZ1315" t="s">
        <v>119</v>
      </c>
    </row>
    <row r="1316" spans="1:104" x14ac:dyDescent="0.25">
      <c r="A1316" t="str">
        <f>"14:12:18.422"</f>
        <v>14:12:18.422</v>
      </c>
      <c r="B1316" t="s">
        <v>108</v>
      </c>
      <c r="C1316" t="str">
        <f t="shared" si="61"/>
        <v>ffdfd3c0</v>
      </c>
      <c r="D1316" t="s">
        <v>109</v>
      </c>
      <c r="E1316">
        <v>4</v>
      </c>
      <c r="F1316">
        <v>1004</v>
      </c>
      <c r="G1316" t="s">
        <v>110</v>
      </c>
      <c r="J1316" t="s">
        <v>111</v>
      </c>
      <c r="K1316">
        <v>0</v>
      </c>
      <c r="L1316">
        <v>3</v>
      </c>
      <c r="M1316">
        <v>0</v>
      </c>
      <c r="N1316">
        <v>2</v>
      </c>
      <c r="O1316">
        <v>1</v>
      </c>
      <c r="P1316">
        <v>0</v>
      </c>
      <c r="Q1316">
        <v>0</v>
      </c>
      <c r="R1316" t="s">
        <v>112</v>
      </c>
      <c r="S1316" t="str">
        <f>"14:12:18.258"</f>
        <v>14:12:18.258</v>
      </c>
      <c r="T1316" t="str">
        <f>"14:12:17.859"</f>
        <v>14:12:17.859</v>
      </c>
      <c r="U1316" t="str">
        <f t="shared" si="60"/>
        <v>ad5732</v>
      </c>
      <c r="V1316">
        <v>0</v>
      </c>
      <c r="W1316">
        <v>0</v>
      </c>
      <c r="X1316">
        <v>1</v>
      </c>
      <c r="Z1316">
        <v>0</v>
      </c>
      <c r="AA1316">
        <v>9</v>
      </c>
      <c r="AB1316">
        <v>3</v>
      </c>
      <c r="AC1316">
        <v>0</v>
      </c>
      <c r="AD1316">
        <v>10</v>
      </c>
      <c r="AE1316">
        <v>0</v>
      </c>
      <c r="AF1316">
        <v>3</v>
      </c>
      <c r="AG1316">
        <v>2</v>
      </c>
      <c r="AH1316">
        <v>0</v>
      </c>
      <c r="AI1316" t="s">
        <v>2735</v>
      </c>
      <c r="AJ1316">
        <v>39.561960999999997</v>
      </c>
      <c r="AK1316" t="s">
        <v>2736</v>
      </c>
      <c r="AL1316">
        <v>-76.560416000000004</v>
      </c>
      <c r="AM1316">
        <v>100</v>
      </c>
      <c r="AN1316">
        <v>8700</v>
      </c>
      <c r="AO1316" t="s">
        <v>115</v>
      </c>
      <c r="AP1316">
        <v>169</v>
      </c>
      <c r="AQ1316">
        <v>89</v>
      </c>
      <c r="AR1316">
        <v>-128</v>
      </c>
      <c r="AZ1316">
        <v>3614</v>
      </c>
      <c r="BA1316">
        <v>1</v>
      </c>
      <c r="BB1316" t="str">
        <f t="shared" si="62"/>
        <v xml:space="preserve">N959MJ  </v>
      </c>
      <c r="BC1316">
        <v>1</v>
      </c>
      <c r="BE1316">
        <v>0</v>
      </c>
      <c r="BF1316">
        <v>0</v>
      </c>
      <c r="BG1316">
        <v>0</v>
      </c>
      <c r="BH1316">
        <v>9025</v>
      </c>
      <c r="BI1316">
        <v>325</v>
      </c>
      <c r="BJ1316">
        <v>1</v>
      </c>
      <c r="BK1316">
        <v>1</v>
      </c>
      <c r="BL1316">
        <v>1</v>
      </c>
      <c r="BM1316">
        <v>0</v>
      </c>
      <c r="BP1316">
        <v>0</v>
      </c>
      <c r="BQ1316">
        <v>0</v>
      </c>
      <c r="BX1316" t="str">
        <f>"14:12:18.258"</f>
        <v>14:12:18.258</v>
      </c>
      <c r="BY1316" t="str">
        <f>"260272013"</f>
        <v>260272013</v>
      </c>
      <c r="CL1316">
        <v>0</v>
      </c>
      <c r="CM1316">
        <v>2</v>
      </c>
      <c r="CN1316">
        <v>0</v>
      </c>
      <c r="CO1316">
        <v>2</v>
      </c>
      <c r="CP1316">
        <v>0</v>
      </c>
      <c r="CQ1316">
        <v>7</v>
      </c>
      <c r="CR1316" t="s">
        <v>116</v>
      </c>
      <c r="CS1316">
        <v>396</v>
      </c>
      <c r="CT1316">
        <v>2</v>
      </c>
      <c r="CU1316" t="s">
        <v>939</v>
      </c>
      <c r="CV1316" t="s">
        <v>940</v>
      </c>
      <c r="CY1316">
        <v>5062311</v>
      </c>
      <c r="CZ1316" t="s">
        <v>119</v>
      </c>
    </row>
    <row r="1317" spans="1:104" x14ac:dyDescent="0.25">
      <c r="A1317" t="str">
        <f>"14:12:19.383"</f>
        <v>14:12:19.383</v>
      </c>
      <c r="B1317" t="s">
        <v>108</v>
      </c>
      <c r="C1317" t="str">
        <f t="shared" si="61"/>
        <v>ffdfd3c0</v>
      </c>
      <c r="D1317" t="s">
        <v>109</v>
      </c>
      <c r="E1317">
        <v>4</v>
      </c>
      <c r="F1317">
        <v>1004</v>
      </c>
      <c r="G1317" t="s">
        <v>110</v>
      </c>
      <c r="J1317" t="s">
        <v>111</v>
      </c>
      <c r="K1317">
        <v>0</v>
      </c>
      <c r="L1317">
        <v>3</v>
      </c>
      <c r="M1317">
        <v>0</v>
      </c>
      <c r="N1317">
        <v>2</v>
      </c>
      <c r="O1317">
        <v>1</v>
      </c>
      <c r="P1317">
        <v>0</v>
      </c>
      <c r="Q1317">
        <v>0</v>
      </c>
      <c r="R1317" t="s">
        <v>112</v>
      </c>
      <c r="S1317" t="str">
        <f>"14:12:19.203"</f>
        <v>14:12:19.203</v>
      </c>
      <c r="T1317" t="str">
        <f>"14:12:18.805"</f>
        <v>14:12:18.805</v>
      </c>
      <c r="U1317" t="str">
        <f t="shared" si="60"/>
        <v>ad5732</v>
      </c>
      <c r="V1317">
        <v>0</v>
      </c>
      <c r="W1317">
        <v>0</v>
      </c>
      <c r="X1317">
        <v>1</v>
      </c>
      <c r="Z1317">
        <v>0</v>
      </c>
      <c r="AA1317">
        <v>9</v>
      </c>
      <c r="AB1317">
        <v>3</v>
      </c>
      <c r="AC1317">
        <v>0</v>
      </c>
      <c r="AD1317">
        <v>10</v>
      </c>
      <c r="AE1317">
        <v>0</v>
      </c>
      <c r="AF1317">
        <v>3</v>
      </c>
      <c r="AG1317">
        <v>2</v>
      </c>
      <c r="AH1317">
        <v>0</v>
      </c>
      <c r="AI1317" t="s">
        <v>2737</v>
      </c>
      <c r="AJ1317">
        <v>39.562367999999999</v>
      </c>
      <c r="AK1317" t="s">
        <v>2738</v>
      </c>
      <c r="AL1317">
        <v>-76.559386000000003</v>
      </c>
      <c r="AM1317">
        <v>100</v>
      </c>
      <c r="AN1317">
        <v>8700</v>
      </c>
      <c r="AO1317" t="s">
        <v>115</v>
      </c>
      <c r="AP1317">
        <v>169</v>
      </c>
      <c r="AQ1317">
        <v>89</v>
      </c>
      <c r="AR1317">
        <v>-128</v>
      </c>
      <c r="AZ1317">
        <v>3614</v>
      </c>
      <c r="BA1317">
        <v>1</v>
      </c>
      <c r="BB1317" t="str">
        <f t="shared" si="62"/>
        <v xml:space="preserve">N959MJ  </v>
      </c>
      <c r="BC1317">
        <v>1</v>
      </c>
      <c r="BE1317">
        <v>0</v>
      </c>
      <c r="BF1317">
        <v>0</v>
      </c>
      <c r="BG1317">
        <v>0</v>
      </c>
      <c r="BH1317">
        <v>9025</v>
      </c>
      <c r="BI1317">
        <v>325</v>
      </c>
      <c r="BJ1317">
        <v>1</v>
      </c>
      <c r="BK1317">
        <v>1</v>
      </c>
      <c r="BL1317">
        <v>1</v>
      </c>
      <c r="BM1317">
        <v>0</v>
      </c>
      <c r="BP1317">
        <v>0</v>
      </c>
      <c r="BQ1317">
        <v>0</v>
      </c>
      <c r="BX1317" t="str">
        <f>"14:12:19.203"</f>
        <v>14:12:19.203</v>
      </c>
      <c r="BY1317" t="str">
        <f>"205644434"</f>
        <v>205644434</v>
      </c>
      <c r="CL1317">
        <v>0</v>
      </c>
      <c r="CM1317">
        <v>2</v>
      </c>
      <c r="CN1317">
        <v>0</v>
      </c>
      <c r="CO1317">
        <v>2</v>
      </c>
      <c r="CP1317">
        <v>0</v>
      </c>
      <c r="CQ1317">
        <v>7</v>
      </c>
      <c r="CR1317" t="s">
        <v>116</v>
      </c>
      <c r="CS1317">
        <v>396</v>
      </c>
      <c r="CT1317">
        <v>2</v>
      </c>
      <c r="CU1317" t="s">
        <v>939</v>
      </c>
      <c r="CV1317" t="s">
        <v>940</v>
      </c>
      <c r="CY1317">
        <v>5064045</v>
      </c>
      <c r="CZ1317" t="s">
        <v>119</v>
      </c>
    </row>
    <row r="1318" spans="1:104" x14ac:dyDescent="0.25">
      <c r="A1318" t="str">
        <f>"14:12:20.242"</f>
        <v>14:12:20.242</v>
      </c>
      <c r="B1318" t="s">
        <v>108</v>
      </c>
      <c r="C1318" t="str">
        <f t="shared" si="61"/>
        <v>ffdfd3c0</v>
      </c>
      <c r="D1318" t="s">
        <v>109</v>
      </c>
      <c r="E1318">
        <v>4</v>
      </c>
      <c r="F1318">
        <v>1004</v>
      </c>
      <c r="G1318" t="s">
        <v>110</v>
      </c>
      <c r="J1318" t="s">
        <v>111</v>
      </c>
      <c r="K1318">
        <v>0</v>
      </c>
      <c r="L1318">
        <v>3</v>
      </c>
      <c r="M1318">
        <v>0</v>
      </c>
      <c r="N1318">
        <v>2</v>
      </c>
      <c r="O1318">
        <v>1</v>
      </c>
      <c r="P1318">
        <v>0</v>
      </c>
      <c r="Q1318">
        <v>0</v>
      </c>
      <c r="R1318" t="s">
        <v>112</v>
      </c>
      <c r="S1318" t="str">
        <f>"14:12:20.063"</f>
        <v>14:12:20.063</v>
      </c>
      <c r="T1318" t="str">
        <f>"14:12:19.664"</f>
        <v>14:12:19.664</v>
      </c>
      <c r="U1318" t="str">
        <f t="shared" si="60"/>
        <v>ad5732</v>
      </c>
      <c r="V1318">
        <v>0</v>
      </c>
      <c r="W1318">
        <v>0</v>
      </c>
      <c r="X1318">
        <v>1</v>
      </c>
      <c r="Z1318">
        <v>0</v>
      </c>
      <c r="AA1318">
        <v>9</v>
      </c>
      <c r="AB1318">
        <v>3</v>
      </c>
      <c r="AC1318">
        <v>0</v>
      </c>
      <c r="AD1318">
        <v>10</v>
      </c>
      <c r="AE1318">
        <v>0</v>
      </c>
      <c r="AF1318">
        <v>3</v>
      </c>
      <c r="AG1318">
        <v>2</v>
      </c>
      <c r="AH1318">
        <v>0</v>
      </c>
      <c r="AI1318" t="s">
        <v>2739</v>
      </c>
      <c r="AJ1318">
        <v>39.562690000000003</v>
      </c>
      <c r="AK1318" t="s">
        <v>2740</v>
      </c>
      <c r="AL1318">
        <v>-76.558592000000004</v>
      </c>
      <c r="AM1318">
        <v>100</v>
      </c>
      <c r="AN1318">
        <v>8700</v>
      </c>
      <c r="AO1318" t="s">
        <v>115</v>
      </c>
      <c r="AP1318">
        <v>169</v>
      </c>
      <c r="AQ1318">
        <v>89</v>
      </c>
      <c r="AR1318">
        <v>-128</v>
      </c>
      <c r="AZ1318">
        <v>3614</v>
      </c>
      <c r="BA1318">
        <v>1</v>
      </c>
      <c r="BB1318" t="str">
        <f t="shared" si="62"/>
        <v xml:space="preserve">N959MJ  </v>
      </c>
      <c r="BC1318">
        <v>1</v>
      </c>
      <c r="BE1318">
        <v>0</v>
      </c>
      <c r="BF1318">
        <v>0</v>
      </c>
      <c r="BG1318">
        <v>0</v>
      </c>
      <c r="BH1318">
        <v>9025</v>
      </c>
      <c r="BI1318">
        <v>325</v>
      </c>
      <c r="BJ1318">
        <v>1</v>
      </c>
      <c r="BK1318">
        <v>1</v>
      </c>
      <c r="BL1318">
        <v>1</v>
      </c>
      <c r="BM1318">
        <v>0</v>
      </c>
      <c r="BP1318">
        <v>0</v>
      </c>
      <c r="BQ1318">
        <v>0</v>
      </c>
      <c r="BX1318" t="str">
        <f>"14:12:20.063"</f>
        <v>14:12:20.063</v>
      </c>
      <c r="BY1318" t="str">
        <f>"064180213"</f>
        <v>064180213</v>
      </c>
      <c r="CL1318">
        <v>0</v>
      </c>
      <c r="CM1318">
        <v>2</v>
      </c>
      <c r="CN1318">
        <v>0</v>
      </c>
      <c r="CO1318">
        <v>2</v>
      </c>
      <c r="CP1318">
        <v>0</v>
      </c>
      <c r="CQ1318">
        <v>7</v>
      </c>
      <c r="CR1318" t="s">
        <v>116</v>
      </c>
      <c r="CS1318">
        <v>396</v>
      </c>
      <c r="CT1318">
        <v>2</v>
      </c>
      <c r="CU1318" t="s">
        <v>939</v>
      </c>
      <c r="CV1318" t="s">
        <v>940</v>
      </c>
      <c r="CY1318">
        <v>5065658</v>
      </c>
      <c r="CZ1318" t="s">
        <v>119</v>
      </c>
    </row>
    <row r="1319" spans="1:104" x14ac:dyDescent="0.25">
      <c r="A1319" t="str">
        <f>"14:12:21.156"</f>
        <v>14:12:21.156</v>
      </c>
      <c r="B1319" t="s">
        <v>108</v>
      </c>
      <c r="C1319" t="str">
        <f t="shared" si="61"/>
        <v>ffdfd3c0</v>
      </c>
      <c r="D1319" t="s">
        <v>109</v>
      </c>
      <c r="E1319">
        <v>4</v>
      </c>
      <c r="F1319">
        <v>1004</v>
      </c>
      <c r="G1319" t="s">
        <v>110</v>
      </c>
      <c r="J1319" t="s">
        <v>111</v>
      </c>
      <c r="K1319">
        <v>0</v>
      </c>
      <c r="L1319">
        <v>3</v>
      </c>
      <c r="M1319">
        <v>0</v>
      </c>
      <c r="N1319">
        <v>2</v>
      </c>
      <c r="O1319">
        <v>1</v>
      </c>
      <c r="P1319">
        <v>0</v>
      </c>
      <c r="Q1319">
        <v>0</v>
      </c>
      <c r="R1319" t="s">
        <v>112</v>
      </c>
      <c r="S1319" t="str">
        <f>"14:12:20.945"</f>
        <v>14:12:20.945</v>
      </c>
      <c r="T1319" t="str">
        <f>"14:12:20.547"</f>
        <v>14:12:20.547</v>
      </c>
      <c r="U1319" t="str">
        <f t="shared" si="60"/>
        <v>ad5732</v>
      </c>
      <c r="V1319">
        <v>0</v>
      </c>
      <c r="W1319">
        <v>0</v>
      </c>
      <c r="X1319">
        <v>1</v>
      </c>
      <c r="Z1319">
        <v>0</v>
      </c>
      <c r="AA1319">
        <v>9</v>
      </c>
      <c r="AB1319">
        <v>3</v>
      </c>
      <c r="AC1319">
        <v>0</v>
      </c>
      <c r="AD1319">
        <v>10</v>
      </c>
      <c r="AE1319">
        <v>0</v>
      </c>
      <c r="AF1319">
        <v>3</v>
      </c>
      <c r="AG1319">
        <v>2</v>
      </c>
      <c r="AH1319">
        <v>0</v>
      </c>
      <c r="AI1319" t="s">
        <v>2741</v>
      </c>
      <c r="AJ1319">
        <v>39.563054999999999</v>
      </c>
      <c r="AK1319" t="s">
        <v>2742</v>
      </c>
      <c r="AL1319">
        <v>-76.557691000000005</v>
      </c>
      <c r="AM1319">
        <v>100</v>
      </c>
      <c r="AN1319">
        <v>8700</v>
      </c>
      <c r="AO1319" t="s">
        <v>115</v>
      </c>
      <c r="AP1319">
        <v>169</v>
      </c>
      <c r="AQ1319">
        <v>89</v>
      </c>
      <c r="AR1319">
        <v>-64</v>
      </c>
      <c r="AZ1319">
        <v>3614</v>
      </c>
      <c r="BA1319">
        <v>1</v>
      </c>
      <c r="BB1319" t="str">
        <f t="shared" si="62"/>
        <v xml:space="preserve">N959MJ  </v>
      </c>
      <c r="BC1319">
        <v>1</v>
      </c>
      <c r="BE1319">
        <v>0</v>
      </c>
      <c r="BF1319">
        <v>0</v>
      </c>
      <c r="BG1319">
        <v>0</v>
      </c>
      <c r="BH1319">
        <v>9025</v>
      </c>
      <c r="BI1319">
        <v>325</v>
      </c>
      <c r="BJ1319">
        <v>1</v>
      </c>
      <c r="BK1319">
        <v>1</v>
      </c>
      <c r="BL1319">
        <v>1</v>
      </c>
      <c r="BM1319">
        <v>0</v>
      </c>
      <c r="BP1319">
        <v>0</v>
      </c>
      <c r="BQ1319">
        <v>0</v>
      </c>
      <c r="BX1319" t="str">
        <f>"14:12:20.945"</f>
        <v>14:12:20.945</v>
      </c>
      <c r="BY1319" t="str">
        <f>"949016989"</f>
        <v>949016989</v>
      </c>
      <c r="CL1319">
        <v>0</v>
      </c>
      <c r="CM1319">
        <v>2</v>
      </c>
      <c r="CN1319">
        <v>0</v>
      </c>
      <c r="CO1319">
        <v>2</v>
      </c>
      <c r="CP1319">
        <v>0</v>
      </c>
      <c r="CQ1319">
        <v>6</v>
      </c>
      <c r="CR1319" t="s">
        <v>116</v>
      </c>
      <c r="CS1319">
        <v>372</v>
      </c>
      <c r="CT1319">
        <v>3</v>
      </c>
      <c r="CU1319" t="s">
        <v>877</v>
      </c>
      <c r="CV1319" t="s">
        <v>878</v>
      </c>
      <c r="CY1319">
        <v>11710231</v>
      </c>
      <c r="CZ1319" t="s">
        <v>119</v>
      </c>
    </row>
    <row r="1320" spans="1:104" x14ac:dyDescent="0.25">
      <c r="A1320" t="str">
        <f>"14:12:22.008"</f>
        <v>14:12:22.008</v>
      </c>
      <c r="B1320" t="s">
        <v>108</v>
      </c>
      <c r="C1320" t="str">
        <f t="shared" si="61"/>
        <v>ffdfd3c0</v>
      </c>
      <c r="D1320" t="s">
        <v>109</v>
      </c>
      <c r="E1320">
        <v>4</v>
      </c>
      <c r="F1320">
        <v>1004</v>
      </c>
      <c r="G1320" t="s">
        <v>110</v>
      </c>
      <c r="J1320" t="s">
        <v>111</v>
      </c>
      <c r="K1320">
        <v>0</v>
      </c>
      <c r="L1320">
        <v>3</v>
      </c>
      <c r="M1320">
        <v>0</v>
      </c>
      <c r="N1320">
        <v>2</v>
      </c>
      <c r="O1320">
        <v>1</v>
      </c>
      <c r="P1320">
        <v>0</v>
      </c>
      <c r="Q1320">
        <v>0</v>
      </c>
      <c r="R1320" t="s">
        <v>112</v>
      </c>
      <c r="S1320" t="str">
        <f>"14:12:21.836"</f>
        <v>14:12:21.836</v>
      </c>
      <c r="T1320" t="str">
        <f>"14:12:21.438"</f>
        <v>14:12:21.438</v>
      </c>
      <c r="U1320" t="str">
        <f t="shared" si="60"/>
        <v>ad5732</v>
      </c>
      <c r="V1320">
        <v>0</v>
      </c>
      <c r="W1320">
        <v>0</v>
      </c>
      <c r="X1320">
        <v>1</v>
      </c>
      <c r="Z1320">
        <v>0</v>
      </c>
      <c r="AA1320">
        <v>9</v>
      </c>
      <c r="AB1320">
        <v>3</v>
      </c>
      <c r="AC1320">
        <v>0</v>
      </c>
      <c r="AD1320">
        <v>10</v>
      </c>
      <c r="AE1320">
        <v>0</v>
      </c>
      <c r="AF1320">
        <v>3</v>
      </c>
      <c r="AG1320">
        <v>2</v>
      </c>
      <c r="AH1320">
        <v>0</v>
      </c>
      <c r="AI1320" t="s">
        <v>2743</v>
      </c>
      <c r="AJ1320">
        <v>39.563440999999997</v>
      </c>
      <c r="AK1320" t="s">
        <v>2744</v>
      </c>
      <c r="AL1320">
        <v>-76.556768000000005</v>
      </c>
      <c r="AM1320">
        <v>100</v>
      </c>
      <c r="AN1320">
        <v>8700</v>
      </c>
      <c r="AO1320" t="s">
        <v>115</v>
      </c>
      <c r="AP1320">
        <v>170</v>
      </c>
      <c r="AQ1320">
        <v>88</v>
      </c>
      <c r="AR1320">
        <v>-64</v>
      </c>
      <c r="AZ1320">
        <v>3614</v>
      </c>
      <c r="BA1320">
        <v>1</v>
      </c>
      <c r="BB1320" t="str">
        <f t="shared" si="62"/>
        <v xml:space="preserve">N959MJ  </v>
      </c>
      <c r="BC1320">
        <v>1</v>
      </c>
      <c r="BE1320">
        <v>0</v>
      </c>
      <c r="BF1320">
        <v>0</v>
      </c>
      <c r="BG1320">
        <v>0</v>
      </c>
      <c r="BH1320">
        <v>9025</v>
      </c>
      <c r="BI1320">
        <v>325</v>
      </c>
      <c r="BJ1320">
        <v>1</v>
      </c>
      <c r="BK1320">
        <v>1</v>
      </c>
      <c r="BL1320">
        <v>1</v>
      </c>
      <c r="BM1320">
        <v>0</v>
      </c>
      <c r="BP1320">
        <v>0</v>
      </c>
      <c r="BQ1320">
        <v>0</v>
      </c>
      <c r="BX1320" t="str">
        <f>"14:12:21.844"</f>
        <v>14:12:21.844</v>
      </c>
      <c r="BY1320" t="str">
        <f>"843684283"</f>
        <v>843684283</v>
      </c>
      <c r="CL1320">
        <v>0</v>
      </c>
      <c r="CM1320">
        <v>2</v>
      </c>
      <c r="CN1320">
        <v>0</v>
      </c>
      <c r="CO1320">
        <v>2</v>
      </c>
      <c r="CP1320">
        <v>0</v>
      </c>
      <c r="CQ1320">
        <v>5</v>
      </c>
      <c r="CR1320" t="s">
        <v>116</v>
      </c>
      <c r="CS1320">
        <v>39</v>
      </c>
      <c r="CT1320">
        <v>2</v>
      </c>
      <c r="CU1320" t="s">
        <v>2259</v>
      </c>
      <c r="CV1320" t="s">
        <v>2260</v>
      </c>
      <c r="CY1320">
        <v>15402150</v>
      </c>
      <c r="CZ1320" t="s">
        <v>119</v>
      </c>
    </row>
    <row r="1321" spans="1:104" x14ac:dyDescent="0.25">
      <c r="A1321" t="str">
        <f>"14:12:23.023"</f>
        <v>14:12:23.023</v>
      </c>
      <c r="B1321" t="s">
        <v>108</v>
      </c>
      <c r="C1321" t="str">
        <f t="shared" si="61"/>
        <v>ffdfd3c0</v>
      </c>
      <c r="D1321" t="s">
        <v>109</v>
      </c>
      <c r="E1321">
        <v>4</v>
      </c>
      <c r="F1321">
        <v>1004</v>
      </c>
      <c r="G1321" t="s">
        <v>110</v>
      </c>
      <c r="J1321" t="s">
        <v>111</v>
      </c>
      <c r="K1321">
        <v>0</v>
      </c>
      <c r="L1321">
        <v>3</v>
      </c>
      <c r="M1321">
        <v>0</v>
      </c>
      <c r="N1321">
        <v>2</v>
      </c>
      <c r="O1321">
        <v>1</v>
      </c>
      <c r="P1321">
        <v>0</v>
      </c>
      <c r="Q1321">
        <v>0</v>
      </c>
      <c r="R1321" t="s">
        <v>112</v>
      </c>
      <c r="S1321" t="str">
        <f>"14:12:22.859"</f>
        <v>14:12:22.859</v>
      </c>
      <c r="T1321" t="str">
        <f>"14:12:22.359"</f>
        <v>14:12:22.359</v>
      </c>
      <c r="U1321" t="str">
        <f t="shared" si="60"/>
        <v>ad5732</v>
      </c>
      <c r="V1321">
        <v>0</v>
      </c>
      <c r="W1321">
        <v>0</v>
      </c>
      <c r="X1321">
        <v>1</v>
      </c>
      <c r="Z1321">
        <v>0</v>
      </c>
      <c r="AA1321">
        <v>9</v>
      </c>
      <c r="AB1321">
        <v>3</v>
      </c>
      <c r="AC1321">
        <v>0</v>
      </c>
      <c r="AD1321">
        <v>10</v>
      </c>
      <c r="AE1321">
        <v>0</v>
      </c>
      <c r="AF1321">
        <v>3</v>
      </c>
      <c r="AG1321">
        <v>2</v>
      </c>
      <c r="AH1321">
        <v>0</v>
      </c>
      <c r="AI1321" t="s">
        <v>2745</v>
      </c>
      <c r="AJ1321">
        <v>39.563870000000001</v>
      </c>
      <c r="AK1321" t="s">
        <v>2746</v>
      </c>
      <c r="AL1321">
        <v>-76.555717000000001</v>
      </c>
      <c r="AM1321">
        <v>100</v>
      </c>
      <c r="AN1321">
        <v>8700</v>
      </c>
      <c r="AO1321" t="s">
        <v>115</v>
      </c>
      <c r="AP1321">
        <v>170</v>
      </c>
      <c r="AQ1321">
        <v>88</v>
      </c>
      <c r="AR1321">
        <v>-64</v>
      </c>
      <c r="AZ1321">
        <v>3614</v>
      </c>
      <c r="BA1321">
        <v>1</v>
      </c>
      <c r="BB1321" t="str">
        <f t="shared" si="62"/>
        <v xml:space="preserve">N959MJ  </v>
      </c>
      <c r="BC1321">
        <v>1</v>
      </c>
      <c r="BE1321">
        <v>0</v>
      </c>
      <c r="BF1321">
        <v>0</v>
      </c>
      <c r="BG1321">
        <v>0</v>
      </c>
      <c r="BH1321">
        <v>9025</v>
      </c>
      <c r="BI1321">
        <v>325</v>
      </c>
      <c r="BJ1321">
        <v>1</v>
      </c>
      <c r="BK1321">
        <v>1</v>
      </c>
      <c r="BL1321">
        <v>1</v>
      </c>
      <c r="BM1321">
        <v>0</v>
      </c>
      <c r="BP1321">
        <v>0</v>
      </c>
      <c r="BQ1321">
        <v>0</v>
      </c>
      <c r="BX1321" t="str">
        <f>"14:12:22.859"</f>
        <v>14:12:22.859</v>
      </c>
      <c r="BY1321" t="str">
        <f>"859423327"</f>
        <v>859423327</v>
      </c>
      <c r="CL1321">
        <v>0</v>
      </c>
      <c r="CM1321">
        <v>2</v>
      </c>
      <c r="CN1321">
        <v>0</v>
      </c>
      <c r="CO1321">
        <v>2</v>
      </c>
      <c r="CP1321">
        <v>0</v>
      </c>
      <c r="CQ1321">
        <v>5</v>
      </c>
      <c r="CR1321" t="s">
        <v>116</v>
      </c>
      <c r="CS1321">
        <v>372</v>
      </c>
      <c r="CT1321">
        <v>3</v>
      </c>
      <c r="CU1321" t="s">
        <v>877</v>
      </c>
      <c r="CV1321" t="s">
        <v>878</v>
      </c>
      <c r="CY1321">
        <v>11713707</v>
      </c>
      <c r="CZ1321" t="s">
        <v>119</v>
      </c>
    </row>
    <row r="1322" spans="1:104" x14ac:dyDescent="0.25">
      <c r="A1322" t="str">
        <f>"14:12:23.930"</f>
        <v>14:12:23.930</v>
      </c>
      <c r="B1322" t="s">
        <v>108</v>
      </c>
      <c r="C1322" t="str">
        <f t="shared" si="61"/>
        <v>ffdfd3c0</v>
      </c>
      <c r="D1322" t="s">
        <v>109</v>
      </c>
      <c r="E1322">
        <v>4</v>
      </c>
      <c r="F1322">
        <v>1004</v>
      </c>
      <c r="G1322" t="s">
        <v>110</v>
      </c>
      <c r="J1322" t="s">
        <v>111</v>
      </c>
      <c r="K1322">
        <v>0</v>
      </c>
      <c r="L1322">
        <v>3</v>
      </c>
      <c r="M1322">
        <v>0</v>
      </c>
      <c r="N1322">
        <v>2</v>
      </c>
      <c r="O1322">
        <v>1</v>
      </c>
      <c r="P1322">
        <v>0</v>
      </c>
      <c r="Q1322">
        <v>0</v>
      </c>
      <c r="R1322" t="s">
        <v>112</v>
      </c>
      <c r="S1322" t="str">
        <f>"14:12:23.750"</f>
        <v>14:12:23.750</v>
      </c>
      <c r="T1322" t="str">
        <f>"14:12:23.352"</f>
        <v>14:12:23.352</v>
      </c>
      <c r="U1322" t="str">
        <f t="shared" si="60"/>
        <v>ad5732</v>
      </c>
      <c r="V1322">
        <v>0</v>
      </c>
      <c r="W1322">
        <v>0</v>
      </c>
      <c r="X1322">
        <v>1</v>
      </c>
      <c r="Z1322">
        <v>0</v>
      </c>
      <c r="AA1322">
        <v>9</v>
      </c>
      <c r="AB1322">
        <v>3</v>
      </c>
      <c r="AC1322">
        <v>0</v>
      </c>
      <c r="AD1322">
        <v>10</v>
      </c>
      <c r="AE1322">
        <v>0</v>
      </c>
      <c r="AF1322">
        <v>3</v>
      </c>
      <c r="AG1322">
        <v>2</v>
      </c>
      <c r="AH1322">
        <v>0</v>
      </c>
      <c r="AI1322" t="s">
        <v>2747</v>
      </c>
      <c r="AJ1322">
        <v>39.564191999999998</v>
      </c>
      <c r="AK1322" t="s">
        <v>2748</v>
      </c>
      <c r="AL1322">
        <v>-76.554816000000002</v>
      </c>
      <c r="AM1322">
        <v>100</v>
      </c>
      <c r="AN1322">
        <v>8700</v>
      </c>
      <c r="AO1322" t="s">
        <v>115</v>
      </c>
      <c r="AP1322">
        <v>170</v>
      </c>
      <c r="AQ1322">
        <v>88</v>
      </c>
      <c r="AR1322">
        <v>-64</v>
      </c>
      <c r="AZ1322">
        <v>3614</v>
      </c>
      <c r="BA1322">
        <v>1</v>
      </c>
      <c r="BB1322" t="str">
        <f t="shared" si="62"/>
        <v xml:space="preserve">N959MJ  </v>
      </c>
      <c r="BC1322">
        <v>1</v>
      </c>
      <c r="BE1322">
        <v>0</v>
      </c>
      <c r="BF1322">
        <v>0</v>
      </c>
      <c r="BG1322">
        <v>0</v>
      </c>
      <c r="BH1322">
        <v>9025</v>
      </c>
      <c r="BI1322">
        <v>325</v>
      </c>
      <c r="BJ1322">
        <v>1</v>
      </c>
      <c r="BK1322">
        <v>1</v>
      </c>
      <c r="BL1322">
        <v>1</v>
      </c>
      <c r="BM1322">
        <v>0</v>
      </c>
      <c r="BP1322">
        <v>0</v>
      </c>
      <c r="BQ1322">
        <v>0</v>
      </c>
      <c r="BX1322" t="str">
        <f>"14:12:23.758"</f>
        <v>14:12:23.758</v>
      </c>
      <c r="BY1322" t="str">
        <f>"755556415"</f>
        <v>755556415</v>
      </c>
      <c r="CL1322">
        <v>0</v>
      </c>
      <c r="CM1322">
        <v>2</v>
      </c>
      <c r="CN1322">
        <v>0</v>
      </c>
      <c r="CO1322">
        <v>2</v>
      </c>
      <c r="CP1322">
        <v>0</v>
      </c>
      <c r="CQ1322">
        <v>7</v>
      </c>
      <c r="CR1322" t="s">
        <v>116</v>
      </c>
      <c r="CS1322">
        <v>396</v>
      </c>
      <c r="CT1322">
        <v>2</v>
      </c>
      <c r="CU1322" t="s">
        <v>939</v>
      </c>
      <c r="CV1322" t="s">
        <v>940</v>
      </c>
      <c r="CY1322">
        <v>5072227</v>
      </c>
      <c r="CZ1322" t="s">
        <v>119</v>
      </c>
    </row>
    <row r="1323" spans="1:104" x14ac:dyDescent="0.25">
      <c r="A1323" t="str">
        <f>"14:12:24.836"</f>
        <v>14:12:24.836</v>
      </c>
      <c r="B1323" t="s">
        <v>108</v>
      </c>
      <c r="C1323" t="str">
        <f t="shared" si="61"/>
        <v>ffdfd3c0</v>
      </c>
      <c r="D1323" t="s">
        <v>109</v>
      </c>
      <c r="E1323">
        <v>4</v>
      </c>
      <c r="F1323">
        <v>1004</v>
      </c>
      <c r="G1323" t="s">
        <v>110</v>
      </c>
      <c r="J1323" t="s">
        <v>111</v>
      </c>
      <c r="K1323">
        <v>0</v>
      </c>
      <c r="L1323">
        <v>3</v>
      </c>
      <c r="M1323">
        <v>0</v>
      </c>
      <c r="N1323">
        <v>2</v>
      </c>
      <c r="O1323">
        <v>1</v>
      </c>
      <c r="P1323">
        <v>0</v>
      </c>
      <c r="Q1323">
        <v>0</v>
      </c>
      <c r="R1323" t="s">
        <v>112</v>
      </c>
      <c r="S1323" t="str">
        <f>"14:12:24.648"</f>
        <v>14:12:24.648</v>
      </c>
      <c r="T1323" t="str">
        <f>"14:12:24.250"</f>
        <v>14:12:24.250</v>
      </c>
      <c r="U1323" t="str">
        <f t="shared" si="60"/>
        <v>ad5732</v>
      </c>
      <c r="V1323">
        <v>0</v>
      </c>
      <c r="W1323">
        <v>0</v>
      </c>
      <c r="X1323">
        <v>1</v>
      </c>
      <c r="Z1323">
        <v>0</v>
      </c>
      <c r="AA1323">
        <v>9</v>
      </c>
      <c r="AB1323">
        <v>3</v>
      </c>
      <c r="AC1323">
        <v>0</v>
      </c>
      <c r="AD1323">
        <v>10</v>
      </c>
      <c r="AE1323">
        <v>0</v>
      </c>
      <c r="AF1323">
        <v>3</v>
      </c>
      <c r="AG1323">
        <v>2</v>
      </c>
      <c r="AH1323">
        <v>0</v>
      </c>
      <c r="AI1323" t="s">
        <v>2749</v>
      </c>
      <c r="AJ1323">
        <v>39.564557000000001</v>
      </c>
      <c r="AK1323" t="s">
        <v>2750</v>
      </c>
      <c r="AL1323">
        <v>-76.553893000000002</v>
      </c>
      <c r="AM1323">
        <v>100</v>
      </c>
      <c r="AN1323">
        <v>8700</v>
      </c>
      <c r="AO1323" t="s">
        <v>115</v>
      </c>
      <c r="AP1323">
        <v>170</v>
      </c>
      <c r="AQ1323">
        <v>88</v>
      </c>
      <c r="AR1323">
        <v>0</v>
      </c>
      <c r="AZ1323">
        <v>3614</v>
      </c>
      <c r="BA1323">
        <v>1</v>
      </c>
      <c r="BB1323" t="str">
        <f t="shared" si="62"/>
        <v xml:space="preserve">N959MJ  </v>
      </c>
      <c r="BC1323">
        <v>1</v>
      </c>
      <c r="BE1323">
        <v>0</v>
      </c>
      <c r="BF1323">
        <v>0</v>
      </c>
      <c r="BG1323">
        <v>0</v>
      </c>
      <c r="BH1323">
        <v>9025</v>
      </c>
      <c r="BI1323">
        <v>325</v>
      </c>
      <c r="BJ1323">
        <v>1</v>
      </c>
      <c r="BK1323">
        <v>1</v>
      </c>
      <c r="BL1323">
        <v>1</v>
      </c>
      <c r="BM1323">
        <v>0</v>
      </c>
      <c r="BP1323">
        <v>0</v>
      </c>
      <c r="BQ1323">
        <v>0</v>
      </c>
      <c r="BX1323" t="str">
        <f>"14:12:24.656"</f>
        <v>14:12:24.656</v>
      </c>
      <c r="BY1323" t="str">
        <f>"655152760"</f>
        <v>655152760</v>
      </c>
      <c r="CL1323">
        <v>0</v>
      </c>
      <c r="CM1323">
        <v>2</v>
      </c>
      <c r="CN1323">
        <v>0</v>
      </c>
      <c r="CO1323">
        <v>2</v>
      </c>
      <c r="CP1323">
        <v>0</v>
      </c>
      <c r="CQ1323">
        <v>5</v>
      </c>
      <c r="CR1323" t="s">
        <v>116</v>
      </c>
      <c r="CS1323">
        <v>525</v>
      </c>
      <c r="CT1323">
        <v>1</v>
      </c>
      <c r="CU1323" t="s">
        <v>140</v>
      </c>
      <c r="CV1323" t="s">
        <v>141</v>
      </c>
      <c r="CY1323">
        <v>9088563</v>
      </c>
      <c r="CZ1323" t="s">
        <v>119</v>
      </c>
    </row>
    <row r="1324" spans="1:104" x14ac:dyDescent="0.25">
      <c r="A1324" t="str">
        <f>"14:12:25.898"</f>
        <v>14:12:25.898</v>
      </c>
      <c r="B1324" t="s">
        <v>108</v>
      </c>
      <c r="C1324" t="str">
        <f t="shared" si="61"/>
        <v>ffdfd3c0</v>
      </c>
      <c r="D1324" t="s">
        <v>109</v>
      </c>
      <c r="E1324">
        <v>4</v>
      </c>
      <c r="F1324">
        <v>1004</v>
      </c>
      <c r="G1324" t="s">
        <v>110</v>
      </c>
      <c r="J1324" t="s">
        <v>111</v>
      </c>
      <c r="K1324">
        <v>0</v>
      </c>
      <c r="L1324">
        <v>3</v>
      </c>
      <c r="M1324">
        <v>0</v>
      </c>
      <c r="N1324">
        <v>2</v>
      </c>
      <c r="O1324">
        <v>1</v>
      </c>
      <c r="P1324">
        <v>0</v>
      </c>
      <c r="Q1324">
        <v>0</v>
      </c>
      <c r="R1324" t="s">
        <v>112</v>
      </c>
      <c r="S1324" t="str">
        <f>"14:12:25.727"</f>
        <v>14:12:25.727</v>
      </c>
      <c r="T1324" t="str">
        <f>"14:12:25.227"</f>
        <v>14:12:25.227</v>
      </c>
      <c r="U1324" t="str">
        <f t="shared" si="60"/>
        <v>ad5732</v>
      </c>
      <c r="V1324">
        <v>0</v>
      </c>
      <c r="W1324">
        <v>0</v>
      </c>
      <c r="X1324">
        <v>1</v>
      </c>
      <c r="Z1324">
        <v>0</v>
      </c>
      <c r="AA1324">
        <v>9</v>
      </c>
      <c r="AB1324">
        <v>3</v>
      </c>
      <c r="AC1324">
        <v>0</v>
      </c>
      <c r="AD1324">
        <v>10</v>
      </c>
      <c r="AE1324">
        <v>0</v>
      </c>
      <c r="AF1324">
        <v>3</v>
      </c>
      <c r="AG1324">
        <v>2</v>
      </c>
      <c r="AH1324">
        <v>0</v>
      </c>
      <c r="AI1324" t="s">
        <v>2751</v>
      </c>
      <c r="AJ1324">
        <v>39.565007999999999</v>
      </c>
      <c r="AK1324" t="s">
        <v>2752</v>
      </c>
      <c r="AL1324">
        <v>-76.552798999999993</v>
      </c>
      <c r="AM1324">
        <v>100</v>
      </c>
      <c r="AN1324">
        <v>8700</v>
      </c>
      <c r="AO1324" t="s">
        <v>115</v>
      </c>
      <c r="AP1324">
        <v>170</v>
      </c>
      <c r="AQ1324">
        <v>88</v>
      </c>
      <c r="AR1324">
        <v>0</v>
      </c>
      <c r="AZ1324">
        <v>3614</v>
      </c>
      <c r="BA1324">
        <v>1</v>
      </c>
      <c r="BB1324" t="str">
        <f t="shared" si="62"/>
        <v xml:space="preserve">N959MJ  </v>
      </c>
      <c r="BC1324">
        <v>1</v>
      </c>
      <c r="BE1324">
        <v>0</v>
      </c>
      <c r="BF1324">
        <v>0</v>
      </c>
      <c r="BG1324">
        <v>0</v>
      </c>
      <c r="BH1324">
        <v>9025</v>
      </c>
      <c r="BI1324">
        <v>325</v>
      </c>
      <c r="BJ1324">
        <v>1</v>
      </c>
      <c r="BK1324">
        <v>1</v>
      </c>
      <c r="BL1324">
        <v>1</v>
      </c>
      <c r="BM1324">
        <v>0</v>
      </c>
      <c r="BP1324">
        <v>0</v>
      </c>
      <c r="BQ1324">
        <v>0</v>
      </c>
      <c r="BX1324" t="str">
        <f>"14:12:25.734"</f>
        <v>14:12:25.734</v>
      </c>
      <c r="BY1324" t="str">
        <f>"731499482"</f>
        <v>731499482</v>
      </c>
      <c r="CL1324">
        <v>0</v>
      </c>
      <c r="CM1324">
        <v>2</v>
      </c>
      <c r="CN1324">
        <v>0</v>
      </c>
      <c r="CO1324">
        <v>2</v>
      </c>
      <c r="CP1324">
        <v>0</v>
      </c>
      <c r="CQ1324">
        <v>7</v>
      </c>
      <c r="CR1324" t="s">
        <v>116</v>
      </c>
      <c r="CS1324">
        <v>396</v>
      </c>
      <c r="CT1324">
        <v>2</v>
      </c>
      <c r="CU1324" t="s">
        <v>939</v>
      </c>
      <c r="CV1324" t="s">
        <v>940</v>
      </c>
      <c r="CY1324">
        <v>5075799</v>
      </c>
      <c r="CZ1324" t="s">
        <v>119</v>
      </c>
    </row>
    <row r="1325" spans="1:104" x14ac:dyDescent="0.25">
      <c r="A1325" t="str">
        <f>"14:12:26.953"</f>
        <v>14:12:26.953</v>
      </c>
      <c r="B1325" t="s">
        <v>108</v>
      </c>
      <c r="C1325" t="str">
        <f t="shared" si="61"/>
        <v>ffdfd3c0</v>
      </c>
      <c r="D1325" t="s">
        <v>109</v>
      </c>
      <c r="E1325">
        <v>4</v>
      </c>
      <c r="F1325">
        <v>1004</v>
      </c>
      <c r="G1325" t="s">
        <v>110</v>
      </c>
      <c r="J1325" t="s">
        <v>111</v>
      </c>
      <c r="K1325">
        <v>0</v>
      </c>
      <c r="L1325">
        <v>3</v>
      </c>
      <c r="M1325">
        <v>0</v>
      </c>
      <c r="N1325">
        <v>2</v>
      </c>
      <c r="O1325">
        <v>1</v>
      </c>
      <c r="P1325">
        <v>0</v>
      </c>
      <c r="Q1325">
        <v>0</v>
      </c>
      <c r="R1325" t="s">
        <v>112</v>
      </c>
      <c r="S1325" t="str">
        <f>"14:12:26.773"</f>
        <v>14:12:26.773</v>
      </c>
      <c r="T1325" t="str">
        <f>"14:12:26.375"</f>
        <v>14:12:26.375</v>
      </c>
      <c r="U1325" t="str">
        <f t="shared" si="60"/>
        <v>ad5732</v>
      </c>
      <c r="V1325">
        <v>0</v>
      </c>
      <c r="W1325">
        <v>0</v>
      </c>
      <c r="X1325">
        <v>1</v>
      </c>
      <c r="Z1325">
        <v>0</v>
      </c>
      <c r="AA1325">
        <v>9</v>
      </c>
      <c r="AB1325">
        <v>3</v>
      </c>
      <c r="AC1325">
        <v>0</v>
      </c>
      <c r="AD1325">
        <v>10</v>
      </c>
      <c r="AE1325">
        <v>0</v>
      </c>
      <c r="AF1325">
        <v>3</v>
      </c>
      <c r="AG1325">
        <v>2</v>
      </c>
      <c r="AH1325">
        <v>0</v>
      </c>
      <c r="AI1325" t="s">
        <v>2753</v>
      </c>
      <c r="AJ1325">
        <v>39.565437000000003</v>
      </c>
      <c r="AK1325" t="s">
        <v>2754</v>
      </c>
      <c r="AL1325">
        <v>-76.551768999999993</v>
      </c>
      <c r="AM1325">
        <v>100</v>
      </c>
      <c r="AN1325">
        <v>8700</v>
      </c>
      <c r="AO1325" t="s">
        <v>115</v>
      </c>
      <c r="AP1325">
        <v>170</v>
      </c>
      <c r="AQ1325">
        <v>88</v>
      </c>
      <c r="AR1325">
        <v>0</v>
      </c>
      <c r="AZ1325">
        <v>3614</v>
      </c>
      <c r="BA1325">
        <v>1</v>
      </c>
      <c r="BB1325" t="str">
        <f t="shared" si="62"/>
        <v xml:space="preserve">N959MJ  </v>
      </c>
      <c r="BC1325">
        <v>1</v>
      </c>
      <c r="BE1325">
        <v>0</v>
      </c>
      <c r="BF1325">
        <v>0</v>
      </c>
      <c r="BG1325">
        <v>0</v>
      </c>
      <c r="BH1325">
        <v>9025</v>
      </c>
      <c r="BI1325">
        <v>325</v>
      </c>
      <c r="BJ1325">
        <v>1</v>
      </c>
      <c r="BK1325">
        <v>1</v>
      </c>
      <c r="BL1325">
        <v>1</v>
      </c>
      <c r="BM1325">
        <v>0</v>
      </c>
      <c r="BP1325">
        <v>0</v>
      </c>
      <c r="BQ1325">
        <v>0</v>
      </c>
      <c r="BX1325" t="str">
        <f>"14:12:26.781"</f>
        <v>14:12:26.781</v>
      </c>
      <c r="BY1325" t="str">
        <f>"778454458"</f>
        <v>778454458</v>
      </c>
      <c r="CL1325">
        <v>0</v>
      </c>
      <c r="CM1325">
        <v>2</v>
      </c>
      <c r="CN1325">
        <v>0</v>
      </c>
      <c r="CO1325">
        <v>2</v>
      </c>
      <c r="CP1325">
        <v>0</v>
      </c>
      <c r="CQ1325">
        <v>7</v>
      </c>
      <c r="CR1325" t="s">
        <v>116</v>
      </c>
      <c r="CS1325">
        <v>396</v>
      </c>
      <c r="CT1325">
        <v>2</v>
      </c>
      <c r="CU1325" t="s">
        <v>939</v>
      </c>
      <c r="CV1325" t="s">
        <v>940</v>
      </c>
      <c r="CY1325">
        <v>5077606</v>
      </c>
      <c r="CZ1325" t="s">
        <v>119</v>
      </c>
    </row>
    <row r="1326" spans="1:104" x14ac:dyDescent="0.25">
      <c r="A1326" t="str">
        <f>"14:12:27.969"</f>
        <v>14:12:27.969</v>
      </c>
      <c r="B1326" t="s">
        <v>108</v>
      </c>
      <c r="C1326" t="str">
        <f t="shared" si="61"/>
        <v>ffdfd3c0</v>
      </c>
      <c r="D1326" t="s">
        <v>109</v>
      </c>
      <c r="E1326">
        <v>4</v>
      </c>
      <c r="F1326">
        <v>1004</v>
      </c>
      <c r="G1326" t="s">
        <v>110</v>
      </c>
      <c r="J1326" t="s">
        <v>111</v>
      </c>
      <c r="K1326">
        <v>0</v>
      </c>
      <c r="L1326">
        <v>3</v>
      </c>
      <c r="M1326">
        <v>0</v>
      </c>
      <c r="N1326">
        <v>2</v>
      </c>
      <c r="O1326">
        <v>1</v>
      </c>
      <c r="P1326">
        <v>0</v>
      </c>
      <c r="Q1326">
        <v>0</v>
      </c>
      <c r="R1326" t="s">
        <v>112</v>
      </c>
      <c r="S1326" t="str">
        <f>"14:12:27.805"</f>
        <v>14:12:27.805</v>
      </c>
      <c r="T1326" t="str">
        <f>"14:12:27.406"</f>
        <v>14:12:27.406</v>
      </c>
      <c r="U1326" t="str">
        <f t="shared" si="60"/>
        <v>ad5732</v>
      </c>
      <c r="V1326">
        <v>0</v>
      </c>
      <c r="W1326">
        <v>0</v>
      </c>
      <c r="X1326">
        <v>1</v>
      </c>
      <c r="Z1326">
        <v>0</v>
      </c>
      <c r="AA1326">
        <v>9</v>
      </c>
      <c r="AB1326">
        <v>3</v>
      </c>
      <c r="AC1326">
        <v>0</v>
      </c>
      <c r="AD1326">
        <v>10</v>
      </c>
      <c r="AE1326">
        <v>0</v>
      </c>
      <c r="AF1326">
        <v>3</v>
      </c>
      <c r="AG1326">
        <v>2</v>
      </c>
      <c r="AH1326">
        <v>0</v>
      </c>
      <c r="AI1326" t="s">
        <v>2755</v>
      </c>
      <c r="AJ1326">
        <v>39.565866</v>
      </c>
      <c r="AK1326" t="s">
        <v>2756</v>
      </c>
      <c r="AL1326">
        <v>-76.550652999999997</v>
      </c>
      <c r="AM1326">
        <v>100</v>
      </c>
      <c r="AN1326">
        <v>8700</v>
      </c>
      <c r="AO1326" t="s">
        <v>115</v>
      </c>
      <c r="AP1326">
        <v>170</v>
      </c>
      <c r="AQ1326">
        <v>87</v>
      </c>
      <c r="AR1326">
        <v>0</v>
      </c>
      <c r="AZ1326">
        <v>3614</v>
      </c>
      <c r="BA1326">
        <v>1</v>
      </c>
      <c r="BB1326" t="str">
        <f t="shared" si="62"/>
        <v xml:space="preserve">N959MJ  </v>
      </c>
      <c r="BC1326">
        <v>1</v>
      </c>
      <c r="BE1326">
        <v>0</v>
      </c>
      <c r="BF1326">
        <v>0</v>
      </c>
      <c r="BG1326">
        <v>0</v>
      </c>
      <c r="BH1326">
        <v>9025</v>
      </c>
      <c r="BI1326">
        <v>325</v>
      </c>
      <c r="BJ1326">
        <v>1</v>
      </c>
      <c r="BK1326">
        <v>1</v>
      </c>
      <c r="BL1326">
        <v>1</v>
      </c>
      <c r="BM1326">
        <v>0</v>
      </c>
      <c r="BP1326">
        <v>0</v>
      </c>
      <c r="BQ1326">
        <v>0</v>
      </c>
      <c r="BX1326" t="str">
        <f>"14:12:27.805"</f>
        <v>14:12:27.805</v>
      </c>
      <c r="BY1326" t="str">
        <f>"807386603"</f>
        <v>807386603</v>
      </c>
      <c r="CL1326">
        <v>0</v>
      </c>
      <c r="CM1326">
        <v>2</v>
      </c>
      <c r="CN1326">
        <v>0</v>
      </c>
      <c r="CO1326">
        <v>2</v>
      </c>
      <c r="CP1326">
        <v>0</v>
      </c>
      <c r="CQ1326">
        <v>7</v>
      </c>
      <c r="CR1326" t="s">
        <v>116</v>
      </c>
      <c r="CS1326">
        <v>396</v>
      </c>
      <c r="CT1326">
        <v>2</v>
      </c>
      <c r="CU1326" t="s">
        <v>939</v>
      </c>
      <c r="CV1326" t="s">
        <v>940</v>
      </c>
      <c r="CY1326">
        <v>5079473</v>
      </c>
      <c r="CZ1326" t="s">
        <v>119</v>
      </c>
    </row>
    <row r="1327" spans="1:104" x14ac:dyDescent="0.25">
      <c r="A1327" t="str">
        <f>"14:12:29.375"</f>
        <v>14:12:29.375</v>
      </c>
      <c r="B1327" t="s">
        <v>108</v>
      </c>
      <c r="C1327" t="str">
        <f t="shared" si="61"/>
        <v>ffdfd3c0</v>
      </c>
      <c r="D1327" t="s">
        <v>109</v>
      </c>
      <c r="E1327">
        <v>4</v>
      </c>
      <c r="F1327">
        <v>1004</v>
      </c>
      <c r="G1327" t="s">
        <v>110</v>
      </c>
      <c r="J1327" t="s">
        <v>111</v>
      </c>
      <c r="K1327">
        <v>0</v>
      </c>
      <c r="L1327">
        <v>3</v>
      </c>
      <c r="M1327">
        <v>0</v>
      </c>
      <c r="N1327">
        <v>2</v>
      </c>
      <c r="O1327">
        <v>1</v>
      </c>
      <c r="P1327">
        <v>0</v>
      </c>
      <c r="Q1327">
        <v>0</v>
      </c>
      <c r="R1327" t="s">
        <v>112</v>
      </c>
      <c r="S1327" t="str">
        <f>"14:12:29.203"</f>
        <v>14:12:29.203</v>
      </c>
      <c r="T1327" t="str">
        <f>"14:12:28.805"</f>
        <v>14:12:28.805</v>
      </c>
      <c r="U1327" t="str">
        <f t="shared" si="60"/>
        <v>ad5732</v>
      </c>
      <c r="V1327">
        <v>0</v>
      </c>
      <c r="W1327">
        <v>0</v>
      </c>
      <c r="X1327">
        <v>1</v>
      </c>
      <c r="Z1327">
        <v>0</v>
      </c>
      <c r="AA1327">
        <v>9</v>
      </c>
      <c r="AB1327">
        <v>3</v>
      </c>
      <c r="AC1327">
        <v>0</v>
      </c>
      <c r="AD1327">
        <v>10</v>
      </c>
      <c r="AE1327">
        <v>0</v>
      </c>
      <c r="AF1327">
        <v>3</v>
      </c>
      <c r="AG1327">
        <v>2</v>
      </c>
      <c r="AH1327">
        <v>0</v>
      </c>
      <c r="AI1327" t="s">
        <v>2757</v>
      </c>
      <c r="AJ1327">
        <v>39.566423999999998</v>
      </c>
      <c r="AK1327" t="s">
        <v>2758</v>
      </c>
      <c r="AL1327">
        <v>-76.549257999999995</v>
      </c>
      <c r="AM1327">
        <v>100</v>
      </c>
      <c r="AN1327">
        <v>8700</v>
      </c>
      <c r="AO1327" t="s">
        <v>115</v>
      </c>
      <c r="AP1327">
        <v>170</v>
      </c>
      <c r="AQ1327">
        <v>87</v>
      </c>
      <c r="AR1327">
        <v>64</v>
      </c>
      <c r="AZ1327">
        <v>3614</v>
      </c>
      <c r="BA1327">
        <v>1</v>
      </c>
      <c r="BB1327" t="str">
        <f t="shared" si="62"/>
        <v xml:space="preserve">N959MJ  </v>
      </c>
      <c r="BC1327">
        <v>1</v>
      </c>
      <c r="BE1327">
        <v>0</v>
      </c>
      <c r="BF1327">
        <v>0</v>
      </c>
      <c r="BG1327">
        <v>0</v>
      </c>
      <c r="BH1327">
        <v>9025</v>
      </c>
      <c r="BI1327">
        <v>325</v>
      </c>
      <c r="BJ1327">
        <v>1</v>
      </c>
      <c r="BK1327">
        <v>1</v>
      </c>
      <c r="BL1327">
        <v>1</v>
      </c>
      <c r="BM1327">
        <v>0</v>
      </c>
      <c r="BP1327">
        <v>0</v>
      </c>
      <c r="BQ1327">
        <v>0</v>
      </c>
      <c r="BX1327" t="str">
        <f>"14:12:29.203"</f>
        <v>14:12:29.203</v>
      </c>
      <c r="BY1327" t="str">
        <f>"206707036"</f>
        <v>206707036</v>
      </c>
      <c r="CL1327">
        <v>0</v>
      </c>
      <c r="CM1327">
        <v>2</v>
      </c>
      <c r="CN1327">
        <v>0</v>
      </c>
      <c r="CO1327">
        <v>2</v>
      </c>
      <c r="CP1327">
        <v>0</v>
      </c>
      <c r="CQ1327">
        <v>5</v>
      </c>
      <c r="CR1327" t="s">
        <v>116</v>
      </c>
      <c r="CS1327">
        <v>147</v>
      </c>
      <c r="CT1327">
        <v>0</v>
      </c>
      <c r="CU1327" t="s">
        <v>117</v>
      </c>
      <c r="CV1327" t="s">
        <v>118</v>
      </c>
      <c r="CY1327">
        <v>6079746</v>
      </c>
      <c r="CZ1327" t="s">
        <v>119</v>
      </c>
    </row>
    <row r="1328" spans="1:104" x14ac:dyDescent="0.25">
      <c r="A1328" t="str">
        <f>"14:12:30.289"</f>
        <v>14:12:30.289</v>
      </c>
      <c r="B1328" t="s">
        <v>108</v>
      </c>
      <c r="C1328" t="str">
        <f t="shared" si="61"/>
        <v>ffdfd3c0</v>
      </c>
      <c r="D1328" t="s">
        <v>109</v>
      </c>
      <c r="E1328">
        <v>4</v>
      </c>
      <c r="F1328">
        <v>1004</v>
      </c>
      <c r="G1328" t="s">
        <v>110</v>
      </c>
      <c r="J1328" t="s">
        <v>111</v>
      </c>
      <c r="K1328">
        <v>0</v>
      </c>
      <c r="L1328">
        <v>3</v>
      </c>
      <c r="M1328">
        <v>0</v>
      </c>
      <c r="N1328">
        <v>2</v>
      </c>
      <c r="O1328">
        <v>1</v>
      </c>
      <c r="P1328">
        <v>0</v>
      </c>
      <c r="Q1328">
        <v>0</v>
      </c>
      <c r="R1328" t="s">
        <v>112</v>
      </c>
      <c r="S1328" t="str">
        <f>"14:12:30.094"</f>
        <v>14:12:30.094</v>
      </c>
      <c r="T1328" t="str">
        <f>"14:12:29.695"</f>
        <v>14:12:29.695</v>
      </c>
      <c r="U1328" t="str">
        <f t="shared" si="60"/>
        <v>ad5732</v>
      </c>
      <c r="V1328">
        <v>0</v>
      </c>
      <c r="W1328">
        <v>0</v>
      </c>
      <c r="X1328">
        <v>1</v>
      </c>
      <c r="Z1328">
        <v>0</v>
      </c>
      <c r="AA1328">
        <v>9</v>
      </c>
      <c r="AB1328">
        <v>3</v>
      </c>
      <c r="AC1328">
        <v>0</v>
      </c>
      <c r="AD1328">
        <v>10</v>
      </c>
      <c r="AE1328">
        <v>0</v>
      </c>
      <c r="AF1328">
        <v>3</v>
      </c>
      <c r="AG1328">
        <v>2</v>
      </c>
      <c r="AH1328">
        <v>0</v>
      </c>
      <c r="AI1328" t="s">
        <v>2759</v>
      </c>
      <c r="AJ1328">
        <v>39.566809999999997</v>
      </c>
      <c r="AK1328" t="s">
        <v>2760</v>
      </c>
      <c r="AL1328">
        <v>-76.548314000000005</v>
      </c>
      <c r="AM1328">
        <v>100</v>
      </c>
      <c r="AN1328">
        <v>8700</v>
      </c>
      <c r="AO1328" t="s">
        <v>115</v>
      </c>
      <c r="AP1328">
        <v>170</v>
      </c>
      <c r="AQ1328">
        <v>87</v>
      </c>
      <c r="AR1328">
        <v>0</v>
      </c>
      <c r="AZ1328">
        <v>3614</v>
      </c>
      <c r="BA1328">
        <v>1</v>
      </c>
      <c r="BB1328" t="str">
        <f t="shared" si="62"/>
        <v xml:space="preserve">N959MJ  </v>
      </c>
      <c r="BC1328">
        <v>1</v>
      </c>
      <c r="BE1328">
        <v>0</v>
      </c>
      <c r="BF1328">
        <v>0</v>
      </c>
      <c r="BG1328">
        <v>0</v>
      </c>
      <c r="BH1328">
        <v>9025</v>
      </c>
      <c r="BI1328">
        <v>325</v>
      </c>
      <c r="BJ1328">
        <v>1</v>
      </c>
      <c r="BK1328">
        <v>1</v>
      </c>
      <c r="BL1328">
        <v>1</v>
      </c>
      <c r="BM1328">
        <v>0</v>
      </c>
      <c r="BP1328">
        <v>0</v>
      </c>
      <c r="BQ1328">
        <v>0</v>
      </c>
      <c r="BX1328" t="str">
        <f>"14:12:30.102"</f>
        <v>14:12:30.102</v>
      </c>
      <c r="BY1328" t="str">
        <f>"101184534"</f>
        <v>101184534</v>
      </c>
      <c r="CL1328">
        <v>0</v>
      </c>
      <c r="CM1328">
        <v>2</v>
      </c>
      <c r="CN1328">
        <v>0</v>
      </c>
      <c r="CO1328">
        <v>2</v>
      </c>
      <c r="CP1328">
        <v>0</v>
      </c>
      <c r="CQ1328">
        <v>6</v>
      </c>
      <c r="CR1328" t="s">
        <v>116</v>
      </c>
      <c r="CS1328">
        <v>396</v>
      </c>
      <c r="CT1328">
        <v>2</v>
      </c>
      <c r="CU1328" t="s">
        <v>939</v>
      </c>
      <c r="CV1328" t="s">
        <v>940</v>
      </c>
      <c r="CY1328">
        <v>5083655</v>
      </c>
      <c r="CZ1328" t="s">
        <v>119</v>
      </c>
    </row>
    <row r="1329" spans="1:104" x14ac:dyDescent="0.25">
      <c r="A1329" t="str">
        <f>"14:12:31.250"</f>
        <v>14:12:31.250</v>
      </c>
      <c r="B1329" t="s">
        <v>108</v>
      </c>
      <c r="C1329" t="str">
        <f t="shared" si="61"/>
        <v>ffdfd3c0</v>
      </c>
      <c r="D1329" t="s">
        <v>109</v>
      </c>
      <c r="E1329">
        <v>4</v>
      </c>
      <c r="F1329">
        <v>1004</v>
      </c>
      <c r="G1329" t="s">
        <v>110</v>
      </c>
      <c r="J1329" t="s">
        <v>111</v>
      </c>
      <c r="K1329">
        <v>0</v>
      </c>
      <c r="L1329">
        <v>3</v>
      </c>
      <c r="M1329">
        <v>0</v>
      </c>
      <c r="N1329">
        <v>2</v>
      </c>
      <c r="O1329">
        <v>1</v>
      </c>
      <c r="P1329">
        <v>0</v>
      </c>
      <c r="Q1329">
        <v>0</v>
      </c>
      <c r="R1329" t="s">
        <v>112</v>
      </c>
      <c r="S1329" t="str">
        <f>"14:12:31.070"</f>
        <v>14:12:31.070</v>
      </c>
      <c r="T1329" t="str">
        <f>"14:12:30.570"</f>
        <v>14:12:30.570</v>
      </c>
      <c r="U1329" t="str">
        <f t="shared" si="60"/>
        <v>ad5732</v>
      </c>
      <c r="V1329">
        <v>0</v>
      </c>
      <c r="W1329">
        <v>0</v>
      </c>
      <c r="X1329">
        <v>1</v>
      </c>
      <c r="Z1329">
        <v>0</v>
      </c>
      <c r="AA1329">
        <v>9</v>
      </c>
      <c r="AB1329">
        <v>3</v>
      </c>
      <c r="AC1329">
        <v>0</v>
      </c>
      <c r="AD1329">
        <v>10</v>
      </c>
      <c r="AE1329">
        <v>0</v>
      </c>
      <c r="AF1329">
        <v>3</v>
      </c>
      <c r="AG1329">
        <v>2</v>
      </c>
      <c r="AH1329">
        <v>0</v>
      </c>
      <c r="AI1329" t="s">
        <v>2761</v>
      </c>
      <c r="AJ1329">
        <v>39.567174999999999</v>
      </c>
      <c r="AK1329" t="s">
        <v>2762</v>
      </c>
      <c r="AL1329">
        <v>-76.547433999999996</v>
      </c>
      <c r="AM1329">
        <v>100</v>
      </c>
      <c r="AN1329">
        <v>8700</v>
      </c>
      <c r="AO1329" t="s">
        <v>115</v>
      </c>
      <c r="AP1329">
        <v>169</v>
      </c>
      <c r="AQ1329">
        <v>87</v>
      </c>
      <c r="AR1329">
        <v>64</v>
      </c>
      <c r="AZ1329">
        <v>3614</v>
      </c>
      <c r="BA1329">
        <v>1</v>
      </c>
      <c r="BB1329" t="str">
        <f t="shared" si="62"/>
        <v xml:space="preserve">N959MJ  </v>
      </c>
      <c r="BC1329">
        <v>1</v>
      </c>
      <c r="BE1329">
        <v>0</v>
      </c>
      <c r="BF1329">
        <v>0</v>
      </c>
      <c r="BG1329">
        <v>0</v>
      </c>
      <c r="BH1329">
        <v>9025</v>
      </c>
      <c r="BI1329">
        <v>325</v>
      </c>
      <c r="BJ1329">
        <v>1</v>
      </c>
      <c r="BK1329">
        <v>1</v>
      </c>
      <c r="BL1329">
        <v>1</v>
      </c>
      <c r="BM1329">
        <v>0</v>
      </c>
      <c r="BP1329">
        <v>0</v>
      </c>
      <c r="BQ1329">
        <v>0</v>
      </c>
      <c r="BX1329" t="str">
        <f>"14:12:31.078"</f>
        <v>14:12:31.078</v>
      </c>
      <c r="BY1329" t="str">
        <f>"077687153"</f>
        <v>077687153</v>
      </c>
      <c r="CL1329">
        <v>0</v>
      </c>
      <c r="CM1329">
        <v>2</v>
      </c>
      <c r="CN1329">
        <v>0</v>
      </c>
      <c r="CO1329">
        <v>2</v>
      </c>
      <c r="CP1329">
        <v>0</v>
      </c>
      <c r="CQ1329">
        <v>6</v>
      </c>
      <c r="CR1329" t="s">
        <v>116</v>
      </c>
      <c r="CS1329">
        <v>396</v>
      </c>
      <c r="CT1329">
        <v>2</v>
      </c>
      <c r="CU1329" t="s">
        <v>939</v>
      </c>
      <c r="CV1329" t="s">
        <v>940</v>
      </c>
      <c r="CY1329">
        <v>5085404</v>
      </c>
      <c r="CZ1329" t="s">
        <v>119</v>
      </c>
    </row>
    <row r="1330" spans="1:104" x14ac:dyDescent="0.25">
      <c r="A1330" t="str">
        <f>"14:12:32.305"</f>
        <v>14:12:32.305</v>
      </c>
      <c r="B1330" t="s">
        <v>108</v>
      </c>
      <c r="C1330" t="str">
        <f t="shared" si="61"/>
        <v>ffdfd3c0</v>
      </c>
      <c r="D1330" t="s">
        <v>109</v>
      </c>
      <c r="E1330">
        <v>4</v>
      </c>
      <c r="F1330">
        <v>1004</v>
      </c>
      <c r="G1330" t="s">
        <v>110</v>
      </c>
      <c r="J1330" t="s">
        <v>111</v>
      </c>
      <c r="K1330">
        <v>0</v>
      </c>
      <c r="L1330">
        <v>3</v>
      </c>
      <c r="M1330">
        <v>0</v>
      </c>
      <c r="N1330">
        <v>2</v>
      </c>
      <c r="O1330">
        <v>1</v>
      </c>
      <c r="P1330">
        <v>0</v>
      </c>
      <c r="Q1330">
        <v>0</v>
      </c>
      <c r="R1330" t="s">
        <v>112</v>
      </c>
      <c r="S1330" t="str">
        <f>"14:12:32.117"</f>
        <v>14:12:32.117</v>
      </c>
      <c r="T1330" t="str">
        <f>"14:12:31.617"</f>
        <v>14:12:31.617</v>
      </c>
      <c r="U1330" t="str">
        <f t="shared" si="60"/>
        <v>ad5732</v>
      </c>
      <c r="V1330">
        <v>0</v>
      </c>
      <c r="W1330">
        <v>0</v>
      </c>
      <c r="X1330">
        <v>1</v>
      </c>
      <c r="Z1330">
        <v>0</v>
      </c>
      <c r="AA1330">
        <v>9</v>
      </c>
      <c r="AB1330">
        <v>3</v>
      </c>
      <c r="AC1330">
        <v>0</v>
      </c>
      <c r="AD1330">
        <v>10</v>
      </c>
      <c r="AE1330">
        <v>0</v>
      </c>
      <c r="AF1330">
        <v>3</v>
      </c>
      <c r="AG1330">
        <v>2</v>
      </c>
      <c r="AH1330">
        <v>0</v>
      </c>
      <c r="AI1330" t="s">
        <v>2763</v>
      </c>
      <c r="AJ1330">
        <v>39.567625999999997</v>
      </c>
      <c r="AK1330" t="s">
        <v>2764</v>
      </c>
      <c r="AL1330">
        <v>-76.546276000000006</v>
      </c>
      <c r="AM1330">
        <v>100</v>
      </c>
      <c r="AN1330">
        <v>8700</v>
      </c>
      <c r="AO1330" t="s">
        <v>115</v>
      </c>
      <c r="AP1330">
        <v>169</v>
      </c>
      <c r="AQ1330">
        <v>87</v>
      </c>
      <c r="AR1330">
        <v>64</v>
      </c>
      <c r="AZ1330">
        <v>3614</v>
      </c>
      <c r="BA1330">
        <v>1</v>
      </c>
      <c r="BB1330" t="str">
        <f t="shared" si="62"/>
        <v xml:space="preserve">N959MJ  </v>
      </c>
      <c r="BC1330">
        <v>1</v>
      </c>
      <c r="BE1330">
        <v>0</v>
      </c>
      <c r="BF1330">
        <v>0</v>
      </c>
      <c r="BG1330">
        <v>0</v>
      </c>
      <c r="BH1330">
        <v>9025</v>
      </c>
      <c r="BI1330">
        <v>325</v>
      </c>
      <c r="BJ1330">
        <v>1</v>
      </c>
      <c r="BK1330">
        <v>1</v>
      </c>
      <c r="BL1330">
        <v>1</v>
      </c>
      <c r="BM1330">
        <v>0</v>
      </c>
      <c r="BP1330">
        <v>0</v>
      </c>
      <c r="BQ1330">
        <v>0</v>
      </c>
      <c r="BX1330" t="str">
        <f>"14:12:32.125"</f>
        <v>14:12:32.125</v>
      </c>
      <c r="BY1330" t="str">
        <f>"123003627"</f>
        <v>123003627</v>
      </c>
      <c r="CL1330">
        <v>0</v>
      </c>
      <c r="CM1330">
        <v>2</v>
      </c>
      <c r="CN1330">
        <v>0</v>
      </c>
      <c r="CO1330">
        <v>2</v>
      </c>
      <c r="CP1330">
        <v>0</v>
      </c>
      <c r="CQ1330">
        <v>6</v>
      </c>
      <c r="CR1330" t="s">
        <v>116</v>
      </c>
      <c r="CS1330">
        <v>396</v>
      </c>
      <c r="CT1330">
        <v>2</v>
      </c>
      <c r="CU1330" t="s">
        <v>939</v>
      </c>
      <c r="CV1330" t="s">
        <v>940</v>
      </c>
      <c r="CY1330">
        <v>5087223</v>
      </c>
      <c r="CZ1330" t="s">
        <v>119</v>
      </c>
    </row>
    <row r="1331" spans="1:104" x14ac:dyDescent="0.25">
      <c r="A1331" t="str">
        <f>"14:12:33.266"</f>
        <v>14:12:33.266</v>
      </c>
      <c r="B1331" t="s">
        <v>108</v>
      </c>
      <c r="C1331" t="str">
        <f t="shared" si="61"/>
        <v>ffdfd3c0</v>
      </c>
      <c r="D1331" t="s">
        <v>109</v>
      </c>
      <c r="E1331">
        <v>4</v>
      </c>
      <c r="F1331">
        <v>1004</v>
      </c>
      <c r="G1331" t="s">
        <v>110</v>
      </c>
      <c r="J1331" t="s">
        <v>111</v>
      </c>
      <c r="K1331">
        <v>0</v>
      </c>
      <c r="L1331">
        <v>3</v>
      </c>
      <c r="M1331">
        <v>0</v>
      </c>
      <c r="N1331">
        <v>2</v>
      </c>
      <c r="O1331">
        <v>1</v>
      </c>
      <c r="P1331">
        <v>0</v>
      </c>
      <c r="Q1331">
        <v>0</v>
      </c>
      <c r="R1331" t="s">
        <v>112</v>
      </c>
      <c r="S1331" t="str">
        <f>"14:12:33.094"</f>
        <v>14:12:33.094</v>
      </c>
      <c r="T1331" t="str">
        <f>"14:12:32.695"</f>
        <v>14:12:32.695</v>
      </c>
      <c r="U1331" t="str">
        <f t="shared" si="60"/>
        <v>ad5732</v>
      </c>
      <c r="V1331">
        <v>0</v>
      </c>
      <c r="W1331">
        <v>0</v>
      </c>
      <c r="X1331">
        <v>1</v>
      </c>
      <c r="Z1331">
        <v>0</v>
      </c>
      <c r="AA1331">
        <v>9</v>
      </c>
      <c r="AB1331">
        <v>3</v>
      </c>
      <c r="AC1331">
        <v>0</v>
      </c>
      <c r="AD1331">
        <v>10</v>
      </c>
      <c r="AE1331">
        <v>0</v>
      </c>
      <c r="AF1331">
        <v>3</v>
      </c>
      <c r="AG1331">
        <v>2</v>
      </c>
      <c r="AH1331">
        <v>0</v>
      </c>
      <c r="AI1331" t="s">
        <v>2765</v>
      </c>
      <c r="AJ1331">
        <v>39.567990000000002</v>
      </c>
      <c r="AK1331" t="s">
        <v>2766</v>
      </c>
      <c r="AL1331">
        <v>-76.545266999999996</v>
      </c>
      <c r="AM1331">
        <v>100</v>
      </c>
      <c r="AN1331">
        <v>8700</v>
      </c>
      <c r="AO1331" t="s">
        <v>115</v>
      </c>
      <c r="AP1331">
        <v>169</v>
      </c>
      <c r="AQ1331">
        <v>87</v>
      </c>
      <c r="AR1331">
        <v>0</v>
      </c>
      <c r="AZ1331">
        <v>3614</v>
      </c>
      <c r="BA1331">
        <v>1</v>
      </c>
      <c r="BB1331" t="str">
        <f t="shared" si="62"/>
        <v xml:space="preserve">N959MJ  </v>
      </c>
      <c r="BC1331">
        <v>1</v>
      </c>
      <c r="BE1331">
        <v>0</v>
      </c>
      <c r="BF1331">
        <v>0</v>
      </c>
      <c r="BG1331">
        <v>0</v>
      </c>
      <c r="BH1331">
        <v>9025</v>
      </c>
      <c r="BI1331">
        <v>325</v>
      </c>
      <c r="BJ1331">
        <v>1</v>
      </c>
      <c r="BK1331">
        <v>1</v>
      </c>
      <c r="BL1331">
        <v>1</v>
      </c>
      <c r="BM1331">
        <v>0</v>
      </c>
      <c r="BP1331">
        <v>0</v>
      </c>
      <c r="BQ1331">
        <v>0</v>
      </c>
      <c r="BX1331" t="str">
        <f>"14:12:33.102"</f>
        <v>14:12:33.102</v>
      </c>
      <c r="BY1331" t="str">
        <f>"099595373"</f>
        <v>099595373</v>
      </c>
      <c r="CL1331">
        <v>0</v>
      </c>
      <c r="CM1331">
        <v>2</v>
      </c>
      <c r="CN1331">
        <v>0</v>
      </c>
      <c r="CO1331">
        <v>2</v>
      </c>
      <c r="CP1331">
        <v>0</v>
      </c>
      <c r="CQ1331">
        <v>6</v>
      </c>
      <c r="CR1331" t="s">
        <v>116</v>
      </c>
      <c r="CS1331">
        <v>372</v>
      </c>
      <c r="CT1331">
        <v>3</v>
      </c>
      <c r="CU1331" t="s">
        <v>877</v>
      </c>
      <c r="CV1331" t="s">
        <v>878</v>
      </c>
      <c r="CY1331">
        <v>11732239</v>
      </c>
      <c r="CZ1331" t="s">
        <v>119</v>
      </c>
    </row>
    <row r="1332" spans="1:104" x14ac:dyDescent="0.25">
      <c r="A1332" t="str">
        <f>"14:12:34.430"</f>
        <v>14:12:34.430</v>
      </c>
      <c r="B1332" t="s">
        <v>108</v>
      </c>
      <c r="C1332" t="str">
        <f t="shared" si="61"/>
        <v>ffdfd3c0</v>
      </c>
      <c r="D1332" t="s">
        <v>109</v>
      </c>
      <c r="E1332">
        <v>4</v>
      </c>
      <c r="F1332">
        <v>1004</v>
      </c>
      <c r="G1332" t="s">
        <v>110</v>
      </c>
      <c r="J1332" t="s">
        <v>111</v>
      </c>
      <c r="K1332">
        <v>0</v>
      </c>
      <c r="L1332">
        <v>3</v>
      </c>
      <c r="M1332">
        <v>0</v>
      </c>
      <c r="N1332">
        <v>2</v>
      </c>
      <c r="O1332">
        <v>1</v>
      </c>
      <c r="P1332">
        <v>0</v>
      </c>
      <c r="Q1332">
        <v>0</v>
      </c>
      <c r="R1332" t="s">
        <v>112</v>
      </c>
      <c r="S1332" t="str">
        <f>"14:12:34.242"</f>
        <v>14:12:34.242</v>
      </c>
      <c r="T1332" t="str">
        <f>"14:12:33.742"</f>
        <v>14:12:33.742</v>
      </c>
      <c r="U1332" t="str">
        <f t="shared" si="60"/>
        <v>ad5732</v>
      </c>
      <c r="V1332">
        <v>0</v>
      </c>
      <c r="W1332">
        <v>0</v>
      </c>
      <c r="X1332">
        <v>1</v>
      </c>
      <c r="Z1332">
        <v>0</v>
      </c>
      <c r="AA1332">
        <v>9</v>
      </c>
      <c r="AB1332">
        <v>3</v>
      </c>
      <c r="AC1332">
        <v>0</v>
      </c>
      <c r="AD1332">
        <v>10</v>
      </c>
      <c r="AE1332">
        <v>0</v>
      </c>
      <c r="AF1332">
        <v>3</v>
      </c>
      <c r="AG1332">
        <v>2</v>
      </c>
      <c r="AH1332">
        <v>0</v>
      </c>
      <c r="AI1332" t="s">
        <v>2767</v>
      </c>
      <c r="AJ1332">
        <v>39.568461999999997</v>
      </c>
      <c r="AK1332" t="s">
        <v>2768</v>
      </c>
      <c r="AL1332">
        <v>-76.544194000000005</v>
      </c>
      <c r="AM1332">
        <v>100</v>
      </c>
      <c r="AN1332">
        <v>8700</v>
      </c>
      <c r="AO1332" t="s">
        <v>115</v>
      </c>
      <c r="AP1332">
        <v>169</v>
      </c>
      <c r="AQ1332">
        <v>87</v>
      </c>
      <c r="AR1332">
        <v>64</v>
      </c>
      <c r="AZ1332">
        <v>3614</v>
      </c>
      <c r="BA1332">
        <v>1</v>
      </c>
      <c r="BB1332" t="str">
        <f t="shared" si="62"/>
        <v xml:space="preserve">N959MJ  </v>
      </c>
      <c r="BC1332">
        <v>1</v>
      </c>
      <c r="BE1332">
        <v>0</v>
      </c>
      <c r="BF1332">
        <v>0</v>
      </c>
      <c r="BG1332">
        <v>0</v>
      </c>
      <c r="BH1332">
        <v>9025</v>
      </c>
      <c r="BI1332">
        <v>325</v>
      </c>
      <c r="BJ1332">
        <v>1</v>
      </c>
      <c r="BK1332">
        <v>1</v>
      </c>
      <c r="BL1332">
        <v>1</v>
      </c>
      <c r="BM1332">
        <v>0</v>
      </c>
      <c r="BP1332">
        <v>0</v>
      </c>
      <c r="BQ1332">
        <v>0</v>
      </c>
      <c r="BX1332" t="str">
        <f>"14:12:34.250"</f>
        <v>14:12:34.250</v>
      </c>
      <c r="BY1332" t="str">
        <f>"246405108"</f>
        <v>246405108</v>
      </c>
      <c r="CL1332">
        <v>0</v>
      </c>
      <c r="CM1332">
        <v>2</v>
      </c>
      <c r="CN1332">
        <v>0</v>
      </c>
      <c r="CO1332">
        <v>2</v>
      </c>
      <c r="CP1332">
        <v>0</v>
      </c>
      <c r="CQ1332">
        <v>6</v>
      </c>
      <c r="CR1332" t="s">
        <v>116</v>
      </c>
      <c r="CS1332">
        <v>396</v>
      </c>
      <c r="CT1332">
        <v>2</v>
      </c>
      <c r="CU1332" t="s">
        <v>939</v>
      </c>
      <c r="CV1332" t="s">
        <v>940</v>
      </c>
      <c r="CY1332">
        <v>5091068</v>
      </c>
      <c r="CZ1332" t="s">
        <v>119</v>
      </c>
    </row>
    <row r="1333" spans="1:104" x14ac:dyDescent="0.25">
      <c r="A1333" t="str">
        <f>"14:12:35.336"</f>
        <v>14:12:35.336</v>
      </c>
      <c r="B1333" t="s">
        <v>108</v>
      </c>
      <c r="C1333" t="str">
        <f t="shared" si="61"/>
        <v>ffdfd3c0</v>
      </c>
      <c r="D1333" t="s">
        <v>109</v>
      </c>
      <c r="E1333">
        <v>4</v>
      </c>
      <c r="F1333">
        <v>1004</v>
      </c>
      <c r="G1333" t="s">
        <v>110</v>
      </c>
      <c r="J1333" t="s">
        <v>111</v>
      </c>
      <c r="K1333">
        <v>0</v>
      </c>
      <c r="L1333">
        <v>3</v>
      </c>
      <c r="M1333">
        <v>0</v>
      </c>
      <c r="N1333">
        <v>2</v>
      </c>
      <c r="O1333">
        <v>1</v>
      </c>
      <c r="P1333">
        <v>0</v>
      </c>
      <c r="Q1333">
        <v>0</v>
      </c>
      <c r="R1333" t="s">
        <v>112</v>
      </c>
      <c r="S1333" t="str">
        <f>"14:12:35.156"</f>
        <v>14:12:35.156</v>
      </c>
      <c r="T1333" t="str">
        <f>"14:12:34.758"</f>
        <v>14:12:34.758</v>
      </c>
      <c r="U1333" t="str">
        <f t="shared" si="60"/>
        <v>ad5732</v>
      </c>
      <c r="V1333">
        <v>0</v>
      </c>
      <c r="W1333">
        <v>0</v>
      </c>
      <c r="X1333">
        <v>1</v>
      </c>
      <c r="Z1333">
        <v>0</v>
      </c>
      <c r="AA1333">
        <v>9</v>
      </c>
      <c r="AB1333">
        <v>3</v>
      </c>
      <c r="AC1333">
        <v>0</v>
      </c>
      <c r="AD1333">
        <v>10</v>
      </c>
      <c r="AE1333">
        <v>0</v>
      </c>
      <c r="AF1333">
        <v>3</v>
      </c>
      <c r="AG1333">
        <v>2</v>
      </c>
      <c r="AH1333">
        <v>0</v>
      </c>
      <c r="AI1333" t="s">
        <v>2769</v>
      </c>
      <c r="AJ1333">
        <v>39.568826999999999</v>
      </c>
      <c r="AK1333" t="s">
        <v>2770</v>
      </c>
      <c r="AL1333">
        <v>-76.543293000000006</v>
      </c>
      <c r="AM1333">
        <v>100</v>
      </c>
      <c r="AN1333">
        <v>8700</v>
      </c>
      <c r="AO1333" t="s">
        <v>115</v>
      </c>
      <c r="AP1333">
        <v>169</v>
      </c>
      <c r="AQ1333">
        <v>87</v>
      </c>
      <c r="AR1333">
        <v>0</v>
      </c>
      <c r="AZ1333">
        <v>3614</v>
      </c>
      <c r="BA1333">
        <v>1</v>
      </c>
      <c r="BB1333" t="str">
        <f t="shared" si="62"/>
        <v xml:space="preserve">N959MJ  </v>
      </c>
      <c r="BC1333">
        <v>1</v>
      </c>
      <c r="BE1333">
        <v>0</v>
      </c>
      <c r="BF1333">
        <v>0</v>
      </c>
      <c r="BG1333">
        <v>0</v>
      </c>
      <c r="BH1333">
        <v>9025</v>
      </c>
      <c r="BI1333">
        <v>325</v>
      </c>
      <c r="BJ1333">
        <v>1</v>
      </c>
      <c r="BK1333">
        <v>1</v>
      </c>
      <c r="BL1333">
        <v>1</v>
      </c>
      <c r="BM1333">
        <v>0</v>
      </c>
      <c r="BP1333">
        <v>0</v>
      </c>
      <c r="BQ1333">
        <v>0</v>
      </c>
      <c r="BX1333" t="str">
        <f>"14:12:35.164"</f>
        <v>14:12:35.164</v>
      </c>
      <c r="BY1333" t="str">
        <f>"162374564"</f>
        <v>162374564</v>
      </c>
      <c r="CL1333">
        <v>0</v>
      </c>
      <c r="CM1333">
        <v>2</v>
      </c>
      <c r="CN1333">
        <v>0</v>
      </c>
      <c r="CO1333">
        <v>2</v>
      </c>
      <c r="CP1333">
        <v>0</v>
      </c>
      <c r="CQ1333">
        <v>6</v>
      </c>
      <c r="CR1333" t="s">
        <v>116</v>
      </c>
      <c r="CS1333">
        <v>372</v>
      </c>
      <c r="CT1333">
        <v>3</v>
      </c>
      <c r="CU1333" t="s">
        <v>877</v>
      </c>
      <c r="CV1333" t="s">
        <v>878</v>
      </c>
      <c r="CY1333">
        <v>11736074</v>
      </c>
      <c r="CZ1333" t="s">
        <v>119</v>
      </c>
    </row>
    <row r="1334" spans="1:104" x14ac:dyDescent="0.25">
      <c r="A1334" t="str">
        <f>"14:12:36.398"</f>
        <v>14:12:36.398</v>
      </c>
      <c r="B1334" t="s">
        <v>108</v>
      </c>
      <c r="C1334" t="str">
        <f t="shared" si="61"/>
        <v>ffdfd3c0</v>
      </c>
      <c r="D1334" t="s">
        <v>109</v>
      </c>
      <c r="E1334">
        <v>4</v>
      </c>
      <c r="F1334">
        <v>1004</v>
      </c>
      <c r="G1334" t="s">
        <v>110</v>
      </c>
      <c r="J1334" t="s">
        <v>111</v>
      </c>
      <c r="K1334">
        <v>0</v>
      </c>
      <c r="L1334">
        <v>3</v>
      </c>
      <c r="M1334">
        <v>0</v>
      </c>
      <c r="N1334">
        <v>2</v>
      </c>
      <c r="O1334">
        <v>1</v>
      </c>
      <c r="P1334">
        <v>0</v>
      </c>
      <c r="Q1334">
        <v>0</v>
      </c>
      <c r="R1334" t="s">
        <v>112</v>
      </c>
      <c r="S1334" t="str">
        <f>"14:12:36.227"</f>
        <v>14:12:36.227</v>
      </c>
      <c r="T1334" t="str">
        <f>"14:12:35.727"</f>
        <v>14:12:35.727</v>
      </c>
      <c r="U1334" t="str">
        <f t="shared" si="60"/>
        <v>ad5732</v>
      </c>
      <c r="V1334">
        <v>0</v>
      </c>
      <c r="W1334">
        <v>0</v>
      </c>
      <c r="X1334">
        <v>1</v>
      </c>
      <c r="Z1334">
        <v>0</v>
      </c>
      <c r="AA1334">
        <v>9</v>
      </c>
      <c r="AB1334">
        <v>3</v>
      </c>
      <c r="AC1334">
        <v>0</v>
      </c>
      <c r="AD1334">
        <v>10</v>
      </c>
      <c r="AE1334">
        <v>0</v>
      </c>
      <c r="AF1334">
        <v>3</v>
      </c>
      <c r="AG1334">
        <v>2</v>
      </c>
      <c r="AH1334">
        <v>0</v>
      </c>
      <c r="AI1334" t="s">
        <v>2771</v>
      </c>
      <c r="AJ1334">
        <v>39.569256000000003</v>
      </c>
      <c r="AK1334" t="s">
        <v>2772</v>
      </c>
      <c r="AL1334">
        <v>-76.542176999999995</v>
      </c>
      <c r="AM1334">
        <v>100</v>
      </c>
      <c r="AN1334">
        <v>8700</v>
      </c>
      <c r="AO1334" t="s">
        <v>115</v>
      </c>
      <c r="AP1334">
        <v>169</v>
      </c>
      <c r="AQ1334">
        <v>88</v>
      </c>
      <c r="AR1334">
        <v>0</v>
      </c>
      <c r="AZ1334">
        <v>3614</v>
      </c>
      <c r="BA1334">
        <v>1</v>
      </c>
      <c r="BB1334" t="str">
        <f t="shared" si="62"/>
        <v xml:space="preserve">N959MJ  </v>
      </c>
      <c r="BC1334">
        <v>1</v>
      </c>
      <c r="BE1334">
        <v>0</v>
      </c>
      <c r="BF1334">
        <v>0</v>
      </c>
      <c r="BG1334">
        <v>0</v>
      </c>
      <c r="BH1334">
        <v>9025</v>
      </c>
      <c r="BI1334">
        <v>325</v>
      </c>
      <c r="BJ1334">
        <v>1</v>
      </c>
      <c r="BK1334">
        <v>1</v>
      </c>
      <c r="BL1334">
        <v>1</v>
      </c>
      <c r="BM1334">
        <v>0</v>
      </c>
      <c r="BP1334">
        <v>0</v>
      </c>
      <c r="BQ1334">
        <v>0</v>
      </c>
      <c r="BX1334" t="str">
        <f>"14:12:36.234"</f>
        <v>14:12:36.234</v>
      </c>
      <c r="BY1334" t="str">
        <f>"230540326"</f>
        <v>230540326</v>
      </c>
      <c r="CL1334">
        <v>0</v>
      </c>
      <c r="CM1334">
        <v>2</v>
      </c>
      <c r="CN1334">
        <v>0</v>
      </c>
      <c r="CO1334">
        <v>2</v>
      </c>
      <c r="CP1334">
        <v>0</v>
      </c>
      <c r="CQ1334">
        <v>7</v>
      </c>
      <c r="CR1334" t="s">
        <v>116</v>
      </c>
      <c r="CS1334">
        <v>396</v>
      </c>
      <c r="CT1334">
        <v>2</v>
      </c>
      <c r="CU1334" t="s">
        <v>939</v>
      </c>
      <c r="CV1334" t="s">
        <v>940</v>
      </c>
      <c r="CY1334">
        <v>5094588</v>
      </c>
      <c r="CZ1334" t="s">
        <v>119</v>
      </c>
    </row>
    <row r="1335" spans="1:104" x14ac:dyDescent="0.25">
      <c r="A1335" t="str">
        <f>"14:12:37.508"</f>
        <v>14:12:37.508</v>
      </c>
      <c r="B1335" t="s">
        <v>108</v>
      </c>
      <c r="C1335" t="str">
        <f t="shared" si="61"/>
        <v>ffdfd3c0</v>
      </c>
      <c r="D1335" t="s">
        <v>109</v>
      </c>
      <c r="E1335">
        <v>4</v>
      </c>
      <c r="F1335">
        <v>1004</v>
      </c>
      <c r="G1335" t="s">
        <v>110</v>
      </c>
      <c r="J1335" t="s">
        <v>111</v>
      </c>
      <c r="K1335">
        <v>0</v>
      </c>
      <c r="L1335">
        <v>3</v>
      </c>
      <c r="M1335">
        <v>0</v>
      </c>
      <c r="N1335">
        <v>2</v>
      </c>
      <c r="O1335">
        <v>1</v>
      </c>
      <c r="P1335">
        <v>0</v>
      </c>
      <c r="Q1335">
        <v>0</v>
      </c>
      <c r="R1335" t="s">
        <v>112</v>
      </c>
      <c r="S1335" t="str">
        <f>"14:12:37.328"</f>
        <v>14:12:37.328</v>
      </c>
      <c r="T1335" t="str">
        <f>"14:12:36.828"</f>
        <v>14:12:36.828</v>
      </c>
      <c r="U1335" t="str">
        <f t="shared" si="60"/>
        <v>ad5732</v>
      </c>
      <c r="V1335">
        <v>0</v>
      </c>
      <c r="W1335">
        <v>0</v>
      </c>
      <c r="X1335">
        <v>1</v>
      </c>
      <c r="Z1335">
        <v>0</v>
      </c>
      <c r="AA1335">
        <v>9</v>
      </c>
      <c r="AB1335">
        <v>3</v>
      </c>
      <c r="AC1335">
        <v>0</v>
      </c>
      <c r="AD1335">
        <v>10</v>
      </c>
      <c r="AE1335">
        <v>0</v>
      </c>
      <c r="AF1335">
        <v>3</v>
      </c>
      <c r="AG1335">
        <v>2</v>
      </c>
      <c r="AH1335">
        <v>0</v>
      </c>
      <c r="AI1335" t="s">
        <v>2773</v>
      </c>
      <c r="AJ1335">
        <v>39.569727999999998</v>
      </c>
      <c r="AK1335" t="s">
        <v>2774</v>
      </c>
      <c r="AL1335">
        <v>-76.541039999999995</v>
      </c>
      <c r="AM1335">
        <v>100</v>
      </c>
      <c r="AN1335">
        <v>8700</v>
      </c>
      <c r="AO1335" t="s">
        <v>115</v>
      </c>
      <c r="AP1335">
        <v>168</v>
      </c>
      <c r="AQ1335">
        <v>88</v>
      </c>
      <c r="AR1335">
        <v>0</v>
      </c>
      <c r="AZ1335">
        <v>3614</v>
      </c>
      <c r="BA1335">
        <v>1</v>
      </c>
      <c r="BB1335" t="str">
        <f t="shared" si="62"/>
        <v xml:space="preserve">N959MJ  </v>
      </c>
      <c r="BC1335">
        <v>1</v>
      </c>
      <c r="BE1335">
        <v>0</v>
      </c>
      <c r="BF1335">
        <v>0</v>
      </c>
      <c r="BG1335">
        <v>0</v>
      </c>
      <c r="BH1335">
        <v>9025</v>
      </c>
      <c r="BI1335">
        <v>325</v>
      </c>
      <c r="BJ1335">
        <v>1</v>
      </c>
      <c r="BK1335">
        <v>1</v>
      </c>
      <c r="BL1335">
        <v>1</v>
      </c>
      <c r="BM1335">
        <v>0</v>
      </c>
      <c r="BP1335">
        <v>0</v>
      </c>
      <c r="BQ1335">
        <v>0</v>
      </c>
      <c r="BX1335" t="str">
        <f>"14:12:37.336"</f>
        <v>14:12:37.336</v>
      </c>
      <c r="BY1335" t="str">
        <f>"334929248"</f>
        <v>334929248</v>
      </c>
      <c r="CL1335">
        <v>0</v>
      </c>
      <c r="CM1335">
        <v>2</v>
      </c>
      <c r="CN1335">
        <v>0</v>
      </c>
      <c r="CO1335">
        <v>2</v>
      </c>
      <c r="CP1335">
        <v>0</v>
      </c>
      <c r="CQ1335">
        <v>6</v>
      </c>
      <c r="CR1335" t="s">
        <v>116</v>
      </c>
      <c r="CS1335">
        <v>372</v>
      </c>
      <c r="CT1335">
        <v>3</v>
      </c>
      <c r="CU1335" t="s">
        <v>877</v>
      </c>
      <c r="CV1335" t="s">
        <v>878</v>
      </c>
      <c r="CY1335">
        <v>11739928</v>
      </c>
      <c r="CZ1335" t="s">
        <v>119</v>
      </c>
    </row>
    <row r="1336" spans="1:104" x14ac:dyDescent="0.25">
      <c r="A1336" t="str">
        <f>"14:12:38.570"</f>
        <v>14:12:38.570</v>
      </c>
      <c r="B1336" t="s">
        <v>108</v>
      </c>
      <c r="C1336" t="str">
        <f t="shared" si="61"/>
        <v>ffdfd3c0</v>
      </c>
      <c r="D1336" t="s">
        <v>109</v>
      </c>
      <c r="E1336">
        <v>4</v>
      </c>
      <c r="F1336">
        <v>1004</v>
      </c>
      <c r="G1336" t="s">
        <v>110</v>
      </c>
      <c r="J1336" t="s">
        <v>111</v>
      </c>
      <c r="K1336">
        <v>0</v>
      </c>
      <c r="L1336">
        <v>3</v>
      </c>
      <c r="M1336">
        <v>0</v>
      </c>
      <c r="N1336">
        <v>2</v>
      </c>
      <c r="O1336">
        <v>1</v>
      </c>
      <c r="P1336">
        <v>0</v>
      </c>
      <c r="Q1336">
        <v>0</v>
      </c>
      <c r="R1336" t="s">
        <v>112</v>
      </c>
      <c r="S1336" t="str">
        <f>"14:12:38.391"</f>
        <v>14:12:38.391</v>
      </c>
      <c r="T1336" t="str">
        <f>"14:12:37.992"</f>
        <v>14:12:37.992</v>
      </c>
      <c r="U1336" t="str">
        <f t="shared" si="60"/>
        <v>ad5732</v>
      </c>
      <c r="V1336">
        <v>0</v>
      </c>
      <c r="W1336">
        <v>0</v>
      </c>
      <c r="X1336">
        <v>1</v>
      </c>
      <c r="Z1336">
        <v>0</v>
      </c>
      <c r="AA1336">
        <v>9</v>
      </c>
      <c r="AB1336">
        <v>3</v>
      </c>
      <c r="AC1336">
        <v>0</v>
      </c>
      <c r="AD1336">
        <v>10</v>
      </c>
      <c r="AE1336">
        <v>0</v>
      </c>
      <c r="AF1336">
        <v>3</v>
      </c>
      <c r="AG1336">
        <v>2</v>
      </c>
      <c r="AH1336">
        <v>0</v>
      </c>
      <c r="AI1336" t="s">
        <v>2775</v>
      </c>
      <c r="AJ1336">
        <v>39.570157999999999</v>
      </c>
      <c r="AK1336" t="s">
        <v>2776</v>
      </c>
      <c r="AL1336">
        <v>-76.539923999999999</v>
      </c>
      <c r="AM1336">
        <v>100</v>
      </c>
      <c r="AN1336">
        <v>8700</v>
      </c>
      <c r="AO1336" t="s">
        <v>115</v>
      </c>
      <c r="AP1336">
        <v>168</v>
      </c>
      <c r="AQ1336">
        <v>88</v>
      </c>
      <c r="AR1336">
        <v>0</v>
      </c>
      <c r="AZ1336">
        <v>3614</v>
      </c>
      <c r="BA1336">
        <v>1</v>
      </c>
      <c r="BB1336" t="str">
        <f t="shared" si="62"/>
        <v xml:space="preserve">N959MJ  </v>
      </c>
      <c r="BC1336">
        <v>1</v>
      </c>
      <c r="BE1336">
        <v>0</v>
      </c>
      <c r="BF1336">
        <v>0</v>
      </c>
      <c r="BG1336">
        <v>0</v>
      </c>
      <c r="BH1336">
        <v>9025</v>
      </c>
      <c r="BI1336">
        <v>325</v>
      </c>
      <c r="BJ1336">
        <v>1</v>
      </c>
      <c r="BK1336">
        <v>1</v>
      </c>
      <c r="BL1336">
        <v>1</v>
      </c>
      <c r="BM1336">
        <v>0</v>
      </c>
      <c r="BP1336">
        <v>0</v>
      </c>
      <c r="BQ1336">
        <v>0</v>
      </c>
      <c r="BX1336" t="str">
        <f>"14:12:38.391"</f>
        <v>14:12:38.391</v>
      </c>
      <c r="BY1336" t="str">
        <f>"393264176"</f>
        <v>393264176</v>
      </c>
      <c r="CL1336">
        <v>0</v>
      </c>
      <c r="CM1336">
        <v>2</v>
      </c>
      <c r="CN1336">
        <v>0</v>
      </c>
      <c r="CO1336">
        <v>2</v>
      </c>
      <c r="CP1336">
        <v>0</v>
      </c>
      <c r="CQ1336">
        <v>6</v>
      </c>
      <c r="CR1336" t="s">
        <v>116</v>
      </c>
      <c r="CS1336">
        <v>396</v>
      </c>
      <c r="CT1336">
        <v>2</v>
      </c>
      <c r="CU1336" t="s">
        <v>939</v>
      </c>
      <c r="CV1336" t="s">
        <v>940</v>
      </c>
      <c r="CY1336">
        <v>5098490</v>
      </c>
      <c r="CZ1336" t="s">
        <v>119</v>
      </c>
    </row>
    <row r="1337" spans="1:104" x14ac:dyDescent="0.25">
      <c r="A1337" t="str">
        <f>"14:12:39.578"</f>
        <v>14:12:39.578</v>
      </c>
      <c r="B1337" t="s">
        <v>108</v>
      </c>
      <c r="C1337" t="str">
        <f t="shared" si="61"/>
        <v>ffdfd3c0</v>
      </c>
      <c r="D1337" t="s">
        <v>109</v>
      </c>
      <c r="E1337">
        <v>4</v>
      </c>
      <c r="F1337">
        <v>1004</v>
      </c>
      <c r="G1337" t="s">
        <v>110</v>
      </c>
      <c r="J1337" t="s">
        <v>111</v>
      </c>
      <c r="K1337">
        <v>0</v>
      </c>
      <c r="L1337">
        <v>3</v>
      </c>
      <c r="M1337">
        <v>0</v>
      </c>
      <c r="N1337">
        <v>2</v>
      </c>
      <c r="O1337">
        <v>1</v>
      </c>
      <c r="P1337">
        <v>0</v>
      </c>
      <c r="Q1337">
        <v>0</v>
      </c>
      <c r="R1337" t="s">
        <v>112</v>
      </c>
      <c r="S1337" t="str">
        <f>"14:12:39.391"</f>
        <v>14:12:39.391</v>
      </c>
      <c r="T1337" t="str">
        <f>"14:12:38.891"</f>
        <v>14:12:38.891</v>
      </c>
      <c r="U1337" t="str">
        <f t="shared" si="60"/>
        <v>ad5732</v>
      </c>
      <c r="V1337">
        <v>0</v>
      </c>
      <c r="W1337">
        <v>0</v>
      </c>
      <c r="X1337">
        <v>1</v>
      </c>
      <c r="Z1337">
        <v>0</v>
      </c>
      <c r="AA1337">
        <v>9</v>
      </c>
      <c r="AB1337">
        <v>3</v>
      </c>
      <c r="AC1337">
        <v>0</v>
      </c>
      <c r="AD1337">
        <v>10</v>
      </c>
      <c r="AE1337">
        <v>0</v>
      </c>
      <c r="AF1337">
        <v>3</v>
      </c>
      <c r="AG1337">
        <v>2</v>
      </c>
      <c r="AH1337">
        <v>0</v>
      </c>
      <c r="AI1337" t="s">
        <v>2777</v>
      </c>
      <c r="AJ1337">
        <v>39.570565000000002</v>
      </c>
      <c r="AK1337" t="s">
        <v>2778</v>
      </c>
      <c r="AL1337">
        <v>-76.538937000000004</v>
      </c>
      <c r="AM1337">
        <v>100</v>
      </c>
      <c r="AN1337">
        <v>8700</v>
      </c>
      <c r="AO1337" t="s">
        <v>115</v>
      </c>
      <c r="AP1337">
        <v>168</v>
      </c>
      <c r="AQ1337">
        <v>89</v>
      </c>
      <c r="AR1337">
        <v>0</v>
      </c>
      <c r="AZ1337">
        <v>3614</v>
      </c>
      <c r="BA1337">
        <v>1</v>
      </c>
      <c r="BB1337" t="str">
        <f t="shared" si="62"/>
        <v xml:space="preserve">N959MJ  </v>
      </c>
      <c r="BC1337">
        <v>1</v>
      </c>
      <c r="BE1337">
        <v>0</v>
      </c>
      <c r="BF1337">
        <v>0</v>
      </c>
      <c r="BG1337">
        <v>0</v>
      </c>
      <c r="BH1337">
        <v>9025</v>
      </c>
      <c r="BI1337">
        <v>325</v>
      </c>
      <c r="BJ1337">
        <v>1</v>
      </c>
      <c r="BK1337">
        <v>1</v>
      </c>
      <c r="BL1337">
        <v>1</v>
      </c>
      <c r="BM1337">
        <v>0</v>
      </c>
      <c r="BP1337">
        <v>0</v>
      </c>
      <c r="BQ1337">
        <v>0</v>
      </c>
      <c r="BX1337" t="str">
        <f>"14:12:39.398"</f>
        <v>14:12:39.398</v>
      </c>
      <c r="BY1337" t="str">
        <f>"397788662"</f>
        <v>397788662</v>
      </c>
      <c r="CL1337">
        <v>0</v>
      </c>
      <c r="CM1337">
        <v>2</v>
      </c>
      <c r="CN1337">
        <v>0</v>
      </c>
      <c r="CO1337">
        <v>2</v>
      </c>
      <c r="CP1337">
        <v>0</v>
      </c>
      <c r="CQ1337">
        <v>6</v>
      </c>
      <c r="CR1337" t="s">
        <v>116</v>
      </c>
      <c r="CS1337">
        <v>39</v>
      </c>
      <c r="CT1337">
        <v>2</v>
      </c>
      <c r="CU1337" t="s">
        <v>2259</v>
      </c>
      <c r="CV1337" t="s">
        <v>2260</v>
      </c>
      <c r="CY1337">
        <v>15431390</v>
      </c>
      <c r="CZ1337" t="s">
        <v>119</v>
      </c>
    </row>
    <row r="1338" spans="1:104" x14ac:dyDescent="0.25">
      <c r="A1338" t="str">
        <f>"14:12:40.539"</f>
        <v>14:12:40.539</v>
      </c>
      <c r="B1338" t="s">
        <v>108</v>
      </c>
      <c r="C1338" t="str">
        <f t="shared" si="61"/>
        <v>ffdfd3c0</v>
      </c>
      <c r="D1338" t="s">
        <v>109</v>
      </c>
      <c r="E1338">
        <v>4</v>
      </c>
      <c r="F1338">
        <v>1004</v>
      </c>
      <c r="G1338" t="s">
        <v>110</v>
      </c>
      <c r="J1338" t="s">
        <v>111</v>
      </c>
      <c r="K1338">
        <v>0</v>
      </c>
      <c r="L1338">
        <v>3</v>
      </c>
      <c r="M1338">
        <v>0</v>
      </c>
      <c r="N1338">
        <v>2</v>
      </c>
      <c r="O1338">
        <v>1</v>
      </c>
      <c r="P1338">
        <v>0</v>
      </c>
      <c r="Q1338">
        <v>0</v>
      </c>
      <c r="R1338" t="s">
        <v>112</v>
      </c>
      <c r="S1338" t="str">
        <f>"14:12:40.344"</f>
        <v>14:12:40.344</v>
      </c>
      <c r="T1338" t="str">
        <f>"14:12:39.945"</f>
        <v>14:12:39.945</v>
      </c>
      <c r="U1338" t="str">
        <f t="shared" si="60"/>
        <v>ad5732</v>
      </c>
      <c r="V1338">
        <v>0</v>
      </c>
      <c r="W1338">
        <v>0</v>
      </c>
      <c r="X1338">
        <v>1</v>
      </c>
      <c r="Z1338">
        <v>0</v>
      </c>
      <c r="AA1338">
        <v>9</v>
      </c>
      <c r="AB1338">
        <v>3</v>
      </c>
      <c r="AC1338">
        <v>0</v>
      </c>
      <c r="AD1338">
        <v>10</v>
      </c>
      <c r="AE1338">
        <v>0</v>
      </c>
      <c r="AF1338">
        <v>3</v>
      </c>
      <c r="AG1338">
        <v>2</v>
      </c>
      <c r="AH1338">
        <v>0</v>
      </c>
      <c r="AI1338" t="s">
        <v>2779</v>
      </c>
      <c r="AJ1338">
        <v>39.570973000000002</v>
      </c>
      <c r="AK1338" t="s">
        <v>2780</v>
      </c>
      <c r="AL1338">
        <v>-76.538036000000005</v>
      </c>
      <c r="AM1338">
        <v>100</v>
      </c>
      <c r="AN1338">
        <v>8700</v>
      </c>
      <c r="AO1338" t="s">
        <v>115</v>
      </c>
      <c r="AP1338">
        <v>168</v>
      </c>
      <c r="AQ1338">
        <v>90</v>
      </c>
      <c r="AR1338">
        <v>0</v>
      </c>
      <c r="AZ1338">
        <v>3614</v>
      </c>
      <c r="BA1338">
        <v>1</v>
      </c>
      <c r="BB1338" t="str">
        <f t="shared" si="62"/>
        <v xml:space="preserve">N959MJ  </v>
      </c>
      <c r="BC1338">
        <v>1</v>
      </c>
      <c r="BE1338">
        <v>0</v>
      </c>
      <c r="BF1338">
        <v>0</v>
      </c>
      <c r="BG1338">
        <v>0</v>
      </c>
      <c r="BH1338">
        <v>9025</v>
      </c>
      <c r="BI1338">
        <v>325</v>
      </c>
      <c r="BJ1338">
        <v>1</v>
      </c>
      <c r="BK1338">
        <v>1</v>
      </c>
      <c r="BL1338">
        <v>1</v>
      </c>
      <c r="BM1338">
        <v>0</v>
      </c>
      <c r="BP1338">
        <v>0</v>
      </c>
      <c r="BQ1338">
        <v>0</v>
      </c>
      <c r="BX1338" t="str">
        <f>"14:12:40.352"</f>
        <v>14:12:40.352</v>
      </c>
      <c r="BY1338" t="str">
        <f>"347907709"</f>
        <v>347907709</v>
      </c>
      <c r="CL1338">
        <v>0</v>
      </c>
      <c r="CM1338">
        <v>2</v>
      </c>
      <c r="CN1338">
        <v>0</v>
      </c>
      <c r="CO1338">
        <v>2</v>
      </c>
      <c r="CP1338">
        <v>0</v>
      </c>
      <c r="CQ1338">
        <v>6</v>
      </c>
      <c r="CR1338" t="s">
        <v>116</v>
      </c>
      <c r="CS1338">
        <v>396</v>
      </c>
      <c r="CT1338">
        <v>2</v>
      </c>
      <c r="CU1338" t="s">
        <v>939</v>
      </c>
      <c r="CV1338" t="s">
        <v>940</v>
      </c>
      <c r="CY1338">
        <v>5102025</v>
      </c>
      <c r="CZ1338" t="s">
        <v>119</v>
      </c>
    </row>
    <row r="1339" spans="1:104" x14ac:dyDescent="0.25">
      <c r="A1339" t="str">
        <f>"14:12:41.445"</f>
        <v>14:12:41.445</v>
      </c>
      <c r="B1339" t="s">
        <v>108</v>
      </c>
      <c r="C1339" t="str">
        <f t="shared" si="61"/>
        <v>ffdfd3c0</v>
      </c>
      <c r="D1339" t="s">
        <v>109</v>
      </c>
      <c r="E1339">
        <v>4</v>
      </c>
      <c r="F1339">
        <v>1004</v>
      </c>
      <c r="G1339" t="s">
        <v>110</v>
      </c>
      <c r="J1339" t="s">
        <v>111</v>
      </c>
      <c r="K1339">
        <v>0</v>
      </c>
      <c r="L1339">
        <v>3</v>
      </c>
      <c r="M1339">
        <v>0</v>
      </c>
      <c r="N1339">
        <v>2</v>
      </c>
      <c r="O1339">
        <v>1</v>
      </c>
      <c r="P1339">
        <v>0</v>
      </c>
      <c r="Q1339">
        <v>0</v>
      </c>
      <c r="R1339" t="s">
        <v>112</v>
      </c>
      <c r="S1339" t="str">
        <f>"14:12:41.281"</f>
        <v>14:12:41.281</v>
      </c>
      <c r="T1339" t="str">
        <f>"14:12:40.883"</f>
        <v>14:12:40.883</v>
      </c>
      <c r="U1339" t="str">
        <f t="shared" si="60"/>
        <v>ad5732</v>
      </c>
      <c r="V1339">
        <v>0</v>
      </c>
      <c r="W1339">
        <v>0</v>
      </c>
      <c r="X1339">
        <v>1</v>
      </c>
      <c r="Z1339">
        <v>0</v>
      </c>
      <c r="AA1339">
        <v>9</v>
      </c>
      <c r="AB1339">
        <v>3</v>
      </c>
      <c r="AC1339">
        <v>0</v>
      </c>
      <c r="AD1339">
        <v>10</v>
      </c>
      <c r="AE1339">
        <v>0</v>
      </c>
      <c r="AF1339">
        <v>3</v>
      </c>
      <c r="AG1339">
        <v>2</v>
      </c>
      <c r="AH1339">
        <v>0</v>
      </c>
      <c r="AI1339" t="s">
        <v>2781</v>
      </c>
      <c r="AJ1339">
        <v>39.571316000000003</v>
      </c>
      <c r="AK1339" t="s">
        <v>2782</v>
      </c>
      <c r="AL1339">
        <v>-76.537177999999997</v>
      </c>
      <c r="AM1339">
        <v>100</v>
      </c>
      <c r="AN1339">
        <v>8700</v>
      </c>
      <c r="AO1339" t="s">
        <v>115</v>
      </c>
      <c r="AP1339">
        <v>167</v>
      </c>
      <c r="AQ1339">
        <v>90</v>
      </c>
      <c r="AR1339">
        <v>0</v>
      </c>
      <c r="AZ1339">
        <v>3614</v>
      </c>
      <c r="BA1339">
        <v>1</v>
      </c>
      <c r="BB1339" t="str">
        <f t="shared" si="62"/>
        <v xml:space="preserve">N959MJ  </v>
      </c>
      <c r="BC1339">
        <v>1</v>
      </c>
      <c r="BE1339">
        <v>0</v>
      </c>
      <c r="BF1339">
        <v>0</v>
      </c>
      <c r="BG1339">
        <v>0</v>
      </c>
      <c r="BH1339">
        <v>9025</v>
      </c>
      <c r="BI1339">
        <v>325</v>
      </c>
      <c r="BJ1339">
        <v>1</v>
      </c>
      <c r="BK1339">
        <v>1</v>
      </c>
      <c r="BL1339">
        <v>1</v>
      </c>
      <c r="BM1339">
        <v>0</v>
      </c>
      <c r="BP1339">
        <v>0</v>
      </c>
      <c r="BQ1339">
        <v>0</v>
      </c>
      <c r="BX1339" t="str">
        <f>"14:12:41.281"</f>
        <v>14:12:41.281</v>
      </c>
      <c r="BY1339" t="str">
        <f>"283617887"</f>
        <v>283617887</v>
      </c>
      <c r="CL1339">
        <v>0</v>
      </c>
      <c r="CM1339">
        <v>2</v>
      </c>
      <c r="CN1339">
        <v>0</v>
      </c>
      <c r="CO1339">
        <v>2</v>
      </c>
      <c r="CP1339">
        <v>0</v>
      </c>
      <c r="CQ1339">
        <v>6</v>
      </c>
      <c r="CR1339" t="s">
        <v>116</v>
      </c>
      <c r="CS1339">
        <v>39</v>
      </c>
      <c r="CT1339">
        <v>2</v>
      </c>
      <c r="CU1339" t="s">
        <v>2259</v>
      </c>
      <c r="CV1339" t="s">
        <v>2260</v>
      </c>
      <c r="CY1339">
        <v>15434419</v>
      </c>
      <c r="CZ1339" t="s">
        <v>119</v>
      </c>
    </row>
    <row r="1340" spans="1:104" x14ac:dyDescent="0.25">
      <c r="A1340" t="str">
        <f>"14:12:42.555"</f>
        <v>14:12:42.555</v>
      </c>
      <c r="B1340" t="s">
        <v>108</v>
      </c>
      <c r="C1340" t="str">
        <f t="shared" si="61"/>
        <v>ffdfd3c0</v>
      </c>
      <c r="D1340" t="s">
        <v>109</v>
      </c>
      <c r="E1340">
        <v>4</v>
      </c>
      <c r="F1340">
        <v>1004</v>
      </c>
      <c r="G1340" t="s">
        <v>110</v>
      </c>
      <c r="J1340" t="s">
        <v>111</v>
      </c>
      <c r="K1340">
        <v>0</v>
      </c>
      <c r="L1340">
        <v>3</v>
      </c>
      <c r="M1340">
        <v>0</v>
      </c>
      <c r="N1340">
        <v>2</v>
      </c>
      <c r="O1340">
        <v>1</v>
      </c>
      <c r="P1340">
        <v>0</v>
      </c>
      <c r="Q1340">
        <v>0</v>
      </c>
      <c r="R1340" t="s">
        <v>112</v>
      </c>
      <c r="S1340" t="str">
        <f>"14:12:42.406"</f>
        <v>14:12:42.406</v>
      </c>
      <c r="T1340" t="str">
        <f>"14:12:41.906"</f>
        <v>14:12:41.906</v>
      </c>
      <c r="U1340" t="str">
        <f t="shared" si="60"/>
        <v>ad5732</v>
      </c>
      <c r="V1340">
        <v>0</v>
      </c>
      <c r="W1340">
        <v>0</v>
      </c>
      <c r="X1340">
        <v>1</v>
      </c>
      <c r="Z1340">
        <v>0</v>
      </c>
      <c r="AA1340">
        <v>9</v>
      </c>
      <c r="AB1340">
        <v>3</v>
      </c>
      <c r="AC1340">
        <v>0</v>
      </c>
      <c r="AD1340">
        <v>10</v>
      </c>
      <c r="AE1340">
        <v>0</v>
      </c>
      <c r="AF1340">
        <v>3</v>
      </c>
      <c r="AG1340">
        <v>2</v>
      </c>
      <c r="AH1340">
        <v>0</v>
      </c>
      <c r="AI1340" t="s">
        <v>2783</v>
      </c>
      <c r="AJ1340">
        <v>39.571831000000003</v>
      </c>
      <c r="AK1340" t="s">
        <v>2784</v>
      </c>
      <c r="AL1340">
        <v>-76.535954000000004</v>
      </c>
      <c r="AM1340">
        <v>100</v>
      </c>
      <c r="AN1340">
        <v>8700</v>
      </c>
      <c r="AO1340" t="s">
        <v>115</v>
      </c>
      <c r="AP1340">
        <v>167</v>
      </c>
      <c r="AQ1340">
        <v>91</v>
      </c>
      <c r="AR1340">
        <v>0</v>
      </c>
      <c r="AZ1340">
        <v>3614</v>
      </c>
      <c r="BA1340">
        <v>1</v>
      </c>
      <c r="BB1340" t="str">
        <f t="shared" si="62"/>
        <v xml:space="preserve">N959MJ  </v>
      </c>
      <c r="BC1340">
        <v>1</v>
      </c>
      <c r="BE1340">
        <v>0</v>
      </c>
      <c r="BF1340">
        <v>0</v>
      </c>
      <c r="BG1340">
        <v>0</v>
      </c>
      <c r="BH1340">
        <v>9025</v>
      </c>
      <c r="BI1340">
        <v>325</v>
      </c>
      <c r="BJ1340">
        <v>1</v>
      </c>
      <c r="BK1340">
        <v>1</v>
      </c>
      <c r="BL1340">
        <v>1</v>
      </c>
      <c r="BM1340">
        <v>0</v>
      </c>
      <c r="BP1340">
        <v>0</v>
      </c>
      <c r="BQ1340">
        <v>0</v>
      </c>
      <c r="BX1340" t="str">
        <f>"14:12:42.406"</f>
        <v>14:12:42.406</v>
      </c>
      <c r="BY1340" t="str">
        <f>"407410595"</f>
        <v>407410595</v>
      </c>
      <c r="CL1340">
        <v>0</v>
      </c>
      <c r="CM1340">
        <v>2</v>
      </c>
      <c r="CN1340">
        <v>0</v>
      </c>
      <c r="CO1340">
        <v>2</v>
      </c>
      <c r="CP1340">
        <v>0</v>
      </c>
      <c r="CQ1340">
        <v>6</v>
      </c>
      <c r="CR1340" t="s">
        <v>116</v>
      </c>
      <c r="CS1340">
        <v>396</v>
      </c>
      <c r="CT1340">
        <v>2</v>
      </c>
      <c r="CU1340" t="s">
        <v>939</v>
      </c>
      <c r="CV1340" t="s">
        <v>940</v>
      </c>
      <c r="CY1340">
        <v>5105682</v>
      </c>
      <c r="CZ1340" t="s">
        <v>119</v>
      </c>
    </row>
    <row r="1341" spans="1:104" x14ac:dyDescent="0.25">
      <c r="A1341" t="str">
        <f>"14:12:43.516"</f>
        <v>14:12:43.516</v>
      </c>
      <c r="B1341" t="s">
        <v>108</v>
      </c>
      <c r="C1341" t="str">
        <f t="shared" si="61"/>
        <v>ffdfd3c0</v>
      </c>
      <c r="D1341" t="s">
        <v>109</v>
      </c>
      <c r="E1341">
        <v>4</v>
      </c>
      <c r="F1341">
        <v>1004</v>
      </c>
      <c r="G1341" t="s">
        <v>110</v>
      </c>
      <c r="J1341" t="s">
        <v>111</v>
      </c>
      <c r="K1341">
        <v>0</v>
      </c>
      <c r="L1341">
        <v>3</v>
      </c>
      <c r="M1341">
        <v>0</v>
      </c>
      <c r="N1341">
        <v>2</v>
      </c>
      <c r="O1341">
        <v>1</v>
      </c>
      <c r="P1341">
        <v>0</v>
      </c>
      <c r="Q1341">
        <v>0</v>
      </c>
      <c r="R1341" t="s">
        <v>112</v>
      </c>
      <c r="S1341" t="str">
        <f>"14:12:43.320"</f>
        <v>14:12:43.320</v>
      </c>
      <c r="T1341" t="str">
        <f>"14:12:42.820"</f>
        <v>14:12:42.820</v>
      </c>
      <c r="U1341" t="str">
        <f t="shared" si="60"/>
        <v>ad5732</v>
      </c>
      <c r="V1341">
        <v>0</v>
      </c>
      <c r="W1341">
        <v>0</v>
      </c>
      <c r="X1341">
        <v>1</v>
      </c>
      <c r="Z1341">
        <v>0</v>
      </c>
      <c r="AA1341">
        <v>9</v>
      </c>
      <c r="AB1341">
        <v>3</v>
      </c>
      <c r="AC1341">
        <v>0</v>
      </c>
      <c r="AD1341">
        <v>10</v>
      </c>
      <c r="AE1341">
        <v>0</v>
      </c>
      <c r="AF1341">
        <v>3</v>
      </c>
      <c r="AG1341">
        <v>2</v>
      </c>
      <c r="AH1341">
        <v>0</v>
      </c>
      <c r="AI1341" t="s">
        <v>2785</v>
      </c>
      <c r="AJ1341">
        <v>39.572195999999998</v>
      </c>
      <c r="AK1341" t="s">
        <v>2786</v>
      </c>
      <c r="AL1341">
        <v>-76.535053000000005</v>
      </c>
      <c r="AM1341">
        <v>100</v>
      </c>
      <c r="AN1341">
        <v>8700</v>
      </c>
      <c r="AO1341" t="s">
        <v>115</v>
      </c>
      <c r="AP1341">
        <v>167</v>
      </c>
      <c r="AQ1341">
        <v>91</v>
      </c>
      <c r="AR1341">
        <v>0</v>
      </c>
      <c r="AZ1341">
        <v>3614</v>
      </c>
      <c r="BA1341">
        <v>1</v>
      </c>
      <c r="BB1341" t="str">
        <f t="shared" si="62"/>
        <v xml:space="preserve">N959MJ  </v>
      </c>
      <c r="BC1341">
        <v>1</v>
      </c>
      <c r="BE1341">
        <v>0</v>
      </c>
      <c r="BF1341">
        <v>0</v>
      </c>
      <c r="BG1341">
        <v>0</v>
      </c>
      <c r="BH1341">
        <v>9025</v>
      </c>
      <c r="BI1341">
        <v>325</v>
      </c>
      <c r="BJ1341">
        <v>1</v>
      </c>
      <c r="BK1341">
        <v>1</v>
      </c>
      <c r="BL1341">
        <v>1</v>
      </c>
      <c r="BM1341">
        <v>0</v>
      </c>
      <c r="BP1341">
        <v>0</v>
      </c>
      <c r="BQ1341">
        <v>0</v>
      </c>
      <c r="BX1341" t="str">
        <f>"14:12:43.320"</f>
        <v>14:12:43.320</v>
      </c>
      <c r="BY1341" t="str">
        <f>"321820935"</f>
        <v>321820935</v>
      </c>
      <c r="CL1341">
        <v>0</v>
      </c>
      <c r="CM1341">
        <v>2</v>
      </c>
      <c r="CN1341">
        <v>0</v>
      </c>
      <c r="CO1341">
        <v>2</v>
      </c>
      <c r="CP1341">
        <v>0</v>
      </c>
      <c r="CQ1341">
        <v>6</v>
      </c>
      <c r="CR1341" t="s">
        <v>116</v>
      </c>
      <c r="CS1341">
        <v>39</v>
      </c>
      <c r="CT1341">
        <v>2</v>
      </c>
      <c r="CU1341" t="s">
        <v>2259</v>
      </c>
      <c r="CV1341" t="s">
        <v>2260</v>
      </c>
      <c r="CY1341">
        <v>15437837</v>
      </c>
      <c r="CZ1341" t="s">
        <v>119</v>
      </c>
    </row>
    <row r="1342" spans="1:104" x14ac:dyDescent="0.25">
      <c r="A1342" t="str">
        <f>"14:12:44.477"</f>
        <v>14:12:44.477</v>
      </c>
      <c r="B1342" t="s">
        <v>108</v>
      </c>
      <c r="C1342" t="str">
        <f t="shared" si="61"/>
        <v>ffdfd3c0</v>
      </c>
      <c r="D1342" t="s">
        <v>109</v>
      </c>
      <c r="E1342">
        <v>4</v>
      </c>
      <c r="F1342">
        <v>1004</v>
      </c>
      <c r="G1342" t="s">
        <v>110</v>
      </c>
      <c r="J1342" t="s">
        <v>111</v>
      </c>
      <c r="K1342">
        <v>0</v>
      </c>
      <c r="L1342">
        <v>3</v>
      </c>
      <c r="M1342">
        <v>0</v>
      </c>
      <c r="N1342">
        <v>2</v>
      </c>
      <c r="O1342">
        <v>1</v>
      </c>
      <c r="P1342">
        <v>0</v>
      </c>
      <c r="Q1342">
        <v>0</v>
      </c>
      <c r="R1342" t="s">
        <v>112</v>
      </c>
      <c r="S1342" t="str">
        <f>"14:12:44.273"</f>
        <v>14:12:44.273</v>
      </c>
      <c r="T1342" t="str">
        <f>"14:12:43.773"</f>
        <v>14:12:43.773</v>
      </c>
      <c r="U1342" t="str">
        <f t="shared" si="60"/>
        <v>ad5732</v>
      </c>
      <c r="V1342">
        <v>0</v>
      </c>
      <c r="W1342">
        <v>0</v>
      </c>
      <c r="X1342">
        <v>1</v>
      </c>
      <c r="Z1342">
        <v>0</v>
      </c>
      <c r="AA1342">
        <v>9</v>
      </c>
      <c r="AB1342">
        <v>3</v>
      </c>
      <c r="AC1342">
        <v>0</v>
      </c>
      <c r="AD1342">
        <v>10</v>
      </c>
      <c r="AE1342">
        <v>0</v>
      </c>
      <c r="AF1342">
        <v>3</v>
      </c>
      <c r="AG1342">
        <v>2</v>
      </c>
      <c r="AH1342">
        <v>0</v>
      </c>
      <c r="AI1342" t="s">
        <v>2787</v>
      </c>
      <c r="AJ1342">
        <v>39.572603999999998</v>
      </c>
      <c r="AK1342" t="s">
        <v>2788</v>
      </c>
      <c r="AL1342">
        <v>-76.534172999999996</v>
      </c>
      <c r="AM1342">
        <v>100</v>
      </c>
      <c r="AN1342">
        <v>8700</v>
      </c>
      <c r="AO1342" t="s">
        <v>115</v>
      </c>
      <c r="AP1342">
        <v>166</v>
      </c>
      <c r="AQ1342">
        <v>91</v>
      </c>
      <c r="AR1342">
        <v>0</v>
      </c>
      <c r="AZ1342">
        <v>3614</v>
      </c>
      <c r="BA1342">
        <v>1</v>
      </c>
      <c r="BB1342" t="str">
        <f t="shared" si="62"/>
        <v xml:space="preserve">N959MJ  </v>
      </c>
      <c r="BC1342">
        <v>1</v>
      </c>
      <c r="BE1342">
        <v>0</v>
      </c>
      <c r="BF1342">
        <v>0</v>
      </c>
      <c r="BG1342">
        <v>0</v>
      </c>
      <c r="BH1342">
        <v>9025</v>
      </c>
      <c r="BI1342">
        <v>325</v>
      </c>
      <c r="BJ1342">
        <v>1</v>
      </c>
      <c r="BK1342">
        <v>1</v>
      </c>
      <c r="BL1342">
        <v>1</v>
      </c>
      <c r="BM1342">
        <v>0</v>
      </c>
      <c r="BP1342">
        <v>0</v>
      </c>
      <c r="BQ1342">
        <v>0</v>
      </c>
      <c r="BX1342" t="str">
        <f>"14:12:44.281"</f>
        <v>14:12:44.281</v>
      </c>
      <c r="BY1342" t="str">
        <f>"278604542"</f>
        <v>278604542</v>
      </c>
      <c r="CL1342">
        <v>0</v>
      </c>
      <c r="CM1342">
        <v>2</v>
      </c>
      <c r="CN1342">
        <v>0</v>
      </c>
      <c r="CO1342">
        <v>2</v>
      </c>
      <c r="CP1342">
        <v>0</v>
      </c>
      <c r="CQ1342">
        <v>5</v>
      </c>
      <c r="CR1342" t="s">
        <v>116</v>
      </c>
      <c r="CS1342">
        <v>147</v>
      </c>
      <c r="CT1342">
        <v>0</v>
      </c>
      <c r="CU1342" t="s">
        <v>117</v>
      </c>
      <c r="CV1342" t="s">
        <v>118</v>
      </c>
      <c r="CY1342">
        <v>6105419</v>
      </c>
      <c r="CZ1342" t="s">
        <v>119</v>
      </c>
    </row>
    <row r="1343" spans="1:104" x14ac:dyDescent="0.25">
      <c r="A1343" t="str">
        <f>"14:12:45.383"</f>
        <v>14:12:45.383</v>
      </c>
      <c r="B1343" t="s">
        <v>108</v>
      </c>
      <c r="C1343" t="str">
        <f t="shared" si="61"/>
        <v>ffdfd3c0</v>
      </c>
      <c r="D1343" t="s">
        <v>109</v>
      </c>
      <c r="E1343">
        <v>4</v>
      </c>
      <c r="F1343">
        <v>1004</v>
      </c>
      <c r="G1343" t="s">
        <v>110</v>
      </c>
      <c r="J1343" t="s">
        <v>111</v>
      </c>
      <c r="K1343">
        <v>0</v>
      </c>
      <c r="L1343">
        <v>3</v>
      </c>
      <c r="M1343">
        <v>0</v>
      </c>
      <c r="N1343">
        <v>2</v>
      </c>
      <c r="O1343">
        <v>1</v>
      </c>
      <c r="P1343">
        <v>0</v>
      </c>
      <c r="Q1343">
        <v>0</v>
      </c>
      <c r="R1343" t="s">
        <v>112</v>
      </c>
      <c r="S1343" t="str">
        <f>"14:12:45.195"</f>
        <v>14:12:45.195</v>
      </c>
      <c r="T1343" t="str">
        <f>"14:12:44.695"</f>
        <v>14:12:44.695</v>
      </c>
      <c r="U1343" t="str">
        <f t="shared" si="60"/>
        <v>ad5732</v>
      </c>
      <c r="V1343">
        <v>0</v>
      </c>
      <c r="W1343">
        <v>0</v>
      </c>
      <c r="X1343">
        <v>1</v>
      </c>
      <c r="Z1343">
        <v>0</v>
      </c>
      <c r="AA1343">
        <v>9</v>
      </c>
      <c r="AB1343">
        <v>3</v>
      </c>
      <c r="AC1343">
        <v>0</v>
      </c>
      <c r="AD1343">
        <v>10</v>
      </c>
      <c r="AE1343">
        <v>0</v>
      </c>
      <c r="AF1343">
        <v>3</v>
      </c>
      <c r="AG1343">
        <v>2</v>
      </c>
      <c r="AH1343">
        <v>0</v>
      </c>
      <c r="AI1343" t="s">
        <v>2789</v>
      </c>
      <c r="AJ1343">
        <v>39.573033000000002</v>
      </c>
      <c r="AK1343" t="s">
        <v>2790</v>
      </c>
      <c r="AL1343">
        <v>-76.533143999999993</v>
      </c>
      <c r="AM1343">
        <v>100</v>
      </c>
      <c r="AN1343">
        <v>8700</v>
      </c>
      <c r="AO1343" t="s">
        <v>115</v>
      </c>
      <c r="AP1343">
        <v>166</v>
      </c>
      <c r="AQ1343">
        <v>92</v>
      </c>
      <c r="AR1343">
        <v>0</v>
      </c>
      <c r="AZ1343">
        <v>3614</v>
      </c>
      <c r="BA1343">
        <v>1</v>
      </c>
      <c r="BB1343" t="str">
        <f t="shared" si="62"/>
        <v xml:space="preserve">N959MJ  </v>
      </c>
      <c r="BC1343">
        <v>1</v>
      </c>
      <c r="BE1343">
        <v>0</v>
      </c>
      <c r="BF1343">
        <v>0</v>
      </c>
      <c r="BG1343">
        <v>0</v>
      </c>
      <c r="BH1343">
        <v>9025</v>
      </c>
      <c r="BI1343">
        <v>325</v>
      </c>
      <c r="BJ1343">
        <v>1</v>
      </c>
      <c r="BK1343">
        <v>1</v>
      </c>
      <c r="BL1343">
        <v>1</v>
      </c>
      <c r="BM1343">
        <v>0</v>
      </c>
      <c r="BP1343">
        <v>0</v>
      </c>
      <c r="BQ1343">
        <v>0</v>
      </c>
      <c r="BX1343" t="str">
        <f>"14:12:45.203"</f>
        <v>14:12:45.203</v>
      </c>
      <c r="BY1343" t="str">
        <f>"200928779"</f>
        <v>200928779</v>
      </c>
      <c r="CL1343">
        <v>0</v>
      </c>
      <c r="CM1343">
        <v>2</v>
      </c>
      <c r="CN1343">
        <v>0</v>
      </c>
      <c r="CO1343">
        <v>2</v>
      </c>
      <c r="CP1343">
        <v>0</v>
      </c>
      <c r="CQ1343">
        <v>7</v>
      </c>
      <c r="CR1343" t="s">
        <v>116</v>
      </c>
      <c r="CS1343">
        <v>396</v>
      </c>
      <c r="CT1343">
        <v>2</v>
      </c>
      <c r="CU1343" t="s">
        <v>939</v>
      </c>
      <c r="CV1343" t="s">
        <v>940</v>
      </c>
      <c r="CY1343">
        <v>5110756</v>
      </c>
      <c r="CZ1343" t="s">
        <v>119</v>
      </c>
    </row>
    <row r="1344" spans="1:104" x14ac:dyDescent="0.25">
      <c r="A1344" t="str">
        <f>"14:12:46.344"</f>
        <v>14:12:46.344</v>
      </c>
      <c r="B1344" t="s">
        <v>108</v>
      </c>
      <c r="C1344" t="str">
        <f t="shared" si="61"/>
        <v>ffdfd3c0</v>
      </c>
      <c r="D1344" t="s">
        <v>109</v>
      </c>
      <c r="E1344">
        <v>4</v>
      </c>
      <c r="F1344">
        <v>1004</v>
      </c>
      <c r="G1344" t="s">
        <v>110</v>
      </c>
      <c r="J1344" t="s">
        <v>111</v>
      </c>
      <c r="K1344">
        <v>0</v>
      </c>
      <c r="L1344">
        <v>3</v>
      </c>
      <c r="M1344">
        <v>0</v>
      </c>
      <c r="N1344">
        <v>2</v>
      </c>
      <c r="O1344">
        <v>1</v>
      </c>
      <c r="P1344">
        <v>0</v>
      </c>
      <c r="Q1344">
        <v>0</v>
      </c>
      <c r="R1344" t="s">
        <v>112</v>
      </c>
      <c r="S1344" t="str">
        <f>"14:12:46.180"</f>
        <v>14:12:46.180</v>
      </c>
      <c r="T1344" t="str">
        <f>"14:12:45.680"</f>
        <v>14:12:45.680</v>
      </c>
      <c r="U1344" t="str">
        <f t="shared" si="60"/>
        <v>ad5732</v>
      </c>
      <c r="V1344">
        <v>0</v>
      </c>
      <c r="W1344">
        <v>0</v>
      </c>
      <c r="X1344">
        <v>1</v>
      </c>
      <c r="Z1344">
        <v>0</v>
      </c>
      <c r="AA1344">
        <v>9</v>
      </c>
      <c r="AB1344">
        <v>3</v>
      </c>
      <c r="AC1344">
        <v>0</v>
      </c>
      <c r="AD1344">
        <v>10</v>
      </c>
      <c r="AE1344">
        <v>0</v>
      </c>
      <c r="AF1344">
        <v>3</v>
      </c>
      <c r="AG1344">
        <v>2</v>
      </c>
      <c r="AH1344">
        <v>0</v>
      </c>
      <c r="AI1344" t="s">
        <v>2791</v>
      </c>
      <c r="AJ1344">
        <v>39.573397999999997</v>
      </c>
      <c r="AK1344" t="s">
        <v>2792</v>
      </c>
      <c r="AL1344">
        <v>-76.532263999999998</v>
      </c>
      <c r="AM1344">
        <v>100</v>
      </c>
      <c r="AN1344">
        <v>8700</v>
      </c>
      <c r="AO1344" t="s">
        <v>115</v>
      </c>
      <c r="AP1344">
        <v>166</v>
      </c>
      <c r="AQ1344">
        <v>92</v>
      </c>
      <c r="AR1344">
        <v>0</v>
      </c>
      <c r="AZ1344">
        <v>3614</v>
      </c>
      <c r="BA1344">
        <v>1</v>
      </c>
      <c r="BB1344" t="str">
        <f t="shared" si="62"/>
        <v xml:space="preserve">N959MJ  </v>
      </c>
      <c r="BC1344">
        <v>1</v>
      </c>
      <c r="BE1344">
        <v>0</v>
      </c>
      <c r="BF1344">
        <v>0</v>
      </c>
      <c r="BG1344">
        <v>0</v>
      </c>
      <c r="BH1344">
        <v>9025</v>
      </c>
      <c r="BI1344">
        <v>325</v>
      </c>
      <c r="BJ1344">
        <v>1</v>
      </c>
      <c r="BK1344">
        <v>1</v>
      </c>
      <c r="BL1344">
        <v>1</v>
      </c>
      <c r="BM1344">
        <v>0</v>
      </c>
      <c r="BP1344">
        <v>0</v>
      </c>
      <c r="BQ1344">
        <v>0</v>
      </c>
      <c r="BX1344" t="str">
        <f>"14:12:46.188"</f>
        <v>14:12:46.188</v>
      </c>
      <c r="BY1344" t="str">
        <f>"187429226"</f>
        <v>187429226</v>
      </c>
      <c r="CL1344">
        <v>0</v>
      </c>
      <c r="CM1344">
        <v>2</v>
      </c>
      <c r="CN1344">
        <v>0</v>
      </c>
      <c r="CO1344">
        <v>2</v>
      </c>
      <c r="CP1344">
        <v>0</v>
      </c>
      <c r="CQ1344">
        <v>5</v>
      </c>
      <c r="CR1344" t="s">
        <v>116</v>
      </c>
      <c r="CS1344">
        <v>39</v>
      </c>
      <c r="CT1344">
        <v>2</v>
      </c>
      <c r="CU1344" t="s">
        <v>2259</v>
      </c>
      <c r="CV1344" t="s">
        <v>2260</v>
      </c>
      <c r="CY1344">
        <v>15442523</v>
      </c>
      <c r="CZ1344" t="s">
        <v>119</v>
      </c>
    </row>
    <row r="1345" spans="1:104" x14ac:dyDescent="0.25">
      <c r="A1345" t="str">
        <f>"14:12:47.352"</f>
        <v>14:12:47.352</v>
      </c>
      <c r="B1345" t="s">
        <v>108</v>
      </c>
      <c r="C1345" t="str">
        <f t="shared" si="61"/>
        <v>ffdfd3c0</v>
      </c>
      <c r="D1345" t="s">
        <v>109</v>
      </c>
      <c r="E1345">
        <v>4</v>
      </c>
      <c r="F1345">
        <v>1004</v>
      </c>
      <c r="G1345" t="s">
        <v>110</v>
      </c>
      <c r="J1345" t="s">
        <v>111</v>
      </c>
      <c r="K1345">
        <v>0</v>
      </c>
      <c r="L1345">
        <v>3</v>
      </c>
      <c r="M1345">
        <v>0</v>
      </c>
      <c r="N1345">
        <v>2</v>
      </c>
      <c r="O1345">
        <v>1</v>
      </c>
      <c r="P1345">
        <v>0</v>
      </c>
      <c r="Q1345">
        <v>0</v>
      </c>
      <c r="R1345" t="s">
        <v>112</v>
      </c>
      <c r="S1345" t="str">
        <f>"14:12:47.156"</f>
        <v>14:12:47.156</v>
      </c>
      <c r="T1345" t="str">
        <f>"14:12:46.656"</f>
        <v>14:12:46.656</v>
      </c>
      <c r="U1345" t="str">
        <f t="shared" si="60"/>
        <v>ad5732</v>
      </c>
      <c r="V1345">
        <v>0</v>
      </c>
      <c r="W1345">
        <v>0</v>
      </c>
      <c r="X1345">
        <v>1</v>
      </c>
      <c r="Z1345">
        <v>0</v>
      </c>
      <c r="AA1345">
        <v>9</v>
      </c>
      <c r="AB1345">
        <v>3</v>
      </c>
      <c r="AC1345">
        <v>0</v>
      </c>
      <c r="AD1345">
        <v>10</v>
      </c>
      <c r="AE1345">
        <v>0</v>
      </c>
      <c r="AF1345">
        <v>3</v>
      </c>
      <c r="AG1345">
        <v>2</v>
      </c>
      <c r="AH1345">
        <v>0</v>
      </c>
      <c r="AI1345" t="s">
        <v>2793</v>
      </c>
      <c r="AJ1345">
        <v>39.573805</v>
      </c>
      <c r="AK1345" t="s">
        <v>2794</v>
      </c>
      <c r="AL1345">
        <v>-76.531233999999998</v>
      </c>
      <c r="AM1345">
        <v>100</v>
      </c>
      <c r="AN1345">
        <v>8700</v>
      </c>
      <c r="AO1345" t="s">
        <v>115</v>
      </c>
      <c r="AP1345">
        <v>166</v>
      </c>
      <c r="AQ1345">
        <v>92</v>
      </c>
      <c r="AR1345">
        <v>0</v>
      </c>
      <c r="AZ1345">
        <v>3614</v>
      </c>
      <c r="BA1345">
        <v>1</v>
      </c>
      <c r="BB1345" t="str">
        <f t="shared" si="62"/>
        <v xml:space="preserve">N959MJ  </v>
      </c>
      <c r="BC1345">
        <v>1</v>
      </c>
      <c r="BE1345">
        <v>0</v>
      </c>
      <c r="BF1345">
        <v>0</v>
      </c>
      <c r="BG1345">
        <v>0</v>
      </c>
      <c r="BH1345">
        <v>9025</v>
      </c>
      <c r="BI1345">
        <v>325</v>
      </c>
      <c r="BJ1345">
        <v>1</v>
      </c>
      <c r="BK1345">
        <v>1</v>
      </c>
      <c r="BL1345">
        <v>1</v>
      </c>
      <c r="BM1345">
        <v>0</v>
      </c>
      <c r="BP1345">
        <v>0</v>
      </c>
      <c r="BQ1345">
        <v>0</v>
      </c>
      <c r="BX1345" t="str">
        <f>"14:12:47.164"</f>
        <v>14:12:47.164</v>
      </c>
      <c r="BY1345" t="str">
        <f>"162126038"</f>
        <v>162126038</v>
      </c>
      <c r="CL1345">
        <v>0</v>
      </c>
      <c r="CM1345">
        <v>2</v>
      </c>
      <c r="CN1345">
        <v>0</v>
      </c>
      <c r="CO1345">
        <v>2</v>
      </c>
      <c r="CP1345">
        <v>0</v>
      </c>
      <c r="CQ1345">
        <v>7</v>
      </c>
      <c r="CR1345" t="s">
        <v>116</v>
      </c>
      <c r="CS1345">
        <v>396</v>
      </c>
      <c r="CT1345">
        <v>2</v>
      </c>
      <c r="CU1345" t="s">
        <v>939</v>
      </c>
      <c r="CV1345" t="s">
        <v>940</v>
      </c>
      <c r="CY1345">
        <v>5114322</v>
      </c>
      <c r="CZ1345" t="s">
        <v>119</v>
      </c>
    </row>
    <row r="1346" spans="1:104" x14ac:dyDescent="0.25">
      <c r="A1346" t="str">
        <f>"14:12:48.359"</f>
        <v>14:12:48.359</v>
      </c>
      <c r="B1346" t="s">
        <v>108</v>
      </c>
      <c r="C1346" t="str">
        <f t="shared" si="61"/>
        <v>ffdfd3c0</v>
      </c>
      <c r="D1346" t="s">
        <v>109</v>
      </c>
      <c r="E1346">
        <v>4</v>
      </c>
      <c r="F1346">
        <v>1004</v>
      </c>
      <c r="G1346" t="s">
        <v>110</v>
      </c>
      <c r="J1346" t="s">
        <v>111</v>
      </c>
      <c r="K1346">
        <v>0</v>
      </c>
      <c r="L1346">
        <v>3</v>
      </c>
      <c r="M1346">
        <v>0</v>
      </c>
      <c r="N1346">
        <v>2</v>
      </c>
      <c r="O1346">
        <v>1</v>
      </c>
      <c r="P1346">
        <v>0</v>
      </c>
      <c r="Q1346">
        <v>0</v>
      </c>
      <c r="R1346" t="s">
        <v>112</v>
      </c>
      <c r="S1346" t="str">
        <f>"14:12:48.164"</f>
        <v>14:12:48.164</v>
      </c>
      <c r="T1346" t="str">
        <f>"14:12:47.766"</f>
        <v>14:12:47.766</v>
      </c>
      <c r="U1346" t="str">
        <f t="shared" ref="U1346:U1409" si="63">"ad5732"</f>
        <v>ad5732</v>
      </c>
      <c r="V1346">
        <v>0</v>
      </c>
      <c r="W1346">
        <v>0</v>
      </c>
      <c r="X1346">
        <v>1</v>
      </c>
      <c r="Z1346">
        <v>0</v>
      </c>
      <c r="AA1346">
        <v>9</v>
      </c>
      <c r="AB1346">
        <v>3</v>
      </c>
      <c r="AC1346">
        <v>0</v>
      </c>
      <c r="AD1346">
        <v>10</v>
      </c>
      <c r="AE1346">
        <v>0</v>
      </c>
      <c r="AF1346">
        <v>3</v>
      </c>
      <c r="AG1346">
        <v>2</v>
      </c>
      <c r="AH1346">
        <v>0</v>
      </c>
      <c r="AI1346" t="s">
        <v>2795</v>
      </c>
      <c r="AJ1346">
        <v>39.574255999999998</v>
      </c>
      <c r="AK1346" t="s">
        <v>2796</v>
      </c>
      <c r="AL1346">
        <v>-76.530289999999994</v>
      </c>
      <c r="AM1346">
        <v>100</v>
      </c>
      <c r="AN1346">
        <v>8700</v>
      </c>
      <c r="AO1346" t="s">
        <v>115</v>
      </c>
      <c r="AP1346">
        <v>166</v>
      </c>
      <c r="AQ1346">
        <v>92</v>
      </c>
      <c r="AR1346">
        <v>0</v>
      </c>
      <c r="AZ1346">
        <v>3614</v>
      </c>
      <c r="BA1346">
        <v>1</v>
      </c>
      <c r="BB1346" t="str">
        <f t="shared" si="62"/>
        <v xml:space="preserve">N959MJ  </v>
      </c>
      <c r="BC1346">
        <v>1</v>
      </c>
      <c r="BE1346">
        <v>0</v>
      </c>
      <c r="BF1346">
        <v>0</v>
      </c>
      <c r="BG1346">
        <v>0</v>
      </c>
      <c r="BH1346">
        <v>9025</v>
      </c>
      <c r="BI1346">
        <v>325</v>
      </c>
      <c r="BJ1346">
        <v>1</v>
      </c>
      <c r="BK1346">
        <v>1</v>
      </c>
      <c r="BL1346">
        <v>1</v>
      </c>
      <c r="BM1346">
        <v>0</v>
      </c>
      <c r="BP1346">
        <v>0</v>
      </c>
      <c r="BQ1346">
        <v>0</v>
      </c>
      <c r="BX1346" t="str">
        <f>"14:12:48.172"</f>
        <v>14:12:48.172</v>
      </c>
      <c r="BY1346" t="str">
        <f>"169758716"</f>
        <v>169758716</v>
      </c>
      <c r="CL1346">
        <v>0</v>
      </c>
      <c r="CM1346">
        <v>2</v>
      </c>
      <c r="CN1346">
        <v>0</v>
      </c>
      <c r="CO1346">
        <v>2</v>
      </c>
      <c r="CP1346">
        <v>0</v>
      </c>
      <c r="CQ1346">
        <v>7</v>
      </c>
      <c r="CR1346" t="s">
        <v>116</v>
      </c>
      <c r="CS1346">
        <v>396</v>
      </c>
      <c r="CT1346">
        <v>2</v>
      </c>
      <c r="CU1346" t="s">
        <v>939</v>
      </c>
      <c r="CV1346" t="s">
        <v>940</v>
      </c>
      <c r="CY1346">
        <v>5116120</v>
      </c>
      <c r="CZ1346" t="s">
        <v>119</v>
      </c>
    </row>
    <row r="1347" spans="1:104" x14ac:dyDescent="0.25">
      <c r="A1347" t="str">
        <f>"14:12:49.320"</f>
        <v>14:12:49.320</v>
      </c>
      <c r="B1347" t="s">
        <v>108</v>
      </c>
      <c r="C1347" t="str">
        <f t="shared" si="61"/>
        <v>ffdfd3c0</v>
      </c>
      <c r="D1347" t="s">
        <v>109</v>
      </c>
      <c r="E1347">
        <v>4</v>
      </c>
      <c r="F1347">
        <v>1004</v>
      </c>
      <c r="G1347" t="s">
        <v>110</v>
      </c>
      <c r="J1347" t="s">
        <v>111</v>
      </c>
      <c r="K1347">
        <v>0</v>
      </c>
      <c r="L1347">
        <v>3</v>
      </c>
      <c r="M1347">
        <v>0</v>
      </c>
      <c r="N1347">
        <v>2</v>
      </c>
      <c r="O1347">
        <v>1</v>
      </c>
      <c r="P1347">
        <v>0</v>
      </c>
      <c r="Q1347">
        <v>0</v>
      </c>
      <c r="R1347" t="s">
        <v>112</v>
      </c>
      <c r="S1347" t="str">
        <f>"14:12:49.125"</f>
        <v>14:12:49.125</v>
      </c>
      <c r="T1347" t="str">
        <f>"14:12:48.625"</f>
        <v>14:12:48.625</v>
      </c>
      <c r="U1347" t="str">
        <f t="shared" si="63"/>
        <v>ad5732</v>
      </c>
      <c r="V1347">
        <v>0</v>
      </c>
      <c r="W1347">
        <v>0</v>
      </c>
      <c r="X1347">
        <v>1</v>
      </c>
      <c r="Z1347">
        <v>0</v>
      </c>
      <c r="AA1347">
        <v>9</v>
      </c>
      <c r="AB1347">
        <v>3</v>
      </c>
      <c r="AC1347">
        <v>0</v>
      </c>
      <c r="AD1347">
        <v>10</v>
      </c>
      <c r="AE1347">
        <v>0</v>
      </c>
      <c r="AF1347">
        <v>3</v>
      </c>
      <c r="AG1347">
        <v>2</v>
      </c>
      <c r="AH1347">
        <v>0</v>
      </c>
      <c r="AI1347" t="s">
        <v>2797</v>
      </c>
      <c r="AJ1347">
        <v>39.574685000000002</v>
      </c>
      <c r="AK1347" t="s">
        <v>2798</v>
      </c>
      <c r="AL1347">
        <v>-76.529259999999994</v>
      </c>
      <c r="AM1347">
        <v>100</v>
      </c>
      <c r="AN1347">
        <v>8700</v>
      </c>
      <c r="AO1347" t="s">
        <v>115</v>
      </c>
      <c r="AP1347">
        <v>166</v>
      </c>
      <c r="AQ1347">
        <v>92</v>
      </c>
      <c r="AR1347">
        <v>0</v>
      </c>
      <c r="AZ1347">
        <v>3614</v>
      </c>
      <c r="BA1347">
        <v>1</v>
      </c>
      <c r="BB1347" t="str">
        <f t="shared" si="62"/>
        <v xml:space="preserve">N959MJ  </v>
      </c>
      <c r="BC1347">
        <v>1</v>
      </c>
      <c r="BE1347">
        <v>0</v>
      </c>
      <c r="BF1347">
        <v>0</v>
      </c>
      <c r="BG1347">
        <v>0</v>
      </c>
      <c r="BH1347">
        <v>9025</v>
      </c>
      <c r="BI1347">
        <v>325</v>
      </c>
      <c r="BJ1347">
        <v>1</v>
      </c>
      <c r="BK1347">
        <v>1</v>
      </c>
      <c r="BL1347">
        <v>1</v>
      </c>
      <c r="BM1347">
        <v>0</v>
      </c>
      <c r="BP1347">
        <v>0</v>
      </c>
      <c r="BQ1347">
        <v>0</v>
      </c>
      <c r="BX1347" t="str">
        <f>"14:12:49.133"</f>
        <v>14:12:49.133</v>
      </c>
      <c r="BY1347" t="str">
        <f>"131515487"</f>
        <v>131515487</v>
      </c>
      <c r="CL1347">
        <v>0</v>
      </c>
      <c r="CM1347">
        <v>2</v>
      </c>
      <c r="CN1347">
        <v>0</v>
      </c>
      <c r="CO1347">
        <v>2</v>
      </c>
      <c r="CP1347">
        <v>0</v>
      </c>
      <c r="CQ1347">
        <v>7</v>
      </c>
      <c r="CR1347" t="s">
        <v>116</v>
      </c>
      <c r="CS1347">
        <v>396</v>
      </c>
      <c r="CT1347">
        <v>2</v>
      </c>
      <c r="CU1347" t="s">
        <v>939</v>
      </c>
      <c r="CV1347" t="s">
        <v>940</v>
      </c>
      <c r="CY1347">
        <v>5117912</v>
      </c>
      <c r="CZ1347" t="s">
        <v>119</v>
      </c>
    </row>
    <row r="1348" spans="1:104" x14ac:dyDescent="0.25">
      <c r="A1348" t="str">
        <f>"14:12:50.383"</f>
        <v>14:12:50.383</v>
      </c>
      <c r="B1348" t="s">
        <v>108</v>
      </c>
      <c r="C1348" t="str">
        <f t="shared" si="61"/>
        <v>ffdfd3c0</v>
      </c>
      <c r="D1348" t="s">
        <v>109</v>
      </c>
      <c r="E1348">
        <v>4</v>
      </c>
      <c r="F1348">
        <v>1004</v>
      </c>
      <c r="G1348" t="s">
        <v>110</v>
      </c>
      <c r="J1348" t="s">
        <v>111</v>
      </c>
      <c r="K1348">
        <v>0</v>
      </c>
      <c r="L1348">
        <v>3</v>
      </c>
      <c r="M1348">
        <v>0</v>
      </c>
      <c r="N1348">
        <v>2</v>
      </c>
      <c r="O1348">
        <v>1</v>
      </c>
      <c r="P1348">
        <v>0</v>
      </c>
      <c r="Q1348">
        <v>0</v>
      </c>
      <c r="R1348" t="s">
        <v>112</v>
      </c>
      <c r="S1348" t="str">
        <f>"14:12:50.219"</f>
        <v>14:12:50.219</v>
      </c>
      <c r="T1348" t="str">
        <f>"14:12:49.719"</f>
        <v>14:12:49.719</v>
      </c>
      <c r="U1348" t="str">
        <f t="shared" si="63"/>
        <v>ad5732</v>
      </c>
      <c r="V1348">
        <v>0</v>
      </c>
      <c r="W1348">
        <v>0</v>
      </c>
      <c r="X1348">
        <v>1</v>
      </c>
      <c r="Z1348">
        <v>0</v>
      </c>
      <c r="AA1348">
        <v>9</v>
      </c>
      <c r="AB1348">
        <v>3</v>
      </c>
      <c r="AC1348">
        <v>0</v>
      </c>
      <c r="AD1348">
        <v>10</v>
      </c>
      <c r="AE1348">
        <v>0</v>
      </c>
      <c r="AF1348">
        <v>3</v>
      </c>
      <c r="AG1348">
        <v>2</v>
      </c>
      <c r="AH1348">
        <v>0</v>
      </c>
      <c r="AI1348" t="s">
        <v>2799</v>
      </c>
      <c r="AJ1348">
        <v>39.575136000000001</v>
      </c>
      <c r="AK1348" t="s">
        <v>2800</v>
      </c>
      <c r="AL1348">
        <v>-76.528208000000006</v>
      </c>
      <c r="AM1348">
        <v>100</v>
      </c>
      <c r="AN1348">
        <v>8700</v>
      </c>
      <c r="AO1348" t="s">
        <v>115</v>
      </c>
      <c r="AP1348">
        <v>166</v>
      </c>
      <c r="AQ1348">
        <v>92</v>
      </c>
      <c r="AR1348">
        <v>0</v>
      </c>
      <c r="AZ1348">
        <v>3614</v>
      </c>
      <c r="BA1348">
        <v>1</v>
      </c>
      <c r="BB1348" t="str">
        <f t="shared" si="62"/>
        <v xml:space="preserve">N959MJ  </v>
      </c>
      <c r="BC1348">
        <v>1</v>
      </c>
      <c r="BE1348">
        <v>0</v>
      </c>
      <c r="BF1348">
        <v>0</v>
      </c>
      <c r="BG1348">
        <v>0</v>
      </c>
      <c r="BH1348">
        <v>9025</v>
      </c>
      <c r="BI1348">
        <v>325</v>
      </c>
      <c r="BJ1348">
        <v>1</v>
      </c>
      <c r="BK1348">
        <v>1</v>
      </c>
      <c r="BL1348">
        <v>1</v>
      </c>
      <c r="BM1348">
        <v>0</v>
      </c>
      <c r="BP1348">
        <v>0</v>
      </c>
      <c r="BQ1348">
        <v>0</v>
      </c>
      <c r="BX1348" t="str">
        <f>"14:12:50.227"</f>
        <v>14:12:50.227</v>
      </c>
      <c r="BY1348" t="str">
        <f>"226076276"</f>
        <v>226076276</v>
      </c>
      <c r="CL1348">
        <v>0</v>
      </c>
      <c r="CM1348">
        <v>2</v>
      </c>
      <c r="CN1348">
        <v>0</v>
      </c>
      <c r="CO1348">
        <v>2</v>
      </c>
      <c r="CP1348">
        <v>0</v>
      </c>
      <c r="CQ1348">
        <v>6</v>
      </c>
      <c r="CR1348" t="s">
        <v>116</v>
      </c>
      <c r="CS1348">
        <v>372</v>
      </c>
      <c r="CT1348">
        <v>3</v>
      </c>
      <c r="CU1348" t="s">
        <v>877</v>
      </c>
      <c r="CV1348" t="s">
        <v>878</v>
      </c>
      <c r="CY1348">
        <v>11763206</v>
      </c>
      <c r="CZ1348" t="s">
        <v>119</v>
      </c>
    </row>
    <row r="1349" spans="1:104" x14ac:dyDescent="0.25">
      <c r="A1349" t="str">
        <f>"14:12:51.539"</f>
        <v>14:12:51.539</v>
      </c>
      <c r="B1349" t="s">
        <v>108</v>
      </c>
      <c r="C1349" t="str">
        <f t="shared" si="61"/>
        <v>ffdfd3c0</v>
      </c>
      <c r="D1349" t="s">
        <v>109</v>
      </c>
      <c r="E1349">
        <v>4</v>
      </c>
      <c r="F1349">
        <v>1004</v>
      </c>
      <c r="G1349" t="s">
        <v>110</v>
      </c>
      <c r="J1349" t="s">
        <v>111</v>
      </c>
      <c r="K1349">
        <v>0</v>
      </c>
      <c r="L1349">
        <v>3</v>
      </c>
      <c r="M1349">
        <v>0</v>
      </c>
      <c r="N1349">
        <v>2</v>
      </c>
      <c r="O1349">
        <v>1</v>
      </c>
      <c r="P1349">
        <v>0</v>
      </c>
      <c r="Q1349">
        <v>0</v>
      </c>
      <c r="R1349" t="s">
        <v>112</v>
      </c>
      <c r="S1349" t="str">
        <f>"14:12:51.336"</f>
        <v>14:12:51.336</v>
      </c>
      <c r="T1349" t="str">
        <f>"14:12:50.836"</f>
        <v>14:12:50.836</v>
      </c>
      <c r="U1349" t="str">
        <f t="shared" si="63"/>
        <v>ad5732</v>
      </c>
      <c r="V1349">
        <v>0</v>
      </c>
      <c r="W1349">
        <v>0</v>
      </c>
      <c r="X1349">
        <v>1</v>
      </c>
      <c r="Z1349">
        <v>0</v>
      </c>
      <c r="AA1349">
        <v>9</v>
      </c>
      <c r="AB1349">
        <v>3</v>
      </c>
      <c r="AC1349">
        <v>0</v>
      </c>
      <c r="AD1349">
        <v>10</v>
      </c>
      <c r="AE1349">
        <v>0</v>
      </c>
      <c r="AF1349">
        <v>3</v>
      </c>
      <c r="AG1349">
        <v>2</v>
      </c>
      <c r="AH1349">
        <v>0</v>
      </c>
      <c r="AI1349" t="s">
        <v>2801</v>
      </c>
      <c r="AJ1349">
        <v>39.575586000000001</v>
      </c>
      <c r="AK1349" t="s">
        <v>2802</v>
      </c>
      <c r="AL1349">
        <v>-76.527050000000003</v>
      </c>
      <c r="AM1349">
        <v>100</v>
      </c>
      <c r="AN1349">
        <v>8700</v>
      </c>
      <c r="AO1349" t="s">
        <v>115</v>
      </c>
      <c r="AP1349">
        <v>166</v>
      </c>
      <c r="AQ1349">
        <v>91</v>
      </c>
      <c r="AR1349">
        <v>0</v>
      </c>
      <c r="AZ1349">
        <v>3614</v>
      </c>
      <c r="BA1349">
        <v>1</v>
      </c>
      <c r="BB1349" t="str">
        <f t="shared" si="62"/>
        <v xml:space="preserve">N959MJ  </v>
      </c>
      <c r="BC1349">
        <v>1</v>
      </c>
      <c r="BE1349">
        <v>0</v>
      </c>
      <c r="BF1349">
        <v>0</v>
      </c>
      <c r="BG1349">
        <v>0</v>
      </c>
      <c r="BH1349">
        <v>9025</v>
      </c>
      <c r="BI1349">
        <v>325</v>
      </c>
      <c r="BJ1349">
        <v>1</v>
      </c>
      <c r="BK1349">
        <v>1</v>
      </c>
      <c r="BL1349">
        <v>1</v>
      </c>
      <c r="BM1349">
        <v>0</v>
      </c>
      <c r="BP1349">
        <v>0</v>
      </c>
      <c r="BQ1349">
        <v>0</v>
      </c>
      <c r="BX1349" t="str">
        <f>"14:12:51.336"</f>
        <v>14:12:51.336</v>
      </c>
      <c r="BY1349" t="str">
        <f>"336838403"</f>
        <v>336838403</v>
      </c>
      <c r="CL1349">
        <v>0</v>
      </c>
      <c r="CM1349">
        <v>2</v>
      </c>
      <c r="CN1349">
        <v>0</v>
      </c>
      <c r="CO1349">
        <v>2</v>
      </c>
      <c r="CP1349">
        <v>0</v>
      </c>
      <c r="CQ1349">
        <v>7</v>
      </c>
      <c r="CR1349" t="s">
        <v>116</v>
      </c>
      <c r="CS1349">
        <v>396</v>
      </c>
      <c r="CT1349">
        <v>2</v>
      </c>
      <c r="CU1349" t="s">
        <v>939</v>
      </c>
      <c r="CV1349" t="s">
        <v>940</v>
      </c>
      <c r="CY1349">
        <v>5121697</v>
      </c>
      <c r="CZ1349" t="s">
        <v>119</v>
      </c>
    </row>
    <row r="1350" spans="1:104" x14ac:dyDescent="0.25">
      <c r="A1350" t="str">
        <f>"14:12:52.352"</f>
        <v>14:12:52.352</v>
      </c>
      <c r="B1350" t="s">
        <v>108</v>
      </c>
      <c r="C1350" t="str">
        <f t="shared" si="61"/>
        <v>ffdfd3c0</v>
      </c>
      <c r="D1350" t="s">
        <v>109</v>
      </c>
      <c r="E1350">
        <v>4</v>
      </c>
      <c r="F1350">
        <v>1004</v>
      </c>
      <c r="G1350" t="s">
        <v>110</v>
      </c>
      <c r="J1350" t="s">
        <v>111</v>
      </c>
      <c r="K1350">
        <v>0</v>
      </c>
      <c r="L1350">
        <v>3</v>
      </c>
      <c r="M1350">
        <v>0</v>
      </c>
      <c r="N1350">
        <v>2</v>
      </c>
      <c r="O1350">
        <v>1</v>
      </c>
      <c r="P1350">
        <v>0</v>
      </c>
      <c r="Q1350">
        <v>0</v>
      </c>
      <c r="R1350" t="s">
        <v>112</v>
      </c>
      <c r="S1350" t="str">
        <f>"14:12:52.172"</f>
        <v>14:12:52.172</v>
      </c>
      <c r="T1350" t="str">
        <f>"14:12:51.773"</f>
        <v>14:12:51.773</v>
      </c>
      <c r="U1350" t="str">
        <f t="shared" si="63"/>
        <v>ad5732</v>
      </c>
      <c r="V1350">
        <v>0</v>
      </c>
      <c r="W1350">
        <v>0</v>
      </c>
      <c r="X1350">
        <v>1</v>
      </c>
      <c r="Z1350">
        <v>0</v>
      </c>
      <c r="AA1350">
        <v>9</v>
      </c>
      <c r="AB1350">
        <v>3</v>
      </c>
      <c r="AC1350">
        <v>0</v>
      </c>
      <c r="AD1350">
        <v>10</v>
      </c>
      <c r="AE1350">
        <v>0</v>
      </c>
      <c r="AF1350">
        <v>3</v>
      </c>
      <c r="AG1350">
        <v>2</v>
      </c>
      <c r="AH1350">
        <v>0</v>
      </c>
      <c r="AI1350" t="s">
        <v>2803</v>
      </c>
      <c r="AJ1350">
        <v>39.575951000000003</v>
      </c>
      <c r="AK1350" t="s">
        <v>2804</v>
      </c>
      <c r="AL1350">
        <v>-76.526276999999993</v>
      </c>
      <c r="AM1350">
        <v>100</v>
      </c>
      <c r="AN1350">
        <v>8700</v>
      </c>
      <c r="AO1350" t="s">
        <v>115</v>
      </c>
      <c r="AP1350">
        <v>166</v>
      </c>
      <c r="AQ1350">
        <v>91</v>
      </c>
      <c r="AR1350">
        <v>0</v>
      </c>
      <c r="AZ1350">
        <v>3614</v>
      </c>
      <c r="BA1350">
        <v>1</v>
      </c>
      <c r="BB1350" t="str">
        <f t="shared" si="62"/>
        <v xml:space="preserve">N959MJ  </v>
      </c>
      <c r="BC1350">
        <v>1</v>
      </c>
      <c r="BE1350">
        <v>0</v>
      </c>
      <c r="BF1350">
        <v>0</v>
      </c>
      <c r="BG1350">
        <v>0</v>
      </c>
      <c r="BH1350">
        <v>9025</v>
      </c>
      <c r="BI1350">
        <v>325</v>
      </c>
      <c r="BJ1350">
        <v>1</v>
      </c>
      <c r="BK1350">
        <v>1</v>
      </c>
      <c r="BL1350">
        <v>1</v>
      </c>
      <c r="BM1350">
        <v>0</v>
      </c>
      <c r="BP1350">
        <v>0</v>
      </c>
      <c r="BQ1350">
        <v>0</v>
      </c>
      <c r="BX1350" t="str">
        <f>"14:12:52.172"</f>
        <v>14:12:52.172</v>
      </c>
      <c r="BY1350" t="str">
        <f>"172436190"</f>
        <v>172436190</v>
      </c>
      <c r="CL1350">
        <v>0</v>
      </c>
      <c r="CM1350">
        <v>2</v>
      </c>
      <c r="CN1350">
        <v>0</v>
      </c>
      <c r="CO1350">
        <v>2</v>
      </c>
      <c r="CP1350">
        <v>0</v>
      </c>
      <c r="CQ1350">
        <v>7</v>
      </c>
      <c r="CR1350" t="s">
        <v>116</v>
      </c>
      <c r="CS1350">
        <v>396</v>
      </c>
      <c r="CT1350">
        <v>2</v>
      </c>
      <c r="CU1350" t="s">
        <v>939</v>
      </c>
      <c r="CV1350" t="s">
        <v>940</v>
      </c>
      <c r="CY1350">
        <v>5123326</v>
      </c>
      <c r="CZ1350" t="s">
        <v>119</v>
      </c>
    </row>
    <row r="1351" spans="1:104" x14ac:dyDescent="0.25">
      <c r="A1351" t="str">
        <f>"14:12:53.359"</f>
        <v>14:12:53.359</v>
      </c>
      <c r="B1351" t="s">
        <v>108</v>
      </c>
      <c r="C1351" t="str">
        <f t="shared" si="61"/>
        <v>ffdfd3c0</v>
      </c>
      <c r="D1351" t="s">
        <v>109</v>
      </c>
      <c r="E1351">
        <v>4</v>
      </c>
      <c r="F1351">
        <v>1004</v>
      </c>
      <c r="G1351" t="s">
        <v>110</v>
      </c>
      <c r="J1351" t="s">
        <v>111</v>
      </c>
      <c r="K1351">
        <v>0</v>
      </c>
      <c r="L1351">
        <v>3</v>
      </c>
      <c r="M1351">
        <v>0</v>
      </c>
      <c r="N1351">
        <v>2</v>
      </c>
      <c r="O1351">
        <v>1</v>
      </c>
      <c r="P1351">
        <v>0</v>
      </c>
      <c r="Q1351">
        <v>0</v>
      </c>
      <c r="R1351" t="s">
        <v>112</v>
      </c>
      <c r="S1351" t="str">
        <f>"14:12:53.141"</f>
        <v>14:12:53.141</v>
      </c>
      <c r="T1351" t="str">
        <f>"14:12:52.742"</f>
        <v>14:12:52.742</v>
      </c>
      <c r="U1351" t="str">
        <f t="shared" si="63"/>
        <v>ad5732</v>
      </c>
      <c r="V1351">
        <v>0</v>
      </c>
      <c r="W1351">
        <v>0</v>
      </c>
      <c r="X1351">
        <v>1</v>
      </c>
      <c r="Z1351">
        <v>0</v>
      </c>
      <c r="AA1351">
        <v>9</v>
      </c>
      <c r="AB1351">
        <v>3</v>
      </c>
      <c r="AC1351">
        <v>0</v>
      </c>
      <c r="AD1351">
        <v>10</v>
      </c>
      <c r="AE1351">
        <v>0</v>
      </c>
      <c r="AF1351">
        <v>3</v>
      </c>
      <c r="AG1351">
        <v>2</v>
      </c>
      <c r="AH1351">
        <v>0</v>
      </c>
      <c r="AI1351" t="s">
        <v>2805</v>
      </c>
      <c r="AJ1351">
        <v>39.57638</v>
      </c>
      <c r="AK1351" t="s">
        <v>2806</v>
      </c>
      <c r="AL1351">
        <v>-76.525268999999994</v>
      </c>
      <c r="AM1351">
        <v>100</v>
      </c>
      <c r="AN1351">
        <v>8700</v>
      </c>
      <c r="AO1351" t="s">
        <v>115</v>
      </c>
      <c r="AP1351">
        <v>166</v>
      </c>
      <c r="AQ1351">
        <v>91</v>
      </c>
      <c r="AR1351">
        <v>0</v>
      </c>
      <c r="AZ1351">
        <v>3614</v>
      </c>
      <c r="BA1351">
        <v>1</v>
      </c>
      <c r="BB1351" t="str">
        <f t="shared" si="62"/>
        <v xml:space="preserve">N959MJ  </v>
      </c>
      <c r="BC1351">
        <v>1</v>
      </c>
      <c r="BE1351">
        <v>0</v>
      </c>
      <c r="BF1351">
        <v>0</v>
      </c>
      <c r="BG1351">
        <v>0</v>
      </c>
      <c r="BH1351">
        <v>9025</v>
      </c>
      <c r="BI1351">
        <v>325</v>
      </c>
      <c r="BJ1351">
        <v>1</v>
      </c>
      <c r="BK1351">
        <v>1</v>
      </c>
      <c r="BL1351">
        <v>1</v>
      </c>
      <c r="BM1351">
        <v>0</v>
      </c>
      <c r="BP1351">
        <v>0</v>
      </c>
      <c r="BQ1351">
        <v>0</v>
      </c>
      <c r="BX1351" t="str">
        <f>"14:12:53.148"</f>
        <v>14:12:53.148</v>
      </c>
      <c r="BY1351" t="str">
        <f>"147300339"</f>
        <v>147300339</v>
      </c>
      <c r="CL1351">
        <v>0</v>
      </c>
      <c r="CM1351">
        <v>2</v>
      </c>
      <c r="CN1351">
        <v>0</v>
      </c>
      <c r="CO1351">
        <v>2</v>
      </c>
      <c r="CP1351">
        <v>0</v>
      </c>
      <c r="CQ1351">
        <v>7</v>
      </c>
      <c r="CR1351" t="s">
        <v>116</v>
      </c>
      <c r="CS1351">
        <v>396</v>
      </c>
      <c r="CT1351">
        <v>2</v>
      </c>
      <c r="CU1351" t="s">
        <v>939</v>
      </c>
      <c r="CV1351" t="s">
        <v>940</v>
      </c>
      <c r="CY1351">
        <v>5125051</v>
      </c>
      <c r="CZ1351" t="s">
        <v>119</v>
      </c>
    </row>
    <row r="1352" spans="1:104" x14ac:dyDescent="0.25">
      <c r="A1352" t="str">
        <f>"14:12:54.469"</f>
        <v>14:12:54.469</v>
      </c>
      <c r="B1352" t="s">
        <v>108</v>
      </c>
      <c r="C1352" t="str">
        <f t="shared" si="61"/>
        <v>ffdfd3c0</v>
      </c>
      <c r="D1352" t="s">
        <v>109</v>
      </c>
      <c r="E1352">
        <v>4</v>
      </c>
      <c r="F1352">
        <v>1004</v>
      </c>
      <c r="G1352" t="s">
        <v>110</v>
      </c>
      <c r="J1352" t="s">
        <v>111</v>
      </c>
      <c r="K1352">
        <v>0</v>
      </c>
      <c r="L1352">
        <v>3</v>
      </c>
      <c r="M1352">
        <v>0</v>
      </c>
      <c r="N1352">
        <v>2</v>
      </c>
      <c r="O1352">
        <v>1</v>
      </c>
      <c r="P1352">
        <v>0</v>
      </c>
      <c r="Q1352">
        <v>0</v>
      </c>
      <c r="R1352" t="s">
        <v>112</v>
      </c>
      <c r="S1352" t="str">
        <f>"14:12:54.305"</f>
        <v>14:12:54.305</v>
      </c>
      <c r="T1352" t="str">
        <f>"14:12:53.805"</f>
        <v>14:12:53.805</v>
      </c>
      <c r="U1352" t="str">
        <f t="shared" si="63"/>
        <v>ad5732</v>
      </c>
      <c r="V1352">
        <v>0</v>
      </c>
      <c r="W1352">
        <v>0</v>
      </c>
      <c r="X1352">
        <v>1</v>
      </c>
      <c r="Z1352">
        <v>0</v>
      </c>
      <c r="AA1352">
        <v>9</v>
      </c>
      <c r="AB1352">
        <v>3</v>
      </c>
      <c r="AC1352">
        <v>0</v>
      </c>
      <c r="AD1352">
        <v>10</v>
      </c>
      <c r="AE1352">
        <v>0</v>
      </c>
      <c r="AF1352">
        <v>3</v>
      </c>
      <c r="AG1352">
        <v>2</v>
      </c>
      <c r="AH1352">
        <v>0</v>
      </c>
      <c r="AI1352" t="s">
        <v>2807</v>
      </c>
      <c r="AJ1352">
        <v>39.576873999999997</v>
      </c>
      <c r="AK1352" t="s">
        <v>2808</v>
      </c>
      <c r="AL1352">
        <v>-76.524067000000002</v>
      </c>
      <c r="AM1352">
        <v>100</v>
      </c>
      <c r="AN1352">
        <v>8700</v>
      </c>
      <c r="AO1352" t="s">
        <v>115</v>
      </c>
      <c r="AP1352">
        <v>167</v>
      </c>
      <c r="AQ1352">
        <v>90</v>
      </c>
      <c r="AR1352">
        <v>0</v>
      </c>
      <c r="AZ1352">
        <v>3614</v>
      </c>
      <c r="BA1352">
        <v>1</v>
      </c>
      <c r="BB1352" t="str">
        <f t="shared" si="62"/>
        <v xml:space="preserve">N959MJ  </v>
      </c>
      <c r="BC1352">
        <v>1</v>
      </c>
      <c r="BE1352">
        <v>0</v>
      </c>
      <c r="BF1352">
        <v>0</v>
      </c>
      <c r="BG1352">
        <v>0</v>
      </c>
      <c r="BH1352">
        <v>9025</v>
      </c>
      <c r="BI1352">
        <v>325</v>
      </c>
      <c r="BJ1352">
        <v>1</v>
      </c>
      <c r="BK1352">
        <v>1</v>
      </c>
      <c r="BL1352">
        <v>1</v>
      </c>
      <c r="BM1352">
        <v>0</v>
      </c>
      <c r="BP1352">
        <v>0</v>
      </c>
      <c r="BQ1352">
        <v>0</v>
      </c>
      <c r="BX1352" t="str">
        <f>"14:12:54.313"</f>
        <v>14:12:54.313</v>
      </c>
      <c r="BY1352" t="str">
        <f>"309108236"</f>
        <v>309108236</v>
      </c>
      <c r="CL1352">
        <v>0</v>
      </c>
      <c r="CM1352">
        <v>2</v>
      </c>
      <c r="CN1352">
        <v>0</v>
      </c>
      <c r="CO1352">
        <v>2</v>
      </c>
      <c r="CP1352">
        <v>0</v>
      </c>
      <c r="CQ1352">
        <v>4</v>
      </c>
      <c r="CR1352" t="s">
        <v>116</v>
      </c>
      <c r="CS1352">
        <v>148</v>
      </c>
      <c r="CT1352">
        <v>1</v>
      </c>
      <c r="CU1352" t="s">
        <v>470</v>
      </c>
      <c r="CV1352" t="s">
        <v>471</v>
      </c>
      <c r="CY1352">
        <v>7127012</v>
      </c>
      <c r="CZ1352" t="s">
        <v>119</v>
      </c>
    </row>
    <row r="1353" spans="1:104" x14ac:dyDescent="0.25">
      <c r="A1353" t="str">
        <f>"14:12:55.477"</f>
        <v>14:12:55.477</v>
      </c>
      <c r="B1353" t="s">
        <v>108</v>
      </c>
      <c r="C1353" t="str">
        <f t="shared" si="61"/>
        <v>ffdfd3c0</v>
      </c>
      <c r="D1353" t="s">
        <v>109</v>
      </c>
      <c r="E1353">
        <v>4</v>
      </c>
      <c r="F1353">
        <v>1004</v>
      </c>
      <c r="G1353" t="s">
        <v>110</v>
      </c>
      <c r="J1353" t="s">
        <v>111</v>
      </c>
      <c r="K1353">
        <v>0</v>
      </c>
      <c r="L1353">
        <v>3</v>
      </c>
      <c r="M1353">
        <v>0</v>
      </c>
      <c r="N1353">
        <v>2</v>
      </c>
      <c r="O1353">
        <v>1</v>
      </c>
      <c r="P1353">
        <v>0</v>
      </c>
      <c r="Q1353">
        <v>0</v>
      </c>
      <c r="R1353" t="s">
        <v>112</v>
      </c>
      <c r="S1353" t="str">
        <f>"14:12:55.273"</f>
        <v>14:12:55.273</v>
      </c>
      <c r="T1353" t="str">
        <f>"14:12:54.773"</f>
        <v>14:12:54.773</v>
      </c>
      <c r="U1353" t="str">
        <f t="shared" si="63"/>
        <v>ad5732</v>
      </c>
      <c r="V1353">
        <v>0</v>
      </c>
      <c r="W1353">
        <v>0</v>
      </c>
      <c r="X1353">
        <v>1</v>
      </c>
      <c r="Z1353">
        <v>0</v>
      </c>
      <c r="AA1353">
        <v>9</v>
      </c>
      <c r="AB1353">
        <v>3</v>
      </c>
      <c r="AC1353">
        <v>0</v>
      </c>
      <c r="AD1353">
        <v>10</v>
      </c>
      <c r="AE1353">
        <v>0</v>
      </c>
      <c r="AF1353">
        <v>3</v>
      </c>
      <c r="AG1353">
        <v>2</v>
      </c>
      <c r="AH1353">
        <v>0</v>
      </c>
      <c r="AI1353" t="s">
        <v>2809</v>
      </c>
      <c r="AJ1353">
        <v>39.577260000000003</v>
      </c>
      <c r="AK1353" t="s">
        <v>2810</v>
      </c>
      <c r="AL1353">
        <v>-76.523186999999993</v>
      </c>
      <c r="AM1353">
        <v>100</v>
      </c>
      <c r="AN1353">
        <v>8700</v>
      </c>
      <c r="AO1353" t="s">
        <v>115</v>
      </c>
      <c r="AP1353">
        <v>167</v>
      </c>
      <c r="AQ1353">
        <v>90</v>
      </c>
      <c r="AR1353">
        <v>0</v>
      </c>
      <c r="AZ1353">
        <v>3614</v>
      </c>
      <c r="BA1353">
        <v>1</v>
      </c>
      <c r="BB1353" t="str">
        <f t="shared" si="62"/>
        <v xml:space="preserve">N959MJ  </v>
      </c>
      <c r="BC1353">
        <v>1</v>
      </c>
      <c r="BE1353">
        <v>0</v>
      </c>
      <c r="BF1353">
        <v>0</v>
      </c>
      <c r="BG1353">
        <v>0</v>
      </c>
      <c r="BH1353">
        <v>9025</v>
      </c>
      <c r="BI1353">
        <v>325</v>
      </c>
      <c r="BJ1353">
        <v>1</v>
      </c>
      <c r="BK1353">
        <v>1</v>
      </c>
      <c r="BL1353">
        <v>1</v>
      </c>
      <c r="BM1353">
        <v>0</v>
      </c>
      <c r="BP1353">
        <v>0</v>
      </c>
      <c r="BQ1353">
        <v>0</v>
      </c>
      <c r="BX1353" t="str">
        <f>"14:12:55.273"</f>
        <v>14:12:55.273</v>
      </c>
      <c r="BY1353" t="str">
        <f>"273978752"</f>
        <v>273978752</v>
      </c>
      <c r="CL1353">
        <v>0</v>
      </c>
      <c r="CM1353">
        <v>2</v>
      </c>
      <c r="CN1353">
        <v>0</v>
      </c>
      <c r="CO1353">
        <v>2</v>
      </c>
      <c r="CP1353">
        <v>0</v>
      </c>
      <c r="CQ1353">
        <v>7</v>
      </c>
      <c r="CR1353" t="s">
        <v>116</v>
      </c>
      <c r="CS1353">
        <v>396</v>
      </c>
      <c r="CT1353">
        <v>2</v>
      </c>
      <c r="CU1353" t="s">
        <v>939</v>
      </c>
      <c r="CV1353" t="s">
        <v>940</v>
      </c>
      <c r="CY1353">
        <v>5129028</v>
      </c>
      <c r="CZ1353" t="s">
        <v>119</v>
      </c>
    </row>
    <row r="1354" spans="1:104" x14ac:dyDescent="0.25">
      <c r="A1354" t="str">
        <f>"14:12:56.438"</f>
        <v>14:12:56.438</v>
      </c>
      <c r="B1354" t="s">
        <v>108</v>
      </c>
      <c r="C1354" t="str">
        <f t="shared" ref="C1354:C1417" si="64">"ffdfd3c0"</f>
        <v>ffdfd3c0</v>
      </c>
      <c r="D1354" t="s">
        <v>109</v>
      </c>
      <c r="E1354">
        <v>4</v>
      </c>
      <c r="F1354">
        <v>1004</v>
      </c>
      <c r="G1354" t="s">
        <v>110</v>
      </c>
      <c r="J1354" t="s">
        <v>111</v>
      </c>
      <c r="K1354">
        <v>0</v>
      </c>
      <c r="L1354">
        <v>3</v>
      </c>
      <c r="M1354">
        <v>0</v>
      </c>
      <c r="N1354">
        <v>2</v>
      </c>
      <c r="O1354">
        <v>1</v>
      </c>
      <c r="P1354">
        <v>0</v>
      </c>
      <c r="Q1354">
        <v>0</v>
      </c>
      <c r="R1354" t="s">
        <v>112</v>
      </c>
      <c r="S1354" t="str">
        <f>"14:12:56.234"</f>
        <v>14:12:56.234</v>
      </c>
      <c r="T1354" t="str">
        <f>"14:12:55.836"</f>
        <v>14:12:55.836</v>
      </c>
      <c r="U1354" t="str">
        <f t="shared" si="63"/>
        <v>ad5732</v>
      </c>
      <c r="V1354">
        <v>0</v>
      </c>
      <c r="W1354">
        <v>0</v>
      </c>
      <c r="X1354">
        <v>1</v>
      </c>
      <c r="Z1354">
        <v>0</v>
      </c>
      <c r="AA1354">
        <v>9</v>
      </c>
      <c r="AB1354">
        <v>3</v>
      </c>
      <c r="AC1354">
        <v>0</v>
      </c>
      <c r="AD1354">
        <v>10</v>
      </c>
      <c r="AE1354">
        <v>0</v>
      </c>
      <c r="AF1354">
        <v>3</v>
      </c>
      <c r="AG1354">
        <v>2</v>
      </c>
      <c r="AH1354">
        <v>0</v>
      </c>
      <c r="AI1354" t="s">
        <v>2811</v>
      </c>
      <c r="AJ1354">
        <v>39.577646000000001</v>
      </c>
      <c r="AK1354" t="s">
        <v>2812</v>
      </c>
      <c r="AL1354">
        <v>-76.522221999999999</v>
      </c>
      <c r="AM1354">
        <v>100</v>
      </c>
      <c r="AN1354">
        <v>8700</v>
      </c>
      <c r="AO1354" t="s">
        <v>115</v>
      </c>
      <c r="AP1354">
        <v>167</v>
      </c>
      <c r="AQ1354">
        <v>89</v>
      </c>
      <c r="AR1354">
        <v>0</v>
      </c>
      <c r="AZ1354">
        <v>3614</v>
      </c>
      <c r="BA1354">
        <v>1</v>
      </c>
      <c r="BB1354" t="str">
        <f t="shared" ref="BB1354:BB1417" si="65">"N959MJ  "</f>
        <v xml:space="preserve">N959MJ  </v>
      </c>
      <c r="BC1354">
        <v>1</v>
      </c>
      <c r="BE1354">
        <v>0</v>
      </c>
      <c r="BF1354">
        <v>0</v>
      </c>
      <c r="BG1354">
        <v>0</v>
      </c>
      <c r="BH1354">
        <v>9025</v>
      </c>
      <c r="BI1354">
        <v>325</v>
      </c>
      <c r="BJ1354">
        <v>1</v>
      </c>
      <c r="BK1354">
        <v>1</v>
      </c>
      <c r="BL1354">
        <v>1</v>
      </c>
      <c r="BM1354">
        <v>0</v>
      </c>
      <c r="BP1354">
        <v>0</v>
      </c>
      <c r="BQ1354">
        <v>0</v>
      </c>
      <c r="BX1354" t="str">
        <f>"14:12:56.242"</f>
        <v>14:12:56.242</v>
      </c>
      <c r="BY1354" t="str">
        <f>"239012433"</f>
        <v>239012433</v>
      </c>
      <c r="CL1354">
        <v>0</v>
      </c>
      <c r="CM1354">
        <v>2</v>
      </c>
      <c r="CN1354">
        <v>0</v>
      </c>
      <c r="CO1354">
        <v>2</v>
      </c>
      <c r="CP1354">
        <v>0</v>
      </c>
      <c r="CQ1354">
        <v>7</v>
      </c>
      <c r="CR1354" t="s">
        <v>116</v>
      </c>
      <c r="CS1354">
        <v>396</v>
      </c>
      <c r="CT1354">
        <v>2</v>
      </c>
      <c r="CU1354" t="s">
        <v>939</v>
      </c>
      <c r="CV1354" t="s">
        <v>940</v>
      </c>
      <c r="CY1354">
        <v>5130721</v>
      </c>
      <c r="CZ1354" t="s">
        <v>119</v>
      </c>
    </row>
    <row r="1355" spans="1:104" x14ac:dyDescent="0.25">
      <c r="A1355" t="str">
        <f>"14:12:57.344"</f>
        <v>14:12:57.344</v>
      </c>
      <c r="B1355" t="s">
        <v>108</v>
      </c>
      <c r="C1355" t="str">
        <f t="shared" si="64"/>
        <v>ffdfd3c0</v>
      </c>
      <c r="D1355" t="s">
        <v>109</v>
      </c>
      <c r="E1355">
        <v>4</v>
      </c>
      <c r="F1355">
        <v>1004</v>
      </c>
      <c r="G1355" t="s">
        <v>110</v>
      </c>
      <c r="J1355" t="s">
        <v>111</v>
      </c>
      <c r="K1355">
        <v>0</v>
      </c>
      <c r="L1355">
        <v>3</v>
      </c>
      <c r="M1355">
        <v>0</v>
      </c>
      <c r="N1355">
        <v>2</v>
      </c>
      <c r="O1355">
        <v>1</v>
      </c>
      <c r="P1355">
        <v>0</v>
      </c>
      <c r="Q1355">
        <v>0</v>
      </c>
      <c r="R1355" t="s">
        <v>112</v>
      </c>
      <c r="S1355" t="str">
        <f>"14:12:57.188"</f>
        <v>14:12:57.188</v>
      </c>
      <c r="T1355" t="str">
        <f>"14:12:56.688"</f>
        <v>14:12:56.688</v>
      </c>
      <c r="U1355" t="str">
        <f t="shared" si="63"/>
        <v>ad5732</v>
      </c>
      <c r="V1355">
        <v>0</v>
      </c>
      <c r="W1355">
        <v>0</v>
      </c>
      <c r="X1355">
        <v>1</v>
      </c>
      <c r="Z1355">
        <v>0</v>
      </c>
      <c r="AA1355">
        <v>9</v>
      </c>
      <c r="AB1355">
        <v>3</v>
      </c>
      <c r="AC1355">
        <v>0</v>
      </c>
      <c r="AD1355">
        <v>10</v>
      </c>
      <c r="AE1355">
        <v>0</v>
      </c>
      <c r="AF1355">
        <v>3</v>
      </c>
      <c r="AG1355">
        <v>2</v>
      </c>
      <c r="AH1355">
        <v>0</v>
      </c>
      <c r="AI1355" t="s">
        <v>2813</v>
      </c>
      <c r="AJ1355">
        <v>39.578054000000002</v>
      </c>
      <c r="AK1355" t="s">
        <v>2814</v>
      </c>
      <c r="AL1355">
        <v>-76.521169999999998</v>
      </c>
      <c r="AM1355">
        <v>100</v>
      </c>
      <c r="AN1355">
        <v>8700</v>
      </c>
      <c r="AO1355" t="s">
        <v>115</v>
      </c>
      <c r="AP1355">
        <v>167</v>
      </c>
      <c r="AQ1355">
        <v>89</v>
      </c>
      <c r="AR1355">
        <v>0</v>
      </c>
      <c r="AZ1355">
        <v>3614</v>
      </c>
      <c r="BA1355">
        <v>1</v>
      </c>
      <c r="BB1355" t="str">
        <f t="shared" si="65"/>
        <v xml:space="preserve">N959MJ  </v>
      </c>
      <c r="BC1355">
        <v>1</v>
      </c>
      <c r="BE1355">
        <v>0</v>
      </c>
      <c r="BF1355">
        <v>0</v>
      </c>
      <c r="BG1355">
        <v>0</v>
      </c>
      <c r="BH1355">
        <v>9025</v>
      </c>
      <c r="BI1355">
        <v>325</v>
      </c>
      <c r="BJ1355">
        <v>1</v>
      </c>
      <c r="BK1355">
        <v>1</v>
      </c>
      <c r="BL1355">
        <v>1</v>
      </c>
      <c r="BM1355">
        <v>0</v>
      </c>
      <c r="BP1355">
        <v>0</v>
      </c>
      <c r="BQ1355">
        <v>0</v>
      </c>
      <c r="BX1355" t="str">
        <f>"14:12:57.195"</f>
        <v>14:12:57.195</v>
      </c>
      <c r="BY1355" t="str">
        <f>"192669609"</f>
        <v>192669609</v>
      </c>
      <c r="CL1355">
        <v>0</v>
      </c>
      <c r="CM1355">
        <v>2</v>
      </c>
      <c r="CN1355">
        <v>0</v>
      </c>
      <c r="CO1355">
        <v>2</v>
      </c>
      <c r="CP1355">
        <v>0</v>
      </c>
      <c r="CQ1355">
        <v>6</v>
      </c>
      <c r="CR1355" t="s">
        <v>116</v>
      </c>
      <c r="CS1355">
        <v>372</v>
      </c>
      <c r="CT1355">
        <v>3</v>
      </c>
      <c r="CU1355" t="s">
        <v>877</v>
      </c>
      <c r="CV1355" t="s">
        <v>878</v>
      </c>
      <c r="CY1355">
        <v>11775887</v>
      </c>
      <c r="CZ1355" t="s">
        <v>119</v>
      </c>
    </row>
    <row r="1356" spans="1:104" x14ac:dyDescent="0.25">
      <c r="A1356" t="str">
        <f>"14:12:58.352"</f>
        <v>14:12:58.352</v>
      </c>
      <c r="B1356" t="s">
        <v>108</v>
      </c>
      <c r="C1356" t="str">
        <f t="shared" si="64"/>
        <v>ffdfd3c0</v>
      </c>
      <c r="D1356" t="s">
        <v>109</v>
      </c>
      <c r="E1356">
        <v>4</v>
      </c>
      <c r="F1356">
        <v>1004</v>
      </c>
      <c r="G1356" t="s">
        <v>110</v>
      </c>
      <c r="J1356" t="s">
        <v>111</v>
      </c>
      <c r="K1356">
        <v>0</v>
      </c>
      <c r="L1356">
        <v>3</v>
      </c>
      <c r="M1356">
        <v>0</v>
      </c>
      <c r="N1356">
        <v>2</v>
      </c>
      <c r="O1356">
        <v>1</v>
      </c>
      <c r="P1356">
        <v>0</v>
      </c>
      <c r="Q1356">
        <v>0</v>
      </c>
      <c r="R1356" t="s">
        <v>112</v>
      </c>
      <c r="S1356" t="str">
        <f>"14:12:58.172"</f>
        <v>14:12:58.172</v>
      </c>
      <c r="T1356" t="str">
        <f>"14:12:57.773"</f>
        <v>14:12:57.773</v>
      </c>
      <c r="U1356" t="str">
        <f t="shared" si="63"/>
        <v>ad5732</v>
      </c>
      <c r="V1356">
        <v>0</v>
      </c>
      <c r="W1356">
        <v>0</v>
      </c>
      <c r="X1356">
        <v>1</v>
      </c>
      <c r="Z1356">
        <v>0</v>
      </c>
      <c r="AA1356">
        <v>9</v>
      </c>
      <c r="AB1356">
        <v>3</v>
      </c>
      <c r="AC1356">
        <v>0</v>
      </c>
      <c r="AD1356">
        <v>10</v>
      </c>
      <c r="AE1356">
        <v>0</v>
      </c>
      <c r="AF1356">
        <v>3</v>
      </c>
      <c r="AG1356">
        <v>2</v>
      </c>
      <c r="AH1356">
        <v>0</v>
      </c>
      <c r="AI1356" t="s">
        <v>2815</v>
      </c>
      <c r="AJ1356">
        <v>39.578440000000001</v>
      </c>
      <c r="AK1356" t="s">
        <v>2816</v>
      </c>
      <c r="AL1356">
        <v>-76.520312000000004</v>
      </c>
      <c r="AM1356">
        <v>100</v>
      </c>
      <c r="AN1356">
        <v>8700</v>
      </c>
      <c r="AO1356" t="s">
        <v>115</v>
      </c>
      <c r="AP1356">
        <v>167</v>
      </c>
      <c r="AQ1356">
        <v>88</v>
      </c>
      <c r="AR1356">
        <v>0</v>
      </c>
      <c r="AZ1356">
        <v>3614</v>
      </c>
      <c r="BA1356">
        <v>1</v>
      </c>
      <c r="BB1356" t="str">
        <f t="shared" si="65"/>
        <v xml:space="preserve">N959MJ  </v>
      </c>
      <c r="BC1356">
        <v>1</v>
      </c>
      <c r="BE1356">
        <v>0</v>
      </c>
      <c r="BF1356">
        <v>0</v>
      </c>
      <c r="BG1356">
        <v>0</v>
      </c>
      <c r="BH1356">
        <v>9025</v>
      </c>
      <c r="BI1356">
        <v>325</v>
      </c>
      <c r="BJ1356">
        <v>1</v>
      </c>
      <c r="BK1356">
        <v>1</v>
      </c>
      <c r="BL1356">
        <v>1</v>
      </c>
      <c r="BM1356">
        <v>0</v>
      </c>
      <c r="BP1356">
        <v>0</v>
      </c>
      <c r="BQ1356">
        <v>0</v>
      </c>
      <c r="BX1356" t="str">
        <f>"14:12:58.172"</f>
        <v>14:12:58.172</v>
      </c>
      <c r="BY1356" t="str">
        <f>"173994817"</f>
        <v>173994817</v>
      </c>
      <c r="CL1356">
        <v>0</v>
      </c>
      <c r="CM1356">
        <v>2</v>
      </c>
      <c r="CN1356">
        <v>0</v>
      </c>
      <c r="CO1356">
        <v>2</v>
      </c>
      <c r="CP1356">
        <v>0</v>
      </c>
      <c r="CQ1356">
        <v>7</v>
      </c>
      <c r="CR1356" t="s">
        <v>116</v>
      </c>
      <c r="CS1356">
        <v>396</v>
      </c>
      <c r="CT1356">
        <v>2</v>
      </c>
      <c r="CU1356" t="s">
        <v>939</v>
      </c>
      <c r="CV1356" t="s">
        <v>940</v>
      </c>
      <c r="CY1356">
        <v>5134375</v>
      </c>
      <c r="CZ1356" t="s">
        <v>119</v>
      </c>
    </row>
    <row r="1357" spans="1:104" x14ac:dyDescent="0.25">
      <c r="A1357" t="str">
        <f>"14:12:59.367"</f>
        <v>14:12:59.367</v>
      </c>
      <c r="B1357" t="s">
        <v>108</v>
      </c>
      <c r="C1357" t="str">
        <f t="shared" si="64"/>
        <v>ffdfd3c0</v>
      </c>
      <c r="D1357" t="s">
        <v>109</v>
      </c>
      <c r="E1357">
        <v>4</v>
      </c>
      <c r="F1357">
        <v>1004</v>
      </c>
      <c r="G1357" t="s">
        <v>110</v>
      </c>
      <c r="J1357" t="s">
        <v>111</v>
      </c>
      <c r="K1357">
        <v>0</v>
      </c>
      <c r="L1357">
        <v>3</v>
      </c>
      <c r="M1357">
        <v>0</v>
      </c>
      <c r="N1357">
        <v>2</v>
      </c>
      <c r="O1357">
        <v>1</v>
      </c>
      <c r="P1357">
        <v>0</v>
      </c>
      <c r="Q1357">
        <v>0</v>
      </c>
      <c r="R1357" t="s">
        <v>112</v>
      </c>
      <c r="S1357" t="str">
        <f>"14:12:59.164"</f>
        <v>14:12:59.164</v>
      </c>
      <c r="T1357" t="str">
        <f>"14:12:58.664"</f>
        <v>14:12:58.664</v>
      </c>
      <c r="U1357" t="str">
        <f t="shared" si="63"/>
        <v>ad5732</v>
      </c>
      <c r="V1357">
        <v>0</v>
      </c>
      <c r="W1357">
        <v>0</v>
      </c>
      <c r="X1357">
        <v>1</v>
      </c>
      <c r="Z1357">
        <v>0</v>
      </c>
      <c r="AA1357">
        <v>9</v>
      </c>
      <c r="AB1357">
        <v>3</v>
      </c>
      <c r="AC1357">
        <v>0</v>
      </c>
      <c r="AD1357">
        <v>10</v>
      </c>
      <c r="AE1357">
        <v>0</v>
      </c>
      <c r="AF1357">
        <v>3</v>
      </c>
      <c r="AG1357">
        <v>2</v>
      </c>
      <c r="AH1357">
        <v>0</v>
      </c>
      <c r="AI1357" t="s">
        <v>2817</v>
      </c>
      <c r="AJ1357">
        <v>39.578848000000001</v>
      </c>
      <c r="AK1357" t="s">
        <v>2818</v>
      </c>
      <c r="AL1357">
        <v>-76.519302999999994</v>
      </c>
      <c r="AM1357">
        <v>100</v>
      </c>
      <c r="AN1357">
        <v>8700</v>
      </c>
      <c r="AO1357" t="s">
        <v>115</v>
      </c>
      <c r="AP1357">
        <v>168</v>
      </c>
      <c r="AQ1357">
        <v>88</v>
      </c>
      <c r="AR1357">
        <v>0</v>
      </c>
      <c r="AZ1357">
        <v>3614</v>
      </c>
      <c r="BA1357">
        <v>1</v>
      </c>
      <c r="BB1357" t="str">
        <f t="shared" si="65"/>
        <v xml:space="preserve">N959MJ  </v>
      </c>
      <c r="BC1357">
        <v>1</v>
      </c>
      <c r="BE1357">
        <v>0</v>
      </c>
      <c r="BF1357">
        <v>0</v>
      </c>
      <c r="BG1357">
        <v>0</v>
      </c>
      <c r="BH1357">
        <v>9025</v>
      </c>
      <c r="BI1357">
        <v>325</v>
      </c>
      <c r="BJ1357">
        <v>1</v>
      </c>
      <c r="BK1357">
        <v>1</v>
      </c>
      <c r="BL1357">
        <v>1</v>
      </c>
      <c r="BM1357">
        <v>0</v>
      </c>
      <c r="BP1357">
        <v>0</v>
      </c>
      <c r="BQ1357">
        <v>0</v>
      </c>
      <c r="BX1357" t="str">
        <f>"14:12:59.164"</f>
        <v>14:12:59.164</v>
      </c>
      <c r="BY1357" t="str">
        <f>"165243300"</f>
        <v>165243300</v>
      </c>
      <c r="CL1357">
        <v>0</v>
      </c>
      <c r="CM1357">
        <v>2</v>
      </c>
      <c r="CN1357">
        <v>0</v>
      </c>
      <c r="CO1357">
        <v>2</v>
      </c>
      <c r="CP1357">
        <v>0</v>
      </c>
      <c r="CQ1357">
        <v>7</v>
      </c>
      <c r="CR1357" t="s">
        <v>116</v>
      </c>
      <c r="CS1357">
        <v>396</v>
      </c>
      <c r="CT1357">
        <v>2</v>
      </c>
      <c r="CU1357" t="s">
        <v>939</v>
      </c>
      <c r="CV1357" t="s">
        <v>940</v>
      </c>
      <c r="CY1357">
        <v>5136187</v>
      </c>
      <c r="CZ1357" t="s">
        <v>119</v>
      </c>
    </row>
    <row r="1358" spans="1:104" x14ac:dyDescent="0.25">
      <c r="A1358" t="str">
        <f>"14:13:00.273"</f>
        <v>14:13:00.273</v>
      </c>
      <c r="B1358" t="s">
        <v>108</v>
      </c>
      <c r="C1358" t="str">
        <f t="shared" si="64"/>
        <v>ffdfd3c0</v>
      </c>
      <c r="D1358" t="s">
        <v>109</v>
      </c>
      <c r="E1358">
        <v>4</v>
      </c>
      <c r="F1358">
        <v>1004</v>
      </c>
      <c r="G1358" t="s">
        <v>110</v>
      </c>
      <c r="J1358" t="s">
        <v>111</v>
      </c>
      <c r="K1358">
        <v>0</v>
      </c>
      <c r="L1358">
        <v>3</v>
      </c>
      <c r="M1358">
        <v>0</v>
      </c>
      <c r="N1358">
        <v>2</v>
      </c>
      <c r="O1358">
        <v>1</v>
      </c>
      <c r="P1358">
        <v>0</v>
      </c>
      <c r="Q1358">
        <v>0</v>
      </c>
      <c r="R1358" t="s">
        <v>112</v>
      </c>
      <c r="S1358" t="str">
        <f>"14:13:00.070"</f>
        <v>14:13:00.070</v>
      </c>
      <c r="T1358" t="str">
        <f>"14:12:59.672"</f>
        <v>14:12:59.672</v>
      </c>
      <c r="U1358" t="str">
        <f t="shared" si="63"/>
        <v>ad5732</v>
      </c>
      <c r="V1358">
        <v>0</v>
      </c>
      <c r="W1358">
        <v>0</v>
      </c>
      <c r="X1358">
        <v>1</v>
      </c>
      <c r="Z1358">
        <v>0</v>
      </c>
      <c r="AA1358">
        <v>9</v>
      </c>
      <c r="AB1358">
        <v>3</v>
      </c>
      <c r="AC1358">
        <v>0</v>
      </c>
      <c r="AD1358">
        <v>10</v>
      </c>
      <c r="AE1358">
        <v>0</v>
      </c>
      <c r="AF1358">
        <v>3</v>
      </c>
      <c r="AG1358">
        <v>2</v>
      </c>
      <c r="AH1358">
        <v>0</v>
      </c>
      <c r="AI1358" t="s">
        <v>2819</v>
      </c>
      <c r="AJ1358">
        <v>39.579234</v>
      </c>
      <c r="AK1358" t="s">
        <v>2820</v>
      </c>
      <c r="AL1358">
        <v>-76.518381000000005</v>
      </c>
      <c r="AM1358">
        <v>100</v>
      </c>
      <c r="AN1358">
        <v>8700</v>
      </c>
      <c r="AO1358" t="s">
        <v>115</v>
      </c>
      <c r="AP1358">
        <v>168</v>
      </c>
      <c r="AQ1358">
        <v>88</v>
      </c>
      <c r="AR1358">
        <v>0</v>
      </c>
      <c r="AZ1358">
        <v>3614</v>
      </c>
      <c r="BA1358">
        <v>1</v>
      </c>
      <c r="BB1358" t="str">
        <f t="shared" si="65"/>
        <v xml:space="preserve">N959MJ  </v>
      </c>
      <c r="BC1358">
        <v>1</v>
      </c>
      <c r="BE1358">
        <v>0</v>
      </c>
      <c r="BF1358">
        <v>0</v>
      </c>
      <c r="BG1358">
        <v>0</v>
      </c>
      <c r="BH1358">
        <v>9025</v>
      </c>
      <c r="BI1358">
        <v>325</v>
      </c>
      <c r="BJ1358">
        <v>1</v>
      </c>
      <c r="BK1358">
        <v>1</v>
      </c>
      <c r="BL1358">
        <v>1</v>
      </c>
      <c r="BM1358">
        <v>0</v>
      </c>
      <c r="BP1358">
        <v>0</v>
      </c>
      <c r="BQ1358">
        <v>0</v>
      </c>
      <c r="BX1358" t="str">
        <f>"14:13:00.078"</f>
        <v>14:13:00.078</v>
      </c>
      <c r="BY1358" t="str">
        <f>"076208751"</f>
        <v>076208751</v>
      </c>
      <c r="CL1358">
        <v>0</v>
      </c>
      <c r="CM1358">
        <v>2</v>
      </c>
      <c r="CN1358">
        <v>0</v>
      </c>
      <c r="CO1358">
        <v>2</v>
      </c>
      <c r="CP1358">
        <v>0</v>
      </c>
      <c r="CQ1358">
        <v>7</v>
      </c>
      <c r="CR1358" t="s">
        <v>116</v>
      </c>
      <c r="CS1358">
        <v>396</v>
      </c>
      <c r="CT1358">
        <v>2</v>
      </c>
      <c r="CU1358" t="s">
        <v>939</v>
      </c>
      <c r="CV1358" t="s">
        <v>940</v>
      </c>
      <c r="CY1358">
        <v>5137889</v>
      </c>
      <c r="CZ1358" t="s">
        <v>119</v>
      </c>
    </row>
    <row r="1359" spans="1:104" x14ac:dyDescent="0.25">
      <c r="A1359" t="str">
        <f>"14:13:01.383"</f>
        <v>14:13:01.383</v>
      </c>
      <c r="B1359" t="s">
        <v>108</v>
      </c>
      <c r="C1359" t="str">
        <f t="shared" si="64"/>
        <v>ffdfd3c0</v>
      </c>
      <c r="D1359" t="s">
        <v>109</v>
      </c>
      <c r="E1359">
        <v>4</v>
      </c>
      <c r="F1359">
        <v>1004</v>
      </c>
      <c r="G1359" t="s">
        <v>110</v>
      </c>
      <c r="J1359" t="s">
        <v>111</v>
      </c>
      <c r="K1359">
        <v>0</v>
      </c>
      <c r="L1359">
        <v>3</v>
      </c>
      <c r="M1359">
        <v>0</v>
      </c>
      <c r="N1359">
        <v>2</v>
      </c>
      <c r="O1359">
        <v>1</v>
      </c>
      <c r="P1359">
        <v>0</v>
      </c>
      <c r="Q1359">
        <v>0</v>
      </c>
      <c r="R1359" t="s">
        <v>112</v>
      </c>
      <c r="S1359" t="str">
        <f>"14:13:01.195"</f>
        <v>14:13:01.195</v>
      </c>
      <c r="T1359" t="str">
        <f>"14:13:00.695"</f>
        <v>14:13:00.695</v>
      </c>
      <c r="U1359" t="str">
        <f t="shared" si="63"/>
        <v>ad5732</v>
      </c>
      <c r="V1359">
        <v>0</v>
      </c>
      <c r="W1359">
        <v>0</v>
      </c>
      <c r="X1359">
        <v>1</v>
      </c>
      <c r="Z1359">
        <v>0</v>
      </c>
      <c r="AA1359">
        <v>9</v>
      </c>
      <c r="AB1359">
        <v>3</v>
      </c>
      <c r="AC1359">
        <v>0</v>
      </c>
      <c r="AD1359">
        <v>10</v>
      </c>
      <c r="AE1359">
        <v>0</v>
      </c>
      <c r="AF1359">
        <v>3</v>
      </c>
      <c r="AG1359">
        <v>2</v>
      </c>
      <c r="AH1359">
        <v>0</v>
      </c>
      <c r="AI1359" t="s">
        <v>2821</v>
      </c>
      <c r="AJ1359">
        <v>39.579684999999998</v>
      </c>
      <c r="AK1359" t="s">
        <v>2822</v>
      </c>
      <c r="AL1359">
        <v>-76.517222000000004</v>
      </c>
      <c r="AM1359">
        <v>100</v>
      </c>
      <c r="AN1359">
        <v>8700</v>
      </c>
      <c r="AO1359" t="s">
        <v>115</v>
      </c>
      <c r="AP1359">
        <v>168</v>
      </c>
      <c r="AQ1359">
        <v>87</v>
      </c>
      <c r="AR1359">
        <v>0</v>
      </c>
      <c r="AZ1359">
        <v>3614</v>
      </c>
      <c r="BA1359">
        <v>1</v>
      </c>
      <c r="BB1359" t="str">
        <f t="shared" si="65"/>
        <v xml:space="preserve">N959MJ  </v>
      </c>
      <c r="BC1359">
        <v>1</v>
      </c>
      <c r="BE1359">
        <v>0</v>
      </c>
      <c r="BF1359">
        <v>0</v>
      </c>
      <c r="BG1359">
        <v>0</v>
      </c>
      <c r="BH1359">
        <v>9025</v>
      </c>
      <c r="BI1359">
        <v>325</v>
      </c>
      <c r="BJ1359">
        <v>1</v>
      </c>
      <c r="BK1359">
        <v>1</v>
      </c>
      <c r="BL1359">
        <v>1</v>
      </c>
      <c r="BM1359">
        <v>0</v>
      </c>
      <c r="BP1359">
        <v>0</v>
      </c>
      <c r="BQ1359">
        <v>0</v>
      </c>
      <c r="BX1359" t="str">
        <f>"14:13:01.195"</f>
        <v>14:13:01.195</v>
      </c>
      <c r="BY1359" t="str">
        <f>"196892985"</f>
        <v>196892985</v>
      </c>
      <c r="CL1359">
        <v>0</v>
      </c>
      <c r="CM1359">
        <v>2</v>
      </c>
      <c r="CN1359">
        <v>0</v>
      </c>
      <c r="CO1359">
        <v>2</v>
      </c>
      <c r="CP1359">
        <v>0</v>
      </c>
      <c r="CQ1359">
        <v>7</v>
      </c>
      <c r="CR1359" t="s">
        <v>116</v>
      </c>
      <c r="CS1359">
        <v>396</v>
      </c>
      <c r="CT1359">
        <v>2</v>
      </c>
      <c r="CU1359" t="s">
        <v>939</v>
      </c>
      <c r="CV1359" t="s">
        <v>940</v>
      </c>
      <c r="CY1359">
        <v>5139907</v>
      </c>
      <c r="CZ1359" t="s">
        <v>119</v>
      </c>
    </row>
    <row r="1360" spans="1:104" x14ac:dyDescent="0.25">
      <c r="A1360" t="str">
        <f>"14:13:02.289"</f>
        <v>14:13:02.289</v>
      </c>
      <c r="B1360" t="s">
        <v>108</v>
      </c>
      <c r="C1360" t="str">
        <f t="shared" si="64"/>
        <v>ffdfd3c0</v>
      </c>
      <c r="D1360" t="s">
        <v>109</v>
      </c>
      <c r="E1360">
        <v>4</v>
      </c>
      <c r="F1360">
        <v>1004</v>
      </c>
      <c r="G1360" t="s">
        <v>110</v>
      </c>
      <c r="J1360" t="s">
        <v>111</v>
      </c>
      <c r="K1360">
        <v>0</v>
      </c>
      <c r="L1360">
        <v>3</v>
      </c>
      <c r="M1360">
        <v>0</v>
      </c>
      <c r="N1360">
        <v>2</v>
      </c>
      <c r="O1360">
        <v>1</v>
      </c>
      <c r="P1360">
        <v>0</v>
      </c>
      <c r="Q1360">
        <v>0</v>
      </c>
      <c r="R1360" t="s">
        <v>112</v>
      </c>
      <c r="S1360" t="str">
        <f>"14:13:02.133"</f>
        <v>14:13:02.133</v>
      </c>
      <c r="T1360" t="str">
        <f>"14:13:01.734"</f>
        <v>14:13:01.734</v>
      </c>
      <c r="U1360" t="str">
        <f t="shared" si="63"/>
        <v>ad5732</v>
      </c>
      <c r="V1360">
        <v>0</v>
      </c>
      <c r="W1360">
        <v>0</v>
      </c>
      <c r="X1360">
        <v>1</v>
      </c>
      <c r="Z1360">
        <v>0</v>
      </c>
      <c r="AA1360">
        <v>9</v>
      </c>
      <c r="AB1360">
        <v>3</v>
      </c>
      <c r="AC1360">
        <v>0</v>
      </c>
      <c r="AD1360">
        <v>10</v>
      </c>
      <c r="AE1360">
        <v>0</v>
      </c>
      <c r="AF1360">
        <v>3</v>
      </c>
      <c r="AG1360">
        <v>2</v>
      </c>
      <c r="AH1360">
        <v>0</v>
      </c>
      <c r="AI1360" t="s">
        <v>2823</v>
      </c>
      <c r="AJ1360">
        <v>39.580027999999999</v>
      </c>
      <c r="AK1360" t="s">
        <v>2824</v>
      </c>
      <c r="AL1360">
        <v>-76.516255999999998</v>
      </c>
      <c r="AM1360">
        <v>100</v>
      </c>
      <c r="AN1360">
        <v>8700</v>
      </c>
      <c r="AO1360" t="s">
        <v>115</v>
      </c>
      <c r="AP1360">
        <v>168</v>
      </c>
      <c r="AQ1360">
        <v>87</v>
      </c>
      <c r="AR1360">
        <v>0</v>
      </c>
      <c r="AZ1360">
        <v>3614</v>
      </c>
      <c r="BA1360">
        <v>1</v>
      </c>
      <c r="BB1360" t="str">
        <f t="shared" si="65"/>
        <v xml:space="preserve">N959MJ  </v>
      </c>
      <c r="BC1360">
        <v>1</v>
      </c>
      <c r="BE1360">
        <v>0</v>
      </c>
      <c r="BF1360">
        <v>0</v>
      </c>
      <c r="BG1360">
        <v>0</v>
      </c>
      <c r="BH1360">
        <v>9025</v>
      </c>
      <c r="BI1360">
        <v>325</v>
      </c>
      <c r="BJ1360">
        <v>1</v>
      </c>
      <c r="BK1360">
        <v>1</v>
      </c>
      <c r="BL1360">
        <v>1</v>
      </c>
      <c r="BM1360">
        <v>0</v>
      </c>
      <c r="BP1360">
        <v>0</v>
      </c>
      <c r="BQ1360">
        <v>0</v>
      </c>
      <c r="BX1360" t="str">
        <f>"14:13:02.133"</f>
        <v>14:13:02.133</v>
      </c>
      <c r="BY1360" t="str">
        <f>"135712147"</f>
        <v>135712147</v>
      </c>
      <c r="CL1360">
        <v>0</v>
      </c>
      <c r="CM1360">
        <v>2</v>
      </c>
      <c r="CN1360">
        <v>0</v>
      </c>
      <c r="CO1360">
        <v>2</v>
      </c>
      <c r="CP1360">
        <v>0</v>
      </c>
      <c r="CQ1360">
        <v>7</v>
      </c>
      <c r="CR1360" t="s">
        <v>116</v>
      </c>
      <c r="CS1360">
        <v>396</v>
      </c>
      <c r="CT1360">
        <v>2</v>
      </c>
      <c r="CU1360" t="s">
        <v>939</v>
      </c>
      <c r="CV1360" t="s">
        <v>940</v>
      </c>
      <c r="CY1360">
        <v>5141603</v>
      </c>
      <c r="CZ1360" t="s">
        <v>119</v>
      </c>
    </row>
    <row r="1361" spans="1:104" x14ac:dyDescent="0.25">
      <c r="A1361" t="str">
        <f>"14:13:03.305"</f>
        <v>14:13:03.305</v>
      </c>
      <c r="B1361" t="s">
        <v>108</v>
      </c>
      <c r="C1361" t="str">
        <f t="shared" si="64"/>
        <v>ffdfd3c0</v>
      </c>
      <c r="D1361" t="s">
        <v>109</v>
      </c>
      <c r="E1361">
        <v>4</v>
      </c>
      <c r="F1361">
        <v>1004</v>
      </c>
      <c r="G1361" t="s">
        <v>110</v>
      </c>
      <c r="J1361" t="s">
        <v>111</v>
      </c>
      <c r="K1361">
        <v>0</v>
      </c>
      <c r="L1361">
        <v>3</v>
      </c>
      <c r="M1361">
        <v>0</v>
      </c>
      <c r="N1361">
        <v>2</v>
      </c>
      <c r="O1361">
        <v>1</v>
      </c>
      <c r="P1361">
        <v>0</v>
      </c>
      <c r="Q1361">
        <v>0</v>
      </c>
      <c r="R1361" t="s">
        <v>112</v>
      </c>
      <c r="S1361" t="str">
        <f>"14:13:03.148"</f>
        <v>14:13:03.148</v>
      </c>
      <c r="T1361" t="str">
        <f>"14:13:02.648"</f>
        <v>14:13:02.648</v>
      </c>
      <c r="U1361" t="str">
        <f t="shared" si="63"/>
        <v>ad5732</v>
      </c>
      <c r="V1361">
        <v>0</v>
      </c>
      <c r="W1361">
        <v>0</v>
      </c>
      <c r="X1361">
        <v>1</v>
      </c>
      <c r="Z1361">
        <v>0</v>
      </c>
      <c r="AA1361">
        <v>9</v>
      </c>
      <c r="AB1361">
        <v>3</v>
      </c>
      <c r="AC1361">
        <v>0</v>
      </c>
      <c r="AD1361">
        <v>10</v>
      </c>
      <c r="AE1361">
        <v>0</v>
      </c>
      <c r="AF1361">
        <v>3</v>
      </c>
      <c r="AG1361">
        <v>2</v>
      </c>
      <c r="AH1361">
        <v>0</v>
      </c>
      <c r="AI1361" t="s">
        <v>2825</v>
      </c>
      <c r="AJ1361">
        <v>39.580435999999999</v>
      </c>
      <c r="AK1361" t="s">
        <v>2826</v>
      </c>
      <c r="AL1361">
        <v>-76.515291000000005</v>
      </c>
      <c r="AM1361">
        <v>100</v>
      </c>
      <c r="AN1361">
        <v>8700</v>
      </c>
      <c r="AO1361" t="s">
        <v>115</v>
      </c>
      <c r="AP1361">
        <v>168</v>
      </c>
      <c r="AQ1361">
        <v>87</v>
      </c>
      <c r="AR1361">
        <v>0</v>
      </c>
      <c r="AZ1361">
        <v>3614</v>
      </c>
      <c r="BA1361">
        <v>1</v>
      </c>
      <c r="BB1361" t="str">
        <f t="shared" si="65"/>
        <v xml:space="preserve">N959MJ  </v>
      </c>
      <c r="BC1361">
        <v>1</v>
      </c>
      <c r="BE1361">
        <v>0</v>
      </c>
      <c r="BF1361">
        <v>0</v>
      </c>
      <c r="BG1361">
        <v>0</v>
      </c>
      <c r="BH1361">
        <v>9025</v>
      </c>
      <c r="BI1361">
        <v>325</v>
      </c>
      <c r="BJ1361">
        <v>1</v>
      </c>
      <c r="BK1361">
        <v>1</v>
      </c>
      <c r="BL1361">
        <v>1</v>
      </c>
      <c r="BM1361">
        <v>0</v>
      </c>
      <c r="BP1361">
        <v>0</v>
      </c>
      <c r="BQ1361">
        <v>0</v>
      </c>
      <c r="BX1361" t="str">
        <f>"14:13:03.148"</f>
        <v>14:13:03.148</v>
      </c>
      <c r="BY1361" t="str">
        <f>"151653087"</f>
        <v>151653087</v>
      </c>
      <c r="CL1361">
        <v>0</v>
      </c>
      <c r="CM1361">
        <v>2</v>
      </c>
      <c r="CN1361">
        <v>0</v>
      </c>
      <c r="CO1361">
        <v>2</v>
      </c>
      <c r="CP1361">
        <v>0</v>
      </c>
      <c r="CQ1361">
        <v>5</v>
      </c>
      <c r="CR1361" t="s">
        <v>116</v>
      </c>
      <c r="CS1361">
        <v>525</v>
      </c>
      <c r="CT1361">
        <v>1</v>
      </c>
      <c r="CU1361" t="s">
        <v>140</v>
      </c>
      <c r="CV1361" t="s">
        <v>141</v>
      </c>
      <c r="CY1361">
        <v>9147237</v>
      </c>
      <c r="CZ1361" t="s">
        <v>119</v>
      </c>
    </row>
    <row r="1362" spans="1:104" x14ac:dyDescent="0.25">
      <c r="A1362" t="str">
        <f>"14:13:04.211"</f>
        <v>14:13:04.211</v>
      </c>
      <c r="B1362" t="s">
        <v>108</v>
      </c>
      <c r="C1362" t="str">
        <f t="shared" si="64"/>
        <v>ffdfd3c0</v>
      </c>
      <c r="D1362" t="s">
        <v>109</v>
      </c>
      <c r="E1362">
        <v>4</v>
      </c>
      <c r="F1362">
        <v>1004</v>
      </c>
      <c r="G1362" t="s">
        <v>110</v>
      </c>
      <c r="J1362" t="s">
        <v>111</v>
      </c>
      <c r="K1362">
        <v>0</v>
      </c>
      <c r="L1362">
        <v>3</v>
      </c>
      <c r="M1362">
        <v>0</v>
      </c>
      <c r="N1362">
        <v>2</v>
      </c>
      <c r="O1362">
        <v>1</v>
      </c>
      <c r="P1362">
        <v>0</v>
      </c>
      <c r="Q1362">
        <v>0</v>
      </c>
      <c r="R1362" t="s">
        <v>112</v>
      </c>
      <c r="S1362" t="str">
        <f>"14:13:04.055"</f>
        <v>14:13:04.055</v>
      </c>
      <c r="T1362" t="str">
        <f>"14:13:03.656"</f>
        <v>14:13:03.656</v>
      </c>
      <c r="U1362" t="str">
        <f t="shared" si="63"/>
        <v>ad5732</v>
      </c>
      <c r="V1362">
        <v>0</v>
      </c>
      <c r="W1362">
        <v>0</v>
      </c>
      <c r="X1362">
        <v>1</v>
      </c>
      <c r="Z1362">
        <v>0</v>
      </c>
      <c r="AA1362">
        <v>9</v>
      </c>
      <c r="AB1362">
        <v>3</v>
      </c>
      <c r="AC1362">
        <v>0</v>
      </c>
      <c r="AD1362">
        <v>10</v>
      </c>
      <c r="AE1362">
        <v>0</v>
      </c>
      <c r="AF1362">
        <v>3</v>
      </c>
      <c r="AG1362">
        <v>2</v>
      </c>
      <c r="AH1362">
        <v>0</v>
      </c>
      <c r="AI1362" t="s">
        <v>2827</v>
      </c>
      <c r="AJ1362">
        <v>39.580801000000001</v>
      </c>
      <c r="AK1362" t="s">
        <v>2828</v>
      </c>
      <c r="AL1362">
        <v>-76.514347000000001</v>
      </c>
      <c r="AM1362">
        <v>100</v>
      </c>
      <c r="AN1362">
        <v>8700</v>
      </c>
      <c r="AO1362" t="s">
        <v>115</v>
      </c>
      <c r="AP1362">
        <v>168</v>
      </c>
      <c r="AQ1362">
        <v>87</v>
      </c>
      <c r="AR1362">
        <v>0</v>
      </c>
      <c r="AZ1362">
        <v>3614</v>
      </c>
      <c r="BA1362">
        <v>1</v>
      </c>
      <c r="BB1362" t="str">
        <f t="shared" si="65"/>
        <v xml:space="preserve">N959MJ  </v>
      </c>
      <c r="BC1362">
        <v>1</v>
      </c>
      <c r="BE1362">
        <v>0</v>
      </c>
      <c r="BF1362">
        <v>0</v>
      </c>
      <c r="BG1362">
        <v>0</v>
      </c>
      <c r="BH1362">
        <v>9025</v>
      </c>
      <c r="BI1362">
        <v>325</v>
      </c>
      <c r="BJ1362">
        <v>1</v>
      </c>
      <c r="BK1362">
        <v>1</v>
      </c>
      <c r="BL1362">
        <v>1</v>
      </c>
      <c r="BM1362">
        <v>0</v>
      </c>
      <c r="BP1362">
        <v>0</v>
      </c>
      <c r="BQ1362">
        <v>0</v>
      </c>
      <c r="BX1362" t="str">
        <f>"14:13:04.055"</f>
        <v>14:13:04.055</v>
      </c>
      <c r="BY1362" t="str">
        <f>"055948355"</f>
        <v>055948355</v>
      </c>
      <c r="CL1362">
        <v>0</v>
      </c>
      <c r="CM1362">
        <v>2</v>
      </c>
      <c r="CN1362">
        <v>0</v>
      </c>
      <c r="CO1362">
        <v>2</v>
      </c>
      <c r="CP1362">
        <v>0</v>
      </c>
      <c r="CQ1362">
        <v>7</v>
      </c>
      <c r="CR1362" t="s">
        <v>116</v>
      </c>
      <c r="CS1362">
        <v>396</v>
      </c>
      <c r="CT1362">
        <v>2</v>
      </c>
      <c r="CU1362" t="s">
        <v>939</v>
      </c>
      <c r="CV1362" t="s">
        <v>940</v>
      </c>
      <c r="CY1362">
        <v>5145241</v>
      </c>
      <c r="CZ1362" t="s">
        <v>119</v>
      </c>
    </row>
    <row r="1363" spans="1:104" x14ac:dyDescent="0.25">
      <c r="A1363" t="str">
        <f>"14:13:05.070"</f>
        <v>14:13:05.070</v>
      </c>
      <c r="B1363" t="s">
        <v>108</v>
      </c>
      <c r="C1363" t="str">
        <f t="shared" si="64"/>
        <v>ffdfd3c0</v>
      </c>
      <c r="D1363" t="s">
        <v>109</v>
      </c>
      <c r="E1363">
        <v>4</v>
      </c>
      <c r="F1363">
        <v>1004</v>
      </c>
      <c r="G1363" t="s">
        <v>110</v>
      </c>
      <c r="J1363" t="s">
        <v>111</v>
      </c>
      <c r="K1363">
        <v>0</v>
      </c>
      <c r="L1363">
        <v>3</v>
      </c>
      <c r="M1363">
        <v>0</v>
      </c>
      <c r="N1363">
        <v>2</v>
      </c>
      <c r="O1363">
        <v>1</v>
      </c>
      <c r="P1363">
        <v>0</v>
      </c>
      <c r="Q1363">
        <v>0</v>
      </c>
      <c r="R1363" t="s">
        <v>112</v>
      </c>
      <c r="S1363" t="str">
        <f>"14:13:04.898"</f>
        <v>14:13:04.898</v>
      </c>
      <c r="T1363" t="str">
        <f>"14:13:04.500"</f>
        <v>14:13:04.500</v>
      </c>
      <c r="U1363" t="str">
        <f t="shared" si="63"/>
        <v>ad5732</v>
      </c>
      <c r="V1363">
        <v>0</v>
      </c>
      <c r="W1363">
        <v>0</v>
      </c>
      <c r="X1363">
        <v>1</v>
      </c>
      <c r="Z1363">
        <v>0</v>
      </c>
      <c r="AA1363">
        <v>9</v>
      </c>
      <c r="AB1363">
        <v>3</v>
      </c>
      <c r="AC1363">
        <v>0</v>
      </c>
      <c r="AD1363">
        <v>10</v>
      </c>
      <c r="AE1363">
        <v>0</v>
      </c>
      <c r="AF1363">
        <v>3</v>
      </c>
      <c r="AG1363">
        <v>2</v>
      </c>
      <c r="AH1363">
        <v>0</v>
      </c>
      <c r="AI1363" t="s">
        <v>2829</v>
      </c>
      <c r="AJ1363">
        <v>39.581187</v>
      </c>
      <c r="AK1363" t="s">
        <v>2830</v>
      </c>
      <c r="AL1363">
        <v>-76.513445000000004</v>
      </c>
      <c r="AM1363">
        <v>100</v>
      </c>
      <c r="AN1363">
        <v>8700</v>
      </c>
      <c r="AO1363" t="s">
        <v>115</v>
      </c>
      <c r="AP1363">
        <v>168</v>
      </c>
      <c r="AQ1363">
        <v>86</v>
      </c>
      <c r="AR1363">
        <v>0</v>
      </c>
      <c r="AZ1363">
        <v>3614</v>
      </c>
      <c r="BA1363">
        <v>1</v>
      </c>
      <c r="BB1363" t="str">
        <f t="shared" si="65"/>
        <v xml:space="preserve">N959MJ  </v>
      </c>
      <c r="BC1363">
        <v>1</v>
      </c>
      <c r="BE1363">
        <v>0</v>
      </c>
      <c r="BF1363">
        <v>0</v>
      </c>
      <c r="BG1363">
        <v>0</v>
      </c>
      <c r="BH1363">
        <v>9025</v>
      </c>
      <c r="BI1363">
        <v>325</v>
      </c>
      <c r="BJ1363">
        <v>1</v>
      </c>
      <c r="BK1363">
        <v>1</v>
      </c>
      <c r="BL1363">
        <v>1</v>
      </c>
      <c r="BM1363">
        <v>0</v>
      </c>
      <c r="BP1363">
        <v>0</v>
      </c>
      <c r="BQ1363">
        <v>0</v>
      </c>
      <c r="BX1363" t="str">
        <f>"14:13:04.898"</f>
        <v>14:13:04.898</v>
      </c>
      <c r="BY1363" t="str">
        <f>"899738441"</f>
        <v>899738441</v>
      </c>
      <c r="CL1363">
        <v>0</v>
      </c>
      <c r="CM1363">
        <v>2</v>
      </c>
      <c r="CN1363">
        <v>0</v>
      </c>
      <c r="CO1363">
        <v>2</v>
      </c>
      <c r="CP1363">
        <v>0</v>
      </c>
      <c r="CQ1363">
        <v>7</v>
      </c>
      <c r="CR1363" t="s">
        <v>116</v>
      </c>
      <c r="CS1363">
        <v>396</v>
      </c>
      <c r="CT1363">
        <v>2</v>
      </c>
      <c r="CU1363" t="s">
        <v>939</v>
      </c>
      <c r="CV1363" t="s">
        <v>940</v>
      </c>
      <c r="CY1363">
        <v>5146772</v>
      </c>
      <c r="CZ1363" t="s">
        <v>119</v>
      </c>
    </row>
    <row r="1364" spans="1:104" x14ac:dyDescent="0.25">
      <c r="A1364" t="str">
        <f>"14:13:06.180"</f>
        <v>14:13:06.180</v>
      </c>
      <c r="B1364" t="s">
        <v>108</v>
      </c>
      <c r="C1364" t="str">
        <f t="shared" si="64"/>
        <v>ffdfd3c0</v>
      </c>
      <c r="D1364" t="s">
        <v>109</v>
      </c>
      <c r="E1364">
        <v>4</v>
      </c>
      <c r="F1364">
        <v>1004</v>
      </c>
      <c r="G1364" t="s">
        <v>110</v>
      </c>
      <c r="J1364" t="s">
        <v>111</v>
      </c>
      <c r="K1364">
        <v>0</v>
      </c>
      <c r="L1364">
        <v>3</v>
      </c>
      <c r="M1364">
        <v>0</v>
      </c>
      <c r="N1364">
        <v>2</v>
      </c>
      <c r="O1364">
        <v>1</v>
      </c>
      <c r="P1364">
        <v>0</v>
      </c>
      <c r="Q1364">
        <v>0</v>
      </c>
      <c r="R1364" t="s">
        <v>112</v>
      </c>
      <c r="S1364" t="str">
        <f>"14:13:05.969"</f>
        <v>14:13:05.969</v>
      </c>
      <c r="T1364" t="str">
        <f>"14:13:05.570"</f>
        <v>14:13:05.570</v>
      </c>
      <c r="U1364" t="str">
        <f t="shared" si="63"/>
        <v>ad5732</v>
      </c>
      <c r="V1364">
        <v>0</v>
      </c>
      <c r="W1364">
        <v>0</v>
      </c>
      <c r="X1364">
        <v>1</v>
      </c>
      <c r="Z1364">
        <v>0</v>
      </c>
      <c r="AA1364">
        <v>9</v>
      </c>
      <c r="AB1364">
        <v>3</v>
      </c>
      <c r="AC1364">
        <v>0</v>
      </c>
      <c r="AD1364">
        <v>10</v>
      </c>
      <c r="AE1364">
        <v>0</v>
      </c>
      <c r="AF1364">
        <v>3</v>
      </c>
      <c r="AG1364">
        <v>2</v>
      </c>
      <c r="AH1364">
        <v>0</v>
      </c>
      <c r="AI1364" t="s">
        <v>2831</v>
      </c>
      <c r="AJ1364">
        <v>39.581594000000003</v>
      </c>
      <c r="AK1364" t="s">
        <v>2832</v>
      </c>
      <c r="AL1364">
        <v>-76.512437000000006</v>
      </c>
      <c r="AM1364">
        <v>100</v>
      </c>
      <c r="AN1364">
        <v>8700</v>
      </c>
      <c r="AO1364" t="s">
        <v>115</v>
      </c>
      <c r="AP1364">
        <v>168</v>
      </c>
      <c r="AQ1364">
        <v>86</v>
      </c>
      <c r="AR1364">
        <v>0</v>
      </c>
      <c r="AZ1364">
        <v>3614</v>
      </c>
      <c r="BA1364">
        <v>1</v>
      </c>
      <c r="BB1364" t="str">
        <f t="shared" si="65"/>
        <v xml:space="preserve">N959MJ  </v>
      </c>
      <c r="BC1364">
        <v>1</v>
      </c>
      <c r="BE1364">
        <v>0</v>
      </c>
      <c r="BF1364">
        <v>0</v>
      </c>
      <c r="BG1364">
        <v>0</v>
      </c>
      <c r="BH1364">
        <v>9025</v>
      </c>
      <c r="BI1364">
        <v>325</v>
      </c>
      <c r="BJ1364">
        <v>1</v>
      </c>
      <c r="BK1364">
        <v>1</v>
      </c>
      <c r="BL1364">
        <v>1</v>
      </c>
      <c r="BM1364">
        <v>0</v>
      </c>
      <c r="BP1364">
        <v>0</v>
      </c>
      <c r="BQ1364">
        <v>0</v>
      </c>
      <c r="BX1364" t="str">
        <f>"14:13:05.977"</f>
        <v>14:13:05.977</v>
      </c>
      <c r="BY1364" t="str">
        <f>"976279279"</f>
        <v>976279279</v>
      </c>
      <c r="CL1364">
        <v>0</v>
      </c>
      <c r="CM1364">
        <v>2</v>
      </c>
      <c r="CN1364">
        <v>0</v>
      </c>
      <c r="CO1364">
        <v>2</v>
      </c>
      <c r="CP1364">
        <v>0</v>
      </c>
      <c r="CQ1364">
        <v>6</v>
      </c>
      <c r="CR1364" t="s">
        <v>116</v>
      </c>
      <c r="CS1364">
        <v>372</v>
      </c>
      <c r="CT1364">
        <v>3</v>
      </c>
      <c r="CU1364" t="s">
        <v>877</v>
      </c>
      <c r="CV1364" t="s">
        <v>878</v>
      </c>
      <c r="CY1364">
        <v>11792291</v>
      </c>
      <c r="CZ1364" t="s">
        <v>119</v>
      </c>
    </row>
    <row r="1365" spans="1:104" x14ac:dyDescent="0.25">
      <c r="A1365" t="str">
        <f>"14:13:07.086"</f>
        <v>14:13:07.086</v>
      </c>
      <c r="B1365" t="s">
        <v>108</v>
      </c>
      <c r="C1365" t="str">
        <f t="shared" si="64"/>
        <v>ffdfd3c0</v>
      </c>
      <c r="D1365" t="s">
        <v>109</v>
      </c>
      <c r="E1365">
        <v>4</v>
      </c>
      <c r="F1365">
        <v>1004</v>
      </c>
      <c r="G1365" t="s">
        <v>110</v>
      </c>
      <c r="J1365" t="s">
        <v>111</v>
      </c>
      <c r="K1365">
        <v>0</v>
      </c>
      <c r="L1365">
        <v>3</v>
      </c>
      <c r="M1365">
        <v>0</v>
      </c>
      <c r="N1365">
        <v>2</v>
      </c>
      <c r="O1365">
        <v>1</v>
      </c>
      <c r="P1365">
        <v>0</v>
      </c>
      <c r="Q1365">
        <v>0</v>
      </c>
      <c r="R1365" t="s">
        <v>112</v>
      </c>
      <c r="S1365" t="str">
        <f>"14:13:06.914"</f>
        <v>14:13:06.914</v>
      </c>
      <c r="T1365" t="str">
        <f>"14:13:06.516"</f>
        <v>14:13:06.516</v>
      </c>
      <c r="U1365" t="str">
        <f t="shared" si="63"/>
        <v>ad5732</v>
      </c>
      <c r="V1365">
        <v>0</v>
      </c>
      <c r="W1365">
        <v>0</v>
      </c>
      <c r="X1365">
        <v>1</v>
      </c>
      <c r="Z1365">
        <v>0</v>
      </c>
      <c r="AA1365">
        <v>9</v>
      </c>
      <c r="AB1365">
        <v>3</v>
      </c>
      <c r="AC1365">
        <v>0</v>
      </c>
      <c r="AD1365">
        <v>10</v>
      </c>
      <c r="AE1365">
        <v>0</v>
      </c>
      <c r="AF1365">
        <v>3</v>
      </c>
      <c r="AG1365">
        <v>2</v>
      </c>
      <c r="AH1365">
        <v>0</v>
      </c>
      <c r="AI1365" t="s">
        <v>2833</v>
      </c>
      <c r="AJ1365">
        <v>39.582002000000003</v>
      </c>
      <c r="AK1365" t="s">
        <v>2834</v>
      </c>
      <c r="AL1365">
        <v>-76.511471</v>
      </c>
      <c r="AM1365">
        <v>100</v>
      </c>
      <c r="AN1365">
        <v>8700</v>
      </c>
      <c r="AO1365" t="s">
        <v>115</v>
      </c>
      <c r="AP1365">
        <v>168</v>
      </c>
      <c r="AQ1365">
        <v>86</v>
      </c>
      <c r="AR1365">
        <v>0</v>
      </c>
      <c r="AZ1365">
        <v>3614</v>
      </c>
      <c r="BA1365">
        <v>1</v>
      </c>
      <c r="BB1365" t="str">
        <f t="shared" si="65"/>
        <v xml:space="preserve">N959MJ  </v>
      </c>
      <c r="BC1365">
        <v>1</v>
      </c>
      <c r="BE1365">
        <v>0</v>
      </c>
      <c r="BF1365">
        <v>0</v>
      </c>
      <c r="BG1365">
        <v>0</v>
      </c>
      <c r="BH1365">
        <v>9025</v>
      </c>
      <c r="BI1365">
        <v>325</v>
      </c>
      <c r="BJ1365">
        <v>1</v>
      </c>
      <c r="BK1365">
        <v>1</v>
      </c>
      <c r="BL1365">
        <v>1</v>
      </c>
      <c r="BM1365">
        <v>0</v>
      </c>
      <c r="BP1365">
        <v>0</v>
      </c>
      <c r="BQ1365">
        <v>0</v>
      </c>
      <c r="BX1365" t="str">
        <f>"14:13:06.922"</f>
        <v>14:13:06.922</v>
      </c>
      <c r="BY1365" t="str">
        <f>"921557520"</f>
        <v>921557520</v>
      </c>
      <c r="CL1365">
        <v>0</v>
      </c>
      <c r="CM1365">
        <v>2</v>
      </c>
      <c r="CN1365">
        <v>0</v>
      </c>
      <c r="CO1365">
        <v>2</v>
      </c>
      <c r="CP1365">
        <v>0</v>
      </c>
      <c r="CQ1365">
        <v>7</v>
      </c>
      <c r="CR1365" t="s">
        <v>116</v>
      </c>
      <c r="CS1365">
        <v>396</v>
      </c>
      <c r="CT1365">
        <v>2</v>
      </c>
      <c r="CU1365" t="s">
        <v>939</v>
      </c>
      <c r="CV1365" t="s">
        <v>940</v>
      </c>
      <c r="CY1365">
        <v>5150396</v>
      </c>
      <c r="CZ1365" t="s">
        <v>119</v>
      </c>
    </row>
    <row r="1366" spans="1:104" x14ac:dyDescent="0.25">
      <c r="A1366" t="str">
        <f>"14:13:08.000"</f>
        <v>14:13:08.000</v>
      </c>
      <c r="B1366" t="s">
        <v>108</v>
      </c>
      <c r="C1366" t="str">
        <f t="shared" si="64"/>
        <v>ffdfd3c0</v>
      </c>
      <c r="D1366" t="s">
        <v>109</v>
      </c>
      <c r="E1366">
        <v>4</v>
      </c>
      <c r="F1366">
        <v>1004</v>
      </c>
      <c r="G1366" t="s">
        <v>110</v>
      </c>
      <c r="J1366" t="s">
        <v>111</v>
      </c>
      <c r="K1366">
        <v>0</v>
      </c>
      <c r="L1366">
        <v>3</v>
      </c>
      <c r="M1366">
        <v>0</v>
      </c>
      <c r="N1366">
        <v>2</v>
      </c>
      <c r="O1366">
        <v>1</v>
      </c>
      <c r="P1366">
        <v>0</v>
      </c>
      <c r="Q1366">
        <v>0</v>
      </c>
      <c r="R1366" t="s">
        <v>112</v>
      </c>
      <c r="S1366" t="str">
        <f>"14:13:07.805"</f>
        <v>14:13:07.805</v>
      </c>
      <c r="T1366" t="str">
        <f>"14:13:07.406"</f>
        <v>14:13:07.406</v>
      </c>
      <c r="U1366" t="str">
        <f t="shared" si="63"/>
        <v>ad5732</v>
      </c>
      <c r="V1366">
        <v>0</v>
      </c>
      <c r="W1366">
        <v>0</v>
      </c>
      <c r="X1366">
        <v>1</v>
      </c>
      <c r="Z1366">
        <v>0</v>
      </c>
      <c r="AA1366">
        <v>9</v>
      </c>
      <c r="AB1366">
        <v>3</v>
      </c>
      <c r="AC1366">
        <v>0</v>
      </c>
      <c r="AD1366">
        <v>10</v>
      </c>
      <c r="AE1366">
        <v>0</v>
      </c>
      <c r="AF1366">
        <v>3</v>
      </c>
      <c r="AG1366">
        <v>2</v>
      </c>
      <c r="AH1366">
        <v>0</v>
      </c>
      <c r="AI1366" t="s">
        <v>2835</v>
      </c>
      <c r="AJ1366">
        <v>39.582344999999997</v>
      </c>
      <c r="AK1366" t="s">
        <v>2836</v>
      </c>
      <c r="AL1366">
        <v>-76.510548999999997</v>
      </c>
      <c r="AM1366">
        <v>100</v>
      </c>
      <c r="AN1366">
        <v>8700</v>
      </c>
      <c r="AO1366" t="s">
        <v>115</v>
      </c>
      <c r="AP1366">
        <v>168</v>
      </c>
      <c r="AQ1366">
        <v>86</v>
      </c>
      <c r="AR1366">
        <v>0</v>
      </c>
      <c r="AZ1366">
        <v>3614</v>
      </c>
      <c r="BA1366">
        <v>1</v>
      </c>
      <c r="BB1366" t="str">
        <f t="shared" si="65"/>
        <v xml:space="preserve">N959MJ  </v>
      </c>
      <c r="BC1366">
        <v>1</v>
      </c>
      <c r="BE1366">
        <v>0</v>
      </c>
      <c r="BF1366">
        <v>0</v>
      </c>
      <c r="BG1366">
        <v>0</v>
      </c>
      <c r="BH1366">
        <v>9025</v>
      </c>
      <c r="BI1366">
        <v>325</v>
      </c>
      <c r="BJ1366">
        <v>1</v>
      </c>
      <c r="BK1366">
        <v>1</v>
      </c>
      <c r="BL1366">
        <v>1</v>
      </c>
      <c r="BM1366">
        <v>0</v>
      </c>
      <c r="BP1366">
        <v>0</v>
      </c>
      <c r="BQ1366">
        <v>0</v>
      </c>
      <c r="BX1366" t="str">
        <f>"14:13:07.805"</f>
        <v>14:13:07.805</v>
      </c>
      <c r="BY1366" t="str">
        <f>"808110486"</f>
        <v>808110486</v>
      </c>
      <c r="CL1366">
        <v>0</v>
      </c>
      <c r="CM1366">
        <v>2</v>
      </c>
      <c r="CN1366">
        <v>0</v>
      </c>
      <c r="CO1366">
        <v>2</v>
      </c>
      <c r="CP1366">
        <v>0</v>
      </c>
      <c r="CQ1366">
        <v>5</v>
      </c>
      <c r="CR1366" t="s">
        <v>116</v>
      </c>
      <c r="CS1366">
        <v>148</v>
      </c>
      <c r="CT1366">
        <v>2</v>
      </c>
      <c r="CU1366" t="s">
        <v>470</v>
      </c>
      <c r="CV1366" t="s">
        <v>471</v>
      </c>
      <c r="CY1366">
        <v>4789679</v>
      </c>
      <c r="CZ1366" t="s">
        <v>119</v>
      </c>
    </row>
    <row r="1367" spans="1:104" x14ac:dyDescent="0.25">
      <c r="A1367" t="str">
        <f>"14:13:08.859"</f>
        <v>14:13:08.859</v>
      </c>
      <c r="B1367" t="s">
        <v>108</v>
      </c>
      <c r="C1367" t="str">
        <f t="shared" si="64"/>
        <v>ffdfd3c0</v>
      </c>
      <c r="D1367" t="s">
        <v>109</v>
      </c>
      <c r="E1367">
        <v>4</v>
      </c>
      <c r="F1367">
        <v>1004</v>
      </c>
      <c r="G1367" t="s">
        <v>110</v>
      </c>
      <c r="J1367" t="s">
        <v>111</v>
      </c>
      <c r="K1367">
        <v>0</v>
      </c>
      <c r="L1367">
        <v>3</v>
      </c>
      <c r="M1367">
        <v>0</v>
      </c>
      <c r="N1367">
        <v>2</v>
      </c>
      <c r="O1367">
        <v>1</v>
      </c>
      <c r="P1367">
        <v>0</v>
      </c>
      <c r="Q1367">
        <v>0</v>
      </c>
      <c r="R1367" t="s">
        <v>112</v>
      </c>
      <c r="S1367" t="str">
        <f>"14:13:08.664"</f>
        <v>14:13:08.664</v>
      </c>
      <c r="T1367" t="str">
        <f>"14:13:08.266"</f>
        <v>14:13:08.266</v>
      </c>
      <c r="U1367" t="str">
        <f t="shared" si="63"/>
        <v>ad5732</v>
      </c>
      <c r="V1367">
        <v>0</v>
      </c>
      <c r="W1367">
        <v>0</v>
      </c>
      <c r="X1367">
        <v>1</v>
      </c>
      <c r="Z1367">
        <v>0</v>
      </c>
      <c r="AA1367">
        <v>9</v>
      </c>
      <c r="AB1367">
        <v>3</v>
      </c>
      <c r="AC1367">
        <v>0</v>
      </c>
      <c r="AD1367">
        <v>10</v>
      </c>
      <c r="AE1367">
        <v>0</v>
      </c>
      <c r="AF1367">
        <v>3</v>
      </c>
      <c r="AG1367">
        <v>2</v>
      </c>
      <c r="AH1367">
        <v>0</v>
      </c>
      <c r="AI1367" t="s">
        <v>2837</v>
      </c>
      <c r="AJ1367">
        <v>39.582667000000001</v>
      </c>
      <c r="AK1367" t="s">
        <v>2838</v>
      </c>
      <c r="AL1367">
        <v>-76.509776000000002</v>
      </c>
      <c r="AM1367">
        <v>100</v>
      </c>
      <c r="AN1367">
        <v>8700</v>
      </c>
      <c r="AO1367" t="s">
        <v>115</v>
      </c>
      <c r="AP1367">
        <v>168</v>
      </c>
      <c r="AQ1367">
        <v>86</v>
      </c>
      <c r="AR1367">
        <v>0</v>
      </c>
      <c r="AZ1367">
        <v>3614</v>
      </c>
      <c r="BA1367">
        <v>1</v>
      </c>
      <c r="BB1367" t="str">
        <f t="shared" si="65"/>
        <v xml:space="preserve">N959MJ  </v>
      </c>
      <c r="BC1367">
        <v>1</v>
      </c>
      <c r="BE1367">
        <v>0</v>
      </c>
      <c r="BF1367">
        <v>0</v>
      </c>
      <c r="BG1367">
        <v>0</v>
      </c>
      <c r="BH1367">
        <v>9025</v>
      </c>
      <c r="BI1367">
        <v>325</v>
      </c>
      <c r="BJ1367">
        <v>1</v>
      </c>
      <c r="BK1367">
        <v>1</v>
      </c>
      <c r="BL1367">
        <v>1</v>
      </c>
      <c r="BM1367">
        <v>0</v>
      </c>
      <c r="BP1367">
        <v>0</v>
      </c>
      <c r="BQ1367">
        <v>0</v>
      </c>
      <c r="BX1367" t="str">
        <f>"14:13:08.672"</f>
        <v>14:13:08.672</v>
      </c>
      <c r="BY1367" t="str">
        <f>"671397860"</f>
        <v>671397860</v>
      </c>
      <c r="CL1367">
        <v>0</v>
      </c>
      <c r="CM1367">
        <v>2</v>
      </c>
      <c r="CN1367">
        <v>0</v>
      </c>
      <c r="CO1367">
        <v>2</v>
      </c>
      <c r="CP1367">
        <v>0</v>
      </c>
      <c r="CQ1367">
        <v>7</v>
      </c>
      <c r="CR1367" t="s">
        <v>116</v>
      </c>
      <c r="CS1367">
        <v>396</v>
      </c>
      <c r="CT1367">
        <v>2</v>
      </c>
      <c r="CU1367" t="s">
        <v>939</v>
      </c>
      <c r="CV1367" t="s">
        <v>940</v>
      </c>
      <c r="CY1367">
        <v>5153602</v>
      </c>
      <c r="CZ1367" t="s">
        <v>119</v>
      </c>
    </row>
    <row r="1368" spans="1:104" x14ac:dyDescent="0.25">
      <c r="A1368" t="str">
        <f>"14:13:09.711"</f>
        <v>14:13:09.711</v>
      </c>
      <c r="B1368" t="s">
        <v>108</v>
      </c>
      <c r="C1368" t="str">
        <f t="shared" si="64"/>
        <v>ffdfd3c0</v>
      </c>
      <c r="D1368" t="s">
        <v>109</v>
      </c>
      <c r="E1368">
        <v>4</v>
      </c>
      <c r="F1368">
        <v>1004</v>
      </c>
      <c r="G1368" t="s">
        <v>110</v>
      </c>
      <c r="J1368" t="s">
        <v>111</v>
      </c>
      <c r="K1368">
        <v>0</v>
      </c>
      <c r="L1368">
        <v>3</v>
      </c>
      <c r="M1368">
        <v>0</v>
      </c>
      <c r="N1368">
        <v>2</v>
      </c>
      <c r="O1368">
        <v>1</v>
      </c>
      <c r="P1368">
        <v>0</v>
      </c>
      <c r="Q1368">
        <v>0</v>
      </c>
      <c r="R1368" t="s">
        <v>112</v>
      </c>
      <c r="S1368" t="str">
        <f>"14:13:09.555"</f>
        <v>14:13:09.555</v>
      </c>
      <c r="T1368" t="str">
        <f>"14:13:09.156"</f>
        <v>14:13:09.156</v>
      </c>
      <c r="U1368" t="str">
        <f t="shared" si="63"/>
        <v>ad5732</v>
      </c>
      <c r="V1368">
        <v>0</v>
      </c>
      <c r="W1368">
        <v>0</v>
      </c>
      <c r="X1368">
        <v>1</v>
      </c>
      <c r="Z1368">
        <v>0</v>
      </c>
      <c r="AA1368">
        <v>9</v>
      </c>
      <c r="AB1368">
        <v>3</v>
      </c>
      <c r="AC1368">
        <v>0</v>
      </c>
      <c r="AD1368">
        <v>10</v>
      </c>
      <c r="AE1368">
        <v>0</v>
      </c>
      <c r="AF1368">
        <v>3</v>
      </c>
      <c r="AG1368">
        <v>2</v>
      </c>
      <c r="AH1368">
        <v>0</v>
      </c>
      <c r="AI1368" t="s">
        <v>2839</v>
      </c>
      <c r="AJ1368">
        <v>39.583010999999999</v>
      </c>
      <c r="AK1368" t="s">
        <v>2840</v>
      </c>
      <c r="AL1368">
        <v>-76.508853000000002</v>
      </c>
      <c r="AM1368">
        <v>100</v>
      </c>
      <c r="AN1368">
        <v>8700</v>
      </c>
      <c r="AO1368" t="s">
        <v>115</v>
      </c>
      <c r="AP1368">
        <v>168</v>
      </c>
      <c r="AQ1368">
        <v>86</v>
      </c>
      <c r="AR1368">
        <v>0</v>
      </c>
      <c r="AZ1368">
        <v>3614</v>
      </c>
      <c r="BA1368">
        <v>1</v>
      </c>
      <c r="BB1368" t="str">
        <f t="shared" si="65"/>
        <v xml:space="preserve">N959MJ  </v>
      </c>
      <c r="BC1368">
        <v>1</v>
      </c>
      <c r="BE1368">
        <v>0</v>
      </c>
      <c r="BF1368">
        <v>0</v>
      </c>
      <c r="BG1368">
        <v>0</v>
      </c>
      <c r="BH1368">
        <v>9025</v>
      </c>
      <c r="BI1368">
        <v>325</v>
      </c>
      <c r="BJ1368">
        <v>1</v>
      </c>
      <c r="BK1368">
        <v>1</v>
      </c>
      <c r="BL1368">
        <v>1</v>
      </c>
      <c r="BM1368">
        <v>0</v>
      </c>
      <c r="BP1368">
        <v>0</v>
      </c>
      <c r="BQ1368">
        <v>0</v>
      </c>
      <c r="BX1368" t="str">
        <f>"14:13:09.563"</f>
        <v>14:13:09.563</v>
      </c>
      <c r="BY1368" t="str">
        <f>"559425241"</f>
        <v>559425241</v>
      </c>
      <c r="CL1368">
        <v>0</v>
      </c>
      <c r="CM1368">
        <v>2</v>
      </c>
      <c r="CN1368">
        <v>0</v>
      </c>
      <c r="CO1368">
        <v>2</v>
      </c>
      <c r="CP1368">
        <v>0</v>
      </c>
      <c r="CQ1368">
        <v>7</v>
      </c>
      <c r="CR1368" t="s">
        <v>116</v>
      </c>
      <c r="CS1368">
        <v>396</v>
      </c>
      <c r="CT1368">
        <v>2</v>
      </c>
      <c r="CU1368" t="s">
        <v>939</v>
      </c>
      <c r="CV1368" t="s">
        <v>940</v>
      </c>
      <c r="CY1368">
        <v>5155298</v>
      </c>
      <c r="CZ1368" t="s">
        <v>119</v>
      </c>
    </row>
    <row r="1369" spans="1:104" x14ac:dyDescent="0.25">
      <c r="A1369" t="str">
        <f>"14:13:10.773"</f>
        <v>14:13:10.773</v>
      </c>
      <c r="B1369" t="s">
        <v>108</v>
      </c>
      <c r="C1369" t="str">
        <f t="shared" si="64"/>
        <v>ffdfd3c0</v>
      </c>
      <c r="D1369" t="s">
        <v>109</v>
      </c>
      <c r="E1369">
        <v>4</v>
      </c>
      <c r="F1369">
        <v>1004</v>
      </c>
      <c r="G1369" t="s">
        <v>110</v>
      </c>
      <c r="J1369" t="s">
        <v>111</v>
      </c>
      <c r="K1369">
        <v>0</v>
      </c>
      <c r="L1369">
        <v>3</v>
      </c>
      <c r="M1369">
        <v>0</v>
      </c>
      <c r="N1369">
        <v>2</v>
      </c>
      <c r="O1369">
        <v>1</v>
      </c>
      <c r="P1369">
        <v>0</v>
      </c>
      <c r="Q1369">
        <v>0</v>
      </c>
      <c r="R1369" t="s">
        <v>112</v>
      </c>
      <c r="S1369" t="str">
        <f>"14:13:10.547"</f>
        <v>14:13:10.547</v>
      </c>
      <c r="T1369" t="str">
        <f>"14:13:09.648"</f>
        <v>14:13:09.648</v>
      </c>
      <c r="U1369" t="str">
        <f t="shared" si="63"/>
        <v>ad5732</v>
      </c>
      <c r="V1369">
        <v>0</v>
      </c>
      <c r="W1369">
        <v>0</v>
      </c>
      <c r="X1369">
        <v>1</v>
      </c>
      <c r="Z1369">
        <v>0</v>
      </c>
      <c r="AA1369">
        <v>9</v>
      </c>
      <c r="AB1369">
        <v>3</v>
      </c>
      <c r="AC1369">
        <v>0</v>
      </c>
      <c r="AD1369">
        <v>10</v>
      </c>
      <c r="AE1369">
        <v>0</v>
      </c>
      <c r="AF1369">
        <v>3</v>
      </c>
      <c r="AG1369">
        <v>2</v>
      </c>
      <c r="AH1369">
        <v>0</v>
      </c>
      <c r="AI1369" t="s">
        <v>2841</v>
      </c>
      <c r="AJ1369">
        <v>39.583418000000002</v>
      </c>
      <c r="AK1369" t="s">
        <v>2842</v>
      </c>
      <c r="AL1369">
        <v>-76.507823000000002</v>
      </c>
      <c r="AM1369">
        <v>100</v>
      </c>
      <c r="AN1369">
        <v>8700</v>
      </c>
      <c r="AO1369" t="s">
        <v>115</v>
      </c>
      <c r="AP1369">
        <v>168</v>
      </c>
      <c r="AQ1369">
        <v>86</v>
      </c>
      <c r="AR1369">
        <v>0</v>
      </c>
      <c r="AZ1369">
        <v>3614</v>
      </c>
      <c r="BA1369">
        <v>1</v>
      </c>
      <c r="BB1369" t="str">
        <f t="shared" si="65"/>
        <v xml:space="preserve">N959MJ  </v>
      </c>
      <c r="BC1369">
        <v>1</v>
      </c>
      <c r="BE1369">
        <v>0</v>
      </c>
      <c r="BF1369">
        <v>0</v>
      </c>
      <c r="BG1369">
        <v>0</v>
      </c>
      <c r="BH1369">
        <v>9025</v>
      </c>
      <c r="BI1369">
        <v>325</v>
      </c>
      <c r="BJ1369">
        <v>1</v>
      </c>
      <c r="BK1369">
        <v>1</v>
      </c>
      <c r="BL1369">
        <v>1</v>
      </c>
      <c r="BM1369">
        <v>0</v>
      </c>
      <c r="BP1369">
        <v>0</v>
      </c>
      <c r="BQ1369">
        <v>0</v>
      </c>
      <c r="BX1369" t="str">
        <f>"14:13:10.555"</f>
        <v>14:13:10.555</v>
      </c>
      <c r="BY1369" t="str">
        <f>"553950609"</f>
        <v>553950609</v>
      </c>
      <c r="CL1369">
        <v>0</v>
      </c>
      <c r="CM1369">
        <v>2</v>
      </c>
      <c r="CN1369">
        <v>0</v>
      </c>
      <c r="CO1369">
        <v>2</v>
      </c>
      <c r="CP1369">
        <v>0</v>
      </c>
      <c r="CQ1369">
        <v>7</v>
      </c>
      <c r="CR1369" t="s">
        <v>116</v>
      </c>
      <c r="CS1369">
        <v>396</v>
      </c>
      <c r="CT1369">
        <v>2</v>
      </c>
      <c r="CU1369" t="s">
        <v>939</v>
      </c>
      <c r="CV1369" t="s">
        <v>940</v>
      </c>
      <c r="CY1369">
        <v>5157067</v>
      </c>
      <c r="CZ1369" t="s">
        <v>119</v>
      </c>
    </row>
    <row r="1370" spans="1:104" x14ac:dyDescent="0.25">
      <c r="A1370" t="str">
        <f>"14:13:11.781"</f>
        <v>14:13:11.781</v>
      </c>
      <c r="B1370" t="s">
        <v>108</v>
      </c>
      <c r="C1370" t="str">
        <f t="shared" si="64"/>
        <v>ffdfd3c0</v>
      </c>
      <c r="D1370" t="s">
        <v>109</v>
      </c>
      <c r="E1370">
        <v>4</v>
      </c>
      <c r="F1370">
        <v>1004</v>
      </c>
      <c r="G1370" t="s">
        <v>110</v>
      </c>
      <c r="J1370" t="s">
        <v>111</v>
      </c>
      <c r="K1370">
        <v>0</v>
      </c>
      <c r="L1370">
        <v>3</v>
      </c>
      <c r="M1370">
        <v>0</v>
      </c>
      <c r="N1370">
        <v>2</v>
      </c>
      <c r="O1370">
        <v>1</v>
      </c>
      <c r="P1370">
        <v>0</v>
      </c>
      <c r="Q1370">
        <v>0</v>
      </c>
      <c r="R1370" t="s">
        <v>112</v>
      </c>
      <c r="S1370" t="str">
        <f>"14:13:11.578"</f>
        <v>14:13:11.578</v>
      </c>
      <c r="T1370" t="str">
        <f>"14:13:11.180"</f>
        <v>14:13:11.180</v>
      </c>
      <c r="U1370" t="str">
        <f t="shared" si="63"/>
        <v>ad5732</v>
      </c>
      <c r="V1370">
        <v>0</v>
      </c>
      <c r="W1370">
        <v>0</v>
      </c>
      <c r="X1370">
        <v>1</v>
      </c>
      <c r="Z1370">
        <v>0</v>
      </c>
      <c r="AA1370">
        <v>9</v>
      </c>
      <c r="AB1370">
        <v>3</v>
      </c>
      <c r="AC1370">
        <v>0</v>
      </c>
      <c r="AD1370">
        <v>10</v>
      </c>
      <c r="AE1370">
        <v>0</v>
      </c>
      <c r="AF1370">
        <v>3</v>
      </c>
      <c r="AG1370">
        <v>2</v>
      </c>
      <c r="AH1370">
        <v>0</v>
      </c>
      <c r="AI1370" t="s">
        <v>2843</v>
      </c>
      <c r="AJ1370">
        <v>39.583826000000002</v>
      </c>
      <c r="AK1370" t="s">
        <v>2844</v>
      </c>
      <c r="AL1370">
        <v>-76.506815000000003</v>
      </c>
      <c r="AM1370">
        <v>100</v>
      </c>
      <c r="AN1370">
        <v>8700</v>
      </c>
      <c r="AO1370" t="s">
        <v>115</v>
      </c>
      <c r="AP1370">
        <v>167</v>
      </c>
      <c r="AQ1370">
        <v>86</v>
      </c>
      <c r="AR1370">
        <v>0</v>
      </c>
      <c r="AZ1370">
        <v>3614</v>
      </c>
      <c r="BA1370">
        <v>1</v>
      </c>
      <c r="BB1370" t="str">
        <f t="shared" si="65"/>
        <v xml:space="preserve">N959MJ  </v>
      </c>
      <c r="BC1370">
        <v>1</v>
      </c>
      <c r="BE1370">
        <v>0</v>
      </c>
      <c r="BF1370">
        <v>0</v>
      </c>
      <c r="BG1370">
        <v>0</v>
      </c>
      <c r="BH1370">
        <v>9025</v>
      </c>
      <c r="BI1370">
        <v>325</v>
      </c>
      <c r="BJ1370">
        <v>1</v>
      </c>
      <c r="BK1370">
        <v>1</v>
      </c>
      <c r="BL1370">
        <v>1</v>
      </c>
      <c r="BM1370">
        <v>0</v>
      </c>
      <c r="BP1370">
        <v>0</v>
      </c>
      <c r="BQ1370">
        <v>0</v>
      </c>
      <c r="BX1370" t="str">
        <f>"14:13:11.578"</f>
        <v>14:13:11.578</v>
      </c>
      <c r="BY1370" t="str">
        <f>"581244371"</f>
        <v>581244371</v>
      </c>
      <c r="CL1370">
        <v>0</v>
      </c>
      <c r="CM1370">
        <v>2</v>
      </c>
      <c r="CN1370">
        <v>0</v>
      </c>
      <c r="CO1370">
        <v>2</v>
      </c>
      <c r="CP1370">
        <v>0</v>
      </c>
      <c r="CQ1370">
        <v>7</v>
      </c>
      <c r="CR1370" t="s">
        <v>116</v>
      </c>
      <c r="CS1370">
        <v>396</v>
      </c>
      <c r="CT1370">
        <v>2</v>
      </c>
      <c r="CU1370" t="s">
        <v>939</v>
      </c>
      <c r="CV1370" t="s">
        <v>940</v>
      </c>
      <c r="CY1370">
        <v>5158925</v>
      </c>
      <c r="CZ1370" t="s">
        <v>119</v>
      </c>
    </row>
    <row r="1371" spans="1:104" x14ac:dyDescent="0.25">
      <c r="A1371" t="str">
        <f>"14:13:12.695"</f>
        <v>14:13:12.695</v>
      </c>
      <c r="B1371" t="s">
        <v>108</v>
      </c>
      <c r="C1371" t="str">
        <f t="shared" si="64"/>
        <v>ffdfd3c0</v>
      </c>
      <c r="D1371" t="s">
        <v>109</v>
      </c>
      <c r="E1371">
        <v>4</v>
      </c>
      <c r="F1371">
        <v>1004</v>
      </c>
      <c r="G1371" t="s">
        <v>110</v>
      </c>
      <c r="J1371" t="s">
        <v>111</v>
      </c>
      <c r="K1371">
        <v>0</v>
      </c>
      <c r="L1371">
        <v>3</v>
      </c>
      <c r="M1371">
        <v>0</v>
      </c>
      <c r="N1371">
        <v>2</v>
      </c>
      <c r="O1371">
        <v>1</v>
      </c>
      <c r="P1371">
        <v>0</v>
      </c>
      <c r="Q1371">
        <v>0</v>
      </c>
      <c r="R1371" t="s">
        <v>112</v>
      </c>
      <c r="S1371" t="str">
        <f>"14:13:12.523"</f>
        <v>14:13:12.523</v>
      </c>
      <c r="T1371" t="str">
        <f>"14:13:12.125"</f>
        <v>14:13:12.125</v>
      </c>
      <c r="U1371" t="str">
        <f t="shared" si="63"/>
        <v>ad5732</v>
      </c>
      <c r="V1371">
        <v>0</v>
      </c>
      <c r="W1371">
        <v>0</v>
      </c>
      <c r="X1371">
        <v>1</v>
      </c>
      <c r="Z1371">
        <v>0</v>
      </c>
      <c r="AA1371">
        <v>9</v>
      </c>
      <c r="AB1371">
        <v>3</v>
      </c>
      <c r="AC1371">
        <v>0</v>
      </c>
      <c r="AD1371">
        <v>10</v>
      </c>
      <c r="AE1371">
        <v>0</v>
      </c>
      <c r="AF1371">
        <v>3</v>
      </c>
      <c r="AG1371">
        <v>2</v>
      </c>
      <c r="AH1371">
        <v>0</v>
      </c>
      <c r="AI1371" t="s">
        <v>2845</v>
      </c>
      <c r="AJ1371">
        <v>39.584190999999997</v>
      </c>
      <c r="AK1371" t="s">
        <v>2846</v>
      </c>
      <c r="AL1371">
        <v>-76.505870999999999</v>
      </c>
      <c r="AM1371">
        <v>100</v>
      </c>
      <c r="AN1371">
        <v>8700</v>
      </c>
      <c r="AO1371" t="s">
        <v>115</v>
      </c>
      <c r="AP1371">
        <v>167</v>
      </c>
      <c r="AQ1371">
        <v>86</v>
      </c>
      <c r="AR1371">
        <v>0</v>
      </c>
      <c r="AZ1371">
        <v>3614</v>
      </c>
      <c r="BA1371">
        <v>1</v>
      </c>
      <c r="BB1371" t="str">
        <f t="shared" si="65"/>
        <v xml:space="preserve">N959MJ  </v>
      </c>
      <c r="BC1371">
        <v>1</v>
      </c>
      <c r="BE1371">
        <v>0</v>
      </c>
      <c r="BF1371">
        <v>0</v>
      </c>
      <c r="BG1371">
        <v>0</v>
      </c>
      <c r="BH1371">
        <v>9025</v>
      </c>
      <c r="BI1371">
        <v>325</v>
      </c>
      <c r="BJ1371">
        <v>1</v>
      </c>
      <c r="BK1371">
        <v>1</v>
      </c>
      <c r="BL1371">
        <v>1</v>
      </c>
      <c r="BM1371">
        <v>0</v>
      </c>
      <c r="BP1371">
        <v>0</v>
      </c>
      <c r="BQ1371">
        <v>0</v>
      </c>
      <c r="BX1371" t="str">
        <f>"14:13:12.531"</f>
        <v>14:13:12.531</v>
      </c>
      <c r="BY1371" t="str">
        <f>"529893741"</f>
        <v>529893741</v>
      </c>
      <c r="CL1371">
        <v>0</v>
      </c>
      <c r="CM1371">
        <v>2</v>
      </c>
      <c r="CN1371">
        <v>0</v>
      </c>
      <c r="CO1371">
        <v>2</v>
      </c>
      <c r="CP1371">
        <v>0</v>
      </c>
      <c r="CQ1371">
        <v>7</v>
      </c>
      <c r="CR1371" t="s">
        <v>116</v>
      </c>
      <c r="CS1371">
        <v>396</v>
      </c>
      <c r="CT1371">
        <v>2</v>
      </c>
      <c r="CU1371" t="s">
        <v>939</v>
      </c>
      <c r="CV1371" t="s">
        <v>940</v>
      </c>
      <c r="CY1371">
        <v>5160711</v>
      </c>
      <c r="CZ1371" t="s">
        <v>119</v>
      </c>
    </row>
    <row r="1372" spans="1:104" x14ac:dyDescent="0.25">
      <c r="A1372" t="str">
        <f>"14:13:13.648"</f>
        <v>14:13:13.648</v>
      </c>
      <c r="B1372" t="s">
        <v>108</v>
      </c>
      <c r="C1372" t="str">
        <f t="shared" si="64"/>
        <v>ffdfd3c0</v>
      </c>
      <c r="D1372" t="s">
        <v>109</v>
      </c>
      <c r="E1372">
        <v>4</v>
      </c>
      <c r="F1372">
        <v>1004</v>
      </c>
      <c r="G1372" t="s">
        <v>110</v>
      </c>
      <c r="J1372" t="s">
        <v>111</v>
      </c>
      <c r="K1372">
        <v>0</v>
      </c>
      <c r="L1372">
        <v>3</v>
      </c>
      <c r="M1372">
        <v>0</v>
      </c>
      <c r="N1372">
        <v>2</v>
      </c>
      <c r="O1372">
        <v>1</v>
      </c>
      <c r="P1372">
        <v>0</v>
      </c>
      <c r="Q1372">
        <v>0</v>
      </c>
      <c r="R1372" t="s">
        <v>112</v>
      </c>
      <c r="S1372" t="str">
        <f>"14:13:13.445"</f>
        <v>14:13:13.445</v>
      </c>
      <c r="T1372" t="str">
        <f>"14:13:13.047"</f>
        <v>14:13:13.047</v>
      </c>
      <c r="U1372" t="str">
        <f t="shared" si="63"/>
        <v>ad5732</v>
      </c>
      <c r="V1372">
        <v>0</v>
      </c>
      <c r="W1372">
        <v>0</v>
      </c>
      <c r="X1372">
        <v>1</v>
      </c>
      <c r="Z1372">
        <v>0</v>
      </c>
      <c r="AA1372">
        <v>9</v>
      </c>
      <c r="AB1372">
        <v>3</v>
      </c>
      <c r="AC1372">
        <v>0</v>
      </c>
      <c r="AD1372">
        <v>10</v>
      </c>
      <c r="AE1372">
        <v>0</v>
      </c>
      <c r="AF1372">
        <v>3</v>
      </c>
      <c r="AG1372">
        <v>2</v>
      </c>
      <c r="AH1372">
        <v>0</v>
      </c>
      <c r="AI1372" t="s">
        <v>2847</v>
      </c>
      <c r="AJ1372">
        <v>39.584577000000003</v>
      </c>
      <c r="AK1372" t="s">
        <v>2848</v>
      </c>
      <c r="AL1372">
        <v>-76.504947999999999</v>
      </c>
      <c r="AM1372">
        <v>100</v>
      </c>
      <c r="AN1372">
        <v>8700</v>
      </c>
      <c r="AO1372" t="s">
        <v>115</v>
      </c>
      <c r="AP1372">
        <v>167</v>
      </c>
      <c r="AQ1372">
        <v>86</v>
      </c>
      <c r="AR1372">
        <v>0</v>
      </c>
      <c r="AZ1372">
        <v>3614</v>
      </c>
      <c r="BA1372">
        <v>1</v>
      </c>
      <c r="BB1372" t="str">
        <f t="shared" si="65"/>
        <v xml:space="preserve">N959MJ  </v>
      </c>
      <c r="BC1372">
        <v>1</v>
      </c>
      <c r="BE1372">
        <v>0</v>
      </c>
      <c r="BF1372">
        <v>0</v>
      </c>
      <c r="BG1372">
        <v>0</v>
      </c>
      <c r="BH1372">
        <v>9025</v>
      </c>
      <c r="BI1372">
        <v>325</v>
      </c>
      <c r="BJ1372">
        <v>1</v>
      </c>
      <c r="BK1372">
        <v>1</v>
      </c>
      <c r="BL1372">
        <v>1</v>
      </c>
      <c r="BM1372">
        <v>0</v>
      </c>
      <c r="BP1372">
        <v>0</v>
      </c>
      <c r="BQ1372">
        <v>0</v>
      </c>
      <c r="BX1372" t="str">
        <f>"14:13:13.445"</f>
        <v>14:13:13.445</v>
      </c>
      <c r="BY1372" t="str">
        <f>"449051439"</f>
        <v>449051439</v>
      </c>
      <c r="CL1372">
        <v>0</v>
      </c>
      <c r="CM1372">
        <v>2</v>
      </c>
      <c r="CN1372">
        <v>0</v>
      </c>
      <c r="CO1372">
        <v>2</v>
      </c>
      <c r="CP1372">
        <v>0</v>
      </c>
      <c r="CQ1372">
        <v>7</v>
      </c>
      <c r="CR1372" t="s">
        <v>116</v>
      </c>
      <c r="CS1372">
        <v>396</v>
      </c>
      <c r="CT1372">
        <v>2</v>
      </c>
      <c r="CU1372" t="s">
        <v>939</v>
      </c>
      <c r="CV1372" t="s">
        <v>940</v>
      </c>
      <c r="CY1372">
        <v>5162501</v>
      </c>
      <c r="CZ1372" t="s">
        <v>119</v>
      </c>
    </row>
    <row r="1373" spans="1:104" x14ac:dyDescent="0.25">
      <c r="A1373" t="str">
        <f>"14:13:14.711"</f>
        <v>14:13:14.711</v>
      </c>
      <c r="B1373" t="s">
        <v>108</v>
      </c>
      <c r="C1373" t="str">
        <f t="shared" si="64"/>
        <v>ffdfd3c0</v>
      </c>
      <c r="D1373" t="s">
        <v>109</v>
      </c>
      <c r="E1373">
        <v>4</v>
      </c>
      <c r="F1373">
        <v>1004</v>
      </c>
      <c r="G1373" t="s">
        <v>110</v>
      </c>
      <c r="J1373" t="s">
        <v>111</v>
      </c>
      <c r="K1373">
        <v>0</v>
      </c>
      <c r="L1373">
        <v>3</v>
      </c>
      <c r="M1373">
        <v>0</v>
      </c>
      <c r="N1373">
        <v>2</v>
      </c>
      <c r="O1373">
        <v>1</v>
      </c>
      <c r="P1373">
        <v>0</v>
      </c>
      <c r="Q1373">
        <v>0</v>
      </c>
      <c r="R1373" t="s">
        <v>112</v>
      </c>
      <c r="S1373" t="str">
        <f>"14:13:14.516"</f>
        <v>14:13:14.516</v>
      </c>
      <c r="T1373" t="str">
        <f>"14:13:14.117"</f>
        <v>14:13:14.117</v>
      </c>
      <c r="U1373" t="str">
        <f t="shared" si="63"/>
        <v>ad5732</v>
      </c>
      <c r="V1373">
        <v>0</v>
      </c>
      <c r="W1373">
        <v>0</v>
      </c>
      <c r="X1373">
        <v>1</v>
      </c>
      <c r="Z1373">
        <v>0</v>
      </c>
      <c r="AA1373">
        <v>9</v>
      </c>
      <c r="AB1373">
        <v>3</v>
      </c>
      <c r="AC1373">
        <v>0</v>
      </c>
      <c r="AD1373">
        <v>10</v>
      </c>
      <c r="AE1373">
        <v>0</v>
      </c>
      <c r="AF1373">
        <v>3</v>
      </c>
      <c r="AG1373">
        <v>2</v>
      </c>
      <c r="AH1373">
        <v>0</v>
      </c>
      <c r="AI1373" t="s">
        <v>2849</v>
      </c>
      <c r="AJ1373">
        <v>39.585028000000001</v>
      </c>
      <c r="AK1373" t="s">
        <v>2850</v>
      </c>
      <c r="AL1373">
        <v>-76.503832000000003</v>
      </c>
      <c r="AM1373">
        <v>100</v>
      </c>
      <c r="AN1373">
        <v>8700</v>
      </c>
      <c r="AO1373" t="s">
        <v>115</v>
      </c>
      <c r="AP1373">
        <v>167</v>
      </c>
      <c r="AQ1373">
        <v>86</v>
      </c>
      <c r="AR1373">
        <v>0</v>
      </c>
      <c r="AZ1373">
        <v>3614</v>
      </c>
      <c r="BA1373">
        <v>1</v>
      </c>
      <c r="BB1373" t="str">
        <f t="shared" si="65"/>
        <v xml:space="preserve">N959MJ  </v>
      </c>
      <c r="BC1373">
        <v>1</v>
      </c>
      <c r="BE1373">
        <v>0</v>
      </c>
      <c r="BF1373">
        <v>0</v>
      </c>
      <c r="BG1373">
        <v>0</v>
      </c>
      <c r="BH1373">
        <v>9025</v>
      </c>
      <c r="BI1373">
        <v>325</v>
      </c>
      <c r="BJ1373">
        <v>1</v>
      </c>
      <c r="BK1373">
        <v>1</v>
      </c>
      <c r="BL1373">
        <v>1</v>
      </c>
      <c r="BM1373">
        <v>0</v>
      </c>
      <c r="BP1373">
        <v>0</v>
      </c>
      <c r="BQ1373">
        <v>0</v>
      </c>
      <c r="BX1373" t="str">
        <f>"14:13:14.516"</f>
        <v>14:13:14.516</v>
      </c>
      <c r="BY1373" t="str">
        <f>"515667490"</f>
        <v>515667490</v>
      </c>
      <c r="CL1373">
        <v>0</v>
      </c>
      <c r="CM1373">
        <v>2</v>
      </c>
      <c r="CN1373">
        <v>0</v>
      </c>
      <c r="CO1373">
        <v>2</v>
      </c>
      <c r="CP1373">
        <v>0</v>
      </c>
      <c r="CQ1373">
        <v>7</v>
      </c>
      <c r="CR1373" t="s">
        <v>116</v>
      </c>
      <c r="CS1373">
        <v>396</v>
      </c>
      <c r="CT1373">
        <v>2</v>
      </c>
      <c r="CU1373" t="s">
        <v>939</v>
      </c>
      <c r="CV1373" t="s">
        <v>940</v>
      </c>
      <c r="CY1373">
        <v>5164407</v>
      </c>
      <c r="CZ1373" t="s">
        <v>119</v>
      </c>
    </row>
    <row r="1374" spans="1:104" x14ac:dyDescent="0.25">
      <c r="A1374" t="str">
        <f>"14:13:15.516"</f>
        <v>14:13:15.516</v>
      </c>
      <c r="B1374" t="s">
        <v>108</v>
      </c>
      <c r="C1374" t="str">
        <f t="shared" si="64"/>
        <v>ffdfd3c0</v>
      </c>
      <c r="D1374" t="s">
        <v>109</v>
      </c>
      <c r="E1374">
        <v>4</v>
      </c>
      <c r="F1374">
        <v>1004</v>
      </c>
      <c r="G1374" t="s">
        <v>110</v>
      </c>
      <c r="J1374" t="s">
        <v>111</v>
      </c>
      <c r="K1374">
        <v>0</v>
      </c>
      <c r="L1374">
        <v>3</v>
      </c>
      <c r="M1374">
        <v>0</v>
      </c>
      <c r="N1374">
        <v>2</v>
      </c>
      <c r="O1374">
        <v>1</v>
      </c>
      <c r="P1374">
        <v>0</v>
      </c>
      <c r="Q1374">
        <v>0</v>
      </c>
      <c r="R1374" t="s">
        <v>112</v>
      </c>
      <c r="S1374" t="str">
        <f>"14:13:15.352"</f>
        <v>14:13:15.352</v>
      </c>
      <c r="T1374" t="str">
        <f>"14:13:14.953"</f>
        <v>14:13:14.953</v>
      </c>
      <c r="U1374" t="str">
        <f t="shared" si="63"/>
        <v>ad5732</v>
      </c>
      <c r="V1374">
        <v>0</v>
      </c>
      <c r="W1374">
        <v>0</v>
      </c>
      <c r="X1374">
        <v>1</v>
      </c>
      <c r="Z1374">
        <v>0</v>
      </c>
      <c r="AA1374">
        <v>9</v>
      </c>
      <c r="AB1374">
        <v>3</v>
      </c>
      <c r="AC1374">
        <v>0</v>
      </c>
      <c r="AD1374">
        <v>10</v>
      </c>
      <c r="AE1374">
        <v>0</v>
      </c>
      <c r="AF1374">
        <v>3</v>
      </c>
      <c r="AG1374">
        <v>2</v>
      </c>
      <c r="AH1374">
        <v>0</v>
      </c>
      <c r="AI1374" t="s">
        <v>2851</v>
      </c>
      <c r="AJ1374">
        <v>39.585349999999998</v>
      </c>
      <c r="AK1374" t="s">
        <v>2852</v>
      </c>
      <c r="AL1374">
        <v>-76.503060000000005</v>
      </c>
      <c r="AM1374">
        <v>100</v>
      </c>
      <c r="AN1374">
        <v>8700</v>
      </c>
      <c r="AO1374" t="s">
        <v>115</v>
      </c>
      <c r="AP1374">
        <v>167</v>
      </c>
      <c r="AQ1374">
        <v>86</v>
      </c>
      <c r="AR1374">
        <v>64</v>
      </c>
      <c r="AZ1374">
        <v>3614</v>
      </c>
      <c r="BA1374">
        <v>1</v>
      </c>
      <c r="BB1374" t="str">
        <f t="shared" si="65"/>
        <v xml:space="preserve">N959MJ  </v>
      </c>
      <c r="BC1374">
        <v>1</v>
      </c>
      <c r="BE1374">
        <v>0</v>
      </c>
      <c r="BF1374">
        <v>0</v>
      </c>
      <c r="BG1374">
        <v>0</v>
      </c>
      <c r="BH1374">
        <v>9025</v>
      </c>
      <c r="BI1374">
        <v>325</v>
      </c>
      <c r="BJ1374">
        <v>1</v>
      </c>
      <c r="BK1374">
        <v>1</v>
      </c>
      <c r="BL1374">
        <v>1</v>
      </c>
      <c r="BM1374">
        <v>0</v>
      </c>
      <c r="BP1374">
        <v>0</v>
      </c>
      <c r="BQ1374">
        <v>0</v>
      </c>
      <c r="BX1374" t="str">
        <f>"14:13:15.352"</f>
        <v>14:13:15.352</v>
      </c>
      <c r="BY1374" t="str">
        <f>"353025341"</f>
        <v>353025341</v>
      </c>
      <c r="CL1374">
        <v>0</v>
      </c>
      <c r="CM1374">
        <v>2</v>
      </c>
      <c r="CN1374">
        <v>0</v>
      </c>
      <c r="CO1374">
        <v>2</v>
      </c>
      <c r="CP1374">
        <v>0</v>
      </c>
      <c r="CQ1374">
        <v>5</v>
      </c>
      <c r="CR1374" t="s">
        <v>116</v>
      </c>
      <c r="CS1374">
        <v>525</v>
      </c>
      <c r="CT1374">
        <v>1</v>
      </c>
      <c r="CU1374" t="s">
        <v>140</v>
      </c>
      <c r="CV1374" t="s">
        <v>141</v>
      </c>
      <c r="CY1374">
        <v>9166049</v>
      </c>
      <c r="CZ1374" t="s">
        <v>119</v>
      </c>
    </row>
    <row r="1375" spans="1:104" x14ac:dyDescent="0.25">
      <c r="A1375" t="str">
        <f>"14:13:16.375"</f>
        <v>14:13:16.375</v>
      </c>
      <c r="B1375" t="s">
        <v>108</v>
      </c>
      <c r="C1375" t="str">
        <f t="shared" si="64"/>
        <v>ffdfd3c0</v>
      </c>
      <c r="D1375" t="s">
        <v>109</v>
      </c>
      <c r="E1375">
        <v>4</v>
      </c>
      <c r="F1375">
        <v>1004</v>
      </c>
      <c r="G1375" t="s">
        <v>110</v>
      </c>
      <c r="J1375" t="s">
        <v>111</v>
      </c>
      <c r="K1375">
        <v>0</v>
      </c>
      <c r="L1375">
        <v>3</v>
      </c>
      <c r="M1375">
        <v>0</v>
      </c>
      <c r="N1375">
        <v>2</v>
      </c>
      <c r="O1375">
        <v>1</v>
      </c>
      <c r="P1375">
        <v>0</v>
      </c>
      <c r="Q1375">
        <v>0</v>
      </c>
      <c r="R1375" t="s">
        <v>112</v>
      </c>
      <c r="S1375" t="str">
        <f>"14:13:16.188"</f>
        <v>14:13:16.188</v>
      </c>
      <c r="T1375" t="str">
        <f>"14:13:15.391"</f>
        <v>14:13:15.391</v>
      </c>
      <c r="U1375" t="str">
        <f t="shared" si="63"/>
        <v>ad5732</v>
      </c>
      <c r="V1375">
        <v>0</v>
      </c>
      <c r="W1375">
        <v>0</v>
      </c>
      <c r="X1375">
        <v>1</v>
      </c>
      <c r="Z1375">
        <v>0</v>
      </c>
      <c r="AA1375">
        <v>9</v>
      </c>
      <c r="AB1375">
        <v>3</v>
      </c>
      <c r="AC1375">
        <v>0</v>
      </c>
      <c r="AD1375">
        <v>10</v>
      </c>
      <c r="AE1375">
        <v>0</v>
      </c>
      <c r="AF1375">
        <v>3</v>
      </c>
      <c r="AG1375">
        <v>2</v>
      </c>
      <c r="AH1375">
        <v>0</v>
      </c>
      <c r="AI1375" t="s">
        <v>2853</v>
      </c>
      <c r="AJ1375">
        <v>39.585692999999999</v>
      </c>
      <c r="AK1375" t="s">
        <v>2854</v>
      </c>
      <c r="AL1375">
        <v>-76.502137000000005</v>
      </c>
      <c r="AM1375">
        <v>100</v>
      </c>
      <c r="AN1375">
        <v>8700</v>
      </c>
      <c r="AO1375" t="s">
        <v>115</v>
      </c>
      <c r="AP1375">
        <v>167</v>
      </c>
      <c r="AQ1375">
        <v>86</v>
      </c>
      <c r="AR1375">
        <v>0</v>
      </c>
      <c r="AZ1375">
        <v>3614</v>
      </c>
      <c r="BA1375">
        <v>1</v>
      </c>
      <c r="BB1375" t="str">
        <f t="shared" si="65"/>
        <v xml:space="preserve">N959MJ  </v>
      </c>
      <c r="BC1375">
        <v>1</v>
      </c>
      <c r="BE1375">
        <v>0</v>
      </c>
      <c r="BF1375">
        <v>0</v>
      </c>
      <c r="BG1375">
        <v>0</v>
      </c>
      <c r="BH1375">
        <v>9025</v>
      </c>
      <c r="BI1375">
        <v>325</v>
      </c>
      <c r="BJ1375">
        <v>1</v>
      </c>
      <c r="BK1375">
        <v>1</v>
      </c>
      <c r="BL1375">
        <v>1</v>
      </c>
      <c r="BM1375">
        <v>0</v>
      </c>
      <c r="BP1375">
        <v>0</v>
      </c>
      <c r="BQ1375">
        <v>0</v>
      </c>
      <c r="BX1375" t="str">
        <f>"14:13:16.195"</f>
        <v>14:13:16.195</v>
      </c>
      <c r="BY1375" t="str">
        <f>"195055367"</f>
        <v>195055367</v>
      </c>
      <c r="CL1375">
        <v>0</v>
      </c>
      <c r="CM1375">
        <v>2</v>
      </c>
      <c r="CN1375">
        <v>0</v>
      </c>
      <c r="CO1375">
        <v>2</v>
      </c>
      <c r="CP1375">
        <v>0</v>
      </c>
      <c r="CQ1375">
        <v>7</v>
      </c>
      <c r="CR1375" t="s">
        <v>116</v>
      </c>
      <c r="CS1375">
        <v>396</v>
      </c>
      <c r="CT1375">
        <v>2</v>
      </c>
      <c r="CU1375" t="s">
        <v>939</v>
      </c>
      <c r="CV1375" t="s">
        <v>940</v>
      </c>
      <c r="CY1375">
        <v>5167483</v>
      </c>
      <c r="CZ1375" t="s">
        <v>119</v>
      </c>
    </row>
    <row r="1376" spans="1:104" x14ac:dyDescent="0.25">
      <c r="A1376" t="str">
        <f>"14:13:17.484"</f>
        <v>14:13:17.484</v>
      </c>
      <c r="B1376" t="s">
        <v>108</v>
      </c>
      <c r="C1376" t="str">
        <f t="shared" si="64"/>
        <v>ffdfd3c0</v>
      </c>
      <c r="D1376" t="s">
        <v>109</v>
      </c>
      <c r="E1376">
        <v>4</v>
      </c>
      <c r="F1376">
        <v>1004</v>
      </c>
      <c r="G1376" t="s">
        <v>110</v>
      </c>
      <c r="J1376" t="s">
        <v>111</v>
      </c>
      <c r="K1376">
        <v>0</v>
      </c>
      <c r="L1376">
        <v>3</v>
      </c>
      <c r="M1376">
        <v>0</v>
      </c>
      <c r="N1376">
        <v>2</v>
      </c>
      <c r="O1376">
        <v>1</v>
      </c>
      <c r="P1376">
        <v>0</v>
      </c>
      <c r="Q1376">
        <v>0</v>
      </c>
      <c r="R1376" t="s">
        <v>112</v>
      </c>
      <c r="S1376" t="str">
        <f>"14:13:17.297"</f>
        <v>14:13:17.297</v>
      </c>
      <c r="T1376" t="str">
        <f>"14:13:16.797"</f>
        <v>14:13:16.797</v>
      </c>
      <c r="U1376" t="str">
        <f t="shared" si="63"/>
        <v>ad5732</v>
      </c>
      <c r="V1376">
        <v>0</v>
      </c>
      <c r="W1376">
        <v>0</v>
      </c>
      <c r="X1376">
        <v>1</v>
      </c>
      <c r="Z1376">
        <v>0</v>
      </c>
      <c r="AA1376">
        <v>9</v>
      </c>
      <c r="AB1376">
        <v>3</v>
      </c>
      <c r="AC1376">
        <v>0</v>
      </c>
      <c r="AD1376">
        <v>10</v>
      </c>
      <c r="AE1376">
        <v>0</v>
      </c>
      <c r="AF1376">
        <v>3</v>
      </c>
      <c r="AG1376">
        <v>2</v>
      </c>
      <c r="AH1376">
        <v>0</v>
      </c>
      <c r="AI1376" t="s">
        <v>2855</v>
      </c>
      <c r="AJ1376">
        <v>39.586122000000003</v>
      </c>
      <c r="AK1376" t="s">
        <v>2856</v>
      </c>
      <c r="AL1376">
        <v>-76.501020999999994</v>
      </c>
      <c r="AM1376">
        <v>100</v>
      </c>
      <c r="AN1376">
        <v>8700</v>
      </c>
      <c r="AO1376" t="s">
        <v>115</v>
      </c>
      <c r="AP1376">
        <v>167</v>
      </c>
      <c r="AQ1376">
        <v>86</v>
      </c>
      <c r="AR1376">
        <v>64</v>
      </c>
      <c r="AZ1376">
        <v>3614</v>
      </c>
      <c r="BA1376">
        <v>1</v>
      </c>
      <c r="BB1376" t="str">
        <f t="shared" si="65"/>
        <v xml:space="preserve">N959MJ  </v>
      </c>
      <c r="BC1376">
        <v>1</v>
      </c>
      <c r="BE1376">
        <v>0</v>
      </c>
      <c r="BF1376">
        <v>0</v>
      </c>
      <c r="BG1376">
        <v>0</v>
      </c>
      <c r="BH1376">
        <v>9025</v>
      </c>
      <c r="BI1376">
        <v>325</v>
      </c>
      <c r="BJ1376">
        <v>1</v>
      </c>
      <c r="BK1376">
        <v>1</v>
      </c>
      <c r="BL1376">
        <v>1</v>
      </c>
      <c r="BM1376">
        <v>0</v>
      </c>
      <c r="BP1376">
        <v>0</v>
      </c>
      <c r="BQ1376">
        <v>0</v>
      </c>
      <c r="BX1376" t="str">
        <f>"14:13:17.305"</f>
        <v>14:13:17.305</v>
      </c>
      <c r="BY1376" t="str">
        <f>"300993732"</f>
        <v>300993732</v>
      </c>
      <c r="CL1376">
        <v>0</v>
      </c>
      <c r="CM1376">
        <v>2</v>
      </c>
      <c r="CN1376">
        <v>0</v>
      </c>
      <c r="CO1376">
        <v>2</v>
      </c>
      <c r="CP1376">
        <v>0</v>
      </c>
      <c r="CQ1376">
        <v>7</v>
      </c>
      <c r="CR1376" t="s">
        <v>116</v>
      </c>
      <c r="CS1376">
        <v>396</v>
      </c>
      <c r="CT1376">
        <v>2</v>
      </c>
      <c r="CU1376" t="s">
        <v>939</v>
      </c>
      <c r="CV1376" t="s">
        <v>940</v>
      </c>
      <c r="CY1376">
        <v>5169485</v>
      </c>
      <c r="CZ1376" t="s">
        <v>119</v>
      </c>
    </row>
    <row r="1377" spans="1:104" x14ac:dyDescent="0.25">
      <c r="A1377" t="str">
        <f>"14:13:18.602"</f>
        <v>14:13:18.602</v>
      </c>
      <c r="B1377" t="s">
        <v>108</v>
      </c>
      <c r="C1377" t="str">
        <f t="shared" si="64"/>
        <v>ffdfd3c0</v>
      </c>
      <c r="D1377" t="s">
        <v>109</v>
      </c>
      <c r="E1377">
        <v>4</v>
      </c>
      <c r="F1377">
        <v>1004</v>
      </c>
      <c r="G1377" t="s">
        <v>110</v>
      </c>
      <c r="J1377" t="s">
        <v>111</v>
      </c>
      <c r="K1377">
        <v>0</v>
      </c>
      <c r="L1377">
        <v>3</v>
      </c>
      <c r="M1377">
        <v>0</v>
      </c>
      <c r="N1377">
        <v>2</v>
      </c>
      <c r="O1377">
        <v>1</v>
      </c>
      <c r="P1377">
        <v>0</v>
      </c>
      <c r="Q1377">
        <v>0</v>
      </c>
      <c r="R1377" t="s">
        <v>112</v>
      </c>
      <c r="S1377" t="str">
        <f>"14:13:18.414"</f>
        <v>14:13:18.414</v>
      </c>
      <c r="T1377" t="str">
        <f>"14:13:17.914"</f>
        <v>14:13:17.914</v>
      </c>
      <c r="U1377" t="str">
        <f t="shared" si="63"/>
        <v>ad5732</v>
      </c>
      <c r="V1377">
        <v>0</v>
      </c>
      <c r="W1377">
        <v>0</v>
      </c>
      <c r="X1377">
        <v>1</v>
      </c>
      <c r="Z1377">
        <v>0</v>
      </c>
      <c r="AA1377">
        <v>9</v>
      </c>
      <c r="AB1377">
        <v>3</v>
      </c>
      <c r="AC1377">
        <v>0</v>
      </c>
      <c r="AD1377">
        <v>10</v>
      </c>
      <c r="AE1377">
        <v>0</v>
      </c>
      <c r="AF1377">
        <v>3</v>
      </c>
      <c r="AG1377">
        <v>2</v>
      </c>
      <c r="AH1377">
        <v>0</v>
      </c>
      <c r="AI1377" t="s">
        <v>2857</v>
      </c>
      <c r="AJ1377">
        <v>39.586573000000001</v>
      </c>
      <c r="AK1377" t="s">
        <v>2858</v>
      </c>
      <c r="AL1377">
        <v>-76.499949000000001</v>
      </c>
      <c r="AM1377">
        <v>100</v>
      </c>
      <c r="AN1377">
        <v>8700</v>
      </c>
      <c r="AO1377" t="s">
        <v>115</v>
      </c>
      <c r="AP1377">
        <v>167</v>
      </c>
      <c r="AQ1377">
        <v>86</v>
      </c>
      <c r="AR1377">
        <v>0</v>
      </c>
      <c r="AZ1377">
        <v>3614</v>
      </c>
      <c r="BA1377">
        <v>1</v>
      </c>
      <c r="BB1377" t="str">
        <f t="shared" si="65"/>
        <v xml:space="preserve">N959MJ  </v>
      </c>
      <c r="BC1377">
        <v>1</v>
      </c>
      <c r="BE1377">
        <v>0</v>
      </c>
      <c r="BF1377">
        <v>0</v>
      </c>
      <c r="BG1377">
        <v>0</v>
      </c>
      <c r="BH1377">
        <v>9025</v>
      </c>
      <c r="BI1377">
        <v>325</v>
      </c>
      <c r="BJ1377">
        <v>1</v>
      </c>
      <c r="BK1377">
        <v>1</v>
      </c>
      <c r="BL1377">
        <v>1</v>
      </c>
      <c r="BM1377">
        <v>0</v>
      </c>
      <c r="BP1377">
        <v>0</v>
      </c>
      <c r="BQ1377">
        <v>0</v>
      </c>
      <c r="BX1377" t="str">
        <f>"14:13:18.422"</f>
        <v>14:13:18.422</v>
      </c>
      <c r="BY1377" t="str">
        <f>"418401083"</f>
        <v>418401083</v>
      </c>
      <c r="CL1377">
        <v>0</v>
      </c>
      <c r="CM1377">
        <v>2</v>
      </c>
      <c r="CN1377">
        <v>0</v>
      </c>
      <c r="CO1377">
        <v>2</v>
      </c>
      <c r="CP1377">
        <v>0</v>
      </c>
      <c r="CQ1377">
        <v>7</v>
      </c>
      <c r="CR1377" t="s">
        <v>116</v>
      </c>
      <c r="CS1377">
        <v>396</v>
      </c>
      <c r="CT1377">
        <v>2</v>
      </c>
      <c r="CU1377" t="s">
        <v>939</v>
      </c>
      <c r="CV1377" t="s">
        <v>940</v>
      </c>
      <c r="CY1377">
        <v>5171565</v>
      </c>
      <c r="CZ1377" t="s">
        <v>119</v>
      </c>
    </row>
    <row r="1378" spans="1:104" x14ac:dyDescent="0.25">
      <c r="A1378" t="str">
        <f>"14:13:19.656"</f>
        <v>14:13:19.656</v>
      </c>
      <c r="B1378" t="s">
        <v>108</v>
      </c>
      <c r="C1378" t="str">
        <f t="shared" si="64"/>
        <v>ffdfd3c0</v>
      </c>
      <c r="D1378" t="s">
        <v>109</v>
      </c>
      <c r="E1378">
        <v>4</v>
      </c>
      <c r="F1378">
        <v>1004</v>
      </c>
      <c r="G1378" t="s">
        <v>110</v>
      </c>
      <c r="J1378" t="s">
        <v>111</v>
      </c>
      <c r="K1378">
        <v>0</v>
      </c>
      <c r="L1378">
        <v>3</v>
      </c>
      <c r="M1378">
        <v>0</v>
      </c>
      <c r="N1378">
        <v>2</v>
      </c>
      <c r="O1378">
        <v>1</v>
      </c>
      <c r="P1378">
        <v>0</v>
      </c>
      <c r="Q1378">
        <v>0</v>
      </c>
      <c r="R1378" t="s">
        <v>112</v>
      </c>
      <c r="S1378" t="str">
        <f>"14:13:19.438"</f>
        <v>14:13:19.438</v>
      </c>
      <c r="T1378" t="str">
        <f>"14:13:18.938"</f>
        <v>14:13:18.938</v>
      </c>
      <c r="U1378" t="str">
        <f t="shared" si="63"/>
        <v>ad5732</v>
      </c>
      <c r="V1378">
        <v>0</v>
      </c>
      <c r="W1378">
        <v>0</v>
      </c>
      <c r="X1378">
        <v>1</v>
      </c>
      <c r="Z1378">
        <v>0</v>
      </c>
      <c r="AA1378">
        <v>9</v>
      </c>
      <c r="AB1378">
        <v>3</v>
      </c>
      <c r="AC1378">
        <v>0</v>
      </c>
      <c r="AD1378">
        <v>10</v>
      </c>
      <c r="AE1378">
        <v>0</v>
      </c>
      <c r="AF1378">
        <v>3</v>
      </c>
      <c r="AG1378">
        <v>2</v>
      </c>
      <c r="AH1378">
        <v>0</v>
      </c>
      <c r="AI1378" t="s">
        <v>2859</v>
      </c>
      <c r="AJ1378">
        <v>39.586959</v>
      </c>
      <c r="AK1378" t="s">
        <v>2860</v>
      </c>
      <c r="AL1378">
        <v>-76.498960999999994</v>
      </c>
      <c r="AM1378">
        <v>100</v>
      </c>
      <c r="AN1378">
        <v>8700</v>
      </c>
      <c r="AO1378" t="s">
        <v>115</v>
      </c>
      <c r="AP1378">
        <v>167</v>
      </c>
      <c r="AQ1378">
        <v>86</v>
      </c>
      <c r="AR1378">
        <v>0</v>
      </c>
      <c r="AZ1378">
        <v>3614</v>
      </c>
      <c r="BA1378">
        <v>1</v>
      </c>
      <c r="BB1378" t="str">
        <f t="shared" si="65"/>
        <v xml:space="preserve">N959MJ  </v>
      </c>
      <c r="BC1378">
        <v>1</v>
      </c>
      <c r="BE1378">
        <v>0</v>
      </c>
      <c r="BF1378">
        <v>0</v>
      </c>
      <c r="BG1378">
        <v>0</v>
      </c>
      <c r="BH1378">
        <v>9025</v>
      </c>
      <c r="BI1378">
        <v>325</v>
      </c>
      <c r="BJ1378">
        <v>1</v>
      </c>
      <c r="BK1378">
        <v>1</v>
      </c>
      <c r="BL1378">
        <v>1</v>
      </c>
      <c r="BM1378">
        <v>0</v>
      </c>
      <c r="BP1378">
        <v>0</v>
      </c>
      <c r="BQ1378">
        <v>0</v>
      </c>
      <c r="BX1378" t="str">
        <f>"14:13:19.445"</f>
        <v>14:13:19.445</v>
      </c>
      <c r="BY1378" t="str">
        <f>"444056516"</f>
        <v>444056516</v>
      </c>
      <c r="CL1378">
        <v>0</v>
      </c>
      <c r="CM1378">
        <v>2</v>
      </c>
      <c r="CN1378">
        <v>0</v>
      </c>
      <c r="CO1378">
        <v>2</v>
      </c>
      <c r="CP1378">
        <v>0</v>
      </c>
      <c r="CQ1378">
        <v>7</v>
      </c>
      <c r="CR1378" t="s">
        <v>116</v>
      </c>
      <c r="CS1378">
        <v>396</v>
      </c>
      <c r="CT1378">
        <v>2</v>
      </c>
      <c r="CU1378" t="s">
        <v>939</v>
      </c>
      <c r="CV1378" t="s">
        <v>940</v>
      </c>
      <c r="CY1378">
        <v>5173367</v>
      </c>
      <c r="CZ1378" t="s">
        <v>119</v>
      </c>
    </row>
    <row r="1379" spans="1:104" x14ac:dyDescent="0.25">
      <c r="A1379" t="str">
        <f>"14:13:20.664"</f>
        <v>14:13:20.664</v>
      </c>
      <c r="B1379" t="s">
        <v>108</v>
      </c>
      <c r="C1379" t="str">
        <f t="shared" si="64"/>
        <v>ffdfd3c0</v>
      </c>
      <c r="D1379" t="s">
        <v>109</v>
      </c>
      <c r="E1379">
        <v>4</v>
      </c>
      <c r="F1379">
        <v>1004</v>
      </c>
      <c r="G1379" t="s">
        <v>110</v>
      </c>
      <c r="J1379" t="s">
        <v>111</v>
      </c>
      <c r="K1379">
        <v>0</v>
      </c>
      <c r="L1379">
        <v>3</v>
      </c>
      <c r="M1379">
        <v>0</v>
      </c>
      <c r="N1379">
        <v>2</v>
      </c>
      <c r="O1379">
        <v>1</v>
      </c>
      <c r="P1379">
        <v>0</v>
      </c>
      <c r="Q1379">
        <v>0</v>
      </c>
      <c r="R1379" t="s">
        <v>112</v>
      </c>
      <c r="S1379" t="str">
        <f>"14:13:20.500"</f>
        <v>14:13:20.500</v>
      </c>
      <c r="T1379" t="str">
        <f>"14:13:20.000"</f>
        <v>14:13:20.000</v>
      </c>
      <c r="U1379" t="str">
        <f t="shared" si="63"/>
        <v>ad5732</v>
      </c>
      <c r="V1379">
        <v>0</v>
      </c>
      <c r="W1379">
        <v>0</v>
      </c>
      <c r="X1379">
        <v>1</v>
      </c>
      <c r="Z1379">
        <v>0</v>
      </c>
      <c r="AA1379">
        <v>9</v>
      </c>
      <c r="AB1379">
        <v>3</v>
      </c>
      <c r="AC1379">
        <v>0</v>
      </c>
      <c r="AD1379">
        <v>10</v>
      </c>
      <c r="AE1379">
        <v>0</v>
      </c>
      <c r="AF1379">
        <v>3</v>
      </c>
      <c r="AG1379">
        <v>2</v>
      </c>
      <c r="AH1379">
        <v>0</v>
      </c>
      <c r="AI1379" t="s">
        <v>2861</v>
      </c>
      <c r="AJ1379">
        <v>39.587409000000001</v>
      </c>
      <c r="AK1379" t="s">
        <v>2862</v>
      </c>
      <c r="AL1379">
        <v>-76.497866999999999</v>
      </c>
      <c r="AM1379">
        <v>100</v>
      </c>
      <c r="AN1379">
        <v>8700</v>
      </c>
      <c r="AO1379" t="s">
        <v>115</v>
      </c>
      <c r="AP1379">
        <v>166</v>
      </c>
      <c r="AQ1379">
        <v>87</v>
      </c>
      <c r="AR1379">
        <v>0</v>
      </c>
      <c r="AZ1379">
        <v>3614</v>
      </c>
      <c r="BA1379">
        <v>1</v>
      </c>
      <c r="BB1379" t="str">
        <f t="shared" si="65"/>
        <v xml:space="preserve">N959MJ  </v>
      </c>
      <c r="BC1379">
        <v>1</v>
      </c>
      <c r="BE1379">
        <v>0</v>
      </c>
      <c r="BF1379">
        <v>0</v>
      </c>
      <c r="BG1379">
        <v>0</v>
      </c>
      <c r="BH1379">
        <v>9025</v>
      </c>
      <c r="BI1379">
        <v>325</v>
      </c>
      <c r="BJ1379">
        <v>1</v>
      </c>
      <c r="BK1379">
        <v>1</v>
      </c>
      <c r="BL1379">
        <v>1</v>
      </c>
      <c r="BM1379">
        <v>0</v>
      </c>
      <c r="BP1379">
        <v>0</v>
      </c>
      <c r="BQ1379">
        <v>0</v>
      </c>
      <c r="BX1379" t="str">
        <f>"14:13:20.500"</f>
        <v>14:13:20.500</v>
      </c>
      <c r="BY1379" t="str">
        <f>"500842061"</f>
        <v>500842061</v>
      </c>
      <c r="CL1379">
        <v>0</v>
      </c>
      <c r="CM1379">
        <v>2</v>
      </c>
      <c r="CN1379">
        <v>0</v>
      </c>
      <c r="CO1379">
        <v>2</v>
      </c>
      <c r="CP1379">
        <v>0</v>
      </c>
      <c r="CQ1379">
        <v>7</v>
      </c>
      <c r="CR1379" t="s">
        <v>116</v>
      </c>
      <c r="CS1379">
        <v>396</v>
      </c>
      <c r="CT1379">
        <v>2</v>
      </c>
      <c r="CU1379" t="s">
        <v>939</v>
      </c>
      <c r="CV1379" t="s">
        <v>940</v>
      </c>
      <c r="CY1379">
        <v>5175177</v>
      </c>
      <c r="CZ1379" t="s">
        <v>119</v>
      </c>
    </row>
    <row r="1380" spans="1:104" x14ac:dyDescent="0.25">
      <c r="A1380" t="str">
        <f>"14:13:21.625"</f>
        <v>14:13:21.625</v>
      </c>
      <c r="B1380" t="s">
        <v>108</v>
      </c>
      <c r="C1380" t="str">
        <f t="shared" si="64"/>
        <v>ffdfd3c0</v>
      </c>
      <c r="D1380" t="s">
        <v>109</v>
      </c>
      <c r="E1380">
        <v>4</v>
      </c>
      <c r="F1380">
        <v>1004</v>
      </c>
      <c r="G1380" t="s">
        <v>110</v>
      </c>
      <c r="J1380" t="s">
        <v>111</v>
      </c>
      <c r="K1380">
        <v>0</v>
      </c>
      <c r="L1380">
        <v>3</v>
      </c>
      <c r="M1380">
        <v>0</v>
      </c>
      <c r="N1380">
        <v>2</v>
      </c>
      <c r="O1380">
        <v>1</v>
      </c>
      <c r="P1380">
        <v>0</v>
      </c>
      <c r="Q1380">
        <v>0</v>
      </c>
      <c r="R1380" t="s">
        <v>112</v>
      </c>
      <c r="S1380" t="str">
        <f>"14:13:21.438"</f>
        <v>14:13:21.438</v>
      </c>
      <c r="T1380" t="str">
        <f>"14:13:21.039"</f>
        <v>14:13:21.039</v>
      </c>
      <c r="U1380" t="str">
        <f t="shared" si="63"/>
        <v>ad5732</v>
      </c>
      <c r="V1380">
        <v>0</v>
      </c>
      <c r="W1380">
        <v>0</v>
      </c>
      <c r="X1380">
        <v>1</v>
      </c>
      <c r="Z1380">
        <v>0</v>
      </c>
      <c r="AA1380">
        <v>9</v>
      </c>
      <c r="AB1380">
        <v>3</v>
      </c>
      <c r="AC1380">
        <v>0</v>
      </c>
      <c r="AD1380">
        <v>10</v>
      </c>
      <c r="AE1380">
        <v>0</v>
      </c>
      <c r="AF1380">
        <v>3</v>
      </c>
      <c r="AG1380">
        <v>2</v>
      </c>
      <c r="AH1380">
        <v>0</v>
      </c>
      <c r="AI1380" t="s">
        <v>2863</v>
      </c>
      <c r="AJ1380">
        <v>39.587795999999997</v>
      </c>
      <c r="AK1380" t="s">
        <v>2864</v>
      </c>
      <c r="AL1380">
        <v>-76.496943999999999</v>
      </c>
      <c r="AM1380">
        <v>100</v>
      </c>
      <c r="AN1380">
        <v>8700</v>
      </c>
      <c r="AO1380" t="s">
        <v>115</v>
      </c>
      <c r="AP1380">
        <v>166</v>
      </c>
      <c r="AQ1380">
        <v>87</v>
      </c>
      <c r="AR1380">
        <v>0</v>
      </c>
      <c r="AZ1380">
        <v>3614</v>
      </c>
      <c r="BA1380">
        <v>1</v>
      </c>
      <c r="BB1380" t="str">
        <f t="shared" si="65"/>
        <v xml:space="preserve">N959MJ  </v>
      </c>
      <c r="BC1380">
        <v>1</v>
      </c>
      <c r="BE1380">
        <v>0</v>
      </c>
      <c r="BF1380">
        <v>0</v>
      </c>
      <c r="BG1380">
        <v>0</v>
      </c>
      <c r="BH1380">
        <v>9025</v>
      </c>
      <c r="BI1380">
        <v>325</v>
      </c>
      <c r="BJ1380">
        <v>1</v>
      </c>
      <c r="BK1380">
        <v>1</v>
      </c>
      <c r="BL1380">
        <v>1</v>
      </c>
      <c r="BM1380">
        <v>0</v>
      </c>
      <c r="BP1380">
        <v>0</v>
      </c>
      <c r="BQ1380">
        <v>0</v>
      </c>
      <c r="BX1380" t="str">
        <f>"14:13:21.438"</f>
        <v>14:13:21.438</v>
      </c>
      <c r="BY1380" t="str">
        <f>"441299282"</f>
        <v>441299282</v>
      </c>
      <c r="CL1380">
        <v>0</v>
      </c>
      <c r="CM1380">
        <v>2</v>
      </c>
      <c r="CN1380">
        <v>0</v>
      </c>
      <c r="CO1380">
        <v>2</v>
      </c>
      <c r="CP1380">
        <v>0</v>
      </c>
      <c r="CQ1380">
        <v>7</v>
      </c>
      <c r="CR1380" t="s">
        <v>116</v>
      </c>
      <c r="CS1380">
        <v>396</v>
      </c>
      <c r="CT1380">
        <v>2</v>
      </c>
      <c r="CU1380" t="s">
        <v>939</v>
      </c>
      <c r="CV1380" t="s">
        <v>940</v>
      </c>
      <c r="CY1380">
        <v>5176861</v>
      </c>
      <c r="CZ1380" t="s">
        <v>119</v>
      </c>
    </row>
    <row r="1381" spans="1:104" x14ac:dyDescent="0.25">
      <c r="A1381" t="str">
        <f>"14:13:22.586"</f>
        <v>14:13:22.586</v>
      </c>
      <c r="B1381" t="s">
        <v>108</v>
      </c>
      <c r="C1381" t="str">
        <f t="shared" si="64"/>
        <v>ffdfd3c0</v>
      </c>
      <c r="D1381" t="s">
        <v>109</v>
      </c>
      <c r="E1381">
        <v>4</v>
      </c>
      <c r="F1381">
        <v>1004</v>
      </c>
      <c r="G1381" t="s">
        <v>110</v>
      </c>
      <c r="J1381" t="s">
        <v>111</v>
      </c>
      <c r="K1381">
        <v>0</v>
      </c>
      <c r="L1381">
        <v>3</v>
      </c>
      <c r="M1381">
        <v>0</v>
      </c>
      <c r="N1381">
        <v>2</v>
      </c>
      <c r="O1381">
        <v>1</v>
      </c>
      <c r="P1381">
        <v>0</v>
      </c>
      <c r="Q1381">
        <v>0</v>
      </c>
      <c r="R1381" t="s">
        <v>112</v>
      </c>
      <c r="S1381" t="str">
        <f>"14:13:22.414"</f>
        <v>14:13:22.414</v>
      </c>
      <c r="T1381" t="str">
        <f>"14:13:21.914"</f>
        <v>14:13:21.914</v>
      </c>
      <c r="U1381" t="str">
        <f t="shared" si="63"/>
        <v>ad5732</v>
      </c>
      <c r="V1381">
        <v>0</v>
      </c>
      <c r="W1381">
        <v>0</v>
      </c>
      <c r="X1381">
        <v>1</v>
      </c>
      <c r="Z1381">
        <v>0</v>
      </c>
      <c r="AA1381">
        <v>9</v>
      </c>
      <c r="AB1381">
        <v>3</v>
      </c>
      <c r="AC1381">
        <v>0</v>
      </c>
      <c r="AD1381">
        <v>10</v>
      </c>
      <c r="AE1381">
        <v>0</v>
      </c>
      <c r="AF1381">
        <v>3</v>
      </c>
      <c r="AG1381">
        <v>2</v>
      </c>
      <c r="AH1381">
        <v>0</v>
      </c>
      <c r="AI1381" t="s">
        <v>2865</v>
      </c>
      <c r="AJ1381">
        <v>39.588160999999999</v>
      </c>
      <c r="AK1381" t="s">
        <v>2866</v>
      </c>
      <c r="AL1381">
        <v>-76.495979000000005</v>
      </c>
      <c r="AM1381">
        <v>100</v>
      </c>
      <c r="AN1381">
        <v>8700</v>
      </c>
      <c r="AO1381" t="s">
        <v>115</v>
      </c>
      <c r="AP1381">
        <v>166</v>
      </c>
      <c r="AQ1381">
        <v>87</v>
      </c>
      <c r="AR1381">
        <v>0</v>
      </c>
      <c r="AZ1381">
        <v>3614</v>
      </c>
      <c r="BA1381">
        <v>1</v>
      </c>
      <c r="BB1381" t="str">
        <f t="shared" si="65"/>
        <v xml:space="preserve">N959MJ  </v>
      </c>
      <c r="BC1381">
        <v>1</v>
      </c>
      <c r="BE1381">
        <v>0</v>
      </c>
      <c r="BF1381">
        <v>0</v>
      </c>
      <c r="BG1381">
        <v>0</v>
      </c>
      <c r="BH1381">
        <v>9025</v>
      </c>
      <c r="BI1381">
        <v>325</v>
      </c>
      <c r="BJ1381">
        <v>1</v>
      </c>
      <c r="BK1381">
        <v>1</v>
      </c>
      <c r="BL1381">
        <v>1</v>
      </c>
      <c r="BM1381">
        <v>0</v>
      </c>
      <c r="BP1381">
        <v>0</v>
      </c>
      <c r="BQ1381">
        <v>0</v>
      </c>
      <c r="BX1381" t="str">
        <f>"14:13:22.414"</f>
        <v>14:13:22.414</v>
      </c>
      <c r="BY1381" t="str">
        <f>"417801908"</f>
        <v>417801908</v>
      </c>
      <c r="CL1381">
        <v>0</v>
      </c>
      <c r="CM1381">
        <v>2</v>
      </c>
      <c r="CN1381">
        <v>0</v>
      </c>
      <c r="CO1381">
        <v>2</v>
      </c>
      <c r="CP1381">
        <v>0</v>
      </c>
      <c r="CQ1381">
        <v>7</v>
      </c>
      <c r="CR1381" t="s">
        <v>116</v>
      </c>
      <c r="CS1381">
        <v>396</v>
      </c>
      <c r="CT1381">
        <v>2</v>
      </c>
      <c r="CU1381" t="s">
        <v>939</v>
      </c>
      <c r="CV1381" t="s">
        <v>940</v>
      </c>
      <c r="CY1381">
        <v>5178593</v>
      </c>
      <c r="CZ1381" t="s">
        <v>119</v>
      </c>
    </row>
    <row r="1382" spans="1:104" x14ac:dyDescent="0.25">
      <c r="A1382" t="str">
        <f>"14:13:23.547"</f>
        <v>14:13:23.547</v>
      </c>
      <c r="B1382" t="s">
        <v>108</v>
      </c>
      <c r="C1382" t="str">
        <f t="shared" si="64"/>
        <v>ffdfd3c0</v>
      </c>
      <c r="D1382" t="s">
        <v>109</v>
      </c>
      <c r="E1382">
        <v>4</v>
      </c>
      <c r="F1382">
        <v>1004</v>
      </c>
      <c r="G1382" t="s">
        <v>110</v>
      </c>
      <c r="J1382" t="s">
        <v>111</v>
      </c>
      <c r="K1382">
        <v>0</v>
      </c>
      <c r="L1382">
        <v>3</v>
      </c>
      <c r="M1382">
        <v>0</v>
      </c>
      <c r="N1382">
        <v>2</v>
      </c>
      <c r="O1382">
        <v>1</v>
      </c>
      <c r="P1382">
        <v>0</v>
      </c>
      <c r="Q1382">
        <v>0</v>
      </c>
      <c r="R1382" t="s">
        <v>112</v>
      </c>
      <c r="S1382" t="str">
        <f>"14:13:23.344"</f>
        <v>14:13:23.344</v>
      </c>
      <c r="T1382" t="str">
        <f>"14:13:22.945"</f>
        <v>14:13:22.945</v>
      </c>
      <c r="U1382" t="str">
        <f t="shared" si="63"/>
        <v>ad5732</v>
      </c>
      <c r="V1382">
        <v>0</v>
      </c>
      <c r="W1382">
        <v>0</v>
      </c>
      <c r="X1382">
        <v>1</v>
      </c>
      <c r="Z1382">
        <v>0</v>
      </c>
      <c r="AA1382">
        <v>9</v>
      </c>
      <c r="AB1382">
        <v>3</v>
      </c>
      <c r="AC1382">
        <v>0</v>
      </c>
      <c r="AD1382">
        <v>10</v>
      </c>
      <c r="AE1382">
        <v>0</v>
      </c>
      <c r="AF1382">
        <v>3</v>
      </c>
      <c r="AG1382">
        <v>2</v>
      </c>
      <c r="AH1382">
        <v>0</v>
      </c>
      <c r="AI1382" t="s">
        <v>2867</v>
      </c>
      <c r="AJ1382">
        <v>39.588546999999998</v>
      </c>
      <c r="AK1382" t="s">
        <v>2868</v>
      </c>
      <c r="AL1382">
        <v>-76.495056000000005</v>
      </c>
      <c r="AM1382">
        <v>100</v>
      </c>
      <c r="AN1382">
        <v>8700</v>
      </c>
      <c r="AO1382" t="s">
        <v>115</v>
      </c>
      <c r="AP1382">
        <v>166</v>
      </c>
      <c r="AQ1382">
        <v>87</v>
      </c>
      <c r="AR1382">
        <v>0</v>
      </c>
      <c r="AZ1382">
        <v>3614</v>
      </c>
      <c r="BA1382">
        <v>1</v>
      </c>
      <c r="BB1382" t="str">
        <f t="shared" si="65"/>
        <v xml:space="preserve">N959MJ  </v>
      </c>
      <c r="BC1382">
        <v>1</v>
      </c>
      <c r="BE1382">
        <v>0</v>
      </c>
      <c r="BF1382">
        <v>0</v>
      </c>
      <c r="BG1382">
        <v>0</v>
      </c>
      <c r="BH1382">
        <v>9025</v>
      </c>
      <c r="BI1382">
        <v>325</v>
      </c>
      <c r="BJ1382">
        <v>1</v>
      </c>
      <c r="BK1382">
        <v>1</v>
      </c>
      <c r="BL1382">
        <v>1</v>
      </c>
      <c r="BM1382">
        <v>0</v>
      </c>
      <c r="BP1382">
        <v>0</v>
      </c>
      <c r="BQ1382">
        <v>0</v>
      </c>
      <c r="BX1382" t="str">
        <f>"14:13:23.352"</f>
        <v>14:13:23.352</v>
      </c>
      <c r="BY1382" t="str">
        <f>"348525810"</f>
        <v>348525810</v>
      </c>
      <c r="CL1382">
        <v>0</v>
      </c>
      <c r="CM1382">
        <v>2</v>
      </c>
      <c r="CN1382">
        <v>0</v>
      </c>
      <c r="CO1382">
        <v>2</v>
      </c>
      <c r="CP1382">
        <v>0</v>
      </c>
      <c r="CQ1382">
        <v>6</v>
      </c>
      <c r="CR1382" t="s">
        <v>116</v>
      </c>
      <c r="CS1382">
        <v>372</v>
      </c>
      <c r="CT1382">
        <v>3</v>
      </c>
      <c r="CU1382" t="s">
        <v>877</v>
      </c>
      <c r="CV1382" t="s">
        <v>878</v>
      </c>
      <c r="CY1382">
        <v>11824296</v>
      </c>
      <c r="CZ1382" t="s">
        <v>119</v>
      </c>
    </row>
    <row r="1383" spans="1:104" x14ac:dyDescent="0.25">
      <c r="A1383" t="str">
        <f>"14:13:24.703"</f>
        <v>14:13:24.703</v>
      </c>
      <c r="B1383" t="s">
        <v>108</v>
      </c>
      <c r="C1383" t="str">
        <f t="shared" si="64"/>
        <v>ffdfd3c0</v>
      </c>
      <c r="D1383" t="s">
        <v>109</v>
      </c>
      <c r="E1383">
        <v>4</v>
      </c>
      <c r="F1383">
        <v>1004</v>
      </c>
      <c r="G1383" t="s">
        <v>110</v>
      </c>
      <c r="J1383" t="s">
        <v>111</v>
      </c>
      <c r="K1383">
        <v>0</v>
      </c>
      <c r="L1383">
        <v>3</v>
      </c>
      <c r="M1383">
        <v>0</v>
      </c>
      <c r="N1383">
        <v>2</v>
      </c>
      <c r="O1383">
        <v>1</v>
      </c>
      <c r="P1383">
        <v>0</v>
      </c>
      <c r="Q1383">
        <v>0</v>
      </c>
      <c r="R1383" t="s">
        <v>112</v>
      </c>
      <c r="S1383" t="str">
        <f>"14:13:24.508"</f>
        <v>14:13:24.508</v>
      </c>
      <c r="T1383" t="str">
        <f>"14:13:24.008"</f>
        <v>14:13:24.008</v>
      </c>
      <c r="U1383" t="str">
        <f t="shared" si="63"/>
        <v>ad5732</v>
      </c>
      <c r="V1383">
        <v>0</v>
      </c>
      <c r="W1383">
        <v>0</v>
      </c>
      <c r="X1383">
        <v>1</v>
      </c>
      <c r="Z1383">
        <v>0</v>
      </c>
      <c r="AA1383">
        <v>9</v>
      </c>
      <c r="AB1383">
        <v>3</v>
      </c>
      <c r="AC1383">
        <v>0</v>
      </c>
      <c r="AD1383">
        <v>10</v>
      </c>
      <c r="AE1383">
        <v>0</v>
      </c>
      <c r="AF1383">
        <v>3</v>
      </c>
      <c r="AG1383">
        <v>2</v>
      </c>
      <c r="AH1383">
        <v>0</v>
      </c>
      <c r="AI1383" t="s">
        <v>2869</v>
      </c>
      <c r="AJ1383">
        <v>39.588996999999999</v>
      </c>
      <c r="AK1383" t="s">
        <v>2870</v>
      </c>
      <c r="AL1383">
        <v>-76.493854999999996</v>
      </c>
      <c r="AM1383">
        <v>100</v>
      </c>
      <c r="AN1383">
        <v>8700</v>
      </c>
      <c r="AO1383" t="s">
        <v>115</v>
      </c>
      <c r="AP1383">
        <v>166</v>
      </c>
      <c r="AQ1383">
        <v>87</v>
      </c>
      <c r="AR1383">
        <v>0</v>
      </c>
      <c r="AZ1383">
        <v>3614</v>
      </c>
      <c r="BA1383">
        <v>1</v>
      </c>
      <c r="BB1383" t="str">
        <f t="shared" si="65"/>
        <v xml:space="preserve">N959MJ  </v>
      </c>
      <c r="BC1383">
        <v>1</v>
      </c>
      <c r="BE1383">
        <v>0</v>
      </c>
      <c r="BF1383">
        <v>0</v>
      </c>
      <c r="BG1383">
        <v>0</v>
      </c>
      <c r="BH1383">
        <v>9025</v>
      </c>
      <c r="BI1383">
        <v>325</v>
      </c>
      <c r="BJ1383">
        <v>1</v>
      </c>
      <c r="BK1383">
        <v>1</v>
      </c>
      <c r="BL1383">
        <v>1</v>
      </c>
      <c r="BM1383">
        <v>0</v>
      </c>
      <c r="BP1383">
        <v>0</v>
      </c>
      <c r="BQ1383">
        <v>0</v>
      </c>
      <c r="BX1383" t="str">
        <f>"14:13:24.516"</f>
        <v>14:13:24.516</v>
      </c>
      <c r="BY1383" t="str">
        <f>"515113979"</f>
        <v>515113979</v>
      </c>
      <c r="CL1383">
        <v>0</v>
      </c>
      <c r="CM1383">
        <v>2</v>
      </c>
      <c r="CN1383">
        <v>0</v>
      </c>
      <c r="CO1383">
        <v>2</v>
      </c>
      <c r="CP1383">
        <v>0</v>
      </c>
      <c r="CQ1383">
        <v>5</v>
      </c>
      <c r="CR1383" t="s">
        <v>116</v>
      </c>
      <c r="CS1383">
        <v>525</v>
      </c>
      <c r="CT1383">
        <v>1</v>
      </c>
      <c r="CU1383" t="s">
        <v>140</v>
      </c>
      <c r="CV1383" t="s">
        <v>141</v>
      </c>
      <c r="CY1383">
        <v>9179981</v>
      </c>
      <c r="CZ1383" t="s">
        <v>119</v>
      </c>
    </row>
    <row r="1384" spans="1:104" x14ac:dyDescent="0.25">
      <c r="A1384" t="str">
        <f>"14:13:25.664"</f>
        <v>14:13:25.664</v>
      </c>
      <c r="B1384" t="s">
        <v>108</v>
      </c>
      <c r="C1384" t="str">
        <f t="shared" si="64"/>
        <v>ffdfd3c0</v>
      </c>
      <c r="D1384" t="s">
        <v>109</v>
      </c>
      <c r="E1384">
        <v>4</v>
      </c>
      <c r="F1384">
        <v>1004</v>
      </c>
      <c r="G1384" t="s">
        <v>110</v>
      </c>
      <c r="J1384" t="s">
        <v>111</v>
      </c>
      <c r="K1384">
        <v>0</v>
      </c>
      <c r="L1384">
        <v>3</v>
      </c>
      <c r="M1384">
        <v>0</v>
      </c>
      <c r="N1384">
        <v>2</v>
      </c>
      <c r="O1384">
        <v>1</v>
      </c>
      <c r="P1384">
        <v>0</v>
      </c>
      <c r="Q1384">
        <v>0</v>
      </c>
      <c r="R1384" t="s">
        <v>112</v>
      </c>
      <c r="S1384" t="str">
        <f>"14:13:25.508"</f>
        <v>14:13:25.508</v>
      </c>
      <c r="T1384" t="str">
        <f>"14:13:25.109"</f>
        <v>14:13:25.109</v>
      </c>
      <c r="U1384" t="str">
        <f t="shared" si="63"/>
        <v>ad5732</v>
      </c>
      <c r="V1384">
        <v>0</v>
      </c>
      <c r="W1384">
        <v>0</v>
      </c>
      <c r="X1384">
        <v>1</v>
      </c>
      <c r="Z1384">
        <v>0</v>
      </c>
      <c r="AA1384">
        <v>9</v>
      </c>
      <c r="AB1384">
        <v>3</v>
      </c>
      <c r="AC1384">
        <v>0</v>
      </c>
      <c r="AD1384">
        <v>10</v>
      </c>
      <c r="AE1384">
        <v>0</v>
      </c>
      <c r="AF1384">
        <v>3</v>
      </c>
      <c r="AG1384">
        <v>2</v>
      </c>
      <c r="AH1384">
        <v>0</v>
      </c>
      <c r="AI1384" t="s">
        <v>2871</v>
      </c>
      <c r="AJ1384">
        <v>39.589427000000001</v>
      </c>
      <c r="AK1384" t="s">
        <v>2872</v>
      </c>
      <c r="AL1384">
        <v>-76.492846</v>
      </c>
      <c r="AM1384">
        <v>100</v>
      </c>
      <c r="AN1384">
        <v>8700</v>
      </c>
      <c r="AO1384" t="s">
        <v>115</v>
      </c>
      <c r="AP1384">
        <v>166</v>
      </c>
      <c r="AQ1384">
        <v>87</v>
      </c>
      <c r="AR1384">
        <v>0</v>
      </c>
      <c r="AZ1384">
        <v>3614</v>
      </c>
      <c r="BA1384">
        <v>1</v>
      </c>
      <c r="BB1384" t="str">
        <f t="shared" si="65"/>
        <v xml:space="preserve">N959MJ  </v>
      </c>
      <c r="BC1384">
        <v>1</v>
      </c>
      <c r="BE1384">
        <v>0</v>
      </c>
      <c r="BF1384">
        <v>0</v>
      </c>
      <c r="BG1384">
        <v>0</v>
      </c>
      <c r="BH1384">
        <v>9025</v>
      </c>
      <c r="BI1384">
        <v>325</v>
      </c>
      <c r="BJ1384">
        <v>1</v>
      </c>
      <c r="BK1384">
        <v>1</v>
      </c>
      <c r="BL1384">
        <v>1</v>
      </c>
      <c r="BM1384">
        <v>0</v>
      </c>
      <c r="BP1384">
        <v>0</v>
      </c>
      <c r="BQ1384">
        <v>0</v>
      </c>
      <c r="BX1384" t="str">
        <f>"14:13:25.508"</f>
        <v>14:13:25.508</v>
      </c>
      <c r="BY1384" t="str">
        <f>"507875681"</f>
        <v>507875681</v>
      </c>
      <c r="CL1384">
        <v>0</v>
      </c>
      <c r="CM1384">
        <v>2</v>
      </c>
      <c r="CN1384">
        <v>0</v>
      </c>
      <c r="CO1384">
        <v>2</v>
      </c>
      <c r="CP1384">
        <v>0</v>
      </c>
      <c r="CQ1384">
        <v>7</v>
      </c>
      <c r="CR1384" t="s">
        <v>116</v>
      </c>
      <c r="CS1384">
        <v>396</v>
      </c>
      <c r="CT1384">
        <v>2</v>
      </c>
      <c r="CU1384" t="s">
        <v>939</v>
      </c>
      <c r="CV1384" t="s">
        <v>940</v>
      </c>
      <c r="CY1384">
        <v>5184146</v>
      </c>
      <c r="CZ1384" t="s">
        <v>119</v>
      </c>
    </row>
    <row r="1385" spans="1:104" x14ac:dyDescent="0.25">
      <c r="A1385" t="str">
        <f>"14:13:26.672"</f>
        <v>14:13:26.672</v>
      </c>
      <c r="B1385" t="s">
        <v>108</v>
      </c>
      <c r="C1385" t="str">
        <f t="shared" si="64"/>
        <v>ffdfd3c0</v>
      </c>
      <c r="D1385" t="s">
        <v>109</v>
      </c>
      <c r="E1385">
        <v>4</v>
      </c>
      <c r="F1385">
        <v>1004</v>
      </c>
      <c r="G1385" t="s">
        <v>110</v>
      </c>
      <c r="J1385" t="s">
        <v>111</v>
      </c>
      <c r="K1385">
        <v>0</v>
      </c>
      <c r="L1385">
        <v>3</v>
      </c>
      <c r="M1385">
        <v>0</v>
      </c>
      <c r="N1385">
        <v>2</v>
      </c>
      <c r="O1385">
        <v>1</v>
      </c>
      <c r="P1385">
        <v>0</v>
      </c>
      <c r="Q1385">
        <v>0</v>
      </c>
      <c r="R1385" t="s">
        <v>112</v>
      </c>
      <c r="S1385" t="str">
        <f>"14:13:26.477"</f>
        <v>14:13:26.477</v>
      </c>
      <c r="T1385" t="str">
        <f>"14:13:25.977"</f>
        <v>14:13:25.977</v>
      </c>
      <c r="U1385" t="str">
        <f t="shared" si="63"/>
        <v>ad5732</v>
      </c>
      <c r="V1385">
        <v>0</v>
      </c>
      <c r="W1385">
        <v>0</v>
      </c>
      <c r="X1385">
        <v>1</v>
      </c>
      <c r="Z1385">
        <v>0</v>
      </c>
      <c r="AA1385">
        <v>9</v>
      </c>
      <c r="AB1385">
        <v>3</v>
      </c>
      <c r="AC1385">
        <v>0</v>
      </c>
      <c r="AD1385">
        <v>10</v>
      </c>
      <c r="AE1385">
        <v>0</v>
      </c>
      <c r="AF1385">
        <v>3</v>
      </c>
      <c r="AG1385">
        <v>2</v>
      </c>
      <c r="AH1385">
        <v>0</v>
      </c>
      <c r="AI1385" t="s">
        <v>2873</v>
      </c>
      <c r="AJ1385">
        <v>39.589790999999998</v>
      </c>
      <c r="AK1385" t="s">
        <v>2874</v>
      </c>
      <c r="AL1385">
        <v>-76.492008999999996</v>
      </c>
      <c r="AM1385">
        <v>100</v>
      </c>
      <c r="AN1385">
        <v>8700</v>
      </c>
      <c r="AO1385" t="s">
        <v>115</v>
      </c>
      <c r="AP1385">
        <v>166</v>
      </c>
      <c r="AQ1385">
        <v>87</v>
      </c>
      <c r="AR1385">
        <v>0</v>
      </c>
      <c r="AZ1385">
        <v>3614</v>
      </c>
      <c r="BA1385">
        <v>1</v>
      </c>
      <c r="BB1385" t="str">
        <f t="shared" si="65"/>
        <v xml:space="preserve">N959MJ  </v>
      </c>
      <c r="BC1385">
        <v>1</v>
      </c>
      <c r="BE1385">
        <v>0</v>
      </c>
      <c r="BF1385">
        <v>0</v>
      </c>
      <c r="BG1385">
        <v>0</v>
      </c>
      <c r="BH1385">
        <v>9025</v>
      </c>
      <c r="BI1385">
        <v>325</v>
      </c>
      <c r="BJ1385">
        <v>1</v>
      </c>
      <c r="BK1385">
        <v>1</v>
      </c>
      <c r="BL1385">
        <v>1</v>
      </c>
      <c r="BM1385">
        <v>0</v>
      </c>
      <c r="BP1385">
        <v>0</v>
      </c>
      <c r="BQ1385">
        <v>0</v>
      </c>
      <c r="BX1385" t="str">
        <f>"14:13:26.477"</f>
        <v>14:13:26.477</v>
      </c>
      <c r="BY1385" t="str">
        <f>"477824587"</f>
        <v>477824587</v>
      </c>
      <c r="CL1385">
        <v>0</v>
      </c>
      <c r="CM1385">
        <v>2</v>
      </c>
      <c r="CN1385">
        <v>0</v>
      </c>
      <c r="CO1385">
        <v>2</v>
      </c>
      <c r="CP1385">
        <v>0</v>
      </c>
      <c r="CQ1385">
        <v>7</v>
      </c>
      <c r="CR1385" t="s">
        <v>116</v>
      </c>
      <c r="CS1385">
        <v>396</v>
      </c>
      <c r="CT1385">
        <v>2</v>
      </c>
      <c r="CU1385" t="s">
        <v>939</v>
      </c>
      <c r="CV1385" t="s">
        <v>940</v>
      </c>
      <c r="CY1385">
        <v>5185806</v>
      </c>
      <c r="CZ1385" t="s">
        <v>119</v>
      </c>
    </row>
    <row r="1386" spans="1:104" x14ac:dyDescent="0.25">
      <c r="A1386" t="str">
        <f>"14:13:27.734"</f>
        <v>14:13:27.734</v>
      </c>
      <c r="B1386" t="s">
        <v>108</v>
      </c>
      <c r="C1386" t="str">
        <f t="shared" si="64"/>
        <v>ffdfd3c0</v>
      </c>
      <c r="D1386" t="s">
        <v>109</v>
      </c>
      <c r="E1386">
        <v>4</v>
      </c>
      <c r="F1386">
        <v>1004</v>
      </c>
      <c r="G1386" t="s">
        <v>110</v>
      </c>
      <c r="J1386" t="s">
        <v>111</v>
      </c>
      <c r="K1386">
        <v>0</v>
      </c>
      <c r="L1386">
        <v>3</v>
      </c>
      <c r="M1386">
        <v>0</v>
      </c>
      <c r="N1386">
        <v>2</v>
      </c>
      <c r="O1386">
        <v>1</v>
      </c>
      <c r="P1386">
        <v>0</v>
      </c>
      <c r="Q1386">
        <v>0</v>
      </c>
      <c r="R1386" t="s">
        <v>112</v>
      </c>
      <c r="S1386" t="str">
        <f>"14:13:27.547"</f>
        <v>14:13:27.547</v>
      </c>
      <c r="T1386" t="str">
        <f>"14:13:27.047"</f>
        <v>14:13:27.047</v>
      </c>
      <c r="U1386" t="str">
        <f t="shared" si="63"/>
        <v>ad5732</v>
      </c>
      <c r="V1386">
        <v>0</v>
      </c>
      <c r="W1386">
        <v>0</v>
      </c>
      <c r="X1386">
        <v>1</v>
      </c>
      <c r="Z1386">
        <v>0</v>
      </c>
      <c r="AA1386">
        <v>9</v>
      </c>
      <c r="AB1386">
        <v>3</v>
      </c>
      <c r="AC1386">
        <v>0</v>
      </c>
      <c r="AD1386">
        <v>10</v>
      </c>
      <c r="AE1386">
        <v>0</v>
      </c>
      <c r="AF1386">
        <v>3</v>
      </c>
      <c r="AG1386">
        <v>2</v>
      </c>
      <c r="AH1386">
        <v>0</v>
      </c>
      <c r="AI1386" t="s">
        <v>2875</v>
      </c>
      <c r="AJ1386">
        <v>39.590242000000003</v>
      </c>
      <c r="AK1386" t="s">
        <v>2876</v>
      </c>
      <c r="AL1386">
        <v>-76.490871999999996</v>
      </c>
      <c r="AM1386">
        <v>100</v>
      </c>
      <c r="AN1386">
        <v>8700</v>
      </c>
      <c r="AO1386" t="s">
        <v>115</v>
      </c>
      <c r="AP1386">
        <v>166</v>
      </c>
      <c r="AQ1386">
        <v>87</v>
      </c>
      <c r="AR1386">
        <v>0</v>
      </c>
      <c r="AZ1386">
        <v>3614</v>
      </c>
      <c r="BA1386">
        <v>1</v>
      </c>
      <c r="BB1386" t="str">
        <f t="shared" si="65"/>
        <v xml:space="preserve">N959MJ  </v>
      </c>
      <c r="BC1386">
        <v>1</v>
      </c>
      <c r="BE1386">
        <v>0</v>
      </c>
      <c r="BF1386">
        <v>0</v>
      </c>
      <c r="BG1386">
        <v>0</v>
      </c>
      <c r="BH1386">
        <v>9025</v>
      </c>
      <c r="BI1386">
        <v>325</v>
      </c>
      <c r="BJ1386">
        <v>1</v>
      </c>
      <c r="BK1386">
        <v>1</v>
      </c>
      <c r="BL1386">
        <v>1</v>
      </c>
      <c r="BM1386">
        <v>0</v>
      </c>
      <c r="BP1386">
        <v>0</v>
      </c>
      <c r="BQ1386">
        <v>0</v>
      </c>
      <c r="BX1386" t="str">
        <f>"14:13:27.547"</f>
        <v>14:13:27.547</v>
      </c>
      <c r="BY1386" t="str">
        <f>"549356043"</f>
        <v>549356043</v>
      </c>
      <c r="CL1386">
        <v>0</v>
      </c>
      <c r="CM1386">
        <v>2</v>
      </c>
      <c r="CN1386">
        <v>0</v>
      </c>
      <c r="CO1386">
        <v>2</v>
      </c>
      <c r="CP1386">
        <v>0</v>
      </c>
      <c r="CQ1386">
        <v>7</v>
      </c>
      <c r="CR1386" t="s">
        <v>116</v>
      </c>
      <c r="CS1386">
        <v>396</v>
      </c>
      <c r="CT1386">
        <v>2</v>
      </c>
      <c r="CU1386" t="s">
        <v>939</v>
      </c>
      <c r="CV1386" t="s">
        <v>940</v>
      </c>
      <c r="CY1386">
        <v>5187761</v>
      </c>
      <c r="CZ1386" t="s">
        <v>119</v>
      </c>
    </row>
    <row r="1387" spans="1:104" x14ac:dyDescent="0.25">
      <c r="A1387" t="str">
        <f>"14:13:28.797"</f>
        <v>14:13:28.797</v>
      </c>
      <c r="B1387" t="s">
        <v>108</v>
      </c>
      <c r="C1387" t="str">
        <f t="shared" si="64"/>
        <v>ffdfd3c0</v>
      </c>
      <c r="D1387" t="s">
        <v>109</v>
      </c>
      <c r="E1387">
        <v>4</v>
      </c>
      <c r="F1387">
        <v>1004</v>
      </c>
      <c r="G1387" t="s">
        <v>110</v>
      </c>
      <c r="J1387" t="s">
        <v>111</v>
      </c>
      <c r="K1387">
        <v>0</v>
      </c>
      <c r="L1387">
        <v>3</v>
      </c>
      <c r="M1387">
        <v>0</v>
      </c>
      <c r="N1387">
        <v>2</v>
      </c>
      <c r="O1387">
        <v>1</v>
      </c>
      <c r="P1387">
        <v>0</v>
      </c>
      <c r="Q1387">
        <v>0</v>
      </c>
      <c r="R1387" t="s">
        <v>112</v>
      </c>
      <c r="S1387" t="str">
        <f>"14:13:28.609"</f>
        <v>14:13:28.609</v>
      </c>
      <c r="T1387" t="str">
        <f>"14:13:28.109"</f>
        <v>14:13:28.109</v>
      </c>
      <c r="U1387" t="str">
        <f t="shared" si="63"/>
        <v>ad5732</v>
      </c>
      <c r="V1387">
        <v>0</v>
      </c>
      <c r="W1387">
        <v>0</v>
      </c>
      <c r="X1387">
        <v>1</v>
      </c>
      <c r="Z1387">
        <v>0</v>
      </c>
      <c r="AA1387">
        <v>9</v>
      </c>
      <c r="AB1387">
        <v>3</v>
      </c>
      <c r="AC1387">
        <v>0</v>
      </c>
      <c r="AD1387">
        <v>10</v>
      </c>
      <c r="AE1387">
        <v>0</v>
      </c>
      <c r="AF1387">
        <v>3</v>
      </c>
      <c r="AG1387">
        <v>2</v>
      </c>
      <c r="AH1387">
        <v>0</v>
      </c>
      <c r="AI1387" t="s">
        <v>2877</v>
      </c>
      <c r="AJ1387">
        <v>39.590671</v>
      </c>
      <c r="AK1387" t="s">
        <v>2878</v>
      </c>
      <c r="AL1387">
        <v>-76.489799000000005</v>
      </c>
      <c r="AM1387">
        <v>100</v>
      </c>
      <c r="AN1387">
        <v>8700</v>
      </c>
      <c r="AO1387" t="s">
        <v>115</v>
      </c>
      <c r="AP1387">
        <v>166</v>
      </c>
      <c r="AQ1387">
        <v>87</v>
      </c>
      <c r="AR1387">
        <v>-64</v>
      </c>
      <c r="AZ1387">
        <v>3614</v>
      </c>
      <c r="BA1387">
        <v>1</v>
      </c>
      <c r="BB1387" t="str">
        <f t="shared" si="65"/>
        <v xml:space="preserve">N959MJ  </v>
      </c>
      <c r="BC1387">
        <v>1</v>
      </c>
      <c r="BE1387">
        <v>0</v>
      </c>
      <c r="BF1387">
        <v>0</v>
      </c>
      <c r="BG1387">
        <v>0</v>
      </c>
      <c r="BH1387">
        <v>9025</v>
      </c>
      <c r="BI1387">
        <v>325</v>
      </c>
      <c r="BJ1387">
        <v>1</v>
      </c>
      <c r="BK1387">
        <v>1</v>
      </c>
      <c r="BL1387">
        <v>1</v>
      </c>
      <c r="BM1387">
        <v>0</v>
      </c>
      <c r="BP1387">
        <v>0</v>
      </c>
      <c r="BQ1387">
        <v>0</v>
      </c>
      <c r="BX1387" t="str">
        <f>"14:13:28.617"</f>
        <v>14:13:28.617</v>
      </c>
      <c r="BY1387" t="str">
        <f>"614333641"</f>
        <v>614333641</v>
      </c>
      <c r="CL1387">
        <v>0</v>
      </c>
      <c r="CM1387">
        <v>2</v>
      </c>
      <c r="CN1387">
        <v>0</v>
      </c>
      <c r="CO1387">
        <v>2</v>
      </c>
      <c r="CP1387">
        <v>0</v>
      </c>
      <c r="CQ1387">
        <v>7</v>
      </c>
      <c r="CR1387" t="s">
        <v>116</v>
      </c>
      <c r="CS1387">
        <v>396</v>
      </c>
      <c r="CT1387">
        <v>2</v>
      </c>
      <c r="CU1387" t="s">
        <v>939</v>
      </c>
      <c r="CV1387" t="s">
        <v>940</v>
      </c>
      <c r="CY1387">
        <v>5189660</v>
      </c>
      <c r="CZ1387" t="s">
        <v>119</v>
      </c>
    </row>
    <row r="1388" spans="1:104" x14ac:dyDescent="0.25">
      <c r="A1388" t="str">
        <f>"14:13:29.852"</f>
        <v>14:13:29.852</v>
      </c>
      <c r="B1388" t="s">
        <v>108</v>
      </c>
      <c r="C1388" t="str">
        <f t="shared" si="64"/>
        <v>ffdfd3c0</v>
      </c>
      <c r="D1388" t="s">
        <v>109</v>
      </c>
      <c r="E1388">
        <v>4</v>
      </c>
      <c r="F1388">
        <v>1004</v>
      </c>
      <c r="G1388" t="s">
        <v>110</v>
      </c>
      <c r="J1388" t="s">
        <v>111</v>
      </c>
      <c r="K1388">
        <v>0</v>
      </c>
      <c r="L1388">
        <v>3</v>
      </c>
      <c r="M1388">
        <v>0</v>
      </c>
      <c r="N1388">
        <v>2</v>
      </c>
      <c r="O1388">
        <v>1</v>
      </c>
      <c r="P1388">
        <v>0</v>
      </c>
      <c r="Q1388">
        <v>0</v>
      </c>
      <c r="R1388" t="s">
        <v>112</v>
      </c>
      <c r="S1388" t="str">
        <f>"14:13:29.656"</f>
        <v>14:13:29.656</v>
      </c>
      <c r="T1388" t="str">
        <f>"14:13:29.258"</f>
        <v>14:13:29.258</v>
      </c>
      <c r="U1388" t="str">
        <f t="shared" si="63"/>
        <v>ad5732</v>
      </c>
      <c r="V1388">
        <v>0</v>
      </c>
      <c r="W1388">
        <v>0</v>
      </c>
      <c r="X1388">
        <v>1</v>
      </c>
      <c r="Z1388">
        <v>0</v>
      </c>
      <c r="AA1388">
        <v>9</v>
      </c>
      <c r="AB1388">
        <v>3</v>
      </c>
      <c r="AC1388">
        <v>0</v>
      </c>
      <c r="AD1388">
        <v>10</v>
      </c>
      <c r="AE1388">
        <v>0</v>
      </c>
      <c r="AF1388">
        <v>3</v>
      </c>
      <c r="AG1388">
        <v>2</v>
      </c>
      <c r="AH1388">
        <v>0</v>
      </c>
      <c r="AI1388" t="s">
        <v>2879</v>
      </c>
      <c r="AJ1388">
        <v>39.591099999999997</v>
      </c>
      <c r="AK1388" t="s">
        <v>2880</v>
      </c>
      <c r="AL1388">
        <v>-76.488833</v>
      </c>
      <c r="AM1388">
        <v>100</v>
      </c>
      <c r="AN1388">
        <v>8700</v>
      </c>
      <c r="AO1388" t="s">
        <v>115</v>
      </c>
      <c r="AP1388">
        <v>166</v>
      </c>
      <c r="AQ1388">
        <v>88</v>
      </c>
      <c r="AR1388">
        <v>0</v>
      </c>
      <c r="AZ1388">
        <v>3614</v>
      </c>
      <c r="BA1388">
        <v>1</v>
      </c>
      <c r="BB1388" t="str">
        <f t="shared" si="65"/>
        <v xml:space="preserve">N959MJ  </v>
      </c>
      <c r="BC1388">
        <v>1</v>
      </c>
      <c r="BE1388">
        <v>0</v>
      </c>
      <c r="BF1388">
        <v>0</v>
      </c>
      <c r="BG1388">
        <v>0</v>
      </c>
      <c r="BH1388">
        <v>9025</v>
      </c>
      <c r="BI1388">
        <v>325</v>
      </c>
      <c r="BJ1388">
        <v>1</v>
      </c>
      <c r="BK1388">
        <v>1</v>
      </c>
      <c r="BL1388">
        <v>1</v>
      </c>
      <c r="BM1388">
        <v>0</v>
      </c>
      <c r="BP1388">
        <v>0</v>
      </c>
      <c r="BQ1388">
        <v>0</v>
      </c>
      <c r="BX1388" t="str">
        <f>"14:13:29.656"</f>
        <v>14:13:29.656</v>
      </c>
      <c r="BY1388" t="str">
        <f>"656373358"</f>
        <v>656373358</v>
      </c>
      <c r="CL1388">
        <v>0</v>
      </c>
      <c r="CM1388">
        <v>2</v>
      </c>
      <c r="CN1388">
        <v>0</v>
      </c>
      <c r="CO1388">
        <v>2</v>
      </c>
      <c r="CP1388">
        <v>0</v>
      </c>
      <c r="CQ1388">
        <v>7</v>
      </c>
      <c r="CR1388" t="s">
        <v>116</v>
      </c>
      <c r="CS1388">
        <v>396</v>
      </c>
      <c r="CT1388">
        <v>2</v>
      </c>
      <c r="CU1388" t="s">
        <v>939</v>
      </c>
      <c r="CV1388" t="s">
        <v>940</v>
      </c>
      <c r="CY1388">
        <v>5191543</v>
      </c>
      <c r="CZ1388" t="s">
        <v>119</v>
      </c>
    </row>
    <row r="1389" spans="1:104" x14ac:dyDescent="0.25">
      <c r="A1389" t="str">
        <f>"14:13:30.969"</f>
        <v>14:13:30.969</v>
      </c>
      <c r="B1389" t="s">
        <v>108</v>
      </c>
      <c r="C1389" t="str">
        <f t="shared" si="64"/>
        <v>ffdfd3c0</v>
      </c>
      <c r="D1389" t="s">
        <v>109</v>
      </c>
      <c r="E1389">
        <v>4</v>
      </c>
      <c r="F1389">
        <v>1004</v>
      </c>
      <c r="G1389" t="s">
        <v>110</v>
      </c>
      <c r="J1389" t="s">
        <v>111</v>
      </c>
      <c r="K1389">
        <v>0</v>
      </c>
      <c r="L1389">
        <v>3</v>
      </c>
      <c r="M1389">
        <v>0</v>
      </c>
      <c r="N1389">
        <v>2</v>
      </c>
      <c r="O1389">
        <v>1</v>
      </c>
      <c r="P1389">
        <v>0</v>
      </c>
      <c r="Q1389">
        <v>0</v>
      </c>
      <c r="R1389" t="s">
        <v>112</v>
      </c>
      <c r="S1389" t="str">
        <f>"14:13:30.781"</f>
        <v>14:13:30.781</v>
      </c>
      <c r="T1389" t="str">
        <f>"14:13:30.281"</f>
        <v>14:13:30.281</v>
      </c>
      <c r="U1389" t="str">
        <f t="shared" si="63"/>
        <v>ad5732</v>
      </c>
      <c r="V1389">
        <v>0</v>
      </c>
      <c r="W1389">
        <v>0</v>
      </c>
      <c r="X1389">
        <v>1</v>
      </c>
      <c r="Z1389">
        <v>0</v>
      </c>
      <c r="AA1389">
        <v>9</v>
      </c>
      <c r="AB1389">
        <v>3</v>
      </c>
      <c r="AC1389">
        <v>0</v>
      </c>
      <c r="AD1389">
        <v>10</v>
      </c>
      <c r="AE1389">
        <v>0</v>
      </c>
      <c r="AF1389">
        <v>3</v>
      </c>
      <c r="AG1389">
        <v>2</v>
      </c>
      <c r="AH1389">
        <v>0</v>
      </c>
      <c r="AI1389" t="s">
        <v>2881</v>
      </c>
      <c r="AJ1389">
        <v>39.591529000000001</v>
      </c>
      <c r="AK1389" t="s">
        <v>2882</v>
      </c>
      <c r="AL1389">
        <v>-76.487718000000001</v>
      </c>
      <c r="AM1389">
        <v>100</v>
      </c>
      <c r="AN1389">
        <v>8700</v>
      </c>
      <c r="AO1389" t="s">
        <v>115</v>
      </c>
      <c r="AP1389">
        <v>166</v>
      </c>
      <c r="AQ1389">
        <v>88</v>
      </c>
      <c r="AR1389">
        <v>0</v>
      </c>
      <c r="AZ1389">
        <v>3614</v>
      </c>
      <c r="BA1389">
        <v>1</v>
      </c>
      <c r="BB1389" t="str">
        <f t="shared" si="65"/>
        <v xml:space="preserve">N959MJ  </v>
      </c>
      <c r="BC1389">
        <v>1</v>
      </c>
      <c r="BE1389">
        <v>0</v>
      </c>
      <c r="BF1389">
        <v>0</v>
      </c>
      <c r="BG1389">
        <v>0</v>
      </c>
      <c r="BH1389">
        <v>9025</v>
      </c>
      <c r="BI1389">
        <v>325</v>
      </c>
      <c r="BJ1389">
        <v>1</v>
      </c>
      <c r="BK1389">
        <v>1</v>
      </c>
      <c r="BL1389">
        <v>1</v>
      </c>
      <c r="BM1389">
        <v>0</v>
      </c>
      <c r="BP1389">
        <v>0</v>
      </c>
      <c r="BQ1389">
        <v>0</v>
      </c>
      <c r="BX1389" t="str">
        <f>"14:13:30.789"</f>
        <v>14:13:30.789</v>
      </c>
      <c r="BY1389" t="str">
        <f>"788526604"</f>
        <v>788526604</v>
      </c>
      <c r="CL1389">
        <v>0</v>
      </c>
      <c r="CM1389">
        <v>2</v>
      </c>
      <c r="CN1389">
        <v>0</v>
      </c>
      <c r="CO1389">
        <v>2</v>
      </c>
      <c r="CP1389">
        <v>0</v>
      </c>
      <c r="CQ1389">
        <v>7</v>
      </c>
      <c r="CR1389" t="s">
        <v>116</v>
      </c>
      <c r="CS1389">
        <v>396</v>
      </c>
      <c r="CT1389">
        <v>2</v>
      </c>
      <c r="CU1389" t="s">
        <v>939</v>
      </c>
      <c r="CV1389" t="s">
        <v>940</v>
      </c>
      <c r="CY1389">
        <v>5193604</v>
      </c>
      <c r="CZ1389" t="s">
        <v>119</v>
      </c>
    </row>
    <row r="1390" spans="1:104" x14ac:dyDescent="0.25">
      <c r="A1390" t="str">
        <f>"14:13:32.078"</f>
        <v>14:13:32.078</v>
      </c>
      <c r="B1390" t="s">
        <v>108</v>
      </c>
      <c r="C1390" t="str">
        <f t="shared" si="64"/>
        <v>ffdfd3c0</v>
      </c>
      <c r="D1390" t="s">
        <v>109</v>
      </c>
      <c r="E1390">
        <v>4</v>
      </c>
      <c r="F1390">
        <v>1004</v>
      </c>
      <c r="G1390" t="s">
        <v>110</v>
      </c>
      <c r="J1390" t="s">
        <v>111</v>
      </c>
      <c r="K1390">
        <v>0</v>
      </c>
      <c r="L1390">
        <v>3</v>
      </c>
      <c r="M1390">
        <v>0</v>
      </c>
      <c r="N1390">
        <v>2</v>
      </c>
      <c r="O1390">
        <v>1</v>
      </c>
      <c r="P1390">
        <v>0</v>
      </c>
      <c r="Q1390">
        <v>0</v>
      </c>
      <c r="R1390" t="s">
        <v>112</v>
      </c>
      <c r="S1390" t="str">
        <f>"14:13:31.898"</f>
        <v>14:13:31.898</v>
      </c>
      <c r="T1390" t="str">
        <f>"14:13:31.398"</f>
        <v>14:13:31.398</v>
      </c>
      <c r="U1390" t="str">
        <f t="shared" si="63"/>
        <v>ad5732</v>
      </c>
      <c r="V1390">
        <v>0</v>
      </c>
      <c r="W1390">
        <v>0</v>
      </c>
      <c r="X1390">
        <v>1</v>
      </c>
      <c r="Z1390">
        <v>0</v>
      </c>
      <c r="AA1390">
        <v>9</v>
      </c>
      <c r="AB1390">
        <v>3</v>
      </c>
      <c r="AC1390">
        <v>0</v>
      </c>
      <c r="AD1390">
        <v>10</v>
      </c>
      <c r="AE1390">
        <v>0</v>
      </c>
      <c r="AF1390">
        <v>3</v>
      </c>
      <c r="AG1390">
        <v>2</v>
      </c>
      <c r="AH1390">
        <v>0</v>
      </c>
      <c r="AI1390" t="s">
        <v>2883</v>
      </c>
      <c r="AJ1390">
        <v>39.592022999999998</v>
      </c>
      <c r="AK1390" t="s">
        <v>2884</v>
      </c>
      <c r="AL1390">
        <v>-76.486515999999995</v>
      </c>
      <c r="AM1390">
        <v>100</v>
      </c>
      <c r="AN1390">
        <v>8700</v>
      </c>
      <c r="AO1390" t="s">
        <v>115</v>
      </c>
      <c r="AP1390">
        <v>166</v>
      </c>
      <c r="AQ1390">
        <v>88</v>
      </c>
      <c r="AR1390">
        <v>0</v>
      </c>
      <c r="AZ1390">
        <v>3614</v>
      </c>
      <c r="BA1390">
        <v>1</v>
      </c>
      <c r="BB1390" t="str">
        <f t="shared" si="65"/>
        <v xml:space="preserve">N959MJ  </v>
      </c>
      <c r="BC1390">
        <v>1</v>
      </c>
      <c r="BE1390">
        <v>0</v>
      </c>
      <c r="BF1390">
        <v>0</v>
      </c>
      <c r="BG1390">
        <v>0</v>
      </c>
      <c r="BH1390">
        <v>9025</v>
      </c>
      <c r="BI1390">
        <v>325</v>
      </c>
      <c r="BJ1390">
        <v>1</v>
      </c>
      <c r="BK1390">
        <v>1</v>
      </c>
      <c r="BL1390">
        <v>1</v>
      </c>
      <c r="BM1390">
        <v>0</v>
      </c>
      <c r="BP1390">
        <v>0</v>
      </c>
      <c r="BQ1390">
        <v>0</v>
      </c>
      <c r="BX1390" t="str">
        <f>"14:13:31.906"</f>
        <v>14:13:31.906</v>
      </c>
      <c r="BY1390" t="str">
        <f>"904295510"</f>
        <v>904295510</v>
      </c>
      <c r="CL1390">
        <v>0</v>
      </c>
      <c r="CM1390">
        <v>2</v>
      </c>
      <c r="CN1390">
        <v>0</v>
      </c>
      <c r="CO1390">
        <v>2</v>
      </c>
      <c r="CP1390">
        <v>0</v>
      </c>
      <c r="CQ1390">
        <v>7</v>
      </c>
      <c r="CR1390" t="s">
        <v>116</v>
      </c>
      <c r="CS1390">
        <v>396</v>
      </c>
      <c r="CT1390">
        <v>2</v>
      </c>
      <c r="CU1390" t="s">
        <v>939</v>
      </c>
      <c r="CV1390" t="s">
        <v>940</v>
      </c>
      <c r="CY1390">
        <v>5195650</v>
      </c>
      <c r="CZ1390" t="s">
        <v>119</v>
      </c>
    </row>
    <row r="1391" spans="1:104" x14ac:dyDescent="0.25">
      <c r="A1391" t="str">
        <f>"14:13:33.094"</f>
        <v>14:13:33.094</v>
      </c>
      <c r="B1391" t="s">
        <v>108</v>
      </c>
      <c r="C1391" t="str">
        <f t="shared" si="64"/>
        <v>ffdfd3c0</v>
      </c>
      <c r="D1391" t="s">
        <v>109</v>
      </c>
      <c r="E1391">
        <v>4</v>
      </c>
      <c r="F1391">
        <v>1004</v>
      </c>
      <c r="G1391" t="s">
        <v>110</v>
      </c>
      <c r="J1391" t="s">
        <v>111</v>
      </c>
      <c r="K1391">
        <v>0</v>
      </c>
      <c r="L1391">
        <v>3</v>
      </c>
      <c r="M1391">
        <v>0</v>
      </c>
      <c r="N1391">
        <v>2</v>
      </c>
      <c r="O1391">
        <v>1</v>
      </c>
      <c r="P1391">
        <v>0</v>
      </c>
      <c r="Q1391">
        <v>0</v>
      </c>
      <c r="R1391" t="s">
        <v>112</v>
      </c>
      <c r="S1391" t="str">
        <f>"14:13:32.930"</f>
        <v>14:13:32.930</v>
      </c>
      <c r="T1391" t="str">
        <f>"14:13:32.531"</f>
        <v>14:13:32.531</v>
      </c>
      <c r="U1391" t="str">
        <f t="shared" si="63"/>
        <v>ad5732</v>
      </c>
      <c r="V1391">
        <v>0</v>
      </c>
      <c r="W1391">
        <v>0</v>
      </c>
      <c r="X1391">
        <v>1</v>
      </c>
      <c r="Z1391">
        <v>0</v>
      </c>
      <c r="AA1391">
        <v>9</v>
      </c>
      <c r="AB1391">
        <v>3</v>
      </c>
      <c r="AC1391">
        <v>0</v>
      </c>
      <c r="AD1391">
        <v>10</v>
      </c>
      <c r="AE1391">
        <v>0</v>
      </c>
      <c r="AF1391">
        <v>3</v>
      </c>
      <c r="AG1391">
        <v>2</v>
      </c>
      <c r="AH1391">
        <v>0</v>
      </c>
      <c r="AI1391" t="s">
        <v>2885</v>
      </c>
      <c r="AJ1391">
        <v>39.592430999999998</v>
      </c>
      <c r="AK1391" t="s">
        <v>2886</v>
      </c>
      <c r="AL1391">
        <v>-76.485506999999998</v>
      </c>
      <c r="AM1391">
        <v>100</v>
      </c>
      <c r="AN1391">
        <v>8700</v>
      </c>
      <c r="AO1391" t="s">
        <v>115</v>
      </c>
      <c r="AP1391">
        <v>165</v>
      </c>
      <c r="AQ1391">
        <v>88</v>
      </c>
      <c r="AR1391">
        <v>0</v>
      </c>
      <c r="AZ1391">
        <v>3614</v>
      </c>
      <c r="BA1391">
        <v>1</v>
      </c>
      <c r="BB1391" t="str">
        <f t="shared" si="65"/>
        <v xml:space="preserve">N959MJ  </v>
      </c>
      <c r="BC1391">
        <v>1</v>
      </c>
      <c r="BE1391">
        <v>0</v>
      </c>
      <c r="BF1391">
        <v>0</v>
      </c>
      <c r="BG1391">
        <v>0</v>
      </c>
      <c r="BH1391">
        <v>9025</v>
      </c>
      <c r="BI1391">
        <v>325</v>
      </c>
      <c r="BJ1391">
        <v>1</v>
      </c>
      <c r="BK1391">
        <v>1</v>
      </c>
      <c r="BL1391">
        <v>1</v>
      </c>
      <c r="BM1391">
        <v>0</v>
      </c>
      <c r="BP1391">
        <v>0</v>
      </c>
      <c r="BQ1391">
        <v>0</v>
      </c>
      <c r="BX1391" t="str">
        <f>"14:13:32.938"</f>
        <v>14:13:32.938</v>
      </c>
      <c r="BY1391" t="str">
        <f>"934866545"</f>
        <v>934866545</v>
      </c>
      <c r="CL1391">
        <v>0</v>
      </c>
      <c r="CM1391">
        <v>2</v>
      </c>
      <c r="CN1391">
        <v>0</v>
      </c>
      <c r="CO1391">
        <v>2</v>
      </c>
      <c r="CP1391">
        <v>0</v>
      </c>
      <c r="CQ1391">
        <v>7</v>
      </c>
      <c r="CR1391" t="s">
        <v>116</v>
      </c>
      <c r="CS1391">
        <v>396</v>
      </c>
      <c r="CT1391">
        <v>2</v>
      </c>
      <c r="CU1391" t="s">
        <v>939</v>
      </c>
      <c r="CV1391" t="s">
        <v>940</v>
      </c>
      <c r="CY1391">
        <v>5197560</v>
      </c>
      <c r="CZ1391" t="s">
        <v>119</v>
      </c>
    </row>
    <row r="1392" spans="1:104" x14ac:dyDescent="0.25">
      <c r="A1392" t="str">
        <f>"14:13:34.047"</f>
        <v>14:13:34.047</v>
      </c>
      <c r="B1392" t="s">
        <v>108</v>
      </c>
      <c r="C1392" t="str">
        <f t="shared" si="64"/>
        <v>ffdfd3c0</v>
      </c>
      <c r="D1392" t="s">
        <v>109</v>
      </c>
      <c r="E1392">
        <v>4</v>
      </c>
      <c r="F1392">
        <v>1004</v>
      </c>
      <c r="G1392" t="s">
        <v>110</v>
      </c>
      <c r="J1392" t="s">
        <v>111</v>
      </c>
      <c r="K1392">
        <v>0</v>
      </c>
      <c r="L1392">
        <v>3</v>
      </c>
      <c r="M1392">
        <v>0</v>
      </c>
      <c r="N1392">
        <v>2</v>
      </c>
      <c r="O1392">
        <v>1</v>
      </c>
      <c r="P1392">
        <v>0</v>
      </c>
      <c r="Q1392">
        <v>0</v>
      </c>
      <c r="R1392" t="s">
        <v>112</v>
      </c>
      <c r="S1392" t="str">
        <f>"14:13:33.852"</f>
        <v>14:13:33.852</v>
      </c>
      <c r="T1392" t="str">
        <f>"14:13:33.453"</f>
        <v>14:13:33.453</v>
      </c>
      <c r="U1392" t="str">
        <f t="shared" si="63"/>
        <v>ad5732</v>
      </c>
      <c r="V1392">
        <v>0</v>
      </c>
      <c r="W1392">
        <v>0</v>
      </c>
      <c r="X1392">
        <v>1</v>
      </c>
      <c r="Z1392">
        <v>0</v>
      </c>
      <c r="AA1392">
        <v>9</v>
      </c>
      <c r="AB1392">
        <v>3</v>
      </c>
      <c r="AC1392">
        <v>0</v>
      </c>
      <c r="AD1392">
        <v>10</v>
      </c>
      <c r="AE1392">
        <v>0</v>
      </c>
      <c r="AF1392">
        <v>3</v>
      </c>
      <c r="AG1392">
        <v>2</v>
      </c>
      <c r="AH1392">
        <v>0</v>
      </c>
      <c r="AI1392" t="s">
        <v>2887</v>
      </c>
      <c r="AJ1392">
        <v>39.592816999999997</v>
      </c>
      <c r="AK1392" t="s">
        <v>2888</v>
      </c>
      <c r="AL1392">
        <v>-76.484628000000001</v>
      </c>
      <c r="AM1392">
        <v>100</v>
      </c>
      <c r="AN1392">
        <v>8700</v>
      </c>
      <c r="AO1392" t="s">
        <v>115</v>
      </c>
      <c r="AP1392">
        <v>165</v>
      </c>
      <c r="AQ1392">
        <v>88</v>
      </c>
      <c r="AR1392">
        <v>0</v>
      </c>
      <c r="AZ1392">
        <v>3614</v>
      </c>
      <c r="BA1392">
        <v>1</v>
      </c>
      <c r="BB1392" t="str">
        <f t="shared" si="65"/>
        <v xml:space="preserve">N959MJ  </v>
      </c>
      <c r="BC1392">
        <v>1</v>
      </c>
      <c r="BE1392">
        <v>0</v>
      </c>
      <c r="BF1392">
        <v>0</v>
      </c>
      <c r="BG1392">
        <v>0</v>
      </c>
      <c r="BH1392">
        <v>9025</v>
      </c>
      <c r="BI1392">
        <v>325</v>
      </c>
      <c r="BJ1392">
        <v>1</v>
      </c>
      <c r="BK1392">
        <v>1</v>
      </c>
      <c r="BL1392">
        <v>1</v>
      </c>
      <c r="BM1392">
        <v>0</v>
      </c>
      <c r="BP1392">
        <v>0</v>
      </c>
      <c r="BQ1392">
        <v>0</v>
      </c>
      <c r="BX1392" t="str">
        <f>"14:13:33.859"</f>
        <v>14:13:33.859</v>
      </c>
      <c r="BY1392" t="str">
        <f>"858939229"</f>
        <v>858939229</v>
      </c>
      <c r="CL1392">
        <v>0</v>
      </c>
      <c r="CM1392">
        <v>2</v>
      </c>
      <c r="CN1392">
        <v>0</v>
      </c>
      <c r="CO1392">
        <v>2</v>
      </c>
      <c r="CP1392">
        <v>0</v>
      </c>
      <c r="CQ1392">
        <v>7</v>
      </c>
      <c r="CR1392" t="s">
        <v>116</v>
      </c>
      <c r="CS1392">
        <v>396</v>
      </c>
      <c r="CT1392">
        <v>2</v>
      </c>
      <c r="CU1392" t="s">
        <v>939</v>
      </c>
      <c r="CV1392" t="s">
        <v>940</v>
      </c>
      <c r="CY1392">
        <v>5199270</v>
      </c>
      <c r="CZ1392" t="s">
        <v>119</v>
      </c>
    </row>
    <row r="1393" spans="1:104" x14ac:dyDescent="0.25">
      <c r="A1393" t="str">
        <f>"14:13:35.008"</f>
        <v>14:13:35.008</v>
      </c>
      <c r="B1393" t="s">
        <v>108</v>
      </c>
      <c r="C1393" t="str">
        <f t="shared" si="64"/>
        <v>ffdfd3c0</v>
      </c>
      <c r="D1393" t="s">
        <v>109</v>
      </c>
      <c r="E1393">
        <v>4</v>
      </c>
      <c r="F1393">
        <v>1004</v>
      </c>
      <c r="G1393" t="s">
        <v>110</v>
      </c>
      <c r="J1393" t="s">
        <v>111</v>
      </c>
      <c r="K1393">
        <v>0</v>
      </c>
      <c r="L1393">
        <v>3</v>
      </c>
      <c r="M1393">
        <v>0</v>
      </c>
      <c r="N1393">
        <v>2</v>
      </c>
      <c r="O1393">
        <v>1</v>
      </c>
      <c r="P1393">
        <v>0</v>
      </c>
      <c r="Q1393">
        <v>0</v>
      </c>
      <c r="R1393" t="s">
        <v>112</v>
      </c>
      <c r="S1393" t="str">
        <f>"14:13:34.805"</f>
        <v>14:13:34.805</v>
      </c>
      <c r="T1393" t="str">
        <f>"14:13:34.406"</f>
        <v>14:13:34.406</v>
      </c>
      <c r="U1393" t="str">
        <f t="shared" si="63"/>
        <v>ad5732</v>
      </c>
      <c r="V1393">
        <v>0</v>
      </c>
      <c r="W1393">
        <v>0</v>
      </c>
      <c r="X1393">
        <v>1</v>
      </c>
      <c r="Z1393">
        <v>0</v>
      </c>
      <c r="AA1393">
        <v>9</v>
      </c>
      <c r="AB1393">
        <v>3</v>
      </c>
      <c r="AC1393">
        <v>0</v>
      </c>
      <c r="AD1393">
        <v>10</v>
      </c>
      <c r="AE1393">
        <v>0</v>
      </c>
      <c r="AF1393">
        <v>3</v>
      </c>
      <c r="AG1393">
        <v>2</v>
      </c>
      <c r="AH1393">
        <v>0</v>
      </c>
      <c r="AI1393" t="s">
        <v>2889</v>
      </c>
      <c r="AJ1393">
        <v>39.593181999999999</v>
      </c>
      <c r="AK1393" t="s">
        <v>2890</v>
      </c>
      <c r="AL1393">
        <v>-76.483641000000006</v>
      </c>
      <c r="AM1393">
        <v>100</v>
      </c>
      <c r="AN1393">
        <v>8700</v>
      </c>
      <c r="AO1393" t="s">
        <v>115</v>
      </c>
      <c r="AP1393">
        <v>165</v>
      </c>
      <c r="AQ1393">
        <v>88</v>
      </c>
      <c r="AR1393">
        <v>0</v>
      </c>
      <c r="AZ1393">
        <v>3614</v>
      </c>
      <c r="BA1393">
        <v>1</v>
      </c>
      <c r="BB1393" t="str">
        <f t="shared" si="65"/>
        <v xml:space="preserve">N959MJ  </v>
      </c>
      <c r="BC1393">
        <v>1</v>
      </c>
      <c r="BE1393">
        <v>0</v>
      </c>
      <c r="BF1393">
        <v>0</v>
      </c>
      <c r="BG1393">
        <v>0</v>
      </c>
      <c r="BH1393">
        <v>9025</v>
      </c>
      <c r="BI1393">
        <v>325</v>
      </c>
      <c r="BJ1393">
        <v>1</v>
      </c>
      <c r="BK1393">
        <v>1</v>
      </c>
      <c r="BL1393">
        <v>1</v>
      </c>
      <c r="BM1393">
        <v>0</v>
      </c>
      <c r="BP1393">
        <v>0</v>
      </c>
      <c r="BQ1393">
        <v>0</v>
      </c>
      <c r="BX1393" t="str">
        <f>"14:13:34.813"</f>
        <v>14:13:34.813</v>
      </c>
      <c r="BY1393" t="str">
        <f>"810865419"</f>
        <v>810865419</v>
      </c>
      <c r="CL1393">
        <v>0</v>
      </c>
      <c r="CM1393">
        <v>2</v>
      </c>
      <c r="CN1393">
        <v>0</v>
      </c>
      <c r="CO1393">
        <v>2</v>
      </c>
      <c r="CP1393">
        <v>0</v>
      </c>
      <c r="CQ1393">
        <v>7</v>
      </c>
      <c r="CR1393" t="s">
        <v>116</v>
      </c>
      <c r="CS1393">
        <v>396</v>
      </c>
      <c r="CT1393">
        <v>2</v>
      </c>
      <c r="CU1393" t="s">
        <v>939</v>
      </c>
      <c r="CV1393" t="s">
        <v>940</v>
      </c>
      <c r="CY1393">
        <v>5200978</v>
      </c>
      <c r="CZ1393" t="s">
        <v>119</v>
      </c>
    </row>
    <row r="1394" spans="1:104" x14ac:dyDescent="0.25">
      <c r="A1394" t="str">
        <f>"14:13:35.859"</f>
        <v>14:13:35.859</v>
      </c>
      <c r="B1394" t="s">
        <v>108</v>
      </c>
      <c r="C1394" t="str">
        <f t="shared" si="64"/>
        <v>ffdfd3c0</v>
      </c>
      <c r="D1394" t="s">
        <v>109</v>
      </c>
      <c r="E1394">
        <v>4</v>
      </c>
      <c r="F1394">
        <v>1004</v>
      </c>
      <c r="G1394" t="s">
        <v>110</v>
      </c>
      <c r="J1394" t="s">
        <v>111</v>
      </c>
      <c r="K1394">
        <v>0</v>
      </c>
      <c r="L1394">
        <v>3</v>
      </c>
      <c r="M1394">
        <v>0</v>
      </c>
      <c r="N1394">
        <v>2</v>
      </c>
      <c r="O1394">
        <v>1</v>
      </c>
      <c r="P1394">
        <v>0</v>
      </c>
      <c r="Q1394">
        <v>0</v>
      </c>
      <c r="R1394" t="s">
        <v>112</v>
      </c>
      <c r="S1394" t="str">
        <f>"14:13:35.688"</f>
        <v>14:13:35.688</v>
      </c>
      <c r="T1394" t="str">
        <f>"14:13:35.289"</f>
        <v>14:13:35.289</v>
      </c>
      <c r="U1394" t="str">
        <f t="shared" si="63"/>
        <v>ad5732</v>
      </c>
      <c r="V1394">
        <v>0</v>
      </c>
      <c r="W1394">
        <v>0</v>
      </c>
      <c r="X1394">
        <v>1</v>
      </c>
      <c r="Z1394">
        <v>0</v>
      </c>
      <c r="AA1394">
        <v>9</v>
      </c>
      <c r="AB1394">
        <v>3</v>
      </c>
      <c r="AC1394">
        <v>0</v>
      </c>
      <c r="AD1394">
        <v>10</v>
      </c>
      <c r="AE1394">
        <v>0</v>
      </c>
      <c r="AF1394">
        <v>3</v>
      </c>
      <c r="AG1394">
        <v>2</v>
      </c>
      <c r="AH1394">
        <v>0</v>
      </c>
      <c r="AI1394" t="s">
        <v>2891</v>
      </c>
      <c r="AJ1394">
        <v>39.593589000000001</v>
      </c>
      <c r="AK1394" t="s">
        <v>2892</v>
      </c>
      <c r="AL1394">
        <v>-76.482760999999996</v>
      </c>
      <c r="AM1394">
        <v>100</v>
      </c>
      <c r="AN1394">
        <v>8700</v>
      </c>
      <c r="AO1394" t="s">
        <v>115</v>
      </c>
      <c r="AP1394">
        <v>165</v>
      </c>
      <c r="AQ1394">
        <v>89</v>
      </c>
      <c r="AR1394">
        <v>0</v>
      </c>
      <c r="AZ1394">
        <v>3614</v>
      </c>
      <c r="BA1394">
        <v>1</v>
      </c>
      <c r="BB1394" t="str">
        <f t="shared" si="65"/>
        <v xml:space="preserve">N959MJ  </v>
      </c>
      <c r="BC1394">
        <v>1</v>
      </c>
      <c r="BE1394">
        <v>0</v>
      </c>
      <c r="BF1394">
        <v>0</v>
      </c>
      <c r="BG1394">
        <v>0</v>
      </c>
      <c r="BH1394">
        <v>9025</v>
      </c>
      <c r="BI1394">
        <v>325</v>
      </c>
      <c r="BJ1394">
        <v>1</v>
      </c>
      <c r="BK1394">
        <v>1</v>
      </c>
      <c r="BL1394">
        <v>1</v>
      </c>
      <c r="BM1394">
        <v>0</v>
      </c>
      <c r="BP1394">
        <v>0</v>
      </c>
      <c r="BQ1394">
        <v>0</v>
      </c>
      <c r="BX1394" t="str">
        <f>"14:13:35.688"</f>
        <v>14:13:35.688</v>
      </c>
      <c r="BY1394" t="str">
        <f>"690700838"</f>
        <v>690700838</v>
      </c>
      <c r="CL1394">
        <v>0</v>
      </c>
      <c r="CM1394">
        <v>2</v>
      </c>
      <c r="CN1394">
        <v>0</v>
      </c>
      <c r="CO1394">
        <v>2</v>
      </c>
      <c r="CP1394">
        <v>0</v>
      </c>
      <c r="CQ1394">
        <v>7</v>
      </c>
      <c r="CR1394" t="s">
        <v>116</v>
      </c>
      <c r="CS1394">
        <v>396</v>
      </c>
      <c r="CT1394">
        <v>2</v>
      </c>
      <c r="CU1394" t="s">
        <v>939</v>
      </c>
      <c r="CV1394" t="s">
        <v>940</v>
      </c>
      <c r="CY1394">
        <v>5202502</v>
      </c>
      <c r="CZ1394" t="s">
        <v>119</v>
      </c>
    </row>
    <row r="1395" spans="1:104" x14ac:dyDescent="0.25">
      <c r="A1395" t="str">
        <f>"14:13:36.977"</f>
        <v>14:13:36.977</v>
      </c>
      <c r="B1395" t="s">
        <v>108</v>
      </c>
      <c r="C1395" t="str">
        <f t="shared" si="64"/>
        <v>ffdfd3c0</v>
      </c>
      <c r="D1395" t="s">
        <v>109</v>
      </c>
      <c r="E1395">
        <v>4</v>
      </c>
      <c r="F1395">
        <v>1004</v>
      </c>
      <c r="G1395" t="s">
        <v>110</v>
      </c>
      <c r="J1395" t="s">
        <v>111</v>
      </c>
      <c r="K1395">
        <v>0</v>
      </c>
      <c r="L1395">
        <v>3</v>
      </c>
      <c r="M1395">
        <v>0</v>
      </c>
      <c r="N1395">
        <v>2</v>
      </c>
      <c r="O1395">
        <v>1</v>
      </c>
      <c r="P1395">
        <v>0</v>
      </c>
      <c r="Q1395">
        <v>0</v>
      </c>
      <c r="R1395" t="s">
        <v>112</v>
      </c>
      <c r="S1395" t="str">
        <f>"14:13:36.781"</f>
        <v>14:13:36.781</v>
      </c>
      <c r="T1395" t="str">
        <f>"14:13:36.281"</f>
        <v>14:13:36.281</v>
      </c>
      <c r="U1395" t="str">
        <f t="shared" si="63"/>
        <v>ad5732</v>
      </c>
      <c r="V1395">
        <v>0</v>
      </c>
      <c r="W1395">
        <v>0</v>
      </c>
      <c r="X1395">
        <v>1</v>
      </c>
      <c r="Z1395">
        <v>0</v>
      </c>
      <c r="AA1395">
        <v>9</v>
      </c>
      <c r="AB1395">
        <v>3</v>
      </c>
      <c r="AC1395">
        <v>0</v>
      </c>
      <c r="AD1395">
        <v>10</v>
      </c>
      <c r="AE1395">
        <v>0</v>
      </c>
      <c r="AF1395">
        <v>3</v>
      </c>
      <c r="AG1395">
        <v>2</v>
      </c>
      <c r="AH1395">
        <v>0</v>
      </c>
      <c r="AI1395" t="s">
        <v>2893</v>
      </c>
      <c r="AJ1395">
        <v>39.593997000000002</v>
      </c>
      <c r="AK1395" t="s">
        <v>2894</v>
      </c>
      <c r="AL1395">
        <v>-76.481795000000005</v>
      </c>
      <c r="AM1395">
        <v>100</v>
      </c>
      <c r="AN1395">
        <v>8700</v>
      </c>
      <c r="AO1395" t="s">
        <v>115</v>
      </c>
      <c r="AP1395">
        <v>165</v>
      </c>
      <c r="AQ1395">
        <v>89</v>
      </c>
      <c r="AR1395">
        <v>0</v>
      </c>
      <c r="AZ1395">
        <v>3614</v>
      </c>
      <c r="BA1395">
        <v>1</v>
      </c>
      <c r="BB1395" t="str">
        <f t="shared" si="65"/>
        <v xml:space="preserve">N959MJ  </v>
      </c>
      <c r="BC1395">
        <v>1</v>
      </c>
      <c r="BE1395">
        <v>0</v>
      </c>
      <c r="BF1395">
        <v>0</v>
      </c>
      <c r="BG1395">
        <v>0</v>
      </c>
      <c r="BH1395">
        <v>9025</v>
      </c>
      <c r="BI1395">
        <v>325</v>
      </c>
      <c r="BJ1395">
        <v>1</v>
      </c>
      <c r="BK1395">
        <v>1</v>
      </c>
      <c r="BL1395">
        <v>1</v>
      </c>
      <c r="BM1395">
        <v>0</v>
      </c>
      <c r="BP1395">
        <v>0</v>
      </c>
      <c r="BQ1395">
        <v>0</v>
      </c>
      <c r="BX1395" t="str">
        <f>"14:13:36.781"</f>
        <v>14:13:36.781</v>
      </c>
      <c r="BY1395" t="str">
        <f>"781893384"</f>
        <v>781893384</v>
      </c>
      <c r="CL1395">
        <v>0</v>
      </c>
      <c r="CM1395">
        <v>2</v>
      </c>
      <c r="CN1395">
        <v>0</v>
      </c>
      <c r="CO1395">
        <v>2</v>
      </c>
      <c r="CP1395">
        <v>0</v>
      </c>
      <c r="CQ1395">
        <v>7</v>
      </c>
      <c r="CR1395" t="s">
        <v>116</v>
      </c>
      <c r="CS1395">
        <v>396</v>
      </c>
      <c r="CT1395">
        <v>2</v>
      </c>
      <c r="CU1395" t="s">
        <v>939</v>
      </c>
      <c r="CV1395" t="s">
        <v>940</v>
      </c>
      <c r="CY1395">
        <v>5204412</v>
      </c>
      <c r="CZ1395" t="s">
        <v>119</v>
      </c>
    </row>
    <row r="1396" spans="1:104" x14ac:dyDescent="0.25">
      <c r="A1396" t="str">
        <f>"14:13:37.984"</f>
        <v>14:13:37.984</v>
      </c>
      <c r="B1396" t="s">
        <v>108</v>
      </c>
      <c r="C1396" t="str">
        <f t="shared" si="64"/>
        <v>ffdfd3c0</v>
      </c>
      <c r="D1396" t="s">
        <v>109</v>
      </c>
      <c r="E1396">
        <v>4</v>
      </c>
      <c r="F1396">
        <v>1004</v>
      </c>
      <c r="G1396" t="s">
        <v>110</v>
      </c>
      <c r="J1396" t="s">
        <v>111</v>
      </c>
      <c r="K1396">
        <v>0</v>
      </c>
      <c r="L1396">
        <v>3</v>
      </c>
      <c r="M1396">
        <v>0</v>
      </c>
      <c r="N1396">
        <v>2</v>
      </c>
      <c r="O1396">
        <v>1</v>
      </c>
      <c r="P1396">
        <v>0</v>
      </c>
      <c r="Q1396">
        <v>0</v>
      </c>
      <c r="R1396" t="s">
        <v>112</v>
      </c>
      <c r="S1396" t="str">
        <f>"14:13:37.789"</f>
        <v>14:13:37.789</v>
      </c>
      <c r="T1396" t="str">
        <f>"14:13:37.289"</f>
        <v>14:13:37.289</v>
      </c>
      <c r="U1396" t="str">
        <f t="shared" si="63"/>
        <v>ad5732</v>
      </c>
      <c r="V1396">
        <v>0</v>
      </c>
      <c r="W1396">
        <v>0</v>
      </c>
      <c r="X1396">
        <v>1</v>
      </c>
      <c r="Z1396">
        <v>0</v>
      </c>
      <c r="AA1396">
        <v>9</v>
      </c>
      <c r="AB1396">
        <v>3</v>
      </c>
      <c r="AC1396">
        <v>0</v>
      </c>
      <c r="AD1396">
        <v>10</v>
      </c>
      <c r="AE1396">
        <v>0</v>
      </c>
      <c r="AF1396">
        <v>3</v>
      </c>
      <c r="AG1396">
        <v>2</v>
      </c>
      <c r="AH1396">
        <v>0</v>
      </c>
      <c r="AI1396" t="s">
        <v>2895</v>
      </c>
      <c r="AJ1396">
        <v>39.594448</v>
      </c>
      <c r="AK1396" t="s">
        <v>2896</v>
      </c>
      <c r="AL1396">
        <v>-76.480722</v>
      </c>
      <c r="AM1396">
        <v>100</v>
      </c>
      <c r="AN1396">
        <v>8700</v>
      </c>
      <c r="AO1396" t="s">
        <v>115</v>
      </c>
      <c r="AP1396">
        <v>165</v>
      </c>
      <c r="AQ1396">
        <v>89</v>
      </c>
      <c r="AR1396">
        <v>0</v>
      </c>
      <c r="AZ1396">
        <v>3614</v>
      </c>
      <c r="BA1396">
        <v>1</v>
      </c>
      <c r="BB1396" t="str">
        <f t="shared" si="65"/>
        <v xml:space="preserve">N959MJ  </v>
      </c>
      <c r="BC1396">
        <v>1</v>
      </c>
      <c r="BE1396">
        <v>0</v>
      </c>
      <c r="BF1396">
        <v>0</v>
      </c>
      <c r="BG1396">
        <v>0</v>
      </c>
      <c r="BH1396">
        <v>9025</v>
      </c>
      <c r="BI1396">
        <v>325</v>
      </c>
      <c r="BJ1396">
        <v>1</v>
      </c>
      <c r="BK1396">
        <v>1</v>
      </c>
      <c r="BL1396">
        <v>1</v>
      </c>
      <c r="BM1396">
        <v>0</v>
      </c>
      <c r="BP1396">
        <v>0</v>
      </c>
      <c r="BQ1396">
        <v>0</v>
      </c>
      <c r="BX1396" t="str">
        <f>"14:13:37.797"</f>
        <v>14:13:37.797</v>
      </c>
      <c r="BY1396" t="str">
        <f>"796079844"</f>
        <v>796079844</v>
      </c>
      <c r="CL1396">
        <v>0</v>
      </c>
      <c r="CM1396">
        <v>2</v>
      </c>
      <c r="CN1396">
        <v>0</v>
      </c>
      <c r="CO1396">
        <v>2</v>
      </c>
      <c r="CP1396">
        <v>0</v>
      </c>
      <c r="CQ1396">
        <v>7</v>
      </c>
      <c r="CR1396" t="s">
        <v>116</v>
      </c>
      <c r="CS1396">
        <v>396</v>
      </c>
      <c r="CT1396">
        <v>2</v>
      </c>
      <c r="CU1396" t="s">
        <v>939</v>
      </c>
      <c r="CV1396" t="s">
        <v>940</v>
      </c>
      <c r="CY1396">
        <v>5206299</v>
      </c>
      <c r="CZ1396" t="s">
        <v>119</v>
      </c>
    </row>
    <row r="1397" spans="1:104" x14ac:dyDescent="0.25">
      <c r="A1397" t="str">
        <f>"14:13:38.945"</f>
        <v>14:13:38.945</v>
      </c>
      <c r="B1397" t="s">
        <v>108</v>
      </c>
      <c r="C1397" t="str">
        <f t="shared" si="64"/>
        <v>ffdfd3c0</v>
      </c>
      <c r="D1397" t="s">
        <v>109</v>
      </c>
      <c r="E1397">
        <v>4</v>
      </c>
      <c r="F1397">
        <v>1004</v>
      </c>
      <c r="G1397" t="s">
        <v>110</v>
      </c>
      <c r="J1397" t="s">
        <v>111</v>
      </c>
      <c r="K1397">
        <v>0</v>
      </c>
      <c r="L1397">
        <v>3</v>
      </c>
      <c r="M1397">
        <v>0</v>
      </c>
      <c r="N1397">
        <v>2</v>
      </c>
      <c r="O1397">
        <v>1</v>
      </c>
      <c r="P1397">
        <v>0</v>
      </c>
      <c r="Q1397">
        <v>0</v>
      </c>
      <c r="R1397" t="s">
        <v>112</v>
      </c>
      <c r="S1397" t="str">
        <f>"14:13:38.773"</f>
        <v>14:13:38.773</v>
      </c>
      <c r="T1397" t="str">
        <f>"14:13:38.273"</f>
        <v>14:13:38.273</v>
      </c>
      <c r="U1397" t="str">
        <f t="shared" si="63"/>
        <v>ad5732</v>
      </c>
      <c r="V1397">
        <v>0</v>
      </c>
      <c r="W1397">
        <v>0</v>
      </c>
      <c r="X1397">
        <v>1</v>
      </c>
      <c r="Z1397">
        <v>0</v>
      </c>
      <c r="AA1397">
        <v>9</v>
      </c>
      <c r="AB1397">
        <v>3</v>
      </c>
      <c r="AC1397">
        <v>0</v>
      </c>
      <c r="AD1397">
        <v>10</v>
      </c>
      <c r="AE1397">
        <v>0</v>
      </c>
      <c r="AF1397">
        <v>3</v>
      </c>
      <c r="AG1397">
        <v>2</v>
      </c>
      <c r="AH1397">
        <v>0</v>
      </c>
      <c r="AI1397" t="s">
        <v>2897</v>
      </c>
      <c r="AJ1397">
        <v>39.594811999999997</v>
      </c>
      <c r="AK1397" t="s">
        <v>2898</v>
      </c>
      <c r="AL1397">
        <v>-76.479821000000001</v>
      </c>
      <c r="AM1397">
        <v>100</v>
      </c>
      <c r="AN1397">
        <v>8700</v>
      </c>
      <c r="AO1397" t="s">
        <v>115</v>
      </c>
      <c r="AP1397">
        <v>165</v>
      </c>
      <c r="AQ1397">
        <v>89</v>
      </c>
      <c r="AR1397">
        <v>0</v>
      </c>
      <c r="AZ1397">
        <v>3614</v>
      </c>
      <c r="BA1397">
        <v>1</v>
      </c>
      <c r="BB1397" t="str">
        <f t="shared" si="65"/>
        <v xml:space="preserve">N959MJ  </v>
      </c>
      <c r="BC1397">
        <v>1</v>
      </c>
      <c r="BE1397">
        <v>0</v>
      </c>
      <c r="BF1397">
        <v>0</v>
      </c>
      <c r="BG1397">
        <v>0</v>
      </c>
      <c r="BH1397">
        <v>9025</v>
      </c>
      <c r="BI1397">
        <v>325</v>
      </c>
      <c r="BJ1397">
        <v>1</v>
      </c>
      <c r="BK1397">
        <v>1</v>
      </c>
      <c r="BL1397">
        <v>1</v>
      </c>
      <c r="BM1397">
        <v>0</v>
      </c>
      <c r="BP1397">
        <v>0</v>
      </c>
      <c r="BQ1397">
        <v>0</v>
      </c>
      <c r="BX1397" t="str">
        <f>"14:13:38.781"</f>
        <v>14:13:38.781</v>
      </c>
      <c r="BY1397" t="str">
        <f>"779136128"</f>
        <v>779136128</v>
      </c>
      <c r="CL1397">
        <v>0</v>
      </c>
      <c r="CM1397">
        <v>2</v>
      </c>
      <c r="CN1397">
        <v>0</v>
      </c>
      <c r="CO1397">
        <v>2</v>
      </c>
      <c r="CP1397">
        <v>0</v>
      </c>
      <c r="CQ1397">
        <v>7</v>
      </c>
      <c r="CR1397" t="s">
        <v>116</v>
      </c>
      <c r="CS1397">
        <v>396</v>
      </c>
      <c r="CT1397">
        <v>2</v>
      </c>
      <c r="CU1397" t="s">
        <v>939</v>
      </c>
      <c r="CV1397" t="s">
        <v>940</v>
      </c>
      <c r="CY1397">
        <v>5208012</v>
      </c>
      <c r="CZ1397" t="s">
        <v>119</v>
      </c>
    </row>
    <row r="1398" spans="1:104" x14ac:dyDescent="0.25">
      <c r="A1398" t="str">
        <f>"14:13:40.102"</f>
        <v>14:13:40.102</v>
      </c>
      <c r="B1398" t="s">
        <v>108</v>
      </c>
      <c r="C1398" t="str">
        <f t="shared" si="64"/>
        <v>ffdfd3c0</v>
      </c>
      <c r="D1398" t="s">
        <v>109</v>
      </c>
      <c r="E1398">
        <v>4</v>
      </c>
      <c r="F1398">
        <v>1004</v>
      </c>
      <c r="G1398" t="s">
        <v>110</v>
      </c>
      <c r="J1398" t="s">
        <v>111</v>
      </c>
      <c r="K1398">
        <v>0</v>
      </c>
      <c r="L1398">
        <v>3</v>
      </c>
      <c r="M1398">
        <v>0</v>
      </c>
      <c r="N1398">
        <v>2</v>
      </c>
      <c r="O1398">
        <v>1</v>
      </c>
      <c r="P1398">
        <v>0</v>
      </c>
      <c r="Q1398">
        <v>0</v>
      </c>
      <c r="R1398" t="s">
        <v>112</v>
      </c>
      <c r="S1398" t="str">
        <f>"14:13:39.906"</f>
        <v>14:13:39.906</v>
      </c>
      <c r="T1398" t="str">
        <f>"14:13:39.406"</f>
        <v>14:13:39.406</v>
      </c>
      <c r="U1398" t="str">
        <f t="shared" si="63"/>
        <v>ad5732</v>
      </c>
      <c r="V1398">
        <v>0</v>
      </c>
      <c r="W1398">
        <v>0</v>
      </c>
      <c r="X1398">
        <v>1</v>
      </c>
      <c r="Z1398">
        <v>0</v>
      </c>
      <c r="AA1398">
        <v>9</v>
      </c>
      <c r="AB1398">
        <v>3</v>
      </c>
      <c r="AC1398">
        <v>0</v>
      </c>
      <c r="AD1398">
        <v>10</v>
      </c>
      <c r="AE1398">
        <v>0</v>
      </c>
      <c r="AF1398">
        <v>3</v>
      </c>
      <c r="AG1398">
        <v>2</v>
      </c>
      <c r="AH1398">
        <v>0</v>
      </c>
      <c r="AI1398" t="s">
        <v>2899</v>
      </c>
      <c r="AJ1398">
        <v>39.595326999999997</v>
      </c>
      <c r="AK1398" t="s">
        <v>2900</v>
      </c>
      <c r="AL1398">
        <v>-76.478640999999996</v>
      </c>
      <c r="AM1398">
        <v>100</v>
      </c>
      <c r="AN1398">
        <v>8700</v>
      </c>
      <c r="AO1398" t="s">
        <v>115</v>
      </c>
      <c r="AP1398">
        <v>164</v>
      </c>
      <c r="AQ1398">
        <v>89</v>
      </c>
      <c r="AR1398">
        <v>0</v>
      </c>
      <c r="AZ1398">
        <v>3614</v>
      </c>
      <c r="BA1398">
        <v>1</v>
      </c>
      <c r="BB1398" t="str">
        <f t="shared" si="65"/>
        <v xml:space="preserve">N959MJ  </v>
      </c>
      <c r="BC1398">
        <v>1</v>
      </c>
      <c r="BE1398">
        <v>0</v>
      </c>
      <c r="BF1398">
        <v>0</v>
      </c>
      <c r="BG1398">
        <v>0</v>
      </c>
      <c r="BH1398">
        <v>9025</v>
      </c>
      <c r="BI1398">
        <v>325</v>
      </c>
      <c r="BJ1398">
        <v>1</v>
      </c>
      <c r="BK1398">
        <v>1</v>
      </c>
      <c r="BL1398">
        <v>1</v>
      </c>
      <c r="BM1398">
        <v>0</v>
      </c>
      <c r="BP1398">
        <v>0</v>
      </c>
      <c r="BQ1398">
        <v>0</v>
      </c>
      <c r="BX1398" t="str">
        <f>"14:13:39.906"</f>
        <v>14:13:39.906</v>
      </c>
      <c r="BY1398" t="str">
        <f>"908144178"</f>
        <v>908144178</v>
      </c>
      <c r="CL1398">
        <v>0</v>
      </c>
      <c r="CM1398">
        <v>2</v>
      </c>
      <c r="CN1398">
        <v>0</v>
      </c>
      <c r="CO1398">
        <v>2</v>
      </c>
      <c r="CP1398">
        <v>0</v>
      </c>
      <c r="CQ1398">
        <v>5</v>
      </c>
      <c r="CR1398" t="s">
        <v>116</v>
      </c>
      <c r="CS1398">
        <v>525</v>
      </c>
      <c r="CT1398">
        <v>1</v>
      </c>
      <c r="CU1398" t="s">
        <v>140</v>
      </c>
      <c r="CV1398" t="s">
        <v>141</v>
      </c>
      <c r="CY1398">
        <v>9203421</v>
      </c>
      <c r="CZ1398" t="s">
        <v>119</v>
      </c>
    </row>
    <row r="1399" spans="1:104" x14ac:dyDescent="0.25">
      <c r="A1399" t="str">
        <f>"14:13:40.906"</f>
        <v>14:13:40.906</v>
      </c>
      <c r="B1399" t="s">
        <v>108</v>
      </c>
      <c r="C1399" t="str">
        <f t="shared" si="64"/>
        <v>ffdfd3c0</v>
      </c>
      <c r="D1399" t="s">
        <v>109</v>
      </c>
      <c r="E1399">
        <v>4</v>
      </c>
      <c r="F1399">
        <v>1004</v>
      </c>
      <c r="G1399" t="s">
        <v>110</v>
      </c>
      <c r="J1399" t="s">
        <v>111</v>
      </c>
      <c r="K1399">
        <v>0</v>
      </c>
      <c r="L1399">
        <v>3</v>
      </c>
      <c r="M1399">
        <v>0</v>
      </c>
      <c r="N1399">
        <v>2</v>
      </c>
      <c r="O1399">
        <v>1</v>
      </c>
      <c r="P1399">
        <v>0</v>
      </c>
      <c r="Q1399">
        <v>0</v>
      </c>
      <c r="R1399" t="s">
        <v>112</v>
      </c>
      <c r="S1399" t="str">
        <f>"14:13:40.750"</f>
        <v>14:13:40.750</v>
      </c>
      <c r="T1399" t="str">
        <f>"14:13:40.352"</f>
        <v>14:13:40.352</v>
      </c>
      <c r="U1399" t="str">
        <f t="shared" si="63"/>
        <v>ad5732</v>
      </c>
      <c r="V1399">
        <v>0</v>
      </c>
      <c r="W1399">
        <v>0</v>
      </c>
      <c r="X1399">
        <v>1</v>
      </c>
      <c r="Z1399">
        <v>0</v>
      </c>
      <c r="AA1399">
        <v>9</v>
      </c>
      <c r="AB1399">
        <v>3</v>
      </c>
      <c r="AC1399">
        <v>0</v>
      </c>
      <c r="AD1399">
        <v>10</v>
      </c>
      <c r="AE1399">
        <v>0</v>
      </c>
      <c r="AF1399">
        <v>3</v>
      </c>
      <c r="AG1399">
        <v>2</v>
      </c>
      <c r="AH1399">
        <v>0</v>
      </c>
      <c r="AI1399" t="s">
        <v>2901</v>
      </c>
      <c r="AJ1399">
        <v>39.595649000000002</v>
      </c>
      <c r="AK1399" t="s">
        <v>2902</v>
      </c>
      <c r="AL1399">
        <v>-76.477868999999998</v>
      </c>
      <c r="AM1399">
        <v>100</v>
      </c>
      <c r="AN1399">
        <v>8700</v>
      </c>
      <c r="AO1399" t="s">
        <v>115</v>
      </c>
      <c r="AP1399">
        <v>164</v>
      </c>
      <c r="AQ1399">
        <v>89</v>
      </c>
      <c r="AR1399">
        <v>0</v>
      </c>
      <c r="AZ1399">
        <v>3614</v>
      </c>
      <c r="BA1399">
        <v>1</v>
      </c>
      <c r="BB1399" t="str">
        <f t="shared" si="65"/>
        <v xml:space="preserve">N959MJ  </v>
      </c>
      <c r="BC1399">
        <v>1</v>
      </c>
      <c r="BE1399">
        <v>0</v>
      </c>
      <c r="BF1399">
        <v>0</v>
      </c>
      <c r="BG1399">
        <v>0</v>
      </c>
      <c r="BH1399">
        <v>9025</v>
      </c>
      <c r="BI1399">
        <v>325</v>
      </c>
      <c r="BJ1399">
        <v>1</v>
      </c>
      <c r="BK1399">
        <v>1</v>
      </c>
      <c r="BL1399">
        <v>1</v>
      </c>
      <c r="BM1399">
        <v>0</v>
      </c>
      <c r="BP1399">
        <v>0</v>
      </c>
      <c r="BQ1399">
        <v>0</v>
      </c>
      <c r="BX1399" t="str">
        <f>"14:13:40.758"</f>
        <v>14:13:40.758</v>
      </c>
      <c r="BY1399" t="str">
        <f>"755079438"</f>
        <v>755079438</v>
      </c>
      <c r="CL1399">
        <v>0</v>
      </c>
      <c r="CM1399">
        <v>2</v>
      </c>
      <c r="CN1399">
        <v>0</v>
      </c>
      <c r="CO1399">
        <v>2</v>
      </c>
      <c r="CP1399">
        <v>0</v>
      </c>
      <c r="CQ1399">
        <v>7</v>
      </c>
      <c r="CR1399" t="s">
        <v>116</v>
      </c>
      <c r="CS1399">
        <v>396</v>
      </c>
      <c r="CT1399">
        <v>2</v>
      </c>
      <c r="CU1399" t="s">
        <v>939</v>
      </c>
      <c r="CV1399" t="s">
        <v>940</v>
      </c>
      <c r="CY1399">
        <v>5211411</v>
      </c>
      <c r="CZ1399" t="s">
        <v>119</v>
      </c>
    </row>
    <row r="1400" spans="1:104" x14ac:dyDescent="0.25">
      <c r="A1400" t="str">
        <f>"14:13:42.023"</f>
        <v>14:13:42.023</v>
      </c>
      <c r="B1400" t="s">
        <v>108</v>
      </c>
      <c r="C1400" t="str">
        <f t="shared" si="64"/>
        <v>ffdfd3c0</v>
      </c>
      <c r="D1400" t="s">
        <v>109</v>
      </c>
      <c r="E1400">
        <v>4</v>
      </c>
      <c r="F1400">
        <v>1004</v>
      </c>
      <c r="G1400" t="s">
        <v>110</v>
      </c>
      <c r="J1400" t="s">
        <v>111</v>
      </c>
      <c r="K1400">
        <v>0</v>
      </c>
      <c r="L1400">
        <v>3</v>
      </c>
      <c r="M1400">
        <v>0</v>
      </c>
      <c r="N1400">
        <v>2</v>
      </c>
      <c r="O1400">
        <v>1</v>
      </c>
      <c r="P1400">
        <v>0</v>
      </c>
      <c r="Q1400">
        <v>0</v>
      </c>
      <c r="R1400" t="s">
        <v>112</v>
      </c>
      <c r="S1400" t="str">
        <f>"14:13:41.844"</f>
        <v>14:13:41.844</v>
      </c>
      <c r="T1400" t="str">
        <f>"14:13:41.344"</f>
        <v>14:13:41.344</v>
      </c>
      <c r="U1400" t="str">
        <f t="shared" si="63"/>
        <v>ad5732</v>
      </c>
      <c r="V1400">
        <v>0</v>
      </c>
      <c r="W1400">
        <v>0</v>
      </c>
      <c r="X1400">
        <v>1</v>
      </c>
      <c r="Z1400">
        <v>0</v>
      </c>
      <c r="AA1400">
        <v>9</v>
      </c>
      <c r="AB1400">
        <v>3</v>
      </c>
      <c r="AC1400">
        <v>0</v>
      </c>
      <c r="AD1400">
        <v>10</v>
      </c>
      <c r="AE1400">
        <v>0</v>
      </c>
      <c r="AF1400">
        <v>3</v>
      </c>
      <c r="AG1400">
        <v>2</v>
      </c>
      <c r="AH1400">
        <v>0</v>
      </c>
      <c r="AI1400" t="s">
        <v>2903</v>
      </c>
      <c r="AJ1400">
        <v>39.596120999999997</v>
      </c>
      <c r="AK1400" t="s">
        <v>2904</v>
      </c>
      <c r="AL1400">
        <v>-76.476753000000002</v>
      </c>
      <c r="AM1400">
        <v>100</v>
      </c>
      <c r="AN1400">
        <v>8700</v>
      </c>
      <c r="AO1400" t="s">
        <v>115</v>
      </c>
      <c r="AP1400">
        <v>164</v>
      </c>
      <c r="AQ1400">
        <v>90</v>
      </c>
      <c r="AR1400">
        <v>0</v>
      </c>
      <c r="AZ1400">
        <v>3614</v>
      </c>
      <c r="BA1400">
        <v>1</v>
      </c>
      <c r="BB1400" t="str">
        <f t="shared" si="65"/>
        <v xml:space="preserve">N959MJ  </v>
      </c>
      <c r="BC1400">
        <v>1</v>
      </c>
      <c r="BE1400">
        <v>0</v>
      </c>
      <c r="BF1400">
        <v>0</v>
      </c>
      <c r="BG1400">
        <v>0</v>
      </c>
      <c r="BH1400">
        <v>9025</v>
      </c>
      <c r="BI1400">
        <v>325</v>
      </c>
      <c r="BJ1400">
        <v>1</v>
      </c>
      <c r="BK1400">
        <v>1</v>
      </c>
      <c r="BL1400">
        <v>1</v>
      </c>
      <c r="BM1400">
        <v>0</v>
      </c>
      <c r="BP1400">
        <v>0</v>
      </c>
      <c r="BQ1400">
        <v>0</v>
      </c>
      <c r="BX1400" t="str">
        <f>"14:13:41.852"</f>
        <v>14:13:41.852</v>
      </c>
      <c r="BY1400" t="str">
        <f>"851187271"</f>
        <v>851187271</v>
      </c>
      <c r="CL1400">
        <v>0</v>
      </c>
      <c r="CM1400">
        <v>2</v>
      </c>
      <c r="CN1400">
        <v>0</v>
      </c>
      <c r="CO1400">
        <v>2</v>
      </c>
      <c r="CP1400">
        <v>0</v>
      </c>
      <c r="CQ1400">
        <v>7</v>
      </c>
      <c r="CR1400" t="s">
        <v>116</v>
      </c>
      <c r="CS1400">
        <v>396</v>
      </c>
      <c r="CT1400">
        <v>2</v>
      </c>
      <c r="CU1400" t="s">
        <v>939</v>
      </c>
      <c r="CV1400" t="s">
        <v>940</v>
      </c>
      <c r="CY1400">
        <v>5213455</v>
      </c>
      <c r="CZ1400" t="s">
        <v>119</v>
      </c>
    </row>
    <row r="1401" spans="1:104" x14ac:dyDescent="0.25">
      <c r="A1401" t="str">
        <f>"14:13:43.078"</f>
        <v>14:13:43.078</v>
      </c>
      <c r="B1401" t="s">
        <v>108</v>
      </c>
      <c r="C1401" t="str">
        <f t="shared" si="64"/>
        <v>ffdfd3c0</v>
      </c>
      <c r="D1401" t="s">
        <v>109</v>
      </c>
      <c r="E1401">
        <v>4</v>
      </c>
      <c r="F1401">
        <v>1004</v>
      </c>
      <c r="G1401" t="s">
        <v>110</v>
      </c>
      <c r="J1401" t="s">
        <v>111</v>
      </c>
      <c r="K1401">
        <v>0</v>
      </c>
      <c r="L1401">
        <v>3</v>
      </c>
      <c r="M1401">
        <v>0</v>
      </c>
      <c r="N1401">
        <v>2</v>
      </c>
      <c r="O1401">
        <v>1</v>
      </c>
      <c r="P1401">
        <v>0</v>
      </c>
      <c r="Q1401">
        <v>0</v>
      </c>
      <c r="R1401" t="s">
        <v>112</v>
      </c>
      <c r="S1401" t="str">
        <f>"14:13:42.922"</f>
        <v>14:13:42.922</v>
      </c>
      <c r="T1401" t="str">
        <f>"14:13:42.422"</f>
        <v>14:13:42.422</v>
      </c>
      <c r="U1401" t="str">
        <f t="shared" si="63"/>
        <v>ad5732</v>
      </c>
      <c r="V1401">
        <v>0</v>
      </c>
      <c r="W1401">
        <v>0</v>
      </c>
      <c r="X1401">
        <v>1</v>
      </c>
      <c r="Z1401">
        <v>0</v>
      </c>
      <c r="AA1401">
        <v>9</v>
      </c>
      <c r="AB1401">
        <v>3</v>
      </c>
      <c r="AC1401">
        <v>0</v>
      </c>
      <c r="AD1401">
        <v>10</v>
      </c>
      <c r="AE1401">
        <v>0</v>
      </c>
      <c r="AF1401">
        <v>3</v>
      </c>
      <c r="AG1401">
        <v>2</v>
      </c>
      <c r="AH1401">
        <v>0</v>
      </c>
      <c r="AI1401" t="s">
        <v>2905</v>
      </c>
      <c r="AJ1401">
        <v>39.596550000000001</v>
      </c>
      <c r="AK1401" t="s">
        <v>2906</v>
      </c>
      <c r="AL1401">
        <v>-76.475657999999996</v>
      </c>
      <c r="AM1401">
        <v>100</v>
      </c>
      <c r="AN1401">
        <v>8700</v>
      </c>
      <c r="AO1401" t="s">
        <v>115</v>
      </c>
      <c r="AP1401">
        <v>164</v>
      </c>
      <c r="AQ1401">
        <v>90</v>
      </c>
      <c r="AR1401">
        <v>0</v>
      </c>
      <c r="AZ1401">
        <v>3614</v>
      </c>
      <c r="BA1401">
        <v>1</v>
      </c>
      <c r="BB1401" t="str">
        <f t="shared" si="65"/>
        <v xml:space="preserve">N959MJ  </v>
      </c>
      <c r="BC1401">
        <v>1</v>
      </c>
      <c r="BE1401">
        <v>0</v>
      </c>
      <c r="BF1401">
        <v>0</v>
      </c>
      <c r="BG1401">
        <v>0</v>
      </c>
      <c r="BH1401">
        <v>9025</v>
      </c>
      <c r="BI1401">
        <v>325</v>
      </c>
      <c r="BJ1401">
        <v>1</v>
      </c>
      <c r="BK1401">
        <v>1</v>
      </c>
      <c r="BL1401">
        <v>1</v>
      </c>
      <c r="BM1401">
        <v>0</v>
      </c>
      <c r="BP1401">
        <v>0</v>
      </c>
      <c r="BQ1401">
        <v>0</v>
      </c>
      <c r="BX1401" t="str">
        <f>"14:13:42.930"</f>
        <v>14:13:42.930</v>
      </c>
      <c r="BY1401" t="str">
        <f>"926128123"</f>
        <v>926128123</v>
      </c>
      <c r="CL1401">
        <v>0</v>
      </c>
      <c r="CM1401">
        <v>2</v>
      </c>
      <c r="CN1401">
        <v>0</v>
      </c>
      <c r="CO1401">
        <v>2</v>
      </c>
      <c r="CP1401">
        <v>0</v>
      </c>
      <c r="CQ1401">
        <v>5</v>
      </c>
      <c r="CR1401" t="s">
        <v>116</v>
      </c>
      <c r="CS1401">
        <v>525</v>
      </c>
      <c r="CT1401">
        <v>1</v>
      </c>
      <c r="CU1401" t="s">
        <v>140</v>
      </c>
      <c r="CV1401" t="s">
        <v>141</v>
      </c>
      <c r="CY1401">
        <v>9208083</v>
      </c>
      <c r="CZ1401" t="s">
        <v>119</v>
      </c>
    </row>
    <row r="1402" spans="1:104" x14ac:dyDescent="0.25">
      <c r="A1402" t="str">
        <f>"14:13:44.141"</f>
        <v>14:13:44.141</v>
      </c>
      <c r="B1402" t="s">
        <v>108</v>
      </c>
      <c r="C1402" t="str">
        <f t="shared" si="64"/>
        <v>ffdfd3c0</v>
      </c>
      <c r="D1402" t="s">
        <v>109</v>
      </c>
      <c r="E1402">
        <v>4</v>
      </c>
      <c r="F1402">
        <v>1004</v>
      </c>
      <c r="G1402" t="s">
        <v>110</v>
      </c>
      <c r="J1402" t="s">
        <v>111</v>
      </c>
      <c r="K1402">
        <v>0</v>
      </c>
      <c r="L1402">
        <v>3</v>
      </c>
      <c r="M1402">
        <v>0</v>
      </c>
      <c r="N1402">
        <v>2</v>
      </c>
      <c r="O1402">
        <v>1</v>
      </c>
      <c r="P1402">
        <v>0</v>
      </c>
      <c r="Q1402">
        <v>0</v>
      </c>
      <c r="R1402" t="s">
        <v>112</v>
      </c>
      <c r="S1402" t="str">
        <f>"14:13:43.969"</f>
        <v>14:13:43.969</v>
      </c>
      <c r="T1402" t="str">
        <f>"14:13:43.570"</f>
        <v>14:13:43.570</v>
      </c>
      <c r="U1402" t="str">
        <f t="shared" si="63"/>
        <v>ad5732</v>
      </c>
      <c r="V1402">
        <v>0</v>
      </c>
      <c r="W1402">
        <v>0</v>
      </c>
      <c r="X1402">
        <v>1</v>
      </c>
      <c r="Z1402">
        <v>0</v>
      </c>
      <c r="AA1402">
        <v>9</v>
      </c>
      <c r="AB1402">
        <v>3</v>
      </c>
      <c r="AC1402">
        <v>0</v>
      </c>
      <c r="AD1402">
        <v>10</v>
      </c>
      <c r="AE1402">
        <v>0</v>
      </c>
      <c r="AF1402">
        <v>3</v>
      </c>
      <c r="AG1402">
        <v>2</v>
      </c>
      <c r="AH1402">
        <v>0</v>
      </c>
      <c r="AI1402" t="s">
        <v>2907</v>
      </c>
      <c r="AJ1402">
        <v>39.596980000000002</v>
      </c>
      <c r="AK1402" t="s">
        <v>2908</v>
      </c>
      <c r="AL1402">
        <v>-76.474693000000002</v>
      </c>
      <c r="AM1402">
        <v>100</v>
      </c>
      <c r="AN1402">
        <v>8700</v>
      </c>
      <c r="AO1402" t="s">
        <v>115</v>
      </c>
      <c r="AP1402">
        <v>164</v>
      </c>
      <c r="AQ1402">
        <v>90</v>
      </c>
      <c r="AR1402">
        <v>0</v>
      </c>
      <c r="AZ1402">
        <v>3614</v>
      </c>
      <c r="BA1402">
        <v>1</v>
      </c>
      <c r="BB1402" t="str">
        <f t="shared" si="65"/>
        <v xml:space="preserve">N959MJ  </v>
      </c>
      <c r="BC1402">
        <v>1</v>
      </c>
      <c r="BE1402">
        <v>0</v>
      </c>
      <c r="BF1402">
        <v>0</v>
      </c>
      <c r="BG1402">
        <v>0</v>
      </c>
      <c r="BH1402">
        <v>9025</v>
      </c>
      <c r="BI1402">
        <v>325</v>
      </c>
      <c r="BJ1402">
        <v>1</v>
      </c>
      <c r="BK1402">
        <v>1</v>
      </c>
      <c r="BL1402">
        <v>1</v>
      </c>
      <c r="BM1402">
        <v>0</v>
      </c>
      <c r="BP1402">
        <v>0</v>
      </c>
      <c r="BQ1402">
        <v>0</v>
      </c>
      <c r="BX1402" t="str">
        <f>"14:13:43.969"</f>
        <v>14:13:43.969</v>
      </c>
      <c r="BY1402" t="str">
        <f>"969774375"</f>
        <v>969774375</v>
      </c>
      <c r="CL1402">
        <v>0</v>
      </c>
      <c r="CM1402">
        <v>2</v>
      </c>
      <c r="CN1402">
        <v>0</v>
      </c>
      <c r="CO1402">
        <v>2</v>
      </c>
      <c r="CP1402">
        <v>0</v>
      </c>
      <c r="CQ1402">
        <v>5</v>
      </c>
      <c r="CR1402" t="s">
        <v>116</v>
      </c>
      <c r="CS1402">
        <v>372</v>
      </c>
      <c r="CT1402">
        <v>3</v>
      </c>
      <c r="CU1402" t="s">
        <v>877</v>
      </c>
      <c r="CV1402" t="s">
        <v>878</v>
      </c>
      <c r="CY1402">
        <v>11861946</v>
      </c>
      <c r="CZ1402" t="s">
        <v>119</v>
      </c>
    </row>
    <row r="1403" spans="1:104" x14ac:dyDescent="0.25">
      <c r="A1403" t="str">
        <f>"14:13:45.250"</f>
        <v>14:13:45.250</v>
      </c>
      <c r="B1403" t="s">
        <v>108</v>
      </c>
      <c r="C1403" t="str">
        <f t="shared" si="64"/>
        <v>ffdfd3c0</v>
      </c>
      <c r="D1403" t="s">
        <v>109</v>
      </c>
      <c r="E1403">
        <v>4</v>
      </c>
      <c r="F1403">
        <v>1004</v>
      </c>
      <c r="G1403" t="s">
        <v>110</v>
      </c>
      <c r="J1403" t="s">
        <v>111</v>
      </c>
      <c r="K1403">
        <v>0</v>
      </c>
      <c r="L1403">
        <v>3</v>
      </c>
      <c r="M1403">
        <v>0</v>
      </c>
      <c r="N1403">
        <v>2</v>
      </c>
      <c r="O1403">
        <v>1</v>
      </c>
      <c r="P1403">
        <v>0</v>
      </c>
      <c r="Q1403">
        <v>0</v>
      </c>
      <c r="R1403" t="s">
        <v>112</v>
      </c>
      <c r="S1403" t="str">
        <f>"14:13:45.063"</f>
        <v>14:13:45.063</v>
      </c>
      <c r="T1403" t="str">
        <f>"14:13:44.563"</f>
        <v>14:13:44.563</v>
      </c>
      <c r="U1403" t="str">
        <f t="shared" si="63"/>
        <v>ad5732</v>
      </c>
      <c r="V1403">
        <v>0</v>
      </c>
      <c r="W1403">
        <v>0</v>
      </c>
      <c r="X1403">
        <v>1</v>
      </c>
      <c r="Z1403">
        <v>0</v>
      </c>
      <c r="AA1403">
        <v>9</v>
      </c>
      <c r="AB1403">
        <v>3</v>
      </c>
      <c r="AC1403">
        <v>0</v>
      </c>
      <c r="AD1403">
        <v>10</v>
      </c>
      <c r="AE1403">
        <v>0</v>
      </c>
      <c r="AF1403">
        <v>3</v>
      </c>
      <c r="AG1403">
        <v>2</v>
      </c>
      <c r="AH1403">
        <v>0</v>
      </c>
      <c r="AI1403" t="s">
        <v>2909</v>
      </c>
      <c r="AJ1403">
        <v>39.597430000000003</v>
      </c>
      <c r="AK1403" t="s">
        <v>2910</v>
      </c>
      <c r="AL1403">
        <v>-76.473641000000001</v>
      </c>
      <c r="AM1403">
        <v>100</v>
      </c>
      <c r="AN1403">
        <v>8700</v>
      </c>
      <c r="AO1403" t="s">
        <v>115</v>
      </c>
      <c r="AP1403">
        <v>164</v>
      </c>
      <c r="AQ1403">
        <v>90</v>
      </c>
      <c r="AR1403">
        <v>-64</v>
      </c>
      <c r="AZ1403">
        <v>3614</v>
      </c>
      <c r="BA1403">
        <v>1</v>
      </c>
      <c r="BB1403" t="str">
        <f t="shared" si="65"/>
        <v xml:space="preserve">N959MJ  </v>
      </c>
      <c r="BC1403">
        <v>1</v>
      </c>
      <c r="BE1403">
        <v>0</v>
      </c>
      <c r="BF1403">
        <v>0</v>
      </c>
      <c r="BG1403">
        <v>0</v>
      </c>
      <c r="BH1403">
        <v>9025</v>
      </c>
      <c r="BI1403">
        <v>325</v>
      </c>
      <c r="BJ1403">
        <v>1</v>
      </c>
      <c r="BK1403">
        <v>1</v>
      </c>
      <c r="BL1403">
        <v>1</v>
      </c>
      <c r="BM1403">
        <v>0</v>
      </c>
      <c r="BP1403">
        <v>0</v>
      </c>
      <c r="BQ1403">
        <v>0</v>
      </c>
      <c r="BX1403" t="str">
        <f>"14:13:45.063"</f>
        <v>14:13:45.063</v>
      </c>
      <c r="BY1403" t="str">
        <f>"062504679"</f>
        <v>062504679</v>
      </c>
      <c r="CL1403">
        <v>0</v>
      </c>
      <c r="CM1403">
        <v>2</v>
      </c>
      <c r="CN1403">
        <v>0</v>
      </c>
      <c r="CO1403">
        <v>2</v>
      </c>
      <c r="CP1403">
        <v>0</v>
      </c>
      <c r="CQ1403">
        <v>7</v>
      </c>
      <c r="CR1403" t="s">
        <v>116</v>
      </c>
      <c r="CS1403">
        <v>396</v>
      </c>
      <c r="CT1403">
        <v>2</v>
      </c>
      <c r="CU1403" t="s">
        <v>939</v>
      </c>
      <c r="CV1403" t="s">
        <v>940</v>
      </c>
      <c r="CY1403">
        <v>5219213</v>
      </c>
      <c r="CZ1403" t="s">
        <v>119</v>
      </c>
    </row>
    <row r="1404" spans="1:104" x14ac:dyDescent="0.25">
      <c r="A1404" t="str">
        <f>"14:13:46.258"</f>
        <v>14:13:46.258</v>
      </c>
      <c r="B1404" t="s">
        <v>108</v>
      </c>
      <c r="C1404" t="str">
        <f t="shared" si="64"/>
        <v>ffdfd3c0</v>
      </c>
      <c r="D1404" t="s">
        <v>109</v>
      </c>
      <c r="E1404">
        <v>4</v>
      </c>
      <c r="F1404">
        <v>1004</v>
      </c>
      <c r="G1404" t="s">
        <v>110</v>
      </c>
      <c r="J1404" t="s">
        <v>111</v>
      </c>
      <c r="K1404">
        <v>0</v>
      </c>
      <c r="L1404">
        <v>3</v>
      </c>
      <c r="M1404">
        <v>0</v>
      </c>
      <c r="N1404">
        <v>2</v>
      </c>
      <c r="O1404">
        <v>1</v>
      </c>
      <c r="P1404">
        <v>0</v>
      </c>
      <c r="Q1404">
        <v>0</v>
      </c>
      <c r="R1404" t="s">
        <v>112</v>
      </c>
      <c r="S1404" t="str">
        <f>"14:13:46.094"</f>
        <v>14:13:46.094</v>
      </c>
      <c r="T1404" t="str">
        <f>"14:13:45.695"</f>
        <v>14:13:45.695</v>
      </c>
      <c r="U1404" t="str">
        <f t="shared" si="63"/>
        <v>ad5732</v>
      </c>
      <c r="V1404">
        <v>0</v>
      </c>
      <c r="W1404">
        <v>0</v>
      </c>
      <c r="X1404">
        <v>1</v>
      </c>
      <c r="Z1404">
        <v>0</v>
      </c>
      <c r="AA1404">
        <v>9</v>
      </c>
      <c r="AB1404">
        <v>3</v>
      </c>
      <c r="AC1404">
        <v>0</v>
      </c>
      <c r="AD1404">
        <v>10</v>
      </c>
      <c r="AE1404">
        <v>0</v>
      </c>
      <c r="AF1404">
        <v>3</v>
      </c>
      <c r="AG1404">
        <v>2</v>
      </c>
      <c r="AH1404">
        <v>0</v>
      </c>
      <c r="AI1404" t="s">
        <v>2911</v>
      </c>
      <c r="AJ1404">
        <v>39.597881000000001</v>
      </c>
      <c r="AK1404" t="s">
        <v>2912</v>
      </c>
      <c r="AL1404">
        <v>-76.472547000000006</v>
      </c>
      <c r="AM1404">
        <v>100</v>
      </c>
      <c r="AN1404">
        <v>8700</v>
      </c>
      <c r="AO1404" t="s">
        <v>115</v>
      </c>
      <c r="AP1404">
        <v>164</v>
      </c>
      <c r="AQ1404">
        <v>90</v>
      </c>
      <c r="AR1404">
        <v>-64</v>
      </c>
      <c r="AZ1404">
        <v>3614</v>
      </c>
      <c r="BA1404">
        <v>1</v>
      </c>
      <c r="BB1404" t="str">
        <f t="shared" si="65"/>
        <v xml:space="preserve">N959MJ  </v>
      </c>
      <c r="BC1404">
        <v>1</v>
      </c>
      <c r="BE1404">
        <v>0</v>
      </c>
      <c r="BF1404">
        <v>0</v>
      </c>
      <c r="BG1404">
        <v>0</v>
      </c>
      <c r="BH1404">
        <v>9025</v>
      </c>
      <c r="BI1404">
        <v>325</v>
      </c>
      <c r="BJ1404">
        <v>1</v>
      </c>
      <c r="BK1404">
        <v>1</v>
      </c>
      <c r="BL1404">
        <v>1</v>
      </c>
      <c r="BM1404">
        <v>0</v>
      </c>
      <c r="BP1404">
        <v>0</v>
      </c>
      <c r="BQ1404">
        <v>0</v>
      </c>
      <c r="BX1404" t="str">
        <f>"14:13:46.094"</f>
        <v>14:13:46.094</v>
      </c>
      <c r="BY1404" t="str">
        <f>"096352275"</f>
        <v>096352275</v>
      </c>
      <c r="CL1404">
        <v>0</v>
      </c>
      <c r="CM1404">
        <v>2</v>
      </c>
      <c r="CN1404">
        <v>0</v>
      </c>
      <c r="CO1404">
        <v>2</v>
      </c>
      <c r="CP1404">
        <v>0</v>
      </c>
      <c r="CQ1404">
        <v>7</v>
      </c>
      <c r="CR1404" t="s">
        <v>116</v>
      </c>
      <c r="CS1404">
        <v>396</v>
      </c>
      <c r="CT1404">
        <v>2</v>
      </c>
      <c r="CU1404" t="s">
        <v>939</v>
      </c>
      <c r="CV1404" t="s">
        <v>940</v>
      </c>
      <c r="CY1404">
        <v>5221070</v>
      </c>
      <c r="CZ1404" t="s">
        <v>119</v>
      </c>
    </row>
    <row r="1405" spans="1:104" x14ac:dyDescent="0.25">
      <c r="A1405" t="str">
        <f>"14:13:47.164"</f>
        <v>14:13:47.164</v>
      </c>
      <c r="B1405" t="s">
        <v>108</v>
      </c>
      <c r="C1405" t="str">
        <f t="shared" si="64"/>
        <v>ffdfd3c0</v>
      </c>
      <c r="D1405" t="s">
        <v>109</v>
      </c>
      <c r="E1405">
        <v>4</v>
      </c>
      <c r="F1405">
        <v>1004</v>
      </c>
      <c r="G1405" t="s">
        <v>110</v>
      </c>
      <c r="J1405" t="s">
        <v>111</v>
      </c>
      <c r="K1405">
        <v>0</v>
      </c>
      <c r="L1405">
        <v>3</v>
      </c>
      <c r="M1405">
        <v>0</v>
      </c>
      <c r="N1405">
        <v>2</v>
      </c>
      <c r="O1405">
        <v>1</v>
      </c>
      <c r="P1405">
        <v>0</v>
      </c>
      <c r="Q1405">
        <v>0</v>
      </c>
      <c r="R1405" t="s">
        <v>112</v>
      </c>
      <c r="S1405" t="str">
        <f>"14:13:46.984"</f>
        <v>14:13:46.984</v>
      </c>
      <c r="T1405" t="str">
        <f>"14:13:46.586"</f>
        <v>14:13:46.586</v>
      </c>
      <c r="U1405" t="str">
        <f t="shared" si="63"/>
        <v>ad5732</v>
      </c>
      <c r="V1405">
        <v>0</v>
      </c>
      <c r="W1405">
        <v>0</v>
      </c>
      <c r="X1405">
        <v>1</v>
      </c>
      <c r="Z1405">
        <v>0</v>
      </c>
      <c r="AA1405">
        <v>9</v>
      </c>
      <c r="AB1405">
        <v>3</v>
      </c>
      <c r="AC1405">
        <v>0</v>
      </c>
      <c r="AD1405">
        <v>10</v>
      </c>
      <c r="AE1405">
        <v>0</v>
      </c>
      <c r="AF1405">
        <v>3</v>
      </c>
      <c r="AG1405">
        <v>2</v>
      </c>
      <c r="AH1405">
        <v>0</v>
      </c>
      <c r="AI1405" t="s">
        <v>2913</v>
      </c>
      <c r="AJ1405">
        <v>39.598267</v>
      </c>
      <c r="AK1405" t="s">
        <v>2914</v>
      </c>
      <c r="AL1405">
        <v>-76.471624000000006</v>
      </c>
      <c r="AM1405">
        <v>100</v>
      </c>
      <c r="AN1405">
        <v>8700</v>
      </c>
      <c r="AO1405" t="s">
        <v>115</v>
      </c>
      <c r="AP1405">
        <v>164</v>
      </c>
      <c r="AQ1405">
        <v>90</v>
      </c>
      <c r="AR1405">
        <v>-64</v>
      </c>
      <c r="AZ1405">
        <v>3614</v>
      </c>
      <c r="BA1405">
        <v>1</v>
      </c>
      <c r="BB1405" t="str">
        <f t="shared" si="65"/>
        <v xml:space="preserve">N959MJ  </v>
      </c>
      <c r="BC1405">
        <v>1</v>
      </c>
      <c r="BE1405">
        <v>0</v>
      </c>
      <c r="BF1405">
        <v>0</v>
      </c>
      <c r="BG1405">
        <v>0</v>
      </c>
      <c r="BH1405">
        <v>9025</v>
      </c>
      <c r="BI1405">
        <v>325</v>
      </c>
      <c r="BJ1405">
        <v>1</v>
      </c>
      <c r="BK1405">
        <v>1</v>
      </c>
      <c r="BL1405">
        <v>1</v>
      </c>
      <c r="BM1405">
        <v>0</v>
      </c>
      <c r="BP1405">
        <v>0</v>
      </c>
      <c r="BQ1405">
        <v>0</v>
      </c>
      <c r="BX1405" t="str">
        <f>"14:13:46.992"</f>
        <v>14:13:46.992</v>
      </c>
      <c r="BY1405" t="str">
        <f>"989448638"</f>
        <v>989448638</v>
      </c>
      <c r="CL1405">
        <v>0</v>
      </c>
      <c r="CM1405">
        <v>2</v>
      </c>
      <c r="CN1405">
        <v>0</v>
      </c>
      <c r="CO1405">
        <v>2</v>
      </c>
      <c r="CP1405">
        <v>0</v>
      </c>
      <c r="CQ1405">
        <v>6</v>
      </c>
      <c r="CR1405" t="s">
        <v>116</v>
      </c>
      <c r="CS1405">
        <v>39</v>
      </c>
      <c r="CT1405">
        <v>2</v>
      </c>
      <c r="CU1405" t="s">
        <v>2259</v>
      </c>
      <c r="CV1405" t="s">
        <v>2260</v>
      </c>
      <c r="CY1405">
        <v>15544193</v>
      </c>
      <c r="CZ1405" t="s">
        <v>119</v>
      </c>
    </row>
    <row r="1406" spans="1:104" x14ac:dyDescent="0.25">
      <c r="A1406" t="str">
        <f>"14:13:48.180"</f>
        <v>14:13:48.180</v>
      </c>
      <c r="B1406" t="s">
        <v>108</v>
      </c>
      <c r="C1406" t="str">
        <f t="shared" si="64"/>
        <v>ffdfd3c0</v>
      </c>
      <c r="D1406" t="s">
        <v>109</v>
      </c>
      <c r="E1406">
        <v>4</v>
      </c>
      <c r="F1406">
        <v>1004</v>
      </c>
      <c r="G1406" t="s">
        <v>110</v>
      </c>
      <c r="J1406" t="s">
        <v>111</v>
      </c>
      <c r="K1406">
        <v>0</v>
      </c>
      <c r="L1406">
        <v>3</v>
      </c>
      <c r="M1406">
        <v>0</v>
      </c>
      <c r="N1406">
        <v>2</v>
      </c>
      <c r="O1406">
        <v>1</v>
      </c>
      <c r="P1406">
        <v>0</v>
      </c>
      <c r="Q1406">
        <v>0</v>
      </c>
      <c r="R1406" t="s">
        <v>112</v>
      </c>
      <c r="S1406" t="str">
        <f>"14:13:47.992"</f>
        <v>14:13:47.992</v>
      </c>
      <c r="T1406" t="str">
        <f>"14:13:47.492"</f>
        <v>14:13:47.492</v>
      </c>
      <c r="U1406" t="str">
        <f t="shared" si="63"/>
        <v>ad5732</v>
      </c>
      <c r="V1406">
        <v>0</v>
      </c>
      <c r="W1406">
        <v>0</v>
      </c>
      <c r="X1406">
        <v>1</v>
      </c>
      <c r="Z1406">
        <v>0</v>
      </c>
      <c r="AA1406">
        <v>9</v>
      </c>
      <c r="AB1406">
        <v>3</v>
      </c>
      <c r="AC1406">
        <v>0</v>
      </c>
      <c r="AD1406">
        <v>10</v>
      </c>
      <c r="AE1406">
        <v>0</v>
      </c>
      <c r="AF1406">
        <v>3</v>
      </c>
      <c r="AG1406">
        <v>2</v>
      </c>
      <c r="AH1406">
        <v>0</v>
      </c>
      <c r="AI1406" t="s">
        <v>2915</v>
      </c>
      <c r="AJ1406">
        <v>39.598675</v>
      </c>
      <c r="AK1406" t="s">
        <v>2916</v>
      </c>
      <c r="AL1406">
        <v>-76.470636999999996</v>
      </c>
      <c r="AM1406">
        <v>100</v>
      </c>
      <c r="AN1406">
        <v>8700</v>
      </c>
      <c r="AO1406" t="s">
        <v>115</v>
      </c>
      <c r="AP1406">
        <v>164</v>
      </c>
      <c r="AQ1406">
        <v>90</v>
      </c>
      <c r="AR1406">
        <v>-64</v>
      </c>
      <c r="AZ1406">
        <v>3614</v>
      </c>
      <c r="BA1406">
        <v>1</v>
      </c>
      <c r="BB1406" t="str">
        <f t="shared" si="65"/>
        <v xml:space="preserve">N959MJ  </v>
      </c>
      <c r="BC1406">
        <v>1</v>
      </c>
      <c r="BE1406">
        <v>0</v>
      </c>
      <c r="BF1406">
        <v>0</v>
      </c>
      <c r="BG1406">
        <v>0</v>
      </c>
      <c r="BH1406">
        <v>9025</v>
      </c>
      <c r="BI1406">
        <v>325</v>
      </c>
      <c r="BJ1406">
        <v>1</v>
      </c>
      <c r="BK1406">
        <v>1</v>
      </c>
      <c r="BL1406">
        <v>1</v>
      </c>
      <c r="BM1406">
        <v>0</v>
      </c>
      <c r="BP1406">
        <v>0</v>
      </c>
      <c r="BQ1406">
        <v>0</v>
      </c>
      <c r="BX1406" t="str">
        <f>"14:13:47.992"</f>
        <v>14:13:47.992</v>
      </c>
      <c r="BY1406" t="str">
        <f>"995289472"</f>
        <v>995289472</v>
      </c>
      <c r="CL1406">
        <v>0</v>
      </c>
      <c r="CM1406">
        <v>2</v>
      </c>
      <c r="CN1406">
        <v>0</v>
      </c>
      <c r="CO1406">
        <v>2</v>
      </c>
      <c r="CP1406">
        <v>0</v>
      </c>
      <c r="CQ1406">
        <v>7</v>
      </c>
      <c r="CR1406" t="s">
        <v>116</v>
      </c>
      <c r="CS1406">
        <v>396</v>
      </c>
      <c r="CT1406">
        <v>2</v>
      </c>
      <c r="CU1406" t="s">
        <v>939</v>
      </c>
      <c r="CV1406" t="s">
        <v>940</v>
      </c>
      <c r="CY1406">
        <v>5224553</v>
      </c>
      <c r="CZ1406" t="s">
        <v>119</v>
      </c>
    </row>
    <row r="1407" spans="1:104" x14ac:dyDescent="0.25">
      <c r="A1407" t="str">
        <f>"14:13:49.086"</f>
        <v>14:13:49.086</v>
      </c>
      <c r="B1407" t="s">
        <v>108</v>
      </c>
      <c r="C1407" t="str">
        <f t="shared" si="64"/>
        <v>ffdfd3c0</v>
      </c>
      <c r="D1407" t="s">
        <v>109</v>
      </c>
      <c r="E1407">
        <v>4</v>
      </c>
      <c r="F1407">
        <v>1004</v>
      </c>
      <c r="G1407" t="s">
        <v>110</v>
      </c>
      <c r="J1407" t="s">
        <v>111</v>
      </c>
      <c r="K1407">
        <v>0</v>
      </c>
      <c r="L1407">
        <v>3</v>
      </c>
      <c r="M1407">
        <v>0</v>
      </c>
      <c r="N1407">
        <v>2</v>
      </c>
      <c r="O1407">
        <v>1</v>
      </c>
      <c r="P1407">
        <v>0</v>
      </c>
      <c r="Q1407">
        <v>0</v>
      </c>
      <c r="R1407" t="s">
        <v>112</v>
      </c>
      <c r="S1407" t="str">
        <f>"14:13:48.922"</f>
        <v>14:13:48.922</v>
      </c>
      <c r="T1407" t="str">
        <f>"14:13:48.523"</f>
        <v>14:13:48.523</v>
      </c>
      <c r="U1407" t="str">
        <f t="shared" si="63"/>
        <v>ad5732</v>
      </c>
      <c r="V1407">
        <v>0</v>
      </c>
      <c r="W1407">
        <v>0</v>
      </c>
      <c r="X1407">
        <v>1</v>
      </c>
      <c r="Z1407">
        <v>0</v>
      </c>
      <c r="AA1407">
        <v>9</v>
      </c>
      <c r="AB1407">
        <v>3</v>
      </c>
      <c r="AC1407">
        <v>0</v>
      </c>
      <c r="AD1407">
        <v>10</v>
      </c>
      <c r="AE1407">
        <v>0</v>
      </c>
      <c r="AF1407">
        <v>3</v>
      </c>
      <c r="AG1407">
        <v>2</v>
      </c>
      <c r="AH1407">
        <v>0</v>
      </c>
      <c r="AI1407" t="s">
        <v>2917</v>
      </c>
      <c r="AJ1407">
        <v>39.599040000000002</v>
      </c>
      <c r="AK1407" t="s">
        <v>2918</v>
      </c>
      <c r="AL1407">
        <v>-76.469800000000006</v>
      </c>
      <c r="AM1407">
        <v>100</v>
      </c>
      <c r="AN1407">
        <v>8700</v>
      </c>
      <c r="AO1407" t="s">
        <v>115</v>
      </c>
      <c r="AP1407">
        <v>165</v>
      </c>
      <c r="AQ1407">
        <v>89</v>
      </c>
      <c r="AR1407">
        <v>-64</v>
      </c>
      <c r="AZ1407">
        <v>3614</v>
      </c>
      <c r="BA1407">
        <v>1</v>
      </c>
      <c r="BB1407" t="str">
        <f t="shared" si="65"/>
        <v xml:space="preserve">N959MJ  </v>
      </c>
      <c r="BC1407">
        <v>1</v>
      </c>
      <c r="BE1407">
        <v>0</v>
      </c>
      <c r="BF1407">
        <v>0</v>
      </c>
      <c r="BG1407">
        <v>0</v>
      </c>
      <c r="BH1407">
        <v>9025</v>
      </c>
      <c r="BI1407">
        <v>325</v>
      </c>
      <c r="BJ1407">
        <v>1</v>
      </c>
      <c r="BK1407">
        <v>1</v>
      </c>
      <c r="BL1407">
        <v>1</v>
      </c>
      <c r="BM1407">
        <v>0</v>
      </c>
      <c r="BP1407">
        <v>0</v>
      </c>
      <c r="BQ1407">
        <v>0</v>
      </c>
      <c r="BX1407" t="str">
        <f>"14:13:48.922"</f>
        <v>14:13:48.922</v>
      </c>
      <c r="BY1407" t="str">
        <f>"924277743"</f>
        <v>924277743</v>
      </c>
      <c r="CL1407">
        <v>0</v>
      </c>
      <c r="CM1407">
        <v>2</v>
      </c>
      <c r="CN1407">
        <v>0</v>
      </c>
      <c r="CO1407">
        <v>2</v>
      </c>
      <c r="CP1407">
        <v>0</v>
      </c>
      <c r="CQ1407">
        <v>7</v>
      </c>
      <c r="CR1407" t="s">
        <v>116</v>
      </c>
      <c r="CS1407">
        <v>396</v>
      </c>
      <c r="CT1407">
        <v>2</v>
      </c>
      <c r="CU1407" t="s">
        <v>939</v>
      </c>
      <c r="CV1407" t="s">
        <v>940</v>
      </c>
      <c r="CY1407">
        <v>5226209</v>
      </c>
      <c r="CZ1407" t="s">
        <v>119</v>
      </c>
    </row>
    <row r="1408" spans="1:104" x14ac:dyDescent="0.25">
      <c r="A1408" t="str">
        <f>"14:13:50.148"</f>
        <v>14:13:50.148</v>
      </c>
      <c r="B1408" t="s">
        <v>108</v>
      </c>
      <c r="C1408" t="str">
        <f t="shared" si="64"/>
        <v>ffdfd3c0</v>
      </c>
      <c r="D1408" t="s">
        <v>109</v>
      </c>
      <c r="E1408">
        <v>4</v>
      </c>
      <c r="F1408">
        <v>1004</v>
      </c>
      <c r="G1408" t="s">
        <v>110</v>
      </c>
      <c r="J1408" t="s">
        <v>111</v>
      </c>
      <c r="K1408">
        <v>0</v>
      </c>
      <c r="L1408">
        <v>3</v>
      </c>
      <c r="M1408">
        <v>0</v>
      </c>
      <c r="N1408">
        <v>2</v>
      </c>
      <c r="O1408">
        <v>1</v>
      </c>
      <c r="P1408">
        <v>0</v>
      </c>
      <c r="Q1408">
        <v>0</v>
      </c>
      <c r="R1408" t="s">
        <v>112</v>
      </c>
      <c r="S1408" t="str">
        <f>"14:13:49.969"</f>
        <v>14:13:49.969</v>
      </c>
      <c r="T1408" t="str">
        <f>"14:13:49.469"</f>
        <v>14:13:49.469</v>
      </c>
      <c r="U1408" t="str">
        <f t="shared" si="63"/>
        <v>ad5732</v>
      </c>
      <c r="V1408">
        <v>0</v>
      </c>
      <c r="W1408">
        <v>0</v>
      </c>
      <c r="X1408">
        <v>1</v>
      </c>
      <c r="Z1408">
        <v>0</v>
      </c>
      <c r="AA1408">
        <v>9</v>
      </c>
      <c r="AB1408">
        <v>3</v>
      </c>
      <c r="AC1408">
        <v>0</v>
      </c>
      <c r="AD1408">
        <v>10</v>
      </c>
      <c r="AE1408">
        <v>0</v>
      </c>
      <c r="AF1408">
        <v>3</v>
      </c>
      <c r="AG1408">
        <v>2</v>
      </c>
      <c r="AH1408">
        <v>0</v>
      </c>
      <c r="AI1408" t="s">
        <v>2919</v>
      </c>
      <c r="AJ1408">
        <v>39.599446999999998</v>
      </c>
      <c r="AK1408" t="s">
        <v>2920</v>
      </c>
      <c r="AL1408">
        <v>-76.468791999999993</v>
      </c>
      <c r="AM1408">
        <v>100</v>
      </c>
      <c r="AN1408">
        <v>8700</v>
      </c>
      <c r="AO1408" t="s">
        <v>115</v>
      </c>
      <c r="AP1408">
        <v>165</v>
      </c>
      <c r="AQ1408">
        <v>89</v>
      </c>
      <c r="AR1408">
        <v>-128</v>
      </c>
      <c r="AZ1408">
        <v>3614</v>
      </c>
      <c r="BA1408">
        <v>1</v>
      </c>
      <c r="BB1408" t="str">
        <f t="shared" si="65"/>
        <v xml:space="preserve">N959MJ  </v>
      </c>
      <c r="BC1408">
        <v>1</v>
      </c>
      <c r="BE1408">
        <v>0</v>
      </c>
      <c r="BF1408">
        <v>0</v>
      </c>
      <c r="BG1408">
        <v>0</v>
      </c>
      <c r="BH1408">
        <v>9025</v>
      </c>
      <c r="BI1408">
        <v>325</v>
      </c>
      <c r="BJ1408">
        <v>1</v>
      </c>
      <c r="BK1408">
        <v>1</v>
      </c>
      <c r="BL1408">
        <v>1</v>
      </c>
      <c r="BM1408">
        <v>0</v>
      </c>
      <c r="BP1408">
        <v>0</v>
      </c>
      <c r="BQ1408">
        <v>0</v>
      </c>
      <c r="BX1408" t="str">
        <f>"14:13:49.977"</f>
        <v>14:13:49.977</v>
      </c>
      <c r="BY1408" t="str">
        <f>"976148025"</f>
        <v>976148025</v>
      </c>
      <c r="CL1408">
        <v>0</v>
      </c>
      <c r="CM1408">
        <v>2</v>
      </c>
      <c r="CN1408">
        <v>0</v>
      </c>
      <c r="CO1408">
        <v>2</v>
      </c>
      <c r="CP1408">
        <v>0</v>
      </c>
      <c r="CQ1408">
        <v>7</v>
      </c>
      <c r="CR1408" t="s">
        <v>116</v>
      </c>
      <c r="CS1408">
        <v>396</v>
      </c>
      <c r="CT1408">
        <v>2</v>
      </c>
      <c r="CU1408" t="s">
        <v>939</v>
      </c>
      <c r="CV1408" t="s">
        <v>940</v>
      </c>
      <c r="CY1408">
        <v>5228050</v>
      </c>
      <c r="CZ1408" t="s">
        <v>119</v>
      </c>
    </row>
    <row r="1409" spans="1:104" x14ac:dyDescent="0.25">
      <c r="A1409" t="str">
        <f>"14:13:51.156"</f>
        <v>14:13:51.156</v>
      </c>
      <c r="B1409" t="s">
        <v>108</v>
      </c>
      <c r="C1409" t="str">
        <f t="shared" si="64"/>
        <v>ffdfd3c0</v>
      </c>
      <c r="D1409" t="s">
        <v>109</v>
      </c>
      <c r="E1409">
        <v>4</v>
      </c>
      <c r="F1409">
        <v>1004</v>
      </c>
      <c r="G1409" t="s">
        <v>110</v>
      </c>
      <c r="J1409" t="s">
        <v>111</v>
      </c>
      <c r="K1409">
        <v>0</v>
      </c>
      <c r="L1409">
        <v>3</v>
      </c>
      <c r="M1409">
        <v>0</v>
      </c>
      <c r="N1409">
        <v>2</v>
      </c>
      <c r="O1409">
        <v>1</v>
      </c>
      <c r="P1409">
        <v>0</v>
      </c>
      <c r="Q1409">
        <v>0</v>
      </c>
      <c r="R1409" t="s">
        <v>112</v>
      </c>
      <c r="S1409" t="str">
        <f>"14:13:50.969"</f>
        <v>14:13:50.969</v>
      </c>
      <c r="T1409" t="str">
        <f>"14:13:50.469"</f>
        <v>14:13:50.469</v>
      </c>
      <c r="U1409" t="str">
        <f t="shared" si="63"/>
        <v>ad5732</v>
      </c>
      <c r="V1409">
        <v>0</v>
      </c>
      <c r="W1409">
        <v>0</v>
      </c>
      <c r="X1409">
        <v>1</v>
      </c>
      <c r="Z1409">
        <v>0</v>
      </c>
      <c r="AA1409">
        <v>9</v>
      </c>
      <c r="AB1409">
        <v>3</v>
      </c>
      <c r="AC1409">
        <v>0</v>
      </c>
      <c r="AD1409">
        <v>10</v>
      </c>
      <c r="AE1409">
        <v>0</v>
      </c>
      <c r="AF1409">
        <v>3</v>
      </c>
      <c r="AG1409">
        <v>2</v>
      </c>
      <c r="AH1409">
        <v>0</v>
      </c>
      <c r="AI1409" t="s">
        <v>2921</v>
      </c>
      <c r="AJ1409">
        <v>39.599854999999998</v>
      </c>
      <c r="AK1409" t="s">
        <v>2922</v>
      </c>
      <c r="AL1409">
        <v>-76.467761999999993</v>
      </c>
      <c r="AM1409">
        <v>100</v>
      </c>
      <c r="AN1409">
        <v>8700</v>
      </c>
      <c r="AO1409" t="s">
        <v>115</v>
      </c>
      <c r="AP1409">
        <v>165</v>
      </c>
      <c r="AQ1409">
        <v>89</v>
      </c>
      <c r="AR1409">
        <v>-384</v>
      </c>
      <c r="AZ1409">
        <v>3614</v>
      </c>
      <c r="BA1409">
        <v>1</v>
      </c>
      <c r="BB1409" t="str">
        <f t="shared" si="65"/>
        <v xml:space="preserve">N959MJ  </v>
      </c>
      <c r="BC1409">
        <v>1</v>
      </c>
      <c r="BE1409">
        <v>0</v>
      </c>
      <c r="BF1409">
        <v>0</v>
      </c>
      <c r="BG1409">
        <v>0</v>
      </c>
      <c r="BH1409">
        <v>9000</v>
      </c>
      <c r="BI1409">
        <v>300</v>
      </c>
      <c r="BJ1409">
        <v>1</v>
      </c>
      <c r="BK1409">
        <v>1</v>
      </c>
      <c r="BL1409">
        <v>1</v>
      </c>
      <c r="BM1409">
        <v>0</v>
      </c>
      <c r="BP1409">
        <v>0</v>
      </c>
      <c r="BQ1409">
        <v>0</v>
      </c>
      <c r="BX1409" t="str">
        <f>"14:13:50.977"</f>
        <v>14:13:50.977</v>
      </c>
      <c r="BY1409" t="str">
        <f>"973950287"</f>
        <v>973950287</v>
      </c>
      <c r="CL1409">
        <v>0</v>
      </c>
      <c r="CM1409">
        <v>2</v>
      </c>
      <c r="CN1409">
        <v>0</v>
      </c>
      <c r="CO1409">
        <v>2</v>
      </c>
      <c r="CP1409">
        <v>0</v>
      </c>
      <c r="CQ1409">
        <v>7</v>
      </c>
      <c r="CR1409" t="s">
        <v>116</v>
      </c>
      <c r="CS1409">
        <v>396</v>
      </c>
      <c r="CT1409">
        <v>2</v>
      </c>
      <c r="CU1409" t="s">
        <v>939</v>
      </c>
      <c r="CV1409" t="s">
        <v>940</v>
      </c>
      <c r="CY1409">
        <v>5229884</v>
      </c>
      <c r="CZ1409" t="s">
        <v>119</v>
      </c>
    </row>
    <row r="1410" spans="1:104" x14ac:dyDescent="0.25">
      <c r="A1410" t="str">
        <f>"14:13:52.016"</f>
        <v>14:13:52.016</v>
      </c>
      <c r="B1410" t="s">
        <v>108</v>
      </c>
      <c r="C1410" t="str">
        <f t="shared" si="64"/>
        <v>ffdfd3c0</v>
      </c>
      <c r="D1410" t="s">
        <v>109</v>
      </c>
      <c r="E1410">
        <v>4</v>
      </c>
      <c r="F1410">
        <v>1004</v>
      </c>
      <c r="G1410" t="s">
        <v>110</v>
      </c>
      <c r="J1410" t="s">
        <v>111</v>
      </c>
      <c r="K1410">
        <v>0</v>
      </c>
      <c r="L1410">
        <v>3</v>
      </c>
      <c r="M1410">
        <v>0</v>
      </c>
      <c r="N1410">
        <v>2</v>
      </c>
      <c r="O1410">
        <v>1</v>
      </c>
      <c r="P1410">
        <v>0</v>
      </c>
      <c r="Q1410">
        <v>0</v>
      </c>
      <c r="R1410" t="s">
        <v>112</v>
      </c>
      <c r="S1410" t="str">
        <f>"14:13:51.859"</f>
        <v>14:13:51.859</v>
      </c>
      <c r="T1410" t="str">
        <f>"14:13:51.461"</f>
        <v>14:13:51.461</v>
      </c>
      <c r="U1410" t="str">
        <f t="shared" ref="U1410:U1473" si="66">"ad5732"</f>
        <v>ad5732</v>
      </c>
      <c r="V1410">
        <v>0</v>
      </c>
      <c r="W1410">
        <v>0</v>
      </c>
      <c r="X1410">
        <v>1</v>
      </c>
      <c r="Z1410">
        <v>0</v>
      </c>
      <c r="AA1410">
        <v>9</v>
      </c>
      <c r="AB1410">
        <v>3</v>
      </c>
      <c r="AC1410">
        <v>0</v>
      </c>
      <c r="AD1410">
        <v>10</v>
      </c>
      <c r="AE1410">
        <v>0</v>
      </c>
      <c r="AF1410">
        <v>3</v>
      </c>
      <c r="AG1410">
        <v>2</v>
      </c>
      <c r="AH1410">
        <v>0</v>
      </c>
      <c r="AI1410" t="s">
        <v>2923</v>
      </c>
      <c r="AJ1410">
        <v>39.60022</v>
      </c>
      <c r="AK1410" t="s">
        <v>2924</v>
      </c>
      <c r="AL1410">
        <v>-76.466925000000003</v>
      </c>
      <c r="AM1410">
        <v>100</v>
      </c>
      <c r="AN1410">
        <v>8700</v>
      </c>
      <c r="AO1410" t="s">
        <v>115</v>
      </c>
      <c r="AP1410">
        <v>166</v>
      </c>
      <c r="AQ1410">
        <v>89</v>
      </c>
      <c r="AR1410">
        <v>-576</v>
      </c>
      <c r="AZ1410">
        <v>3614</v>
      </c>
      <c r="BA1410">
        <v>1</v>
      </c>
      <c r="BB1410" t="str">
        <f t="shared" si="65"/>
        <v xml:space="preserve">N959MJ  </v>
      </c>
      <c r="BC1410">
        <v>1</v>
      </c>
      <c r="BE1410">
        <v>0</v>
      </c>
      <c r="BF1410">
        <v>0</v>
      </c>
      <c r="BG1410">
        <v>0</v>
      </c>
      <c r="BH1410">
        <v>9000</v>
      </c>
      <c r="BI1410">
        <v>300</v>
      </c>
      <c r="BJ1410">
        <v>1</v>
      </c>
      <c r="BK1410">
        <v>1</v>
      </c>
      <c r="BL1410">
        <v>1</v>
      </c>
      <c r="BM1410">
        <v>0</v>
      </c>
      <c r="BP1410">
        <v>0</v>
      </c>
      <c r="BQ1410">
        <v>0</v>
      </c>
      <c r="BX1410" t="str">
        <f>"14:13:51.859"</f>
        <v>14:13:51.859</v>
      </c>
      <c r="BY1410" t="str">
        <f>"861978066"</f>
        <v>861978066</v>
      </c>
      <c r="CL1410">
        <v>0</v>
      </c>
      <c r="CM1410">
        <v>2</v>
      </c>
      <c r="CN1410">
        <v>0</v>
      </c>
      <c r="CO1410">
        <v>2</v>
      </c>
      <c r="CP1410">
        <v>0</v>
      </c>
      <c r="CQ1410">
        <v>7</v>
      </c>
      <c r="CR1410" t="s">
        <v>116</v>
      </c>
      <c r="CS1410">
        <v>396</v>
      </c>
      <c r="CT1410">
        <v>2</v>
      </c>
      <c r="CU1410" t="s">
        <v>939</v>
      </c>
      <c r="CV1410" t="s">
        <v>940</v>
      </c>
      <c r="CY1410">
        <v>5231576</v>
      </c>
      <c r="CZ1410" t="s">
        <v>119</v>
      </c>
    </row>
    <row r="1411" spans="1:104" x14ac:dyDescent="0.25">
      <c r="A1411" t="str">
        <f>"14:13:53.125"</f>
        <v>14:13:53.125</v>
      </c>
      <c r="B1411" t="s">
        <v>108</v>
      </c>
      <c r="C1411" t="str">
        <f t="shared" si="64"/>
        <v>ffdfd3c0</v>
      </c>
      <c r="D1411" t="s">
        <v>109</v>
      </c>
      <c r="E1411">
        <v>4</v>
      </c>
      <c r="F1411">
        <v>1004</v>
      </c>
      <c r="G1411" t="s">
        <v>110</v>
      </c>
      <c r="J1411" t="s">
        <v>111</v>
      </c>
      <c r="K1411">
        <v>0</v>
      </c>
      <c r="L1411">
        <v>3</v>
      </c>
      <c r="M1411">
        <v>0</v>
      </c>
      <c r="N1411">
        <v>2</v>
      </c>
      <c r="O1411">
        <v>1</v>
      </c>
      <c r="P1411">
        <v>0</v>
      </c>
      <c r="Q1411">
        <v>0</v>
      </c>
      <c r="R1411" t="s">
        <v>112</v>
      </c>
      <c r="S1411" t="str">
        <f>"14:13:52.945"</f>
        <v>14:13:52.945</v>
      </c>
      <c r="T1411" t="str">
        <f>"14:13:52.445"</f>
        <v>14:13:52.445</v>
      </c>
      <c r="U1411" t="str">
        <f t="shared" si="66"/>
        <v>ad5732</v>
      </c>
      <c r="V1411">
        <v>0</v>
      </c>
      <c r="W1411">
        <v>0</v>
      </c>
      <c r="X1411">
        <v>1</v>
      </c>
      <c r="Z1411">
        <v>0</v>
      </c>
      <c r="AA1411">
        <v>9</v>
      </c>
      <c r="AB1411">
        <v>3</v>
      </c>
      <c r="AC1411">
        <v>0</v>
      </c>
      <c r="AD1411">
        <v>10</v>
      </c>
      <c r="AE1411">
        <v>0</v>
      </c>
      <c r="AF1411">
        <v>3</v>
      </c>
      <c r="AG1411">
        <v>2</v>
      </c>
      <c r="AH1411">
        <v>0</v>
      </c>
      <c r="AI1411" t="s">
        <v>2925</v>
      </c>
      <c r="AJ1411">
        <v>39.600670000000001</v>
      </c>
      <c r="AK1411" t="s">
        <v>2926</v>
      </c>
      <c r="AL1411">
        <v>-76.465808999999993</v>
      </c>
      <c r="AM1411">
        <v>100</v>
      </c>
      <c r="AN1411">
        <v>8700</v>
      </c>
      <c r="AO1411" t="s">
        <v>115</v>
      </c>
      <c r="AP1411">
        <v>167</v>
      </c>
      <c r="AQ1411">
        <v>88</v>
      </c>
      <c r="AR1411">
        <v>-640</v>
      </c>
      <c r="AZ1411">
        <v>3614</v>
      </c>
      <c r="BA1411">
        <v>1</v>
      </c>
      <c r="BB1411" t="str">
        <f t="shared" si="65"/>
        <v xml:space="preserve">N959MJ  </v>
      </c>
      <c r="BC1411">
        <v>1</v>
      </c>
      <c r="BE1411">
        <v>0</v>
      </c>
      <c r="BF1411">
        <v>0</v>
      </c>
      <c r="BG1411">
        <v>0</v>
      </c>
      <c r="BH1411">
        <v>9000</v>
      </c>
      <c r="BI1411">
        <v>300</v>
      </c>
      <c r="BJ1411">
        <v>1</v>
      </c>
      <c r="BK1411">
        <v>1</v>
      </c>
      <c r="BL1411">
        <v>1</v>
      </c>
      <c r="BM1411">
        <v>0</v>
      </c>
      <c r="BP1411">
        <v>0</v>
      </c>
      <c r="BQ1411">
        <v>0</v>
      </c>
      <c r="BX1411" t="str">
        <f>"14:13:52.945"</f>
        <v>14:13:52.945</v>
      </c>
      <c r="BY1411" t="str">
        <f>"946616679"</f>
        <v>946616679</v>
      </c>
      <c r="CL1411">
        <v>0</v>
      </c>
      <c r="CM1411">
        <v>2</v>
      </c>
      <c r="CN1411">
        <v>0</v>
      </c>
      <c r="CO1411">
        <v>2</v>
      </c>
      <c r="CP1411">
        <v>0</v>
      </c>
      <c r="CQ1411">
        <v>7</v>
      </c>
      <c r="CR1411" t="s">
        <v>116</v>
      </c>
      <c r="CS1411">
        <v>396</v>
      </c>
      <c r="CT1411">
        <v>2</v>
      </c>
      <c r="CU1411" t="s">
        <v>939</v>
      </c>
      <c r="CV1411" t="s">
        <v>940</v>
      </c>
      <c r="CY1411">
        <v>5233507</v>
      </c>
      <c r="CZ1411" t="s">
        <v>119</v>
      </c>
    </row>
    <row r="1412" spans="1:104" x14ac:dyDescent="0.25">
      <c r="A1412" t="str">
        <f>"14:13:54.133"</f>
        <v>14:13:54.133</v>
      </c>
      <c r="B1412" t="s">
        <v>108</v>
      </c>
      <c r="C1412" t="str">
        <f t="shared" si="64"/>
        <v>ffdfd3c0</v>
      </c>
      <c r="D1412" t="s">
        <v>109</v>
      </c>
      <c r="E1412">
        <v>4</v>
      </c>
      <c r="F1412">
        <v>1004</v>
      </c>
      <c r="G1412" t="s">
        <v>110</v>
      </c>
      <c r="J1412" t="s">
        <v>111</v>
      </c>
      <c r="K1412">
        <v>0</v>
      </c>
      <c r="L1412">
        <v>3</v>
      </c>
      <c r="M1412">
        <v>0</v>
      </c>
      <c r="N1412">
        <v>2</v>
      </c>
      <c r="O1412">
        <v>1</v>
      </c>
      <c r="P1412">
        <v>0</v>
      </c>
      <c r="Q1412">
        <v>0</v>
      </c>
      <c r="R1412" t="s">
        <v>112</v>
      </c>
      <c r="S1412" t="str">
        <f>"14:13:53.938"</f>
        <v>14:13:53.938</v>
      </c>
      <c r="T1412" t="str">
        <f>"14:13:53.539"</f>
        <v>14:13:53.539</v>
      </c>
      <c r="U1412" t="str">
        <f t="shared" si="66"/>
        <v>ad5732</v>
      </c>
      <c r="V1412">
        <v>0</v>
      </c>
      <c r="W1412">
        <v>0</v>
      </c>
      <c r="X1412">
        <v>1</v>
      </c>
      <c r="Z1412">
        <v>0</v>
      </c>
      <c r="AA1412">
        <v>9</v>
      </c>
      <c r="AB1412">
        <v>3</v>
      </c>
      <c r="AC1412">
        <v>0</v>
      </c>
      <c r="AD1412">
        <v>10</v>
      </c>
      <c r="AE1412">
        <v>0</v>
      </c>
      <c r="AF1412">
        <v>3</v>
      </c>
      <c r="AG1412">
        <v>2</v>
      </c>
      <c r="AH1412">
        <v>0</v>
      </c>
      <c r="AI1412" t="s">
        <v>2927</v>
      </c>
      <c r="AJ1412">
        <v>39.601098999999998</v>
      </c>
      <c r="AK1412" t="s">
        <v>2928</v>
      </c>
      <c r="AL1412">
        <v>-76.464778999999993</v>
      </c>
      <c r="AM1412">
        <v>100</v>
      </c>
      <c r="AN1412">
        <v>8700</v>
      </c>
      <c r="AO1412" t="s">
        <v>115</v>
      </c>
      <c r="AP1412">
        <v>168</v>
      </c>
      <c r="AQ1412">
        <v>88</v>
      </c>
      <c r="AR1412">
        <v>-768</v>
      </c>
      <c r="AZ1412">
        <v>3614</v>
      </c>
      <c r="BA1412">
        <v>1</v>
      </c>
      <c r="BB1412" t="str">
        <f t="shared" si="65"/>
        <v xml:space="preserve">N959MJ  </v>
      </c>
      <c r="BC1412">
        <v>1</v>
      </c>
      <c r="BE1412">
        <v>0</v>
      </c>
      <c r="BF1412">
        <v>0</v>
      </c>
      <c r="BG1412">
        <v>0</v>
      </c>
      <c r="BH1412">
        <v>8975</v>
      </c>
      <c r="BI1412">
        <v>275</v>
      </c>
      <c r="BJ1412">
        <v>1</v>
      </c>
      <c r="BK1412">
        <v>1</v>
      </c>
      <c r="BL1412">
        <v>1</v>
      </c>
      <c r="BM1412">
        <v>0</v>
      </c>
      <c r="BP1412">
        <v>0</v>
      </c>
      <c r="BQ1412">
        <v>0</v>
      </c>
      <c r="BX1412" t="str">
        <f>"14:13:53.938"</f>
        <v>14:13:53.938</v>
      </c>
      <c r="BY1412" t="str">
        <f>"937967489"</f>
        <v>937967489</v>
      </c>
      <c r="CL1412">
        <v>0</v>
      </c>
      <c r="CM1412">
        <v>2</v>
      </c>
      <c r="CN1412">
        <v>0</v>
      </c>
      <c r="CO1412">
        <v>2</v>
      </c>
      <c r="CP1412">
        <v>0</v>
      </c>
      <c r="CQ1412">
        <v>5</v>
      </c>
      <c r="CR1412" t="s">
        <v>116</v>
      </c>
      <c r="CS1412">
        <v>372</v>
      </c>
      <c r="CT1412">
        <v>3</v>
      </c>
      <c r="CU1412" t="s">
        <v>877</v>
      </c>
      <c r="CV1412" t="s">
        <v>878</v>
      </c>
      <c r="CY1412">
        <v>11880236</v>
      </c>
      <c r="CZ1412" t="s">
        <v>119</v>
      </c>
    </row>
    <row r="1413" spans="1:104" x14ac:dyDescent="0.25">
      <c r="A1413" t="str">
        <f>"14:13:55.094"</f>
        <v>14:13:55.094</v>
      </c>
      <c r="B1413" t="s">
        <v>108</v>
      </c>
      <c r="C1413" t="str">
        <f t="shared" si="64"/>
        <v>ffdfd3c0</v>
      </c>
      <c r="D1413" t="s">
        <v>109</v>
      </c>
      <c r="E1413">
        <v>4</v>
      </c>
      <c r="F1413">
        <v>1004</v>
      </c>
      <c r="G1413" t="s">
        <v>110</v>
      </c>
      <c r="J1413" t="s">
        <v>111</v>
      </c>
      <c r="K1413">
        <v>0</v>
      </c>
      <c r="L1413">
        <v>3</v>
      </c>
      <c r="M1413">
        <v>0</v>
      </c>
      <c r="N1413">
        <v>2</v>
      </c>
      <c r="O1413">
        <v>1</v>
      </c>
      <c r="P1413">
        <v>0</v>
      </c>
      <c r="Q1413">
        <v>0</v>
      </c>
      <c r="R1413" t="s">
        <v>112</v>
      </c>
      <c r="S1413" t="str">
        <f>"14:13:54.891"</f>
        <v>14:13:54.891</v>
      </c>
      <c r="T1413" t="str">
        <f>"14:13:54.391"</f>
        <v>14:13:54.391</v>
      </c>
      <c r="U1413" t="str">
        <f t="shared" si="66"/>
        <v>ad5732</v>
      </c>
      <c r="V1413">
        <v>0</v>
      </c>
      <c r="W1413">
        <v>0</v>
      </c>
      <c r="X1413">
        <v>1</v>
      </c>
      <c r="Z1413">
        <v>0</v>
      </c>
      <c r="AA1413">
        <v>9</v>
      </c>
      <c r="AB1413">
        <v>3</v>
      </c>
      <c r="AC1413">
        <v>0</v>
      </c>
      <c r="AD1413">
        <v>10</v>
      </c>
      <c r="AE1413">
        <v>0</v>
      </c>
      <c r="AF1413">
        <v>3</v>
      </c>
      <c r="AG1413">
        <v>2</v>
      </c>
      <c r="AH1413">
        <v>0</v>
      </c>
      <c r="AI1413" t="s">
        <v>2929</v>
      </c>
      <c r="AJ1413">
        <v>39.601506999999998</v>
      </c>
      <c r="AK1413" t="s">
        <v>2930</v>
      </c>
      <c r="AL1413">
        <v>-76.463770999999994</v>
      </c>
      <c r="AM1413">
        <v>100</v>
      </c>
      <c r="AN1413">
        <v>8700</v>
      </c>
      <c r="AO1413" t="s">
        <v>115</v>
      </c>
      <c r="AP1413">
        <v>169</v>
      </c>
      <c r="AQ1413">
        <v>87</v>
      </c>
      <c r="AR1413">
        <v>-832</v>
      </c>
      <c r="AZ1413">
        <v>3614</v>
      </c>
      <c r="BA1413">
        <v>1</v>
      </c>
      <c r="BB1413" t="str">
        <f t="shared" si="65"/>
        <v xml:space="preserve">N959MJ  </v>
      </c>
      <c r="BC1413">
        <v>1</v>
      </c>
      <c r="BE1413">
        <v>0</v>
      </c>
      <c r="BF1413">
        <v>0</v>
      </c>
      <c r="BG1413">
        <v>0</v>
      </c>
      <c r="BH1413">
        <v>8975</v>
      </c>
      <c r="BI1413">
        <v>275</v>
      </c>
      <c r="BJ1413">
        <v>1</v>
      </c>
      <c r="BK1413">
        <v>1</v>
      </c>
      <c r="BL1413">
        <v>1</v>
      </c>
      <c r="BM1413">
        <v>0</v>
      </c>
      <c r="BP1413">
        <v>0</v>
      </c>
      <c r="BQ1413">
        <v>0</v>
      </c>
      <c r="BX1413" t="str">
        <f>"14:13:54.898"</f>
        <v>14:13:54.898</v>
      </c>
      <c r="BY1413" t="str">
        <f>"896345142"</f>
        <v>896345142</v>
      </c>
      <c r="CL1413">
        <v>0</v>
      </c>
      <c r="CM1413">
        <v>2</v>
      </c>
      <c r="CN1413">
        <v>0</v>
      </c>
      <c r="CO1413">
        <v>2</v>
      </c>
      <c r="CP1413">
        <v>0</v>
      </c>
      <c r="CQ1413">
        <v>7</v>
      </c>
      <c r="CR1413" t="s">
        <v>116</v>
      </c>
      <c r="CS1413">
        <v>396</v>
      </c>
      <c r="CT1413">
        <v>2</v>
      </c>
      <c r="CU1413" t="s">
        <v>939</v>
      </c>
      <c r="CV1413" t="s">
        <v>940</v>
      </c>
      <c r="CY1413">
        <v>5236877</v>
      </c>
      <c r="CZ1413" t="s">
        <v>119</v>
      </c>
    </row>
    <row r="1414" spans="1:104" x14ac:dyDescent="0.25">
      <c r="A1414" t="str">
        <f>"14:13:56.055"</f>
        <v>14:13:56.055</v>
      </c>
      <c r="B1414" t="s">
        <v>108</v>
      </c>
      <c r="C1414" t="str">
        <f t="shared" si="64"/>
        <v>ffdfd3c0</v>
      </c>
      <c r="D1414" t="s">
        <v>109</v>
      </c>
      <c r="E1414">
        <v>4</v>
      </c>
      <c r="F1414">
        <v>1004</v>
      </c>
      <c r="G1414" t="s">
        <v>110</v>
      </c>
      <c r="J1414" t="s">
        <v>111</v>
      </c>
      <c r="K1414">
        <v>0</v>
      </c>
      <c r="L1414">
        <v>3</v>
      </c>
      <c r="M1414">
        <v>0</v>
      </c>
      <c r="N1414">
        <v>2</v>
      </c>
      <c r="O1414">
        <v>1</v>
      </c>
      <c r="P1414">
        <v>0</v>
      </c>
      <c r="Q1414">
        <v>0</v>
      </c>
      <c r="R1414" t="s">
        <v>112</v>
      </c>
      <c r="S1414" t="str">
        <f>"14:13:55.852"</f>
        <v>14:13:55.852</v>
      </c>
      <c r="T1414" t="str">
        <f>"14:13:55.352"</f>
        <v>14:13:55.352</v>
      </c>
      <c r="U1414" t="str">
        <f t="shared" si="66"/>
        <v>ad5732</v>
      </c>
      <c r="V1414">
        <v>0</v>
      </c>
      <c r="W1414">
        <v>0</v>
      </c>
      <c r="X1414">
        <v>1</v>
      </c>
      <c r="Z1414">
        <v>0</v>
      </c>
      <c r="AA1414">
        <v>9</v>
      </c>
      <c r="AB1414">
        <v>3</v>
      </c>
      <c r="AC1414">
        <v>0</v>
      </c>
      <c r="AD1414">
        <v>10</v>
      </c>
      <c r="AE1414">
        <v>0</v>
      </c>
      <c r="AF1414">
        <v>3</v>
      </c>
      <c r="AG1414">
        <v>2</v>
      </c>
      <c r="AH1414">
        <v>0</v>
      </c>
      <c r="AI1414" t="s">
        <v>2931</v>
      </c>
      <c r="AJ1414">
        <v>39.601851000000003</v>
      </c>
      <c r="AK1414" t="s">
        <v>2932</v>
      </c>
      <c r="AL1414">
        <v>-76.462827000000004</v>
      </c>
      <c r="AM1414">
        <v>100</v>
      </c>
      <c r="AN1414">
        <v>8600</v>
      </c>
      <c r="AO1414" t="s">
        <v>115</v>
      </c>
      <c r="AP1414">
        <v>170</v>
      </c>
      <c r="AQ1414">
        <v>87</v>
      </c>
      <c r="AR1414">
        <v>-960</v>
      </c>
      <c r="AZ1414">
        <v>3614</v>
      </c>
      <c r="BA1414">
        <v>1</v>
      </c>
      <c r="BB1414" t="str">
        <f t="shared" si="65"/>
        <v xml:space="preserve">N959MJ  </v>
      </c>
      <c r="BC1414">
        <v>1</v>
      </c>
      <c r="BE1414">
        <v>0</v>
      </c>
      <c r="BF1414">
        <v>0</v>
      </c>
      <c r="BG1414">
        <v>0</v>
      </c>
      <c r="BH1414">
        <v>8950</v>
      </c>
      <c r="BI1414">
        <v>350</v>
      </c>
      <c r="BJ1414">
        <v>1</v>
      </c>
      <c r="BK1414">
        <v>1</v>
      </c>
      <c r="BL1414">
        <v>1</v>
      </c>
      <c r="BM1414">
        <v>0</v>
      </c>
      <c r="BP1414">
        <v>0</v>
      </c>
      <c r="BQ1414">
        <v>0</v>
      </c>
      <c r="BX1414" t="str">
        <f>"14:13:55.859"</f>
        <v>14:13:55.859</v>
      </c>
      <c r="BY1414" t="str">
        <f>"858101979"</f>
        <v>858101979</v>
      </c>
      <c r="CL1414">
        <v>0</v>
      </c>
      <c r="CM1414">
        <v>2</v>
      </c>
      <c r="CN1414">
        <v>0</v>
      </c>
      <c r="CO1414">
        <v>2</v>
      </c>
      <c r="CP1414">
        <v>0</v>
      </c>
      <c r="CQ1414">
        <v>6</v>
      </c>
      <c r="CR1414" t="s">
        <v>116</v>
      </c>
      <c r="CS1414">
        <v>396</v>
      </c>
      <c r="CT1414">
        <v>1</v>
      </c>
      <c r="CU1414" t="s">
        <v>939</v>
      </c>
      <c r="CV1414" t="s">
        <v>940</v>
      </c>
      <c r="CY1414">
        <v>8827000</v>
      </c>
      <c r="CZ1414" t="s">
        <v>119</v>
      </c>
    </row>
    <row r="1415" spans="1:104" x14ac:dyDescent="0.25">
      <c r="A1415" t="str">
        <f>"14:13:57.164"</f>
        <v>14:13:57.164</v>
      </c>
      <c r="B1415" t="s">
        <v>108</v>
      </c>
      <c r="C1415" t="str">
        <f t="shared" si="64"/>
        <v>ffdfd3c0</v>
      </c>
      <c r="D1415" t="s">
        <v>109</v>
      </c>
      <c r="E1415">
        <v>4</v>
      </c>
      <c r="F1415">
        <v>1004</v>
      </c>
      <c r="G1415" t="s">
        <v>110</v>
      </c>
      <c r="J1415" t="s">
        <v>111</v>
      </c>
      <c r="K1415">
        <v>0</v>
      </c>
      <c r="L1415">
        <v>3</v>
      </c>
      <c r="M1415">
        <v>0</v>
      </c>
      <c r="N1415">
        <v>2</v>
      </c>
      <c r="O1415">
        <v>1</v>
      </c>
      <c r="P1415">
        <v>0</v>
      </c>
      <c r="Q1415">
        <v>0</v>
      </c>
      <c r="R1415" t="s">
        <v>112</v>
      </c>
      <c r="S1415" t="str">
        <f>"14:13:56.969"</f>
        <v>14:13:56.969</v>
      </c>
      <c r="T1415" t="str">
        <f>"14:13:56.469"</f>
        <v>14:13:56.469</v>
      </c>
      <c r="U1415" t="str">
        <f t="shared" si="66"/>
        <v>ad5732</v>
      </c>
      <c r="V1415">
        <v>0</v>
      </c>
      <c r="W1415">
        <v>0</v>
      </c>
      <c r="X1415">
        <v>1</v>
      </c>
      <c r="Z1415">
        <v>0</v>
      </c>
      <c r="AA1415">
        <v>9</v>
      </c>
      <c r="AB1415">
        <v>3</v>
      </c>
      <c r="AC1415">
        <v>0</v>
      </c>
      <c r="AD1415">
        <v>10</v>
      </c>
      <c r="AE1415">
        <v>0</v>
      </c>
      <c r="AF1415">
        <v>3</v>
      </c>
      <c r="AG1415">
        <v>2</v>
      </c>
      <c r="AH1415">
        <v>0</v>
      </c>
      <c r="AI1415" t="s">
        <v>2933</v>
      </c>
      <c r="AJ1415">
        <v>39.60228</v>
      </c>
      <c r="AK1415" t="s">
        <v>2934</v>
      </c>
      <c r="AL1415">
        <v>-76.461731999999998</v>
      </c>
      <c r="AM1415">
        <v>100</v>
      </c>
      <c r="AN1415">
        <v>8600</v>
      </c>
      <c r="AO1415" t="s">
        <v>115</v>
      </c>
      <c r="AP1415">
        <v>172</v>
      </c>
      <c r="AQ1415">
        <v>86</v>
      </c>
      <c r="AR1415">
        <v>-1024</v>
      </c>
      <c r="AZ1415">
        <v>3614</v>
      </c>
      <c r="BA1415">
        <v>1</v>
      </c>
      <c r="BB1415" t="str">
        <f t="shared" si="65"/>
        <v xml:space="preserve">N959MJ  </v>
      </c>
      <c r="BC1415">
        <v>1</v>
      </c>
      <c r="BE1415">
        <v>0</v>
      </c>
      <c r="BF1415">
        <v>0</v>
      </c>
      <c r="BG1415">
        <v>0</v>
      </c>
      <c r="BH1415">
        <v>8925</v>
      </c>
      <c r="BI1415">
        <v>325</v>
      </c>
      <c r="BJ1415">
        <v>1</v>
      </c>
      <c r="BK1415">
        <v>1</v>
      </c>
      <c r="BL1415">
        <v>1</v>
      </c>
      <c r="BM1415">
        <v>0</v>
      </c>
      <c r="BP1415">
        <v>0</v>
      </c>
      <c r="BQ1415">
        <v>0</v>
      </c>
      <c r="BX1415" t="str">
        <f>"14:13:56.969"</f>
        <v>14:13:56.969</v>
      </c>
      <c r="BY1415" t="str">
        <f>"972232571"</f>
        <v>972232571</v>
      </c>
      <c r="CL1415">
        <v>0</v>
      </c>
      <c r="CM1415">
        <v>2</v>
      </c>
      <c r="CN1415">
        <v>0</v>
      </c>
      <c r="CO1415">
        <v>2</v>
      </c>
      <c r="CP1415">
        <v>0</v>
      </c>
      <c r="CQ1415">
        <v>7</v>
      </c>
      <c r="CR1415" t="s">
        <v>116</v>
      </c>
      <c r="CS1415">
        <v>396</v>
      </c>
      <c r="CT1415">
        <v>2</v>
      </c>
      <c r="CU1415" t="s">
        <v>939</v>
      </c>
      <c r="CV1415" t="s">
        <v>940</v>
      </c>
      <c r="CY1415">
        <v>5240850</v>
      </c>
      <c r="CZ1415" t="s">
        <v>119</v>
      </c>
    </row>
    <row r="1416" spans="1:104" x14ac:dyDescent="0.25">
      <c r="A1416" t="str">
        <f>"14:13:58.273"</f>
        <v>14:13:58.273</v>
      </c>
      <c r="B1416" t="s">
        <v>108</v>
      </c>
      <c r="C1416" t="str">
        <f t="shared" si="64"/>
        <v>ffdfd3c0</v>
      </c>
      <c r="D1416" t="s">
        <v>109</v>
      </c>
      <c r="E1416">
        <v>4</v>
      </c>
      <c r="F1416">
        <v>1004</v>
      </c>
      <c r="G1416" t="s">
        <v>110</v>
      </c>
      <c r="J1416" t="s">
        <v>111</v>
      </c>
      <c r="K1416">
        <v>0</v>
      </c>
      <c r="L1416">
        <v>3</v>
      </c>
      <c r="M1416">
        <v>0</v>
      </c>
      <c r="N1416">
        <v>2</v>
      </c>
      <c r="O1416">
        <v>1</v>
      </c>
      <c r="P1416">
        <v>0</v>
      </c>
      <c r="Q1416">
        <v>0</v>
      </c>
      <c r="R1416" t="s">
        <v>112</v>
      </c>
      <c r="S1416" t="str">
        <f>"14:13:58.086"</f>
        <v>14:13:58.086</v>
      </c>
      <c r="T1416" t="str">
        <f>"14:13:57.586"</f>
        <v>14:13:57.586</v>
      </c>
      <c r="U1416" t="str">
        <f t="shared" si="66"/>
        <v>ad5732</v>
      </c>
      <c r="V1416">
        <v>0</v>
      </c>
      <c r="W1416">
        <v>0</v>
      </c>
      <c r="X1416">
        <v>1</v>
      </c>
      <c r="Z1416">
        <v>0</v>
      </c>
      <c r="AA1416">
        <v>9</v>
      </c>
      <c r="AB1416">
        <v>3</v>
      </c>
      <c r="AC1416">
        <v>0</v>
      </c>
      <c r="AD1416">
        <v>10</v>
      </c>
      <c r="AE1416">
        <v>0</v>
      </c>
      <c r="AF1416">
        <v>3</v>
      </c>
      <c r="AG1416">
        <v>2</v>
      </c>
      <c r="AH1416">
        <v>0</v>
      </c>
      <c r="AI1416" t="s">
        <v>2935</v>
      </c>
      <c r="AJ1416">
        <v>39.602772999999999</v>
      </c>
      <c r="AK1416" t="s">
        <v>2936</v>
      </c>
      <c r="AL1416">
        <v>-76.460487999999998</v>
      </c>
      <c r="AM1416">
        <v>100</v>
      </c>
      <c r="AN1416">
        <v>8600</v>
      </c>
      <c r="AO1416" t="s">
        <v>115</v>
      </c>
      <c r="AP1416">
        <v>173</v>
      </c>
      <c r="AQ1416">
        <v>86</v>
      </c>
      <c r="AR1416">
        <v>-1024</v>
      </c>
      <c r="AZ1416">
        <v>3614</v>
      </c>
      <c r="BA1416">
        <v>1</v>
      </c>
      <c r="BB1416" t="str">
        <f t="shared" si="65"/>
        <v xml:space="preserve">N959MJ  </v>
      </c>
      <c r="BC1416">
        <v>1</v>
      </c>
      <c r="BE1416">
        <v>0</v>
      </c>
      <c r="BF1416">
        <v>0</v>
      </c>
      <c r="BG1416">
        <v>0</v>
      </c>
      <c r="BH1416">
        <v>8900</v>
      </c>
      <c r="BI1416">
        <v>300</v>
      </c>
      <c r="BJ1416">
        <v>1</v>
      </c>
      <c r="BK1416">
        <v>1</v>
      </c>
      <c r="BL1416">
        <v>1</v>
      </c>
      <c r="BM1416">
        <v>0</v>
      </c>
      <c r="BP1416">
        <v>0</v>
      </c>
      <c r="BQ1416">
        <v>0</v>
      </c>
      <c r="BX1416" t="str">
        <f>"14:13:58.086"</f>
        <v>14:13:58.086</v>
      </c>
      <c r="BY1416" t="str">
        <f>"089639942"</f>
        <v>089639942</v>
      </c>
      <c r="CL1416">
        <v>0</v>
      </c>
      <c r="CM1416">
        <v>2</v>
      </c>
      <c r="CN1416">
        <v>0</v>
      </c>
      <c r="CO1416">
        <v>2</v>
      </c>
      <c r="CP1416">
        <v>0</v>
      </c>
      <c r="CQ1416">
        <v>7</v>
      </c>
      <c r="CR1416" t="s">
        <v>116</v>
      </c>
      <c r="CS1416">
        <v>396</v>
      </c>
      <c r="CT1416">
        <v>2</v>
      </c>
      <c r="CU1416" t="s">
        <v>939</v>
      </c>
      <c r="CV1416" t="s">
        <v>940</v>
      </c>
      <c r="CY1416">
        <v>5242845</v>
      </c>
      <c r="CZ1416" t="s">
        <v>119</v>
      </c>
    </row>
    <row r="1417" spans="1:104" x14ac:dyDescent="0.25">
      <c r="A1417" t="str">
        <f>"14:13:59.430"</f>
        <v>14:13:59.430</v>
      </c>
      <c r="B1417" t="s">
        <v>108</v>
      </c>
      <c r="C1417" t="str">
        <f t="shared" si="64"/>
        <v>ffdfd3c0</v>
      </c>
      <c r="D1417" t="s">
        <v>109</v>
      </c>
      <c r="E1417">
        <v>4</v>
      </c>
      <c r="F1417">
        <v>1004</v>
      </c>
      <c r="G1417" t="s">
        <v>110</v>
      </c>
      <c r="J1417" t="s">
        <v>111</v>
      </c>
      <c r="K1417">
        <v>0</v>
      </c>
      <c r="L1417">
        <v>3</v>
      </c>
      <c r="M1417">
        <v>0</v>
      </c>
      <c r="N1417">
        <v>2</v>
      </c>
      <c r="O1417">
        <v>1</v>
      </c>
      <c r="P1417">
        <v>0</v>
      </c>
      <c r="Q1417">
        <v>0</v>
      </c>
      <c r="R1417" t="s">
        <v>112</v>
      </c>
      <c r="S1417" t="str">
        <f>"14:13:59.250"</f>
        <v>14:13:59.250</v>
      </c>
      <c r="T1417" t="str">
        <f>"14:13:58.750"</f>
        <v>14:13:58.750</v>
      </c>
      <c r="U1417" t="str">
        <f t="shared" si="66"/>
        <v>ad5732</v>
      </c>
      <c r="V1417">
        <v>0</v>
      </c>
      <c r="W1417">
        <v>0</v>
      </c>
      <c r="X1417">
        <v>1</v>
      </c>
      <c r="Z1417">
        <v>0</v>
      </c>
      <c r="AA1417">
        <v>9</v>
      </c>
      <c r="AB1417">
        <v>3</v>
      </c>
      <c r="AC1417">
        <v>0</v>
      </c>
      <c r="AD1417">
        <v>10</v>
      </c>
      <c r="AE1417">
        <v>0</v>
      </c>
      <c r="AF1417">
        <v>3</v>
      </c>
      <c r="AG1417">
        <v>2</v>
      </c>
      <c r="AH1417">
        <v>0</v>
      </c>
      <c r="AI1417" t="s">
        <v>2937</v>
      </c>
      <c r="AJ1417">
        <v>39.603202000000003</v>
      </c>
      <c r="AK1417" t="s">
        <v>2938</v>
      </c>
      <c r="AL1417">
        <v>-76.459350999999998</v>
      </c>
      <c r="AM1417">
        <v>100</v>
      </c>
      <c r="AN1417">
        <v>8600</v>
      </c>
      <c r="AO1417" t="s">
        <v>115</v>
      </c>
      <c r="AP1417">
        <v>174</v>
      </c>
      <c r="AQ1417">
        <v>85</v>
      </c>
      <c r="AR1417">
        <v>-1024</v>
      </c>
      <c r="AZ1417">
        <v>3614</v>
      </c>
      <c r="BA1417">
        <v>1</v>
      </c>
      <c r="BB1417" t="str">
        <f t="shared" si="65"/>
        <v xml:space="preserve">N959MJ  </v>
      </c>
      <c r="BC1417">
        <v>1</v>
      </c>
      <c r="BE1417">
        <v>0</v>
      </c>
      <c r="BF1417">
        <v>0</v>
      </c>
      <c r="BG1417">
        <v>0</v>
      </c>
      <c r="BH1417">
        <v>8900</v>
      </c>
      <c r="BI1417">
        <v>300</v>
      </c>
      <c r="BJ1417">
        <v>1</v>
      </c>
      <c r="BK1417">
        <v>1</v>
      </c>
      <c r="BL1417">
        <v>1</v>
      </c>
      <c r="BM1417">
        <v>0</v>
      </c>
      <c r="BP1417">
        <v>0</v>
      </c>
      <c r="BQ1417">
        <v>0</v>
      </c>
      <c r="BX1417" t="str">
        <f>"14:13:59.258"</f>
        <v>14:13:59.258</v>
      </c>
      <c r="BY1417" t="str">
        <f>"254561759"</f>
        <v>254561759</v>
      </c>
      <c r="CL1417">
        <v>0</v>
      </c>
      <c r="CM1417">
        <v>2</v>
      </c>
      <c r="CN1417">
        <v>0</v>
      </c>
      <c r="CO1417">
        <v>2</v>
      </c>
      <c r="CP1417">
        <v>0</v>
      </c>
      <c r="CQ1417">
        <v>7</v>
      </c>
      <c r="CR1417" t="s">
        <v>116</v>
      </c>
      <c r="CS1417">
        <v>396</v>
      </c>
      <c r="CT1417">
        <v>2</v>
      </c>
      <c r="CU1417" t="s">
        <v>939</v>
      </c>
      <c r="CV1417" t="s">
        <v>940</v>
      </c>
      <c r="CY1417">
        <v>5244861</v>
      </c>
      <c r="CZ1417" t="s">
        <v>119</v>
      </c>
    </row>
    <row r="1418" spans="1:104" x14ac:dyDescent="0.25">
      <c r="A1418" t="str">
        <f>"14:14:00.391"</f>
        <v>14:14:00.391</v>
      </c>
      <c r="B1418" t="s">
        <v>108</v>
      </c>
      <c r="C1418" t="str">
        <f t="shared" ref="C1418:C1481" si="67">"ffdfd3c0"</f>
        <v>ffdfd3c0</v>
      </c>
      <c r="D1418" t="s">
        <v>109</v>
      </c>
      <c r="E1418">
        <v>4</v>
      </c>
      <c r="F1418">
        <v>1004</v>
      </c>
      <c r="G1418" t="s">
        <v>110</v>
      </c>
      <c r="J1418" t="s">
        <v>111</v>
      </c>
      <c r="K1418">
        <v>0</v>
      </c>
      <c r="L1418">
        <v>3</v>
      </c>
      <c r="M1418">
        <v>0</v>
      </c>
      <c r="N1418">
        <v>2</v>
      </c>
      <c r="O1418">
        <v>1</v>
      </c>
      <c r="P1418">
        <v>0</v>
      </c>
      <c r="Q1418">
        <v>0</v>
      </c>
      <c r="R1418" t="s">
        <v>112</v>
      </c>
      <c r="S1418" t="str">
        <f>"14:14:00.195"</f>
        <v>14:14:00.195</v>
      </c>
      <c r="T1418" t="str">
        <f>"14:13:59.695"</f>
        <v>14:13:59.695</v>
      </c>
      <c r="U1418" t="str">
        <f t="shared" si="66"/>
        <v>ad5732</v>
      </c>
      <c r="V1418">
        <v>0</v>
      </c>
      <c r="W1418">
        <v>0</v>
      </c>
      <c r="X1418">
        <v>1</v>
      </c>
      <c r="Z1418">
        <v>0</v>
      </c>
      <c r="AA1418">
        <v>9</v>
      </c>
      <c r="AB1418">
        <v>3</v>
      </c>
      <c r="AC1418">
        <v>0</v>
      </c>
      <c r="AD1418">
        <v>10</v>
      </c>
      <c r="AE1418">
        <v>0</v>
      </c>
      <c r="AF1418">
        <v>3</v>
      </c>
      <c r="AG1418">
        <v>2</v>
      </c>
      <c r="AH1418">
        <v>0</v>
      </c>
      <c r="AI1418" t="s">
        <v>2939</v>
      </c>
      <c r="AJ1418">
        <v>39.603566999999998</v>
      </c>
      <c r="AK1418" t="s">
        <v>2940</v>
      </c>
      <c r="AL1418">
        <v>-76.458256000000006</v>
      </c>
      <c r="AM1418">
        <v>100</v>
      </c>
      <c r="AN1418">
        <v>8600</v>
      </c>
      <c r="AO1418" t="s">
        <v>115</v>
      </c>
      <c r="AP1418">
        <v>176</v>
      </c>
      <c r="AQ1418">
        <v>85</v>
      </c>
      <c r="AR1418">
        <v>-1024</v>
      </c>
      <c r="AZ1418">
        <v>3614</v>
      </c>
      <c r="BA1418">
        <v>1</v>
      </c>
      <c r="BB1418" t="str">
        <f t="shared" ref="BB1418:BB1481" si="68">"N959MJ  "</f>
        <v xml:space="preserve">N959MJ  </v>
      </c>
      <c r="BC1418">
        <v>1</v>
      </c>
      <c r="BE1418">
        <v>0</v>
      </c>
      <c r="BF1418">
        <v>0</v>
      </c>
      <c r="BG1418">
        <v>0</v>
      </c>
      <c r="BH1418">
        <v>8875</v>
      </c>
      <c r="BI1418">
        <v>275</v>
      </c>
      <c r="BJ1418">
        <v>1</v>
      </c>
      <c r="BK1418">
        <v>1</v>
      </c>
      <c r="BL1418">
        <v>1</v>
      </c>
      <c r="BM1418">
        <v>0</v>
      </c>
      <c r="BP1418">
        <v>0</v>
      </c>
      <c r="BQ1418">
        <v>0</v>
      </c>
      <c r="BX1418" t="str">
        <f>"14:14:00.195"</f>
        <v>14:14:00.195</v>
      </c>
      <c r="BY1418" t="str">
        <f>"196657513"</f>
        <v>196657513</v>
      </c>
      <c r="CL1418">
        <v>0</v>
      </c>
      <c r="CM1418">
        <v>2</v>
      </c>
      <c r="CN1418">
        <v>0</v>
      </c>
      <c r="CO1418">
        <v>2</v>
      </c>
      <c r="CP1418">
        <v>0</v>
      </c>
      <c r="CQ1418">
        <v>7</v>
      </c>
      <c r="CR1418" t="s">
        <v>116</v>
      </c>
      <c r="CS1418">
        <v>396</v>
      </c>
      <c r="CT1418">
        <v>2</v>
      </c>
      <c r="CU1418" t="s">
        <v>939</v>
      </c>
      <c r="CV1418" t="s">
        <v>940</v>
      </c>
      <c r="CY1418">
        <v>5246505</v>
      </c>
      <c r="CZ1418" t="s">
        <v>119</v>
      </c>
    </row>
    <row r="1419" spans="1:104" x14ac:dyDescent="0.25">
      <c r="A1419" t="str">
        <f>"14:14:01.453"</f>
        <v>14:14:01.453</v>
      </c>
      <c r="B1419" t="s">
        <v>108</v>
      </c>
      <c r="C1419" t="str">
        <f t="shared" si="67"/>
        <v>ffdfd3c0</v>
      </c>
      <c r="D1419" t="s">
        <v>109</v>
      </c>
      <c r="E1419">
        <v>4</v>
      </c>
      <c r="F1419">
        <v>1004</v>
      </c>
      <c r="G1419" t="s">
        <v>110</v>
      </c>
      <c r="J1419" t="s">
        <v>111</v>
      </c>
      <c r="K1419">
        <v>0</v>
      </c>
      <c r="L1419">
        <v>3</v>
      </c>
      <c r="M1419">
        <v>0</v>
      </c>
      <c r="N1419">
        <v>2</v>
      </c>
      <c r="O1419">
        <v>1</v>
      </c>
      <c r="P1419">
        <v>0</v>
      </c>
      <c r="Q1419">
        <v>0</v>
      </c>
      <c r="R1419" t="s">
        <v>112</v>
      </c>
      <c r="S1419" t="str">
        <f>"14:14:01.273"</f>
        <v>14:14:01.273</v>
      </c>
      <c r="T1419" t="str">
        <f>"14:14:00.273"</f>
        <v>14:14:00.273</v>
      </c>
      <c r="U1419" t="str">
        <f t="shared" si="66"/>
        <v>ad5732</v>
      </c>
      <c r="V1419">
        <v>0</v>
      </c>
      <c r="W1419">
        <v>0</v>
      </c>
      <c r="X1419">
        <v>1</v>
      </c>
      <c r="Z1419">
        <v>0</v>
      </c>
      <c r="AA1419">
        <v>9</v>
      </c>
      <c r="AB1419">
        <v>3</v>
      </c>
      <c r="AC1419">
        <v>0</v>
      </c>
      <c r="AD1419">
        <v>10</v>
      </c>
      <c r="AE1419">
        <v>0</v>
      </c>
      <c r="AF1419">
        <v>3</v>
      </c>
      <c r="AG1419">
        <v>2</v>
      </c>
      <c r="AH1419">
        <v>0</v>
      </c>
      <c r="AI1419" t="s">
        <v>2941</v>
      </c>
      <c r="AJ1419">
        <v>39.603996000000002</v>
      </c>
      <c r="AK1419" t="s">
        <v>2942</v>
      </c>
      <c r="AL1419">
        <v>-76.457205000000002</v>
      </c>
      <c r="AM1419">
        <v>100</v>
      </c>
      <c r="AN1419">
        <v>8500</v>
      </c>
      <c r="AO1419" t="s">
        <v>115</v>
      </c>
      <c r="AP1419">
        <v>176</v>
      </c>
      <c r="AQ1419">
        <v>85</v>
      </c>
      <c r="AR1419">
        <v>-1024</v>
      </c>
      <c r="AZ1419">
        <v>3614</v>
      </c>
      <c r="BA1419">
        <v>1</v>
      </c>
      <c r="BB1419" t="str">
        <f t="shared" si="68"/>
        <v xml:space="preserve">N959MJ  </v>
      </c>
      <c r="BC1419">
        <v>1</v>
      </c>
      <c r="BE1419">
        <v>0</v>
      </c>
      <c r="BF1419">
        <v>0</v>
      </c>
      <c r="BG1419">
        <v>0</v>
      </c>
      <c r="BH1419">
        <v>8875</v>
      </c>
      <c r="BI1419">
        <v>375</v>
      </c>
      <c r="BJ1419">
        <v>1</v>
      </c>
      <c r="BK1419">
        <v>1</v>
      </c>
      <c r="BL1419">
        <v>1</v>
      </c>
      <c r="BM1419">
        <v>0</v>
      </c>
      <c r="BP1419">
        <v>0</v>
      </c>
      <c r="BQ1419">
        <v>0</v>
      </c>
      <c r="BX1419" t="str">
        <f>"14:14:01.281"</f>
        <v>14:14:01.281</v>
      </c>
      <c r="BY1419" t="str">
        <f>"279657959"</f>
        <v>279657959</v>
      </c>
      <c r="CL1419">
        <v>0</v>
      </c>
      <c r="CM1419">
        <v>2</v>
      </c>
      <c r="CN1419">
        <v>0</v>
      </c>
      <c r="CO1419">
        <v>2</v>
      </c>
      <c r="CP1419">
        <v>0</v>
      </c>
      <c r="CQ1419">
        <v>7</v>
      </c>
      <c r="CR1419" t="s">
        <v>116</v>
      </c>
      <c r="CS1419">
        <v>396</v>
      </c>
      <c r="CT1419">
        <v>2</v>
      </c>
      <c r="CU1419" t="s">
        <v>939</v>
      </c>
      <c r="CV1419" t="s">
        <v>940</v>
      </c>
      <c r="CY1419">
        <v>5248637</v>
      </c>
      <c r="CZ1419" t="s">
        <v>119</v>
      </c>
    </row>
    <row r="1420" spans="1:104" x14ac:dyDescent="0.25">
      <c r="A1420" t="str">
        <f>"14:14:02.313"</f>
        <v>14:14:02.313</v>
      </c>
      <c r="B1420" t="s">
        <v>108</v>
      </c>
      <c r="C1420" t="str">
        <f t="shared" si="67"/>
        <v>ffdfd3c0</v>
      </c>
      <c r="D1420" t="s">
        <v>109</v>
      </c>
      <c r="E1420">
        <v>4</v>
      </c>
      <c r="F1420">
        <v>1004</v>
      </c>
      <c r="G1420" t="s">
        <v>110</v>
      </c>
      <c r="J1420" t="s">
        <v>111</v>
      </c>
      <c r="K1420">
        <v>0</v>
      </c>
      <c r="L1420">
        <v>3</v>
      </c>
      <c r="M1420">
        <v>0</v>
      </c>
      <c r="N1420">
        <v>2</v>
      </c>
      <c r="O1420">
        <v>1</v>
      </c>
      <c r="P1420">
        <v>0</v>
      </c>
      <c r="Q1420">
        <v>0</v>
      </c>
      <c r="R1420" t="s">
        <v>112</v>
      </c>
      <c r="S1420" t="str">
        <f>"14:14:02.094"</f>
        <v>14:14:02.094</v>
      </c>
      <c r="T1420" t="str">
        <f>"14:14:01.695"</f>
        <v>14:14:01.695</v>
      </c>
      <c r="U1420" t="str">
        <f t="shared" si="66"/>
        <v>ad5732</v>
      </c>
      <c r="V1420">
        <v>0</v>
      </c>
      <c r="W1420">
        <v>0</v>
      </c>
      <c r="X1420">
        <v>1</v>
      </c>
      <c r="Z1420">
        <v>0</v>
      </c>
      <c r="AA1420">
        <v>9</v>
      </c>
      <c r="AB1420">
        <v>3</v>
      </c>
      <c r="AC1420">
        <v>0</v>
      </c>
      <c r="AD1420">
        <v>10</v>
      </c>
      <c r="AE1420">
        <v>0</v>
      </c>
      <c r="AF1420">
        <v>3</v>
      </c>
      <c r="AG1420">
        <v>2</v>
      </c>
      <c r="AH1420">
        <v>0</v>
      </c>
      <c r="AI1420" t="s">
        <v>2943</v>
      </c>
      <c r="AJ1420">
        <v>39.604340000000001</v>
      </c>
      <c r="AK1420" t="s">
        <v>2944</v>
      </c>
      <c r="AL1420">
        <v>-76.456238999999997</v>
      </c>
      <c r="AM1420">
        <v>100</v>
      </c>
      <c r="AN1420">
        <v>8500</v>
      </c>
      <c r="AO1420" t="s">
        <v>115</v>
      </c>
      <c r="AP1420">
        <v>178</v>
      </c>
      <c r="AQ1420">
        <v>85</v>
      </c>
      <c r="AR1420">
        <v>-1024</v>
      </c>
      <c r="AZ1420">
        <v>3614</v>
      </c>
      <c r="BA1420">
        <v>1</v>
      </c>
      <c r="BB1420" t="str">
        <f t="shared" si="68"/>
        <v xml:space="preserve">N959MJ  </v>
      </c>
      <c r="BC1420">
        <v>1</v>
      </c>
      <c r="BE1420">
        <v>0</v>
      </c>
      <c r="BF1420">
        <v>0</v>
      </c>
      <c r="BG1420">
        <v>0</v>
      </c>
      <c r="BH1420">
        <v>8850</v>
      </c>
      <c r="BI1420">
        <v>350</v>
      </c>
      <c r="BJ1420">
        <v>1</v>
      </c>
      <c r="BK1420">
        <v>1</v>
      </c>
      <c r="BL1420">
        <v>1</v>
      </c>
      <c r="BM1420">
        <v>0</v>
      </c>
      <c r="BP1420">
        <v>0</v>
      </c>
      <c r="BQ1420">
        <v>0</v>
      </c>
      <c r="BX1420" t="str">
        <f>"14:14:02.102"</f>
        <v>14:14:02.102</v>
      </c>
      <c r="BY1420" t="str">
        <f>"100510054"</f>
        <v>100510054</v>
      </c>
      <c r="CL1420">
        <v>0</v>
      </c>
      <c r="CM1420">
        <v>2</v>
      </c>
      <c r="CN1420">
        <v>0</v>
      </c>
      <c r="CO1420">
        <v>2</v>
      </c>
      <c r="CP1420">
        <v>0</v>
      </c>
      <c r="CQ1420">
        <v>7</v>
      </c>
      <c r="CR1420" t="s">
        <v>116</v>
      </c>
      <c r="CS1420">
        <v>396</v>
      </c>
      <c r="CT1420">
        <v>2</v>
      </c>
      <c r="CU1420" t="s">
        <v>939</v>
      </c>
      <c r="CV1420" t="s">
        <v>940</v>
      </c>
      <c r="CY1420">
        <v>5250101</v>
      </c>
      <c r="CZ1420" t="s">
        <v>119</v>
      </c>
    </row>
    <row r="1421" spans="1:104" x14ac:dyDescent="0.25">
      <c r="A1421" t="str">
        <f>"14:14:03.219"</f>
        <v>14:14:03.219</v>
      </c>
      <c r="B1421" t="s">
        <v>108</v>
      </c>
      <c r="C1421" t="str">
        <f t="shared" si="67"/>
        <v>ffdfd3c0</v>
      </c>
      <c r="D1421" t="s">
        <v>109</v>
      </c>
      <c r="E1421">
        <v>4</v>
      </c>
      <c r="F1421">
        <v>1004</v>
      </c>
      <c r="G1421" t="s">
        <v>110</v>
      </c>
      <c r="J1421" t="s">
        <v>111</v>
      </c>
      <c r="K1421">
        <v>0</v>
      </c>
      <c r="L1421">
        <v>3</v>
      </c>
      <c r="M1421">
        <v>0</v>
      </c>
      <c r="N1421">
        <v>2</v>
      </c>
      <c r="O1421">
        <v>1</v>
      </c>
      <c r="P1421">
        <v>0</v>
      </c>
      <c r="Q1421">
        <v>0</v>
      </c>
      <c r="R1421" t="s">
        <v>112</v>
      </c>
      <c r="S1421" t="str">
        <f>"14:14:03.016"</f>
        <v>14:14:03.016</v>
      </c>
      <c r="T1421" t="str">
        <f>"14:14:02.516"</f>
        <v>14:14:02.516</v>
      </c>
      <c r="U1421" t="str">
        <f t="shared" si="66"/>
        <v>ad5732</v>
      </c>
      <c r="V1421">
        <v>0</v>
      </c>
      <c r="W1421">
        <v>0</v>
      </c>
      <c r="X1421">
        <v>1</v>
      </c>
      <c r="Z1421">
        <v>0</v>
      </c>
      <c r="AA1421">
        <v>9</v>
      </c>
      <c r="AB1421">
        <v>3</v>
      </c>
      <c r="AC1421">
        <v>0</v>
      </c>
      <c r="AD1421">
        <v>10</v>
      </c>
      <c r="AE1421">
        <v>0</v>
      </c>
      <c r="AF1421">
        <v>3</v>
      </c>
      <c r="AG1421">
        <v>2</v>
      </c>
      <c r="AH1421">
        <v>0</v>
      </c>
      <c r="AI1421" t="s">
        <v>2945</v>
      </c>
      <c r="AJ1421">
        <v>39.604683000000001</v>
      </c>
      <c r="AK1421" t="s">
        <v>2946</v>
      </c>
      <c r="AL1421">
        <v>-76.455316999999994</v>
      </c>
      <c r="AM1421">
        <v>100</v>
      </c>
      <c r="AN1421">
        <v>8500</v>
      </c>
      <c r="AO1421" t="s">
        <v>115</v>
      </c>
      <c r="AP1421">
        <v>178</v>
      </c>
      <c r="AQ1421">
        <v>84</v>
      </c>
      <c r="AR1421">
        <v>-1024</v>
      </c>
      <c r="AZ1421">
        <v>3614</v>
      </c>
      <c r="BA1421">
        <v>1</v>
      </c>
      <c r="BB1421" t="str">
        <f t="shared" si="68"/>
        <v xml:space="preserve">N959MJ  </v>
      </c>
      <c r="BC1421">
        <v>1</v>
      </c>
      <c r="BE1421">
        <v>0</v>
      </c>
      <c r="BF1421">
        <v>0</v>
      </c>
      <c r="BG1421">
        <v>0</v>
      </c>
      <c r="BH1421">
        <v>8825</v>
      </c>
      <c r="BI1421">
        <v>325</v>
      </c>
      <c r="BJ1421">
        <v>1</v>
      </c>
      <c r="BK1421">
        <v>1</v>
      </c>
      <c r="BL1421">
        <v>1</v>
      </c>
      <c r="BM1421">
        <v>0</v>
      </c>
      <c r="BP1421">
        <v>0</v>
      </c>
      <c r="BQ1421">
        <v>0</v>
      </c>
      <c r="BX1421" t="str">
        <f>"14:14:03.023"</f>
        <v>14:14:03.023</v>
      </c>
      <c r="BY1421" t="str">
        <f>"022944581"</f>
        <v>022944581</v>
      </c>
      <c r="CL1421">
        <v>0</v>
      </c>
      <c r="CM1421">
        <v>2</v>
      </c>
      <c r="CN1421">
        <v>0</v>
      </c>
      <c r="CO1421">
        <v>2</v>
      </c>
      <c r="CP1421">
        <v>0</v>
      </c>
      <c r="CQ1421">
        <v>7</v>
      </c>
      <c r="CR1421" t="s">
        <v>116</v>
      </c>
      <c r="CS1421">
        <v>396</v>
      </c>
      <c r="CT1421">
        <v>2</v>
      </c>
      <c r="CU1421" t="s">
        <v>939</v>
      </c>
      <c r="CV1421" t="s">
        <v>940</v>
      </c>
      <c r="CY1421">
        <v>5251760</v>
      </c>
      <c r="CZ1421" t="s">
        <v>119</v>
      </c>
    </row>
    <row r="1422" spans="1:104" x14ac:dyDescent="0.25">
      <c r="A1422" t="str">
        <f>"14:14:04.227"</f>
        <v>14:14:04.227</v>
      </c>
      <c r="B1422" t="s">
        <v>108</v>
      </c>
      <c r="C1422" t="str">
        <f t="shared" si="67"/>
        <v>ffdfd3c0</v>
      </c>
      <c r="D1422" t="s">
        <v>109</v>
      </c>
      <c r="E1422">
        <v>4</v>
      </c>
      <c r="F1422">
        <v>1004</v>
      </c>
      <c r="G1422" t="s">
        <v>110</v>
      </c>
      <c r="J1422" t="s">
        <v>111</v>
      </c>
      <c r="K1422">
        <v>0</v>
      </c>
      <c r="L1422">
        <v>3</v>
      </c>
      <c r="M1422">
        <v>0</v>
      </c>
      <c r="N1422">
        <v>2</v>
      </c>
      <c r="O1422">
        <v>1</v>
      </c>
      <c r="P1422">
        <v>0</v>
      </c>
      <c r="Q1422">
        <v>0</v>
      </c>
      <c r="R1422" t="s">
        <v>112</v>
      </c>
      <c r="S1422" t="str">
        <f>"14:14:04.047"</f>
        <v>14:14:04.047</v>
      </c>
      <c r="T1422" t="str">
        <f>"14:14:03.547"</f>
        <v>14:14:03.547</v>
      </c>
      <c r="U1422" t="str">
        <f t="shared" si="66"/>
        <v>ad5732</v>
      </c>
      <c r="V1422">
        <v>0</v>
      </c>
      <c r="W1422">
        <v>0</v>
      </c>
      <c r="X1422">
        <v>1</v>
      </c>
      <c r="Z1422">
        <v>0</v>
      </c>
      <c r="AA1422">
        <v>9</v>
      </c>
      <c r="AB1422">
        <v>3</v>
      </c>
      <c r="AC1422">
        <v>0</v>
      </c>
      <c r="AD1422">
        <v>10</v>
      </c>
      <c r="AE1422">
        <v>0</v>
      </c>
      <c r="AF1422">
        <v>3</v>
      </c>
      <c r="AG1422">
        <v>2</v>
      </c>
      <c r="AH1422">
        <v>0</v>
      </c>
      <c r="AI1422" t="s">
        <v>2947</v>
      </c>
      <c r="AJ1422">
        <v>39.605069</v>
      </c>
      <c r="AK1422" t="s">
        <v>2948</v>
      </c>
      <c r="AL1422">
        <v>-76.454222000000001</v>
      </c>
      <c r="AM1422">
        <v>100</v>
      </c>
      <c r="AN1422">
        <v>8500</v>
      </c>
      <c r="AO1422" t="s">
        <v>115</v>
      </c>
      <c r="AP1422">
        <v>179</v>
      </c>
      <c r="AQ1422">
        <v>84</v>
      </c>
      <c r="AR1422">
        <v>-1024</v>
      </c>
      <c r="AZ1422">
        <v>3614</v>
      </c>
      <c r="BA1422">
        <v>1</v>
      </c>
      <c r="BB1422" t="str">
        <f t="shared" si="68"/>
        <v xml:space="preserve">N959MJ  </v>
      </c>
      <c r="BC1422">
        <v>1</v>
      </c>
      <c r="BE1422">
        <v>0</v>
      </c>
      <c r="BF1422">
        <v>0</v>
      </c>
      <c r="BG1422">
        <v>0</v>
      </c>
      <c r="BH1422">
        <v>8800</v>
      </c>
      <c r="BI1422">
        <v>300</v>
      </c>
      <c r="BJ1422">
        <v>1</v>
      </c>
      <c r="BK1422">
        <v>1</v>
      </c>
      <c r="BL1422">
        <v>1</v>
      </c>
      <c r="BM1422">
        <v>0</v>
      </c>
      <c r="BP1422">
        <v>0</v>
      </c>
      <c r="BQ1422">
        <v>0</v>
      </c>
      <c r="BX1422" t="str">
        <f>"14:14:04.055"</f>
        <v>14:14:04.055</v>
      </c>
      <c r="BY1422" t="str">
        <f>"051876934"</f>
        <v>051876934</v>
      </c>
      <c r="CL1422">
        <v>0</v>
      </c>
      <c r="CM1422">
        <v>2</v>
      </c>
      <c r="CN1422">
        <v>0</v>
      </c>
      <c r="CO1422">
        <v>2</v>
      </c>
      <c r="CP1422">
        <v>0</v>
      </c>
      <c r="CQ1422">
        <v>7</v>
      </c>
      <c r="CR1422" t="s">
        <v>116</v>
      </c>
      <c r="CS1422">
        <v>396</v>
      </c>
      <c r="CT1422">
        <v>2</v>
      </c>
      <c r="CU1422" t="s">
        <v>939</v>
      </c>
      <c r="CV1422" t="s">
        <v>940</v>
      </c>
      <c r="CY1422">
        <v>5253553</v>
      </c>
      <c r="CZ1422" t="s">
        <v>119</v>
      </c>
    </row>
    <row r="1423" spans="1:104" x14ac:dyDescent="0.25">
      <c r="A1423" t="str">
        <f>"14:14:05.289"</f>
        <v>14:14:05.289</v>
      </c>
      <c r="B1423" t="s">
        <v>108</v>
      </c>
      <c r="C1423" t="str">
        <f t="shared" si="67"/>
        <v>ffdfd3c0</v>
      </c>
      <c r="D1423" t="s">
        <v>109</v>
      </c>
      <c r="E1423">
        <v>4</v>
      </c>
      <c r="F1423">
        <v>1004</v>
      </c>
      <c r="G1423" t="s">
        <v>110</v>
      </c>
      <c r="J1423" t="s">
        <v>111</v>
      </c>
      <c r="K1423">
        <v>0</v>
      </c>
      <c r="L1423">
        <v>3</v>
      </c>
      <c r="M1423">
        <v>0</v>
      </c>
      <c r="N1423">
        <v>2</v>
      </c>
      <c r="O1423">
        <v>1</v>
      </c>
      <c r="P1423">
        <v>0</v>
      </c>
      <c r="Q1423">
        <v>0</v>
      </c>
      <c r="R1423" t="s">
        <v>112</v>
      </c>
      <c r="S1423" t="str">
        <f>"14:14:05.133"</f>
        <v>14:14:05.133</v>
      </c>
      <c r="T1423" t="str">
        <f>"14:14:04.633"</f>
        <v>14:14:04.633</v>
      </c>
      <c r="U1423" t="str">
        <f t="shared" si="66"/>
        <v>ad5732</v>
      </c>
      <c r="V1423">
        <v>0</v>
      </c>
      <c r="W1423">
        <v>0</v>
      </c>
      <c r="X1423">
        <v>1</v>
      </c>
      <c r="Z1423">
        <v>0</v>
      </c>
      <c r="AA1423">
        <v>9</v>
      </c>
      <c r="AB1423">
        <v>3</v>
      </c>
      <c r="AC1423">
        <v>0</v>
      </c>
      <c r="AD1423">
        <v>10</v>
      </c>
      <c r="AE1423">
        <v>0</v>
      </c>
      <c r="AF1423">
        <v>3</v>
      </c>
      <c r="AG1423">
        <v>2</v>
      </c>
      <c r="AH1423">
        <v>0</v>
      </c>
      <c r="AI1423" t="s">
        <v>2949</v>
      </c>
      <c r="AJ1423">
        <v>39.605477</v>
      </c>
      <c r="AK1423" t="s">
        <v>2950</v>
      </c>
      <c r="AL1423">
        <v>-76.453021000000007</v>
      </c>
      <c r="AM1423">
        <v>100</v>
      </c>
      <c r="AN1423">
        <v>8500</v>
      </c>
      <c r="AO1423" t="s">
        <v>115</v>
      </c>
      <c r="AP1423">
        <v>180</v>
      </c>
      <c r="AQ1423">
        <v>84</v>
      </c>
      <c r="AR1423">
        <v>-1024</v>
      </c>
      <c r="AZ1423">
        <v>3614</v>
      </c>
      <c r="BA1423">
        <v>1</v>
      </c>
      <c r="BB1423" t="str">
        <f t="shared" si="68"/>
        <v xml:space="preserve">N959MJ  </v>
      </c>
      <c r="BC1423">
        <v>1</v>
      </c>
      <c r="BE1423">
        <v>0</v>
      </c>
      <c r="BF1423">
        <v>0</v>
      </c>
      <c r="BG1423">
        <v>0</v>
      </c>
      <c r="BH1423">
        <v>8800</v>
      </c>
      <c r="BI1423">
        <v>300</v>
      </c>
      <c r="BJ1423">
        <v>1</v>
      </c>
      <c r="BK1423">
        <v>1</v>
      </c>
      <c r="BL1423">
        <v>1</v>
      </c>
      <c r="BM1423">
        <v>0</v>
      </c>
      <c r="BP1423">
        <v>0</v>
      </c>
      <c r="BQ1423">
        <v>0</v>
      </c>
      <c r="BX1423" t="str">
        <f>"14:14:05.133"</f>
        <v>14:14:05.133</v>
      </c>
      <c r="BY1423" t="str">
        <f>"133387557"</f>
        <v>133387557</v>
      </c>
      <c r="CL1423">
        <v>0</v>
      </c>
      <c r="CM1423">
        <v>2</v>
      </c>
      <c r="CN1423">
        <v>0</v>
      </c>
      <c r="CO1423">
        <v>2</v>
      </c>
      <c r="CP1423">
        <v>0</v>
      </c>
      <c r="CQ1423">
        <v>5</v>
      </c>
      <c r="CR1423" t="s">
        <v>116</v>
      </c>
      <c r="CS1423">
        <v>39</v>
      </c>
      <c r="CT1423">
        <v>2</v>
      </c>
      <c r="CU1423" t="s">
        <v>2259</v>
      </c>
      <c r="CV1423" t="s">
        <v>2260</v>
      </c>
      <c r="CY1423">
        <v>15574373</v>
      </c>
      <c r="CZ1423" t="s">
        <v>119</v>
      </c>
    </row>
    <row r="1424" spans="1:104" x14ac:dyDescent="0.25">
      <c r="A1424" t="str">
        <f>"14:14:06.297"</f>
        <v>14:14:06.297</v>
      </c>
      <c r="B1424" t="s">
        <v>108</v>
      </c>
      <c r="C1424" t="str">
        <f t="shared" si="67"/>
        <v>ffdfd3c0</v>
      </c>
      <c r="D1424" t="s">
        <v>109</v>
      </c>
      <c r="E1424">
        <v>4</v>
      </c>
      <c r="F1424">
        <v>1004</v>
      </c>
      <c r="G1424" t="s">
        <v>110</v>
      </c>
      <c r="J1424" t="s">
        <v>111</v>
      </c>
      <c r="K1424">
        <v>0</v>
      </c>
      <c r="L1424">
        <v>3</v>
      </c>
      <c r="M1424">
        <v>0</v>
      </c>
      <c r="N1424">
        <v>2</v>
      </c>
      <c r="O1424">
        <v>1</v>
      </c>
      <c r="P1424">
        <v>0</v>
      </c>
      <c r="Q1424">
        <v>0</v>
      </c>
      <c r="R1424" t="s">
        <v>112</v>
      </c>
      <c r="S1424" t="str">
        <f>"14:14:06.109"</f>
        <v>14:14:06.109</v>
      </c>
      <c r="T1424" t="str">
        <f>"14:14:05.711"</f>
        <v>14:14:05.711</v>
      </c>
      <c r="U1424" t="str">
        <f t="shared" si="66"/>
        <v>ad5732</v>
      </c>
      <c r="V1424">
        <v>0</v>
      </c>
      <c r="W1424">
        <v>0</v>
      </c>
      <c r="X1424">
        <v>1</v>
      </c>
      <c r="Z1424">
        <v>0</v>
      </c>
      <c r="AA1424">
        <v>9</v>
      </c>
      <c r="AB1424">
        <v>3</v>
      </c>
      <c r="AC1424">
        <v>0</v>
      </c>
      <c r="AD1424">
        <v>10</v>
      </c>
      <c r="AE1424">
        <v>0</v>
      </c>
      <c r="AF1424">
        <v>3</v>
      </c>
      <c r="AG1424">
        <v>2</v>
      </c>
      <c r="AH1424">
        <v>0</v>
      </c>
      <c r="AI1424" t="s">
        <v>2951</v>
      </c>
      <c r="AJ1424">
        <v>39.605905999999997</v>
      </c>
      <c r="AK1424" t="s">
        <v>2952</v>
      </c>
      <c r="AL1424">
        <v>-76.451948000000002</v>
      </c>
      <c r="AM1424">
        <v>100</v>
      </c>
      <c r="AN1424">
        <v>8500</v>
      </c>
      <c r="AO1424" t="s">
        <v>115</v>
      </c>
      <c r="AP1424">
        <v>181</v>
      </c>
      <c r="AQ1424">
        <v>84</v>
      </c>
      <c r="AR1424">
        <v>-960</v>
      </c>
      <c r="AZ1424">
        <v>3614</v>
      </c>
      <c r="BA1424">
        <v>1</v>
      </c>
      <c r="BB1424" t="str">
        <f t="shared" si="68"/>
        <v xml:space="preserve">N959MJ  </v>
      </c>
      <c r="BC1424">
        <v>1</v>
      </c>
      <c r="BE1424">
        <v>0</v>
      </c>
      <c r="BF1424">
        <v>0</v>
      </c>
      <c r="BG1424">
        <v>0</v>
      </c>
      <c r="BH1424">
        <v>8775</v>
      </c>
      <c r="BI1424">
        <v>275</v>
      </c>
      <c r="BJ1424">
        <v>1</v>
      </c>
      <c r="BK1424">
        <v>1</v>
      </c>
      <c r="BL1424">
        <v>1</v>
      </c>
      <c r="BM1424">
        <v>0</v>
      </c>
      <c r="BP1424">
        <v>0</v>
      </c>
      <c r="BQ1424">
        <v>0</v>
      </c>
      <c r="BX1424" t="str">
        <f>"14:14:06.109"</f>
        <v>14:14:06.109</v>
      </c>
      <c r="BY1424" t="str">
        <f>"111528360"</f>
        <v>111528360</v>
      </c>
      <c r="CL1424">
        <v>0</v>
      </c>
      <c r="CM1424">
        <v>2</v>
      </c>
      <c r="CN1424">
        <v>0</v>
      </c>
      <c r="CO1424">
        <v>2</v>
      </c>
      <c r="CP1424">
        <v>0</v>
      </c>
      <c r="CQ1424">
        <v>5</v>
      </c>
      <c r="CR1424" t="s">
        <v>116</v>
      </c>
      <c r="CS1424">
        <v>39</v>
      </c>
      <c r="CT1424">
        <v>2</v>
      </c>
      <c r="CU1424" t="s">
        <v>2259</v>
      </c>
      <c r="CV1424" t="s">
        <v>2260</v>
      </c>
      <c r="CY1424">
        <v>15576081</v>
      </c>
      <c r="CZ1424" t="s">
        <v>119</v>
      </c>
    </row>
    <row r="1425" spans="1:104" x14ac:dyDescent="0.25">
      <c r="A1425" t="str">
        <f>"14:14:07.406"</f>
        <v>14:14:07.406</v>
      </c>
      <c r="B1425" t="s">
        <v>108</v>
      </c>
      <c r="C1425" t="str">
        <f t="shared" si="67"/>
        <v>ffdfd3c0</v>
      </c>
      <c r="D1425" t="s">
        <v>109</v>
      </c>
      <c r="E1425">
        <v>4</v>
      </c>
      <c r="F1425">
        <v>1004</v>
      </c>
      <c r="G1425" t="s">
        <v>110</v>
      </c>
      <c r="J1425" t="s">
        <v>111</v>
      </c>
      <c r="K1425">
        <v>0</v>
      </c>
      <c r="L1425">
        <v>3</v>
      </c>
      <c r="M1425">
        <v>0</v>
      </c>
      <c r="N1425">
        <v>2</v>
      </c>
      <c r="O1425">
        <v>1</v>
      </c>
      <c r="P1425">
        <v>0</v>
      </c>
      <c r="Q1425">
        <v>0</v>
      </c>
      <c r="R1425" t="s">
        <v>112</v>
      </c>
      <c r="S1425" t="str">
        <f>"14:14:07.219"</f>
        <v>14:14:07.219</v>
      </c>
      <c r="T1425" t="str">
        <f>"14:14:06.719"</f>
        <v>14:14:06.719</v>
      </c>
      <c r="U1425" t="str">
        <f t="shared" si="66"/>
        <v>ad5732</v>
      </c>
      <c r="V1425">
        <v>0</v>
      </c>
      <c r="W1425">
        <v>0</v>
      </c>
      <c r="X1425">
        <v>1</v>
      </c>
      <c r="Z1425">
        <v>0</v>
      </c>
      <c r="AA1425">
        <v>9</v>
      </c>
      <c r="AB1425">
        <v>3</v>
      </c>
      <c r="AC1425">
        <v>0</v>
      </c>
      <c r="AD1425">
        <v>10</v>
      </c>
      <c r="AE1425">
        <v>0</v>
      </c>
      <c r="AF1425">
        <v>3</v>
      </c>
      <c r="AG1425">
        <v>2</v>
      </c>
      <c r="AH1425">
        <v>0</v>
      </c>
      <c r="AI1425" t="s">
        <v>2953</v>
      </c>
      <c r="AJ1425">
        <v>39.606313999999998</v>
      </c>
      <c r="AK1425" t="s">
        <v>2954</v>
      </c>
      <c r="AL1425">
        <v>-76.450745999999995</v>
      </c>
      <c r="AM1425">
        <v>100</v>
      </c>
      <c r="AN1425">
        <v>8500</v>
      </c>
      <c r="AO1425" t="s">
        <v>115</v>
      </c>
      <c r="AP1425">
        <v>182</v>
      </c>
      <c r="AQ1425">
        <v>85</v>
      </c>
      <c r="AR1425">
        <v>-1024</v>
      </c>
      <c r="AZ1425">
        <v>3614</v>
      </c>
      <c r="BA1425">
        <v>1</v>
      </c>
      <c r="BB1425" t="str">
        <f t="shared" si="68"/>
        <v xml:space="preserve">N959MJ  </v>
      </c>
      <c r="BC1425">
        <v>1</v>
      </c>
      <c r="BE1425">
        <v>0</v>
      </c>
      <c r="BF1425">
        <v>0</v>
      </c>
      <c r="BG1425">
        <v>0</v>
      </c>
      <c r="BH1425">
        <v>8750</v>
      </c>
      <c r="BI1425">
        <v>250</v>
      </c>
      <c r="BJ1425">
        <v>1</v>
      </c>
      <c r="BK1425">
        <v>1</v>
      </c>
      <c r="BL1425">
        <v>1</v>
      </c>
      <c r="BM1425">
        <v>0</v>
      </c>
      <c r="BP1425">
        <v>0</v>
      </c>
      <c r="BQ1425">
        <v>0</v>
      </c>
      <c r="BX1425" t="str">
        <f>"14:14:07.219"</f>
        <v>14:14:07.219</v>
      </c>
      <c r="BY1425" t="str">
        <f>"218956962"</f>
        <v>218956962</v>
      </c>
      <c r="CL1425">
        <v>0</v>
      </c>
      <c r="CM1425">
        <v>2</v>
      </c>
      <c r="CN1425">
        <v>0</v>
      </c>
      <c r="CO1425">
        <v>2</v>
      </c>
      <c r="CP1425">
        <v>0</v>
      </c>
      <c r="CQ1425">
        <v>7</v>
      </c>
      <c r="CR1425" t="s">
        <v>116</v>
      </c>
      <c r="CS1425">
        <v>396</v>
      </c>
      <c r="CT1425">
        <v>2</v>
      </c>
      <c r="CU1425" t="s">
        <v>939</v>
      </c>
      <c r="CV1425" t="s">
        <v>940</v>
      </c>
      <c r="CY1425">
        <v>5259313</v>
      </c>
      <c r="CZ1425" t="s">
        <v>119</v>
      </c>
    </row>
    <row r="1426" spans="1:104" x14ac:dyDescent="0.25">
      <c r="A1426" t="str">
        <f>"14:14:08.320"</f>
        <v>14:14:08.320</v>
      </c>
      <c r="B1426" t="s">
        <v>108</v>
      </c>
      <c r="C1426" t="str">
        <f t="shared" si="67"/>
        <v>ffdfd3c0</v>
      </c>
      <c r="D1426" t="s">
        <v>109</v>
      </c>
      <c r="E1426">
        <v>4</v>
      </c>
      <c r="F1426">
        <v>1004</v>
      </c>
      <c r="G1426" t="s">
        <v>110</v>
      </c>
      <c r="J1426" t="s">
        <v>111</v>
      </c>
      <c r="K1426">
        <v>0</v>
      </c>
      <c r="L1426">
        <v>3</v>
      </c>
      <c r="M1426">
        <v>0</v>
      </c>
      <c r="N1426">
        <v>2</v>
      </c>
      <c r="O1426">
        <v>1</v>
      </c>
      <c r="P1426">
        <v>0</v>
      </c>
      <c r="Q1426">
        <v>0</v>
      </c>
      <c r="R1426" t="s">
        <v>112</v>
      </c>
      <c r="S1426" t="str">
        <f>"14:14:08.117"</f>
        <v>14:14:08.117</v>
      </c>
      <c r="T1426" t="str">
        <f>"14:14:07.719"</f>
        <v>14:14:07.719</v>
      </c>
      <c r="U1426" t="str">
        <f t="shared" si="66"/>
        <v>ad5732</v>
      </c>
      <c r="V1426">
        <v>0</v>
      </c>
      <c r="W1426">
        <v>0</v>
      </c>
      <c r="X1426">
        <v>1</v>
      </c>
      <c r="Z1426">
        <v>0</v>
      </c>
      <c r="AA1426">
        <v>9</v>
      </c>
      <c r="AB1426">
        <v>3</v>
      </c>
      <c r="AC1426">
        <v>0</v>
      </c>
      <c r="AD1426">
        <v>10</v>
      </c>
      <c r="AE1426">
        <v>0</v>
      </c>
      <c r="AF1426">
        <v>3</v>
      </c>
      <c r="AG1426">
        <v>2</v>
      </c>
      <c r="AH1426">
        <v>0</v>
      </c>
      <c r="AI1426" t="s">
        <v>2955</v>
      </c>
      <c r="AJ1426">
        <v>39.606678000000002</v>
      </c>
      <c r="AK1426" t="s">
        <v>2956</v>
      </c>
      <c r="AL1426">
        <v>-76.449802000000005</v>
      </c>
      <c r="AM1426">
        <v>100</v>
      </c>
      <c r="AN1426">
        <v>8400</v>
      </c>
      <c r="AO1426" t="s">
        <v>115</v>
      </c>
      <c r="AP1426">
        <v>182</v>
      </c>
      <c r="AQ1426">
        <v>85</v>
      </c>
      <c r="AR1426">
        <v>-1088</v>
      </c>
      <c r="AZ1426">
        <v>3614</v>
      </c>
      <c r="BA1426">
        <v>1</v>
      </c>
      <c r="BB1426" t="str">
        <f t="shared" si="68"/>
        <v xml:space="preserve">N959MJ  </v>
      </c>
      <c r="BC1426">
        <v>1</v>
      </c>
      <c r="BE1426">
        <v>0</v>
      </c>
      <c r="BF1426">
        <v>0</v>
      </c>
      <c r="BG1426">
        <v>0</v>
      </c>
      <c r="BH1426">
        <v>8750</v>
      </c>
      <c r="BI1426">
        <v>350</v>
      </c>
      <c r="BJ1426">
        <v>1</v>
      </c>
      <c r="BK1426">
        <v>1</v>
      </c>
      <c r="BL1426">
        <v>1</v>
      </c>
      <c r="BM1426">
        <v>0</v>
      </c>
      <c r="BP1426">
        <v>0</v>
      </c>
      <c r="BQ1426">
        <v>0</v>
      </c>
      <c r="BX1426" t="str">
        <f>"14:14:08.117"</f>
        <v>14:14:08.117</v>
      </c>
      <c r="BY1426" t="str">
        <f>"120234089"</f>
        <v>120234089</v>
      </c>
      <c r="CL1426">
        <v>0</v>
      </c>
      <c r="CM1426">
        <v>2</v>
      </c>
      <c r="CN1426">
        <v>0</v>
      </c>
      <c r="CO1426">
        <v>2</v>
      </c>
      <c r="CP1426">
        <v>0</v>
      </c>
      <c r="CQ1426">
        <v>5</v>
      </c>
      <c r="CR1426" t="s">
        <v>116</v>
      </c>
      <c r="CS1426">
        <v>525</v>
      </c>
      <c r="CT1426">
        <v>1</v>
      </c>
      <c r="CU1426" t="s">
        <v>140</v>
      </c>
      <c r="CV1426" t="s">
        <v>141</v>
      </c>
      <c r="CY1426">
        <v>9246298</v>
      </c>
      <c r="CZ1426" t="s">
        <v>119</v>
      </c>
    </row>
    <row r="1427" spans="1:104" x14ac:dyDescent="0.25">
      <c r="A1427" t="str">
        <f>"14:14:09.273"</f>
        <v>14:14:09.273</v>
      </c>
      <c r="B1427" t="s">
        <v>108</v>
      </c>
      <c r="C1427" t="str">
        <f t="shared" si="67"/>
        <v>ffdfd3c0</v>
      </c>
      <c r="D1427" t="s">
        <v>109</v>
      </c>
      <c r="E1427">
        <v>4</v>
      </c>
      <c r="F1427">
        <v>1004</v>
      </c>
      <c r="G1427" t="s">
        <v>110</v>
      </c>
      <c r="J1427" t="s">
        <v>111</v>
      </c>
      <c r="K1427">
        <v>0</v>
      </c>
      <c r="L1427">
        <v>3</v>
      </c>
      <c r="M1427">
        <v>0</v>
      </c>
      <c r="N1427">
        <v>2</v>
      </c>
      <c r="O1427">
        <v>1</v>
      </c>
      <c r="P1427">
        <v>0</v>
      </c>
      <c r="Q1427">
        <v>0</v>
      </c>
      <c r="R1427" t="s">
        <v>112</v>
      </c>
      <c r="S1427" t="str">
        <f>"14:14:09.117"</f>
        <v>14:14:09.117</v>
      </c>
      <c r="T1427" t="str">
        <f>"14:14:08.719"</f>
        <v>14:14:08.719</v>
      </c>
      <c r="U1427" t="str">
        <f t="shared" si="66"/>
        <v>ad5732</v>
      </c>
      <c r="V1427">
        <v>0</v>
      </c>
      <c r="W1427">
        <v>0</v>
      </c>
      <c r="X1427">
        <v>1</v>
      </c>
      <c r="Z1427">
        <v>0</v>
      </c>
      <c r="AA1427">
        <v>9</v>
      </c>
      <c r="AB1427">
        <v>3</v>
      </c>
      <c r="AC1427">
        <v>0</v>
      </c>
      <c r="AD1427">
        <v>10</v>
      </c>
      <c r="AE1427">
        <v>0</v>
      </c>
      <c r="AF1427">
        <v>3</v>
      </c>
      <c r="AG1427">
        <v>2</v>
      </c>
      <c r="AH1427">
        <v>0</v>
      </c>
      <c r="AI1427" t="s">
        <v>2957</v>
      </c>
      <c r="AJ1427">
        <v>39.607086000000002</v>
      </c>
      <c r="AK1427" t="s">
        <v>2958</v>
      </c>
      <c r="AL1427">
        <v>-76.448665000000005</v>
      </c>
      <c r="AM1427">
        <v>100</v>
      </c>
      <c r="AN1427">
        <v>8400</v>
      </c>
      <c r="AO1427" t="s">
        <v>115</v>
      </c>
      <c r="AP1427">
        <v>183</v>
      </c>
      <c r="AQ1427">
        <v>85</v>
      </c>
      <c r="AR1427">
        <v>-1216</v>
      </c>
      <c r="AZ1427">
        <v>3614</v>
      </c>
      <c r="BA1427">
        <v>1</v>
      </c>
      <c r="BB1427" t="str">
        <f t="shared" si="68"/>
        <v xml:space="preserve">N959MJ  </v>
      </c>
      <c r="BC1427">
        <v>1</v>
      </c>
      <c r="BE1427">
        <v>0</v>
      </c>
      <c r="BF1427">
        <v>0</v>
      </c>
      <c r="BG1427">
        <v>0</v>
      </c>
      <c r="BH1427">
        <v>8725</v>
      </c>
      <c r="BI1427">
        <v>325</v>
      </c>
      <c r="BJ1427">
        <v>1</v>
      </c>
      <c r="BK1427">
        <v>1</v>
      </c>
      <c r="BL1427">
        <v>1</v>
      </c>
      <c r="BM1427">
        <v>0</v>
      </c>
      <c r="BP1427">
        <v>0</v>
      </c>
      <c r="BQ1427">
        <v>0</v>
      </c>
      <c r="BX1427" t="str">
        <f>"14:14:09.117"</f>
        <v>14:14:09.117</v>
      </c>
      <c r="BY1427" t="str">
        <f>"119637128"</f>
        <v>119637128</v>
      </c>
      <c r="CL1427">
        <v>0</v>
      </c>
      <c r="CM1427">
        <v>2</v>
      </c>
      <c r="CN1427">
        <v>0</v>
      </c>
      <c r="CO1427">
        <v>2</v>
      </c>
      <c r="CP1427">
        <v>0</v>
      </c>
      <c r="CQ1427">
        <v>5</v>
      </c>
      <c r="CR1427" t="s">
        <v>116</v>
      </c>
      <c r="CS1427">
        <v>372</v>
      </c>
      <c r="CT1427">
        <v>3</v>
      </c>
      <c r="CU1427" t="s">
        <v>877</v>
      </c>
      <c r="CV1427" t="s">
        <v>878</v>
      </c>
      <c r="CY1427">
        <v>11908024</v>
      </c>
      <c r="CZ1427" t="s">
        <v>119</v>
      </c>
    </row>
    <row r="1428" spans="1:104" x14ac:dyDescent="0.25">
      <c r="A1428" t="str">
        <f>"14:14:10.336"</f>
        <v>14:14:10.336</v>
      </c>
      <c r="B1428" t="s">
        <v>108</v>
      </c>
      <c r="C1428" t="str">
        <f t="shared" si="67"/>
        <v>ffdfd3c0</v>
      </c>
      <c r="D1428" t="s">
        <v>109</v>
      </c>
      <c r="E1428">
        <v>4</v>
      </c>
      <c r="F1428">
        <v>1004</v>
      </c>
      <c r="G1428" t="s">
        <v>110</v>
      </c>
      <c r="J1428" t="s">
        <v>111</v>
      </c>
      <c r="K1428">
        <v>0</v>
      </c>
      <c r="L1428">
        <v>3</v>
      </c>
      <c r="M1428">
        <v>0</v>
      </c>
      <c r="N1428">
        <v>2</v>
      </c>
      <c r="O1428">
        <v>1</v>
      </c>
      <c r="P1428">
        <v>0</v>
      </c>
      <c r="Q1428">
        <v>0</v>
      </c>
      <c r="R1428" t="s">
        <v>112</v>
      </c>
      <c r="S1428" t="str">
        <f>"14:14:10.133"</f>
        <v>14:14:10.133</v>
      </c>
      <c r="T1428" t="str">
        <f>"14:14:09.633"</f>
        <v>14:14:09.633</v>
      </c>
      <c r="U1428" t="str">
        <f t="shared" si="66"/>
        <v>ad5732</v>
      </c>
      <c r="V1428">
        <v>0</v>
      </c>
      <c r="W1428">
        <v>0</v>
      </c>
      <c r="X1428">
        <v>1</v>
      </c>
      <c r="Z1428">
        <v>0</v>
      </c>
      <c r="AA1428">
        <v>9</v>
      </c>
      <c r="AB1428">
        <v>3</v>
      </c>
      <c r="AC1428">
        <v>0</v>
      </c>
      <c r="AD1428">
        <v>10</v>
      </c>
      <c r="AE1428">
        <v>0</v>
      </c>
      <c r="AF1428">
        <v>3</v>
      </c>
      <c r="AG1428">
        <v>2</v>
      </c>
      <c r="AH1428">
        <v>0</v>
      </c>
      <c r="AI1428" t="s">
        <v>2959</v>
      </c>
      <c r="AJ1428">
        <v>39.607494000000003</v>
      </c>
      <c r="AK1428" t="s">
        <v>2960</v>
      </c>
      <c r="AL1428">
        <v>-76.447592</v>
      </c>
      <c r="AM1428">
        <v>100</v>
      </c>
      <c r="AN1428">
        <v>8400</v>
      </c>
      <c r="AO1428" t="s">
        <v>115</v>
      </c>
      <c r="AP1428">
        <v>184</v>
      </c>
      <c r="AQ1428">
        <v>86</v>
      </c>
      <c r="AR1428">
        <v>-1344</v>
      </c>
      <c r="AZ1428">
        <v>3614</v>
      </c>
      <c r="BA1428">
        <v>1</v>
      </c>
      <c r="BB1428" t="str">
        <f t="shared" si="68"/>
        <v xml:space="preserve">N959MJ  </v>
      </c>
      <c r="BC1428">
        <v>1</v>
      </c>
      <c r="BE1428">
        <v>0</v>
      </c>
      <c r="BF1428">
        <v>0</v>
      </c>
      <c r="BG1428">
        <v>0</v>
      </c>
      <c r="BH1428">
        <v>8700</v>
      </c>
      <c r="BI1428">
        <v>300</v>
      </c>
      <c r="BJ1428">
        <v>1</v>
      </c>
      <c r="BK1428">
        <v>1</v>
      </c>
      <c r="BL1428">
        <v>1</v>
      </c>
      <c r="BM1428">
        <v>0</v>
      </c>
      <c r="BP1428">
        <v>0</v>
      </c>
      <c r="BQ1428">
        <v>0</v>
      </c>
      <c r="BX1428" t="str">
        <f>"14:14:10.141"</f>
        <v>14:14:10.141</v>
      </c>
      <c r="BY1428" t="str">
        <f>"137100676"</f>
        <v>137100676</v>
      </c>
      <c r="CL1428">
        <v>0</v>
      </c>
      <c r="CM1428">
        <v>2</v>
      </c>
      <c r="CN1428">
        <v>0</v>
      </c>
      <c r="CO1428">
        <v>2</v>
      </c>
      <c r="CP1428">
        <v>0</v>
      </c>
      <c r="CQ1428">
        <v>5</v>
      </c>
      <c r="CR1428" t="s">
        <v>116</v>
      </c>
      <c r="CS1428">
        <v>372</v>
      </c>
      <c r="CT1428">
        <v>3</v>
      </c>
      <c r="CU1428" t="s">
        <v>877</v>
      </c>
      <c r="CV1428" t="s">
        <v>878</v>
      </c>
      <c r="CY1428">
        <v>11909795</v>
      </c>
      <c r="CZ1428" t="s">
        <v>119</v>
      </c>
    </row>
    <row r="1429" spans="1:104" x14ac:dyDescent="0.25">
      <c r="A1429" t="str">
        <f>"14:14:11.398"</f>
        <v>14:14:11.398</v>
      </c>
      <c r="B1429" t="s">
        <v>108</v>
      </c>
      <c r="C1429" t="str">
        <f t="shared" si="67"/>
        <v>ffdfd3c0</v>
      </c>
      <c r="D1429" t="s">
        <v>109</v>
      </c>
      <c r="E1429">
        <v>4</v>
      </c>
      <c r="F1429">
        <v>1004</v>
      </c>
      <c r="G1429" t="s">
        <v>110</v>
      </c>
      <c r="J1429" t="s">
        <v>111</v>
      </c>
      <c r="K1429">
        <v>0</v>
      </c>
      <c r="L1429">
        <v>3</v>
      </c>
      <c r="M1429">
        <v>0</v>
      </c>
      <c r="N1429">
        <v>2</v>
      </c>
      <c r="O1429">
        <v>1</v>
      </c>
      <c r="P1429">
        <v>0</v>
      </c>
      <c r="Q1429">
        <v>0</v>
      </c>
      <c r="R1429" t="s">
        <v>112</v>
      </c>
      <c r="S1429" t="str">
        <f>"14:14:11.219"</f>
        <v>14:14:11.219</v>
      </c>
      <c r="T1429" t="str">
        <f>"14:14:10.820"</f>
        <v>14:14:10.820</v>
      </c>
      <c r="U1429" t="str">
        <f t="shared" si="66"/>
        <v>ad5732</v>
      </c>
      <c r="V1429">
        <v>0</v>
      </c>
      <c r="W1429">
        <v>0</v>
      </c>
      <c r="X1429">
        <v>1</v>
      </c>
      <c r="Z1429">
        <v>0</v>
      </c>
      <c r="AA1429">
        <v>9</v>
      </c>
      <c r="AB1429">
        <v>3</v>
      </c>
      <c r="AC1429">
        <v>0</v>
      </c>
      <c r="AD1429">
        <v>10</v>
      </c>
      <c r="AE1429">
        <v>0</v>
      </c>
      <c r="AF1429">
        <v>3</v>
      </c>
      <c r="AG1429">
        <v>2</v>
      </c>
      <c r="AH1429">
        <v>0</v>
      </c>
      <c r="AI1429" t="s">
        <v>2961</v>
      </c>
      <c r="AJ1429">
        <v>39.607902000000003</v>
      </c>
      <c r="AK1429" t="s">
        <v>2962</v>
      </c>
      <c r="AL1429">
        <v>-76.446347000000003</v>
      </c>
      <c r="AM1429">
        <v>100</v>
      </c>
      <c r="AN1429">
        <v>8400</v>
      </c>
      <c r="AO1429" t="s">
        <v>115</v>
      </c>
      <c r="AP1429">
        <v>185</v>
      </c>
      <c r="AQ1429">
        <v>86</v>
      </c>
      <c r="AR1429">
        <v>-1408</v>
      </c>
      <c r="AZ1429">
        <v>3614</v>
      </c>
      <c r="BA1429">
        <v>1</v>
      </c>
      <c r="BB1429" t="str">
        <f t="shared" si="68"/>
        <v xml:space="preserve">N959MJ  </v>
      </c>
      <c r="BC1429">
        <v>1</v>
      </c>
      <c r="BE1429">
        <v>0</v>
      </c>
      <c r="BF1429">
        <v>0</v>
      </c>
      <c r="BG1429">
        <v>0</v>
      </c>
      <c r="BH1429">
        <v>8675</v>
      </c>
      <c r="BI1429">
        <v>275</v>
      </c>
      <c r="BJ1429">
        <v>1</v>
      </c>
      <c r="BK1429">
        <v>1</v>
      </c>
      <c r="BL1429">
        <v>1</v>
      </c>
      <c r="BM1429">
        <v>0</v>
      </c>
      <c r="BP1429">
        <v>0</v>
      </c>
      <c r="BQ1429">
        <v>0</v>
      </c>
      <c r="BX1429" t="str">
        <f>"14:14:11.219"</f>
        <v>14:14:11.219</v>
      </c>
      <c r="BY1429" t="str">
        <f>"219996515"</f>
        <v>219996515</v>
      </c>
      <c r="CL1429">
        <v>0</v>
      </c>
      <c r="CM1429">
        <v>2</v>
      </c>
      <c r="CN1429">
        <v>0</v>
      </c>
      <c r="CO1429">
        <v>2</v>
      </c>
      <c r="CP1429">
        <v>0</v>
      </c>
      <c r="CQ1429">
        <v>7</v>
      </c>
      <c r="CR1429" t="s">
        <v>116</v>
      </c>
      <c r="CS1429">
        <v>396</v>
      </c>
      <c r="CT1429">
        <v>2</v>
      </c>
      <c r="CU1429" t="s">
        <v>939</v>
      </c>
      <c r="CV1429" t="s">
        <v>940</v>
      </c>
      <c r="CY1429">
        <v>5266386</v>
      </c>
      <c r="CZ1429" t="s">
        <v>119</v>
      </c>
    </row>
    <row r="1430" spans="1:104" x14ac:dyDescent="0.25">
      <c r="A1430" t="str">
        <f>"14:14:12.203"</f>
        <v>14:14:12.203</v>
      </c>
      <c r="B1430" t="s">
        <v>108</v>
      </c>
      <c r="C1430" t="str">
        <f t="shared" si="67"/>
        <v>ffdfd3c0</v>
      </c>
      <c r="D1430" t="s">
        <v>109</v>
      </c>
      <c r="E1430">
        <v>4</v>
      </c>
      <c r="F1430">
        <v>1004</v>
      </c>
      <c r="G1430" t="s">
        <v>110</v>
      </c>
      <c r="J1430" t="s">
        <v>111</v>
      </c>
      <c r="K1430">
        <v>0</v>
      </c>
      <c r="L1430">
        <v>3</v>
      </c>
      <c r="M1430">
        <v>0</v>
      </c>
      <c r="N1430">
        <v>2</v>
      </c>
      <c r="O1430">
        <v>1</v>
      </c>
      <c r="P1430">
        <v>0</v>
      </c>
      <c r="Q1430">
        <v>0</v>
      </c>
      <c r="R1430" t="s">
        <v>112</v>
      </c>
      <c r="S1430" t="str">
        <f>"14:14:12.055"</f>
        <v>14:14:12.055</v>
      </c>
      <c r="T1430" t="str">
        <f>"14:14:11.656"</f>
        <v>14:14:11.656</v>
      </c>
      <c r="U1430" t="str">
        <f t="shared" si="66"/>
        <v>ad5732</v>
      </c>
      <c r="V1430">
        <v>0</v>
      </c>
      <c r="W1430">
        <v>0</v>
      </c>
      <c r="X1430">
        <v>1</v>
      </c>
      <c r="Z1430">
        <v>0</v>
      </c>
      <c r="AA1430">
        <v>9</v>
      </c>
      <c r="AB1430">
        <v>3</v>
      </c>
      <c r="AC1430">
        <v>0</v>
      </c>
      <c r="AD1430">
        <v>10</v>
      </c>
      <c r="AE1430">
        <v>0</v>
      </c>
      <c r="AF1430">
        <v>3</v>
      </c>
      <c r="AG1430">
        <v>2</v>
      </c>
      <c r="AH1430">
        <v>0</v>
      </c>
      <c r="AI1430" t="s">
        <v>2963</v>
      </c>
      <c r="AJ1430">
        <v>39.608223000000002</v>
      </c>
      <c r="AK1430" t="s">
        <v>2964</v>
      </c>
      <c r="AL1430">
        <v>-76.445488999999995</v>
      </c>
      <c r="AM1430">
        <v>100</v>
      </c>
      <c r="AN1430">
        <v>8300</v>
      </c>
      <c r="AO1430" t="s">
        <v>115</v>
      </c>
      <c r="AP1430">
        <v>185</v>
      </c>
      <c r="AQ1430">
        <v>87</v>
      </c>
      <c r="AR1430">
        <v>-1472</v>
      </c>
      <c r="AZ1430">
        <v>3614</v>
      </c>
      <c r="BA1430">
        <v>1</v>
      </c>
      <c r="BB1430" t="str">
        <f t="shared" si="68"/>
        <v xml:space="preserve">N959MJ  </v>
      </c>
      <c r="BC1430">
        <v>1</v>
      </c>
      <c r="BE1430">
        <v>0</v>
      </c>
      <c r="BF1430">
        <v>0</v>
      </c>
      <c r="BG1430">
        <v>0</v>
      </c>
      <c r="BH1430">
        <v>8650</v>
      </c>
      <c r="BI1430">
        <v>350</v>
      </c>
      <c r="BJ1430">
        <v>1</v>
      </c>
      <c r="BK1430">
        <v>1</v>
      </c>
      <c r="BL1430">
        <v>1</v>
      </c>
      <c r="BM1430">
        <v>0</v>
      </c>
      <c r="BP1430">
        <v>0</v>
      </c>
      <c r="BQ1430">
        <v>0</v>
      </c>
      <c r="BX1430" t="str">
        <f>"14:14:12.055"</f>
        <v>14:14:12.055</v>
      </c>
      <c r="BY1430" t="str">
        <f>"055594452"</f>
        <v>055594452</v>
      </c>
      <c r="CL1430">
        <v>0</v>
      </c>
      <c r="CM1430">
        <v>2</v>
      </c>
      <c r="CN1430">
        <v>0</v>
      </c>
      <c r="CO1430">
        <v>2</v>
      </c>
      <c r="CP1430">
        <v>0</v>
      </c>
      <c r="CQ1430">
        <v>7</v>
      </c>
      <c r="CR1430" t="s">
        <v>116</v>
      </c>
      <c r="CS1430">
        <v>396</v>
      </c>
      <c r="CT1430">
        <v>2</v>
      </c>
      <c r="CU1430" t="s">
        <v>939</v>
      </c>
      <c r="CV1430" t="s">
        <v>940</v>
      </c>
      <c r="CY1430">
        <v>5267826</v>
      </c>
      <c r="CZ1430" t="s">
        <v>119</v>
      </c>
    </row>
    <row r="1431" spans="1:104" x14ac:dyDescent="0.25">
      <c r="A1431" t="str">
        <f>"14:14:13.164"</f>
        <v>14:14:13.164</v>
      </c>
      <c r="B1431" t="s">
        <v>108</v>
      </c>
      <c r="C1431" t="str">
        <f t="shared" si="67"/>
        <v>ffdfd3c0</v>
      </c>
      <c r="D1431" t="s">
        <v>109</v>
      </c>
      <c r="E1431">
        <v>4</v>
      </c>
      <c r="F1431">
        <v>1004</v>
      </c>
      <c r="G1431" t="s">
        <v>110</v>
      </c>
      <c r="J1431" t="s">
        <v>111</v>
      </c>
      <c r="K1431">
        <v>0</v>
      </c>
      <c r="L1431">
        <v>3</v>
      </c>
      <c r="M1431">
        <v>0</v>
      </c>
      <c r="N1431">
        <v>2</v>
      </c>
      <c r="O1431">
        <v>1</v>
      </c>
      <c r="P1431">
        <v>0</v>
      </c>
      <c r="Q1431">
        <v>0</v>
      </c>
      <c r="R1431" t="s">
        <v>112</v>
      </c>
      <c r="S1431" t="str">
        <f>"14:14:12.953"</f>
        <v>14:14:12.953</v>
      </c>
      <c r="T1431" t="str">
        <f>"14:14:12.555"</f>
        <v>14:14:12.555</v>
      </c>
      <c r="U1431" t="str">
        <f t="shared" si="66"/>
        <v>ad5732</v>
      </c>
      <c r="V1431">
        <v>0</v>
      </c>
      <c r="W1431">
        <v>0</v>
      </c>
      <c r="X1431">
        <v>1</v>
      </c>
      <c r="Z1431">
        <v>0</v>
      </c>
      <c r="AA1431">
        <v>9</v>
      </c>
      <c r="AB1431">
        <v>3</v>
      </c>
      <c r="AC1431">
        <v>0</v>
      </c>
      <c r="AD1431">
        <v>10</v>
      </c>
      <c r="AE1431">
        <v>0</v>
      </c>
      <c r="AF1431">
        <v>3</v>
      </c>
      <c r="AG1431">
        <v>2</v>
      </c>
      <c r="AH1431">
        <v>0</v>
      </c>
      <c r="AI1431" t="s">
        <v>2965</v>
      </c>
      <c r="AJ1431">
        <v>39.608587999999997</v>
      </c>
      <c r="AK1431" t="s">
        <v>2966</v>
      </c>
      <c r="AL1431">
        <v>-76.444479999999999</v>
      </c>
      <c r="AM1431">
        <v>100</v>
      </c>
      <c r="AN1431">
        <v>8300</v>
      </c>
      <c r="AO1431" t="s">
        <v>115</v>
      </c>
      <c r="AP1431">
        <v>186</v>
      </c>
      <c r="AQ1431">
        <v>87</v>
      </c>
      <c r="AR1431">
        <v>-1472</v>
      </c>
      <c r="AZ1431">
        <v>3614</v>
      </c>
      <c r="BA1431">
        <v>1</v>
      </c>
      <c r="BB1431" t="str">
        <f t="shared" si="68"/>
        <v xml:space="preserve">N959MJ  </v>
      </c>
      <c r="BC1431">
        <v>1</v>
      </c>
      <c r="BE1431">
        <v>0</v>
      </c>
      <c r="BF1431">
        <v>0</v>
      </c>
      <c r="BG1431">
        <v>0</v>
      </c>
      <c r="BH1431">
        <v>8725</v>
      </c>
      <c r="BI1431">
        <v>425</v>
      </c>
      <c r="BJ1431">
        <v>1</v>
      </c>
      <c r="BK1431">
        <v>1</v>
      </c>
      <c r="BL1431">
        <v>1</v>
      </c>
      <c r="BM1431">
        <v>0</v>
      </c>
      <c r="BP1431">
        <v>0</v>
      </c>
      <c r="BQ1431">
        <v>0</v>
      </c>
      <c r="BX1431" t="str">
        <f>"14:14:12.953"</f>
        <v>14:14:12.953</v>
      </c>
      <c r="BY1431" t="str">
        <f>"955091111"</f>
        <v>955091111</v>
      </c>
      <c r="CL1431">
        <v>0</v>
      </c>
      <c r="CM1431">
        <v>2</v>
      </c>
      <c r="CN1431">
        <v>0</v>
      </c>
      <c r="CO1431">
        <v>2</v>
      </c>
      <c r="CP1431">
        <v>0</v>
      </c>
      <c r="CQ1431">
        <v>6</v>
      </c>
      <c r="CR1431" t="s">
        <v>116</v>
      </c>
      <c r="CS1431">
        <v>396</v>
      </c>
      <c r="CT1431">
        <v>1</v>
      </c>
      <c r="CU1431" t="s">
        <v>939</v>
      </c>
      <c r="CV1431" t="s">
        <v>940</v>
      </c>
      <c r="CY1431">
        <v>8857406</v>
      </c>
      <c r="CZ1431" t="s">
        <v>119</v>
      </c>
    </row>
    <row r="1432" spans="1:104" x14ac:dyDescent="0.25">
      <c r="A1432" t="str">
        <f>"14:14:14.227"</f>
        <v>14:14:14.227</v>
      </c>
      <c r="B1432" t="s">
        <v>108</v>
      </c>
      <c r="C1432" t="str">
        <f t="shared" si="67"/>
        <v>ffdfd3c0</v>
      </c>
      <c r="D1432" t="s">
        <v>109</v>
      </c>
      <c r="E1432">
        <v>4</v>
      </c>
      <c r="F1432">
        <v>1004</v>
      </c>
      <c r="G1432" t="s">
        <v>110</v>
      </c>
      <c r="J1432" t="s">
        <v>111</v>
      </c>
      <c r="K1432">
        <v>0</v>
      </c>
      <c r="L1432">
        <v>3</v>
      </c>
      <c r="M1432">
        <v>0</v>
      </c>
      <c r="N1432">
        <v>2</v>
      </c>
      <c r="O1432">
        <v>1</v>
      </c>
      <c r="P1432">
        <v>0</v>
      </c>
      <c r="Q1432">
        <v>0</v>
      </c>
      <c r="R1432" t="s">
        <v>112</v>
      </c>
      <c r="S1432" t="str">
        <f>"14:14:14.008"</f>
        <v>14:14:14.008</v>
      </c>
      <c r="T1432" t="str">
        <f>"14:14:13.508"</f>
        <v>14:14:13.508</v>
      </c>
      <c r="U1432" t="str">
        <f t="shared" si="66"/>
        <v>ad5732</v>
      </c>
      <c r="V1432">
        <v>0</v>
      </c>
      <c r="W1432">
        <v>0</v>
      </c>
      <c r="X1432">
        <v>1</v>
      </c>
      <c r="Z1432">
        <v>0</v>
      </c>
      <c r="AA1432">
        <v>9</v>
      </c>
      <c r="AB1432">
        <v>3</v>
      </c>
      <c r="AC1432">
        <v>0</v>
      </c>
      <c r="AD1432">
        <v>10</v>
      </c>
      <c r="AE1432">
        <v>0</v>
      </c>
      <c r="AF1432">
        <v>3</v>
      </c>
      <c r="AG1432">
        <v>2</v>
      </c>
      <c r="AH1432">
        <v>0</v>
      </c>
      <c r="AI1432" t="s">
        <v>2967</v>
      </c>
      <c r="AJ1432">
        <v>39.609059999999999</v>
      </c>
      <c r="AK1432" t="s">
        <v>2968</v>
      </c>
      <c r="AL1432">
        <v>-76.443235999999999</v>
      </c>
      <c r="AM1432">
        <v>100</v>
      </c>
      <c r="AN1432">
        <v>8300</v>
      </c>
      <c r="AO1432" t="s">
        <v>115</v>
      </c>
      <c r="AP1432">
        <v>187</v>
      </c>
      <c r="AQ1432">
        <v>87</v>
      </c>
      <c r="AR1432">
        <v>-1536</v>
      </c>
      <c r="AZ1432">
        <v>3614</v>
      </c>
      <c r="BA1432">
        <v>1</v>
      </c>
      <c r="BB1432" t="str">
        <f t="shared" si="68"/>
        <v xml:space="preserve">N959MJ  </v>
      </c>
      <c r="BC1432">
        <v>1</v>
      </c>
      <c r="BE1432">
        <v>0</v>
      </c>
      <c r="BF1432">
        <v>0</v>
      </c>
      <c r="BG1432">
        <v>0</v>
      </c>
      <c r="BH1432">
        <v>8700</v>
      </c>
      <c r="BI1432">
        <v>400</v>
      </c>
      <c r="BJ1432">
        <v>1</v>
      </c>
      <c r="BK1432">
        <v>1</v>
      </c>
      <c r="BL1432">
        <v>1</v>
      </c>
      <c r="BM1432">
        <v>0</v>
      </c>
      <c r="BP1432">
        <v>0</v>
      </c>
      <c r="BQ1432">
        <v>0</v>
      </c>
      <c r="BX1432" t="str">
        <f>"14:14:14.016"</f>
        <v>14:14:14.016</v>
      </c>
      <c r="BY1432" t="str">
        <f>"015299674"</f>
        <v>015299674</v>
      </c>
      <c r="CL1432">
        <v>0</v>
      </c>
      <c r="CM1432">
        <v>2</v>
      </c>
      <c r="CN1432">
        <v>0</v>
      </c>
      <c r="CO1432">
        <v>2</v>
      </c>
      <c r="CP1432">
        <v>0</v>
      </c>
      <c r="CQ1432">
        <v>5</v>
      </c>
      <c r="CR1432" t="s">
        <v>116</v>
      </c>
      <c r="CS1432">
        <v>147</v>
      </c>
      <c r="CT1432">
        <v>0</v>
      </c>
      <c r="CU1432" t="s">
        <v>117</v>
      </c>
      <c r="CV1432" t="s">
        <v>118</v>
      </c>
      <c r="CY1432">
        <v>6260799</v>
      </c>
      <c r="CZ1432" t="s">
        <v>119</v>
      </c>
    </row>
    <row r="1433" spans="1:104" x14ac:dyDescent="0.25">
      <c r="A1433" t="str">
        <f>"14:14:15.180"</f>
        <v>14:14:15.180</v>
      </c>
      <c r="B1433" t="s">
        <v>108</v>
      </c>
      <c r="C1433" t="str">
        <f t="shared" si="67"/>
        <v>ffdfd3c0</v>
      </c>
      <c r="D1433" t="s">
        <v>109</v>
      </c>
      <c r="E1433">
        <v>4</v>
      </c>
      <c r="F1433">
        <v>1004</v>
      </c>
      <c r="G1433" t="s">
        <v>110</v>
      </c>
      <c r="J1433" t="s">
        <v>111</v>
      </c>
      <c r="K1433">
        <v>0</v>
      </c>
      <c r="L1433">
        <v>3</v>
      </c>
      <c r="M1433">
        <v>0</v>
      </c>
      <c r="N1433">
        <v>2</v>
      </c>
      <c r="O1433">
        <v>1</v>
      </c>
      <c r="P1433">
        <v>0</v>
      </c>
      <c r="Q1433">
        <v>0</v>
      </c>
      <c r="R1433" t="s">
        <v>112</v>
      </c>
      <c r="S1433" t="str">
        <f>"14:14:14.992"</f>
        <v>14:14:14.992</v>
      </c>
      <c r="T1433" t="str">
        <f>"14:14:14.594"</f>
        <v>14:14:14.594</v>
      </c>
      <c r="U1433" t="str">
        <f t="shared" si="66"/>
        <v>ad5732</v>
      </c>
      <c r="V1433">
        <v>0</v>
      </c>
      <c r="W1433">
        <v>0</v>
      </c>
      <c r="X1433">
        <v>1</v>
      </c>
      <c r="Z1433">
        <v>0</v>
      </c>
      <c r="AA1433">
        <v>9</v>
      </c>
      <c r="AB1433">
        <v>3</v>
      </c>
      <c r="AC1433">
        <v>0</v>
      </c>
      <c r="AD1433">
        <v>10</v>
      </c>
      <c r="AE1433">
        <v>0</v>
      </c>
      <c r="AF1433">
        <v>3</v>
      </c>
      <c r="AG1433">
        <v>2</v>
      </c>
      <c r="AH1433">
        <v>0</v>
      </c>
      <c r="AI1433" t="s">
        <v>2969</v>
      </c>
      <c r="AJ1433">
        <v>39.609447000000003</v>
      </c>
      <c r="AK1433" t="s">
        <v>2970</v>
      </c>
      <c r="AL1433">
        <v>-76.442076999999998</v>
      </c>
      <c r="AM1433">
        <v>100</v>
      </c>
      <c r="AN1433">
        <v>8300</v>
      </c>
      <c r="AO1433" t="s">
        <v>115</v>
      </c>
      <c r="AP1433">
        <v>188</v>
      </c>
      <c r="AQ1433">
        <v>88</v>
      </c>
      <c r="AR1433">
        <v>-1472</v>
      </c>
      <c r="AZ1433">
        <v>3614</v>
      </c>
      <c r="BA1433">
        <v>1</v>
      </c>
      <c r="BB1433" t="str">
        <f t="shared" si="68"/>
        <v xml:space="preserve">N959MJ  </v>
      </c>
      <c r="BC1433">
        <v>1</v>
      </c>
      <c r="BE1433">
        <v>0</v>
      </c>
      <c r="BF1433">
        <v>0</v>
      </c>
      <c r="BG1433">
        <v>0</v>
      </c>
      <c r="BH1433">
        <v>8575</v>
      </c>
      <c r="BI1433">
        <v>275</v>
      </c>
      <c r="BJ1433">
        <v>1</v>
      </c>
      <c r="BK1433">
        <v>1</v>
      </c>
      <c r="BL1433">
        <v>1</v>
      </c>
      <c r="BM1433">
        <v>0</v>
      </c>
      <c r="BP1433">
        <v>0</v>
      </c>
      <c r="BQ1433">
        <v>0</v>
      </c>
      <c r="BX1433" t="str">
        <f>"14:14:14.992"</f>
        <v>14:14:14.992</v>
      </c>
      <c r="BY1433" t="str">
        <f>"994933106"</f>
        <v>994933106</v>
      </c>
      <c r="CL1433">
        <v>0</v>
      </c>
      <c r="CM1433">
        <v>2</v>
      </c>
      <c r="CN1433">
        <v>0</v>
      </c>
      <c r="CO1433">
        <v>2</v>
      </c>
      <c r="CP1433">
        <v>0</v>
      </c>
      <c r="CQ1433">
        <v>7</v>
      </c>
      <c r="CR1433" t="s">
        <v>116</v>
      </c>
      <c r="CS1433">
        <v>396</v>
      </c>
      <c r="CT1433">
        <v>2</v>
      </c>
      <c r="CU1433" t="s">
        <v>939</v>
      </c>
      <c r="CV1433" t="s">
        <v>940</v>
      </c>
      <c r="CY1433">
        <v>5273010</v>
      </c>
      <c r="CZ1433" t="s">
        <v>119</v>
      </c>
    </row>
    <row r="1434" spans="1:104" x14ac:dyDescent="0.25">
      <c r="A1434" t="str">
        <f>"14:14:16.094"</f>
        <v>14:14:16.094</v>
      </c>
      <c r="B1434" t="s">
        <v>108</v>
      </c>
      <c r="C1434" t="str">
        <f t="shared" si="67"/>
        <v>ffdfd3c0</v>
      </c>
      <c r="D1434" t="s">
        <v>109</v>
      </c>
      <c r="E1434">
        <v>4</v>
      </c>
      <c r="F1434">
        <v>1004</v>
      </c>
      <c r="G1434" t="s">
        <v>110</v>
      </c>
      <c r="J1434" t="s">
        <v>111</v>
      </c>
      <c r="K1434">
        <v>0</v>
      </c>
      <c r="L1434">
        <v>3</v>
      </c>
      <c r="M1434">
        <v>0</v>
      </c>
      <c r="N1434">
        <v>2</v>
      </c>
      <c r="O1434">
        <v>1</v>
      </c>
      <c r="P1434">
        <v>0</v>
      </c>
      <c r="Q1434">
        <v>0</v>
      </c>
      <c r="R1434" t="s">
        <v>112</v>
      </c>
      <c r="S1434" t="str">
        <f>"14:14:15.945"</f>
        <v>14:14:15.945</v>
      </c>
      <c r="T1434" t="str">
        <f>"14:14:15.445"</f>
        <v>14:14:15.445</v>
      </c>
      <c r="U1434" t="str">
        <f t="shared" si="66"/>
        <v>ad5732</v>
      </c>
      <c r="V1434">
        <v>0</v>
      </c>
      <c r="W1434">
        <v>0</v>
      </c>
      <c r="X1434">
        <v>1</v>
      </c>
      <c r="Z1434">
        <v>0</v>
      </c>
      <c r="AA1434">
        <v>9</v>
      </c>
      <c r="AB1434">
        <v>3</v>
      </c>
      <c r="AC1434">
        <v>0</v>
      </c>
      <c r="AD1434">
        <v>10</v>
      </c>
      <c r="AE1434">
        <v>0</v>
      </c>
      <c r="AF1434">
        <v>3</v>
      </c>
      <c r="AG1434">
        <v>2</v>
      </c>
      <c r="AH1434">
        <v>0</v>
      </c>
      <c r="AI1434" t="s">
        <v>2971</v>
      </c>
      <c r="AJ1434">
        <v>39.609833000000002</v>
      </c>
      <c r="AK1434" t="s">
        <v>2972</v>
      </c>
      <c r="AL1434">
        <v>-76.441090000000003</v>
      </c>
      <c r="AM1434">
        <v>100</v>
      </c>
      <c r="AN1434">
        <v>8300</v>
      </c>
      <c r="AO1434" t="s">
        <v>115</v>
      </c>
      <c r="AP1434">
        <v>189</v>
      </c>
      <c r="AQ1434">
        <v>88</v>
      </c>
      <c r="AR1434">
        <v>-1472</v>
      </c>
      <c r="AZ1434">
        <v>3614</v>
      </c>
      <c r="BA1434">
        <v>1</v>
      </c>
      <c r="BB1434" t="str">
        <f t="shared" si="68"/>
        <v xml:space="preserve">N959MJ  </v>
      </c>
      <c r="BC1434">
        <v>1</v>
      </c>
      <c r="BE1434">
        <v>0</v>
      </c>
      <c r="BF1434">
        <v>0</v>
      </c>
      <c r="BG1434">
        <v>0</v>
      </c>
      <c r="BH1434">
        <v>8550</v>
      </c>
      <c r="BI1434">
        <v>250</v>
      </c>
      <c r="BJ1434">
        <v>1</v>
      </c>
      <c r="BK1434">
        <v>1</v>
      </c>
      <c r="BL1434">
        <v>1</v>
      </c>
      <c r="BM1434">
        <v>0</v>
      </c>
      <c r="BP1434">
        <v>0</v>
      </c>
      <c r="BQ1434">
        <v>0</v>
      </c>
      <c r="BX1434" t="str">
        <f>"14:14:15.945"</f>
        <v>14:14:15.945</v>
      </c>
      <c r="BY1434" t="str">
        <f>"946859457"</f>
        <v>946859457</v>
      </c>
      <c r="CL1434">
        <v>0</v>
      </c>
      <c r="CM1434">
        <v>2</v>
      </c>
      <c r="CN1434">
        <v>0</v>
      </c>
      <c r="CO1434">
        <v>2</v>
      </c>
      <c r="CP1434">
        <v>0</v>
      </c>
      <c r="CQ1434">
        <v>7</v>
      </c>
      <c r="CR1434" t="s">
        <v>116</v>
      </c>
      <c r="CS1434">
        <v>396</v>
      </c>
      <c r="CT1434">
        <v>2</v>
      </c>
      <c r="CU1434" t="s">
        <v>939</v>
      </c>
      <c r="CV1434" t="s">
        <v>940</v>
      </c>
      <c r="CY1434">
        <v>5274797</v>
      </c>
      <c r="CZ1434" t="s">
        <v>119</v>
      </c>
    </row>
    <row r="1435" spans="1:104" x14ac:dyDescent="0.25">
      <c r="A1435" t="str">
        <f>"14:14:17.148"</f>
        <v>14:14:17.148</v>
      </c>
      <c r="B1435" t="s">
        <v>108</v>
      </c>
      <c r="C1435" t="str">
        <f t="shared" si="67"/>
        <v>ffdfd3c0</v>
      </c>
      <c r="D1435" t="s">
        <v>109</v>
      </c>
      <c r="E1435">
        <v>4</v>
      </c>
      <c r="F1435">
        <v>1004</v>
      </c>
      <c r="G1435" t="s">
        <v>110</v>
      </c>
      <c r="J1435" t="s">
        <v>111</v>
      </c>
      <c r="K1435">
        <v>0</v>
      </c>
      <c r="L1435">
        <v>3</v>
      </c>
      <c r="M1435">
        <v>0</v>
      </c>
      <c r="N1435">
        <v>2</v>
      </c>
      <c r="O1435">
        <v>1</v>
      </c>
      <c r="P1435">
        <v>0</v>
      </c>
      <c r="Q1435">
        <v>0</v>
      </c>
      <c r="R1435" t="s">
        <v>112</v>
      </c>
      <c r="S1435" t="str">
        <f>"14:14:17.000"</f>
        <v>14:14:17.000</v>
      </c>
      <c r="T1435" t="str">
        <f>"14:14:16.500"</f>
        <v>14:14:16.500</v>
      </c>
      <c r="U1435" t="str">
        <f t="shared" si="66"/>
        <v>ad5732</v>
      </c>
      <c r="V1435">
        <v>0</v>
      </c>
      <c r="W1435">
        <v>0</v>
      </c>
      <c r="X1435">
        <v>1</v>
      </c>
      <c r="Z1435">
        <v>0</v>
      </c>
      <c r="AA1435">
        <v>9</v>
      </c>
      <c r="AB1435">
        <v>3</v>
      </c>
      <c r="AC1435">
        <v>0</v>
      </c>
      <c r="AD1435">
        <v>10</v>
      </c>
      <c r="AE1435">
        <v>0</v>
      </c>
      <c r="AF1435">
        <v>3</v>
      </c>
      <c r="AG1435">
        <v>2</v>
      </c>
      <c r="AH1435">
        <v>0</v>
      </c>
      <c r="AI1435" t="s">
        <v>2973</v>
      </c>
      <c r="AJ1435">
        <v>39.610283000000003</v>
      </c>
      <c r="AK1435" t="s">
        <v>2974</v>
      </c>
      <c r="AL1435">
        <v>-76.439824000000002</v>
      </c>
      <c r="AM1435">
        <v>100</v>
      </c>
      <c r="AN1435">
        <v>8300</v>
      </c>
      <c r="AO1435" t="s">
        <v>115</v>
      </c>
      <c r="AP1435">
        <v>189</v>
      </c>
      <c r="AQ1435">
        <v>89</v>
      </c>
      <c r="AR1435">
        <v>-1408</v>
      </c>
      <c r="AZ1435">
        <v>3614</v>
      </c>
      <c r="BA1435">
        <v>1</v>
      </c>
      <c r="BB1435" t="str">
        <f t="shared" si="68"/>
        <v xml:space="preserve">N959MJ  </v>
      </c>
      <c r="BC1435">
        <v>1</v>
      </c>
      <c r="BE1435">
        <v>0</v>
      </c>
      <c r="BF1435">
        <v>0</v>
      </c>
      <c r="BG1435">
        <v>0</v>
      </c>
      <c r="BH1435">
        <v>8525</v>
      </c>
      <c r="BI1435">
        <v>225</v>
      </c>
      <c r="BJ1435">
        <v>1</v>
      </c>
      <c r="BK1435">
        <v>1</v>
      </c>
      <c r="BL1435">
        <v>1</v>
      </c>
      <c r="BM1435">
        <v>0</v>
      </c>
      <c r="BP1435">
        <v>0</v>
      </c>
      <c r="BQ1435">
        <v>0</v>
      </c>
      <c r="BX1435" t="str">
        <f>"14:14:17.008"</f>
        <v>14:14:17.008</v>
      </c>
      <c r="BY1435" t="str">
        <f>"006921899"</f>
        <v>006921899</v>
      </c>
      <c r="CL1435">
        <v>0</v>
      </c>
      <c r="CM1435">
        <v>2</v>
      </c>
      <c r="CN1435">
        <v>0</v>
      </c>
      <c r="CO1435">
        <v>2</v>
      </c>
      <c r="CP1435">
        <v>0</v>
      </c>
      <c r="CQ1435">
        <v>6</v>
      </c>
      <c r="CR1435" t="s">
        <v>116</v>
      </c>
      <c r="CS1435">
        <v>396</v>
      </c>
      <c r="CT1435">
        <v>2</v>
      </c>
      <c r="CU1435" t="s">
        <v>939</v>
      </c>
      <c r="CV1435" t="s">
        <v>940</v>
      </c>
      <c r="CY1435">
        <v>5276611</v>
      </c>
      <c r="CZ1435" t="s">
        <v>119</v>
      </c>
    </row>
    <row r="1436" spans="1:104" x14ac:dyDescent="0.25">
      <c r="A1436" t="str">
        <f>"14:14:18.109"</f>
        <v>14:14:18.109</v>
      </c>
      <c r="B1436" t="s">
        <v>108</v>
      </c>
      <c r="C1436" t="str">
        <f t="shared" si="67"/>
        <v>ffdfd3c0</v>
      </c>
      <c r="D1436" t="s">
        <v>109</v>
      </c>
      <c r="E1436">
        <v>4</v>
      </c>
      <c r="F1436">
        <v>1004</v>
      </c>
      <c r="G1436" t="s">
        <v>110</v>
      </c>
      <c r="J1436" t="s">
        <v>111</v>
      </c>
      <c r="K1436">
        <v>0</v>
      </c>
      <c r="L1436">
        <v>3</v>
      </c>
      <c r="M1436">
        <v>0</v>
      </c>
      <c r="N1436">
        <v>2</v>
      </c>
      <c r="O1436">
        <v>1</v>
      </c>
      <c r="P1436">
        <v>0</v>
      </c>
      <c r="Q1436">
        <v>0</v>
      </c>
      <c r="R1436" t="s">
        <v>112</v>
      </c>
      <c r="S1436" t="str">
        <f>"14:14:17.945"</f>
        <v>14:14:17.945</v>
      </c>
      <c r="T1436" t="str">
        <f>"14:14:17.547"</f>
        <v>14:14:17.547</v>
      </c>
      <c r="U1436" t="str">
        <f t="shared" si="66"/>
        <v>ad5732</v>
      </c>
      <c r="V1436">
        <v>0</v>
      </c>
      <c r="W1436">
        <v>0</v>
      </c>
      <c r="X1436">
        <v>1</v>
      </c>
      <c r="Z1436">
        <v>0</v>
      </c>
      <c r="AA1436">
        <v>9</v>
      </c>
      <c r="AB1436">
        <v>3</v>
      </c>
      <c r="AC1436">
        <v>0</v>
      </c>
      <c r="AD1436">
        <v>10</v>
      </c>
      <c r="AE1436">
        <v>0</v>
      </c>
      <c r="AF1436">
        <v>3</v>
      </c>
      <c r="AG1436">
        <v>2</v>
      </c>
      <c r="AH1436">
        <v>0</v>
      </c>
      <c r="AI1436" t="s">
        <v>2975</v>
      </c>
      <c r="AJ1436">
        <v>39.610647999999998</v>
      </c>
      <c r="AK1436" t="s">
        <v>2976</v>
      </c>
      <c r="AL1436">
        <v>-76.438816000000003</v>
      </c>
      <c r="AM1436">
        <v>100</v>
      </c>
      <c r="AN1436">
        <v>8200</v>
      </c>
      <c r="AO1436" t="s">
        <v>115</v>
      </c>
      <c r="AP1436">
        <v>190</v>
      </c>
      <c r="AQ1436">
        <v>89</v>
      </c>
      <c r="AR1436">
        <v>-1408</v>
      </c>
      <c r="AZ1436">
        <v>3614</v>
      </c>
      <c r="BA1436">
        <v>1</v>
      </c>
      <c r="BB1436" t="str">
        <f t="shared" si="68"/>
        <v xml:space="preserve">N959MJ  </v>
      </c>
      <c r="BC1436">
        <v>1</v>
      </c>
      <c r="BE1436">
        <v>0</v>
      </c>
      <c r="BF1436">
        <v>0</v>
      </c>
      <c r="BG1436">
        <v>0</v>
      </c>
      <c r="BH1436">
        <v>8500</v>
      </c>
      <c r="BI1436">
        <v>300</v>
      </c>
      <c r="BJ1436">
        <v>1</v>
      </c>
      <c r="BK1436">
        <v>1</v>
      </c>
      <c r="BL1436">
        <v>1</v>
      </c>
      <c r="BM1436">
        <v>0</v>
      </c>
      <c r="BP1436">
        <v>0</v>
      </c>
      <c r="BQ1436">
        <v>0</v>
      </c>
      <c r="BX1436" t="str">
        <f>"14:14:17.953"</f>
        <v>14:14:17.953</v>
      </c>
      <c r="BY1436" t="str">
        <f>"950656159"</f>
        <v>950656159</v>
      </c>
      <c r="CL1436">
        <v>0</v>
      </c>
      <c r="CM1436">
        <v>2</v>
      </c>
      <c r="CN1436">
        <v>0</v>
      </c>
      <c r="CO1436">
        <v>2</v>
      </c>
      <c r="CP1436">
        <v>0</v>
      </c>
      <c r="CQ1436">
        <v>7</v>
      </c>
      <c r="CR1436" t="s">
        <v>116</v>
      </c>
      <c r="CS1436">
        <v>396</v>
      </c>
      <c r="CT1436">
        <v>2</v>
      </c>
      <c r="CU1436" t="s">
        <v>939</v>
      </c>
      <c r="CV1436" t="s">
        <v>940</v>
      </c>
      <c r="CY1436">
        <v>5278178</v>
      </c>
      <c r="CZ1436" t="s">
        <v>119</v>
      </c>
    </row>
    <row r="1437" spans="1:104" x14ac:dyDescent="0.25">
      <c r="A1437" t="str">
        <f>"14:14:19.070"</f>
        <v>14:14:19.070</v>
      </c>
      <c r="B1437" t="s">
        <v>108</v>
      </c>
      <c r="C1437" t="str">
        <f t="shared" si="67"/>
        <v>ffdfd3c0</v>
      </c>
      <c r="D1437" t="s">
        <v>109</v>
      </c>
      <c r="E1437">
        <v>4</v>
      </c>
      <c r="F1437">
        <v>1004</v>
      </c>
      <c r="G1437" t="s">
        <v>110</v>
      </c>
      <c r="J1437" t="s">
        <v>111</v>
      </c>
      <c r="K1437">
        <v>0</v>
      </c>
      <c r="L1437">
        <v>3</v>
      </c>
      <c r="M1437">
        <v>0</v>
      </c>
      <c r="N1437">
        <v>2</v>
      </c>
      <c r="O1437">
        <v>1</v>
      </c>
      <c r="P1437">
        <v>0</v>
      </c>
      <c r="Q1437">
        <v>0</v>
      </c>
      <c r="R1437" t="s">
        <v>112</v>
      </c>
      <c r="S1437" t="str">
        <f>"14:14:18.883"</f>
        <v>14:14:18.883</v>
      </c>
      <c r="T1437" t="str">
        <f>"14:14:18.383"</f>
        <v>14:14:18.383</v>
      </c>
      <c r="U1437" t="str">
        <f t="shared" si="66"/>
        <v>ad5732</v>
      </c>
      <c r="V1437">
        <v>0</v>
      </c>
      <c r="W1437">
        <v>0</v>
      </c>
      <c r="X1437">
        <v>1</v>
      </c>
      <c r="Z1437">
        <v>0</v>
      </c>
      <c r="AA1437">
        <v>9</v>
      </c>
      <c r="AB1437">
        <v>3</v>
      </c>
      <c r="AC1437">
        <v>0</v>
      </c>
      <c r="AD1437">
        <v>10</v>
      </c>
      <c r="AE1437">
        <v>0</v>
      </c>
      <c r="AF1437">
        <v>3</v>
      </c>
      <c r="AG1437">
        <v>2</v>
      </c>
      <c r="AH1437">
        <v>0</v>
      </c>
      <c r="AI1437" t="s">
        <v>2977</v>
      </c>
      <c r="AJ1437">
        <v>39.611013</v>
      </c>
      <c r="AK1437" t="s">
        <v>2978</v>
      </c>
      <c r="AL1437">
        <v>-76.437807000000006</v>
      </c>
      <c r="AM1437">
        <v>100</v>
      </c>
      <c r="AN1437">
        <v>8200</v>
      </c>
      <c r="AO1437" t="s">
        <v>115</v>
      </c>
      <c r="AP1437">
        <v>191</v>
      </c>
      <c r="AQ1437">
        <v>89</v>
      </c>
      <c r="AR1437">
        <v>-1344</v>
      </c>
      <c r="AZ1437">
        <v>3614</v>
      </c>
      <c r="BA1437">
        <v>1</v>
      </c>
      <c r="BB1437" t="str">
        <f t="shared" si="68"/>
        <v xml:space="preserve">N959MJ  </v>
      </c>
      <c r="BC1437">
        <v>1</v>
      </c>
      <c r="BE1437">
        <v>0</v>
      </c>
      <c r="BF1437">
        <v>0</v>
      </c>
      <c r="BG1437">
        <v>0</v>
      </c>
      <c r="BH1437">
        <v>8500</v>
      </c>
      <c r="BI1437">
        <v>300</v>
      </c>
      <c r="BJ1437">
        <v>1</v>
      </c>
      <c r="BK1437">
        <v>1</v>
      </c>
      <c r="BL1437">
        <v>1</v>
      </c>
      <c r="BM1437">
        <v>0</v>
      </c>
      <c r="BP1437">
        <v>0</v>
      </c>
      <c r="BQ1437">
        <v>0</v>
      </c>
      <c r="BX1437" t="str">
        <f>"14:14:18.891"</f>
        <v>14:14:18.891</v>
      </c>
      <c r="BY1437" t="str">
        <f>"887836506"</f>
        <v>887836506</v>
      </c>
      <c r="CL1437">
        <v>0</v>
      </c>
      <c r="CM1437">
        <v>2</v>
      </c>
      <c r="CN1437">
        <v>0</v>
      </c>
      <c r="CO1437">
        <v>2</v>
      </c>
      <c r="CP1437">
        <v>0</v>
      </c>
      <c r="CQ1437">
        <v>7</v>
      </c>
      <c r="CR1437" t="s">
        <v>116</v>
      </c>
      <c r="CS1437">
        <v>396</v>
      </c>
      <c r="CT1437">
        <v>2</v>
      </c>
      <c r="CU1437" t="s">
        <v>939</v>
      </c>
      <c r="CV1437" t="s">
        <v>940</v>
      </c>
      <c r="CY1437">
        <v>5280017</v>
      </c>
      <c r="CZ1437" t="s">
        <v>119</v>
      </c>
    </row>
    <row r="1438" spans="1:104" x14ac:dyDescent="0.25">
      <c r="A1438" t="str">
        <f>"14:14:20.078"</f>
        <v>14:14:20.078</v>
      </c>
      <c r="B1438" t="s">
        <v>108</v>
      </c>
      <c r="C1438" t="str">
        <f t="shared" si="67"/>
        <v>ffdfd3c0</v>
      </c>
      <c r="D1438" t="s">
        <v>109</v>
      </c>
      <c r="E1438">
        <v>4</v>
      </c>
      <c r="F1438">
        <v>1004</v>
      </c>
      <c r="G1438" t="s">
        <v>110</v>
      </c>
      <c r="J1438" t="s">
        <v>111</v>
      </c>
      <c r="K1438">
        <v>0</v>
      </c>
      <c r="L1438">
        <v>3</v>
      </c>
      <c r="M1438">
        <v>0</v>
      </c>
      <c r="N1438">
        <v>2</v>
      </c>
      <c r="O1438">
        <v>1</v>
      </c>
      <c r="P1438">
        <v>0</v>
      </c>
      <c r="Q1438">
        <v>0</v>
      </c>
      <c r="R1438" t="s">
        <v>112</v>
      </c>
      <c r="S1438" t="str">
        <f>"14:14:19.906"</f>
        <v>14:14:19.906</v>
      </c>
      <c r="T1438" t="str">
        <f>"14:14:19.508"</f>
        <v>14:14:19.508</v>
      </c>
      <c r="U1438" t="str">
        <f t="shared" si="66"/>
        <v>ad5732</v>
      </c>
      <c r="V1438">
        <v>0</v>
      </c>
      <c r="W1438">
        <v>0</v>
      </c>
      <c r="X1438">
        <v>1</v>
      </c>
      <c r="Z1438">
        <v>0</v>
      </c>
      <c r="AA1438">
        <v>9</v>
      </c>
      <c r="AB1438">
        <v>3</v>
      </c>
      <c r="AC1438">
        <v>0</v>
      </c>
      <c r="AD1438">
        <v>10</v>
      </c>
      <c r="AE1438">
        <v>0</v>
      </c>
      <c r="AF1438">
        <v>3</v>
      </c>
      <c r="AG1438">
        <v>2</v>
      </c>
      <c r="AH1438">
        <v>0</v>
      </c>
      <c r="AI1438" t="s">
        <v>2979</v>
      </c>
      <c r="AJ1438">
        <v>39.611485000000002</v>
      </c>
      <c r="AK1438" t="s">
        <v>2980</v>
      </c>
      <c r="AL1438">
        <v>-76.436541000000005</v>
      </c>
      <c r="AM1438">
        <v>100</v>
      </c>
      <c r="AN1438">
        <v>8200</v>
      </c>
      <c r="AO1438" t="s">
        <v>115</v>
      </c>
      <c r="AP1438">
        <v>191</v>
      </c>
      <c r="AQ1438">
        <v>90</v>
      </c>
      <c r="AR1438">
        <v>-1344</v>
      </c>
      <c r="AZ1438">
        <v>3614</v>
      </c>
      <c r="BA1438">
        <v>1</v>
      </c>
      <c r="BB1438" t="str">
        <f t="shared" si="68"/>
        <v xml:space="preserve">N959MJ  </v>
      </c>
      <c r="BC1438">
        <v>1</v>
      </c>
      <c r="BE1438">
        <v>0</v>
      </c>
      <c r="BF1438">
        <v>0</v>
      </c>
      <c r="BG1438">
        <v>0</v>
      </c>
      <c r="BH1438">
        <v>8450</v>
      </c>
      <c r="BI1438">
        <v>250</v>
      </c>
      <c r="BJ1438">
        <v>1</v>
      </c>
      <c r="BK1438">
        <v>1</v>
      </c>
      <c r="BL1438">
        <v>1</v>
      </c>
      <c r="BM1438">
        <v>0</v>
      </c>
      <c r="BP1438">
        <v>0</v>
      </c>
      <c r="BQ1438">
        <v>0</v>
      </c>
      <c r="BX1438" t="str">
        <f>"14:14:19.914"</f>
        <v>14:14:19.914</v>
      </c>
      <c r="BY1438" t="str">
        <f>"910215211"</f>
        <v>910215211</v>
      </c>
      <c r="CL1438">
        <v>0</v>
      </c>
      <c r="CM1438">
        <v>2</v>
      </c>
      <c r="CN1438">
        <v>0</v>
      </c>
      <c r="CO1438">
        <v>2</v>
      </c>
      <c r="CP1438">
        <v>0</v>
      </c>
      <c r="CQ1438">
        <v>7</v>
      </c>
      <c r="CR1438" t="s">
        <v>116</v>
      </c>
      <c r="CS1438">
        <v>396</v>
      </c>
      <c r="CT1438">
        <v>2</v>
      </c>
      <c r="CU1438" t="s">
        <v>939</v>
      </c>
      <c r="CV1438" t="s">
        <v>940</v>
      </c>
      <c r="CY1438">
        <v>5281917</v>
      </c>
      <c r="CZ1438" t="s">
        <v>119</v>
      </c>
    </row>
    <row r="1439" spans="1:104" x14ac:dyDescent="0.25">
      <c r="A1439" t="str">
        <f>"14:14:21.141"</f>
        <v>14:14:21.141</v>
      </c>
      <c r="B1439" t="s">
        <v>108</v>
      </c>
      <c r="C1439" t="str">
        <f t="shared" si="67"/>
        <v>ffdfd3c0</v>
      </c>
      <c r="D1439" t="s">
        <v>109</v>
      </c>
      <c r="E1439">
        <v>4</v>
      </c>
      <c r="F1439">
        <v>1004</v>
      </c>
      <c r="G1439" t="s">
        <v>110</v>
      </c>
      <c r="J1439" t="s">
        <v>111</v>
      </c>
      <c r="K1439">
        <v>0</v>
      </c>
      <c r="L1439">
        <v>3</v>
      </c>
      <c r="M1439">
        <v>0</v>
      </c>
      <c r="N1439">
        <v>2</v>
      </c>
      <c r="O1439">
        <v>1</v>
      </c>
      <c r="P1439">
        <v>0</v>
      </c>
      <c r="Q1439">
        <v>0</v>
      </c>
      <c r="R1439" t="s">
        <v>112</v>
      </c>
      <c r="S1439" t="str">
        <f>"14:14:20.922"</f>
        <v>14:14:20.922</v>
      </c>
      <c r="T1439" t="str">
        <f>"14:14:20.422"</f>
        <v>14:14:20.422</v>
      </c>
      <c r="U1439" t="str">
        <f t="shared" si="66"/>
        <v>ad5732</v>
      </c>
      <c r="V1439">
        <v>0</v>
      </c>
      <c r="W1439">
        <v>0</v>
      </c>
      <c r="X1439">
        <v>1</v>
      </c>
      <c r="Z1439">
        <v>0</v>
      </c>
      <c r="AA1439">
        <v>9</v>
      </c>
      <c r="AB1439">
        <v>3</v>
      </c>
      <c r="AC1439">
        <v>0</v>
      </c>
      <c r="AD1439">
        <v>10</v>
      </c>
      <c r="AE1439">
        <v>0</v>
      </c>
      <c r="AF1439">
        <v>3</v>
      </c>
      <c r="AG1439">
        <v>2</v>
      </c>
      <c r="AH1439">
        <v>0</v>
      </c>
      <c r="AI1439" t="s">
        <v>2981</v>
      </c>
      <c r="AJ1439">
        <v>39.611893000000002</v>
      </c>
      <c r="AK1439" t="s">
        <v>2982</v>
      </c>
      <c r="AL1439">
        <v>-76.435338999999999</v>
      </c>
      <c r="AM1439">
        <v>100</v>
      </c>
      <c r="AN1439">
        <v>8200</v>
      </c>
      <c r="AO1439" t="s">
        <v>115</v>
      </c>
      <c r="AP1439">
        <v>192</v>
      </c>
      <c r="AQ1439">
        <v>90</v>
      </c>
      <c r="AR1439">
        <v>-1344</v>
      </c>
      <c r="AZ1439">
        <v>3614</v>
      </c>
      <c r="BA1439">
        <v>1</v>
      </c>
      <c r="BB1439" t="str">
        <f t="shared" si="68"/>
        <v xml:space="preserve">N959MJ  </v>
      </c>
      <c r="BC1439">
        <v>1</v>
      </c>
      <c r="BE1439">
        <v>0</v>
      </c>
      <c r="BF1439">
        <v>0</v>
      </c>
      <c r="BG1439">
        <v>0</v>
      </c>
      <c r="BH1439">
        <v>8450</v>
      </c>
      <c r="BI1439">
        <v>250</v>
      </c>
      <c r="BJ1439">
        <v>1</v>
      </c>
      <c r="BK1439">
        <v>1</v>
      </c>
      <c r="BL1439">
        <v>1</v>
      </c>
      <c r="BM1439">
        <v>0</v>
      </c>
      <c r="BP1439">
        <v>0</v>
      </c>
      <c r="BQ1439">
        <v>0</v>
      </c>
      <c r="BX1439" t="str">
        <f>"14:14:20.922"</f>
        <v>14:14:20.922</v>
      </c>
      <c r="BY1439" t="str">
        <f>"922763271"</f>
        <v>922763271</v>
      </c>
      <c r="CL1439">
        <v>0</v>
      </c>
      <c r="CM1439">
        <v>2</v>
      </c>
      <c r="CN1439">
        <v>0</v>
      </c>
      <c r="CO1439">
        <v>2</v>
      </c>
      <c r="CP1439">
        <v>0</v>
      </c>
      <c r="CQ1439">
        <v>6</v>
      </c>
      <c r="CR1439" t="s">
        <v>116</v>
      </c>
      <c r="CS1439">
        <v>396</v>
      </c>
      <c r="CT1439">
        <v>1</v>
      </c>
      <c r="CU1439" t="s">
        <v>939</v>
      </c>
      <c r="CV1439" t="s">
        <v>940</v>
      </c>
      <c r="CY1439">
        <v>8871586</v>
      </c>
      <c r="CZ1439" t="s">
        <v>119</v>
      </c>
    </row>
    <row r="1440" spans="1:104" x14ac:dyDescent="0.25">
      <c r="A1440" t="str">
        <f>"14:14:22.148"</f>
        <v>14:14:22.148</v>
      </c>
      <c r="B1440" t="s">
        <v>108</v>
      </c>
      <c r="C1440" t="str">
        <f t="shared" si="67"/>
        <v>ffdfd3c0</v>
      </c>
      <c r="D1440" t="s">
        <v>109</v>
      </c>
      <c r="E1440">
        <v>4</v>
      </c>
      <c r="F1440">
        <v>1004</v>
      </c>
      <c r="G1440" t="s">
        <v>110</v>
      </c>
      <c r="J1440" t="s">
        <v>111</v>
      </c>
      <c r="K1440">
        <v>0</v>
      </c>
      <c r="L1440">
        <v>3</v>
      </c>
      <c r="M1440">
        <v>0</v>
      </c>
      <c r="N1440">
        <v>2</v>
      </c>
      <c r="O1440">
        <v>1</v>
      </c>
      <c r="P1440">
        <v>0</v>
      </c>
      <c r="Q1440">
        <v>0</v>
      </c>
      <c r="R1440" t="s">
        <v>112</v>
      </c>
      <c r="S1440" t="str">
        <f>"14:14:21.984"</f>
        <v>14:14:21.984</v>
      </c>
      <c r="T1440" t="str">
        <f>"14:14:21.586"</f>
        <v>14:14:21.586</v>
      </c>
      <c r="U1440" t="str">
        <f t="shared" si="66"/>
        <v>ad5732</v>
      </c>
      <c r="V1440">
        <v>0</v>
      </c>
      <c r="W1440">
        <v>0</v>
      </c>
      <c r="X1440">
        <v>1</v>
      </c>
      <c r="Z1440">
        <v>0</v>
      </c>
      <c r="AA1440">
        <v>9</v>
      </c>
      <c r="AB1440">
        <v>3</v>
      </c>
      <c r="AC1440">
        <v>0</v>
      </c>
      <c r="AD1440">
        <v>10</v>
      </c>
      <c r="AE1440">
        <v>0</v>
      </c>
      <c r="AF1440">
        <v>3</v>
      </c>
      <c r="AG1440">
        <v>2</v>
      </c>
      <c r="AH1440">
        <v>0</v>
      </c>
      <c r="AI1440" t="s">
        <v>2983</v>
      </c>
      <c r="AJ1440">
        <v>39.612299999999998</v>
      </c>
      <c r="AK1440" t="s">
        <v>2984</v>
      </c>
      <c r="AL1440">
        <v>-76.434224</v>
      </c>
      <c r="AM1440">
        <v>100</v>
      </c>
      <c r="AN1440">
        <v>8100</v>
      </c>
      <c r="AO1440" t="s">
        <v>115</v>
      </c>
      <c r="AP1440">
        <v>193</v>
      </c>
      <c r="AQ1440">
        <v>91</v>
      </c>
      <c r="AR1440">
        <v>-1344</v>
      </c>
      <c r="AZ1440">
        <v>3614</v>
      </c>
      <c r="BA1440">
        <v>1</v>
      </c>
      <c r="BB1440" t="str">
        <f t="shared" si="68"/>
        <v xml:space="preserve">N959MJ  </v>
      </c>
      <c r="BC1440">
        <v>1</v>
      </c>
      <c r="BE1440">
        <v>0</v>
      </c>
      <c r="BF1440">
        <v>0</v>
      </c>
      <c r="BG1440">
        <v>0</v>
      </c>
      <c r="BH1440">
        <v>8425</v>
      </c>
      <c r="BI1440">
        <v>325</v>
      </c>
      <c r="BJ1440">
        <v>1</v>
      </c>
      <c r="BK1440">
        <v>1</v>
      </c>
      <c r="BL1440">
        <v>1</v>
      </c>
      <c r="BM1440">
        <v>0</v>
      </c>
      <c r="BP1440">
        <v>0</v>
      </c>
      <c r="BQ1440">
        <v>0</v>
      </c>
      <c r="BX1440" t="str">
        <f>"14:14:21.984"</f>
        <v>14:14:21.984</v>
      </c>
      <c r="BY1440" t="str">
        <f>"984464221"</f>
        <v>984464221</v>
      </c>
      <c r="CL1440">
        <v>0</v>
      </c>
      <c r="CM1440">
        <v>2</v>
      </c>
      <c r="CN1440">
        <v>0</v>
      </c>
      <c r="CO1440">
        <v>2</v>
      </c>
      <c r="CP1440">
        <v>0</v>
      </c>
      <c r="CQ1440">
        <v>7</v>
      </c>
      <c r="CR1440" t="s">
        <v>116</v>
      </c>
      <c r="CS1440">
        <v>396</v>
      </c>
      <c r="CT1440">
        <v>2</v>
      </c>
      <c r="CU1440" t="s">
        <v>939</v>
      </c>
      <c r="CV1440" t="s">
        <v>940</v>
      </c>
      <c r="CY1440">
        <v>5285633</v>
      </c>
      <c r="CZ1440" t="s">
        <v>119</v>
      </c>
    </row>
    <row r="1441" spans="1:104" x14ac:dyDescent="0.25">
      <c r="A1441" t="str">
        <f>"14:14:23.211"</f>
        <v>14:14:23.211</v>
      </c>
      <c r="B1441" t="s">
        <v>108</v>
      </c>
      <c r="C1441" t="str">
        <f t="shared" si="67"/>
        <v>ffdfd3c0</v>
      </c>
      <c r="D1441" t="s">
        <v>109</v>
      </c>
      <c r="E1441">
        <v>4</v>
      </c>
      <c r="F1441">
        <v>1004</v>
      </c>
      <c r="G1441" t="s">
        <v>110</v>
      </c>
      <c r="J1441" t="s">
        <v>111</v>
      </c>
      <c r="K1441">
        <v>0</v>
      </c>
      <c r="L1441">
        <v>3</v>
      </c>
      <c r="M1441">
        <v>0</v>
      </c>
      <c r="N1441">
        <v>2</v>
      </c>
      <c r="O1441">
        <v>1</v>
      </c>
      <c r="P1441">
        <v>0</v>
      </c>
      <c r="Q1441">
        <v>0</v>
      </c>
      <c r="R1441" t="s">
        <v>112</v>
      </c>
      <c r="S1441" t="str">
        <f>"14:14:23.047"</f>
        <v>14:14:23.047</v>
      </c>
      <c r="T1441" t="str">
        <f>"14:14:22.547"</f>
        <v>14:14:22.547</v>
      </c>
      <c r="U1441" t="str">
        <f t="shared" si="66"/>
        <v>ad5732</v>
      </c>
      <c r="V1441">
        <v>0</v>
      </c>
      <c r="W1441">
        <v>0</v>
      </c>
      <c r="X1441">
        <v>1</v>
      </c>
      <c r="Z1441">
        <v>0</v>
      </c>
      <c r="AA1441">
        <v>9</v>
      </c>
      <c r="AB1441">
        <v>3</v>
      </c>
      <c r="AC1441">
        <v>0</v>
      </c>
      <c r="AD1441">
        <v>10</v>
      </c>
      <c r="AE1441">
        <v>0</v>
      </c>
      <c r="AF1441">
        <v>3</v>
      </c>
      <c r="AG1441">
        <v>2</v>
      </c>
      <c r="AH1441">
        <v>0</v>
      </c>
      <c r="AI1441" t="s">
        <v>2985</v>
      </c>
      <c r="AJ1441">
        <v>39.612794000000001</v>
      </c>
      <c r="AK1441" t="s">
        <v>2986</v>
      </c>
      <c r="AL1441">
        <v>-76.432914999999994</v>
      </c>
      <c r="AM1441">
        <v>100</v>
      </c>
      <c r="AN1441">
        <v>8100</v>
      </c>
      <c r="AO1441" t="s">
        <v>115</v>
      </c>
      <c r="AP1441">
        <v>193</v>
      </c>
      <c r="AQ1441">
        <v>91</v>
      </c>
      <c r="AR1441">
        <v>-1344</v>
      </c>
      <c r="AZ1441">
        <v>3614</v>
      </c>
      <c r="BA1441">
        <v>1</v>
      </c>
      <c r="BB1441" t="str">
        <f t="shared" si="68"/>
        <v xml:space="preserve">N959MJ  </v>
      </c>
      <c r="BC1441">
        <v>1</v>
      </c>
      <c r="BE1441">
        <v>0</v>
      </c>
      <c r="BF1441">
        <v>0</v>
      </c>
      <c r="BG1441">
        <v>0</v>
      </c>
      <c r="BH1441">
        <v>8400</v>
      </c>
      <c r="BI1441">
        <v>300</v>
      </c>
      <c r="BJ1441">
        <v>1</v>
      </c>
      <c r="BK1441">
        <v>1</v>
      </c>
      <c r="BL1441">
        <v>1</v>
      </c>
      <c r="BM1441">
        <v>0</v>
      </c>
      <c r="BP1441">
        <v>0</v>
      </c>
      <c r="BQ1441">
        <v>0</v>
      </c>
      <c r="BX1441" t="str">
        <f>"14:14:23.047"</f>
        <v>14:14:23.047</v>
      </c>
      <c r="BY1441" t="str">
        <f>"049442053"</f>
        <v>049442053</v>
      </c>
      <c r="CL1441">
        <v>0</v>
      </c>
      <c r="CM1441">
        <v>2</v>
      </c>
      <c r="CN1441">
        <v>0</v>
      </c>
      <c r="CO1441">
        <v>2</v>
      </c>
      <c r="CP1441">
        <v>0</v>
      </c>
      <c r="CQ1441">
        <v>6</v>
      </c>
      <c r="CR1441" t="s">
        <v>116</v>
      </c>
      <c r="CS1441">
        <v>396</v>
      </c>
      <c r="CT1441">
        <v>1</v>
      </c>
      <c r="CU1441" t="s">
        <v>939</v>
      </c>
      <c r="CV1441" t="s">
        <v>940</v>
      </c>
      <c r="CY1441">
        <v>8875368</v>
      </c>
      <c r="CZ1441" t="s">
        <v>119</v>
      </c>
    </row>
    <row r="1442" spans="1:104" x14ac:dyDescent="0.25">
      <c r="A1442" t="str">
        <f>"14:14:24.219"</f>
        <v>14:14:24.219</v>
      </c>
      <c r="B1442" t="s">
        <v>108</v>
      </c>
      <c r="C1442" t="str">
        <f t="shared" si="67"/>
        <v>ffdfd3c0</v>
      </c>
      <c r="D1442" t="s">
        <v>109</v>
      </c>
      <c r="E1442">
        <v>4</v>
      </c>
      <c r="F1442">
        <v>1004</v>
      </c>
      <c r="G1442" t="s">
        <v>110</v>
      </c>
      <c r="J1442" t="s">
        <v>111</v>
      </c>
      <c r="K1442">
        <v>0</v>
      </c>
      <c r="L1442">
        <v>3</v>
      </c>
      <c r="M1442">
        <v>0</v>
      </c>
      <c r="N1442">
        <v>2</v>
      </c>
      <c r="O1442">
        <v>1</v>
      </c>
      <c r="P1442">
        <v>0</v>
      </c>
      <c r="Q1442">
        <v>0</v>
      </c>
      <c r="R1442" t="s">
        <v>112</v>
      </c>
      <c r="S1442" t="str">
        <f>"14:14:24.031"</f>
        <v>14:14:24.031</v>
      </c>
      <c r="T1442" t="str">
        <f>"14:14:23.633"</f>
        <v>14:14:23.633</v>
      </c>
      <c r="U1442" t="str">
        <f t="shared" si="66"/>
        <v>ad5732</v>
      </c>
      <c r="V1442">
        <v>0</v>
      </c>
      <c r="W1442">
        <v>0</v>
      </c>
      <c r="X1442">
        <v>1</v>
      </c>
      <c r="Z1442">
        <v>0</v>
      </c>
      <c r="AA1442">
        <v>9</v>
      </c>
      <c r="AB1442">
        <v>3</v>
      </c>
      <c r="AC1442">
        <v>0</v>
      </c>
      <c r="AD1442">
        <v>10</v>
      </c>
      <c r="AE1442">
        <v>0</v>
      </c>
      <c r="AF1442">
        <v>3</v>
      </c>
      <c r="AG1442">
        <v>2</v>
      </c>
      <c r="AH1442">
        <v>0</v>
      </c>
      <c r="AI1442" t="s">
        <v>2987</v>
      </c>
      <c r="AJ1442">
        <v>39.613202000000001</v>
      </c>
      <c r="AK1442" t="s">
        <v>2988</v>
      </c>
      <c r="AL1442">
        <v>-76.431755999999993</v>
      </c>
      <c r="AM1442">
        <v>100</v>
      </c>
      <c r="AN1442">
        <v>8100</v>
      </c>
      <c r="AO1442" t="s">
        <v>115</v>
      </c>
      <c r="AP1442">
        <v>194</v>
      </c>
      <c r="AQ1442">
        <v>92</v>
      </c>
      <c r="AR1442">
        <v>-1280</v>
      </c>
      <c r="AZ1442">
        <v>3614</v>
      </c>
      <c r="BA1442">
        <v>1</v>
      </c>
      <c r="BB1442" t="str">
        <f t="shared" si="68"/>
        <v xml:space="preserve">N959MJ  </v>
      </c>
      <c r="BC1442">
        <v>1</v>
      </c>
      <c r="BE1442">
        <v>0</v>
      </c>
      <c r="BF1442">
        <v>0</v>
      </c>
      <c r="BG1442">
        <v>0</v>
      </c>
      <c r="BH1442">
        <v>8375</v>
      </c>
      <c r="BI1442">
        <v>275</v>
      </c>
      <c r="BJ1442">
        <v>1</v>
      </c>
      <c r="BK1442">
        <v>1</v>
      </c>
      <c r="BL1442">
        <v>1</v>
      </c>
      <c r="BM1442">
        <v>0</v>
      </c>
      <c r="BP1442">
        <v>0</v>
      </c>
      <c r="BQ1442">
        <v>0</v>
      </c>
      <c r="BX1442" t="str">
        <f>"14:14:24.039"</f>
        <v>14:14:24.039</v>
      </c>
      <c r="BY1442" t="str">
        <f>"035775381"</f>
        <v>035775381</v>
      </c>
      <c r="CL1442">
        <v>0</v>
      </c>
      <c r="CM1442">
        <v>2</v>
      </c>
      <c r="CN1442">
        <v>0</v>
      </c>
      <c r="CO1442">
        <v>2</v>
      </c>
      <c r="CP1442">
        <v>0</v>
      </c>
      <c r="CQ1442">
        <v>6</v>
      </c>
      <c r="CR1442" t="s">
        <v>116</v>
      </c>
      <c r="CS1442">
        <v>396</v>
      </c>
      <c r="CT1442">
        <v>2</v>
      </c>
      <c r="CU1442" t="s">
        <v>939</v>
      </c>
      <c r="CV1442" t="s">
        <v>940</v>
      </c>
      <c r="CY1442">
        <v>5289332</v>
      </c>
      <c r="CZ1442" t="s">
        <v>119</v>
      </c>
    </row>
    <row r="1443" spans="1:104" x14ac:dyDescent="0.25">
      <c r="A1443" t="str">
        <f>"14:14:25.180"</f>
        <v>14:14:25.180</v>
      </c>
      <c r="B1443" t="s">
        <v>108</v>
      </c>
      <c r="C1443" t="str">
        <f t="shared" si="67"/>
        <v>ffdfd3c0</v>
      </c>
      <c r="D1443" t="s">
        <v>109</v>
      </c>
      <c r="E1443">
        <v>4</v>
      </c>
      <c r="F1443">
        <v>1004</v>
      </c>
      <c r="G1443" t="s">
        <v>110</v>
      </c>
      <c r="J1443" t="s">
        <v>111</v>
      </c>
      <c r="K1443">
        <v>0</v>
      </c>
      <c r="L1443">
        <v>3</v>
      </c>
      <c r="M1443">
        <v>0</v>
      </c>
      <c r="N1443">
        <v>2</v>
      </c>
      <c r="O1443">
        <v>1</v>
      </c>
      <c r="P1443">
        <v>0</v>
      </c>
      <c r="Q1443">
        <v>0</v>
      </c>
      <c r="R1443" t="s">
        <v>112</v>
      </c>
      <c r="S1443" t="str">
        <f>"14:14:25.008"</f>
        <v>14:14:25.008</v>
      </c>
      <c r="T1443" t="str">
        <f>"14:14:24.609"</f>
        <v>14:14:24.609</v>
      </c>
      <c r="U1443" t="str">
        <f t="shared" si="66"/>
        <v>ad5732</v>
      </c>
      <c r="V1443">
        <v>0</v>
      </c>
      <c r="W1443">
        <v>0</v>
      </c>
      <c r="X1443">
        <v>1</v>
      </c>
      <c r="Z1443">
        <v>0</v>
      </c>
      <c r="AA1443">
        <v>9</v>
      </c>
      <c r="AB1443">
        <v>3</v>
      </c>
      <c r="AC1443">
        <v>0</v>
      </c>
      <c r="AD1443">
        <v>10</v>
      </c>
      <c r="AE1443">
        <v>0</v>
      </c>
      <c r="AF1443">
        <v>3</v>
      </c>
      <c r="AG1443">
        <v>2</v>
      </c>
      <c r="AH1443">
        <v>0</v>
      </c>
      <c r="AI1443" t="s">
        <v>2989</v>
      </c>
      <c r="AJ1443">
        <v>39.613630999999998</v>
      </c>
      <c r="AK1443" t="s">
        <v>2990</v>
      </c>
      <c r="AL1443">
        <v>-76.430597000000006</v>
      </c>
      <c r="AM1443">
        <v>100</v>
      </c>
      <c r="AN1443">
        <v>8100</v>
      </c>
      <c r="AO1443" t="s">
        <v>115</v>
      </c>
      <c r="AP1443">
        <v>194</v>
      </c>
      <c r="AQ1443">
        <v>92</v>
      </c>
      <c r="AR1443">
        <v>-1216</v>
      </c>
      <c r="AZ1443">
        <v>3614</v>
      </c>
      <c r="BA1443">
        <v>1</v>
      </c>
      <c r="BB1443" t="str">
        <f t="shared" si="68"/>
        <v xml:space="preserve">N959MJ  </v>
      </c>
      <c r="BC1443">
        <v>1</v>
      </c>
      <c r="BE1443">
        <v>0</v>
      </c>
      <c r="BF1443">
        <v>0</v>
      </c>
      <c r="BG1443">
        <v>0</v>
      </c>
      <c r="BH1443">
        <v>8350</v>
      </c>
      <c r="BI1443">
        <v>250</v>
      </c>
      <c r="BJ1443">
        <v>1</v>
      </c>
      <c r="BK1443">
        <v>1</v>
      </c>
      <c r="BL1443">
        <v>1</v>
      </c>
      <c r="BM1443">
        <v>0</v>
      </c>
      <c r="BP1443">
        <v>0</v>
      </c>
      <c r="BQ1443">
        <v>0</v>
      </c>
      <c r="BX1443" t="str">
        <f>"14:14:25.008"</f>
        <v>14:14:25.008</v>
      </c>
      <c r="BY1443" t="str">
        <f>"009001243"</f>
        <v>009001243</v>
      </c>
      <c r="CL1443">
        <v>0</v>
      </c>
      <c r="CM1443">
        <v>2</v>
      </c>
      <c r="CN1443">
        <v>0</v>
      </c>
      <c r="CO1443">
        <v>2</v>
      </c>
      <c r="CP1443">
        <v>0</v>
      </c>
      <c r="CQ1443">
        <v>6</v>
      </c>
      <c r="CR1443" t="s">
        <v>116</v>
      </c>
      <c r="CS1443">
        <v>396</v>
      </c>
      <c r="CT1443">
        <v>2</v>
      </c>
      <c r="CU1443" t="s">
        <v>939</v>
      </c>
      <c r="CV1443" t="s">
        <v>940</v>
      </c>
      <c r="CY1443">
        <v>5291022</v>
      </c>
      <c r="CZ1443" t="s">
        <v>119</v>
      </c>
    </row>
    <row r="1444" spans="1:104" x14ac:dyDescent="0.25">
      <c r="A1444" t="str">
        <f>"14:14:26.289"</f>
        <v>14:14:26.289</v>
      </c>
      <c r="B1444" t="s">
        <v>108</v>
      </c>
      <c r="C1444" t="str">
        <f t="shared" si="67"/>
        <v>ffdfd3c0</v>
      </c>
      <c r="D1444" t="s">
        <v>109</v>
      </c>
      <c r="E1444">
        <v>4</v>
      </c>
      <c r="F1444">
        <v>1004</v>
      </c>
      <c r="G1444" t="s">
        <v>110</v>
      </c>
      <c r="J1444" t="s">
        <v>111</v>
      </c>
      <c r="K1444">
        <v>0</v>
      </c>
      <c r="L1444">
        <v>3</v>
      </c>
      <c r="M1444">
        <v>0</v>
      </c>
      <c r="N1444">
        <v>2</v>
      </c>
      <c r="O1444">
        <v>1</v>
      </c>
      <c r="P1444">
        <v>0</v>
      </c>
      <c r="Q1444">
        <v>0</v>
      </c>
      <c r="R1444" t="s">
        <v>112</v>
      </c>
      <c r="S1444" t="str">
        <f>"14:14:26.078"</f>
        <v>14:14:26.078</v>
      </c>
      <c r="T1444" t="str">
        <f>"14:14:25.578"</f>
        <v>14:14:25.578</v>
      </c>
      <c r="U1444" t="str">
        <f t="shared" si="66"/>
        <v>ad5732</v>
      </c>
      <c r="V1444">
        <v>0</v>
      </c>
      <c r="W1444">
        <v>0</v>
      </c>
      <c r="X1444">
        <v>1</v>
      </c>
      <c r="Z1444">
        <v>0</v>
      </c>
      <c r="AA1444">
        <v>9</v>
      </c>
      <c r="AB1444">
        <v>3</v>
      </c>
      <c r="AC1444">
        <v>0</v>
      </c>
      <c r="AD1444">
        <v>10</v>
      </c>
      <c r="AE1444">
        <v>0</v>
      </c>
      <c r="AF1444">
        <v>3</v>
      </c>
      <c r="AG1444">
        <v>2</v>
      </c>
      <c r="AH1444">
        <v>0</v>
      </c>
      <c r="AI1444" t="s">
        <v>2991</v>
      </c>
      <c r="AJ1444">
        <v>39.614038000000001</v>
      </c>
      <c r="AK1444" t="s">
        <v>2992</v>
      </c>
      <c r="AL1444">
        <v>-76.429439000000002</v>
      </c>
      <c r="AM1444">
        <v>100</v>
      </c>
      <c r="AN1444">
        <v>8000</v>
      </c>
      <c r="AO1444" t="s">
        <v>115</v>
      </c>
      <c r="AP1444">
        <v>194</v>
      </c>
      <c r="AQ1444">
        <v>93</v>
      </c>
      <c r="AR1444">
        <v>-1216</v>
      </c>
      <c r="AZ1444">
        <v>3614</v>
      </c>
      <c r="BA1444">
        <v>1</v>
      </c>
      <c r="BB1444" t="str">
        <f t="shared" si="68"/>
        <v xml:space="preserve">N959MJ  </v>
      </c>
      <c r="BC1444">
        <v>1</v>
      </c>
      <c r="BE1444">
        <v>0</v>
      </c>
      <c r="BF1444">
        <v>0</v>
      </c>
      <c r="BG1444">
        <v>0</v>
      </c>
      <c r="BH1444">
        <v>8325</v>
      </c>
      <c r="BI1444">
        <v>325</v>
      </c>
      <c r="BJ1444">
        <v>1</v>
      </c>
      <c r="BK1444">
        <v>1</v>
      </c>
      <c r="BL1444">
        <v>1</v>
      </c>
      <c r="BM1444">
        <v>0</v>
      </c>
      <c r="BP1444">
        <v>0</v>
      </c>
      <c r="BQ1444">
        <v>0</v>
      </c>
      <c r="BX1444" t="str">
        <f>"14:14:26.078"</f>
        <v>14:14:26.078</v>
      </c>
      <c r="BY1444" t="str">
        <f>"080532635"</f>
        <v>080532635</v>
      </c>
      <c r="CL1444">
        <v>0</v>
      </c>
      <c r="CM1444">
        <v>2</v>
      </c>
      <c r="CN1444">
        <v>0</v>
      </c>
      <c r="CO1444">
        <v>2</v>
      </c>
      <c r="CP1444">
        <v>0</v>
      </c>
      <c r="CQ1444">
        <v>6</v>
      </c>
      <c r="CR1444" t="s">
        <v>116</v>
      </c>
      <c r="CS1444">
        <v>396</v>
      </c>
      <c r="CT1444">
        <v>1</v>
      </c>
      <c r="CU1444" t="s">
        <v>939</v>
      </c>
      <c r="CV1444" t="s">
        <v>940</v>
      </c>
      <c r="CY1444">
        <v>8880684</v>
      </c>
      <c r="CZ1444" t="s">
        <v>119</v>
      </c>
    </row>
    <row r="1445" spans="1:104" x14ac:dyDescent="0.25">
      <c r="A1445" t="str">
        <f>"14:14:27.250"</f>
        <v>14:14:27.250</v>
      </c>
      <c r="B1445" t="s">
        <v>108</v>
      </c>
      <c r="C1445" t="str">
        <f t="shared" si="67"/>
        <v>ffdfd3c0</v>
      </c>
      <c r="D1445" t="s">
        <v>109</v>
      </c>
      <c r="E1445">
        <v>4</v>
      </c>
      <c r="F1445">
        <v>1004</v>
      </c>
      <c r="G1445" t="s">
        <v>110</v>
      </c>
      <c r="J1445" t="s">
        <v>111</v>
      </c>
      <c r="K1445">
        <v>0</v>
      </c>
      <c r="L1445">
        <v>3</v>
      </c>
      <c r="M1445">
        <v>0</v>
      </c>
      <c r="N1445">
        <v>2</v>
      </c>
      <c r="O1445">
        <v>1</v>
      </c>
      <c r="P1445">
        <v>0</v>
      </c>
      <c r="Q1445">
        <v>0</v>
      </c>
      <c r="R1445" t="s">
        <v>112</v>
      </c>
      <c r="S1445" t="str">
        <f>"14:14:27.047"</f>
        <v>14:14:27.047</v>
      </c>
      <c r="T1445" t="str">
        <f>"14:14:26.547"</f>
        <v>14:14:26.547</v>
      </c>
      <c r="U1445" t="str">
        <f t="shared" si="66"/>
        <v>ad5732</v>
      </c>
      <c r="V1445">
        <v>0</v>
      </c>
      <c r="W1445">
        <v>0</v>
      </c>
      <c r="X1445">
        <v>1</v>
      </c>
      <c r="Z1445">
        <v>0</v>
      </c>
      <c r="AA1445">
        <v>9</v>
      </c>
      <c r="AB1445">
        <v>3</v>
      </c>
      <c r="AC1445">
        <v>0</v>
      </c>
      <c r="AD1445">
        <v>10</v>
      </c>
      <c r="AE1445">
        <v>0</v>
      </c>
      <c r="AF1445">
        <v>3</v>
      </c>
      <c r="AG1445">
        <v>2</v>
      </c>
      <c r="AH1445">
        <v>0</v>
      </c>
      <c r="AI1445" t="s">
        <v>2993</v>
      </c>
      <c r="AJ1445">
        <v>39.614468000000002</v>
      </c>
      <c r="AK1445" t="s">
        <v>2994</v>
      </c>
      <c r="AL1445">
        <v>-76.428280000000001</v>
      </c>
      <c r="AM1445">
        <v>100</v>
      </c>
      <c r="AN1445">
        <v>8000</v>
      </c>
      <c r="AO1445" t="s">
        <v>115</v>
      </c>
      <c r="AP1445">
        <v>194</v>
      </c>
      <c r="AQ1445">
        <v>93</v>
      </c>
      <c r="AR1445">
        <v>-1152</v>
      </c>
      <c r="AZ1445">
        <v>3614</v>
      </c>
      <c r="BA1445">
        <v>1</v>
      </c>
      <c r="BB1445" t="str">
        <f t="shared" si="68"/>
        <v xml:space="preserve">N959MJ  </v>
      </c>
      <c r="BC1445">
        <v>1</v>
      </c>
      <c r="BE1445">
        <v>0</v>
      </c>
      <c r="BF1445">
        <v>0</v>
      </c>
      <c r="BG1445">
        <v>0</v>
      </c>
      <c r="BH1445">
        <v>8300</v>
      </c>
      <c r="BI1445">
        <v>300</v>
      </c>
      <c r="BJ1445">
        <v>1</v>
      </c>
      <c r="BK1445">
        <v>1</v>
      </c>
      <c r="BL1445">
        <v>1</v>
      </c>
      <c r="BM1445">
        <v>0</v>
      </c>
      <c r="BP1445">
        <v>0</v>
      </c>
      <c r="BQ1445">
        <v>0</v>
      </c>
      <c r="BX1445" t="str">
        <f>"14:14:27.055"</f>
        <v>14:14:27.055</v>
      </c>
      <c r="BY1445" t="str">
        <f>"052227016"</f>
        <v>052227016</v>
      </c>
      <c r="CL1445">
        <v>0</v>
      </c>
      <c r="CM1445">
        <v>2</v>
      </c>
      <c r="CN1445">
        <v>0</v>
      </c>
      <c r="CO1445">
        <v>2</v>
      </c>
      <c r="CP1445">
        <v>0</v>
      </c>
      <c r="CQ1445">
        <v>5</v>
      </c>
      <c r="CR1445" t="s">
        <v>116</v>
      </c>
      <c r="CS1445">
        <v>372</v>
      </c>
      <c r="CT1445">
        <v>3</v>
      </c>
      <c r="CU1445" t="s">
        <v>877</v>
      </c>
      <c r="CV1445" t="s">
        <v>878</v>
      </c>
      <c r="CY1445">
        <v>11940654</v>
      </c>
      <c r="CZ1445" t="s">
        <v>119</v>
      </c>
    </row>
    <row r="1446" spans="1:104" x14ac:dyDescent="0.25">
      <c r="A1446" t="str">
        <f>"14:14:28.156"</f>
        <v>14:14:28.156</v>
      </c>
      <c r="B1446" t="s">
        <v>108</v>
      </c>
      <c r="C1446" t="str">
        <f t="shared" si="67"/>
        <v>ffdfd3c0</v>
      </c>
      <c r="D1446" t="s">
        <v>109</v>
      </c>
      <c r="E1446">
        <v>4</v>
      </c>
      <c r="F1446">
        <v>1004</v>
      </c>
      <c r="G1446" t="s">
        <v>110</v>
      </c>
      <c r="J1446" t="s">
        <v>111</v>
      </c>
      <c r="K1446">
        <v>0</v>
      </c>
      <c r="L1446">
        <v>3</v>
      </c>
      <c r="M1446">
        <v>0</v>
      </c>
      <c r="N1446">
        <v>2</v>
      </c>
      <c r="O1446">
        <v>1</v>
      </c>
      <c r="P1446">
        <v>0</v>
      </c>
      <c r="Q1446">
        <v>0</v>
      </c>
      <c r="R1446" t="s">
        <v>112</v>
      </c>
      <c r="S1446" t="str">
        <f>"14:14:27.984"</f>
        <v>14:14:27.984</v>
      </c>
      <c r="T1446" t="str">
        <f>"14:14:27.586"</f>
        <v>14:14:27.586</v>
      </c>
      <c r="U1446" t="str">
        <f t="shared" si="66"/>
        <v>ad5732</v>
      </c>
      <c r="V1446">
        <v>0</v>
      </c>
      <c r="W1446">
        <v>0</v>
      </c>
      <c r="X1446">
        <v>1</v>
      </c>
      <c r="Z1446">
        <v>0</v>
      </c>
      <c r="AA1446">
        <v>9</v>
      </c>
      <c r="AB1446">
        <v>3</v>
      </c>
      <c r="AC1446">
        <v>0</v>
      </c>
      <c r="AD1446">
        <v>10</v>
      </c>
      <c r="AE1446">
        <v>0</v>
      </c>
      <c r="AF1446">
        <v>3</v>
      </c>
      <c r="AG1446">
        <v>2</v>
      </c>
      <c r="AH1446">
        <v>0</v>
      </c>
      <c r="AI1446" t="s">
        <v>2995</v>
      </c>
      <c r="AJ1446">
        <v>39.614939999999997</v>
      </c>
      <c r="AK1446" t="s">
        <v>2996</v>
      </c>
      <c r="AL1446">
        <v>-76.427121</v>
      </c>
      <c r="AM1446">
        <v>100</v>
      </c>
      <c r="AN1446">
        <v>8000</v>
      </c>
      <c r="AO1446" t="s">
        <v>115</v>
      </c>
      <c r="AP1446">
        <v>194</v>
      </c>
      <c r="AQ1446">
        <v>94</v>
      </c>
      <c r="AR1446">
        <v>-1152</v>
      </c>
      <c r="AZ1446">
        <v>3614</v>
      </c>
      <c r="BA1446">
        <v>1</v>
      </c>
      <c r="BB1446" t="str">
        <f t="shared" si="68"/>
        <v xml:space="preserve">N959MJ  </v>
      </c>
      <c r="BC1446">
        <v>1</v>
      </c>
      <c r="BE1446">
        <v>0</v>
      </c>
      <c r="BF1446">
        <v>0</v>
      </c>
      <c r="BG1446">
        <v>0</v>
      </c>
      <c r="BH1446">
        <v>8300</v>
      </c>
      <c r="BI1446">
        <v>300</v>
      </c>
      <c r="BJ1446">
        <v>1</v>
      </c>
      <c r="BK1446">
        <v>1</v>
      </c>
      <c r="BL1446">
        <v>1</v>
      </c>
      <c r="BM1446">
        <v>0</v>
      </c>
      <c r="BP1446">
        <v>0</v>
      </c>
      <c r="BQ1446">
        <v>0</v>
      </c>
      <c r="BX1446" t="str">
        <f>"14:14:27.992"</f>
        <v>14:14:27.992</v>
      </c>
      <c r="BY1446" t="str">
        <f>"990938951"</f>
        <v>990938951</v>
      </c>
      <c r="CL1446">
        <v>0</v>
      </c>
      <c r="CM1446">
        <v>2</v>
      </c>
      <c r="CN1446">
        <v>0</v>
      </c>
      <c r="CO1446">
        <v>2</v>
      </c>
      <c r="CP1446">
        <v>0</v>
      </c>
      <c r="CQ1446">
        <v>7</v>
      </c>
      <c r="CR1446" t="s">
        <v>116</v>
      </c>
      <c r="CS1446">
        <v>396</v>
      </c>
      <c r="CT1446">
        <v>2</v>
      </c>
      <c r="CU1446" t="s">
        <v>939</v>
      </c>
      <c r="CV1446" t="s">
        <v>940</v>
      </c>
      <c r="CY1446">
        <v>5296308</v>
      </c>
      <c r="CZ1446" t="s">
        <v>119</v>
      </c>
    </row>
    <row r="1447" spans="1:104" x14ac:dyDescent="0.25">
      <c r="A1447" t="str">
        <f>"14:14:29.266"</f>
        <v>14:14:29.266</v>
      </c>
      <c r="B1447" t="s">
        <v>108</v>
      </c>
      <c r="C1447" t="str">
        <f t="shared" si="67"/>
        <v>ffdfd3c0</v>
      </c>
      <c r="D1447" t="s">
        <v>109</v>
      </c>
      <c r="E1447">
        <v>4</v>
      </c>
      <c r="F1447">
        <v>1004</v>
      </c>
      <c r="G1447" t="s">
        <v>110</v>
      </c>
      <c r="J1447" t="s">
        <v>111</v>
      </c>
      <c r="K1447">
        <v>0</v>
      </c>
      <c r="L1447">
        <v>3</v>
      </c>
      <c r="M1447">
        <v>0</v>
      </c>
      <c r="N1447">
        <v>2</v>
      </c>
      <c r="O1447">
        <v>1</v>
      </c>
      <c r="P1447">
        <v>0</v>
      </c>
      <c r="Q1447">
        <v>0</v>
      </c>
      <c r="R1447" t="s">
        <v>112</v>
      </c>
      <c r="S1447" t="str">
        <f>"14:14:29.078"</f>
        <v>14:14:29.078</v>
      </c>
      <c r="T1447" t="str">
        <f>"14:14:28.578"</f>
        <v>14:14:28.578</v>
      </c>
      <c r="U1447" t="str">
        <f t="shared" si="66"/>
        <v>ad5732</v>
      </c>
      <c r="V1447">
        <v>0</v>
      </c>
      <c r="W1447">
        <v>0</v>
      </c>
      <c r="X1447">
        <v>1</v>
      </c>
      <c r="Z1447">
        <v>0</v>
      </c>
      <c r="AA1447">
        <v>9</v>
      </c>
      <c r="AB1447">
        <v>3</v>
      </c>
      <c r="AC1447">
        <v>0</v>
      </c>
      <c r="AD1447">
        <v>10</v>
      </c>
      <c r="AE1447">
        <v>0</v>
      </c>
      <c r="AF1447">
        <v>3</v>
      </c>
      <c r="AG1447">
        <v>2</v>
      </c>
      <c r="AH1447">
        <v>0</v>
      </c>
      <c r="AI1447" t="s">
        <v>2997</v>
      </c>
      <c r="AJ1447">
        <v>39.615347</v>
      </c>
      <c r="AK1447" t="s">
        <v>2998</v>
      </c>
      <c r="AL1447">
        <v>-76.425961999999998</v>
      </c>
      <c r="AM1447">
        <v>100</v>
      </c>
      <c r="AN1447">
        <v>8000</v>
      </c>
      <c r="AO1447" t="s">
        <v>115</v>
      </c>
      <c r="AP1447">
        <v>195</v>
      </c>
      <c r="AQ1447">
        <v>94</v>
      </c>
      <c r="AR1447">
        <v>-1152</v>
      </c>
      <c r="AZ1447">
        <v>3614</v>
      </c>
      <c r="BA1447">
        <v>1</v>
      </c>
      <c r="BB1447" t="str">
        <f t="shared" si="68"/>
        <v xml:space="preserve">N959MJ  </v>
      </c>
      <c r="BC1447">
        <v>1</v>
      </c>
      <c r="BE1447">
        <v>0</v>
      </c>
      <c r="BF1447">
        <v>0</v>
      </c>
      <c r="BG1447">
        <v>0</v>
      </c>
      <c r="BH1447">
        <v>8275</v>
      </c>
      <c r="BI1447">
        <v>275</v>
      </c>
      <c r="BJ1447">
        <v>1</v>
      </c>
      <c r="BK1447">
        <v>1</v>
      </c>
      <c r="BL1447">
        <v>1</v>
      </c>
      <c r="BM1447">
        <v>0</v>
      </c>
      <c r="BP1447">
        <v>0</v>
      </c>
      <c r="BQ1447">
        <v>0</v>
      </c>
      <c r="BX1447" t="str">
        <f>"14:14:29.086"</f>
        <v>14:14:29.086</v>
      </c>
      <c r="BY1447" t="str">
        <f>"083877256"</f>
        <v>083877256</v>
      </c>
      <c r="CL1447">
        <v>0</v>
      </c>
      <c r="CM1447">
        <v>2</v>
      </c>
      <c r="CN1447">
        <v>0</v>
      </c>
      <c r="CO1447">
        <v>2</v>
      </c>
      <c r="CP1447">
        <v>0</v>
      </c>
      <c r="CQ1447">
        <v>5</v>
      </c>
      <c r="CR1447" t="s">
        <v>116</v>
      </c>
      <c r="CS1447">
        <v>372</v>
      </c>
      <c r="CT1447">
        <v>3</v>
      </c>
      <c r="CU1447" t="s">
        <v>877</v>
      </c>
      <c r="CV1447" t="s">
        <v>878</v>
      </c>
      <c r="CY1447">
        <v>11944252</v>
      </c>
      <c r="CZ1447" t="s">
        <v>119</v>
      </c>
    </row>
    <row r="1448" spans="1:104" x14ac:dyDescent="0.25">
      <c r="A1448" t="str">
        <f>"14:14:30.328"</f>
        <v>14:14:30.328</v>
      </c>
      <c r="B1448" t="s">
        <v>108</v>
      </c>
      <c r="C1448" t="str">
        <f t="shared" si="67"/>
        <v>ffdfd3c0</v>
      </c>
      <c r="D1448" t="s">
        <v>109</v>
      </c>
      <c r="E1448">
        <v>4</v>
      </c>
      <c r="F1448">
        <v>1004</v>
      </c>
      <c r="G1448" t="s">
        <v>110</v>
      </c>
      <c r="J1448" t="s">
        <v>111</v>
      </c>
      <c r="K1448">
        <v>0</v>
      </c>
      <c r="L1448">
        <v>3</v>
      </c>
      <c r="M1448">
        <v>0</v>
      </c>
      <c r="N1448">
        <v>2</v>
      </c>
      <c r="O1448">
        <v>1</v>
      </c>
      <c r="P1448">
        <v>0</v>
      </c>
      <c r="Q1448">
        <v>0</v>
      </c>
      <c r="R1448" t="s">
        <v>112</v>
      </c>
      <c r="S1448" t="str">
        <f>"14:14:30.133"</f>
        <v>14:14:30.133</v>
      </c>
      <c r="T1448" t="str">
        <f>"14:14:29.734"</f>
        <v>14:14:29.734</v>
      </c>
      <c r="U1448" t="str">
        <f t="shared" si="66"/>
        <v>ad5732</v>
      </c>
      <c r="V1448">
        <v>0</v>
      </c>
      <c r="W1448">
        <v>0</v>
      </c>
      <c r="X1448">
        <v>1</v>
      </c>
      <c r="Z1448">
        <v>0</v>
      </c>
      <c r="AA1448">
        <v>9</v>
      </c>
      <c r="AB1448">
        <v>3</v>
      </c>
      <c r="AC1448">
        <v>0</v>
      </c>
      <c r="AD1448">
        <v>10</v>
      </c>
      <c r="AE1448">
        <v>0</v>
      </c>
      <c r="AF1448">
        <v>3</v>
      </c>
      <c r="AG1448">
        <v>2</v>
      </c>
      <c r="AH1448">
        <v>0</v>
      </c>
      <c r="AI1448" t="s">
        <v>2999</v>
      </c>
      <c r="AJ1448">
        <v>39.615819000000002</v>
      </c>
      <c r="AK1448" t="s">
        <v>3000</v>
      </c>
      <c r="AL1448">
        <v>-76.424654000000004</v>
      </c>
      <c r="AM1448">
        <v>100</v>
      </c>
      <c r="AN1448">
        <v>8000</v>
      </c>
      <c r="AO1448" t="s">
        <v>115</v>
      </c>
      <c r="AP1448">
        <v>195</v>
      </c>
      <c r="AQ1448">
        <v>95</v>
      </c>
      <c r="AR1448">
        <v>-1088</v>
      </c>
      <c r="AZ1448">
        <v>3614</v>
      </c>
      <c r="BA1448">
        <v>1</v>
      </c>
      <c r="BB1448" t="str">
        <f t="shared" si="68"/>
        <v xml:space="preserve">N959MJ  </v>
      </c>
      <c r="BC1448">
        <v>1</v>
      </c>
      <c r="BE1448">
        <v>0</v>
      </c>
      <c r="BF1448">
        <v>0</v>
      </c>
      <c r="BG1448">
        <v>0</v>
      </c>
      <c r="BH1448">
        <v>8250</v>
      </c>
      <c r="BI1448">
        <v>250</v>
      </c>
      <c r="BJ1448">
        <v>1</v>
      </c>
      <c r="BK1448">
        <v>1</v>
      </c>
      <c r="BL1448">
        <v>1</v>
      </c>
      <c r="BM1448">
        <v>0</v>
      </c>
      <c r="BP1448">
        <v>0</v>
      </c>
      <c r="BQ1448">
        <v>0</v>
      </c>
      <c r="BX1448" t="str">
        <f>"14:14:30.141"</f>
        <v>14:14:30.141</v>
      </c>
      <c r="BY1448" t="str">
        <f>"137278806"</f>
        <v>137278806</v>
      </c>
      <c r="CL1448">
        <v>0</v>
      </c>
      <c r="CM1448">
        <v>2</v>
      </c>
      <c r="CN1448">
        <v>0</v>
      </c>
      <c r="CO1448">
        <v>2</v>
      </c>
      <c r="CP1448">
        <v>0</v>
      </c>
      <c r="CQ1448">
        <v>6</v>
      </c>
      <c r="CR1448" t="s">
        <v>116</v>
      </c>
      <c r="CS1448">
        <v>396</v>
      </c>
      <c r="CT1448">
        <v>1</v>
      </c>
      <c r="CU1448" t="s">
        <v>939</v>
      </c>
      <c r="CV1448" t="s">
        <v>940</v>
      </c>
      <c r="CY1448">
        <v>8887985</v>
      </c>
      <c r="CZ1448" t="s">
        <v>119</v>
      </c>
    </row>
    <row r="1449" spans="1:104" x14ac:dyDescent="0.25">
      <c r="A1449" t="str">
        <f>"14:14:31.289"</f>
        <v>14:14:31.289</v>
      </c>
      <c r="B1449" t="s">
        <v>108</v>
      </c>
      <c r="C1449" t="str">
        <f t="shared" si="67"/>
        <v>ffdfd3c0</v>
      </c>
      <c r="D1449" t="s">
        <v>109</v>
      </c>
      <c r="E1449">
        <v>4</v>
      </c>
      <c r="F1449">
        <v>1004</v>
      </c>
      <c r="G1449" t="s">
        <v>110</v>
      </c>
      <c r="J1449" t="s">
        <v>111</v>
      </c>
      <c r="K1449">
        <v>0</v>
      </c>
      <c r="L1449">
        <v>3</v>
      </c>
      <c r="M1449">
        <v>0</v>
      </c>
      <c r="N1449">
        <v>2</v>
      </c>
      <c r="O1449">
        <v>1</v>
      </c>
      <c r="P1449">
        <v>0</v>
      </c>
      <c r="Q1449">
        <v>0</v>
      </c>
      <c r="R1449" t="s">
        <v>112</v>
      </c>
      <c r="S1449" t="str">
        <f>"14:14:31.094"</f>
        <v>14:14:31.094</v>
      </c>
      <c r="T1449" t="str">
        <f>"14:14:30.695"</f>
        <v>14:14:30.695</v>
      </c>
      <c r="U1449" t="str">
        <f t="shared" si="66"/>
        <v>ad5732</v>
      </c>
      <c r="V1449">
        <v>0</v>
      </c>
      <c r="W1449">
        <v>0</v>
      </c>
      <c r="X1449">
        <v>1</v>
      </c>
      <c r="Z1449">
        <v>0</v>
      </c>
      <c r="AA1449">
        <v>9</v>
      </c>
      <c r="AB1449">
        <v>3</v>
      </c>
      <c r="AC1449">
        <v>0</v>
      </c>
      <c r="AD1449">
        <v>10</v>
      </c>
      <c r="AE1449">
        <v>0</v>
      </c>
      <c r="AF1449">
        <v>3</v>
      </c>
      <c r="AG1449">
        <v>2</v>
      </c>
      <c r="AH1449">
        <v>0</v>
      </c>
      <c r="AI1449" t="s">
        <v>3001</v>
      </c>
      <c r="AJ1449">
        <v>39.616292000000001</v>
      </c>
      <c r="AK1449" t="s">
        <v>3002</v>
      </c>
      <c r="AL1449">
        <v>-76.423516000000006</v>
      </c>
      <c r="AM1449">
        <v>100</v>
      </c>
      <c r="AN1449">
        <v>8000</v>
      </c>
      <c r="AO1449" t="s">
        <v>115</v>
      </c>
      <c r="AP1449">
        <v>195</v>
      </c>
      <c r="AQ1449">
        <v>96</v>
      </c>
      <c r="AR1449">
        <v>-1088</v>
      </c>
      <c r="AZ1449">
        <v>3614</v>
      </c>
      <c r="BA1449">
        <v>1</v>
      </c>
      <c r="BB1449" t="str">
        <f t="shared" si="68"/>
        <v xml:space="preserve">N959MJ  </v>
      </c>
      <c r="BC1449">
        <v>1</v>
      </c>
      <c r="BE1449">
        <v>0</v>
      </c>
      <c r="BF1449">
        <v>0</v>
      </c>
      <c r="BG1449">
        <v>0</v>
      </c>
      <c r="BH1449">
        <v>8225</v>
      </c>
      <c r="BI1449">
        <v>225</v>
      </c>
      <c r="BJ1449">
        <v>1</v>
      </c>
      <c r="BK1449">
        <v>1</v>
      </c>
      <c r="BL1449">
        <v>1</v>
      </c>
      <c r="BM1449">
        <v>0</v>
      </c>
      <c r="BP1449">
        <v>0</v>
      </c>
      <c r="BQ1449">
        <v>0</v>
      </c>
      <c r="BX1449" t="str">
        <f>"14:14:31.094"</f>
        <v>14:14:31.094</v>
      </c>
      <c r="BY1449" t="str">
        <f>"097397260"</f>
        <v>097397260</v>
      </c>
      <c r="CL1449">
        <v>0</v>
      </c>
      <c r="CM1449">
        <v>2</v>
      </c>
      <c r="CN1449">
        <v>0</v>
      </c>
      <c r="CO1449">
        <v>2</v>
      </c>
      <c r="CP1449">
        <v>0</v>
      </c>
      <c r="CQ1449">
        <v>6</v>
      </c>
      <c r="CR1449" t="s">
        <v>116</v>
      </c>
      <c r="CS1449">
        <v>396</v>
      </c>
      <c r="CT1449">
        <v>1</v>
      </c>
      <c r="CU1449" t="s">
        <v>939</v>
      </c>
      <c r="CV1449" t="s">
        <v>940</v>
      </c>
      <c r="CY1449">
        <v>8889826</v>
      </c>
      <c r="CZ1449" t="s">
        <v>119</v>
      </c>
    </row>
    <row r="1450" spans="1:104" x14ac:dyDescent="0.25">
      <c r="A1450" t="str">
        <f>"14:14:32.297"</f>
        <v>14:14:32.297</v>
      </c>
      <c r="B1450" t="s">
        <v>108</v>
      </c>
      <c r="C1450" t="str">
        <f t="shared" si="67"/>
        <v>ffdfd3c0</v>
      </c>
      <c r="D1450" t="s">
        <v>109</v>
      </c>
      <c r="E1450">
        <v>4</v>
      </c>
      <c r="F1450">
        <v>1004</v>
      </c>
      <c r="G1450" t="s">
        <v>110</v>
      </c>
      <c r="J1450" t="s">
        <v>111</v>
      </c>
      <c r="K1450">
        <v>0</v>
      </c>
      <c r="L1450">
        <v>3</v>
      </c>
      <c r="M1450">
        <v>0</v>
      </c>
      <c r="N1450">
        <v>2</v>
      </c>
      <c r="O1450">
        <v>1</v>
      </c>
      <c r="P1450">
        <v>0</v>
      </c>
      <c r="Q1450">
        <v>0</v>
      </c>
      <c r="R1450" t="s">
        <v>112</v>
      </c>
      <c r="S1450" t="str">
        <f>"14:14:32.133"</f>
        <v>14:14:32.133</v>
      </c>
      <c r="T1450" t="str">
        <f>"14:14:31.633"</f>
        <v>14:14:31.633</v>
      </c>
      <c r="U1450" t="str">
        <f t="shared" si="66"/>
        <v>ad5732</v>
      </c>
      <c r="V1450">
        <v>0</v>
      </c>
      <c r="W1450">
        <v>0</v>
      </c>
      <c r="X1450">
        <v>1</v>
      </c>
      <c r="Z1450">
        <v>0</v>
      </c>
      <c r="AA1450">
        <v>9</v>
      </c>
      <c r="AB1450">
        <v>3</v>
      </c>
      <c r="AC1450">
        <v>0</v>
      </c>
      <c r="AD1450">
        <v>10</v>
      </c>
      <c r="AE1450">
        <v>0</v>
      </c>
      <c r="AF1450">
        <v>3</v>
      </c>
      <c r="AG1450">
        <v>2</v>
      </c>
      <c r="AH1450">
        <v>0</v>
      </c>
      <c r="AI1450" t="s">
        <v>3003</v>
      </c>
      <c r="AJ1450">
        <v>39.616742000000002</v>
      </c>
      <c r="AK1450" t="s">
        <v>3004</v>
      </c>
      <c r="AL1450">
        <v>-76.422336000000001</v>
      </c>
      <c r="AM1450">
        <v>100</v>
      </c>
      <c r="AN1450">
        <v>8000</v>
      </c>
      <c r="AO1450" t="s">
        <v>115</v>
      </c>
      <c r="AP1450">
        <v>195</v>
      </c>
      <c r="AQ1450">
        <v>96</v>
      </c>
      <c r="AR1450">
        <v>-1024</v>
      </c>
      <c r="AZ1450">
        <v>3614</v>
      </c>
      <c r="BA1450">
        <v>1</v>
      </c>
      <c r="BB1450" t="str">
        <f t="shared" si="68"/>
        <v xml:space="preserve">N959MJ  </v>
      </c>
      <c r="BC1450">
        <v>1</v>
      </c>
      <c r="BE1450">
        <v>0</v>
      </c>
      <c r="BF1450">
        <v>0</v>
      </c>
      <c r="BG1450">
        <v>0</v>
      </c>
      <c r="BH1450">
        <v>8225</v>
      </c>
      <c r="BI1450">
        <v>225</v>
      </c>
      <c r="BJ1450">
        <v>1</v>
      </c>
      <c r="BK1450">
        <v>1</v>
      </c>
      <c r="BL1450">
        <v>1</v>
      </c>
      <c r="BM1450">
        <v>0</v>
      </c>
      <c r="BP1450">
        <v>0</v>
      </c>
      <c r="BQ1450">
        <v>0</v>
      </c>
      <c r="BX1450" t="str">
        <f>"14:14:32.141"</f>
        <v>14:14:32.141</v>
      </c>
      <c r="BY1450" t="str">
        <f>"139437077"</f>
        <v>139437077</v>
      </c>
      <c r="CL1450">
        <v>0</v>
      </c>
      <c r="CM1450">
        <v>2</v>
      </c>
      <c r="CN1450">
        <v>0</v>
      </c>
      <c r="CO1450">
        <v>2</v>
      </c>
      <c r="CP1450">
        <v>0</v>
      </c>
      <c r="CQ1450">
        <v>7</v>
      </c>
      <c r="CR1450" t="s">
        <v>116</v>
      </c>
      <c r="CS1450">
        <v>396</v>
      </c>
      <c r="CT1450">
        <v>2</v>
      </c>
      <c r="CU1450" t="s">
        <v>939</v>
      </c>
      <c r="CV1450" t="s">
        <v>940</v>
      </c>
      <c r="CY1450">
        <v>5303922</v>
      </c>
      <c r="CZ1450" t="s">
        <v>119</v>
      </c>
    </row>
    <row r="1451" spans="1:104" x14ac:dyDescent="0.25">
      <c r="A1451" t="str">
        <f>"14:14:33.258"</f>
        <v>14:14:33.258</v>
      </c>
      <c r="B1451" t="s">
        <v>108</v>
      </c>
      <c r="C1451" t="str">
        <f t="shared" si="67"/>
        <v>ffdfd3c0</v>
      </c>
      <c r="D1451" t="s">
        <v>109</v>
      </c>
      <c r="E1451">
        <v>4</v>
      </c>
      <c r="F1451">
        <v>1004</v>
      </c>
      <c r="G1451" t="s">
        <v>110</v>
      </c>
      <c r="J1451" t="s">
        <v>111</v>
      </c>
      <c r="K1451">
        <v>0</v>
      </c>
      <c r="L1451">
        <v>3</v>
      </c>
      <c r="M1451">
        <v>0</v>
      </c>
      <c r="N1451">
        <v>2</v>
      </c>
      <c r="O1451">
        <v>1</v>
      </c>
      <c r="P1451">
        <v>0</v>
      </c>
      <c r="Q1451">
        <v>0</v>
      </c>
      <c r="R1451" t="s">
        <v>112</v>
      </c>
      <c r="S1451" t="str">
        <f>"14:14:33.055"</f>
        <v>14:14:33.055</v>
      </c>
      <c r="T1451" t="str">
        <f>"14:14:32.656"</f>
        <v>14:14:32.656</v>
      </c>
      <c r="U1451" t="str">
        <f t="shared" si="66"/>
        <v>ad5732</v>
      </c>
      <c r="V1451">
        <v>0</v>
      </c>
      <c r="W1451">
        <v>0</v>
      </c>
      <c r="X1451">
        <v>1</v>
      </c>
      <c r="Z1451">
        <v>0</v>
      </c>
      <c r="AA1451">
        <v>9</v>
      </c>
      <c r="AB1451">
        <v>3</v>
      </c>
      <c r="AC1451">
        <v>0</v>
      </c>
      <c r="AD1451">
        <v>10</v>
      </c>
      <c r="AE1451">
        <v>0</v>
      </c>
      <c r="AF1451">
        <v>3</v>
      </c>
      <c r="AG1451">
        <v>2</v>
      </c>
      <c r="AH1451">
        <v>0</v>
      </c>
      <c r="AI1451" t="s">
        <v>3005</v>
      </c>
      <c r="AJ1451">
        <v>39.617128000000001</v>
      </c>
      <c r="AK1451" t="s">
        <v>3006</v>
      </c>
      <c r="AL1451">
        <v>-76.421328000000003</v>
      </c>
      <c r="AM1451">
        <v>100</v>
      </c>
      <c r="AN1451">
        <v>7900</v>
      </c>
      <c r="AO1451" t="s">
        <v>115</v>
      </c>
      <c r="AP1451">
        <v>195</v>
      </c>
      <c r="AQ1451">
        <v>96</v>
      </c>
      <c r="AR1451">
        <v>-1024</v>
      </c>
      <c r="AZ1451">
        <v>3614</v>
      </c>
      <c r="BA1451">
        <v>1</v>
      </c>
      <c r="BB1451" t="str">
        <f t="shared" si="68"/>
        <v xml:space="preserve">N959MJ  </v>
      </c>
      <c r="BC1451">
        <v>1</v>
      </c>
      <c r="BE1451">
        <v>0</v>
      </c>
      <c r="BF1451">
        <v>0</v>
      </c>
      <c r="BG1451">
        <v>0</v>
      </c>
      <c r="BH1451">
        <v>8300</v>
      </c>
      <c r="BI1451">
        <v>400</v>
      </c>
      <c r="BJ1451">
        <v>1</v>
      </c>
      <c r="BK1451">
        <v>1</v>
      </c>
      <c r="BL1451">
        <v>1</v>
      </c>
      <c r="BM1451">
        <v>0</v>
      </c>
      <c r="BP1451">
        <v>0</v>
      </c>
      <c r="BQ1451">
        <v>0</v>
      </c>
      <c r="BX1451" t="str">
        <f>"14:14:33.055"</f>
        <v>14:14:33.055</v>
      </c>
      <c r="BY1451" t="str">
        <f>"055317978"</f>
        <v>055317978</v>
      </c>
      <c r="CL1451">
        <v>0</v>
      </c>
      <c r="CM1451">
        <v>2</v>
      </c>
      <c r="CN1451">
        <v>0</v>
      </c>
      <c r="CO1451">
        <v>2</v>
      </c>
      <c r="CP1451">
        <v>0</v>
      </c>
      <c r="CQ1451">
        <v>7</v>
      </c>
      <c r="CR1451" t="s">
        <v>116</v>
      </c>
      <c r="CS1451">
        <v>396</v>
      </c>
      <c r="CT1451">
        <v>2</v>
      </c>
      <c r="CU1451" t="s">
        <v>939</v>
      </c>
      <c r="CV1451" t="s">
        <v>940</v>
      </c>
      <c r="CY1451">
        <v>5305621</v>
      </c>
      <c r="CZ1451" t="s">
        <v>119</v>
      </c>
    </row>
    <row r="1452" spans="1:104" x14ac:dyDescent="0.25">
      <c r="A1452" t="str">
        <f>"14:14:34.211"</f>
        <v>14:14:34.211</v>
      </c>
      <c r="B1452" t="s">
        <v>108</v>
      </c>
      <c r="C1452" t="str">
        <f t="shared" si="67"/>
        <v>ffdfd3c0</v>
      </c>
      <c r="D1452" t="s">
        <v>109</v>
      </c>
      <c r="E1452">
        <v>4</v>
      </c>
      <c r="F1452">
        <v>1004</v>
      </c>
      <c r="G1452" t="s">
        <v>110</v>
      </c>
      <c r="J1452" t="s">
        <v>111</v>
      </c>
      <c r="K1452">
        <v>0</v>
      </c>
      <c r="L1452">
        <v>3</v>
      </c>
      <c r="M1452">
        <v>0</v>
      </c>
      <c r="N1452">
        <v>2</v>
      </c>
      <c r="O1452">
        <v>1</v>
      </c>
      <c r="P1452">
        <v>0</v>
      </c>
      <c r="Q1452">
        <v>0</v>
      </c>
      <c r="R1452" t="s">
        <v>112</v>
      </c>
      <c r="S1452" t="str">
        <f>"14:14:34.016"</f>
        <v>14:14:34.016</v>
      </c>
      <c r="T1452" t="str">
        <f>"14:14:33.516"</f>
        <v>14:14:33.516</v>
      </c>
      <c r="U1452" t="str">
        <f t="shared" si="66"/>
        <v>ad5732</v>
      </c>
      <c r="V1452">
        <v>0</v>
      </c>
      <c r="W1452">
        <v>0</v>
      </c>
      <c r="X1452">
        <v>1</v>
      </c>
      <c r="Z1452">
        <v>0</v>
      </c>
      <c r="AA1452">
        <v>9</v>
      </c>
      <c r="AB1452">
        <v>3</v>
      </c>
      <c r="AC1452">
        <v>0</v>
      </c>
      <c r="AD1452">
        <v>10</v>
      </c>
      <c r="AE1452">
        <v>0</v>
      </c>
      <c r="AF1452">
        <v>3</v>
      </c>
      <c r="AG1452">
        <v>2</v>
      </c>
      <c r="AH1452">
        <v>0</v>
      </c>
      <c r="AI1452" t="s">
        <v>3007</v>
      </c>
      <c r="AJ1452">
        <v>39.617578999999999</v>
      </c>
      <c r="AK1452" t="s">
        <v>3008</v>
      </c>
      <c r="AL1452">
        <v>-76.420105000000007</v>
      </c>
      <c r="AM1452">
        <v>100</v>
      </c>
      <c r="AN1452">
        <v>7900</v>
      </c>
      <c r="AO1452" t="s">
        <v>115</v>
      </c>
      <c r="AP1452">
        <v>195</v>
      </c>
      <c r="AQ1452">
        <v>96</v>
      </c>
      <c r="AR1452">
        <v>-1088</v>
      </c>
      <c r="AZ1452">
        <v>3614</v>
      </c>
      <c r="BA1452">
        <v>1</v>
      </c>
      <c r="BB1452" t="str">
        <f t="shared" si="68"/>
        <v xml:space="preserve">N959MJ  </v>
      </c>
      <c r="BC1452">
        <v>1</v>
      </c>
      <c r="BE1452">
        <v>0</v>
      </c>
      <c r="BF1452">
        <v>0</v>
      </c>
      <c r="BG1452">
        <v>0</v>
      </c>
      <c r="BH1452">
        <v>8175</v>
      </c>
      <c r="BI1452">
        <v>275</v>
      </c>
      <c r="BJ1452">
        <v>1</v>
      </c>
      <c r="BK1452">
        <v>1</v>
      </c>
      <c r="BL1452">
        <v>1</v>
      </c>
      <c r="BM1452">
        <v>0</v>
      </c>
      <c r="BP1452">
        <v>0</v>
      </c>
      <c r="BQ1452">
        <v>0</v>
      </c>
      <c r="BX1452" t="str">
        <f>"14:14:34.023"</f>
        <v>14:14:34.023</v>
      </c>
      <c r="BY1452" t="str">
        <f>"020351718"</f>
        <v>020351718</v>
      </c>
      <c r="CL1452">
        <v>0</v>
      </c>
      <c r="CM1452">
        <v>2</v>
      </c>
      <c r="CN1452">
        <v>0</v>
      </c>
      <c r="CO1452">
        <v>2</v>
      </c>
      <c r="CP1452">
        <v>0</v>
      </c>
      <c r="CQ1452">
        <v>6</v>
      </c>
      <c r="CR1452" t="s">
        <v>116</v>
      </c>
      <c r="CS1452">
        <v>396</v>
      </c>
      <c r="CT1452">
        <v>2</v>
      </c>
      <c r="CU1452" t="s">
        <v>939</v>
      </c>
      <c r="CV1452" t="s">
        <v>940</v>
      </c>
      <c r="CY1452">
        <v>5307363</v>
      </c>
      <c r="CZ1452" t="s">
        <v>119</v>
      </c>
    </row>
    <row r="1453" spans="1:104" x14ac:dyDescent="0.25">
      <c r="A1453" t="str">
        <f>"14:14:35.273"</f>
        <v>14:14:35.273</v>
      </c>
      <c r="B1453" t="s">
        <v>108</v>
      </c>
      <c r="C1453" t="str">
        <f t="shared" si="67"/>
        <v>ffdfd3c0</v>
      </c>
      <c r="D1453" t="s">
        <v>109</v>
      </c>
      <c r="E1453">
        <v>4</v>
      </c>
      <c r="F1453">
        <v>1004</v>
      </c>
      <c r="G1453" t="s">
        <v>110</v>
      </c>
      <c r="J1453" t="s">
        <v>111</v>
      </c>
      <c r="K1453">
        <v>0</v>
      </c>
      <c r="L1453">
        <v>3</v>
      </c>
      <c r="M1453">
        <v>0</v>
      </c>
      <c r="N1453">
        <v>2</v>
      </c>
      <c r="O1453">
        <v>1</v>
      </c>
      <c r="P1453">
        <v>0</v>
      </c>
      <c r="Q1453">
        <v>0</v>
      </c>
      <c r="R1453" t="s">
        <v>112</v>
      </c>
      <c r="S1453" t="str">
        <f>"14:14:35.078"</f>
        <v>14:14:35.078</v>
      </c>
      <c r="T1453" t="str">
        <f>"14:14:34.578"</f>
        <v>14:14:34.578</v>
      </c>
      <c r="U1453" t="str">
        <f t="shared" si="66"/>
        <v>ad5732</v>
      </c>
      <c r="V1453">
        <v>0</v>
      </c>
      <c r="W1453">
        <v>0</v>
      </c>
      <c r="X1453">
        <v>1</v>
      </c>
      <c r="Z1453">
        <v>0</v>
      </c>
      <c r="AA1453">
        <v>9</v>
      </c>
      <c r="AB1453">
        <v>3</v>
      </c>
      <c r="AC1453">
        <v>0</v>
      </c>
      <c r="AD1453">
        <v>10</v>
      </c>
      <c r="AE1453">
        <v>0</v>
      </c>
      <c r="AF1453">
        <v>3</v>
      </c>
      <c r="AG1453">
        <v>2</v>
      </c>
      <c r="AH1453">
        <v>0</v>
      </c>
      <c r="AI1453" t="s">
        <v>3009</v>
      </c>
      <c r="AJ1453">
        <v>39.618051000000001</v>
      </c>
      <c r="AK1453" t="s">
        <v>3010</v>
      </c>
      <c r="AL1453">
        <v>-76.418946000000005</v>
      </c>
      <c r="AM1453">
        <v>100</v>
      </c>
      <c r="AN1453">
        <v>7900</v>
      </c>
      <c r="AO1453" t="s">
        <v>115</v>
      </c>
      <c r="AP1453">
        <v>195</v>
      </c>
      <c r="AQ1453">
        <v>97</v>
      </c>
      <c r="AR1453">
        <v>-1152</v>
      </c>
      <c r="AZ1453">
        <v>3614</v>
      </c>
      <c r="BA1453">
        <v>1</v>
      </c>
      <c r="BB1453" t="str">
        <f t="shared" si="68"/>
        <v xml:space="preserve">N959MJ  </v>
      </c>
      <c r="BC1453">
        <v>1</v>
      </c>
      <c r="BE1453">
        <v>0</v>
      </c>
      <c r="BF1453">
        <v>0</v>
      </c>
      <c r="BG1453">
        <v>0</v>
      </c>
      <c r="BH1453">
        <v>8150</v>
      </c>
      <c r="BI1453">
        <v>250</v>
      </c>
      <c r="BJ1453">
        <v>1</v>
      </c>
      <c r="BK1453">
        <v>1</v>
      </c>
      <c r="BL1453">
        <v>1</v>
      </c>
      <c r="BM1453">
        <v>0</v>
      </c>
      <c r="BP1453">
        <v>0</v>
      </c>
      <c r="BQ1453">
        <v>0</v>
      </c>
      <c r="BX1453" t="str">
        <f>"14:14:35.086"</f>
        <v>14:14:35.086</v>
      </c>
      <c r="BY1453" t="str">
        <f>"083845122"</f>
        <v>083845122</v>
      </c>
      <c r="CL1453">
        <v>0</v>
      </c>
      <c r="CM1453">
        <v>2</v>
      </c>
      <c r="CN1453">
        <v>0</v>
      </c>
      <c r="CO1453">
        <v>2</v>
      </c>
      <c r="CP1453">
        <v>0</v>
      </c>
      <c r="CQ1453">
        <v>5</v>
      </c>
      <c r="CR1453" t="s">
        <v>116</v>
      </c>
      <c r="CS1453">
        <v>147</v>
      </c>
      <c r="CT1453">
        <v>0</v>
      </c>
      <c r="CU1453" t="s">
        <v>117</v>
      </c>
      <c r="CV1453" t="s">
        <v>118</v>
      </c>
      <c r="CY1453">
        <v>6296513</v>
      </c>
      <c r="CZ1453" t="s">
        <v>119</v>
      </c>
    </row>
    <row r="1454" spans="1:104" x14ac:dyDescent="0.25">
      <c r="A1454" t="str">
        <f>"14:14:36.234"</f>
        <v>14:14:36.234</v>
      </c>
      <c r="B1454" t="s">
        <v>108</v>
      </c>
      <c r="C1454" t="str">
        <f t="shared" si="67"/>
        <v>ffdfd3c0</v>
      </c>
      <c r="D1454" t="s">
        <v>109</v>
      </c>
      <c r="E1454">
        <v>4</v>
      </c>
      <c r="F1454">
        <v>1004</v>
      </c>
      <c r="G1454" t="s">
        <v>110</v>
      </c>
      <c r="J1454" t="s">
        <v>111</v>
      </c>
      <c r="K1454">
        <v>0</v>
      </c>
      <c r="L1454">
        <v>3</v>
      </c>
      <c r="M1454">
        <v>0</v>
      </c>
      <c r="N1454">
        <v>2</v>
      </c>
      <c r="O1454">
        <v>1</v>
      </c>
      <c r="P1454">
        <v>0</v>
      </c>
      <c r="Q1454">
        <v>0</v>
      </c>
      <c r="R1454" t="s">
        <v>112</v>
      </c>
      <c r="S1454" t="str">
        <f>"14:14:36.063"</f>
        <v>14:14:36.063</v>
      </c>
      <c r="T1454" t="str">
        <f>"14:14:35.563"</f>
        <v>14:14:35.563</v>
      </c>
      <c r="U1454" t="str">
        <f t="shared" si="66"/>
        <v>ad5732</v>
      </c>
      <c r="V1454">
        <v>0</v>
      </c>
      <c r="W1454">
        <v>0</v>
      </c>
      <c r="X1454">
        <v>1</v>
      </c>
      <c r="Z1454">
        <v>0</v>
      </c>
      <c r="AA1454">
        <v>9</v>
      </c>
      <c r="AB1454">
        <v>3</v>
      </c>
      <c r="AC1454">
        <v>0</v>
      </c>
      <c r="AD1454">
        <v>10</v>
      </c>
      <c r="AE1454">
        <v>0</v>
      </c>
      <c r="AF1454">
        <v>3</v>
      </c>
      <c r="AG1454">
        <v>2</v>
      </c>
      <c r="AH1454">
        <v>0</v>
      </c>
      <c r="AI1454" t="s">
        <v>3011</v>
      </c>
      <c r="AJ1454">
        <v>39.618459000000001</v>
      </c>
      <c r="AK1454" t="s">
        <v>3012</v>
      </c>
      <c r="AL1454">
        <v>-76.417787000000004</v>
      </c>
      <c r="AM1454">
        <v>100</v>
      </c>
      <c r="AN1454">
        <v>7900</v>
      </c>
      <c r="AO1454" t="s">
        <v>115</v>
      </c>
      <c r="AP1454">
        <v>195</v>
      </c>
      <c r="AQ1454">
        <v>97</v>
      </c>
      <c r="AR1454">
        <v>-1280</v>
      </c>
      <c r="AZ1454">
        <v>3614</v>
      </c>
      <c r="BA1454">
        <v>1</v>
      </c>
      <c r="BB1454" t="str">
        <f t="shared" si="68"/>
        <v xml:space="preserve">N959MJ  </v>
      </c>
      <c r="BC1454">
        <v>1</v>
      </c>
      <c r="BE1454">
        <v>0</v>
      </c>
      <c r="BF1454">
        <v>0</v>
      </c>
      <c r="BG1454">
        <v>0</v>
      </c>
      <c r="BH1454">
        <v>8150</v>
      </c>
      <c r="BI1454">
        <v>250</v>
      </c>
      <c r="BJ1454">
        <v>1</v>
      </c>
      <c r="BK1454">
        <v>1</v>
      </c>
      <c r="BL1454">
        <v>1</v>
      </c>
      <c r="BM1454">
        <v>0</v>
      </c>
      <c r="BP1454">
        <v>0</v>
      </c>
      <c r="BQ1454">
        <v>0</v>
      </c>
      <c r="BX1454" t="str">
        <f>"14:14:36.063"</f>
        <v>14:14:36.063</v>
      </c>
      <c r="BY1454" t="str">
        <f>"065109077"</f>
        <v>065109077</v>
      </c>
      <c r="CL1454">
        <v>0</v>
      </c>
      <c r="CM1454">
        <v>2</v>
      </c>
      <c r="CN1454">
        <v>0</v>
      </c>
      <c r="CO1454">
        <v>2</v>
      </c>
      <c r="CP1454">
        <v>0</v>
      </c>
      <c r="CQ1454">
        <v>6</v>
      </c>
      <c r="CR1454" t="s">
        <v>116</v>
      </c>
      <c r="CS1454">
        <v>396</v>
      </c>
      <c r="CT1454">
        <v>2</v>
      </c>
      <c r="CU1454" t="s">
        <v>939</v>
      </c>
      <c r="CV1454" t="s">
        <v>940</v>
      </c>
      <c r="CY1454">
        <v>5311013</v>
      </c>
      <c r="CZ1454" t="s">
        <v>119</v>
      </c>
    </row>
    <row r="1455" spans="1:104" x14ac:dyDescent="0.25">
      <c r="A1455" t="str">
        <f>"14:14:37.344"</f>
        <v>14:14:37.344</v>
      </c>
      <c r="B1455" t="s">
        <v>108</v>
      </c>
      <c r="C1455" t="str">
        <f t="shared" si="67"/>
        <v>ffdfd3c0</v>
      </c>
      <c r="D1455" t="s">
        <v>109</v>
      </c>
      <c r="E1455">
        <v>4</v>
      </c>
      <c r="F1455">
        <v>1004</v>
      </c>
      <c r="G1455" t="s">
        <v>110</v>
      </c>
      <c r="J1455" t="s">
        <v>111</v>
      </c>
      <c r="K1455">
        <v>0</v>
      </c>
      <c r="L1455">
        <v>3</v>
      </c>
      <c r="M1455">
        <v>0</v>
      </c>
      <c r="N1455">
        <v>2</v>
      </c>
      <c r="O1455">
        <v>1</v>
      </c>
      <c r="P1455">
        <v>0</v>
      </c>
      <c r="Q1455">
        <v>0</v>
      </c>
      <c r="R1455" t="s">
        <v>112</v>
      </c>
      <c r="S1455" t="str">
        <f>"14:14:37.141"</f>
        <v>14:14:37.141</v>
      </c>
      <c r="T1455" t="str">
        <f>"14:14:36.742"</f>
        <v>14:14:36.742</v>
      </c>
      <c r="U1455" t="str">
        <f t="shared" si="66"/>
        <v>ad5732</v>
      </c>
      <c r="V1455">
        <v>0</v>
      </c>
      <c r="W1455">
        <v>0</v>
      </c>
      <c r="X1455">
        <v>1</v>
      </c>
      <c r="Z1455">
        <v>0</v>
      </c>
      <c r="AA1455">
        <v>9</v>
      </c>
      <c r="AB1455">
        <v>3</v>
      </c>
      <c r="AC1455">
        <v>0</v>
      </c>
      <c r="AD1455">
        <v>10</v>
      </c>
      <c r="AE1455">
        <v>0</v>
      </c>
      <c r="AF1455">
        <v>3</v>
      </c>
      <c r="AG1455">
        <v>2</v>
      </c>
      <c r="AH1455">
        <v>0</v>
      </c>
      <c r="AI1455" t="s">
        <v>3013</v>
      </c>
      <c r="AJ1455">
        <v>39.618994999999998</v>
      </c>
      <c r="AK1455" t="s">
        <v>3014</v>
      </c>
      <c r="AL1455">
        <v>-76.416477999999998</v>
      </c>
      <c r="AM1455">
        <v>100</v>
      </c>
      <c r="AN1455">
        <v>7800</v>
      </c>
      <c r="AO1455" t="s">
        <v>115</v>
      </c>
      <c r="AP1455">
        <v>196</v>
      </c>
      <c r="AQ1455">
        <v>97</v>
      </c>
      <c r="AR1455">
        <v>-1344</v>
      </c>
      <c r="AZ1455">
        <v>3614</v>
      </c>
      <c r="BA1455">
        <v>1</v>
      </c>
      <c r="BB1455" t="str">
        <f t="shared" si="68"/>
        <v xml:space="preserve">N959MJ  </v>
      </c>
      <c r="BC1455">
        <v>1</v>
      </c>
      <c r="BE1455">
        <v>0</v>
      </c>
      <c r="BF1455">
        <v>0</v>
      </c>
      <c r="BG1455">
        <v>0</v>
      </c>
      <c r="BH1455">
        <v>8125</v>
      </c>
      <c r="BI1455">
        <v>325</v>
      </c>
      <c r="BJ1455">
        <v>1</v>
      </c>
      <c r="BK1455">
        <v>1</v>
      </c>
      <c r="BL1455">
        <v>1</v>
      </c>
      <c r="BM1455">
        <v>0</v>
      </c>
      <c r="BP1455">
        <v>0</v>
      </c>
      <c r="BQ1455">
        <v>0</v>
      </c>
      <c r="BX1455" t="str">
        <f>"14:14:37.141"</f>
        <v>14:14:37.141</v>
      </c>
      <c r="BY1455" t="str">
        <f>"141555925"</f>
        <v>141555925</v>
      </c>
      <c r="CL1455">
        <v>0</v>
      </c>
      <c r="CM1455">
        <v>2</v>
      </c>
      <c r="CN1455">
        <v>0</v>
      </c>
      <c r="CO1455">
        <v>2</v>
      </c>
      <c r="CP1455">
        <v>0</v>
      </c>
      <c r="CQ1455">
        <v>7</v>
      </c>
      <c r="CR1455" t="s">
        <v>116</v>
      </c>
      <c r="CS1455">
        <v>396</v>
      </c>
      <c r="CT1455">
        <v>2</v>
      </c>
      <c r="CU1455" t="s">
        <v>939</v>
      </c>
      <c r="CV1455" t="s">
        <v>940</v>
      </c>
      <c r="CY1455">
        <v>5312948</v>
      </c>
      <c r="CZ1455" t="s">
        <v>119</v>
      </c>
    </row>
    <row r="1456" spans="1:104" x14ac:dyDescent="0.25">
      <c r="A1456" t="str">
        <f>"14:14:38.305"</f>
        <v>14:14:38.305</v>
      </c>
      <c r="B1456" t="s">
        <v>108</v>
      </c>
      <c r="C1456" t="str">
        <f t="shared" si="67"/>
        <v>ffdfd3c0</v>
      </c>
      <c r="D1456" t="s">
        <v>109</v>
      </c>
      <c r="E1456">
        <v>4</v>
      </c>
      <c r="F1456">
        <v>1004</v>
      </c>
      <c r="G1456" t="s">
        <v>110</v>
      </c>
      <c r="J1456" t="s">
        <v>111</v>
      </c>
      <c r="K1456">
        <v>0</v>
      </c>
      <c r="L1456">
        <v>3</v>
      </c>
      <c r="M1456">
        <v>0</v>
      </c>
      <c r="N1456">
        <v>2</v>
      </c>
      <c r="O1456">
        <v>1</v>
      </c>
      <c r="P1456">
        <v>0</v>
      </c>
      <c r="Q1456">
        <v>0</v>
      </c>
      <c r="R1456" t="s">
        <v>112</v>
      </c>
      <c r="S1456" t="str">
        <f>"14:14:38.102"</f>
        <v>14:14:38.102</v>
      </c>
      <c r="T1456" t="str">
        <f>"14:14:37.703"</f>
        <v>14:14:37.703</v>
      </c>
      <c r="U1456" t="str">
        <f t="shared" si="66"/>
        <v>ad5732</v>
      </c>
      <c r="V1456">
        <v>0</v>
      </c>
      <c r="W1456">
        <v>0</v>
      </c>
      <c r="X1456">
        <v>1</v>
      </c>
      <c r="Z1456">
        <v>0</v>
      </c>
      <c r="AA1456">
        <v>9</v>
      </c>
      <c r="AB1456">
        <v>3</v>
      </c>
      <c r="AC1456">
        <v>0</v>
      </c>
      <c r="AD1456">
        <v>10</v>
      </c>
      <c r="AE1456">
        <v>0</v>
      </c>
      <c r="AF1456">
        <v>3</v>
      </c>
      <c r="AG1456">
        <v>2</v>
      </c>
      <c r="AH1456">
        <v>0</v>
      </c>
      <c r="AI1456" t="s">
        <v>3015</v>
      </c>
      <c r="AJ1456">
        <v>39.619446000000003</v>
      </c>
      <c r="AK1456" t="s">
        <v>3016</v>
      </c>
      <c r="AL1456">
        <v>-76.415340999999998</v>
      </c>
      <c r="AM1456">
        <v>100</v>
      </c>
      <c r="AN1456">
        <v>7800</v>
      </c>
      <c r="AO1456" t="s">
        <v>115</v>
      </c>
      <c r="AP1456">
        <v>196</v>
      </c>
      <c r="AQ1456">
        <v>98</v>
      </c>
      <c r="AR1456">
        <v>-1408</v>
      </c>
      <c r="AZ1456">
        <v>3614</v>
      </c>
      <c r="BA1456">
        <v>1</v>
      </c>
      <c r="BB1456" t="str">
        <f t="shared" si="68"/>
        <v xml:space="preserve">N959MJ  </v>
      </c>
      <c r="BC1456">
        <v>1</v>
      </c>
      <c r="BE1456">
        <v>0</v>
      </c>
      <c r="BF1456">
        <v>0</v>
      </c>
      <c r="BG1456">
        <v>0</v>
      </c>
      <c r="BH1456">
        <v>8100</v>
      </c>
      <c r="BI1456">
        <v>300</v>
      </c>
      <c r="BJ1456">
        <v>1</v>
      </c>
      <c r="BK1456">
        <v>1</v>
      </c>
      <c r="BL1456">
        <v>1</v>
      </c>
      <c r="BM1456">
        <v>0</v>
      </c>
      <c r="BP1456">
        <v>0</v>
      </c>
      <c r="BQ1456">
        <v>0</v>
      </c>
      <c r="BX1456" t="str">
        <f>"14:14:38.102"</f>
        <v>14:14:38.102</v>
      </c>
      <c r="BY1456" t="str">
        <f>"103312753"</f>
        <v>103312753</v>
      </c>
      <c r="CL1456">
        <v>0</v>
      </c>
      <c r="CM1456">
        <v>2</v>
      </c>
      <c r="CN1456">
        <v>0</v>
      </c>
      <c r="CO1456">
        <v>2</v>
      </c>
      <c r="CP1456">
        <v>0</v>
      </c>
      <c r="CQ1456">
        <v>7</v>
      </c>
      <c r="CR1456" t="s">
        <v>116</v>
      </c>
      <c r="CS1456">
        <v>396</v>
      </c>
      <c r="CT1456">
        <v>2</v>
      </c>
      <c r="CU1456" t="s">
        <v>939</v>
      </c>
      <c r="CV1456" t="s">
        <v>940</v>
      </c>
      <c r="CY1456">
        <v>5314691</v>
      </c>
      <c r="CZ1456" t="s">
        <v>119</v>
      </c>
    </row>
    <row r="1457" spans="1:104" x14ac:dyDescent="0.25">
      <c r="A1457" t="str">
        <f>"14:14:39.211"</f>
        <v>14:14:39.211</v>
      </c>
      <c r="B1457" t="s">
        <v>108</v>
      </c>
      <c r="C1457" t="str">
        <f t="shared" si="67"/>
        <v>ffdfd3c0</v>
      </c>
      <c r="D1457" t="s">
        <v>109</v>
      </c>
      <c r="E1457">
        <v>4</v>
      </c>
      <c r="F1457">
        <v>1004</v>
      </c>
      <c r="G1457" t="s">
        <v>110</v>
      </c>
      <c r="J1457" t="s">
        <v>111</v>
      </c>
      <c r="K1457">
        <v>0</v>
      </c>
      <c r="L1457">
        <v>3</v>
      </c>
      <c r="M1457">
        <v>0</v>
      </c>
      <c r="N1457">
        <v>2</v>
      </c>
      <c r="O1457">
        <v>1</v>
      </c>
      <c r="P1457">
        <v>0</v>
      </c>
      <c r="Q1457">
        <v>0</v>
      </c>
      <c r="R1457" t="s">
        <v>112</v>
      </c>
      <c r="S1457" t="str">
        <f>"14:14:39.023"</f>
        <v>14:14:39.023</v>
      </c>
      <c r="T1457" t="str">
        <f>"14:14:38.625"</f>
        <v>14:14:38.625</v>
      </c>
      <c r="U1457" t="str">
        <f t="shared" si="66"/>
        <v>ad5732</v>
      </c>
      <c r="V1457">
        <v>0</v>
      </c>
      <c r="W1457">
        <v>0</v>
      </c>
      <c r="X1457">
        <v>1</v>
      </c>
      <c r="Z1457">
        <v>0</v>
      </c>
      <c r="AA1457">
        <v>9</v>
      </c>
      <c r="AB1457">
        <v>3</v>
      </c>
      <c r="AC1457">
        <v>0</v>
      </c>
      <c r="AD1457">
        <v>10</v>
      </c>
      <c r="AE1457">
        <v>0</v>
      </c>
      <c r="AF1457">
        <v>3</v>
      </c>
      <c r="AG1457">
        <v>2</v>
      </c>
      <c r="AH1457">
        <v>0</v>
      </c>
      <c r="AI1457" t="s">
        <v>3017</v>
      </c>
      <c r="AJ1457">
        <v>39.619810999999999</v>
      </c>
      <c r="AK1457" t="s">
        <v>3018</v>
      </c>
      <c r="AL1457">
        <v>-76.414247000000003</v>
      </c>
      <c r="AM1457">
        <v>100</v>
      </c>
      <c r="AN1457">
        <v>7800</v>
      </c>
      <c r="AO1457" t="s">
        <v>115</v>
      </c>
      <c r="AP1457">
        <v>196</v>
      </c>
      <c r="AQ1457">
        <v>98</v>
      </c>
      <c r="AR1457">
        <v>-1408</v>
      </c>
      <c r="AZ1457">
        <v>3614</v>
      </c>
      <c r="BA1457">
        <v>1</v>
      </c>
      <c r="BB1457" t="str">
        <f t="shared" si="68"/>
        <v xml:space="preserve">N959MJ  </v>
      </c>
      <c r="BC1457">
        <v>1</v>
      </c>
      <c r="BE1457">
        <v>0</v>
      </c>
      <c r="BF1457">
        <v>0</v>
      </c>
      <c r="BG1457">
        <v>0</v>
      </c>
      <c r="BH1457">
        <v>8075</v>
      </c>
      <c r="BI1457">
        <v>275</v>
      </c>
      <c r="BJ1457">
        <v>1</v>
      </c>
      <c r="BK1457">
        <v>1</v>
      </c>
      <c r="BL1457">
        <v>1</v>
      </c>
      <c r="BM1457">
        <v>0</v>
      </c>
      <c r="BP1457">
        <v>0</v>
      </c>
      <c r="BQ1457">
        <v>0</v>
      </c>
      <c r="BX1457" t="str">
        <f>"14:14:39.031"</f>
        <v>14:14:39.031</v>
      </c>
      <c r="BY1457" t="str">
        <f>"027385863"</f>
        <v>027385863</v>
      </c>
      <c r="CL1457">
        <v>0</v>
      </c>
      <c r="CM1457">
        <v>2</v>
      </c>
      <c r="CN1457">
        <v>0</v>
      </c>
      <c r="CO1457">
        <v>2</v>
      </c>
      <c r="CP1457">
        <v>0</v>
      </c>
      <c r="CQ1457">
        <v>7</v>
      </c>
      <c r="CR1457" t="s">
        <v>116</v>
      </c>
      <c r="CS1457">
        <v>396</v>
      </c>
      <c r="CT1457">
        <v>2</v>
      </c>
      <c r="CU1457" t="s">
        <v>939</v>
      </c>
      <c r="CV1457" t="s">
        <v>940</v>
      </c>
      <c r="CY1457">
        <v>5316352</v>
      </c>
      <c r="CZ1457" t="s">
        <v>119</v>
      </c>
    </row>
    <row r="1458" spans="1:104" x14ac:dyDescent="0.25">
      <c r="A1458" t="str">
        <f>"14:14:40.273"</f>
        <v>14:14:40.273</v>
      </c>
      <c r="B1458" t="s">
        <v>108</v>
      </c>
      <c r="C1458" t="str">
        <f t="shared" si="67"/>
        <v>ffdfd3c0</v>
      </c>
      <c r="D1458" t="s">
        <v>109</v>
      </c>
      <c r="E1458">
        <v>4</v>
      </c>
      <c r="F1458">
        <v>1004</v>
      </c>
      <c r="G1458" t="s">
        <v>110</v>
      </c>
      <c r="J1458" t="s">
        <v>111</v>
      </c>
      <c r="K1458">
        <v>0</v>
      </c>
      <c r="L1458">
        <v>3</v>
      </c>
      <c r="M1458">
        <v>0</v>
      </c>
      <c r="N1458">
        <v>2</v>
      </c>
      <c r="O1458">
        <v>1</v>
      </c>
      <c r="P1458">
        <v>0</v>
      </c>
      <c r="Q1458">
        <v>0</v>
      </c>
      <c r="R1458" t="s">
        <v>112</v>
      </c>
      <c r="S1458" t="str">
        <f>"14:14:40.070"</f>
        <v>14:14:40.070</v>
      </c>
      <c r="T1458" t="str">
        <f>"14:14:39.570"</f>
        <v>14:14:39.570</v>
      </c>
      <c r="U1458" t="str">
        <f t="shared" si="66"/>
        <v>ad5732</v>
      </c>
      <c r="V1458">
        <v>0</v>
      </c>
      <c r="W1458">
        <v>0</v>
      </c>
      <c r="X1458">
        <v>1</v>
      </c>
      <c r="Z1458">
        <v>0</v>
      </c>
      <c r="AA1458">
        <v>9</v>
      </c>
      <c r="AB1458">
        <v>3</v>
      </c>
      <c r="AC1458">
        <v>0</v>
      </c>
      <c r="AD1458">
        <v>10</v>
      </c>
      <c r="AE1458">
        <v>0</v>
      </c>
      <c r="AF1458">
        <v>3</v>
      </c>
      <c r="AG1458">
        <v>2</v>
      </c>
      <c r="AH1458">
        <v>0</v>
      </c>
      <c r="AI1458" t="s">
        <v>3019</v>
      </c>
      <c r="AJ1458">
        <v>39.620283000000001</v>
      </c>
      <c r="AK1458" t="s">
        <v>3020</v>
      </c>
      <c r="AL1458">
        <v>-76.413088000000002</v>
      </c>
      <c r="AM1458">
        <v>100</v>
      </c>
      <c r="AN1458">
        <v>7800</v>
      </c>
      <c r="AO1458" t="s">
        <v>115</v>
      </c>
      <c r="AP1458">
        <v>197</v>
      </c>
      <c r="AQ1458">
        <v>99</v>
      </c>
      <c r="AR1458">
        <v>-1472</v>
      </c>
      <c r="AZ1458">
        <v>3614</v>
      </c>
      <c r="BA1458">
        <v>1</v>
      </c>
      <c r="BB1458" t="str">
        <f t="shared" si="68"/>
        <v xml:space="preserve">N959MJ  </v>
      </c>
      <c r="BC1458">
        <v>1</v>
      </c>
      <c r="BE1458">
        <v>0</v>
      </c>
      <c r="BF1458">
        <v>0</v>
      </c>
      <c r="BG1458">
        <v>0</v>
      </c>
      <c r="BH1458">
        <v>8050</v>
      </c>
      <c r="BI1458">
        <v>250</v>
      </c>
      <c r="BJ1458">
        <v>1</v>
      </c>
      <c r="BK1458">
        <v>1</v>
      </c>
      <c r="BL1458">
        <v>1</v>
      </c>
      <c r="BM1458">
        <v>0</v>
      </c>
      <c r="BP1458">
        <v>0</v>
      </c>
      <c r="BQ1458">
        <v>0</v>
      </c>
      <c r="BX1458" t="str">
        <f>"14:14:40.070"</f>
        <v>14:14:40.070</v>
      </c>
      <c r="BY1458" t="str">
        <f>"072702572"</f>
        <v>072702572</v>
      </c>
      <c r="CL1458">
        <v>0</v>
      </c>
      <c r="CM1458">
        <v>2</v>
      </c>
      <c r="CN1458">
        <v>0</v>
      </c>
      <c r="CO1458">
        <v>2</v>
      </c>
      <c r="CP1458">
        <v>0</v>
      </c>
      <c r="CQ1458">
        <v>6</v>
      </c>
      <c r="CR1458" t="s">
        <v>116</v>
      </c>
      <c r="CS1458">
        <v>396</v>
      </c>
      <c r="CT1458">
        <v>1</v>
      </c>
      <c r="CU1458" t="s">
        <v>939</v>
      </c>
      <c r="CV1458" t="s">
        <v>940</v>
      </c>
      <c r="CY1458">
        <v>8905927</v>
      </c>
      <c r="CZ1458" t="s">
        <v>119</v>
      </c>
    </row>
    <row r="1459" spans="1:104" x14ac:dyDescent="0.25">
      <c r="A1459" t="str">
        <f>"14:14:41.430"</f>
        <v>14:14:41.430</v>
      </c>
      <c r="B1459" t="s">
        <v>108</v>
      </c>
      <c r="C1459" t="str">
        <f t="shared" si="67"/>
        <v>ffdfd3c0</v>
      </c>
      <c r="D1459" t="s">
        <v>109</v>
      </c>
      <c r="E1459">
        <v>4</v>
      </c>
      <c r="F1459">
        <v>1004</v>
      </c>
      <c r="G1459" t="s">
        <v>110</v>
      </c>
      <c r="J1459" t="s">
        <v>111</v>
      </c>
      <c r="K1459">
        <v>0</v>
      </c>
      <c r="L1459">
        <v>3</v>
      </c>
      <c r="M1459">
        <v>0</v>
      </c>
      <c r="N1459">
        <v>2</v>
      </c>
      <c r="O1459">
        <v>1</v>
      </c>
      <c r="P1459">
        <v>0</v>
      </c>
      <c r="Q1459">
        <v>0</v>
      </c>
      <c r="R1459" t="s">
        <v>112</v>
      </c>
      <c r="S1459" t="str">
        <f>"14:14:41.227"</f>
        <v>14:14:41.227</v>
      </c>
      <c r="T1459" t="str">
        <f>"14:14:40.727"</f>
        <v>14:14:40.727</v>
      </c>
      <c r="U1459" t="str">
        <f t="shared" si="66"/>
        <v>ad5732</v>
      </c>
      <c r="V1459">
        <v>0</v>
      </c>
      <c r="W1459">
        <v>0</v>
      </c>
      <c r="X1459">
        <v>1</v>
      </c>
      <c r="Z1459">
        <v>0</v>
      </c>
      <c r="AA1459">
        <v>9</v>
      </c>
      <c r="AB1459">
        <v>3</v>
      </c>
      <c r="AC1459">
        <v>0</v>
      </c>
      <c r="AD1459">
        <v>10</v>
      </c>
      <c r="AE1459">
        <v>0</v>
      </c>
      <c r="AF1459">
        <v>3</v>
      </c>
      <c r="AG1459">
        <v>2</v>
      </c>
      <c r="AH1459">
        <v>0</v>
      </c>
      <c r="AI1459" t="s">
        <v>3021</v>
      </c>
      <c r="AJ1459">
        <v>39.620840999999999</v>
      </c>
      <c r="AK1459" t="s">
        <v>3022</v>
      </c>
      <c r="AL1459">
        <v>-76.411671999999996</v>
      </c>
      <c r="AM1459">
        <v>100</v>
      </c>
      <c r="AN1459">
        <v>7800</v>
      </c>
      <c r="AO1459" t="s">
        <v>115</v>
      </c>
      <c r="AP1459">
        <v>197</v>
      </c>
      <c r="AQ1459">
        <v>99</v>
      </c>
      <c r="AR1459">
        <v>-1472</v>
      </c>
      <c r="AZ1459">
        <v>3614</v>
      </c>
      <c r="BA1459">
        <v>1</v>
      </c>
      <c r="BB1459" t="str">
        <f t="shared" si="68"/>
        <v xml:space="preserve">N959MJ  </v>
      </c>
      <c r="BC1459">
        <v>1</v>
      </c>
      <c r="BE1459">
        <v>0</v>
      </c>
      <c r="BF1459">
        <v>0</v>
      </c>
      <c r="BG1459">
        <v>0</v>
      </c>
      <c r="BH1459">
        <v>8025</v>
      </c>
      <c r="BI1459">
        <v>225</v>
      </c>
      <c r="BJ1459">
        <v>1</v>
      </c>
      <c r="BK1459">
        <v>1</v>
      </c>
      <c r="BL1459">
        <v>1</v>
      </c>
      <c r="BM1459">
        <v>0</v>
      </c>
      <c r="BP1459">
        <v>0</v>
      </c>
      <c r="BQ1459">
        <v>0</v>
      </c>
      <c r="BX1459" t="str">
        <f>"14:14:41.234"</f>
        <v>14:14:41.234</v>
      </c>
      <c r="BY1459" t="str">
        <f>"234347515"</f>
        <v>234347515</v>
      </c>
      <c r="CL1459">
        <v>0</v>
      </c>
      <c r="CM1459">
        <v>2</v>
      </c>
      <c r="CN1459">
        <v>0</v>
      </c>
      <c r="CO1459">
        <v>2</v>
      </c>
      <c r="CP1459">
        <v>0</v>
      </c>
      <c r="CQ1459">
        <v>7</v>
      </c>
      <c r="CR1459" t="s">
        <v>116</v>
      </c>
      <c r="CS1459">
        <v>396</v>
      </c>
      <c r="CT1459">
        <v>2</v>
      </c>
      <c r="CU1459" t="s">
        <v>939</v>
      </c>
      <c r="CV1459" t="s">
        <v>940</v>
      </c>
      <c r="CY1459">
        <v>5320274</v>
      </c>
      <c r="CZ1459" t="s">
        <v>119</v>
      </c>
    </row>
    <row r="1460" spans="1:104" x14ac:dyDescent="0.25">
      <c r="A1460" t="str">
        <f>"14:14:42.539"</f>
        <v>14:14:42.539</v>
      </c>
      <c r="B1460" t="s">
        <v>108</v>
      </c>
      <c r="C1460" t="str">
        <f t="shared" si="67"/>
        <v>ffdfd3c0</v>
      </c>
      <c r="D1460" t="s">
        <v>109</v>
      </c>
      <c r="E1460">
        <v>4</v>
      </c>
      <c r="F1460">
        <v>1004</v>
      </c>
      <c r="G1460" t="s">
        <v>110</v>
      </c>
      <c r="J1460" t="s">
        <v>111</v>
      </c>
      <c r="K1460">
        <v>0</v>
      </c>
      <c r="L1460">
        <v>3</v>
      </c>
      <c r="M1460">
        <v>0</v>
      </c>
      <c r="N1460">
        <v>2</v>
      </c>
      <c r="O1460">
        <v>1</v>
      </c>
      <c r="P1460">
        <v>0</v>
      </c>
      <c r="Q1460">
        <v>0</v>
      </c>
      <c r="R1460" t="s">
        <v>112</v>
      </c>
      <c r="S1460" t="str">
        <f>"14:14:42.328"</f>
        <v>14:14:42.328</v>
      </c>
      <c r="T1460" t="str">
        <f>"14:14:41.828"</f>
        <v>14:14:41.828</v>
      </c>
      <c r="U1460" t="str">
        <f t="shared" si="66"/>
        <v>ad5732</v>
      </c>
      <c r="V1460">
        <v>0</v>
      </c>
      <c r="W1460">
        <v>0</v>
      </c>
      <c r="X1460">
        <v>1</v>
      </c>
      <c r="Z1460">
        <v>0</v>
      </c>
      <c r="AA1460">
        <v>9</v>
      </c>
      <c r="AB1460">
        <v>3</v>
      </c>
      <c r="AC1460">
        <v>0</v>
      </c>
      <c r="AD1460">
        <v>10</v>
      </c>
      <c r="AE1460">
        <v>0</v>
      </c>
      <c r="AF1460">
        <v>3</v>
      </c>
      <c r="AG1460">
        <v>2</v>
      </c>
      <c r="AH1460">
        <v>0</v>
      </c>
      <c r="AI1460" t="s">
        <v>3023</v>
      </c>
      <c r="AJ1460">
        <v>39.621377000000003</v>
      </c>
      <c r="AK1460" t="s">
        <v>3024</v>
      </c>
      <c r="AL1460">
        <v>-76.410383999999993</v>
      </c>
      <c r="AM1460">
        <v>100</v>
      </c>
      <c r="AN1460">
        <v>7700</v>
      </c>
      <c r="AO1460" t="s">
        <v>115</v>
      </c>
      <c r="AP1460">
        <v>197</v>
      </c>
      <c r="AQ1460">
        <v>100</v>
      </c>
      <c r="AR1460">
        <v>-1472</v>
      </c>
      <c r="AZ1460">
        <v>3614</v>
      </c>
      <c r="BA1460">
        <v>1</v>
      </c>
      <c r="BB1460" t="str">
        <f t="shared" si="68"/>
        <v xml:space="preserve">N959MJ  </v>
      </c>
      <c r="BC1460">
        <v>1</v>
      </c>
      <c r="BE1460">
        <v>0</v>
      </c>
      <c r="BF1460">
        <v>0</v>
      </c>
      <c r="BG1460">
        <v>0</v>
      </c>
      <c r="BH1460">
        <v>8000</v>
      </c>
      <c r="BI1460">
        <v>300</v>
      </c>
      <c r="BJ1460">
        <v>1</v>
      </c>
      <c r="BK1460">
        <v>1</v>
      </c>
      <c r="BL1460">
        <v>1</v>
      </c>
      <c r="BM1460">
        <v>0</v>
      </c>
      <c r="BP1460">
        <v>0</v>
      </c>
      <c r="BQ1460">
        <v>0</v>
      </c>
      <c r="BX1460" t="str">
        <f>"14:14:42.336"</f>
        <v>14:14:42.336</v>
      </c>
      <c r="BY1460" t="str">
        <f>"333732260"</f>
        <v>333732260</v>
      </c>
      <c r="CL1460">
        <v>0</v>
      </c>
      <c r="CM1460">
        <v>2</v>
      </c>
      <c r="CN1460">
        <v>0</v>
      </c>
      <c r="CO1460">
        <v>2</v>
      </c>
      <c r="CP1460">
        <v>0</v>
      </c>
      <c r="CQ1460">
        <v>7</v>
      </c>
      <c r="CR1460" t="s">
        <v>116</v>
      </c>
      <c r="CS1460">
        <v>396</v>
      </c>
      <c r="CT1460">
        <v>2</v>
      </c>
      <c r="CU1460" t="s">
        <v>939</v>
      </c>
      <c r="CV1460" t="s">
        <v>940</v>
      </c>
      <c r="CY1460">
        <v>5322239</v>
      </c>
      <c r="CZ1460" t="s">
        <v>119</v>
      </c>
    </row>
    <row r="1461" spans="1:104" x14ac:dyDescent="0.25">
      <c r="A1461" t="str">
        <f>"14:14:43.453"</f>
        <v>14:14:43.453</v>
      </c>
      <c r="B1461" t="s">
        <v>108</v>
      </c>
      <c r="C1461" t="str">
        <f t="shared" si="67"/>
        <v>ffdfd3c0</v>
      </c>
      <c r="D1461" t="s">
        <v>109</v>
      </c>
      <c r="E1461">
        <v>4</v>
      </c>
      <c r="F1461">
        <v>1004</v>
      </c>
      <c r="G1461" t="s">
        <v>110</v>
      </c>
      <c r="J1461" t="s">
        <v>111</v>
      </c>
      <c r="K1461">
        <v>0</v>
      </c>
      <c r="L1461">
        <v>3</v>
      </c>
      <c r="M1461">
        <v>0</v>
      </c>
      <c r="N1461">
        <v>2</v>
      </c>
      <c r="O1461">
        <v>1</v>
      </c>
      <c r="P1461">
        <v>0</v>
      </c>
      <c r="Q1461">
        <v>0</v>
      </c>
      <c r="R1461" t="s">
        <v>112</v>
      </c>
      <c r="S1461" t="str">
        <f>"14:14:43.289"</f>
        <v>14:14:43.289</v>
      </c>
      <c r="T1461" t="str">
        <f>"14:14:42.789"</f>
        <v>14:14:42.789</v>
      </c>
      <c r="U1461" t="str">
        <f t="shared" si="66"/>
        <v>ad5732</v>
      </c>
      <c r="V1461">
        <v>0</v>
      </c>
      <c r="W1461">
        <v>0</v>
      </c>
      <c r="X1461">
        <v>1</v>
      </c>
      <c r="Z1461">
        <v>0</v>
      </c>
      <c r="AA1461">
        <v>9</v>
      </c>
      <c r="AB1461">
        <v>3</v>
      </c>
      <c r="AC1461">
        <v>0</v>
      </c>
      <c r="AD1461">
        <v>10</v>
      </c>
      <c r="AE1461">
        <v>0</v>
      </c>
      <c r="AF1461">
        <v>3</v>
      </c>
      <c r="AG1461">
        <v>2</v>
      </c>
      <c r="AH1461">
        <v>0</v>
      </c>
      <c r="AI1461" t="s">
        <v>3025</v>
      </c>
      <c r="AJ1461">
        <v>39.621828000000001</v>
      </c>
      <c r="AK1461" t="s">
        <v>3026</v>
      </c>
      <c r="AL1461">
        <v>-76.409204000000003</v>
      </c>
      <c r="AM1461">
        <v>100</v>
      </c>
      <c r="AN1461">
        <v>7700</v>
      </c>
      <c r="AO1461" t="s">
        <v>115</v>
      </c>
      <c r="AP1461">
        <v>198</v>
      </c>
      <c r="AQ1461">
        <v>100</v>
      </c>
      <c r="AR1461">
        <v>-1472</v>
      </c>
      <c r="AZ1461">
        <v>3614</v>
      </c>
      <c r="BA1461">
        <v>1</v>
      </c>
      <c r="BB1461" t="str">
        <f t="shared" si="68"/>
        <v xml:space="preserve">N959MJ  </v>
      </c>
      <c r="BC1461">
        <v>1</v>
      </c>
      <c r="BE1461">
        <v>0</v>
      </c>
      <c r="BF1461">
        <v>0</v>
      </c>
      <c r="BG1461">
        <v>0</v>
      </c>
      <c r="BH1461">
        <v>7975</v>
      </c>
      <c r="BI1461">
        <v>275</v>
      </c>
      <c r="BJ1461">
        <v>1</v>
      </c>
      <c r="BK1461">
        <v>1</v>
      </c>
      <c r="BL1461">
        <v>1</v>
      </c>
      <c r="BM1461">
        <v>0</v>
      </c>
      <c r="BP1461">
        <v>0</v>
      </c>
      <c r="BQ1461">
        <v>0</v>
      </c>
      <c r="BX1461" t="str">
        <f>"14:14:43.289"</f>
        <v>14:14:43.289</v>
      </c>
      <c r="BY1461" t="str">
        <f>"290573891"</f>
        <v>290573891</v>
      </c>
      <c r="CL1461">
        <v>0</v>
      </c>
      <c r="CM1461">
        <v>2</v>
      </c>
      <c r="CN1461">
        <v>0</v>
      </c>
      <c r="CO1461">
        <v>2</v>
      </c>
      <c r="CP1461">
        <v>0</v>
      </c>
      <c r="CQ1461">
        <v>6</v>
      </c>
      <c r="CR1461" t="s">
        <v>116</v>
      </c>
      <c r="CS1461">
        <v>396</v>
      </c>
      <c r="CT1461">
        <v>2</v>
      </c>
      <c r="CU1461" t="s">
        <v>939</v>
      </c>
      <c r="CV1461" t="s">
        <v>940</v>
      </c>
      <c r="CY1461">
        <v>5324047</v>
      </c>
      <c r="CZ1461" t="s">
        <v>119</v>
      </c>
    </row>
    <row r="1462" spans="1:104" x14ac:dyDescent="0.25">
      <c r="A1462" t="str">
        <f>"14:14:44.563"</f>
        <v>14:14:44.563</v>
      </c>
      <c r="B1462" t="s">
        <v>108</v>
      </c>
      <c r="C1462" t="str">
        <f t="shared" si="67"/>
        <v>ffdfd3c0</v>
      </c>
      <c r="D1462" t="s">
        <v>109</v>
      </c>
      <c r="E1462">
        <v>4</v>
      </c>
      <c r="F1462">
        <v>1004</v>
      </c>
      <c r="G1462" t="s">
        <v>110</v>
      </c>
      <c r="J1462" t="s">
        <v>111</v>
      </c>
      <c r="K1462">
        <v>0</v>
      </c>
      <c r="L1462">
        <v>3</v>
      </c>
      <c r="M1462">
        <v>0</v>
      </c>
      <c r="N1462">
        <v>2</v>
      </c>
      <c r="O1462">
        <v>1</v>
      </c>
      <c r="P1462">
        <v>0</v>
      </c>
      <c r="Q1462">
        <v>0</v>
      </c>
      <c r="R1462" t="s">
        <v>112</v>
      </c>
      <c r="S1462" t="str">
        <f>"14:14:44.375"</f>
        <v>14:14:44.375</v>
      </c>
      <c r="T1462" t="str">
        <f>"14:14:43.875"</f>
        <v>14:14:43.875</v>
      </c>
      <c r="U1462" t="str">
        <f t="shared" si="66"/>
        <v>ad5732</v>
      </c>
      <c r="V1462">
        <v>0</v>
      </c>
      <c r="W1462">
        <v>0</v>
      </c>
      <c r="X1462">
        <v>1</v>
      </c>
      <c r="Z1462">
        <v>0</v>
      </c>
      <c r="AA1462">
        <v>9</v>
      </c>
      <c r="AB1462">
        <v>3</v>
      </c>
      <c r="AC1462">
        <v>0</v>
      </c>
      <c r="AD1462">
        <v>10</v>
      </c>
      <c r="AE1462">
        <v>0</v>
      </c>
      <c r="AF1462">
        <v>3</v>
      </c>
      <c r="AG1462">
        <v>2</v>
      </c>
      <c r="AH1462">
        <v>0</v>
      </c>
      <c r="AI1462" t="s">
        <v>3027</v>
      </c>
      <c r="AJ1462">
        <v>39.622278000000001</v>
      </c>
      <c r="AK1462" t="s">
        <v>3028</v>
      </c>
      <c r="AL1462">
        <v>-76.408001999999996</v>
      </c>
      <c r="AM1462">
        <v>100</v>
      </c>
      <c r="AN1462">
        <v>7700</v>
      </c>
      <c r="AO1462" t="s">
        <v>115</v>
      </c>
      <c r="AP1462">
        <v>198</v>
      </c>
      <c r="AQ1462">
        <v>100</v>
      </c>
      <c r="AR1462">
        <v>-1472</v>
      </c>
      <c r="AZ1462">
        <v>3614</v>
      </c>
      <c r="BA1462">
        <v>1</v>
      </c>
      <c r="BB1462" t="str">
        <f t="shared" si="68"/>
        <v xml:space="preserve">N959MJ  </v>
      </c>
      <c r="BC1462">
        <v>1</v>
      </c>
      <c r="BE1462">
        <v>0</v>
      </c>
      <c r="BF1462">
        <v>0</v>
      </c>
      <c r="BG1462">
        <v>0</v>
      </c>
      <c r="BH1462">
        <v>7950</v>
      </c>
      <c r="BI1462">
        <v>250</v>
      </c>
      <c r="BJ1462">
        <v>1</v>
      </c>
      <c r="BK1462">
        <v>1</v>
      </c>
      <c r="BL1462">
        <v>1</v>
      </c>
      <c r="BM1462">
        <v>0</v>
      </c>
      <c r="BP1462">
        <v>0</v>
      </c>
      <c r="BQ1462">
        <v>0</v>
      </c>
      <c r="BX1462" t="str">
        <f>"14:14:44.375"</f>
        <v>14:14:44.375</v>
      </c>
      <c r="BY1462" t="str">
        <f>"376851277"</f>
        <v>376851277</v>
      </c>
      <c r="CL1462">
        <v>0</v>
      </c>
      <c r="CM1462">
        <v>2</v>
      </c>
      <c r="CN1462">
        <v>0</v>
      </c>
      <c r="CO1462">
        <v>2</v>
      </c>
      <c r="CP1462">
        <v>0</v>
      </c>
      <c r="CQ1462">
        <v>7</v>
      </c>
      <c r="CR1462" t="s">
        <v>116</v>
      </c>
      <c r="CS1462">
        <v>396</v>
      </c>
      <c r="CT1462">
        <v>2</v>
      </c>
      <c r="CU1462" t="s">
        <v>939</v>
      </c>
      <c r="CV1462" t="s">
        <v>940</v>
      </c>
      <c r="CY1462">
        <v>5325992</v>
      </c>
      <c r="CZ1462" t="s">
        <v>119</v>
      </c>
    </row>
    <row r="1463" spans="1:104" x14ac:dyDescent="0.25">
      <c r="A1463" t="str">
        <f>"14:14:45.617"</f>
        <v>14:14:45.617</v>
      </c>
      <c r="B1463" t="s">
        <v>108</v>
      </c>
      <c r="C1463" t="str">
        <f t="shared" si="67"/>
        <v>ffdfd3c0</v>
      </c>
      <c r="D1463" t="s">
        <v>109</v>
      </c>
      <c r="E1463">
        <v>4</v>
      </c>
      <c r="F1463">
        <v>1004</v>
      </c>
      <c r="G1463" t="s">
        <v>110</v>
      </c>
      <c r="J1463" t="s">
        <v>111</v>
      </c>
      <c r="K1463">
        <v>0</v>
      </c>
      <c r="L1463">
        <v>3</v>
      </c>
      <c r="M1463">
        <v>0</v>
      </c>
      <c r="N1463">
        <v>2</v>
      </c>
      <c r="O1463">
        <v>1</v>
      </c>
      <c r="P1463">
        <v>0</v>
      </c>
      <c r="Q1463">
        <v>0</v>
      </c>
      <c r="R1463" t="s">
        <v>112</v>
      </c>
      <c r="S1463" t="str">
        <f>"14:14:45.445"</f>
        <v>14:14:45.445</v>
      </c>
      <c r="T1463" t="str">
        <f>"14:14:44.945"</f>
        <v>14:14:44.945</v>
      </c>
      <c r="U1463" t="str">
        <f t="shared" si="66"/>
        <v>ad5732</v>
      </c>
      <c r="V1463">
        <v>0</v>
      </c>
      <c r="W1463">
        <v>0</v>
      </c>
      <c r="X1463">
        <v>1</v>
      </c>
      <c r="Z1463">
        <v>0</v>
      </c>
      <c r="AA1463">
        <v>9</v>
      </c>
      <c r="AB1463">
        <v>3</v>
      </c>
      <c r="AC1463">
        <v>0</v>
      </c>
      <c r="AD1463">
        <v>10</v>
      </c>
      <c r="AE1463">
        <v>0</v>
      </c>
      <c r="AF1463">
        <v>3</v>
      </c>
      <c r="AG1463">
        <v>2</v>
      </c>
      <c r="AH1463">
        <v>0</v>
      </c>
      <c r="AI1463" t="s">
        <v>3029</v>
      </c>
      <c r="AJ1463">
        <v>39.622793000000001</v>
      </c>
      <c r="AK1463" t="s">
        <v>3030</v>
      </c>
      <c r="AL1463">
        <v>-76.406672</v>
      </c>
      <c r="AM1463">
        <v>100</v>
      </c>
      <c r="AN1463">
        <v>7700</v>
      </c>
      <c r="AO1463" t="s">
        <v>115</v>
      </c>
      <c r="AP1463">
        <v>199</v>
      </c>
      <c r="AQ1463">
        <v>101</v>
      </c>
      <c r="AR1463">
        <v>-1408</v>
      </c>
      <c r="AZ1463">
        <v>3614</v>
      </c>
      <c r="BA1463">
        <v>1</v>
      </c>
      <c r="BB1463" t="str">
        <f t="shared" si="68"/>
        <v xml:space="preserve">N959MJ  </v>
      </c>
      <c r="BC1463">
        <v>1</v>
      </c>
      <c r="BE1463">
        <v>0</v>
      </c>
      <c r="BF1463">
        <v>0</v>
      </c>
      <c r="BG1463">
        <v>0</v>
      </c>
      <c r="BH1463">
        <v>7925</v>
      </c>
      <c r="BI1463">
        <v>225</v>
      </c>
      <c r="BJ1463">
        <v>1</v>
      </c>
      <c r="BK1463">
        <v>1</v>
      </c>
      <c r="BL1463">
        <v>1</v>
      </c>
      <c r="BM1463">
        <v>0</v>
      </c>
      <c r="BP1463">
        <v>0</v>
      </c>
      <c r="BQ1463">
        <v>0</v>
      </c>
      <c r="BX1463" t="str">
        <f>"14:14:45.453"</f>
        <v>14:14:45.453</v>
      </c>
      <c r="BY1463" t="str">
        <f>"451659639"</f>
        <v>451659639</v>
      </c>
      <c r="CL1463">
        <v>0</v>
      </c>
      <c r="CM1463">
        <v>2</v>
      </c>
      <c r="CN1463">
        <v>0</v>
      </c>
      <c r="CO1463">
        <v>2</v>
      </c>
      <c r="CP1463">
        <v>0</v>
      </c>
      <c r="CQ1463">
        <v>6</v>
      </c>
      <c r="CR1463" t="s">
        <v>116</v>
      </c>
      <c r="CS1463">
        <v>396</v>
      </c>
      <c r="CT1463">
        <v>2</v>
      </c>
      <c r="CU1463" t="s">
        <v>939</v>
      </c>
      <c r="CV1463" t="s">
        <v>940</v>
      </c>
      <c r="CY1463">
        <v>5327866</v>
      </c>
      <c r="CZ1463" t="s">
        <v>119</v>
      </c>
    </row>
    <row r="1464" spans="1:104" x14ac:dyDescent="0.25">
      <c r="A1464" t="str">
        <f>"14:14:46.781"</f>
        <v>14:14:46.781</v>
      </c>
      <c r="B1464" t="s">
        <v>108</v>
      </c>
      <c r="C1464" t="str">
        <f t="shared" si="67"/>
        <v>ffdfd3c0</v>
      </c>
      <c r="D1464" t="s">
        <v>109</v>
      </c>
      <c r="E1464">
        <v>4</v>
      </c>
      <c r="F1464">
        <v>1004</v>
      </c>
      <c r="G1464" t="s">
        <v>110</v>
      </c>
      <c r="J1464" t="s">
        <v>111</v>
      </c>
      <c r="K1464">
        <v>0</v>
      </c>
      <c r="L1464">
        <v>3</v>
      </c>
      <c r="M1464">
        <v>0</v>
      </c>
      <c r="N1464">
        <v>2</v>
      </c>
      <c r="O1464">
        <v>1</v>
      </c>
      <c r="P1464">
        <v>0</v>
      </c>
      <c r="Q1464">
        <v>0</v>
      </c>
      <c r="R1464" t="s">
        <v>112</v>
      </c>
      <c r="S1464" t="str">
        <f>"14:14:46.570"</f>
        <v>14:14:46.570</v>
      </c>
      <c r="T1464" t="str">
        <f>"14:14:46.070"</f>
        <v>14:14:46.070</v>
      </c>
      <c r="U1464" t="str">
        <f t="shared" si="66"/>
        <v>ad5732</v>
      </c>
      <c r="V1464">
        <v>0</v>
      </c>
      <c r="W1464">
        <v>0</v>
      </c>
      <c r="X1464">
        <v>1</v>
      </c>
      <c r="Z1464">
        <v>0</v>
      </c>
      <c r="AA1464">
        <v>9</v>
      </c>
      <c r="AB1464">
        <v>3</v>
      </c>
      <c r="AC1464">
        <v>0</v>
      </c>
      <c r="AD1464">
        <v>10</v>
      </c>
      <c r="AE1464">
        <v>0</v>
      </c>
      <c r="AF1464">
        <v>3</v>
      </c>
      <c r="AG1464">
        <v>2</v>
      </c>
      <c r="AH1464">
        <v>0</v>
      </c>
      <c r="AI1464" t="s">
        <v>3031</v>
      </c>
      <c r="AJ1464">
        <v>39.623330000000003</v>
      </c>
      <c r="AK1464" t="s">
        <v>3032</v>
      </c>
      <c r="AL1464">
        <v>-76.405384999999995</v>
      </c>
      <c r="AM1464">
        <v>100</v>
      </c>
      <c r="AN1464">
        <v>7700</v>
      </c>
      <c r="AO1464" t="s">
        <v>115</v>
      </c>
      <c r="AP1464">
        <v>199</v>
      </c>
      <c r="AQ1464">
        <v>101</v>
      </c>
      <c r="AR1464">
        <v>-1344</v>
      </c>
      <c r="AZ1464">
        <v>3614</v>
      </c>
      <c r="BA1464">
        <v>1</v>
      </c>
      <c r="BB1464" t="str">
        <f t="shared" si="68"/>
        <v xml:space="preserve">N959MJ  </v>
      </c>
      <c r="BC1464">
        <v>1</v>
      </c>
      <c r="BE1464">
        <v>0</v>
      </c>
      <c r="BF1464">
        <v>0</v>
      </c>
      <c r="BG1464">
        <v>0</v>
      </c>
      <c r="BH1464">
        <v>7900</v>
      </c>
      <c r="BI1464">
        <v>200</v>
      </c>
      <c r="BJ1464">
        <v>1</v>
      </c>
      <c r="BK1464">
        <v>1</v>
      </c>
      <c r="BL1464">
        <v>1</v>
      </c>
      <c r="BM1464">
        <v>0</v>
      </c>
      <c r="BP1464">
        <v>0</v>
      </c>
      <c r="BQ1464">
        <v>0</v>
      </c>
      <c r="BX1464" t="str">
        <f>"14:14:46.578"</f>
        <v>14:14:46.578</v>
      </c>
      <c r="BY1464" t="str">
        <f>"577259299"</f>
        <v>577259299</v>
      </c>
      <c r="CL1464">
        <v>0</v>
      </c>
      <c r="CM1464">
        <v>2</v>
      </c>
      <c r="CN1464">
        <v>0</v>
      </c>
      <c r="CO1464">
        <v>2</v>
      </c>
      <c r="CP1464">
        <v>0</v>
      </c>
      <c r="CQ1464">
        <v>6</v>
      </c>
      <c r="CR1464" t="s">
        <v>116</v>
      </c>
      <c r="CS1464">
        <v>396</v>
      </c>
      <c r="CT1464">
        <v>2</v>
      </c>
      <c r="CU1464" t="s">
        <v>939</v>
      </c>
      <c r="CV1464" t="s">
        <v>940</v>
      </c>
      <c r="CY1464">
        <v>5329875</v>
      </c>
      <c r="CZ1464" t="s">
        <v>119</v>
      </c>
    </row>
    <row r="1465" spans="1:104" x14ac:dyDescent="0.25">
      <c r="A1465" t="str">
        <f>"14:14:47.742"</f>
        <v>14:14:47.742</v>
      </c>
      <c r="B1465" t="s">
        <v>108</v>
      </c>
      <c r="C1465" t="str">
        <f t="shared" si="67"/>
        <v>ffdfd3c0</v>
      </c>
      <c r="D1465" t="s">
        <v>109</v>
      </c>
      <c r="E1465">
        <v>4</v>
      </c>
      <c r="F1465">
        <v>1004</v>
      </c>
      <c r="G1465" t="s">
        <v>110</v>
      </c>
      <c r="J1465" t="s">
        <v>111</v>
      </c>
      <c r="K1465">
        <v>0</v>
      </c>
      <c r="L1465">
        <v>3</v>
      </c>
      <c r="M1465">
        <v>0</v>
      </c>
      <c r="N1465">
        <v>2</v>
      </c>
      <c r="O1465">
        <v>1</v>
      </c>
      <c r="P1465">
        <v>0</v>
      </c>
      <c r="Q1465">
        <v>0</v>
      </c>
      <c r="R1465" t="s">
        <v>112</v>
      </c>
      <c r="S1465" t="str">
        <f>"14:14:47.539"</f>
        <v>14:14:47.539</v>
      </c>
      <c r="T1465" t="str">
        <f>"14:14:47.141"</f>
        <v>14:14:47.141</v>
      </c>
      <c r="U1465" t="str">
        <f t="shared" si="66"/>
        <v>ad5732</v>
      </c>
      <c r="V1465">
        <v>0</v>
      </c>
      <c r="W1465">
        <v>0</v>
      </c>
      <c r="X1465">
        <v>1</v>
      </c>
      <c r="Z1465">
        <v>0</v>
      </c>
      <c r="AA1465">
        <v>9</v>
      </c>
      <c r="AB1465">
        <v>3</v>
      </c>
      <c r="AC1465">
        <v>0</v>
      </c>
      <c r="AD1465">
        <v>10</v>
      </c>
      <c r="AE1465">
        <v>0</v>
      </c>
      <c r="AF1465">
        <v>3</v>
      </c>
      <c r="AG1465">
        <v>2</v>
      </c>
      <c r="AH1465">
        <v>0</v>
      </c>
      <c r="AI1465" t="s">
        <v>3033</v>
      </c>
      <c r="AJ1465">
        <v>39.623801999999998</v>
      </c>
      <c r="AK1465" t="s">
        <v>3034</v>
      </c>
      <c r="AL1465">
        <v>-76.404183000000003</v>
      </c>
      <c r="AM1465">
        <v>100</v>
      </c>
      <c r="AN1465">
        <v>7600</v>
      </c>
      <c r="AO1465" t="s">
        <v>115</v>
      </c>
      <c r="AP1465">
        <v>199</v>
      </c>
      <c r="AQ1465">
        <v>101</v>
      </c>
      <c r="AR1465">
        <v>-1344</v>
      </c>
      <c r="AZ1465">
        <v>3614</v>
      </c>
      <c r="BA1465">
        <v>1</v>
      </c>
      <c r="BB1465" t="str">
        <f t="shared" si="68"/>
        <v xml:space="preserve">N959MJ  </v>
      </c>
      <c r="BC1465">
        <v>1</v>
      </c>
      <c r="BE1465">
        <v>0</v>
      </c>
      <c r="BF1465">
        <v>0</v>
      </c>
      <c r="BG1465">
        <v>0</v>
      </c>
      <c r="BH1465">
        <v>7975</v>
      </c>
      <c r="BI1465">
        <v>375</v>
      </c>
      <c r="BJ1465">
        <v>1</v>
      </c>
      <c r="BK1465">
        <v>1</v>
      </c>
      <c r="BL1465">
        <v>1</v>
      </c>
      <c r="BM1465">
        <v>0</v>
      </c>
      <c r="BP1465">
        <v>0</v>
      </c>
      <c r="BQ1465">
        <v>0</v>
      </c>
      <c r="BX1465" t="str">
        <f>"14:14:47.547"</f>
        <v>14:14:47.547</v>
      </c>
      <c r="BY1465" t="str">
        <f>"545569874"</f>
        <v>545569874</v>
      </c>
      <c r="CL1465">
        <v>0</v>
      </c>
      <c r="CM1465">
        <v>2</v>
      </c>
      <c r="CN1465">
        <v>0</v>
      </c>
      <c r="CO1465">
        <v>2</v>
      </c>
      <c r="CP1465">
        <v>0</v>
      </c>
      <c r="CQ1465">
        <v>7</v>
      </c>
      <c r="CR1465" t="s">
        <v>116</v>
      </c>
      <c r="CS1465">
        <v>396</v>
      </c>
      <c r="CT1465">
        <v>2</v>
      </c>
      <c r="CU1465" t="s">
        <v>939</v>
      </c>
      <c r="CV1465" t="s">
        <v>940</v>
      </c>
      <c r="CY1465">
        <v>5331600</v>
      </c>
      <c r="CZ1465" t="s">
        <v>119</v>
      </c>
    </row>
    <row r="1466" spans="1:104" x14ac:dyDescent="0.25">
      <c r="A1466" t="str">
        <f>"14:14:48.703"</f>
        <v>14:14:48.703</v>
      </c>
      <c r="B1466" t="s">
        <v>108</v>
      </c>
      <c r="C1466" t="str">
        <f t="shared" si="67"/>
        <v>ffdfd3c0</v>
      </c>
      <c r="D1466" t="s">
        <v>109</v>
      </c>
      <c r="E1466">
        <v>4</v>
      </c>
      <c r="F1466">
        <v>1004</v>
      </c>
      <c r="G1466" t="s">
        <v>110</v>
      </c>
      <c r="J1466" t="s">
        <v>111</v>
      </c>
      <c r="K1466">
        <v>0</v>
      </c>
      <c r="L1466">
        <v>3</v>
      </c>
      <c r="M1466">
        <v>0</v>
      </c>
      <c r="N1466">
        <v>2</v>
      </c>
      <c r="O1466">
        <v>1</v>
      </c>
      <c r="P1466">
        <v>0</v>
      </c>
      <c r="Q1466">
        <v>0</v>
      </c>
      <c r="R1466" t="s">
        <v>112</v>
      </c>
      <c r="S1466" t="str">
        <f>"14:14:48.523"</f>
        <v>14:14:48.523</v>
      </c>
      <c r="T1466" t="str">
        <f>"14:14:48.125"</f>
        <v>14:14:48.125</v>
      </c>
      <c r="U1466" t="str">
        <f t="shared" si="66"/>
        <v>ad5732</v>
      </c>
      <c r="V1466">
        <v>0</v>
      </c>
      <c r="W1466">
        <v>0</v>
      </c>
      <c r="X1466">
        <v>1</v>
      </c>
      <c r="Z1466">
        <v>0</v>
      </c>
      <c r="AA1466">
        <v>9</v>
      </c>
      <c r="AB1466">
        <v>3</v>
      </c>
      <c r="AC1466">
        <v>0</v>
      </c>
      <c r="AD1466">
        <v>10</v>
      </c>
      <c r="AE1466">
        <v>0</v>
      </c>
      <c r="AF1466">
        <v>3</v>
      </c>
      <c r="AG1466">
        <v>2</v>
      </c>
      <c r="AH1466">
        <v>0</v>
      </c>
      <c r="AI1466" t="s">
        <v>3035</v>
      </c>
      <c r="AJ1466">
        <v>39.624251999999998</v>
      </c>
      <c r="AK1466" t="s">
        <v>3036</v>
      </c>
      <c r="AL1466">
        <v>-76.402980999999997</v>
      </c>
      <c r="AM1466">
        <v>100</v>
      </c>
      <c r="AN1466">
        <v>7600</v>
      </c>
      <c r="AO1466" t="s">
        <v>115</v>
      </c>
      <c r="AP1466">
        <v>199</v>
      </c>
      <c r="AQ1466">
        <v>101</v>
      </c>
      <c r="AR1466">
        <v>-1280</v>
      </c>
      <c r="AZ1466">
        <v>3614</v>
      </c>
      <c r="BA1466">
        <v>1</v>
      </c>
      <c r="BB1466" t="str">
        <f t="shared" si="68"/>
        <v xml:space="preserve">N959MJ  </v>
      </c>
      <c r="BC1466">
        <v>1</v>
      </c>
      <c r="BE1466">
        <v>0</v>
      </c>
      <c r="BF1466">
        <v>0</v>
      </c>
      <c r="BG1466">
        <v>0</v>
      </c>
      <c r="BH1466">
        <v>7850</v>
      </c>
      <c r="BI1466">
        <v>250</v>
      </c>
      <c r="BJ1466">
        <v>1</v>
      </c>
      <c r="BK1466">
        <v>1</v>
      </c>
      <c r="BL1466">
        <v>1</v>
      </c>
      <c r="BM1466">
        <v>0</v>
      </c>
      <c r="BP1466">
        <v>0</v>
      </c>
      <c r="BQ1466">
        <v>0</v>
      </c>
      <c r="BX1466" t="str">
        <f>"14:14:48.531"</f>
        <v>14:14:48.531</v>
      </c>
      <c r="BY1466" t="str">
        <f>"530264753"</f>
        <v>530264753</v>
      </c>
      <c r="CL1466">
        <v>0</v>
      </c>
      <c r="CM1466">
        <v>2</v>
      </c>
      <c r="CN1466">
        <v>0</v>
      </c>
      <c r="CO1466">
        <v>2</v>
      </c>
      <c r="CP1466">
        <v>0</v>
      </c>
      <c r="CQ1466">
        <v>7</v>
      </c>
      <c r="CR1466" t="s">
        <v>116</v>
      </c>
      <c r="CS1466">
        <v>396</v>
      </c>
      <c r="CT1466">
        <v>2</v>
      </c>
      <c r="CU1466" t="s">
        <v>939</v>
      </c>
      <c r="CV1466" t="s">
        <v>940</v>
      </c>
      <c r="CY1466">
        <v>5333460</v>
      </c>
      <c r="CZ1466" t="s">
        <v>119</v>
      </c>
    </row>
    <row r="1467" spans="1:104" x14ac:dyDescent="0.25">
      <c r="A1467" t="str">
        <f>"14:14:49.758"</f>
        <v>14:14:49.758</v>
      </c>
      <c r="B1467" t="s">
        <v>108</v>
      </c>
      <c r="C1467" t="str">
        <f t="shared" si="67"/>
        <v>ffdfd3c0</v>
      </c>
      <c r="D1467" t="s">
        <v>109</v>
      </c>
      <c r="E1467">
        <v>4</v>
      </c>
      <c r="F1467">
        <v>1004</v>
      </c>
      <c r="G1467" t="s">
        <v>110</v>
      </c>
      <c r="J1467" t="s">
        <v>111</v>
      </c>
      <c r="K1467">
        <v>0</v>
      </c>
      <c r="L1467">
        <v>3</v>
      </c>
      <c r="M1467">
        <v>0</v>
      </c>
      <c r="N1467">
        <v>2</v>
      </c>
      <c r="O1467">
        <v>1</v>
      </c>
      <c r="P1467">
        <v>0</v>
      </c>
      <c r="Q1467">
        <v>0</v>
      </c>
      <c r="R1467" t="s">
        <v>112</v>
      </c>
      <c r="S1467" t="str">
        <f>"14:14:49.578"</f>
        <v>14:14:49.578</v>
      </c>
      <c r="T1467" t="str">
        <f>"14:14:49.078"</f>
        <v>14:14:49.078</v>
      </c>
      <c r="U1467" t="str">
        <f t="shared" si="66"/>
        <v>ad5732</v>
      </c>
      <c r="V1467">
        <v>0</v>
      </c>
      <c r="W1467">
        <v>0</v>
      </c>
      <c r="X1467">
        <v>1</v>
      </c>
      <c r="Z1467">
        <v>0</v>
      </c>
      <c r="AA1467">
        <v>9</v>
      </c>
      <c r="AB1467">
        <v>3</v>
      </c>
      <c r="AC1467">
        <v>0</v>
      </c>
      <c r="AD1467">
        <v>10</v>
      </c>
      <c r="AE1467">
        <v>0</v>
      </c>
      <c r="AF1467">
        <v>3</v>
      </c>
      <c r="AG1467">
        <v>2</v>
      </c>
      <c r="AH1467">
        <v>0</v>
      </c>
      <c r="AI1467" t="s">
        <v>3037</v>
      </c>
      <c r="AJ1467">
        <v>39.624702999999997</v>
      </c>
      <c r="AK1467" t="s">
        <v>3038</v>
      </c>
      <c r="AL1467">
        <v>-76.401801000000006</v>
      </c>
      <c r="AM1467">
        <v>100</v>
      </c>
      <c r="AN1467">
        <v>7600</v>
      </c>
      <c r="AO1467" t="s">
        <v>115</v>
      </c>
      <c r="AP1467">
        <v>200</v>
      </c>
      <c r="AQ1467">
        <v>101</v>
      </c>
      <c r="AR1467">
        <v>-1280</v>
      </c>
      <c r="AZ1467">
        <v>3614</v>
      </c>
      <c r="BA1467">
        <v>1</v>
      </c>
      <c r="BB1467" t="str">
        <f t="shared" si="68"/>
        <v xml:space="preserve">N959MJ  </v>
      </c>
      <c r="BC1467">
        <v>1</v>
      </c>
      <c r="BE1467">
        <v>0</v>
      </c>
      <c r="BF1467">
        <v>0</v>
      </c>
      <c r="BG1467">
        <v>0</v>
      </c>
      <c r="BH1467">
        <v>7825</v>
      </c>
      <c r="BI1467">
        <v>225</v>
      </c>
      <c r="BJ1467">
        <v>1</v>
      </c>
      <c r="BK1467">
        <v>1</v>
      </c>
      <c r="BL1467">
        <v>1</v>
      </c>
      <c r="BM1467">
        <v>0</v>
      </c>
      <c r="BP1467">
        <v>0</v>
      </c>
      <c r="BQ1467">
        <v>0</v>
      </c>
      <c r="BX1467" t="str">
        <f>"14:14:49.586"</f>
        <v>14:14:49.586</v>
      </c>
      <c r="BY1467" t="str">
        <f>"582268752"</f>
        <v>582268752</v>
      </c>
      <c r="CL1467">
        <v>0</v>
      </c>
      <c r="CM1467">
        <v>2</v>
      </c>
      <c r="CN1467">
        <v>0</v>
      </c>
      <c r="CO1467">
        <v>2</v>
      </c>
      <c r="CP1467">
        <v>0</v>
      </c>
      <c r="CQ1467">
        <v>5</v>
      </c>
      <c r="CR1467" t="s">
        <v>116</v>
      </c>
      <c r="CS1467">
        <v>39</v>
      </c>
      <c r="CT1467">
        <v>2</v>
      </c>
      <c r="CU1467" t="s">
        <v>2259</v>
      </c>
      <c r="CV1467" t="s">
        <v>2260</v>
      </c>
      <c r="CY1467">
        <v>15647566</v>
      </c>
      <c r="CZ1467" t="s">
        <v>119</v>
      </c>
    </row>
    <row r="1468" spans="1:104" x14ac:dyDescent="0.25">
      <c r="A1468" t="str">
        <f>"14:14:50.820"</f>
        <v>14:14:50.820</v>
      </c>
      <c r="B1468" t="s">
        <v>108</v>
      </c>
      <c r="C1468" t="str">
        <f t="shared" si="67"/>
        <v>ffdfd3c0</v>
      </c>
      <c r="D1468" t="s">
        <v>109</v>
      </c>
      <c r="E1468">
        <v>4</v>
      </c>
      <c r="F1468">
        <v>1004</v>
      </c>
      <c r="G1468" t="s">
        <v>110</v>
      </c>
      <c r="J1468" t="s">
        <v>111</v>
      </c>
      <c r="K1468">
        <v>0</v>
      </c>
      <c r="L1468">
        <v>3</v>
      </c>
      <c r="M1468">
        <v>0</v>
      </c>
      <c r="N1468">
        <v>2</v>
      </c>
      <c r="O1468">
        <v>1</v>
      </c>
      <c r="P1468">
        <v>0</v>
      </c>
      <c r="Q1468">
        <v>0</v>
      </c>
      <c r="R1468" t="s">
        <v>112</v>
      </c>
      <c r="S1468" t="str">
        <f>"14:14:50.617"</f>
        <v>14:14:50.617</v>
      </c>
      <c r="T1468" t="str">
        <f>"14:14:50.117"</f>
        <v>14:14:50.117</v>
      </c>
      <c r="U1468" t="str">
        <f t="shared" si="66"/>
        <v>ad5732</v>
      </c>
      <c r="V1468">
        <v>0</v>
      </c>
      <c r="W1468">
        <v>0</v>
      </c>
      <c r="X1468">
        <v>1</v>
      </c>
      <c r="Z1468">
        <v>0</v>
      </c>
      <c r="AA1468">
        <v>9</v>
      </c>
      <c r="AB1468">
        <v>3</v>
      </c>
      <c r="AC1468">
        <v>0</v>
      </c>
      <c r="AD1468">
        <v>10</v>
      </c>
      <c r="AE1468">
        <v>0</v>
      </c>
      <c r="AF1468">
        <v>3</v>
      </c>
      <c r="AG1468">
        <v>2</v>
      </c>
      <c r="AH1468">
        <v>0</v>
      </c>
      <c r="AI1468" t="s">
        <v>3039</v>
      </c>
      <c r="AJ1468">
        <v>39.625217999999997</v>
      </c>
      <c r="AK1468" t="s">
        <v>3040</v>
      </c>
      <c r="AL1468">
        <v>-76.400448999999995</v>
      </c>
      <c r="AM1468">
        <v>100</v>
      </c>
      <c r="AN1468">
        <v>7500</v>
      </c>
      <c r="AO1468" t="s">
        <v>115</v>
      </c>
      <c r="AP1468">
        <v>200</v>
      </c>
      <c r="AQ1468">
        <v>101</v>
      </c>
      <c r="AR1468">
        <v>-1216</v>
      </c>
      <c r="AZ1468">
        <v>3614</v>
      </c>
      <c r="BA1468">
        <v>1</v>
      </c>
      <c r="BB1468" t="str">
        <f t="shared" si="68"/>
        <v xml:space="preserve">N959MJ  </v>
      </c>
      <c r="BC1468">
        <v>1</v>
      </c>
      <c r="BE1468">
        <v>0</v>
      </c>
      <c r="BF1468">
        <v>0</v>
      </c>
      <c r="BG1468">
        <v>0</v>
      </c>
      <c r="BH1468">
        <v>7800</v>
      </c>
      <c r="BI1468">
        <v>300</v>
      </c>
      <c r="BJ1468">
        <v>1</v>
      </c>
      <c r="BK1468">
        <v>1</v>
      </c>
      <c r="BL1468">
        <v>1</v>
      </c>
      <c r="BM1468">
        <v>0</v>
      </c>
      <c r="BP1468">
        <v>0</v>
      </c>
      <c r="BQ1468">
        <v>0</v>
      </c>
      <c r="BX1468" t="str">
        <f>"14:14:50.617"</f>
        <v>14:14:50.617</v>
      </c>
      <c r="BY1468" t="str">
        <f>"619259763"</f>
        <v>619259763</v>
      </c>
      <c r="CL1468">
        <v>0</v>
      </c>
      <c r="CM1468">
        <v>2</v>
      </c>
      <c r="CN1468">
        <v>0</v>
      </c>
      <c r="CO1468">
        <v>2</v>
      </c>
      <c r="CP1468">
        <v>0</v>
      </c>
      <c r="CQ1468">
        <v>6</v>
      </c>
      <c r="CR1468" t="s">
        <v>116</v>
      </c>
      <c r="CS1468">
        <v>396</v>
      </c>
      <c r="CT1468">
        <v>1</v>
      </c>
      <c r="CU1468" t="s">
        <v>939</v>
      </c>
      <c r="CV1468" t="s">
        <v>940</v>
      </c>
      <c r="CY1468">
        <v>8924758</v>
      </c>
      <c r="CZ1468" t="s">
        <v>119</v>
      </c>
    </row>
    <row r="1469" spans="1:104" x14ac:dyDescent="0.25">
      <c r="A1469" t="str">
        <f>"14:14:51.781"</f>
        <v>14:14:51.781</v>
      </c>
      <c r="B1469" t="s">
        <v>108</v>
      </c>
      <c r="C1469" t="str">
        <f t="shared" si="67"/>
        <v>ffdfd3c0</v>
      </c>
      <c r="D1469" t="s">
        <v>109</v>
      </c>
      <c r="E1469">
        <v>4</v>
      </c>
      <c r="F1469">
        <v>1004</v>
      </c>
      <c r="G1469" t="s">
        <v>110</v>
      </c>
      <c r="J1469" t="s">
        <v>111</v>
      </c>
      <c r="K1469">
        <v>0</v>
      </c>
      <c r="L1469">
        <v>3</v>
      </c>
      <c r="M1469">
        <v>0</v>
      </c>
      <c r="N1469">
        <v>2</v>
      </c>
      <c r="O1469">
        <v>1</v>
      </c>
      <c r="P1469">
        <v>0</v>
      </c>
      <c r="Q1469">
        <v>0</v>
      </c>
      <c r="R1469" t="s">
        <v>112</v>
      </c>
      <c r="S1469" t="str">
        <f>"14:14:51.609"</f>
        <v>14:14:51.609</v>
      </c>
      <c r="T1469" t="str">
        <f>"14:14:51.109"</f>
        <v>14:14:51.109</v>
      </c>
      <c r="U1469" t="str">
        <f t="shared" si="66"/>
        <v>ad5732</v>
      </c>
      <c r="V1469">
        <v>0</v>
      </c>
      <c r="W1469">
        <v>0</v>
      </c>
      <c r="X1469">
        <v>1</v>
      </c>
      <c r="Z1469">
        <v>0</v>
      </c>
      <c r="AA1469">
        <v>9</v>
      </c>
      <c r="AB1469">
        <v>3</v>
      </c>
      <c r="AC1469">
        <v>0</v>
      </c>
      <c r="AD1469">
        <v>10</v>
      </c>
      <c r="AE1469">
        <v>0</v>
      </c>
      <c r="AF1469">
        <v>3</v>
      </c>
      <c r="AG1469">
        <v>2</v>
      </c>
      <c r="AH1469">
        <v>0</v>
      </c>
      <c r="AI1469" t="s">
        <v>3041</v>
      </c>
      <c r="AJ1469">
        <v>39.625689999999999</v>
      </c>
      <c r="AK1469" t="s">
        <v>3042</v>
      </c>
      <c r="AL1469">
        <v>-76.399291000000005</v>
      </c>
      <c r="AM1469">
        <v>100</v>
      </c>
      <c r="AN1469">
        <v>7500</v>
      </c>
      <c r="AO1469" t="s">
        <v>115</v>
      </c>
      <c r="AP1469">
        <v>200</v>
      </c>
      <c r="AQ1469">
        <v>101</v>
      </c>
      <c r="AR1469">
        <v>-1216</v>
      </c>
      <c r="AZ1469">
        <v>3614</v>
      </c>
      <c r="BA1469">
        <v>1</v>
      </c>
      <c r="BB1469" t="str">
        <f t="shared" si="68"/>
        <v xml:space="preserve">N959MJ  </v>
      </c>
      <c r="BC1469">
        <v>1</v>
      </c>
      <c r="BE1469">
        <v>0</v>
      </c>
      <c r="BF1469">
        <v>0</v>
      </c>
      <c r="BG1469">
        <v>0</v>
      </c>
      <c r="BH1469">
        <v>7775</v>
      </c>
      <c r="BI1469">
        <v>275</v>
      </c>
      <c r="BJ1469">
        <v>1</v>
      </c>
      <c r="BK1469">
        <v>1</v>
      </c>
      <c r="BL1469">
        <v>1</v>
      </c>
      <c r="BM1469">
        <v>0</v>
      </c>
      <c r="BP1469">
        <v>0</v>
      </c>
      <c r="BQ1469">
        <v>0</v>
      </c>
      <c r="BX1469" t="str">
        <f>"14:14:51.609"</f>
        <v>14:14:51.609</v>
      </c>
      <c r="BY1469" t="str">
        <f>"612146735"</f>
        <v>612146735</v>
      </c>
      <c r="CL1469">
        <v>0</v>
      </c>
      <c r="CM1469">
        <v>2</v>
      </c>
      <c r="CN1469">
        <v>0</v>
      </c>
      <c r="CO1469">
        <v>2</v>
      </c>
      <c r="CP1469">
        <v>0</v>
      </c>
      <c r="CQ1469">
        <v>6</v>
      </c>
      <c r="CR1469" t="s">
        <v>116</v>
      </c>
      <c r="CS1469">
        <v>396</v>
      </c>
      <c r="CT1469">
        <v>2</v>
      </c>
      <c r="CU1469" t="s">
        <v>939</v>
      </c>
      <c r="CV1469" t="s">
        <v>940</v>
      </c>
      <c r="CY1469">
        <v>5338961</v>
      </c>
      <c r="CZ1469" t="s">
        <v>119</v>
      </c>
    </row>
    <row r="1470" spans="1:104" x14ac:dyDescent="0.25">
      <c r="A1470" t="str">
        <f>"14:14:52.734"</f>
        <v>14:14:52.734</v>
      </c>
      <c r="B1470" t="s">
        <v>108</v>
      </c>
      <c r="C1470" t="str">
        <f t="shared" si="67"/>
        <v>ffdfd3c0</v>
      </c>
      <c r="D1470" t="s">
        <v>109</v>
      </c>
      <c r="E1470">
        <v>4</v>
      </c>
      <c r="F1470">
        <v>1004</v>
      </c>
      <c r="G1470" t="s">
        <v>110</v>
      </c>
      <c r="J1470" t="s">
        <v>111</v>
      </c>
      <c r="K1470">
        <v>0</v>
      </c>
      <c r="L1470">
        <v>3</v>
      </c>
      <c r="M1470">
        <v>0</v>
      </c>
      <c r="N1470">
        <v>2</v>
      </c>
      <c r="O1470">
        <v>1</v>
      </c>
      <c r="P1470">
        <v>0</v>
      </c>
      <c r="Q1470">
        <v>0</v>
      </c>
      <c r="R1470" t="s">
        <v>112</v>
      </c>
      <c r="S1470" t="str">
        <f>"14:14:52.563"</f>
        <v>14:14:52.563</v>
      </c>
      <c r="T1470" t="str">
        <f>"14:14:52.164"</f>
        <v>14:14:52.164</v>
      </c>
      <c r="U1470" t="str">
        <f t="shared" si="66"/>
        <v>ad5732</v>
      </c>
      <c r="V1470">
        <v>0</v>
      </c>
      <c r="W1470">
        <v>0</v>
      </c>
      <c r="X1470">
        <v>1</v>
      </c>
      <c r="Z1470">
        <v>0</v>
      </c>
      <c r="AA1470">
        <v>9</v>
      </c>
      <c r="AB1470">
        <v>3</v>
      </c>
      <c r="AC1470">
        <v>0</v>
      </c>
      <c r="AD1470">
        <v>10</v>
      </c>
      <c r="AE1470">
        <v>0</v>
      </c>
      <c r="AF1470">
        <v>3</v>
      </c>
      <c r="AG1470">
        <v>2</v>
      </c>
      <c r="AH1470">
        <v>0</v>
      </c>
      <c r="AI1470" t="s">
        <v>3043</v>
      </c>
      <c r="AJ1470">
        <v>39.626119000000003</v>
      </c>
      <c r="AK1470" t="s">
        <v>3044</v>
      </c>
      <c r="AL1470">
        <v>-76.398218</v>
      </c>
      <c r="AM1470">
        <v>100</v>
      </c>
      <c r="AN1470">
        <v>7500</v>
      </c>
      <c r="AO1470" t="s">
        <v>115</v>
      </c>
      <c r="AP1470">
        <v>200</v>
      </c>
      <c r="AQ1470">
        <v>101</v>
      </c>
      <c r="AR1470">
        <v>-1216</v>
      </c>
      <c r="AZ1470">
        <v>3614</v>
      </c>
      <c r="BA1470">
        <v>1</v>
      </c>
      <c r="BB1470" t="str">
        <f t="shared" si="68"/>
        <v xml:space="preserve">N959MJ  </v>
      </c>
      <c r="BC1470">
        <v>1</v>
      </c>
      <c r="BE1470">
        <v>0</v>
      </c>
      <c r="BF1470">
        <v>0</v>
      </c>
      <c r="BG1470">
        <v>0</v>
      </c>
      <c r="BH1470">
        <v>7775</v>
      </c>
      <c r="BI1470">
        <v>275</v>
      </c>
      <c r="BJ1470">
        <v>1</v>
      </c>
      <c r="BK1470">
        <v>1</v>
      </c>
      <c r="BL1470">
        <v>1</v>
      </c>
      <c r="BM1470">
        <v>0</v>
      </c>
      <c r="BP1470">
        <v>0</v>
      </c>
      <c r="BQ1470">
        <v>0</v>
      </c>
      <c r="BX1470" t="str">
        <f>"14:14:52.570"</f>
        <v>14:14:52.570</v>
      </c>
      <c r="BY1470" t="str">
        <f>"567460618"</f>
        <v>567460618</v>
      </c>
      <c r="CL1470">
        <v>0</v>
      </c>
      <c r="CM1470">
        <v>2</v>
      </c>
      <c r="CN1470">
        <v>0</v>
      </c>
      <c r="CO1470">
        <v>2</v>
      </c>
      <c r="CP1470">
        <v>0</v>
      </c>
      <c r="CQ1470">
        <v>5</v>
      </c>
      <c r="CR1470" t="s">
        <v>116</v>
      </c>
      <c r="CS1470">
        <v>372</v>
      </c>
      <c r="CT1470">
        <v>3</v>
      </c>
      <c r="CU1470" t="s">
        <v>877</v>
      </c>
      <c r="CV1470" t="s">
        <v>878</v>
      </c>
      <c r="CY1470">
        <v>11987279</v>
      </c>
      <c r="CZ1470" t="s">
        <v>119</v>
      </c>
    </row>
    <row r="1471" spans="1:104" x14ac:dyDescent="0.25">
      <c r="A1471" t="str">
        <f>"14:14:53.844"</f>
        <v>14:14:53.844</v>
      </c>
      <c r="B1471" t="s">
        <v>108</v>
      </c>
      <c r="C1471" t="str">
        <f t="shared" si="67"/>
        <v>ffdfd3c0</v>
      </c>
      <c r="D1471" t="s">
        <v>109</v>
      </c>
      <c r="E1471">
        <v>4</v>
      </c>
      <c r="F1471">
        <v>1004</v>
      </c>
      <c r="G1471" t="s">
        <v>110</v>
      </c>
      <c r="J1471" t="s">
        <v>111</v>
      </c>
      <c r="K1471">
        <v>0</v>
      </c>
      <c r="L1471">
        <v>3</v>
      </c>
      <c r="M1471">
        <v>0</v>
      </c>
      <c r="N1471">
        <v>2</v>
      </c>
      <c r="O1471">
        <v>1</v>
      </c>
      <c r="P1471">
        <v>0</v>
      </c>
      <c r="Q1471">
        <v>0</v>
      </c>
      <c r="R1471" t="s">
        <v>112</v>
      </c>
      <c r="S1471" t="str">
        <f>"14:14:53.688"</f>
        <v>14:14:53.688</v>
      </c>
      <c r="T1471" t="str">
        <f>"14:14:53.188"</f>
        <v>14:14:53.188</v>
      </c>
      <c r="U1471" t="str">
        <f t="shared" si="66"/>
        <v>ad5732</v>
      </c>
      <c r="V1471">
        <v>0</v>
      </c>
      <c r="W1471">
        <v>0</v>
      </c>
      <c r="X1471">
        <v>1</v>
      </c>
      <c r="Z1471">
        <v>0</v>
      </c>
      <c r="AA1471">
        <v>9</v>
      </c>
      <c r="AB1471">
        <v>3</v>
      </c>
      <c r="AC1471">
        <v>0</v>
      </c>
      <c r="AD1471">
        <v>10</v>
      </c>
      <c r="AE1471">
        <v>0</v>
      </c>
      <c r="AF1471">
        <v>3</v>
      </c>
      <c r="AG1471">
        <v>2</v>
      </c>
      <c r="AH1471">
        <v>0</v>
      </c>
      <c r="AI1471" t="s">
        <v>3045</v>
      </c>
      <c r="AJ1471">
        <v>39.626655999999997</v>
      </c>
      <c r="AK1471" t="s">
        <v>3046</v>
      </c>
      <c r="AL1471">
        <v>-76.396844000000002</v>
      </c>
      <c r="AM1471">
        <v>100</v>
      </c>
      <c r="AN1471">
        <v>7500</v>
      </c>
      <c r="AO1471" t="s">
        <v>115</v>
      </c>
      <c r="AP1471">
        <v>200</v>
      </c>
      <c r="AQ1471">
        <v>101</v>
      </c>
      <c r="AR1471">
        <v>-1216</v>
      </c>
      <c r="AZ1471">
        <v>3614</v>
      </c>
      <c r="BA1471">
        <v>1</v>
      </c>
      <c r="BB1471" t="str">
        <f t="shared" si="68"/>
        <v xml:space="preserve">N959MJ  </v>
      </c>
      <c r="BC1471">
        <v>1</v>
      </c>
      <c r="BE1471">
        <v>0</v>
      </c>
      <c r="BF1471">
        <v>0</v>
      </c>
      <c r="BG1471">
        <v>0</v>
      </c>
      <c r="BH1471">
        <v>7750</v>
      </c>
      <c r="BI1471">
        <v>250</v>
      </c>
      <c r="BJ1471">
        <v>1</v>
      </c>
      <c r="BK1471">
        <v>1</v>
      </c>
      <c r="BL1471">
        <v>1</v>
      </c>
      <c r="BM1471">
        <v>0</v>
      </c>
      <c r="BP1471">
        <v>0</v>
      </c>
      <c r="BQ1471">
        <v>0</v>
      </c>
      <c r="BX1471" t="str">
        <f>"14:14:53.688"</f>
        <v>14:14:53.688</v>
      </c>
      <c r="BY1471" t="str">
        <f>"689672702"</f>
        <v>689672702</v>
      </c>
      <c r="CL1471">
        <v>0</v>
      </c>
      <c r="CM1471">
        <v>2</v>
      </c>
      <c r="CN1471">
        <v>0</v>
      </c>
      <c r="CO1471">
        <v>2</v>
      </c>
      <c r="CP1471">
        <v>0</v>
      </c>
      <c r="CQ1471">
        <v>6</v>
      </c>
      <c r="CR1471" t="s">
        <v>116</v>
      </c>
      <c r="CS1471">
        <v>396</v>
      </c>
      <c r="CT1471">
        <v>1</v>
      </c>
      <c r="CU1471" t="s">
        <v>939</v>
      </c>
      <c r="CV1471" t="s">
        <v>940</v>
      </c>
      <c r="CY1471">
        <v>8930356</v>
      </c>
      <c r="CZ1471" t="s">
        <v>119</v>
      </c>
    </row>
    <row r="1472" spans="1:104" x14ac:dyDescent="0.25">
      <c r="A1472" t="str">
        <f>"14:14:54.859"</f>
        <v>14:14:54.859</v>
      </c>
      <c r="B1472" t="s">
        <v>108</v>
      </c>
      <c r="C1472" t="str">
        <f t="shared" si="67"/>
        <v>ffdfd3c0</v>
      </c>
      <c r="D1472" t="s">
        <v>109</v>
      </c>
      <c r="E1472">
        <v>4</v>
      </c>
      <c r="F1472">
        <v>1004</v>
      </c>
      <c r="G1472" t="s">
        <v>110</v>
      </c>
      <c r="J1472" t="s">
        <v>111</v>
      </c>
      <c r="K1472">
        <v>0</v>
      </c>
      <c r="L1472">
        <v>3</v>
      </c>
      <c r="M1472">
        <v>0</v>
      </c>
      <c r="N1472">
        <v>2</v>
      </c>
      <c r="O1472">
        <v>1</v>
      </c>
      <c r="P1472">
        <v>0</v>
      </c>
      <c r="Q1472">
        <v>0</v>
      </c>
      <c r="R1472" t="s">
        <v>112</v>
      </c>
      <c r="S1472" t="str">
        <f>"14:14:54.656"</f>
        <v>14:14:54.656</v>
      </c>
      <c r="T1472" t="str">
        <f>"14:14:54.156"</f>
        <v>14:14:54.156</v>
      </c>
      <c r="U1472" t="str">
        <f t="shared" si="66"/>
        <v>ad5732</v>
      </c>
      <c r="V1472">
        <v>0</v>
      </c>
      <c r="W1472">
        <v>0</v>
      </c>
      <c r="X1472">
        <v>1</v>
      </c>
      <c r="Z1472">
        <v>0</v>
      </c>
      <c r="AA1472">
        <v>9</v>
      </c>
      <c r="AB1472">
        <v>3</v>
      </c>
      <c r="AC1472">
        <v>0</v>
      </c>
      <c r="AD1472">
        <v>10</v>
      </c>
      <c r="AE1472">
        <v>0</v>
      </c>
      <c r="AF1472">
        <v>3</v>
      </c>
      <c r="AG1472">
        <v>2</v>
      </c>
      <c r="AH1472">
        <v>0</v>
      </c>
      <c r="AI1472" t="s">
        <v>3047</v>
      </c>
      <c r="AJ1472">
        <v>39.627127999999999</v>
      </c>
      <c r="AK1472" t="s">
        <v>3048</v>
      </c>
      <c r="AL1472">
        <v>-76.395685999999998</v>
      </c>
      <c r="AM1472">
        <v>100</v>
      </c>
      <c r="AN1472">
        <v>7500</v>
      </c>
      <c r="AO1472" t="s">
        <v>115</v>
      </c>
      <c r="AP1472">
        <v>200</v>
      </c>
      <c r="AQ1472">
        <v>102</v>
      </c>
      <c r="AR1472">
        <v>-1152</v>
      </c>
      <c r="AZ1472">
        <v>3614</v>
      </c>
      <c r="BA1472">
        <v>1</v>
      </c>
      <c r="BB1472" t="str">
        <f t="shared" si="68"/>
        <v xml:space="preserve">N959MJ  </v>
      </c>
      <c r="BC1472">
        <v>1</v>
      </c>
      <c r="BE1472">
        <v>0</v>
      </c>
      <c r="BF1472">
        <v>0</v>
      </c>
      <c r="BG1472">
        <v>0</v>
      </c>
      <c r="BH1472">
        <v>7725</v>
      </c>
      <c r="BI1472">
        <v>225</v>
      </c>
      <c r="BJ1472">
        <v>1</v>
      </c>
      <c r="BK1472">
        <v>1</v>
      </c>
      <c r="BL1472">
        <v>1</v>
      </c>
      <c r="BM1472">
        <v>0</v>
      </c>
      <c r="BP1472">
        <v>0</v>
      </c>
      <c r="BQ1472">
        <v>0</v>
      </c>
      <c r="BX1472" t="str">
        <f>"14:14:54.656"</f>
        <v>14:14:54.656</v>
      </c>
      <c r="BY1472" t="str">
        <f>"656455891"</f>
        <v>656455891</v>
      </c>
      <c r="CL1472">
        <v>0</v>
      </c>
      <c r="CM1472">
        <v>2</v>
      </c>
      <c r="CN1472">
        <v>0</v>
      </c>
      <c r="CO1472">
        <v>2</v>
      </c>
      <c r="CP1472">
        <v>0</v>
      </c>
      <c r="CQ1472">
        <v>5</v>
      </c>
      <c r="CR1472" t="s">
        <v>116</v>
      </c>
      <c r="CS1472">
        <v>372</v>
      </c>
      <c r="CT1472">
        <v>3</v>
      </c>
      <c r="CU1472" t="s">
        <v>877</v>
      </c>
      <c r="CV1472" t="s">
        <v>878</v>
      </c>
      <c r="CY1472">
        <v>11991205</v>
      </c>
      <c r="CZ1472" t="s">
        <v>119</v>
      </c>
    </row>
    <row r="1473" spans="1:104" x14ac:dyDescent="0.25">
      <c r="A1473" t="str">
        <f>"14:14:55.867"</f>
        <v>14:14:55.867</v>
      </c>
      <c r="B1473" t="s">
        <v>108</v>
      </c>
      <c r="C1473" t="str">
        <f t="shared" si="67"/>
        <v>ffdfd3c0</v>
      </c>
      <c r="D1473" t="s">
        <v>109</v>
      </c>
      <c r="E1473">
        <v>4</v>
      </c>
      <c r="F1473">
        <v>1004</v>
      </c>
      <c r="G1473" t="s">
        <v>110</v>
      </c>
      <c r="J1473" t="s">
        <v>111</v>
      </c>
      <c r="K1473">
        <v>0</v>
      </c>
      <c r="L1473">
        <v>3</v>
      </c>
      <c r="M1473">
        <v>0</v>
      </c>
      <c r="N1473">
        <v>2</v>
      </c>
      <c r="O1473">
        <v>1</v>
      </c>
      <c r="P1473">
        <v>0</v>
      </c>
      <c r="Q1473">
        <v>0</v>
      </c>
      <c r="R1473" t="s">
        <v>112</v>
      </c>
      <c r="S1473" t="str">
        <f>"14:14:55.688"</f>
        <v>14:14:55.688</v>
      </c>
      <c r="T1473" t="str">
        <f>"14:14:55.188"</f>
        <v>14:14:55.188</v>
      </c>
      <c r="U1473" t="str">
        <f t="shared" si="66"/>
        <v>ad5732</v>
      </c>
      <c r="V1473">
        <v>0</v>
      </c>
      <c r="W1473">
        <v>0</v>
      </c>
      <c r="X1473">
        <v>1</v>
      </c>
      <c r="Z1473">
        <v>0</v>
      </c>
      <c r="AA1473">
        <v>9</v>
      </c>
      <c r="AB1473">
        <v>3</v>
      </c>
      <c r="AC1473">
        <v>0</v>
      </c>
      <c r="AD1473">
        <v>10</v>
      </c>
      <c r="AE1473">
        <v>0</v>
      </c>
      <c r="AF1473">
        <v>3</v>
      </c>
      <c r="AG1473">
        <v>2</v>
      </c>
      <c r="AH1473">
        <v>0</v>
      </c>
      <c r="AI1473" t="s">
        <v>3049</v>
      </c>
      <c r="AJ1473">
        <v>39.627642999999999</v>
      </c>
      <c r="AK1473" t="s">
        <v>3050</v>
      </c>
      <c r="AL1473">
        <v>-76.394397999999995</v>
      </c>
      <c r="AM1473">
        <v>100</v>
      </c>
      <c r="AN1473">
        <v>7500</v>
      </c>
      <c r="AO1473" t="s">
        <v>115</v>
      </c>
      <c r="AP1473">
        <v>200</v>
      </c>
      <c r="AQ1473">
        <v>102</v>
      </c>
      <c r="AR1473">
        <v>-1152</v>
      </c>
      <c r="AZ1473">
        <v>3614</v>
      </c>
      <c r="BA1473">
        <v>1</v>
      </c>
      <c r="BB1473" t="str">
        <f t="shared" si="68"/>
        <v xml:space="preserve">N959MJ  </v>
      </c>
      <c r="BC1473">
        <v>1</v>
      </c>
      <c r="BE1473">
        <v>0</v>
      </c>
      <c r="BF1473">
        <v>0</v>
      </c>
      <c r="BG1473">
        <v>0</v>
      </c>
      <c r="BH1473">
        <v>7700</v>
      </c>
      <c r="BI1473">
        <v>200</v>
      </c>
      <c r="BJ1473">
        <v>1</v>
      </c>
      <c r="BK1473">
        <v>1</v>
      </c>
      <c r="BL1473">
        <v>1</v>
      </c>
      <c r="BM1473">
        <v>0</v>
      </c>
      <c r="BP1473">
        <v>0</v>
      </c>
      <c r="BQ1473">
        <v>0</v>
      </c>
      <c r="BX1473" t="str">
        <f>"14:14:55.695"</f>
        <v>14:14:55.695</v>
      </c>
      <c r="BY1473" t="str">
        <f>"693469459"</f>
        <v>693469459</v>
      </c>
      <c r="CL1473">
        <v>0</v>
      </c>
      <c r="CM1473">
        <v>2</v>
      </c>
      <c r="CN1473">
        <v>0</v>
      </c>
      <c r="CO1473">
        <v>2</v>
      </c>
      <c r="CP1473">
        <v>0</v>
      </c>
      <c r="CQ1473">
        <v>6</v>
      </c>
      <c r="CR1473" t="s">
        <v>116</v>
      </c>
      <c r="CS1473">
        <v>396</v>
      </c>
      <c r="CT1473">
        <v>1</v>
      </c>
      <c r="CU1473" t="s">
        <v>939</v>
      </c>
      <c r="CV1473" t="s">
        <v>940</v>
      </c>
      <c r="CY1473">
        <v>8933988</v>
      </c>
      <c r="CZ1473" t="s">
        <v>119</v>
      </c>
    </row>
    <row r="1474" spans="1:104" x14ac:dyDescent="0.25">
      <c r="A1474" t="str">
        <f>"14:14:56.922"</f>
        <v>14:14:56.922</v>
      </c>
      <c r="B1474" t="s">
        <v>108</v>
      </c>
      <c r="C1474" t="str">
        <f t="shared" si="67"/>
        <v>ffdfd3c0</v>
      </c>
      <c r="D1474" t="s">
        <v>109</v>
      </c>
      <c r="E1474">
        <v>4</v>
      </c>
      <c r="F1474">
        <v>1004</v>
      </c>
      <c r="G1474" t="s">
        <v>110</v>
      </c>
      <c r="J1474" t="s">
        <v>111</v>
      </c>
      <c r="K1474">
        <v>0</v>
      </c>
      <c r="L1474">
        <v>3</v>
      </c>
      <c r="M1474">
        <v>0</v>
      </c>
      <c r="N1474">
        <v>2</v>
      </c>
      <c r="O1474">
        <v>1</v>
      </c>
      <c r="P1474">
        <v>0</v>
      </c>
      <c r="Q1474">
        <v>0</v>
      </c>
      <c r="R1474" t="s">
        <v>112</v>
      </c>
      <c r="S1474" t="str">
        <f>"14:14:56.719"</f>
        <v>14:14:56.719</v>
      </c>
      <c r="T1474" t="str">
        <f>"14:14:56.320"</f>
        <v>14:14:56.320</v>
      </c>
      <c r="U1474" t="str">
        <f t="shared" ref="U1474:U1537" si="69">"ad5732"</f>
        <v>ad5732</v>
      </c>
      <c r="V1474">
        <v>0</v>
      </c>
      <c r="W1474">
        <v>0</v>
      </c>
      <c r="X1474">
        <v>1</v>
      </c>
      <c r="Z1474">
        <v>0</v>
      </c>
      <c r="AA1474">
        <v>9</v>
      </c>
      <c r="AB1474">
        <v>3</v>
      </c>
      <c r="AC1474">
        <v>0</v>
      </c>
      <c r="AD1474">
        <v>10</v>
      </c>
      <c r="AE1474">
        <v>0</v>
      </c>
      <c r="AF1474">
        <v>3</v>
      </c>
      <c r="AG1474">
        <v>2</v>
      </c>
      <c r="AH1474">
        <v>0</v>
      </c>
      <c r="AI1474" t="s">
        <v>3051</v>
      </c>
      <c r="AJ1474">
        <v>39.628093</v>
      </c>
      <c r="AK1474" t="s">
        <v>3052</v>
      </c>
      <c r="AL1474">
        <v>-76.393131999999994</v>
      </c>
      <c r="AM1474">
        <v>100</v>
      </c>
      <c r="AN1474">
        <v>7400</v>
      </c>
      <c r="AO1474" t="s">
        <v>115</v>
      </c>
      <c r="AP1474">
        <v>200</v>
      </c>
      <c r="AQ1474">
        <v>102</v>
      </c>
      <c r="AR1474">
        <v>-1216</v>
      </c>
      <c r="AZ1474">
        <v>3614</v>
      </c>
      <c r="BA1474">
        <v>1</v>
      </c>
      <c r="BB1474" t="str">
        <f t="shared" si="68"/>
        <v xml:space="preserve">N959MJ  </v>
      </c>
      <c r="BC1474">
        <v>1</v>
      </c>
      <c r="BE1474">
        <v>0</v>
      </c>
      <c r="BF1474">
        <v>0</v>
      </c>
      <c r="BG1474">
        <v>0</v>
      </c>
      <c r="BH1474">
        <v>7675</v>
      </c>
      <c r="BI1474">
        <v>275</v>
      </c>
      <c r="BJ1474">
        <v>1</v>
      </c>
      <c r="BK1474">
        <v>1</v>
      </c>
      <c r="BL1474">
        <v>1</v>
      </c>
      <c r="BM1474">
        <v>0</v>
      </c>
      <c r="BP1474">
        <v>0</v>
      </c>
      <c r="BQ1474">
        <v>0</v>
      </c>
      <c r="BX1474" t="str">
        <f>"14:14:56.727"</f>
        <v>14:14:56.727</v>
      </c>
      <c r="BY1474" t="str">
        <f>"725678805"</f>
        <v>725678805</v>
      </c>
      <c r="CL1474">
        <v>0</v>
      </c>
      <c r="CM1474">
        <v>2</v>
      </c>
      <c r="CN1474">
        <v>0</v>
      </c>
      <c r="CO1474">
        <v>2</v>
      </c>
      <c r="CP1474">
        <v>0</v>
      </c>
      <c r="CQ1474">
        <v>6</v>
      </c>
      <c r="CR1474" t="s">
        <v>116</v>
      </c>
      <c r="CS1474">
        <v>396</v>
      </c>
      <c r="CT1474">
        <v>2</v>
      </c>
      <c r="CU1474" t="s">
        <v>939</v>
      </c>
      <c r="CV1474" t="s">
        <v>940</v>
      </c>
      <c r="CY1474">
        <v>5348043</v>
      </c>
      <c r="CZ1474" t="s">
        <v>119</v>
      </c>
    </row>
    <row r="1475" spans="1:104" x14ac:dyDescent="0.25">
      <c r="A1475" t="str">
        <f>"14:14:57.938"</f>
        <v>14:14:57.938</v>
      </c>
      <c r="B1475" t="s">
        <v>108</v>
      </c>
      <c r="C1475" t="str">
        <f t="shared" si="67"/>
        <v>ffdfd3c0</v>
      </c>
      <c r="D1475" t="s">
        <v>109</v>
      </c>
      <c r="E1475">
        <v>4</v>
      </c>
      <c r="F1475">
        <v>1004</v>
      </c>
      <c r="G1475" t="s">
        <v>110</v>
      </c>
      <c r="J1475" t="s">
        <v>111</v>
      </c>
      <c r="K1475">
        <v>0</v>
      </c>
      <c r="L1475">
        <v>3</v>
      </c>
      <c r="M1475">
        <v>0</v>
      </c>
      <c r="N1475">
        <v>2</v>
      </c>
      <c r="O1475">
        <v>1</v>
      </c>
      <c r="P1475">
        <v>0</v>
      </c>
      <c r="Q1475">
        <v>0</v>
      </c>
      <c r="R1475" t="s">
        <v>112</v>
      </c>
      <c r="S1475" t="str">
        <f>"14:14:57.734"</f>
        <v>14:14:57.734</v>
      </c>
      <c r="T1475" t="str">
        <f>"14:14:57.336"</f>
        <v>14:14:57.336</v>
      </c>
      <c r="U1475" t="str">
        <f t="shared" si="69"/>
        <v>ad5732</v>
      </c>
      <c r="V1475">
        <v>0</v>
      </c>
      <c r="W1475">
        <v>0</v>
      </c>
      <c r="X1475">
        <v>1</v>
      </c>
      <c r="Z1475">
        <v>0</v>
      </c>
      <c r="AA1475">
        <v>9</v>
      </c>
      <c r="AB1475">
        <v>3</v>
      </c>
      <c r="AC1475">
        <v>0</v>
      </c>
      <c r="AD1475">
        <v>10</v>
      </c>
      <c r="AE1475">
        <v>0</v>
      </c>
      <c r="AF1475">
        <v>3</v>
      </c>
      <c r="AG1475">
        <v>2</v>
      </c>
      <c r="AH1475">
        <v>0</v>
      </c>
      <c r="AI1475" t="s">
        <v>3053</v>
      </c>
      <c r="AJ1475">
        <v>39.628608</v>
      </c>
      <c r="AK1475" t="s">
        <v>3054</v>
      </c>
      <c r="AL1475">
        <v>-76.391931</v>
      </c>
      <c r="AM1475">
        <v>100</v>
      </c>
      <c r="AN1475">
        <v>7400</v>
      </c>
      <c r="AO1475" t="s">
        <v>115</v>
      </c>
      <c r="AP1475">
        <v>200</v>
      </c>
      <c r="AQ1475">
        <v>102</v>
      </c>
      <c r="AR1475">
        <v>-1216</v>
      </c>
      <c r="AZ1475">
        <v>3614</v>
      </c>
      <c r="BA1475">
        <v>1</v>
      </c>
      <c r="BB1475" t="str">
        <f t="shared" si="68"/>
        <v xml:space="preserve">N959MJ  </v>
      </c>
      <c r="BC1475">
        <v>1</v>
      </c>
      <c r="BE1475">
        <v>0</v>
      </c>
      <c r="BF1475">
        <v>0</v>
      </c>
      <c r="BG1475">
        <v>0</v>
      </c>
      <c r="BH1475">
        <v>7650</v>
      </c>
      <c r="BI1475">
        <v>250</v>
      </c>
      <c r="BJ1475">
        <v>1</v>
      </c>
      <c r="BK1475">
        <v>1</v>
      </c>
      <c r="BL1475">
        <v>1</v>
      </c>
      <c r="BM1475">
        <v>0</v>
      </c>
      <c r="BP1475">
        <v>0</v>
      </c>
      <c r="BQ1475">
        <v>0</v>
      </c>
      <c r="BX1475" t="str">
        <f>"14:14:57.734"</f>
        <v>14:14:57.734</v>
      </c>
      <c r="BY1475" t="str">
        <f>"736588533"</f>
        <v>736588533</v>
      </c>
      <c r="CL1475">
        <v>0</v>
      </c>
      <c r="CM1475">
        <v>2</v>
      </c>
      <c r="CN1475">
        <v>0</v>
      </c>
      <c r="CO1475">
        <v>2</v>
      </c>
      <c r="CP1475">
        <v>0</v>
      </c>
      <c r="CQ1475">
        <v>6</v>
      </c>
      <c r="CR1475" t="s">
        <v>116</v>
      </c>
      <c r="CS1475">
        <v>396</v>
      </c>
      <c r="CT1475">
        <v>2</v>
      </c>
      <c r="CU1475" t="s">
        <v>939</v>
      </c>
      <c r="CV1475" t="s">
        <v>940</v>
      </c>
      <c r="CY1475">
        <v>5349826</v>
      </c>
      <c r="CZ1475" t="s">
        <v>119</v>
      </c>
    </row>
    <row r="1476" spans="1:104" x14ac:dyDescent="0.25">
      <c r="A1476" t="str">
        <f>"14:14:58.891"</f>
        <v>14:14:58.891</v>
      </c>
      <c r="B1476" t="s">
        <v>108</v>
      </c>
      <c r="C1476" t="str">
        <f t="shared" si="67"/>
        <v>ffdfd3c0</v>
      </c>
      <c r="D1476" t="s">
        <v>109</v>
      </c>
      <c r="E1476">
        <v>4</v>
      </c>
      <c r="F1476">
        <v>1004</v>
      </c>
      <c r="G1476" t="s">
        <v>110</v>
      </c>
      <c r="J1476" t="s">
        <v>111</v>
      </c>
      <c r="K1476">
        <v>0</v>
      </c>
      <c r="L1476">
        <v>3</v>
      </c>
      <c r="M1476">
        <v>0</v>
      </c>
      <c r="N1476">
        <v>2</v>
      </c>
      <c r="O1476">
        <v>1</v>
      </c>
      <c r="P1476">
        <v>0</v>
      </c>
      <c r="Q1476">
        <v>0</v>
      </c>
      <c r="R1476" t="s">
        <v>112</v>
      </c>
      <c r="S1476" t="str">
        <f>"14:14:58.711"</f>
        <v>14:14:58.711</v>
      </c>
      <c r="T1476" t="str">
        <f>"14:14:58.211"</f>
        <v>14:14:58.211</v>
      </c>
      <c r="U1476" t="str">
        <f t="shared" si="69"/>
        <v>ad5732</v>
      </c>
      <c r="V1476">
        <v>0</v>
      </c>
      <c r="W1476">
        <v>0</v>
      </c>
      <c r="X1476">
        <v>1</v>
      </c>
      <c r="Z1476">
        <v>0</v>
      </c>
      <c r="AA1476">
        <v>9</v>
      </c>
      <c r="AB1476">
        <v>3</v>
      </c>
      <c r="AC1476">
        <v>0</v>
      </c>
      <c r="AD1476">
        <v>10</v>
      </c>
      <c r="AE1476">
        <v>0</v>
      </c>
      <c r="AF1476">
        <v>3</v>
      </c>
      <c r="AG1476">
        <v>2</v>
      </c>
      <c r="AH1476">
        <v>0</v>
      </c>
      <c r="AI1476" t="s">
        <v>3055</v>
      </c>
      <c r="AJ1476">
        <v>39.629058999999998</v>
      </c>
      <c r="AK1476" t="s">
        <v>3056</v>
      </c>
      <c r="AL1476">
        <v>-76.390749999999997</v>
      </c>
      <c r="AM1476">
        <v>100</v>
      </c>
      <c r="AN1476">
        <v>7400</v>
      </c>
      <c r="AO1476" t="s">
        <v>115</v>
      </c>
      <c r="AP1476">
        <v>200</v>
      </c>
      <c r="AQ1476">
        <v>102</v>
      </c>
      <c r="AR1476">
        <v>-1152</v>
      </c>
      <c r="AZ1476">
        <v>3614</v>
      </c>
      <c r="BA1476">
        <v>1</v>
      </c>
      <c r="BB1476" t="str">
        <f t="shared" si="68"/>
        <v xml:space="preserve">N959MJ  </v>
      </c>
      <c r="BC1476">
        <v>1</v>
      </c>
      <c r="BE1476">
        <v>0</v>
      </c>
      <c r="BF1476">
        <v>0</v>
      </c>
      <c r="BG1476">
        <v>0</v>
      </c>
      <c r="BH1476">
        <v>7650</v>
      </c>
      <c r="BI1476">
        <v>250</v>
      </c>
      <c r="BJ1476">
        <v>1</v>
      </c>
      <c r="BK1476">
        <v>1</v>
      </c>
      <c r="BL1476">
        <v>1</v>
      </c>
      <c r="BM1476">
        <v>0</v>
      </c>
      <c r="BP1476">
        <v>0</v>
      </c>
      <c r="BQ1476">
        <v>0</v>
      </c>
      <c r="BX1476" t="str">
        <f>"14:14:58.711"</f>
        <v>14:14:58.711</v>
      </c>
      <c r="BY1476" t="str">
        <f>"714729659"</f>
        <v>714729659</v>
      </c>
      <c r="CL1476">
        <v>0</v>
      </c>
      <c r="CM1476">
        <v>2</v>
      </c>
      <c r="CN1476">
        <v>0</v>
      </c>
      <c r="CO1476">
        <v>2</v>
      </c>
      <c r="CP1476">
        <v>0</v>
      </c>
      <c r="CQ1476">
        <v>6</v>
      </c>
      <c r="CR1476" t="s">
        <v>116</v>
      </c>
      <c r="CS1476">
        <v>396</v>
      </c>
      <c r="CT1476">
        <v>1</v>
      </c>
      <c r="CU1476" t="s">
        <v>939</v>
      </c>
      <c r="CV1476" t="s">
        <v>940</v>
      </c>
      <c r="CY1476">
        <v>8939432</v>
      </c>
      <c r="CZ1476" t="s">
        <v>119</v>
      </c>
    </row>
    <row r="1477" spans="1:104" x14ac:dyDescent="0.25">
      <c r="A1477" t="str">
        <f>"14:14:59.750"</f>
        <v>14:14:59.750</v>
      </c>
      <c r="B1477" t="s">
        <v>108</v>
      </c>
      <c r="C1477" t="str">
        <f t="shared" si="67"/>
        <v>ffdfd3c0</v>
      </c>
      <c r="D1477" t="s">
        <v>109</v>
      </c>
      <c r="E1477">
        <v>4</v>
      </c>
      <c r="F1477">
        <v>1004</v>
      </c>
      <c r="G1477" t="s">
        <v>110</v>
      </c>
      <c r="J1477" t="s">
        <v>111</v>
      </c>
      <c r="K1477">
        <v>0</v>
      </c>
      <c r="L1477">
        <v>3</v>
      </c>
      <c r="M1477">
        <v>0</v>
      </c>
      <c r="N1477">
        <v>2</v>
      </c>
      <c r="O1477">
        <v>1</v>
      </c>
      <c r="P1477">
        <v>0</v>
      </c>
      <c r="Q1477">
        <v>0</v>
      </c>
      <c r="R1477" t="s">
        <v>112</v>
      </c>
      <c r="S1477" t="str">
        <f>"14:14:59.586"</f>
        <v>14:14:59.586</v>
      </c>
      <c r="T1477" t="str">
        <f>"14:14:59.188"</f>
        <v>14:14:59.188</v>
      </c>
      <c r="U1477" t="str">
        <f t="shared" si="69"/>
        <v>ad5732</v>
      </c>
      <c r="V1477">
        <v>0</v>
      </c>
      <c r="W1477">
        <v>0</v>
      </c>
      <c r="X1477">
        <v>1</v>
      </c>
      <c r="Z1477">
        <v>0</v>
      </c>
      <c r="AA1477">
        <v>9</v>
      </c>
      <c r="AB1477">
        <v>3</v>
      </c>
      <c r="AC1477">
        <v>0</v>
      </c>
      <c r="AD1477">
        <v>10</v>
      </c>
      <c r="AE1477">
        <v>0</v>
      </c>
      <c r="AF1477">
        <v>3</v>
      </c>
      <c r="AG1477">
        <v>2</v>
      </c>
      <c r="AH1477">
        <v>0</v>
      </c>
      <c r="AI1477" t="s">
        <v>3057</v>
      </c>
      <c r="AJ1477">
        <v>39.629424</v>
      </c>
      <c r="AK1477" t="s">
        <v>3058</v>
      </c>
      <c r="AL1477">
        <v>-76.389785000000003</v>
      </c>
      <c r="AM1477">
        <v>100</v>
      </c>
      <c r="AN1477">
        <v>7400</v>
      </c>
      <c r="AO1477" t="s">
        <v>115</v>
      </c>
      <c r="AP1477">
        <v>200</v>
      </c>
      <c r="AQ1477">
        <v>102</v>
      </c>
      <c r="AR1477">
        <v>-1152</v>
      </c>
      <c r="AZ1477">
        <v>3614</v>
      </c>
      <c r="BA1477">
        <v>1</v>
      </c>
      <c r="BB1477" t="str">
        <f t="shared" si="68"/>
        <v xml:space="preserve">N959MJ  </v>
      </c>
      <c r="BC1477">
        <v>1</v>
      </c>
      <c r="BE1477">
        <v>0</v>
      </c>
      <c r="BF1477">
        <v>0</v>
      </c>
      <c r="BG1477">
        <v>0</v>
      </c>
      <c r="BH1477">
        <v>7625</v>
      </c>
      <c r="BI1477">
        <v>225</v>
      </c>
      <c r="BJ1477">
        <v>1</v>
      </c>
      <c r="BK1477">
        <v>1</v>
      </c>
      <c r="BL1477">
        <v>1</v>
      </c>
      <c r="BM1477">
        <v>0</v>
      </c>
      <c r="BP1477">
        <v>0</v>
      </c>
      <c r="BQ1477">
        <v>0</v>
      </c>
      <c r="BX1477" t="str">
        <f>"14:14:59.586"</f>
        <v>14:14:59.586</v>
      </c>
      <c r="BY1477" t="str">
        <f>"589813512"</f>
        <v>589813512</v>
      </c>
      <c r="CL1477">
        <v>0</v>
      </c>
      <c r="CM1477">
        <v>2</v>
      </c>
      <c r="CN1477">
        <v>0</v>
      </c>
      <c r="CO1477">
        <v>2</v>
      </c>
      <c r="CP1477">
        <v>0</v>
      </c>
      <c r="CQ1477">
        <v>5</v>
      </c>
      <c r="CR1477" t="s">
        <v>116</v>
      </c>
      <c r="CS1477">
        <v>147</v>
      </c>
      <c r="CT1477">
        <v>0</v>
      </c>
      <c r="CU1477" t="s">
        <v>117</v>
      </c>
      <c r="CV1477" t="s">
        <v>118</v>
      </c>
      <c r="CY1477">
        <v>6338541</v>
      </c>
      <c r="CZ1477" t="s">
        <v>119</v>
      </c>
    </row>
    <row r="1478" spans="1:104" x14ac:dyDescent="0.25">
      <c r="A1478" t="str">
        <f>"14:15:00.813"</f>
        <v>14:15:00.813</v>
      </c>
      <c r="B1478" t="s">
        <v>108</v>
      </c>
      <c r="C1478" t="str">
        <f t="shared" si="67"/>
        <v>ffdfd3c0</v>
      </c>
      <c r="D1478" t="s">
        <v>109</v>
      </c>
      <c r="E1478">
        <v>4</v>
      </c>
      <c r="F1478">
        <v>1004</v>
      </c>
      <c r="G1478" t="s">
        <v>110</v>
      </c>
      <c r="J1478" t="s">
        <v>111</v>
      </c>
      <c r="K1478">
        <v>0</v>
      </c>
      <c r="L1478">
        <v>3</v>
      </c>
      <c r="M1478">
        <v>0</v>
      </c>
      <c r="N1478">
        <v>2</v>
      </c>
      <c r="O1478">
        <v>1</v>
      </c>
      <c r="P1478">
        <v>0</v>
      </c>
      <c r="Q1478">
        <v>0</v>
      </c>
      <c r="R1478" t="s">
        <v>112</v>
      </c>
      <c r="S1478" t="str">
        <f>"14:15:00.633"</f>
        <v>14:15:00.633</v>
      </c>
      <c r="T1478" t="str">
        <f>"14:15:00.133"</f>
        <v>14:15:00.133</v>
      </c>
      <c r="U1478" t="str">
        <f t="shared" si="69"/>
        <v>ad5732</v>
      </c>
      <c r="V1478">
        <v>0</v>
      </c>
      <c r="W1478">
        <v>0</v>
      </c>
      <c r="X1478">
        <v>1</v>
      </c>
      <c r="Z1478">
        <v>0</v>
      </c>
      <c r="AA1478">
        <v>9</v>
      </c>
      <c r="AB1478">
        <v>3</v>
      </c>
      <c r="AC1478">
        <v>0</v>
      </c>
      <c r="AD1478">
        <v>10</v>
      </c>
      <c r="AE1478">
        <v>0</v>
      </c>
      <c r="AF1478">
        <v>3</v>
      </c>
      <c r="AG1478">
        <v>2</v>
      </c>
      <c r="AH1478">
        <v>0</v>
      </c>
      <c r="AI1478" t="s">
        <v>3059</v>
      </c>
      <c r="AJ1478">
        <v>39.629959999999997</v>
      </c>
      <c r="AK1478" t="s">
        <v>3060</v>
      </c>
      <c r="AL1478">
        <v>-76.388497000000001</v>
      </c>
      <c r="AM1478">
        <v>100</v>
      </c>
      <c r="AN1478">
        <v>7400</v>
      </c>
      <c r="AO1478" t="s">
        <v>115</v>
      </c>
      <c r="AP1478">
        <v>200</v>
      </c>
      <c r="AQ1478">
        <v>103</v>
      </c>
      <c r="AR1478">
        <v>-1152</v>
      </c>
      <c r="AZ1478">
        <v>3614</v>
      </c>
      <c r="BA1478">
        <v>1</v>
      </c>
      <c r="BB1478" t="str">
        <f t="shared" si="68"/>
        <v xml:space="preserve">N959MJ  </v>
      </c>
      <c r="BC1478">
        <v>1</v>
      </c>
      <c r="BE1478">
        <v>0</v>
      </c>
      <c r="BF1478">
        <v>0</v>
      </c>
      <c r="BG1478">
        <v>0</v>
      </c>
      <c r="BH1478">
        <v>7600</v>
      </c>
      <c r="BI1478">
        <v>200</v>
      </c>
      <c r="BJ1478">
        <v>1</v>
      </c>
      <c r="BK1478">
        <v>1</v>
      </c>
      <c r="BL1478">
        <v>1</v>
      </c>
      <c r="BM1478">
        <v>0</v>
      </c>
      <c r="BP1478">
        <v>0</v>
      </c>
      <c r="BQ1478">
        <v>0</v>
      </c>
      <c r="BX1478" t="str">
        <f>"14:15:00.633"</f>
        <v>14:15:00.633</v>
      </c>
      <c r="BY1478" t="str">
        <f>"633328208"</f>
        <v>633328208</v>
      </c>
      <c r="CL1478">
        <v>0</v>
      </c>
      <c r="CM1478">
        <v>2</v>
      </c>
      <c r="CN1478">
        <v>0</v>
      </c>
      <c r="CO1478">
        <v>2</v>
      </c>
      <c r="CP1478">
        <v>0</v>
      </c>
      <c r="CQ1478">
        <v>6</v>
      </c>
      <c r="CR1478" t="s">
        <v>116</v>
      </c>
      <c r="CS1478">
        <v>396</v>
      </c>
      <c r="CT1478">
        <v>2</v>
      </c>
      <c r="CU1478" t="s">
        <v>939</v>
      </c>
      <c r="CV1478" t="s">
        <v>940</v>
      </c>
      <c r="CY1478">
        <v>5355071</v>
      </c>
      <c r="CZ1478" t="s">
        <v>119</v>
      </c>
    </row>
    <row r="1479" spans="1:104" x14ac:dyDescent="0.25">
      <c r="A1479" t="str">
        <f>"14:15:01.820"</f>
        <v>14:15:01.820</v>
      </c>
      <c r="B1479" t="s">
        <v>108</v>
      </c>
      <c r="C1479" t="str">
        <f t="shared" si="67"/>
        <v>ffdfd3c0</v>
      </c>
      <c r="D1479" t="s">
        <v>109</v>
      </c>
      <c r="E1479">
        <v>4</v>
      </c>
      <c r="F1479">
        <v>1004</v>
      </c>
      <c r="G1479" t="s">
        <v>110</v>
      </c>
      <c r="J1479" t="s">
        <v>111</v>
      </c>
      <c r="K1479">
        <v>0</v>
      </c>
      <c r="L1479">
        <v>3</v>
      </c>
      <c r="M1479">
        <v>0</v>
      </c>
      <c r="N1479">
        <v>2</v>
      </c>
      <c r="O1479">
        <v>1</v>
      </c>
      <c r="P1479">
        <v>0</v>
      </c>
      <c r="Q1479">
        <v>0</v>
      </c>
      <c r="R1479" t="s">
        <v>112</v>
      </c>
      <c r="S1479" t="str">
        <f>"14:15:01.641"</f>
        <v>14:15:01.641</v>
      </c>
      <c r="T1479" t="str">
        <f>"14:15:01.141"</f>
        <v>14:15:01.141</v>
      </c>
      <c r="U1479" t="str">
        <f t="shared" si="69"/>
        <v>ad5732</v>
      </c>
      <c r="V1479">
        <v>0</v>
      </c>
      <c r="W1479">
        <v>0</v>
      </c>
      <c r="X1479">
        <v>1</v>
      </c>
      <c r="Z1479">
        <v>0</v>
      </c>
      <c r="AA1479">
        <v>9</v>
      </c>
      <c r="AB1479">
        <v>3</v>
      </c>
      <c r="AC1479">
        <v>0</v>
      </c>
      <c r="AD1479">
        <v>10</v>
      </c>
      <c r="AE1479">
        <v>0</v>
      </c>
      <c r="AF1479">
        <v>3</v>
      </c>
      <c r="AG1479">
        <v>2</v>
      </c>
      <c r="AH1479">
        <v>0</v>
      </c>
      <c r="AI1479" t="s">
        <v>3061</v>
      </c>
      <c r="AJ1479">
        <v>39.630431999999999</v>
      </c>
      <c r="AK1479" t="s">
        <v>3062</v>
      </c>
      <c r="AL1479">
        <v>-76.387274000000005</v>
      </c>
      <c r="AM1479">
        <v>100</v>
      </c>
      <c r="AN1479">
        <v>7300</v>
      </c>
      <c r="AO1479" t="s">
        <v>115</v>
      </c>
      <c r="AP1479">
        <v>200</v>
      </c>
      <c r="AQ1479">
        <v>103</v>
      </c>
      <c r="AR1479">
        <v>-1088</v>
      </c>
      <c r="AZ1479">
        <v>3614</v>
      </c>
      <c r="BA1479">
        <v>1</v>
      </c>
      <c r="BB1479" t="str">
        <f t="shared" si="68"/>
        <v xml:space="preserve">N959MJ  </v>
      </c>
      <c r="BC1479">
        <v>1</v>
      </c>
      <c r="BE1479">
        <v>0</v>
      </c>
      <c r="BF1479">
        <v>0</v>
      </c>
      <c r="BG1479">
        <v>0</v>
      </c>
      <c r="BH1479">
        <v>7575</v>
      </c>
      <c r="BI1479">
        <v>275</v>
      </c>
      <c r="BJ1479">
        <v>1</v>
      </c>
      <c r="BK1479">
        <v>1</v>
      </c>
      <c r="BL1479">
        <v>1</v>
      </c>
      <c r="BM1479">
        <v>0</v>
      </c>
      <c r="BP1479">
        <v>0</v>
      </c>
      <c r="BQ1479">
        <v>0</v>
      </c>
      <c r="BX1479" t="str">
        <f>"14:15:01.641"</f>
        <v>14:15:01.641</v>
      </c>
      <c r="BY1479" t="str">
        <f>"644238098"</f>
        <v>644238098</v>
      </c>
      <c r="CL1479">
        <v>0</v>
      </c>
      <c r="CM1479">
        <v>2</v>
      </c>
      <c r="CN1479">
        <v>0</v>
      </c>
      <c r="CO1479">
        <v>2</v>
      </c>
      <c r="CP1479">
        <v>0</v>
      </c>
      <c r="CQ1479">
        <v>6</v>
      </c>
      <c r="CR1479" t="s">
        <v>116</v>
      </c>
      <c r="CS1479">
        <v>396</v>
      </c>
      <c r="CT1479">
        <v>2</v>
      </c>
      <c r="CU1479" t="s">
        <v>939</v>
      </c>
      <c r="CV1479" t="s">
        <v>940</v>
      </c>
      <c r="CY1479">
        <v>5356892</v>
      </c>
      <c r="CZ1479" t="s">
        <v>119</v>
      </c>
    </row>
    <row r="1480" spans="1:104" x14ac:dyDescent="0.25">
      <c r="A1480" t="str">
        <f>"14:15:02.828"</f>
        <v>14:15:02.828</v>
      </c>
      <c r="B1480" t="s">
        <v>108</v>
      </c>
      <c r="C1480" t="str">
        <f t="shared" si="67"/>
        <v>ffdfd3c0</v>
      </c>
      <c r="D1480" t="s">
        <v>109</v>
      </c>
      <c r="E1480">
        <v>4</v>
      </c>
      <c r="F1480">
        <v>1004</v>
      </c>
      <c r="G1480" t="s">
        <v>110</v>
      </c>
      <c r="J1480" t="s">
        <v>111</v>
      </c>
      <c r="K1480">
        <v>0</v>
      </c>
      <c r="L1480">
        <v>3</v>
      </c>
      <c r="M1480">
        <v>0</v>
      </c>
      <c r="N1480">
        <v>2</v>
      </c>
      <c r="O1480">
        <v>1</v>
      </c>
      <c r="P1480">
        <v>0</v>
      </c>
      <c r="Q1480">
        <v>0</v>
      </c>
      <c r="R1480" t="s">
        <v>112</v>
      </c>
      <c r="S1480" t="str">
        <f>"14:15:02.633"</f>
        <v>14:15:02.633</v>
      </c>
      <c r="T1480" t="str">
        <f>"14:15:02.234"</f>
        <v>14:15:02.234</v>
      </c>
      <c r="U1480" t="str">
        <f t="shared" si="69"/>
        <v>ad5732</v>
      </c>
      <c r="V1480">
        <v>0</v>
      </c>
      <c r="W1480">
        <v>0</v>
      </c>
      <c r="X1480">
        <v>1</v>
      </c>
      <c r="Z1480">
        <v>0</v>
      </c>
      <c r="AA1480">
        <v>9</v>
      </c>
      <c r="AB1480">
        <v>3</v>
      </c>
      <c r="AC1480">
        <v>0</v>
      </c>
      <c r="AD1480">
        <v>10</v>
      </c>
      <c r="AE1480">
        <v>0</v>
      </c>
      <c r="AF1480">
        <v>3</v>
      </c>
      <c r="AG1480">
        <v>2</v>
      </c>
      <c r="AH1480">
        <v>0</v>
      </c>
      <c r="AI1480" t="s">
        <v>3063</v>
      </c>
      <c r="AJ1480">
        <v>39.630904000000001</v>
      </c>
      <c r="AK1480" t="s">
        <v>3064</v>
      </c>
      <c r="AL1480">
        <v>-76.386116000000001</v>
      </c>
      <c r="AM1480">
        <v>100</v>
      </c>
      <c r="AN1480">
        <v>7300</v>
      </c>
      <c r="AO1480" t="s">
        <v>115</v>
      </c>
      <c r="AP1480">
        <v>200</v>
      </c>
      <c r="AQ1480">
        <v>103</v>
      </c>
      <c r="AR1480">
        <v>-1088</v>
      </c>
      <c r="AZ1480">
        <v>3614</v>
      </c>
      <c r="BA1480">
        <v>1</v>
      </c>
      <c r="BB1480" t="str">
        <f t="shared" si="68"/>
        <v xml:space="preserve">N959MJ  </v>
      </c>
      <c r="BC1480">
        <v>1</v>
      </c>
      <c r="BE1480">
        <v>0</v>
      </c>
      <c r="BF1480">
        <v>0</v>
      </c>
      <c r="BG1480">
        <v>0</v>
      </c>
      <c r="BH1480">
        <v>7575</v>
      </c>
      <c r="BI1480">
        <v>275</v>
      </c>
      <c r="BJ1480">
        <v>1</v>
      </c>
      <c r="BK1480">
        <v>1</v>
      </c>
      <c r="BL1480">
        <v>1</v>
      </c>
      <c r="BM1480">
        <v>0</v>
      </c>
      <c r="BP1480">
        <v>0</v>
      </c>
      <c r="BQ1480">
        <v>0</v>
      </c>
      <c r="BX1480" t="str">
        <f>"14:15:02.633"</f>
        <v>14:15:02.633</v>
      </c>
      <c r="BY1480" t="str">
        <f>"633848133"</f>
        <v>633848133</v>
      </c>
      <c r="CL1480">
        <v>0</v>
      </c>
      <c r="CM1480">
        <v>2</v>
      </c>
      <c r="CN1480">
        <v>0</v>
      </c>
      <c r="CO1480">
        <v>2</v>
      </c>
      <c r="CP1480">
        <v>0</v>
      </c>
      <c r="CQ1480">
        <v>6</v>
      </c>
      <c r="CR1480" t="s">
        <v>116</v>
      </c>
      <c r="CS1480">
        <v>396</v>
      </c>
      <c r="CT1480">
        <v>2</v>
      </c>
      <c r="CU1480" t="s">
        <v>939</v>
      </c>
      <c r="CV1480" t="s">
        <v>940</v>
      </c>
      <c r="CY1480">
        <v>5358664</v>
      </c>
      <c r="CZ1480" t="s">
        <v>119</v>
      </c>
    </row>
    <row r="1481" spans="1:104" x14ac:dyDescent="0.25">
      <c r="A1481" t="str">
        <f>"14:15:03.742"</f>
        <v>14:15:03.742</v>
      </c>
      <c r="B1481" t="s">
        <v>108</v>
      </c>
      <c r="C1481" t="str">
        <f t="shared" si="67"/>
        <v>ffdfd3c0</v>
      </c>
      <c r="D1481" t="s">
        <v>109</v>
      </c>
      <c r="E1481">
        <v>4</v>
      </c>
      <c r="F1481">
        <v>1004</v>
      </c>
      <c r="G1481" t="s">
        <v>110</v>
      </c>
      <c r="J1481" t="s">
        <v>111</v>
      </c>
      <c r="K1481">
        <v>0</v>
      </c>
      <c r="L1481">
        <v>3</v>
      </c>
      <c r="M1481">
        <v>0</v>
      </c>
      <c r="N1481">
        <v>2</v>
      </c>
      <c r="O1481">
        <v>1</v>
      </c>
      <c r="P1481">
        <v>0</v>
      </c>
      <c r="Q1481">
        <v>0</v>
      </c>
      <c r="R1481" t="s">
        <v>112</v>
      </c>
      <c r="S1481" t="str">
        <f>"14:15:03.563"</f>
        <v>14:15:03.563</v>
      </c>
      <c r="T1481" t="str">
        <f>"14:15:03.164"</f>
        <v>14:15:03.164</v>
      </c>
      <c r="U1481" t="str">
        <f t="shared" si="69"/>
        <v>ad5732</v>
      </c>
      <c r="V1481">
        <v>0</v>
      </c>
      <c r="W1481">
        <v>0</v>
      </c>
      <c r="X1481">
        <v>1</v>
      </c>
      <c r="Z1481">
        <v>0</v>
      </c>
      <c r="AA1481">
        <v>9</v>
      </c>
      <c r="AB1481">
        <v>3</v>
      </c>
      <c r="AC1481">
        <v>0</v>
      </c>
      <c r="AD1481">
        <v>10</v>
      </c>
      <c r="AE1481">
        <v>0</v>
      </c>
      <c r="AF1481">
        <v>3</v>
      </c>
      <c r="AG1481">
        <v>2</v>
      </c>
      <c r="AH1481">
        <v>0</v>
      </c>
      <c r="AI1481" t="s">
        <v>3065</v>
      </c>
      <c r="AJ1481">
        <v>39.631354999999999</v>
      </c>
      <c r="AK1481" t="s">
        <v>3066</v>
      </c>
      <c r="AL1481">
        <v>-76.385020999999995</v>
      </c>
      <c r="AM1481">
        <v>100</v>
      </c>
      <c r="AN1481">
        <v>7300</v>
      </c>
      <c r="AO1481" t="s">
        <v>115</v>
      </c>
      <c r="AP1481">
        <v>200</v>
      </c>
      <c r="AQ1481">
        <v>103</v>
      </c>
      <c r="AR1481">
        <v>-1024</v>
      </c>
      <c r="AZ1481">
        <v>3614</v>
      </c>
      <c r="BA1481">
        <v>1</v>
      </c>
      <c r="BB1481" t="str">
        <f t="shared" si="68"/>
        <v xml:space="preserve">N959MJ  </v>
      </c>
      <c r="BC1481">
        <v>1</v>
      </c>
      <c r="BE1481">
        <v>0</v>
      </c>
      <c r="BF1481">
        <v>0</v>
      </c>
      <c r="BG1481">
        <v>0</v>
      </c>
      <c r="BH1481">
        <v>7550</v>
      </c>
      <c r="BI1481">
        <v>250</v>
      </c>
      <c r="BJ1481">
        <v>1</v>
      </c>
      <c r="BK1481">
        <v>1</v>
      </c>
      <c r="BL1481">
        <v>1</v>
      </c>
      <c r="BM1481">
        <v>0</v>
      </c>
      <c r="BP1481">
        <v>0</v>
      </c>
      <c r="BQ1481">
        <v>0</v>
      </c>
      <c r="BX1481" t="str">
        <f>"14:15:03.570"</f>
        <v>14:15:03.570</v>
      </c>
      <c r="BY1481" t="str">
        <f>"567751829"</f>
        <v>567751829</v>
      </c>
      <c r="CL1481">
        <v>0</v>
      </c>
      <c r="CM1481">
        <v>2</v>
      </c>
      <c r="CN1481">
        <v>0</v>
      </c>
      <c r="CO1481">
        <v>2</v>
      </c>
      <c r="CP1481">
        <v>0</v>
      </c>
      <c r="CQ1481">
        <v>6</v>
      </c>
      <c r="CR1481" t="s">
        <v>116</v>
      </c>
      <c r="CS1481">
        <v>396</v>
      </c>
      <c r="CT1481">
        <v>2</v>
      </c>
      <c r="CU1481" t="s">
        <v>939</v>
      </c>
      <c r="CV1481" t="s">
        <v>940</v>
      </c>
      <c r="CY1481">
        <v>5360397</v>
      </c>
      <c r="CZ1481" t="s">
        <v>119</v>
      </c>
    </row>
    <row r="1482" spans="1:104" x14ac:dyDescent="0.25">
      <c r="A1482" t="str">
        <f>"14:15:04.797"</f>
        <v>14:15:04.797</v>
      </c>
      <c r="B1482" t="s">
        <v>108</v>
      </c>
      <c r="C1482" t="str">
        <f t="shared" ref="C1482:C1545" si="70">"ffdfd3c0"</f>
        <v>ffdfd3c0</v>
      </c>
      <c r="D1482" t="s">
        <v>109</v>
      </c>
      <c r="E1482">
        <v>4</v>
      </c>
      <c r="F1482">
        <v>1004</v>
      </c>
      <c r="G1482" t="s">
        <v>110</v>
      </c>
      <c r="J1482" t="s">
        <v>111</v>
      </c>
      <c r="K1482">
        <v>0</v>
      </c>
      <c r="L1482">
        <v>3</v>
      </c>
      <c r="M1482">
        <v>0</v>
      </c>
      <c r="N1482">
        <v>2</v>
      </c>
      <c r="O1482">
        <v>1</v>
      </c>
      <c r="P1482">
        <v>0</v>
      </c>
      <c r="Q1482">
        <v>0</v>
      </c>
      <c r="R1482" t="s">
        <v>112</v>
      </c>
      <c r="S1482" t="str">
        <f>"14:15:04.641"</f>
        <v>14:15:04.641</v>
      </c>
      <c r="T1482" t="str">
        <f>"14:15:04.242"</f>
        <v>14:15:04.242</v>
      </c>
      <c r="U1482" t="str">
        <f t="shared" si="69"/>
        <v>ad5732</v>
      </c>
      <c r="V1482">
        <v>0</v>
      </c>
      <c r="W1482">
        <v>0</v>
      </c>
      <c r="X1482">
        <v>1</v>
      </c>
      <c r="Z1482">
        <v>0</v>
      </c>
      <c r="AA1482">
        <v>9</v>
      </c>
      <c r="AB1482">
        <v>3</v>
      </c>
      <c r="AC1482">
        <v>0</v>
      </c>
      <c r="AD1482">
        <v>10</v>
      </c>
      <c r="AE1482">
        <v>0</v>
      </c>
      <c r="AF1482">
        <v>3</v>
      </c>
      <c r="AG1482">
        <v>2</v>
      </c>
      <c r="AH1482">
        <v>0</v>
      </c>
      <c r="AI1482" t="s">
        <v>3067</v>
      </c>
      <c r="AJ1482">
        <v>39.631869999999999</v>
      </c>
      <c r="AK1482" t="s">
        <v>3068</v>
      </c>
      <c r="AL1482">
        <v>-76.383734000000004</v>
      </c>
      <c r="AM1482">
        <v>100</v>
      </c>
      <c r="AN1482">
        <v>7300</v>
      </c>
      <c r="AO1482" t="s">
        <v>115</v>
      </c>
      <c r="AP1482">
        <v>199</v>
      </c>
      <c r="AQ1482">
        <v>103</v>
      </c>
      <c r="AR1482">
        <v>-1024</v>
      </c>
      <c r="AZ1482">
        <v>3614</v>
      </c>
      <c r="BA1482">
        <v>1</v>
      </c>
      <c r="BB1482" t="str">
        <f t="shared" ref="BB1482:BB1545" si="71">"N959MJ  "</f>
        <v xml:space="preserve">N959MJ  </v>
      </c>
      <c r="BC1482">
        <v>1</v>
      </c>
      <c r="BE1482">
        <v>0</v>
      </c>
      <c r="BF1482">
        <v>0</v>
      </c>
      <c r="BG1482">
        <v>0</v>
      </c>
      <c r="BH1482">
        <v>7525</v>
      </c>
      <c r="BI1482">
        <v>225</v>
      </c>
      <c r="BJ1482">
        <v>1</v>
      </c>
      <c r="BK1482">
        <v>1</v>
      </c>
      <c r="BL1482">
        <v>1</v>
      </c>
      <c r="BM1482">
        <v>0</v>
      </c>
      <c r="BP1482">
        <v>0</v>
      </c>
      <c r="BQ1482">
        <v>0</v>
      </c>
      <c r="BX1482" t="str">
        <f>"14:15:04.648"</f>
        <v>14:15:04.648</v>
      </c>
      <c r="BY1482" t="str">
        <f>"647475474"</f>
        <v>647475474</v>
      </c>
      <c r="CL1482">
        <v>0</v>
      </c>
      <c r="CM1482">
        <v>2</v>
      </c>
      <c r="CN1482">
        <v>0</v>
      </c>
      <c r="CO1482">
        <v>2</v>
      </c>
      <c r="CP1482">
        <v>0</v>
      </c>
      <c r="CQ1482">
        <v>6</v>
      </c>
      <c r="CR1482" t="s">
        <v>116</v>
      </c>
      <c r="CS1482">
        <v>396</v>
      </c>
      <c r="CT1482">
        <v>2</v>
      </c>
      <c r="CU1482" t="s">
        <v>939</v>
      </c>
      <c r="CV1482" t="s">
        <v>940</v>
      </c>
      <c r="CY1482">
        <v>5362339</v>
      </c>
      <c r="CZ1482" t="s">
        <v>119</v>
      </c>
    </row>
    <row r="1483" spans="1:104" x14ac:dyDescent="0.25">
      <c r="A1483" t="str">
        <f>"14:15:05.813"</f>
        <v>14:15:05.813</v>
      </c>
      <c r="B1483" t="s">
        <v>108</v>
      </c>
      <c r="C1483" t="str">
        <f t="shared" si="70"/>
        <v>ffdfd3c0</v>
      </c>
      <c r="D1483" t="s">
        <v>109</v>
      </c>
      <c r="E1483">
        <v>4</v>
      </c>
      <c r="F1483">
        <v>1004</v>
      </c>
      <c r="G1483" t="s">
        <v>110</v>
      </c>
      <c r="J1483" t="s">
        <v>111</v>
      </c>
      <c r="K1483">
        <v>0</v>
      </c>
      <c r="L1483">
        <v>3</v>
      </c>
      <c r="M1483">
        <v>0</v>
      </c>
      <c r="N1483">
        <v>2</v>
      </c>
      <c r="O1483">
        <v>1</v>
      </c>
      <c r="P1483">
        <v>0</v>
      </c>
      <c r="Q1483">
        <v>0</v>
      </c>
      <c r="R1483" t="s">
        <v>112</v>
      </c>
      <c r="S1483" t="str">
        <f>"14:15:05.617"</f>
        <v>14:15:05.617</v>
      </c>
      <c r="T1483" t="str">
        <f>"14:15:05.219"</f>
        <v>14:15:05.219</v>
      </c>
      <c r="U1483" t="str">
        <f t="shared" si="69"/>
        <v>ad5732</v>
      </c>
      <c r="V1483">
        <v>0</v>
      </c>
      <c r="W1483">
        <v>0</v>
      </c>
      <c r="X1483">
        <v>1</v>
      </c>
      <c r="Z1483">
        <v>0</v>
      </c>
      <c r="AA1483">
        <v>9</v>
      </c>
      <c r="AB1483">
        <v>3</v>
      </c>
      <c r="AC1483">
        <v>0</v>
      </c>
      <c r="AD1483">
        <v>10</v>
      </c>
      <c r="AE1483">
        <v>0</v>
      </c>
      <c r="AF1483">
        <v>3</v>
      </c>
      <c r="AG1483">
        <v>2</v>
      </c>
      <c r="AH1483">
        <v>0</v>
      </c>
      <c r="AI1483" t="s">
        <v>3069</v>
      </c>
      <c r="AJ1483">
        <v>39.632342000000001</v>
      </c>
      <c r="AK1483" t="s">
        <v>3070</v>
      </c>
      <c r="AL1483">
        <v>-76.382510999999994</v>
      </c>
      <c r="AM1483">
        <v>100</v>
      </c>
      <c r="AN1483">
        <v>7300</v>
      </c>
      <c r="AO1483" t="s">
        <v>115</v>
      </c>
      <c r="AP1483">
        <v>199</v>
      </c>
      <c r="AQ1483">
        <v>103</v>
      </c>
      <c r="AR1483">
        <v>-1024</v>
      </c>
      <c r="AZ1483">
        <v>3614</v>
      </c>
      <c r="BA1483">
        <v>1</v>
      </c>
      <c r="BB1483" t="str">
        <f t="shared" si="71"/>
        <v xml:space="preserve">N959MJ  </v>
      </c>
      <c r="BC1483">
        <v>1</v>
      </c>
      <c r="BE1483">
        <v>0</v>
      </c>
      <c r="BF1483">
        <v>0</v>
      </c>
      <c r="BG1483">
        <v>0</v>
      </c>
      <c r="BH1483">
        <v>7525</v>
      </c>
      <c r="BI1483">
        <v>225</v>
      </c>
      <c r="BJ1483">
        <v>1</v>
      </c>
      <c r="BK1483">
        <v>1</v>
      </c>
      <c r="BL1483">
        <v>1</v>
      </c>
      <c r="BM1483">
        <v>0</v>
      </c>
      <c r="BP1483">
        <v>0</v>
      </c>
      <c r="BQ1483">
        <v>0</v>
      </c>
      <c r="BX1483" t="str">
        <f>"14:15:05.617"</f>
        <v>14:15:05.617</v>
      </c>
      <c r="BY1483" t="str">
        <f>"617424519"</f>
        <v>617424519</v>
      </c>
      <c r="CL1483">
        <v>0</v>
      </c>
      <c r="CM1483">
        <v>2</v>
      </c>
      <c r="CN1483">
        <v>0</v>
      </c>
      <c r="CO1483">
        <v>2</v>
      </c>
      <c r="CP1483">
        <v>0</v>
      </c>
      <c r="CQ1483">
        <v>6</v>
      </c>
      <c r="CR1483" t="s">
        <v>116</v>
      </c>
      <c r="CS1483">
        <v>396</v>
      </c>
      <c r="CT1483">
        <v>1</v>
      </c>
      <c r="CU1483" t="s">
        <v>939</v>
      </c>
      <c r="CV1483" t="s">
        <v>940</v>
      </c>
      <c r="CY1483">
        <v>8951832</v>
      </c>
      <c r="CZ1483" t="s">
        <v>119</v>
      </c>
    </row>
    <row r="1484" spans="1:104" x14ac:dyDescent="0.25">
      <c r="A1484" t="str">
        <f>"14:15:06.719"</f>
        <v>14:15:06.719</v>
      </c>
      <c r="B1484" t="s">
        <v>108</v>
      </c>
      <c r="C1484" t="str">
        <f t="shared" si="70"/>
        <v>ffdfd3c0</v>
      </c>
      <c r="D1484" t="s">
        <v>109</v>
      </c>
      <c r="E1484">
        <v>4</v>
      </c>
      <c r="F1484">
        <v>1004</v>
      </c>
      <c r="G1484" t="s">
        <v>110</v>
      </c>
      <c r="J1484" t="s">
        <v>111</v>
      </c>
      <c r="K1484">
        <v>0</v>
      </c>
      <c r="L1484">
        <v>3</v>
      </c>
      <c r="M1484">
        <v>0</v>
      </c>
      <c r="N1484">
        <v>2</v>
      </c>
      <c r="O1484">
        <v>1</v>
      </c>
      <c r="P1484">
        <v>0</v>
      </c>
      <c r="Q1484">
        <v>0</v>
      </c>
      <c r="R1484" t="s">
        <v>112</v>
      </c>
      <c r="S1484" t="str">
        <f>"14:15:06.547"</f>
        <v>14:15:06.547</v>
      </c>
      <c r="T1484" t="str">
        <f>"14:15:06.148"</f>
        <v>14:15:06.148</v>
      </c>
      <c r="U1484" t="str">
        <f t="shared" si="69"/>
        <v>ad5732</v>
      </c>
      <c r="V1484">
        <v>0</v>
      </c>
      <c r="W1484">
        <v>0</v>
      </c>
      <c r="X1484">
        <v>1</v>
      </c>
      <c r="Z1484">
        <v>0</v>
      </c>
      <c r="AA1484">
        <v>9</v>
      </c>
      <c r="AB1484">
        <v>3</v>
      </c>
      <c r="AC1484">
        <v>0</v>
      </c>
      <c r="AD1484">
        <v>10</v>
      </c>
      <c r="AE1484">
        <v>0</v>
      </c>
      <c r="AF1484">
        <v>3</v>
      </c>
      <c r="AG1484">
        <v>2</v>
      </c>
      <c r="AH1484">
        <v>0</v>
      </c>
      <c r="AI1484" t="s">
        <v>3071</v>
      </c>
      <c r="AJ1484">
        <v>39.632770999999998</v>
      </c>
      <c r="AK1484" t="s">
        <v>3072</v>
      </c>
      <c r="AL1484">
        <v>-76.381438000000003</v>
      </c>
      <c r="AM1484">
        <v>100</v>
      </c>
      <c r="AN1484">
        <v>7300</v>
      </c>
      <c r="AO1484" t="s">
        <v>115</v>
      </c>
      <c r="AP1484">
        <v>199</v>
      </c>
      <c r="AQ1484">
        <v>103</v>
      </c>
      <c r="AR1484">
        <v>-1024</v>
      </c>
      <c r="AZ1484">
        <v>3614</v>
      </c>
      <c r="BA1484">
        <v>1</v>
      </c>
      <c r="BB1484" t="str">
        <f t="shared" si="71"/>
        <v xml:space="preserve">N959MJ  </v>
      </c>
      <c r="BC1484">
        <v>1</v>
      </c>
      <c r="BE1484">
        <v>0</v>
      </c>
      <c r="BF1484">
        <v>0</v>
      </c>
      <c r="BG1484">
        <v>0</v>
      </c>
      <c r="BH1484">
        <v>7500</v>
      </c>
      <c r="BI1484">
        <v>200</v>
      </c>
      <c r="BJ1484">
        <v>1</v>
      </c>
      <c r="BK1484">
        <v>1</v>
      </c>
      <c r="BL1484">
        <v>1</v>
      </c>
      <c r="BM1484">
        <v>0</v>
      </c>
      <c r="BP1484">
        <v>0</v>
      </c>
      <c r="BQ1484">
        <v>0</v>
      </c>
      <c r="BX1484" t="str">
        <f>"14:15:06.547"</f>
        <v>14:15:06.547</v>
      </c>
      <c r="BY1484" t="str">
        <f>"549689815"</f>
        <v>549689815</v>
      </c>
      <c r="CL1484">
        <v>0</v>
      </c>
      <c r="CM1484">
        <v>2</v>
      </c>
      <c r="CN1484">
        <v>0</v>
      </c>
      <c r="CO1484">
        <v>2</v>
      </c>
      <c r="CP1484">
        <v>0</v>
      </c>
      <c r="CQ1484">
        <v>6</v>
      </c>
      <c r="CR1484" t="s">
        <v>116</v>
      </c>
      <c r="CS1484">
        <v>396</v>
      </c>
      <c r="CT1484">
        <v>2</v>
      </c>
      <c r="CU1484" t="s">
        <v>939</v>
      </c>
      <c r="CV1484" t="s">
        <v>940</v>
      </c>
      <c r="CY1484">
        <v>5365727</v>
      </c>
      <c r="CZ1484" t="s">
        <v>119</v>
      </c>
    </row>
    <row r="1485" spans="1:104" x14ac:dyDescent="0.25">
      <c r="A1485" t="str">
        <f>"14:15:07.680"</f>
        <v>14:15:07.680</v>
      </c>
      <c r="B1485" t="s">
        <v>108</v>
      </c>
      <c r="C1485" t="str">
        <f t="shared" si="70"/>
        <v>ffdfd3c0</v>
      </c>
      <c r="D1485" t="s">
        <v>109</v>
      </c>
      <c r="E1485">
        <v>4</v>
      </c>
      <c r="F1485">
        <v>1004</v>
      </c>
      <c r="G1485" t="s">
        <v>110</v>
      </c>
      <c r="J1485" t="s">
        <v>111</v>
      </c>
      <c r="K1485">
        <v>0</v>
      </c>
      <c r="L1485">
        <v>3</v>
      </c>
      <c r="M1485">
        <v>0</v>
      </c>
      <c r="N1485">
        <v>2</v>
      </c>
      <c r="O1485">
        <v>1</v>
      </c>
      <c r="P1485">
        <v>0</v>
      </c>
      <c r="Q1485">
        <v>0</v>
      </c>
      <c r="R1485" t="s">
        <v>112</v>
      </c>
      <c r="S1485" t="str">
        <f>"14:15:07.477"</f>
        <v>14:15:07.477</v>
      </c>
      <c r="T1485" t="str">
        <f>"14:15:07.078"</f>
        <v>14:15:07.078</v>
      </c>
      <c r="U1485" t="str">
        <f t="shared" si="69"/>
        <v>ad5732</v>
      </c>
      <c r="V1485">
        <v>0</v>
      </c>
      <c r="W1485">
        <v>0</v>
      </c>
      <c r="X1485">
        <v>1</v>
      </c>
      <c r="Z1485">
        <v>0</v>
      </c>
      <c r="AA1485">
        <v>9</v>
      </c>
      <c r="AB1485">
        <v>3</v>
      </c>
      <c r="AC1485">
        <v>0</v>
      </c>
      <c r="AD1485">
        <v>10</v>
      </c>
      <c r="AE1485">
        <v>0</v>
      </c>
      <c r="AF1485">
        <v>3</v>
      </c>
      <c r="AG1485">
        <v>2</v>
      </c>
      <c r="AH1485">
        <v>0</v>
      </c>
      <c r="AI1485" t="s">
        <v>3073</v>
      </c>
      <c r="AJ1485">
        <v>39.633222000000004</v>
      </c>
      <c r="AK1485" t="s">
        <v>3074</v>
      </c>
      <c r="AL1485">
        <v>-76.380364999999998</v>
      </c>
      <c r="AM1485">
        <v>100</v>
      </c>
      <c r="AN1485">
        <v>7200</v>
      </c>
      <c r="AO1485" t="s">
        <v>115</v>
      </c>
      <c r="AP1485">
        <v>199</v>
      </c>
      <c r="AQ1485">
        <v>103</v>
      </c>
      <c r="AR1485">
        <v>-960</v>
      </c>
      <c r="AZ1485">
        <v>3614</v>
      </c>
      <c r="BA1485">
        <v>1</v>
      </c>
      <c r="BB1485" t="str">
        <f t="shared" si="71"/>
        <v xml:space="preserve">N959MJ  </v>
      </c>
      <c r="BC1485">
        <v>1</v>
      </c>
      <c r="BE1485">
        <v>0</v>
      </c>
      <c r="BF1485">
        <v>0</v>
      </c>
      <c r="BG1485">
        <v>0</v>
      </c>
      <c r="BH1485">
        <v>7475</v>
      </c>
      <c r="BI1485">
        <v>275</v>
      </c>
      <c r="BJ1485">
        <v>1</v>
      </c>
      <c r="BK1485">
        <v>1</v>
      </c>
      <c r="BL1485">
        <v>1</v>
      </c>
      <c r="BM1485">
        <v>0</v>
      </c>
      <c r="BP1485">
        <v>0</v>
      </c>
      <c r="BQ1485">
        <v>0</v>
      </c>
      <c r="BX1485" t="str">
        <f>"14:15:07.477"</f>
        <v>14:15:07.477</v>
      </c>
      <c r="BY1485" t="str">
        <f>"477039699"</f>
        <v>477039699</v>
      </c>
      <c r="CL1485">
        <v>0</v>
      </c>
      <c r="CM1485">
        <v>2</v>
      </c>
      <c r="CN1485">
        <v>0</v>
      </c>
      <c r="CO1485">
        <v>2</v>
      </c>
      <c r="CP1485">
        <v>0</v>
      </c>
      <c r="CQ1485">
        <v>6</v>
      </c>
      <c r="CR1485" t="s">
        <v>116</v>
      </c>
      <c r="CS1485">
        <v>396</v>
      </c>
      <c r="CT1485">
        <v>2</v>
      </c>
      <c r="CU1485" t="s">
        <v>939</v>
      </c>
      <c r="CV1485" t="s">
        <v>940</v>
      </c>
      <c r="CY1485">
        <v>5367428</v>
      </c>
      <c r="CZ1485" t="s">
        <v>119</v>
      </c>
    </row>
    <row r="1486" spans="1:104" x14ac:dyDescent="0.25">
      <c r="A1486" t="str">
        <f>"14:15:08.633"</f>
        <v>14:15:08.633</v>
      </c>
      <c r="B1486" t="s">
        <v>108</v>
      </c>
      <c r="C1486" t="str">
        <f t="shared" si="70"/>
        <v>ffdfd3c0</v>
      </c>
      <c r="D1486" t="s">
        <v>109</v>
      </c>
      <c r="E1486">
        <v>4</v>
      </c>
      <c r="F1486">
        <v>1004</v>
      </c>
      <c r="G1486" t="s">
        <v>110</v>
      </c>
      <c r="J1486" t="s">
        <v>111</v>
      </c>
      <c r="K1486">
        <v>0</v>
      </c>
      <c r="L1486">
        <v>3</v>
      </c>
      <c r="M1486">
        <v>0</v>
      </c>
      <c r="N1486">
        <v>2</v>
      </c>
      <c r="O1486">
        <v>1</v>
      </c>
      <c r="P1486">
        <v>0</v>
      </c>
      <c r="Q1486">
        <v>0</v>
      </c>
      <c r="R1486" t="s">
        <v>112</v>
      </c>
      <c r="S1486" t="str">
        <f>"14:15:08.484"</f>
        <v>14:15:08.484</v>
      </c>
      <c r="T1486" t="str">
        <f>"14:15:08.086"</f>
        <v>14:15:08.086</v>
      </c>
      <c r="U1486" t="str">
        <f t="shared" si="69"/>
        <v>ad5732</v>
      </c>
      <c r="V1486">
        <v>0</v>
      </c>
      <c r="W1486">
        <v>0</v>
      </c>
      <c r="X1486">
        <v>1</v>
      </c>
      <c r="Z1486">
        <v>0</v>
      </c>
      <c r="AA1486">
        <v>9</v>
      </c>
      <c r="AB1486">
        <v>3</v>
      </c>
      <c r="AC1486">
        <v>0</v>
      </c>
      <c r="AD1486">
        <v>10</v>
      </c>
      <c r="AE1486">
        <v>0</v>
      </c>
      <c r="AF1486">
        <v>3</v>
      </c>
      <c r="AG1486">
        <v>2</v>
      </c>
      <c r="AH1486">
        <v>0</v>
      </c>
      <c r="AI1486" t="s">
        <v>3075</v>
      </c>
      <c r="AJ1486">
        <v>39.633693999999998</v>
      </c>
      <c r="AK1486" t="s">
        <v>3076</v>
      </c>
      <c r="AL1486">
        <v>-76.379142000000002</v>
      </c>
      <c r="AM1486">
        <v>100</v>
      </c>
      <c r="AN1486">
        <v>7200</v>
      </c>
      <c r="AO1486" t="s">
        <v>115</v>
      </c>
      <c r="AP1486">
        <v>199</v>
      </c>
      <c r="AQ1486">
        <v>103</v>
      </c>
      <c r="AR1486">
        <v>-1024</v>
      </c>
      <c r="AZ1486">
        <v>3614</v>
      </c>
      <c r="BA1486">
        <v>1</v>
      </c>
      <c r="BB1486" t="str">
        <f t="shared" si="71"/>
        <v xml:space="preserve">N959MJ  </v>
      </c>
      <c r="BC1486">
        <v>1</v>
      </c>
      <c r="BE1486">
        <v>0</v>
      </c>
      <c r="BF1486">
        <v>0</v>
      </c>
      <c r="BG1486">
        <v>0</v>
      </c>
      <c r="BH1486">
        <v>7475</v>
      </c>
      <c r="BI1486">
        <v>275</v>
      </c>
      <c r="BJ1486">
        <v>1</v>
      </c>
      <c r="BK1486">
        <v>1</v>
      </c>
      <c r="BL1486">
        <v>1</v>
      </c>
      <c r="BM1486">
        <v>0</v>
      </c>
      <c r="BP1486">
        <v>0</v>
      </c>
      <c r="BQ1486">
        <v>0</v>
      </c>
      <c r="BX1486" t="str">
        <f>"14:15:08.484"</f>
        <v>14:15:08.484</v>
      </c>
      <c r="BY1486" t="str">
        <f>"486424067"</f>
        <v>486424067</v>
      </c>
      <c r="CL1486">
        <v>0</v>
      </c>
      <c r="CM1486">
        <v>2</v>
      </c>
      <c r="CN1486">
        <v>0</v>
      </c>
      <c r="CO1486">
        <v>2</v>
      </c>
      <c r="CP1486">
        <v>0</v>
      </c>
      <c r="CQ1486">
        <v>6</v>
      </c>
      <c r="CR1486" t="s">
        <v>116</v>
      </c>
      <c r="CS1486">
        <v>372</v>
      </c>
      <c r="CT1486">
        <v>3</v>
      </c>
      <c r="CU1486" t="s">
        <v>877</v>
      </c>
      <c r="CV1486" t="s">
        <v>878</v>
      </c>
      <c r="CY1486">
        <v>12016573</v>
      </c>
      <c r="CZ1486" t="s">
        <v>119</v>
      </c>
    </row>
    <row r="1487" spans="1:104" x14ac:dyDescent="0.25">
      <c r="A1487" t="str">
        <f>"14:15:09.547"</f>
        <v>14:15:09.547</v>
      </c>
      <c r="B1487" t="s">
        <v>108</v>
      </c>
      <c r="C1487" t="str">
        <f t="shared" si="70"/>
        <v>ffdfd3c0</v>
      </c>
      <c r="D1487" t="s">
        <v>109</v>
      </c>
      <c r="E1487">
        <v>4</v>
      </c>
      <c r="F1487">
        <v>1004</v>
      </c>
      <c r="G1487" t="s">
        <v>110</v>
      </c>
      <c r="J1487" t="s">
        <v>111</v>
      </c>
      <c r="K1487">
        <v>0</v>
      </c>
      <c r="L1487">
        <v>3</v>
      </c>
      <c r="M1487">
        <v>0</v>
      </c>
      <c r="N1487">
        <v>2</v>
      </c>
      <c r="O1487">
        <v>1</v>
      </c>
      <c r="P1487">
        <v>0</v>
      </c>
      <c r="Q1487">
        <v>0</v>
      </c>
      <c r="R1487" t="s">
        <v>112</v>
      </c>
      <c r="S1487" t="str">
        <f>"14:15:09.367"</f>
        <v>14:15:09.367</v>
      </c>
      <c r="T1487" t="str">
        <f>"14:15:08.969"</f>
        <v>14:15:08.969</v>
      </c>
      <c r="U1487" t="str">
        <f t="shared" si="69"/>
        <v>ad5732</v>
      </c>
      <c r="V1487">
        <v>0</v>
      </c>
      <c r="W1487">
        <v>0</v>
      </c>
      <c r="X1487">
        <v>1</v>
      </c>
      <c r="Z1487">
        <v>0</v>
      </c>
      <c r="AA1487">
        <v>9</v>
      </c>
      <c r="AB1487">
        <v>3</v>
      </c>
      <c r="AC1487">
        <v>0</v>
      </c>
      <c r="AD1487">
        <v>10</v>
      </c>
      <c r="AE1487">
        <v>0</v>
      </c>
      <c r="AF1487">
        <v>3</v>
      </c>
      <c r="AG1487">
        <v>2</v>
      </c>
      <c r="AH1487">
        <v>0</v>
      </c>
      <c r="AI1487" t="s">
        <v>3077</v>
      </c>
      <c r="AJ1487">
        <v>39.634101000000001</v>
      </c>
      <c r="AK1487" t="s">
        <v>3078</v>
      </c>
      <c r="AL1487">
        <v>-76.37809</v>
      </c>
      <c r="AM1487">
        <v>100</v>
      </c>
      <c r="AN1487">
        <v>7200</v>
      </c>
      <c r="AO1487" t="s">
        <v>115</v>
      </c>
      <c r="AP1487">
        <v>199</v>
      </c>
      <c r="AQ1487">
        <v>103</v>
      </c>
      <c r="AR1487">
        <v>-1088</v>
      </c>
      <c r="AZ1487">
        <v>3614</v>
      </c>
      <c r="BA1487">
        <v>1</v>
      </c>
      <c r="BB1487" t="str">
        <f t="shared" si="71"/>
        <v xml:space="preserve">N959MJ  </v>
      </c>
      <c r="BC1487">
        <v>1</v>
      </c>
      <c r="BE1487">
        <v>0</v>
      </c>
      <c r="BF1487">
        <v>0</v>
      </c>
      <c r="BG1487">
        <v>0</v>
      </c>
      <c r="BH1487">
        <v>7450</v>
      </c>
      <c r="BI1487">
        <v>250</v>
      </c>
      <c r="BJ1487">
        <v>1</v>
      </c>
      <c r="BK1487">
        <v>1</v>
      </c>
      <c r="BL1487">
        <v>1</v>
      </c>
      <c r="BM1487">
        <v>0</v>
      </c>
      <c r="BP1487">
        <v>0</v>
      </c>
      <c r="BQ1487">
        <v>0</v>
      </c>
      <c r="BX1487" t="str">
        <f>"14:15:09.367"</f>
        <v>14:15:09.367</v>
      </c>
      <c r="BY1487" t="str">
        <f>"369536594"</f>
        <v>369536594</v>
      </c>
      <c r="CL1487">
        <v>0</v>
      </c>
      <c r="CM1487">
        <v>2</v>
      </c>
      <c r="CN1487">
        <v>0</v>
      </c>
      <c r="CO1487">
        <v>2</v>
      </c>
      <c r="CP1487">
        <v>0</v>
      </c>
      <c r="CQ1487">
        <v>6</v>
      </c>
      <c r="CR1487" t="s">
        <v>116</v>
      </c>
      <c r="CS1487">
        <v>372</v>
      </c>
      <c r="CT1487">
        <v>3</v>
      </c>
      <c r="CU1487" t="s">
        <v>877</v>
      </c>
      <c r="CV1487" t="s">
        <v>878</v>
      </c>
      <c r="CY1487">
        <v>12018156</v>
      </c>
      <c r="CZ1487" t="s">
        <v>119</v>
      </c>
    </row>
    <row r="1488" spans="1:104" x14ac:dyDescent="0.25">
      <c r="A1488" t="str">
        <f>"14:15:10.453"</f>
        <v>14:15:10.453</v>
      </c>
      <c r="B1488" t="s">
        <v>108</v>
      </c>
      <c r="C1488" t="str">
        <f t="shared" si="70"/>
        <v>ffdfd3c0</v>
      </c>
      <c r="D1488" t="s">
        <v>109</v>
      </c>
      <c r="E1488">
        <v>4</v>
      </c>
      <c r="F1488">
        <v>1004</v>
      </c>
      <c r="G1488" t="s">
        <v>110</v>
      </c>
      <c r="J1488" t="s">
        <v>111</v>
      </c>
      <c r="K1488">
        <v>0</v>
      </c>
      <c r="L1488">
        <v>3</v>
      </c>
      <c r="M1488">
        <v>0</v>
      </c>
      <c r="N1488">
        <v>2</v>
      </c>
      <c r="O1488">
        <v>1</v>
      </c>
      <c r="P1488">
        <v>0</v>
      </c>
      <c r="Q1488">
        <v>0</v>
      </c>
      <c r="R1488" t="s">
        <v>112</v>
      </c>
      <c r="S1488" t="str">
        <f>"14:15:10.297"</f>
        <v>14:15:10.297</v>
      </c>
      <c r="T1488" t="str">
        <f>"14:15:09.898"</f>
        <v>14:15:09.898</v>
      </c>
      <c r="U1488" t="str">
        <f t="shared" si="69"/>
        <v>ad5732</v>
      </c>
      <c r="V1488">
        <v>0</v>
      </c>
      <c r="W1488">
        <v>0</v>
      </c>
      <c r="X1488">
        <v>1</v>
      </c>
      <c r="Z1488">
        <v>0</v>
      </c>
      <c r="AA1488">
        <v>9</v>
      </c>
      <c r="AB1488">
        <v>3</v>
      </c>
      <c r="AC1488">
        <v>0</v>
      </c>
      <c r="AD1488">
        <v>10</v>
      </c>
      <c r="AE1488">
        <v>0</v>
      </c>
      <c r="AF1488">
        <v>3</v>
      </c>
      <c r="AG1488">
        <v>2</v>
      </c>
      <c r="AH1488">
        <v>0</v>
      </c>
      <c r="AI1488" t="s">
        <v>3079</v>
      </c>
      <c r="AJ1488">
        <v>39.634594999999997</v>
      </c>
      <c r="AK1488" t="s">
        <v>3080</v>
      </c>
      <c r="AL1488">
        <v>-76.376889000000006</v>
      </c>
      <c r="AM1488">
        <v>100</v>
      </c>
      <c r="AN1488">
        <v>7200</v>
      </c>
      <c r="AO1488" t="s">
        <v>115</v>
      </c>
      <c r="AP1488">
        <v>198</v>
      </c>
      <c r="AQ1488">
        <v>103</v>
      </c>
      <c r="AR1488">
        <v>-1088</v>
      </c>
      <c r="AZ1488">
        <v>3614</v>
      </c>
      <c r="BA1488">
        <v>1</v>
      </c>
      <c r="BB1488" t="str">
        <f t="shared" si="71"/>
        <v xml:space="preserve">N959MJ  </v>
      </c>
      <c r="BC1488">
        <v>1</v>
      </c>
      <c r="BE1488">
        <v>0</v>
      </c>
      <c r="BF1488">
        <v>0</v>
      </c>
      <c r="BG1488">
        <v>0</v>
      </c>
      <c r="BH1488">
        <v>7450</v>
      </c>
      <c r="BI1488">
        <v>250</v>
      </c>
      <c r="BJ1488">
        <v>1</v>
      </c>
      <c r="BK1488">
        <v>1</v>
      </c>
      <c r="BL1488">
        <v>1</v>
      </c>
      <c r="BM1488">
        <v>0</v>
      </c>
      <c r="BP1488">
        <v>0</v>
      </c>
      <c r="BQ1488">
        <v>0</v>
      </c>
      <c r="BX1488" t="str">
        <f>"14:15:10.305"</f>
        <v>14:15:10.305</v>
      </c>
      <c r="BY1488" t="str">
        <f>"303327097"</f>
        <v>303327097</v>
      </c>
      <c r="CL1488">
        <v>0</v>
      </c>
      <c r="CM1488">
        <v>2</v>
      </c>
      <c r="CN1488">
        <v>0</v>
      </c>
      <c r="CO1488">
        <v>2</v>
      </c>
      <c r="CP1488">
        <v>0</v>
      </c>
      <c r="CQ1488">
        <v>6</v>
      </c>
      <c r="CR1488" t="s">
        <v>116</v>
      </c>
      <c r="CS1488">
        <v>396</v>
      </c>
      <c r="CT1488">
        <v>2</v>
      </c>
      <c r="CU1488" t="s">
        <v>939</v>
      </c>
      <c r="CV1488" t="s">
        <v>940</v>
      </c>
      <c r="CY1488">
        <v>5372412</v>
      </c>
      <c r="CZ1488" t="s">
        <v>119</v>
      </c>
    </row>
    <row r="1489" spans="1:104" x14ac:dyDescent="0.25">
      <c r="A1489" t="str">
        <f>"14:15:11.516"</f>
        <v>14:15:11.516</v>
      </c>
      <c r="B1489" t="s">
        <v>108</v>
      </c>
      <c r="C1489" t="str">
        <f t="shared" si="70"/>
        <v>ffdfd3c0</v>
      </c>
      <c r="D1489" t="s">
        <v>109</v>
      </c>
      <c r="E1489">
        <v>4</v>
      </c>
      <c r="F1489">
        <v>1004</v>
      </c>
      <c r="G1489" t="s">
        <v>110</v>
      </c>
      <c r="J1489" t="s">
        <v>111</v>
      </c>
      <c r="K1489">
        <v>0</v>
      </c>
      <c r="L1489">
        <v>3</v>
      </c>
      <c r="M1489">
        <v>0</v>
      </c>
      <c r="N1489">
        <v>2</v>
      </c>
      <c r="O1489">
        <v>1</v>
      </c>
      <c r="P1489">
        <v>0</v>
      </c>
      <c r="Q1489">
        <v>0</v>
      </c>
      <c r="R1489" t="s">
        <v>112</v>
      </c>
      <c r="S1489" t="str">
        <f>"14:15:11.328"</f>
        <v>14:15:11.328</v>
      </c>
      <c r="T1489" t="str">
        <f>"14:15:10.828"</f>
        <v>14:15:10.828</v>
      </c>
      <c r="U1489" t="str">
        <f t="shared" si="69"/>
        <v>ad5732</v>
      </c>
      <c r="V1489">
        <v>0</v>
      </c>
      <c r="W1489">
        <v>0</v>
      </c>
      <c r="X1489">
        <v>1</v>
      </c>
      <c r="Z1489">
        <v>0</v>
      </c>
      <c r="AA1489">
        <v>9</v>
      </c>
      <c r="AB1489">
        <v>3</v>
      </c>
      <c r="AC1489">
        <v>0</v>
      </c>
      <c r="AD1489">
        <v>10</v>
      </c>
      <c r="AE1489">
        <v>0</v>
      </c>
      <c r="AF1489">
        <v>3</v>
      </c>
      <c r="AG1489">
        <v>2</v>
      </c>
      <c r="AH1489">
        <v>0</v>
      </c>
      <c r="AI1489" t="s">
        <v>3081</v>
      </c>
      <c r="AJ1489">
        <v>39.635046000000003</v>
      </c>
      <c r="AK1489" t="s">
        <v>3082</v>
      </c>
      <c r="AL1489">
        <v>-76.375750999999994</v>
      </c>
      <c r="AM1489">
        <v>100</v>
      </c>
      <c r="AN1489">
        <v>7200</v>
      </c>
      <c r="AO1489" t="s">
        <v>115</v>
      </c>
      <c r="AP1489">
        <v>198</v>
      </c>
      <c r="AQ1489">
        <v>103</v>
      </c>
      <c r="AR1489">
        <v>-1088</v>
      </c>
      <c r="AZ1489">
        <v>3614</v>
      </c>
      <c r="BA1489">
        <v>1</v>
      </c>
      <c r="BB1489" t="str">
        <f t="shared" si="71"/>
        <v xml:space="preserve">N959MJ  </v>
      </c>
      <c r="BC1489">
        <v>1</v>
      </c>
      <c r="BE1489">
        <v>0</v>
      </c>
      <c r="BF1489">
        <v>0</v>
      </c>
      <c r="BG1489">
        <v>0</v>
      </c>
      <c r="BH1489">
        <v>7425</v>
      </c>
      <c r="BI1489">
        <v>225</v>
      </c>
      <c r="BJ1489">
        <v>1</v>
      </c>
      <c r="BK1489">
        <v>1</v>
      </c>
      <c r="BL1489">
        <v>1</v>
      </c>
      <c r="BM1489">
        <v>0</v>
      </c>
      <c r="BP1489">
        <v>0</v>
      </c>
      <c r="BQ1489">
        <v>0</v>
      </c>
      <c r="BX1489" t="str">
        <f>"14:15:11.336"</f>
        <v>14:15:11.336</v>
      </c>
      <c r="BY1489" t="str">
        <f>"334065852"</f>
        <v>334065852</v>
      </c>
      <c r="CL1489">
        <v>0</v>
      </c>
      <c r="CM1489">
        <v>2</v>
      </c>
      <c r="CN1489">
        <v>0</v>
      </c>
      <c r="CO1489">
        <v>2</v>
      </c>
      <c r="CP1489">
        <v>0</v>
      </c>
      <c r="CQ1489">
        <v>5</v>
      </c>
      <c r="CR1489" t="s">
        <v>116</v>
      </c>
      <c r="CS1489">
        <v>147</v>
      </c>
      <c r="CT1489">
        <v>0</v>
      </c>
      <c r="CU1489" t="s">
        <v>117</v>
      </c>
      <c r="CV1489" t="s">
        <v>118</v>
      </c>
      <c r="CY1489">
        <v>6358173</v>
      </c>
      <c r="CZ1489" t="s">
        <v>119</v>
      </c>
    </row>
    <row r="1490" spans="1:104" x14ac:dyDescent="0.25">
      <c r="A1490" t="str">
        <f>"14:15:12.570"</f>
        <v>14:15:12.570</v>
      </c>
      <c r="B1490" t="s">
        <v>108</v>
      </c>
      <c r="C1490" t="str">
        <f t="shared" si="70"/>
        <v>ffdfd3c0</v>
      </c>
      <c r="D1490" t="s">
        <v>109</v>
      </c>
      <c r="E1490">
        <v>4</v>
      </c>
      <c r="F1490">
        <v>1004</v>
      </c>
      <c r="G1490" t="s">
        <v>110</v>
      </c>
      <c r="J1490" t="s">
        <v>111</v>
      </c>
      <c r="K1490">
        <v>0</v>
      </c>
      <c r="L1490">
        <v>3</v>
      </c>
      <c r="M1490">
        <v>0</v>
      </c>
      <c r="N1490">
        <v>2</v>
      </c>
      <c r="O1490">
        <v>1</v>
      </c>
      <c r="P1490">
        <v>0</v>
      </c>
      <c r="Q1490">
        <v>0</v>
      </c>
      <c r="R1490" t="s">
        <v>112</v>
      </c>
      <c r="S1490" t="str">
        <f>"14:15:12.383"</f>
        <v>14:15:12.383</v>
      </c>
      <c r="T1490" t="str">
        <f>"14:15:11.883"</f>
        <v>14:15:11.883</v>
      </c>
      <c r="U1490" t="str">
        <f t="shared" si="69"/>
        <v>ad5732</v>
      </c>
      <c r="V1490">
        <v>0</v>
      </c>
      <c r="W1490">
        <v>0</v>
      </c>
      <c r="X1490">
        <v>1</v>
      </c>
      <c r="Z1490">
        <v>0</v>
      </c>
      <c r="AA1490">
        <v>9</v>
      </c>
      <c r="AB1490">
        <v>3</v>
      </c>
      <c r="AC1490">
        <v>0</v>
      </c>
      <c r="AD1490">
        <v>10</v>
      </c>
      <c r="AE1490">
        <v>0</v>
      </c>
      <c r="AF1490">
        <v>3</v>
      </c>
      <c r="AG1490">
        <v>2</v>
      </c>
      <c r="AH1490">
        <v>0</v>
      </c>
      <c r="AI1490" t="s">
        <v>3083</v>
      </c>
      <c r="AJ1490">
        <v>39.635561000000003</v>
      </c>
      <c r="AK1490" t="s">
        <v>3084</v>
      </c>
      <c r="AL1490">
        <v>-76.374571000000003</v>
      </c>
      <c r="AM1490">
        <v>100</v>
      </c>
      <c r="AN1490">
        <v>7200</v>
      </c>
      <c r="AO1490" t="s">
        <v>115</v>
      </c>
      <c r="AP1490">
        <v>198</v>
      </c>
      <c r="AQ1490">
        <v>103</v>
      </c>
      <c r="AR1490">
        <v>-1088</v>
      </c>
      <c r="AZ1490">
        <v>3614</v>
      </c>
      <c r="BA1490">
        <v>1</v>
      </c>
      <c r="BB1490" t="str">
        <f t="shared" si="71"/>
        <v xml:space="preserve">N959MJ  </v>
      </c>
      <c r="BC1490">
        <v>1</v>
      </c>
      <c r="BE1490">
        <v>0</v>
      </c>
      <c r="BF1490">
        <v>0</v>
      </c>
      <c r="BG1490">
        <v>0</v>
      </c>
      <c r="BH1490">
        <v>7400</v>
      </c>
      <c r="BI1490">
        <v>200</v>
      </c>
      <c r="BJ1490">
        <v>1</v>
      </c>
      <c r="BK1490">
        <v>1</v>
      </c>
      <c r="BL1490">
        <v>1</v>
      </c>
      <c r="BM1490">
        <v>0</v>
      </c>
      <c r="BP1490">
        <v>0</v>
      </c>
      <c r="BQ1490">
        <v>0</v>
      </c>
      <c r="BX1490" t="str">
        <f>"14:15:12.383"</f>
        <v>14:15:12.383</v>
      </c>
      <c r="BY1490" t="str">
        <f>"384129981"</f>
        <v>384129981</v>
      </c>
      <c r="CL1490">
        <v>0</v>
      </c>
      <c r="CM1490">
        <v>2</v>
      </c>
      <c r="CN1490">
        <v>0</v>
      </c>
      <c r="CO1490">
        <v>2</v>
      </c>
      <c r="CP1490">
        <v>0</v>
      </c>
      <c r="CQ1490">
        <v>6</v>
      </c>
      <c r="CR1490" t="s">
        <v>116</v>
      </c>
      <c r="CS1490">
        <v>396</v>
      </c>
      <c r="CT1490">
        <v>2</v>
      </c>
      <c r="CU1490" t="s">
        <v>939</v>
      </c>
      <c r="CV1490" t="s">
        <v>940</v>
      </c>
      <c r="CY1490">
        <v>5376005</v>
      </c>
      <c r="CZ1490" t="s">
        <v>119</v>
      </c>
    </row>
    <row r="1491" spans="1:104" x14ac:dyDescent="0.25">
      <c r="A1491" t="str">
        <f>"14:15:13.578"</f>
        <v>14:15:13.578</v>
      </c>
      <c r="B1491" t="s">
        <v>108</v>
      </c>
      <c r="C1491" t="str">
        <f t="shared" si="70"/>
        <v>ffdfd3c0</v>
      </c>
      <c r="D1491" t="s">
        <v>109</v>
      </c>
      <c r="E1491">
        <v>4</v>
      </c>
      <c r="F1491">
        <v>1004</v>
      </c>
      <c r="G1491" t="s">
        <v>110</v>
      </c>
      <c r="J1491" t="s">
        <v>111</v>
      </c>
      <c r="K1491">
        <v>0</v>
      </c>
      <c r="L1491">
        <v>3</v>
      </c>
      <c r="M1491">
        <v>0</v>
      </c>
      <c r="N1491">
        <v>2</v>
      </c>
      <c r="O1491">
        <v>1</v>
      </c>
      <c r="P1491">
        <v>0</v>
      </c>
      <c r="Q1491">
        <v>0</v>
      </c>
      <c r="R1491" t="s">
        <v>112</v>
      </c>
      <c r="S1491" t="str">
        <f>"14:15:13.359"</f>
        <v>14:15:13.359</v>
      </c>
      <c r="T1491" t="str">
        <f>"14:15:12.961"</f>
        <v>14:15:12.961</v>
      </c>
      <c r="U1491" t="str">
        <f t="shared" si="69"/>
        <v>ad5732</v>
      </c>
      <c r="V1491">
        <v>0</v>
      </c>
      <c r="W1491">
        <v>0</v>
      </c>
      <c r="X1491">
        <v>1</v>
      </c>
      <c r="Z1491">
        <v>0</v>
      </c>
      <c r="AA1491">
        <v>9</v>
      </c>
      <c r="AB1491">
        <v>3</v>
      </c>
      <c r="AC1491">
        <v>0</v>
      </c>
      <c r="AD1491">
        <v>10</v>
      </c>
      <c r="AE1491">
        <v>0</v>
      </c>
      <c r="AF1491">
        <v>3</v>
      </c>
      <c r="AG1491">
        <v>2</v>
      </c>
      <c r="AH1491">
        <v>0</v>
      </c>
      <c r="AI1491" t="s">
        <v>3085</v>
      </c>
      <c r="AJ1491">
        <v>39.636011000000003</v>
      </c>
      <c r="AK1491" t="s">
        <v>3086</v>
      </c>
      <c r="AL1491">
        <v>-76.373369999999994</v>
      </c>
      <c r="AM1491">
        <v>100</v>
      </c>
      <c r="AN1491">
        <v>7200</v>
      </c>
      <c r="AO1491" t="s">
        <v>115</v>
      </c>
      <c r="AP1491">
        <v>198</v>
      </c>
      <c r="AQ1491">
        <v>103</v>
      </c>
      <c r="AR1491">
        <v>-1088</v>
      </c>
      <c r="AZ1491">
        <v>3614</v>
      </c>
      <c r="BA1491">
        <v>1</v>
      </c>
      <c r="BB1491" t="str">
        <f t="shared" si="71"/>
        <v xml:space="preserve">N959MJ  </v>
      </c>
      <c r="BC1491">
        <v>1</v>
      </c>
      <c r="BE1491">
        <v>0</v>
      </c>
      <c r="BF1491">
        <v>0</v>
      </c>
      <c r="BG1491">
        <v>0</v>
      </c>
      <c r="BH1491">
        <v>7375</v>
      </c>
      <c r="BI1491">
        <v>175</v>
      </c>
      <c r="BJ1491">
        <v>1</v>
      </c>
      <c r="BK1491">
        <v>1</v>
      </c>
      <c r="BL1491">
        <v>1</v>
      </c>
      <c r="BM1491">
        <v>0</v>
      </c>
      <c r="BP1491">
        <v>0</v>
      </c>
      <c r="BQ1491">
        <v>0</v>
      </c>
      <c r="BX1491" t="str">
        <f>"14:15:13.367"</f>
        <v>14:15:13.367</v>
      </c>
      <c r="BY1491" t="str">
        <f>"365548106"</f>
        <v>365548106</v>
      </c>
      <c r="CL1491">
        <v>0</v>
      </c>
      <c r="CM1491">
        <v>2</v>
      </c>
      <c r="CN1491">
        <v>0</v>
      </c>
      <c r="CO1491">
        <v>2</v>
      </c>
      <c r="CP1491">
        <v>0</v>
      </c>
      <c r="CQ1491">
        <v>6</v>
      </c>
      <c r="CR1491" t="s">
        <v>116</v>
      </c>
      <c r="CS1491">
        <v>396</v>
      </c>
      <c r="CT1491">
        <v>1</v>
      </c>
      <c r="CU1491" t="s">
        <v>939</v>
      </c>
      <c r="CV1491" t="s">
        <v>940</v>
      </c>
      <c r="CY1491">
        <v>8965492</v>
      </c>
      <c r="CZ1491" t="s">
        <v>119</v>
      </c>
    </row>
    <row r="1492" spans="1:104" x14ac:dyDescent="0.25">
      <c r="A1492" t="str">
        <f>"14:15:14.695"</f>
        <v>14:15:14.695</v>
      </c>
      <c r="B1492" t="s">
        <v>108</v>
      </c>
      <c r="C1492" t="str">
        <f t="shared" si="70"/>
        <v>ffdfd3c0</v>
      </c>
      <c r="D1492" t="s">
        <v>109</v>
      </c>
      <c r="E1492">
        <v>4</v>
      </c>
      <c r="F1492">
        <v>1004</v>
      </c>
      <c r="G1492" t="s">
        <v>110</v>
      </c>
      <c r="J1492" t="s">
        <v>111</v>
      </c>
      <c r="K1492">
        <v>0</v>
      </c>
      <c r="L1492">
        <v>3</v>
      </c>
      <c r="M1492">
        <v>0</v>
      </c>
      <c r="N1492">
        <v>2</v>
      </c>
      <c r="O1492">
        <v>1</v>
      </c>
      <c r="P1492">
        <v>0</v>
      </c>
      <c r="Q1492">
        <v>0</v>
      </c>
      <c r="R1492" t="s">
        <v>112</v>
      </c>
      <c r="S1492" t="str">
        <f>"14:15:14.500"</f>
        <v>14:15:14.500</v>
      </c>
      <c r="T1492" t="str">
        <f>"14:15:13.398"</f>
        <v>14:15:13.398</v>
      </c>
      <c r="U1492" t="str">
        <f t="shared" si="69"/>
        <v>ad5732</v>
      </c>
      <c r="V1492">
        <v>0</v>
      </c>
      <c r="W1492">
        <v>0</v>
      </c>
      <c r="X1492">
        <v>1</v>
      </c>
      <c r="Z1492">
        <v>0</v>
      </c>
      <c r="AA1492">
        <v>9</v>
      </c>
      <c r="AB1492">
        <v>3</v>
      </c>
      <c r="AC1492">
        <v>0</v>
      </c>
      <c r="AD1492">
        <v>10</v>
      </c>
      <c r="AE1492">
        <v>0</v>
      </c>
      <c r="AF1492">
        <v>3</v>
      </c>
      <c r="AG1492">
        <v>2</v>
      </c>
      <c r="AH1492">
        <v>0</v>
      </c>
      <c r="AI1492" t="s">
        <v>3087</v>
      </c>
      <c r="AJ1492">
        <v>39.636612</v>
      </c>
      <c r="AK1492" t="s">
        <v>3088</v>
      </c>
      <c r="AL1492">
        <v>-76.371932000000001</v>
      </c>
      <c r="AM1492">
        <v>100</v>
      </c>
      <c r="AN1492">
        <v>7100</v>
      </c>
      <c r="AO1492" t="s">
        <v>115</v>
      </c>
      <c r="AP1492">
        <v>198</v>
      </c>
      <c r="AQ1492">
        <v>103</v>
      </c>
      <c r="AR1492">
        <v>-1088</v>
      </c>
      <c r="AZ1492">
        <v>3614</v>
      </c>
      <c r="BA1492">
        <v>1</v>
      </c>
      <c r="BB1492" t="str">
        <f t="shared" si="71"/>
        <v xml:space="preserve">N959MJ  </v>
      </c>
      <c r="BC1492">
        <v>1</v>
      </c>
      <c r="BE1492">
        <v>0</v>
      </c>
      <c r="BF1492">
        <v>0</v>
      </c>
      <c r="BG1492">
        <v>0</v>
      </c>
      <c r="BH1492">
        <v>7375</v>
      </c>
      <c r="BI1492">
        <v>275</v>
      </c>
      <c r="BJ1492">
        <v>1</v>
      </c>
      <c r="BK1492">
        <v>1</v>
      </c>
      <c r="BL1492">
        <v>1</v>
      </c>
      <c r="BM1492">
        <v>0</v>
      </c>
      <c r="BP1492">
        <v>0</v>
      </c>
      <c r="BQ1492">
        <v>0</v>
      </c>
      <c r="BX1492" t="str">
        <f>"14:15:14.500"</f>
        <v>14:15:14.500</v>
      </c>
      <c r="BY1492" t="str">
        <f>"500978353"</f>
        <v>500978353</v>
      </c>
      <c r="CL1492">
        <v>0</v>
      </c>
      <c r="CM1492">
        <v>2</v>
      </c>
      <c r="CN1492">
        <v>0</v>
      </c>
      <c r="CO1492">
        <v>2</v>
      </c>
      <c r="CP1492">
        <v>0</v>
      </c>
      <c r="CQ1492">
        <v>6</v>
      </c>
      <c r="CR1492" t="s">
        <v>116</v>
      </c>
      <c r="CS1492">
        <v>396</v>
      </c>
      <c r="CT1492">
        <v>1</v>
      </c>
      <c r="CU1492" t="s">
        <v>939</v>
      </c>
      <c r="CV1492" t="s">
        <v>940</v>
      </c>
      <c r="CY1492">
        <v>8967580</v>
      </c>
      <c r="CZ1492" t="s">
        <v>119</v>
      </c>
    </row>
    <row r="1493" spans="1:104" x14ac:dyDescent="0.25">
      <c r="A1493" t="str">
        <f>"14:15:15.805"</f>
        <v>14:15:15.805</v>
      </c>
      <c r="B1493" t="s">
        <v>108</v>
      </c>
      <c r="C1493" t="str">
        <f t="shared" si="70"/>
        <v>ffdfd3c0</v>
      </c>
      <c r="D1493" t="s">
        <v>109</v>
      </c>
      <c r="E1493">
        <v>4</v>
      </c>
      <c r="F1493">
        <v>1004</v>
      </c>
      <c r="G1493" t="s">
        <v>110</v>
      </c>
      <c r="J1493" t="s">
        <v>111</v>
      </c>
      <c r="K1493">
        <v>0</v>
      </c>
      <c r="L1493">
        <v>3</v>
      </c>
      <c r="M1493">
        <v>0</v>
      </c>
      <c r="N1493">
        <v>2</v>
      </c>
      <c r="O1493">
        <v>1</v>
      </c>
      <c r="P1493">
        <v>0</v>
      </c>
      <c r="Q1493">
        <v>0</v>
      </c>
      <c r="R1493" t="s">
        <v>112</v>
      </c>
      <c r="S1493" t="str">
        <f>"14:15:15.586"</f>
        <v>14:15:15.586</v>
      </c>
      <c r="T1493" t="str">
        <f>"14:15:15.086"</f>
        <v>14:15:15.086</v>
      </c>
      <c r="U1493" t="str">
        <f t="shared" si="69"/>
        <v>ad5732</v>
      </c>
      <c r="V1493">
        <v>0</v>
      </c>
      <c r="W1493">
        <v>0</v>
      </c>
      <c r="X1493">
        <v>1</v>
      </c>
      <c r="Z1493">
        <v>0</v>
      </c>
      <c r="AA1493">
        <v>9</v>
      </c>
      <c r="AB1493">
        <v>3</v>
      </c>
      <c r="AC1493">
        <v>0</v>
      </c>
      <c r="AD1493">
        <v>10</v>
      </c>
      <c r="AE1493">
        <v>0</v>
      </c>
      <c r="AF1493">
        <v>3</v>
      </c>
      <c r="AG1493">
        <v>2</v>
      </c>
      <c r="AH1493">
        <v>0</v>
      </c>
      <c r="AI1493" t="s">
        <v>3089</v>
      </c>
      <c r="AJ1493">
        <v>39.637062999999998</v>
      </c>
      <c r="AK1493" t="s">
        <v>3090</v>
      </c>
      <c r="AL1493">
        <v>-76.370751999999996</v>
      </c>
      <c r="AM1493">
        <v>100</v>
      </c>
      <c r="AN1493">
        <v>7100</v>
      </c>
      <c r="AO1493" t="s">
        <v>115</v>
      </c>
      <c r="AP1493">
        <v>198</v>
      </c>
      <c r="AQ1493">
        <v>103</v>
      </c>
      <c r="AR1493">
        <v>-1088</v>
      </c>
      <c r="AZ1493">
        <v>3614</v>
      </c>
      <c r="BA1493">
        <v>1</v>
      </c>
      <c r="BB1493" t="str">
        <f t="shared" si="71"/>
        <v xml:space="preserve">N959MJ  </v>
      </c>
      <c r="BC1493">
        <v>1</v>
      </c>
      <c r="BE1493">
        <v>0</v>
      </c>
      <c r="BF1493">
        <v>0</v>
      </c>
      <c r="BG1493">
        <v>0</v>
      </c>
      <c r="BH1493">
        <v>7450</v>
      </c>
      <c r="BI1493">
        <v>350</v>
      </c>
      <c r="BJ1493">
        <v>1</v>
      </c>
      <c r="BK1493">
        <v>1</v>
      </c>
      <c r="BL1493">
        <v>1</v>
      </c>
      <c r="BM1493">
        <v>0</v>
      </c>
      <c r="BP1493">
        <v>0</v>
      </c>
      <c r="BQ1493">
        <v>0</v>
      </c>
      <c r="BX1493" t="str">
        <f>"14:15:15.594"</f>
        <v>14:15:15.594</v>
      </c>
      <c r="BY1493" t="str">
        <f>"590532570"</f>
        <v>590532570</v>
      </c>
      <c r="CL1493">
        <v>0</v>
      </c>
      <c r="CM1493">
        <v>2</v>
      </c>
      <c r="CN1493">
        <v>0</v>
      </c>
      <c r="CO1493">
        <v>2</v>
      </c>
      <c r="CP1493">
        <v>0</v>
      </c>
      <c r="CQ1493">
        <v>6</v>
      </c>
      <c r="CR1493" t="s">
        <v>116</v>
      </c>
      <c r="CS1493">
        <v>396</v>
      </c>
      <c r="CT1493">
        <v>2</v>
      </c>
      <c r="CU1493" t="s">
        <v>939</v>
      </c>
      <c r="CV1493" t="s">
        <v>940</v>
      </c>
      <c r="CY1493">
        <v>5381562</v>
      </c>
      <c r="CZ1493" t="s">
        <v>119</v>
      </c>
    </row>
    <row r="1494" spans="1:104" x14ac:dyDescent="0.25">
      <c r="A1494" t="str">
        <f>"14:15:16.813"</f>
        <v>14:15:16.813</v>
      </c>
      <c r="B1494" t="s">
        <v>108</v>
      </c>
      <c r="C1494" t="str">
        <f t="shared" si="70"/>
        <v>ffdfd3c0</v>
      </c>
      <c r="D1494" t="s">
        <v>109</v>
      </c>
      <c r="E1494">
        <v>4</v>
      </c>
      <c r="F1494">
        <v>1004</v>
      </c>
      <c r="G1494" t="s">
        <v>110</v>
      </c>
      <c r="J1494" t="s">
        <v>111</v>
      </c>
      <c r="K1494">
        <v>0</v>
      </c>
      <c r="L1494">
        <v>3</v>
      </c>
      <c r="M1494">
        <v>0</v>
      </c>
      <c r="N1494">
        <v>2</v>
      </c>
      <c r="O1494">
        <v>1</v>
      </c>
      <c r="P1494">
        <v>0</v>
      </c>
      <c r="Q1494">
        <v>0</v>
      </c>
      <c r="R1494" t="s">
        <v>112</v>
      </c>
      <c r="S1494" t="str">
        <f>"14:15:16.594"</f>
        <v>14:15:16.594</v>
      </c>
      <c r="T1494" t="str">
        <f>"14:15:16.094"</f>
        <v>14:15:16.094</v>
      </c>
      <c r="U1494" t="str">
        <f t="shared" si="69"/>
        <v>ad5732</v>
      </c>
      <c r="V1494">
        <v>0</v>
      </c>
      <c r="W1494">
        <v>0</v>
      </c>
      <c r="X1494">
        <v>1</v>
      </c>
      <c r="Z1494">
        <v>0</v>
      </c>
      <c r="AA1494">
        <v>9</v>
      </c>
      <c r="AB1494">
        <v>3</v>
      </c>
      <c r="AC1494">
        <v>0</v>
      </c>
      <c r="AD1494">
        <v>10</v>
      </c>
      <c r="AE1494">
        <v>0</v>
      </c>
      <c r="AF1494">
        <v>3</v>
      </c>
      <c r="AG1494">
        <v>2</v>
      </c>
      <c r="AH1494">
        <v>0</v>
      </c>
      <c r="AI1494" t="s">
        <v>3091</v>
      </c>
      <c r="AJ1494">
        <v>39.637599000000002</v>
      </c>
      <c r="AK1494" t="s">
        <v>3092</v>
      </c>
      <c r="AL1494">
        <v>-76.369443000000004</v>
      </c>
      <c r="AM1494">
        <v>100</v>
      </c>
      <c r="AN1494">
        <v>7100</v>
      </c>
      <c r="AO1494" t="s">
        <v>115</v>
      </c>
      <c r="AP1494">
        <v>198</v>
      </c>
      <c r="AQ1494">
        <v>103</v>
      </c>
      <c r="AR1494">
        <v>-1152</v>
      </c>
      <c r="AZ1494">
        <v>3614</v>
      </c>
      <c r="BA1494">
        <v>1</v>
      </c>
      <c r="BB1494" t="str">
        <f t="shared" si="71"/>
        <v xml:space="preserve">N959MJ  </v>
      </c>
      <c r="BC1494">
        <v>1</v>
      </c>
      <c r="BE1494">
        <v>0</v>
      </c>
      <c r="BF1494">
        <v>0</v>
      </c>
      <c r="BG1494">
        <v>0</v>
      </c>
      <c r="BH1494">
        <v>7325</v>
      </c>
      <c r="BI1494">
        <v>225</v>
      </c>
      <c r="BJ1494">
        <v>1</v>
      </c>
      <c r="BK1494">
        <v>1</v>
      </c>
      <c r="BL1494">
        <v>1</v>
      </c>
      <c r="BM1494">
        <v>0</v>
      </c>
      <c r="BP1494">
        <v>0</v>
      </c>
      <c r="BQ1494">
        <v>0</v>
      </c>
      <c r="BX1494" t="str">
        <f>"14:15:16.594"</f>
        <v>14:15:16.594</v>
      </c>
      <c r="BY1494" t="str">
        <f>"596527061"</f>
        <v>596527061</v>
      </c>
      <c r="CL1494">
        <v>0</v>
      </c>
      <c r="CM1494">
        <v>2</v>
      </c>
      <c r="CN1494">
        <v>0</v>
      </c>
      <c r="CO1494">
        <v>2</v>
      </c>
      <c r="CP1494">
        <v>0</v>
      </c>
      <c r="CQ1494">
        <v>6</v>
      </c>
      <c r="CR1494" t="s">
        <v>116</v>
      </c>
      <c r="CS1494">
        <v>396</v>
      </c>
      <c r="CT1494">
        <v>2</v>
      </c>
      <c r="CU1494" t="s">
        <v>939</v>
      </c>
      <c r="CV1494" t="s">
        <v>940</v>
      </c>
      <c r="CY1494">
        <v>5383434</v>
      </c>
      <c r="CZ1494" t="s">
        <v>119</v>
      </c>
    </row>
    <row r="1495" spans="1:104" x14ac:dyDescent="0.25">
      <c r="A1495" t="str">
        <f>"14:15:17.820"</f>
        <v>14:15:17.820</v>
      </c>
      <c r="B1495" t="s">
        <v>108</v>
      </c>
      <c r="C1495" t="str">
        <f t="shared" si="70"/>
        <v>ffdfd3c0</v>
      </c>
      <c r="D1495" t="s">
        <v>109</v>
      </c>
      <c r="E1495">
        <v>4</v>
      </c>
      <c r="F1495">
        <v>1004</v>
      </c>
      <c r="G1495" t="s">
        <v>110</v>
      </c>
      <c r="J1495" t="s">
        <v>111</v>
      </c>
      <c r="K1495">
        <v>0</v>
      </c>
      <c r="L1495">
        <v>3</v>
      </c>
      <c r="M1495">
        <v>0</v>
      </c>
      <c r="N1495">
        <v>2</v>
      </c>
      <c r="O1495">
        <v>1</v>
      </c>
      <c r="P1495">
        <v>0</v>
      </c>
      <c r="Q1495">
        <v>0</v>
      </c>
      <c r="R1495" t="s">
        <v>112</v>
      </c>
      <c r="S1495" t="str">
        <f>"14:15:17.617"</f>
        <v>14:15:17.617</v>
      </c>
      <c r="T1495" t="str">
        <f>"14:15:17.117"</f>
        <v>14:15:17.117</v>
      </c>
      <c r="U1495" t="str">
        <f t="shared" si="69"/>
        <v>ad5732</v>
      </c>
      <c r="V1495">
        <v>0</v>
      </c>
      <c r="W1495">
        <v>0</v>
      </c>
      <c r="X1495">
        <v>1</v>
      </c>
      <c r="Z1495">
        <v>0</v>
      </c>
      <c r="AA1495">
        <v>9</v>
      </c>
      <c r="AB1495">
        <v>3</v>
      </c>
      <c r="AC1495">
        <v>0</v>
      </c>
      <c r="AD1495">
        <v>10</v>
      </c>
      <c r="AE1495">
        <v>0</v>
      </c>
      <c r="AF1495">
        <v>3</v>
      </c>
      <c r="AG1495">
        <v>2</v>
      </c>
      <c r="AH1495">
        <v>0</v>
      </c>
      <c r="AI1495" t="s">
        <v>3093</v>
      </c>
      <c r="AJ1495">
        <v>39.638070999999997</v>
      </c>
      <c r="AK1495" t="s">
        <v>3094</v>
      </c>
      <c r="AL1495">
        <v>-76.368219999999994</v>
      </c>
      <c r="AM1495">
        <v>100</v>
      </c>
      <c r="AN1495">
        <v>7100</v>
      </c>
      <c r="AO1495" t="s">
        <v>115</v>
      </c>
      <c r="AP1495">
        <v>198</v>
      </c>
      <c r="AQ1495">
        <v>103</v>
      </c>
      <c r="AR1495">
        <v>-1152</v>
      </c>
      <c r="AZ1495">
        <v>3614</v>
      </c>
      <c r="BA1495">
        <v>1</v>
      </c>
      <c r="BB1495" t="str">
        <f t="shared" si="71"/>
        <v xml:space="preserve">N959MJ  </v>
      </c>
      <c r="BC1495">
        <v>1</v>
      </c>
      <c r="BE1495">
        <v>0</v>
      </c>
      <c r="BF1495">
        <v>0</v>
      </c>
      <c r="BG1495">
        <v>0</v>
      </c>
      <c r="BH1495">
        <v>7300</v>
      </c>
      <c r="BI1495">
        <v>200</v>
      </c>
      <c r="BJ1495">
        <v>1</v>
      </c>
      <c r="BK1495">
        <v>1</v>
      </c>
      <c r="BL1495">
        <v>1</v>
      </c>
      <c r="BM1495">
        <v>0</v>
      </c>
      <c r="BP1495">
        <v>0</v>
      </c>
      <c r="BQ1495">
        <v>0</v>
      </c>
      <c r="BX1495" t="str">
        <f>"14:15:17.625"</f>
        <v>14:15:17.625</v>
      </c>
      <c r="BY1495" t="str">
        <f>"622182666"</f>
        <v>622182666</v>
      </c>
      <c r="CL1495">
        <v>0</v>
      </c>
      <c r="CM1495">
        <v>2</v>
      </c>
      <c r="CN1495">
        <v>0</v>
      </c>
      <c r="CO1495">
        <v>2</v>
      </c>
      <c r="CP1495">
        <v>0</v>
      </c>
      <c r="CQ1495">
        <v>6</v>
      </c>
      <c r="CR1495" t="s">
        <v>116</v>
      </c>
      <c r="CS1495">
        <v>396</v>
      </c>
      <c r="CT1495">
        <v>1</v>
      </c>
      <c r="CU1495" t="s">
        <v>939</v>
      </c>
      <c r="CV1495" t="s">
        <v>940</v>
      </c>
      <c r="CY1495">
        <v>8973243</v>
      </c>
      <c r="CZ1495" t="s">
        <v>119</v>
      </c>
    </row>
    <row r="1496" spans="1:104" x14ac:dyDescent="0.25">
      <c r="A1496" t="str">
        <f>"14:15:18.633"</f>
        <v>14:15:18.633</v>
      </c>
      <c r="B1496" t="s">
        <v>108</v>
      </c>
      <c r="C1496" t="str">
        <f t="shared" si="70"/>
        <v>ffdfd3c0</v>
      </c>
      <c r="D1496" t="s">
        <v>109</v>
      </c>
      <c r="E1496">
        <v>4</v>
      </c>
      <c r="F1496">
        <v>1004</v>
      </c>
      <c r="G1496" t="s">
        <v>110</v>
      </c>
      <c r="J1496" t="s">
        <v>111</v>
      </c>
      <c r="K1496">
        <v>0</v>
      </c>
      <c r="L1496">
        <v>3</v>
      </c>
      <c r="M1496">
        <v>0</v>
      </c>
      <c r="N1496">
        <v>2</v>
      </c>
      <c r="O1496">
        <v>1</v>
      </c>
      <c r="P1496">
        <v>0</v>
      </c>
      <c r="Q1496">
        <v>0</v>
      </c>
      <c r="R1496" t="s">
        <v>112</v>
      </c>
      <c r="S1496" t="str">
        <f>"14:15:18.430"</f>
        <v>14:15:18.430</v>
      </c>
      <c r="T1496" t="str">
        <f>"14:15:17.633"</f>
        <v>14:15:17.633</v>
      </c>
      <c r="U1496" t="str">
        <f t="shared" si="69"/>
        <v>ad5732</v>
      </c>
      <c r="V1496">
        <v>0</v>
      </c>
      <c r="W1496">
        <v>0</v>
      </c>
      <c r="X1496">
        <v>1</v>
      </c>
      <c r="Z1496">
        <v>0</v>
      </c>
      <c r="AA1496">
        <v>9</v>
      </c>
      <c r="AB1496">
        <v>3</v>
      </c>
      <c r="AC1496">
        <v>0</v>
      </c>
      <c r="AD1496">
        <v>10</v>
      </c>
      <c r="AE1496">
        <v>0</v>
      </c>
      <c r="AF1496">
        <v>3</v>
      </c>
      <c r="AG1496">
        <v>2</v>
      </c>
      <c r="AH1496">
        <v>0</v>
      </c>
      <c r="AI1496" t="s">
        <v>3095</v>
      </c>
      <c r="AJ1496">
        <v>39.638435999999999</v>
      </c>
      <c r="AK1496" t="s">
        <v>3096</v>
      </c>
      <c r="AL1496">
        <v>-76.367318999999995</v>
      </c>
      <c r="AM1496">
        <v>100</v>
      </c>
      <c r="AN1496">
        <v>7000</v>
      </c>
      <c r="AO1496" t="s">
        <v>115</v>
      </c>
      <c r="AP1496">
        <v>198</v>
      </c>
      <c r="AQ1496">
        <v>103</v>
      </c>
      <c r="AR1496">
        <v>-1152</v>
      </c>
      <c r="AZ1496">
        <v>3614</v>
      </c>
      <c r="BA1496">
        <v>1</v>
      </c>
      <c r="BB1496" t="str">
        <f t="shared" si="71"/>
        <v xml:space="preserve">N959MJ  </v>
      </c>
      <c r="BC1496">
        <v>1</v>
      </c>
      <c r="BE1496">
        <v>0</v>
      </c>
      <c r="BF1496">
        <v>0</v>
      </c>
      <c r="BG1496">
        <v>0</v>
      </c>
      <c r="BH1496">
        <v>7300</v>
      </c>
      <c r="BI1496">
        <v>300</v>
      </c>
      <c r="BJ1496">
        <v>1</v>
      </c>
      <c r="BK1496">
        <v>1</v>
      </c>
      <c r="BL1496">
        <v>1</v>
      </c>
      <c r="BM1496">
        <v>0</v>
      </c>
      <c r="BP1496">
        <v>0</v>
      </c>
      <c r="BQ1496">
        <v>0</v>
      </c>
      <c r="BX1496" t="str">
        <f>"14:15:18.430"</f>
        <v>14:15:18.430</v>
      </c>
      <c r="BY1496" t="str">
        <f>"433204275"</f>
        <v>433204275</v>
      </c>
      <c r="CL1496">
        <v>0</v>
      </c>
      <c r="CM1496">
        <v>2</v>
      </c>
      <c r="CN1496">
        <v>0</v>
      </c>
      <c r="CO1496">
        <v>2</v>
      </c>
      <c r="CP1496">
        <v>0</v>
      </c>
      <c r="CQ1496">
        <v>6</v>
      </c>
      <c r="CR1496" t="s">
        <v>116</v>
      </c>
      <c r="CS1496">
        <v>396</v>
      </c>
      <c r="CT1496">
        <v>1</v>
      </c>
      <c r="CU1496" t="s">
        <v>939</v>
      </c>
      <c r="CV1496" t="s">
        <v>940</v>
      </c>
      <c r="CY1496">
        <v>8974735</v>
      </c>
      <c r="CZ1496" t="s">
        <v>119</v>
      </c>
    </row>
    <row r="1497" spans="1:104" x14ac:dyDescent="0.25">
      <c r="A1497" t="str">
        <f>"14:15:19.586"</f>
        <v>14:15:19.586</v>
      </c>
      <c r="B1497" t="s">
        <v>108</v>
      </c>
      <c r="C1497" t="str">
        <f t="shared" si="70"/>
        <v>ffdfd3c0</v>
      </c>
      <c r="D1497" t="s">
        <v>109</v>
      </c>
      <c r="E1497">
        <v>4</v>
      </c>
      <c r="F1497">
        <v>1004</v>
      </c>
      <c r="G1497" t="s">
        <v>110</v>
      </c>
      <c r="J1497" t="s">
        <v>111</v>
      </c>
      <c r="K1497">
        <v>0</v>
      </c>
      <c r="L1497">
        <v>3</v>
      </c>
      <c r="M1497">
        <v>0</v>
      </c>
      <c r="N1497">
        <v>2</v>
      </c>
      <c r="O1497">
        <v>1</v>
      </c>
      <c r="P1497">
        <v>0</v>
      </c>
      <c r="Q1497">
        <v>0</v>
      </c>
      <c r="R1497" t="s">
        <v>112</v>
      </c>
      <c r="S1497" t="str">
        <f>"14:15:19.391"</f>
        <v>14:15:19.391</v>
      </c>
      <c r="T1497" t="str">
        <f>"14:15:18.992"</f>
        <v>14:15:18.992</v>
      </c>
      <c r="U1497" t="str">
        <f t="shared" si="69"/>
        <v>ad5732</v>
      </c>
      <c r="V1497">
        <v>0</v>
      </c>
      <c r="W1497">
        <v>0</v>
      </c>
      <c r="X1497">
        <v>1</v>
      </c>
      <c r="Z1497">
        <v>0</v>
      </c>
      <c r="AA1497">
        <v>9</v>
      </c>
      <c r="AB1497">
        <v>3</v>
      </c>
      <c r="AC1497">
        <v>0</v>
      </c>
      <c r="AD1497">
        <v>10</v>
      </c>
      <c r="AE1497">
        <v>0</v>
      </c>
      <c r="AF1497">
        <v>3</v>
      </c>
      <c r="AG1497">
        <v>2</v>
      </c>
      <c r="AH1497">
        <v>0</v>
      </c>
      <c r="AI1497" t="s">
        <v>3097</v>
      </c>
      <c r="AJ1497">
        <v>39.638950999999999</v>
      </c>
      <c r="AK1497" t="s">
        <v>3098</v>
      </c>
      <c r="AL1497">
        <v>-76.366095999999999</v>
      </c>
      <c r="AM1497">
        <v>100</v>
      </c>
      <c r="AN1497">
        <v>7000</v>
      </c>
      <c r="AO1497" t="s">
        <v>115</v>
      </c>
      <c r="AP1497">
        <v>198</v>
      </c>
      <c r="AQ1497">
        <v>103</v>
      </c>
      <c r="AR1497">
        <v>-1152</v>
      </c>
      <c r="AZ1497">
        <v>3614</v>
      </c>
      <c r="BA1497">
        <v>1</v>
      </c>
      <c r="BB1497" t="str">
        <f t="shared" si="71"/>
        <v xml:space="preserve">N959MJ  </v>
      </c>
      <c r="BC1497">
        <v>1</v>
      </c>
      <c r="BE1497">
        <v>0</v>
      </c>
      <c r="BF1497">
        <v>0</v>
      </c>
      <c r="BG1497">
        <v>0</v>
      </c>
      <c r="BH1497">
        <v>7275</v>
      </c>
      <c r="BI1497">
        <v>275</v>
      </c>
      <c r="BJ1497">
        <v>1</v>
      </c>
      <c r="BK1497">
        <v>1</v>
      </c>
      <c r="BL1497">
        <v>1</v>
      </c>
      <c r="BM1497">
        <v>0</v>
      </c>
      <c r="BP1497">
        <v>0</v>
      </c>
      <c r="BQ1497">
        <v>0</v>
      </c>
      <c r="BX1497" t="str">
        <f>"14:15:19.398"</f>
        <v>14:15:19.398</v>
      </c>
      <c r="BY1497" t="str">
        <f>"396599645"</f>
        <v>396599645</v>
      </c>
      <c r="CL1497">
        <v>0</v>
      </c>
      <c r="CM1497">
        <v>2</v>
      </c>
      <c r="CN1497">
        <v>0</v>
      </c>
      <c r="CO1497">
        <v>2</v>
      </c>
      <c r="CP1497">
        <v>0</v>
      </c>
      <c r="CQ1497">
        <v>6</v>
      </c>
      <c r="CR1497" t="s">
        <v>116</v>
      </c>
      <c r="CS1497">
        <v>396</v>
      </c>
      <c r="CT1497">
        <v>1</v>
      </c>
      <c r="CU1497" t="s">
        <v>939</v>
      </c>
      <c r="CV1497" t="s">
        <v>940</v>
      </c>
      <c r="CY1497">
        <v>8976464</v>
      </c>
      <c r="CZ1497" t="s">
        <v>119</v>
      </c>
    </row>
    <row r="1498" spans="1:104" x14ac:dyDescent="0.25">
      <c r="A1498" t="str">
        <f>"14:15:20.695"</f>
        <v>14:15:20.695</v>
      </c>
      <c r="B1498" t="s">
        <v>108</v>
      </c>
      <c r="C1498" t="str">
        <f t="shared" si="70"/>
        <v>ffdfd3c0</v>
      </c>
      <c r="D1498" t="s">
        <v>109</v>
      </c>
      <c r="E1498">
        <v>4</v>
      </c>
      <c r="F1498">
        <v>1004</v>
      </c>
      <c r="G1498" t="s">
        <v>110</v>
      </c>
      <c r="J1498" t="s">
        <v>111</v>
      </c>
      <c r="K1498">
        <v>0</v>
      </c>
      <c r="L1498">
        <v>3</v>
      </c>
      <c r="M1498">
        <v>0</v>
      </c>
      <c r="N1498">
        <v>2</v>
      </c>
      <c r="O1498">
        <v>1</v>
      </c>
      <c r="P1498">
        <v>0</v>
      </c>
      <c r="Q1498">
        <v>0</v>
      </c>
      <c r="R1498" t="s">
        <v>112</v>
      </c>
      <c r="S1498" t="str">
        <f>"14:15:20.492"</f>
        <v>14:15:20.492</v>
      </c>
      <c r="T1498" t="str">
        <f>"14:15:19.992"</f>
        <v>14:15:19.992</v>
      </c>
      <c r="U1498" t="str">
        <f t="shared" si="69"/>
        <v>ad5732</v>
      </c>
      <c r="V1498">
        <v>0</v>
      </c>
      <c r="W1498">
        <v>0</v>
      </c>
      <c r="X1498">
        <v>1</v>
      </c>
      <c r="Z1498">
        <v>0</v>
      </c>
      <c r="AA1498">
        <v>9</v>
      </c>
      <c r="AB1498">
        <v>3</v>
      </c>
      <c r="AC1498">
        <v>0</v>
      </c>
      <c r="AD1498">
        <v>10</v>
      </c>
      <c r="AE1498">
        <v>0</v>
      </c>
      <c r="AF1498">
        <v>3</v>
      </c>
      <c r="AG1498">
        <v>2</v>
      </c>
      <c r="AH1498">
        <v>0</v>
      </c>
      <c r="AI1498" t="s">
        <v>3099</v>
      </c>
      <c r="AJ1498">
        <v>39.639443999999997</v>
      </c>
      <c r="AK1498" t="s">
        <v>3100</v>
      </c>
      <c r="AL1498">
        <v>-76.364829999999998</v>
      </c>
      <c r="AM1498">
        <v>100</v>
      </c>
      <c r="AN1498">
        <v>7000</v>
      </c>
      <c r="AO1498" t="s">
        <v>115</v>
      </c>
      <c r="AP1498">
        <v>198</v>
      </c>
      <c r="AQ1498">
        <v>103</v>
      </c>
      <c r="AR1498">
        <v>-1152</v>
      </c>
      <c r="AZ1498">
        <v>3614</v>
      </c>
      <c r="BA1498">
        <v>1</v>
      </c>
      <c r="BB1498" t="str">
        <f t="shared" si="71"/>
        <v xml:space="preserve">N959MJ  </v>
      </c>
      <c r="BC1498">
        <v>1</v>
      </c>
      <c r="BE1498">
        <v>0</v>
      </c>
      <c r="BF1498">
        <v>0</v>
      </c>
      <c r="BG1498">
        <v>0</v>
      </c>
      <c r="BH1498">
        <v>7250</v>
      </c>
      <c r="BI1498">
        <v>250</v>
      </c>
      <c r="BJ1498">
        <v>1</v>
      </c>
      <c r="BK1498">
        <v>1</v>
      </c>
      <c r="BL1498">
        <v>1</v>
      </c>
      <c r="BM1498">
        <v>0</v>
      </c>
      <c r="BP1498">
        <v>0</v>
      </c>
      <c r="BQ1498">
        <v>0</v>
      </c>
      <c r="BX1498" t="str">
        <f>"14:15:20.500"</f>
        <v>14:15:20.500</v>
      </c>
      <c r="BY1498" t="str">
        <f>"499261416"</f>
        <v>499261416</v>
      </c>
      <c r="CL1498">
        <v>0</v>
      </c>
      <c r="CM1498">
        <v>2</v>
      </c>
      <c r="CN1498">
        <v>0</v>
      </c>
      <c r="CO1498">
        <v>2</v>
      </c>
      <c r="CP1498">
        <v>0</v>
      </c>
      <c r="CQ1498">
        <v>6</v>
      </c>
      <c r="CR1498" t="s">
        <v>116</v>
      </c>
      <c r="CS1498">
        <v>396</v>
      </c>
      <c r="CT1498">
        <v>2</v>
      </c>
      <c r="CU1498" t="s">
        <v>939</v>
      </c>
      <c r="CV1498" t="s">
        <v>940</v>
      </c>
      <c r="CY1498">
        <v>5390360</v>
      </c>
      <c r="CZ1498" t="s">
        <v>119</v>
      </c>
    </row>
    <row r="1499" spans="1:104" x14ac:dyDescent="0.25">
      <c r="A1499" t="str">
        <f>"14:15:21.555"</f>
        <v>14:15:21.555</v>
      </c>
      <c r="B1499" t="s">
        <v>108</v>
      </c>
      <c r="C1499" t="str">
        <f t="shared" si="70"/>
        <v>ffdfd3c0</v>
      </c>
      <c r="D1499" t="s">
        <v>109</v>
      </c>
      <c r="E1499">
        <v>4</v>
      </c>
      <c r="F1499">
        <v>1004</v>
      </c>
      <c r="G1499" t="s">
        <v>110</v>
      </c>
      <c r="J1499" t="s">
        <v>111</v>
      </c>
      <c r="K1499">
        <v>0</v>
      </c>
      <c r="L1499">
        <v>3</v>
      </c>
      <c r="M1499">
        <v>0</v>
      </c>
      <c r="N1499">
        <v>2</v>
      </c>
      <c r="O1499">
        <v>1</v>
      </c>
      <c r="P1499">
        <v>0</v>
      </c>
      <c r="Q1499">
        <v>0</v>
      </c>
      <c r="R1499" t="s">
        <v>112</v>
      </c>
      <c r="S1499" t="str">
        <f>"14:15:21.375"</f>
        <v>14:15:21.375</v>
      </c>
      <c r="T1499" t="str">
        <f>"14:15:20.977"</f>
        <v>14:15:20.977</v>
      </c>
      <c r="U1499" t="str">
        <f t="shared" si="69"/>
        <v>ad5732</v>
      </c>
      <c r="V1499">
        <v>0</v>
      </c>
      <c r="W1499">
        <v>0</v>
      </c>
      <c r="X1499">
        <v>1</v>
      </c>
      <c r="Z1499">
        <v>0</v>
      </c>
      <c r="AA1499">
        <v>9</v>
      </c>
      <c r="AB1499">
        <v>3</v>
      </c>
      <c r="AC1499">
        <v>0</v>
      </c>
      <c r="AD1499">
        <v>10</v>
      </c>
      <c r="AE1499">
        <v>0</v>
      </c>
      <c r="AF1499">
        <v>3</v>
      </c>
      <c r="AG1499">
        <v>2</v>
      </c>
      <c r="AH1499">
        <v>0</v>
      </c>
      <c r="AI1499" t="s">
        <v>3101</v>
      </c>
      <c r="AJ1499">
        <v>39.639809</v>
      </c>
      <c r="AK1499" t="s">
        <v>3102</v>
      </c>
      <c r="AL1499">
        <v>-76.363884999999996</v>
      </c>
      <c r="AM1499">
        <v>100</v>
      </c>
      <c r="AN1499">
        <v>7000</v>
      </c>
      <c r="AO1499" t="s">
        <v>115</v>
      </c>
      <c r="AP1499">
        <v>198</v>
      </c>
      <c r="AQ1499">
        <v>102</v>
      </c>
      <c r="AR1499">
        <v>-1216</v>
      </c>
      <c r="AZ1499">
        <v>3614</v>
      </c>
      <c r="BA1499">
        <v>1</v>
      </c>
      <c r="BB1499" t="str">
        <f t="shared" si="71"/>
        <v xml:space="preserve">N959MJ  </v>
      </c>
      <c r="BC1499">
        <v>1</v>
      </c>
      <c r="BE1499">
        <v>0</v>
      </c>
      <c r="BF1499">
        <v>0</v>
      </c>
      <c r="BG1499">
        <v>0</v>
      </c>
      <c r="BH1499">
        <v>7225</v>
      </c>
      <c r="BI1499">
        <v>225</v>
      </c>
      <c r="BJ1499">
        <v>1</v>
      </c>
      <c r="BK1499">
        <v>1</v>
      </c>
      <c r="BL1499">
        <v>1</v>
      </c>
      <c r="BM1499">
        <v>0</v>
      </c>
      <c r="BP1499">
        <v>0</v>
      </c>
      <c r="BQ1499">
        <v>0</v>
      </c>
      <c r="BX1499" t="str">
        <f>"14:15:21.383"</f>
        <v>14:15:21.383</v>
      </c>
      <c r="BY1499" t="str">
        <f>"380735371"</f>
        <v>380735371</v>
      </c>
      <c r="CL1499">
        <v>0</v>
      </c>
      <c r="CM1499">
        <v>2</v>
      </c>
      <c r="CN1499">
        <v>0</v>
      </c>
      <c r="CO1499">
        <v>2</v>
      </c>
      <c r="CP1499">
        <v>0</v>
      </c>
      <c r="CQ1499">
        <v>6</v>
      </c>
      <c r="CR1499" t="s">
        <v>116</v>
      </c>
      <c r="CS1499">
        <v>396</v>
      </c>
      <c r="CT1499">
        <v>2</v>
      </c>
      <c r="CU1499" t="s">
        <v>939</v>
      </c>
      <c r="CV1499" t="s">
        <v>940</v>
      </c>
      <c r="CY1499">
        <v>5391861</v>
      </c>
      <c r="CZ1499" t="s">
        <v>119</v>
      </c>
    </row>
    <row r="1500" spans="1:104" x14ac:dyDescent="0.25">
      <c r="A1500" t="str">
        <f>"14:15:22.469"</f>
        <v>14:15:22.469</v>
      </c>
      <c r="B1500" t="s">
        <v>108</v>
      </c>
      <c r="C1500" t="str">
        <f t="shared" si="70"/>
        <v>ffdfd3c0</v>
      </c>
      <c r="D1500" t="s">
        <v>109</v>
      </c>
      <c r="E1500">
        <v>4</v>
      </c>
      <c r="F1500">
        <v>1004</v>
      </c>
      <c r="G1500" t="s">
        <v>110</v>
      </c>
      <c r="J1500" t="s">
        <v>111</v>
      </c>
      <c r="K1500">
        <v>0</v>
      </c>
      <c r="L1500">
        <v>3</v>
      </c>
      <c r="M1500">
        <v>0</v>
      </c>
      <c r="N1500">
        <v>2</v>
      </c>
      <c r="O1500">
        <v>1</v>
      </c>
      <c r="P1500">
        <v>0</v>
      </c>
      <c r="Q1500">
        <v>0</v>
      </c>
      <c r="R1500" t="s">
        <v>112</v>
      </c>
      <c r="S1500" t="str">
        <f>"14:15:22.281"</f>
        <v>14:15:22.281</v>
      </c>
      <c r="T1500" t="str">
        <f>"14:15:21.883"</f>
        <v>14:15:21.883</v>
      </c>
      <c r="U1500" t="str">
        <f t="shared" si="69"/>
        <v>ad5732</v>
      </c>
      <c r="V1500">
        <v>0</v>
      </c>
      <c r="W1500">
        <v>0</v>
      </c>
      <c r="X1500">
        <v>1</v>
      </c>
      <c r="Z1500">
        <v>0</v>
      </c>
      <c r="AA1500">
        <v>9</v>
      </c>
      <c r="AB1500">
        <v>3</v>
      </c>
      <c r="AC1500">
        <v>0</v>
      </c>
      <c r="AD1500">
        <v>10</v>
      </c>
      <c r="AE1500">
        <v>0</v>
      </c>
      <c r="AF1500">
        <v>3</v>
      </c>
      <c r="AG1500">
        <v>2</v>
      </c>
      <c r="AH1500">
        <v>0</v>
      </c>
      <c r="AI1500" t="s">
        <v>3103</v>
      </c>
      <c r="AJ1500">
        <v>39.640259999999998</v>
      </c>
      <c r="AK1500" t="s">
        <v>3104</v>
      </c>
      <c r="AL1500">
        <v>-76.362791000000001</v>
      </c>
      <c r="AM1500">
        <v>100</v>
      </c>
      <c r="AN1500">
        <v>7000</v>
      </c>
      <c r="AO1500" t="s">
        <v>115</v>
      </c>
      <c r="AP1500">
        <v>198</v>
      </c>
      <c r="AQ1500">
        <v>102</v>
      </c>
      <c r="AR1500">
        <v>-1152</v>
      </c>
      <c r="AZ1500">
        <v>3614</v>
      </c>
      <c r="BA1500">
        <v>1</v>
      </c>
      <c r="BB1500" t="str">
        <f t="shared" si="71"/>
        <v xml:space="preserve">N959MJ  </v>
      </c>
      <c r="BC1500">
        <v>1</v>
      </c>
      <c r="BE1500">
        <v>0</v>
      </c>
      <c r="BF1500">
        <v>0</v>
      </c>
      <c r="BG1500">
        <v>0</v>
      </c>
      <c r="BH1500">
        <v>7200</v>
      </c>
      <c r="BI1500">
        <v>200</v>
      </c>
      <c r="BJ1500">
        <v>1</v>
      </c>
      <c r="BK1500">
        <v>1</v>
      </c>
      <c r="BL1500">
        <v>1</v>
      </c>
      <c r="BM1500">
        <v>0</v>
      </c>
      <c r="BP1500">
        <v>0</v>
      </c>
      <c r="BQ1500">
        <v>0</v>
      </c>
      <c r="BX1500" t="str">
        <f>"14:15:22.289"</f>
        <v>14:15:22.289</v>
      </c>
      <c r="BY1500" t="str">
        <f>"288424306"</f>
        <v>288424306</v>
      </c>
      <c r="CL1500">
        <v>0</v>
      </c>
      <c r="CM1500">
        <v>2</v>
      </c>
      <c r="CN1500">
        <v>0</v>
      </c>
      <c r="CO1500">
        <v>2</v>
      </c>
      <c r="CP1500">
        <v>0</v>
      </c>
      <c r="CQ1500">
        <v>6</v>
      </c>
      <c r="CR1500" t="s">
        <v>116</v>
      </c>
      <c r="CS1500">
        <v>396</v>
      </c>
      <c r="CT1500">
        <v>2</v>
      </c>
      <c r="CU1500" t="s">
        <v>939</v>
      </c>
      <c r="CV1500" t="s">
        <v>940</v>
      </c>
      <c r="CY1500">
        <v>5393398</v>
      </c>
      <c r="CZ1500" t="s">
        <v>119</v>
      </c>
    </row>
    <row r="1501" spans="1:104" x14ac:dyDescent="0.25">
      <c r="A1501" t="str">
        <f>"14:15:23.375"</f>
        <v>14:15:23.375</v>
      </c>
      <c r="B1501" t="s">
        <v>108</v>
      </c>
      <c r="C1501" t="str">
        <f t="shared" si="70"/>
        <v>ffdfd3c0</v>
      </c>
      <c r="D1501" t="s">
        <v>109</v>
      </c>
      <c r="E1501">
        <v>4</v>
      </c>
      <c r="F1501">
        <v>1004</v>
      </c>
      <c r="G1501" t="s">
        <v>110</v>
      </c>
      <c r="J1501" t="s">
        <v>111</v>
      </c>
      <c r="K1501">
        <v>0</v>
      </c>
      <c r="L1501">
        <v>3</v>
      </c>
      <c r="M1501">
        <v>0</v>
      </c>
      <c r="N1501">
        <v>2</v>
      </c>
      <c r="O1501">
        <v>1</v>
      </c>
      <c r="P1501">
        <v>0</v>
      </c>
      <c r="Q1501">
        <v>0</v>
      </c>
      <c r="R1501" t="s">
        <v>112</v>
      </c>
      <c r="S1501" t="str">
        <f>"14:15:23.195"</f>
        <v>14:15:23.195</v>
      </c>
      <c r="T1501" t="str">
        <f>"14:15:22.797"</f>
        <v>14:15:22.797</v>
      </c>
      <c r="U1501" t="str">
        <f t="shared" si="69"/>
        <v>ad5732</v>
      </c>
      <c r="V1501">
        <v>0</v>
      </c>
      <c r="W1501">
        <v>0</v>
      </c>
      <c r="X1501">
        <v>1</v>
      </c>
      <c r="Z1501">
        <v>0</v>
      </c>
      <c r="AA1501">
        <v>9</v>
      </c>
      <c r="AB1501">
        <v>3</v>
      </c>
      <c r="AC1501">
        <v>0</v>
      </c>
      <c r="AD1501">
        <v>10</v>
      </c>
      <c r="AE1501">
        <v>0</v>
      </c>
      <c r="AF1501">
        <v>3</v>
      </c>
      <c r="AG1501">
        <v>2</v>
      </c>
      <c r="AH1501">
        <v>0</v>
      </c>
      <c r="AI1501" t="s">
        <v>3105</v>
      </c>
      <c r="AJ1501">
        <v>39.640709999999999</v>
      </c>
      <c r="AK1501" t="s">
        <v>3106</v>
      </c>
      <c r="AL1501">
        <v>-76.361632</v>
      </c>
      <c r="AM1501">
        <v>100</v>
      </c>
      <c r="AN1501">
        <v>7000</v>
      </c>
      <c r="AO1501" t="s">
        <v>115</v>
      </c>
      <c r="AP1501">
        <v>198</v>
      </c>
      <c r="AQ1501">
        <v>102</v>
      </c>
      <c r="AR1501">
        <v>-1216</v>
      </c>
      <c r="AZ1501">
        <v>3614</v>
      </c>
      <c r="BA1501">
        <v>1</v>
      </c>
      <c r="BB1501" t="str">
        <f t="shared" si="71"/>
        <v xml:space="preserve">N959MJ  </v>
      </c>
      <c r="BC1501">
        <v>1</v>
      </c>
      <c r="BE1501">
        <v>0</v>
      </c>
      <c r="BF1501">
        <v>0</v>
      </c>
      <c r="BG1501">
        <v>0</v>
      </c>
      <c r="BH1501">
        <v>7200</v>
      </c>
      <c r="BI1501">
        <v>200</v>
      </c>
      <c r="BJ1501">
        <v>1</v>
      </c>
      <c r="BK1501">
        <v>1</v>
      </c>
      <c r="BL1501">
        <v>1</v>
      </c>
      <c r="BM1501">
        <v>0</v>
      </c>
      <c r="BP1501">
        <v>0</v>
      </c>
      <c r="BQ1501">
        <v>0</v>
      </c>
      <c r="BX1501" t="str">
        <f>"14:15:23.203"</f>
        <v>14:15:23.203</v>
      </c>
      <c r="BY1501" t="str">
        <f>"199389877"</f>
        <v>199389877</v>
      </c>
      <c r="CL1501">
        <v>0</v>
      </c>
      <c r="CM1501">
        <v>2</v>
      </c>
      <c r="CN1501">
        <v>0</v>
      </c>
      <c r="CO1501">
        <v>2</v>
      </c>
      <c r="CP1501">
        <v>0</v>
      </c>
      <c r="CQ1501">
        <v>6</v>
      </c>
      <c r="CR1501" t="s">
        <v>116</v>
      </c>
      <c r="CS1501">
        <v>396</v>
      </c>
      <c r="CT1501">
        <v>2</v>
      </c>
      <c r="CU1501" t="s">
        <v>939</v>
      </c>
      <c r="CV1501" t="s">
        <v>940</v>
      </c>
      <c r="CY1501">
        <v>5395012</v>
      </c>
      <c r="CZ1501" t="s">
        <v>119</v>
      </c>
    </row>
    <row r="1502" spans="1:104" x14ac:dyDescent="0.25">
      <c r="A1502" t="str">
        <f>"14:15:24.484"</f>
        <v>14:15:24.484</v>
      </c>
      <c r="B1502" t="s">
        <v>108</v>
      </c>
      <c r="C1502" t="str">
        <f t="shared" si="70"/>
        <v>ffdfd3c0</v>
      </c>
      <c r="D1502" t="s">
        <v>109</v>
      </c>
      <c r="E1502">
        <v>4</v>
      </c>
      <c r="F1502">
        <v>1004</v>
      </c>
      <c r="G1502" t="s">
        <v>110</v>
      </c>
      <c r="J1502" t="s">
        <v>111</v>
      </c>
      <c r="K1502">
        <v>0</v>
      </c>
      <c r="L1502">
        <v>3</v>
      </c>
      <c r="M1502">
        <v>0</v>
      </c>
      <c r="N1502">
        <v>2</v>
      </c>
      <c r="O1502">
        <v>1</v>
      </c>
      <c r="P1502">
        <v>0</v>
      </c>
      <c r="Q1502">
        <v>0</v>
      </c>
      <c r="R1502" t="s">
        <v>112</v>
      </c>
      <c r="S1502" t="str">
        <f>"14:15:24.273"</f>
        <v>14:15:24.273</v>
      </c>
      <c r="T1502" t="str">
        <f>"14:15:23.773"</f>
        <v>14:15:23.773</v>
      </c>
      <c r="U1502" t="str">
        <f t="shared" si="69"/>
        <v>ad5732</v>
      </c>
      <c r="V1502">
        <v>0</v>
      </c>
      <c r="W1502">
        <v>0</v>
      </c>
      <c r="X1502">
        <v>1</v>
      </c>
      <c r="Z1502">
        <v>0</v>
      </c>
      <c r="AA1502">
        <v>9</v>
      </c>
      <c r="AB1502">
        <v>3</v>
      </c>
      <c r="AC1502">
        <v>0</v>
      </c>
      <c r="AD1502">
        <v>10</v>
      </c>
      <c r="AE1502">
        <v>0</v>
      </c>
      <c r="AF1502">
        <v>3</v>
      </c>
      <c r="AG1502">
        <v>2</v>
      </c>
      <c r="AH1502">
        <v>0</v>
      </c>
      <c r="AI1502" t="s">
        <v>3107</v>
      </c>
      <c r="AJ1502">
        <v>39.641182000000001</v>
      </c>
      <c r="AK1502" t="s">
        <v>3108</v>
      </c>
      <c r="AL1502">
        <v>-76.360409000000004</v>
      </c>
      <c r="AM1502">
        <v>100</v>
      </c>
      <c r="AN1502">
        <v>7000</v>
      </c>
      <c r="AO1502" t="s">
        <v>115</v>
      </c>
      <c r="AP1502">
        <v>198</v>
      </c>
      <c r="AQ1502">
        <v>102</v>
      </c>
      <c r="AR1502">
        <v>-1216</v>
      </c>
      <c r="AZ1502">
        <v>3614</v>
      </c>
      <c r="BA1502">
        <v>1</v>
      </c>
      <c r="BB1502" t="str">
        <f t="shared" si="71"/>
        <v xml:space="preserve">N959MJ  </v>
      </c>
      <c r="BC1502">
        <v>1</v>
      </c>
      <c r="BE1502">
        <v>0</v>
      </c>
      <c r="BF1502">
        <v>0</v>
      </c>
      <c r="BG1502">
        <v>0</v>
      </c>
      <c r="BH1502">
        <v>7175</v>
      </c>
      <c r="BI1502">
        <v>175</v>
      </c>
      <c r="BJ1502">
        <v>1</v>
      </c>
      <c r="BK1502">
        <v>1</v>
      </c>
      <c r="BL1502">
        <v>1</v>
      </c>
      <c r="BM1502">
        <v>0</v>
      </c>
      <c r="BP1502">
        <v>0</v>
      </c>
      <c r="BQ1502">
        <v>0</v>
      </c>
      <c r="BX1502" t="str">
        <f>"14:15:24.281"</f>
        <v>14:15:24.281</v>
      </c>
      <c r="BY1502" t="str">
        <f>"280752115"</f>
        <v>280752115</v>
      </c>
      <c r="CL1502">
        <v>0</v>
      </c>
      <c r="CM1502">
        <v>2</v>
      </c>
      <c r="CN1502">
        <v>0</v>
      </c>
      <c r="CO1502">
        <v>2</v>
      </c>
      <c r="CP1502">
        <v>0</v>
      </c>
      <c r="CQ1502">
        <v>6</v>
      </c>
      <c r="CR1502" t="s">
        <v>116</v>
      </c>
      <c r="CS1502">
        <v>396</v>
      </c>
      <c r="CT1502">
        <v>1</v>
      </c>
      <c r="CU1502" t="s">
        <v>939</v>
      </c>
      <c r="CV1502" t="s">
        <v>940</v>
      </c>
      <c r="CY1502">
        <v>8985142</v>
      </c>
      <c r="CZ1502" t="s">
        <v>119</v>
      </c>
    </row>
    <row r="1503" spans="1:104" x14ac:dyDescent="0.25">
      <c r="A1503" t="str">
        <f>"14:15:25.500"</f>
        <v>14:15:25.500</v>
      </c>
      <c r="B1503" t="s">
        <v>108</v>
      </c>
      <c r="C1503" t="str">
        <f t="shared" si="70"/>
        <v>ffdfd3c0</v>
      </c>
      <c r="D1503" t="s">
        <v>109</v>
      </c>
      <c r="E1503">
        <v>4</v>
      </c>
      <c r="F1503">
        <v>1004</v>
      </c>
      <c r="G1503" t="s">
        <v>110</v>
      </c>
      <c r="J1503" t="s">
        <v>111</v>
      </c>
      <c r="K1503">
        <v>0</v>
      </c>
      <c r="L1503">
        <v>3</v>
      </c>
      <c r="M1503">
        <v>0</v>
      </c>
      <c r="N1503">
        <v>2</v>
      </c>
      <c r="O1503">
        <v>1</v>
      </c>
      <c r="P1503">
        <v>0</v>
      </c>
      <c r="Q1503">
        <v>0</v>
      </c>
      <c r="R1503" t="s">
        <v>112</v>
      </c>
      <c r="S1503" t="str">
        <f>"14:15:25.297"</f>
        <v>14:15:25.297</v>
      </c>
      <c r="T1503" t="str">
        <f>"14:15:24.797"</f>
        <v>14:15:24.797</v>
      </c>
      <c r="U1503" t="str">
        <f t="shared" si="69"/>
        <v>ad5732</v>
      </c>
      <c r="V1503">
        <v>0</v>
      </c>
      <c r="W1503">
        <v>0</v>
      </c>
      <c r="X1503">
        <v>1</v>
      </c>
      <c r="Z1503">
        <v>0</v>
      </c>
      <c r="AA1503">
        <v>9</v>
      </c>
      <c r="AB1503">
        <v>3</v>
      </c>
      <c r="AC1503">
        <v>0</v>
      </c>
      <c r="AD1503">
        <v>10</v>
      </c>
      <c r="AE1503">
        <v>0</v>
      </c>
      <c r="AF1503">
        <v>3</v>
      </c>
      <c r="AG1503">
        <v>2</v>
      </c>
      <c r="AH1503">
        <v>0</v>
      </c>
      <c r="AI1503" t="s">
        <v>3109</v>
      </c>
      <c r="AJ1503">
        <v>39.641739999999999</v>
      </c>
      <c r="AK1503" t="s">
        <v>3110</v>
      </c>
      <c r="AL1503">
        <v>-76.359099999999998</v>
      </c>
      <c r="AM1503">
        <v>100</v>
      </c>
      <c r="AN1503">
        <v>6900</v>
      </c>
      <c r="AO1503" t="s">
        <v>115</v>
      </c>
      <c r="AP1503">
        <v>198</v>
      </c>
      <c r="AQ1503">
        <v>102</v>
      </c>
      <c r="AR1503">
        <v>-1216</v>
      </c>
      <c r="AZ1503">
        <v>3614</v>
      </c>
      <c r="BA1503">
        <v>1</v>
      </c>
      <c r="BB1503" t="str">
        <f t="shared" si="71"/>
        <v xml:space="preserve">N959MJ  </v>
      </c>
      <c r="BC1503">
        <v>1</v>
      </c>
      <c r="BE1503">
        <v>0</v>
      </c>
      <c r="BF1503">
        <v>0</v>
      </c>
      <c r="BG1503">
        <v>0</v>
      </c>
      <c r="BH1503">
        <v>7150</v>
      </c>
      <c r="BI1503">
        <v>250</v>
      </c>
      <c r="BJ1503">
        <v>1</v>
      </c>
      <c r="BK1503">
        <v>1</v>
      </c>
      <c r="BL1503">
        <v>1</v>
      </c>
      <c r="BM1503">
        <v>0</v>
      </c>
      <c r="BP1503">
        <v>0</v>
      </c>
      <c r="BQ1503">
        <v>0</v>
      </c>
      <c r="BX1503" t="str">
        <f>"14:15:25.305"</f>
        <v>14:15:25.305</v>
      </c>
      <c r="BY1503" t="str">
        <f>"301492463"</f>
        <v>301492463</v>
      </c>
      <c r="CL1503">
        <v>0</v>
      </c>
      <c r="CM1503">
        <v>2</v>
      </c>
      <c r="CN1503">
        <v>0</v>
      </c>
      <c r="CO1503">
        <v>2</v>
      </c>
      <c r="CP1503">
        <v>0</v>
      </c>
      <c r="CQ1503">
        <v>6</v>
      </c>
      <c r="CR1503" t="s">
        <v>116</v>
      </c>
      <c r="CS1503">
        <v>396</v>
      </c>
      <c r="CT1503">
        <v>2</v>
      </c>
      <c r="CU1503" t="s">
        <v>939</v>
      </c>
      <c r="CV1503" t="s">
        <v>940</v>
      </c>
      <c r="CY1503">
        <v>5398667</v>
      </c>
      <c r="CZ1503" t="s">
        <v>119</v>
      </c>
    </row>
    <row r="1504" spans="1:104" x14ac:dyDescent="0.25">
      <c r="A1504" t="str">
        <f>"14:15:26.500"</f>
        <v>14:15:26.500</v>
      </c>
      <c r="B1504" t="s">
        <v>108</v>
      </c>
      <c r="C1504" t="str">
        <f t="shared" si="70"/>
        <v>ffdfd3c0</v>
      </c>
      <c r="D1504" t="s">
        <v>109</v>
      </c>
      <c r="E1504">
        <v>4</v>
      </c>
      <c r="F1504">
        <v>1004</v>
      </c>
      <c r="G1504" t="s">
        <v>110</v>
      </c>
      <c r="J1504" t="s">
        <v>111</v>
      </c>
      <c r="K1504">
        <v>0</v>
      </c>
      <c r="L1504">
        <v>3</v>
      </c>
      <c r="M1504">
        <v>0</v>
      </c>
      <c r="N1504">
        <v>2</v>
      </c>
      <c r="O1504">
        <v>1</v>
      </c>
      <c r="P1504">
        <v>0</v>
      </c>
      <c r="Q1504">
        <v>0</v>
      </c>
      <c r="R1504" t="s">
        <v>112</v>
      </c>
      <c r="S1504" t="str">
        <f>"14:15:26.305"</f>
        <v>14:15:26.305</v>
      </c>
      <c r="T1504" t="str">
        <f>"14:15:25.906"</f>
        <v>14:15:25.906</v>
      </c>
      <c r="U1504" t="str">
        <f t="shared" si="69"/>
        <v>ad5732</v>
      </c>
      <c r="V1504">
        <v>0</v>
      </c>
      <c r="W1504">
        <v>0</v>
      </c>
      <c r="X1504">
        <v>1</v>
      </c>
      <c r="Z1504">
        <v>0</v>
      </c>
      <c r="AA1504">
        <v>9</v>
      </c>
      <c r="AB1504">
        <v>3</v>
      </c>
      <c r="AC1504">
        <v>0</v>
      </c>
      <c r="AD1504">
        <v>10</v>
      </c>
      <c r="AE1504">
        <v>0</v>
      </c>
      <c r="AF1504">
        <v>3</v>
      </c>
      <c r="AG1504">
        <v>2</v>
      </c>
      <c r="AH1504">
        <v>0</v>
      </c>
      <c r="AI1504" t="s">
        <v>3111</v>
      </c>
      <c r="AJ1504">
        <v>39.642190999999997</v>
      </c>
      <c r="AK1504" t="s">
        <v>3112</v>
      </c>
      <c r="AL1504">
        <v>-76.357899000000003</v>
      </c>
      <c r="AM1504">
        <v>100</v>
      </c>
      <c r="AN1504">
        <v>6900</v>
      </c>
      <c r="AO1504" t="s">
        <v>115</v>
      </c>
      <c r="AP1504">
        <v>198</v>
      </c>
      <c r="AQ1504">
        <v>102</v>
      </c>
      <c r="AR1504">
        <v>-1152</v>
      </c>
      <c r="AZ1504">
        <v>3614</v>
      </c>
      <c r="BA1504">
        <v>1</v>
      </c>
      <c r="BB1504" t="str">
        <f t="shared" si="71"/>
        <v xml:space="preserve">N959MJ  </v>
      </c>
      <c r="BC1504">
        <v>1</v>
      </c>
      <c r="BE1504">
        <v>0</v>
      </c>
      <c r="BF1504">
        <v>0</v>
      </c>
      <c r="BG1504">
        <v>0</v>
      </c>
      <c r="BH1504">
        <v>7125</v>
      </c>
      <c r="BI1504">
        <v>225</v>
      </c>
      <c r="BJ1504">
        <v>1</v>
      </c>
      <c r="BK1504">
        <v>1</v>
      </c>
      <c r="BL1504">
        <v>1</v>
      </c>
      <c r="BM1504">
        <v>0</v>
      </c>
      <c r="BP1504">
        <v>0</v>
      </c>
      <c r="BQ1504">
        <v>0</v>
      </c>
      <c r="BX1504" t="str">
        <f>"14:15:26.305"</f>
        <v>14:15:26.305</v>
      </c>
      <c r="BY1504" t="str">
        <f>"307606368"</f>
        <v>307606368</v>
      </c>
      <c r="CL1504">
        <v>0</v>
      </c>
      <c r="CM1504">
        <v>2</v>
      </c>
      <c r="CN1504">
        <v>0</v>
      </c>
      <c r="CO1504">
        <v>2</v>
      </c>
      <c r="CP1504">
        <v>0</v>
      </c>
      <c r="CQ1504">
        <v>5</v>
      </c>
      <c r="CR1504" t="s">
        <v>116</v>
      </c>
      <c r="CS1504">
        <v>39</v>
      </c>
      <c r="CT1504">
        <v>2</v>
      </c>
      <c r="CU1504" t="s">
        <v>2259</v>
      </c>
      <c r="CV1504" t="s">
        <v>2260</v>
      </c>
      <c r="CY1504">
        <v>15707086</v>
      </c>
      <c r="CZ1504" t="s">
        <v>119</v>
      </c>
    </row>
    <row r="1505" spans="1:104" x14ac:dyDescent="0.25">
      <c r="A1505" t="str">
        <f>"14:15:27.563"</f>
        <v>14:15:27.563</v>
      </c>
      <c r="B1505" t="s">
        <v>108</v>
      </c>
      <c r="C1505" t="str">
        <f t="shared" si="70"/>
        <v>ffdfd3c0</v>
      </c>
      <c r="D1505" t="s">
        <v>109</v>
      </c>
      <c r="E1505">
        <v>4</v>
      </c>
      <c r="F1505">
        <v>1004</v>
      </c>
      <c r="G1505" t="s">
        <v>110</v>
      </c>
      <c r="J1505" t="s">
        <v>111</v>
      </c>
      <c r="K1505">
        <v>0</v>
      </c>
      <c r="L1505">
        <v>3</v>
      </c>
      <c r="M1505">
        <v>0</v>
      </c>
      <c r="N1505">
        <v>2</v>
      </c>
      <c r="O1505">
        <v>1</v>
      </c>
      <c r="P1505">
        <v>0</v>
      </c>
      <c r="Q1505">
        <v>0</v>
      </c>
      <c r="R1505" t="s">
        <v>112</v>
      </c>
      <c r="S1505" t="str">
        <f>"14:15:27.344"</f>
        <v>14:15:27.344</v>
      </c>
      <c r="T1505" t="str">
        <f>"14:15:26.945"</f>
        <v>14:15:26.945</v>
      </c>
      <c r="U1505" t="str">
        <f t="shared" si="69"/>
        <v>ad5732</v>
      </c>
      <c r="V1505">
        <v>0</v>
      </c>
      <c r="W1505">
        <v>0</v>
      </c>
      <c r="X1505">
        <v>1</v>
      </c>
      <c r="Z1505">
        <v>0</v>
      </c>
      <c r="AA1505">
        <v>9</v>
      </c>
      <c r="AB1505">
        <v>3</v>
      </c>
      <c r="AC1505">
        <v>0</v>
      </c>
      <c r="AD1505">
        <v>10</v>
      </c>
      <c r="AE1505">
        <v>0</v>
      </c>
      <c r="AF1505">
        <v>3</v>
      </c>
      <c r="AG1505">
        <v>2</v>
      </c>
      <c r="AH1505">
        <v>0</v>
      </c>
      <c r="AI1505" t="s">
        <v>3113</v>
      </c>
      <c r="AJ1505">
        <v>39.642662999999999</v>
      </c>
      <c r="AK1505" t="s">
        <v>3114</v>
      </c>
      <c r="AL1505">
        <v>-76.356718999999998</v>
      </c>
      <c r="AM1505">
        <v>100</v>
      </c>
      <c r="AN1505">
        <v>6900</v>
      </c>
      <c r="AO1505" t="s">
        <v>115</v>
      </c>
      <c r="AP1505">
        <v>198</v>
      </c>
      <c r="AQ1505">
        <v>101</v>
      </c>
      <c r="AR1505">
        <v>-1152</v>
      </c>
      <c r="AZ1505">
        <v>3614</v>
      </c>
      <c r="BA1505">
        <v>1</v>
      </c>
      <c r="BB1505" t="str">
        <f t="shared" si="71"/>
        <v xml:space="preserve">N959MJ  </v>
      </c>
      <c r="BC1505">
        <v>1</v>
      </c>
      <c r="BE1505">
        <v>0</v>
      </c>
      <c r="BF1505">
        <v>0</v>
      </c>
      <c r="BG1505">
        <v>0</v>
      </c>
      <c r="BH1505">
        <v>7100</v>
      </c>
      <c r="BI1505">
        <v>200</v>
      </c>
      <c r="BJ1505">
        <v>1</v>
      </c>
      <c r="BK1505">
        <v>1</v>
      </c>
      <c r="BL1505">
        <v>1</v>
      </c>
      <c r="BM1505">
        <v>0</v>
      </c>
      <c r="BP1505">
        <v>0</v>
      </c>
      <c r="BQ1505">
        <v>0</v>
      </c>
      <c r="BX1505" t="str">
        <f>"14:15:27.344"</f>
        <v>14:15:27.344</v>
      </c>
      <c r="BY1505" t="str">
        <f>"346369094"</f>
        <v>346369094</v>
      </c>
      <c r="CL1505">
        <v>0</v>
      </c>
      <c r="CM1505">
        <v>2</v>
      </c>
      <c r="CN1505">
        <v>0</v>
      </c>
      <c r="CO1505">
        <v>2</v>
      </c>
      <c r="CP1505">
        <v>0</v>
      </c>
      <c r="CQ1505">
        <v>5</v>
      </c>
      <c r="CR1505" t="s">
        <v>116</v>
      </c>
      <c r="CS1505">
        <v>39</v>
      </c>
      <c r="CT1505">
        <v>2</v>
      </c>
      <c r="CU1505" t="s">
        <v>2259</v>
      </c>
      <c r="CV1505" t="s">
        <v>2260</v>
      </c>
      <c r="CY1505">
        <v>15708779</v>
      </c>
      <c r="CZ1505" t="s">
        <v>119</v>
      </c>
    </row>
    <row r="1506" spans="1:104" x14ac:dyDescent="0.25">
      <c r="A1506" t="str">
        <f>"14:15:28.523"</f>
        <v>14:15:28.523</v>
      </c>
      <c r="B1506" t="s">
        <v>108</v>
      </c>
      <c r="C1506" t="str">
        <f t="shared" si="70"/>
        <v>ffdfd3c0</v>
      </c>
      <c r="D1506" t="s">
        <v>109</v>
      </c>
      <c r="E1506">
        <v>4</v>
      </c>
      <c r="F1506">
        <v>1004</v>
      </c>
      <c r="G1506" t="s">
        <v>110</v>
      </c>
      <c r="J1506" t="s">
        <v>111</v>
      </c>
      <c r="K1506">
        <v>0</v>
      </c>
      <c r="L1506">
        <v>3</v>
      </c>
      <c r="M1506">
        <v>0</v>
      </c>
      <c r="N1506">
        <v>2</v>
      </c>
      <c r="O1506">
        <v>1</v>
      </c>
      <c r="P1506">
        <v>0</v>
      </c>
      <c r="Q1506">
        <v>0</v>
      </c>
      <c r="R1506" t="s">
        <v>112</v>
      </c>
      <c r="S1506" t="str">
        <f>"14:15:28.336"</f>
        <v>14:15:28.336</v>
      </c>
      <c r="T1506" t="str">
        <f>"14:15:27.836"</f>
        <v>14:15:27.836</v>
      </c>
      <c r="U1506" t="str">
        <f t="shared" si="69"/>
        <v>ad5732</v>
      </c>
      <c r="V1506">
        <v>0</v>
      </c>
      <c r="W1506">
        <v>0</v>
      </c>
      <c r="X1506">
        <v>1</v>
      </c>
      <c r="Z1506">
        <v>0</v>
      </c>
      <c r="AA1506">
        <v>9</v>
      </c>
      <c r="AB1506">
        <v>3</v>
      </c>
      <c r="AC1506">
        <v>0</v>
      </c>
      <c r="AD1506">
        <v>10</v>
      </c>
      <c r="AE1506">
        <v>0</v>
      </c>
      <c r="AF1506">
        <v>3</v>
      </c>
      <c r="AG1506">
        <v>2</v>
      </c>
      <c r="AH1506">
        <v>0</v>
      </c>
      <c r="AI1506" t="s">
        <v>3115</v>
      </c>
      <c r="AJ1506">
        <v>39.643113999999997</v>
      </c>
      <c r="AK1506" t="s">
        <v>3116</v>
      </c>
      <c r="AL1506">
        <v>-76.355581000000001</v>
      </c>
      <c r="AM1506">
        <v>100</v>
      </c>
      <c r="AN1506">
        <v>6900</v>
      </c>
      <c r="AO1506" t="s">
        <v>115</v>
      </c>
      <c r="AP1506">
        <v>198</v>
      </c>
      <c r="AQ1506">
        <v>101</v>
      </c>
      <c r="AR1506">
        <v>-1152</v>
      </c>
      <c r="AZ1506">
        <v>3614</v>
      </c>
      <c r="BA1506">
        <v>1</v>
      </c>
      <c r="BB1506" t="str">
        <f t="shared" si="71"/>
        <v xml:space="preserve">N959MJ  </v>
      </c>
      <c r="BC1506">
        <v>1</v>
      </c>
      <c r="BE1506">
        <v>0</v>
      </c>
      <c r="BF1506">
        <v>0</v>
      </c>
      <c r="BG1506">
        <v>0</v>
      </c>
      <c r="BH1506">
        <v>7100</v>
      </c>
      <c r="BI1506">
        <v>200</v>
      </c>
      <c r="BJ1506">
        <v>1</v>
      </c>
      <c r="BK1506">
        <v>1</v>
      </c>
      <c r="BL1506">
        <v>1</v>
      </c>
      <c r="BM1506">
        <v>0</v>
      </c>
      <c r="BP1506">
        <v>0</v>
      </c>
      <c r="BQ1506">
        <v>0</v>
      </c>
      <c r="BX1506" t="str">
        <f>"14:15:28.344"</f>
        <v>14:15:28.344</v>
      </c>
      <c r="BY1506" t="str">
        <f>"340891279"</f>
        <v>340891279</v>
      </c>
      <c r="CL1506">
        <v>0</v>
      </c>
      <c r="CM1506">
        <v>2</v>
      </c>
      <c r="CN1506">
        <v>0</v>
      </c>
      <c r="CO1506">
        <v>2</v>
      </c>
      <c r="CP1506">
        <v>0</v>
      </c>
      <c r="CQ1506">
        <v>5</v>
      </c>
      <c r="CR1506" t="s">
        <v>116</v>
      </c>
      <c r="CS1506">
        <v>372</v>
      </c>
      <c r="CT1506">
        <v>3</v>
      </c>
      <c r="CU1506" t="s">
        <v>877</v>
      </c>
      <c r="CV1506" t="s">
        <v>878</v>
      </c>
      <c r="CY1506">
        <v>12052528</v>
      </c>
      <c r="CZ1506" t="s">
        <v>119</v>
      </c>
    </row>
    <row r="1507" spans="1:104" x14ac:dyDescent="0.25">
      <c r="A1507" t="str">
        <f>"14:15:29.430"</f>
        <v>14:15:29.430</v>
      </c>
      <c r="B1507" t="s">
        <v>108</v>
      </c>
      <c r="C1507" t="str">
        <f t="shared" si="70"/>
        <v>ffdfd3c0</v>
      </c>
      <c r="D1507" t="s">
        <v>109</v>
      </c>
      <c r="E1507">
        <v>4</v>
      </c>
      <c r="F1507">
        <v>1004</v>
      </c>
      <c r="G1507" t="s">
        <v>110</v>
      </c>
      <c r="J1507" t="s">
        <v>111</v>
      </c>
      <c r="K1507">
        <v>0</v>
      </c>
      <c r="L1507">
        <v>3</v>
      </c>
      <c r="M1507">
        <v>0</v>
      </c>
      <c r="N1507">
        <v>2</v>
      </c>
      <c r="O1507">
        <v>1</v>
      </c>
      <c r="P1507">
        <v>0</v>
      </c>
      <c r="Q1507">
        <v>0</v>
      </c>
      <c r="R1507" t="s">
        <v>112</v>
      </c>
      <c r="S1507" t="str">
        <f>"14:15:29.258"</f>
        <v>14:15:29.258</v>
      </c>
      <c r="T1507" t="str">
        <f>"14:15:28.859"</f>
        <v>14:15:28.859</v>
      </c>
      <c r="U1507" t="str">
        <f t="shared" si="69"/>
        <v>ad5732</v>
      </c>
      <c r="V1507">
        <v>0</v>
      </c>
      <c r="W1507">
        <v>0</v>
      </c>
      <c r="X1507">
        <v>1</v>
      </c>
      <c r="Z1507">
        <v>0</v>
      </c>
      <c r="AA1507">
        <v>9</v>
      </c>
      <c r="AB1507">
        <v>3</v>
      </c>
      <c r="AC1507">
        <v>0</v>
      </c>
      <c r="AD1507">
        <v>10</v>
      </c>
      <c r="AE1507">
        <v>0</v>
      </c>
      <c r="AF1507">
        <v>3</v>
      </c>
      <c r="AG1507">
        <v>2</v>
      </c>
      <c r="AH1507">
        <v>0</v>
      </c>
      <c r="AI1507" t="s">
        <v>3117</v>
      </c>
      <c r="AJ1507">
        <v>39.643563999999998</v>
      </c>
      <c r="AK1507" t="s">
        <v>3118</v>
      </c>
      <c r="AL1507">
        <v>-76.354487000000006</v>
      </c>
      <c r="AM1507">
        <v>100</v>
      </c>
      <c r="AN1507">
        <v>6800</v>
      </c>
      <c r="AO1507" t="s">
        <v>115</v>
      </c>
      <c r="AP1507">
        <v>198</v>
      </c>
      <c r="AQ1507">
        <v>101</v>
      </c>
      <c r="AR1507">
        <v>-1152</v>
      </c>
      <c r="AZ1507">
        <v>3614</v>
      </c>
      <c r="BA1507">
        <v>1</v>
      </c>
      <c r="BB1507" t="str">
        <f t="shared" si="71"/>
        <v xml:space="preserve">N959MJ  </v>
      </c>
      <c r="BC1507">
        <v>1</v>
      </c>
      <c r="BE1507">
        <v>0</v>
      </c>
      <c r="BF1507">
        <v>0</v>
      </c>
      <c r="BG1507">
        <v>0</v>
      </c>
      <c r="BH1507">
        <v>7075</v>
      </c>
      <c r="BI1507">
        <v>275</v>
      </c>
      <c r="BJ1507">
        <v>1</v>
      </c>
      <c r="BK1507">
        <v>1</v>
      </c>
      <c r="BL1507">
        <v>1</v>
      </c>
      <c r="BM1507">
        <v>0</v>
      </c>
      <c r="BP1507">
        <v>0</v>
      </c>
      <c r="BQ1507">
        <v>0</v>
      </c>
      <c r="BX1507" t="str">
        <f>"14:15:29.258"</f>
        <v>14:15:29.258</v>
      </c>
      <c r="BY1507" t="str">
        <f>"258294971"</f>
        <v>258294971</v>
      </c>
      <c r="CL1507">
        <v>0</v>
      </c>
      <c r="CM1507">
        <v>2</v>
      </c>
      <c r="CN1507">
        <v>0</v>
      </c>
      <c r="CO1507">
        <v>2</v>
      </c>
      <c r="CP1507">
        <v>0</v>
      </c>
      <c r="CQ1507">
        <v>6</v>
      </c>
      <c r="CR1507" t="s">
        <v>116</v>
      </c>
      <c r="CS1507">
        <v>396</v>
      </c>
      <c r="CT1507">
        <v>1</v>
      </c>
      <c r="CU1507" t="s">
        <v>939</v>
      </c>
      <c r="CV1507" t="s">
        <v>940</v>
      </c>
      <c r="CY1507">
        <v>8993858</v>
      </c>
      <c r="CZ1507" t="s">
        <v>119</v>
      </c>
    </row>
    <row r="1508" spans="1:104" x14ac:dyDescent="0.25">
      <c r="A1508" t="str">
        <f>"14:15:30.594"</f>
        <v>14:15:30.594</v>
      </c>
      <c r="B1508" t="s">
        <v>108</v>
      </c>
      <c r="C1508" t="str">
        <f t="shared" si="70"/>
        <v>ffdfd3c0</v>
      </c>
      <c r="D1508" t="s">
        <v>109</v>
      </c>
      <c r="E1508">
        <v>4</v>
      </c>
      <c r="F1508">
        <v>1004</v>
      </c>
      <c r="G1508" t="s">
        <v>110</v>
      </c>
      <c r="J1508" t="s">
        <v>111</v>
      </c>
      <c r="K1508">
        <v>0</v>
      </c>
      <c r="L1508">
        <v>3</v>
      </c>
      <c r="M1508">
        <v>0</v>
      </c>
      <c r="N1508">
        <v>2</v>
      </c>
      <c r="O1508">
        <v>1</v>
      </c>
      <c r="P1508">
        <v>0</v>
      </c>
      <c r="Q1508">
        <v>0</v>
      </c>
      <c r="R1508" t="s">
        <v>112</v>
      </c>
      <c r="S1508" t="str">
        <f>"14:15:30.398"</f>
        <v>14:15:30.398</v>
      </c>
      <c r="T1508" t="str">
        <f>"14:15:29.898"</f>
        <v>14:15:29.898</v>
      </c>
      <c r="U1508" t="str">
        <f t="shared" si="69"/>
        <v>ad5732</v>
      </c>
      <c r="V1508">
        <v>0</v>
      </c>
      <c r="W1508">
        <v>0</v>
      </c>
      <c r="X1508">
        <v>1</v>
      </c>
      <c r="Z1508">
        <v>0</v>
      </c>
      <c r="AA1508">
        <v>9</v>
      </c>
      <c r="AB1508">
        <v>3</v>
      </c>
      <c r="AC1508">
        <v>0</v>
      </c>
      <c r="AD1508">
        <v>10</v>
      </c>
      <c r="AE1508">
        <v>0</v>
      </c>
      <c r="AF1508">
        <v>3</v>
      </c>
      <c r="AG1508">
        <v>2</v>
      </c>
      <c r="AH1508">
        <v>0</v>
      </c>
      <c r="AI1508" t="s">
        <v>3119</v>
      </c>
      <c r="AJ1508">
        <v>39.644122000000003</v>
      </c>
      <c r="AK1508" t="s">
        <v>3120</v>
      </c>
      <c r="AL1508">
        <v>-76.353092000000004</v>
      </c>
      <c r="AM1508">
        <v>100</v>
      </c>
      <c r="AN1508">
        <v>6800</v>
      </c>
      <c r="AO1508" t="s">
        <v>115</v>
      </c>
      <c r="AP1508">
        <v>198</v>
      </c>
      <c r="AQ1508">
        <v>101</v>
      </c>
      <c r="AR1508">
        <v>-1152</v>
      </c>
      <c r="AZ1508">
        <v>3614</v>
      </c>
      <c r="BA1508">
        <v>1</v>
      </c>
      <c r="BB1508" t="str">
        <f t="shared" si="71"/>
        <v xml:space="preserve">N959MJ  </v>
      </c>
      <c r="BC1508">
        <v>1</v>
      </c>
      <c r="BE1508">
        <v>0</v>
      </c>
      <c r="BF1508">
        <v>0</v>
      </c>
      <c r="BG1508">
        <v>0</v>
      </c>
      <c r="BH1508">
        <v>7050</v>
      </c>
      <c r="BI1508">
        <v>250</v>
      </c>
      <c r="BJ1508">
        <v>1</v>
      </c>
      <c r="BK1508">
        <v>1</v>
      </c>
      <c r="BL1508">
        <v>1</v>
      </c>
      <c r="BM1508">
        <v>0</v>
      </c>
      <c r="BP1508">
        <v>0</v>
      </c>
      <c r="BQ1508">
        <v>0</v>
      </c>
      <c r="BX1508" t="str">
        <f>"14:15:30.398"</f>
        <v>14:15:30.398</v>
      </c>
      <c r="BY1508" t="str">
        <f>"401917307"</f>
        <v>401917307</v>
      </c>
      <c r="CL1508">
        <v>0</v>
      </c>
      <c r="CM1508">
        <v>2</v>
      </c>
      <c r="CN1508">
        <v>0</v>
      </c>
      <c r="CO1508">
        <v>2</v>
      </c>
      <c r="CP1508">
        <v>0</v>
      </c>
      <c r="CQ1508">
        <v>6</v>
      </c>
      <c r="CR1508" t="s">
        <v>116</v>
      </c>
      <c r="CS1508">
        <v>396</v>
      </c>
      <c r="CT1508">
        <v>2</v>
      </c>
      <c r="CU1508" t="s">
        <v>939</v>
      </c>
      <c r="CV1508" t="s">
        <v>940</v>
      </c>
      <c r="CY1508">
        <v>5407584</v>
      </c>
      <c r="CZ1508" t="s">
        <v>119</v>
      </c>
    </row>
    <row r="1509" spans="1:104" x14ac:dyDescent="0.25">
      <c r="A1509" t="str">
        <f>"14:15:31.648"</f>
        <v>14:15:31.648</v>
      </c>
      <c r="B1509" t="s">
        <v>108</v>
      </c>
      <c r="C1509" t="str">
        <f t="shared" si="70"/>
        <v>ffdfd3c0</v>
      </c>
      <c r="D1509" t="s">
        <v>109</v>
      </c>
      <c r="E1509">
        <v>4</v>
      </c>
      <c r="F1509">
        <v>1004</v>
      </c>
      <c r="G1509" t="s">
        <v>110</v>
      </c>
      <c r="J1509" t="s">
        <v>111</v>
      </c>
      <c r="K1509">
        <v>0</v>
      </c>
      <c r="L1509">
        <v>3</v>
      </c>
      <c r="M1509">
        <v>0</v>
      </c>
      <c r="N1509">
        <v>2</v>
      </c>
      <c r="O1509">
        <v>1</v>
      </c>
      <c r="P1509">
        <v>0</v>
      </c>
      <c r="Q1509">
        <v>0</v>
      </c>
      <c r="R1509" t="s">
        <v>112</v>
      </c>
      <c r="S1509" t="str">
        <f>"14:15:31.430"</f>
        <v>14:15:31.430</v>
      </c>
      <c r="T1509" t="str">
        <f>"14:15:30.930"</f>
        <v>14:15:30.930</v>
      </c>
      <c r="U1509" t="str">
        <f t="shared" si="69"/>
        <v>ad5732</v>
      </c>
      <c r="V1509">
        <v>0</v>
      </c>
      <c r="W1509">
        <v>0</v>
      </c>
      <c r="X1509">
        <v>1</v>
      </c>
      <c r="Z1509">
        <v>0</v>
      </c>
      <c r="AA1509">
        <v>9</v>
      </c>
      <c r="AB1509">
        <v>3</v>
      </c>
      <c r="AC1509">
        <v>0</v>
      </c>
      <c r="AD1509">
        <v>10</v>
      </c>
      <c r="AE1509">
        <v>0</v>
      </c>
      <c r="AF1509">
        <v>3</v>
      </c>
      <c r="AG1509">
        <v>2</v>
      </c>
      <c r="AH1509">
        <v>0</v>
      </c>
      <c r="AI1509" t="s">
        <v>3121</v>
      </c>
      <c r="AJ1509">
        <v>39.644593999999998</v>
      </c>
      <c r="AK1509" t="s">
        <v>3122</v>
      </c>
      <c r="AL1509">
        <v>-76.351868999999994</v>
      </c>
      <c r="AM1509">
        <v>100</v>
      </c>
      <c r="AN1509">
        <v>6800</v>
      </c>
      <c r="AO1509" t="s">
        <v>115</v>
      </c>
      <c r="AP1509">
        <v>198</v>
      </c>
      <c r="AQ1509">
        <v>101</v>
      </c>
      <c r="AR1509">
        <v>-1216</v>
      </c>
      <c r="AZ1509">
        <v>3614</v>
      </c>
      <c r="BA1509">
        <v>1</v>
      </c>
      <c r="BB1509" t="str">
        <f t="shared" si="71"/>
        <v xml:space="preserve">N959MJ  </v>
      </c>
      <c r="BC1509">
        <v>1</v>
      </c>
      <c r="BE1509">
        <v>0</v>
      </c>
      <c r="BF1509">
        <v>0</v>
      </c>
      <c r="BG1509">
        <v>0</v>
      </c>
      <c r="BH1509">
        <v>7025</v>
      </c>
      <c r="BI1509">
        <v>225</v>
      </c>
      <c r="BJ1509">
        <v>1</v>
      </c>
      <c r="BK1509">
        <v>1</v>
      </c>
      <c r="BL1509">
        <v>1</v>
      </c>
      <c r="BM1509">
        <v>0</v>
      </c>
      <c r="BP1509">
        <v>0</v>
      </c>
      <c r="BQ1509">
        <v>0</v>
      </c>
      <c r="BX1509" t="str">
        <f>"14:15:31.438"</f>
        <v>14:15:31.438</v>
      </c>
      <c r="BY1509" t="str">
        <f>"434126655"</f>
        <v>434126655</v>
      </c>
      <c r="CL1509">
        <v>0</v>
      </c>
      <c r="CM1509">
        <v>2</v>
      </c>
      <c r="CN1509">
        <v>0</v>
      </c>
      <c r="CO1509">
        <v>2</v>
      </c>
      <c r="CP1509">
        <v>0</v>
      </c>
      <c r="CQ1509">
        <v>6</v>
      </c>
      <c r="CR1509" t="s">
        <v>116</v>
      </c>
      <c r="CS1509">
        <v>396</v>
      </c>
      <c r="CT1509">
        <v>1</v>
      </c>
      <c r="CU1509" t="s">
        <v>939</v>
      </c>
      <c r="CV1509" t="s">
        <v>940</v>
      </c>
      <c r="CY1509">
        <v>8997697</v>
      </c>
      <c r="CZ1509" t="s">
        <v>119</v>
      </c>
    </row>
    <row r="1510" spans="1:104" x14ac:dyDescent="0.25">
      <c r="A1510" t="str">
        <f>"14:15:32.563"</f>
        <v>14:15:32.563</v>
      </c>
      <c r="B1510" t="s">
        <v>108</v>
      </c>
      <c r="C1510" t="str">
        <f t="shared" si="70"/>
        <v>ffdfd3c0</v>
      </c>
      <c r="D1510" t="s">
        <v>109</v>
      </c>
      <c r="E1510">
        <v>4</v>
      </c>
      <c r="F1510">
        <v>1004</v>
      </c>
      <c r="G1510" t="s">
        <v>110</v>
      </c>
      <c r="J1510" t="s">
        <v>111</v>
      </c>
      <c r="K1510">
        <v>0</v>
      </c>
      <c r="L1510">
        <v>3</v>
      </c>
      <c r="M1510">
        <v>0</v>
      </c>
      <c r="N1510">
        <v>2</v>
      </c>
      <c r="O1510">
        <v>1</v>
      </c>
      <c r="P1510">
        <v>0</v>
      </c>
      <c r="Q1510">
        <v>0</v>
      </c>
      <c r="R1510" t="s">
        <v>112</v>
      </c>
      <c r="S1510" t="str">
        <f>"14:15:32.398"</f>
        <v>14:15:32.398</v>
      </c>
      <c r="T1510" t="str">
        <f>"14:15:32.000"</f>
        <v>14:15:32.000</v>
      </c>
      <c r="U1510" t="str">
        <f t="shared" si="69"/>
        <v>ad5732</v>
      </c>
      <c r="V1510">
        <v>0</v>
      </c>
      <c r="W1510">
        <v>0</v>
      </c>
      <c r="X1510">
        <v>1</v>
      </c>
      <c r="Z1510">
        <v>0</v>
      </c>
      <c r="AA1510">
        <v>9</v>
      </c>
      <c r="AB1510">
        <v>3</v>
      </c>
      <c r="AC1510">
        <v>0</v>
      </c>
      <c r="AD1510">
        <v>10</v>
      </c>
      <c r="AE1510">
        <v>0</v>
      </c>
      <c r="AF1510">
        <v>3</v>
      </c>
      <c r="AG1510">
        <v>2</v>
      </c>
      <c r="AH1510">
        <v>0</v>
      </c>
      <c r="AI1510" t="s">
        <v>3123</v>
      </c>
      <c r="AJ1510">
        <v>39.645045000000003</v>
      </c>
      <c r="AK1510" t="s">
        <v>3124</v>
      </c>
      <c r="AL1510">
        <v>-76.350710000000007</v>
      </c>
      <c r="AM1510">
        <v>100</v>
      </c>
      <c r="AN1510">
        <v>6800</v>
      </c>
      <c r="AO1510" t="s">
        <v>115</v>
      </c>
      <c r="AP1510">
        <v>198</v>
      </c>
      <c r="AQ1510">
        <v>100</v>
      </c>
      <c r="AR1510">
        <v>-1216</v>
      </c>
      <c r="AZ1510">
        <v>3614</v>
      </c>
      <c r="BA1510">
        <v>1</v>
      </c>
      <c r="BB1510" t="str">
        <f t="shared" si="71"/>
        <v xml:space="preserve">N959MJ  </v>
      </c>
      <c r="BC1510">
        <v>1</v>
      </c>
      <c r="BE1510">
        <v>0</v>
      </c>
      <c r="BF1510">
        <v>0</v>
      </c>
      <c r="BG1510">
        <v>0</v>
      </c>
      <c r="BH1510">
        <v>7025</v>
      </c>
      <c r="BI1510">
        <v>225</v>
      </c>
      <c r="BJ1510">
        <v>1</v>
      </c>
      <c r="BK1510">
        <v>1</v>
      </c>
      <c r="BL1510">
        <v>1</v>
      </c>
      <c r="BM1510">
        <v>0</v>
      </c>
      <c r="BP1510">
        <v>0</v>
      </c>
      <c r="BQ1510">
        <v>0</v>
      </c>
      <c r="BX1510" t="str">
        <f>"14:15:32.406"</f>
        <v>14:15:32.406</v>
      </c>
      <c r="BY1510" t="str">
        <f>"405714240"</f>
        <v>405714240</v>
      </c>
      <c r="CL1510">
        <v>0</v>
      </c>
      <c r="CM1510">
        <v>2</v>
      </c>
      <c r="CN1510">
        <v>0</v>
      </c>
      <c r="CO1510">
        <v>2</v>
      </c>
      <c r="CP1510">
        <v>0</v>
      </c>
      <c r="CQ1510">
        <v>6</v>
      </c>
      <c r="CR1510" t="s">
        <v>116</v>
      </c>
      <c r="CS1510">
        <v>396</v>
      </c>
      <c r="CT1510">
        <v>2</v>
      </c>
      <c r="CU1510" t="s">
        <v>939</v>
      </c>
      <c r="CV1510" t="s">
        <v>940</v>
      </c>
      <c r="CY1510">
        <v>5411081</v>
      </c>
      <c r="CZ1510" t="s">
        <v>119</v>
      </c>
    </row>
    <row r="1511" spans="1:104" x14ac:dyDescent="0.25">
      <c r="A1511" t="str">
        <f>"14:15:33.469"</f>
        <v>14:15:33.469</v>
      </c>
      <c r="B1511" t="s">
        <v>108</v>
      </c>
      <c r="C1511" t="str">
        <f t="shared" si="70"/>
        <v>ffdfd3c0</v>
      </c>
      <c r="D1511" t="s">
        <v>109</v>
      </c>
      <c r="E1511">
        <v>4</v>
      </c>
      <c r="F1511">
        <v>1004</v>
      </c>
      <c r="G1511" t="s">
        <v>110</v>
      </c>
      <c r="J1511" t="s">
        <v>111</v>
      </c>
      <c r="K1511">
        <v>0</v>
      </c>
      <c r="L1511">
        <v>3</v>
      </c>
      <c r="M1511">
        <v>0</v>
      </c>
      <c r="N1511">
        <v>2</v>
      </c>
      <c r="O1511">
        <v>1</v>
      </c>
      <c r="P1511">
        <v>0</v>
      </c>
      <c r="Q1511">
        <v>0</v>
      </c>
      <c r="R1511" t="s">
        <v>112</v>
      </c>
      <c r="S1511" t="str">
        <f>"14:15:33.273"</f>
        <v>14:15:33.273</v>
      </c>
      <c r="T1511" t="str">
        <f>"14:15:32.875"</f>
        <v>14:15:32.875</v>
      </c>
      <c r="U1511" t="str">
        <f t="shared" si="69"/>
        <v>ad5732</v>
      </c>
      <c r="V1511">
        <v>0</v>
      </c>
      <c r="W1511">
        <v>0</v>
      </c>
      <c r="X1511">
        <v>1</v>
      </c>
      <c r="Z1511">
        <v>0</v>
      </c>
      <c r="AA1511">
        <v>9</v>
      </c>
      <c r="AB1511">
        <v>3</v>
      </c>
      <c r="AC1511">
        <v>0</v>
      </c>
      <c r="AD1511">
        <v>10</v>
      </c>
      <c r="AE1511">
        <v>0</v>
      </c>
      <c r="AF1511">
        <v>3</v>
      </c>
      <c r="AG1511">
        <v>2</v>
      </c>
      <c r="AH1511">
        <v>0</v>
      </c>
      <c r="AI1511" t="s">
        <v>3125</v>
      </c>
      <c r="AJ1511">
        <v>39.645431000000002</v>
      </c>
      <c r="AK1511" t="s">
        <v>3126</v>
      </c>
      <c r="AL1511">
        <v>-76.349722999999997</v>
      </c>
      <c r="AM1511">
        <v>100</v>
      </c>
      <c r="AN1511">
        <v>6800</v>
      </c>
      <c r="AO1511" t="s">
        <v>115</v>
      </c>
      <c r="AP1511">
        <v>198</v>
      </c>
      <c r="AQ1511">
        <v>100</v>
      </c>
      <c r="AR1511">
        <v>-1280</v>
      </c>
      <c r="AZ1511">
        <v>3614</v>
      </c>
      <c r="BA1511">
        <v>1</v>
      </c>
      <c r="BB1511" t="str">
        <f t="shared" si="71"/>
        <v xml:space="preserve">N959MJ  </v>
      </c>
      <c r="BC1511">
        <v>1</v>
      </c>
      <c r="BE1511">
        <v>0</v>
      </c>
      <c r="BF1511">
        <v>0</v>
      </c>
      <c r="BG1511">
        <v>0</v>
      </c>
      <c r="BH1511">
        <v>7000</v>
      </c>
      <c r="BI1511">
        <v>200</v>
      </c>
      <c r="BJ1511">
        <v>1</v>
      </c>
      <c r="BK1511">
        <v>1</v>
      </c>
      <c r="BL1511">
        <v>1</v>
      </c>
      <c r="BM1511">
        <v>0</v>
      </c>
      <c r="BP1511">
        <v>0</v>
      </c>
      <c r="BQ1511">
        <v>0</v>
      </c>
      <c r="BX1511" t="str">
        <f>"14:15:33.281"</f>
        <v>14:15:33.281</v>
      </c>
      <c r="BY1511" t="str">
        <f>"277357635"</f>
        <v>277357635</v>
      </c>
      <c r="CL1511">
        <v>0</v>
      </c>
      <c r="CM1511">
        <v>2</v>
      </c>
      <c r="CN1511">
        <v>0</v>
      </c>
      <c r="CO1511">
        <v>2</v>
      </c>
      <c r="CP1511">
        <v>0</v>
      </c>
      <c r="CQ1511">
        <v>6</v>
      </c>
      <c r="CR1511" t="s">
        <v>116</v>
      </c>
      <c r="CS1511">
        <v>396</v>
      </c>
      <c r="CT1511">
        <v>2</v>
      </c>
      <c r="CU1511" t="s">
        <v>939</v>
      </c>
      <c r="CV1511" t="s">
        <v>940</v>
      </c>
      <c r="CY1511">
        <v>5412676</v>
      </c>
      <c r="CZ1511" t="s">
        <v>119</v>
      </c>
    </row>
    <row r="1512" spans="1:104" x14ac:dyDescent="0.25">
      <c r="A1512" t="str">
        <f>"14:15:34.578"</f>
        <v>14:15:34.578</v>
      </c>
      <c r="B1512" t="s">
        <v>108</v>
      </c>
      <c r="C1512" t="str">
        <f t="shared" si="70"/>
        <v>ffdfd3c0</v>
      </c>
      <c r="D1512" t="s">
        <v>109</v>
      </c>
      <c r="E1512">
        <v>4</v>
      </c>
      <c r="F1512">
        <v>1004</v>
      </c>
      <c r="G1512" t="s">
        <v>110</v>
      </c>
      <c r="J1512" t="s">
        <v>111</v>
      </c>
      <c r="K1512">
        <v>0</v>
      </c>
      <c r="L1512">
        <v>3</v>
      </c>
      <c r="M1512">
        <v>0</v>
      </c>
      <c r="N1512">
        <v>2</v>
      </c>
      <c r="O1512">
        <v>1</v>
      </c>
      <c r="P1512">
        <v>0</v>
      </c>
      <c r="Q1512">
        <v>0</v>
      </c>
      <c r="R1512" t="s">
        <v>112</v>
      </c>
      <c r="S1512" t="str">
        <f>"14:15:34.383"</f>
        <v>14:15:34.383</v>
      </c>
      <c r="T1512" t="str">
        <f>"14:15:33.883"</f>
        <v>14:15:33.883</v>
      </c>
      <c r="U1512" t="str">
        <f t="shared" si="69"/>
        <v>ad5732</v>
      </c>
      <c r="V1512">
        <v>0</v>
      </c>
      <c r="W1512">
        <v>0</v>
      </c>
      <c r="X1512">
        <v>1</v>
      </c>
      <c r="Z1512">
        <v>0</v>
      </c>
      <c r="AA1512">
        <v>9</v>
      </c>
      <c r="AB1512">
        <v>3</v>
      </c>
      <c r="AC1512">
        <v>0</v>
      </c>
      <c r="AD1512">
        <v>10</v>
      </c>
      <c r="AE1512">
        <v>0</v>
      </c>
      <c r="AF1512">
        <v>3</v>
      </c>
      <c r="AG1512">
        <v>2</v>
      </c>
      <c r="AH1512">
        <v>0</v>
      </c>
      <c r="AI1512" t="s">
        <v>3127</v>
      </c>
      <c r="AJ1512">
        <v>39.645902999999997</v>
      </c>
      <c r="AK1512" t="s">
        <v>3128</v>
      </c>
      <c r="AL1512">
        <v>-76.348414000000005</v>
      </c>
      <c r="AM1512">
        <v>100</v>
      </c>
      <c r="AN1512">
        <v>6700</v>
      </c>
      <c r="AO1512" t="s">
        <v>115</v>
      </c>
      <c r="AP1512">
        <v>198</v>
      </c>
      <c r="AQ1512">
        <v>100</v>
      </c>
      <c r="AR1512">
        <v>-1472</v>
      </c>
      <c r="AZ1512">
        <v>3614</v>
      </c>
      <c r="BA1512">
        <v>1</v>
      </c>
      <c r="BB1512" t="str">
        <f t="shared" si="71"/>
        <v xml:space="preserve">N959MJ  </v>
      </c>
      <c r="BC1512">
        <v>1</v>
      </c>
      <c r="BE1512">
        <v>0</v>
      </c>
      <c r="BF1512">
        <v>0</v>
      </c>
      <c r="BG1512">
        <v>0</v>
      </c>
      <c r="BH1512">
        <v>6975</v>
      </c>
      <c r="BI1512">
        <v>275</v>
      </c>
      <c r="BJ1512">
        <v>1</v>
      </c>
      <c r="BK1512">
        <v>1</v>
      </c>
      <c r="BL1512">
        <v>1</v>
      </c>
      <c r="BM1512">
        <v>0</v>
      </c>
      <c r="BP1512">
        <v>0</v>
      </c>
      <c r="BQ1512">
        <v>0</v>
      </c>
      <c r="BX1512" t="str">
        <f>"14:15:34.383"</f>
        <v>14:15:34.383</v>
      </c>
      <c r="BY1512" t="str">
        <f>"383296211"</f>
        <v>383296211</v>
      </c>
      <c r="CL1512">
        <v>0</v>
      </c>
      <c r="CM1512">
        <v>2</v>
      </c>
      <c r="CN1512">
        <v>0</v>
      </c>
      <c r="CO1512">
        <v>2</v>
      </c>
      <c r="CP1512">
        <v>0</v>
      </c>
      <c r="CQ1512">
        <v>6</v>
      </c>
      <c r="CR1512" t="s">
        <v>116</v>
      </c>
      <c r="CS1512">
        <v>396</v>
      </c>
      <c r="CT1512">
        <v>2</v>
      </c>
      <c r="CU1512" t="s">
        <v>939</v>
      </c>
      <c r="CV1512" t="s">
        <v>940</v>
      </c>
      <c r="CY1512">
        <v>5414474</v>
      </c>
      <c r="CZ1512" t="s">
        <v>119</v>
      </c>
    </row>
    <row r="1513" spans="1:104" x14ac:dyDescent="0.25">
      <c r="A1513" t="str">
        <f>"14:15:35.484"</f>
        <v>14:15:35.484</v>
      </c>
      <c r="B1513" t="s">
        <v>108</v>
      </c>
      <c r="C1513" t="str">
        <f t="shared" si="70"/>
        <v>ffdfd3c0</v>
      </c>
      <c r="D1513" t="s">
        <v>109</v>
      </c>
      <c r="E1513">
        <v>4</v>
      </c>
      <c r="F1513">
        <v>1004</v>
      </c>
      <c r="G1513" t="s">
        <v>110</v>
      </c>
      <c r="J1513" t="s">
        <v>111</v>
      </c>
      <c r="K1513">
        <v>0</v>
      </c>
      <c r="L1513">
        <v>3</v>
      </c>
      <c r="M1513">
        <v>0</v>
      </c>
      <c r="N1513">
        <v>2</v>
      </c>
      <c r="O1513">
        <v>1</v>
      </c>
      <c r="P1513">
        <v>0</v>
      </c>
      <c r="Q1513">
        <v>0</v>
      </c>
      <c r="R1513" t="s">
        <v>112</v>
      </c>
      <c r="S1513" t="str">
        <f>"14:15:35.320"</f>
        <v>14:15:35.320</v>
      </c>
      <c r="T1513" t="str">
        <f>"14:15:34.922"</f>
        <v>14:15:34.922</v>
      </c>
      <c r="U1513" t="str">
        <f t="shared" si="69"/>
        <v>ad5732</v>
      </c>
      <c r="V1513">
        <v>0</v>
      </c>
      <c r="W1513">
        <v>0</v>
      </c>
      <c r="X1513">
        <v>1</v>
      </c>
      <c r="Z1513">
        <v>0</v>
      </c>
      <c r="AA1513">
        <v>9</v>
      </c>
      <c r="AB1513">
        <v>3</v>
      </c>
      <c r="AC1513">
        <v>0</v>
      </c>
      <c r="AD1513">
        <v>10</v>
      </c>
      <c r="AE1513">
        <v>0</v>
      </c>
      <c r="AF1513">
        <v>3</v>
      </c>
      <c r="AG1513">
        <v>2</v>
      </c>
      <c r="AH1513">
        <v>0</v>
      </c>
      <c r="AI1513" t="s">
        <v>3129</v>
      </c>
      <c r="AJ1513">
        <v>39.646354000000002</v>
      </c>
      <c r="AK1513" t="s">
        <v>3130</v>
      </c>
      <c r="AL1513">
        <v>-76.347212999999996</v>
      </c>
      <c r="AM1513">
        <v>100</v>
      </c>
      <c r="AN1513">
        <v>6700</v>
      </c>
      <c r="AO1513" t="s">
        <v>115</v>
      </c>
      <c r="AP1513">
        <v>198</v>
      </c>
      <c r="AQ1513">
        <v>100</v>
      </c>
      <c r="AR1513">
        <v>-1536</v>
      </c>
      <c r="AZ1513">
        <v>3614</v>
      </c>
      <c r="BA1513">
        <v>1</v>
      </c>
      <c r="BB1513" t="str">
        <f t="shared" si="71"/>
        <v xml:space="preserve">N959MJ  </v>
      </c>
      <c r="BC1513">
        <v>1</v>
      </c>
      <c r="BE1513">
        <v>0</v>
      </c>
      <c r="BF1513">
        <v>0</v>
      </c>
      <c r="BG1513">
        <v>0</v>
      </c>
      <c r="BH1513">
        <v>6950</v>
      </c>
      <c r="BI1513">
        <v>250</v>
      </c>
      <c r="BJ1513">
        <v>1</v>
      </c>
      <c r="BK1513">
        <v>1</v>
      </c>
      <c r="BL1513">
        <v>1</v>
      </c>
      <c r="BM1513">
        <v>0</v>
      </c>
      <c r="BP1513">
        <v>0</v>
      </c>
      <c r="BQ1513">
        <v>0</v>
      </c>
      <c r="BX1513" t="str">
        <f>"14:15:35.320"</f>
        <v>14:15:35.320</v>
      </c>
      <c r="BY1513" t="str">
        <f>"323869410"</f>
        <v>323869410</v>
      </c>
      <c r="CL1513">
        <v>0</v>
      </c>
      <c r="CM1513">
        <v>2</v>
      </c>
      <c r="CN1513">
        <v>0</v>
      </c>
      <c r="CO1513">
        <v>2</v>
      </c>
      <c r="CP1513">
        <v>0</v>
      </c>
      <c r="CQ1513">
        <v>5</v>
      </c>
      <c r="CR1513" t="s">
        <v>116</v>
      </c>
      <c r="CS1513">
        <v>39</v>
      </c>
      <c r="CT1513">
        <v>2</v>
      </c>
      <c r="CU1513" t="s">
        <v>2259</v>
      </c>
      <c r="CV1513" t="s">
        <v>2260</v>
      </c>
      <c r="CY1513">
        <v>15721647</v>
      </c>
      <c r="CZ1513" t="s">
        <v>119</v>
      </c>
    </row>
    <row r="1514" spans="1:104" x14ac:dyDescent="0.25">
      <c r="A1514" t="str">
        <f>"14:15:36.500"</f>
        <v>14:15:36.500</v>
      </c>
      <c r="B1514" t="s">
        <v>108</v>
      </c>
      <c r="C1514" t="str">
        <f t="shared" si="70"/>
        <v>ffdfd3c0</v>
      </c>
      <c r="D1514" t="s">
        <v>109</v>
      </c>
      <c r="E1514">
        <v>4</v>
      </c>
      <c r="F1514">
        <v>1004</v>
      </c>
      <c r="G1514" t="s">
        <v>110</v>
      </c>
      <c r="J1514" t="s">
        <v>111</v>
      </c>
      <c r="K1514">
        <v>0</v>
      </c>
      <c r="L1514">
        <v>3</v>
      </c>
      <c r="M1514">
        <v>0</v>
      </c>
      <c r="N1514">
        <v>2</v>
      </c>
      <c r="O1514">
        <v>1</v>
      </c>
      <c r="P1514">
        <v>0</v>
      </c>
      <c r="Q1514">
        <v>0</v>
      </c>
      <c r="R1514" t="s">
        <v>112</v>
      </c>
      <c r="S1514" t="str">
        <f>"14:15:36.336"</f>
        <v>14:15:36.336</v>
      </c>
      <c r="T1514" t="str">
        <f>"14:15:35.336"</f>
        <v>14:15:35.336</v>
      </c>
      <c r="U1514" t="str">
        <f t="shared" si="69"/>
        <v>ad5732</v>
      </c>
      <c r="V1514">
        <v>0</v>
      </c>
      <c r="W1514">
        <v>0</v>
      </c>
      <c r="X1514">
        <v>1</v>
      </c>
      <c r="Z1514">
        <v>0</v>
      </c>
      <c r="AA1514">
        <v>9</v>
      </c>
      <c r="AB1514">
        <v>3</v>
      </c>
      <c r="AC1514">
        <v>0</v>
      </c>
      <c r="AD1514">
        <v>10</v>
      </c>
      <c r="AE1514">
        <v>0</v>
      </c>
      <c r="AF1514">
        <v>3</v>
      </c>
      <c r="AG1514">
        <v>2</v>
      </c>
      <c r="AH1514">
        <v>0</v>
      </c>
      <c r="AI1514" t="s">
        <v>3131</v>
      </c>
      <c r="AJ1514">
        <v>39.646825999999997</v>
      </c>
      <c r="AK1514" t="s">
        <v>3132</v>
      </c>
      <c r="AL1514">
        <v>-76.346033000000006</v>
      </c>
      <c r="AM1514">
        <v>100</v>
      </c>
      <c r="AN1514">
        <v>6700</v>
      </c>
      <c r="AO1514" t="s">
        <v>115</v>
      </c>
      <c r="AP1514">
        <v>198</v>
      </c>
      <c r="AQ1514">
        <v>100</v>
      </c>
      <c r="AR1514">
        <v>-1600</v>
      </c>
      <c r="AZ1514">
        <v>3614</v>
      </c>
      <c r="BA1514">
        <v>1</v>
      </c>
      <c r="BB1514" t="str">
        <f t="shared" si="71"/>
        <v xml:space="preserve">N959MJ  </v>
      </c>
      <c r="BC1514">
        <v>1</v>
      </c>
      <c r="BE1514">
        <v>0</v>
      </c>
      <c r="BF1514">
        <v>0</v>
      </c>
      <c r="BG1514">
        <v>0</v>
      </c>
      <c r="BH1514">
        <v>6925</v>
      </c>
      <c r="BI1514">
        <v>225</v>
      </c>
      <c r="BJ1514">
        <v>1</v>
      </c>
      <c r="BK1514">
        <v>1</v>
      </c>
      <c r="BL1514">
        <v>1</v>
      </c>
      <c r="BM1514">
        <v>0</v>
      </c>
      <c r="BP1514">
        <v>0</v>
      </c>
      <c r="BQ1514">
        <v>0</v>
      </c>
      <c r="BX1514" t="str">
        <f>"14:15:36.336"</f>
        <v>14:15:36.336</v>
      </c>
      <c r="BY1514" t="str">
        <f>"338055692"</f>
        <v>338055692</v>
      </c>
      <c r="CL1514">
        <v>0</v>
      </c>
      <c r="CM1514">
        <v>2</v>
      </c>
      <c r="CN1514">
        <v>0</v>
      </c>
      <c r="CO1514">
        <v>2</v>
      </c>
      <c r="CP1514">
        <v>0</v>
      </c>
      <c r="CQ1514">
        <v>5</v>
      </c>
      <c r="CR1514" t="s">
        <v>116</v>
      </c>
      <c r="CS1514">
        <v>39</v>
      </c>
      <c r="CT1514">
        <v>2</v>
      </c>
      <c r="CU1514" t="s">
        <v>2259</v>
      </c>
      <c r="CV1514" t="s">
        <v>2260</v>
      </c>
      <c r="CY1514">
        <v>15723269</v>
      </c>
      <c r="CZ1514" t="s">
        <v>119</v>
      </c>
    </row>
    <row r="1515" spans="1:104" x14ac:dyDescent="0.25">
      <c r="A1515" t="str">
        <f>"14:15:37.453"</f>
        <v>14:15:37.453</v>
      </c>
      <c r="B1515" t="s">
        <v>108</v>
      </c>
      <c r="C1515" t="str">
        <f t="shared" si="70"/>
        <v>ffdfd3c0</v>
      </c>
      <c r="D1515" t="s">
        <v>109</v>
      </c>
      <c r="E1515">
        <v>4</v>
      </c>
      <c r="F1515">
        <v>1004</v>
      </c>
      <c r="G1515" t="s">
        <v>110</v>
      </c>
      <c r="J1515" t="s">
        <v>111</v>
      </c>
      <c r="K1515">
        <v>0</v>
      </c>
      <c r="L1515">
        <v>3</v>
      </c>
      <c r="M1515">
        <v>0</v>
      </c>
      <c r="N1515">
        <v>2</v>
      </c>
      <c r="O1515">
        <v>1</v>
      </c>
      <c r="P1515">
        <v>0</v>
      </c>
      <c r="Q1515">
        <v>0</v>
      </c>
      <c r="R1515" t="s">
        <v>112</v>
      </c>
      <c r="S1515" t="str">
        <f>"14:15:37.281"</f>
        <v>14:15:37.281</v>
      </c>
      <c r="T1515" t="str">
        <f>"14:15:36.883"</f>
        <v>14:15:36.883</v>
      </c>
      <c r="U1515" t="str">
        <f t="shared" si="69"/>
        <v>ad5732</v>
      </c>
      <c r="V1515">
        <v>0</v>
      </c>
      <c r="W1515">
        <v>0</v>
      </c>
      <c r="X1515">
        <v>1</v>
      </c>
      <c r="Z1515">
        <v>0</v>
      </c>
      <c r="AA1515">
        <v>9</v>
      </c>
      <c r="AB1515">
        <v>3</v>
      </c>
      <c r="AC1515">
        <v>0</v>
      </c>
      <c r="AD1515">
        <v>10</v>
      </c>
      <c r="AE1515">
        <v>0</v>
      </c>
      <c r="AF1515">
        <v>3</v>
      </c>
      <c r="AG1515">
        <v>2</v>
      </c>
      <c r="AH1515">
        <v>0</v>
      </c>
      <c r="AI1515" t="s">
        <v>3133</v>
      </c>
      <c r="AJ1515">
        <v>39.647233</v>
      </c>
      <c r="AK1515" t="s">
        <v>3134</v>
      </c>
      <c r="AL1515">
        <v>-76.344981000000004</v>
      </c>
      <c r="AM1515">
        <v>100</v>
      </c>
      <c r="AN1515">
        <v>6700</v>
      </c>
      <c r="AO1515" t="s">
        <v>115</v>
      </c>
      <c r="AP1515">
        <v>199</v>
      </c>
      <c r="AQ1515">
        <v>99</v>
      </c>
      <c r="AR1515">
        <v>-1728</v>
      </c>
      <c r="AZ1515">
        <v>3614</v>
      </c>
      <c r="BA1515">
        <v>1</v>
      </c>
      <c r="BB1515" t="str">
        <f t="shared" si="71"/>
        <v xml:space="preserve">N959MJ  </v>
      </c>
      <c r="BC1515">
        <v>1</v>
      </c>
      <c r="BE1515">
        <v>0</v>
      </c>
      <c r="BF1515">
        <v>0</v>
      </c>
      <c r="BG1515">
        <v>0</v>
      </c>
      <c r="BH1515">
        <v>6900</v>
      </c>
      <c r="BI1515">
        <v>200</v>
      </c>
      <c r="BJ1515">
        <v>1</v>
      </c>
      <c r="BK1515">
        <v>1</v>
      </c>
      <c r="BL1515">
        <v>1</v>
      </c>
      <c r="BM1515">
        <v>0</v>
      </c>
      <c r="BP1515">
        <v>0</v>
      </c>
      <c r="BQ1515">
        <v>0</v>
      </c>
      <c r="BX1515" t="str">
        <f>"14:15:37.281"</f>
        <v>14:15:37.281</v>
      </c>
      <c r="BY1515" t="str">
        <f>"283429931"</f>
        <v>283429931</v>
      </c>
      <c r="CL1515">
        <v>0</v>
      </c>
      <c r="CM1515">
        <v>2</v>
      </c>
      <c r="CN1515">
        <v>0</v>
      </c>
      <c r="CO1515">
        <v>2</v>
      </c>
      <c r="CP1515">
        <v>0</v>
      </c>
      <c r="CQ1515">
        <v>5</v>
      </c>
      <c r="CR1515" t="s">
        <v>116</v>
      </c>
      <c r="CS1515">
        <v>372</v>
      </c>
      <c r="CT1515">
        <v>3</v>
      </c>
      <c r="CU1515" t="s">
        <v>877</v>
      </c>
      <c r="CV1515" t="s">
        <v>878</v>
      </c>
      <c r="CY1515">
        <v>12068829</v>
      </c>
      <c r="CZ1515" t="s">
        <v>119</v>
      </c>
    </row>
    <row r="1516" spans="1:104" x14ac:dyDescent="0.25">
      <c r="A1516" t="str">
        <f>"14:15:38.313"</f>
        <v>14:15:38.313</v>
      </c>
      <c r="B1516" t="s">
        <v>108</v>
      </c>
      <c r="C1516" t="str">
        <f t="shared" si="70"/>
        <v>ffdfd3c0</v>
      </c>
      <c r="D1516" t="s">
        <v>109</v>
      </c>
      <c r="E1516">
        <v>4</v>
      </c>
      <c r="F1516">
        <v>1004</v>
      </c>
      <c r="G1516" t="s">
        <v>110</v>
      </c>
      <c r="J1516" t="s">
        <v>111</v>
      </c>
      <c r="K1516">
        <v>0</v>
      </c>
      <c r="L1516">
        <v>3</v>
      </c>
      <c r="M1516">
        <v>0</v>
      </c>
      <c r="N1516">
        <v>2</v>
      </c>
      <c r="O1516">
        <v>1</v>
      </c>
      <c r="P1516">
        <v>0</v>
      </c>
      <c r="Q1516">
        <v>0</v>
      </c>
      <c r="R1516" t="s">
        <v>112</v>
      </c>
      <c r="S1516" t="str">
        <f>"14:15:38.141"</f>
        <v>14:15:38.141</v>
      </c>
      <c r="T1516" t="str">
        <f>"14:15:37.742"</f>
        <v>14:15:37.742</v>
      </c>
      <c r="U1516" t="str">
        <f t="shared" si="69"/>
        <v>ad5732</v>
      </c>
      <c r="V1516">
        <v>0</v>
      </c>
      <c r="W1516">
        <v>0</v>
      </c>
      <c r="X1516">
        <v>1</v>
      </c>
      <c r="Z1516">
        <v>0</v>
      </c>
      <c r="AA1516">
        <v>9</v>
      </c>
      <c r="AB1516">
        <v>3</v>
      </c>
      <c r="AC1516">
        <v>0</v>
      </c>
      <c r="AD1516">
        <v>10</v>
      </c>
      <c r="AE1516">
        <v>0</v>
      </c>
      <c r="AF1516">
        <v>3</v>
      </c>
      <c r="AG1516">
        <v>2</v>
      </c>
      <c r="AH1516">
        <v>0</v>
      </c>
      <c r="AI1516" t="s">
        <v>3135</v>
      </c>
      <c r="AJ1516">
        <v>39.647641</v>
      </c>
      <c r="AK1516" t="s">
        <v>3136</v>
      </c>
      <c r="AL1516">
        <v>-76.34393</v>
      </c>
      <c r="AM1516">
        <v>100</v>
      </c>
      <c r="AN1516">
        <v>6700</v>
      </c>
      <c r="AO1516" t="s">
        <v>115</v>
      </c>
      <c r="AP1516">
        <v>199</v>
      </c>
      <c r="AQ1516">
        <v>99</v>
      </c>
      <c r="AR1516">
        <v>-1792</v>
      </c>
      <c r="AZ1516">
        <v>3614</v>
      </c>
      <c r="BA1516">
        <v>1</v>
      </c>
      <c r="BB1516" t="str">
        <f t="shared" si="71"/>
        <v xml:space="preserve">N959MJ  </v>
      </c>
      <c r="BC1516">
        <v>1</v>
      </c>
      <c r="BE1516">
        <v>0</v>
      </c>
      <c r="BF1516">
        <v>0</v>
      </c>
      <c r="BG1516">
        <v>0</v>
      </c>
      <c r="BH1516">
        <v>6875</v>
      </c>
      <c r="BI1516">
        <v>175</v>
      </c>
      <c r="BJ1516">
        <v>1</v>
      </c>
      <c r="BK1516">
        <v>1</v>
      </c>
      <c r="BL1516">
        <v>1</v>
      </c>
      <c r="BM1516">
        <v>0</v>
      </c>
      <c r="BP1516">
        <v>0</v>
      </c>
      <c r="BQ1516">
        <v>0</v>
      </c>
      <c r="BX1516" t="str">
        <f>"14:15:38.141"</f>
        <v>14:15:38.141</v>
      </c>
      <c r="BY1516" t="str">
        <f>"141963627"</f>
        <v>141963627</v>
      </c>
      <c r="CL1516">
        <v>0</v>
      </c>
      <c r="CM1516">
        <v>2</v>
      </c>
      <c r="CN1516">
        <v>0</v>
      </c>
      <c r="CO1516">
        <v>2</v>
      </c>
      <c r="CP1516">
        <v>0</v>
      </c>
      <c r="CQ1516">
        <v>5</v>
      </c>
      <c r="CR1516" t="s">
        <v>116</v>
      </c>
      <c r="CS1516">
        <v>39</v>
      </c>
      <c r="CT1516">
        <v>2</v>
      </c>
      <c r="CU1516" t="s">
        <v>2259</v>
      </c>
      <c r="CV1516" t="s">
        <v>2260</v>
      </c>
      <c r="CY1516">
        <v>15726214</v>
      </c>
      <c r="CZ1516" t="s">
        <v>119</v>
      </c>
    </row>
    <row r="1517" spans="1:104" x14ac:dyDescent="0.25">
      <c r="A1517" t="str">
        <f>"14:15:39.172"</f>
        <v>14:15:39.172</v>
      </c>
      <c r="B1517" t="s">
        <v>108</v>
      </c>
      <c r="C1517" t="str">
        <f t="shared" si="70"/>
        <v>ffdfd3c0</v>
      </c>
      <c r="D1517" t="s">
        <v>109</v>
      </c>
      <c r="E1517">
        <v>4</v>
      </c>
      <c r="F1517">
        <v>1004</v>
      </c>
      <c r="G1517" t="s">
        <v>110</v>
      </c>
      <c r="J1517" t="s">
        <v>111</v>
      </c>
      <c r="K1517">
        <v>0</v>
      </c>
      <c r="L1517">
        <v>3</v>
      </c>
      <c r="M1517">
        <v>0</v>
      </c>
      <c r="N1517">
        <v>2</v>
      </c>
      <c r="O1517">
        <v>1</v>
      </c>
      <c r="P1517">
        <v>0</v>
      </c>
      <c r="Q1517">
        <v>0</v>
      </c>
      <c r="R1517" t="s">
        <v>112</v>
      </c>
      <c r="S1517" t="str">
        <f>"14:15:39.023"</f>
        <v>14:15:39.023</v>
      </c>
      <c r="T1517" t="str">
        <f>"14:15:38.625"</f>
        <v>14:15:38.625</v>
      </c>
      <c r="U1517" t="str">
        <f t="shared" si="69"/>
        <v>ad5732</v>
      </c>
      <c r="V1517">
        <v>0</v>
      </c>
      <c r="W1517">
        <v>0</v>
      </c>
      <c r="X1517">
        <v>1</v>
      </c>
      <c r="Z1517">
        <v>0</v>
      </c>
      <c r="AA1517">
        <v>9</v>
      </c>
      <c r="AB1517">
        <v>3</v>
      </c>
      <c r="AC1517">
        <v>0</v>
      </c>
      <c r="AD1517">
        <v>10</v>
      </c>
      <c r="AE1517">
        <v>0</v>
      </c>
      <c r="AF1517">
        <v>3</v>
      </c>
      <c r="AG1517">
        <v>2</v>
      </c>
      <c r="AH1517">
        <v>0</v>
      </c>
      <c r="AI1517" t="s">
        <v>3137</v>
      </c>
      <c r="AJ1517">
        <v>39.648069999999997</v>
      </c>
      <c r="AK1517" t="s">
        <v>3138</v>
      </c>
      <c r="AL1517">
        <v>-76.342834999999994</v>
      </c>
      <c r="AM1517">
        <v>100</v>
      </c>
      <c r="AN1517">
        <v>6600</v>
      </c>
      <c r="AO1517" t="s">
        <v>115</v>
      </c>
      <c r="AP1517">
        <v>199</v>
      </c>
      <c r="AQ1517">
        <v>99</v>
      </c>
      <c r="AR1517">
        <v>-1792</v>
      </c>
      <c r="AZ1517">
        <v>3614</v>
      </c>
      <c r="BA1517">
        <v>1</v>
      </c>
      <c r="BB1517" t="str">
        <f t="shared" si="71"/>
        <v xml:space="preserve">N959MJ  </v>
      </c>
      <c r="BC1517">
        <v>1</v>
      </c>
      <c r="BE1517">
        <v>0</v>
      </c>
      <c r="BF1517">
        <v>0</v>
      </c>
      <c r="BG1517">
        <v>0</v>
      </c>
      <c r="BH1517">
        <v>6850</v>
      </c>
      <c r="BI1517">
        <v>250</v>
      </c>
      <c r="BJ1517">
        <v>1</v>
      </c>
      <c r="BK1517">
        <v>1</v>
      </c>
      <c r="BL1517">
        <v>1</v>
      </c>
      <c r="BM1517">
        <v>0</v>
      </c>
      <c r="BP1517">
        <v>0</v>
      </c>
      <c r="BQ1517">
        <v>0</v>
      </c>
      <c r="BX1517" t="str">
        <f>"14:15:39.023"</f>
        <v>14:15:39.023</v>
      </c>
      <c r="BY1517" t="str">
        <f>"026717113"</f>
        <v>026717113</v>
      </c>
      <c r="CL1517">
        <v>0</v>
      </c>
      <c r="CM1517">
        <v>2</v>
      </c>
      <c r="CN1517">
        <v>0</v>
      </c>
      <c r="CO1517">
        <v>2</v>
      </c>
      <c r="CP1517">
        <v>0</v>
      </c>
      <c r="CQ1517">
        <v>5</v>
      </c>
      <c r="CR1517" t="s">
        <v>116</v>
      </c>
      <c r="CS1517">
        <v>372</v>
      </c>
      <c r="CT1517">
        <v>3</v>
      </c>
      <c r="CU1517" t="s">
        <v>877</v>
      </c>
      <c r="CV1517" t="s">
        <v>878</v>
      </c>
      <c r="CY1517">
        <v>12072003</v>
      </c>
      <c r="CZ1517" t="s">
        <v>119</v>
      </c>
    </row>
    <row r="1518" spans="1:104" x14ac:dyDescent="0.25">
      <c r="A1518" t="str">
        <f>"14:15:40.078"</f>
        <v>14:15:40.078</v>
      </c>
      <c r="B1518" t="s">
        <v>108</v>
      </c>
      <c r="C1518" t="str">
        <f t="shared" si="70"/>
        <v>ffdfd3c0</v>
      </c>
      <c r="D1518" t="s">
        <v>109</v>
      </c>
      <c r="E1518">
        <v>4</v>
      </c>
      <c r="F1518">
        <v>1004</v>
      </c>
      <c r="G1518" t="s">
        <v>110</v>
      </c>
      <c r="J1518" t="s">
        <v>111</v>
      </c>
      <c r="K1518">
        <v>0</v>
      </c>
      <c r="L1518">
        <v>3</v>
      </c>
      <c r="M1518">
        <v>0</v>
      </c>
      <c r="N1518">
        <v>2</v>
      </c>
      <c r="O1518">
        <v>1</v>
      </c>
      <c r="P1518">
        <v>0</v>
      </c>
      <c r="Q1518">
        <v>0</v>
      </c>
      <c r="R1518" t="s">
        <v>112</v>
      </c>
      <c r="S1518" t="str">
        <f>"14:15:39.914"</f>
        <v>14:15:39.914</v>
      </c>
      <c r="T1518" t="str">
        <f>"14:15:39.117"</f>
        <v>14:15:39.117</v>
      </c>
      <c r="U1518" t="str">
        <f t="shared" si="69"/>
        <v>ad5732</v>
      </c>
      <c r="V1518">
        <v>0</v>
      </c>
      <c r="W1518">
        <v>0</v>
      </c>
      <c r="X1518">
        <v>1</v>
      </c>
      <c r="Z1518">
        <v>0</v>
      </c>
      <c r="AA1518">
        <v>9</v>
      </c>
      <c r="AB1518">
        <v>3</v>
      </c>
      <c r="AC1518">
        <v>0</v>
      </c>
      <c r="AD1518">
        <v>10</v>
      </c>
      <c r="AE1518">
        <v>0</v>
      </c>
      <c r="AF1518">
        <v>3</v>
      </c>
      <c r="AG1518">
        <v>2</v>
      </c>
      <c r="AH1518">
        <v>0</v>
      </c>
      <c r="AI1518" t="s">
        <v>3139</v>
      </c>
      <c r="AJ1518">
        <v>39.648521000000002</v>
      </c>
      <c r="AK1518" t="s">
        <v>3140</v>
      </c>
      <c r="AL1518">
        <v>-76.341719999999995</v>
      </c>
      <c r="AM1518">
        <v>100</v>
      </c>
      <c r="AN1518">
        <v>6600</v>
      </c>
      <c r="AO1518" t="s">
        <v>115</v>
      </c>
      <c r="AP1518">
        <v>200</v>
      </c>
      <c r="AQ1518">
        <v>99</v>
      </c>
      <c r="AR1518">
        <v>-1792</v>
      </c>
      <c r="AZ1518">
        <v>3614</v>
      </c>
      <c r="BA1518">
        <v>1</v>
      </c>
      <c r="BB1518" t="str">
        <f t="shared" si="71"/>
        <v xml:space="preserve">N959MJ  </v>
      </c>
      <c r="BC1518">
        <v>1</v>
      </c>
      <c r="BE1518">
        <v>0</v>
      </c>
      <c r="BF1518">
        <v>0</v>
      </c>
      <c r="BG1518">
        <v>0</v>
      </c>
      <c r="BH1518">
        <v>6825</v>
      </c>
      <c r="BI1518">
        <v>225</v>
      </c>
      <c r="BJ1518">
        <v>1</v>
      </c>
      <c r="BK1518">
        <v>1</v>
      </c>
      <c r="BL1518">
        <v>1</v>
      </c>
      <c r="BM1518">
        <v>0</v>
      </c>
      <c r="BP1518">
        <v>0</v>
      </c>
      <c r="BQ1518">
        <v>0</v>
      </c>
      <c r="BX1518" t="str">
        <f>"14:15:39.922"</f>
        <v>14:15:39.922</v>
      </c>
      <c r="BY1518" t="str">
        <f>"921295225"</f>
        <v>921295225</v>
      </c>
      <c r="CL1518">
        <v>0</v>
      </c>
      <c r="CM1518">
        <v>2</v>
      </c>
      <c r="CN1518">
        <v>0</v>
      </c>
      <c r="CO1518">
        <v>2</v>
      </c>
      <c r="CP1518">
        <v>0</v>
      </c>
      <c r="CQ1518">
        <v>5</v>
      </c>
      <c r="CR1518" t="s">
        <v>116</v>
      </c>
      <c r="CS1518">
        <v>39</v>
      </c>
      <c r="CT1518">
        <v>2</v>
      </c>
      <c r="CU1518" t="s">
        <v>2259</v>
      </c>
      <c r="CV1518" t="s">
        <v>2260</v>
      </c>
      <c r="CY1518">
        <v>15728963</v>
      </c>
      <c r="CZ1518" t="s">
        <v>119</v>
      </c>
    </row>
    <row r="1519" spans="1:104" x14ac:dyDescent="0.25">
      <c r="A1519" t="str">
        <f>"14:15:41.141"</f>
        <v>14:15:41.141</v>
      </c>
      <c r="B1519" t="s">
        <v>108</v>
      </c>
      <c r="C1519" t="str">
        <f t="shared" si="70"/>
        <v>ffdfd3c0</v>
      </c>
      <c r="D1519" t="s">
        <v>109</v>
      </c>
      <c r="E1519">
        <v>4</v>
      </c>
      <c r="F1519">
        <v>1004</v>
      </c>
      <c r="G1519" t="s">
        <v>110</v>
      </c>
      <c r="J1519" t="s">
        <v>111</v>
      </c>
      <c r="K1519">
        <v>0</v>
      </c>
      <c r="L1519">
        <v>3</v>
      </c>
      <c r="M1519">
        <v>0</v>
      </c>
      <c r="N1519">
        <v>2</v>
      </c>
      <c r="O1519">
        <v>1</v>
      </c>
      <c r="P1519">
        <v>0</v>
      </c>
      <c r="Q1519">
        <v>0</v>
      </c>
      <c r="R1519" t="s">
        <v>112</v>
      </c>
      <c r="S1519" t="str">
        <f>"14:15:40.930"</f>
        <v>14:15:40.930</v>
      </c>
      <c r="T1519" t="str">
        <f>"14:15:40.430"</f>
        <v>14:15:40.430</v>
      </c>
      <c r="U1519" t="str">
        <f t="shared" si="69"/>
        <v>ad5732</v>
      </c>
      <c r="V1519">
        <v>0</v>
      </c>
      <c r="W1519">
        <v>0</v>
      </c>
      <c r="X1519">
        <v>1</v>
      </c>
      <c r="Z1519">
        <v>0</v>
      </c>
      <c r="AA1519">
        <v>9</v>
      </c>
      <c r="AB1519">
        <v>3</v>
      </c>
      <c r="AC1519">
        <v>0</v>
      </c>
      <c r="AD1519">
        <v>10</v>
      </c>
      <c r="AE1519">
        <v>0</v>
      </c>
      <c r="AF1519">
        <v>3</v>
      </c>
      <c r="AG1519">
        <v>2</v>
      </c>
      <c r="AH1519">
        <v>0</v>
      </c>
      <c r="AI1519" t="s">
        <v>3141</v>
      </c>
      <c r="AJ1519">
        <v>39.648972000000001</v>
      </c>
      <c r="AK1519" t="s">
        <v>3142</v>
      </c>
      <c r="AL1519">
        <v>-76.340539000000007</v>
      </c>
      <c r="AM1519">
        <v>100</v>
      </c>
      <c r="AN1519">
        <v>6600</v>
      </c>
      <c r="AO1519" t="s">
        <v>115</v>
      </c>
      <c r="AP1519">
        <v>200</v>
      </c>
      <c r="AQ1519">
        <v>99</v>
      </c>
      <c r="AR1519">
        <v>-1792</v>
      </c>
      <c r="AZ1519">
        <v>3614</v>
      </c>
      <c r="BA1519">
        <v>1</v>
      </c>
      <c r="BB1519" t="str">
        <f t="shared" si="71"/>
        <v xml:space="preserve">N959MJ  </v>
      </c>
      <c r="BC1519">
        <v>1</v>
      </c>
      <c r="BE1519">
        <v>0</v>
      </c>
      <c r="BF1519">
        <v>0</v>
      </c>
      <c r="BG1519">
        <v>0</v>
      </c>
      <c r="BH1519">
        <v>6800</v>
      </c>
      <c r="BI1519">
        <v>200</v>
      </c>
      <c r="BJ1519">
        <v>1</v>
      </c>
      <c r="BK1519">
        <v>1</v>
      </c>
      <c r="BL1519">
        <v>1</v>
      </c>
      <c r="BM1519">
        <v>0</v>
      </c>
      <c r="BP1519">
        <v>0</v>
      </c>
      <c r="BQ1519">
        <v>0</v>
      </c>
      <c r="BX1519" t="str">
        <f>"14:15:40.938"</f>
        <v>14:15:40.938</v>
      </c>
      <c r="BY1519" t="str">
        <f>"937006570"</f>
        <v>937006570</v>
      </c>
      <c r="CL1519">
        <v>0</v>
      </c>
      <c r="CM1519">
        <v>2</v>
      </c>
      <c r="CN1519">
        <v>0</v>
      </c>
      <c r="CO1519">
        <v>2</v>
      </c>
      <c r="CP1519">
        <v>0</v>
      </c>
      <c r="CQ1519">
        <v>6</v>
      </c>
      <c r="CR1519" t="s">
        <v>116</v>
      </c>
      <c r="CS1519">
        <v>396</v>
      </c>
      <c r="CT1519">
        <v>2</v>
      </c>
      <c r="CU1519" t="s">
        <v>939</v>
      </c>
      <c r="CV1519" t="s">
        <v>940</v>
      </c>
      <c r="CY1519">
        <v>5425811</v>
      </c>
      <c r="CZ1519" t="s">
        <v>119</v>
      </c>
    </row>
    <row r="1520" spans="1:104" x14ac:dyDescent="0.25">
      <c r="A1520" t="str">
        <f>"14:15:42.000"</f>
        <v>14:15:42.000</v>
      </c>
      <c r="B1520" t="s">
        <v>108</v>
      </c>
      <c r="C1520" t="str">
        <f t="shared" si="70"/>
        <v>ffdfd3c0</v>
      </c>
      <c r="D1520" t="s">
        <v>109</v>
      </c>
      <c r="E1520">
        <v>4</v>
      </c>
      <c r="F1520">
        <v>1004</v>
      </c>
      <c r="G1520" t="s">
        <v>110</v>
      </c>
      <c r="J1520" t="s">
        <v>111</v>
      </c>
      <c r="K1520">
        <v>0</v>
      </c>
      <c r="L1520">
        <v>3</v>
      </c>
      <c r="M1520">
        <v>0</v>
      </c>
      <c r="N1520">
        <v>2</v>
      </c>
      <c r="O1520">
        <v>1</v>
      </c>
      <c r="P1520">
        <v>0</v>
      </c>
      <c r="Q1520">
        <v>0</v>
      </c>
      <c r="R1520" t="s">
        <v>112</v>
      </c>
      <c r="S1520" t="str">
        <f>"14:15:41.828"</f>
        <v>14:15:41.828</v>
      </c>
      <c r="T1520" t="str">
        <f>"14:15:41.430"</f>
        <v>14:15:41.430</v>
      </c>
      <c r="U1520" t="str">
        <f t="shared" si="69"/>
        <v>ad5732</v>
      </c>
      <c r="V1520">
        <v>0</v>
      </c>
      <c r="W1520">
        <v>0</v>
      </c>
      <c r="X1520">
        <v>1</v>
      </c>
      <c r="Z1520">
        <v>0</v>
      </c>
      <c r="AA1520">
        <v>9</v>
      </c>
      <c r="AB1520">
        <v>3</v>
      </c>
      <c r="AC1520">
        <v>0</v>
      </c>
      <c r="AD1520">
        <v>10</v>
      </c>
      <c r="AE1520">
        <v>0</v>
      </c>
      <c r="AF1520">
        <v>3</v>
      </c>
      <c r="AG1520">
        <v>2</v>
      </c>
      <c r="AH1520">
        <v>0</v>
      </c>
      <c r="AI1520" t="s">
        <v>3143</v>
      </c>
      <c r="AJ1520">
        <v>39.649379000000003</v>
      </c>
      <c r="AK1520" t="s">
        <v>3144</v>
      </c>
      <c r="AL1520">
        <v>-76.339488000000003</v>
      </c>
      <c r="AM1520">
        <v>100</v>
      </c>
      <c r="AN1520">
        <v>6500</v>
      </c>
      <c r="AO1520" t="s">
        <v>115</v>
      </c>
      <c r="AP1520">
        <v>200</v>
      </c>
      <c r="AQ1520">
        <v>99</v>
      </c>
      <c r="AR1520">
        <v>-1728</v>
      </c>
      <c r="AZ1520">
        <v>3614</v>
      </c>
      <c r="BA1520">
        <v>1</v>
      </c>
      <c r="BB1520" t="str">
        <f t="shared" si="71"/>
        <v xml:space="preserve">N959MJ  </v>
      </c>
      <c r="BC1520">
        <v>1</v>
      </c>
      <c r="BE1520">
        <v>0</v>
      </c>
      <c r="BF1520">
        <v>0</v>
      </c>
      <c r="BG1520">
        <v>0</v>
      </c>
      <c r="BH1520">
        <v>6750</v>
      </c>
      <c r="BI1520">
        <v>250</v>
      </c>
      <c r="BJ1520">
        <v>1</v>
      </c>
      <c r="BK1520">
        <v>1</v>
      </c>
      <c r="BL1520">
        <v>1</v>
      </c>
      <c r="BM1520">
        <v>0</v>
      </c>
      <c r="BP1520">
        <v>0</v>
      </c>
      <c r="BQ1520">
        <v>0</v>
      </c>
      <c r="BX1520" t="str">
        <f>"14:15:41.836"</f>
        <v>14:15:41.836</v>
      </c>
      <c r="BY1520" t="str">
        <f>"833226373"</f>
        <v>833226373</v>
      </c>
      <c r="CL1520">
        <v>0</v>
      </c>
      <c r="CM1520">
        <v>2</v>
      </c>
      <c r="CN1520">
        <v>0</v>
      </c>
      <c r="CO1520">
        <v>2</v>
      </c>
      <c r="CP1520">
        <v>0</v>
      </c>
      <c r="CQ1520">
        <v>6</v>
      </c>
      <c r="CR1520" t="s">
        <v>116</v>
      </c>
      <c r="CS1520">
        <v>396</v>
      </c>
      <c r="CT1520">
        <v>1</v>
      </c>
      <c r="CU1520" t="s">
        <v>939</v>
      </c>
      <c r="CV1520" t="s">
        <v>940</v>
      </c>
      <c r="CY1520">
        <v>9015914</v>
      </c>
      <c r="CZ1520" t="s">
        <v>119</v>
      </c>
    </row>
    <row r="1521" spans="1:104" x14ac:dyDescent="0.25">
      <c r="A1521" t="str">
        <f>"14:15:42.906"</f>
        <v>14:15:42.906</v>
      </c>
      <c r="B1521" t="s">
        <v>108</v>
      </c>
      <c r="C1521" t="str">
        <f t="shared" si="70"/>
        <v>ffdfd3c0</v>
      </c>
      <c r="D1521" t="s">
        <v>109</v>
      </c>
      <c r="E1521">
        <v>4</v>
      </c>
      <c r="F1521">
        <v>1004</v>
      </c>
      <c r="G1521" t="s">
        <v>110</v>
      </c>
      <c r="J1521" t="s">
        <v>111</v>
      </c>
      <c r="K1521">
        <v>0</v>
      </c>
      <c r="L1521">
        <v>3</v>
      </c>
      <c r="M1521">
        <v>0</v>
      </c>
      <c r="N1521">
        <v>2</v>
      </c>
      <c r="O1521">
        <v>1</v>
      </c>
      <c r="P1521">
        <v>0</v>
      </c>
      <c r="Q1521">
        <v>0</v>
      </c>
      <c r="R1521" t="s">
        <v>112</v>
      </c>
      <c r="S1521" t="str">
        <f>"14:15:42.727"</f>
        <v>14:15:42.727</v>
      </c>
      <c r="T1521" t="str">
        <f>"14:15:42.328"</f>
        <v>14:15:42.328</v>
      </c>
      <c r="U1521" t="str">
        <f t="shared" si="69"/>
        <v>ad5732</v>
      </c>
      <c r="V1521">
        <v>0</v>
      </c>
      <c r="W1521">
        <v>0</v>
      </c>
      <c r="X1521">
        <v>1</v>
      </c>
      <c r="Z1521">
        <v>0</v>
      </c>
      <c r="AA1521">
        <v>9</v>
      </c>
      <c r="AB1521">
        <v>3</v>
      </c>
      <c r="AC1521">
        <v>0</v>
      </c>
      <c r="AD1521">
        <v>10</v>
      </c>
      <c r="AE1521">
        <v>0</v>
      </c>
      <c r="AF1521">
        <v>3</v>
      </c>
      <c r="AG1521">
        <v>2</v>
      </c>
      <c r="AH1521">
        <v>0</v>
      </c>
      <c r="AI1521" t="s">
        <v>3145</v>
      </c>
      <c r="AJ1521">
        <v>39.649787000000003</v>
      </c>
      <c r="AK1521" t="s">
        <v>3146</v>
      </c>
      <c r="AL1521">
        <v>-76.338372000000007</v>
      </c>
      <c r="AM1521">
        <v>100</v>
      </c>
      <c r="AN1521">
        <v>6500</v>
      </c>
      <c r="AO1521" t="s">
        <v>115</v>
      </c>
      <c r="AP1521">
        <v>201</v>
      </c>
      <c r="AQ1521">
        <v>100</v>
      </c>
      <c r="AR1521">
        <v>-1728</v>
      </c>
      <c r="AZ1521">
        <v>3614</v>
      </c>
      <c r="BA1521">
        <v>1</v>
      </c>
      <c r="BB1521" t="str">
        <f t="shared" si="71"/>
        <v xml:space="preserve">N959MJ  </v>
      </c>
      <c r="BC1521">
        <v>1</v>
      </c>
      <c r="BE1521">
        <v>0</v>
      </c>
      <c r="BF1521">
        <v>0</v>
      </c>
      <c r="BG1521">
        <v>0</v>
      </c>
      <c r="BH1521">
        <v>6725</v>
      </c>
      <c r="BI1521">
        <v>225</v>
      </c>
      <c r="BJ1521">
        <v>1</v>
      </c>
      <c r="BK1521">
        <v>1</v>
      </c>
      <c r="BL1521">
        <v>1</v>
      </c>
      <c r="BM1521">
        <v>0</v>
      </c>
      <c r="BP1521">
        <v>0</v>
      </c>
      <c r="BQ1521">
        <v>0</v>
      </c>
      <c r="BX1521" t="str">
        <f>"14:15:42.734"</f>
        <v>14:15:42.734</v>
      </c>
      <c r="BY1521" t="str">
        <f>"732723148"</f>
        <v>732723148</v>
      </c>
      <c r="CL1521">
        <v>0</v>
      </c>
      <c r="CM1521">
        <v>2</v>
      </c>
      <c r="CN1521">
        <v>0</v>
      </c>
      <c r="CO1521">
        <v>2</v>
      </c>
      <c r="CP1521">
        <v>0</v>
      </c>
      <c r="CQ1521">
        <v>6</v>
      </c>
      <c r="CR1521" t="s">
        <v>116</v>
      </c>
      <c r="CS1521">
        <v>396</v>
      </c>
      <c r="CT1521">
        <v>2</v>
      </c>
      <c r="CU1521" t="s">
        <v>939</v>
      </c>
      <c r="CV1521" t="s">
        <v>940</v>
      </c>
      <c r="CY1521">
        <v>5428923</v>
      </c>
      <c r="CZ1521" t="s">
        <v>119</v>
      </c>
    </row>
    <row r="1522" spans="1:104" x14ac:dyDescent="0.25">
      <c r="A1522" t="str">
        <f>"14:15:43.969"</f>
        <v>14:15:43.969</v>
      </c>
      <c r="B1522" t="s">
        <v>108</v>
      </c>
      <c r="C1522" t="str">
        <f t="shared" si="70"/>
        <v>ffdfd3c0</v>
      </c>
      <c r="D1522" t="s">
        <v>109</v>
      </c>
      <c r="E1522">
        <v>4</v>
      </c>
      <c r="F1522">
        <v>1004</v>
      </c>
      <c r="G1522" t="s">
        <v>110</v>
      </c>
      <c r="J1522" t="s">
        <v>111</v>
      </c>
      <c r="K1522">
        <v>0</v>
      </c>
      <c r="L1522">
        <v>3</v>
      </c>
      <c r="M1522">
        <v>0</v>
      </c>
      <c r="N1522">
        <v>2</v>
      </c>
      <c r="O1522">
        <v>1</v>
      </c>
      <c r="P1522">
        <v>0</v>
      </c>
      <c r="Q1522">
        <v>0</v>
      </c>
      <c r="R1522" t="s">
        <v>112</v>
      </c>
      <c r="S1522" t="str">
        <f>"14:15:43.805"</f>
        <v>14:15:43.805</v>
      </c>
      <c r="T1522" t="str">
        <f>"14:15:43.305"</f>
        <v>14:15:43.305</v>
      </c>
      <c r="U1522" t="str">
        <f t="shared" si="69"/>
        <v>ad5732</v>
      </c>
      <c r="V1522">
        <v>0</v>
      </c>
      <c r="W1522">
        <v>0</v>
      </c>
      <c r="X1522">
        <v>1</v>
      </c>
      <c r="Z1522">
        <v>0</v>
      </c>
      <c r="AA1522">
        <v>9</v>
      </c>
      <c r="AB1522">
        <v>3</v>
      </c>
      <c r="AC1522">
        <v>0</v>
      </c>
      <c r="AD1522">
        <v>10</v>
      </c>
      <c r="AE1522">
        <v>0</v>
      </c>
      <c r="AF1522">
        <v>3</v>
      </c>
      <c r="AG1522">
        <v>2</v>
      </c>
      <c r="AH1522">
        <v>0</v>
      </c>
      <c r="AI1522" t="s">
        <v>3147</v>
      </c>
      <c r="AJ1522">
        <v>39.650302000000003</v>
      </c>
      <c r="AK1522" t="s">
        <v>3148</v>
      </c>
      <c r="AL1522">
        <v>-76.337041999999997</v>
      </c>
      <c r="AM1522">
        <v>100</v>
      </c>
      <c r="AN1522">
        <v>6500</v>
      </c>
      <c r="AO1522" t="s">
        <v>115</v>
      </c>
      <c r="AP1522">
        <v>201</v>
      </c>
      <c r="AQ1522">
        <v>100</v>
      </c>
      <c r="AR1522">
        <v>-1728</v>
      </c>
      <c r="AZ1522">
        <v>3614</v>
      </c>
      <c r="BA1522">
        <v>1</v>
      </c>
      <c r="BB1522" t="str">
        <f t="shared" si="71"/>
        <v xml:space="preserve">N959MJ  </v>
      </c>
      <c r="BC1522">
        <v>1</v>
      </c>
      <c r="BE1522">
        <v>0</v>
      </c>
      <c r="BF1522">
        <v>0</v>
      </c>
      <c r="BG1522">
        <v>0</v>
      </c>
      <c r="BH1522">
        <v>6700</v>
      </c>
      <c r="BI1522">
        <v>200</v>
      </c>
      <c r="BJ1522">
        <v>1</v>
      </c>
      <c r="BK1522">
        <v>1</v>
      </c>
      <c r="BL1522">
        <v>1</v>
      </c>
      <c r="BM1522">
        <v>0</v>
      </c>
      <c r="BP1522">
        <v>0</v>
      </c>
      <c r="BQ1522">
        <v>0</v>
      </c>
      <c r="BX1522" t="str">
        <f>"14:15:43.813"</f>
        <v>14:15:43.813</v>
      </c>
      <c r="BY1522" t="str">
        <f>"809170064"</f>
        <v>809170064</v>
      </c>
      <c r="CL1522">
        <v>0</v>
      </c>
      <c r="CM1522">
        <v>2</v>
      </c>
      <c r="CN1522">
        <v>0</v>
      </c>
      <c r="CO1522">
        <v>2</v>
      </c>
      <c r="CP1522">
        <v>0</v>
      </c>
      <c r="CQ1522">
        <v>6</v>
      </c>
      <c r="CR1522" t="s">
        <v>116</v>
      </c>
      <c r="CS1522">
        <v>396</v>
      </c>
      <c r="CT1522">
        <v>1</v>
      </c>
      <c r="CU1522" t="s">
        <v>939</v>
      </c>
      <c r="CV1522" t="s">
        <v>940</v>
      </c>
      <c r="CY1522">
        <v>9019260</v>
      </c>
      <c r="CZ1522" t="s">
        <v>119</v>
      </c>
    </row>
    <row r="1523" spans="1:104" x14ac:dyDescent="0.25">
      <c r="A1523" t="str">
        <f>"14:15:45.023"</f>
        <v>14:15:45.023</v>
      </c>
      <c r="B1523" t="s">
        <v>108</v>
      </c>
      <c r="C1523" t="str">
        <f t="shared" si="70"/>
        <v>ffdfd3c0</v>
      </c>
      <c r="D1523" t="s">
        <v>109</v>
      </c>
      <c r="E1523">
        <v>4</v>
      </c>
      <c r="F1523">
        <v>1004</v>
      </c>
      <c r="G1523" t="s">
        <v>110</v>
      </c>
      <c r="J1523" t="s">
        <v>111</v>
      </c>
      <c r="K1523">
        <v>0</v>
      </c>
      <c r="L1523">
        <v>3</v>
      </c>
      <c r="M1523">
        <v>0</v>
      </c>
      <c r="N1523">
        <v>2</v>
      </c>
      <c r="O1523">
        <v>1</v>
      </c>
      <c r="P1523">
        <v>0</v>
      </c>
      <c r="Q1523">
        <v>0</v>
      </c>
      <c r="R1523" t="s">
        <v>112</v>
      </c>
      <c r="S1523" t="str">
        <f>"14:15:44.852"</f>
        <v>14:15:44.852</v>
      </c>
      <c r="T1523" t="str">
        <f>"14:15:44.453"</f>
        <v>14:15:44.453</v>
      </c>
      <c r="U1523" t="str">
        <f t="shared" si="69"/>
        <v>ad5732</v>
      </c>
      <c r="V1523">
        <v>0</v>
      </c>
      <c r="W1523">
        <v>0</v>
      </c>
      <c r="X1523">
        <v>1</v>
      </c>
      <c r="Z1523">
        <v>0</v>
      </c>
      <c r="AA1523">
        <v>9</v>
      </c>
      <c r="AB1523">
        <v>3</v>
      </c>
      <c r="AC1523">
        <v>0</v>
      </c>
      <c r="AD1523">
        <v>10</v>
      </c>
      <c r="AE1523">
        <v>0</v>
      </c>
      <c r="AF1523">
        <v>3</v>
      </c>
      <c r="AG1523">
        <v>2</v>
      </c>
      <c r="AH1523">
        <v>0</v>
      </c>
      <c r="AI1523" t="s">
        <v>3149</v>
      </c>
      <c r="AJ1523">
        <v>39.650773999999998</v>
      </c>
      <c r="AK1523" t="s">
        <v>3150</v>
      </c>
      <c r="AL1523">
        <v>-76.335882999999995</v>
      </c>
      <c r="AM1523">
        <v>100</v>
      </c>
      <c r="AN1523">
        <v>6500</v>
      </c>
      <c r="AO1523" t="s">
        <v>115</v>
      </c>
      <c r="AP1523">
        <v>201</v>
      </c>
      <c r="AQ1523">
        <v>100</v>
      </c>
      <c r="AR1523">
        <v>-1728</v>
      </c>
      <c r="AZ1523">
        <v>3614</v>
      </c>
      <c r="BA1523">
        <v>1</v>
      </c>
      <c r="BB1523" t="str">
        <f t="shared" si="71"/>
        <v xml:space="preserve">N959MJ  </v>
      </c>
      <c r="BC1523">
        <v>1</v>
      </c>
      <c r="BE1523">
        <v>0</v>
      </c>
      <c r="BF1523">
        <v>0</v>
      </c>
      <c r="BG1523">
        <v>0</v>
      </c>
      <c r="BH1523">
        <v>6675</v>
      </c>
      <c r="BI1523">
        <v>175</v>
      </c>
      <c r="BJ1523">
        <v>1</v>
      </c>
      <c r="BK1523">
        <v>1</v>
      </c>
      <c r="BL1523">
        <v>1</v>
      </c>
      <c r="BM1523">
        <v>0</v>
      </c>
      <c r="BP1523">
        <v>0</v>
      </c>
      <c r="BQ1523">
        <v>0</v>
      </c>
      <c r="BX1523" t="str">
        <f>"14:15:44.859"</f>
        <v>14:15:44.859</v>
      </c>
      <c r="BY1523" t="str">
        <f>"856125323"</f>
        <v>856125323</v>
      </c>
      <c r="CL1523">
        <v>0</v>
      </c>
      <c r="CM1523">
        <v>2</v>
      </c>
      <c r="CN1523">
        <v>0</v>
      </c>
      <c r="CO1523">
        <v>2</v>
      </c>
      <c r="CP1523">
        <v>0</v>
      </c>
      <c r="CQ1523">
        <v>6</v>
      </c>
      <c r="CR1523" t="s">
        <v>116</v>
      </c>
      <c r="CS1523">
        <v>396</v>
      </c>
      <c r="CT1523">
        <v>2</v>
      </c>
      <c r="CU1523" t="s">
        <v>939</v>
      </c>
      <c r="CV1523" t="s">
        <v>940</v>
      </c>
      <c r="CY1523">
        <v>5432658</v>
      </c>
      <c r="CZ1523" t="s">
        <v>119</v>
      </c>
    </row>
    <row r="1524" spans="1:104" x14ac:dyDescent="0.25">
      <c r="A1524" t="str">
        <f>"14:15:46.086"</f>
        <v>14:15:46.086</v>
      </c>
      <c r="B1524" t="s">
        <v>108</v>
      </c>
      <c r="C1524" t="str">
        <f t="shared" si="70"/>
        <v>ffdfd3c0</v>
      </c>
      <c r="D1524" t="s">
        <v>109</v>
      </c>
      <c r="E1524">
        <v>4</v>
      </c>
      <c r="F1524">
        <v>1004</v>
      </c>
      <c r="G1524" t="s">
        <v>110</v>
      </c>
      <c r="J1524" t="s">
        <v>111</v>
      </c>
      <c r="K1524">
        <v>0</v>
      </c>
      <c r="L1524">
        <v>3</v>
      </c>
      <c r="M1524">
        <v>0</v>
      </c>
      <c r="N1524">
        <v>2</v>
      </c>
      <c r="O1524">
        <v>1</v>
      </c>
      <c r="P1524">
        <v>0</v>
      </c>
      <c r="Q1524">
        <v>0</v>
      </c>
      <c r="R1524" t="s">
        <v>112</v>
      </c>
      <c r="S1524" t="str">
        <f>"14:15:45.883"</f>
        <v>14:15:45.883</v>
      </c>
      <c r="T1524" t="str">
        <f>"14:15:45.484"</f>
        <v>14:15:45.484</v>
      </c>
      <c r="U1524" t="str">
        <f t="shared" si="69"/>
        <v>ad5732</v>
      </c>
      <c r="V1524">
        <v>0</v>
      </c>
      <c r="W1524">
        <v>0</v>
      </c>
      <c r="X1524">
        <v>1</v>
      </c>
      <c r="Z1524">
        <v>0</v>
      </c>
      <c r="AA1524">
        <v>9</v>
      </c>
      <c r="AB1524">
        <v>3</v>
      </c>
      <c r="AC1524">
        <v>0</v>
      </c>
      <c r="AD1524">
        <v>10</v>
      </c>
      <c r="AE1524">
        <v>0</v>
      </c>
      <c r="AF1524">
        <v>3</v>
      </c>
      <c r="AG1524">
        <v>2</v>
      </c>
      <c r="AH1524">
        <v>0</v>
      </c>
      <c r="AI1524" t="s">
        <v>3151</v>
      </c>
      <c r="AJ1524">
        <v>39.651246</v>
      </c>
      <c r="AK1524" t="s">
        <v>3152</v>
      </c>
      <c r="AL1524">
        <v>-76.33466</v>
      </c>
      <c r="AM1524">
        <v>100</v>
      </c>
      <c r="AN1524">
        <v>6400</v>
      </c>
      <c r="AO1524" t="s">
        <v>115</v>
      </c>
      <c r="AP1524">
        <v>201</v>
      </c>
      <c r="AQ1524">
        <v>100</v>
      </c>
      <c r="AR1524">
        <v>-1728</v>
      </c>
      <c r="AZ1524">
        <v>3614</v>
      </c>
      <c r="BA1524">
        <v>1</v>
      </c>
      <c r="BB1524" t="str">
        <f t="shared" si="71"/>
        <v xml:space="preserve">N959MJ  </v>
      </c>
      <c r="BC1524">
        <v>1</v>
      </c>
      <c r="BE1524">
        <v>0</v>
      </c>
      <c r="BF1524">
        <v>0</v>
      </c>
      <c r="BG1524">
        <v>0</v>
      </c>
      <c r="BH1524">
        <v>6625</v>
      </c>
      <c r="BI1524">
        <v>225</v>
      </c>
      <c r="BJ1524">
        <v>1</v>
      </c>
      <c r="BK1524">
        <v>1</v>
      </c>
      <c r="BL1524">
        <v>1</v>
      </c>
      <c r="BM1524">
        <v>0</v>
      </c>
      <c r="BP1524">
        <v>0</v>
      </c>
      <c r="BQ1524">
        <v>0</v>
      </c>
      <c r="BX1524" t="str">
        <f>"14:15:45.883"</f>
        <v>14:15:45.883</v>
      </c>
      <c r="BY1524" t="str">
        <f>"885057810"</f>
        <v>885057810</v>
      </c>
      <c r="CL1524">
        <v>0</v>
      </c>
      <c r="CM1524">
        <v>2</v>
      </c>
      <c r="CN1524">
        <v>0</v>
      </c>
      <c r="CO1524">
        <v>2</v>
      </c>
      <c r="CP1524">
        <v>0</v>
      </c>
      <c r="CQ1524">
        <v>6</v>
      </c>
      <c r="CR1524" t="s">
        <v>116</v>
      </c>
      <c r="CS1524">
        <v>396</v>
      </c>
      <c r="CT1524">
        <v>2</v>
      </c>
      <c r="CU1524" t="s">
        <v>939</v>
      </c>
      <c r="CV1524" t="s">
        <v>940</v>
      </c>
      <c r="CY1524">
        <v>5434497</v>
      </c>
      <c r="CZ1524" t="s">
        <v>119</v>
      </c>
    </row>
    <row r="1525" spans="1:104" x14ac:dyDescent="0.25">
      <c r="A1525" t="str">
        <f>"14:15:46.992"</f>
        <v>14:15:46.992</v>
      </c>
      <c r="B1525" t="s">
        <v>108</v>
      </c>
      <c r="C1525" t="str">
        <f t="shared" si="70"/>
        <v>ffdfd3c0</v>
      </c>
      <c r="D1525" t="s">
        <v>109</v>
      </c>
      <c r="E1525">
        <v>4</v>
      </c>
      <c r="F1525">
        <v>1004</v>
      </c>
      <c r="G1525" t="s">
        <v>110</v>
      </c>
      <c r="J1525" t="s">
        <v>111</v>
      </c>
      <c r="K1525">
        <v>0</v>
      </c>
      <c r="L1525">
        <v>3</v>
      </c>
      <c r="M1525">
        <v>0</v>
      </c>
      <c r="N1525">
        <v>2</v>
      </c>
      <c r="O1525">
        <v>1</v>
      </c>
      <c r="P1525">
        <v>0</v>
      </c>
      <c r="Q1525">
        <v>0</v>
      </c>
      <c r="R1525" t="s">
        <v>112</v>
      </c>
      <c r="S1525" t="str">
        <f>"14:15:46.789"</f>
        <v>14:15:46.789</v>
      </c>
      <c r="T1525" t="str">
        <f>"14:15:46.391"</f>
        <v>14:15:46.391</v>
      </c>
      <c r="U1525" t="str">
        <f t="shared" si="69"/>
        <v>ad5732</v>
      </c>
      <c r="V1525">
        <v>0</v>
      </c>
      <c r="W1525">
        <v>0</v>
      </c>
      <c r="X1525">
        <v>1</v>
      </c>
      <c r="Z1525">
        <v>0</v>
      </c>
      <c r="AA1525">
        <v>9</v>
      </c>
      <c r="AB1525">
        <v>3</v>
      </c>
      <c r="AC1525">
        <v>0</v>
      </c>
      <c r="AD1525">
        <v>10</v>
      </c>
      <c r="AE1525">
        <v>0</v>
      </c>
      <c r="AF1525">
        <v>3</v>
      </c>
      <c r="AG1525">
        <v>2</v>
      </c>
      <c r="AH1525">
        <v>0</v>
      </c>
      <c r="AI1525" t="s">
        <v>3153</v>
      </c>
      <c r="AJ1525">
        <v>39.651696999999999</v>
      </c>
      <c r="AK1525" t="s">
        <v>3154</v>
      </c>
      <c r="AL1525">
        <v>-76.333437000000004</v>
      </c>
      <c r="AM1525">
        <v>100</v>
      </c>
      <c r="AN1525">
        <v>6400</v>
      </c>
      <c r="AO1525" t="s">
        <v>115</v>
      </c>
      <c r="AP1525">
        <v>202</v>
      </c>
      <c r="AQ1525">
        <v>100</v>
      </c>
      <c r="AR1525">
        <v>-1728</v>
      </c>
      <c r="AZ1525">
        <v>3614</v>
      </c>
      <c r="BA1525">
        <v>1</v>
      </c>
      <c r="BB1525" t="str">
        <f t="shared" si="71"/>
        <v xml:space="preserve">N959MJ  </v>
      </c>
      <c r="BC1525">
        <v>1</v>
      </c>
      <c r="BE1525">
        <v>0</v>
      </c>
      <c r="BF1525">
        <v>0</v>
      </c>
      <c r="BG1525">
        <v>0</v>
      </c>
      <c r="BH1525">
        <v>6625</v>
      </c>
      <c r="BI1525">
        <v>225</v>
      </c>
      <c r="BJ1525">
        <v>1</v>
      </c>
      <c r="BK1525">
        <v>1</v>
      </c>
      <c r="BL1525">
        <v>1</v>
      </c>
      <c r="BM1525">
        <v>0</v>
      </c>
      <c r="BP1525">
        <v>0</v>
      </c>
      <c r="BQ1525">
        <v>0</v>
      </c>
      <c r="BX1525" t="str">
        <f>"14:15:46.797"</f>
        <v>14:15:46.797</v>
      </c>
      <c r="BY1525" t="str">
        <f>"794385118"</f>
        <v>794385118</v>
      </c>
      <c r="CL1525">
        <v>0</v>
      </c>
      <c r="CM1525">
        <v>2</v>
      </c>
      <c r="CN1525">
        <v>0</v>
      </c>
      <c r="CO1525">
        <v>2</v>
      </c>
      <c r="CP1525">
        <v>0</v>
      </c>
      <c r="CQ1525">
        <v>6</v>
      </c>
      <c r="CR1525" t="s">
        <v>116</v>
      </c>
      <c r="CS1525">
        <v>396</v>
      </c>
      <c r="CT1525">
        <v>2</v>
      </c>
      <c r="CU1525" t="s">
        <v>939</v>
      </c>
      <c r="CV1525" t="s">
        <v>940</v>
      </c>
      <c r="CY1525">
        <v>5436043</v>
      </c>
      <c r="CZ1525" t="s">
        <v>119</v>
      </c>
    </row>
    <row r="1526" spans="1:104" x14ac:dyDescent="0.25">
      <c r="A1526" t="str">
        <f>"14:15:47.906"</f>
        <v>14:15:47.906</v>
      </c>
      <c r="B1526" t="s">
        <v>108</v>
      </c>
      <c r="C1526" t="str">
        <f t="shared" si="70"/>
        <v>ffdfd3c0</v>
      </c>
      <c r="D1526" t="s">
        <v>109</v>
      </c>
      <c r="E1526">
        <v>4</v>
      </c>
      <c r="F1526">
        <v>1004</v>
      </c>
      <c r="G1526" t="s">
        <v>110</v>
      </c>
      <c r="J1526" t="s">
        <v>111</v>
      </c>
      <c r="K1526">
        <v>0</v>
      </c>
      <c r="L1526">
        <v>3</v>
      </c>
      <c r="M1526">
        <v>0</v>
      </c>
      <c r="N1526">
        <v>2</v>
      </c>
      <c r="O1526">
        <v>1</v>
      </c>
      <c r="P1526">
        <v>0</v>
      </c>
      <c r="Q1526">
        <v>0</v>
      </c>
      <c r="R1526" t="s">
        <v>112</v>
      </c>
      <c r="S1526" t="str">
        <f>"14:15:47.695"</f>
        <v>14:15:47.695</v>
      </c>
      <c r="T1526" t="str">
        <f>"14:15:47.297"</f>
        <v>14:15:47.297</v>
      </c>
      <c r="U1526" t="str">
        <f t="shared" si="69"/>
        <v>ad5732</v>
      </c>
      <c r="V1526">
        <v>0</v>
      </c>
      <c r="W1526">
        <v>0</v>
      </c>
      <c r="X1526">
        <v>1</v>
      </c>
      <c r="Z1526">
        <v>0</v>
      </c>
      <c r="AA1526">
        <v>9</v>
      </c>
      <c r="AB1526">
        <v>3</v>
      </c>
      <c r="AC1526">
        <v>0</v>
      </c>
      <c r="AD1526">
        <v>10</v>
      </c>
      <c r="AE1526">
        <v>0</v>
      </c>
      <c r="AF1526">
        <v>3</v>
      </c>
      <c r="AG1526">
        <v>2</v>
      </c>
      <c r="AH1526">
        <v>0</v>
      </c>
      <c r="AI1526" t="s">
        <v>3155</v>
      </c>
      <c r="AJ1526">
        <v>39.652082999999998</v>
      </c>
      <c r="AK1526" t="s">
        <v>3156</v>
      </c>
      <c r="AL1526">
        <v>-76.332342999999995</v>
      </c>
      <c r="AM1526">
        <v>100</v>
      </c>
      <c r="AN1526">
        <v>6400</v>
      </c>
      <c r="AO1526" t="s">
        <v>115</v>
      </c>
      <c r="AP1526">
        <v>202</v>
      </c>
      <c r="AQ1526">
        <v>101</v>
      </c>
      <c r="AR1526">
        <v>-1728</v>
      </c>
      <c r="AZ1526">
        <v>3614</v>
      </c>
      <c r="BA1526">
        <v>1</v>
      </c>
      <c r="BB1526" t="str">
        <f t="shared" si="71"/>
        <v xml:space="preserve">N959MJ  </v>
      </c>
      <c r="BC1526">
        <v>1</v>
      </c>
      <c r="BE1526">
        <v>0</v>
      </c>
      <c r="BF1526">
        <v>0</v>
      </c>
      <c r="BG1526">
        <v>0</v>
      </c>
      <c r="BH1526">
        <v>6575</v>
      </c>
      <c r="BI1526">
        <v>175</v>
      </c>
      <c r="BJ1526">
        <v>1</v>
      </c>
      <c r="BK1526">
        <v>1</v>
      </c>
      <c r="BL1526">
        <v>1</v>
      </c>
      <c r="BM1526">
        <v>0</v>
      </c>
      <c r="BP1526">
        <v>0</v>
      </c>
      <c r="BQ1526">
        <v>0</v>
      </c>
      <c r="BX1526" t="str">
        <f>"14:15:47.695"</f>
        <v>14:15:47.695</v>
      </c>
      <c r="BY1526" t="str">
        <f>"698965070"</f>
        <v>698965070</v>
      </c>
      <c r="CL1526">
        <v>0</v>
      </c>
      <c r="CM1526">
        <v>2</v>
      </c>
      <c r="CN1526">
        <v>0</v>
      </c>
      <c r="CO1526">
        <v>2</v>
      </c>
      <c r="CP1526">
        <v>0</v>
      </c>
      <c r="CQ1526">
        <v>4</v>
      </c>
      <c r="CR1526" t="s">
        <v>116</v>
      </c>
      <c r="CS1526">
        <v>148</v>
      </c>
      <c r="CT1526">
        <v>1</v>
      </c>
      <c r="CU1526" t="s">
        <v>470</v>
      </c>
      <c r="CV1526" t="s">
        <v>471</v>
      </c>
      <c r="CY1526">
        <v>7413453</v>
      </c>
      <c r="CZ1526" t="s">
        <v>119</v>
      </c>
    </row>
    <row r="1527" spans="1:104" x14ac:dyDescent="0.25">
      <c r="A1527" t="str">
        <f>"14:15:48.766"</f>
        <v>14:15:48.766</v>
      </c>
      <c r="B1527" t="s">
        <v>108</v>
      </c>
      <c r="C1527" t="str">
        <f t="shared" si="70"/>
        <v>ffdfd3c0</v>
      </c>
      <c r="D1527" t="s">
        <v>109</v>
      </c>
      <c r="E1527">
        <v>4</v>
      </c>
      <c r="F1527">
        <v>1004</v>
      </c>
      <c r="G1527" t="s">
        <v>110</v>
      </c>
      <c r="J1527" t="s">
        <v>111</v>
      </c>
      <c r="K1527">
        <v>0</v>
      </c>
      <c r="L1527">
        <v>3</v>
      </c>
      <c r="M1527">
        <v>0</v>
      </c>
      <c r="N1527">
        <v>2</v>
      </c>
      <c r="O1527">
        <v>1</v>
      </c>
      <c r="P1527">
        <v>0</v>
      </c>
      <c r="Q1527">
        <v>0</v>
      </c>
      <c r="R1527" t="s">
        <v>112</v>
      </c>
      <c r="S1527" t="str">
        <f>"14:15:48.578"</f>
        <v>14:15:48.578</v>
      </c>
      <c r="T1527" t="str">
        <f>"14:15:48.180"</f>
        <v>14:15:48.180</v>
      </c>
      <c r="U1527" t="str">
        <f t="shared" si="69"/>
        <v>ad5732</v>
      </c>
      <c r="V1527">
        <v>0</v>
      </c>
      <c r="W1527">
        <v>0</v>
      </c>
      <c r="X1527">
        <v>1</v>
      </c>
      <c r="Z1527">
        <v>0</v>
      </c>
      <c r="AA1527">
        <v>9</v>
      </c>
      <c r="AB1527">
        <v>3</v>
      </c>
      <c r="AC1527">
        <v>0</v>
      </c>
      <c r="AD1527">
        <v>10</v>
      </c>
      <c r="AE1527">
        <v>0</v>
      </c>
      <c r="AF1527">
        <v>3</v>
      </c>
      <c r="AG1527">
        <v>2</v>
      </c>
      <c r="AH1527">
        <v>0</v>
      </c>
      <c r="AI1527" t="s">
        <v>3157</v>
      </c>
      <c r="AJ1527">
        <v>39.652490999999998</v>
      </c>
      <c r="AK1527" t="s">
        <v>3158</v>
      </c>
      <c r="AL1527">
        <v>-76.331397999999993</v>
      </c>
      <c r="AM1527">
        <v>100</v>
      </c>
      <c r="AN1527">
        <v>6300</v>
      </c>
      <c r="AO1527" t="s">
        <v>115</v>
      </c>
      <c r="AP1527">
        <v>202</v>
      </c>
      <c r="AQ1527">
        <v>101</v>
      </c>
      <c r="AR1527">
        <v>-1728</v>
      </c>
      <c r="AZ1527">
        <v>3614</v>
      </c>
      <c r="BA1527">
        <v>1</v>
      </c>
      <c r="BB1527" t="str">
        <f t="shared" si="71"/>
        <v xml:space="preserve">N959MJ  </v>
      </c>
      <c r="BC1527">
        <v>1</v>
      </c>
      <c r="BE1527">
        <v>0</v>
      </c>
      <c r="BF1527">
        <v>0</v>
      </c>
      <c r="BG1527">
        <v>0</v>
      </c>
      <c r="BH1527">
        <v>6550</v>
      </c>
      <c r="BI1527">
        <v>250</v>
      </c>
      <c r="BJ1527">
        <v>1</v>
      </c>
      <c r="BK1527">
        <v>1</v>
      </c>
      <c r="BL1527">
        <v>1</v>
      </c>
      <c r="BM1527">
        <v>0</v>
      </c>
      <c r="BP1527">
        <v>0</v>
      </c>
      <c r="BQ1527">
        <v>0</v>
      </c>
      <c r="BX1527" t="str">
        <f>"14:15:48.578"</f>
        <v>14:15:48.578</v>
      </c>
      <c r="BY1527" t="str">
        <f>"580389378"</f>
        <v>580389378</v>
      </c>
      <c r="CL1527">
        <v>0</v>
      </c>
      <c r="CM1527">
        <v>2</v>
      </c>
      <c r="CN1527">
        <v>0</v>
      </c>
      <c r="CO1527">
        <v>2</v>
      </c>
      <c r="CP1527">
        <v>0</v>
      </c>
      <c r="CQ1527">
        <v>5</v>
      </c>
      <c r="CR1527" t="s">
        <v>116</v>
      </c>
      <c r="CS1527">
        <v>372</v>
      </c>
      <c r="CT1527">
        <v>3</v>
      </c>
      <c r="CU1527" t="s">
        <v>877</v>
      </c>
      <c r="CV1527" t="s">
        <v>878</v>
      </c>
      <c r="CY1527">
        <v>12089299</v>
      </c>
      <c r="CZ1527" t="s">
        <v>119</v>
      </c>
    </row>
    <row r="1528" spans="1:104" x14ac:dyDescent="0.25">
      <c r="A1528" t="str">
        <f>"14:15:49.773"</f>
        <v>14:15:49.773</v>
      </c>
      <c r="B1528" t="s">
        <v>108</v>
      </c>
      <c r="C1528" t="str">
        <f t="shared" si="70"/>
        <v>ffdfd3c0</v>
      </c>
      <c r="D1528" t="s">
        <v>109</v>
      </c>
      <c r="E1528">
        <v>4</v>
      </c>
      <c r="F1528">
        <v>1004</v>
      </c>
      <c r="G1528" t="s">
        <v>110</v>
      </c>
      <c r="J1528" t="s">
        <v>111</v>
      </c>
      <c r="K1528">
        <v>0</v>
      </c>
      <c r="L1528">
        <v>3</v>
      </c>
      <c r="M1528">
        <v>0</v>
      </c>
      <c r="N1528">
        <v>2</v>
      </c>
      <c r="O1528">
        <v>1</v>
      </c>
      <c r="P1528">
        <v>0</v>
      </c>
      <c r="Q1528">
        <v>0</v>
      </c>
      <c r="R1528" t="s">
        <v>112</v>
      </c>
      <c r="S1528" t="str">
        <f>"14:15:49.602"</f>
        <v>14:15:49.602</v>
      </c>
      <c r="T1528" t="str">
        <f>"14:15:49.203"</f>
        <v>14:15:49.203</v>
      </c>
      <c r="U1528" t="str">
        <f t="shared" si="69"/>
        <v>ad5732</v>
      </c>
      <c r="V1528">
        <v>0</v>
      </c>
      <c r="W1528">
        <v>0</v>
      </c>
      <c r="X1528">
        <v>1</v>
      </c>
      <c r="Z1528">
        <v>0</v>
      </c>
      <c r="AA1528">
        <v>9</v>
      </c>
      <c r="AB1528">
        <v>3</v>
      </c>
      <c r="AC1528">
        <v>0</v>
      </c>
      <c r="AD1528">
        <v>10</v>
      </c>
      <c r="AE1528">
        <v>0</v>
      </c>
      <c r="AF1528">
        <v>3</v>
      </c>
      <c r="AG1528">
        <v>2</v>
      </c>
      <c r="AH1528">
        <v>0</v>
      </c>
      <c r="AI1528" t="s">
        <v>3159</v>
      </c>
      <c r="AJ1528">
        <v>39.653005999999998</v>
      </c>
      <c r="AK1528" t="s">
        <v>3160</v>
      </c>
      <c r="AL1528">
        <v>-76.330067999999997</v>
      </c>
      <c r="AM1528">
        <v>100</v>
      </c>
      <c r="AN1528">
        <v>6300</v>
      </c>
      <c r="AO1528" t="s">
        <v>115</v>
      </c>
      <c r="AP1528">
        <v>202</v>
      </c>
      <c r="AQ1528">
        <v>101</v>
      </c>
      <c r="AR1528">
        <v>-1728</v>
      </c>
      <c r="AZ1528">
        <v>3614</v>
      </c>
      <c r="BA1528">
        <v>1</v>
      </c>
      <c r="BB1528" t="str">
        <f t="shared" si="71"/>
        <v xml:space="preserve">N959MJ  </v>
      </c>
      <c r="BC1528">
        <v>1</v>
      </c>
      <c r="BE1528">
        <v>0</v>
      </c>
      <c r="BF1528">
        <v>0</v>
      </c>
      <c r="BG1528">
        <v>0</v>
      </c>
      <c r="BH1528">
        <v>6525</v>
      </c>
      <c r="BI1528">
        <v>225</v>
      </c>
      <c r="BJ1528">
        <v>1</v>
      </c>
      <c r="BK1528">
        <v>1</v>
      </c>
      <c r="BL1528">
        <v>1</v>
      </c>
      <c r="BM1528">
        <v>0</v>
      </c>
      <c r="BP1528">
        <v>0</v>
      </c>
      <c r="BQ1528">
        <v>0</v>
      </c>
      <c r="BX1528" t="str">
        <f>"14:15:49.609"</f>
        <v>14:15:49.609</v>
      </c>
      <c r="BY1528" t="str">
        <f>"609203721"</f>
        <v>609203721</v>
      </c>
      <c r="CL1528">
        <v>0</v>
      </c>
      <c r="CM1528">
        <v>2</v>
      </c>
      <c r="CN1528">
        <v>0</v>
      </c>
      <c r="CO1528">
        <v>2</v>
      </c>
      <c r="CP1528">
        <v>0</v>
      </c>
      <c r="CQ1528">
        <v>6</v>
      </c>
      <c r="CR1528" t="s">
        <v>116</v>
      </c>
      <c r="CS1528">
        <v>396</v>
      </c>
      <c r="CT1528">
        <v>2</v>
      </c>
      <c r="CU1528" t="s">
        <v>939</v>
      </c>
      <c r="CV1528" t="s">
        <v>940</v>
      </c>
      <c r="CY1528">
        <v>5441129</v>
      </c>
      <c r="CZ1528" t="s">
        <v>119</v>
      </c>
    </row>
    <row r="1529" spans="1:104" x14ac:dyDescent="0.25">
      <c r="A1529" t="str">
        <f>"14:15:50.930"</f>
        <v>14:15:50.930</v>
      </c>
      <c r="B1529" t="s">
        <v>108</v>
      </c>
      <c r="C1529" t="str">
        <f t="shared" si="70"/>
        <v>ffdfd3c0</v>
      </c>
      <c r="D1529" t="s">
        <v>109</v>
      </c>
      <c r="E1529">
        <v>4</v>
      </c>
      <c r="F1529">
        <v>1004</v>
      </c>
      <c r="G1529" t="s">
        <v>110</v>
      </c>
      <c r="J1529" t="s">
        <v>111</v>
      </c>
      <c r="K1529">
        <v>0</v>
      </c>
      <c r="L1529">
        <v>3</v>
      </c>
      <c r="M1529">
        <v>0</v>
      </c>
      <c r="N1529">
        <v>2</v>
      </c>
      <c r="O1529">
        <v>1</v>
      </c>
      <c r="P1529">
        <v>0</v>
      </c>
      <c r="Q1529">
        <v>0</v>
      </c>
      <c r="R1529" t="s">
        <v>112</v>
      </c>
      <c r="S1529" t="str">
        <f>"14:15:50.766"</f>
        <v>14:15:50.766</v>
      </c>
      <c r="T1529" t="str">
        <f>"14:15:50.266"</f>
        <v>14:15:50.266</v>
      </c>
      <c r="U1529" t="str">
        <f t="shared" si="69"/>
        <v>ad5732</v>
      </c>
      <c r="V1529">
        <v>0</v>
      </c>
      <c r="W1529">
        <v>0</v>
      </c>
      <c r="X1529">
        <v>1</v>
      </c>
      <c r="Z1529">
        <v>0</v>
      </c>
      <c r="AA1529">
        <v>9</v>
      </c>
      <c r="AB1529">
        <v>3</v>
      </c>
      <c r="AC1529">
        <v>0</v>
      </c>
      <c r="AD1529">
        <v>10</v>
      </c>
      <c r="AE1529">
        <v>0</v>
      </c>
      <c r="AF1529">
        <v>3</v>
      </c>
      <c r="AG1529">
        <v>2</v>
      </c>
      <c r="AH1529">
        <v>0</v>
      </c>
      <c r="AI1529" t="s">
        <v>3161</v>
      </c>
      <c r="AJ1529">
        <v>39.653498999999996</v>
      </c>
      <c r="AK1529" t="s">
        <v>3162</v>
      </c>
      <c r="AL1529">
        <v>-76.328716</v>
      </c>
      <c r="AM1529">
        <v>100</v>
      </c>
      <c r="AN1529">
        <v>6300</v>
      </c>
      <c r="AO1529" t="s">
        <v>115</v>
      </c>
      <c r="AP1529">
        <v>202</v>
      </c>
      <c r="AQ1529">
        <v>101</v>
      </c>
      <c r="AR1529">
        <v>-1728</v>
      </c>
      <c r="AZ1529">
        <v>3614</v>
      </c>
      <c r="BA1529">
        <v>1</v>
      </c>
      <c r="BB1529" t="str">
        <f t="shared" si="71"/>
        <v xml:space="preserve">N959MJ  </v>
      </c>
      <c r="BC1529">
        <v>1</v>
      </c>
      <c r="BE1529">
        <v>0</v>
      </c>
      <c r="BF1529">
        <v>0</v>
      </c>
      <c r="BG1529">
        <v>0</v>
      </c>
      <c r="BH1529">
        <v>6500</v>
      </c>
      <c r="BI1529">
        <v>200</v>
      </c>
      <c r="BJ1529">
        <v>1</v>
      </c>
      <c r="BK1529">
        <v>1</v>
      </c>
      <c r="BL1529">
        <v>1</v>
      </c>
      <c r="BM1529">
        <v>0</v>
      </c>
      <c r="BP1529">
        <v>0</v>
      </c>
      <c r="BQ1529">
        <v>0</v>
      </c>
      <c r="BX1529" t="str">
        <f>"14:15:50.766"</f>
        <v>14:15:50.766</v>
      </c>
      <c r="BY1529" t="str">
        <f>"765933605"</f>
        <v>765933605</v>
      </c>
      <c r="CL1529">
        <v>0</v>
      </c>
      <c r="CM1529">
        <v>2</v>
      </c>
      <c r="CN1529">
        <v>0</v>
      </c>
      <c r="CO1529">
        <v>2</v>
      </c>
      <c r="CP1529">
        <v>0</v>
      </c>
      <c r="CQ1529">
        <v>6</v>
      </c>
      <c r="CR1529" t="s">
        <v>116</v>
      </c>
      <c r="CS1529">
        <v>396</v>
      </c>
      <c r="CT1529">
        <v>1</v>
      </c>
      <c r="CU1529" t="s">
        <v>939</v>
      </c>
      <c r="CV1529" t="s">
        <v>940</v>
      </c>
      <c r="CY1529">
        <v>9031742</v>
      </c>
      <c r="CZ1529" t="s">
        <v>119</v>
      </c>
    </row>
    <row r="1530" spans="1:104" x14ac:dyDescent="0.25">
      <c r="A1530" t="str">
        <f>"14:15:51.938"</f>
        <v>14:15:51.938</v>
      </c>
      <c r="B1530" t="s">
        <v>108</v>
      </c>
      <c r="C1530" t="str">
        <f t="shared" si="70"/>
        <v>ffdfd3c0</v>
      </c>
      <c r="D1530" t="s">
        <v>109</v>
      </c>
      <c r="E1530">
        <v>4</v>
      </c>
      <c r="F1530">
        <v>1004</v>
      </c>
      <c r="G1530" t="s">
        <v>110</v>
      </c>
      <c r="J1530" t="s">
        <v>111</v>
      </c>
      <c r="K1530">
        <v>0</v>
      </c>
      <c r="L1530">
        <v>3</v>
      </c>
      <c r="M1530">
        <v>0</v>
      </c>
      <c r="N1530">
        <v>2</v>
      </c>
      <c r="O1530">
        <v>1</v>
      </c>
      <c r="P1530">
        <v>0</v>
      </c>
      <c r="Q1530">
        <v>0</v>
      </c>
      <c r="R1530" t="s">
        <v>112</v>
      </c>
      <c r="S1530" t="str">
        <f>"14:15:51.758"</f>
        <v>14:15:51.758</v>
      </c>
      <c r="T1530" t="str">
        <f>"14:15:51.258"</f>
        <v>14:15:51.258</v>
      </c>
      <c r="U1530" t="str">
        <f t="shared" si="69"/>
        <v>ad5732</v>
      </c>
      <c r="V1530">
        <v>0</v>
      </c>
      <c r="W1530">
        <v>0</v>
      </c>
      <c r="X1530">
        <v>1</v>
      </c>
      <c r="Z1530">
        <v>0</v>
      </c>
      <c r="AA1530">
        <v>9</v>
      </c>
      <c r="AB1530">
        <v>3</v>
      </c>
      <c r="AC1530">
        <v>0</v>
      </c>
      <c r="AD1530">
        <v>10</v>
      </c>
      <c r="AE1530">
        <v>0</v>
      </c>
      <c r="AF1530">
        <v>3</v>
      </c>
      <c r="AG1530">
        <v>2</v>
      </c>
      <c r="AH1530">
        <v>0</v>
      </c>
      <c r="AI1530" t="s">
        <v>3163</v>
      </c>
      <c r="AJ1530">
        <v>39.653970999999999</v>
      </c>
      <c r="AK1530" t="s">
        <v>3164</v>
      </c>
      <c r="AL1530">
        <v>-76.327515000000005</v>
      </c>
      <c r="AM1530">
        <v>100</v>
      </c>
      <c r="AN1530">
        <v>6300</v>
      </c>
      <c r="AO1530" t="s">
        <v>115</v>
      </c>
      <c r="AP1530">
        <v>202</v>
      </c>
      <c r="AQ1530">
        <v>101</v>
      </c>
      <c r="AR1530">
        <v>-1600</v>
      </c>
      <c r="AZ1530">
        <v>3614</v>
      </c>
      <c r="BA1530">
        <v>1</v>
      </c>
      <c r="BB1530" t="str">
        <f t="shared" si="71"/>
        <v xml:space="preserve">N959MJ  </v>
      </c>
      <c r="BC1530">
        <v>1</v>
      </c>
      <c r="BE1530">
        <v>0</v>
      </c>
      <c r="BF1530">
        <v>0</v>
      </c>
      <c r="BG1530">
        <v>0</v>
      </c>
      <c r="BH1530">
        <v>6475</v>
      </c>
      <c r="BI1530">
        <v>175</v>
      </c>
      <c r="BJ1530">
        <v>1</v>
      </c>
      <c r="BK1530">
        <v>1</v>
      </c>
      <c r="BL1530">
        <v>1</v>
      </c>
      <c r="BM1530">
        <v>0</v>
      </c>
      <c r="BP1530">
        <v>0</v>
      </c>
      <c r="BQ1530">
        <v>0</v>
      </c>
      <c r="BX1530" t="str">
        <f>"14:15:51.766"</f>
        <v>14:15:51.766</v>
      </c>
      <c r="BY1530" t="str">
        <f>"765374433"</f>
        <v>765374433</v>
      </c>
      <c r="CL1530">
        <v>0</v>
      </c>
      <c r="CM1530">
        <v>2</v>
      </c>
      <c r="CN1530">
        <v>0</v>
      </c>
      <c r="CO1530">
        <v>2</v>
      </c>
      <c r="CP1530">
        <v>0</v>
      </c>
      <c r="CQ1530">
        <v>6</v>
      </c>
      <c r="CR1530" t="s">
        <v>116</v>
      </c>
      <c r="CS1530">
        <v>396</v>
      </c>
      <c r="CT1530">
        <v>2</v>
      </c>
      <c r="CU1530" t="s">
        <v>939</v>
      </c>
      <c r="CV1530" t="s">
        <v>940</v>
      </c>
      <c r="CY1530">
        <v>5445012</v>
      </c>
      <c r="CZ1530" t="s">
        <v>119</v>
      </c>
    </row>
    <row r="1531" spans="1:104" x14ac:dyDescent="0.25">
      <c r="A1531" t="str">
        <f>"14:15:52.953"</f>
        <v>14:15:52.953</v>
      </c>
      <c r="B1531" t="s">
        <v>108</v>
      </c>
      <c r="C1531" t="str">
        <f t="shared" si="70"/>
        <v>ffdfd3c0</v>
      </c>
      <c r="D1531" t="s">
        <v>109</v>
      </c>
      <c r="E1531">
        <v>4</v>
      </c>
      <c r="F1531">
        <v>1004</v>
      </c>
      <c r="G1531" t="s">
        <v>110</v>
      </c>
      <c r="J1531" t="s">
        <v>111</v>
      </c>
      <c r="K1531">
        <v>0</v>
      </c>
      <c r="L1531">
        <v>3</v>
      </c>
      <c r="M1531">
        <v>0</v>
      </c>
      <c r="N1531">
        <v>2</v>
      </c>
      <c r="O1531">
        <v>1</v>
      </c>
      <c r="P1531">
        <v>0</v>
      </c>
      <c r="Q1531">
        <v>0</v>
      </c>
      <c r="R1531" t="s">
        <v>112</v>
      </c>
      <c r="S1531" t="str">
        <f>"14:15:52.781"</f>
        <v>14:15:52.781</v>
      </c>
      <c r="T1531" t="str">
        <f>"14:15:52.383"</f>
        <v>14:15:52.383</v>
      </c>
      <c r="U1531" t="str">
        <f t="shared" si="69"/>
        <v>ad5732</v>
      </c>
      <c r="V1531">
        <v>0</v>
      </c>
      <c r="W1531">
        <v>0</v>
      </c>
      <c r="X1531">
        <v>1</v>
      </c>
      <c r="Z1531">
        <v>0</v>
      </c>
      <c r="AA1531">
        <v>9</v>
      </c>
      <c r="AB1531">
        <v>3</v>
      </c>
      <c r="AC1531">
        <v>0</v>
      </c>
      <c r="AD1531">
        <v>10</v>
      </c>
      <c r="AE1531">
        <v>0</v>
      </c>
      <c r="AF1531">
        <v>3</v>
      </c>
      <c r="AG1531">
        <v>2</v>
      </c>
      <c r="AH1531">
        <v>0</v>
      </c>
      <c r="AI1531" t="s">
        <v>3165</v>
      </c>
      <c r="AJ1531">
        <v>39.654421999999997</v>
      </c>
      <c r="AK1531" t="s">
        <v>3166</v>
      </c>
      <c r="AL1531">
        <v>-76.326312999999999</v>
      </c>
      <c r="AM1531">
        <v>100</v>
      </c>
      <c r="AN1531">
        <v>6300</v>
      </c>
      <c r="AO1531" t="s">
        <v>115</v>
      </c>
      <c r="AP1531">
        <v>201</v>
      </c>
      <c r="AQ1531">
        <v>101</v>
      </c>
      <c r="AR1531">
        <v>-1408</v>
      </c>
      <c r="AZ1531">
        <v>3614</v>
      </c>
      <c r="BA1531">
        <v>1</v>
      </c>
      <c r="BB1531" t="str">
        <f t="shared" si="71"/>
        <v xml:space="preserve">N959MJ  </v>
      </c>
      <c r="BC1531">
        <v>1</v>
      </c>
      <c r="BE1531">
        <v>0</v>
      </c>
      <c r="BF1531">
        <v>0</v>
      </c>
      <c r="BG1531">
        <v>0</v>
      </c>
      <c r="BH1531">
        <v>6450</v>
      </c>
      <c r="BI1531">
        <v>150</v>
      </c>
      <c r="BJ1531">
        <v>1</v>
      </c>
      <c r="BK1531">
        <v>1</v>
      </c>
      <c r="BL1531">
        <v>1</v>
      </c>
      <c r="BM1531">
        <v>0</v>
      </c>
      <c r="BP1531">
        <v>0</v>
      </c>
      <c r="BQ1531">
        <v>0</v>
      </c>
      <c r="BX1531" t="str">
        <f>"14:15:52.781"</f>
        <v>14:15:52.781</v>
      </c>
      <c r="BY1531" t="str">
        <f>"782837999"</f>
        <v>782837999</v>
      </c>
      <c r="CL1531">
        <v>0</v>
      </c>
      <c r="CM1531">
        <v>2</v>
      </c>
      <c r="CN1531">
        <v>0</v>
      </c>
      <c r="CO1531">
        <v>2</v>
      </c>
      <c r="CP1531">
        <v>0</v>
      </c>
      <c r="CQ1531">
        <v>6</v>
      </c>
      <c r="CR1531" t="s">
        <v>116</v>
      </c>
      <c r="CS1531">
        <v>396</v>
      </c>
      <c r="CT1531">
        <v>2</v>
      </c>
      <c r="CU1531" t="s">
        <v>939</v>
      </c>
      <c r="CV1531" t="s">
        <v>940</v>
      </c>
      <c r="CY1531">
        <v>5446839</v>
      </c>
      <c r="CZ1531" t="s">
        <v>119</v>
      </c>
    </row>
    <row r="1532" spans="1:104" x14ac:dyDescent="0.25">
      <c r="A1532" t="str">
        <f>"14:15:53.961"</f>
        <v>14:15:53.961</v>
      </c>
      <c r="B1532" t="s">
        <v>108</v>
      </c>
      <c r="C1532" t="str">
        <f t="shared" si="70"/>
        <v>ffdfd3c0</v>
      </c>
      <c r="D1532" t="s">
        <v>109</v>
      </c>
      <c r="E1532">
        <v>4</v>
      </c>
      <c r="F1532">
        <v>1004</v>
      </c>
      <c r="G1532" t="s">
        <v>110</v>
      </c>
      <c r="J1532" t="s">
        <v>111</v>
      </c>
      <c r="K1532">
        <v>0</v>
      </c>
      <c r="L1532">
        <v>3</v>
      </c>
      <c r="M1532">
        <v>0</v>
      </c>
      <c r="N1532">
        <v>2</v>
      </c>
      <c r="O1532">
        <v>1</v>
      </c>
      <c r="P1532">
        <v>0</v>
      </c>
      <c r="Q1532">
        <v>0</v>
      </c>
      <c r="R1532" t="s">
        <v>112</v>
      </c>
      <c r="S1532" t="str">
        <f>"14:15:53.789"</f>
        <v>14:15:53.789</v>
      </c>
      <c r="T1532" t="str">
        <f>"14:15:53.289"</f>
        <v>14:15:53.289</v>
      </c>
      <c r="U1532" t="str">
        <f t="shared" si="69"/>
        <v>ad5732</v>
      </c>
      <c r="V1532">
        <v>0</v>
      </c>
      <c r="W1532">
        <v>0</v>
      </c>
      <c r="X1532">
        <v>1</v>
      </c>
      <c r="Z1532">
        <v>0</v>
      </c>
      <c r="AA1532">
        <v>9</v>
      </c>
      <c r="AB1532">
        <v>3</v>
      </c>
      <c r="AC1532">
        <v>0</v>
      </c>
      <c r="AD1532">
        <v>10</v>
      </c>
      <c r="AE1532">
        <v>0</v>
      </c>
      <c r="AF1532">
        <v>3</v>
      </c>
      <c r="AG1532">
        <v>2</v>
      </c>
      <c r="AH1532">
        <v>0</v>
      </c>
      <c r="AI1532" t="s">
        <v>3167</v>
      </c>
      <c r="AJ1532">
        <v>39.654958000000001</v>
      </c>
      <c r="AK1532" t="s">
        <v>3168</v>
      </c>
      <c r="AL1532">
        <v>-76.325004000000007</v>
      </c>
      <c r="AM1532">
        <v>100</v>
      </c>
      <c r="AN1532">
        <v>6200</v>
      </c>
      <c r="AO1532" t="s">
        <v>115</v>
      </c>
      <c r="AP1532">
        <v>200</v>
      </c>
      <c r="AQ1532">
        <v>101</v>
      </c>
      <c r="AR1532">
        <v>-1408</v>
      </c>
      <c r="AZ1532">
        <v>3614</v>
      </c>
      <c r="BA1532">
        <v>1</v>
      </c>
      <c r="BB1532" t="str">
        <f t="shared" si="71"/>
        <v xml:space="preserve">N959MJ  </v>
      </c>
      <c r="BC1532">
        <v>1</v>
      </c>
      <c r="BE1532">
        <v>0</v>
      </c>
      <c r="BF1532">
        <v>0</v>
      </c>
      <c r="BG1532">
        <v>0</v>
      </c>
      <c r="BH1532">
        <v>6425</v>
      </c>
      <c r="BI1532">
        <v>225</v>
      </c>
      <c r="BJ1532">
        <v>1</v>
      </c>
      <c r="BK1532">
        <v>1</v>
      </c>
      <c r="BL1532">
        <v>1</v>
      </c>
      <c r="BM1532">
        <v>0</v>
      </c>
      <c r="BP1532">
        <v>0</v>
      </c>
      <c r="BQ1532">
        <v>0</v>
      </c>
      <c r="BX1532" t="str">
        <f>"14:15:53.797"</f>
        <v>14:15:53.797</v>
      </c>
      <c r="BY1532" t="str">
        <f>"795386256"</f>
        <v>795386256</v>
      </c>
      <c r="CL1532">
        <v>0</v>
      </c>
      <c r="CM1532">
        <v>2</v>
      </c>
      <c r="CN1532">
        <v>0</v>
      </c>
      <c r="CO1532">
        <v>2</v>
      </c>
      <c r="CP1532">
        <v>0</v>
      </c>
      <c r="CQ1532">
        <v>6</v>
      </c>
      <c r="CR1532" t="s">
        <v>116</v>
      </c>
      <c r="CS1532">
        <v>396</v>
      </c>
      <c r="CT1532">
        <v>2</v>
      </c>
      <c r="CU1532" t="s">
        <v>939</v>
      </c>
      <c r="CV1532" t="s">
        <v>940</v>
      </c>
      <c r="CY1532">
        <v>5448639</v>
      </c>
      <c r="CZ1532" t="s">
        <v>119</v>
      </c>
    </row>
    <row r="1533" spans="1:104" x14ac:dyDescent="0.25">
      <c r="A1533" t="str">
        <f>"14:15:55.070"</f>
        <v>14:15:55.070</v>
      </c>
      <c r="B1533" t="s">
        <v>108</v>
      </c>
      <c r="C1533" t="str">
        <f t="shared" si="70"/>
        <v>ffdfd3c0</v>
      </c>
      <c r="D1533" t="s">
        <v>109</v>
      </c>
      <c r="E1533">
        <v>4</v>
      </c>
      <c r="F1533">
        <v>1004</v>
      </c>
      <c r="G1533" t="s">
        <v>110</v>
      </c>
      <c r="J1533" t="s">
        <v>111</v>
      </c>
      <c r="K1533">
        <v>0</v>
      </c>
      <c r="L1533">
        <v>3</v>
      </c>
      <c r="M1533">
        <v>0</v>
      </c>
      <c r="N1533">
        <v>2</v>
      </c>
      <c r="O1533">
        <v>1</v>
      </c>
      <c r="P1533">
        <v>0</v>
      </c>
      <c r="Q1533">
        <v>0</v>
      </c>
      <c r="R1533" t="s">
        <v>112</v>
      </c>
      <c r="S1533" t="str">
        <f>"14:15:54.844"</f>
        <v>14:15:54.844</v>
      </c>
      <c r="T1533" t="str">
        <f>"14:15:54.344"</f>
        <v>14:15:54.344</v>
      </c>
      <c r="U1533" t="str">
        <f t="shared" si="69"/>
        <v>ad5732</v>
      </c>
      <c r="V1533">
        <v>0</v>
      </c>
      <c r="W1533">
        <v>0</v>
      </c>
      <c r="X1533">
        <v>1</v>
      </c>
      <c r="Z1533">
        <v>0</v>
      </c>
      <c r="AA1533">
        <v>9</v>
      </c>
      <c r="AB1533">
        <v>3</v>
      </c>
      <c r="AC1533">
        <v>0</v>
      </c>
      <c r="AD1533">
        <v>10</v>
      </c>
      <c r="AE1533">
        <v>0</v>
      </c>
      <c r="AF1533">
        <v>3</v>
      </c>
      <c r="AG1533">
        <v>2</v>
      </c>
      <c r="AH1533">
        <v>0</v>
      </c>
      <c r="AI1533" t="s">
        <v>3169</v>
      </c>
      <c r="AJ1533">
        <v>39.655430000000003</v>
      </c>
      <c r="AK1533" t="s">
        <v>3170</v>
      </c>
      <c r="AL1533">
        <v>-76.323780999999997</v>
      </c>
      <c r="AM1533">
        <v>100</v>
      </c>
      <c r="AN1533">
        <v>6200</v>
      </c>
      <c r="AO1533" t="s">
        <v>115</v>
      </c>
      <c r="AP1533">
        <v>199</v>
      </c>
      <c r="AQ1533">
        <v>100</v>
      </c>
      <c r="AR1533">
        <v>-1344</v>
      </c>
      <c r="AZ1533">
        <v>3614</v>
      </c>
      <c r="BA1533">
        <v>1</v>
      </c>
      <c r="BB1533" t="str">
        <f t="shared" si="71"/>
        <v xml:space="preserve">N959MJ  </v>
      </c>
      <c r="BC1533">
        <v>1</v>
      </c>
      <c r="BE1533">
        <v>0</v>
      </c>
      <c r="BF1533">
        <v>0</v>
      </c>
      <c r="BG1533">
        <v>0</v>
      </c>
      <c r="BH1533">
        <v>6400</v>
      </c>
      <c r="BI1533">
        <v>200</v>
      </c>
      <c r="BJ1533">
        <v>1</v>
      </c>
      <c r="BK1533">
        <v>1</v>
      </c>
      <c r="BL1533">
        <v>1</v>
      </c>
      <c r="BM1533">
        <v>0</v>
      </c>
      <c r="BP1533">
        <v>0</v>
      </c>
      <c r="BQ1533">
        <v>0</v>
      </c>
      <c r="BX1533" t="str">
        <f>"14:15:54.844"</f>
        <v>14:15:54.844</v>
      </c>
      <c r="BY1533" t="str">
        <f>"843979914"</f>
        <v>843979914</v>
      </c>
      <c r="CL1533">
        <v>0</v>
      </c>
      <c r="CM1533">
        <v>2</v>
      </c>
      <c r="CN1533">
        <v>0</v>
      </c>
      <c r="CO1533">
        <v>2</v>
      </c>
      <c r="CP1533">
        <v>0</v>
      </c>
      <c r="CQ1533">
        <v>6</v>
      </c>
      <c r="CR1533" t="s">
        <v>116</v>
      </c>
      <c r="CS1533">
        <v>396</v>
      </c>
      <c r="CT1533">
        <v>1</v>
      </c>
      <c r="CU1533" t="s">
        <v>939</v>
      </c>
      <c r="CV1533" t="s">
        <v>940</v>
      </c>
      <c r="CY1533">
        <v>9039082</v>
      </c>
      <c r="CZ1533" t="s">
        <v>119</v>
      </c>
    </row>
    <row r="1534" spans="1:104" x14ac:dyDescent="0.25">
      <c r="A1534" t="str">
        <f>"14:15:56.180"</f>
        <v>14:15:56.180</v>
      </c>
      <c r="B1534" t="s">
        <v>108</v>
      </c>
      <c r="C1534" t="str">
        <f t="shared" si="70"/>
        <v>ffdfd3c0</v>
      </c>
      <c r="D1534" t="s">
        <v>109</v>
      </c>
      <c r="E1534">
        <v>4</v>
      </c>
      <c r="F1534">
        <v>1004</v>
      </c>
      <c r="G1534" t="s">
        <v>110</v>
      </c>
      <c r="J1534" t="s">
        <v>111</v>
      </c>
      <c r="K1534">
        <v>0</v>
      </c>
      <c r="L1534">
        <v>3</v>
      </c>
      <c r="M1534">
        <v>0</v>
      </c>
      <c r="N1534">
        <v>2</v>
      </c>
      <c r="O1534">
        <v>1</v>
      </c>
      <c r="P1534">
        <v>0</v>
      </c>
      <c r="Q1534">
        <v>0</v>
      </c>
      <c r="R1534" t="s">
        <v>112</v>
      </c>
      <c r="S1534" t="str">
        <f>"14:15:55.992"</f>
        <v>14:15:55.992</v>
      </c>
      <c r="T1534" t="str">
        <f>"14:15:55.492"</f>
        <v>14:15:55.492</v>
      </c>
      <c r="U1534" t="str">
        <f t="shared" si="69"/>
        <v>ad5732</v>
      </c>
      <c r="V1534">
        <v>0</v>
      </c>
      <c r="W1534">
        <v>0</v>
      </c>
      <c r="X1534">
        <v>1</v>
      </c>
      <c r="Z1534">
        <v>0</v>
      </c>
      <c r="AA1534">
        <v>9</v>
      </c>
      <c r="AB1534">
        <v>3</v>
      </c>
      <c r="AC1534">
        <v>0</v>
      </c>
      <c r="AD1534">
        <v>10</v>
      </c>
      <c r="AE1534">
        <v>0</v>
      </c>
      <c r="AF1534">
        <v>3</v>
      </c>
      <c r="AG1534">
        <v>2</v>
      </c>
      <c r="AH1534">
        <v>0</v>
      </c>
      <c r="AI1534" t="s">
        <v>3171</v>
      </c>
      <c r="AJ1534">
        <v>39.655988000000001</v>
      </c>
      <c r="AK1534" t="s">
        <v>3172</v>
      </c>
      <c r="AL1534">
        <v>-76.322385999999995</v>
      </c>
      <c r="AM1534">
        <v>100</v>
      </c>
      <c r="AN1534">
        <v>6200</v>
      </c>
      <c r="AO1534" t="s">
        <v>115</v>
      </c>
      <c r="AP1534">
        <v>197</v>
      </c>
      <c r="AQ1534">
        <v>100</v>
      </c>
      <c r="AR1534">
        <v>-1408</v>
      </c>
      <c r="AZ1534">
        <v>3614</v>
      </c>
      <c r="BA1534">
        <v>1</v>
      </c>
      <c r="BB1534" t="str">
        <f t="shared" si="71"/>
        <v xml:space="preserve">N959MJ  </v>
      </c>
      <c r="BC1534">
        <v>1</v>
      </c>
      <c r="BE1534">
        <v>0</v>
      </c>
      <c r="BF1534">
        <v>0</v>
      </c>
      <c r="BG1534">
        <v>0</v>
      </c>
      <c r="BH1534">
        <v>6375</v>
      </c>
      <c r="BI1534">
        <v>175</v>
      </c>
      <c r="BJ1534">
        <v>1</v>
      </c>
      <c r="BK1534">
        <v>1</v>
      </c>
      <c r="BL1534">
        <v>1</v>
      </c>
      <c r="BM1534">
        <v>0</v>
      </c>
      <c r="BP1534">
        <v>0</v>
      </c>
      <c r="BQ1534">
        <v>0</v>
      </c>
      <c r="BX1534" t="str">
        <f>"14:15:56.000"</f>
        <v>14:15:56.000</v>
      </c>
      <c r="BY1534" t="str">
        <f>"999071366"</f>
        <v>999071366</v>
      </c>
      <c r="CL1534">
        <v>0</v>
      </c>
      <c r="CM1534">
        <v>2</v>
      </c>
      <c r="CN1534">
        <v>0</v>
      </c>
      <c r="CO1534">
        <v>2</v>
      </c>
      <c r="CP1534">
        <v>0</v>
      </c>
      <c r="CQ1534">
        <v>5</v>
      </c>
      <c r="CR1534" t="s">
        <v>116</v>
      </c>
      <c r="CS1534">
        <v>396</v>
      </c>
      <c r="CT1534">
        <v>2</v>
      </c>
      <c r="CU1534" t="s">
        <v>939</v>
      </c>
      <c r="CV1534" t="s">
        <v>940</v>
      </c>
      <c r="CY1534">
        <v>5452584</v>
      </c>
      <c r="CZ1534" t="s">
        <v>119</v>
      </c>
    </row>
    <row r="1535" spans="1:104" x14ac:dyDescent="0.25">
      <c r="A1535" t="str">
        <f>"14:15:57.094"</f>
        <v>14:15:57.094</v>
      </c>
      <c r="B1535" t="s">
        <v>108</v>
      </c>
      <c r="C1535" t="str">
        <f t="shared" si="70"/>
        <v>ffdfd3c0</v>
      </c>
      <c r="D1535" t="s">
        <v>109</v>
      </c>
      <c r="E1535">
        <v>4</v>
      </c>
      <c r="F1535">
        <v>1004</v>
      </c>
      <c r="G1535" t="s">
        <v>110</v>
      </c>
      <c r="J1535" t="s">
        <v>111</v>
      </c>
      <c r="K1535">
        <v>0</v>
      </c>
      <c r="L1535">
        <v>3</v>
      </c>
      <c r="M1535">
        <v>0</v>
      </c>
      <c r="N1535">
        <v>2</v>
      </c>
      <c r="O1535">
        <v>1</v>
      </c>
      <c r="P1535">
        <v>0</v>
      </c>
      <c r="Q1535">
        <v>0</v>
      </c>
      <c r="R1535" t="s">
        <v>112</v>
      </c>
      <c r="S1535" t="str">
        <f>"14:15:56.883"</f>
        <v>14:15:56.883</v>
      </c>
      <c r="T1535" t="str">
        <f>"14:15:56.484"</f>
        <v>14:15:56.484</v>
      </c>
      <c r="U1535" t="str">
        <f t="shared" si="69"/>
        <v>ad5732</v>
      </c>
      <c r="V1535">
        <v>0</v>
      </c>
      <c r="W1535">
        <v>0</v>
      </c>
      <c r="X1535">
        <v>1</v>
      </c>
      <c r="Z1535">
        <v>0</v>
      </c>
      <c r="AA1535">
        <v>9</v>
      </c>
      <c r="AB1535">
        <v>3</v>
      </c>
      <c r="AC1535">
        <v>0</v>
      </c>
      <c r="AD1535">
        <v>10</v>
      </c>
      <c r="AE1535">
        <v>0</v>
      </c>
      <c r="AF1535">
        <v>3</v>
      </c>
      <c r="AG1535">
        <v>2</v>
      </c>
      <c r="AH1535">
        <v>0</v>
      </c>
      <c r="AI1535" t="s">
        <v>3173</v>
      </c>
      <c r="AJ1535">
        <v>39.656353000000003</v>
      </c>
      <c r="AK1535" t="s">
        <v>3174</v>
      </c>
      <c r="AL1535">
        <v>-76.321464000000006</v>
      </c>
      <c r="AM1535">
        <v>100</v>
      </c>
      <c r="AN1535">
        <v>6200</v>
      </c>
      <c r="AO1535" t="s">
        <v>115</v>
      </c>
      <c r="AP1535">
        <v>196</v>
      </c>
      <c r="AQ1535">
        <v>101</v>
      </c>
      <c r="AR1535">
        <v>-1472</v>
      </c>
      <c r="AZ1535">
        <v>3614</v>
      </c>
      <c r="BA1535">
        <v>1</v>
      </c>
      <c r="BB1535" t="str">
        <f t="shared" si="71"/>
        <v xml:space="preserve">N959MJ  </v>
      </c>
      <c r="BC1535">
        <v>1</v>
      </c>
      <c r="BE1535">
        <v>0</v>
      </c>
      <c r="BF1535">
        <v>0</v>
      </c>
      <c r="BG1535">
        <v>0</v>
      </c>
      <c r="BH1535">
        <v>6350</v>
      </c>
      <c r="BI1535">
        <v>150</v>
      </c>
      <c r="BJ1535">
        <v>1</v>
      </c>
      <c r="BK1535">
        <v>1</v>
      </c>
      <c r="BL1535">
        <v>1</v>
      </c>
      <c r="BM1535">
        <v>0</v>
      </c>
      <c r="BP1535">
        <v>0</v>
      </c>
      <c r="BQ1535">
        <v>0</v>
      </c>
      <c r="BX1535" t="str">
        <f>"14:15:56.883"</f>
        <v>14:15:56.883</v>
      </c>
      <c r="BY1535" t="str">
        <f>"885567074"</f>
        <v>885567074</v>
      </c>
      <c r="CL1535">
        <v>0</v>
      </c>
      <c r="CM1535">
        <v>2</v>
      </c>
      <c r="CN1535">
        <v>0</v>
      </c>
      <c r="CO1535">
        <v>2</v>
      </c>
      <c r="CP1535">
        <v>0</v>
      </c>
      <c r="CQ1535">
        <v>6</v>
      </c>
      <c r="CR1535" t="s">
        <v>116</v>
      </c>
      <c r="CS1535">
        <v>39</v>
      </c>
      <c r="CT1535">
        <v>2</v>
      </c>
      <c r="CU1535" t="s">
        <v>2259</v>
      </c>
      <c r="CV1535" t="s">
        <v>2260</v>
      </c>
      <c r="CY1535">
        <v>15755873</v>
      </c>
      <c r="CZ1535" t="s">
        <v>119</v>
      </c>
    </row>
    <row r="1536" spans="1:104" x14ac:dyDescent="0.25">
      <c r="A1536" t="str">
        <f>"14:15:58.203"</f>
        <v>14:15:58.203</v>
      </c>
      <c r="B1536" t="s">
        <v>108</v>
      </c>
      <c r="C1536" t="str">
        <f t="shared" si="70"/>
        <v>ffdfd3c0</v>
      </c>
      <c r="D1536" t="s">
        <v>109</v>
      </c>
      <c r="E1536">
        <v>4</v>
      </c>
      <c r="F1536">
        <v>1004</v>
      </c>
      <c r="G1536" t="s">
        <v>110</v>
      </c>
      <c r="J1536" t="s">
        <v>111</v>
      </c>
      <c r="K1536">
        <v>0</v>
      </c>
      <c r="L1536">
        <v>3</v>
      </c>
      <c r="M1536">
        <v>0</v>
      </c>
      <c r="N1536">
        <v>2</v>
      </c>
      <c r="O1536">
        <v>1</v>
      </c>
      <c r="P1536">
        <v>0</v>
      </c>
      <c r="Q1536">
        <v>0</v>
      </c>
      <c r="R1536" t="s">
        <v>112</v>
      </c>
      <c r="S1536" t="str">
        <f>"14:15:58.000"</f>
        <v>14:15:58.000</v>
      </c>
      <c r="T1536" t="str">
        <f>"14:15:57.500"</f>
        <v>14:15:57.500</v>
      </c>
      <c r="U1536" t="str">
        <f t="shared" si="69"/>
        <v>ad5732</v>
      </c>
      <c r="V1536">
        <v>0</v>
      </c>
      <c r="W1536">
        <v>0</v>
      </c>
      <c r="X1536">
        <v>1</v>
      </c>
      <c r="Z1536">
        <v>0</v>
      </c>
      <c r="AA1536">
        <v>9</v>
      </c>
      <c r="AB1536">
        <v>3</v>
      </c>
      <c r="AC1536">
        <v>0</v>
      </c>
      <c r="AD1536">
        <v>10</v>
      </c>
      <c r="AE1536">
        <v>0</v>
      </c>
      <c r="AF1536">
        <v>3</v>
      </c>
      <c r="AG1536">
        <v>2</v>
      </c>
      <c r="AH1536">
        <v>0</v>
      </c>
      <c r="AI1536" t="s">
        <v>3175</v>
      </c>
      <c r="AJ1536">
        <v>39.656911000000001</v>
      </c>
      <c r="AK1536" t="s">
        <v>3176</v>
      </c>
      <c r="AL1536">
        <v>-76.320069000000004</v>
      </c>
      <c r="AM1536">
        <v>100</v>
      </c>
      <c r="AN1536">
        <v>6100</v>
      </c>
      <c r="AO1536" t="s">
        <v>115</v>
      </c>
      <c r="AP1536">
        <v>195</v>
      </c>
      <c r="AQ1536">
        <v>101</v>
      </c>
      <c r="AR1536">
        <v>-1600</v>
      </c>
      <c r="AZ1536">
        <v>3614</v>
      </c>
      <c r="BA1536">
        <v>1</v>
      </c>
      <c r="BB1536" t="str">
        <f t="shared" si="71"/>
        <v xml:space="preserve">N959MJ  </v>
      </c>
      <c r="BC1536">
        <v>1</v>
      </c>
      <c r="BE1536">
        <v>0</v>
      </c>
      <c r="BF1536">
        <v>0</v>
      </c>
      <c r="BG1536">
        <v>0</v>
      </c>
      <c r="BH1536">
        <v>6425</v>
      </c>
      <c r="BI1536">
        <v>325</v>
      </c>
      <c r="BJ1536">
        <v>1</v>
      </c>
      <c r="BK1536">
        <v>1</v>
      </c>
      <c r="BL1536">
        <v>1</v>
      </c>
      <c r="BM1536">
        <v>0</v>
      </c>
      <c r="BP1536">
        <v>0</v>
      </c>
      <c r="BQ1536">
        <v>0</v>
      </c>
      <c r="BX1536" t="str">
        <f>"14:15:58.008"</f>
        <v>14:15:58.008</v>
      </c>
      <c r="BY1536" t="str">
        <f>"006145193"</f>
        <v>006145193</v>
      </c>
      <c r="CL1536">
        <v>0</v>
      </c>
      <c r="CM1536">
        <v>2</v>
      </c>
      <c r="CN1536">
        <v>0</v>
      </c>
      <c r="CO1536">
        <v>2</v>
      </c>
      <c r="CP1536">
        <v>0</v>
      </c>
      <c r="CQ1536">
        <v>6</v>
      </c>
      <c r="CR1536" t="s">
        <v>116</v>
      </c>
      <c r="CS1536">
        <v>396</v>
      </c>
      <c r="CT1536">
        <v>1</v>
      </c>
      <c r="CU1536" t="s">
        <v>939</v>
      </c>
      <c r="CV1536" t="s">
        <v>940</v>
      </c>
      <c r="CY1536">
        <v>9044699</v>
      </c>
      <c r="CZ1536" t="s">
        <v>119</v>
      </c>
    </row>
    <row r="1537" spans="1:104" x14ac:dyDescent="0.25">
      <c r="A1537" t="str">
        <f>"14:15:59.109"</f>
        <v>14:15:59.109</v>
      </c>
      <c r="B1537" t="s">
        <v>108</v>
      </c>
      <c r="C1537" t="str">
        <f t="shared" si="70"/>
        <v>ffdfd3c0</v>
      </c>
      <c r="D1537" t="s">
        <v>109</v>
      </c>
      <c r="E1537">
        <v>4</v>
      </c>
      <c r="F1537">
        <v>1004</v>
      </c>
      <c r="G1537" t="s">
        <v>110</v>
      </c>
      <c r="J1537" t="s">
        <v>111</v>
      </c>
      <c r="K1537">
        <v>0</v>
      </c>
      <c r="L1537">
        <v>3</v>
      </c>
      <c r="M1537">
        <v>0</v>
      </c>
      <c r="N1537">
        <v>2</v>
      </c>
      <c r="O1537">
        <v>1</v>
      </c>
      <c r="P1537">
        <v>0</v>
      </c>
      <c r="Q1537">
        <v>0</v>
      </c>
      <c r="R1537" t="s">
        <v>112</v>
      </c>
      <c r="S1537" t="str">
        <f>"14:15:58.906"</f>
        <v>14:15:58.906</v>
      </c>
      <c r="T1537" t="str">
        <f>"14:15:58.508"</f>
        <v>14:15:58.508</v>
      </c>
      <c r="U1537" t="str">
        <f t="shared" si="69"/>
        <v>ad5732</v>
      </c>
      <c r="V1537">
        <v>0</v>
      </c>
      <c r="W1537">
        <v>0</v>
      </c>
      <c r="X1537">
        <v>1</v>
      </c>
      <c r="Z1537">
        <v>0</v>
      </c>
      <c r="AA1537">
        <v>9</v>
      </c>
      <c r="AB1537">
        <v>3</v>
      </c>
      <c r="AC1537">
        <v>0</v>
      </c>
      <c r="AD1537">
        <v>10</v>
      </c>
      <c r="AE1537">
        <v>0</v>
      </c>
      <c r="AF1537">
        <v>3</v>
      </c>
      <c r="AG1537">
        <v>2</v>
      </c>
      <c r="AH1537">
        <v>0</v>
      </c>
      <c r="AI1537" t="s">
        <v>3177</v>
      </c>
      <c r="AJ1537">
        <v>39.657339999999998</v>
      </c>
      <c r="AK1537" t="s">
        <v>3178</v>
      </c>
      <c r="AL1537">
        <v>-76.318973999999997</v>
      </c>
      <c r="AM1537">
        <v>100</v>
      </c>
      <c r="AN1537">
        <v>6100</v>
      </c>
      <c r="AO1537" t="s">
        <v>115</v>
      </c>
      <c r="AP1537">
        <v>194</v>
      </c>
      <c r="AQ1537">
        <v>101</v>
      </c>
      <c r="AR1537">
        <v>-1664</v>
      </c>
      <c r="AZ1537">
        <v>3614</v>
      </c>
      <c r="BA1537">
        <v>1</v>
      </c>
      <c r="BB1537" t="str">
        <f t="shared" si="71"/>
        <v xml:space="preserve">N959MJ  </v>
      </c>
      <c r="BC1537">
        <v>1</v>
      </c>
      <c r="BE1537">
        <v>0</v>
      </c>
      <c r="BF1537">
        <v>0</v>
      </c>
      <c r="BG1537">
        <v>0</v>
      </c>
      <c r="BH1537">
        <v>6300</v>
      </c>
      <c r="BI1537">
        <v>200</v>
      </c>
      <c r="BJ1537">
        <v>1</v>
      </c>
      <c r="BK1537">
        <v>1</v>
      </c>
      <c r="BL1537">
        <v>1</v>
      </c>
      <c r="BM1537">
        <v>0</v>
      </c>
      <c r="BP1537">
        <v>0</v>
      </c>
      <c r="BQ1537">
        <v>0</v>
      </c>
      <c r="BX1537" t="str">
        <f>"14:15:58.914"</f>
        <v>14:15:58.914</v>
      </c>
      <c r="BY1537" t="str">
        <f>"912195721"</f>
        <v>912195721</v>
      </c>
      <c r="CL1537">
        <v>0</v>
      </c>
      <c r="CM1537">
        <v>2</v>
      </c>
      <c r="CN1537">
        <v>0</v>
      </c>
      <c r="CO1537">
        <v>2</v>
      </c>
      <c r="CP1537">
        <v>0</v>
      </c>
      <c r="CQ1537">
        <v>6</v>
      </c>
      <c r="CR1537" t="s">
        <v>116</v>
      </c>
      <c r="CS1537">
        <v>396</v>
      </c>
      <c r="CT1537">
        <v>2</v>
      </c>
      <c r="CU1537" t="s">
        <v>939</v>
      </c>
      <c r="CV1537" t="s">
        <v>940</v>
      </c>
      <c r="CY1537">
        <v>5457604</v>
      </c>
      <c r="CZ1537" t="s">
        <v>119</v>
      </c>
    </row>
    <row r="1538" spans="1:104" x14ac:dyDescent="0.25">
      <c r="A1538" t="str">
        <f>"14:16:00.117"</f>
        <v>14:16:00.117</v>
      </c>
      <c r="B1538" t="s">
        <v>108</v>
      </c>
      <c r="C1538" t="str">
        <f t="shared" si="70"/>
        <v>ffdfd3c0</v>
      </c>
      <c r="D1538" t="s">
        <v>109</v>
      </c>
      <c r="E1538">
        <v>4</v>
      </c>
      <c r="F1538">
        <v>1004</v>
      </c>
      <c r="G1538" t="s">
        <v>110</v>
      </c>
      <c r="J1538" t="s">
        <v>111</v>
      </c>
      <c r="K1538">
        <v>0</v>
      </c>
      <c r="L1538">
        <v>3</v>
      </c>
      <c r="M1538">
        <v>0</v>
      </c>
      <c r="N1538">
        <v>2</v>
      </c>
      <c r="O1538">
        <v>1</v>
      </c>
      <c r="P1538">
        <v>0</v>
      </c>
      <c r="Q1538">
        <v>0</v>
      </c>
      <c r="R1538" t="s">
        <v>112</v>
      </c>
      <c r="S1538" t="str">
        <f>"14:15:59.945"</f>
        <v>14:15:59.945</v>
      </c>
      <c r="T1538" t="str">
        <f>"14:15:59.445"</f>
        <v>14:15:59.445</v>
      </c>
      <c r="U1538" t="str">
        <f t="shared" ref="U1538:U1601" si="72">"ad5732"</f>
        <v>ad5732</v>
      </c>
      <c r="V1538">
        <v>0</v>
      </c>
      <c r="W1538">
        <v>0</v>
      </c>
      <c r="X1538">
        <v>1</v>
      </c>
      <c r="Z1538">
        <v>0</v>
      </c>
      <c r="AA1538">
        <v>9</v>
      </c>
      <c r="AB1538">
        <v>3</v>
      </c>
      <c r="AC1538">
        <v>0</v>
      </c>
      <c r="AD1538">
        <v>10</v>
      </c>
      <c r="AE1538">
        <v>0</v>
      </c>
      <c r="AF1538">
        <v>3</v>
      </c>
      <c r="AG1538">
        <v>2</v>
      </c>
      <c r="AH1538">
        <v>0</v>
      </c>
      <c r="AI1538" t="s">
        <v>3179</v>
      </c>
      <c r="AJ1538">
        <v>39.657812</v>
      </c>
      <c r="AK1538" t="s">
        <v>3180</v>
      </c>
      <c r="AL1538">
        <v>-76.317836999999997</v>
      </c>
      <c r="AM1538">
        <v>100</v>
      </c>
      <c r="AN1538">
        <v>6100</v>
      </c>
      <c r="AO1538" t="s">
        <v>115</v>
      </c>
      <c r="AP1538">
        <v>194</v>
      </c>
      <c r="AQ1538">
        <v>101</v>
      </c>
      <c r="AR1538">
        <v>-1728</v>
      </c>
      <c r="AZ1538">
        <v>3614</v>
      </c>
      <c r="BA1538">
        <v>1</v>
      </c>
      <c r="BB1538" t="str">
        <f t="shared" si="71"/>
        <v xml:space="preserve">N959MJ  </v>
      </c>
      <c r="BC1538">
        <v>1</v>
      </c>
      <c r="BE1538">
        <v>0</v>
      </c>
      <c r="BF1538">
        <v>0</v>
      </c>
      <c r="BG1538">
        <v>0</v>
      </c>
      <c r="BH1538">
        <v>6275</v>
      </c>
      <c r="BI1538">
        <v>175</v>
      </c>
      <c r="BJ1538">
        <v>1</v>
      </c>
      <c r="BK1538">
        <v>1</v>
      </c>
      <c r="BL1538">
        <v>1</v>
      </c>
      <c r="BM1538">
        <v>0</v>
      </c>
      <c r="BP1538">
        <v>0</v>
      </c>
      <c r="BQ1538">
        <v>0</v>
      </c>
      <c r="BX1538" t="str">
        <f>"14:15:59.945"</f>
        <v>14:15:59.945</v>
      </c>
      <c r="BY1538" t="str">
        <f>"947681968"</f>
        <v>947681968</v>
      </c>
      <c r="CL1538">
        <v>0</v>
      </c>
      <c r="CM1538">
        <v>2</v>
      </c>
      <c r="CN1538">
        <v>0</v>
      </c>
      <c r="CO1538">
        <v>2</v>
      </c>
      <c r="CP1538">
        <v>0</v>
      </c>
      <c r="CQ1538">
        <v>6</v>
      </c>
      <c r="CR1538" t="s">
        <v>116</v>
      </c>
      <c r="CS1538">
        <v>396</v>
      </c>
      <c r="CT1538">
        <v>1</v>
      </c>
      <c r="CU1538" t="s">
        <v>939</v>
      </c>
      <c r="CV1538" t="s">
        <v>940</v>
      </c>
      <c r="CY1538">
        <v>9048068</v>
      </c>
      <c r="CZ1538" t="s">
        <v>119</v>
      </c>
    </row>
    <row r="1539" spans="1:104" x14ac:dyDescent="0.25">
      <c r="A1539" t="str">
        <f>"14:16:01.078"</f>
        <v>14:16:01.078</v>
      </c>
      <c r="B1539" t="s">
        <v>108</v>
      </c>
      <c r="C1539" t="str">
        <f t="shared" si="70"/>
        <v>ffdfd3c0</v>
      </c>
      <c r="D1539" t="s">
        <v>109</v>
      </c>
      <c r="E1539">
        <v>4</v>
      </c>
      <c r="F1539">
        <v>1004</v>
      </c>
      <c r="G1539" t="s">
        <v>110</v>
      </c>
      <c r="J1539" t="s">
        <v>111</v>
      </c>
      <c r="K1539">
        <v>0</v>
      </c>
      <c r="L1539">
        <v>3</v>
      </c>
      <c r="M1539">
        <v>0</v>
      </c>
      <c r="N1539">
        <v>2</v>
      </c>
      <c r="O1539">
        <v>1</v>
      </c>
      <c r="P1539">
        <v>0</v>
      </c>
      <c r="Q1539">
        <v>0</v>
      </c>
      <c r="R1539" t="s">
        <v>112</v>
      </c>
      <c r="S1539" t="str">
        <f>"14:16:00.883"</f>
        <v>14:16:00.883</v>
      </c>
      <c r="T1539" t="str">
        <f>"14:16:00.586"</f>
        <v>14:16:00.586</v>
      </c>
      <c r="U1539" t="str">
        <f t="shared" si="72"/>
        <v>ad5732</v>
      </c>
      <c r="V1539">
        <v>0</v>
      </c>
      <c r="W1539">
        <v>0</v>
      </c>
      <c r="X1539">
        <v>1</v>
      </c>
      <c r="Z1539">
        <v>0</v>
      </c>
      <c r="AA1539">
        <v>9</v>
      </c>
      <c r="AB1539">
        <v>3</v>
      </c>
      <c r="AC1539">
        <v>0</v>
      </c>
      <c r="AD1539">
        <v>10</v>
      </c>
      <c r="AE1539">
        <v>0</v>
      </c>
      <c r="AF1539">
        <v>3</v>
      </c>
      <c r="AG1539">
        <v>2</v>
      </c>
      <c r="AH1539">
        <v>0</v>
      </c>
      <c r="AI1539" t="s">
        <v>3181</v>
      </c>
      <c r="AJ1539">
        <v>39.65822</v>
      </c>
      <c r="AK1539" t="s">
        <v>3182</v>
      </c>
      <c r="AL1539">
        <v>-76.316764000000006</v>
      </c>
      <c r="AM1539">
        <v>100</v>
      </c>
      <c r="AN1539">
        <v>6000</v>
      </c>
      <c r="AO1539" t="s">
        <v>115</v>
      </c>
      <c r="AP1539">
        <v>193</v>
      </c>
      <c r="AQ1539">
        <v>101</v>
      </c>
      <c r="AR1539">
        <v>-1856</v>
      </c>
      <c r="AZ1539">
        <v>3614</v>
      </c>
      <c r="BA1539">
        <v>1</v>
      </c>
      <c r="BB1539" t="str">
        <f t="shared" si="71"/>
        <v xml:space="preserve">N959MJ  </v>
      </c>
      <c r="BC1539">
        <v>1</v>
      </c>
      <c r="BE1539">
        <v>0</v>
      </c>
      <c r="BF1539">
        <v>0</v>
      </c>
      <c r="BG1539">
        <v>0</v>
      </c>
      <c r="BH1539">
        <v>6225</v>
      </c>
      <c r="BI1539">
        <v>225</v>
      </c>
      <c r="BJ1539">
        <v>1</v>
      </c>
      <c r="BK1539">
        <v>1</v>
      </c>
      <c r="BL1539">
        <v>1</v>
      </c>
      <c r="BM1539">
        <v>0</v>
      </c>
      <c r="BP1539">
        <v>0</v>
      </c>
      <c r="BQ1539">
        <v>0</v>
      </c>
      <c r="BX1539" t="str">
        <f>"14:16:00.883"</f>
        <v>14:16:00.883</v>
      </c>
      <c r="BY1539" t="str">
        <f>"885165929"</f>
        <v>885165929</v>
      </c>
      <c r="CL1539">
        <v>0</v>
      </c>
      <c r="CM1539">
        <v>2</v>
      </c>
      <c r="CN1539">
        <v>0</v>
      </c>
      <c r="CO1539">
        <v>2</v>
      </c>
      <c r="CP1539">
        <v>0</v>
      </c>
      <c r="CQ1539">
        <v>5</v>
      </c>
      <c r="CR1539" t="s">
        <v>116</v>
      </c>
      <c r="CS1539">
        <v>379</v>
      </c>
      <c r="CT1539">
        <v>0</v>
      </c>
      <c r="CU1539" t="s">
        <v>538</v>
      </c>
      <c r="CV1539" t="s">
        <v>539</v>
      </c>
      <c r="CY1539">
        <v>7966818</v>
      </c>
      <c r="CZ1539" t="s">
        <v>119</v>
      </c>
    </row>
    <row r="1540" spans="1:104" x14ac:dyDescent="0.25">
      <c r="A1540" t="str">
        <f>"14:16:02.039"</f>
        <v>14:16:02.039</v>
      </c>
      <c r="B1540" t="s">
        <v>108</v>
      </c>
      <c r="C1540" t="str">
        <f t="shared" si="70"/>
        <v>ffdfd3c0</v>
      </c>
      <c r="D1540" t="s">
        <v>109</v>
      </c>
      <c r="E1540">
        <v>4</v>
      </c>
      <c r="F1540">
        <v>1004</v>
      </c>
      <c r="G1540" t="s">
        <v>110</v>
      </c>
      <c r="J1540" t="s">
        <v>111</v>
      </c>
      <c r="K1540">
        <v>0</v>
      </c>
      <c r="L1540">
        <v>3</v>
      </c>
      <c r="M1540">
        <v>0</v>
      </c>
      <c r="N1540">
        <v>2</v>
      </c>
      <c r="O1540">
        <v>1</v>
      </c>
      <c r="P1540">
        <v>0</v>
      </c>
      <c r="Q1540">
        <v>0</v>
      </c>
      <c r="R1540" t="s">
        <v>112</v>
      </c>
      <c r="S1540" t="str">
        <f>"14:16:01.844"</f>
        <v>14:16:01.844</v>
      </c>
      <c r="T1540" t="str">
        <f>"14:16:01.445"</f>
        <v>14:16:01.445</v>
      </c>
      <c r="U1540" t="str">
        <f t="shared" si="72"/>
        <v>ad5732</v>
      </c>
      <c r="V1540">
        <v>0</v>
      </c>
      <c r="W1540">
        <v>0</v>
      </c>
      <c r="X1540">
        <v>1</v>
      </c>
      <c r="Z1540">
        <v>0</v>
      </c>
      <c r="AA1540">
        <v>9</v>
      </c>
      <c r="AB1540">
        <v>3</v>
      </c>
      <c r="AC1540">
        <v>0</v>
      </c>
      <c r="AD1540">
        <v>10</v>
      </c>
      <c r="AE1540">
        <v>0</v>
      </c>
      <c r="AF1540">
        <v>3</v>
      </c>
      <c r="AG1540">
        <v>2</v>
      </c>
      <c r="AH1540">
        <v>0</v>
      </c>
      <c r="AI1540" t="s">
        <v>3183</v>
      </c>
      <c r="AJ1540">
        <v>39.658692000000002</v>
      </c>
      <c r="AK1540" t="s">
        <v>3184</v>
      </c>
      <c r="AL1540">
        <v>-76.315669999999997</v>
      </c>
      <c r="AM1540">
        <v>100</v>
      </c>
      <c r="AN1540">
        <v>6000</v>
      </c>
      <c r="AO1540" t="s">
        <v>115</v>
      </c>
      <c r="AP1540">
        <v>192</v>
      </c>
      <c r="AQ1540">
        <v>102</v>
      </c>
      <c r="AR1540">
        <v>-1920</v>
      </c>
      <c r="AZ1540">
        <v>3614</v>
      </c>
      <c r="BA1540">
        <v>1</v>
      </c>
      <c r="BB1540" t="str">
        <f t="shared" si="71"/>
        <v xml:space="preserve">N959MJ  </v>
      </c>
      <c r="BC1540">
        <v>1</v>
      </c>
      <c r="BE1540">
        <v>0</v>
      </c>
      <c r="BF1540">
        <v>0</v>
      </c>
      <c r="BG1540">
        <v>0</v>
      </c>
      <c r="BH1540">
        <v>6200</v>
      </c>
      <c r="BI1540">
        <v>200</v>
      </c>
      <c r="BJ1540">
        <v>1</v>
      </c>
      <c r="BK1540">
        <v>1</v>
      </c>
      <c r="BL1540">
        <v>1</v>
      </c>
      <c r="BM1540">
        <v>0</v>
      </c>
      <c r="BP1540">
        <v>0</v>
      </c>
      <c r="BQ1540">
        <v>0</v>
      </c>
      <c r="BX1540" t="str">
        <f>"14:16:01.852"</f>
        <v>14:16:01.852</v>
      </c>
      <c r="BY1540" t="str">
        <f>"848258043"</f>
        <v>848258043</v>
      </c>
      <c r="CL1540">
        <v>0</v>
      </c>
      <c r="CM1540">
        <v>2</v>
      </c>
      <c r="CN1540">
        <v>0</v>
      </c>
      <c r="CO1540">
        <v>2</v>
      </c>
      <c r="CP1540">
        <v>0</v>
      </c>
      <c r="CQ1540">
        <v>6</v>
      </c>
      <c r="CR1540" t="s">
        <v>116</v>
      </c>
      <c r="CS1540">
        <v>396</v>
      </c>
      <c r="CT1540">
        <v>2</v>
      </c>
      <c r="CU1540" t="s">
        <v>939</v>
      </c>
      <c r="CV1540" t="s">
        <v>940</v>
      </c>
      <c r="CY1540">
        <v>5462728</v>
      </c>
      <c r="CZ1540" t="s">
        <v>119</v>
      </c>
    </row>
    <row r="1541" spans="1:104" x14ac:dyDescent="0.25">
      <c r="A1541" t="str">
        <f>"14:16:02.945"</f>
        <v>14:16:02.945</v>
      </c>
      <c r="B1541" t="s">
        <v>108</v>
      </c>
      <c r="C1541" t="str">
        <f t="shared" si="70"/>
        <v>ffdfd3c0</v>
      </c>
      <c r="D1541" t="s">
        <v>109</v>
      </c>
      <c r="E1541">
        <v>4</v>
      </c>
      <c r="F1541">
        <v>1004</v>
      </c>
      <c r="G1541" t="s">
        <v>110</v>
      </c>
      <c r="J1541" t="s">
        <v>111</v>
      </c>
      <c r="K1541">
        <v>0</v>
      </c>
      <c r="L1541">
        <v>3</v>
      </c>
      <c r="M1541">
        <v>0</v>
      </c>
      <c r="N1541">
        <v>2</v>
      </c>
      <c r="O1541">
        <v>1</v>
      </c>
      <c r="P1541">
        <v>0</v>
      </c>
      <c r="Q1541">
        <v>0</v>
      </c>
      <c r="R1541" t="s">
        <v>112</v>
      </c>
      <c r="S1541" t="str">
        <f>"14:16:02.766"</f>
        <v>14:16:02.766</v>
      </c>
      <c r="T1541" t="str">
        <f>"14:16:02.367"</f>
        <v>14:16:02.367</v>
      </c>
      <c r="U1541" t="str">
        <f t="shared" si="72"/>
        <v>ad5732</v>
      </c>
      <c r="V1541">
        <v>0</v>
      </c>
      <c r="W1541">
        <v>0</v>
      </c>
      <c r="X1541">
        <v>1</v>
      </c>
      <c r="Z1541">
        <v>0</v>
      </c>
      <c r="AA1541">
        <v>9</v>
      </c>
      <c r="AB1541">
        <v>3</v>
      </c>
      <c r="AC1541">
        <v>0</v>
      </c>
      <c r="AD1541">
        <v>10</v>
      </c>
      <c r="AE1541">
        <v>0</v>
      </c>
      <c r="AF1541">
        <v>3</v>
      </c>
      <c r="AG1541">
        <v>2</v>
      </c>
      <c r="AH1541">
        <v>0</v>
      </c>
      <c r="AI1541" t="s">
        <v>3185</v>
      </c>
      <c r="AJ1541">
        <v>39.659142000000003</v>
      </c>
      <c r="AK1541" t="s">
        <v>3186</v>
      </c>
      <c r="AL1541">
        <v>-76.314618999999993</v>
      </c>
      <c r="AM1541">
        <v>100</v>
      </c>
      <c r="AN1541">
        <v>6000</v>
      </c>
      <c r="AO1541" t="s">
        <v>115</v>
      </c>
      <c r="AP1541">
        <v>191</v>
      </c>
      <c r="AQ1541">
        <v>102</v>
      </c>
      <c r="AR1541">
        <v>-1920</v>
      </c>
      <c r="AZ1541">
        <v>3614</v>
      </c>
      <c r="BA1541">
        <v>1</v>
      </c>
      <c r="BB1541" t="str">
        <f t="shared" si="71"/>
        <v xml:space="preserve">N959MJ  </v>
      </c>
      <c r="BC1541">
        <v>1</v>
      </c>
      <c r="BE1541">
        <v>0</v>
      </c>
      <c r="BF1541">
        <v>0</v>
      </c>
      <c r="BG1541">
        <v>0</v>
      </c>
      <c r="BH1541">
        <v>6175</v>
      </c>
      <c r="BI1541">
        <v>175</v>
      </c>
      <c r="BJ1541">
        <v>1</v>
      </c>
      <c r="BK1541">
        <v>1</v>
      </c>
      <c r="BL1541">
        <v>1</v>
      </c>
      <c r="BM1541">
        <v>0</v>
      </c>
      <c r="BP1541">
        <v>0</v>
      </c>
      <c r="BQ1541">
        <v>0</v>
      </c>
      <c r="BX1541" t="str">
        <f>"14:16:02.773"</f>
        <v>14:16:02.773</v>
      </c>
      <c r="BY1541" t="str">
        <f>"770796520"</f>
        <v>770796520</v>
      </c>
      <c r="CL1541">
        <v>0</v>
      </c>
      <c r="CM1541">
        <v>2</v>
      </c>
      <c r="CN1541">
        <v>0</v>
      </c>
      <c r="CO1541">
        <v>2</v>
      </c>
      <c r="CP1541">
        <v>0</v>
      </c>
      <c r="CQ1541">
        <v>5</v>
      </c>
      <c r="CR1541" t="s">
        <v>116</v>
      </c>
      <c r="CS1541">
        <v>39</v>
      </c>
      <c r="CT1541">
        <v>2</v>
      </c>
      <c r="CU1541" t="s">
        <v>2259</v>
      </c>
      <c r="CV1541" t="s">
        <v>2260</v>
      </c>
      <c r="CY1541">
        <v>15765364</v>
      </c>
      <c r="CZ1541" t="s">
        <v>119</v>
      </c>
    </row>
    <row r="1542" spans="1:104" x14ac:dyDescent="0.25">
      <c r="A1542" t="str">
        <f>"14:16:03.906"</f>
        <v>14:16:03.906</v>
      </c>
      <c r="B1542" t="s">
        <v>108</v>
      </c>
      <c r="C1542" t="str">
        <f t="shared" si="70"/>
        <v>ffdfd3c0</v>
      </c>
      <c r="D1542" t="s">
        <v>109</v>
      </c>
      <c r="E1542">
        <v>4</v>
      </c>
      <c r="F1542">
        <v>1004</v>
      </c>
      <c r="G1542" t="s">
        <v>110</v>
      </c>
      <c r="J1542" t="s">
        <v>111</v>
      </c>
      <c r="K1542">
        <v>0</v>
      </c>
      <c r="L1542">
        <v>3</v>
      </c>
      <c r="M1542">
        <v>0</v>
      </c>
      <c r="N1542">
        <v>2</v>
      </c>
      <c r="O1542">
        <v>1</v>
      </c>
      <c r="P1542">
        <v>0</v>
      </c>
      <c r="Q1542">
        <v>0</v>
      </c>
      <c r="R1542" t="s">
        <v>112</v>
      </c>
      <c r="S1542" t="str">
        <f>"14:16:03.719"</f>
        <v>14:16:03.719</v>
      </c>
      <c r="T1542" t="str">
        <f>"14:16:03.320"</f>
        <v>14:16:03.320</v>
      </c>
      <c r="U1542" t="str">
        <f t="shared" si="72"/>
        <v>ad5732</v>
      </c>
      <c r="V1542">
        <v>0</v>
      </c>
      <c r="W1542">
        <v>0</v>
      </c>
      <c r="X1542">
        <v>1</v>
      </c>
      <c r="Z1542">
        <v>0</v>
      </c>
      <c r="AA1542">
        <v>9</v>
      </c>
      <c r="AB1542">
        <v>3</v>
      </c>
      <c r="AC1542">
        <v>0</v>
      </c>
      <c r="AD1542">
        <v>10</v>
      </c>
      <c r="AE1542">
        <v>0</v>
      </c>
      <c r="AF1542">
        <v>3</v>
      </c>
      <c r="AG1542">
        <v>2</v>
      </c>
      <c r="AH1542">
        <v>0</v>
      </c>
      <c r="AI1542" t="s">
        <v>3187</v>
      </c>
      <c r="AJ1542">
        <v>39.659593000000001</v>
      </c>
      <c r="AK1542" t="s">
        <v>3188</v>
      </c>
      <c r="AL1542">
        <v>-76.313480999999996</v>
      </c>
      <c r="AM1542">
        <v>100</v>
      </c>
      <c r="AN1542">
        <v>6000</v>
      </c>
      <c r="AO1542" t="s">
        <v>115</v>
      </c>
      <c r="AP1542">
        <v>191</v>
      </c>
      <c r="AQ1542">
        <v>102</v>
      </c>
      <c r="AR1542">
        <v>-1920</v>
      </c>
      <c r="AZ1542">
        <v>3614</v>
      </c>
      <c r="BA1542">
        <v>1</v>
      </c>
      <c r="BB1542" t="str">
        <f t="shared" si="71"/>
        <v xml:space="preserve">N959MJ  </v>
      </c>
      <c r="BC1542">
        <v>1</v>
      </c>
      <c r="BE1542">
        <v>0</v>
      </c>
      <c r="BF1542">
        <v>0</v>
      </c>
      <c r="BG1542">
        <v>0</v>
      </c>
      <c r="BH1542">
        <v>6150</v>
      </c>
      <c r="BI1542">
        <v>150</v>
      </c>
      <c r="BJ1542">
        <v>1</v>
      </c>
      <c r="BK1542">
        <v>1</v>
      </c>
      <c r="BL1542">
        <v>1</v>
      </c>
      <c r="BM1542">
        <v>0</v>
      </c>
      <c r="BP1542">
        <v>0</v>
      </c>
      <c r="BQ1542">
        <v>0</v>
      </c>
      <c r="BX1542" t="str">
        <f>"14:16:03.719"</f>
        <v>14:16:03.719</v>
      </c>
      <c r="BY1542" t="str">
        <f>"719445702"</f>
        <v>719445702</v>
      </c>
      <c r="CL1542">
        <v>0</v>
      </c>
      <c r="CM1542">
        <v>2</v>
      </c>
      <c r="CN1542">
        <v>0</v>
      </c>
      <c r="CO1542">
        <v>2</v>
      </c>
      <c r="CP1542">
        <v>0</v>
      </c>
      <c r="CQ1542">
        <v>5</v>
      </c>
      <c r="CR1542" t="s">
        <v>116</v>
      </c>
      <c r="CS1542">
        <v>39</v>
      </c>
      <c r="CT1542">
        <v>2</v>
      </c>
      <c r="CU1542" t="s">
        <v>2259</v>
      </c>
      <c r="CV1542" t="s">
        <v>2260</v>
      </c>
      <c r="CY1542">
        <v>15766945</v>
      </c>
      <c r="CZ1542" t="s">
        <v>119</v>
      </c>
    </row>
    <row r="1543" spans="1:104" x14ac:dyDescent="0.25">
      <c r="A1543" t="str">
        <f>"14:16:04.859"</f>
        <v>14:16:04.859</v>
      </c>
      <c r="B1543" t="s">
        <v>108</v>
      </c>
      <c r="C1543" t="str">
        <f t="shared" si="70"/>
        <v>ffdfd3c0</v>
      </c>
      <c r="D1543" t="s">
        <v>109</v>
      </c>
      <c r="E1543">
        <v>4</v>
      </c>
      <c r="F1543">
        <v>1004</v>
      </c>
      <c r="G1543" t="s">
        <v>110</v>
      </c>
      <c r="J1543" t="s">
        <v>111</v>
      </c>
      <c r="K1543">
        <v>0</v>
      </c>
      <c r="L1543">
        <v>3</v>
      </c>
      <c r="M1543">
        <v>0</v>
      </c>
      <c r="N1543">
        <v>2</v>
      </c>
      <c r="O1543">
        <v>1</v>
      </c>
      <c r="P1543">
        <v>0</v>
      </c>
      <c r="Q1543">
        <v>0</v>
      </c>
      <c r="R1543" t="s">
        <v>112</v>
      </c>
      <c r="S1543" t="str">
        <f>"14:16:04.672"</f>
        <v>14:16:04.672</v>
      </c>
      <c r="T1543" t="str">
        <f>"14:16:03.773"</f>
        <v>14:16:03.773</v>
      </c>
      <c r="U1543" t="str">
        <f t="shared" si="72"/>
        <v>ad5732</v>
      </c>
      <c r="V1543">
        <v>0</v>
      </c>
      <c r="W1543">
        <v>0</v>
      </c>
      <c r="X1543">
        <v>1</v>
      </c>
      <c r="Z1543">
        <v>0</v>
      </c>
      <c r="AA1543">
        <v>9</v>
      </c>
      <c r="AB1543">
        <v>3</v>
      </c>
      <c r="AC1543">
        <v>0</v>
      </c>
      <c r="AD1543">
        <v>10</v>
      </c>
      <c r="AE1543">
        <v>0</v>
      </c>
      <c r="AF1543">
        <v>3</v>
      </c>
      <c r="AG1543">
        <v>2</v>
      </c>
      <c r="AH1543">
        <v>0</v>
      </c>
      <c r="AI1543" t="s">
        <v>3189</v>
      </c>
      <c r="AJ1543">
        <v>39.660043999999999</v>
      </c>
      <c r="AK1543" t="s">
        <v>3190</v>
      </c>
      <c r="AL1543">
        <v>-76.312430000000006</v>
      </c>
      <c r="AM1543">
        <v>100</v>
      </c>
      <c r="AN1543">
        <v>5900</v>
      </c>
      <c r="AO1543" t="s">
        <v>115</v>
      </c>
      <c r="AP1543">
        <v>191</v>
      </c>
      <c r="AQ1543">
        <v>102</v>
      </c>
      <c r="AR1543">
        <v>-1920</v>
      </c>
      <c r="AZ1543">
        <v>3614</v>
      </c>
      <c r="BA1543">
        <v>1</v>
      </c>
      <c r="BB1543" t="str">
        <f t="shared" si="71"/>
        <v xml:space="preserve">N959MJ  </v>
      </c>
      <c r="BC1543">
        <v>1</v>
      </c>
      <c r="BE1543">
        <v>0</v>
      </c>
      <c r="BF1543">
        <v>0</v>
      </c>
      <c r="BG1543">
        <v>0</v>
      </c>
      <c r="BH1543">
        <v>6125</v>
      </c>
      <c r="BI1543">
        <v>225</v>
      </c>
      <c r="BJ1543">
        <v>1</v>
      </c>
      <c r="BK1543">
        <v>1</v>
      </c>
      <c r="BL1543">
        <v>1</v>
      </c>
      <c r="BM1543">
        <v>0</v>
      </c>
      <c r="BP1543">
        <v>0</v>
      </c>
      <c r="BQ1543">
        <v>0</v>
      </c>
      <c r="BX1543" t="str">
        <f>"14:16:04.680"</f>
        <v>14:16:04.680</v>
      </c>
      <c r="BY1543" t="str">
        <f>"677925463"</f>
        <v>677925463</v>
      </c>
      <c r="CL1543">
        <v>0</v>
      </c>
      <c r="CM1543">
        <v>2</v>
      </c>
      <c r="CN1543">
        <v>0</v>
      </c>
      <c r="CO1543">
        <v>2</v>
      </c>
      <c r="CP1543">
        <v>0</v>
      </c>
      <c r="CQ1543">
        <v>1</v>
      </c>
      <c r="CR1543" t="s">
        <v>116</v>
      </c>
      <c r="CS1543">
        <v>39</v>
      </c>
      <c r="CT1543">
        <v>1</v>
      </c>
      <c r="CU1543" t="s">
        <v>2259</v>
      </c>
      <c r="CV1543" t="s">
        <v>2260</v>
      </c>
      <c r="CY1543">
        <v>7818844</v>
      </c>
      <c r="CZ1543" t="s">
        <v>119</v>
      </c>
    </row>
    <row r="1544" spans="1:104" x14ac:dyDescent="0.25">
      <c r="A1544" t="str">
        <f>"14:16:05.922"</f>
        <v>14:16:05.922</v>
      </c>
      <c r="B1544" t="s">
        <v>108</v>
      </c>
      <c r="C1544" t="str">
        <f t="shared" si="70"/>
        <v>ffdfd3c0</v>
      </c>
      <c r="D1544" t="s">
        <v>109</v>
      </c>
      <c r="E1544">
        <v>4</v>
      </c>
      <c r="F1544">
        <v>1004</v>
      </c>
      <c r="G1544" t="s">
        <v>110</v>
      </c>
      <c r="J1544" t="s">
        <v>111</v>
      </c>
      <c r="K1544">
        <v>0</v>
      </c>
      <c r="L1544">
        <v>3</v>
      </c>
      <c r="M1544">
        <v>0</v>
      </c>
      <c r="N1544">
        <v>2</v>
      </c>
      <c r="O1544">
        <v>1</v>
      </c>
      <c r="P1544">
        <v>0</v>
      </c>
      <c r="Q1544">
        <v>0</v>
      </c>
      <c r="R1544" t="s">
        <v>112</v>
      </c>
      <c r="S1544" t="str">
        <f>"14:16:05.758"</f>
        <v>14:16:05.758</v>
      </c>
      <c r="T1544" t="str">
        <f>"14:16:05.258"</f>
        <v>14:16:05.258</v>
      </c>
      <c r="U1544" t="str">
        <f t="shared" si="72"/>
        <v>ad5732</v>
      </c>
      <c r="V1544">
        <v>0</v>
      </c>
      <c r="W1544">
        <v>0</v>
      </c>
      <c r="X1544">
        <v>1</v>
      </c>
      <c r="Z1544">
        <v>0</v>
      </c>
      <c r="AA1544">
        <v>9</v>
      </c>
      <c r="AB1544">
        <v>3</v>
      </c>
      <c r="AC1544">
        <v>0</v>
      </c>
      <c r="AD1544">
        <v>10</v>
      </c>
      <c r="AE1544">
        <v>0</v>
      </c>
      <c r="AF1544">
        <v>3</v>
      </c>
      <c r="AG1544">
        <v>2</v>
      </c>
      <c r="AH1544">
        <v>0</v>
      </c>
      <c r="AI1544" t="s">
        <v>3191</v>
      </c>
      <c r="AJ1544">
        <v>39.660558999999999</v>
      </c>
      <c r="AK1544" t="s">
        <v>3192</v>
      </c>
      <c r="AL1544">
        <v>-76.311206999999996</v>
      </c>
      <c r="AM1544">
        <v>100</v>
      </c>
      <c r="AN1544">
        <v>5900</v>
      </c>
      <c r="AO1544" t="s">
        <v>115</v>
      </c>
      <c r="AP1544">
        <v>190</v>
      </c>
      <c r="AQ1544">
        <v>103</v>
      </c>
      <c r="AR1544">
        <v>-1920</v>
      </c>
      <c r="AZ1544">
        <v>3614</v>
      </c>
      <c r="BA1544">
        <v>1</v>
      </c>
      <c r="BB1544" t="str">
        <f t="shared" si="71"/>
        <v xml:space="preserve">N959MJ  </v>
      </c>
      <c r="BC1544">
        <v>1</v>
      </c>
      <c r="BE1544">
        <v>0</v>
      </c>
      <c r="BF1544">
        <v>0</v>
      </c>
      <c r="BG1544">
        <v>0</v>
      </c>
      <c r="BH1544">
        <v>6075</v>
      </c>
      <c r="BI1544">
        <v>175</v>
      </c>
      <c r="BJ1544">
        <v>1</v>
      </c>
      <c r="BK1544">
        <v>1</v>
      </c>
      <c r="BL1544">
        <v>1</v>
      </c>
      <c r="BM1544">
        <v>0</v>
      </c>
      <c r="BP1544">
        <v>0</v>
      </c>
      <c r="BQ1544">
        <v>0</v>
      </c>
      <c r="BX1544" t="str">
        <f>"14:16:05.758"</f>
        <v>14:16:05.758</v>
      </c>
      <c r="BY1544" t="str">
        <f>"759184657"</f>
        <v>759184657</v>
      </c>
      <c r="CL1544">
        <v>0</v>
      </c>
      <c r="CM1544">
        <v>2</v>
      </c>
      <c r="CN1544">
        <v>0</v>
      </c>
      <c r="CO1544">
        <v>2</v>
      </c>
      <c r="CP1544">
        <v>0</v>
      </c>
      <c r="CQ1544">
        <v>6</v>
      </c>
      <c r="CR1544" t="s">
        <v>116</v>
      </c>
      <c r="CS1544">
        <v>396</v>
      </c>
      <c r="CT1544">
        <v>1</v>
      </c>
      <c r="CU1544" t="s">
        <v>939</v>
      </c>
      <c r="CV1544" t="s">
        <v>940</v>
      </c>
      <c r="CY1544">
        <v>9058223</v>
      </c>
      <c r="CZ1544" t="s">
        <v>119</v>
      </c>
    </row>
    <row r="1545" spans="1:104" x14ac:dyDescent="0.25">
      <c r="A1545" t="str">
        <f>"14:16:06.883"</f>
        <v>14:16:06.883</v>
      </c>
      <c r="B1545" t="s">
        <v>108</v>
      </c>
      <c r="C1545" t="str">
        <f t="shared" si="70"/>
        <v>ffdfd3c0</v>
      </c>
      <c r="D1545" t="s">
        <v>109</v>
      </c>
      <c r="E1545">
        <v>4</v>
      </c>
      <c r="F1545">
        <v>1004</v>
      </c>
      <c r="G1545" t="s">
        <v>110</v>
      </c>
      <c r="J1545" t="s">
        <v>111</v>
      </c>
      <c r="K1545">
        <v>0</v>
      </c>
      <c r="L1545">
        <v>3</v>
      </c>
      <c r="M1545">
        <v>0</v>
      </c>
      <c r="N1545">
        <v>2</v>
      </c>
      <c r="O1545">
        <v>1</v>
      </c>
      <c r="P1545">
        <v>0</v>
      </c>
      <c r="Q1545">
        <v>0</v>
      </c>
      <c r="R1545" t="s">
        <v>112</v>
      </c>
      <c r="S1545" t="str">
        <f>"14:16:06.688"</f>
        <v>14:16:06.688</v>
      </c>
      <c r="T1545" t="str">
        <f>"14:16:05.789"</f>
        <v>14:16:05.789</v>
      </c>
      <c r="U1545" t="str">
        <f t="shared" si="72"/>
        <v>ad5732</v>
      </c>
      <c r="V1545">
        <v>0</v>
      </c>
      <c r="W1545">
        <v>0</v>
      </c>
      <c r="X1545">
        <v>1</v>
      </c>
      <c r="Z1545">
        <v>0</v>
      </c>
      <c r="AA1545">
        <v>9</v>
      </c>
      <c r="AB1545">
        <v>3</v>
      </c>
      <c r="AC1545">
        <v>0</v>
      </c>
      <c r="AD1545">
        <v>10</v>
      </c>
      <c r="AE1545">
        <v>0</v>
      </c>
      <c r="AF1545">
        <v>3</v>
      </c>
      <c r="AG1545">
        <v>2</v>
      </c>
      <c r="AH1545">
        <v>0</v>
      </c>
      <c r="AI1545" t="s">
        <v>3193</v>
      </c>
      <c r="AJ1545">
        <v>39.660966000000002</v>
      </c>
      <c r="AK1545" t="s">
        <v>3194</v>
      </c>
      <c r="AL1545">
        <v>-76.310176999999996</v>
      </c>
      <c r="AM1545">
        <v>100</v>
      </c>
      <c r="AN1545">
        <v>5800</v>
      </c>
      <c r="AO1545" t="s">
        <v>115</v>
      </c>
      <c r="AP1545">
        <v>189</v>
      </c>
      <c r="AQ1545">
        <v>103</v>
      </c>
      <c r="AR1545">
        <v>-1920</v>
      </c>
      <c r="AZ1545">
        <v>3614</v>
      </c>
      <c r="BA1545">
        <v>1</v>
      </c>
      <c r="BB1545" t="str">
        <f t="shared" si="71"/>
        <v xml:space="preserve">N959MJ  </v>
      </c>
      <c r="BC1545">
        <v>1</v>
      </c>
      <c r="BE1545">
        <v>0</v>
      </c>
      <c r="BF1545">
        <v>0</v>
      </c>
      <c r="BG1545">
        <v>0</v>
      </c>
      <c r="BH1545">
        <v>6075</v>
      </c>
      <c r="BI1545">
        <v>275</v>
      </c>
      <c r="BJ1545">
        <v>1</v>
      </c>
      <c r="BK1545">
        <v>1</v>
      </c>
      <c r="BL1545">
        <v>1</v>
      </c>
      <c r="BM1545">
        <v>0</v>
      </c>
      <c r="BP1545">
        <v>0</v>
      </c>
      <c r="BQ1545">
        <v>0</v>
      </c>
      <c r="BX1545" t="str">
        <f>"14:16:06.688"</f>
        <v>14:16:06.688</v>
      </c>
      <c r="BY1545" t="str">
        <f>"690115425"</f>
        <v>690115425</v>
      </c>
      <c r="CL1545">
        <v>0</v>
      </c>
      <c r="CM1545">
        <v>2</v>
      </c>
      <c r="CN1545">
        <v>0</v>
      </c>
      <c r="CO1545">
        <v>2</v>
      </c>
      <c r="CP1545">
        <v>0</v>
      </c>
      <c r="CQ1545">
        <v>5</v>
      </c>
      <c r="CR1545" t="s">
        <v>116</v>
      </c>
      <c r="CS1545">
        <v>379</v>
      </c>
      <c r="CT1545">
        <v>0</v>
      </c>
      <c r="CU1545" t="s">
        <v>538</v>
      </c>
      <c r="CV1545" t="s">
        <v>539</v>
      </c>
      <c r="CY1545">
        <v>7977426</v>
      </c>
      <c r="CZ1545" t="s">
        <v>119</v>
      </c>
    </row>
    <row r="1546" spans="1:104" x14ac:dyDescent="0.25">
      <c r="A1546" t="str">
        <f>"14:16:07.992"</f>
        <v>14:16:07.992</v>
      </c>
      <c r="B1546" t="s">
        <v>108</v>
      </c>
      <c r="C1546" t="str">
        <f t="shared" ref="C1546:C1609" si="73">"ffdfd3c0"</f>
        <v>ffdfd3c0</v>
      </c>
      <c r="D1546" t="s">
        <v>109</v>
      </c>
      <c r="E1546">
        <v>4</v>
      </c>
      <c r="F1546">
        <v>1004</v>
      </c>
      <c r="G1546" t="s">
        <v>110</v>
      </c>
      <c r="J1546" t="s">
        <v>111</v>
      </c>
      <c r="K1546">
        <v>0</v>
      </c>
      <c r="L1546">
        <v>3</v>
      </c>
      <c r="M1546">
        <v>0</v>
      </c>
      <c r="N1546">
        <v>2</v>
      </c>
      <c r="O1546">
        <v>1</v>
      </c>
      <c r="P1546">
        <v>0</v>
      </c>
      <c r="Q1546">
        <v>0</v>
      </c>
      <c r="R1546" t="s">
        <v>112</v>
      </c>
      <c r="S1546" t="str">
        <f>"14:16:07.797"</f>
        <v>14:16:07.797</v>
      </c>
      <c r="T1546" t="str">
        <f>"14:16:07.297"</f>
        <v>14:16:07.297</v>
      </c>
      <c r="U1546" t="str">
        <f t="shared" si="72"/>
        <v>ad5732</v>
      </c>
      <c r="V1546">
        <v>0</v>
      </c>
      <c r="W1546">
        <v>0</v>
      </c>
      <c r="X1546">
        <v>1</v>
      </c>
      <c r="Z1546">
        <v>0</v>
      </c>
      <c r="AA1546">
        <v>9</v>
      </c>
      <c r="AB1546">
        <v>3</v>
      </c>
      <c r="AC1546">
        <v>0</v>
      </c>
      <c r="AD1546">
        <v>10</v>
      </c>
      <c r="AE1546">
        <v>0</v>
      </c>
      <c r="AF1546">
        <v>3</v>
      </c>
      <c r="AG1546">
        <v>2</v>
      </c>
      <c r="AH1546">
        <v>0</v>
      </c>
      <c r="AI1546" t="s">
        <v>3195</v>
      </c>
      <c r="AJ1546">
        <v>39.661524</v>
      </c>
      <c r="AK1546" t="s">
        <v>3196</v>
      </c>
      <c r="AL1546">
        <v>-76.308846000000003</v>
      </c>
      <c r="AM1546">
        <v>100</v>
      </c>
      <c r="AN1546">
        <v>5800</v>
      </c>
      <c r="AO1546" t="s">
        <v>115</v>
      </c>
      <c r="AP1546">
        <v>188</v>
      </c>
      <c r="AQ1546">
        <v>103</v>
      </c>
      <c r="AR1546">
        <v>-1920</v>
      </c>
      <c r="AZ1546">
        <v>3614</v>
      </c>
      <c r="BA1546">
        <v>1</v>
      </c>
      <c r="BB1546" t="str">
        <f t="shared" ref="BB1546:BB1609" si="74">"N959MJ  "</f>
        <v xml:space="preserve">N959MJ  </v>
      </c>
      <c r="BC1546">
        <v>1</v>
      </c>
      <c r="BE1546">
        <v>0</v>
      </c>
      <c r="BF1546">
        <v>0</v>
      </c>
      <c r="BG1546">
        <v>0</v>
      </c>
      <c r="BH1546">
        <v>6025</v>
      </c>
      <c r="BI1546">
        <v>225</v>
      </c>
      <c r="BJ1546">
        <v>1</v>
      </c>
      <c r="BK1546">
        <v>1</v>
      </c>
      <c r="BL1546">
        <v>1</v>
      </c>
      <c r="BM1546">
        <v>0</v>
      </c>
      <c r="BP1546">
        <v>0</v>
      </c>
      <c r="BQ1546">
        <v>0</v>
      </c>
      <c r="BX1546" t="str">
        <f>"14:16:07.797"</f>
        <v>14:16:07.797</v>
      </c>
      <c r="BY1546" t="str">
        <f>"799027021"</f>
        <v>799027021</v>
      </c>
      <c r="CL1546">
        <v>0</v>
      </c>
      <c r="CM1546">
        <v>2</v>
      </c>
      <c r="CN1546">
        <v>0</v>
      </c>
      <c r="CO1546">
        <v>2</v>
      </c>
      <c r="CP1546">
        <v>0</v>
      </c>
      <c r="CQ1546">
        <v>6</v>
      </c>
      <c r="CR1546" t="s">
        <v>116</v>
      </c>
      <c r="CS1546">
        <v>396</v>
      </c>
      <c r="CT1546">
        <v>1</v>
      </c>
      <c r="CU1546" t="s">
        <v>939</v>
      </c>
      <c r="CV1546" t="s">
        <v>940</v>
      </c>
      <c r="CY1546">
        <v>9061886</v>
      </c>
      <c r="CZ1546" t="s">
        <v>119</v>
      </c>
    </row>
    <row r="1547" spans="1:104" x14ac:dyDescent="0.25">
      <c r="A1547" t="str">
        <f>"14:16:09.000"</f>
        <v>14:16:09.000</v>
      </c>
      <c r="B1547" t="s">
        <v>108</v>
      </c>
      <c r="C1547" t="str">
        <f t="shared" si="73"/>
        <v>ffdfd3c0</v>
      </c>
      <c r="D1547" t="s">
        <v>109</v>
      </c>
      <c r="E1547">
        <v>4</v>
      </c>
      <c r="F1547">
        <v>1004</v>
      </c>
      <c r="G1547" t="s">
        <v>110</v>
      </c>
      <c r="J1547" t="s">
        <v>111</v>
      </c>
      <c r="K1547">
        <v>0</v>
      </c>
      <c r="L1547">
        <v>3</v>
      </c>
      <c r="M1547">
        <v>0</v>
      </c>
      <c r="N1547">
        <v>2</v>
      </c>
      <c r="O1547">
        <v>1</v>
      </c>
      <c r="P1547">
        <v>0</v>
      </c>
      <c r="Q1547">
        <v>0</v>
      </c>
      <c r="R1547" t="s">
        <v>112</v>
      </c>
      <c r="S1547" t="str">
        <f>"14:16:08.813"</f>
        <v>14:16:08.813</v>
      </c>
      <c r="T1547" t="str">
        <f>"14:16:08.313"</f>
        <v>14:16:08.313</v>
      </c>
      <c r="U1547" t="str">
        <f t="shared" si="72"/>
        <v>ad5732</v>
      </c>
      <c r="V1547">
        <v>0</v>
      </c>
      <c r="W1547">
        <v>0</v>
      </c>
      <c r="X1547">
        <v>1</v>
      </c>
      <c r="Z1547">
        <v>0</v>
      </c>
      <c r="AA1547">
        <v>9</v>
      </c>
      <c r="AB1547">
        <v>3</v>
      </c>
      <c r="AC1547">
        <v>0</v>
      </c>
      <c r="AD1547">
        <v>10</v>
      </c>
      <c r="AE1547">
        <v>0</v>
      </c>
      <c r="AF1547">
        <v>3</v>
      </c>
      <c r="AG1547">
        <v>2</v>
      </c>
      <c r="AH1547">
        <v>0</v>
      </c>
      <c r="AI1547" t="s">
        <v>3197</v>
      </c>
      <c r="AJ1547">
        <v>39.662039</v>
      </c>
      <c r="AK1547" t="s">
        <v>3198</v>
      </c>
      <c r="AL1547">
        <v>-76.307687999999999</v>
      </c>
      <c r="AM1547">
        <v>100</v>
      </c>
      <c r="AN1547">
        <v>5800</v>
      </c>
      <c r="AO1547" t="s">
        <v>115</v>
      </c>
      <c r="AP1547">
        <v>188</v>
      </c>
      <c r="AQ1547">
        <v>103</v>
      </c>
      <c r="AR1547">
        <v>-1856</v>
      </c>
      <c r="AZ1547">
        <v>3614</v>
      </c>
      <c r="BA1547">
        <v>1</v>
      </c>
      <c r="BB1547" t="str">
        <f t="shared" si="74"/>
        <v xml:space="preserve">N959MJ  </v>
      </c>
      <c r="BC1547">
        <v>1</v>
      </c>
      <c r="BE1547">
        <v>0</v>
      </c>
      <c r="BF1547">
        <v>0</v>
      </c>
      <c r="BG1547">
        <v>0</v>
      </c>
      <c r="BH1547">
        <v>5975</v>
      </c>
      <c r="BI1547">
        <v>175</v>
      </c>
      <c r="BJ1547">
        <v>1</v>
      </c>
      <c r="BK1547">
        <v>1</v>
      </c>
      <c r="BL1547">
        <v>1</v>
      </c>
      <c r="BM1547">
        <v>0</v>
      </c>
      <c r="BP1547">
        <v>0</v>
      </c>
      <c r="BQ1547">
        <v>0</v>
      </c>
      <c r="BX1547" t="str">
        <f>"14:16:08.820"</f>
        <v>14:16:08.820</v>
      </c>
      <c r="BY1547" t="str">
        <f>"818129020"</f>
        <v>818129020</v>
      </c>
      <c r="CL1547">
        <v>0</v>
      </c>
      <c r="CM1547">
        <v>2</v>
      </c>
      <c r="CN1547">
        <v>0</v>
      </c>
      <c r="CO1547">
        <v>2</v>
      </c>
      <c r="CP1547">
        <v>0</v>
      </c>
      <c r="CQ1547">
        <v>6</v>
      </c>
      <c r="CR1547" t="s">
        <v>116</v>
      </c>
      <c r="CS1547">
        <v>396</v>
      </c>
      <c r="CT1547">
        <v>1</v>
      </c>
      <c r="CU1547" t="s">
        <v>939</v>
      </c>
      <c r="CV1547" t="s">
        <v>940</v>
      </c>
      <c r="CY1547">
        <v>9063715</v>
      </c>
      <c r="CZ1547" t="s">
        <v>119</v>
      </c>
    </row>
    <row r="1548" spans="1:104" x14ac:dyDescent="0.25">
      <c r="A1548" t="str">
        <f>"14:16:10.008"</f>
        <v>14:16:10.008</v>
      </c>
      <c r="B1548" t="s">
        <v>108</v>
      </c>
      <c r="C1548" t="str">
        <f t="shared" si="73"/>
        <v>ffdfd3c0</v>
      </c>
      <c r="D1548" t="s">
        <v>109</v>
      </c>
      <c r="E1548">
        <v>4</v>
      </c>
      <c r="F1548">
        <v>1004</v>
      </c>
      <c r="G1548" t="s">
        <v>110</v>
      </c>
      <c r="J1548" t="s">
        <v>111</v>
      </c>
      <c r="K1548">
        <v>0</v>
      </c>
      <c r="L1548">
        <v>3</v>
      </c>
      <c r="M1548">
        <v>0</v>
      </c>
      <c r="N1548">
        <v>2</v>
      </c>
      <c r="O1548">
        <v>1</v>
      </c>
      <c r="P1548">
        <v>0</v>
      </c>
      <c r="Q1548">
        <v>0</v>
      </c>
      <c r="R1548" t="s">
        <v>112</v>
      </c>
      <c r="S1548" t="str">
        <f>"14:16:09.813"</f>
        <v>14:16:09.813</v>
      </c>
      <c r="T1548" t="str">
        <f>"14:16:09.414"</f>
        <v>14:16:09.414</v>
      </c>
      <c r="U1548" t="str">
        <f t="shared" si="72"/>
        <v>ad5732</v>
      </c>
      <c r="V1548">
        <v>0</v>
      </c>
      <c r="W1548">
        <v>0</v>
      </c>
      <c r="X1548">
        <v>1</v>
      </c>
      <c r="Z1548">
        <v>0</v>
      </c>
      <c r="AA1548">
        <v>9</v>
      </c>
      <c r="AB1548">
        <v>3</v>
      </c>
      <c r="AC1548">
        <v>0</v>
      </c>
      <c r="AD1548">
        <v>10</v>
      </c>
      <c r="AE1548">
        <v>0</v>
      </c>
      <c r="AF1548">
        <v>3</v>
      </c>
      <c r="AG1548">
        <v>2</v>
      </c>
      <c r="AH1548">
        <v>0</v>
      </c>
      <c r="AI1548" t="s">
        <v>3199</v>
      </c>
      <c r="AJ1548">
        <v>39.662511000000002</v>
      </c>
      <c r="AK1548" t="s">
        <v>3200</v>
      </c>
      <c r="AL1548">
        <v>-76.306572000000003</v>
      </c>
      <c r="AM1548">
        <v>100</v>
      </c>
      <c r="AN1548">
        <v>5800</v>
      </c>
      <c r="AO1548" t="s">
        <v>115</v>
      </c>
      <c r="AP1548">
        <v>187</v>
      </c>
      <c r="AQ1548">
        <v>103</v>
      </c>
      <c r="AR1548">
        <v>-1856</v>
      </c>
      <c r="AZ1548">
        <v>3614</v>
      </c>
      <c r="BA1548">
        <v>1</v>
      </c>
      <c r="BB1548" t="str">
        <f t="shared" si="74"/>
        <v xml:space="preserve">N959MJ  </v>
      </c>
      <c r="BC1548">
        <v>1</v>
      </c>
      <c r="BE1548">
        <v>0</v>
      </c>
      <c r="BF1548">
        <v>0</v>
      </c>
      <c r="BG1548">
        <v>0</v>
      </c>
      <c r="BH1548">
        <v>5950</v>
      </c>
      <c r="BI1548">
        <v>150</v>
      </c>
      <c r="BJ1548">
        <v>1</v>
      </c>
      <c r="BK1548">
        <v>1</v>
      </c>
      <c r="BL1548">
        <v>1</v>
      </c>
      <c r="BM1548">
        <v>0</v>
      </c>
      <c r="BP1548">
        <v>0</v>
      </c>
      <c r="BQ1548">
        <v>0</v>
      </c>
      <c r="BX1548" t="str">
        <f>"14:16:09.820"</f>
        <v>14:16:09.820</v>
      </c>
      <c r="BY1548" t="str">
        <f>"817670730"</f>
        <v>817670730</v>
      </c>
      <c r="CL1548">
        <v>0</v>
      </c>
      <c r="CM1548">
        <v>2</v>
      </c>
      <c r="CN1548">
        <v>0</v>
      </c>
      <c r="CO1548">
        <v>2</v>
      </c>
      <c r="CP1548">
        <v>0</v>
      </c>
      <c r="CQ1548">
        <v>6</v>
      </c>
      <c r="CR1548" t="s">
        <v>116</v>
      </c>
      <c r="CS1548">
        <v>39</v>
      </c>
      <c r="CT1548">
        <v>2</v>
      </c>
      <c r="CU1548" t="s">
        <v>2259</v>
      </c>
      <c r="CV1548" t="s">
        <v>2260</v>
      </c>
      <c r="CY1548">
        <v>15776609</v>
      </c>
      <c r="CZ1548" t="s">
        <v>119</v>
      </c>
    </row>
    <row r="1549" spans="1:104" x14ac:dyDescent="0.25">
      <c r="A1549" t="str">
        <f>"14:16:10.969"</f>
        <v>14:16:10.969</v>
      </c>
      <c r="B1549" t="s">
        <v>108</v>
      </c>
      <c r="C1549" t="str">
        <f t="shared" si="73"/>
        <v>ffdfd3c0</v>
      </c>
      <c r="D1549" t="s">
        <v>109</v>
      </c>
      <c r="E1549">
        <v>4</v>
      </c>
      <c r="F1549">
        <v>1004</v>
      </c>
      <c r="G1549" t="s">
        <v>110</v>
      </c>
      <c r="J1549" t="s">
        <v>111</v>
      </c>
      <c r="K1549">
        <v>0</v>
      </c>
      <c r="L1549">
        <v>3</v>
      </c>
      <c r="M1549">
        <v>0</v>
      </c>
      <c r="N1549">
        <v>2</v>
      </c>
      <c r="O1549">
        <v>1</v>
      </c>
      <c r="P1549">
        <v>0</v>
      </c>
      <c r="Q1549">
        <v>0</v>
      </c>
      <c r="R1549" t="s">
        <v>112</v>
      </c>
      <c r="S1549" t="str">
        <f>"14:16:10.750"</f>
        <v>14:16:10.750</v>
      </c>
      <c r="T1549" t="str">
        <f>"14:16:10.250"</f>
        <v>14:16:10.250</v>
      </c>
      <c r="U1549" t="str">
        <f t="shared" si="72"/>
        <v>ad5732</v>
      </c>
      <c r="V1549">
        <v>0</v>
      </c>
      <c r="W1549">
        <v>0</v>
      </c>
      <c r="X1549">
        <v>1</v>
      </c>
      <c r="Z1549">
        <v>0</v>
      </c>
      <c r="AA1549">
        <v>9</v>
      </c>
      <c r="AB1549">
        <v>3</v>
      </c>
      <c r="AC1549">
        <v>0</v>
      </c>
      <c r="AD1549">
        <v>10</v>
      </c>
      <c r="AE1549">
        <v>0</v>
      </c>
      <c r="AF1549">
        <v>3</v>
      </c>
      <c r="AG1549">
        <v>2</v>
      </c>
      <c r="AH1549">
        <v>0</v>
      </c>
      <c r="AI1549" t="s">
        <v>3201</v>
      </c>
      <c r="AJ1549">
        <v>39.662941000000004</v>
      </c>
      <c r="AK1549" t="s">
        <v>3202</v>
      </c>
      <c r="AL1549">
        <v>-76.305605999999997</v>
      </c>
      <c r="AM1549">
        <v>100</v>
      </c>
      <c r="AN1549">
        <v>5700</v>
      </c>
      <c r="AO1549" t="s">
        <v>115</v>
      </c>
      <c r="AP1549">
        <v>187</v>
      </c>
      <c r="AQ1549">
        <v>103</v>
      </c>
      <c r="AR1549">
        <v>-1856</v>
      </c>
      <c r="AZ1549">
        <v>3614</v>
      </c>
      <c r="BA1549">
        <v>1</v>
      </c>
      <c r="BB1549" t="str">
        <f t="shared" si="74"/>
        <v xml:space="preserve">N959MJ  </v>
      </c>
      <c r="BC1549">
        <v>1</v>
      </c>
      <c r="BE1549">
        <v>0</v>
      </c>
      <c r="BF1549">
        <v>0</v>
      </c>
      <c r="BG1549">
        <v>0</v>
      </c>
      <c r="BH1549">
        <v>5925</v>
      </c>
      <c r="BI1549">
        <v>225</v>
      </c>
      <c r="BJ1549">
        <v>1</v>
      </c>
      <c r="BK1549">
        <v>1</v>
      </c>
      <c r="BL1549">
        <v>1</v>
      </c>
      <c r="BM1549">
        <v>0</v>
      </c>
      <c r="BP1549">
        <v>0</v>
      </c>
      <c r="BQ1549">
        <v>0</v>
      </c>
      <c r="BX1549" t="str">
        <f>"14:16:10.758"</f>
        <v>14:16:10.758</v>
      </c>
      <c r="BY1549" t="str">
        <f>"756388889"</f>
        <v>756388889</v>
      </c>
      <c r="CL1549">
        <v>0</v>
      </c>
      <c r="CM1549">
        <v>2</v>
      </c>
      <c r="CN1549">
        <v>0</v>
      </c>
      <c r="CO1549">
        <v>2</v>
      </c>
      <c r="CP1549">
        <v>0</v>
      </c>
      <c r="CQ1549">
        <v>6</v>
      </c>
      <c r="CR1549" t="s">
        <v>116</v>
      </c>
      <c r="CS1549">
        <v>396</v>
      </c>
      <c r="CT1549">
        <v>1</v>
      </c>
      <c r="CU1549" t="s">
        <v>939</v>
      </c>
      <c r="CV1549" t="s">
        <v>940</v>
      </c>
      <c r="CY1549">
        <v>9067098</v>
      </c>
      <c r="CZ1549" t="s">
        <v>119</v>
      </c>
    </row>
    <row r="1550" spans="1:104" x14ac:dyDescent="0.25">
      <c r="A1550" t="str">
        <f>"14:16:11.977"</f>
        <v>14:16:11.977</v>
      </c>
      <c r="B1550" t="s">
        <v>108</v>
      </c>
      <c r="C1550" t="str">
        <f t="shared" si="73"/>
        <v>ffdfd3c0</v>
      </c>
      <c r="D1550" t="s">
        <v>109</v>
      </c>
      <c r="E1550">
        <v>4</v>
      </c>
      <c r="F1550">
        <v>1004</v>
      </c>
      <c r="G1550" t="s">
        <v>110</v>
      </c>
      <c r="J1550" t="s">
        <v>111</v>
      </c>
      <c r="K1550">
        <v>0</v>
      </c>
      <c r="L1550">
        <v>3</v>
      </c>
      <c r="M1550">
        <v>0</v>
      </c>
      <c r="N1550">
        <v>2</v>
      </c>
      <c r="O1550">
        <v>1</v>
      </c>
      <c r="P1550">
        <v>0</v>
      </c>
      <c r="Q1550">
        <v>0</v>
      </c>
      <c r="R1550" t="s">
        <v>112</v>
      </c>
      <c r="S1550" t="str">
        <f>"14:16:11.805"</f>
        <v>14:16:11.805</v>
      </c>
      <c r="T1550" t="str">
        <f>"14:16:11.305"</f>
        <v>14:16:11.305</v>
      </c>
      <c r="U1550" t="str">
        <f t="shared" si="72"/>
        <v>ad5732</v>
      </c>
      <c r="V1550">
        <v>0</v>
      </c>
      <c r="W1550">
        <v>0</v>
      </c>
      <c r="X1550">
        <v>1</v>
      </c>
      <c r="Z1550">
        <v>0</v>
      </c>
      <c r="AA1550">
        <v>9</v>
      </c>
      <c r="AB1550">
        <v>3</v>
      </c>
      <c r="AC1550">
        <v>0</v>
      </c>
      <c r="AD1550">
        <v>10</v>
      </c>
      <c r="AE1550">
        <v>0</v>
      </c>
      <c r="AF1550">
        <v>3</v>
      </c>
      <c r="AG1550">
        <v>2</v>
      </c>
      <c r="AH1550">
        <v>0</v>
      </c>
      <c r="AI1550" t="s">
        <v>3203</v>
      </c>
      <c r="AJ1550">
        <v>39.663477</v>
      </c>
      <c r="AK1550" t="s">
        <v>3204</v>
      </c>
      <c r="AL1550">
        <v>-76.304319000000007</v>
      </c>
      <c r="AM1550">
        <v>100</v>
      </c>
      <c r="AN1550">
        <v>5700</v>
      </c>
      <c r="AO1550" t="s">
        <v>115</v>
      </c>
      <c r="AP1550">
        <v>187</v>
      </c>
      <c r="AQ1550">
        <v>103</v>
      </c>
      <c r="AR1550">
        <v>-1856</v>
      </c>
      <c r="AZ1550">
        <v>3614</v>
      </c>
      <c r="BA1550">
        <v>1</v>
      </c>
      <c r="BB1550" t="str">
        <f t="shared" si="74"/>
        <v xml:space="preserve">N959MJ  </v>
      </c>
      <c r="BC1550">
        <v>1</v>
      </c>
      <c r="BE1550">
        <v>0</v>
      </c>
      <c r="BF1550">
        <v>0</v>
      </c>
      <c r="BG1550">
        <v>0</v>
      </c>
      <c r="BH1550">
        <v>5900</v>
      </c>
      <c r="BI1550">
        <v>200</v>
      </c>
      <c r="BJ1550">
        <v>1</v>
      </c>
      <c r="BK1550">
        <v>1</v>
      </c>
      <c r="BL1550">
        <v>1</v>
      </c>
      <c r="BM1550">
        <v>0</v>
      </c>
      <c r="BP1550">
        <v>0</v>
      </c>
      <c r="BQ1550">
        <v>0</v>
      </c>
      <c r="BX1550" t="str">
        <f>"14:16:11.813"</f>
        <v>14:16:11.813</v>
      </c>
      <c r="BY1550" t="str">
        <f>"809897907"</f>
        <v>809897907</v>
      </c>
      <c r="CL1550">
        <v>0</v>
      </c>
      <c r="CM1550">
        <v>2</v>
      </c>
      <c r="CN1550">
        <v>0</v>
      </c>
      <c r="CO1550">
        <v>2</v>
      </c>
      <c r="CP1550">
        <v>0</v>
      </c>
      <c r="CQ1550">
        <v>6</v>
      </c>
      <c r="CR1550" t="s">
        <v>116</v>
      </c>
      <c r="CS1550">
        <v>396</v>
      </c>
      <c r="CT1550">
        <v>2</v>
      </c>
      <c r="CU1550" t="s">
        <v>939</v>
      </c>
      <c r="CV1550" t="s">
        <v>940</v>
      </c>
      <c r="CY1550">
        <v>5480392</v>
      </c>
      <c r="CZ1550" t="s">
        <v>119</v>
      </c>
    </row>
    <row r="1551" spans="1:104" x14ac:dyDescent="0.25">
      <c r="A1551" t="str">
        <f>"14:16:12.992"</f>
        <v>14:16:12.992</v>
      </c>
      <c r="B1551" t="s">
        <v>108</v>
      </c>
      <c r="C1551" t="str">
        <f t="shared" si="73"/>
        <v>ffdfd3c0</v>
      </c>
      <c r="D1551" t="s">
        <v>109</v>
      </c>
      <c r="E1551">
        <v>4</v>
      </c>
      <c r="F1551">
        <v>1004</v>
      </c>
      <c r="G1551" t="s">
        <v>110</v>
      </c>
      <c r="J1551" t="s">
        <v>111</v>
      </c>
      <c r="K1551">
        <v>0</v>
      </c>
      <c r="L1551">
        <v>3</v>
      </c>
      <c r="M1551">
        <v>0</v>
      </c>
      <c r="N1551">
        <v>2</v>
      </c>
      <c r="O1551">
        <v>1</v>
      </c>
      <c r="P1551">
        <v>0</v>
      </c>
      <c r="Q1551">
        <v>0</v>
      </c>
      <c r="R1551" t="s">
        <v>112</v>
      </c>
      <c r="S1551" t="str">
        <f>"14:16:12.797"</f>
        <v>14:16:12.797</v>
      </c>
      <c r="T1551" t="str">
        <f>"14:16:12.398"</f>
        <v>14:16:12.398</v>
      </c>
      <c r="U1551" t="str">
        <f t="shared" si="72"/>
        <v>ad5732</v>
      </c>
      <c r="V1551">
        <v>0</v>
      </c>
      <c r="W1551">
        <v>0</v>
      </c>
      <c r="X1551">
        <v>1</v>
      </c>
      <c r="Z1551">
        <v>0</v>
      </c>
      <c r="AA1551">
        <v>9</v>
      </c>
      <c r="AB1551">
        <v>3</v>
      </c>
      <c r="AC1551">
        <v>0</v>
      </c>
      <c r="AD1551">
        <v>10</v>
      </c>
      <c r="AE1551">
        <v>0</v>
      </c>
      <c r="AF1551">
        <v>3</v>
      </c>
      <c r="AG1551">
        <v>2</v>
      </c>
      <c r="AH1551">
        <v>0</v>
      </c>
      <c r="AI1551" t="s">
        <v>3205</v>
      </c>
      <c r="AJ1551">
        <v>39.663949000000002</v>
      </c>
      <c r="AK1551" t="s">
        <v>3206</v>
      </c>
      <c r="AL1551">
        <v>-76.303224999999998</v>
      </c>
      <c r="AM1551">
        <v>100</v>
      </c>
      <c r="AN1551">
        <v>5700</v>
      </c>
      <c r="AO1551" t="s">
        <v>115</v>
      </c>
      <c r="AP1551">
        <v>186</v>
      </c>
      <c r="AQ1551">
        <v>103</v>
      </c>
      <c r="AR1551">
        <v>-1792</v>
      </c>
      <c r="AZ1551">
        <v>3614</v>
      </c>
      <c r="BA1551">
        <v>1</v>
      </c>
      <c r="BB1551" t="str">
        <f t="shared" si="74"/>
        <v xml:space="preserve">N959MJ  </v>
      </c>
      <c r="BC1551">
        <v>1</v>
      </c>
      <c r="BE1551">
        <v>0</v>
      </c>
      <c r="BF1551">
        <v>0</v>
      </c>
      <c r="BG1551">
        <v>0</v>
      </c>
      <c r="BH1551">
        <v>5850</v>
      </c>
      <c r="BI1551">
        <v>150</v>
      </c>
      <c r="BJ1551">
        <v>1</v>
      </c>
      <c r="BK1551">
        <v>1</v>
      </c>
      <c r="BL1551">
        <v>1</v>
      </c>
      <c r="BM1551">
        <v>0</v>
      </c>
      <c r="BP1551">
        <v>0</v>
      </c>
      <c r="BQ1551">
        <v>0</v>
      </c>
      <c r="BX1551" t="str">
        <f>"14:16:12.805"</f>
        <v>14:16:12.805</v>
      </c>
      <c r="BY1551" t="str">
        <f>"801246255"</f>
        <v>801246255</v>
      </c>
      <c r="CL1551">
        <v>0</v>
      </c>
      <c r="CM1551">
        <v>2</v>
      </c>
      <c r="CN1551">
        <v>0</v>
      </c>
      <c r="CO1551">
        <v>2</v>
      </c>
      <c r="CP1551">
        <v>0</v>
      </c>
      <c r="CQ1551">
        <v>5</v>
      </c>
      <c r="CR1551" t="s">
        <v>116</v>
      </c>
      <c r="CS1551">
        <v>39</v>
      </c>
      <c r="CT1551">
        <v>2</v>
      </c>
      <c r="CU1551" t="s">
        <v>2259</v>
      </c>
      <c r="CV1551" t="s">
        <v>2260</v>
      </c>
      <c r="CY1551">
        <v>15781467</v>
      </c>
      <c r="CZ1551" t="s">
        <v>119</v>
      </c>
    </row>
    <row r="1552" spans="1:104" x14ac:dyDescent="0.25">
      <c r="A1552" t="str">
        <f>"14:16:14.148"</f>
        <v>14:16:14.148</v>
      </c>
      <c r="B1552" t="s">
        <v>108</v>
      </c>
      <c r="C1552" t="str">
        <f t="shared" si="73"/>
        <v>ffdfd3c0</v>
      </c>
      <c r="D1552" t="s">
        <v>109</v>
      </c>
      <c r="E1552">
        <v>4</v>
      </c>
      <c r="F1552">
        <v>1004</v>
      </c>
      <c r="G1552" t="s">
        <v>110</v>
      </c>
      <c r="J1552" t="s">
        <v>111</v>
      </c>
      <c r="K1552">
        <v>0</v>
      </c>
      <c r="L1552">
        <v>3</v>
      </c>
      <c r="M1552">
        <v>0</v>
      </c>
      <c r="N1552">
        <v>2</v>
      </c>
      <c r="O1552">
        <v>1</v>
      </c>
      <c r="P1552">
        <v>0</v>
      </c>
      <c r="Q1552">
        <v>0</v>
      </c>
      <c r="R1552" t="s">
        <v>112</v>
      </c>
      <c r="S1552" t="str">
        <f>"14:16:13.906"</f>
        <v>14:16:13.906</v>
      </c>
      <c r="T1552" t="str">
        <f>"14:16:13.406"</f>
        <v>14:16:13.406</v>
      </c>
      <c r="U1552" t="str">
        <f t="shared" si="72"/>
        <v>ad5732</v>
      </c>
      <c r="V1552">
        <v>0</v>
      </c>
      <c r="W1552">
        <v>0</v>
      </c>
      <c r="X1552">
        <v>1</v>
      </c>
      <c r="Z1552">
        <v>0</v>
      </c>
      <c r="AA1552">
        <v>9</v>
      </c>
      <c r="AB1552">
        <v>3</v>
      </c>
      <c r="AC1552">
        <v>0</v>
      </c>
      <c r="AD1552">
        <v>10</v>
      </c>
      <c r="AE1552">
        <v>0</v>
      </c>
      <c r="AF1552">
        <v>3</v>
      </c>
      <c r="AG1552">
        <v>2</v>
      </c>
      <c r="AH1552">
        <v>0</v>
      </c>
      <c r="AI1552" t="s">
        <v>3207</v>
      </c>
      <c r="AJ1552">
        <v>39.664484999999999</v>
      </c>
      <c r="AK1552" t="s">
        <v>3208</v>
      </c>
      <c r="AL1552">
        <v>-76.302023000000005</v>
      </c>
      <c r="AM1552">
        <v>100</v>
      </c>
      <c r="AN1552">
        <v>5600</v>
      </c>
      <c r="AO1552" t="s">
        <v>115</v>
      </c>
      <c r="AP1552">
        <v>186</v>
      </c>
      <c r="AQ1552">
        <v>103</v>
      </c>
      <c r="AR1552">
        <v>-1792</v>
      </c>
      <c r="AZ1552">
        <v>3614</v>
      </c>
      <c r="BA1552">
        <v>1</v>
      </c>
      <c r="BB1552" t="str">
        <f t="shared" si="74"/>
        <v xml:space="preserve">N959MJ  </v>
      </c>
      <c r="BC1552">
        <v>1</v>
      </c>
      <c r="BE1552">
        <v>0</v>
      </c>
      <c r="BF1552">
        <v>0</v>
      </c>
      <c r="BG1552">
        <v>0</v>
      </c>
      <c r="BH1552">
        <v>5825</v>
      </c>
      <c r="BI1552">
        <v>225</v>
      </c>
      <c r="BJ1552">
        <v>1</v>
      </c>
      <c r="BK1552">
        <v>1</v>
      </c>
      <c r="BL1552">
        <v>1</v>
      </c>
      <c r="BM1552">
        <v>0</v>
      </c>
      <c r="BP1552">
        <v>0</v>
      </c>
      <c r="BQ1552">
        <v>0</v>
      </c>
      <c r="BX1552" t="str">
        <f>"14:16:13.914"</f>
        <v>14:16:13.914</v>
      </c>
      <c r="BY1552" t="str">
        <f>"912121597"</f>
        <v>912121597</v>
      </c>
      <c r="CL1552">
        <v>0</v>
      </c>
      <c r="CM1552">
        <v>2</v>
      </c>
      <c r="CN1552">
        <v>0</v>
      </c>
      <c r="CO1552">
        <v>2</v>
      </c>
      <c r="CP1552">
        <v>0</v>
      </c>
      <c r="CQ1552">
        <v>5</v>
      </c>
      <c r="CR1552" t="s">
        <v>116</v>
      </c>
      <c r="CS1552">
        <v>372</v>
      </c>
      <c r="CT1552">
        <v>3</v>
      </c>
      <c r="CU1552" t="s">
        <v>877</v>
      </c>
      <c r="CV1552" t="s">
        <v>878</v>
      </c>
      <c r="CY1552">
        <v>12135019</v>
      </c>
      <c r="CZ1552" t="s">
        <v>119</v>
      </c>
    </row>
    <row r="1553" spans="1:104" x14ac:dyDescent="0.25">
      <c r="A1553" t="str">
        <f>"14:16:14.906"</f>
        <v>14:16:14.906</v>
      </c>
      <c r="B1553" t="s">
        <v>108</v>
      </c>
      <c r="C1553" t="str">
        <f t="shared" si="73"/>
        <v>ffdfd3c0</v>
      </c>
      <c r="D1553" t="s">
        <v>109</v>
      </c>
      <c r="E1553">
        <v>4</v>
      </c>
      <c r="F1553">
        <v>1004</v>
      </c>
      <c r="G1553" t="s">
        <v>110</v>
      </c>
      <c r="J1553" t="s">
        <v>111</v>
      </c>
      <c r="K1553">
        <v>0</v>
      </c>
      <c r="L1553">
        <v>3</v>
      </c>
      <c r="M1553">
        <v>0</v>
      </c>
      <c r="N1553">
        <v>2</v>
      </c>
      <c r="O1553">
        <v>1</v>
      </c>
      <c r="P1553">
        <v>0</v>
      </c>
      <c r="Q1553">
        <v>0</v>
      </c>
      <c r="R1553" t="s">
        <v>112</v>
      </c>
      <c r="S1553" t="str">
        <f>"14:16:14.742"</f>
        <v>14:16:14.742</v>
      </c>
      <c r="T1553" t="str">
        <f>"14:16:14.344"</f>
        <v>14:16:14.344</v>
      </c>
      <c r="U1553" t="str">
        <f t="shared" si="72"/>
        <v>ad5732</v>
      </c>
      <c r="V1553">
        <v>0</v>
      </c>
      <c r="W1553">
        <v>0</v>
      </c>
      <c r="X1553">
        <v>1</v>
      </c>
      <c r="Z1553">
        <v>0</v>
      </c>
      <c r="AA1553">
        <v>9</v>
      </c>
      <c r="AB1553">
        <v>3</v>
      </c>
      <c r="AC1553">
        <v>0</v>
      </c>
      <c r="AD1553">
        <v>10</v>
      </c>
      <c r="AE1553">
        <v>0</v>
      </c>
      <c r="AF1553">
        <v>3</v>
      </c>
      <c r="AG1553">
        <v>2</v>
      </c>
      <c r="AH1553">
        <v>0</v>
      </c>
      <c r="AI1553" t="s">
        <v>3209</v>
      </c>
      <c r="AJ1553">
        <v>39.664850000000001</v>
      </c>
      <c r="AK1553" t="s">
        <v>3210</v>
      </c>
      <c r="AL1553">
        <v>-76.301122000000007</v>
      </c>
      <c r="AM1553">
        <v>100</v>
      </c>
      <c r="AN1553">
        <v>5600</v>
      </c>
      <c r="AO1553" t="s">
        <v>115</v>
      </c>
      <c r="AP1553">
        <v>186</v>
      </c>
      <c r="AQ1553">
        <v>102</v>
      </c>
      <c r="AR1553">
        <v>-1728</v>
      </c>
      <c r="AZ1553">
        <v>3614</v>
      </c>
      <c r="BA1553">
        <v>1</v>
      </c>
      <c r="BB1553" t="str">
        <f t="shared" si="74"/>
        <v xml:space="preserve">N959MJ  </v>
      </c>
      <c r="BC1553">
        <v>1</v>
      </c>
      <c r="BE1553">
        <v>0</v>
      </c>
      <c r="BF1553">
        <v>0</v>
      </c>
      <c r="BG1553">
        <v>0</v>
      </c>
      <c r="BH1553">
        <v>5800</v>
      </c>
      <c r="BI1553">
        <v>200</v>
      </c>
      <c r="BJ1553">
        <v>1</v>
      </c>
      <c r="BK1553">
        <v>1</v>
      </c>
      <c r="BL1553">
        <v>1</v>
      </c>
      <c r="BM1553">
        <v>0</v>
      </c>
      <c r="BP1553">
        <v>0</v>
      </c>
      <c r="BQ1553">
        <v>0</v>
      </c>
      <c r="BX1553" t="str">
        <f>"14:16:14.742"</f>
        <v>14:16:14.742</v>
      </c>
      <c r="BY1553" t="str">
        <f>"744420476"</f>
        <v>744420476</v>
      </c>
      <c r="CL1553">
        <v>0</v>
      </c>
      <c r="CM1553">
        <v>2</v>
      </c>
      <c r="CN1553">
        <v>0</v>
      </c>
      <c r="CO1553">
        <v>2</v>
      </c>
      <c r="CP1553">
        <v>0</v>
      </c>
      <c r="CQ1553">
        <v>5</v>
      </c>
      <c r="CR1553" t="s">
        <v>116</v>
      </c>
      <c r="CS1553">
        <v>39</v>
      </c>
      <c r="CT1553">
        <v>2</v>
      </c>
      <c r="CU1553" t="s">
        <v>2259</v>
      </c>
      <c r="CV1553" t="s">
        <v>2260</v>
      </c>
      <c r="CY1553">
        <v>15784416</v>
      </c>
      <c r="CZ1553" t="s">
        <v>119</v>
      </c>
    </row>
    <row r="1554" spans="1:104" x14ac:dyDescent="0.25">
      <c r="A1554" t="str">
        <f>"14:16:16.016"</f>
        <v>14:16:16.016</v>
      </c>
      <c r="B1554" t="s">
        <v>108</v>
      </c>
      <c r="C1554" t="str">
        <f t="shared" si="73"/>
        <v>ffdfd3c0</v>
      </c>
      <c r="D1554" t="s">
        <v>109</v>
      </c>
      <c r="E1554">
        <v>4</v>
      </c>
      <c r="F1554">
        <v>1004</v>
      </c>
      <c r="G1554" t="s">
        <v>110</v>
      </c>
      <c r="J1554" t="s">
        <v>111</v>
      </c>
      <c r="K1554">
        <v>0</v>
      </c>
      <c r="L1554">
        <v>3</v>
      </c>
      <c r="M1554">
        <v>0</v>
      </c>
      <c r="N1554">
        <v>2</v>
      </c>
      <c r="O1554">
        <v>1</v>
      </c>
      <c r="P1554">
        <v>0</v>
      </c>
      <c r="Q1554">
        <v>0</v>
      </c>
      <c r="R1554" t="s">
        <v>112</v>
      </c>
      <c r="S1554" t="str">
        <f>"14:16:15.820"</f>
        <v>14:16:15.820</v>
      </c>
      <c r="T1554" t="str">
        <f>"14:16:15.320"</f>
        <v>14:16:15.320</v>
      </c>
      <c r="U1554" t="str">
        <f t="shared" si="72"/>
        <v>ad5732</v>
      </c>
      <c r="V1554">
        <v>0</v>
      </c>
      <c r="W1554">
        <v>0</v>
      </c>
      <c r="X1554">
        <v>1</v>
      </c>
      <c r="Z1554">
        <v>0</v>
      </c>
      <c r="AA1554">
        <v>9</v>
      </c>
      <c r="AB1554">
        <v>3</v>
      </c>
      <c r="AC1554">
        <v>0</v>
      </c>
      <c r="AD1554">
        <v>10</v>
      </c>
      <c r="AE1554">
        <v>0</v>
      </c>
      <c r="AF1554">
        <v>3</v>
      </c>
      <c r="AG1554">
        <v>2</v>
      </c>
      <c r="AH1554">
        <v>0</v>
      </c>
      <c r="AI1554" t="s">
        <v>3211</v>
      </c>
      <c r="AJ1554">
        <v>39.665343999999997</v>
      </c>
      <c r="AK1554" t="s">
        <v>3212</v>
      </c>
      <c r="AL1554">
        <v>-76.299856000000005</v>
      </c>
      <c r="AM1554">
        <v>100</v>
      </c>
      <c r="AN1554">
        <v>5600</v>
      </c>
      <c r="AO1554" t="s">
        <v>115</v>
      </c>
      <c r="AP1554">
        <v>185</v>
      </c>
      <c r="AQ1554">
        <v>102</v>
      </c>
      <c r="AR1554">
        <v>-1728</v>
      </c>
      <c r="AZ1554">
        <v>3614</v>
      </c>
      <c r="BA1554">
        <v>1</v>
      </c>
      <c r="BB1554" t="str">
        <f t="shared" si="74"/>
        <v xml:space="preserve">N959MJ  </v>
      </c>
      <c r="BC1554">
        <v>1</v>
      </c>
      <c r="BE1554">
        <v>0</v>
      </c>
      <c r="BF1554">
        <v>0</v>
      </c>
      <c r="BG1554">
        <v>0</v>
      </c>
      <c r="BH1554">
        <v>5775</v>
      </c>
      <c r="BI1554">
        <v>175</v>
      </c>
      <c r="BJ1554">
        <v>1</v>
      </c>
      <c r="BK1554">
        <v>1</v>
      </c>
      <c r="BL1554">
        <v>1</v>
      </c>
      <c r="BM1554">
        <v>0</v>
      </c>
      <c r="BP1554">
        <v>0</v>
      </c>
      <c r="BQ1554">
        <v>0</v>
      </c>
      <c r="BX1554" t="str">
        <f>"14:16:15.828"</f>
        <v>14:16:15.828</v>
      </c>
      <c r="BY1554" t="str">
        <f>"825683979"</f>
        <v>825683979</v>
      </c>
      <c r="CL1554">
        <v>0</v>
      </c>
      <c r="CM1554">
        <v>2</v>
      </c>
      <c r="CN1554">
        <v>0</v>
      </c>
      <c r="CO1554">
        <v>2</v>
      </c>
      <c r="CP1554">
        <v>0</v>
      </c>
      <c r="CQ1554">
        <v>6</v>
      </c>
      <c r="CR1554" t="s">
        <v>116</v>
      </c>
      <c r="CS1554">
        <v>396</v>
      </c>
      <c r="CT1554">
        <v>1</v>
      </c>
      <c r="CU1554" t="s">
        <v>939</v>
      </c>
      <c r="CV1554" t="s">
        <v>940</v>
      </c>
      <c r="CY1554">
        <v>9075918</v>
      </c>
      <c r="CZ1554" t="s">
        <v>119</v>
      </c>
    </row>
    <row r="1555" spans="1:104" x14ac:dyDescent="0.25">
      <c r="A1555" t="str">
        <f>"14:16:16.875"</f>
        <v>14:16:16.875</v>
      </c>
      <c r="B1555" t="s">
        <v>108</v>
      </c>
      <c r="C1555" t="str">
        <f t="shared" si="73"/>
        <v>ffdfd3c0</v>
      </c>
      <c r="D1555" t="s">
        <v>109</v>
      </c>
      <c r="E1555">
        <v>4</v>
      </c>
      <c r="F1555">
        <v>1004</v>
      </c>
      <c r="G1555" t="s">
        <v>110</v>
      </c>
      <c r="J1555" t="s">
        <v>111</v>
      </c>
      <c r="K1555">
        <v>0</v>
      </c>
      <c r="L1555">
        <v>3</v>
      </c>
      <c r="M1555">
        <v>0</v>
      </c>
      <c r="N1555">
        <v>2</v>
      </c>
      <c r="O1555">
        <v>1</v>
      </c>
      <c r="P1555">
        <v>0</v>
      </c>
      <c r="Q1555">
        <v>0</v>
      </c>
      <c r="R1555" t="s">
        <v>112</v>
      </c>
      <c r="S1555" t="str">
        <f>"14:16:16.711"</f>
        <v>14:16:16.711</v>
      </c>
      <c r="T1555" t="str">
        <f>"14:16:16.313"</f>
        <v>14:16:16.313</v>
      </c>
      <c r="U1555" t="str">
        <f t="shared" si="72"/>
        <v>ad5732</v>
      </c>
      <c r="V1555">
        <v>0</v>
      </c>
      <c r="W1555">
        <v>0</v>
      </c>
      <c r="X1555">
        <v>1</v>
      </c>
      <c r="Z1555">
        <v>0</v>
      </c>
      <c r="AA1555">
        <v>9</v>
      </c>
      <c r="AB1555">
        <v>3</v>
      </c>
      <c r="AC1555">
        <v>0</v>
      </c>
      <c r="AD1555">
        <v>10</v>
      </c>
      <c r="AE1555">
        <v>0</v>
      </c>
      <c r="AF1555">
        <v>3</v>
      </c>
      <c r="AG1555">
        <v>2</v>
      </c>
      <c r="AH1555">
        <v>0</v>
      </c>
      <c r="AI1555" t="s">
        <v>3213</v>
      </c>
      <c r="AJ1555">
        <v>39.665773000000002</v>
      </c>
      <c r="AK1555" t="s">
        <v>3214</v>
      </c>
      <c r="AL1555">
        <v>-76.298912000000001</v>
      </c>
      <c r="AM1555">
        <v>100</v>
      </c>
      <c r="AN1555">
        <v>5500</v>
      </c>
      <c r="AO1555" t="s">
        <v>115</v>
      </c>
      <c r="AP1555">
        <v>185</v>
      </c>
      <c r="AQ1555">
        <v>102</v>
      </c>
      <c r="AR1555">
        <v>-1728</v>
      </c>
      <c r="AZ1555">
        <v>3614</v>
      </c>
      <c r="BA1555">
        <v>1</v>
      </c>
      <c r="BB1555" t="str">
        <f t="shared" si="74"/>
        <v xml:space="preserve">N959MJ  </v>
      </c>
      <c r="BC1555">
        <v>1</v>
      </c>
      <c r="BE1555">
        <v>0</v>
      </c>
      <c r="BF1555">
        <v>0</v>
      </c>
      <c r="BG1555">
        <v>0</v>
      </c>
      <c r="BH1555">
        <v>5750</v>
      </c>
      <c r="BI1555">
        <v>250</v>
      </c>
      <c r="BJ1555">
        <v>1</v>
      </c>
      <c r="BK1555">
        <v>1</v>
      </c>
      <c r="BL1555">
        <v>1</v>
      </c>
      <c r="BM1555">
        <v>0</v>
      </c>
      <c r="BP1555">
        <v>0</v>
      </c>
      <c r="BQ1555">
        <v>0</v>
      </c>
      <c r="BX1555" t="str">
        <f>"14:16:16.719"</f>
        <v>14:16:16.719</v>
      </c>
      <c r="BY1555" t="str">
        <f>"718627041"</f>
        <v>718627041</v>
      </c>
      <c r="CL1555">
        <v>0</v>
      </c>
      <c r="CM1555">
        <v>2</v>
      </c>
      <c r="CN1555">
        <v>0</v>
      </c>
      <c r="CO1555">
        <v>2</v>
      </c>
      <c r="CP1555">
        <v>0</v>
      </c>
      <c r="CQ1555">
        <v>6</v>
      </c>
      <c r="CR1555" t="s">
        <v>116</v>
      </c>
      <c r="CS1555">
        <v>396</v>
      </c>
      <c r="CT1555">
        <v>1</v>
      </c>
      <c r="CU1555" t="s">
        <v>939</v>
      </c>
      <c r="CV1555" t="s">
        <v>940</v>
      </c>
      <c r="CY1555">
        <v>9077526</v>
      </c>
      <c r="CZ1555" t="s">
        <v>119</v>
      </c>
    </row>
    <row r="1556" spans="1:104" x14ac:dyDescent="0.25">
      <c r="A1556" t="str">
        <f>"14:16:17.938"</f>
        <v>14:16:17.938</v>
      </c>
      <c r="B1556" t="s">
        <v>108</v>
      </c>
      <c r="C1556" t="str">
        <f t="shared" si="73"/>
        <v>ffdfd3c0</v>
      </c>
      <c r="D1556" t="s">
        <v>109</v>
      </c>
      <c r="E1556">
        <v>4</v>
      </c>
      <c r="F1556">
        <v>1004</v>
      </c>
      <c r="G1556" t="s">
        <v>110</v>
      </c>
      <c r="J1556" t="s">
        <v>111</v>
      </c>
      <c r="K1556">
        <v>0</v>
      </c>
      <c r="L1556">
        <v>3</v>
      </c>
      <c r="M1556">
        <v>0</v>
      </c>
      <c r="N1556">
        <v>2</v>
      </c>
      <c r="O1556">
        <v>1</v>
      </c>
      <c r="P1556">
        <v>0</v>
      </c>
      <c r="Q1556">
        <v>0</v>
      </c>
      <c r="R1556" t="s">
        <v>112</v>
      </c>
      <c r="S1556" t="str">
        <f>"14:16:17.742"</f>
        <v>14:16:17.742</v>
      </c>
      <c r="T1556" t="str">
        <f>"14:16:17.242"</f>
        <v>14:16:17.242</v>
      </c>
      <c r="U1556" t="str">
        <f t="shared" si="72"/>
        <v>ad5732</v>
      </c>
      <c r="V1556">
        <v>0</v>
      </c>
      <c r="W1556">
        <v>0</v>
      </c>
      <c r="X1556">
        <v>1</v>
      </c>
      <c r="Z1556">
        <v>0</v>
      </c>
      <c r="AA1556">
        <v>9</v>
      </c>
      <c r="AB1556">
        <v>3</v>
      </c>
      <c r="AC1556">
        <v>0</v>
      </c>
      <c r="AD1556">
        <v>10</v>
      </c>
      <c r="AE1556">
        <v>0</v>
      </c>
      <c r="AF1556">
        <v>3</v>
      </c>
      <c r="AG1556">
        <v>2</v>
      </c>
      <c r="AH1556">
        <v>0</v>
      </c>
      <c r="AI1556" t="s">
        <v>3215</v>
      </c>
      <c r="AJ1556">
        <v>39.666266</v>
      </c>
      <c r="AK1556" t="s">
        <v>3216</v>
      </c>
      <c r="AL1556">
        <v>-76.297774000000004</v>
      </c>
      <c r="AM1556">
        <v>100</v>
      </c>
      <c r="AN1556">
        <v>5500</v>
      </c>
      <c r="AO1556" t="s">
        <v>115</v>
      </c>
      <c r="AP1556">
        <v>185</v>
      </c>
      <c r="AQ1556">
        <v>101</v>
      </c>
      <c r="AR1556">
        <v>-1728</v>
      </c>
      <c r="AZ1556">
        <v>3614</v>
      </c>
      <c r="BA1556">
        <v>1</v>
      </c>
      <c r="BB1556" t="str">
        <f t="shared" si="74"/>
        <v xml:space="preserve">N959MJ  </v>
      </c>
      <c r="BC1556">
        <v>1</v>
      </c>
      <c r="BE1556">
        <v>0</v>
      </c>
      <c r="BF1556">
        <v>0</v>
      </c>
      <c r="BG1556">
        <v>0</v>
      </c>
      <c r="BH1556">
        <v>5725</v>
      </c>
      <c r="BI1556">
        <v>225</v>
      </c>
      <c r="BJ1556">
        <v>1</v>
      </c>
      <c r="BK1556">
        <v>1</v>
      </c>
      <c r="BL1556">
        <v>1</v>
      </c>
      <c r="BM1556">
        <v>0</v>
      </c>
      <c r="BP1556">
        <v>0</v>
      </c>
      <c r="BQ1556">
        <v>0</v>
      </c>
      <c r="BX1556" t="str">
        <f>"14:16:17.742"</f>
        <v>14:16:17.742</v>
      </c>
      <c r="BY1556" t="str">
        <f>"745921172"</f>
        <v>745921172</v>
      </c>
      <c r="CL1556">
        <v>0</v>
      </c>
      <c r="CM1556">
        <v>2</v>
      </c>
      <c r="CN1556">
        <v>0</v>
      </c>
      <c r="CO1556">
        <v>2</v>
      </c>
      <c r="CP1556">
        <v>0</v>
      </c>
      <c r="CQ1556">
        <v>6</v>
      </c>
      <c r="CR1556" t="s">
        <v>116</v>
      </c>
      <c r="CS1556">
        <v>396</v>
      </c>
      <c r="CT1556">
        <v>1</v>
      </c>
      <c r="CU1556" t="s">
        <v>939</v>
      </c>
      <c r="CV1556" t="s">
        <v>940</v>
      </c>
      <c r="CY1556">
        <v>9079452</v>
      </c>
      <c r="CZ1556" t="s">
        <v>119</v>
      </c>
    </row>
    <row r="1557" spans="1:104" x14ac:dyDescent="0.25">
      <c r="A1557" t="str">
        <f>"14:16:18.891"</f>
        <v>14:16:18.891</v>
      </c>
      <c r="B1557" t="s">
        <v>108</v>
      </c>
      <c r="C1557" t="str">
        <f t="shared" si="73"/>
        <v>ffdfd3c0</v>
      </c>
      <c r="D1557" t="s">
        <v>109</v>
      </c>
      <c r="E1557">
        <v>4</v>
      </c>
      <c r="F1557">
        <v>1004</v>
      </c>
      <c r="G1557" t="s">
        <v>110</v>
      </c>
      <c r="J1557" t="s">
        <v>111</v>
      </c>
      <c r="K1557">
        <v>0</v>
      </c>
      <c r="L1557">
        <v>3</v>
      </c>
      <c r="M1557">
        <v>0</v>
      </c>
      <c r="N1557">
        <v>2</v>
      </c>
      <c r="O1557">
        <v>1</v>
      </c>
      <c r="P1557">
        <v>0</v>
      </c>
      <c r="Q1557">
        <v>0</v>
      </c>
      <c r="R1557" t="s">
        <v>112</v>
      </c>
      <c r="S1557" t="str">
        <f>"14:16:18.703"</f>
        <v>14:16:18.703</v>
      </c>
      <c r="T1557" t="str">
        <f>"14:16:18.203"</f>
        <v>14:16:18.203</v>
      </c>
      <c r="U1557" t="str">
        <f t="shared" si="72"/>
        <v>ad5732</v>
      </c>
      <c r="V1557">
        <v>0</v>
      </c>
      <c r="W1557">
        <v>0</v>
      </c>
      <c r="X1557">
        <v>1</v>
      </c>
      <c r="Z1557">
        <v>0</v>
      </c>
      <c r="AA1557">
        <v>9</v>
      </c>
      <c r="AB1557">
        <v>3</v>
      </c>
      <c r="AC1557">
        <v>0</v>
      </c>
      <c r="AD1557">
        <v>10</v>
      </c>
      <c r="AE1557">
        <v>0</v>
      </c>
      <c r="AF1557">
        <v>3</v>
      </c>
      <c r="AG1557">
        <v>2</v>
      </c>
      <c r="AH1557">
        <v>0</v>
      </c>
      <c r="AI1557" t="s">
        <v>3217</v>
      </c>
      <c r="AJ1557">
        <v>39.666739</v>
      </c>
      <c r="AK1557" t="s">
        <v>3218</v>
      </c>
      <c r="AL1557">
        <v>-76.296700999999999</v>
      </c>
      <c r="AM1557">
        <v>100</v>
      </c>
      <c r="AN1557">
        <v>5500</v>
      </c>
      <c r="AO1557" t="s">
        <v>115</v>
      </c>
      <c r="AP1557">
        <v>184</v>
      </c>
      <c r="AQ1557">
        <v>101</v>
      </c>
      <c r="AR1557">
        <v>-1728</v>
      </c>
      <c r="AZ1557">
        <v>3614</v>
      </c>
      <c r="BA1557">
        <v>1</v>
      </c>
      <c r="BB1557" t="str">
        <f t="shared" si="74"/>
        <v xml:space="preserve">N959MJ  </v>
      </c>
      <c r="BC1557">
        <v>1</v>
      </c>
      <c r="BE1557">
        <v>0</v>
      </c>
      <c r="BF1557">
        <v>0</v>
      </c>
      <c r="BG1557">
        <v>0</v>
      </c>
      <c r="BH1557">
        <v>5700</v>
      </c>
      <c r="BI1557">
        <v>200</v>
      </c>
      <c r="BJ1557">
        <v>1</v>
      </c>
      <c r="BK1557">
        <v>1</v>
      </c>
      <c r="BL1557">
        <v>1</v>
      </c>
      <c r="BM1557">
        <v>0</v>
      </c>
      <c r="BP1557">
        <v>0</v>
      </c>
      <c r="BQ1557">
        <v>0</v>
      </c>
      <c r="BX1557" t="str">
        <f>"14:16:18.711"</f>
        <v>14:16:18.711</v>
      </c>
      <c r="BY1557" t="str">
        <f>"707678202"</f>
        <v>707678202</v>
      </c>
      <c r="CL1557">
        <v>0</v>
      </c>
      <c r="CM1557">
        <v>2</v>
      </c>
      <c r="CN1557">
        <v>0</v>
      </c>
      <c r="CO1557">
        <v>2</v>
      </c>
      <c r="CP1557">
        <v>0</v>
      </c>
      <c r="CQ1557">
        <v>6</v>
      </c>
      <c r="CR1557" t="s">
        <v>116</v>
      </c>
      <c r="CS1557">
        <v>396</v>
      </c>
      <c r="CT1557">
        <v>1</v>
      </c>
      <c r="CU1557" t="s">
        <v>939</v>
      </c>
      <c r="CV1557" t="s">
        <v>940</v>
      </c>
      <c r="CY1557">
        <v>9081175</v>
      </c>
      <c r="CZ1557" t="s">
        <v>119</v>
      </c>
    </row>
    <row r="1558" spans="1:104" x14ac:dyDescent="0.25">
      <c r="A1558" t="str">
        <f>"14:16:19.953"</f>
        <v>14:16:19.953</v>
      </c>
      <c r="B1558" t="s">
        <v>108</v>
      </c>
      <c r="C1558" t="str">
        <f t="shared" si="73"/>
        <v>ffdfd3c0</v>
      </c>
      <c r="D1558" t="s">
        <v>109</v>
      </c>
      <c r="E1558">
        <v>4</v>
      </c>
      <c r="F1558">
        <v>1004</v>
      </c>
      <c r="G1558" t="s">
        <v>110</v>
      </c>
      <c r="J1558" t="s">
        <v>111</v>
      </c>
      <c r="K1558">
        <v>0</v>
      </c>
      <c r="L1558">
        <v>3</v>
      </c>
      <c r="M1558">
        <v>0</v>
      </c>
      <c r="N1558">
        <v>2</v>
      </c>
      <c r="O1558">
        <v>1</v>
      </c>
      <c r="P1558">
        <v>0</v>
      </c>
      <c r="Q1558">
        <v>0</v>
      </c>
      <c r="R1558" t="s">
        <v>112</v>
      </c>
      <c r="S1558" t="str">
        <f>"14:16:19.781"</f>
        <v>14:16:19.781</v>
      </c>
      <c r="T1558" t="str">
        <f>"14:16:19.281"</f>
        <v>14:16:19.281</v>
      </c>
      <c r="U1558" t="str">
        <f t="shared" si="72"/>
        <v>ad5732</v>
      </c>
      <c r="V1558">
        <v>0</v>
      </c>
      <c r="W1558">
        <v>0</v>
      </c>
      <c r="X1558">
        <v>1</v>
      </c>
      <c r="Z1558">
        <v>0</v>
      </c>
      <c r="AA1558">
        <v>9</v>
      </c>
      <c r="AB1558">
        <v>3</v>
      </c>
      <c r="AC1558">
        <v>0</v>
      </c>
      <c r="AD1558">
        <v>10</v>
      </c>
      <c r="AE1558">
        <v>0</v>
      </c>
      <c r="AF1558">
        <v>3</v>
      </c>
      <c r="AG1558">
        <v>2</v>
      </c>
      <c r="AH1558">
        <v>0</v>
      </c>
      <c r="AI1558" t="s">
        <v>3219</v>
      </c>
      <c r="AJ1558">
        <v>39.667189</v>
      </c>
      <c r="AK1558" t="s">
        <v>3220</v>
      </c>
      <c r="AL1558">
        <v>-76.295563999999999</v>
      </c>
      <c r="AM1558">
        <v>100</v>
      </c>
      <c r="AN1558">
        <v>5500</v>
      </c>
      <c r="AO1558" t="s">
        <v>115</v>
      </c>
      <c r="AP1558">
        <v>184</v>
      </c>
      <c r="AQ1558">
        <v>100</v>
      </c>
      <c r="AR1558">
        <v>-1728</v>
      </c>
      <c r="AZ1558">
        <v>3614</v>
      </c>
      <c r="BA1558">
        <v>1</v>
      </c>
      <c r="BB1558" t="str">
        <f t="shared" si="74"/>
        <v xml:space="preserve">N959MJ  </v>
      </c>
      <c r="BC1558">
        <v>1</v>
      </c>
      <c r="BE1558">
        <v>0</v>
      </c>
      <c r="BF1558">
        <v>0</v>
      </c>
      <c r="BG1558">
        <v>0</v>
      </c>
      <c r="BH1558">
        <v>5650</v>
      </c>
      <c r="BI1558">
        <v>150</v>
      </c>
      <c r="BJ1558">
        <v>1</v>
      </c>
      <c r="BK1558">
        <v>1</v>
      </c>
      <c r="BL1558">
        <v>1</v>
      </c>
      <c r="BM1558">
        <v>0</v>
      </c>
      <c r="BP1558">
        <v>0</v>
      </c>
      <c r="BQ1558">
        <v>0</v>
      </c>
      <c r="BX1558" t="str">
        <f>"14:16:19.781"</f>
        <v>14:16:19.781</v>
      </c>
      <c r="BY1558" t="str">
        <f>"784125266"</f>
        <v>784125266</v>
      </c>
      <c r="CL1558">
        <v>0</v>
      </c>
      <c r="CM1558">
        <v>2</v>
      </c>
      <c r="CN1558">
        <v>0</v>
      </c>
      <c r="CO1558">
        <v>2</v>
      </c>
      <c r="CP1558">
        <v>0</v>
      </c>
      <c r="CQ1558">
        <v>6</v>
      </c>
      <c r="CR1558" t="s">
        <v>116</v>
      </c>
      <c r="CS1558">
        <v>396</v>
      </c>
      <c r="CT1558">
        <v>1</v>
      </c>
      <c r="CU1558" t="s">
        <v>939</v>
      </c>
      <c r="CV1558" t="s">
        <v>940</v>
      </c>
      <c r="CY1558">
        <v>9083094</v>
      </c>
      <c r="CZ1558" t="s">
        <v>119</v>
      </c>
    </row>
    <row r="1559" spans="1:104" x14ac:dyDescent="0.25">
      <c r="A1559" t="str">
        <f>"14:16:20.914"</f>
        <v>14:16:20.914</v>
      </c>
      <c r="B1559" t="s">
        <v>108</v>
      </c>
      <c r="C1559" t="str">
        <f t="shared" si="73"/>
        <v>ffdfd3c0</v>
      </c>
      <c r="D1559" t="s">
        <v>109</v>
      </c>
      <c r="E1559">
        <v>4</v>
      </c>
      <c r="F1559">
        <v>1004</v>
      </c>
      <c r="G1559" t="s">
        <v>110</v>
      </c>
      <c r="J1559" t="s">
        <v>111</v>
      </c>
      <c r="K1559">
        <v>0</v>
      </c>
      <c r="L1559">
        <v>3</v>
      </c>
      <c r="M1559">
        <v>0</v>
      </c>
      <c r="N1559">
        <v>2</v>
      </c>
      <c r="O1559">
        <v>1</v>
      </c>
      <c r="P1559">
        <v>0</v>
      </c>
      <c r="Q1559">
        <v>0</v>
      </c>
      <c r="R1559" t="s">
        <v>112</v>
      </c>
      <c r="S1559" t="str">
        <f>"14:16:20.711"</f>
        <v>14:16:20.711</v>
      </c>
      <c r="T1559" t="str">
        <f>"14:16:20.313"</f>
        <v>14:16:20.313</v>
      </c>
      <c r="U1559" t="str">
        <f t="shared" si="72"/>
        <v>ad5732</v>
      </c>
      <c r="V1559">
        <v>0</v>
      </c>
      <c r="W1559">
        <v>0</v>
      </c>
      <c r="X1559">
        <v>1</v>
      </c>
      <c r="Z1559">
        <v>0</v>
      </c>
      <c r="AA1559">
        <v>9</v>
      </c>
      <c r="AB1559">
        <v>3</v>
      </c>
      <c r="AC1559">
        <v>0</v>
      </c>
      <c r="AD1559">
        <v>10</v>
      </c>
      <c r="AE1559">
        <v>0</v>
      </c>
      <c r="AF1559">
        <v>3</v>
      </c>
      <c r="AG1559">
        <v>2</v>
      </c>
      <c r="AH1559">
        <v>0</v>
      </c>
      <c r="AI1559" t="s">
        <v>3221</v>
      </c>
      <c r="AJ1559">
        <v>39.667639999999999</v>
      </c>
      <c r="AK1559" t="s">
        <v>3222</v>
      </c>
      <c r="AL1559">
        <v>-76.294490999999994</v>
      </c>
      <c r="AM1559">
        <v>100</v>
      </c>
      <c r="AN1559">
        <v>5400</v>
      </c>
      <c r="AO1559" t="s">
        <v>115</v>
      </c>
      <c r="AP1559">
        <v>184</v>
      </c>
      <c r="AQ1559">
        <v>99</v>
      </c>
      <c r="AR1559">
        <v>-1728</v>
      </c>
      <c r="AZ1559">
        <v>3614</v>
      </c>
      <c r="BA1559">
        <v>1</v>
      </c>
      <c r="BB1559" t="str">
        <f t="shared" si="74"/>
        <v xml:space="preserve">N959MJ  </v>
      </c>
      <c r="BC1559">
        <v>1</v>
      </c>
      <c r="BE1559">
        <v>0</v>
      </c>
      <c r="BF1559">
        <v>0</v>
      </c>
      <c r="BG1559">
        <v>0</v>
      </c>
      <c r="BH1559">
        <v>5625</v>
      </c>
      <c r="BI1559">
        <v>225</v>
      </c>
      <c r="BJ1559">
        <v>1</v>
      </c>
      <c r="BK1559">
        <v>1</v>
      </c>
      <c r="BL1559">
        <v>1</v>
      </c>
      <c r="BM1559">
        <v>0</v>
      </c>
      <c r="BP1559">
        <v>0</v>
      </c>
      <c r="BQ1559">
        <v>0</v>
      </c>
      <c r="BX1559" t="str">
        <f>"14:16:20.711"</f>
        <v>14:16:20.711</v>
      </c>
      <c r="BY1559" t="str">
        <f>"713235525"</f>
        <v>713235525</v>
      </c>
      <c r="CL1559">
        <v>0</v>
      </c>
      <c r="CM1559">
        <v>2</v>
      </c>
      <c r="CN1559">
        <v>0</v>
      </c>
      <c r="CO1559">
        <v>2</v>
      </c>
      <c r="CP1559">
        <v>0</v>
      </c>
      <c r="CQ1559">
        <v>5</v>
      </c>
      <c r="CR1559" t="s">
        <v>116</v>
      </c>
      <c r="CS1559">
        <v>372</v>
      </c>
      <c r="CT1559">
        <v>3</v>
      </c>
      <c r="CU1559" t="s">
        <v>877</v>
      </c>
      <c r="CV1559" t="s">
        <v>878</v>
      </c>
      <c r="CY1559">
        <v>12147144</v>
      </c>
      <c r="CZ1559" t="s">
        <v>119</v>
      </c>
    </row>
    <row r="1560" spans="1:104" x14ac:dyDescent="0.25">
      <c r="A1560" t="str">
        <f>"14:16:21.875"</f>
        <v>14:16:21.875</v>
      </c>
      <c r="B1560" t="s">
        <v>108</v>
      </c>
      <c r="C1560" t="str">
        <f t="shared" si="73"/>
        <v>ffdfd3c0</v>
      </c>
      <c r="D1560" t="s">
        <v>109</v>
      </c>
      <c r="E1560">
        <v>4</v>
      </c>
      <c r="F1560">
        <v>1004</v>
      </c>
      <c r="G1560" t="s">
        <v>110</v>
      </c>
      <c r="J1560" t="s">
        <v>111</v>
      </c>
      <c r="K1560">
        <v>0</v>
      </c>
      <c r="L1560">
        <v>3</v>
      </c>
      <c r="M1560">
        <v>0</v>
      </c>
      <c r="N1560">
        <v>2</v>
      </c>
      <c r="O1560">
        <v>1</v>
      </c>
      <c r="P1560">
        <v>0</v>
      </c>
      <c r="Q1560">
        <v>0</v>
      </c>
      <c r="R1560" t="s">
        <v>112</v>
      </c>
      <c r="S1560" t="str">
        <f>"14:16:21.680"</f>
        <v>14:16:21.680</v>
      </c>
      <c r="T1560" t="str">
        <f>"14:16:21.281"</f>
        <v>14:16:21.281</v>
      </c>
      <c r="U1560" t="str">
        <f t="shared" si="72"/>
        <v>ad5732</v>
      </c>
      <c r="V1560">
        <v>0</v>
      </c>
      <c r="W1560">
        <v>0</v>
      </c>
      <c r="X1560">
        <v>1</v>
      </c>
      <c r="Z1560">
        <v>0</v>
      </c>
      <c r="AA1560">
        <v>9</v>
      </c>
      <c r="AB1560">
        <v>3</v>
      </c>
      <c r="AC1560">
        <v>0</v>
      </c>
      <c r="AD1560">
        <v>10</v>
      </c>
      <c r="AE1560">
        <v>0</v>
      </c>
      <c r="AF1560">
        <v>3</v>
      </c>
      <c r="AG1560">
        <v>2</v>
      </c>
      <c r="AH1560">
        <v>0</v>
      </c>
      <c r="AI1560" t="s">
        <v>3223</v>
      </c>
      <c r="AJ1560">
        <v>39.668047000000001</v>
      </c>
      <c r="AK1560" t="s">
        <v>3224</v>
      </c>
      <c r="AL1560">
        <v>-76.293460999999994</v>
      </c>
      <c r="AM1560">
        <v>100</v>
      </c>
      <c r="AN1560">
        <v>5400</v>
      </c>
      <c r="AO1560" t="s">
        <v>115</v>
      </c>
      <c r="AP1560">
        <v>184</v>
      </c>
      <c r="AQ1560">
        <v>99</v>
      </c>
      <c r="AR1560">
        <v>-1728</v>
      </c>
      <c r="AZ1560">
        <v>3614</v>
      </c>
      <c r="BA1560">
        <v>1</v>
      </c>
      <c r="BB1560" t="str">
        <f t="shared" si="74"/>
        <v xml:space="preserve">N959MJ  </v>
      </c>
      <c r="BC1560">
        <v>1</v>
      </c>
      <c r="BE1560">
        <v>0</v>
      </c>
      <c r="BF1560">
        <v>0</v>
      </c>
      <c r="BG1560">
        <v>0</v>
      </c>
      <c r="BH1560">
        <v>5600</v>
      </c>
      <c r="BI1560">
        <v>200</v>
      </c>
      <c r="BJ1560">
        <v>1</v>
      </c>
      <c r="BK1560">
        <v>1</v>
      </c>
      <c r="BL1560">
        <v>1</v>
      </c>
      <c r="BM1560">
        <v>0</v>
      </c>
      <c r="BP1560">
        <v>0</v>
      </c>
      <c r="BQ1560">
        <v>0</v>
      </c>
      <c r="BX1560" t="str">
        <f>"14:16:21.680"</f>
        <v>14:16:21.680</v>
      </c>
      <c r="BY1560" t="str">
        <f>"683158628"</f>
        <v>683158628</v>
      </c>
      <c r="CL1560">
        <v>0</v>
      </c>
      <c r="CM1560">
        <v>2</v>
      </c>
      <c r="CN1560">
        <v>0</v>
      </c>
      <c r="CO1560">
        <v>2</v>
      </c>
      <c r="CP1560">
        <v>0</v>
      </c>
      <c r="CQ1560">
        <v>5</v>
      </c>
      <c r="CR1560" t="s">
        <v>116</v>
      </c>
      <c r="CS1560">
        <v>39</v>
      </c>
      <c r="CT1560">
        <v>2</v>
      </c>
      <c r="CU1560" t="s">
        <v>2259</v>
      </c>
      <c r="CV1560" t="s">
        <v>2260</v>
      </c>
      <c r="CY1560">
        <v>15795662</v>
      </c>
      <c r="CZ1560" t="s">
        <v>119</v>
      </c>
    </row>
    <row r="1561" spans="1:104" x14ac:dyDescent="0.25">
      <c r="A1561" t="str">
        <f>"14:16:22.727"</f>
        <v>14:16:22.727</v>
      </c>
      <c r="B1561" t="s">
        <v>108</v>
      </c>
      <c r="C1561" t="str">
        <f t="shared" si="73"/>
        <v>ffdfd3c0</v>
      </c>
      <c r="D1561" t="s">
        <v>109</v>
      </c>
      <c r="E1561">
        <v>4</v>
      </c>
      <c r="F1561">
        <v>1004</v>
      </c>
      <c r="G1561" t="s">
        <v>110</v>
      </c>
      <c r="J1561" t="s">
        <v>111</v>
      </c>
      <c r="K1561">
        <v>0</v>
      </c>
      <c r="L1561">
        <v>3</v>
      </c>
      <c r="M1561">
        <v>0</v>
      </c>
      <c r="N1561">
        <v>2</v>
      </c>
      <c r="O1561">
        <v>1</v>
      </c>
      <c r="P1561">
        <v>0</v>
      </c>
      <c r="Q1561">
        <v>0</v>
      </c>
      <c r="R1561" t="s">
        <v>112</v>
      </c>
      <c r="S1561" t="str">
        <f>"14:16:22.547"</f>
        <v>14:16:22.547</v>
      </c>
      <c r="T1561" t="str">
        <f>"14:16:22.148"</f>
        <v>14:16:22.148</v>
      </c>
      <c r="U1561" t="str">
        <f t="shared" si="72"/>
        <v>ad5732</v>
      </c>
      <c r="V1561">
        <v>0</v>
      </c>
      <c r="W1561">
        <v>0</v>
      </c>
      <c r="X1561">
        <v>1</v>
      </c>
      <c r="Z1561">
        <v>0</v>
      </c>
      <c r="AA1561">
        <v>9</v>
      </c>
      <c r="AB1561">
        <v>3</v>
      </c>
      <c r="AC1561">
        <v>0</v>
      </c>
      <c r="AD1561">
        <v>10</v>
      </c>
      <c r="AE1561">
        <v>0</v>
      </c>
      <c r="AF1561">
        <v>3</v>
      </c>
      <c r="AG1561">
        <v>2</v>
      </c>
      <c r="AH1561">
        <v>0</v>
      </c>
      <c r="AI1561" t="s">
        <v>3225</v>
      </c>
      <c r="AJ1561">
        <v>39.668477000000003</v>
      </c>
      <c r="AK1561" t="s">
        <v>3226</v>
      </c>
      <c r="AL1561">
        <v>-76.292473999999999</v>
      </c>
      <c r="AM1561">
        <v>100</v>
      </c>
      <c r="AN1561">
        <v>5400</v>
      </c>
      <c r="AO1561" t="s">
        <v>115</v>
      </c>
      <c r="AP1561">
        <v>184</v>
      </c>
      <c r="AQ1561">
        <v>98</v>
      </c>
      <c r="AR1561">
        <v>-1728</v>
      </c>
      <c r="AZ1561">
        <v>3614</v>
      </c>
      <c r="BA1561">
        <v>1</v>
      </c>
      <c r="BB1561" t="str">
        <f t="shared" si="74"/>
        <v xml:space="preserve">N959MJ  </v>
      </c>
      <c r="BC1561">
        <v>1</v>
      </c>
      <c r="BE1561">
        <v>0</v>
      </c>
      <c r="BF1561">
        <v>0</v>
      </c>
      <c r="BG1561">
        <v>0</v>
      </c>
      <c r="BH1561">
        <v>5575</v>
      </c>
      <c r="BI1561">
        <v>175</v>
      </c>
      <c r="BJ1561">
        <v>1</v>
      </c>
      <c r="BK1561">
        <v>1</v>
      </c>
      <c r="BL1561">
        <v>1</v>
      </c>
      <c r="BM1561">
        <v>0</v>
      </c>
      <c r="BP1561">
        <v>0</v>
      </c>
      <c r="BQ1561">
        <v>0</v>
      </c>
      <c r="BX1561" t="str">
        <f>"14:16:22.555"</f>
        <v>14:16:22.555</v>
      </c>
      <c r="BY1561" t="str">
        <f>"551524986"</f>
        <v>551524986</v>
      </c>
      <c r="CL1561">
        <v>0</v>
      </c>
      <c r="CM1561">
        <v>2</v>
      </c>
      <c r="CN1561">
        <v>0</v>
      </c>
      <c r="CO1561">
        <v>2</v>
      </c>
      <c r="CP1561">
        <v>0</v>
      </c>
      <c r="CQ1561">
        <v>5</v>
      </c>
      <c r="CR1561" t="s">
        <v>116</v>
      </c>
      <c r="CS1561">
        <v>39</v>
      </c>
      <c r="CT1561">
        <v>2</v>
      </c>
      <c r="CU1561" t="s">
        <v>2259</v>
      </c>
      <c r="CV1561" t="s">
        <v>2260</v>
      </c>
      <c r="CY1561">
        <v>15796997</v>
      </c>
      <c r="CZ1561" t="s">
        <v>119</v>
      </c>
    </row>
    <row r="1562" spans="1:104" x14ac:dyDescent="0.25">
      <c r="A1562" t="str">
        <f>"14:16:23.742"</f>
        <v>14:16:23.742</v>
      </c>
      <c r="B1562" t="s">
        <v>108</v>
      </c>
      <c r="C1562" t="str">
        <f t="shared" si="73"/>
        <v>ffdfd3c0</v>
      </c>
      <c r="D1562" t="s">
        <v>109</v>
      </c>
      <c r="E1562">
        <v>4</v>
      </c>
      <c r="F1562">
        <v>1004</v>
      </c>
      <c r="G1562" t="s">
        <v>110</v>
      </c>
      <c r="J1562" t="s">
        <v>111</v>
      </c>
      <c r="K1562">
        <v>0</v>
      </c>
      <c r="L1562">
        <v>3</v>
      </c>
      <c r="M1562">
        <v>0</v>
      </c>
      <c r="N1562">
        <v>2</v>
      </c>
      <c r="O1562">
        <v>1</v>
      </c>
      <c r="P1562">
        <v>0</v>
      </c>
      <c r="Q1562">
        <v>0</v>
      </c>
      <c r="R1562" t="s">
        <v>112</v>
      </c>
      <c r="S1562" t="str">
        <f>"14:16:23.555"</f>
        <v>14:16:23.555</v>
      </c>
      <c r="T1562" t="str">
        <f>"14:16:23.055"</f>
        <v>14:16:23.055</v>
      </c>
      <c r="U1562" t="str">
        <f t="shared" si="72"/>
        <v>ad5732</v>
      </c>
      <c r="V1562">
        <v>0</v>
      </c>
      <c r="W1562">
        <v>0</v>
      </c>
      <c r="X1562">
        <v>1</v>
      </c>
      <c r="Z1562">
        <v>0</v>
      </c>
      <c r="AA1562">
        <v>9</v>
      </c>
      <c r="AB1562">
        <v>3</v>
      </c>
      <c r="AC1562">
        <v>0</v>
      </c>
      <c r="AD1562">
        <v>10</v>
      </c>
      <c r="AE1562">
        <v>0</v>
      </c>
      <c r="AF1562">
        <v>3</v>
      </c>
      <c r="AG1562">
        <v>2</v>
      </c>
      <c r="AH1562">
        <v>0</v>
      </c>
      <c r="AI1562" t="s">
        <v>3227</v>
      </c>
      <c r="AJ1562">
        <v>39.668926999999996</v>
      </c>
      <c r="AK1562" t="s">
        <v>3228</v>
      </c>
      <c r="AL1562">
        <v>-76.291400999999993</v>
      </c>
      <c r="AM1562">
        <v>100</v>
      </c>
      <c r="AN1562">
        <v>5300</v>
      </c>
      <c r="AO1562" t="s">
        <v>115</v>
      </c>
      <c r="AP1562">
        <v>184</v>
      </c>
      <c r="AQ1562">
        <v>98</v>
      </c>
      <c r="AR1562">
        <v>-1728</v>
      </c>
      <c r="AZ1562">
        <v>3614</v>
      </c>
      <c r="BA1562">
        <v>1</v>
      </c>
      <c r="BB1562" t="str">
        <f t="shared" si="74"/>
        <v xml:space="preserve">N959MJ  </v>
      </c>
      <c r="BC1562">
        <v>1</v>
      </c>
      <c r="BE1562">
        <v>0</v>
      </c>
      <c r="BF1562">
        <v>0</v>
      </c>
      <c r="BG1562">
        <v>0</v>
      </c>
      <c r="BH1562">
        <v>5550</v>
      </c>
      <c r="BI1562">
        <v>250</v>
      </c>
      <c r="BJ1562">
        <v>1</v>
      </c>
      <c r="BK1562">
        <v>1</v>
      </c>
      <c r="BL1562">
        <v>1</v>
      </c>
      <c r="BM1562">
        <v>0</v>
      </c>
      <c r="BP1562">
        <v>0</v>
      </c>
      <c r="BQ1562">
        <v>0</v>
      </c>
      <c r="BX1562" t="str">
        <f>"14:16:23.555"</f>
        <v>14:16:23.555</v>
      </c>
      <c r="BY1562" t="str">
        <f>"557424167"</f>
        <v>557424167</v>
      </c>
      <c r="CL1562">
        <v>0</v>
      </c>
      <c r="CM1562">
        <v>2</v>
      </c>
      <c r="CN1562">
        <v>0</v>
      </c>
      <c r="CO1562">
        <v>2</v>
      </c>
      <c r="CP1562">
        <v>0</v>
      </c>
      <c r="CQ1562">
        <v>6</v>
      </c>
      <c r="CR1562" t="s">
        <v>116</v>
      </c>
      <c r="CS1562">
        <v>396</v>
      </c>
      <c r="CT1562">
        <v>1</v>
      </c>
      <c r="CU1562" t="s">
        <v>939</v>
      </c>
      <c r="CV1562" t="s">
        <v>940</v>
      </c>
      <c r="CY1562">
        <v>9089880</v>
      </c>
      <c r="CZ1562" t="s">
        <v>119</v>
      </c>
    </row>
    <row r="1563" spans="1:104" x14ac:dyDescent="0.25">
      <c r="A1563" t="str">
        <f>"14:16:24.695"</f>
        <v>14:16:24.695</v>
      </c>
      <c r="B1563" t="s">
        <v>108</v>
      </c>
      <c r="C1563" t="str">
        <f t="shared" si="73"/>
        <v>ffdfd3c0</v>
      </c>
      <c r="D1563" t="s">
        <v>109</v>
      </c>
      <c r="E1563">
        <v>4</v>
      </c>
      <c r="F1563">
        <v>1004</v>
      </c>
      <c r="G1563" t="s">
        <v>110</v>
      </c>
      <c r="J1563" t="s">
        <v>111</v>
      </c>
      <c r="K1563">
        <v>0</v>
      </c>
      <c r="L1563">
        <v>3</v>
      </c>
      <c r="M1563">
        <v>0</v>
      </c>
      <c r="N1563">
        <v>2</v>
      </c>
      <c r="O1563">
        <v>1</v>
      </c>
      <c r="P1563">
        <v>0</v>
      </c>
      <c r="Q1563">
        <v>0</v>
      </c>
      <c r="R1563" t="s">
        <v>112</v>
      </c>
      <c r="S1563" t="str">
        <f>"14:16:24.531"</f>
        <v>14:16:24.531</v>
      </c>
      <c r="T1563" t="str">
        <f>"14:16:24.133"</f>
        <v>14:16:24.133</v>
      </c>
      <c r="U1563" t="str">
        <f t="shared" si="72"/>
        <v>ad5732</v>
      </c>
      <c r="V1563">
        <v>0</v>
      </c>
      <c r="W1563">
        <v>0</v>
      </c>
      <c r="X1563">
        <v>1</v>
      </c>
      <c r="Z1563">
        <v>0</v>
      </c>
      <c r="AA1563">
        <v>9</v>
      </c>
      <c r="AB1563">
        <v>3</v>
      </c>
      <c r="AC1563">
        <v>0</v>
      </c>
      <c r="AD1563">
        <v>10</v>
      </c>
      <c r="AE1563">
        <v>0</v>
      </c>
      <c r="AF1563">
        <v>3</v>
      </c>
      <c r="AG1563">
        <v>2</v>
      </c>
      <c r="AH1563">
        <v>0</v>
      </c>
      <c r="AI1563" t="s">
        <v>3229</v>
      </c>
      <c r="AJ1563">
        <v>39.669378000000002</v>
      </c>
      <c r="AK1563" t="s">
        <v>3230</v>
      </c>
      <c r="AL1563">
        <v>-76.290306999999999</v>
      </c>
      <c r="AM1563">
        <v>100</v>
      </c>
      <c r="AN1563">
        <v>5300</v>
      </c>
      <c r="AO1563" t="s">
        <v>115</v>
      </c>
      <c r="AP1563">
        <v>183</v>
      </c>
      <c r="AQ1563">
        <v>97</v>
      </c>
      <c r="AR1563">
        <v>-1728</v>
      </c>
      <c r="AZ1563">
        <v>3614</v>
      </c>
      <c r="BA1563">
        <v>1</v>
      </c>
      <c r="BB1563" t="str">
        <f t="shared" si="74"/>
        <v xml:space="preserve">N959MJ  </v>
      </c>
      <c r="BC1563">
        <v>1</v>
      </c>
      <c r="BE1563">
        <v>0</v>
      </c>
      <c r="BF1563">
        <v>0</v>
      </c>
      <c r="BG1563">
        <v>0</v>
      </c>
      <c r="BH1563">
        <v>5525</v>
      </c>
      <c r="BI1563">
        <v>225</v>
      </c>
      <c r="BJ1563">
        <v>1</v>
      </c>
      <c r="BK1563">
        <v>1</v>
      </c>
      <c r="BL1563">
        <v>1</v>
      </c>
      <c r="BM1563">
        <v>0</v>
      </c>
      <c r="BP1563">
        <v>0</v>
      </c>
      <c r="BQ1563">
        <v>0</v>
      </c>
      <c r="BX1563" t="str">
        <f>"14:16:24.539"</f>
        <v>14:16:24.539</v>
      </c>
      <c r="BY1563" t="str">
        <f>"535687658"</f>
        <v>535687658</v>
      </c>
      <c r="CL1563">
        <v>0</v>
      </c>
      <c r="CM1563">
        <v>2</v>
      </c>
      <c r="CN1563">
        <v>0</v>
      </c>
      <c r="CO1563">
        <v>2</v>
      </c>
      <c r="CP1563">
        <v>0</v>
      </c>
      <c r="CQ1563">
        <v>5</v>
      </c>
      <c r="CR1563" t="s">
        <v>116</v>
      </c>
      <c r="CS1563">
        <v>372</v>
      </c>
      <c r="CT1563">
        <v>3</v>
      </c>
      <c r="CU1563" t="s">
        <v>877</v>
      </c>
      <c r="CV1563" t="s">
        <v>878</v>
      </c>
      <c r="CY1563">
        <v>12153898</v>
      </c>
      <c r="CZ1563" t="s">
        <v>119</v>
      </c>
    </row>
    <row r="1564" spans="1:104" x14ac:dyDescent="0.25">
      <c r="A1564" t="str">
        <f>"14:16:25.656"</f>
        <v>14:16:25.656</v>
      </c>
      <c r="B1564" t="s">
        <v>108</v>
      </c>
      <c r="C1564" t="str">
        <f t="shared" si="73"/>
        <v>ffdfd3c0</v>
      </c>
      <c r="D1564" t="s">
        <v>109</v>
      </c>
      <c r="E1564">
        <v>4</v>
      </c>
      <c r="F1564">
        <v>1004</v>
      </c>
      <c r="G1564" t="s">
        <v>110</v>
      </c>
      <c r="J1564" t="s">
        <v>111</v>
      </c>
      <c r="K1564">
        <v>0</v>
      </c>
      <c r="L1564">
        <v>3</v>
      </c>
      <c r="M1564">
        <v>0</v>
      </c>
      <c r="N1564">
        <v>2</v>
      </c>
      <c r="O1564">
        <v>1</v>
      </c>
      <c r="P1564">
        <v>0</v>
      </c>
      <c r="Q1564">
        <v>0</v>
      </c>
      <c r="R1564" t="s">
        <v>112</v>
      </c>
      <c r="S1564" t="str">
        <f>"14:16:25.469"</f>
        <v>14:16:25.469</v>
      </c>
      <c r="T1564" t="str">
        <f>"14:16:25.070"</f>
        <v>14:16:25.070</v>
      </c>
      <c r="U1564" t="str">
        <f t="shared" si="72"/>
        <v>ad5732</v>
      </c>
      <c r="V1564">
        <v>0</v>
      </c>
      <c r="W1564">
        <v>0</v>
      </c>
      <c r="X1564">
        <v>1</v>
      </c>
      <c r="Z1564">
        <v>0</v>
      </c>
      <c r="AA1564">
        <v>9</v>
      </c>
      <c r="AB1564">
        <v>3</v>
      </c>
      <c r="AC1564">
        <v>0</v>
      </c>
      <c r="AD1564">
        <v>10</v>
      </c>
      <c r="AE1564">
        <v>0</v>
      </c>
      <c r="AF1564">
        <v>3</v>
      </c>
      <c r="AG1564">
        <v>2</v>
      </c>
      <c r="AH1564">
        <v>0</v>
      </c>
      <c r="AI1564" t="s">
        <v>3231</v>
      </c>
      <c r="AJ1564">
        <v>39.669764000000001</v>
      </c>
      <c r="AK1564" t="s">
        <v>3232</v>
      </c>
      <c r="AL1564">
        <v>-76.289299</v>
      </c>
      <c r="AM1564">
        <v>100</v>
      </c>
      <c r="AN1564">
        <v>5300</v>
      </c>
      <c r="AO1564" t="s">
        <v>115</v>
      </c>
      <c r="AP1564">
        <v>183</v>
      </c>
      <c r="AQ1564">
        <v>97</v>
      </c>
      <c r="AR1564">
        <v>-1728</v>
      </c>
      <c r="AZ1564">
        <v>3614</v>
      </c>
      <c r="BA1564">
        <v>1</v>
      </c>
      <c r="BB1564" t="str">
        <f t="shared" si="74"/>
        <v xml:space="preserve">N959MJ  </v>
      </c>
      <c r="BC1564">
        <v>1</v>
      </c>
      <c r="BE1564">
        <v>0</v>
      </c>
      <c r="BF1564">
        <v>0</v>
      </c>
      <c r="BG1564">
        <v>0</v>
      </c>
      <c r="BH1564">
        <v>5500</v>
      </c>
      <c r="BI1564">
        <v>200</v>
      </c>
      <c r="BJ1564">
        <v>1</v>
      </c>
      <c r="BK1564">
        <v>1</v>
      </c>
      <c r="BL1564">
        <v>1</v>
      </c>
      <c r="BM1564">
        <v>0</v>
      </c>
      <c r="BP1564">
        <v>0</v>
      </c>
      <c r="BQ1564">
        <v>0</v>
      </c>
      <c r="BX1564" t="str">
        <f>"14:16:25.469"</f>
        <v>14:16:25.469</v>
      </c>
      <c r="BY1564" t="str">
        <f>"469469145"</f>
        <v>469469145</v>
      </c>
      <c r="CL1564">
        <v>0</v>
      </c>
      <c r="CM1564">
        <v>2</v>
      </c>
      <c r="CN1564">
        <v>0</v>
      </c>
      <c r="CO1564">
        <v>2</v>
      </c>
      <c r="CP1564">
        <v>0</v>
      </c>
      <c r="CQ1564">
        <v>6</v>
      </c>
      <c r="CR1564" t="s">
        <v>116</v>
      </c>
      <c r="CS1564">
        <v>396</v>
      </c>
      <c r="CT1564">
        <v>1</v>
      </c>
      <c r="CU1564" t="s">
        <v>939</v>
      </c>
      <c r="CV1564" t="s">
        <v>940</v>
      </c>
      <c r="CY1564">
        <v>9093253</v>
      </c>
      <c r="CZ1564" t="s">
        <v>119</v>
      </c>
    </row>
    <row r="1565" spans="1:104" x14ac:dyDescent="0.25">
      <c r="A1565" t="str">
        <f>"14:16:26.516"</f>
        <v>14:16:26.516</v>
      </c>
      <c r="B1565" t="s">
        <v>108</v>
      </c>
      <c r="C1565" t="str">
        <f t="shared" si="73"/>
        <v>ffdfd3c0</v>
      </c>
      <c r="D1565" t="s">
        <v>109</v>
      </c>
      <c r="E1565">
        <v>4</v>
      </c>
      <c r="F1565">
        <v>1004</v>
      </c>
      <c r="G1565" t="s">
        <v>110</v>
      </c>
      <c r="J1565" t="s">
        <v>111</v>
      </c>
      <c r="K1565">
        <v>0</v>
      </c>
      <c r="L1565">
        <v>3</v>
      </c>
      <c r="M1565">
        <v>0</v>
      </c>
      <c r="N1565">
        <v>2</v>
      </c>
      <c r="O1565">
        <v>1</v>
      </c>
      <c r="P1565">
        <v>0</v>
      </c>
      <c r="Q1565">
        <v>0</v>
      </c>
      <c r="R1565" t="s">
        <v>112</v>
      </c>
      <c r="S1565" t="str">
        <f>"14:16:26.336"</f>
        <v>14:16:26.336</v>
      </c>
      <c r="T1565" t="str">
        <f>"14:16:25.938"</f>
        <v>14:16:25.938</v>
      </c>
      <c r="U1565" t="str">
        <f t="shared" si="72"/>
        <v>ad5732</v>
      </c>
      <c r="V1565">
        <v>0</v>
      </c>
      <c r="W1565">
        <v>0</v>
      </c>
      <c r="X1565">
        <v>1</v>
      </c>
      <c r="Z1565">
        <v>0</v>
      </c>
      <c r="AA1565">
        <v>9</v>
      </c>
      <c r="AB1565">
        <v>3</v>
      </c>
      <c r="AC1565">
        <v>0</v>
      </c>
      <c r="AD1565">
        <v>10</v>
      </c>
      <c r="AE1565">
        <v>0</v>
      </c>
      <c r="AF1565">
        <v>3</v>
      </c>
      <c r="AG1565">
        <v>2</v>
      </c>
      <c r="AH1565">
        <v>0</v>
      </c>
      <c r="AI1565" t="s">
        <v>3233</v>
      </c>
      <c r="AJ1565">
        <v>39.670172000000001</v>
      </c>
      <c r="AK1565" t="s">
        <v>3234</v>
      </c>
      <c r="AL1565">
        <v>-76.288353999999998</v>
      </c>
      <c r="AM1565">
        <v>100</v>
      </c>
      <c r="AN1565">
        <v>5300</v>
      </c>
      <c r="AO1565" t="s">
        <v>115</v>
      </c>
      <c r="AP1565">
        <v>183</v>
      </c>
      <c r="AQ1565">
        <v>96</v>
      </c>
      <c r="AR1565">
        <v>-1728</v>
      </c>
      <c r="AZ1565">
        <v>3614</v>
      </c>
      <c r="BA1565">
        <v>1</v>
      </c>
      <c r="BB1565" t="str">
        <f t="shared" si="74"/>
        <v xml:space="preserve">N959MJ  </v>
      </c>
      <c r="BC1565">
        <v>1</v>
      </c>
      <c r="BE1565">
        <v>0</v>
      </c>
      <c r="BF1565">
        <v>0</v>
      </c>
      <c r="BG1565">
        <v>0</v>
      </c>
      <c r="BH1565">
        <v>5475</v>
      </c>
      <c r="BI1565">
        <v>175</v>
      </c>
      <c r="BJ1565">
        <v>1</v>
      </c>
      <c r="BK1565">
        <v>1</v>
      </c>
      <c r="BL1565">
        <v>1</v>
      </c>
      <c r="BM1565">
        <v>0</v>
      </c>
      <c r="BP1565">
        <v>0</v>
      </c>
      <c r="BQ1565">
        <v>0</v>
      </c>
      <c r="BX1565" t="str">
        <f>"14:16:26.336"</f>
        <v>14:16:26.336</v>
      </c>
      <c r="BY1565" t="str">
        <f>"339474554"</f>
        <v>339474554</v>
      </c>
      <c r="CL1565">
        <v>0</v>
      </c>
      <c r="CM1565">
        <v>2</v>
      </c>
      <c r="CN1565">
        <v>0</v>
      </c>
      <c r="CO1565">
        <v>2</v>
      </c>
      <c r="CP1565">
        <v>0</v>
      </c>
      <c r="CQ1565">
        <v>6</v>
      </c>
      <c r="CR1565" t="s">
        <v>116</v>
      </c>
      <c r="CS1565">
        <v>396</v>
      </c>
      <c r="CT1565">
        <v>1</v>
      </c>
      <c r="CU1565" t="s">
        <v>939</v>
      </c>
      <c r="CV1565" t="s">
        <v>940</v>
      </c>
      <c r="CY1565">
        <v>9094812</v>
      </c>
      <c r="CZ1565" t="s">
        <v>119</v>
      </c>
    </row>
    <row r="1566" spans="1:104" x14ac:dyDescent="0.25">
      <c r="A1566" t="str">
        <f>"14:16:27.320"</f>
        <v>14:16:27.320</v>
      </c>
      <c r="B1566" t="s">
        <v>108</v>
      </c>
      <c r="C1566" t="str">
        <f t="shared" si="73"/>
        <v>ffdfd3c0</v>
      </c>
      <c r="D1566" t="s">
        <v>109</v>
      </c>
      <c r="E1566">
        <v>4</v>
      </c>
      <c r="F1566">
        <v>1004</v>
      </c>
      <c r="G1566" t="s">
        <v>110</v>
      </c>
      <c r="J1566" t="s">
        <v>111</v>
      </c>
      <c r="K1566">
        <v>0</v>
      </c>
      <c r="L1566">
        <v>3</v>
      </c>
      <c r="M1566">
        <v>0</v>
      </c>
      <c r="N1566">
        <v>2</v>
      </c>
      <c r="O1566">
        <v>1</v>
      </c>
      <c r="P1566">
        <v>0</v>
      </c>
      <c r="Q1566">
        <v>0</v>
      </c>
      <c r="R1566" t="s">
        <v>112</v>
      </c>
      <c r="S1566" t="str">
        <f>"14:16:27.148"</f>
        <v>14:16:27.148</v>
      </c>
      <c r="T1566" t="str">
        <f>"14:16:26.750"</f>
        <v>14:16:26.750</v>
      </c>
      <c r="U1566" t="str">
        <f t="shared" si="72"/>
        <v>ad5732</v>
      </c>
      <c r="V1566">
        <v>0</v>
      </c>
      <c r="W1566">
        <v>0</v>
      </c>
      <c r="X1566">
        <v>1</v>
      </c>
      <c r="Z1566">
        <v>0</v>
      </c>
      <c r="AA1566">
        <v>9</v>
      </c>
      <c r="AB1566">
        <v>3</v>
      </c>
      <c r="AC1566">
        <v>0</v>
      </c>
      <c r="AD1566">
        <v>10</v>
      </c>
      <c r="AE1566">
        <v>0</v>
      </c>
      <c r="AF1566">
        <v>3</v>
      </c>
      <c r="AG1566">
        <v>2</v>
      </c>
      <c r="AH1566">
        <v>0</v>
      </c>
      <c r="AI1566" t="s">
        <v>3235</v>
      </c>
      <c r="AJ1566">
        <v>39.670537000000003</v>
      </c>
      <c r="AK1566" t="s">
        <v>3236</v>
      </c>
      <c r="AL1566">
        <v>-76.287452999999999</v>
      </c>
      <c r="AM1566">
        <v>100</v>
      </c>
      <c r="AN1566">
        <v>5200</v>
      </c>
      <c r="AO1566" t="s">
        <v>115</v>
      </c>
      <c r="AP1566">
        <v>183</v>
      </c>
      <c r="AQ1566">
        <v>96</v>
      </c>
      <c r="AR1566">
        <v>-1728</v>
      </c>
      <c r="AZ1566">
        <v>3614</v>
      </c>
      <c r="BA1566">
        <v>1</v>
      </c>
      <c r="BB1566" t="str">
        <f t="shared" si="74"/>
        <v xml:space="preserve">N959MJ  </v>
      </c>
      <c r="BC1566">
        <v>1</v>
      </c>
      <c r="BE1566">
        <v>0</v>
      </c>
      <c r="BF1566">
        <v>0</v>
      </c>
      <c r="BG1566">
        <v>0</v>
      </c>
      <c r="BH1566">
        <v>5450</v>
      </c>
      <c r="BI1566">
        <v>250</v>
      </c>
      <c r="BJ1566">
        <v>1</v>
      </c>
      <c r="BK1566">
        <v>1</v>
      </c>
      <c r="BL1566">
        <v>1</v>
      </c>
      <c r="BM1566">
        <v>0</v>
      </c>
      <c r="BP1566">
        <v>0</v>
      </c>
      <c r="BQ1566">
        <v>0</v>
      </c>
      <c r="BX1566" t="str">
        <f>"14:16:27.148"</f>
        <v>14:16:27.148</v>
      </c>
      <c r="BY1566" t="str">
        <f>"150495943"</f>
        <v>150495943</v>
      </c>
      <c r="CL1566">
        <v>0</v>
      </c>
      <c r="CM1566">
        <v>2</v>
      </c>
      <c r="CN1566">
        <v>0</v>
      </c>
      <c r="CO1566">
        <v>2</v>
      </c>
      <c r="CP1566">
        <v>0</v>
      </c>
      <c r="CQ1566">
        <v>6</v>
      </c>
      <c r="CR1566" t="s">
        <v>116</v>
      </c>
      <c r="CS1566">
        <v>396</v>
      </c>
      <c r="CT1566">
        <v>1</v>
      </c>
      <c r="CU1566" t="s">
        <v>939</v>
      </c>
      <c r="CV1566" t="s">
        <v>940</v>
      </c>
      <c r="CY1566">
        <v>9096258</v>
      </c>
      <c r="CZ1566" t="s">
        <v>119</v>
      </c>
    </row>
    <row r="1567" spans="1:104" x14ac:dyDescent="0.25">
      <c r="A1567" t="str">
        <f>"14:16:28.383"</f>
        <v>14:16:28.383</v>
      </c>
      <c r="B1567" t="s">
        <v>108</v>
      </c>
      <c r="C1567" t="str">
        <f t="shared" si="73"/>
        <v>ffdfd3c0</v>
      </c>
      <c r="D1567" t="s">
        <v>109</v>
      </c>
      <c r="E1567">
        <v>4</v>
      </c>
      <c r="F1567">
        <v>1004</v>
      </c>
      <c r="G1567" t="s">
        <v>110</v>
      </c>
      <c r="J1567" t="s">
        <v>111</v>
      </c>
      <c r="K1567">
        <v>0</v>
      </c>
      <c r="L1567">
        <v>3</v>
      </c>
      <c r="M1567">
        <v>0</v>
      </c>
      <c r="N1567">
        <v>2</v>
      </c>
      <c r="O1567">
        <v>1</v>
      </c>
      <c r="P1567">
        <v>0</v>
      </c>
      <c r="Q1567">
        <v>0</v>
      </c>
      <c r="R1567" t="s">
        <v>112</v>
      </c>
      <c r="S1567" t="str">
        <f>"14:16:28.219"</f>
        <v>14:16:28.219</v>
      </c>
      <c r="T1567" t="str">
        <f>"14:16:27.719"</f>
        <v>14:16:27.719</v>
      </c>
      <c r="U1567" t="str">
        <f t="shared" si="72"/>
        <v>ad5732</v>
      </c>
      <c r="V1567">
        <v>0</v>
      </c>
      <c r="W1567">
        <v>0</v>
      </c>
      <c r="X1567">
        <v>1</v>
      </c>
      <c r="Z1567">
        <v>0</v>
      </c>
      <c r="AA1567">
        <v>9</v>
      </c>
      <c r="AB1567">
        <v>3</v>
      </c>
      <c r="AC1567">
        <v>0</v>
      </c>
      <c r="AD1567">
        <v>10</v>
      </c>
      <c r="AE1567">
        <v>0</v>
      </c>
      <c r="AF1567">
        <v>3</v>
      </c>
      <c r="AG1567">
        <v>2</v>
      </c>
      <c r="AH1567">
        <v>0</v>
      </c>
      <c r="AI1567" t="s">
        <v>3237</v>
      </c>
      <c r="AJ1567">
        <v>39.671030000000002</v>
      </c>
      <c r="AK1567" t="s">
        <v>3238</v>
      </c>
      <c r="AL1567">
        <v>-76.286252000000005</v>
      </c>
      <c r="AM1567">
        <v>100</v>
      </c>
      <c r="AN1567">
        <v>5200</v>
      </c>
      <c r="AO1567" t="s">
        <v>115</v>
      </c>
      <c r="AP1567">
        <v>183</v>
      </c>
      <c r="AQ1567">
        <v>96</v>
      </c>
      <c r="AR1567">
        <v>-1728</v>
      </c>
      <c r="AZ1567">
        <v>3614</v>
      </c>
      <c r="BA1567">
        <v>1</v>
      </c>
      <c r="BB1567" t="str">
        <f t="shared" si="74"/>
        <v xml:space="preserve">N959MJ  </v>
      </c>
      <c r="BC1567">
        <v>1</v>
      </c>
      <c r="BE1567">
        <v>0</v>
      </c>
      <c r="BF1567">
        <v>0</v>
      </c>
      <c r="BG1567">
        <v>0</v>
      </c>
      <c r="BH1567">
        <v>5425</v>
      </c>
      <c r="BI1567">
        <v>225</v>
      </c>
      <c r="BJ1567">
        <v>1</v>
      </c>
      <c r="BK1567">
        <v>1</v>
      </c>
      <c r="BL1567">
        <v>1</v>
      </c>
      <c r="BM1567">
        <v>0</v>
      </c>
      <c r="BP1567">
        <v>0</v>
      </c>
      <c r="BQ1567">
        <v>0</v>
      </c>
      <c r="BX1567" t="str">
        <f>"14:16:28.219"</f>
        <v>14:16:28.219</v>
      </c>
      <c r="BY1567" t="str">
        <f>"222027659"</f>
        <v>222027659</v>
      </c>
      <c r="CL1567">
        <v>0</v>
      </c>
      <c r="CM1567">
        <v>2</v>
      </c>
      <c r="CN1567">
        <v>0</v>
      </c>
      <c r="CO1567">
        <v>2</v>
      </c>
      <c r="CP1567">
        <v>0</v>
      </c>
      <c r="CQ1567">
        <v>6</v>
      </c>
      <c r="CR1567" t="s">
        <v>116</v>
      </c>
      <c r="CS1567">
        <v>396</v>
      </c>
      <c r="CT1567">
        <v>1</v>
      </c>
      <c r="CU1567" t="s">
        <v>939</v>
      </c>
      <c r="CV1567" t="s">
        <v>940</v>
      </c>
      <c r="CY1567">
        <v>9098220</v>
      </c>
      <c r="CZ1567" t="s">
        <v>119</v>
      </c>
    </row>
    <row r="1568" spans="1:104" x14ac:dyDescent="0.25">
      <c r="A1568" t="str">
        <f>"14:16:29.445"</f>
        <v>14:16:29.445</v>
      </c>
      <c r="B1568" t="s">
        <v>108</v>
      </c>
      <c r="C1568" t="str">
        <f t="shared" si="73"/>
        <v>ffdfd3c0</v>
      </c>
      <c r="D1568" t="s">
        <v>109</v>
      </c>
      <c r="E1568">
        <v>4</v>
      </c>
      <c r="F1568">
        <v>1004</v>
      </c>
      <c r="G1568" t="s">
        <v>110</v>
      </c>
      <c r="J1568" t="s">
        <v>111</v>
      </c>
      <c r="K1568">
        <v>0</v>
      </c>
      <c r="L1568">
        <v>3</v>
      </c>
      <c r="M1568">
        <v>0</v>
      </c>
      <c r="N1568">
        <v>2</v>
      </c>
      <c r="O1568">
        <v>1</v>
      </c>
      <c r="P1568">
        <v>0</v>
      </c>
      <c r="Q1568">
        <v>0</v>
      </c>
      <c r="R1568" t="s">
        <v>112</v>
      </c>
      <c r="S1568" t="str">
        <f>"14:16:29.227"</f>
        <v>14:16:29.227</v>
      </c>
      <c r="T1568" t="str">
        <f>"14:16:28.727"</f>
        <v>14:16:28.727</v>
      </c>
      <c r="U1568" t="str">
        <f t="shared" si="72"/>
        <v>ad5732</v>
      </c>
      <c r="V1568">
        <v>0</v>
      </c>
      <c r="W1568">
        <v>0</v>
      </c>
      <c r="X1568">
        <v>1</v>
      </c>
      <c r="Z1568">
        <v>0</v>
      </c>
      <c r="AA1568">
        <v>9</v>
      </c>
      <c r="AB1568">
        <v>3</v>
      </c>
      <c r="AC1568">
        <v>0</v>
      </c>
      <c r="AD1568">
        <v>10</v>
      </c>
      <c r="AE1568">
        <v>0</v>
      </c>
      <c r="AF1568">
        <v>3</v>
      </c>
      <c r="AG1568">
        <v>2</v>
      </c>
      <c r="AH1568">
        <v>0</v>
      </c>
      <c r="AI1568" t="s">
        <v>3239</v>
      </c>
      <c r="AJ1568">
        <v>39.671438000000002</v>
      </c>
      <c r="AK1568" t="s">
        <v>3240</v>
      </c>
      <c r="AL1568">
        <v>-76.285156999999998</v>
      </c>
      <c r="AM1568">
        <v>100</v>
      </c>
      <c r="AN1568">
        <v>5200</v>
      </c>
      <c r="AO1568" t="s">
        <v>115</v>
      </c>
      <c r="AP1568">
        <v>183</v>
      </c>
      <c r="AQ1568">
        <v>95</v>
      </c>
      <c r="AR1568">
        <v>-1728</v>
      </c>
      <c r="AZ1568">
        <v>3614</v>
      </c>
      <c r="BA1568">
        <v>1</v>
      </c>
      <c r="BB1568" t="str">
        <f t="shared" si="74"/>
        <v xml:space="preserve">N959MJ  </v>
      </c>
      <c r="BC1568">
        <v>1</v>
      </c>
      <c r="BE1568">
        <v>0</v>
      </c>
      <c r="BF1568">
        <v>0</v>
      </c>
      <c r="BG1568">
        <v>0</v>
      </c>
      <c r="BH1568">
        <v>5400</v>
      </c>
      <c r="BI1568">
        <v>200</v>
      </c>
      <c r="BJ1568">
        <v>1</v>
      </c>
      <c r="BK1568">
        <v>1</v>
      </c>
      <c r="BL1568">
        <v>1</v>
      </c>
      <c r="BM1568">
        <v>0</v>
      </c>
      <c r="BP1568">
        <v>0</v>
      </c>
      <c r="BQ1568">
        <v>0</v>
      </c>
      <c r="BX1568" t="str">
        <f>"14:16:29.227"</f>
        <v>14:16:29.227</v>
      </c>
      <c r="BY1568" t="str">
        <f>"228188989"</f>
        <v>228188989</v>
      </c>
      <c r="CL1568">
        <v>0</v>
      </c>
      <c r="CM1568">
        <v>2</v>
      </c>
      <c r="CN1568">
        <v>0</v>
      </c>
      <c r="CO1568">
        <v>2</v>
      </c>
      <c r="CP1568">
        <v>0</v>
      </c>
      <c r="CQ1568">
        <v>4</v>
      </c>
      <c r="CR1568" t="s">
        <v>116</v>
      </c>
      <c r="CS1568">
        <v>148</v>
      </c>
      <c r="CT1568">
        <v>1</v>
      </c>
      <c r="CU1568" t="s">
        <v>470</v>
      </c>
      <c r="CV1568" t="s">
        <v>471</v>
      </c>
      <c r="CY1568">
        <v>7483241</v>
      </c>
      <c r="CZ1568" t="s">
        <v>119</v>
      </c>
    </row>
    <row r="1569" spans="1:104" x14ac:dyDescent="0.25">
      <c r="A1569" t="str">
        <f>"14:16:30.305"</f>
        <v>14:16:30.305</v>
      </c>
      <c r="B1569" t="s">
        <v>108</v>
      </c>
      <c r="C1569" t="str">
        <f t="shared" si="73"/>
        <v>ffdfd3c0</v>
      </c>
      <c r="D1569" t="s">
        <v>109</v>
      </c>
      <c r="E1569">
        <v>4</v>
      </c>
      <c r="F1569">
        <v>1004</v>
      </c>
      <c r="G1569" t="s">
        <v>110</v>
      </c>
      <c r="J1569" t="s">
        <v>111</v>
      </c>
      <c r="K1569">
        <v>0</v>
      </c>
      <c r="L1569">
        <v>3</v>
      </c>
      <c r="M1569">
        <v>0</v>
      </c>
      <c r="N1569">
        <v>2</v>
      </c>
      <c r="O1569">
        <v>1</v>
      </c>
      <c r="P1569">
        <v>0</v>
      </c>
      <c r="Q1569">
        <v>0</v>
      </c>
      <c r="R1569" t="s">
        <v>112</v>
      </c>
      <c r="S1569" t="str">
        <f>"14:16:30.125"</f>
        <v>14:16:30.125</v>
      </c>
      <c r="T1569" t="str">
        <f>"14:16:29.727"</f>
        <v>14:16:29.727</v>
      </c>
      <c r="U1569" t="str">
        <f t="shared" si="72"/>
        <v>ad5732</v>
      </c>
      <c r="V1569">
        <v>0</v>
      </c>
      <c r="W1569">
        <v>0</v>
      </c>
      <c r="X1569">
        <v>1</v>
      </c>
      <c r="Z1569">
        <v>0</v>
      </c>
      <c r="AA1569">
        <v>9</v>
      </c>
      <c r="AB1569">
        <v>3</v>
      </c>
      <c r="AC1569">
        <v>0</v>
      </c>
      <c r="AD1569">
        <v>10</v>
      </c>
      <c r="AE1569">
        <v>0</v>
      </c>
      <c r="AF1569">
        <v>3</v>
      </c>
      <c r="AG1569">
        <v>2</v>
      </c>
      <c r="AH1569">
        <v>0</v>
      </c>
      <c r="AI1569" t="s">
        <v>3241</v>
      </c>
      <c r="AJ1569">
        <v>39.671866999999999</v>
      </c>
      <c r="AK1569" t="s">
        <v>3242</v>
      </c>
      <c r="AL1569">
        <v>-76.284170000000003</v>
      </c>
      <c r="AM1569">
        <v>100</v>
      </c>
      <c r="AN1569">
        <v>5200</v>
      </c>
      <c r="AO1569" t="s">
        <v>115</v>
      </c>
      <c r="AP1569">
        <v>183</v>
      </c>
      <c r="AQ1569">
        <v>95</v>
      </c>
      <c r="AR1569">
        <v>-1728</v>
      </c>
      <c r="AZ1569">
        <v>3614</v>
      </c>
      <c r="BA1569">
        <v>1</v>
      </c>
      <c r="BB1569" t="str">
        <f t="shared" si="74"/>
        <v xml:space="preserve">N959MJ  </v>
      </c>
      <c r="BC1569">
        <v>1</v>
      </c>
      <c r="BE1569">
        <v>0</v>
      </c>
      <c r="BF1569">
        <v>0</v>
      </c>
      <c r="BG1569">
        <v>0</v>
      </c>
      <c r="BH1569">
        <v>5350</v>
      </c>
      <c r="BI1569">
        <v>150</v>
      </c>
      <c r="BJ1569">
        <v>1</v>
      </c>
      <c r="BK1569">
        <v>1</v>
      </c>
      <c r="BL1569">
        <v>1</v>
      </c>
      <c r="BM1569">
        <v>0</v>
      </c>
      <c r="BP1569">
        <v>0</v>
      </c>
      <c r="BQ1569">
        <v>0</v>
      </c>
      <c r="BX1569" t="str">
        <f>"14:16:30.133"</f>
        <v>14:16:30.133</v>
      </c>
      <c r="BY1569" t="str">
        <f>"130795889"</f>
        <v>130795889</v>
      </c>
      <c r="CL1569">
        <v>0</v>
      </c>
      <c r="CM1569">
        <v>2</v>
      </c>
      <c r="CN1569">
        <v>0</v>
      </c>
      <c r="CO1569">
        <v>2</v>
      </c>
      <c r="CP1569">
        <v>0</v>
      </c>
      <c r="CQ1569">
        <v>6</v>
      </c>
      <c r="CR1569" t="s">
        <v>116</v>
      </c>
      <c r="CS1569">
        <v>396</v>
      </c>
      <c r="CT1569">
        <v>1</v>
      </c>
      <c r="CU1569" t="s">
        <v>939</v>
      </c>
      <c r="CV1569" t="s">
        <v>940</v>
      </c>
      <c r="CY1569">
        <v>9101555</v>
      </c>
      <c r="CZ1569" t="s">
        <v>119</v>
      </c>
    </row>
    <row r="1570" spans="1:104" x14ac:dyDescent="0.25">
      <c r="A1570" t="str">
        <f>"14:16:31.313"</f>
        <v>14:16:31.313</v>
      </c>
      <c r="B1570" t="s">
        <v>108</v>
      </c>
      <c r="C1570" t="str">
        <f t="shared" si="73"/>
        <v>ffdfd3c0</v>
      </c>
      <c r="D1570" t="s">
        <v>109</v>
      </c>
      <c r="E1570">
        <v>4</v>
      </c>
      <c r="F1570">
        <v>1004</v>
      </c>
      <c r="G1570" t="s">
        <v>110</v>
      </c>
      <c r="J1570" t="s">
        <v>111</v>
      </c>
      <c r="K1570">
        <v>0</v>
      </c>
      <c r="L1570">
        <v>3</v>
      </c>
      <c r="M1570">
        <v>0</v>
      </c>
      <c r="N1570">
        <v>2</v>
      </c>
      <c r="O1570">
        <v>1</v>
      </c>
      <c r="P1570">
        <v>0</v>
      </c>
      <c r="Q1570">
        <v>0</v>
      </c>
      <c r="R1570" t="s">
        <v>112</v>
      </c>
      <c r="S1570" t="str">
        <f>"14:16:31.086"</f>
        <v>14:16:31.086</v>
      </c>
      <c r="T1570" t="str">
        <f>"14:16:30.688"</f>
        <v>14:16:30.688</v>
      </c>
      <c r="U1570" t="str">
        <f t="shared" si="72"/>
        <v>ad5732</v>
      </c>
      <c r="V1570">
        <v>0</v>
      </c>
      <c r="W1570">
        <v>0</v>
      </c>
      <c r="X1570">
        <v>1</v>
      </c>
      <c r="Z1570">
        <v>0</v>
      </c>
      <c r="AA1570">
        <v>9</v>
      </c>
      <c r="AB1570">
        <v>3</v>
      </c>
      <c r="AC1570">
        <v>0</v>
      </c>
      <c r="AD1570">
        <v>10</v>
      </c>
      <c r="AE1570">
        <v>0</v>
      </c>
      <c r="AF1570">
        <v>3</v>
      </c>
      <c r="AG1570">
        <v>2</v>
      </c>
      <c r="AH1570">
        <v>0</v>
      </c>
      <c r="AI1570" t="s">
        <v>3243</v>
      </c>
      <c r="AJ1570">
        <v>39.672232000000001</v>
      </c>
      <c r="AK1570" t="s">
        <v>3244</v>
      </c>
      <c r="AL1570">
        <v>-76.283140000000003</v>
      </c>
      <c r="AM1570">
        <v>100</v>
      </c>
      <c r="AN1570">
        <v>5200</v>
      </c>
      <c r="AO1570" t="s">
        <v>115</v>
      </c>
      <c r="AP1570">
        <v>183</v>
      </c>
      <c r="AQ1570">
        <v>94</v>
      </c>
      <c r="AR1570">
        <v>-1664</v>
      </c>
      <c r="AZ1570">
        <v>3614</v>
      </c>
      <c r="BA1570">
        <v>1</v>
      </c>
      <c r="BB1570" t="str">
        <f t="shared" si="74"/>
        <v xml:space="preserve">N959MJ  </v>
      </c>
      <c r="BC1570">
        <v>1</v>
      </c>
      <c r="BE1570">
        <v>0</v>
      </c>
      <c r="BF1570">
        <v>0</v>
      </c>
      <c r="BG1570">
        <v>0</v>
      </c>
      <c r="BH1570">
        <v>5325</v>
      </c>
      <c r="BI1570">
        <v>125</v>
      </c>
      <c r="BJ1570">
        <v>1</v>
      </c>
      <c r="BK1570">
        <v>1</v>
      </c>
      <c r="BL1570">
        <v>1</v>
      </c>
      <c r="BM1570">
        <v>0</v>
      </c>
      <c r="BP1570">
        <v>0</v>
      </c>
      <c r="BQ1570">
        <v>0</v>
      </c>
      <c r="BX1570" t="str">
        <f>"14:16:31.094"</f>
        <v>14:16:31.094</v>
      </c>
      <c r="BY1570" t="str">
        <f>"090914583"</f>
        <v>090914583</v>
      </c>
      <c r="CL1570">
        <v>0</v>
      </c>
      <c r="CM1570">
        <v>2</v>
      </c>
      <c r="CN1570">
        <v>0</v>
      </c>
      <c r="CO1570">
        <v>2</v>
      </c>
      <c r="CP1570">
        <v>0</v>
      </c>
      <c r="CQ1570">
        <v>5</v>
      </c>
      <c r="CR1570" t="s">
        <v>116</v>
      </c>
      <c r="CS1570">
        <v>396</v>
      </c>
      <c r="CT1570">
        <v>2</v>
      </c>
      <c r="CU1570" t="s">
        <v>939</v>
      </c>
      <c r="CV1570" t="s">
        <v>940</v>
      </c>
      <c r="CY1570">
        <v>5514465</v>
      </c>
      <c r="CZ1570" t="s">
        <v>119</v>
      </c>
    </row>
    <row r="1571" spans="1:104" x14ac:dyDescent="0.25">
      <c r="A1571" t="str">
        <f>"14:16:32.320"</f>
        <v>14:16:32.320</v>
      </c>
      <c r="B1571" t="s">
        <v>108</v>
      </c>
      <c r="C1571" t="str">
        <f t="shared" si="73"/>
        <v>ffdfd3c0</v>
      </c>
      <c r="D1571" t="s">
        <v>109</v>
      </c>
      <c r="E1571">
        <v>4</v>
      </c>
      <c r="F1571">
        <v>1004</v>
      </c>
      <c r="G1571" t="s">
        <v>110</v>
      </c>
      <c r="J1571" t="s">
        <v>111</v>
      </c>
      <c r="K1571">
        <v>0</v>
      </c>
      <c r="L1571">
        <v>3</v>
      </c>
      <c r="M1571">
        <v>0</v>
      </c>
      <c r="N1571">
        <v>2</v>
      </c>
      <c r="O1571">
        <v>1</v>
      </c>
      <c r="P1571">
        <v>0</v>
      </c>
      <c r="Q1571">
        <v>0</v>
      </c>
      <c r="R1571" t="s">
        <v>112</v>
      </c>
      <c r="S1571" t="str">
        <f>"14:16:32.086"</f>
        <v>14:16:32.086</v>
      </c>
      <c r="T1571" t="str">
        <f>"14:16:31.586"</f>
        <v>14:16:31.586</v>
      </c>
      <c r="U1571" t="str">
        <f t="shared" si="72"/>
        <v>ad5732</v>
      </c>
      <c r="V1571">
        <v>0</v>
      </c>
      <c r="W1571">
        <v>0</v>
      </c>
      <c r="X1571">
        <v>1</v>
      </c>
      <c r="Z1571">
        <v>0</v>
      </c>
      <c r="AA1571">
        <v>9</v>
      </c>
      <c r="AB1571">
        <v>3</v>
      </c>
      <c r="AC1571">
        <v>0</v>
      </c>
      <c r="AD1571">
        <v>10</v>
      </c>
      <c r="AE1571">
        <v>0</v>
      </c>
      <c r="AF1571">
        <v>3</v>
      </c>
      <c r="AG1571">
        <v>2</v>
      </c>
      <c r="AH1571">
        <v>0</v>
      </c>
      <c r="AI1571" t="s">
        <v>3245</v>
      </c>
      <c r="AJ1571">
        <v>39.672725</v>
      </c>
      <c r="AK1571" t="s">
        <v>3246</v>
      </c>
      <c r="AL1571">
        <v>-76.281959999999998</v>
      </c>
      <c r="AM1571">
        <v>100</v>
      </c>
      <c r="AN1571">
        <v>5100</v>
      </c>
      <c r="AO1571" t="s">
        <v>115</v>
      </c>
      <c r="AP1571">
        <v>183</v>
      </c>
      <c r="AQ1571">
        <v>94</v>
      </c>
      <c r="AR1571">
        <v>-1600</v>
      </c>
      <c r="AZ1571">
        <v>3614</v>
      </c>
      <c r="BA1571">
        <v>1</v>
      </c>
      <c r="BB1571" t="str">
        <f t="shared" si="74"/>
        <v xml:space="preserve">N959MJ  </v>
      </c>
      <c r="BC1571">
        <v>1</v>
      </c>
      <c r="BE1571">
        <v>0</v>
      </c>
      <c r="BF1571">
        <v>0</v>
      </c>
      <c r="BG1571">
        <v>0</v>
      </c>
      <c r="BH1571">
        <v>5400</v>
      </c>
      <c r="BI1571">
        <v>300</v>
      </c>
      <c r="BJ1571">
        <v>1</v>
      </c>
      <c r="BK1571">
        <v>1</v>
      </c>
      <c r="BL1571">
        <v>1</v>
      </c>
      <c r="BM1571">
        <v>0</v>
      </c>
      <c r="BP1571">
        <v>0</v>
      </c>
      <c r="BQ1571">
        <v>0</v>
      </c>
      <c r="BX1571" t="str">
        <f>"14:16:32.094"</f>
        <v>14:16:32.094</v>
      </c>
      <c r="BY1571" t="str">
        <f>"093632218"</f>
        <v>093632218</v>
      </c>
      <c r="CL1571">
        <v>0</v>
      </c>
      <c r="CM1571">
        <v>2</v>
      </c>
      <c r="CN1571">
        <v>0</v>
      </c>
      <c r="CO1571">
        <v>2</v>
      </c>
      <c r="CP1571">
        <v>0</v>
      </c>
      <c r="CQ1571">
        <v>6</v>
      </c>
      <c r="CR1571" t="s">
        <v>116</v>
      </c>
      <c r="CS1571">
        <v>396</v>
      </c>
      <c r="CT1571">
        <v>1</v>
      </c>
      <c r="CU1571" t="s">
        <v>939</v>
      </c>
      <c r="CV1571" t="s">
        <v>940</v>
      </c>
      <c r="CY1571">
        <v>9105250</v>
      </c>
      <c r="CZ1571" t="s">
        <v>119</v>
      </c>
    </row>
    <row r="1572" spans="1:104" x14ac:dyDescent="0.25">
      <c r="A1572" t="str">
        <f>"14:16:33.180"</f>
        <v>14:16:33.180</v>
      </c>
      <c r="B1572" t="s">
        <v>108</v>
      </c>
      <c r="C1572" t="str">
        <f t="shared" si="73"/>
        <v>ffdfd3c0</v>
      </c>
      <c r="D1572" t="s">
        <v>109</v>
      </c>
      <c r="E1572">
        <v>4</v>
      </c>
      <c r="F1572">
        <v>1004</v>
      </c>
      <c r="G1572" t="s">
        <v>110</v>
      </c>
      <c r="J1572" t="s">
        <v>111</v>
      </c>
      <c r="K1572">
        <v>0</v>
      </c>
      <c r="L1572">
        <v>3</v>
      </c>
      <c r="M1572">
        <v>0</v>
      </c>
      <c r="N1572">
        <v>2</v>
      </c>
      <c r="O1572">
        <v>1</v>
      </c>
      <c r="P1572">
        <v>0</v>
      </c>
      <c r="Q1572">
        <v>0</v>
      </c>
      <c r="R1572" t="s">
        <v>112</v>
      </c>
      <c r="S1572" t="str">
        <f>"14:16:32.992"</f>
        <v>14:16:32.992</v>
      </c>
      <c r="T1572" t="str">
        <f>"14:16:32.594"</f>
        <v>14:16:32.594</v>
      </c>
      <c r="U1572" t="str">
        <f t="shared" si="72"/>
        <v>ad5732</v>
      </c>
      <c r="V1572">
        <v>0</v>
      </c>
      <c r="W1572">
        <v>0</v>
      </c>
      <c r="X1572">
        <v>1</v>
      </c>
      <c r="Z1572">
        <v>0</v>
      </c>
      <c r="AA1572">
        <v>9</v>
      </c>
      <c r="AB1572">
        <v>3</v>
      </c>
      <c r="AC1572">
        <v>0</v>
      </c>
      <c r="AD1572">
        <v>10</v>
      </c>
      <c r="AE1572">
        <v>0</v>
      </c>
      <c r="AF1572">
        <v>3</v>
      </c>
      <c r="AG1572">
        <v>2</v>
      </c>
      <c r="AH1572">
        <v>0</v>
      </c>
      <c r="AI1572" t="s">
        <v>3247</v>
      </c>
      <c r="AJ1572">
        <v>39.673110999999999</v>
      </c>
      <c r="AK1572" t="s">
        <v>3248</v>
      </c>
      <c r="AL1572">
        <v>-76.281015999999994</v>
      </c>
      <c r="AM1572">
        <v>100</v>
      </c>
      <c r="AN1572">
        <v>5100</v>
      </c>
      <c r="AO1572" t="s">
        <v>115</v>
      </c>
      <c r="AP1572">
        <v>182</v>
      </c>
      <c r="AQ1572">
        <v>94</v>
      </c>
      <c r="AR1572">
        <v>-1536</v>
      </c>
      <c r="AZ1572">
        <v>3614</v>
      </c>
      <c r="BA1572">
        <v>1</v>
      </c>
      <c r="BB1572" t="str">
        <f t="shared" si="74"/>
        <v xml:space="preserve">N959MJ  </v>
      </c>
      <c r="BC1572">
        <v>1</v>
      </c>
      <c r="BE1572">
        <v>0</v>
      </c>
      <c r="BF1572">
        <v>0</v>
      </c>
      <c r="BG1572">
        <v>0</v>
      </c>
      <c r="BH1572">
        <v>5375</v>
      </c>
      <c r="BI1572">
        <v>275</v>
      </c>
      <c r="BJ1572">
        <v>1</v>
      </c>
      <c r="BK1572">
        <v>1</v>
      </c>
      <c r="BL1572">
        <v>1</v>
      </c>
      <c r="BM1572">
        <v>0</v>
      </c>
      <c r="BP1572">
        <v>0</v>
      </c>
      <c r="BQ1572">
        <v>0</v>
      </c>
      <c r="BX1572" t="str">
        <f>"14:16:32.992"</f>
        <v>14:16:32.992</v>
      </c>
      <c r="BY1572" t="str">
        <f>"994890584"</f>
        <v>994890584</v>
      </c>
      <c r="CL1572">
        <v>0</v>
      </c>
      <c r="CM1572">
        <v>2</v>
      </c>
      <c r="CN1572">
        <v>0</v>
      </c>
      <c r="CO1572">
        <v>2</v>
      </c>
      <c r="CP1572">
        <v>0</v>
      </c>
      <c r="CQ1572">
        <v>5</v>
      </c>
      <c r="CR1572" t="s">
        <v>116</v>
      </c>
      <c r="CS1572">
        <v>372</v>
      </c>
      <c r="CT1572">
        <v>3</v>
      </c>
      <c r="CU1572" t="s">
        <v>877</v>
      </c>
      <c r="CV1572" t="s">
        <v>878</v>
      </c>
      <c r="CY1572">
        <v>12169472</v>
      </c>
      <c r="CZ1572" t="s">
        <v>119</v>
      </c>
    </row>
    <row r="1573" spans="1:104" x14ac:dyDescent="0.25">
      <c r="A1573" t="str">
        <f>"14:16:34.438"</f>
        <v>14:16:34.438</v>
      </c>
      <c r="B1573" t="s">
        <v>108</v>
      </c>
      <c r="C1573" t="str">
        <f t="shared" si="73"/>
        <v>ffdfd3c0</v>
      </c>
      <c r="D1573" t="s">
        <v>109</v>
      </c>
      <c r="E1573">
        <v>4</v>
      </c>
      <c r="F1573">
        <v>1004</v>
      </c>
      <c r="G1573" t="s">
        <v>110</v>
      </c>
      <c r="J1573" t="s">
        <v>111</v>
      </c>
      <c r="K1573">
        <v>0</v>
      </c>
      <c r="L1573">
        <v>3</v>
      </c>
      <c r="M1573">
        <v>0</v>
      </c>
      <c r="N1573">
        <v>2</v>
      </c>
      <c r="O1573">
        <v>1</v>
      </c>
      <c r="P1573">
        <v>0</v>
      </c>
      <c r="Q1573">
        <v>0</v>
      </c>
      <c r="R1573" t="s">
        <v>112</v>
      </c>
      <c r="S1573" t="str">
        <f>"14:16:34.266"</f>
        <v>14:16:34.266</v>
      </c>
      <c r="T1573" t="str">
        <f>"14:16:33.867"</f>
        <v>14:16:33.867</v>
      </c>
      <c r="U1573" t="str">
        <f t="shared" si="72"/>
        <v>ad5732</v>
      </c>
      <c r="V1573">
        <v>0</v>
      </c>
      <c r="W1573">
        <v>0</v>
      </c>
      <c r="X1573">
        <v>1</v>
      </c>
      <c r="Z1573">
        <v>0</v>
      </c>
      <c r="AA1573">
        <v>9</v>
      </c>
      <c r="AB1573">
        <v>3</v>
      </c>
      <c r="AC1573">
        <v>0</v>
      </c>
      <c r="AD1573">
        <v>10</v>
      </c>
      <c r="AE1573">
        <v>0</v>
      </c>
      <c r="AF1573">
        <v>3</v>
      </c>
      <c r="AG1573">
        <v>2</v>
      </c>
      <c r="AH1573">
        <v>0</v>
      </c>
      <c r="AI1573" t="s">
        <v>3249</v>
      </c>
      <c r="AJ1573">
        <v>39.673625999999999</v>
      </c>
      <c r="AK1573" t="s">
        <v>3250</v>
      </c>
      <c r="AL1573">
        <v>-76.279663999999997</v>
      </c>
      <c r="AM1573">
        <v>100</v>
      </c>
      <c r="AN1573">
        <v>5000</v>
      </c>
      <c r="AO1573" t="s">
        <v>115</v>
      </c>
      <c r="AP1573">
        <v>182</v>
      </c>
      <c r="AQ1573">
        <v>94</v>
      </c>
      <c r="AR1573">
        <v>-1536</v>
      </c>
      <c r="AZ1573">
        <v>3614</v>
      </c>
      <c r="BA1573">
        <v>1</v>
      </c>
      <c r="BB1573" t="str">
        <f t="shared" si="74"/>
        <v xml:space="preserve">N959MJ  </v>
      </c>
      <c r="BC1573">
        <v>1</v>
      </c>
      <c r="BE1573">
        <v>0</v>
      </c>
      <c r="BF1573">
        <v>0</v>
      </c>
      <c r="BG1573">
        <v>0</v>
      </c>
      <c r="BH1573">
        <v>5250</v>
      </c>
      <c r="BI1573">
        <v>250</v>
      </c>
      <c r="BJ1573">
        <v>1</v>
      </c>
      <c r="BK1573">
        <v>1</v>
      </c>
      <c r="BL1573">
        <v>1</v>
      </c>
      <c r="BM1573">
        <v>0</v>
      </c>
      <c r="BP1573">
        <v>0</v>
      </c>
      <c r="BQ1573">
        <v>0</v>
      </c>
      <c r="BX1573" t="str">
        <f>"14:16:34.273"</f>
        <v>14:16:34.273</v>
      </c>
      <c r="BY1573" t="str">
        <f>"272741108"</f>
        <v>272741108</v>
      </c>
      <c r="CL1573">
        <v>0</v>
      </c>
      <c r="CM1573">
        <v>2</v>
      </c>
      <c r="CN1573">
        <v>0</v>
      </c>
      <c r="CO1573">
        <v>2</v>
      </c>
      <c r="CP1573">
        <v>0</v>
      </c>
      <c r="CQ1573">
        <v>6</v>
      </c>
      <c r="CR1573" t="s">
        <v>116</v>
      </c>
      <c r="CS1573">
        <v>396</v>
      </c>
      <c r="CT1573">
        <v>1</v>
      </c>
      <c r="CU1573" t="s">
        <v>939</v>
      </c>
      <c r="CV1573" t="s">
        <v>940</v>
      </c>
      <c r="CY1573">
        <v>9109079</v>
      </c>
      <c r="CZ1573" t="s">
        <v>119</v>
      </c>
    </row>
    <row r="1574" spans="1:104" x14ac:dyDescent="0.25">
      <c r="A1574" t="str">
        <f>"14:16:35.547"</f>
        <v>14:16:35.547</v>
      </c>
      <c r="B1574" t="s">
        <v>108</v>
      </c>
      <c r="C1574" t="str">
        <f t="shared" si="73"/>
        <v>ffdfd3c0</v>
      </c>
      <c r="D1574" t="s">
        <v>109</v>
      </c>
      <c r="E1574">
        <v>4</v>
      </c>
      <c r="F1574">
        <v>1004</v>
      </c>
      <c r="G1574" t="s">
        <v>110</v>
      </c>
      <c r="J1574" t="s">
        <v>111</v>
      </c>
      <c r="K1574">
        <v>0</v>
      </c>
      <c r="L1574">
        <v>3</v>
      </c>
      <c r="M1574">
        <v>0</v>
      </c>
      <c r="N1574">
        <v>2</v>
      </c>
      <c r="O1574">
        <v>1</v>
      </c>
      <c r="P1574">
        <v>0</v>
      </c>
      <c r="Q1574">
        <v>0</v>
      </c>
      <c r="R1574" t="s">
        <v>112</v>
      </c>
      <c r="S1574" t="str">
        <f>"14:16:35.375"</f>
        <v>14:16:35.375</v>
      </c>
      <c r="T1574" t="str">
        <f>"14:16:34.273"</f>
        <v>14:16:34.273</v>
      </c>
      <c r="U1574" t="str">
        <f t="shared" si="72"/>
        <v>ad5732</v>
      </c>
      <c r="V1574">
        <v>0</v>
      </c>
      <c r="W1574">
        <v>0</v>
      </c>
      <c r="X1574">
        <v>1</v>
      </c>
      <c r="Z1574">
        <v>0</v>
      </c>
      <c r="AA1574">
        <v>9</v>
      </c>
      <c r="AB1574">
        <v>3</v>
      </c>
      <c r="AC1574">
        <v>0</v>
      </c>
      <c r="AD1574">
        <v>10</v>
      </c>
      <c r="AE1574">
        <v>0</v>
      </c>
      <c r="AF1574">
        <v>3</v>
      </c>
      <c r="AG1574">
        <v>2</v>
      </c>
      <c r="AH1574">
        <v>0</v>
      </c>
      <c r="AI1574" t="s">
        <v>3251</v>
      </c>
      <c r="AJ1574">
        <v>39.674098000000001</v>
      </c>
      <c r="AK1574" t="s">
        <v>3252</v>
      </c>
      <c r="AL1574">
        <v>-76.278484000000006</v>
      </c>
      <c r="AM1574">
        <v>100</v>
      </c>
      <c r="AN1574">
        <v>5000</v>
      </c>
      <c r="AO1574" t="s">
        <v>115</v>
      </c>
      <c r="AP1574">
        <v>182</v>
      </c>
      <c r="AQ1574">
        <v>94</v>
      </c>
      <c r="AR1574">
        <v>-1536</v>
      </c>
      <c r="AZ1574">
        <v>3614</v>
      </c>
      <c r="BA1574">
        <v>1</v>
      </c>
      <c r="BB1574" t="str">
        <f t="shared" si="74"/>
        <v xml:space="preserve">N959MJ  </v>
      </c>
      <c r="BC1574">
        <v>1</v>
      </c>
      <c r="BE1574">
        <v>0</v>
      </c>
      <c r="BF1574">
        <v>0</v>
      </c>
      <c r="BG1574">
        <v>0</v>
      </c>
      <c r="BH1574">
        <v>5350</v>
      </c>
      <c r="BI1574">
        <v>350</v>
      </c>
      <c r="BJ1574">
        <v>1</v>
      </c>
      <c r="BK1574">
        <v>1</v>
      </c>
      <c r="BL1574">
        <v>1</v>
      </c>
      <c r="BM1574">
        <v>0</v>
      </c>
      <c r="BP1574">
        <v>0</v>
      </c>
      <c r="BQ1574">
        <v>0</v>
      </c>
      <c r="BX1574" t="str">
        <f>"14:16:35.375"</f>
        <v>14:16:35.375</v>
      </c>
      <c r="BY1574" t="str">
        <f>"378679841"</f>
        <v>378679841</v>
      </c>
      <c r="CL1574">
        <v>0</v>
      </c>
      <c r="CM1574">
        <v>2</v>
      </c>
      <c r="CN1574">
        <v>0</v>
      </c>
      <c r="CO1574">
        <v>2</v>
      </c>
      <c r="CP1574">
        <v>0</v>
      </c>
      <c r="CQ1574">
        <v>5</v>
      </c>
      <c r="CR1574" t="s">
        <v>116</v>
      </c>
      <c r="CS1574">
        <v>396</v>
      </c>
      <c r="CT1574">
        <v>2</v>
      </c>
      <c r="CU1574" t="s">
        <v>939</v>
      </c>
      <c r="CV1574" t="s">
        <v>940</v>
      </c>
      <c r="CY1574">
        <v>5522171</v>
      </c>
      <c r="CZ1574" t="s">
        <v>119</v>
      </c>
    </row>
    <row r="1575" spans="1:104" x14ac:dyDescent="0.25">
      <c r="A1575" t="str">
        <f>"14:16:36.664"</f>
        <v>14:16:36.664</v>
      </c>
      <c r="B1575" t="s">
        <v>108</v>
      </c>
      <c r="C1575" t="str">
        <f t="shared" si="73"/>
        <v>ffdfd3c0</v>
      </c>
      <c r="D1575" t="s">
        <v>109</v>
      </c>
      <c r="E1575">
        <v>4</v>
      </c>
      <c r="F1575">
        <v>1004</v>
      </c>
      <c r="G1575" t="s">
        <v>110</v>
      </c>
      <c r="J1575" t="s">
        <v>111</v>
      </c>
      <c r="K1575">
        <v>0</v>
      </c>
      <c r="L1575">
        <v>3</v>
      </c>
      <c r="M1575">
        <v>0</v>
      </c>
      <c r="N1575">
        <v>2</v>
      </c>
      <c r="O1575">
        <v>1</v>
      </c>
      <c r="P1575">
        <v>0</v>
      </c>
      <c r="Q1575">
        <v>0</v>
      </c>
      <c r="R1575" t="s">
        <v>112</v>
      </c>
      <c r="S1575" t="str">
        <f>"14:16:36.492"</f>
        <v>14:16:36.492</v>
      </c>
      <c r="T1575" t="str">
        <f>"14:16:35.992"</f>
        <v>14:16:35.992</v>
      </c>
      <c r="U1575" t="str">
        <f t="shared" si="72"/>
        <v>ad5732</v>
      </c>
      <c r="V1575">
        <v>0</v>
      </c>
      <c r="W1575">
        <v>0</v>
      </c>
      <c r="X1575">
        <v>1</v>
      </c>
      <c r="Z1575">
        <v>0</v>
      </c>
      <c r="AA1575">
        <v>9</v>
      </c>
      <c r="AB1575">
        <v>3</v>
      </c>
      <c r="AC1575">
        <v>0</v>
      </c>
      <c r="AD1575">
        <v>10</v>
      </c>
      <c r="AE1575">
        <v>0</v>
      </c>
      <c r="AF1575">
        <v>3</v>
      </c>
      <c r="AG1575">
        <v>2</v>
      </c>
      <c r="AH1575">
        <v>0</v>
      </c>
      <c r="AI1575" t="s">
        <v>3253</v>
      </c>
      <c r="AJ1575">
        <v>39.674655999999999</v>
      </c>
      <c r="AK1575" t="s">
        <v>3254</v>
      </c>
      <c r="AL1575">
        <v>-76.277175</v>
      </c>
      <c r="AM1575">
        <v>100</v>
      </c>
      <c r="AN1575">
        <v>5000</v>
      </c>
      <c r="AO1575" t="s">
        <v>115</v>
      </c>
      <c r="AP1575">
        <v>182</v>
      </c>
      <c r="AQ1575">
        <v>93</v>
      </c>
      <c r="AR1575">
        <v>-1536</v>
      </c>
      <c r="AZ1575">
        <v>3614</v>
      </c>
      <c r="BA1575">
        <v>1</v>
      </c>
      <c r="BB1575" t="str">
        <f t="shared" si="74"/>
        <v xml:space="preserve">N959MJ  </v>
      </c>
      <c r="BC1575">
        <v>1</v>
      </c>
      <c r="BE1575">
        <v>0</v>
      </c>
      <c r="BF1575">
        <v>0</v>
      </c>
      <c r="BG1575">
        <v>0</v>
      </c>
      <c r="BH1575">
        <v>5200</v>
      </c>
      <c r="BI1575">
        <v>200</v>
      </c>
      <c r="BJ1575">
        <v>1</v>
      </c>
      <c r="BK1575">
        <v>1</v>
      </c>
      <c r="BL1575">
        <v>1</v>
      </c>
      <c r="BM1575">
        <v>0</v>
      </c>
      <c r="BP1575">
        <v>0</v>
      </c>
      <c r="BQ1575">
        <v>0</v>
      </c>
      <c r="BX1575" t="str">
        <f>"14:16:36.492"</f>
        <v>14:16:36.492</v>
      </c>
      <c r="BY1575" t="str">
        <f>"496087494"</f>
        <v>496087494</v>
      </c>
      <c r="CL1575">
        <v>0</v>
      </c>
      <c r="CM1575">
        <v>2</v>
      </c>
      <c r="CN1575">
        <v>0</v>
      </c>
      <c r="CO1575">
        <v>2</v>
      </c>
      <c r="CP1575">
        <v>0</v>
      </c>
      <c r="CQ1575">
        <v>6</v>
      </c>
      <c r="CR1575" t="s">
        <v>116</v>
      </c>
      <c r="CS1575">
        <v>396</v>
      </c>
      <c r="CT1575">
        <v>1</v>
      </c>
      <c r="CU1575" t="s">
        <v>939</v>
      </c>
      <c r="CV1575" t="s">
        <v>940</v>
      </c>
      <c r="CY1575">
        <v>9113100</v>
      </c>
      <c r="CZ1575" t="s">
        <v>119</v>
      </c>
    </row>
    <row r="1576" spans="1:104" x14ac:dyDescent="0.25">
      <c r="A1576" t="str">
        <f>"14:16:37.719"</f>
        <v>14:16:37.719</v>
      </c>
      <c r="B1576" t="s">
        <v>108</v>
      </c>
      <c r="C1576" t="str">
        <f t="shared" si="73"/>
        <v>ffdfd3c0</v>
      </c>
      <c r="D1576" t="s">
        <v>109</v>
      </c>
      <c r="E1576">
        <v>4</v>
      </c>
      <c r="F1576">
        <v>1004</v>
      </c>
      <c r="G1576" t="s">
        <v>110</v>
      </c>
      <c r="J1576" t="s">
        <v>111</v>
      </c>
      <c r="K1576">
        <v>0</v>
      </c>
      <c r="L1576">
        <v>3</v>
      </c>
      <c r="M1576">
        <v>0</v>
      </c>
      <c r="N1576">
        <v>2</v>
      </c>
      <c r="O1576">
        <v>1</v>
      </c>
      <c r="P1576">
        <v>0</v>
      </c>
      <c r="Q1576">
        <v>0</v>
      </c>
      <c r="R1576" t="s">
        <v>112</v>
      </c>
      <c r="S1576" t="str">
        <f>"14:16:37.516"</f>
        <v>14:16:37.516</v>
      </c>
      <c r="T1576" t="str">
        <f>"14:16:37.016"</f>
        <v>14:16:37.016</v>
      </c>
      <c r="U1576" t="str">
        <f t="shared" si="72"/>
        <v>ad5732</v>
      </c>
      <c r="V1576">
        <v>0</v>
      </c>
      <c r="W1576">
        <v>0</v>
      </c>
      <c r="X1576">
        <v>1</v>
      </c>
      <c r="Z1576">
        <v>0</v>
      </c>
      <c r="AA1576">
        <v>9</v>
      </c>
      <c r="AB1576">
        <v>3</v>
      </c>
      <c r="AC1576">
        <v>0</v>
      </c>
      <c r="AD1576">
        <v>10</v>
      </c>
      <c r="AE1576">
        <v>0</v>
      </c>
      <c r="AF1576">
        <v>3</v>
      </c>
      <c r="AG1576">
        <v>2</v>
      </c>
      <c r="AH1576">
        <v>0</v>
      </c>
      <c r="AI1576" t="s">
        <v>3255</v>
      </c>
      <c r="AJ1576">
        <v>39.675063999999999</v>
      </c>
      <c r="AK1576" t="s">
        <v>3256</v>
      </c>
      <c r="AL1576">
        <v>-76.276038</v>
      </c>
      <c r="AM1576">
        <v>100</v>
      </c>
      <c r="AN1576">
        <v>5000</v>
      </c>
      <c r="AO1576" t="s">
        <v>115</v>
      </c>
      <c r="AP1576">
        <v>182</v>
      </c>
      <c r="AQ1576">
        <v>93</v>
      </c>
      <c r="AR1576">
        <v>-1536</v>
      </c>
      <c r="AZ1576">
        <v>3614</v>
      </c>
      <c r="BA1576">
        <v>1</v>
      </c>
      <c r="BB1576" t="str">
        <f t="shared" si="74"/>
        <v xml:space="preserve">N959MJ  </v>
      </c>
      <c r="BC1576">
        <v>1</v>
      </c>
      <c r="BE1576">
        <v>0</v>
      </c>
      <c r="BF1576">
        <v>0</v>
      </c>
      <c r="BG1576">
        <v>0</v>
      </c>
      <c r="BH1576">
        <v>5175</v>
      </c>
      <c r="BI1576">
        <v>175</v>
      </c>
      <c r="BJ1576">
        <v>1</v>
      </c>
      <c r="BK1576">
        <v>1</v>
      </c>
      <c r="BL1576">
        <v>1</v>
      </c>
      <c r="BM1576">
        <v>0</v>
      </c>
      <c r="BP1576">
        <v>0</v>
      </c>
      <c r="BQ1576">
        <v>0</v>
      </c>
      <c r="BX1576" t="str">
        <f>"14:16:37.523"</f>
        <v>14:16:37.523</v>
      </c>
      <c r="BY1576" t="str">
        <f>"521832177"</f>
        <v>521832177</v>
      </c>
      <c r="CL1576">
        <v>0</v>
      </c>
      <c r="CM1576">
        <v>2</v>
      </c>
      <c r="CN1576">
        <v>0</v>
      </c>
      <c r="CO1576">
        <v>2</v>
      </c>
      <c r="CP1576">
        <v>0</v>
      </c>
      <c r="CQ1576">
        <v>5</v>
      </c>
      <c r="CR1576" t="s">
        <v>116</v>
      </c>
      <c r="CS1576">
        <v>39</v>
      </c>
      <c r="CT1576">
        <v>2</v>
      </c>
      <c r="CU1576" t="s">
        <v>2259</v>
      </c>
      <c r="CV1576" t="s">
        <v>2260</v>
      </c>
      <c r="CY1576">
        <v>15820922</v>
      </c>
      <c r="CZ1576" t="s">
        <v>119</v>
      </c>
    </row>
    <row r="1577" spans="1:104" x14ac:dyDescent="0.25">
      <c r="A1577" t="str">
        <f>"14:16:38.781"</f>
        <v>14:16:38.781</v>
      </c>
      <c r="B1577" t="s">
        <v>108</v>
      </c>
      <c r="C1577" t="str">
        <f t="shared" si="73"/>
        <v>ffdfd3c0</v>
      </c>
      <c r="D1577" t="s">
        <v>109</v>
      </c>
      <c r="E1577">
        <v>4</v>
      </c>
      <c r="F1577">
        <v>1004</v>
      </c>
      <c r="G1577" t="s">
        <v>110</v>
      </c>
      <c r="J1577" t="s">
        <v>111</v>
      </c>
      <c r="K1577">
        <v>0</v>
      </c>
      <c r="L1577">
        <v>3</v>
      </c>
      <c r="M1577">
        <v>0</v>
      </c>
      <c r="N1577">
        <v>2</v>
      </c>
      <c r="O1577">
        <v>1</v>
      </c>
      <c r="P1577">
        <v>0</v>
      </c>
      <c r="Q1577">
        <v>0</v>
      </c>
      <c r="R1577" t="s">
        <v>112</v>
      </c>
      <c r="S1577" t="str">
        <f>"14:16:38.578"</f>
        <v>14:16:38.578</v>
      </c>
      <c r="T1577" t="str">
        <f>"14:16:38.078"</f>
        <v>14:16:38.078</v>
      </c>
      <c r="U1577" t="str">
        <f t="shared" si="72"/>
        <v>ad5732</v>
      </c>
      <c r="V1577">
        <v>0</v>
      </c>
      <c r="W1577">
        <v>0</v>
      </c>
      <c r="X1577">
        <v>1</v>
      </c>
      <c r="Z1577">
        <v>0</v>
      </c>
      <c r="AA1577">
        <v>9</v>
      </c>
      <c r="AB1577">
        <v>3</v>
      </c>
      <c r="AC1577">
        <v>0</v>
      </c>
      <c r="AD1577">
        <v>10</v>
      </c>
      <c r="AE1577">
        <v>0</v>
      </c>
      <c r="AF1577">
        <v>3</v>
      </c>
      <c r="AG1577">
        <v>2</v>
      </c>
      <c r="AH1577">
        <v>0</v>
      </c>
      <c r="AI1577" t="s">
        <v>3257</v>
      </c>
      <c r="AJ1577">
        <v>39.675471999999999</v>
      </c>
      <c r="AK1577" t="s">
        <v>3258</v>
      </c>
      <c r="AL1577">
        <v>-76.274964999999995</v>
      </c>
      <c r="AM1577">
        <v>100</v>
      </c>
      <c r="AN1577">
        <v>5000</v>
      </c>
      <c r="AO1577" t="s">
        <v>115</v>
      </c>
      <c r="AP1577">
        <v>181</v>
      </c>
      <c r="AQ1577">
        <v>93</v>
      </c>
      <c r="AR1577">
        <v>-1600</v>
      </c>
      <c r="AZ1577">
        <v>3614</v>
      </c>
      <c r="BA1577">
        <v>1</v>
      </c>
      <c r="BB1577" t="str">
        <f t="shared" si="74"/>
        <v xml:space="preserve">N959MJ  </v>
      </c>
      <c r="BC1577">
        <v>1</v>
      </c>
      <c r="BE1577">
        <v>0</v>
      </c>
      <c r="BF1577">
        <v>0</v>
      </c>
      <c r="BG1577">
        <v>0</v>
      </c>
      <c r="BH1577">
        <v>5150</v>
      </c>
      <c r="BI1577">
        <v>150</v>
      </c>
      <c r="BJ1577">
        <v>1</v>
      </c>
      <c r="BK1577">
        <v>1</v>
      </c>
      <c r="BL1577">
        <v>1</v>
      </c>
      <c r="BM1577">
        <v>0</v>
      </c>
      <c r="BP1577">
        <v>0</v>
      </c>
      <c r="BQ1577">
        <v>0</v>
      </c>
      <c r="BX1577" t="str">
        <f>"14:16:38.578"</f>
        <v>14:16:38.578</v>
      </c>
      <c r="BY1577" t="str">
        <f>"578529153"</f>
        <v>578529153</v>
      </c>
      <c r="CL1577">
        <v>0</v>
      </c>
      <c r="CM1577">
        <v>2</v>
      </c>
      <c r="CN1577">
        <v>0</v>
      </c>
      <c r="CO1577">
        <v>2</v>
      </c>
      <c r="CP1577">
        <v>0</v>
      </c>
      <c r="CQ1577">
        <v>6</v>
      </c>
      <c r="CR1577" t="s">
        <v>116</v>
      </c>
      <c r="CS1577">
        <v>396</v>
      </c>
      <c r="CT1577">
        <v>1</v>
      </c>
      <c r="CU1577" t="s">
        <v>939</v>
      </c>
      <c r="CV1577" t="s">
        <v>940</v>
      </c>
      <c r="CY1577">
        <v>9116665</v>
      </c>
      <c r="CZ1577" t="s">
        <v>119</v>
      </c>
    </row>
    <row r="1578" spans="1:104" x14ac:dyDescent="0.25">
      <c r="A1578" t="str">
        <f>"14:16:39.688"</f>
        <v>14:16:39.688</v>
      </c>
      <c r="B1578" t="s">
        <v>108</v>
      </c>
      <c r="C1578" t="str">
        <f t="shared" si="73"/>
        <v>ffdfd3c0</v>
      </c>
      <c r="D1578" t="s">
        <v>109</v>
      </c>
      <c r="E1578">
        <v>4</v>
      </c>
      <c r="F1578">
        <v>1004</v>
      </c>
      <c r="G1578" t="s">
        <v>110</v>
      </c>
      <c r="J1578" t="s">
        <v>111</v>
      </c>
      <c r="K1578">
        <v>0</v>
      </c>
      <c r="L1578">
        <v>3</v>
      </c>
      <c r="M1578">
        <v>0</v>
      </c>
      <c r="N1578">
        <v>2</v>
      </c>
      <c r="O1578">
        <v>1</v>
      </c>
      <c r="P1578">
        <v>0</v>
      </c>
      <c r="Q1578">
        <v>0</v>
      </c>
      <c r="R1578" t="s">
        <v>112</v>
      </c>
      <c r="S1578" t="str">
        <f>"14:16:39.516"</f>
        <v>14:16:39.516</v>
      </c>
      <c r="T1578" t="str">
        <f>"14:16:39.117"</f>
        <v>14:16:39.117</v>
      </c>
      <c r="U1578" t="str">
        <f t="shared" si="72"/>
        <v>ad5732</v>
      </c>
      <c r="V1578">
        <v>0</v>
      </c>
      <c r="W1578">
        <v>0</v>
      </c>
      <c r="X1578">
        <v>1</v>
      </c>
      <c r="Z1578">
        <v>0</v>
      </c>
      <c r="AA1578">
        <v>9</v>
      </c>
      <c r="AB1578">
        <v>3</v>
      </c>
      <c r="AC1578">
        <v>0</v>
      </c>
      <c r="AD1578">
        <v>10</v>
      </c>
      <c r="AE1578">
        <v>0</v>
      </c>
      <c r="AF1578">
        <v>3</v>
      </c>
      <c r="AG1578">
        <v>2</v>
      </c>
      <c r="AH1578">
        <v>0</v>
      </c>
      <c r="AI1578" t="s">
        <v>3259</v>
      </c>
      <c r="AJ1578">
        <v>39.675944000000001</v>
      </c>
      <c r="AK1578" t="s">
        <v>3260</v>
      </c>
      <c r="AL1578">
        <v>-76.273892000000004</v>
      </c>
      <c r="AM1578">
        <v>100</v>
      </c>
      <c r="AN1578">
        <v>4900</v>
      </c>
      <c r="AO1578" t="s">
        <v>115</v>
      </c>
      <c r="AP1578">
        <v>181</v>
      </c>
      <c r="AQ1578">
        <v>93</v>
      </c>
      <c r="AR1578">
        <v>-1600</v>
      </c>
      <c r="AZ1578">
        <v>3614</v>
      </c>
      <c r="BA1578">
        <v>1</v>
      </c>
      <c r="BB1578" t="str">
        <f t="shared" si="74"/>
        <v xml:space="preserve">N959MJ  </v>
      </c>
      <c r="BC1578">
        <v>1</v>
      </c>
      <c r="BE1578">
        <v>0</v>
      </c>
      <c r="BF1578">
        <v>0</v>
      </c>
      <c r="BG1578">
        <v>0</v>
      </c>
      <c r="BH1578">
        <v>5100</v>
      </c>
      <c r="BI1578">
        <v>200</v>
      </c>
      <c r="BJ1578">
        <v>1</v>
      </c>
      <c r="BK1578">
        <v>1</v>
      </c>
      <c r="BL1578">
        <v>1</v>
      </c>
      <c r="BM1578">
        <v>0</v>
      </c>
      <c r="BP1578">
        <v>0</v>
      </c>
      <c r="BQ1578">
        <v>0</v>
      </c>
      <c r="BX1578" t="str">
        <f>"14:16:39.516"</f>
        <v>14:16:39.516</v>
      </c>
      <c r="BY1578" t="str">
        <f>"518986598"</f>
        <v>518986598</v>
      </c>
      <c r="CL1578">
        <v>0</v>
      </c>
      <c r="CM1578">
        <v>2</v>
      </c>
      <c r="CN1578">
        <v>0</v>
      </c>
      <c r="CO1578">
        <v>2</v>
      </c>
      <c r="CP1578">
        <v>0</v>
      </c>
      <c r="CQ1578">
        <v>6</v>
      </c>
      <c r="CR1578" t="s">
        <v>116</v>
      </c>
      <c r="CS1578">
        <v>396</v>
      </c>
      <c r="CT1578">
        <v>1</v>
      </c>
      <c r="CU1578" t="s">
        <v>939</v>
      </c>
      <c r="CV1578" t="s">
        <v>940</v>
      </c>
      <c r="CY1578">
        <v>9118384</v>
      </c>
      <c r="CZ1578" t="s">
        <v>119</v>
      </c>
    </row>
    <row r="1579" spans="1:104" x14ac:dyDescent="0.25">
      <c r="A1579" t="str">
        <f>"14:16:40.648"</f>
        <v>14:16:40.648</v>
      </c>
      <c r="B1579" t="s">
        <v>108</v>
      </c>
      <c r="C1579" t="str">
        <f t="shared" si="73"/>
        <v>ffdfd3c0</v>
      </c>
      <c r="D1579" t="s">
        <v>109</v>
      </c>
      <c r="E1579">
        <v>4</v>
      </c>
      <c r="F1579">
        <v>1004</v>
      </c>
      <c r="G1579" t="s">
        <v>110</v>
      </c>
      <c r="J1579" t="s">
        <v>111</v>
      </c>
      <c r="K1579">
        <v>0</v>
      </c>
      <c r="L1579">
        <v>3</v>
      </c>
      <c r="M1579">
        <v>0</v>
      </c>
      <c r="N1579">
        <v>2</v>
      </c>
      <c r="O1579">
        <v>1</v>
      </c>
      <c r="P1579">
        <v>0</v>
      </c>
      <c r="Q1579">
        <v>0</v>
      </c>
      <c r="R1579" t="s">
        <v>112</v>
      </c>
      <c r="S1579" t="str">
        <f>"14:16:40.492"</f>
        <v>14:16:40.492</v>
      </c>
      <c r="T1579" t="str">
        <f>"14:16:39.992"</f>
        <v>14:16:39.992</v>
      </c>
      <c r="U1579" t="str">
        <f t="shared" si="72"/>
        <v>ad5732</v>
      </c>
      <c r="V1579">
        <v>0</v>
      </c>
      <c r="W1579">
        <v>0</v>
      </c>
      <c r="X1579">
        <v>1</v>
      </c>
      <c r="Z1579">
        <v>0</v>
      </c>
      <c r="AA1579">
        <v>9</v>
      </c>
      <c r="AB1579">
        <v>3</v>
      </c>
      <c r="AC1579">
        <v>0</v>
      </c>
      <c r="AD1579">
        <v>10</v>
      </c>
      <c r="AE1579">
        <v>0</v>
      </c>
      <c r="AF1579">
        <v>3</v>
      </c>
      <c r="AG1579">
        <v>2</v>
      </c>
      <c r="AH1579">
        <v>0</v>
      </c>
      <c r="AI1579" t="s">
        <v>3261</v>
      </c>
      <c r="AJ1579">
        <v>39.676352000000001</v>
      </c>
      <c r="AK1579" t="s">
        <v>3262</v>
      </c>
      <c r="AL1579">
        <v>-76.272818999999998</v>
      </c>
      <c r="AM1579">
        <v>100</v>
      </c>
      <c r="AN1579">
        <v>4900</v>
      </c>
      <c r="AO1579" t="s">
        <v>115</v>
      </c>
      <c r="AP1579">
        <v>181</v>
      </c>
      <c r="AQ1579">
        <v>94</v>
      </c>
      <c r="AR1579">
        <v>-1664</v>
      </c>
      <c r="AZ1579">
        <v>3614</v>
      </c>
      <c r="BA1579">
        <v>1</v>
      </c>
      <c r="BB1579" t="str">
        <f t="shared" si="74"/>
        <v xml:space="preserve">N959MJ  </v>
      </c>
      <c r="BC1579">
        <v>1</v>
      </c>
      <c r="BE1579">
        <v>0</v>
      </c>
      <c r="BF1579">
        <v>0</v>
      </c>
      <c r="BG1579">
        <v>0</v>
      </c>
      <c r="BH1579">
        <v>5100</v>
      </c>
      <c r="BI1579">
        <v>200</v>
      </c>
      <c r="BJ1579">
        <v>1</v>
      </c>
      <c r="BK1579">
        <v>1</v>
      </c>
      <c r="BL1579">
        <v>1</v>
      </c>
      <c r="BM1579">
        <v>0</v>
      </c>
      <c r="BP1579">
        <v>0</v>
      </c>
      <c r="BQ1579">
        <v>0</v>
      </c>
      <c r="BX1579" t="str">
        <f>"14:16:40.492"</f>
        <v>14:16:40.492</v>
      </c>
      <c r="BY1579" t="str">
        <f>"495577152"</f>
        <v>495577152</v>
      </c>
      <c r="CL1579">
        <v>0</v>
      </c>
      <c r="CM1579">
        <v>2</v>
      </c>
      <c r="CN1579">
        <v>0</v>
      </c>
      <c r="CO1579">
        <v>2</v>
      </c>
      <c r="CP1579">
        <v>0</v>
      </c>
      <c r="CQ1579">
        <v>5</v>
      </c>
      <c r="CR1579" t="s">
        <v>116</v>
      </c>
      <c r="CS1579">
        <v>39</v>
      </c>
      <c r="CT1579">
        <v>2</v>
      </c>
      <c r="CU1579" t="s">
        <v>2259</v>
      </c>
      <c r="CV1579" t="s">
        <v>2260</v>
      </c>
      <c r="CY1579">
        <v>15825702</v>
      </c>
      <c r="CZ1579" t="s">
        <v>119</v>
      </c>
    </row>
    <row r="1580" spans="1:104" x14ac:dyDescent="0.25">
      <c r="A1580" t="str">
        <f>"14:16:41.609"</f>
        <v>14:16:41.609</v>
      </c>
      <c r="B1580" t="s">
        <v>108</v>
      </c>
      <c r="C1580" t="str">
        <f t="shared" si="73"/>
        <v>ffdfd3c0</v>
      </c>
      <c r="D1580" t="s">
        <v>109</v>
      </c>
      <c r="E1580">
        <v>4</v>
      </c>
      <c r="F1580">
        <v>1004</v>
      </c>
      <c r="G1580" t="s">
        <v>110</v>
      </c>
      <c r="J1580" t="s">
        <v>111</v>
      </c>
      <c r="K1580">
        <v>0</v>
      </c>
      <c r="L1580">
        <v>3</v>
      </c>
      <c r="M1580">
        <v>0</v>
      </c>
      <c r="N1580">
        <v>2</v>
      </c>
      <c r="O1580">
        <v>1</v>
      </c>
      <c r="P1580">
        <v>0</v>
      </c>
      <c r="Q1580">
        <v>0</v>
      </c>
      <c r="R1580" t="s">
        <v>112</v>
      </c>
      <c r="S1580" t="str">
        <f>"14:16:41.422"</f>
        <v>14:16:41.422</v>
      </c>
      <c r="T1580" t="str">
        <f>"14:16:41.023"</f>
        <v>14:16:41.023</v>
      </c>
      <c r="U1580" t="str">
        <f t="shared" si="72"/>
        <v>ad5732</v>
      </c>
      <c r="V1580">
        <v>0</v>
      </c>
      <c r="W1580">
        <v>0</v>
      </c>
      <c r="X1580">
        <v>1</v>
      </c>
      <c r="Z1580">
        <v>0</v>
      </c>
      <c r="AA1580">
        <v>9</v>
      </c>
      <c r="AB1580">
        <v>3</v>
      </c>
      <c r="AC1580">
        <v>0</v>
      </c>
      <c r="AD1580">
        <v>10</v>
      </c>
      <c r="AE1580">
        <v>0</v>
      </c>
      <c r="AF1580">
        <v>3</v>
      </c>
      <c r="AG1580">
        <v>2</v>
      </c>
      <c r="AH1580">
        <v>0</v>
      </c>
      <c r="AI1580" t="s">
        <v>3263</v>
      </c>
      <c r="AJ1580">
        <v>39.676758999999997</v>
      </c>
      <c r="AK1580" t="s">
        <v>3264</v>
      </c>
      <c r="AL1580">
        <v>-76.271852999999993</v>
      </c>
      <c r="AM1580">
        <v>100</v>
      </c>
      <c r="AN1580">
        <v>4800</v>
      </c>
      <c r="AO1580" t="s">
        <v>115</v>
      </c>
      <c r="AP1580">
        <v>181</v>
      </c>
      <c r="AQ1580">
        <v>94</v>
      </c>
      <c r="AR1580">
        <v>-1728</v>
      </c>
      <c r="AZ1580">
        <v>3614</v>
      </c>
      <c r="BA1580">
        <v>1</v>
      </c>
      <c r="BB1580" t="str">
        <f t="shared" si="74"/>
        <v xml:space="preserve">N959MJ  </v>
      </c>
      <c r="BC1580">
        <v>1</v>
      </c>
      <c r="BE1580">
        <v>0</v>
      </c>
      <c r="BF1580">
        <v>0</v>
      </c>
      <c r="BG1580">
        <v>0</v>
      </c>
      <c r="BH1580">
        <v>5050</v>
      </c>
      <c r="BI1580">
        <v>250</v>
      </c>
      <c r="BJ1580">
        <v>1</v>
      </c>
      <c r="BK1580">
        <v>1</v>
      </c>
      <c r="BL1580">
        <v>1</v>
      </c>
      <c r="BM1580">
        <v>0</v>
      </c>
      <c r="BP1580">
        <v>0</v>
      </c>
      <c r="BQ1580">
        <v>0</v>
      </c>
      <c r="BX1580" t="str">
        <f>"14:16:41.430"</f>
        <v>14:16:41.430</v>
      </c>
      <c r="BY1580" t="str">
        <f>"426116516"</f>
        <v>426116516</v>
      </c>
      <c r="CL1580">
        <v>0</v>
      </c>
      <c r="CM1580">
        <v>2</v>
      </c>
      <c r="CN1580">
        <v>0</v>
      </c>
      <c r="CO1580">
        <v>2</v>
      </c>
      <c r="CP1580">
        <v>0</v>
      </c>
      <c r="CQ1580">
        <v>6</v>
      </c>
      <c r="CR1580" t="s">
        <v>116</v>
      </c>
      <c r="CS1580">
        <v>396</v>
      </c>
      <c r="CT1580">
        <v>1</v>
      </c>
      <c r="CU1580" t="s">
        <v>939</v>
      </c>
      <c r="CV1580" t="s">
        <v>940</v>
      </c>
      <c r="CY1580">
        <v>9121854</v>
      </c>
      <c r="CZ1580" t="s">
        <v>119</v>
      </c>
    </row>
    <row r="1581" spans="1:104" x14ac:dyDescent="0.25">
      <c r="A1581" t="str">
        <f>"14:16:42.766"</f>
        <v>14:16:42.766</v>
      </c>
      <c r="B1581" t="s">
        <v>108</v>
      </c>
      <c r="C1581" t="str">
        <f t="shared" si="73"/>
        <v>ffdfd3c0</v>
      </c>
      <c r="D1581" t="s">
        <v>109</v>
      </c>
      <c r="E1581">
        <v>4</v>
      </c>
      <c r="F1581">
        <v>1004</v>
      </c>
      <c r="G1581" t="s">
        <v>110</v>
      </c>
      <c r="J1581" t="s">
        <v>111</v>
      </c>
      <c r="K1581">
        <v>0</v>
      </c>
      <c r="L1581">
        <v>3</v>
      </c>
      <c r="M1581">
        <v>0</v>
      </c>
      <c r="N1581">
        <v>2</v>
      </c>
      <c r="O1581">
        <v>1</v>
      </c>
      <c r="P1581">
        <v>0</v>
      </c>
      <c r="Q1581">
        <v>0</v>
      </c>
      <c r="R1581" t="s">
        <v>112</v>
      </c>
      <c r="S1581" t="str">
        <f>"14:16:42.586"</f>
        <v>14:16:42.586</v>
      </c>
      <c r="T1581" t="str">
        <f>"14:16:42.086"</f>
        <v>14:16:42.086</v>
      </c>
      <c r="U1581" t="str">
        <f t="shared" si="72"/>
        <v>ad5732</v>
      </c>
      <c r="V1581">
        <v>0</v>
      </c>
      <c r="W1581">
        <v>0</v>
      </c>
      <c r="X1581">
        <v>1</v>
      </c>
      <c r="Z1581">
        <v>0</v>
      </c>
      <c r="AA1581">
        <v>9</v>
      </c>
      <c r="AB1581">
        <v>3</v>
      </c>
      <c r="AC1581">
        <v>0</v>
      </c>
      <c r="AD1581">
        <v>10</v>
      </c>
      <c r="AE1581">
        <v>0</v>
      </c>
      <c r="AF1581">
        <v>3</v>
      </c>
      <c r="AG1581">
        <v>2</v>
      </c>
      <c r="AH1581">
        <v>0</v>
      </c>
      <c r="AI1581" t="s">
        <v>3265</v>
      </c>
      <c r="AJ1581">
        <v>39.677273999999997</v>
      </c>
      <c r="AK1581" t="s">
        <v>3266</v>
      </c>
      <c r="AL1581">
        <v>-76.270501999999993</v>
      </c>
      <c r="AM1581">
        <v>100</v>
      </c>
      <c r="AN1581">
        <v>4800</v>
      </c>
      <c r="AO1581" t="s">
        <v>115</v>
      </c>
      <c r="AP1581">
        <v>181</v>
      </c>
      <c r="AQ1581">
        <v>94</v>
      </c>
      <c r="AR1581">
        <v>-1472</v>
      </c>
      <c r="AZ1581">
        <v>3614</v>
      </c>
      <c r="BA1581">
        <v>1</v>
      </c>
      <c r="BB1581" t="str">
        <f t="shared" si="74"/>
        <v xml:space="preserve">N959MJ  </v>
      </c>
      <c r="BC1581">
        <v>1</v>
      </c>
      <c r="BE1581">
        <v>0</v>
      </c>
      <c r="BF1581">
        <v>0</v>
      </c>
      <c r="BG1581">
        <v>0</v>
      </c>
      <c r="BH1581">
        <v>5025</v>
      </c>
      <c r="BI1581">
        <v>225</v>
      </c>
      <c r="BJ1581">
        <v>1</v>
      </c>
      <c r="BK1581">
        <v>1</v>
      </c>
      <c r="BL1581">
        <v>1</v>
      </c>
      <c r="BM1581">
        <v>0</v>
      </c>
      <c r="BP1581">
        <v>0</v>
      </c>
      <c r="BQ1581">
        <v>0</v>
      </c>
      <c r="BX1581" t="str">
        <f>"14:16:42.594"</f>
        <v>14:16:42.594</v>
      </c>
      <c r="BY1581" t="str">
        <f>"592676988"</f>
        <v>592676988</v>
      </c>
      <c r="CL1581">
        <v>0</v>
      </c>
      <c r="CM1581">
        <v>2</v>
      </c>
      <c r="CN1581">
        <v>0</v>
      </c>
      <c r="CO1581">
        <v>2</v>
      </c>
      <c r="CP1581">
        <v>0</v>
      </c>
      <c r="CQ1581">
        <v>6</v>
      </c>
      <c r="CR1581" t="s">
        <v>116</v>
      </c>
      <c r="CS1581">
        <v>396</v>
      </c>
      <c r="CT1581">
        <v>1</v>
      </c>
      <c r="CU1581" t="s">
        <v>939</v>
      </c>
      <c r="CV1581" t="s">
        <v>940</v>
      </c>
      <c r="CY1581">
        <v>9124014</v>
      </c>
      <c r="CZ1581" t="s">
        <v>119</v>
      </c>
    </row>
    <row r="1582" spans="1:104" x14ac:dyDescent="0.25">
      <c r="A1582" t="str">
        <f>"14:16:43.781"</f>
        <v>14:16:43.781</v>
      </c>
      <c r="B1582" t="s">
        <v>108</v>
      </c>
      <c r="C1582" t="str">
        <f t="shared" si="73"/>
        <v>ffdfd3c0</v>
      </c>
      <c r="D1582" t="s">
        <v>109</v>
      </c>
      <c r="E1582">
        <v>4</v>
      </c>
      <c r="F1582">
        <v>1004</v>
      </c>
      <c r="G1582" t="s">
        <v>110</v>
      </c>
      <c r="J1582" t="s">
        <v>111</v>
      </c>
      <c r="K1582">
        <v>0</v>
      </c>
      <c r="L1582">
        <v>3</v>
      </c>
      <c r="M1582">
        <v>0</v>
      </c>
      <c r="N1582">
        <v>2</v>
      </c>
      <c r="O1582">
        <v>1</v>
      </c>
      <c r="P1582">
        <v>0</v>
      </c>
      <c r="Q1582">
        <v>0</v>
      </c>
      <c r="R1582" t="s">
        <v>112</v>
      </c>
      <c r="S1582" t="str">
        <f>"14:16:43.578"</f>
        <v>14:16:43.578</v>
      </c>
      <c r="T1582" t="str">
        <f>"14:16:43.180"</f>
        <v>14:16:43.180</v>
      </c>
      <c r="U1582" t="str">
        <f t="shared" si="72"/>
        <v>ad5732</v>
      </c>
      <c r="V1582">
        <v>0</v>
      </c>
      <c r="W1582">
        <v>0</v>
      </c>
      <c r="X1582">
        <v>1</v>
      </c>
      <c r="Z1582">
        <v>0</v>
      </c>
      <c r="AA1582">
        <v>9</v>
      </c>
      <c r="AB1582">
        <v>3</v>
      </c>
      <c r="AC1582">
        <v>0</v>
      </c>
      <c r="AD1582">
        <v>10</v>
      </c>
      <c r="AE1582">
        <v>0</v>
      </c>
      <c r="AF1582">
        <v>3</v>
      </c>
      <c r="AG1582">
        <v>2</v>
      </c>
      <c r="AH1582">
        <v>0</v>
      </c>
      <c r="AI1582" t="s">
        <v>3267</v>
      </c>
      <c r="AJ1582">
        <v>39.677681999999997</v>
      </c>
      <c r="AK1582" t="s">
        <v>3268</v>
      </c>
      <c r="AL1582">
        <v>-76.269536000000002</v>
      </c>
      <c r="AM1582">
        <v>100</v>
      </c>
      <c r="AN1582">
        <v>4800</v>
      </c>
      <c r="AO1582" t="s">
        <v>115</v>
      </c>
      <c r="AP1582">
        <v>181</v>
      </c>
      <c r="AQ1582">
        <v>94</v>
      </c>
      <c r="AR1582">
        <v>-1280</v>
      </c>
      <c r="AZ1582">
        <v>3614</v>
      </c>
      <c r="BA1582">
        <v>1</v>
      </c>
      <c r="BB1582" t="str">
        <f t="shared" si="74"/>
        <v xml:space="preserve">N959MJ  </v>
      </c>
      <c r="BC1582">
        <v>1</v>
      </c>
      <c r="BE1582">
        <v>0</v>
      </c>
      <c r="BF1582">
        <v>0</v>
      </c>
      <c r="BG1582">
        <v>0</v>
      </c>
      <c r="BH1582">
        <v>5000</v>
      </c>
      <c r="BI1582">
        <v>200</v>
      </c>
      <c r="BJ1582">
        <v>1</v>
      </c>
      <c r="BK1582">
        <v>1</v>
      </c>
      <c r="BL1582">
        <v>1</v>
      </c>
      <c r="BM1582">
        <v>0</v>
      </c>
      <c r="BP1582">
        <v>0</v>
      </c>
      <c r="BQ1582">
        <v>0</v>
      </c>
      <c r="BX1582" t="str">
        <f>"14:16:43.586"</f>
        <v>14:16:43.586</v>
      </c>
      <c r="BY1582" t="str">
        <f>"585564243"</f>
        <v>585564243</v>
      </c>
      <c r="CL1582">
        <v>0</v>
      </c>
      <c r="CM1582">
        <v>2</v>
      </c>
      <c r="CN1582">
        <v>0</v>
      </c>
      <c r="CO1582">
        <v>2</v>
      </c>
      <c r="CP1582">
        <v>0</v>
      </c>
      <c r="CQ1582">
        <v>6</v>
      </c>
      <c r="CR1582" t="s">
        <v>116</v>
      </c>
      <c r="CS1582">
        <v>396</v>
      </c>
      <c r="CT1582">
        <v>1</v>
      </c>
      <c r="CU1582" t="s">
        <v>939</v>
      </c>
      <c r="CV1582" t="s">
        <v>940</v>
      </c>
      <c r="CY1582">
        <v>9125779</v>
      </c>
      <c r="CZ1582" t="s">
        <v>119</v>
      </c>
    </row>
    <row r="1583" spans="1:104" x14ac:dyDescent="0.25">
      <c r="A1583" t="str">
        <f>"14:16:44.734"</f>
        <v>14:16:44.734</v>
      </c>
      <c r="B1583" t="s">
        <v>108</v>
      </c>
      <c r="C1583" t="str">
        <f t="shared" si="73"/>
        <v>ffdfd3c0</v>
      </c>
      <c r="D1583" t="s">
        <v>109</v>
      </c>
      <c r="E1583">
        <v>4</v>
      </c>
      <c r="F1583">
        <v>1004</v>
      </c>
      <c r="G1583" t="s">
        <v>110</v>
      </c>
      <c r="J1583" t="s">
        <v>111</v>
      </c>
      <c r="K1583">
        <v>0</v>
      </c>
      <c r="L1583">
        <v>3</v>
      </c>
      <c r="M1583">
        <v>0</v>
      </c>
      <c r="N1583">
        <v>2</v>
      </c>
      <c r="O1583">
        <v>1</v>
      </c>
      <c r="P1583">
        <v>0</v>
      </c>
      <c r="Q1583">
        <v>0</v>
      </c>
      <c r="R1583" t="s">
        <v>112</v>
      </c>
      <c r="S1583" t="str">
        <f>"14:16:44.555"</f>
        <v>14:16:44.555</v>
      </c>
      <c r="T1583" t="str">
        <f>"14:16:44.055"</f>
        <v>14:16:44.055</v>
      </c>
      <c r="U1583" t="str">
        <f t="shared" si="72"/>
        <v>ad5732</v>
      </c>
      <c r="V1583">
        <v>0</v>
      </c>
      <c r="W1583">
        <v>0</v>
      </c>
      <c r="X1583">
        <v>1</v>
      </c>
      <c r="Z1583">
        <v>0</v>
      </c>
      <c r="AA1583">
        <v>9</v>
      </c>
      <c r="AB1583">
        <v>3</v>
      </c>
      <c r="AC1583">
        <v>0</v>
      </c>
      <c r="AD1583">
        <v>10</v>
      </c>
      <c r="AE1583">
        <v>0</v>
      </c>
      <c r="AF1583">
        <v>3</v>
      </c>
      <c r="AG1583">
        <v>2</v>
      </c>
      <c r="AH1583">
        <v>0</v>
      </c>
      <c r="AI1583" t="s">
        <v>3269</v>
      </c>
      <c r="AJ1583">
        <v>39.678089999999997</v>
      </c>
      <c r="AK1583" t="s">
        <v>3270</v>
      </c>
      <c r="AL1583">
        <v>-76.268462999999997</v>
      </c>
      <c r="AM1583">
        <v>100</v>
      </c>
      <c r="AN1583">
        <v>4800</v>
      </c>
      <c r="AO1583" t="s">
        <v>115</v>
      </c>
      <c r="AP1583">
        <v>181</v>
      </c>
      <c r="AQ1583">
        <v>94</v>
      </c>
      <c r="AR1583">
        <v>-1152</v>
      </c>
      <c r="AZ1583">
        <v>3614</v>
      </c>
      <c r="BA1583">
        <v>1</v>
      </c>
      <c r="BB1583" t="str">
        <f t="shared" si="74"/>
        <v xml:space="preserve">N959MJ  </v>
      </c>
      <c r="BC1583">
        <v>1</v>
      </c>
      <c r="BE1583">
        <v>0</v>
      </c>
      <c r="BF1583">
        <v>0</v>
      </c>
      <c r="BG1583">
        <v>0</v>
      </c>
      <c r="BH1583">
        <v>4975</v>
      </c>
      <c r="BI1583">
        <v>175</v>
      </c>
      <c r="BJ1583">
        <v>1</v>
      </c>
      <c r="BK1583">
        <v>1</v>
      </c>
      <c r="BL1583">
        <v>1</v>
      </c>
      <c r="BM1583">
        <v>0</v>
      </c>
      <c r="BP1583">
        <v>0</v>
      </c>
      <c r="BQ1583">
        <v>0</v>
      </c>
      <c r="BX1583" t="str">
        <f>"14:16:44.555"</f>
        <v>14:16:44.555</v>
      </c>
      <c r="BY1583" t="str">
        <f>"555513446"</f>
        <v>555513446</v>
      </c>
      <c r="CL1583">
        <v>0</v>
      </c>
      <c r="CM1583">
        <v>2</v>
      </c>
      <c r="CN1583">
        <v>0</v>
      </c>
      <c r="CO1583">
        <v>2</v>
      </c>
      <c r="CP1583">
        <v>0</v>
      </c>
      <c r="CQ1583">
        <v>6</v>
      </c>
      <c r="CR1583" t="s">
        <v>116</v>
      </c>
      <c r="CS1583">
        <v>396</v>
      </c>
      <c r="CT1583">
        <v>1</v>
      </c>
      <c r="CU1583" t="s">
        <v>939</v>
      </c>
      <c r="CV1583" t="s">
        <v>940</v>
      </c>
      <c r="CY1583">
        <v>9127507</v>
      </c>
      <c r="CZ1583" t="s">
        <v>119</v>
      </c>
    </row>
    <row r="1584" spans="1:104" x14ac:dyDescent="0.25">
      <c r="A1584" t="str">
        <f>"14:16:45.797"</f>
        <v>14:16:45.797</v>
      </c>
      <c r="B1584" t="s">
        <v>108</v>
      </c>
      <c r="C1584" t="str">
        <f t="shared" si="73"/>
        <v>ffdfd3c0</v>
      </c>
      <c r="D1584" t="s">
        <v>109</v>
      </c>
      <c r="E1584">
        <v>4</v>
      </c>
      <c r="F1584">
        <v>1004</v>
      </c>
      <c r="G1584" t="s">
        <v>110</v>
      </c>
      <c r="J1584" t="s">
        <v>111</v>
      </c>
      <c r="K1584">
        <v>0</v>
      </c>
      <c r="L1584">
        <v>3</v>
      </c>
      <c r="M1584">
        <v>0</v>
      </c>
      <c r="N1584">
        <v>2</v>
      </c>
      <c r="O1584">
        <v>1</v>
      </c>
      <c r="P1584">
        <v>0</v>
      </c>
      <c r="Q1584">
        <v>0</v>
      </c>
      <c r="R1584" t="s">
        <v>112</v>
      </c>
      <c r="S1584" t="str">
        <f>"14:16:45.625"</f>
        <v>14:16:45.625</v>
      </c>
      <c r="T1584" t="str">
        <f>"14:16:45.125"</f>
        <v>14:16:45.125</v>
      </c>
      <c r="U1584" t="str">
        <f t="shared" si="72"/>
        <v>ad5732</v>
      </c>
      <c r="V1584">
        <v>0</v>
      </c>
      <c r="W1584">
        <v>0</v>
      </c>
      <c r="X1584">
        <v>1</v>
      </c>
      <c r="Z1584">
        <v>0</v>
      </c>
      <c r="AA1584">
        <v>9</v>
      </c>
      <c r="AB1584">
        <v>3</v>
      </c>
      <c r="AC1584">
        <v>0</v>
      </c>
      <c r="AD1584">
        <v>10</v>
      </c>
      <c r="AE1584">
        <v>0</v>
      </c>
      <c r="AF1584">
        <v>3</v>
      </c>
      <c r="AG1584">
        <v>2</v>
      </c>
      <c r="AH1584">
        <v>0</v>
      </c>
      <c r="AI1584" t="s">
        <v>3271</v>
      </c>
      <c r="AJ1584">
        <v>39.678561999999999</v>
      </c>
      <c r="AK1584" t="s">
        <v>3272</v>
      </c>
      <c r="AL1584">
        <v>-76.267283000000006</v>
      </c>
      <c r="AM1584">
        <v>100</v>
      </c>
      <c r="AN1584">
        <v>4800</v>
      </c>
      <c r="AO1584" t="s">
        <v>115</v>
      </c>
      <c r="AP1584">
        <v>180</v>
      </c>
      <c r="AQ1584">
        <v>94</v>
      </c>
      <c r="AR1584">
        <v>-1024</v>
      </c>
      <c r="AZ1584">
        <v>3614</v>
      </c>
      <c r="BA1584">
        <v>1</v>
      </c>
      <c r="BB1584" t="str">
        <f t="shared" si="74"/>
        <v xml:space="preserve">N959MJ  </v>
      </c>
      <c r="BC1584">
        <v>1</v>
      </c>
      <c r="BE1584">
        <v>0</v>
      </c>
      <c r="BF1584">
        <v>0</v>
      </c>
      <c r="BG1584">
        <v>0</v>
      </c>
      <c r="BH1584">
        <v>4975</v>
      </c>
      <c r="BI1584">
        <v>175</v>
      </c>
      <c r="BJ1584">
        <v>1</v>
      </c>
      <c r="BK1584">
        <v>1</v>
      </c>
      <c r="BL1584">
        <v>1</v>
      </c>
      <c r="BM1584">
        <v>0</v>
      </c>
      <c r="BP1584">
        <v>0</v>
      </c>
      <c r="BQ1584">
        <v>0</v>
      </c>
      <c r="BX1584" t="str">
        <f>"14:16:45.625"</f>
        <v>14:16:45.625</v>
      </c>
      <c r="BY1584" t="str">
        <f>"627045173"</f>
        <v>627045173</v>
      </c>
      <c r="CL1584">
        <v>0</v>
      </c>
      <c r="CM1584">
        <v>2</v>
      </c>
      <c r="CN1584">
        <v>0</v>
      </c>
      <c r="CO1584">
        <v>2</v>
      </c>
      <c r="CP1584">
        <v>0</v>
      </c>
      <c r="CQ1584">
        <v>6</v>
      </c>
      <c r="CR1584" t="s">
        <v>116</v>
      </c>
      <c r="CS1584">
        <v>396</v>
      </c>
      <c r="CT1584">
        <v>1</v>
      </c>
      <c r="CU1584" t="s">
        <v>939</v>
      </c>
      <c r="CV1584" t="s">
        <v>940</v>
      </c>
      <c r="CY1584">
        <v>9129444</v>
      </c>
      <c r="CZ1584" t="s">
        <v>119</v>
      </c>
    </row>
    <row r="1585" spans="1:104" x14ac:dyDescent="0.25">
      <c r="A1585" t="str">
        <f>"14:16:46.859"</f>
        <v>14:16:46.859</v>
      </c>
      <c r="B1585" t="s">
        <v>108</v>
      </c>
      <c r="C1585" t="str">
        <f t="shared" si="73"/>
        <v>ffdfd3c0</v>
      </c>
      <c r="D1585" t="s">
        <v>109</v>
      </c>
      <c r="E1585">
        <v>4</v>
      </c>
      <c r="F1585">
        <v>1004</v>
      </c>
      <c r="G1585" t="s">
        <v>110</v>
      </c>
      <c r="J1585" t="s">
        <v>111</v>
      </c>
      <c r="K1585">
        <v>0</v>
      </c>
      <c r="L1585">
        <v>3</v>
      </c>
      <c r="M1585">
        <v>0</v>
      </c>
      <c r="N1585">
        <v>2</v>
      </c>
      <c r="O1585">
        <v>1</v>
      </c>
      <c r="P1585">
        <v>0</v>
      </c>
      <c r="Q1585">
        <v>0</v>
      </c>
      <c r="R1585" t="s">
        <v>112</v>
      </c>
      <c r="S1585" t="str">
        <f>"14:16:46.688"</f>
        <v>14:16:46.688</v>
      </c>
      <c r="T1585" t="str">
        <f>"14:16:46.188"</f>
        <v>14:16:46.188</v>
      </c>
      <c r="U1585" t="str">
        <f t="shared" si="72"/>
        <v>ad5732</v>
      </c>
      <c r="V1585">
        <v>0</v>
      </c>
      <c r="W1585">
        <v>0</v>
      </c>
      <c r="X1585">
        <v>1</v>
      </c>
      <c r="Z1585">
        <v>0</v>
      </c>
      <c r="AA1585">
        <v>9</v>
      </c>
      <c r="AB1585">
        <v>3</v>
      </c>
      <c r="AC1585">
        <v>0</v>
      </c>
      <c r="AD1585">
        <v>10</v>
      </c>
      <c r="AE1585">
        <v>0</v>
      </c>
      <c r="AF1585">
        <v>3</v>
      </c>
      <c r="AG1585">
        <v>2</v>
      </c>
      <c r="AH1585">
        <v>0</v>
      </c>
      <c r="AI1585" t="s">
        <v>3273</v>
      </c>
      <c r="AJ1585">
        <v>39.679034000000001</v>
      </c>
      <c r="AK1585" t="s">
        <v>3274</v>
      </c>
      <c r="AL1585">
        <v>-76.266166999999996</v>
      </c>
      <c r="AM1585">
        <v>100</v>
      </c>
      <c r="AN1585">
        <v>4800</v>
      </c>
      <c r="AO1585" t="s">
        <v>115</v>
      </c>
      <c r="AP1585">
        <v>180</v>
      </c>
      <c r="AQ1585">
        <v>94</v>
      </c>
      <c r="AR1585">
        <v>-1024</v>
      </c>
      <c r="AZ1585">
        <v>3614</v>
      </c>
      <c r="BA1585">
        <v>1</v>
      </c>
      <c r="BB1585" t="str">
        <f t="shared" si="74"/>
        <v xml:space="preserve">N959MJ  </v>
      </c>
      <c r="BC1585">
        <v>1</v>
      </c>
      <c r="BE1585">
        <v>0</v>
      </c>
      <c r="BF1585">
        <v>0</v>
      </c>
      <c r="BG1585">
        <v>0</v>
      </c>
      <c r="BH1585">
        <v>4950</v>
      </c>
      <c r="BI1585">
        <v>150</v>
      </c>
      <c r="BJ1585">
        <v>1</v>
      </c>
      <c r="BK1585">
        <v>1</v>
      </c>
      <c r="BL1585">
        <v>1</v>
      </c>
      <c r="BM1585">
        <v>0</v>
      </c>
      <c r="BP1585">
        <v>0</v>
      </c>
      <c r="BQ1585">
        <v>0</v>
      </c>
      <c r="BX1585" t="str">
        <f>"14:16:46.695"</f>
        <v>14:16:46.695</v>
      </c>
      <c r="BY1585" t="str">
        <f>"692108148"</f>
        <v>692108148</v>
      </c>
      <c r="CL1585">
        <v>0</v>
      </c>
      <c r="CM1585">
        <v>2</v>
      </c>
      <c r="CN1585">
        <v>0</v>
      </c>
      <c r="CO1585">
        <v>2</v>
      </c>
      <c r="CP1585">
        <v>0</v>
      </c>
      <c r="CQ1585">
        <v>5</v>
      </c>
      <c r="CR1585" t="s">
        <v>116</v>
      </c>
      <c r="CS1585">
        <v>39</v>
      </c>
      <c r="CT1585">
        <v>2</v>
      </c>
      <c r="CU1585" t="s">
        <v>2259</v>
      </c>
      <c r="CV1585" t="s">
        <v>2260</v>
      </c>
      <c r="CY1585">
        <v>15835692</v>
      </c>
      <c r="CZ1585" t="s">
        <v>119</v>
      </c>
    </row>
    <row r="1586" spans="1:104" x14ac:dyDescent="0.25">
      <c r="A1586" t="str">
        <f>"14:16:47.914"</f>
        <v>14:16:47.914</v>
      </c>
      <c r="B1586" t="s">
        <v>108</v>
      </c>
      <c r="C1586" t="str">
        <f t="shared" si="73"/>
        <v>ffdfd3c0</v>
      </c>
      <c r="D1586" t="s">
        <v>109</v>
      </c>
      <c r="E1586">
        <v>4</v>
      </c>
      <c r="F1586">
        <v>1004</v>
      </c>
      <c r="G1586" t="s">
        <v>110</v>
      </c>
      <c r="J1586" t="s">
        <v>111</v>
      </c>
      <c r="K1586">
        <v>0</v>
      </c>
      <c r="L1586">
        <v>3</v>
      </c>
      <c r="M1586">
        <v>0</v>
      </c>
      <c r="N1586">
        <v>2</v>
      </c>
      <c r="O1586">
        <v>1</v>
      </c>
      <c r="P1586">
        <v>0</v>
      </c>
      <c r="Q1586">
        <v>0</v>
      </c>
      <c r="R1586" t="s">
        <v>112</v>
      </c>
      <c r="S1586" t="str">
        <f>"14:16:47.727"</f>
        <v>14:16:47.727</v>
      </c>
      <c r="T1586" t="str">
        <f>"14:16:47.328"</f>
        <v>14:16:47.328</v>
      </c>
      <c r="U1586" t="str">
        <f t="shared" si="72"/>
        <v>ad5732</v>
      </c>
      <c r="V1586">
        <v>0</v>
      </c>
      <c r="W1586">
        <v>0</v>
      </c>
      <c r="X1586">
        <v>1</v>
      </c>
      <c r="Z1586">
        <v>0</v>
      </c>
      <c r="AA1586">
        <v>9</v>
      </c>
      <c r="AB1586">
        <v>3</v>
      </c>
      <c r="AC1586">
        <v>0</v>
      </c>
      <c r="AD1586">
        <v>10</v>
      </c>
      <c r="AE1586">
        <v>0</v>
      </c>
      <c r="AF1586">
        <v>3</v>
      </c>
      <c r="AG1586">
        <v>2</v>
      </c>
      <c r="AH1586">
        <v>0</v>
      </c>
      <c r="AI1586" t="s">
        <v>3275</v>
      </c>
      <c r="AJ1586">
        <v>39.679506000000003</v>
      </c>
      <c r="AK1586" t="s">
        <v>3276</v>
      </c>
      <c r="AL1586">
        <v>-76.265007999999995</v>
      </c>
      <c r="AM1586">
        <v>100</v>
      </c>
      <c r="AN1586">
        <v>4800</v>
      </c>
      <c r="AO1586" t="s">
        <v>115</v>
      </c>
      <c r="AP1586">
        <v>181</v>
      </c>
      <c r="AQ1586">
        <v>94</v>
      </c>
      <c r="AR1586">
        <v>-896</v>
      </c>
      <c r="AZ1586">
        <v>3614</v>
      </c>
      <c r="BA1586">
        <v>1</v>
      </c>
      <c r="BB1586" t="str">
        <f t="shared" si="74"/>
        <v xml:space="preserve">N959MJ  </v>
      </c>
      <c r="BC1586">
        <v>1</v>
      </c>
      <c r="BE1586">
        <v>0</v>
      </c>
      <c r="BF1586">
        <v>0</v>
      </c>
      <c r="BG1586">
        <v>0</v>
      </c>
      <c r="BH1586">
        <v>4925</v>
      </c>
      <c r="BI1586">
        <v>125</v>
      </c>
      <c r="BJ1586">
        <v>1</v>
      </c>
      <c r="BK1586">
        <v>1</v>
      </c>
      <c r="BL1586">
        <v>1</v>
      </c>
      <c r="BM1586">
        <v>0</v>
      </c>
      <c r="BP1586">
        <v>0</v>
      </c>
      <c r="BQ1586">
        <v>0</v>
      </c>
      <c r="BX1586" t="str">
        <f>"14:16:47.734"</f>
        <v>14:16:47.734</v>
      </c>
      <c r="BY1586" t="str">
        <f>"734147608"</f>
        <v>734147608</v>
      </c>
      <c r="CL1586">
        <v>0</v>
      </c>
      <c r="CM1586">
        <v>2</v>
      </c>
      <c r="CN1586">
        <v>0</v>
      </c>
      <c r="CO1586">
        <v>2</v>
      </c>
      <c r="CP1586">
        <v>0</v>
      </c>
      <c r="CQ1586">
        <v>5</v>
      </c>
      <c r="CR1586" t="s">
        <v>116</v>
      </c>
      <c r="CS1586">
        <v>39</v>
      </c>
      <c r="CT1586">
        <v>2</v>
      </c>
      <c r="CU1586" t="s">
        <v>2259</v>
      </c>
      <c r="CV1586" t="s">
        <v>2260</v>
      </c>
      <c r="CY1586">
        <v>15837413</v>
      </c>
      <c r="CZ1586" t="s">
        <v>119</v>
      </c>
    </row>
    <row r="1587" spans="1:104" x14ac:dyDescent="0.25">
      <c r="A1587" t="str">
        <f>"14:16:49.031"</f>
        <v>14:16:49.031</v>
      </c>
      <c r="B1587" t="s">
        <v>108</v>
      </c>
      <c r="C1587" t="str">
        <f t="shared" si="73"/>
        <v>ffdfd3c0</v>
      </c>
      <c r="D1587" t="s">
        <v>109</v>
      </c>
      <c r="E1587">
        <v>4</v>
      </c>
      <c r="F1587">
        <v>1004</v>
      </c>
      <c r="G1587" t="s">
        <v>110</v>
      </c>
      <c r="J1587" t="s">
        <v>111</v>
      </c>
      <c r="K1587">
        <v>0</v>
      </c>
      <c r="L1587">
        <v>3</v>
      </c>
      <c r="M1587">
        <v>0</v>
      </c>
      <c r="N1587">
        <v>2</v>
      </c>
      <c r="O1587">
        <v>1</v>
      </c>
      <c r="P1587">
        <v>0</v>
      </c>
      <c r="Q1587">
        <v>0</v>
      </c>
      <c r="R1587" t="s">
        <v>112</v>
      </c>
      <c r="S1587" t="str">
        <f>"14:16:48.859"</f>
        <v>14:16:48.859</v>
      </c>
      <c r="T1587" t="str">
        <f>"14:16:48.359"</f>
        <v>14:16:48.359</v>
      </c>
      <c r="U1587" t="str">
        <f t="shared" si="72"/>
        <v>ad5732</v>
      </c>
      <c r="V1587">
        <v>0</v>
      </c>
      <c r="W1587">
        <v>0</v>
      </c>
      <c r="X1587">
        <v>1</v>
      </c>
      <c r="Z1587">
        <v>0</v>
      </c>
      <c r="AA1587">
        <v>9</v>
      </c>
      <c r="AB1587">
        <v>3</v>
      </c>
      <c r="AC1587">
        <v>0</v>
      </c>
      <c r="AD1587">
        <v>10</v>
      </c>
      <c r="AE1587">
        <v>0</v>
      </c>
      <c r="AF1587">
        <v>3</v>
      </c>
      <c r="AG1587">
        <v>2</v>
      </c>
      <c r="AH1587">
        <v>0</v>
      </c>
      <c r="AI1587" t="s">
        <v>3277</v>
      </c>
      <c r="AJ1587">
        <v>39.679955999999997</v>
      </c>
      <c r="AK1587" t="s">
        <v>3278</v>
      </c>
      <c r="AL1587">
        <v>-76.263784999999999</v>
      </c>
      <c r="AM1587">
        <v>100</v>
      </c>
      <c r="AN1587">
        <v>4700</v>
      </c>
      <c r="AO1587" t="s">
        <v>115</v>
      </c>
      <c r="AP1587">
        <v>181</v>
      </c>
      <c r="AQ1587">
        <v>94</v>
      </c>
      <c r="AR1587">
        <v>-704</v>
      </c>
      <c r="AZ1587">
        <v>3614</v>
      </c>
      <c r="BA1587">
        <v>1</v>
      </c>
      <c r="BB1587" t="str">
        <f t="shared" si="74"/>
        <v xml:space="preserve">N959MJ  </v>
      </c>
      <c r="BC1587">
        <v>1</v>
      </c>
      <c r="BE1587">
        <v>0</v>
      </c>
      <c r="BF1587">
        <v>0</v>
      </c>
      <c r="BG1587">
        <v>0</v>
      </c>
      <c r="BH1587">
        <v>4925</v>
      </c>
      <c r="BI1587">
        <v>225</v>
      </c>
      <c r="BJ1587">
        <v>1</v>
      </c>
      <c r="BK1587">
        <v>1</v>
      </c>
      <c r="BL1587">
        <v>1</v>
      </c>
      <c r="BM1587">
        <v>0</v>
      </c>
      <c r="BP1587">
        <v>0</v>
      </c>
      <c r="BQ1587">
        <v>0</v>
      </c>
      <c r="BX1587" t="str">
        <f>"14:16:48.867"</f>
        <v>14:16:48.867</v>
      </c>
      <c r="BY1587" t="str">
        <f>"866216586"</f>
        <v>866216586</v>
      </c>
      <c r="CL1587">
        <v>0</v>
      </c>
      <c r="CM1587">
        <v>2</v>
      </c>
      <c r="CN1587">
        <v>0</v>
      </c>
      <c r="CO1587">
        <v>2</v>
      </c>
      <c r="CP1587">
        <v>0</v>
      </c>
      <c r="CQ1587">
        <v>6</v>
      </c>
      <c r="CR1587" t="s">
        <v>116</v>
      </c>
      <c r="CS1587">
        <v>396</v>
      </c>
      <c r="CT1587">
        <v>1</v>
      </c>
      <c r="CU1587" t="s">
        <v>939</v>
      </c>
      <c r="CV1587" t="s">
        <v>940</v>
      </c>
      <c r="CY1587">
        <v>9135072</v>
      </c>
      <c r="CZ1587" t="s">
        <v>119</v>
      </c>
    </row>
    <row r="1588" spans="1:104" x14ac:dyDescent="0.25">
      <c r="A1588" t="str">
        <f>"14:16:50.188"</f>
        <v>14:16:50.188</v>
      </c>
      <c r="B1588" t="s">
        <v>108</v>
      </c>
      <c r="C1588" t="str">
        <f t="shared" si="73"/>
        <v>ffdfd3c0</v>
      </c>
      <c r="D1588" t="s">
        <v>109</v>
      </c>
      <c r="E1588">
        <v>4</v>
      </c>
      <c r="F1588">
        <v>1004</v>
      </c>
      <c r="G1588" t="s">
        <v>110</v>
      </c>
      <c r="J1588" t="s">
        <v>111</v>
      </c>
      <c r="K1588">
        <v>0</v>
      </c>
      <c r="L1588">
        <v>3</v>
      </c>
      <c r="M1588">
        <v>0</v>
      </c>
      <c r="N1588">
        <v>2</v>
      </c>
      <c r="O1588">
        <v>1</v>
      </c>
      <c r="P1588">
        <v>0</v>
      </c>
      <c r="Q1588">
        <v>0</v>
      </c>
      <c r="R1588" t="s">
        <v>112</v>
      </c>
      <c r="S1588" t="str">
        <f>"14:16:49.977"</f>
        <v>14:16:49.977</v>
      </c>
      <c r="T1588" t="str">
        <f>"14:16:49.477"</f>
        <v>14:16:49.477</v>
      </c>
      <c r="U1588" t="str">
        <f t="shared" si="72"/>
        <v>ad5732</v>
      </c>
      <c r="V1588">
        <v>0</v>
      </c>
      <c r="W1588">
        <v>0</v>
      </c>
      <c r="X1588">
        <v>1</v>
      </c>
      <c r="Z1588">
        <v>0</v>
      </c>
      <c r="AA1588">
        <v>9</v>
      </c>
      <c r="AB1588">
        <v>3</v>
      </c>
      <c r="AC1588">
        <v>0</v>
      </c>
      <c r="AD1588">
        <v>10</v>
      </c>
      <c r="AE1588">
        <v>0</v>
      </c>
      <c r="AF1588">
        <v>3</v>
      </c>
      <c r="AG1588">
        <v>2</v>
      </c>
      <c r="AH1588">
        <v>0</v>
      </c>
      <c r="AI1588" t="s">
        <v>3279</v>
      </c>
      <c r="AJ1588">
        <v>39.680470999999997</v>
      </c>
      <c r="AK1588" t="s">
        <v>3280</v>
      </c>
      <c r="AL1588">
        <v>-76.262604999999994</v>
      </c>
      <c r="AM1588">
        <v>100</v>
      </c>
      <c r="AN1588">
        <v>4700</v>
      </c>
      <c r="AO1588" t="s">
        <v>115</v>
      </c>
      <c r="AP1588">
        <v>181</v>
      </c>
      <c r="AQ1588">
        <v>93</v>
      </c>
      <c r="AR1588">
        <v>-576</v>
      </c>
      <c r="AZ1588">
        <v>3614</v>
      </c>
      <c r="BA1588">
        <v>1</v>
      </c>
      <c r="BB1588" t="str">
        <f t="shared" si="74"/>
        <v xml:space="preserve">N959MJ  </v>
      </c>
      <c r="BC1588">
        <v>1</v>
      </c>
      <c r="BE1588">
        <v>0</v>
      </c>
      <c r="BF1588">
        <v>0</v>
      </c>
      <c r="BG1588">
        <v>0</v>
      </c>
      <c r="BH1588">
        <v>4900</v>
      </c>
      <c r="BI1588">
        <v>200</v>
      </c>
      <c r="BJ1588">
        <v>1</v>
      </c>
      <c r="BK1588">
        <v>1</v>
      </c>
      <c r="BL1588">
        <v>1</v>
      </c>
      <c r="BM1588">
        <v>0</v>
      </c>
      <c r="BP1588">
        <v>0</v>
      </c>
      <c r="BQ1588">
        <v>0</v>
      </c>
      <c r="BX1588" t="str">
        <f>"14:16:49.984"</f>
        <v>14:16:49.984</v>
      </c>
      <c r="BY1588" t="str">
        <f>"981986028"</f>
        <v>981986028</v>
      </c>
      <c r="CL1588">
        <v>0</v>
      </c>
      <c r="CM1588">
        <v>2</v>
      </c>
      <c r="CN1588">
        <v>0</v>
      </c>
      <c r="CO1588">
        <v>2</v>
      </c>
      <c r="CP1588">
        <v>0</v>
      </c>
      <c r="CQ1588">
        <v>6</v>
      </c>
      <c r="CR1588" t="s">
        <v>116</v>
      </c>
      <c r="CS1588">
        <v>396</v>
      </c>
      <c r="CT1588">
        <v>1</v>
      </c>
      <c r="CU1588" t="s">
        <v>939</v>
      </c>
      <c r="CV1588" t="s">
        <v>940</v>
      </c>
      <c r="CY1588">
        <v>9137138</v>
      </c>
      <c r="CZ1588" t="s">
        <v>119</v>
      </c>
    </row>
    <row r="1589" spans="1:104" x14ac:dyDescent="0.25">
      <c r="A1589" t="str">
        <f>"14:16:51.250"</f>
        <v>14:16:51.250</v>
      </c>
      <c r="B1589" t="s">
        <v>108</v>
      </c>
      <c r="C1589" t="str">
        <f t="shared" si="73"/>
        <v>ffdfd3c0</v>
      </c>
      <c r="D1589" t="s">
        <v>109</v>
      </c>
      <c r="E1589">
        <v>4</v>
      </c>
      <c r="F1589">
        <v>1004</v>
      </c>
      <c r="G1589" t="s">
        <v>110</v>
      </c>
      <c r="J1589" t="s">
        <v>111</v>
      </c>
      <c r="K1589">
        <v>0</v>
      </c>
      <c r="L1589">
        <v>3</v>
      </c>
      <c r="M1589">
        <v>0</v>
      </c>
      <c r="N1589">
        <v>2</v>
      </c>
      <c r="O1589">
        <v>1</v>
      </c>
      <c r="P1589">
        <v>0</v>
      </c>
      <c r="Q1589">
        <v>0</v>
      </c>
      <c r="R1589" t="s">
        <v>112</v>
      </c>
      <c r="S1589" t="str">
        <f>"14:16:51.008"</f>
        <v>14:16:51.008</v>
      </c>
      <c r="T1589" t="str">
        <f>"14:16:50.609"</f>
        <v>14:16:50.609</v>
      </c>
      <c r="U1589" t="str">
        <f t="shared" si="72"/>
        <v>ad5732</v>
      </c>
      <c r="V1589">
        <v>0</v>
      </c>
      <c r="W1589">
        <v>0</v>
      </c>
      <c r="X1589">
        <v>1</v>
      </c>
      <c r="Z1589">
        <v>0</v>
      </c>
      <c r="AA1589">
        <v>9</v>
      </c>
      <c r="AB1589">
        <v>3</v>
      </c>
      <c r="AC1589">
        <v>0</v>
      </c>
      <c r="AD1589">
        <v>10</v>
      </c>
      <c r="AE1589">
        <v>0</v>
      </c>
      <c r="AF1589">
        <v>3</v>
      </c>
      <c r="AG1589">
        <v>2</v>
      </c>
      <c r="AH1589">
        <v>0</v>
      </c>
      <c r="AI1589" t="s">
        <v>3281</v>
      </c>
      <c r="AJ1589">
        <v>39.680942999999999</v>
      </c>
      <c r="AK1589" t="s">
        <v>3282</v>
      </c>
      <c r="AL1589">
        <v>-76.261403999999999</v>
      </c>
      <c r="AM1589">
        <v>100</v>
      </c>
      <c r="AN1589">
        <v>4700</v>
      </c>
      <c r="AO1589" t="s">
        <v>115</v>
      </c>
      <c r="AP1589">
        <v>181</v>
      </c>
      <c r="AQ1589">
        <v>93</v>
      </c>
      <c r="AR1589">
        <v>-512</v>
      </c>
      <c r="AZ1589">
        <v>3614</v>
      </c>
      <c r="BA1589">
        <v>1</v>
      </c>
      <c r="BB1589" t="str">
        <f t="shared" si="74"/>
        <v xml:space="preserve">N959MJ  </v>
      </c>
      <c r="BC1589">
        <v>1</v>
      </c>
      <c r="BE1589">
        <v>0</v>
      </c>
      <c r="BF1589">
        <v>0</v>
      </c>
      <c r="BG1589">
        <v>0</v>
      </c>
      <c r="BH1589">
        <v>4900</v>
      </c>
      <c r="BI1589">
        <v>200</v>
      </c>
      <c r="BJ1589">
        <v>1</v>
      </c>
      <c r="BK1589">
        <v>1</v>
      </c>
      <c r="BL1589">
        <v>1</v>
      </c>
      <c r="BM1589">
        <v>0</v>
      </c>
      <c r="BP1589">
        <v>0</v>
      </c>
      <c r="BQ1589">
        <v>0</v>
      </c>
      <c r="BX1589" t="str">
        <f>"14:16:51.016"</f>
        <v>14:16:51.016</v>
      </c>
      <c r="BY1589" t="str">
        <f>"012557135"</f>
        <v>012557135</v>
      </c>
      <c r="CL1589">
        <v>0</v>
      </c>
      <c r="CM1589">
        <v>2</v>
      </c>
      <c r="CN1589">
        <v>0</v>
      </c>
      <c r="CO1589">
        <v>2</v>
      </c>
      <c r="CP1589">
        <v>0</v>
      </c>
      <c r="CQ1589">
        <v>5</v>
      </c>
      <c r="CR1589" t="s">
        <v>116</v>
      </c>
      <c r="CS1589">
        <v>396</v>
      </c>
      <c r="CT1589">
        <v>2</v>
      </c>
      <c r="CU1589" t="s">
        <v>939</v>
      </c>
      <c r="CV1589" t="s">
        <v>940</v>
      </c>
      <c r="CY1589">
        <v>5549646</v>
      </c>
      <c r="CZ1589" t="s">
        <v>119</v>
      </c>
    </row>
    <row r="1590" spans="1:104" x14ac:dyDescent="0.25">
      <c r="A1590" t="str">
        <f>"14:16:52.109"</f>
        <v>14:16:52.109</v>
      </c>
      <c r="B1590" t="s">
        <v>108</v>
      </c>
      <c r="C1590" t="str">
        <f t="shared" si="73"/>
        <v>ffdfd3c0</v>
      </c>
      <c r="D1590" t="s">
        <v>109</v>
      </c>
      <c r="E1590">
        <v>4</v>
      </c>
      <c r="F1590">
        <v>1004</v>
      </c>
      <c r="G1590" t="s">
        <v>110</v>
      </c>
      <c r="J1590" t="s">
        <v>111</v>
      </c>
      <c r="K1590">
        <v>0</v>
      </c>
      <c r="L1590">
        <v>3</v>
      </c>
      <c r="M1590">
        <v>0</v>
      </c>
      <c r="N1590">
        <v>2</v>
      </c>
      <c r="O1590">
        <v>1</v>
      </c>
      <c r="P1590">
        <v>0</v>
      </c>
      <c r="Q1590">
        <v>0</v>
      </c>
      <c r="R1590" t="s">
        <v>112</v>
      </c>
      <c r="S1590" t="str">
        <f>"14:16:51.930"</f>
        <v>14:16:51.930</v>
      </c>
      <c r="T1590" t="str">
        <f>"14:16:51.531"</f>
        <v>14:16:51.531</v>
      </c>
      <c r="U1590" t="str">
        <f t="shared" si="72"/>
        <v>ad5732</v>
      </c>
      <c r="V1590">
        <v>0</v>
      </c>
      <c r="W1590">
        <v>0</v>
      </c>
      <c r="X1590">
        <v>1</v>
      </c>
      <c r="Z1590">
        <v>0</v>
      </c>
      <c r="AA1590">
        <v>9</v>
      </c>
      <c r="AB1590">
        <v>3</v>
      </c>
      <c r="AC1590">
        <v>0</v>
      </c>
      <c r="AD1590">
        <v>10</v>
      </c>
      <c r="AE1590">
        <v>0</v>
      </c>
      <c r="AF1590">
        <v>3</v>
      </c>
      <c r="AG1590">
        <v>2</v>
      </c>
      <c r="AH1590">
        <v>0</v>
      </c>
      <c r="AI1590" t="s">
        <v>3283</v>
      </c>
      <c r="AJ1590">
        <v>39.681286999999998</v>
      </c>
      <c r="AK1590" t="s">
        <v>3284</v>
      </c>
      <c r="AL1590">
        <v>-76.260458999999997</v>
      </c>
      <c r="AM1590">
        <v>100</v>
      </c>
      <c r="AN1590">
        <v>4700</v>
      </c>
      <c r="AO1590" t="s">
        <v>115</v>
      </c>
      <c r="AP1590">
        <v>181</v>
      </c>
      <c r="AQ1590">
        <v>93</v>
      </c>
      <c r="AR1590">
        <v>-448</v>
      </c>
      <c r="AZ1590">
        <v>3614</v>
      </c>
      <c r="BA1590">
        <v>1</v>
      </c>
      <c r="BB1590" t="str">
        <f t="shared" si="74"/>
        <v xml:space="preserve">N959MJ  </v>
      </c>
      <c r="BC1590">
        <v>1</v>
      </c>
      <c r="BE1590">
        <v>0</v>
      </c>
      <c r="BF1590">
        <v>0</v>
      </c>
      <c r="BG1590">
        <v>0</v>
      </c>
      <c r="BH1590">
        <v>4875</v>
      </c>
      <c r="BI1590">
        <v>175</v>
      </c>
      <c r="BJ1590">
        <v>1</v>
      </c>
      <c r="BK1590">
        <v>1</v>
      </c>
      <c r="BL1590">
        <v>1</v>
      </c>
      <c r="BM1590">
        <v>0</v>
      </c>
      <c r="BP1590">
        <v>0</v>
      </c>
      <c r="BQ1590">
        <v>0</v>
      </c>
      <c r="BX1590" t="str">
        <f>"14:16:51.938"</f>
        <v>14:16:51.938</v>
      </c>
      <c r="BY1590" t="str">
        <f>"936630371"</f>
        <v>936630371</v>
      </c>
      <c r="CL1590">
        <v>0</v>
      </c>
      <c r="CM1590">
        <v>2</v>
      </c>
      <c r="CN1590">
        <v>0</v>
      </c>
      <c r="CO1590">
        <v>2</v>
      </c>
      <c r="CP1590">
        <v>0</v>
      </c>
      <c r="CQ1590">
        <v>6</v>
      </c>
      <c r="CR1590" t="s">
        <v>116</v>
      </c>
      <c r="CS1590">
        <v>396</v>
      </c>
      <c r="CT1590">
        <v>1</v>
      </c>
      <c r="CU1590" t="s">
        <v>939</v>
      </c>
      <c r="CV1590" t="s">
        <v>940</v>
      </c>
      <c r="CY1590">
        <v>9140672</v>
      </c>
      <c r="CZ1590" t="s">
        <v>119</v>
      </c>
    </row>
    <row r="1591" spans="1:104" x14ac:dyDescent="0.25">
      <c r="A1591" t="str">
        <f>"14:16:53.117"</f>
        <v>14:16:53.117</v>
      </c>
      <c r="B1591" t="s">
        <v>108</v>
      </c>
      <c r="C1591" t="str">
        <f t="shared" si="73"/>
        <v>ffdfd3c0</v>
      </c>
      <c r="D1591" t="s">
        <v>109</v>
      </c>
      <c r="E1591">
        <v>4</v>
      </c>
      <c r="F1591">
        <v>1004</v>
      </c>
      <c r="G1591" t="s">
        <v>110</v>
      </c>
      <c r="J1591" t="s">
        <v>111</v>
      </c>
      <c r="K1591">
        <v>0</v>
      </c>
      <c r="L1591">
        <v>3</v>
      </c>
      <c r="M1591">
        <v>0</v>
      </c>
      <c r="N1591">
        <v>2</v>
      </c>
      <c r="O1591">
        <v>1</v>
      </c>
      <c r="P1591">
        <v>0</v>
      </c>
      <c r="Q1591">
        <v>0</v>
      </c>
      <c r="R1591" t="s">
        <v>112</v>
      </c>
      <c r="S1591" t="str">
        <f>"14:16:52.883"</f>
        <v>14:16:52.883</v>
      </c>
      <c r="T1591" t="str">
        <f>"14:16:52.484"</f>
        <v>14:16:52.484</v>
      </c>
      <c r="U1591" t="str">
        <f t="shared" si="72"/>
        <v>ad5732</v>
      </c>
      <c r="V1591">
        <v>0</v>
      </c>
      <c r="W1591">
        <v>0</v>
      </c>
      <c r="X1591">
        <v>1</v>
      </c>
      <c r="Z1591">
        <v>0</v>
      </c>
      <c r="AA1591">
        <v>9</v>
      </c>
      <c r="AB1591">
        <v>3</v>
      </c>
      <c r="AC1591">
        <v>0</v>
      </c>
      <c r="AD1591">
        <v>10</v>
      </c>
      <c r="AE1591">
        <v>0</v>
      </c>
      <c r="AF1591">
        <v>3</v>
      </c>
      <c r="AG1591">
        <v>2</v>
      </c>
      <c r="AH1591">
        <v>0</v>
      </c>
      <c r="AI1591" t="s">
        <v>3285</v>
      </c>
      <c r="AJ1591">
        <v>39.681694999999998</v>
      </c>
      <c r="AK1591" t="s">
        <v>3286</v>
      </c>
      <c r="AL1591">
        <v>-76.259450999999999</v>
      </c>
      <c r="AM1591">
        <v>100</v>
      </c>
      <c r="AN1591">
        <v>4700</v>
      </c>
      <c r="AO1591" t="s">
        <v>115</v>
      </c>
      <c r="AP1591">
        <v>181</v>
      </c>
      <c r="AQ1591">
        <v>92</v>
      </c>
      <c r="AR1591">
        <v>-384</v>
      </c>
      <c r="AZ1591">
        <v>3614</v>
      </c>
      <c r="BA1591">
        <v>1</v>
      </c>
      <c r="BB1591" t="str">
        <f t="shared" si="74"/>
        <v xml:space="preserve">N959MJ  </v>
      </c>
      <c r="BC1591">
        <v>1</v>
      </c>
      <c r="BE1591">
        <v>0</v>
      </c>
      <c r="BF1591">
        <v>0</v>
      </c>
      <c r="BG1591">
        <v>0</v>
      </c>
      <c r="BH1591">
        <v>4875</v>
      </c>
      <c r="BI1591">
        <v>175</v>
      </c>
      <c r="BJ1591">
        <v>1</v>
      </c>
      <c r="BK1591">
        <v>1</v>
      </c>
      <c r="BL1591">
        <v>1</v>
      </c>
      <c r="BM1591">
        <v>0</v>
      </c>
      <c r="BP1591">
        <v>0</v>
      </c>
      <c r="BQ1591">
        <v>0</v>
      </c>
      <c r="BX1591" t="str">
        <f>"14:16:52.891"</f>
        <v>14:16:52.891</v>
      </c>
      <c r="BY1591" t="str">
        <f>"888556827"</f>
        <v>888556827</v>
      </c>
      <c r="CL1591">
        <v>0</v>
      </c>
      <c r="CM1591">
        <v>2</v>
      </c>
      <c r="CN1591">
        <v>0</v>
      </c>
      <c r="CO1591">
        <v>2</v>
      </c>
      <c r="CP1591">
        <v>0</v>
      </c>
      <c r="CQ1591">
        <v>6</v>
      </c>
      <c r="CR1591" t="s">
        <v>116</v>
      </c>
      <c r="CS1591">
        <v>396</v>
      </c>
      <c r="CT1591">
        <v>1</v>
      </c>
      <c r="CU1591" t="s">
        <v>939</v>
      </c>
      <c r="CV1591" t="s">
        <v>940</v>
      </c>
      <c r="CY1591">
        <v>9142281</v>
      </c>
      <c r="CZ1591" t="s">
        <v>119</v>
      </c>
    </row>
    <row r="1592" spans="1:104" x14ac:dyDescent="0.25">
      <c r="A1592" t="str">
        <f>"14:16:53.977"</f>
        <v>14:16:53.977</v>
      </c>
      <c r="B1592" t="s">
        <v>108</v>
      </c>
      <c r="C1592" t="str">
        <f t="shared" si="73"/>
        <v>ffdfd3c0</v>
      </c>
      <c r="D1592" t="s">
        <v>109</v>
      </c>
      <c r="E1592">
        <v>4</v>
      </c>
      <c r="F1592">
        <v>1004</v>
      </c>
      <c r="G1592" t="s">
        <v>110</v>
      </c>
      <c r="J1592" t="s">
        <v>111</v>
      </c>
      <c r="K1592">
        <v>0</v>
      </c>
      <c r="L1592">
        <v>3</v>
      </c>
      <c r="M1592">
        <v>0</v>
      </c>
      <c r="N1592">
        <v>2</v>
      </c>
      <c r="O1592">
        <v>1</v>
      </c>
      <c r="P1592">
        <v>0</v>
      </c>
      <c r="Q1592">
        <v>0</v>
      </c>
      <c r="R1592" t="s">
        <v>112</v>
      </c>
      <c r="S1592" t="str">
        <f>"14:16:53.766"</f>
        <v>14:16:53.766</v>
      </c>
      <c r="T1592" t="str">
        <f>"14:16:53.367"</f>
        <v>14:16:53.367</v>
      </c>
      <c r="U1592" t="str">
        <f t="shared" si="72"/>
        <v>ad5732</v>
      </c>
      <c r="V1592">
        <v>0</v>
      </c>
      <c r="W1592">
        <v>0</v>
      </c>
      <c r="X1592">
        <v>1</v>
      </c>
      <c r="Z1592">
        <v>0</v>
      </c>
      <c r="AA1592">
        <v>9</v>
      </c>
      <c r="AB1592">
        <v>3</v>
      </c>
      <c r="AC1592">
        <v>0</v>
      </c>
      <c r="AD1592">
        <v>10</v>
      </c>
      <c r="AE1592">
        <v>0</v>
      </c>
      <c r="AF1592">
        <v>3</v>
      </c>
      <c r="AG1592">
        <v>2</v>
      </c>
      <c r="AH1592">
        <v>0</v>
      </c>
      <c r="AI1592" t="s">
        <v>3287</v>
      </c>
      <c r="AJ1592">
        <v>39.682059000000002</v>
      </c>
      <c r="AK1592" t="s">
        <v>3288</v>
      </c>
      <c r="AL1592">
        <v>-76.258484999999993</v>
      </c>
      <c r="AM1592">
        <v>100</v>
      </c>
      <c r="AN1592">
        <v>4700</v>
      </c>
      <c r="AO1592" t="s">
        <v>115</v>
      </c>
      <c r="AP1592">
        <v>180</v>
      </c>
      <c r="AQ1592">
        <v>92</v>
      </c>
      <c r="AR1592">
        <v>-320</v>
      </c>
      <c r="AZ1592">
        <v>3614</v>
      </c>
      <c r="BA1592">
        <v>1</v>
      </c>
      <c r="BB1592" t="str">
        <f t="shared" si="74"/>
        <v xml:space="preserve">N959MJ  </v>
      </c>
      <c r="BC1592">
        <v>1</v>
      </c>
      <c r="BE1592">
        <v>0</v>
      </c>
      <c r="BF1592">
        <v>0</v>
      </c>
      <c r="BG1592">
        <v>0</v>
      </c>
      <c r="BH1592">
        <v>4875</v>
      </c>
      <c r="BI1592">
        <v>175</v>
      </c>
      <c r="BJ1592">
        <v>1</v>
      </c>
      <c r="BK1592">
        <v>1</v>
      </c>
      <c r="BL1592">
        <v>1</v>
      </c>
      <c r="BM1592">
        <v>0</v>
      </c>
      <c r="BP1592">
        <v>0</v>
      </c>
      <c r="BQ1592">
        <v>0</v>
      </c>
      <c r="BX1592" t="str">
        <f>"14:16:53.766"</f>
        <v>14:16:53.766</v>
      </c>
      <c r="BY1592" t="str">
        <f>"768392530"</f>
        <v>768392530</v>
      </c>
      <c r="CL1592">
        <v>0</v>
      </c>
      <c r="CM1592">
        <v>2</v>
      </c>
      <c r="CN1592">
        <v>0</v>
      </c>
      <c r="CO1592">
        <v>2</v>
      </c>
      <c r="CP1592">
        <v>0</v>
      </c>
      <c r="CQ1592">
        <v>6</v>
      </c>
      <c r="CR1592" t="s">
        <v>116</v>
      </c>
      <c r="CS1592">
        <v>396</v>
      </c>
      <c r="CT1592">
        <v>1</v>
      </c>
      <c r="CU1592" t="s">
        <v>939</v>
      </c>
      <c r="CV1592" t="s">
        <v>940</v>
      </c>
      <c r="CY1592">
        <v>9143763</v>
      </c>
      <c r="CZ1592" t="s">
        <v>119</v>
      </c>
    </row>
    <row r="1593" spans="1:104" x14ac:dyDescent="0.25">
      <c r="A1593" t="str">
        <f>"14:16:55.031"</f>
        <v>14:16:55.031</v>
      </c>
      <c r="B1593" t="s">
        <v>108</v>
      </c>
      <c r="C1593" t="str">
        <f t="shared" si="73"/>
        <v>ffdfd3c0</v>
      </c>
      <c r="D1593" t="s">
        <v>109</v>
      </c>
      <c r="E1593">
        <v>4</v>
      </c>
      <c r="F1593">
        <v>1004</v>
      </c>
      <c r="G1593" t="s">
        <v>110</v>
      </c>
      <c r="J1593" t="s">
        <v>111</v>
      </c>
      <c r="K1593">
        <v>0</v>
      </c>
      <c r="L1593">
        <v>3</v>
      </c>
      <c r="M1593">
        <v>0</v>
      </c>
      <c r="N1593">
        <v>2</v>
      </c>
      <c r="O1593">
        <v>1</v>
      </c>
      <c r="P1593">
        <v>0</v>
      </c>
      <c r="Q1593">
        <v>0</v>
      </c>
      <c r="R1593" t="s">
        <v>112</v>
      </c>
      <c r="S1593" t="str">
        <f>"14:16:54.859"</f>
        <v>14:16:54.859</v>
      </c>
      <c r="T1593" t="str">
        <f>"14:16:54.359"</f>
        <v>14:16:54.359</v>
      </c>
      <c r="U1593" t="str">
        <f t="shared" si="72"/>
        <v>ad5732</v>
      </c>
      <c r="V1593">
        <v>0</v>
      </c>
      <c r="W1593">
        <v>0</v>
      </c>
      <c r="X1593">
        <v>1</v>
      </c>
      <c r="Z1593">
        <v>0</v>
      </c>
      <c r="AA1593">
        <v>9</v>
      </c>
      <c r="AB1593">
        <v>3</v>
      </c>
      <c r="AC1593">
        <v>0</v>
      </c>
      <c r="AD1593">
        <v>10</v>
      </c>
      <c r="AE1593">
        <v>0</v>
      </c>
      <c r="AF1593">
        <v>3</v>
      </c>
      <c r="AG1593">
        <v>2</v>
      </c>
      <c r="AH1593">
        <v>0</v>
      </c>
      <c r="AI1593" t="s">
        <v>3289</v>
      </c>
      <c r="AJ1593">
        <v>39.682530999999997</v>
      </c>
      <c r="AK1593" t="s">
        <v>3290</v>
      </c>
      <c r="AL1593">
        <v>-76.257327000000004</v>
      </c>
      <c r="AM1593">
        <v>100</v>
      </c>
      <c r="AN1593">
        <v>4700</v>
      </c>
      <c r="AO1593" t="s">
        <v>115</v>
      </c>
      <c r="AP1593">
        <v>180</v>
      </c>
      <c r="AQ1593">
        <v>92</v>
      </c>
      <c r="AR1593">
        <v>-320</v>
      </c>
      <c r="AZ1593">
        <v>3614</v>
      </c>
      <c r="BA1593">
        <v>1</v>
      </c>
      <c r="BB1593" t="str">
        <f t="shared" si="74"/>
        <v xml:space="preserve">N959MJ  </v>
      </c>
      <c r="BC1593">
        <v>1</v>
      </c>
      <c r="BE1593">
        <v>0</v>
      </c>
      <c r="BF1593">
        <v>0</v>
      </c>
      <c r="BG1593">
        <v>0</v>
      </c>
      <c r="BH1593">
        <v>4875</v>
      </c>
      <c r="BI1593">
        <v>175</v>
      </c>
      <c r="BJ1593">
        <v>1</v>
      </c>
      <c r="BK1593">
        <v>1</v>
      </c>
      <c r="BL1593">
        <v>1</v>
      </c>
      <c r="BM1593">
        <v>0</v>
      </c>
      <c r="BP1593">
        <v>0</v>
      </c>
      <c r="BQ1593">
        <v>0</v>
      </c>
      <c r="BX1593" t="str">
        <f>"14:16:54.859"</f>
        <v>14:16:54.859</v>
      </c>
      <c r="BY1593" t="str">
        <f>"859585402"</f>
        <v>859585402</v>
      </c>
      <c r="CL1593">
        <v>0</v>
      </c>
      <c r="CM1593">
        <v>2</v>
      </c>
      <c r="CN1593">
        <v>0</v>
      </c>
      <c r="CO1593">
        <v>2</v>
      </c>
      <c r="CP1593">
        <v>0</v>
      </c>
      <c r="CQ1593">
        <v>6</v>
      </c>
      <c r="CR1593" t="s">
        <v>116</v>
      </c>
      <c r="CS1593">
        <v>396</v>
      </c>
      <c r="CT1593">
        <v>1</v>
      </c>
      <c r="CU1593" t="s">
        <v>939</v>
      </c>
      <c r="CV1593" t="s">
        <v>940</v>
      </c>
      <c r="CY1593">
        <v>9145798</v>
      </c>
      <c r="CZ1593" t="s">
        <v>119</v>
      </c>
    </row>
    <row r="1594" spans="1:104" x14ac:dyDescent="0.25">
      <c r="A1594" t="str">
        <f>"14:16:56.047"</f>
        <v>14:16:56.047</v>
      </c>
      <c r="B1594" t="s">
        <v>108</v>
      </c>
      <c r="C1594" t="str">
        <f t="shared" si="73"/>
        <v>ffdfd3c0</v>
      </c>
      <c r="D1594" t="s">
        <v>109</v>
      </c>
      <c r="E1594">
        <v>4</v>
      </c>
      <c r="F1594">
        <v>1004</v>
      </c>
      <c r="G1594" t="s">
        <v>110</v>
      </c>
      <c r="J1594" t="s">
        <v>111</v>
      </c>
      <c r="K1594">
        <v>0</v>
      </c>
      <c r="L1594">
        <v>3</v>
      </c>
      <c r="M1594">
        <v>0</v>
      </c>
      <c r="N1594">
        <v>2</v>
      </c>
      <c r="O1594">
        <v>1</v>
      </c>
      <c r="P1594">
        <v>0</v>
      </c>
      <c r="Q1594">
        <v>0</v>
      </c>
      <c r="R1594" t="s">
        <v>112</v>
      </c>
      <c r="S1594" t="str">
        <f>"14:16:55.867"</f>
        <v>14:16:55.867</v>
      </c>
      <c r="T1594" t="str">
        <f>"14:16:55.367"</f>
        <v>14:16:55.367</v>
      </c>
      <c r="U1594" t="str">
        <f t="shared" si="72"/>
        <v>ad5732</v>
      </c>
      <c r="V1594">
        <v>0</v>
      </c>
      <c r="W1594">
        <v>0</v>
      </c>
      <c r="X1594">
        <v>1</v>
      </c>
      <c r="Z1594">
        <v>0</v>
      </c>
      <c r="AA1594">
        <v>9</v>
      </c>
      <c r="AB1594">
        <v>3</v>
      </c>
      <c r="AC1594">
        <v>0</v>
      </c>
      <c r="AD1594">
        <v>10</v>
      </c>
      <c r="AE1594">
        <v>0</v>
      </c>
      <c r="AF1594">
        <v>3</v>
      </c>
      <c r="AG1594">
        <v>2</v>
      </c>
      <c r="AH1594">
        <v>0</v>
      </c>
      <c r="AI1594" t="s">
        <v>3291</v>
      </c>
      <c r="AJ1594">
        <v>39.682982000000003</v>
      </c>
      <c r="AK1594" t="s">
        <v>3292</v>
      </c>
      <c r="AL1594">
        <v>-76.256231999999997</v>
      </c>
      <c r="AM1594">
        <v>100</v>
      </c>
      <c r="AN1594">
        <v>4700</v>
      </c>
      <c r="AO1594" t="s">
        <v>115</v>
      </c>
      <c r="AP1594">
        <v>180</v>
      </c>
      <c r="AQ1594">
        <v>91</v>
      </c>
      <c r="AR1594">
        <v>-320</v>
      </c>
      <c r="AZ1594">
        <v>3614</v>
      </c>
      <c r="BA1594">
        <v>1</v>
      </c>
      <c r="BB1594" t="str">
        <f t="shared" si="74"/>
        <v xml:space="preserve">N959MJ  </v>
      </c>
      <c r="BC1594">
        <v>1</v>
      </c>
      <c r="BE1594">
        <v>0</v>
      </c>
      <c r="BF1594">
        <v>0</v>
      </c>
      <c r="BG1594">
        <v>0</v>
      </c>
      <c r="BH1594">
        <v>4875</v>
      </c>
      <c r="BI1594">
        <v>175</v>
      </c>
      <c r="BJ1594">
        <v>1</v>
      </c>
      <c r="BK1594">
        <v>1</v>
      </c>
      <c r="BL1594">
        <v>1</v>
      </c>
      <c r="BM1594">
        <v>0</v>
      </c>
      <c r="BP1594">
        <v>0</v>
      </c>
      <c r="BQ1594">
        <v>0</v>
      </c>
      <c r="BX1594" t="str">
        <f>"14:16:55.875"</f>
        <v>14:16:55.875</v>
      </c>
      <c r="BY1594" t="str">
        <f>"873772185"</f>
        <v>873772185</v>
      </c>
      <c r="CL1594">
        <v>0</v>
      </c>
      <c r="CM1594">
        <v>2</v>
      </c>
      <c r="CN1594">
        <v>0</v>
      </c>
      <c r="CO1594">
        <v>2</v>
      </c>
      <c r="CP1594">
        <v>0</v>
      </c>
      <c r="CQ1594">
        <v>6</v>
      </c>
      <c r="CR1594" t="s">
        <v>116</v>
      </c>
      <c r="CS1594">
        <v>396</v>
      </c>
      <c r="CT1594">
        <v>1</v>
      </c>
      <c r="CU1594" t="s">
        <v>939</v>
      </c>
      <c r="CV1594" t="s">
        <v>940</v>
      </c>
      <c r="CY1594">
        <v>9147664</v>
      </c>
      <c r="CZ1594" t="s">
        <v>119</v>
      </c>
    </row>
    <row r="1595" spans="1:104" x14ac:dyDescent="0.25">
      <c r="A1595" t="str">
        <f>"14:16:57.055"</f>
        <v>14:16:57.055</v>
      </c>
      <c r="B1595" t="s">
        <v>108</v>
      </c>
      <c r="C1595" t="str">
        <f t="shared" si="73"/>
        <v>ffdfd3c0</v>
      </c>
      <c r="D1595" t="s">
        <v>109</v>
      </c>
      <c r="E1595">
        <v>4</v>
      </c>
      <c r="F1595">
        <v>1004</v>
      </c>
      <c r="G1595" t="s">
        <v>110</v>
      </c>
      <c r="J1595" t="s">
        <v>111</v>
      </c>
      <c r="K1595">
        <v>0</v>
      </c>
      <c r="L1595">
        <v>3</v>
      </c>
      <c r="M1595">
        <v>0</v>
      </c>
      <c r="N1595">
        <v>2</v>
      </c>
      <c r="O1595">
        <v>1</v>
      </c>
      <c r="P1595">
        <v>0</v>
      </c>
      <c r="Q1595">
        <v>0</v>
      </c>
      <c r="R1595" t="s">
        <v>112</v>
      </c>
      <c r="S1595" t="str">
        <f>"14:16:56.852"</f>
        <v>14:16:56.852</v>
      </c>
      <c r="T1595" t="str">
        <f>"14:16:55.953"</f>
        <v>14:16:55.953</v>
      </c>
      <c r="U1595" t="str">
        <f t="shared" si="72"/>
        <v>ad5732</v>
      </c>
      <c r="V1595">
        <v>0</v>
      </c>
      <c r="W1595">
        <v>0</v>
      </c>
      <c r="X1595">
        <v>1</v>
      </c>
      <c r="Z1595">
        <v>0</v>
      </c>
      <c r="AA1595">
        <v>9</v>
      </c>
      <c r="AB1595">
        <v>3</v>
      </c>
      <c r="AC1595">
        <v>0</v>
      </c>
      <c r="AD1595">
        <v>10</v>
      </c>
      <c r="AE1595">
        <v>0</v>
      </c>
      <c r="AF1595">
        <v>3</v>
      </c>
      <c r="AG1595">
        <v>2</v>
      </c>
      <c r="AH1595">
        <v>0</v>
      </c>
      <c r="AI1595" t="s">
        <v>3293</v>
      </c>
      <c r="AJ1595">
        <v>39.683411</v>
      </c>
      <c r="AK1595" t="s">
        <v>3294</v>
      </c>
      <c r="AL1595">
        <v>-76.255180999999993</v>
      </c>
      <c r="AM1595">
        <v>100</v>
      </c>
      <c r="AN1595">
        <v>4700</v>
      </c>
      <c r="AO1595" t="s">
        <v>115</v>
      </c>
      <c r="AP1595">
        <v>179</v>
      </c>
      <c r="AQ1595">
        <v>91</v>
      </c>
      <c r="AR1595">
        <v>-256</v>
      </c>
      <c r="AZ1595">
        <v>3614</v>
      </c>
      <c r="BA1595">
        <v>1</v>
      </c>
      <c r="BB1595" t="str">
        <f t="shared" si="74"/>
        <v xml:space="preserve">N959MJ  </v>
      </c>
      <c r="BC1595">
        <v>1</v>
      </c>
      <c r="BE1595">
        <v>0</v>
      </c>
      <c r="BF1595">
        <v>0</v>
      </c>
      <c r="BG1595">
        <v>0</v>
      </c>
      <c r="BH1595">
        <v>4850</v>
      </c>
      <c r="BI1595">
        <v>150</v>
      </c>
      <c r="BJ1595">
        <v>1</v>
      </c>
      <c r="BK1595">
        <v>1</v>
      </c>
      <c r="BL1595">
        <v>1</v>
      </c>
      <c r="BM1595">
        <v>0</v>
      </c>
      <c r="BP1595">
        <v>0</v>
      </c>
      <c r="BQ1595">
        <v>0</v>
      </c>
      <c r="BX1595" t="str">
        <f>"14:16:56.859"</f>
        <v>14:16:56.859</v>
      </c>
      <c r="BY1595" t="str">
        <f>"856909168"</f>
        <v>856909168</v>
      </c>
      <c r="CL1595">
        <v>0</v>
      </c>
      <c r="CM1595">
        <v>2</v>
      </c>
      <c r="CN1595">
        <v>0</v>
      </c>
      <c r="CO1595">
        <v>2</v>
      </c>
      <c r="CP1595">
        <v>0</v>
      </c>
      <c r="CQ1595">
        <v>5</v>
      </c>
      <c r="CR1595" t="s">
        <v>116</v>
      </c>
      <c r="CS1595">
        <v>39</v>
      </c>
      <c r="CT1595">
        <v>2</v>
      </c>
      <c r="CU1595" t="s">
        <v>2259</v>
      </c>
      <c r="CV1595" t="s">
        <v>2260</v>
      </c>
      <c r="CY1595">
        <v>15852190</v>
      </c>
      <c r="CZ1595" t="s">
        <v>119</v>
      </c>
    </row>
    <row r="1596" spans="1:104" x14ac:dyDescent="0.25">
      <c r="A1596" t="str">
        <f>"14:16:58.164"</f>
        <v>14:16:58.164</v>
      </c>
      <c r="B1596" t="s">
        <v>108</v>
      </c>
      <c r="C1596" t="str">
        <f t="shared" si="73"/>
        <v>ffdfd3c0</v>
      </c>
      <c r="D1596" t="s">
        <v>109</v>
      </c>
      <c r="E1596">
        <v>4</v>
      </c>
      <c r="F1596">
        <v>1004</v>
      </c>
      <c r="G1596" t="s">
        <v>110</v>
      </c>
      <c r="J1596" t="s">
        <v>111</v>
      </c>
      <c r="K1596">
        <v>0</v>
      </c>
      <c r="L1596">
        <v>3</v>
      </c>
      <c r="M1596">
        <v>0</v>
      </c>
      <c r="N1596">
        <v>2</v>
      </c>
      <c r="O1596">
        <v>1</v>
      </c>
      <c r="P1596">
        <v>0</v>
      </c>
      <c r="Q1596">
        <v>0</v>
      </c>
      <c r="R1596" t="s">
        <v>112</v>
      </c>
      <c r="S1596" t="str">
        <f>"14:16:57.984"</f>
        <v>14:16:57.984</v>
      </c>
      <c r="T1596" t="str">
        <f>"14:16:57.484"</f>
        <v>14:16:57.484</v>
      </c>
      <c r="U1596" t="str">
        <f t="shared" si="72"/>
        <v>ad5732</v>
      </c>
      <c r="V1596">
        <v>0</v>
      </c>
      <c r="W1596">
        <v>0</v>
      </c>
      <c r="X1596">
        <v>1</v>
      </c>
      <c r="Z1596">
        <v>0</v>
      </c>
      <c r="AA1596">
        <v>9</v>
      </c>
      <c r="AB1596">
        <v>3</v>
      </c>
      <c r="AC1596">
        <v>0</v>
      </c>
      <c r="AD1596">
        <v>10</v>
      </c>
      <c r="AE1596">
        <v>0</v>
      </c>
      <c r="AF1596">
        <v>3</v>
      </c>
      <c r="AG1596">
        <v>2</v>
      </c>
      <c r="AH1596">
        <v>0</v>
      </c>
      <c r="AI1596" t="s">
        <v>3295</v>
      </c>
      <c r="AJ1596">
        <v>39.683861999999998</v>
      </c>
      <c r="AK1596" t="s">
        <v>3296</v>
      </c>
      <c r="AL1596">
        <v>-76.254022000000006</v>
      </c>
      <c r="AM1596">
        <v>100</v>
      </c>
      <c r="AN1596">
        <v>4700</v>
      </c>
      <c r="AO1596" t="s">
        <v>115</v>
      </c>
      <c r="AP1596">
        <v>179</v>
      </c>
      <c r="AQ1596">
        <v>91</v>
      </c>
      <c r="AR1596">
        <v>-128</v>
      </c>
      <c r="AZ1596">
        <v>3614</v>
      </c>
      <c r="BA1596">
        <v>1</v>
      </c>
      <c r="BB1596" t="str">
        <f t="shared" si="74"/>
        <v xml:space="preserve">N959MJ  </v>
      </c>
      <c r="BC1596">
        <v>1</v>
      </c>
      <c r="BE1596">
        <v>0</v>
      </c>
      <c r="BF1596">
        <v>0</v>
      </c>
      <c r="BG1596">
        <v>0</v>
      </c>
      <c r="BH1596">
        <v>4850</v>
      </c>
      <c r="BI1596">
        <v>150</v>
      </c>
      <c r="BJ1596">
        <v>1</v>
      </c>
      <c r="BK1596">
        <v>1</v>
      </c>
      <c r="BL1596">
        <v>1</v>
      </c>
      <c r="BM1596">
        <v>0</v>
      </c>
      <c r="BP1596">
        <v>0</v>
      </c>
      <c r="BQ1596">
        <v>0</v>
      </c>
      <c r="BX1596" t="str">
        <f>"14:16:57.984"</f>
        <v>14:16:57.984</v>
      </c>
      <c r="BY1596" t="str">
        <f>"985785418"</f>
        <v>985785418</v>
      </c>
      <c r="CL1596">
        <v>0</v>
      </c>
      <c r="CM1596">
        <v>2</v>
      </c>
      <c r="CN1596">
        <v>0</v>
      </c>
      <c r="CO1596">
        <v>2</v>
      </c>
      <c r="CP1596">
        <v>0</v>
      </c>
      <c r="CQ1596">
        <v>6</v>
      </c>
      <c r="CR1596" t="s">
        <v>116</v>
      </c>
      <c r="CS1596">
        <v>39</v>
      </c>
      <c r="CT1596">
        <v>2</v>
      </c>
      <c r="CU1596" t="s">
        <v>2259</v>
      </c>
      <c r="CV1596" t="s">
        <v>2260</v>
      </c>
      <c r="CY1596">
        <v>15853984</v>
      </c>
      <c r="CZ1596" t="s">
        <v>119</v>
      </c>
    </row>
    <row r="1597" spans="1:104" x14ac:dyDescent="0.25">
      <c r="A1597" t="str">
        <f>"14:16:59.023"</f>
        <v>14:16:59.023</v>
      </c>
      <c r="B1597" t="s">
        <v>108</v>
      </c>
      <c r="C1597" t="str">
        <f t="shared" si="73"/>
        <v>ffdfd3c0</v>
      </c>
      <c r="D1597" t="s">
        <v>109</v>
      </c>
      <c r="E1597">
        <v>4</v>
      </c>
      <c r="F1597">
        <v>1004</v>
      </c>
      <c r="G1597" t="s">
        <v>110</v>
      </c>
      <c r="J1597" t="s">
        <v>111</v>
      </c>
      <c r="K1597">
        <v>0</v>
      </c>
      <c r="L1597">
        <v>3</v>
      </c>
      <c r="M1597">
        <v>0</v>
      </c>
      <c r="N1597">
        <v>2</v>
      </c>
      <c r="O1597">
        <v>1</v>
      </c>
      <c r="P1597">
        <v>0</v>
      </c>
      <c r="Q1597">
        <v>0</v>
      </c>
      <c r="R1597" t="s">
        <v>112</v>
      </c>
      <c r="S1597" t="str">
        <f>"14:16:58.828"</f>
        <v>14:16:58.828</v>
      </c>
      <c r="T1597" t="str">
        <f>"14:16:58.430"</f>
        <v>14:16:58.430</v>
      </c>
      <c r="U1597" t="str">
        <f t="shared" si="72"/>
        <v>ad5732</v>
      </c>
      <c r="V1597">
        <v>0</v>
      </c>
      <c r="W1597">
        <v>0</v>
      </c>
      <c r="X1597">
        <v>1</v>
      </c>
      <c r="Z1597">
        <v>0</v>
      </c>
      <c r="AA1597">
        <v>9</v>
      </c>
      <c r="AB1597">
        <v>3</v>
      </c>
      <c r="AC1597">
        <v>0</v>
      </c>
      <c r="AD1597">
        <v>10</v>
      </c>
      <c r="AE1597">
        <v>0</v>
      </c>
      <c r="AF1597">
        <v>3</v>
      </c>
      <c r="AG1597">
        <v>2</v>
      </c>
      <c r="AH1597">
        <v>0</v>
      </c>
      <c r="AI1597" t="s">
        <v>3297</v>
      </c>
      <c r="AJ1597">
        <v>39.684247999999997</v>
      </c>
      <c r="AK1597" t="s">
        <v>3298</v>
      </c>
      <c r="AL1597">
        <v>-76.253056999999998</v>
      </c>
      <c r="AM1597">
        <v>100</v>
      </c>
      <c r="AN1597">
        <v>4700</v>
      </c>
      <c r="AO1597" t="s">
        <v>115</v>
      </c>
      <c r="AP1597">
        <v>178</v>
      </c>
      <c r="AQ1597">
        <v>91</v>
      </c>
      <c r="AR1597">
        <v>0</v>
      </c>
      <c r="AZ1597">
        <v>3614</v>
      </c>
      <c r="BA1597">
        <v>1</v>
      </c>
      <c r="BB1597" t="str">
        <f t="shared" si="74"/>
        <v xml:space="preserve">N959MJ  </v>
      </c>
      <c r="BC1597">
        <v>1</v>
      </c>
      <c r="BE1597">
        <v>0</v>
      </c>
      <c r="BF1597">
        <v>0</v>
      </c>
      <c r="BG1597">
        <v>0</v>
      </c>
      <c r="BH1597">
        <v>4850</v>
      </c>
      <c r="BI1597">
        <v>150</v>
      </c>
      <c r="BJ1597">
        <v>1</v>
      </c>
      <c r="BK1597">
        <v>1</v>
      </c>
      <c r="BL1597">
        <v>1</v>
      </c>
      <c r="BM1597">
        <v>0</v>
      </c>
      <c r="BP1597">
        <v>0</v>
      </c>
      <c r="BQ1597">
        <v>0</v>
      </c>
      <c r="BX1597" t="str">
        <f>"14:16:58.836"</f>
        <v>14:16:58.836</v>
      </c>
      <c r="BY1597" t="str">
        <f>"832772706"</f>
        <v>832772706</v>
      </c>
      <c r="CL1597">
        <v>0</v>
      </c>
      <c r="CM1597">
        <v>2</v>
      </c>
      <c r="CN1597">
        <v>0</v>
      </c>
      <c r="CO1597">
        <v>2</v>
      </c>
      <c r="CP1597">
        <v>0</v>
      </c>
      <c r="CQ1597">
        <v>6</v>
      </c>
      <c r="CR1597" t="s">
        <v>116</v>
      </c>
      <c r="CS1597">
        <v>396</v>
      </c>
      <c r="CT1597">
        <v>1</v>
      </c>
      <c r="CU1597" t="s">
        <v>939</v>
      </c>
      <c r="CV1597" t="s">
        <v>940</v>
      </c>
      <c r="CY1597">
        <v>9152992</v>
      </c>
      <c r="CZ1597" t="s">
        <v>119</v>
      </c>
    </row>
    <row r="1598" spans="1:104" x14ac:dyDescent="0.25">
      <c r="A1598" t="str">
        <f>"14:17:00.078"</f>
        <v>14:17:00.078</v>
      </c>
      <c r="B1598" t="s">
        <v>108</v>
      </c>
      <c r="C1598" t="str">
        <f t="shared" si="73"/>
        <v>ffdfd3c0</v>
      </c>
      <c r="D1598" t="s">
        <v>109</v>
      </c>
      <c r="E1598">
        <v>4</v>
      </c>
      <c r="F1598">
        <v>1004</v>
      </c>
      <c r="G1598" t="s">
        <v>110</v>
      </c>
      <c r="J1598" t="s">
        <v>111</v>
      </c>
      <c r="K1598">
        <v>0</v>
      </c>
      <c r="L1598">
        <v>3</v>
      </c>
      <c r="M1598">
        <v>0</v>
      </c>
      <c r="N1598">
        <v>2</v>
      </c>
      <c r="O1598">
        <v>1</v>
      </c>
      <c r="P1598">
        <v>0</v>
      </c>
      <c r="Q1598">
        <v>0</v>
      </c>
      <c r="R1598" t="s">
        <v>112</v>
      </c>
      <c r="S1598" t="str">
        <f>"14:16:59.922"</f>
        <v>14:16:59.922</v>
      </c>
      <c r="T1598" t="str">
        <f>"14:16:59.422"</f>
        <v>14:16:59.422</v>
      </c>
      <c r="U1598" t="str">
        <f t="shared" si="72"/>
        <v>ad5732</v>
      </c>
      <c r="V1598">
        <v>0</v>
      </c>
      <c r="W1598">
        <v>0</v>
      </c>
      <c r="X1598">
        <v>1</v>
      </c>
      <c r="Z1598">
        <v>0</v>
      </c>
      <c r="AA1598">
        <v>9</v>
      </c>
      <c r="AB1598">
        <v>3</v>
      </c>
      <c r="AC1598">
        <v>0</v>
      </c>
      <c r="AD1598">
        <v>10</v>
      </c>
      <c r="AE1598">
        <v>0</v>
      </c>
      <c r="AF1598">
        <v>3</v>
      </c>
      <c r="AG1598">
        <v>2</v>
      </c>
      <c r="AH1598">
        <v>0</v>
      </c>
      <c r="AI1598" t="s">
        <v>3299</v>
      </c>
      <c r="AJ1598">
        <v>39.684677000000001</v>
      </c>
      <c r="AK1598" t="s">
        <v>3300</v>
      </c>
      <c r="AL1598">
        <v>-76.251855000000006</v>
      </c>
      <c r="AM1598">
        <v>100</v>
      </c>
      <c r="AN1598">
        <v>4700</v>
      </c>
      <c r="AO1598" t="s">
        <v>115</v>
      </c>
      <c r="AP1598">
        <v>178</v>
      </c>
      <c r="AQ1598">
        <v>90</v>
      </c>
      <c r="AR1598">
        <v>64</v>
      </c>
      <c r="AZ1598">
        <v>3614</v>
      </c>
      <c r="BA1598">
        <v>1</v>
      </c>
      <c r="BB1598" t="str">
        <f t="shared" si="74"/>
        <v xml:space="preserve">N959MJ  </v>
      </c>
      <c r="BC1598">
        <v>1</v>
      </c>
      <c r="BE1598">
        <v>0</v>
      </c>
      <c r="BF1598">
        <v>0</v>
      </c>
      <c r="BG1598">
        <v>0</v>
      </c>
      <c r="BH1598">
        <v>4850</v>
      </c>
      <c r="BI1598">
        <v>150</v>
      </c>
      <c r="BJ1598">
        <v>1</v>
      </c>
      <c r="BK1598">
        <v>1</v>
      </c>
      <c r="BL1598">
        <v>1</v>
      </c>
      <c r="BM1598">
        <v>0</v>
      </c>
      <c r="BP1598">
        <v>0</v>
      </c>
      <c r="BQ1598">
        <v>0</v>
      </c>
      <c r="BX1598" t="str">
        <f>"14:16:59.930"</f>
        <v>14:16:59.930</v>
      </c>
      <c r="BY1598" t="str">
        <f>"928880868"</f>
        <v>928880868</v>
      </c>
      <c r="CL1598">
        <v>0</v>
      </c>
      <c r="CM1598">
        <v>2</v>
      </c>
      <c r="CN1598">
        <v>0</v>
      </c>
      <c r="CO1598">
        <v>2</v>
      </c>
      <c r="CP1598">
        <v>0</v>
      </c>
      <c r="CQ1598">
        <v>6</v>
      </c>
      <c r="CR1598" t="s">
        <v>116</v>
      </c>
      <c r="CS1598">
        <v>396</v>
      </c>
      <c r="CT1598">
        <v>1</v>
      </c>
      <c r="CU1598" t="s">
        <v>939</v>
      </c>
      <c r="CV1598" t="s">
        <v>940</v>
      </c>
      <c r="CY1598">
        <v>9154996</v>
      </c>
      <c r="CZ1598" t="s">
        <v>119</v>
      </c>
    </row>
    <row r="1599" spans="1:104" x14ac:dyDescent="0.25">
      <c r="A1599" t="str">
        <f>"14:17:01.195"</f>
        <v>14:17:01.195</v>
      </c>
      <c r="B1599" t="s">
        <v>108</v>
      </c>
      <c r="C1599" t="str">
        <f t="shared" si="73"/>
        <v>ffdfd3c0</v>
      </c>
      <c r="D1599" t="s">
        <v>109</v>
      </c>
      <c r="E1599">
        <v>4</v>
      </c>
      <c r="F1599">
        <v>1004</v>
      </c>
      <c r="G1599" t="s">
        <v>110</v>
      </c>
      <c r="J1599" t="s">
        <v>111</v>
      </c>
      <c r="K1599">
        <v>0</v>
      </c>
      <c r="L1599">
        <v>3</v>
      </c>
      <c r="M1599">
        <v>0</v>
      </c>
      <c r="N1599">
        <v>2</v>
      </c>
      <c r="O1599">
        <v>1</v>
      </c>
      <c r="P1599">
        <v>0</v>
      </c>
      <c r="Q1599">
        <v>0</v>
      </c>
      <c r="R1599" t="s">
        <v>112</v>
      </c>
      <c r="S1599" t="str">
        <f>"14:17:01.000"</f>
        <v>14:17:01.000</v>
      </c>
      <c r="T1599" t="str">
        <f>"14:17:00.500"</f>
        <v>14:17:00.500</v>
      </c>
      <c r="U1599" t="str">
        <f t="shared" si="72"/>
        <v>ad5732</v>
      </c>
      <c r="V1599">
        <v>0</v>
      </c>
      <c r="W1599">
        <v>0</v>
      </c>
      <c r="X1599">
        <v>1</v>
      </c>
      <c r="Z1599">
        <v>0</v>
      </c>
      <c r="AA1599">
        <v>9</v>
      </c>
      <c r="AB1599">
        <v>3</v>
      </c>
      <c r="AC1599">
        <v>0</v>
      </c>
      <c r="AD1599">
        <v>10</v>
      </c>
      <c r="AE1599">
        <v>0</v>
      </c>
      <c r="AF1599">
        <v>3</v>
      </c>
      <c r="AG1599">
        <v>2</v>
      </c>
      <c r="AH1599">
        <v>0</v>
      </c>
      <c r="AI1599" t="s">
        <v>3301</v>
      </c>
      <c r="AJ1599">
        <v>39.685127999999999</v>
      </c>
      <c r="AK1599" t="s">
        <v>3302</v>
      </c>
      <c r="AL1599">
        <v>-76.250675000000001</v>
      </c>
      <c r="AM1599">
        <v>100</v>
      </c>
      <c r="AN1599">
        <v>4700</v>
      </c>
      <c r="AO1599" t="s">
        <v>115</v>
      </c>
      <c r="AP1599">
        <v>177</v>
      </c>
      <c r="AQ1599">
        <v>90</v>
      </c>
      <c r="AR1599">
        <v>192</v>
      </c>
      <c r="AZ1599">
        <v>3614</v>
      </c>
      <c r="BA1599">
        <v>1</v>
      </c>
      <c r="BB1599" t="str">
        <f t="shared" si="74"/>
        <v xml:space="preserve">N959MJ  </v>
      </c>
      <c r="BC1599">
        <v>1</v>
      </c>
      <c r="BE1599">
        <v>0</v>
      </c>
      <c r="BF1599">
        <v>0</v>
      </c>
      <c r="BG1599">
        <v>0</v>
      </c>
      <c r="BH1599">
        <v>4850</v>
      </c>
      <c r="BI1599">
        <v>150</v>
      </c>
      <c r="BJ1599">
        <v>1</v>
      </c>
      <c r="BK1599">
        <v>1</v>
      </c>
      <c r="BL1599">
        <v>1</v>
      </c>
      <c r="BM1599">
        <v>0</v>
      </c>
      <c r="BP1599">
        <v>0</v>
      </c>
      <c r="BQ1599">
        <v>0</v>
      </c>
      <c r="BX1599" t="str">
        <f>"14:17:01.000"</f>
        <v>14:17:01.000</v>
      </c>
      <c r="BY1599" t="str">
        <f>"003689582"</f>
        <v>003689582</v>
      </c>
      <c r="CL1599">
        <v>0</v>
      </c>
      <c r="CM1599">
        <v>2</v>
      </c>
      <c r="CN1599">
        <v>0</v>
      </c>
      <c r="CO1599">
        <v>2</v>
      </c>
      <c r="CP1599">
        <v>0</v>
      </c>
      <c r="CQ1599">
        <v>6</v>
      </c>
      <c r="CR1599" t="s">
        <v>116</v>
      </c>
      <c r="CS1599">
        <v>396</v>
      </c>
      <c r="CT1599">
        <v>1</v>
      </c>
      <c r="CU1599" t="s">
        <v>939</v>
      </c>
      <c r="CV1599" t="s">
        <v>940</v>
      </c>
      <c r="CY1599">
        <v>9156933</v>
      </c>
      <c r="CZ1599" t="s">
        <v>119</v>
      </c>
    </row>
    <row r="1600" spans="1:104" x14ac:dyDescent="0.25">
      <c r="A1600" t="str">
        <f>"14:17:02.250"</f>
        <v>14:17:02.250</v>
      </c>
      <c r="B1600" t="s">
        <v>108</v>
      </c>
      <c r="C1600" t="str">
        <f t="shared" si="73"/>
        <v>ffdfd3c0</v>
      </c>
      <c r="D1600" t="s">
        <v>109</v>
      </c>
      <c r="E1600">
        <v>4</v>
      </c>
      <c r="F1600">
        <v>1004</v>
      </c>
      <c r="G1600" t="s">
        <v>110</v>
      </c>
      <c r="J1600" t="s">
        <v>111</v>
      </c>
      <c r="K1600">
        <v>0</v>
      </c>
      <c r="L1600">
        <v>3</v>
      </c>
      <c r="M1600">
        <v>0</v>
      </c>
      <c r="N1600">
        <v>2</v>
      </c>
      <c r="O1600">
        <v>1</v>
      </c>
      <c r="P1600">
        <v>0</v>
      </c>
      <c r="Q1600">
        <v>0</v>
      </c>
      <c r="R1600" t="s">
        <v>112</v>
      </c>
      <c r="S1600" t="str">
        <f>"14:17:02.047"</f>
        <v>14:17:02.047</v>
      </c>
      <c r="T1600" t="str">
        <f>"14:17:01.648"</f>
        <v>14:17:01.648</v>
      </c>
      <c r="U1600" t="str">
        <f t="shared" si="72"/>
        <v>ad5732</v>
      </c>
      <c r="V1600">
        <v>0</v>
      </c>
      <c r="W1600">
        <v>0</v>
      </c>
      <c r="X1600">
        <v>1</v>
      </c>
      <c r="Z1600">
        <v>0</v>
      </c>
      <c r="AA1600">
        <v>9</v>
      </c>
      <c r="AB1600">
        <v>3</v>
      </c>
      <c r="AC1600">
        <v>0</v>
      </c>
      <c r="AD1600">
        <v>10</v>
      </c>
      <c r="AE1600">
        <v>0</v>
      </c>
      <c r="AF1600">
        <v>3</v>
      </c>
      <c r="AG1600">
        <v>2</v>
      </c>
      <c r="AH1600">
        <v>0</v>
      </c>
      <c r="AI1600" t="s">
        <v>3303</v>
      </c>
      <c r="AJ1600">
        <v>39.685557000000003</v>
      </c>
      <c r="AK1600" t="s">
        <v>3304</v>
      </c>
      <c r="AL1600">
        <v>-76.249623</v>
      </c>
      <c r="AM1600">
        <v>100</v>
      </c>
      <c r="AN1600">
        <v>4700</v>
      </c>
      <c r="AO1600" t="s">
        <v>115</v>
      </c>
      <c r="AP1600">
        <v>176</v>
      </c>
      <c r="AQ1600">
        <v>90</v>
      </c>
      <c r="AR1600">
        <v>192</v>
      </c>
      <c r="AZ1600">
        <v>3614</v>
      </c>
      <c r="BA1600">
        <v>1</v>
      </c>
      <c r="BB1600" t="str">
        <f t="shared" si="74"/>
        <v xml:space="preserve">N959MJ  </v>
      </c>
      <c r="BC1600">
        <v>1</v>
      </c>
      <c r="BE1600">
        <v>0</v>
      </c>
      <c r="BF1600">
        <v>0</v>
      </c>
      <c r="BG1600">
        <v>0</v>
      </c>
      <c r="BH1600">
        <v>4875</v>
      </c>
      <c r="BI1600">
        <v>175</v>
      </c>
      <c r="BJ1600">
        <v>1</v>
      </c>
      <c r="BK1600">
        <v>1</v>
      </c>
      <c r="BL1600">
        <v>1</v>
      </c>
      <c r="BM1600">
        <v>0</v>
      </c>
      <c r="BP1600">
        <v>0</v>
      </c>
      <c r="BQ1600">
        <v>0</v>
      </c>
      <c r="BX1600" t="str">
        <f>"14:17:02.047"</f>
        <v>14:17:02.047</v>
      </c>
      <c r="BY1600" t="str">
        <f>"047445968"</f>
        <v>047445968</v>
      </c>
      <c r="CL1600">
        <v>0</v>
      </c>
      <c r="CM1600">
        <v>2</v>
      </c>
      <c r="CN1600">
        <v>0</v>
      </c>
      <c r="CO1600">
        <v>2</v>
      </c>
      <c r="CP1600">
        <v>0</v>
      </c>
      <c r="CQ1600">
        <v>6</v>
      </c>
      <c r="CR1600" t="s">
        <v>116</v>
      </c>
      <c r="CS1600">
        <v>39</v>
      </c>
      <c r="CT1600">
        <v>2</v>
      </c>
      <c r="CU1600" t="s">
        <v>2259</v>
      </c>
      <c r="CV1600" t="s">
        <v>2260</v>
      </c>
      <c r="CY1600">
        <v>15860452</v>
      </c>
      <c r="CZ1600" t="s">
        <v>119</v>
      </c>
    </row>
    <row r="1601" spans="1:104" x14ac:dyDescent="0.25">
      <c r="A1601" t="str">
        <f>"14:17:03.359"</f>
        <v>14:17:03.359</v>
      </c>
      <c r="B1601" t="s">
        <v>108</v>
      </c>
      <c r="C1601" t="str">
        <f t="shared" si="73"/>
        <v>ffdfd3c0</v>
      </c>
      <c r="D1601" t="s">
        <v>109</v>
      </c>
      <c r="E1601">
        <v>4</v>
      </c>
      <c r="F1601">
        <v>1004</v>
      </c>
      <c r="G1601" t="s">
        <v>110</v>
      </c>
      <c r="J1601" t="s">
        <v>111</v>
      </c>
      <c r="K1601">
        <v>0</v>
      </c>
      <c r="L1601">
        <v>3</v>
      </c>
      <c r="M1601">
        <v>0</v>
      </c>
      <c r="N1601">
        <v>2</v>
      </c>
      <c r="O1601">
        <v>1</v>
      </c>
      <c r="P1601">
        <v>0</v>
      </c>
      <c r="Q1601">
        <v>0</v>
      </c>
      <c r="R1601" t="s">
        <v>112</v>
      </c>
      <c r="S1601" t="str">
        <f>"14:17:03.133"</f>
        <v>14:17:03.133</v>
      </c>
      <c r="T1601" t="str">
        <f>"14:17:02.633"</f>
        <v>14:17:02.633</v>
      </c>
      <c r="U1601" t="str">
        <f t="shared" si="72"/>
        <v>ad5732</v>
      </c>
      <c r="V1601">
        <v>0</v>
      </c>
      <c r="W1601">
        <v>0</v>
      </c>
      <c r="X1601">
        <v>1</v>
      </c>
      <c r="Z1601">
        <v>0</v>
      </c>
      <c r="AA1601">
        <v>9</v>
      </c>
      <c r="AB1601">
        <v>3</v>
      </c>
      <c r="AC1601">
        <v>0</v>
      </c>
      <c r="AD1601">
        <v>10</v>
      </c>
      <c r="AE1601">
        <v>0</v>
      </c>
      <c r="AF1601">
        <v>3</v>
      </c>
      <c r="AG1601">
        <v>2</v>
      </c>
      <c r="AH1601">
        <v>0</v>
      </c>
      <c r="AI1601" t="s">
        <v>3305</v>
      </c>
      <c r="AJ1601">
        <v>39.686006999999996</v>
      </c>
      <c r="AK1601" t="s">
        <v>3306</v>
      </c>
      <c r="AL1601">
        <v>-76.248529000000005</v>
      </c>
      <c r="AM1601">
        <v>100</v>
      </c>
      <c r="AN1601">
        <v>4700</v>
      </c>
      <c r="AO1601" t="s">
        <v>115</v>
      </c>
      <c r="AP1601">
        <v>175</v>
      </c>
      <c r="AQ1601">
        <v>89</v>
      </c>
      <c r="AR1601">
        <v>128</v>
      </c>
      <c r="AZ1601">
        <v>3614</v>
      </c>
      <c r="BA1601">
        <v>1</v>
      </c>
      <c r="BB1601" t="str">
        <f t="shared" si="74"/>
        <v xml:space="preserve">N959MJ  </v>
      </c>
      <c r="BC1601">
        <v>1</v>
      </c>
      <c r="BE1601">
        <v>0</v>
      </c>
      <c r="BF1601">
        <v>0</v>
      </c>
      <c r="BG1601">
        <v>0</v>
      </c>
      <c r="BH1601">
        <v>4875</v>
      </c>
      <c r="BI1601">
        <v>175</v>
      </c>
      <c r="BJ1601">
        <v>1</v>
      </c>
      <c r="BK1601">
        <v>1</v>
      </c>
      <c r="BL1601">
        <v>1</v>
      </c>
      <c r="BM1601">
        <v>0</v>
      </c>
      <c r="BP1601">
        <v>0</v>
      </c>
      <c r="BQ1601">
        <v>0</v>
      </c>
      <c r="BX1601" t="str">
        <f>"14:17:03.141"</f>
        <v>14:17:03.141</v>
      </c>
      <c r="BY1601" t="str">
        <f>"140276802"</f>
        <v>140276802</v>
      </c>
      <c r="CL1601">
        <v>0</v>
      </c>
      <c r="CM1601">
        <v>2</v>
      </c>
      <c r="CN1601">
        <v>0</v>
      </c>
      <c r="CO1601">
        <v>2</v>
      </c>
      <c r="CP1601">
        <v>0</v>
      </c>
      <c r="CQ1601">
        <v>6</v>
      </c>
      <c r="CR1601" t="s">
        <v>116</v>
      </c>
      <c r="CS1601">
        <v>39</v>
      </c>
      <c r="CT1601">
        <v>2</v>
      </c>
      <c r="CU1601" t="s">
        <v>2259</v>
      </c>
      <c r="CV1601" t="s">
        <v>2260</v>
      </c>
      <c r="CY1601">
        <v>15862118</v>
      </c>
      <c r="CZ1601" t="s">
        <v>119</v>
      </c>
    </row>
    <row r="1602" spans="1:104" x14ac:dyDescent="0.25">
      <c r="A1602" t="str">
        <f>"14:17:04.320"</f>
        <v>14:17:04.320</v>
      </c>
      <c r="B1602" t="s">
        <v>108</v>
      </c>
      <c r="C1602" t="str">
        <f t="shared" si="73"/>
        <v>ffdfd3c0</v>
      </c>
      <c r="D1602" t="s">
        <v>109</v>
      </c>
      <c r="E1602">
        <v>4</v>
      </c>
      <c r="F1602">
        <v>1004</v>
      </c>
      <c r="G1602" t="s">
        <v>110</v>
      </c>
      <c r="J1602" t="s">
        <v>111</v>
      </c>
      <c r="K1602">
        <v>0</v>
      </c>
      <c r="L1602">
        <v>3</v>
      </c>
      <c r="M1602">
        <v>0</v>
      </c>
      <c r="N1602">
        <v>2</v>
      </c>
      <c r="O1602">
        <v>1</v>
      </c>
      <c r="P1602">
        <v>0</v>
      </c>
      <c r="Q1602">
        <v>0</v>
      </c>
      <c r="R1602" t="s">
        <v>112</v>
      </c>
      <c r="S1602" t="str">
        <f>"14:17:04.172"</f>
        <v>14:17:04.172</v>
      </c>
      <c r="T1602" t="str">
        <f>"14:17:03.773"</f>
        <v>14:17:03.773</v>
      </c>
      <c r="U1602" t="str">
        <f t="shared" ref="U1602:U1665" si="75">"ad5732"</f>
        <v>ad5732</v>
      </c>
      <c r="V1602">
        <v>0</v>
      </c>
      <c r="W1602">
        <v>0</v>
      </c>
      <c r="X1602">
        <v>1</v>
      </c>
      <c r="Z1602">
        <v>0</v>
      </c>
      <c r="AA1602">
        <v>9</v>
      </c>
      <c r="AB1602">
        <v>3</v>
      </c>
      <c r="AC1602">
        <v>0</v>
      </c>
      <c r="AD1602">
        <v>10</v>
      </c>
      <c r="AE1602">
        <v>0</v>
      </c>
      <c r="AF1602">
        <v>3</v>
      </c>
      <c r="AG1602">
        <v>2</v>
      </c>
      <c r="AH1602">
        <v>0</v>
      </c>
      <c r="AI1602" t="s">
        <v>3307</v>
      </c>
      <c r="AJ1602">
        <v>39.686414999999997</v>
      </c>
      <c r="AK1602" t="s">
        <v>3308</v>
      </c>
      <c r="AL1602">
        <v>-76.247456</v>
      </c>
      <c r="AM1602">
        <v>100</v>
      </c>
      <c r="AN1602">
        <v>4700</v>
      </c>
      <c r="AO1602" t="s">
        <v>115</v>
      </c>
      <c r="AP1602">
        <v>174</v>
      </c>
      <c r="AQ1602">
        <v>89</v>
      </c>
      <c r="AR1602">
        <v>128</v>
      </c>
      <c r="AZ1602">
        <v>3614</v>
      </c>
      <c r="BA1602">
        <v>1</v>
      </c>
      <c r="BB1602" t="str">
        <f t="shared" si="74"/>
        <v xml:space="preserve">N959MJ  </v>
      </c>
      <c r="BC1602">
        <v>1</v>
      </c>
      <c r="BE1602">
        <v>0</v>
      </c>
      <c r="BF1602">
        <v>0</v>
      </c>
      <c r="BG1602">
        <v>0</v>
      </c>
      <c r="BH1602">
        <v>4875</v>
      </c>
      <c r="BI1602">
        <v>175</v>
      </c>
      <c r="BJ1602">
        <v>1</v>
      </c>
      <c r="BK1602">
        <v>1</v>
      </c>
      <c r="BL1602">
        <v>1</v>
      </c>
      <c r="BM1602">
        <v>0</v>
      </c>
      <c r="BP1602">
        <v>0</v>
      </c>
      <c r="BQ1602">
        <v>0</v>
      </c>
      <c r="BX1602" t="str">
        <f>"14:17:04.172"</f>
        <v>14:17:04.172</v>
      </c>
      <c r="BY1602" t="str">
        <f>"174124267"</f>
        <v>174124267</v>
      </c>
      <c r="CL1602">
        <v>0</v>
      </c>
      <c r="CM1602">
        <v>2</v>
      </c>
      <c r="CN1602">
        <v>0</v>
      </c>
      <c r="CO1602">
        <v>2</v>
      </c>
      <c r="CP1602">
        <v>0</v>
      </c>
      <c r="CQ1602">
        <v>6</v>
      </c>
      <c r="CR1602" t="s">
        <v>116</v>
      </c>
      <c r="CS1602">
        <v>39</v>
      </c>
      <c r="CT1602">
        <v>2</v>
      </c>
      <c r="CU1602" t="s">
        <v>2259</v>
      </c>
      <c r="CV1602" t="s">
        <v>2260</v>
      </c>
      <c r="CY1602">
        <v>15863787</v>
      </c>
      <c r="CZ1602" t="s">
        <v>119</v>
      </c>
    </row>
    <row r="1603" spans="1:104" x14ac:dyDescent="0.25">
      <c r="A1603" t="str">
        <f>"14:17:05.227"</f>
        <v>14:17:05.227</v>
      </c>
      <c r="B1603" t="s">
        <v>108</v>
      </c>
      <c r="C1603" t="str">
        <f t="shared" si="73"/>
        <v>ffdfd3c0</v>
      </c>
      <c r="D1603" t="s">
        <v>109</v>
      </c>
      <c r="E1603">
        <v>4</v>
      </c>
      <c r="F1603">
        <v>1004</v>
      </c>
      <c r="G1603" t="s">
        <v>110</v>
      </c>
      <c r="J1603" t="s">
        <v>111</v>
      </c>
      <c r="K1603">
        <v>0</v>
      </c>
      <c r="L1603">
        <v>3</v>
      </c>
      <c r="M1603">
        <v>0</v>
      </c>
      <c r="N1603">
        <v>2</v>
      </c>
      <c r="O1603">
        <v>1</v>
      </c>
      <c r="P1603">
        <v>0</v>
      </c>
      <c r="Q1603">
        <v>0</v>
      </c>
      <c r="R1603" t="s">
        <v>112</v>
      </c>
      <c r="S1603" t="str">
        <f>"14:17:05.063"</f>
        <v>14:17:05.063</v>
      </c>
      <c r="T1603" t="str">
        <f>"14:17:04.664"</f>
        <v>14:17:04.664</v>
      </c>
      <c r="U1603" t="str">
        <f t="shared" si="75"/>
        <v>ad5732</v>
      </c>
      <c r="V1603">
        <v>0</v>
      </c>
      <c r="W1603">
        <v>0</v>
      </c>
      <c r="X1603">
        <v>1</v>
      </c>
      <c r="Z1603">
        <v>0</v>
      </c>
      <c r="AA1603">
        <v>9</v>
      </c>
      <c r="AB1603">
        <v>3</v>
      </c>
      <c r="AC1603">
        <v>0</v>
      </c>
      <c r="AD1603">
        <v>10</v>
      </c>
      <c r="AE1603">
        <v>0</v>
      </c>
      <c r="AF1603">
        <v>3</v>
      </c>
      <c r="AG1603">
        <v>2</v>
      </c>
      <c r="AH1603">
        <v>0</v>
      </c>
      <c r="AI1603" t="s">
        <v>3309</v>
      </c>
      <c r="AJ1603">
        <v>39.686801000000003</v>
      </c>
      <c r="AK1603" t="s">
        <v>3310</v>
      </c>
      <c r="AL1603">
        <v>-76.246511999999996</v>
      </c>
      <c r="AM1603">
        <v>100</v>
      </c>
      <c r="AN1603">
        <v>4700</v>
      </c>
      <c r="AO1603" t="s">
        <v>115</v>
      </c>
      <c r="AP1603">
        <v>174</v>
      </c>
      <c r="AQ1603">
        <v>89</v>
      </c>
      <c r="AR1603">
        <v>128</v>
      </c>
      <c r="AZ1603">
        <v>3614</v>
      </c>
      <c r="BA1603">
        <v>1</v>
      </c>
      <c r="BB1603" t="str">
        <f t="shared" si="74"/>
        <v xml:space="preserve">N959MJ  </v>
      </c>
      <c r="BC1603">
        <v>1</v>
      </c>
      <c r="BE1603">
        <v>0</v>
      </c>
      <c r="BF1603">
        <v>0</v>
      </c>
      <c r="BG1603">
        <v>0</v>
      </c>
      <c r="BH1603">
        <v>4875</v>
      </c>
      <c r="BI1603">
        <v>175</v>
      </c>
      <c r="BJ1603">
        <v>1</v>
      </c>
      <c r="BK1603">
        <v>1</v>
      </c>
      <c r="BL1603">
        <v>1</v>
      </c>
      <c r="BM1603">
        <v>0</v>
      </c>
      <c r="BP1603">
        <v>0</v>
      </c>
      <c r="BQ1603">
        <v>0</v>
      </c>
      <c r="BX1603" t="str">
        <f>"14:17:05.070"</f>
        <v>14:17:05.070</v>
      </c>
      <c r="BY1603" t="str">
        <f>"066990341"</f>
        <v>066990341</v>
      </c>
      <c r="CL1603">
        <v>0</v>
      </c>
      <c r="CM1603">
        <v>2</v>
      </c>
      <c r="CN1603">
        <v>0</v>
      </c>
      <c r="CO1603">
        <v>2</v>
      </c>
      <c r="CP1603">
        <v>0</v>
      </c>
      <c r="CQ1603">
        <v>6</v>
      </c>
      <c r="CR1603" t="s">
        <v>116</v>
      </c>
      <c r="CS1603">
        <v>396</v>
      </c>
      <c r="CT1603">
        <v>1</v>
      </c>
      <c r="CU1603" t="s">
        <v>939</v>
      </c>
      <c r="CV1603" t="s">
        <v>940</v>
      </c>
      <c r="CY1603">
        <v>9164173</v>
      </c>
      <c r="CZ1603" t="s">
        <v>119</v>
      </c>
    </row>
    <row r="1604" spans="1:104" x14ac:dyDescent="0.25">
      <c r="A1604" t="str">
        <f>"14:17:06.289"</f>
        <v>14:17:06.289</v>
      </c>
      <c r="B1604" t="s">
        <v>108</v>
      </c>
      <c r="C1604" t="str">
        <f t="shared" si="73"/>
        <v>ffdfd3c0</v>
      </c>
      <c r="D1604" t="s">
        <v>109</v>
      </c>
      <c r="E1604">
        <v>4</v>
      </c>
      <c r="F1604">
        <v>1004</v>
      </c>
      <c r="G1604" t="s">
        <v>110</v>
      </c>
      <c r="J1604" t="s">
        <v>111</v>
      </c>
      <c r="K1604">
        <v>0</v>
      </c>
      <c r="L1604">
        <v>3</v>
      </c>
      <c r="M1604">
        <v>0</v>
      </c>
      <c r="N1604">
        <v>2</v>
      </c>
      <c r="O1604">
        <v>1</v>
      </c>
      <c r="P1604">
        <v>0</v>
      </c>
      <c r="Q1604">
        <v>0</v>
      </c>
      <c r="R1604" t="s">
        <v>112</v>
      </c>
      <c r="S1604" t="str">
        <f>"14:17:06.070"</f>
        <v>14:17:06.070</v>
      </c>
      <c r="T1604" t="str">
        <f>"14:17:05.570"</f>
        <v>14:17:05.570</v>
      </c>
      <c r="U1604" t="str">
        <f t="shared" si="75"/>
        <v>ad5732</v>
      </c>
      <c r="V1604">
        <v>0</v>
      </c>
      <c r="W1604">
        <v>0</v>
      </c>
      <c r="X1604">
        <v>1</v>
      </c>
      <c r="Z1604">
        <v>0</v>
      </c>
      <c r="AA1604">
        <v>9</v>
      </c>
      <c r="AB1604">
        <v>3</v>
      </c>
      <c r="AC1604">
        <v>0</v>
      </c>
      <c r="AD1604">
        <v>10</v>
      </c>
      <c r="AE1604">
        <v>0</v>
      </c>
      <c r="AF1604">
        <v>3</v>
      </c>
      <c r="AG1604">
        <v>2</v>
      </c>
      <c r="AH1604">
        <v>0</v>
      </c>
      <c r="AI1604" t="s">
        <v>3311</v>
      </c>
      <c r="AJ1604">
        <v>39.687230999999997</v>
      </c>
      <c r="AK1604" t="s">
        <v>3312</v>
      </c>
      <c r="AL1604">
        <v>-76.245481999999996</v>
      </c>
      <c r="AM1604">
        <v>100</v>
      </c>
      <c r="AN1604">
        <v>4700</v>
      </c>
      <c r="AO1604" t="s">
        <v>115</v>
      </c>
      <c r="AP1604">
        <v>173</v>
      </c>
      <c r="AQ1604">
        <v>89</v>
      </c>
      <c r="AR1604">
        <v>128</v>
      </c>
      <c r="AZ1604">
        <v>3614</v>
      </c>
      <c r="BA1604">
        <v>1</v>
      </c>
      <c r="BB1604" t="str">
        <f t="shared" si="74"/>
        <v xml:space="preserve">N959MJ  </v>
      </c>
      <c r="BC1604">
        <v>1</v>
      </c>
      <c r="BE1604">
        <v>0</v>
      </c>
      <c r="BF1604">
        <v>0</v>
      </c>
      <c r="BG1604">
        <v>0</v>
      </c>
      <c r="BH1604">
        <v>4875</v>
      </c>
      <c r="BI1604">
        <v>175</v>
      </c>
      <c r="BJ1604">
        <v>1</v>
      </c>
      <c r="BK1604">
        <v>1</v>
      </c>
      <c r="BL1604">
        <v>1</v>
      </c>
      <c r="BM1604">
        <v>0</v>
      </c>
      <c r="BP1604">
        <v>0</v>
      </c>
      <c r="BQ1604">
        <v>0</v>
      </c>
      <c r="BX1604" t="str">
        <f>"14:17:06.070"</f>
        <v>14:17:06.070</v>
      </c>
      <c r="BY1604" t="str">
        <f>"073061120"</f>
        <v>073061120</v>
      </c>
      <c r="CL1604">
        <v>0</v>
      </c>
      <c r="CM1604">
        <v>2</v>
      </c>
      <c r="CN1604">
        <v>0</v>
      </c>
      <c r="CO1604">
        <v>2</v>
      </c>
      <c r="CP1604">
        <v>0</v>
      </c>
      <c r="CQ1604">
        <v>6</v>
      </c>
      <c r="CR1604" t="s">
        <v>116</v>
      </c>
      <c r="CS1604">
        <v>39</v>
      </c>
      <c r="CT1604">
        <v>2</v>
      </c>
      <c r="CU1604" t="s">
        <v>2259</v>
      </c>
      <c r="CV1604" t="s">
        <v>2260</v>
      </c>
      <c r="CY1604">
        <v>15866903</v>
      </c>
      <c r="CZ1604" t="s">
        <v>119</v>
      </c>
    </row>
    <row r="1605" spans="1:104" x14ac:dyDescent="0.25">
      <c r="A1605" t="str">
        <f>"14:17:07.195"</f>
        <v>14:17:07.195</v>
      </c>
      <c r="B1605" t="s">
        <v>108</v>
      </c>
      <c r="C1605" t="str">
        <f t="shared" si="73"/>
        <v>ffdfd3c0</v>
      </c>
      <c r="D1605" t="s">
        <v>109</v>
      </c>
      <c r="E1605">
        <v>4</v>
      </c>
      <c r="F1605">
        <v>1004</v>
      </c>
      <c r="G1605" t="s">
        <v>110</v>
      </c>
      <c r="J1605" t="s">
        <v>111</v>
      </c>
      <c r="K1605">
        <v>0</v>
      </c>
      <c r="L1605">
        <v>3</v>
      </c>
      <c r="M1605">
        <v>0</v>
      </c>
      <c r="N1605">
        <v>2</v>
      </c>
      <c r="O1605">
        <v>1</v>
      </c>
      <c r="P1605">
        <v>0</v>
      </c>
      <c r="Q1605">
        <v>0</v>
      </c>
      <c r="R1605" t="s">
        <v>112</v>
      </c>
      <c r="S1605" t="str">
        <f>"14:17:07.000"</f>
        <v>14:17:07.000</v>
      </c>
      <c r="T1605" t="str">
        <f>"14:17:06.602"</f>
        <v>14:17:06.602</v>
      </c>
      <c r="U1605" t="str">
        <f t="shared" si="75"/>
        <v>ad5732</v>
      </c>
      <c r="V1605">
        <v>0</v>
      </c>
      <c r="W1605">
        <v>0</v>
      </c>
      <c r="X1605">
        <v>1</v>
      </c>
      <c r="Z1605">
        <v>0</v>
      </c>
      <c r="AA1605">
        <v>9</v>
      </c>
      <c r="AB1605">
        <v>3</v>
      </c>
      <c r="AC1605">
        <v>0</v>
      </c>
      <c r="AD1605">
        <v>10</v>
      </c>
      <c r="AE1605">
        <v>0</v>
      </c>
      <c r="AF1605">
        <v>3</v>
      </c>
      <c r="AG1605">
        <v>2</v>
      </c>
      <c r="AH1605">
        <v>0</v>
      </c>
      <c r="AI1605" t="s">
        <v>3313</v>
      </c>
      <c r="AJ1605">
        <v>39.687638</v>
      </c>
      <c r="AK1605" t="s">
        <v>3314</v>
      </c>
      <c r="AL1605">
        <v>-76.244451999999995</v>
      </c>
      <c r="AM1605">
        <v>100</v>
      </c>
      <c r="AN1605">
        <v>4700</v>
      </c>
      <c r="AO1605" t="s">
        <v>115</v>
      </c>
      <c r="AP1605">
        <v>173</v>
      </c>
      <c r="AQ1605">
        <v>89</v>
      </c>
      <c r="AR1605">
        <v>64</v>
      </c>
      <c r="AZ1605">
        <v>3614</v>
      </c>
      <c r="BA1605">
        <v>1</v>
      </c>
      <c r="BB1605" t="str">
        <f t="shared" si="74"/>
        <v xml:space="preserve">N959MJ  </v>
      </c>
      <c r="BC1605">
        <v>1</v>
      </c>
      <c r="BE1605">
        <v>0</v>
      </c>
      <c r="BF1605">
        <v>0</v>
      </c>
      <c r="BG1605">
        <v>0</v>
      </c>
      <c r="BH1605">
        <v>4875</v>
      </c>
      <c r="BI1605">
        <v>175</v>
      </c>
      <c r="BJ1605">
        <v>1</v>
      </c>
      <c r="BK1605">
        <v>1</v>
      </c>
      <c r="BL1605">
        <v>1</v>
      </c>
      <c r="BM1605">
        <v>0</v>
      </c>
      <c r="BP1605">
        <v>0</v>
      </c>
      <c r="BQ1605">
        <v>0</v>
      </c>
      <c r="BX1605" t="str">
        <f>"14:17:07.000"</f>
        <v>14:17:07.000</v>
      </c>
      <c r="BY1605" t="str">
        <f>"001973603"</f>
        <v>001973603</v>
      </c>
      <c r="CL1605">
        <v>0</v>
      </c>
      <c r="CM1605">
        <v>2</v>
      </c>
      <c r="CN1605">
        <v>0</v>
      </c>
      <c r="CO1605">
        <v>2</v>
      </c>
      <c r="CP1605">
        <v>0</v>
      </c>
      <c r="CQ1605">
        <v>6</v>
      </c>
      <c r="CR1605" t="s">
        <v>116</v>
      </c>
      <c r="CS1605">
        <v>396</v>
      </c>
      <c r="CT1605">
        <v>1</v>
      </c>
      <c r="CU1605" t="s">
        <v>939</v>
      </c>
      <c r="CV1605" t="s">
        <v>940</v>
      </c>
      <c r="CY1605">
        <v>9167756</v>
      </c>
      <c r="CZ1605" t="s">
        <v>119</v>
      </c>
    </row>
    <row r="1606" spans="1:104" x14ac:dyDescent="0.25">
      <c r="A1606" t="str">
        <f>"14:17:08.211"</f>
        <v>14:17:08.211</v>
      </c>
      <c r="B1606" t="s">
        <v>108</v>
      </c>
      <c r="C1606" t="str">
        <f t="shared" si="73"/>
        <v>ffdfd3c0</v>
      </c>
      <c r="D1606" t="s">
        <v>109</v>
      </c>
      <c r="E1606">
        <v>4</v>
      </c>
      <c r="F1606">
        <v>1004</v>
      </c>
      <c r="G1606" t="s">
        <v>110</v>
      </c>
      <c r="J1606" t="s">
        <v>111</v>
      </c>
      <c r="K1606">
        <v>0</v>
      </c>
      <c r="L1606">
        <v>3</v>
      </c>
      <c r="M1606">
        <v>0</v>
      </c>
      <c r="N1606">
        <v>2</v>
      </c>
      <c r="O1606">
        <v>1</v>
      </c>
      <c r="P1606">
        <v>0</v>
      </c>
      <c r="Q1606">
        <v>0</v>
      </c>
      <c r="R1606" t="s">
        <v>112</v>
      </c>
      <c r="S1606" t="str">
        <f>"14:17:08.047"</f>
        <v>14:17:08.047</v>
      </c>
      <c r="T1606" t="str">
        <f>"14:17:07.547"</f>
        <v>14:17:07.547</v>
      </c>
      <c r="U1606" t="str">
        <f t="shared" si="75"/>
        <v>ad5732</v>
      </c>
      <c r="V1606">
        <v>0</v>
      </c>
      <c r="W1606">
        <v>0</v>
      </c>
      <c r="X1606">
        <v>1</v>
      </c>
      <c r="Z1606">
        <v>0</v>
      </c>
      <c r="AA1606">
        <v>9</v>
      </c>
      <c r="AB1606">
        <v>3</v>
      </c>
      <c r="AC1606">
        <v>0</v>
      </c>
      <c r="AD1606">
        <v>10</v>
      </c>
      <c r="AE1606">
        <v>0</v>
      </c>
      <c r="AF1606">
        <v>3</v>
      </c>
      <c r="AG1606">
        <v>2</v>
      </c>
      <c r="AH1606">
        <v>0</v>
      </c>
      <c r="AI1606" t="s">
        <v>3315</v>
      </c>
      <c r="AJ1606">
        <v>39.688025000000003</v>
      </c>
      <c r="AK1606" t="s">
        <v>3316</v>
      </c>
      <c r="AL1606">
        <v>-76.243401000000006</v>
      </c>
      <c r="AM1606">
        <v>100</v>
      </c>
      <c r="AN1606">
        <v>4700</v>
      </c>
      <c r="AO1606" t="s">
        <v>115</v>
      </c>
      <c r="AP1606">
        <v>172</v>
      </c>
      <c r="AQ1606">
        <v>89</v>
      </c>
      <c r="AR1606">
        <v>0</v>
      </c>
      <c r="AZ1606">
        <v>3614</v>
      </c>
      <c r="BA1606">
        <v>1</v>
      </c>
      <c r="BB1606" t="str">
        <f t="shared" si="74"/>
        <v xml:space="preserve">N959MJ  </v>
      </c>
      <c r="BC1606">
        <v>1</v>
      </c>
      <c r="BE1606">
        <v>0</v>
      </c>
      <c r="BF1606">
        <v>0</v>
      </c>
      <c r="BG1606">
        <v>0</v>
      </c>
      <c r="BH1606">
        <v>4875</v>
      </c>
      <c r="BI1606">
        <v>175</v>
      </c>
      <c r="BJ1606">
        <v>1</v>
      </c>
      <c r="BK1606">
        <v>1</v>
      </c>
      <c r="BL1606">
        <v>1</v>
      </c>
      <c r="BM1606">
        <v>0</v>
      </c>
      <c r="BP1606">
        <v>0</v>
      </c>
      <c r="BQ1606">
        <v>0</v>
      </c>
      <c r="BX1606" t="str">
        <f>"14:17:08.055"</f>
        <v>14:17:08.055</v>
      </c>
      <c r="BY1606" t="str">
        <f>"053919500"</f>
        <v>053919500</v>
      </c>
      <c r="CL1606">
        <v>0</v>
      </c>
      <c r="CM1606">
        <v>2</v>
      </c>
      <c r="CN1606">
        <v>0</v>
      </c>
      <c r="CO1606">
        <v>2</v>
      </c>
      <c r="CP1606">
        <v>0</v>
      </c>
      <c r="CQ1606">
        <v>6</v>
      </c>
      <c r="CR1606" t="s">
        <v>116</v>
      </c>
      <c r="CS1606">
        <v>39</v>
      </c>
      <c r="CT1606">
        <v>2</v>
      </c>
      <c r="CU1606" t="s">
        <v>2259</v>
      </c>
      <c r="CV1606" t="s">
        <v>2260</v>
      </c>
      <c r="CY1606">
        <v>15869949</v>
      </c>
      <c r="CZ1606" t="s">
        <v>119</v>
      </c>
    </row>
    <row r="1607" spans="1:104" x14ac:dyDescent="0.25">
      <c r="A1607" t="str">
        <f>"14:17:09.219"</f>
        <v>14:17:09.219</v>
      </c>
      <c r="B1607" t="s">
        <v>108</v>
      </c>
      <c r="C1607" t="str">
        <f t="shared" si="73"/>
        <v>ffdfd3c0</v>
      </c>
      <c r="D1607" t="s">
        <v>109</v>
      </c>
      <c r="E1607">
        <v>4</v>
      </c>
      <c r="F1607">
        <v>1004</v>
      </c>
      <c r="G1607" t="s">
        <v>110</v>
      </c>
      <c r="J1607" t="s">
        <v>111</v>
      </c>
      <c r="K1607">
        <v>0</v>
      </c>
      <c r="L1607">
        <v>3</v>
      </c>
      <c r="M1607">
        <v>0</v>
      </c>
      <c r="N1607">
        <v>2</v>
      </c>
      <c r="O1607">
        <v>1</v>
      </c>
      <c r="P1607">
        <v>0</v>
      </c>
      <c r="Q1607">
        <v>0</v>
      </c>
      <c r="R1607" t="s">
        <v>112</v>
      </c>
      <c r="S1607" t="str">
        <f>"14:17:09.047"</f>
        <v>14:17:09.047</v>
      </c>
      <c r="T1607" t="str">
        <f>"14:17:08.547"</f>
        <v>14:17:08.547</v>
      </c>
      <c r="U1607" t="str">
        <f t="shared" si="75"/>
        <v>ad5732</v>
      </c>
      <c r="V1607">
        <v>0</v>
      </c>
      <c r="W1607">
        <v>0</v>
      </c>
      <c r="X1607">
        <v>1</v>
      </c>
      <c r="Z1607">
        <v>0</v>
      </c>
      <c r="AA1607">
        <v>9</v>
      </c>
      <c r="AB1607">
        <v>3</v>
      </c>
      <c r="AC1607">
        <v>0</v>
      </c>
      <c r="AD1607">
        <v>10</v>
      </c>
      <c r="AE1607">
        <v>0</v>
      </c>
      <c r="AF1607">
        <v>3</v>
      </c>
      <c r="AG1607">
        <v>2</v>
      </c>
      <c r="AH1607">
        <v>0</v>
      </c>
      <c r="AI1607" t="s">
        <v>3317</v>
      </c>
      <c r="AJ1607">
        <v>39.688431999999999</v>
      </c>
      <c r="AK1607" t="s">
        <v>3318</v>
      </c>
      <c r="AL1607">
        <v>-76.242371000000006</v>
      </c>
      <c r="AM1607">
        <v>100</v>
      </c>
      <c r="AN1607">
        <v>4700</v>
      </c>
      <c r="AO1607" t="s">
        <v>115</v>
      </c>
      <c r="AP1607">
        <v>172</v>
      </c>
      <c r="AQ1607">
        <v>89</v>
      </c>
      <c r="AR1607">
        <v>0</v>
      </c>
      <c r="AZ1607">
        <v>3614</v>
      </c>
      <c r="BA1607">
        <v>1</v>
      </c>
      <c r="BB1607" t="str">
        <f t="shared" si="74"/>
        <v xml:space="preserve">N959MJ  </v>
      </c>
      <c r="BC1607">
        <v>1</v>
      </c>
      <c r="BE1607">
        <v>0</v>
      </c>
      <c r="BF1607">
        <v>0</v>
      </c>
      <c r="BG1607">
        <v>0</v>
      </c>
      <c r="BH1607">
        <v>4875</v>
      </c>
      <c r="BI1607">
        <v>175</v>
      </c>
      <c r="BJ1607">
        <v>1</v>
      </c>
      <c r="BK1607">
        <v>1</v>
      </c>
      <c r="BL1607">
        <v>1</v>
      </c>
      <c r="BM1607">
        <v>0</v>
      </c>
      <c r="BP1607">
        <v>0</v>
      </c>
      <c r="BQ1607">
        <v>0</v>
      </c>
      <c r="BX1607" t="str">
        <f>"14:17:09.055"</f>
        <v>14:17:09.055</v>
      </c>
      <c r="BY1607" t="str">
        <f>"051721618"</f>
        <v>051721618</v>
      </c>
      <c r="CL1607">
        <v>0</v>
      </c>
      <c r="CM1607">
        <v>2</v>
      </c>
      <c r="CN1607">
        <v>0</v>
      </c>
      <c r="CO1607">
        <v>2</v>
      </c>
      <c r="CP1607">
        <v>0</v>
      </c>
      <c r="CQ1607">
        <v>6</v>
      </c>
      <c r="CR1607" t="s">
        <v>116</v>
      </c>
      <c r="CS1607">
        <v>39</v>
      </c>
      <c r="CT1607">
        <v>2</v>
      </c>
      <c r="CU1607" t="s">
        <v>2259</v>
      </c>
      <c r="CV1607" t="s">
        <v>2260</v>
      </c>
      <c r="CY1607">
        <v>15871529</v>
      </c>
      <c r="CZ1607" t="s">
        <v>119</v>
      </c>
    </row>
    <row r="1608" spans="1:104" x14ac:dyDescent="0.25">
      <c r="A1608" t="str">
        <f>"14:17:10.125"</f>
        <v>14:17:10.125</v>
      </c>
      <c r="B1608" t="s">
        <v>108</v>
      </c>
      <c r="C1608" t="str">
        <f t="shared" si="73"/>
        <v>ffdfd3c0</v>
      </c>
      <c r="D1608" t="s">
        <v>109</v>
      </c>
      <c r="E1608">
        <v>4</v>
      </c>
      <c r="F1608">
        <v>1004</v>
      </c>
      <c r="G1608" t="s">
        <v>110</v>
      </c>
      <c r="J1608" t="s">
        <v>111</v>
      </c>
      <c r="K1608">
        <v>0</v>
      </c>
      <c r="L1608">
        <v>3</v>
      </c>
      <c r="M1608">
        <v>0</v>
      </c>
      <c r="N1608">
        <v>2</v>
      </c>
      <c r="O1608">
        <v>1</v>
      </c>
      <c r="P1608">
        <v>0</v>
      </c>
      <c r="Q1608">
        <v>0</v>
      </c>
      <c r="R1608" t="s">
        <v>112</v>
      </c>
      <c r="S1608" t="str">
        <f>"14:17:09.938"</f>
        <v>14:17:09.938</v>
      </c>
      <c r="T1608" t="str">
        <f>"14:17:09.539"</f>
        <v>14:17:09.539</v>
      </c>
      <c r="U1608" t="str">
        <f t="shared" si="75"/>
        <v>ad5732</v>
      </c>
      <c r="V1608">
        <v>0</v>
      </c>
      <c r="W1608">
        <v>0</v>
      </c>
      <c r="X1608">
        <v>1</v>
      </c>
      <c r="Z1608">
        <v>0</v>
      </c>
      <c r="AA1608">
        <v>9</v>
      </c>
      <c r="AB1608">
        <v>3</v>
      </c>
      <c r="AC1608">
        <v>0</v>
      </c>
      <c r="AD1608">
        <v>10</v>
      </c>
      <c r="AE1608">
        <v>0</v>
      </c>
      <c r="AF1608">
        <v>3</v>
      </c>
      <c r="AG1608">
        <v>2</v>
      </c>
      <c r="AH1608">
        <v>0</v>
      </c>
      <c r="AI1608" t="s">
        <v>3319</v>
      </c>
      <c r="AJ1608">
        <v>39.688797000000001</v>
      </c>
      <c r="AK1608" t="s">
        <v>3320</v>
      </c>
      <c r="AL1608">
        <v>-76.241468999999995</v>
      </c>
      <c r="AM1608">
        <v>100</v>
      </c>
      <c r="AN1608">
        <v>4700</v>
      </c>
      <c r="AO1608" t="s">
        <v>115</v>
      </c>
      <c r="AP1608">
        <v>171</v>
      </c>
      <c r="AQ1608">
        <v>89</v>
      </c>
      <c r="AR1608">
        <v>0</v>
      </c>
      <c r="AZ1608">
        <v>3614</v>
      </c>
      <c r="BA1608">
        <v>1</v>
      </c>
      <c r="BB1608" t="str">
        <f t="shared" si="74"/>
        <v xml:space="preserve">N959MJ  </v>
      </c>
      <c r="BC1608">
        <v>1</v>
      </c>
      <c r="BE1608">
        <v>0</v>
      </c>
      <c r="BF1608">
        <v>0</v>
      </c>
      <c r="BG1608">
        <v>0</v>
      </c>
      <c r="BH1608">
        <v>4875</v>
      </c>
      <c r="BI1608">
        <v>175</v>
      </c>
      <c r="BJ1608">
        <v>1</v>
      </c>
      <c r="BK1608">
        <v>1</v>
      </c>
      <c r="BL1608">
        <v>1</v>
      </c>
      <c r="BM1608">
        <v>0</v>
      </c>
      <c r="BP1608">
        <v>0</v>
      </c>
      <c r="BQ1608">
        <v>0</v>
      </c>
      <c r="BX1608" t="str">
        <f>"14:17:09.938"</f>
        <v>14:17:09.938</v>
      </c>
      <c r="BY1608" t="str">
        <f>"939674799"</f>
        <v>939674799</v>
      </c>
      <c r="CL1608">
        <v>0</v>
      </c>
      <c r="CM1608">
        <v>2</v>
      </c>
      <c r="CN1608">
        <v>0</v>
      </c>
      <c r="CO1608">
        <v>2</v>
      </c>
      <c r="CP1608">
        <v>0</v>
      </c>
      <c r="CQ1608">
        <v>6</v>
      </c>
      <c r="CR1608" t="s">
        <v>116</v>
      </c>
      <c r="CS1608">
        <v>396</v>
      </c>
      <c r="CT1608">
        <v>1</v>
      </c>
      <c r="CU1608" t="s">
        <v>939</v>
      </c>
      <c r="CV1608" t="s">
        <v>940</v>
      </c>
      <c r="CY1608">
        <v>9172970</v>
      </c>
      <c r="CZ1608" t="s">
        <v>119</v>
      </c>
    </row>
    <row r="1609" spans="1:104" x14ac:dyDescent="0.25">
      <c r="A1609" t="str">
        <f>"14:17:11.188"</f>
        <v>14:17:11.188</v>
      </c>
      <c r="B1609" t="s">
        <v>108</v>
      </c>
      <c r="C1609" t="str">
        <f t="shared" si="73"/>
        <v>ffdfd3c0</v>
      </c>
      <c r="D1609" t="s">
        <v>109</v>
      </c>
      <c r="E1609">
        <v>4</v>
      </c>
      <c r="F1609">
        <v>1004</v>
      </c>
      <c r="G1609" t="s">
        <v>110</v>
      </c>
      <c r="J1609" t="s">
        <v>111</v>
      </c>
      <c r="K1609">
        <v>0</v>
      </c>
      <c r="L1609">
        <v>3</v>
      </c>
      <c r="M1609">
        <v>0</v>
      </c>
      <c r="N1609">
        <v>2</v>
      </c>
      <c r="O1609">
        <v>1</v>
      </c>
      <c r="P1609">
        <v>0</v>
      </c>
      <c r="Q1609">
        <v>0</v>
      </c>
      <c r="R1609" t="s">
        <v>112</v>
      </c>
      <c r="S1609" t="str">
        <f>"14:17:11.023"</f>
        <v>14:17:11.023</v>
      </c>
      <c r="T1609" t="str">
        <f>"14:17:10.523"</f>
        <v>14:17:10.523</v>
      </c>
      <c r="U1609" t="str">
        <f t="shared" si="75"/>
        <v>ad5732</v>
      </c>
      <c r="V1609">
        <v>0</v>
      </c>
      <c r="W1609">
        <v>0</v>
      </c>
      <c r="X1609">
        <v>1</v>
      </c>
      <c r="Z1609">
        <v>0</v>
      </c>
      <c r="AA1609">
        <v>9</v>
      </c>
      <c r="AB1609">
        <v>3</v>
      </c>
      <c r="AC1609">
        <v>0</v>
      </c>
      <c r="AD1609">
        <v>10</v>
      </c>
      <c r="AE1609">
        <v>0</v>
      </c>
      <c r="AF1609">
        <v>3</v>
      </c>
      <c r="AG1609">
        <v>2</v>
      </c>
      <c r="AH1609">
        <v>0</v>
      </c>
      <c r="AI1609" t="s">
        <v>3321</v>
      </c>
      <c r="AJ1609">
        <v>39.689269000000003</v>
      </c>
      <c r="AK1609" t="s">
        <v>3322</v>
      </c>
      <c r="AL1609">
        <v>-76.240353999999996</v>
      </c>
      <c r="AM1609">
        <v>100</v>
      </c>
      <c r="AN1609">
        <v>4700</v>
      </c>
      <c r="AO1609" t="s">
        <v>115</v>
      </c>
      <c r="AP1609">
        <v>171</v>
      </c>
      <c r="AQ1609">
        <v>89</v>
      </c>
      <c r="AR1609">
        <v>0</v>
      </c>
      <c r="AZ1609">
        <v>3614</v>
      </c>
      <c r="BA1609">
        <v>1</v>
      </c>
      <c r="BB1609" t="str">
        <f t="shared" si="74"/>
        <v xml:space="preserve">N959MJ  </v>
      </c>
      <c r="BC1609">
        <v>1</v>
      </c>
      <c r="BE1609">
        <v>0</v>
      </c>
      <c r="BF1609">
        <v>0</v>
      </c>
      <c r="BG1609">
        <v>0</v>
      </c>
      <c r="BH1609">
        <v>4875</v>
      </c>
      <c r="BI1609">
        <v>175</v>
      </c>
      <c r="BJ1609">
        <v>1</v>
      </c>
      <c r="BK1609">
        <v>1</v>
      </c>
      <c r="BL1609">
        <v>1</v>
      </c>
      <c r="BM1609">
        <v>0</v>
      </c>
      <c r="BP1609">
        <v>0</v>
      </c>
      <c r="BQ1609">
        <v>0</v>
      </c>
      <c r="BX1609" t="str">
        <f>"14:17:11.023"</f>
        <v>14:17:11.023</v>
      </c>
      <c r="BY1609" t="str">
        <f>"024387735"</f>
        <v>024387735</v>
      </c>
      <c r="CL1609">
        <v>0</v>
      </c>
      <c r="CM1609">
        <v>2</v>
      </c>
      <c r="CN1609">
        <v>0</v>
      </c>
      <c r="CO1609">
        <v>2</v>
      </c>
      <c r="CP1609">
        <v>0</v>
      </c>
      <c r="CQ1609">
        <v>6</v>
      </c>
      <c r="CR1609" t="s">
        <v>116</v>
      </c>
      <c r="CS1609">
        <v>39</v>
      </c>
      <c r="CT1609">
        <v>2</v>
      </c>
      <c r="CU1609" t="s">
        <v>2259</v>
      </c>
      <c r="CV1609" t="s">
        <v>2260</v>
      </c>
      <c r="CY1609">
        <v>15874773</v>
      </c>
      <c r="CZ1609" t="s">
        <v>119</v>
      </c>
    </row>
    <row r="1610" spans="1:104" x14ac:dyDescent="0.25">
      <c r="A1610" t="str">
        <f>"14:17:12.195"</f>
        <v>14:17:12.195</v>
      </c>
      <c r="B1610" t="s">
        <v>108</v>
      </c>
      <c r="C1610" t="str">
        <f t="shared" ref="C1610:C1673" si="76">"ffdfd3c0"</f>
        <v>ffdfd3c0</v>
      </c>
      <c r="D1610" t="s">
        <v>109</v>
      </c>
      <c r="E1610">
        <v>4</v>
      </c>
      <c r="F1610">
        <v>1004</v>
      </c>
      <c r="G1610" t="s">
        <v>110</v>
      </c>
      <c r="J1610" t="s">
        <v>111</v>
      </c>
      <c r="K1610">
        <v>0</v>
      </c>
      <c r="L1610">
        <v>3</v>
      </c>
      <c r="M1610">
        <v>0</v>
      </c>
      <c r="N1610">
        <v>2</v>
      </c>
      <c r="O1610">
        <v>1</v>
      </c>
      <c r="P1610">
        <v>0</v>
      </c>
      <c r="Q1610">
        <v>0</v>
      </c>
      <c r="R1610" t="s">
        <v>112</v>
      </c>
      <c r="S1610" t="str">
        <f>"14:17:12.016"</f>
        <v>14:17:12.016</v>
      </c>
      <c r="T1610" t="str">
        <f>"14:17:11.617"</f>
        <v>14:17:11.617</v>
      </c>
      <c r="U1610" t="str">
        <f t="shared" si="75"/>
        <v>ad5732</v>
      </c>
      <c r="V1610">
        <v>0</v>
      </c>
      <c r="W1610">
        <v>0</v>
      </c>
      <c r="X1610">
        <v>1</v>
      </c>
      <c r="Z1610">
        <v>0</v>
      </c>
      <c r="AA1610">
        <v>9</v>
      </c>
      <c r="AB1610">
        <v>3</v>
      </c>
      <c r="AC1610">
        <v>0</v>
      </c>
      <c r="AD1610">
        <v>10</v>
      </c>
      <c r="AE1610">
        <v>0</v>
      </c>
      <c r="AF1610">
        <v>3</v>
      </c>
      <c r="AG1610">
        <v>2</v>
      </c>
      <c r="AH1610">
        <v>0</v>
      </c>
      <c r="AI1610" t="s">
        <v>3323</v>
      </c>
      <c r="AJ1610">
        <v>39.689698</v>
      </c>
      <c r="AK1610" t="s">
        <v>3324</v>
      </c>
      <c r="AL1610">
        <v>-76.239323999999996</v>
      </c>
      <c r="AM1610">
        <v>100</v>
      </c>
      <c r="AN1610">
        <v>4700</v>
      </c>
      <c r="AO1610" t="s">
        <v>115</v>
      </c>
      <c r="AP1610">
        <v>170</v>
      </c>
      <c r="AQ1610">
        <v>89</v>
      </c>
      <c r="AR1610">
        <v>0</v>
      </c>
      <c r="AZ1610">
        <v>3614</v>
      </c>
      <c r="BA1610">
        <v>1</v>
      </c>
      <c r="BB1610" t="str">
        <f t="shared" ref="BB1610:BB1673" si="77">"N959MJ  "</f>
        <v xml:space="preserve">N959MJ  </v>
      </c>
      <c r="BC1610">
        <v>1</v>
      </c>
      <c r="BE1610">
        <v>0</v>
      </c>
      <c r="BF1610">
        <v>0</v>
      </c>
      <c r="BG1610">
        <v>0</v>
      </c>
      <c r="BH1610">
        <v>4875</v>
      </c>
      <c r="BI1610">
        <v>175</v>
      </c>
      <c r="BJ1610">
        <v>1</v>
      </c>
      <c r="BK1610">
        <v>1</v>
      </c>
      <c r="BL1610">
        <v>1</v>
      </c>
      <c r="BM1610">
        <v>0</v>
      </c>
      <c r="BP1610">
        <v>0</v>
      </c>
      <c r="BQ1610">
        <v>0</v>
      </c>
      <c r="BX1610" t="str">
        <f>"14:17:12.016"</f>
        <v>14:17:12.016</v>
      </c>
      <c r="BY1610" t="str">
        <f>"015636161"</f>
        <v>015636161</v>
      </c>
      <c r="CL1610">
        <v>0</v>
      </c>
      <c r="CM1610">
        <v>2</v>
      </c>
      <c r="CN1610">
        <v>0</v>
      </c>
      <c r="CO1610">
        <v>2</v>
      </c>
      <c r="CP1610">
        <v>0</v>
      </c>
      <c r="CQ1610">
        <v>6</v>
      </c>
      <c r="CR1610" t="s">
        <v>116</v>
      </c>
      <c r="CS1610">
        <v>39</v>
      </c>
      <c r="CT1610">
        <v>2</v>
      </c>
      <c r="CU1610" t="s">
        <v>2259</v>
      </c>
      <c r="CV1610" t="s">
        <v>2260</v>
      </c>
      <c r="CY1610">
        <v>15876339</v>
      </c>
      <c r="CZ1610" t="s">
        <v>119</v>
      </c>
    </row>
    <row r="1611" spans="1:104" x14ac:dyDescent="0.25">
      <c r="A1611" t="str">
        <f>"14:17:13.203"</f>
        <v>14:17:13.203</v>
      </c>
      <c r="B1611" t="s">
        <v>108</v>
      </c>
      <c r="C1611" t="str">
        <f t="shared" si="76"/>
        <v>ffdfd3c0</v>
      </c>
      <c r="D1611" t="s">
        <v>109</v>
      </c>
      <c r="E1611">
        <v>4</v>
      </c>
      <c r="F1611">
        <v>1004</v>
      </c>
      <c r="G1611" t="s">
        <v>110</v>
      </c>
      <c r="J1611" t="s">
        <v>111</v>
      </c>
      <c r="K1611">
        <v>0</v>
      </c>
      <c r="L1611">
        <v>3</v>
      </c>
      <c r="M1611">
        <v>0</v>
      </c>
      <c r="N1611">
        <v>2</v>
      </c>
      <c r="O1611">
        <v>1</v>
      </c>
      <c r="P1611">
        <v>0</v>
      </c>
      <c r="Q1611">
        <v>0</v>
      </c>
      <c r="R1611" t="s">
        <v>112</v>
      </c>
      <c r="S1611" t="str">
        <f>"14:17:12.969"</f>
        <v>14:17:12.969</v>
      </c>
      <c r="T1611" t="str">
        <f>"14:17:12.469"</f>
        <v>14:17:12.469</v>
      </c>
      <c r="U1611" t="str">
        <f t="shared" si="75"/>
        <v>ad5732</v>
      </c>
      <c r="V1611">
        <v>0</v>
      </c>
      <c r="W1611">
        <v>0</v>
      </c>
      <c r="X1611">
        <v>1</v>
      </c>
      <c r="Z1611">
        <v>0</v>
      </c>
      <c r="AA1611">
        <v>9</v>
      </c>
      <c r="AB1611">
        <v>3</v>
      </c>
      <c r="AC1611">
        <v>0</v>
      </c>
      <c r="AD1611">
        <v>10</v>
      </c>
      <c r="AE1611">
        <v>0</v>
      </c>
      <c r="AF1611">
        <v>3</v>
      </c>
      <c r="AG1611">
        <v>2</v>
      </c>
      <c r="AH1611">
        <v>0</v>
      </c>
      <c r="AI1611" t="s">
        <v>3325</v>
      </c>
      <c r="AJ1611">
        <v>39.690041999999998</v>
      </c>
      <c r="AK1611" t="s">
        <v>3326</v>
      </c>
      <c r="AL1611">
        <v>-76.238378999999995</v>
      </c>
      <c r="AM1611">
        <v>100</v>
      </c>
      <c r="AN1611">
        <v>4700</v>
      </c>
      <c r="AO1611" t="s">
        <v>115</v>
      </c>
      <c r="AP1611">
        <v>170</v>
      </c>
      <c r="AQ1611">
        <v>89</v>
      </c>
      <c r="AR1611">
        <v>0</v>
      </c>
      <c r="AZ1611">
        <v>3614</v>
      </c>
      <c r="BA1611">
        <v>1</v>
      </c>
      <c r="BB1611" t="str">
        <f t="shared" si="77"/>
        <v xml:space="preserve">N959MJ  </v>
      </c>
      <c r="BC1611">
        <v>1</v>
      </c>
      <c r="BE1611">
        <v>0</v>
      </c>
      <c r="BF1611">
        <v>0</v>
      </c>
      <c r="BG1611">
        <v>0</v>
      </c>
      <c r="BH1611">
        <v>4875</v>
      </c>
      <c r="BI1611">
        <v>175</v>
      </c>
      <c r="BJ1611">
        <v>1</v>
      </c>
      <c r="BK1611">
        <v>1</v>
      </c>
      <c r="BL1611">
        <v>1</v>
      </c>
      <c r="BM1611">
        <v>0</v>
      </c>
      <c r="BP1611">
        <v>0</v>
      </c>
      <c r="BQ1611">
        <v>0</v>
      </c>
      <c r="BX1611" t="str">
        <f>"14:17:12.977"</f>
        <v>14:17:12.977</v>
      </c>
      <c r="BY1611" t="str">
        <f>"974168783"</f>
        <v>974168783</v>
      </c>
      <c r="CL1611">
        <v>0</v>
      </c>
      <c r="CM1611">
        <v>2</v>
      </c>
      <c r="CN1611">
        <v>0</v>
      </c>
      <c r="CO1611">
        <v>2</v>
      </c>
      <c r="CP1611">
        <v>0</v>
      </c>
      <c r="CQ1611">
        <v>4</v>
      </c>
      <c r="CR1611" t="s">
        <v>116</v>
      </c>
      <c r="CS1611">
        <v>372</v>
      </c>
      <c r="CT1611">
        <v>3</v>
      </c>
      <c r="CU1611" t="s">
        <v>877</v>
      </c>
      <c r="CV1611" t="s">
        <v>878</v>
      </c>
      <c r="CY1611">
        <v>12242227</v>
      </c>
      <c r="CZ1611" t="s">
        <v>119</v>
      </c>
    </row>
    <row r="1612" spans="1:104" x14ac:dyDescent="0.25">
      <c r="A1612" t="str">
        <f>"14:17:14.117"</f>
        <v>14:17:14.117</v>
      </c>
      <c r="B1612" t="s">
        <v>108</v>
      </c>
      <c r="C1612" t="str">
        <f t="shared" si="76"/>
        <v>ffdfd3c0</v>
      </c>
      <c r="D1612" t="s">
        <v>109</v>
      </c>
      <c r="E1612">
        <v>4</v>
      </c>
      <c r="F1612">
        <v>1004</v>
      </c>
      <c r="G1612" t="s">
        <v>110</v>
      </c>
      <c r="J1612" t="s">
        <v>111</v>
      </c>
      <c r="K1612">
        <v>0</v>
      </c>
      <c r="L1612">
        <v>3</v>
      </c>
      <c r="M1612">
        <v>0</v>
      </c>
      <c r="N1612">
        <v>2</v>
      </c>
      <c r="O1612">
        <v>1</v>
      </c>
      <c r="P1612">
        <v>0</v>
      </c>
      <c r="Q1612">
        <v>0</v>
      </c>
      <c r="R1612" t="s">
        <v>112</v>
      </c>
      <c r="S1612" t="str">
        <f>"14:17:13.930"</f>
        <v>14:17:13.930</v>
      </c>
      <c r="T1612" t="str">
        <f>"14:17:13.031"</f>
        <v>14:17:13.031</v>
      </c>
      <c r="U1612" t="str">
        <f t="shared" si="75"/>
        <v>ad5732</v>
      </c>
      <c r="V1612">
        <v>0</v>
      </c>
      <c r="W1612">
        <v>0</v>
      </c>
      <c r="X1612">
        <v>1</v>
      </c>
      <c r="Z1612">
        <v>0</v>
      </c>
      <c r="AA1612">
        <v>9</v>
      </c>
      <c r="AB1612">
        <v>3</v>
      </c>
      <c r="AC1612">
        <v>0</v>
      </c>
      <c r="AD1612">
        <v>10</v>
      </c>
      <c r="AE1612">
        <v>0</v>
      </c>
      <c r="AF1612">
        <v>3</v>
      </c>
      <c r="AG1612">
        <v>2</v>
      </c>
      <c r="AH1612">
        <v>0</v>
      </c>
      <c r="AI1612" t="s">
        <v>3327</v>
      </c>
      <c r="AJ1612">
        <v>39.690449000000001</v>
      </c>
      <c r="AK1612" t="s">
        <v>3328</v>
      </c>
      <c r="AL1612">
        <v>-76.237414000000001</v>
      </c>
      <c r="AM1612">
        <v>100</v>
      </c>
      <c r="AN1612">
        <v>4700</v>
      </c>
      <c r="AO1612" t="s">
        <v>115</v>
      </c>
      <c r="AP1612">
        <v>169</v>
      </c>
      <c r="AQ1612">
        <v>89</v>
      </c>
      <c r="AR1612">
        <v>0</v>
      </c>
      <c r="AZ1612">
        <v>3614</v>
      </c>
      <c r="BA1612">
        <v>1</v>
      </c>
      <c r="BB1612" t="str">
        <f t="shared" si="77"/>
        <v xml:space="preserve">N959MJ  </v>
      </c>
      <c r="BC1612">
        <v>1</v>
      </c>
      <c r="BE1612">
        <v>0</v>
      </c>
      <c r="BF1612">
        <v>0</v>
      </c>
      <c r="BG1612">
        <v>0</v>
      </c>
      <c r="BH1612">
        <v>4875</v>
      </c>
      <c r="BI1612">
        <v>175</v>
      </c>
      <c r="BJ1612">
        <v>1</v>
      </c>
      <c r="BK1612">
        <v>1</v>
      </c>
      <c r="BL1612">
        <v>1</v>
      </c>
      <c r="BM1612">
        <v>0</v>
      </c>
      <c r="BP1612">
        <v>0</v>
      </c>
      <c r="BQ1612">
        <v>0</v>
      </c>
      <c r="BX1612" t="str">
        <f>"14:17:13.938"</f>
        <v>14:17:13.938</v>
      </c>
      <c r="BY1612" t="str">
        <f>"936307782"</f>
        <v>936307782</v>
      </c>
      <c r="CL1612">
        <v>0</v>
      </c>
      <c r="CM1612">
        <v>2</v>
      </c>
      <c r="CN1612">
        <v>0</v>
      </c>
      <c r="CO1612">
        <v>2</v>
      </c>
      <c r="CP1612">
        <v>0</v>
      </c>
      <c r="CQ1612">
        <v>2</v>
      </c>
      <c r="CR1612" t="s">
        <v>116</v>
      </c>
      <c r="CS1612">
        <v>150</v>
      </c>
      <c r="CT1612">
        <v>1</v>
      </c>
      <c r="CU1612" t="s">
        <v>252</v>
      </c>
      <c r="CV1612" t="s">
        <v>253</v>
      </c>
      <c r="CY1612">
        <v>6617943</v>
      </c>
      <c r="CZ1612" t="s">
        <v>119</v>
      </c>
    </row>
    <row r="1613" spans="1:104" x14ac:dyDescent="0.25">
      <c r="A1613" t="str">
        <f>"14:17:15.227"</f>
        <v>14:17:15.227</v>
      </c>
      <c r="B1613" t="s">
        <v>108</v>
      </c>
      <c r="C1613" t="str">
        <f t="shared" si="76"/>
        <v>ffdfd3c0</v>
      </c>
      <c r="D1613" t="s">
        <v>109</v>
      </c>
      <c r="E1613">
        <v>4</v>
      </c>
      <c r="F1613">
        <v>1004</v>
      </c>
      <c r="G1613" t="s">
        <v>110</v>
      </c>
      <c r="J1613" t="s">
        <v>111</v>
      </c>
      <c r="K1613">
        <v>0</v>
      </c>
      <c r="L1613">
        <v>3</v>
      </c>
      <c r="M1613">
        <v>0</v>
      </c>
      <c r="N1613">
        <v>2</v>
      </c>
      <c r="O1613">
        <v>1</v>
      </c>
      <c r="P1613">
        <v>0</v>
      </c>
      <c r="Q1613">
        <v>0</v>
      </c>
      <c r="R1613" t="s">
        <v>112</v>
      </c>
      <c r="S1613" t="str">
        <f>"14:17:15.047"</f>
        <v>14:17:15.047</v>
      </c>
      <c r="T1613" t="str">
        <f>"14:17:14.547"</f>
        <v>14:17:14.547</v>
      </c>
      <c r="U1613" t="str">
        <f t="shared" si="75"/>
        <v>ad5732</v>
      </c>
      <c r="V1613">
        <v>0</v>
      </c>
      <c r="W1613">
        <v>0</v>
      </c>
      <c r="X1613">
        <v>1</v>
      </c>
      <c r="Z1613">
        <v>0</v>
      </c>
      <c r="AA1613">
        <v>9</v>
      </c>
      <c r="AB1613">
        <v>3</v>
      </c>
      <c r="AC1613">
        <v>0</v>
      </c>
      <c r="AD1613">
        <v>10</v>
      </c>
      <c r="AE1613">
        <v>0</v>
      </c>
      <c r="AF1613">
        <v>3</v>
      </c>
      <c r="AG1613">
        <v>2</v>
      </c>
      <c r="AH1613">
        <v>0</v>
      </c>
      <c r="AI1613" t="s">
        <v>3329</v>
      </c>
      <c r="AJ1613">
        <v>39.690899999999999</v>
      </c>
      <c r="AK1613" t="s">
        <v>3330</v>
      </c>
      <c r="AL1613">
        <v>-76.236277000000001</v>
      </c>
      <c r="AM1613">
        <v>100</v>
      </c>
      <c r="AN1613">
        <v>4700</v>
      </c>
      <c r="AO1613" t="s">
        <v>115</v>
      </c>
      <c r="AP1613">
        <v>169</v>
      </c>
      <c r="AQ1613">
        <v>88</v>
      </c>
      <c r="AR1613">
        <v>0</v>
      </c>
      <c r="AZ1613">
        <v>3614</v>
      </c>
      <c r="BA1613">
        <v>1</v>
      </c>
      <c r="BB1613" t="str">
        <f t="shared" si="77"/>
        <v xml:space="preserve">N959MJ  </v>
      </c>
      <c r="BC1613">
        <v>1</v>
      </c>
      <c r="BE1613">
        <v>0</v>
      </c>
      <c r="BF1613">
        <v>0</v>
      </c>
      <c r="BG1613">
        <v>0</v>
      </c>
      <c r="BH1613">
        <v>4875</v>
      </c>
      <c r="BI1613">
        <v>175</v>
      </c>
      <c r="BJ1613">
        <v>1</v>
      </c>
      <c r="BK1613">
        <v>1</v>
      </c>
      <c r="BL1613">
        <v>1</v>
      </c>
      <c r="BM1613">
        <v>0</v>
      </c>
      <c r="BP1613">
        <v>0</v>
      </c>
      <c r="BQ1613">
        <v>0</v>
      </c>
      <c r="BX1613" t="str">
        <f>"14:17:15.047"</f>
        <v>14:17:15.047</v>
      </c>
      <c r="BY1613" t="str">
        <f>"049930726"</f>
        <v>049930726</v>
      </c>
      <c r="CL1613">
        <v>0</v>
      </c>
      <c r="CM1613">
        <v>2</v>
      </c>
      <c r="CN1613">
        <v>0</v>
      </c>
      <c r="CO1613">
        <v>2</v>
      </c>
      <c r="CP1613">
        <v>0</v>
      </c>
      <c r="CQ1613">
        <v>6</v>
      </c>
      <c r="CR1613" t="s">
        <v>116</v>
      </c>
      <c r="CS1613">
        <v>396</v>
      </c>
      <c r="CT1613">
        <v>1</v>
      </c>
      <c r="CU1613" t="s">
        <v>939</v>
      </c>
      <c r="CV1613" t="s">
        <v>940</v>
      </c>
      <c r="CY1613">
        <v>9182193</v>
      </c>
      <c r="CZ1613" t="s">
        <v>119</v>
      </c>
    </row>
    <row r="1614" spans="1:104" x14ac:dyDescent="0.25">
      <c r="A1614" t="str">
        <f>"14:17:16.336"</f>
        <v>14:17:16.336</v>
      </c>
      <c r="B1614" t="s">
        <v>108</v>
      </c>
      <c r="C1614" t="str">
        <f t="shared" si="76"/>
        <v>ffdfd3c0</v>
      </c>
      <c r="D1614" t="s">
        <v>109</v>
      </c>
      <c r="E1614">
        <v>4</v>
      </c>
      <c r="F1614">
        <v>1004</v>
      </c>
      <c r="G1614" t="s">
        <v>110</v>
      </c>
      <c r="J1614" t="s">
        <v>111</v>
      </c>
      <c r="K1614">
        <v>0</v>
      </c>
      <c r="L1614">
        <v>3</v>
      </c>
      <c r="M1614">
        <v>0</v>
      </c>
      <c r="N1614">
        <v>2</v>
      </c>
      <c r="O1614">
        <v>1</v>
      </c>
      <c r="P1614">
        <v>0</v>
      </c>
      <c r="Q1614">
        <v>0</v>
      </c>
      <c r="R1614" t="s">
        <v>112</v>
      </c>
      <c r="S1614" t="str">
        <f>"14:17:16.164"</f>
        <v>14:17:16.164</v>
      </c>
      <c r="T1614" t="str">
        <f>"14:17:15.063"</f>
        <v>14:17:15.063</v>
      </c>
      <c r="U1614" t="str">
        <f t="shared" si="75"/>
        <v>ad5732</v>
      </c>
      <c r="V1614">
        <v>0</v>
      </c>
      <c r="W1614">
        <v>0</v>
      </c>
      <c r="X1614">
        <v>1</v>
      </c>
      <c r="Z1614">
        <v>0</v>
      </c>
      <c r="AA1614">
        <v>9</v>
      </c>
      <c r="AB1614">
        <v>3</v>
      </c>
      <c r="AC1614">
        <v>0</v>
      </c>
      <c r="AD1614">
        <v>10</v>
      </c>
      <c r="AE1614">
        <v>0</v>
      </c>
      <c r="AF1614">
        <v>3</v>
      </c>
      <c r="AG1614">
        <v>2</v>
      </c>
      <c r="AH1614">
        <v>0</v>
      </c>
      <c r="AI1614" t="s">
        <v>3331</v>
      </c>
      <c r="AJ1614">
        <v>39.69135</v>
      </c>
      <c r="AK1614" t="s">
        <v>3332</v>
      </c>
      <c r="AL1614">
        <v>-76.235139000000004</v>
      </c>
      <c r="AM1614">
        <v>100</v>
      </c>
      <c r="AN1614">
        <v>4700</v>
      </c>
      <c r="AO1614" t="s">
        <v>115</v>
      </c>
      <c r="AP1614">
        <v>168</v>
      </c>
      <c r="AQ1614">
        <v>88</v>
      </c>
      <c r="AR1614">
        <v>0</v>
      </c>
      <c r="AZ1614">
        <v>3614</v>
      </c>
      <c r="BA1614">
        <v>1</v>
      </c>
      <c r="BB1614" t="str">
        <f t="shared" si="77"/>
        <v xml:space="preserve">N959MJ  </v>
      </c>
      <c r="BC1614">
        <v>1</v>
      </c>
      <c r="BE1614">
        <v>0</v>
      </c>
      <c r="BF1614">
        <v>0</v>
      </c>
      <c r="BG1614">
        <v>0</v>
      </c>
      <c r="BH1614">
        <v>4875</v>
      </c>
      <c r="BI1614">
        <v>175</v>
      </c>
      <c r="BJ1614">
        <v>1</v>
      </c>
      <c r="BK1614">
        <v>1</v>
      </c>
      <c r="BL1614">
        <v>1</v>
      </c>
      <c r="BM1614">
        <v>0</v>
      </c>
      <c r="BP1614">
        <v>0</v>
      </c>
      <c r="BQ1614">
        <v>0</v>
      </c>
      <c r="BX1614" t="str">
        <f>"14:17:16.164"</f>
        <v>14:17:16.164</v>
      </c>
      <c r="BY1614" t="str">
        <f>"167338452"</f>
        <v>167338452</v>
      </c>
      <c r="CL1614">
        <v>0</v>
      </c>
      <c r="CM1614">
        <v>2</v>
      </c>
      <c r="CN1614">
        <v>0</v>
      </c>
      <c r="CO1614">
        <v>2</v>
      </c>
      <c r="CP1614">
        <v>0</v>
      </c>
      <c r="CQ1614">
        <v>5</v>
      </c>
      <c r="CR1614" t="s">
        <v>116</v>
      </c>
      <c r="CS1614">
        <v>396</v>
      </c>
      <c r="CT1614">
        <v>1</v>
      </c>
      <c r="CU1614" t="s">
        <v>939</v>
      </c>
      <c r="CV1614" t="s">
        <v>940</v>
      </c>
      <c r="CY1614">
        <v>9184290</v>
      </c>
      <c r="CZ1614" t="s">
        <v>119</v>
      </c>
    </row>
    <row r="1615" spans="1:104" x14ac:dyDescent="0.25">
      <c r="A1615" t="str">
        <f>"14:17:17.492"</f>
        <v>14:17:17.492</v>
      </c>
      <c r="B1615" t="s">
        <v>108</v>
      </c>
      <c r="C1615" t="str">
        <f t="shared" si="76"/>
        <v>ffdfd3c0</v>
      </c>
      <c r="D1615" t="s">
        <v>109</v>
      </c>
      <c r="E1615">
        <v>4</v>
      </c>
      <c r="F1615">
        <v>1004</v>
      </c>
      <c r="G1615" t="s">
        <v>110</v>
      </c>
      <c r="J1615" t="s">
        <v>111</v>
      </c>
      <c r="K1615">
        <v>0</v>
      </c>
      <c r="L1615">
        <v>3</v>
      </c>
      <c r="M1615">
        <v>0</v>
      </c>
      <c r="N1615">
        <v>2</v>
      </c>
      <c r="O1615">
        <v>1</v>
      </c>
      <c r="P1615">
        <v>0</v>
      </c>
      <c r="Q1615">
        <v>0</v>
      </c>
      <c r="R1615" t="s">
        <v>112</v>
      </c>
      <c r="S1615" t="str">
        <f>"14:17:17.328"</f>
        <v>14:17:17.328</v>
      </c>
      <c r="T1615" t="str">
        <f>"14:17:16.828"</f>
        <v>14:17:16.828</v>
      </c>
      <c r="U1615" t="str">
        <f t="shared" si="75"/>
        <v>ad5732</v>
      </c>
      <c r="V1615">
        <v>0</v>
      </c>
      <c r="W1615">
        <v>0</v>
      </c>
      <c r="X1615">
        <v>1</v>
      </c>
      <c r="Z1615">
        <v>0</v>
      </c>
      <c r="AA1615">
        <v>9</v>
      </c>
      <c r="AB1615">
        <v>3</v>
      </c>
      <c r="AC1615">
        <v>0</v>
      </c>
      <c r="AD1615">
        <v>10</v>
      </c>
      <c r="AE1615">
        <v>0</v>
      </c>
      <c r="AF1615">
        <v>3</v>
      </c>
      <c r="AG1615">
        <v>2</v>
      </c>
      <c r="AH1615">
        <v>0</v>
      </c>
      <c r="AI1615" t="s">
        <v>3333</v>
      </c>
      <c r="AJ1615">
        <v>39.691865</v>
      </c>
      <c r="AK1615" t="s">
        <v>3334</v>
      </c>
      <c r="AL1615">
        <v>-76.233958999999999</v>
      </c>
      <c r="AM1615">
        <v>100</v>
      </c>
      <c r="AN1615">
        <v>4700</v>
      </c>
      <c r="AO1615" t="s">
        <v>115</v>
      </c>
      <c r="AP1615">
        <v>168</v>
      </c>
      <c r="AQ1615">
        <v>88</v>
      </c>
      <c r="AR1615">
        <v>64</v>
      </c>
      <c r="AZ1615">
        <v>3614</v>
      </c>
      <c r="BA1615">
        <v>1</v>
      </c>
      <c r="BB1615" t="str">
        <f t="shared" si="77"/>
        <v xml:space="preserve">N959MJ  </v>
      </c>
      <c r="BC1615">
        <v>1</v>
      </c>
      <c r="BE1615">
        <v>0</v>
      </c>
      <c r="BF1615">
        <v>0</v>
      </c>
      <c r="BG1615">
        <v>0</v>
      </c>
      <c r="BH1615">
        <v>4875</v>
      </c>
      <c r="BI1615">
        <v>175</v>
      </c>
      <c r="BJ1615">
        <v>1</v>
      </c>
      <c r="BK1615">
        <v>1</v>
      </c>
      <c r="BL1615">
        <v>1</v>
      </c>
      <c r="BM1615">
        <v>0</v>
      </c>
      <c r="BP1615">
        <v>0</v>
      </c>
      <c r="BQ1615">
        <v>0</v>
      </c>
      <c r="BX1615" t="str">
        <f>"14:17:17.336"</f>
        <v>14:17:17.336</v>
      </c>
      <c r="BY1615" t="str">
        <f>"332260610"</f>
        <v>332260610</v>
      </c>
      <c r="CL1615">
        <v>0</v>
      </c>
      <c r="CM1615">
        <v>2</v>
      </c>
      <c r="CN1615">
        <v>0</v>
      </c>
      <c r="CO1615">
        <v>2</v>
      </c>
      <c r="CP1615">
        <v>0</v>
      </c>
      <c r="CQ1615">
        <v>6</v>
      </c>
      <c r="CR1615" t="s">
        <v>116</v>
      </c>
      <c r="CS1615">
        <v>396</v>
      </c>
      <c r="CT1615">
        <v>1</v>
      </c>
      <c r="CU1615" t="s">
        <v>939</v>
      </c>
      <c r="CV1615" t="s">
        <v>940</v>
      </c>
      <c r="CY1615">
        <v>9186416</v>
      </c>
      <c r="CZ1615" t="s">
        <v>119</v>
      </c>
    </row>
    <row r="1616" spans="1:104" x14ac:dyDescent="0.25">
      <c r="A1616" t="str">
        <f>"14:17:18.453"</f>
        <v>14:17:18.453</v>
      </c>
      <c r="B1616" t="s">
        <v>108</v>
      </c>
      <c r="C1616" t="str">
        <f t="shared" si="76"/>
        <v>ffdfd3c0</v>
      </c>
      <c r="D1616" t="s">
        <v>109</v>
      </c>
      <c r="E1616">
        <v>4</v>
      </c>
      <c r="F1616">
        <v>1004</v>
      </c>
      <c r="G1616" t="s">
        <v>110</v>
      </c>
      <c r="J1616" t="s">
        <v>111</v>
      </c>
      <c r="K1616">
        <v>0</v>
      </c>
      <c r="L1616">
        <v>3</v>
      </c>
      <c r="M1616">
        <v>0</v>
      </c>
      <c r="N1616">
        <v>2</v>
      </c>
      <c r="O1616">
        <v>1</v>
      </c>
      <c r="P1616">
        <v>0</v>
      </c>
      <c r="Q1616">
        <v>0</v>
      </c>
      <c r="R1616" t="s">
        <v>112</v>
      </c>
      <c r="S1616" t="str">
        <f>"14:17:18.273"</f>
        <v>14:17:18.273</v>
      </c>
      <c r="T1616" t="str">
        <f>"14:17:17.773"</f>
        <v>14:17:17.773</v>
      </c>
      <c r="U1616" t="str">
        <f t="shared" si="75"/>
        <v>ad5732</v>
      </c>
      <c r="V1616">
        <v>0</v>
      </c>
      <c r="W1616">
        <v>0</v>
      </c>
      <c r="X1616">
        <v>1</v>
      </c>
      <c r="Z1616">
        <v>0</v>
      </c>
      <c r="AA1616">
        <v>9</v>
      </c>
      <c r="AB1616">
        <v>3</v>
      </c>
      <c r="AC1616">
        <v>0</v>
      </c>
      <c r="AD1616">
        <v>10</v>
      </c>
      <c r="AE1616">
        <v>0</v>
      </c>
      <c r="AF1616">
        <v>3</v>
      </c>
      <c r="AG1616">
        <v>2</v>
      </c>
      <c r="AH1616">
        <v>0</v>
      </c>
      <c r="AI1616" t="s">
        <v>3335</v>
      </c>
      <c r="AJ1616">
        <v>39.692208999999998</v>
      </c>
      <c r="AK1616" t="s">
        <v>3336</v>
      </c>
      <c r="AL1616">
        <v>-76.233036999999996</v>
      </c>
      <c r="AM1616">
        <v>100</v>
      </c>
      <c r="AN1616">
        <v>4700</v>
      </c>
      <c r="AO1616" t="s">
        <v>115</v>
      </c>
      <c r="AP1616">
        <v>167</v>
      </c>
      <c r="AQ1616">
        <v>89</v>
      </c>
      <c r="AR1616">
        <v>128</v>
      </c>
      <c r="AZ1616">
        <v>3614</v>
      </c>
      <c r="BA1616">
        <v>1</v>
      </c>
      <c r="BB1616" t="str">
        <f t="shared" si="77"/>
        <v xml:space="preserve">N959MJ  </v>
      </c>
      <c r="BC1616">
        <v>1</v>
      </c>
      <c r="BE1616">
        <v>0</v>
      </c>
      <c r="BF1616">
        <v>0</v>
      </c>
      <c r="BG1616">
        <v>0</v>
      </c>
      <c r="BH1616">
        <v>4875</v>
      </c>
      <c r="BI1616">
        <v>175</v>
      </c>
      <c r="BJ1616">
        <v>1</v>
      </c>
      <c r="BK1616">
        <v>1</v>
      </c>
      <c r="BL1616">
        <v>1</v>
      </c>
      <c r="BM1616">
        <v>0</v>
      </c>
      <c r="BP1616">
        <v>0</v>
      </c>
      <c r="BQ1616">
        <v>0</v>
      </c>
      <c r="BX1616" t="str">
        <f>"14:17:18.273"</f>
        <v>14:17:18.273</v>
      </c>
      <c r="BY1616" t="str">
        <f>"274427540"</f>
        <v>274427540</v>
      </c>
      <c r="CL1616">
        <v>0</v>
      </c>
      <c r="CM1616">
        <v>2</v>
      </c>
      <c r="CN1616">
        <v>0</v>
      </c>
      <c r="CO1616">
        <v>2</v>
      </c>
      <c r="CP1616">
        <v>0</v>
      </c>
      <c r="CQ1616">
        <v>6</v>
      </c>
      <c r="CR1616" t="s">
        <v>116</v>
      </c>
      <c r="CS1616">
        <v>39</v>
      </c>
      <c r="CT1616">
        <v>2</v>
      </c>
      <c r="CU1616" t="s">
        <v>2259</v>
      </c>
      <c r="CV1616" t="s">
        <v>2260</v>
      </c>
      <c r="CY1616">
        <v>15886323</v>
      </c>
      <c r="CZ1616" t="s">
        <v>119</v>
      </c>
    </row>
    <row r="1617" spans="1:104" x14ac:dyDescent="0.25">
      <c r="A1617" t="str">
        <f>"14:17:19.516"</f>
        <v>14:17:19.516</v>
      </c>
      <c r="B1617" t="s">
        <v>108</v>
      </c>
      <c r="C1617" t="str">
        <f t="shared" si="76"/>
        <v>ffdfd3c0</v>
      </c>
      <c r="D1617" t="s">
        <v>109</v>
      </c>
      <c r="E1617">
        <v>4</v>
      </c>
      <c r="F1617">
        <v>1004</v>
      </c>
      <c r="G1617" t="s">
        <v>110</v>
      </c>
      <c r="J1617" t="s">
        <v>111</v>
      </c>
      <c r="K1617">
        <v>0</v>
      </c>
      <c r="L1617">
        <v>3</v>
      </c>
      <c r="M1617">
        <v>0</v>
      </c>
      <c r="N1617">
        <v>2</v>
      </c>
      <c r="O1617">
        <v>1</v>
      </c>
      <c r="P1617">
        <v>0</v>
      </c>
      <c r="Q1617">
        <v>0</v>
      </c>
      <c r="R1617" t="s">
        <v>112</v>
      </c>
      <c r="S1617" t="str">
        <f>"14:17:19.352"</f>
        <v>14:17:19.352</v>
      </c>
      <c r="T1617" t="str">
        <f>"14:17:18.852"</f>
        <v>14:17:18.852</v>
      </c>
      <c r="U1617" t="str">
        <f t="shared" si="75"/>
        <v>ad5732</v>
      </c>
      <c r="V1617">
        <v>0</v>
      </c>
      <c r="W1617">
        <v>0</v>
      </c>
      <c r="X1617">
        <v>1</v>
      </c>
      <c r="Z1617">
        <v>0</v>
      </c>
      <c r="AA1617">
        <v>9</v>
      </c>
      <c r="AB1617">
        <v>3</v>
      </c>
      <c r="AC1617">
        <v>0</v>
      </c>
      <c r="AD1617">
        <v>10</v>
      </c>
      <c r="AE1617">
        <v>0</v>
      </c>
      <c r="AF1617">
        <v>3</v>
      </c>
      <c r="AG1617">
        <v>2</v>
      </c>
      <c r="AH1617">
        <v>0</v>
      </c>
      <c r="AI1617" t="s">
        <v>3337</v>
      </c>
      <c r="AJ1617">
        <v>39.692681</v>
      </c>
      <c r="AK1617" t="s">
        <v>3338</v>
      </c>
      <c r="AL1617">
        <v>-76.231984999999995</v>
      </c>
      <c r="AM1617">
        <v>100</v>
      </c>
      <c r="AN1617">
        <v>4700</v>
      </c>
      <c r="AO1617" t="s">
        <v>115</v>
      </c>
      <c r="AP1617">
        <v>167</v>
      </c>
      <c r="AQ1617">
        <v>89</v>
      </c>
      <c r="AR1617">
        <v>128</v>
      </c>
      <c r="AZ1617">
        <v>3614</v>
      </c>
      <c r="BA1617">
        <v>1</v>
      </c>
      <c r="BB1617" t="str">
        <f t="shared" si="77"/>
        <v xml:space="preserve">N959MJ  </v>
      </c>
      <c r="BC1617">
        <v>1</v>
      </c>
      <c r="BE1617">
        <v>0</v>
      </c>
      <c r="BF1617">
        <v>0</v>
      </c>
      <c r="BG1617">
        <v>0</v>
      </c>
      <c r="BH1617">
        <v>4875</v>
      </c>
      <c r="BI1617">
        <v>175</v>
      </c>
      <c r="BJ1617">
        <v>1</v>
      </c>
      <c r="BK1617">
        <v>1</v>
      </c>
      <c r="BL1617">
        <v>1</v>
      </c>
      <c r="BM1617">
        <v>0</v>
      </c>
      <c r="BP1617">
        <v>0</v>
      </c>
      <c r="BQ1617">
        <v>0</v>
      </c>
      <c r="BX1617" t="str">
        <f>"14:17:19.359"</f>
        <v>14:17:19.359</v>
      </c>
      <c r="BY1617" t="str">
        <f>"357357397"</f>
        <v>357357397</v>
      </c>
      <c r="CL1617">
        <v>0</v>
      </c>
      <c r="CM1617">
        <v>2</v>
      </c>
      <c r="CN1617">
        <v>0</v>
      </c>
      <c r="CO1617">
        <v>2</v>
      </c>
      <c r="CP1617">
        <v>0</v>
      </c>
      <c r="CQ1617">
        <v>6</v>
      </c>
      <c r="CR1617" t="s">
        <v>116</v>
      </c>
      <c r="CS1617">
        <v>396</v>
      </c>
      <c r="CT1617">
        <v>1</v>
      </c>
      <c r="CU1617" t="s">
        <v>939</v>
      </c>
      <c r="CV1617" t="s">
        <v>940</v>
      </c>
      <c r="CY1617">
        <v>9190110</v>
      </c>
      <c r="CZ1617" t="s">
        <v>119</v>
      </c>
    </row>
    <row r="1618" spans="1:104" x14ac:dyDescent="0.25">
      <c r="A1618" t="str">
        <f>"14:17:20.375"</f>
        <v>14:17:20.375</v>
      </c>
      <c r="B1618" t="s">
        <v>108</v>
      </c>
      <c r="C1618" t="str">
        <f t="shared" si="76"/>
        <v>ffdfd3c0</v>
      </c>
      <c r="D1618" t="s">
        <v>109</v>
      </c>
      <c r="E1618">
        <v>4</v>
      </c>
      <c r="F1618">
        <v>1004</v>
      </c>
      <c r="G1618" t="s">
        <v>110</v>
      </c>
      <c r="J1618" t="s">
        <v>111</v>
      </c>
      <c r="K1618">
        <v>0</v>
      </c>
      <c r="L1618">
        <v>3</v>
      </c>
      <c r="M1618">
        <v>0</v>
      </c>
      <c r="N1618">
        <v>2</v>
      </c>
      <c r="O1618">
        <v>1</v>
      </c>
      <c r="P1618">
        <v>0</v>
      </c>
      <c r="Q1618">
        <v>0</v>
      </c>
      <c r="R1618" t="s">
        <v>112</v>
      </c>
      <c r="S1618" t="str">
        <f>"14:17:20.172"</f>
        <v>14:17:20.172</v>
      </c>
      <c r="T1618" t="str">
        <f>"14:17:19.773"</f>
        <v>14:17:19.773</v>
      </c>
      <c r="U1618" t="str">
        <f t="shared" si="75"/>
        <v>ad5732</v>
      </c>
      <c r="V1618">
        <v>0</v>
      </c>
      <c r="W1618">
        <v>0</v>
      </c>
      <c r="X1618">
        <v>1</v>
      </c>
      <c r="Z1618">
        <v>0</v>
      </c>
      <c r="AA1618">
        <v>9</v>
      </c>
      <c r="AB1618">
        <v>3</v>
      </c>
      <c r="AC1618">
        <v>0</v>
      </c>
      <c r="AD1618">
        <v>10</v>
      </c>
      <c r="AE1618">
        <v>0</v>
      </c>
      <c r="AF1618">
        <v>3</v>
      </c>
      <c r="AG1618">
        <v>2</v>
      </c>
      <c r="AH1618">
        <v>0</v>
      </c>
      <c r="AI1618" t="s">
        <v>3339</v>
      </c>
      <c r="AJ1618">
        <v>39.693002999999997</v>
      </c>
      <c r="AK1618" t="s">
        <v>3340</v>
      </c>
      <c r="AL1618">
        <v>-76.231148000000005</v>
      </c>
      <c r="AM1618">
        <v>100</v>
      </c>
      <c r="AN1618">
        <v>4700</v>
      </c>
      <c r="AO1618" t="s">
        <v>115</v>
      </c>
      <c r="AP1618">
        <v>166</v>
      </c>
      <c r="AQ1618">
        <v>89</v>
      </c>
      <c r="AR1618">
        <v>64</v>
      </c>
      <c r="AZ1618">
        <v>3614</v>
      </c>
      <c r="BA1618">
        <v>1</v>
      </c>
      <c r="BB1618" t="str">
        <f t="shared" si="77"/>
        <v xml:space="preserve">N959MJ  </v>
      </c>
      <c r="BC1618">
        <v>1</v>
      </c>
      <c r="BE1618">
        <v>0</v>
      </c>
      <c r="BF1618">
        <v>0</v>
      </c>
      <c r="BG1618">
        <v>0</v>
      </c>
      <c r="BH1618">
        <v>4875</v>
      </c>
      <c r="BI1618">
        <v>175</v>
      </c>
      <c r="BJ1618">
        <v>1</v>
      </c>
      <c r="BK1618">
        <v>1</v>
      </c>
      <c r="BL1618">
        <v>1</v>
      </c>
      <c r="BM1618">
        <v>0</v>
      </c>
      <c r="BP1618">
        <v>0</v>
      </c>
      <c r="BQ1618">
        <v>0</v>
      </c>
      <c r="BX1618" t="str">
        <f>"14:17:20.180"</f>
        <v>14:17:20.180</v>
      </c>
      <c r="BY1618" t="str">
        <f>"178279746"</f>
        <v>178279746</v>
      </c>
      <c r="CL1618">
        <v>0</v>
      </c>
      <c r="CM1618">
        <v>2</v>
      </c>
      <c r="CN1618">
        <v>0</v>
      </c>
      <c r="CO1618">
        <v>2</v>
      </c>
      <c r="CP1618">
        <v>0</v>
      </c>
      <c r="CQ1618">
        <v>6</v>
      </c>
      <c r="CR1618" t="s">
        <v>116</v>
      </c>
      <c r="CS1618">
        <v>39</v>
      </c>
      <c r="CT1618">
        <v>2</v>
      </c>
      <c r="CU1618" t="s">
        <v>2259</v>
      </c>
      <c r="CV1618" t="s">
        <v>2260</v>
      </c>
      <c r="CY1618">
        <v>15889431</v>
      </c>
      <c r="CZ1618" t="s">
        <v>119</v>
      </c>
    </row>
    <row r="1619" spans="1:104" x14ac:dyDescent="0.25">
      <c r="A1619" t="str">
        <f>"14:17:21.336"</f>
        <v>14:17:21.336</v>
      </c>
      <c r="B1619" t="s">
        <v>108</v>
      </c>
      <c r="C1619" t="str">
        <f t="shared" si="76"/>
        <v>ffdfd3c0</v>
      </c>
      <c r="D1619" t="s">
        <v>109</v>
      </c>
      <c r="E1619">
        <v>4</v>
      </c>
      <c r="F1619">
        <v>1004</v>
      </c>
      <c r="G1619" t="s">
        <v>110</v>
      </c>
      <c r="J1619" t="s">
        <v>111</v>
      </c>
      <c r="K1619">
        <v>0</v>
      </c>
      <c r="L1619">
        <v>3</v>
      </c>
      <c r="M1619">
        <v>0</v>
      </c>
      <c r="N1619">
        <v>2</v>
      </c>
      <c r="O1619">
        <v>1</v>
      </c>
      <c r="P1619">
        <v>0</v>
      </c>
      <c r="Q1619">
        <v>0</v>
      </c>
      <c r="R1619" t="s">
        <v>112</v>
      </c>
      <c r="S1619" t="str">
        <f>"14:17:21.094"</f>
        <v>14:17:21.094</v>
      </c>
      <c r="T1619" t="str">
        <f>"14:17:19.391"</f>
        <v>14:17:19.391</v>
      </c>
      <c r="U1619" t="str">
        <f t="shared" si="75"/>
        <v>ad5732</v>
      </c>
      <c r="V1619">
        <v>0</v>
      </c>
      <c r="W1619">
        <v>0</v>
      </c>
      <c r="X1619">
        <v>1</v>
      </c>
      <c r="Z1619">
        <v>0</v>
      </c>
      <c r="AA1619">
        <v>9</v>
      </c>
      <c r="AB1619">
        <v>3</v>
      </c>
      <c r="AC1619">
        <v>0</v>
      </c>
      <c r="AD1619">
        <v>10</v>
      </c>
      <c r="AE1619">
        <v>0</v>
      </c>
      <c r="AF1619">
        <v>3</v>
      </c>
      <c r="AG1619">
        <v>2</v>
      </c>
      <c r="AH1619">
        <v>0</v>
      </c>
      <c r="AI1619" t="s">
        <v>3341</v>
      </c>
      <c r="AJ1619">
        <v>39.69341</v>
      </c>
      <c r="AK1619" t="s">
        <v>3342</v>
      </c>
      <c r="AL1619">
        <v>-76.230182999999997</v>
      </c>
      <c r="AM1619">
        <v>100</v>
      </c>
      <c r="AN1619">
        <v>4700</v>
      </c>
      <c r="AO1619" t="s">
        <v>115</v>
      </c>
      <c r="AP1619">
        <v>166</v>
      </c>
      <c r="AQ1619">
        <v>89</v>
      </c>
      <c r="AR1619">
        <v>128</v>
      </c>
      <c r="AZ1619">
        <v>3614</v>
      </c>
      <c r="BA1619">
        <v>1</v>
      </c>
      <c r="BB1619" t="str">
        <f t="shared" si="77"/>
        <v xml:space="preserve">N959MJ  </v>
      </c>
      <c r="BC1619">
        <v>1</v>
      </c>
      <c r="BE1619">
        <v>0</v>
      </c>
      <c r="BF1619">
        <v>0</v>
      </c>
      <c r="BG1619">
        <v>0</v>
      </c>
      <c r="BH1619">
        <v>4875</v>
      </c>
      <c r="BI1619">
        <v>175</v>
      </c>
      <c r="BJ1619">
        <v>1</v>
      </c>
      <c r="BK1619">
        <v>1</v>
      </c>
      <c r="BL1619">
        <v>1</v>
      </c>
      <c r="BM1619">
        <v>0</v>
      </c>
      <c r="BP1619">
        <v>0</v>
      </c>
      <c r="BQ1619">
        <v>0</v>
      </c>
      <c r="BX1619" t="str">
        <f>"14:17:21.102"</f>
        <v>14:17:21.102</v>
      </c>
      <c r="BY1619" t="str">
        <f>"100855940"</f>
        <v>100855940</v>
      </c>
      <c r="CL1619">
        <v>0</v>
      </c>
      <c r="CM1619">
        <v>2</v>
      </c>
      <c r="CN1619">
        <v>0</v>
      </c>
      <c r="CO1619">
        <v>2</v>
      </c>
      <c r="CP1619">
        <v>0</v>
      </c>
      <c r="CQ1619">
        <v>3</v>
      </c>
      <c r="CR1619" t="s">
        <v>116</v>
      </c>
      <c r="CS1619">
        <v>408</v>
      </c>
      <c r="CT1619">
        <v>2</v>
      </c>
      <c r="CU1619" t="s">
        <v>2317</v>
      </c>
      <c r="CV1619" t="s">
        <v>2318</v>
      </c>
      <c r="CY1619">
        <v>756231</v>
      </c>
      <c r="CZ1619" t="s">
        <v>119</v>
      </c>
    </row>
    <row r="1620" spans="1:104" x14ac:dyDescent="0.25">
      <c r="A1620" t="str">
        <f>"14:17:22.297"</f>
        <v>14:17:22.297</v>
      </c>
      <c r="B1620" t="s">
        <v>108</v>
      </c>
      <c r="C1620" t="str">
        <f t="shared" si="76"/>
        <v>ffdfd3c0</v>
      </c>
      <c r="D1620" t="s">
        <v>109</v>
      </c>
      <c r="E1620">
        <v>4</v>
      </c>
      <c r="F1620">
        <v>1004</v>
      </c>
      <c r="G1620" t="s">
        <v>110</v>
      </c>
      <c r="J1620" t="s">
        <v>111</v>
      </c>
      <c r="K1620">
        <v>0</v>
      </c>
      <c r="L1620">
        <v>3</v>
      </c>
      <c r="M1620">
        <v>0</v>
      </c>
      <c r="N1620">
        <v>2</v>
      </c>
      <c r="O1620">
        <v>1</v>
      </c>
      <c r="P1620">
        <v>0</v>
      </c>
      <c r="Q1620">
        <v>0</v>
      </c>
      <c r="R1620" t="s">
        <v>112</v>
      </c>
      <c r="S1620" t="str">
        <f>"14:17:22.125"</f>
        <v>14:17:22.125</v>
      </c>
      <c r="T1620" t="str">
        <f>"14:17:21.625"</f>
        <v>14:17:21.625</v>
      </c>
      <c r="U1620" t="str">
        <f t="shared" si="75"/>
        <v>ad5732</v>
      </c>
      <c r="V1620">
        <v>0</v>
      </c>
      <c r="W1620">
        <v>0</v>
      </c>
      <c r="X1620">
        <v>1</v>
      </c>
      <c r="Z1620">
        <v>0</v>
      </c>
      <c r="AA1620">
        <v>9</v>
      </c>
      <c r="AB1620">
        <v>3</v>
      </c>
      <c r="AC1620">
        <v>0</v>
      </c>
      <c r="AD1620">
        <v>10</v>
      </c>
      <c r="AE1620">
        <v>0</v>
      </c>
      <c r="AF1620">
        <v>3</v>
      </c>
      <c r="AG1620">
        <v>2</v>
      </c>
      <c r="AH1620">
        <v>0</v>
      </c>
      <c r="AI1620" t="s">
        <v>3343</v>
      </c>
      <c r="AJ1620">
        <v>39.693840000000002</v>
      </c>
      <c r="AK1620" t="s">
        <v>3344</v>
      </c>
      <c r="AL1620">
        <v>-76.229174</v>
      </c>
      <c r="AM1620">
        <v>100</v>
      </c>
      <c r="AN1620">
        <v>4700</v>
      </c>
      <c r="AO1620" t="s">
        <v>115</v>
      </c>
      <c r="AP1620">
        <v>165</v>
      </c>
      <c r="AQ1620">
        <v>88</v>
      </c>
      <c r="AR1620">
        <v>0</v>
      </c>
      <c r="AZ1620">
        <v>3614</v>
      </c>
      <c r="BA1620">
        <v>1</v>
      </c>
      <c r="BB1620" t="str">
        <f t="shared" si="77"/>
        <v xml:space="preserve">N959MJ  </v>
      </c>
      <c r="BC1620">
        <v>1</v>
      </c>
      <c r="BE1620">
        <v>0</v>
      </c>
      <c r="BF1620">
        <v>0</v>
      </c>
      <c r="BG1620">
        <v>0</v>
      </c>
      <c r="BH1620">
        <v>4875</v>
      </c>
      <c r="BI1620">
        <v>175</v>
      </c>
      <c r="BJ1620">
        <v>1</v>
      </c>
      <c r="BK1620">
        <v>1</v>
      </c>
      <c r="BL1620">
        <v>1</v>
      </c>
      <c r="BM1620">
        <v>0</v>
      </c>
      <c r="BP1620">
        <v>0</v>
      </c>
      <c r="BQ1620">
        <v>0</v>
      </c>
      <c r="BX1620" t="str">
        <f>"14:17:22.133"</f>
        <v>14:17:22.133</v>
      </c>
      <c r="BY1620" t="str">
        <f>"129646387"</f>
        <v>129646387</v>
      </c>
      <c r="CL1620">
        <v>0</v>
      </c>
      <c r="CM1620">
        <v>2</v>
      </c>
      <c r="CN1620">
        <v>0</v>
      </c>
      <c r="CO1620">
        <v>2</v>
      </c>
      <c r="CP1620">
        <v>0</v>
      </c>
      <c r="CQ1620">
        <v>6</v>
      </c>
      <c r="CR1620" t="s">
        <v>116</v>
      </c>
      <c r="CS1620">
        <v>39</v>
      </c>
      <c r="CT1620">
        <v>2</v>
      </c>
      <c r="CU1620" t="s">
        <v>2259</v>
      </c>
      <c r="CV1620" t="s">
        <v>2260</v>
      </c>
      <c r="CY1620">
        <v>15892458</v>
      </c>
      <c r="CZ1620" t="s">
        <v>119</v>
      </c>
    </row>
    <row r="1621" spans="1:104" x14ac:dyDescent="0.25">
      <c r="A1621" t="str">
        <f>"14:17:23.398"</f>
        <v>14:17:23.398</v>
      </c>
      <c r="B1621" t="s">
        <v>108</v>
      </c>
      <c r="C1621" t="str">
        <f t="shared" si="76"/>
        <v>ffdfd3c0</v>
      </c>
      <c r="D1621" t="s">
        <v>109</v>
      </c>
      <c r="E1621">
        <v>4</v>
      </c>
      <c r="F1621">
        <v>1004</v>
      </c>
      <c r="G1621" t="s">
        <v>110</v>
      </c>
      <c r="J1621" t="s">
        <v>111</v>
      </c>
      <c r="K1621">
        <v>0</v>
      </c>
      <c r="L1621">
        <v>3</v>
      </c>
      <c r="M1621">
        <v>0</v>
      </c>
      <c r="N1621">
        <v>2</v>
      </c>
      <c r="O1621">
        <v>1</v>
      </c>
      <c r="P1621">
        <v>0</v>
      </c>
      <c r="Q1621">
        <v>0</v>
      </c>
      <c r="R1621" t="s">
        <v>112</v>
      </c>
      <c r="S1621" t="str">
        <f>"14:17:23.211"</f>
        <v>14:17:23.211</v>
      </c>
      <c r="T1621" t="str">
        <f>"14:17:22.711"</f>
        <v>14:17:22.711</v>
      </c>
      <c r="U1621" t="str">
        <f t="shared" si="75"/>
        <v>ad5732</v>
      </c>
      <c r="V1621">
        <v>0</v>
      </c>
      <c r="W1621">
        <v>0</v>
      </c>
      <c r="X1621">
        <v>1</v>
      </c>
      <c r="Z1621">
        <v>0</v>
      </c>
      <c r="AA1621">
        <v>9</v>
      </c>
      <c r="AB1621">
        <v>3</v>
      </c>
      <c r="AC1621">
        <v>0</v>
      </c>
      <c r="AD1621">
        <v>10</v>
      </c>
      <c r="AE1621">
        <v>0</v>
      </c>
      <c r="AF1621">
        <v>3</v>
      </c>
      <c r="AG1621">
        <v>2</v>
      </c>
      <c r="AH1621">
        <v>0</v>
      </c>
      <c r="AI1621" t="s">
        <v>3345</v>
      </c>
      <c r="AJ1621">
        <v>39.694246999999997</v>
      </c>
      <c r="AK1621" t="s">
        <v>3346</v>
      </c>
      <c r="AL1621">
        <v>-76.228080000000006</v>
      </c>
      <c r="AM1621">
        <v>100</v>
      </c>
      <c r="AN1621">
        <v>4700</v>
      </c>
      <c r="AO1621" t="s">
        <v>115</v>
      </c>
      <c r="AP1621">
        <v>165</v>
      </c>
      <c r="AQ1621">
        <v>88</v>
      </c>
      <c r="AR1621">
        <v>-64</v>
      </c>
      <c r="AZ1621">
        <v>3614</v>
      </c>
      <c r="BA1621">
        <v>1</v>
      </c>
      <c r="BB1621" t="str">
        <f t="shared" si="77"/>
        <v xml:space="preserve">N959MJ  </v>
      </c>
      <c r="BC1621">
        <v>1</v>
      </c>
      <c r="BE1621">
        <v>0</v>
      </c>
      <c r="BF1621">
        <v>0</v>
      </c>
      <c r="BG1621">
        <v>0</v>
      </c>
      <c r="BH1621">
        <v>4875</v>
      </c>
      <c r="BI1621">
        <v>175</v>
      </c>
      <c r="BJ1621">
        <v>1</v>
      </c>
      <c r="BK1621">
        <v>1</v>
      </c>
      <c r="BL1621">
        <v>1</v>
      </c>
      <c r="BM1621">
        <v>0</v>
      </c>
      <c r="BP1621">
        <v>0</v>
      </c>
      <c r="BQ1621">
        <v>0</v>
      </c>
      <c r="BX1621" t="str">
        <f>"14:17:23.211"</f>
        <v>14:17:23.211</v>
      </c>
      <c r="BY1621" t="str">
        <f>"211008317"</f>
        <v>211008317</v>
      </c>
      <c r="CL1621">
        <v>0</v>
      </c>
      <c r="CM1621">
        <v>2</v>
      </c>
      <c r="CN1621">
        <v>0</v>
      </c>
      <c r="CO1621">
        <v>2</v>
      </c>
      <c r="CP1621">
        <v>0</v>
      </c>
      <c r="CQ1621">
        <v>6</v>
      </c>
      <c r="CR1621" t="s">
        <v>116</v>
      </c>
      <c r="CS1621">
        <v>39</v>
      </c>
      <c r="CT1621">
        <v>2</v>
      </c>
      <c r="CU1621" t="s">
        <v>2259</v>
      </c>
      <c r="CV1621" t="s">
        <v>2260</v>
      </c>
      <c r="CY1621">
        <v>15894182</v>
      </c>
      <c r="CZ1621" t="s">
        <v>119</v>
      </c>
    </row>
    <row r="1622" spans="1:104" x14ac:dyDescent="0.25">
      <c r="A1622" t="str">
        <f>"14:17:24.359"</f>
        <v>14:17:24.359</v>
      </c>
      <c r="B1622" t="s">
        <v>108</v>
      </c>
      <c r="C1622" t="str">
        <f t="shared" si="76"/>
        <v>ffdfd3c0</v>
      </c>
      <c r="D1622" t="s">
        <v>109</v>
      </c>
      <c r="E1622">
        <v>4</v>
      </c>
      <c r="F1622">
        <v>1004</v>
      </c>
      <c r="G1622" t="s">
        <v>110</v>
      </c>
      <c r="J1622" t="s">
        <v>111</v>
      </c>
      <c r="K1622">
        <v>0</v>
      </c>
      <c r="L1622">
        <v>3</v>
      </c>
      <c r="M1622">
        <v>0</v>
      </c>
      <c r="N1622">
        <v>2</v>
      </c>
      <c r="O1622">
        <v>1</v>
      </c>
      <c r="P1622">
        <v>0</v>
      </c>
      <c r="Q1622">
        <v>0</v>
      </c>
      <c r="R1622" t="s">
        <v>112</v>
      </c>
      <c r="S1622" t="str">
        <f>"14:17:24.188"</f>
        <v>14:17:24.188</v>
      </c>
      <c r="T1622" t="str">
        <f>"14:17:23.789"</f>
        <v>14:17:23.789</v>
      </c>
      <c r="U1622" t="str">
        <f t="shared" si="75"/>
        <v>ad5732</v>
      </c>
      <c r="V1622">
        <v>0</v>
      </c>
      <c r="W1622">
        <v>0</v>
      </c>
      <c r="X1622">
        <v>1</v>
      </c>
      <c r="Z1622">
        <v>0</v>
      </c>
      <c r="AA1622">
        <v>9</v>
      </c>
      <c r="AB1622">
        <v>3</v>
      </c>
      <c r="AC1622">
        <v>0</v>
      </c>
      <c r="AD1622">
        <v>10</v>
      </c>
      <c r="AE1622">
        <v>0</v>
      </c>
      <c r="AF1622">
        <v>3</v>
      </c>
      <c r="AG1622">
        <v>2</v>
      </c>
      <c r="AH1622">
        <v>0</v>
      </c>
      <c r="AI1622" t="s">
        <v>3347</v>
      </c>
      <c r="AJ1622">
        <v>39.694654999999997</v>
      </c>
      <c r="AK1622" t="s">
        <v>3348</v>
      </c>
      <c r="AL1622">
        <v>-76.227199999999996</v>
      </c>
      <c r="AM1622">
        <v>100</v>
      </c>
      <c r="AN1622">
        <v>4700</v>
      </c>
      <c r="AO1622" t="s">
        <v>115</v>
      </c>
      <c r="AP1622">
        <v>165</v>
      </c>
      <c r="AQ1622">
        <v>88</v>
      </c>
      <c r="AR1622">
        <v>-64</v>
      </c>
      <c r="AZ1622">
        <v>3614</v>
      </c>
      <c r="BA1622">
        <v>1</v>
      </c>
      <c r="BB1622" t="str">
        <f t="shared" si="77"/>
        <v xml:space="preserve">N959MJ  </v>
      </c>
      <c r="BC1622">
        <v>1</v>
      </c>
      <c r="BE1622">
        <v>0</v>
      </c>
      <c r="BF1622">
        <v>0</v>
      </c>
      <c r="BG1622">
        <v>0</v>
      </c>
      <c r="BH1622">
        <v>4875</v>
      </c>
      <c r="BI1622">
        <v>175</v>
      </c>
      <c r="BJ1622">
        <v>1</v>
      </c>
      <c r="BK1622">
        <v>1</v>
      </c>
      <c r="BL1622">
        <v>1</v>
      </c>
      <c r="BM1622">
        <v>0</v>
      </c>
      <c r="BP1622">
        <v>0</v>
      </c>
      <c r="BQ1622">
        <v>0</v>
      </c>
      <c r="BX1622" t="str">
        <f>"14:17:24.188"</f>
        <v>14:17:24.188</v>
      </c>
      <c r="BY1622" t="str">
        <f>"189149243"</f>
        <v>189149243</v>
      </c>
      <c r="CL1622">
        <v>0</v>
      </c>
      <c r="CM1622">
        <v>2</v>
      </c>
      <c r="CN1622">
        <v>0</v>
      </c>
      <c r="CO1622">
        <v>2</v>
      </c>
      <c r="CP1622">
        <v>0</v>
      </c>
      <c r="CQ1622">
        <v>6</v>
      </c>
      <c r="CR1622" t="s">
        <v>116</v>
      </c>
      <c r="CS1622">
        <v>39</v>
      </c>
      <c r="CT1622">
        <v>2</v>
      </c>
      <c r="CU1622" t="s">
        <v>2259</v>
      </c>
      <c r="CV1622" t="s">
        <v>2260</v>
      </c>
      <c r="CY1622">
        <v>15895791</v>
      </c>
      <c r="CZ1622" t="s">
        <v>119</v>
      </c>
    </row>
    <row r="1623" spans="1:104" x14ac:dyDescent="0.25">
      <c r="A1623" t="str">
        <f>"14:17:25.469"</f>
        <v>14:17:25.469</v>
      </c>
      <c r="B1623" t="s">
        <v>108</v>
      </c>
      <c r="C1623" t="str">
        <f t="shared" si="76"/>
        <v>ffdfd3c0</v>
      </c>
      <c r="D1623" t="s">
        <v>109</v>
      </c>
      <c r="E1623">
        <v>4</v>
      </c>
      <c r="F1623">
        <v>1004</v>
      </c>
      <c r="G1623" t="s">
        <v>110</v>
      </c>
      <c r="J1623" t="s">
        <v>111</v>
      </c>
      <c r="K1623">
        <v>0</v>
      </c>
      <c r="L1623">
        <v>3</v>
      </c>
      <c r="M1623">
        <v>0</v>
      </c>
      <c r="N1623">
        <v>2</v>
      </c>
      <c r="O1623">
        <v>1</v>
      </c>
      <c r="P1623">
        <v>0</v>
      </c>
      <c r="Q1623">
        <v>0</v>
      </c>
      <c r="R1623" t="s">
        <v>112</v>
      </c>
      <c r="S1623" t="str">
        <f>"14:17:25.289"</f>
        <v>14:17:25.289</v>
      </c>
      <c r="T1623" t="str">
        <f>"14:17:24.789"</f>
        <v>14:17:24.789</v>
      </c>
      <c r="U1623" t="str">
        <f t="shared" si="75"/>
        <v>ad5732</v>
      </c>
      <c r="V1623">
        <v>0</v>
      </c>
      <c r="W1623">
        <v>0</v>
      </c>
      <c r="X1623">
        <v>1</v>
      </c>
      <c r="Z1623">
        <v>0</v>
      </c>
      <c r="AA1623">
        <v>9</v>
      </c>
      <c r="AB1623">
        <v>3</v>
      </c>
      <c r="AC1623">
        <v>0</v>
      </c>
      <c r="AD1623">
        <v>10</v>
      </c>
      <c r="AE1623">
        <v>0</v>
      </c>
      <c r="AF1623">
        <v>3</v>
      </c>
      <c r="AG1623">
        <v>2</v>
      </c>
      <c r="AH1623">
        <v>0</v>
      </c>
      <c r="AI1623" t="s">
        <v>3349</v>
      </c>
      <c r="AJ1623">
        <v>39.695106000000003</v>
      </c>
      <c r="AK1623" t="s">
        <v>3350</v>
      </c>
      <c r="AL1623">
        <v>-76.226020000000005</v>
      </c>
      <c r="AM1623">
        <v>100</v>
      </c>
      <c r="AN1623">
        <v>4700</v>
      </c>
      <c r="AO1623" t="s">
        <v>115</v>
      </c>
      <c r="AP1623">
        <v>164</v>
      </c>
      <c r="AQ1623">
        <v>88</v>
      </c>
      <c r="AR1623">
        <v>0</v>
      </c>
      <c r="AZ1623">
        <v>3614</v>
      </c>
      <c r="BA1623">
        <v>1</v>
      </c>
      <c r="BB1623" t="str">
        <f t="shared" si="77"/>
        <v xml:space="preserve">N959MJ  </v>
      </c>
      <c r="BC1623">
        <v>1</v>
      </c>
      <c r="BE1623">
        <v>0</v>
      </c>
      <c r="BF1623">
        <v>0</v>
      </c>
      <c r="BG1623">
        <v>0</v>
      </c>
      <c r="BH1623">
        <v>4875</v>
      </c>
      <c r="BI1623">
        <v>175</v>
      </c>
      <c r="BJ1623">
        <v>1</v>
      </c>
      <c r="BK1623">
        <v>1</v>
      </c>
      <c r="BL1623">
        <v>1</v>
      </c>
      <c r="BM1623">
        <v>0</v>
      </c>
      <c r="BP1623">
        <v>0</v>
      </c>
      <c r="BQ1623">
        <v>0</v>
      </c>
      <c r="BX1623" t="str">
        <f>"14:17:25.297"</f>
        <v>14:17:25.297</v>
      </c>
      <c r="BY1623" t="str">
        <f>"296725964"</f>
        <v>296725964</v>
      </c>
      <c r="CL1623">
        <v>0</v>
      </c>
      <c r="CM1623">
        <v>2</v>
      </c>
      <c r="CN1623">
        <v>0</v>
      </c>
      <c r="CO1623">
        <v>2</v>
      </c>
      <c r="CP1623">
        <v>0</v>
      </c>
      <c r="CQ1623">
        <v>6</v>
      </c>
      <c r="CR1623" t="s">
        <v>116</v>
      </c>
      <c r="CS1623">
        <v>39</v>
      </c>
      <c r="CT1623">
        <v>2</v>
      </c>
      <c r="CU1623" t="s">
        <v>2259</v>
      </c>
      <c r="CV1623" t="s">
        <v>2260</v>
      </c>
      <c r="CY1623">
        <v>15897635</v>
      </c>
      <c r="CZ1623" t="s">
        <v>119</v>
      </c>
    </row>
    <row r="1624" spans="1:104" x14ac:dyDescent="0.25">
      <c r="A1624" t="str">
        <f>"14:17:26.375"</f>
        <v>14:17:26.375</v>
      </c>
      <c r="B1624" t="s">
        <v>108</v>
      </c>
      <c r="C1624" t="str">
        <f t="shared" si="76"/>
        <v>ffdfd3c0</v>
      </c>
      <c r="D1624" t="s">
        <v>109</v>
      </c>
      <c r="E1624">
        <v>4</v>
      </c>
      <c r="F1624">
        <v>1004</v>
      </c>
      <c r="G1624" t="s">
        <v>110</v>
      </c>
      <c r="J1624" t="s">
        <v>111</v>
      </c>
      <c r="K1624">
        <v>0</v>
      </c>
      <c r="L1624">
        <v>3</v>
      </c>
      <c r="M1624">
        <v>0</v>
      </c>
      <c r="N1624">
        <v>2</v>
      </c>
      <c r="O1624">
        <v>1</v>
      </c>
      <c r="P1624">
        <v>0</v>
      </c>
      <c r="Q1624">
        <v>0</v>
      </c>
      <c r="R1624" t="s">
        <v>112</v>
      </c>
      <c r="S1624" t="str">
        <f>"14:17:26.195"</f>
        <v>14:17:26.195</v>
      </c>
      <c r="T1624" t="str">
        <f>"14:17:25.797"</f>
        <v>14:17:25.797</v>
      </c>
      <c r="U1624" t="str">
        <f t="shared" si="75"/>
        <v>ad5732</v>
      </c>
      <c r="V1624">
        <v>0</v>
      </c>
      <c r="W1624">
        <v>0</v>
      </c>
      <c r="X1624">
        <v>1</v>
      </c>
      <c r="Z1624">
        <v>0</v>
      </c>
      <c r="AA1624">
        <v>9</v>
      </c>
      <c r="AB1624">
        <v>3</v>
      </c>
      <c r="AC1624">
        <v>0</v>
      </c>
      <c r="AD1624">
        <v>10</v>
      </c>
      <c r="AE1624">
        <v>0</v>
      </c>
      <c r="AF1624">
        <v>3</v>
      </c>
      <c r="AG1624">
        <v>2</v>
      </c>
      <c r="AH1624">
        <v>0</v>
      </c>
      <c r="AI1624" t="s">
        <v>3351</v>
      </c>
      <c r="AJ1624">
        <v>39.695512999999998</v>
      </c>
      <c r="AK1624" t="s">
        <v>3352</v>
      </c>
      <c r="AL1624">
        <v>-76.225161999999997</v>
      </c>
      <c r="AM1624">
        <v>100</v>
      </c>
      <c r="AN1624">
        <v>4700</v>
      </c>
      <c r="AO1624" t="s">
        <v>115</v>
      </c>
      <c r="AP1624">
        <v>164</v>
      </c>
      <c r="AQ1624">
        <v>88</v>
      </c>
      <c r="AR1624">
        <v>0</v>
      </c>
      <c r="AZ1624">
        <v>3614</v>
      </c>
      <c r="BA1624">
        <v>1</v>
      </c>
      <c r="BB1624" t="str">
        <f t="shared" si="77"/>
        <v xml:space="preserve">N959MJ  </v>
      </c>
      <c r="BC1624">
        <v>1</v>
      </c>
      <c r="BE1624">
        <v>0</v>
      </c>
      <c r="BF1624">
        <v>0</v>
      </c>
      <c r="BG1624">
        <v>0</v>
      </c>
      <c r="BH1624">
        <v>4875</v>
      </c>
      <c r="BI1624">
        <v>175</v>
      </c>
      <c r="BJ1624">
        <v>1</v>
      </c>
      <c r="BK1624">
        <v>1</v>
      </c>
      <c r="BL1624">
        <v>1</v>
      </c>
      <c r="BM1624">
        <v>0</v>
      </c>
      <c r="BP1624">
        <v>0</v>
      </c>
      <c r="BQ1624">
        <v>0</v>
      </c>
      <c r="BX1624" t="str">
        <f>"14:17:26.195"</f>
        <v>14:17:26.195</v>
      </c>
      <c r="BY1624" t="str">
        <f>"197860831"</f>
        <v>197860831</v>
      </c>
      <c r="CL1624">
        <v>0</v>
      </c>
      <c r="CM1624">
        <v>2</v>
      </c>
      <c r="CN1624">
        <v>0</v>
      </c>
      <c r="CO1624">
        <v>2</v>
      </c>
      <c r="CP1624">
        <v>0</v>
      </c>
      <c r="CQ1624">
        <v>6</v>
      </c>
      <c r="CR1624" t="s">
        <v>116</v>
      </c>
      <c r="CS1624">
        <v>39</v>
      </c>
      <c r="CT1624">
        <v>2</v>
      </c>
      <c r="CU1624" t="s">
        <v>2259</v>
      </c>
      <c r="CV1624" t="s">
        <v>2260</v>
      </c>
      <c r="CY1624">
        <v>15899065</v>
      </c>
      <c r="CZ1624" t="s">
        <v>119</v>
      </c>
    </row>
    <row r="1625" spans="1:104" x14ac:dyDescent="0.25">
      <c r="A1625" t="str">
        <f>"14:17:27.391"</f>
        <v>14:17:27.391</v>
      </c>
      <c r="B1625" t="s">
        <v>108</v>
      </c>
      <c r="C1625" t="str">
        <f t="shared" si="76"/>
        <v>ffdfd3c0</v>
      </c>
      <c r="D1625" t="s">
        <v>109</v>
      </c>
      <c r="E1625">
        <v>4</v>
      </c>
      <c r="F1625">
        <v>1004</v>
      </c>
      <c r="G1625" t="s">
        <v>110</v>
      </c>
      <c r="J1625" t="s">
        <v>111</v>
      </c>
      <c r="K1625">
        <v>0</v>
      </c>
      <c r="L1625">
        <v>3</v>
      </c>
      <c r="M1625">
        <v>0</v>
      </c>
      <c r="N1625">
        <v>2</v>
      </c>
      <c r="O1625">
        <v>1</v>
      </c>
      <c r="P1625">
        <v>0</v>
      </c>
      <c r="Q1625">
        <v>0</v>
      </c>
      <c r="R1625" t="s">
        <v>112</v>
      </c>
      <c r="S1625" t="str">
        <f>"14:17:27.195"</f>
        <v>14:17:27.195</v>
      </c>
      <c r="T1625" t="str">
        <f>"14:17:26.797"</f>
        <v>14:17:26.797</v>
      </c>
      <c r="U1625" t="str">
        <f t="shared" si="75"/>
        <v>ad5732</v>
      </c>
      <c r="V1625">
        <v>0</v>
      </c>
      <c r="W1625">
        <v>0</v>
      </c>
      <c r="X1625">
        <v>1</v>
      </c>
      <c r="Z1625">
        <v>0</v>
      </c>
      <c r="AA1625">
        <v>9</v>
      </c>
      <c r="AB1625">
        <v>3</v>
      </c>
      <c r="AC1625">
        <v>0</v>
      </c>
      <c r="AD1625">
        <v>10</v>
      </c>
      <c r="AE1625">
        <v>0</v>
      </c>
      <c r="AF1625">
        <v>3</v>
      </c>
      <c r="AG1625">
        <v>2</v>
      </c>
      <c r="AH1625">
        <v>0</v>
      </c>
      <c r="AI1625" t="s">
        <v>3353</v>
      </c>
      <c r="AJ1625">
        <v>39.695878</v>
      </c>
      <c r="AK1625" t="s">
        <v>3354</v>
      </c>
      <c r="AL1625">
        <v>-76.224174000000005</v>
      </c>
      <c r="AM1625">
        <v>100</v>
      </c>
      <c r="AN1625">
        <v>4700</v>
      </c>
      <c r="AO1625" t="s">
        <v>115</v>
      </c>
      <c r="AP1625">
        <v>164</v>
      </c>
      <c r="AQ1625">
        <v>88</v>
      </c>
      <c r="AR1625">
        <v>64</v>
      </c>
      <c r="AZ1625">
        <v>3614</v>
      </c>
      <c r="BA1625">
        <v>1</v>
      </c>
      <c r="BB1625" t="str">
        <f t="shared" si="77"/>
        <v xml:space="preserve">N959MJ  </v>
      </c>
      <c r="BC1625">
        <v>1</v>
      </c>
      <c r="BE1625">
        <v>0</v>
      </c>
      <c r="BF1625">
        <v>0</v>
      </c>
      <c r="BG1625">
        <v>0</v>
      </c>
      <c r="BH1625">
        <v>4875</v>
      </c>
      <c r="BI1625">
        <v>175</v>
      </c>
      <c r="BJ1625">
        <v>1</v>
      </c>
      <c r="BK1625">
        <v>1</v>
      </c>
      <c r="BL1625">
        <v>1</v>
      </c>
      <c r="BM1625">
        <v>0</v>
      </c>
      <c r="BP1625">
        <v>0</v>
      </c>
      <c r="BQ1625">
        <v>0</v>
      </c>
      <c r="BX1625" t="str">
        <f>"14:17:27.195"</f>
        <v>14:17:27.195</v>
      </c>
      <c r="BY1625" t="str">
        <f>"197234283"</f>
        <v>197234283</v>
      </c>
      <c r="CL1625">
        <v>0</v>
      </c>
      <c r="CM1625">
        <v>2</v>
      </c>
      <c r="CN1625">
        <v>0</v>
      </c>
      <c r="CO1625">
        <v>2</v>
      </c>
      <c r="CP1625">
        <v>0</v>
      </c>
      <c r="CQ1625">
        <v>6</v>
      </c>
      <c r="CR1625" t="s">
        <v>116</v>
      </c>
      <c r="CS1625">
        <v>396</v>
      </c>
      <c r="CT1625">
        <v>1</v>
      </c>
      <c r="CU1625" t="s">
        <v>939</v>
      </c>
      <c r="CV1625" t="s">
        <v>940</v>
      </c>
      <c r="CY1625">
        <v>9204373</v>
      </c>
      <c r="CZ1625" t="s">
        <v>119</v>
      </c>
    </row>
    <row r="1626" spans="1:104" x14ac:dyDescent="0.25">
      <c r="A1626" t="str">
        <f>"14:17:28.398"</f>
        <v>14:17:28.398</v>
      </c>
      <c r="B1626" t="s">
        <v>108</v>
      </c>
      <c r="C1626" t="str">
        <f t="shared" si="76"/>
        <v>ffdfd3c0</v>
      </c>
      <c r="D1626" t="s">
        <v>109</v>
      </c>
      <c r="E1626">
        <v>4</v>
      </c>
      <c r="F1626">
        <v>1004</v>
      </c>
      <c r="G1626" t="s">
        <v>110</v>
      </c>
      <c r="J1626" t="s">
        <v>111</v>
      </c>
      <c r="K1626">
        <v>0</v>
      </c>
      <c r="L1626">
        <v>3</v>
      </c>
      <c r="M1626">
        <v>0</v>
      </c>
      <c r="N1626">
        <v>2</v>
      </c>
      <c r="O1626">
        <v>1</v>
      </c>
      <c r="P1626">
        <v>0</v>
      </c>
      <c r="Q1626">
        <v>0</v>
      </c>
      <c r="R1626" t="s">
        <v>112</v>
      </c>
      <c r="S1626" t="str">
        <f>"14:17:28.211"</f>
        <v>14:17:28.211</v>
      </c>
      <c r="T1626" t="str">
        <f>"14:17:27.711"</f>
        <v>14:17:27.711</v>
      </c>
      <c r="U1626" t="str">
        <f t="shared" si="75"/>
        <v>ad5732</v>
      </c>
      <c r="V1626">
        <v>0</v>
      </c>
      <c r="W1626">
        <v>0</v>
      </c>
      <c r="X1626">
        <v>1</v>
      </c>
      <c r="Z1626">
        <v>0</v>
      </c>
      <c r="AA1626">
        <v>9</v>
      </c>
      <c r="AB1626">
        <v>3</v>
      </c>
      <c r="AC1626">
        <v>0</v>
      </c>
      <c r="AD1626">
        <v>10</v>
      </c>
      <c r="AE1626">
        <v>0</v>
      </c>
      <c r="AF1626">
        <v>3</v>
      </c>
      <c r="AG1626">
        <v>2</v>
      </c>
      <c r="AH1626">
        <v>0</v>
      </c>
      <c r="AI1626" t="s">
        <v>3355</v>
      </c>
      <c r="AJ1626">
        <v>39.696306999999997</v>
      </c>
      <c r="AK1626" t="s">
        <v>3356</v>
      </c>
      <c r="AL1626">
        <v>-76.223208999999997</v>
      </c>
      <c r="AM1626">
        <v>100</v>
      </c>
      <c r="AN1626">
        <v>4700</v>
      </c>
      <c r="AO1626" t="s">
        <v>115</v>
      </c>
      <c r="AP1626">
        <v>163</v>
      </c>
      <c r="AQ1626">
        <v>88</v>
      </c>
      <c r="AR1626">
        <v>64</v>
      </c>
      <c r="AZ1626">
        <v>3614</v>
      </c>
      <c r="BA1626">
        <v>1</v>
      </c>
      <c r="BB1626" t="str">
        <f t="shared" si="77"/>
        <v xml:space="preserve">N959MJ  </v>
      </c>
      <c r="BC1626">
        <v>1</v>
      </c>
      <c r="BE1626">
        <v>0</v>
      </c>
      <c r="BF1626">
        <v>0</v>
      </c>
      <c r="BG1626">
        <v>0</v>
      </c>
      <c r="BH1626">
        <v>4875</v>
      </c>
      <c r="BI1626">
        <v>175</v>
      </c>
      <c r="BJ1626">
        <v>1</v>
      </c>
      <c r="BK1626">
        <v>1</v>
      </c>
      <c r="BL1626">
        <v>1</v>
      </c>
      <c r="BM1626">
        <v>0</v>
      </c>
      <c r="BP1626">
        <v>0</v>
      </c>
      <c r="BQ1626">
        <v>0</v>
      </c>
      <c r="BX1626" t="str">
        <f>"14:17:28.211"</f>
        <v>14:17:28.211</v>
      </c>
      <c r="BY1626" t="str">
        <f>"214697966"</f>
        <v>214697966</v>
      </c>
      <c r="CL1626">
        <v>0</v>
      </c>
      <c r="CM1626">
        <v>2</v>
      </c>
      <c r="CN1626">
        <v>0</v>
      </c>
      <c r="CO1626">
        <v>2</v>
      </c>
      <c r="CP1626">
        <v>0</v>
      </c>
      <c r="CQ1626">
        <v>6</v>
      </c>
      <c r="CR1626" t="s">
        <v>116</v>
      </c>
      <c r="CS1626">
        <v>396</v>
      </c>
      <c r="CT1626">
        <v>1</v>
      </c>
      <c r="CU1626" t="s">
        <v>939</v>
      </c>
      <c r="CV1626" t="s">
        <v>940</v>
      </c>
      <c r="CY1626">
        <v>9206188</v>
      </c>
      <c r="CZ1626" t="s">
        <v>119</v>
      </c>
    </row>
    <row r="1627" spans="1:104" x14ac:dyDescent="0.25">
      <c r="A1627" t="str">
        <f>"14:17:29.508"</f>
        <v>14:17:29.508</v>
      </c>
      <c r="B1627" t="s">
        <v>108</v>
      </c>
      <c r="C1627" t="str">
        <f t="shared" si="76"/>
        <v>ffdfd3c0</v>
      </c>
      <c r="D1627" t="s">
        <v>109</v>
      </c>
      <c r="E1627">
        <v>4</v>
      </c>
      <c r="F1627">
        <v>1004</v>
      </c>
      <c r="G1627" t="s">
        <v>110</v>
      </c>
      <c r="J1627" t="s">
        <v>111</v>
      </c>
      <c r="K1627">
        <v>0</v>
      </c>
      <c r="L1627">
        <v>3</v>
      </c>
      <c r="M1627">
        <v>0</v>
      </c>
      <c r="N1627">
        <v>2</v>
      </c>
      <c r="O1627">
        <v>1</v>
      </c>
      <c r="P1627">
        <v>0</v>
      </c>
      <c r="Q1627">
        <v>0</v>
      </c>
      <c r="R1627" t="s">
        <v>112</v>
      </c>
      <c r="S1627" t="str">
        <f>"14:17:29.297"</f>
        <v>14:17:29.297</v>
      </c>
      <c r="T1627" t="str">
        <f>"14:17:28.898"</f>
        <v>14:17:28.898</v>
      </c>
      <c r="U1627" t="str">
        <f t="shared" si="75"/>
        <v>ad5732</v>
      </c>
      <c r="V1627">
        <v>0</v>
      </c>
      <c r="W1627">
        <v>0</v>
      </c>
      <c r="X1627">
        <v>1</v>
      </c>
      <c r="Z1627">
        <v>0</v>
      </c>
      <c r="AA1627">
        <v>9</v>
      </c>
      <c r="AB1627">
        <v>3</v>
      </c>
      <c r="AC1627">
        <v>0</v>
      </c>
      <c r="AD1627">
        <v>10</v>
      </c>
      <c r="AE1627">
        <v>0</v>
      </c>
      <c r="AF1627">
        <v>3</v>
      </c>
      <c r="AG1627">
        <v>2</v>
      </c>
      <c r="AH1627">
        <v>0</v>
      </c>
      <c r="AI1627" t="s">
        <v>3357</v>
      </c>
      <c r="AJ1627">
        <v>39.696758000000003</v>
      </c>
      <c r="AK1627" t="s">
        <v>3358</v>
      </c>
      <c r="AL1627">
        <v>-76.222136000000006</v>
      </c>
      <c r="AM1627">
        <v>100</v>
      </c>
      <c r="AN1627">
        <v>4700</v>
      </c>
      <c r="AO1627" t="s">
        <v>115</v>
      </c>
      <c r="AP1627">
        <v>163</v>
      </c>
      <c r="AQ1627">
        <v>88</v>
      </c>
      <c r="AR1627">
        <v>0</v>
      </c>
      <c r="AZ1627">
        <v>3614</v>
      </c>
      <c r="BA1627">
        <v>1</v>
      </c>
      <c r="BB1627" t="str">
        <f t="shared" si="77"/>
        <v xml:space="preserve">N959MJ  </v>
      </c>
      <c r="BC1627">
        <v>1</v>
      </c>
      <c r="BE1627">
        <v>0</v>
      </c>
      <c r="BF1627">
        <v>0</v>
      </c>
      <c r="BG1627">
        <v>0</v>
      </c>
      <c r="BH1627">
        <v>4875</v>
      </c>
      <c r="BI1627">
        <v>175</v>
      </c>
      <c r="BJ1627">
        <v>1</v>
      </c>
      <c r="BK1627">
        <v>1</v>
      </c>
      <c r="BL1627">
        <v>1</v>
      </c>
      <c r="BM1627">
        <v>0</v>
      </c>
      <c r="BP1627">
        <v>0</v>
      </c>
      <c r="BQ1627">
        <v>0</v>
      </c>
      <c r="BX1627" t="str">
        <f>"14:17:29.297"</f>
        <v>14:17:29.297</v>
      </c>
      <c r="BY1627" t="str">
        <f>"297764888"</f>
        <v>297764888</v>
      </c>
      <c r="CL1627">
        <v>0</v>
      </c>
      <c r="CM1627">
        <v>2</v>
      </c>
      <c r="CN1627">
        <v>0</v>
      </c>
      <c r="CO1627">
        <v>2</v>
      </c>
      <c r="CP1627">
        <v>0</v>
      </c>
      <c r="CQ1627">
        <v>6</v>
      </c>
      <c r="CR1627" t="s">
        <v>116</v>
      </c>
      <c r="CS1627">
        <v>39</v>
      </c>
      <c r="CT1627">
        <v>2</v>
      </c>
      <c r="CU1627" t="s">
        <v>2259</v>
      </c>
      <c r="CV1627" t="s">
        <v>2260</v>
      </c>
      <c r="CY1627">
        <v>15904025</v>
      </c>
      <c r="CZ1627" t="s">
        <v>119</v>
      </c>
    </row>
    <row r="1628" spans="1:104" x14ac:dyDescent="0.25">
      <c r="A1628" t="str">
        <f>"14:17:30.313"</f>
        <v>14:17:30.313</v>
      </c>
      <c r="B1628" t="s">
        <v>108</v>
      </c>
      <c r="C1628" t="str">
        <f t="shared" si="76"/>
        <v>ffdfd3c0</v>
      </c>
      <c r="D1628" t="s">
        <v>109</v>
      </c>
      <c r="E1628">
        <v>4</v>
      </c>
      <c r="F1628">
        <v>1004</v>
      </c>
      <c r="G1628" t="s">
        <v>110</v>
      </c>
      <c r="J1628" t="s">
        <v>111</v>
      </c>
      <c r="K1628">
        <v>0</v>
      </c>
      <c r="L1628">
        <v>3</v>
      </c>
      <c r="M1628">
        <v>0</v>
      </c>
      <c r="N1628">
        <v>2</v>
      </c>
      <c r="O1628">
        <v>1</v>
      </c>
      <c r="P1628">
        <v>0</v>
      </c>
      <c r="Q1628">
        <v>0</v>
      </c>
      <c r="R1628" t="s">
        <v>112</v>
      </c>
      <c r="S1628" t="str">
        <f>"14:17:30.133"</f>
        <v>14:17:30.133</v>
      </c>
      <c r="T1628" t="str">
        <f>"14:17:29.734"</f>
        <v>14:17:29.734</v>
      </c>
      <c r="U1628" t="str">
        <f t="shared" si="75"/>
        <v>ad5732</v>
      </c>
      <c r="V1628">
        <v>0</v>
      </c>
      <c r="W1628">
        <v>0</v>
      </c>
      <c r="X1628">
        <v>1</v>
      </c>
      <c r="Z1628">
        <v>0</v>
      </c>
      <c r="AA1628">
        <v>9</v>
      </c>
      <c r="AB1628">
        <v>3</v>
      </c>
      <c r="AC1628">
        <v>0</v>
      </c>
      <c r="AD1628">
        <v>10</v>
      </c>
      <c r="AE1628">
        <v>0</v>
      </c>
      <c r="AF1628">
        <v>3</v>
      </c>
      <c r="AG1628">
        <v>2</v>
      </c>
      <c r="AH1628">
        <v>0</v>
      </c>
      <c r="AI1628" t="s">
        <v>3359</v>
      </c>
      <c r="AJ1628">
        <v>39.69708</v>
      </c>
      <c r="AK1628" t="s">
        <v>3360</v>
      </c>
      <c r="AL1628">
        <v>-76.221363999999994</v>
      </c>
      <c r="AM1628">
        <v>100</v>
      </c>
      <c r="AN1628">
        <v>4700</v>
      </c>
      <c r="AO1628" t="s">
        <v>115</v>
      </c>
      <c r="AP1628">
        <v>163</v>
      </c>
      <c r="AQ1628">
        <v>88</v>
      </c>
      <c r="AR1628">
        <v>192</v>
      </c>
      <c r="AZ1628">
        <v>3614</v>
      </c>
      <c r="BA1628">
        <v>1</v>
      </c>
      <c r="BB1628" t="str">
        <f t="shared" si="77"/>
        <v xml:space="preserve">N959MJ  </v>
      </c>
      <c r="BC1628">
        <v>1</v>
      </c>
      <c r="BE1628">
        <v>0</v>
      </c>
      <c r="BF1628">
        <v>0</v>
      </c>
      <c r="BG1628">
        <v>0</v>
      </c>
      <c r="BH1628">
        <v>4875</v>
      </c>
      <c r="BI1628">
        <v>175</v>
      </c>
      <c r="BJ1628">
        <v>1</v>
      </c>
      <c r="BK1628">
        <v>1</v>
      </c>
      <c r="BL1628">
        <v>1</v>
      </c>
      <c r="BM1628">
        <v>0</v>
      </c>
      <c r="BP1628">
        <v>0</v>
      </c>
      <c r="BQ1628">
        <v>0</v>
      </c>
      <c r="BX1628" t="str">
        <f>"14:17:30.133"</f>
        <v>14:17:30.133</v>
      </c>
      <c r="BY1628" t="str">
        <f>"133362700"</f>
        <v>133362700</v>
      </c>
      <c r="CL1628">
        <v>0</v>
      </c>
      <c r="CM1628">
        <v>2</v>
      </c>
      <c r="CN1628">
        <v>0</v>
      </c>
      <c r="CO1628">
        <v>2</v>
      </c>
      <c r="CP1628">
        <v>0</v>
      </c>
      <c r="CQ1628">
        <v>6</v>
      </c>
      <c r="CR1628" t="s">
        <v>116</v>
      </c>
      <c r="CS1628">
        <v>39</v>
      </c>
      <c r="CT1628">
        <v>2</v>
      </c>
      <c r="CU1628" t="s">
        <v>2259</v>
      </c>
      <c r="CV1628" t="s">
        <v>2260</v>
      </c>
      <c r="CY1628">
        <v>15905333</v>
      </c>
      <c r="CZ1628" t="s">
        <v>119</v>
      </c>
    </row>
    <row r="1629" spans="1:104" x14ac:dyDescent="0.25">
      <c r="A1629" t="str">
        <f>"14:17:31.227"</f>
        <v>14:17:31.227</v>
      </c>
      <c r="B1629" t="s">
        <v>108</v>
      </c>
      <c r="C1629" t="str">
        <f t="shared" si="76"/>
        <v>ffdfd3c0</v>
      </c>
      <c r="D1629" t="s">
        <v>109</v>
      </c>
      <c r="E1629">
        <v>4</v>
      </c>
      <c r="F1629">
        <v>1004</v>
      </c>
      <c r="G1629" t="s">
        <v>110</v>
      </c>
      <c r="J1629" t="s">
        <v>111</v>
      </c>
      <c r="K1629">
        <v>0</v>
      </c>
      <c r="L1629">
        <v>3</v>
      </c>
      <c r="M1629">
        <v>0</v>
      </c>
      <c r="N1629">
        <v>2</v>
      </c>
      <c r="O1629">
        <v>1</v>
      </c>
      <c r="P1629">
        <v>0</v>
      </c>
      <c r="Q1629">
        <v>0</v>
      </c>
      <c r="R1629" t="s">
        <v>112</v>
      </c>
      <c r="S1629" t="str">
        <f>"14:17:31.031"</f>
        <v>14:17:31.031</v>
      </c>
      <c r="T1629" t="str">
        <f>"14:17:30.633"</f>
        <v>14:17:30.633</v>
      </c>
      <c r="U1629" t="str">
        <f t="shared" si="75"/>
        <v>ad5732</v>
      </c>
      <c r="V1629">
        <v>0</v>
      </c>
      <c r="W1629">
        <v>0</v>
      </c>
      <c r="X1629">
        <v>1</v>
      </c>
      <c r="Z1629">
        <v>0</v>
      </c>
      <c r="AA1629">
        <v>9</v>
      </c>
      <c r="AB1629">
        <v>3</v>
      </c>
      <c r="AC1629">
        <v>0</v>
      </c>
      <c r="AD1629">
        <v>10</v>
      </c>
      <c r="AE1629">
        <v>0</v>
      </c>
      <c r="AF1629">
        <v>3</v>
      </c>
      <c r="AG1629">
        <v>2</v>
      </c>
      <c r="AH1629">
        <v>0</v>
      </c>
      <c r="AI1629" t="s">
        <v>3361</v>
      </c>
      <c r="AJ1629">
        <v>39.697465999999999</v>
      </c>
      <c r="AK1629" t="s">
        <v>3362</v>
      </c>
      <c r="AL1629">
        <v>-76.220461999999998</v>
      </c>
      <c r="AM1629">
        <v>100</v>
      </c>
      <c r="AN1629">
        <v>4700</v>
      </c>
      <c r="AO1629" t="s">
        <v>115</v>
      </c>
      <c r="AP1629">
        <v>162</v>
      </c>
      <c r="AQ1629">
        <v>88</v>
      </c>
      <c r="AR1629">
        <v>128</v>
      </c>
      <c r="AZ1629">
        <v>3614</v>
      </c>
      <c r="BA1629">
        <v>1</v>
      </c>
      <c r="BB1629" t="str">
        <f t="shared" si="77"/>
        <v xml:space="preserve">N959MJ  </v>
      </c>
      <c r="BC1629">
        <v>1</v>
      </c>
      <c r="BE1629">
        <v>0</v>
      </c>
      <c r="BF1629">
        <v>0</v>
      </c>
      <c r="BG1629">
        <v>0</v>
      </c>
      <c r="BH1629">
        <v>4875</v>
      </c>
      <c r="BI1629">
        <v>175</v>
      </c>
      <c r="BJ1629">
        <v>1</v>
      </c>
      <c r="BK1629">
        <v>1</v>
      </c>
      <c r="BL1629">
        <v>1</v>
      </c>
      <c r="BM1629">
        <v>0</v>
      </c>
      <c r="BP1629">
        <v>0</v>
      </c>
      <c r="BQ1629">
        <v>0</v>
      </c>
      <c r="BX1629" t="str">
        <f>"14:17:31.031"</f>
        <v>14:17:31.031</v>
      </c>
      <c r="BY1629" t="str">
        <f>"032793805"</f>
        <v>032793805</v>
      </c>
      <c r="CL1629">
        <v>0</v>
      </c>
      <c r="CM1629">
        <v>2</v>
      </c>
      <c r="CN1629">
        <v>0</v>
      </c>
      <c r="CO1629">
        <v>2</v>
      </c>
      <c r="CP1629">
        <v>0</v>
      </c>
      <c r="CQ1629">
        <v>6</v>
      </c>
      <c r="CR1629" t="s">
        <v>116</v>
      </c>
      <c r="CS1629">
        <v>396</v>
      </c>
      <c r="CT1629">
        <v>1</v>
      </c>
      <c r="CU1629" t="s">
        <v>939</v>
      </c>
      <c r="CV1629" t="s">
        <v>940</v>
      </c>
      <c r="CY1629">
        <v>9211405</v>
      </c>
      <c r="CZ1629" t="s">
        <v>119</v>
      </c>
    </row>
    <row r="1630" spans="1:104" x14ac:dyDescent="0.25">
      <c r="A1630" t="str">
        <f>"14:17:32.281"</f>
        <v>14:17:32.281</v>
      </c>
      <c r="B1630" t="s">
        <v>108</v>
      </c>
      <c r="C1630" t="str">
        <f t="shared" si="76"/>
        <v>ffdfd3c0</v>
      </c>
      <c r="D1630" t="s">
        <v>109</v>
      </c>
      <c r="E1630">
        <v>4</v>
      </c>
      <c r="F1630">
        <v>1004</v>
      </c>
      <c r="G1630" t="s">
        <v>110</v>
      </c>
      <c r="J1630" t="s">
        <v>111</v>
      </c>
      <c r="K1630">
        <v>0</v>
      </c>
      <c r="L1630">
        <v>3</v>
      </c>
      <c r="M1630">
        <v>0</v>
      </c>
      <c r="N1630">
        <v>2</v>
      </c>
      <c r="O1630">
        <v>1</v>
      </c>
      <c r="P1630">
        <v>0</v>
      </c>
      <c r="Q1630">
        <v>0</v>
      </c>
      <c r="R1630" t="s">
        <v>112</v>
      </c>
      <c r="S1630" t="str">
        <f>"14:17:32.086"</f>
        <v>14:17:32.086</v>
      </c>
      <c r="T1630" t="str">
        <f>"14:17:31.586"</f>
        <v>14:17:31.586</v>
      </c>
      <c r="U1630" t="str">
        <f t="shared" si="75"/>
        <v>ad5732</v>
      </c>
      <c r="V1630">
        <v>0</v>
      </c>
      <c r="W1630">
        <v>0</v>
      </c>
      <c r="X1630">
        <v>1</v>
      </c>
      <c r="Z1630">
        <v>0</v>
      </c>
      <c r="AA1630">
        <v>9</v>
      </c>
      <c r="AB1630">
        <v>3</v>
      </c>
      <c r="AC1630">
        <v>0</v>
      </c>
      <c r="AD1630">
        <v>10</v>
      </c>
      <c r="AE1630">
        <v>0</v>
      </c>
      <c r="AF1630">
        <v>3</v>
      </c>
      <c r="AG1630">
        <v>2</v>
      </c>
      <c r="AH1630">
        <v>0</v>
      </c>
      <c r="AI1630" t="s">
        <v>3363</v>
      </c>
      <c r="AJ1630">
        <v>39.697916999999997</v>
      </c>
      <c r="AK1630" t="s">
        <v>3364</v>
      </c>
      <c r="AL1630">
        <v>-76.219389000000007</v>
      </c>
      <c r="AM1630">
        <v>100</v>
      </c>
      <c r="AN1630">
        <v>4700</v>
      </c>
      <c r="AO1630" t="s">
        <v>115</v>
      </c>
      <c r="AP1630">
        <v>162</v>
      </c>
      <c r="AQ1630">
        <v>88</v>
      </c>
      <c r="AR1630">
        <v>64</v>
      </c>
      <c r="AZ1630">
        <v>3614</v>
      </c>
      <c r="BA1630">
        <v>1</v>
      </c>
      <c r="BB1630" t="str">
        <f t="shared" si="77"/>
        <v xml:space="preserve">N959MJ  </v>
      </c>
      <c r="BC1630">
        <v>1</v>
      </c>
      <c r="BE1630">
        <v>0</v>
      </c>
      <c r="BF1630">
        <v>0</v>
      </c>
      <c r="BG1630">
        <v>0</v>
      </c>
      <c r="BH1630">
        <v>4875</v>
      </c>
      <c r="BI1630">
        <v>175</v>
      </c>
      <c r="BJ1630">
        <v>1</v>
      </c>
      <c r="BK1630">
        <v>1</v>
      </c>
      <c r="BL1630">
        <v>1</v>
      </c>
      <c r="BM1630">
        <v>0</v>
      </c>
      <c r="BP1630">
        <v>0</v>
      </c>
      <c r="BQ1630">
        <v>0</v>
      </c>
      <c r="BX1630" t="str">
        <f>"14:17:32.094"</f>
        <v>14:17:32.094</v>
      </c>
      <c r="BY1630" t="str">
        <f>"092921516"</f>
        <v>092921516</v>
      </c>
      <c r="CL1630">
        <v>0</v>
      </c>
      <c r="CM1630">
        <v>2</v>
      </c>
      <c r="CN1630">
        <v>0</v>
      </c>
      <c r="CO1630">
        <v>2</v>
      </c>
      <c r="CP1630">
        <v>0</v>
      </c>
      <c r="CQ1630">
        <v>6</v>
      </c>
      <c r="CR1630" t="s">
        <v>116</v>
      </c>
      <c r="CS1630">
        <v>39</v>
      </c>
      <c r="CT1630">
        <v>2</v>
      </c>
      <c r="CU1630" t="s">
        <v>2259</v>
      </c>
      <c r="CV1630" t="s">
        <v>2260</v>
      </c>
      <c r="CY1630">
        <v>15908464</v>
      </c>
      <c r="CZ1630" t="s">
        <v>119</v>
      </c>
    </row>
    <row r="1631" spans="1:104" x14ac:dyDescent="0.25">
      <c r="A1631" t="str">
        <f>"14:17:33.242"</f>
        <v>14:17:33.242</v>
      </c>
      <c r="B1631" t="s">
        <v>108</v>
      </c>
      <c r="C1631" t="str">
        <f t="shared" si="76"/>
        <v>ffdfd3c0</v>
      </c>
      <c r="D1631" t="s">
        <v>109</v>
      </c>
      <c r="E1631">
        <v>4</v>
      </c>
      <c r="F1631">
        <v>1004</v>
      </c>
      <c r="G1631" t="s">
        <v>110</v>
      </c>
      <c r="J1631" t="s">
        <v>111</v>
      </c>
      <c r="K1631">
        <v>0</v>
      </c>
      <c r="L1631">
        <v>3</v>
      </c>
      <c r="M1631">
        <v>0</v>
      </c>
      <c r="N1631">
        <v>2</v>
      </c>
      <c r="O1631">
        <v>1</v>
      </c>
      <c r="P1631">
        <v>0</v>
      </c>
      <c r="Q1631">
        <v>0</v>
      </c>
      <c r="R1631" t="s">
        <v>112</v>
      </c>
      <c r="S1631" t="str">
        <f>"14:17:33.070"</f>
        <v>14:17:33.070</v>
      </c>
      <c r="T1631" t="str">
        <f>"14:17:32.672"</f>
        <v>14:17:32.672</v>
      </c>
      <c r="U1631" t="str">
        <f t="shared" si="75"/>
        <v>ad5732</v>
      </c>
      <c r="V1631">
        <v>0</v>
      </c>
      <c r="W1631">
        <v>0</v>
      </c>
      <c r="X1631">
        <v>1</v>
      </c>
      <c r="Z1631">
        <v>0</v>
      </c>
      <c r="AA1631">
        <v>9</v>
      </c>
      <c r="AB1631">
        <v>3</v>
      </c>
      <c r="AC1631">
        <v>0</v>
      </c>
      <c r="AD1631">
        <v>10</v>
      </c>
      <c r="AE1631">
        <v>0</v>
      </c>
      <c r="AF1631">
        <v>3</v>
      </c>
      <c r="AG1631">
        <v>2</v>
      </c>
      <c r="AH1631">
        <v>0</v>
      </c>
      <c r="AI1631" t="s">
        <v>3365</v>
      </c>
      <c r="AJ1631">
        <v>39.698259999999998</v>
      </c>
      <c r="AK1631" t="s">
        <v>3366</v>
      </c>
      <c r="AL1631">
        <v>-76.218509999999995</v>
      </c>
      <c r="AM1631">
        <v>100</v>
      </c>
      <c r="AN1631">
        <v>4700</v>
      </c>
      <c r="AO1631" t="s">
        <v>115</v>
      </c>
      <c r="AP1631">
        <v>162</v>
      </c>
      <c r="AQ1631">
        <v>87</v>
      </c>
      <c r="AR1631">
        <v>0</v>
      </c>
      <c r="AZ1631">
        <v>3614</v>
      </c>
      <c r="BA1631">
        <v>1</v>
      </c>
      <c r="BB1631" t="str">
        <f t="shared" si="77"/>
        <v xml:space="preserve">N959MJ  </v>
      </c>
      <c r="BC1631">
        <v>1</v>
      </c>
      <c r="BE1631">
        <v>0</v>
      </c>
      <c r="BF1631">
        <v>0</v>
      </c>
      <c r="BG1631">
        <v>0</v>
      </c>
      <c r="BH1631">
        <v>4875</v>
      </c>
      <c r="BI1631">
        <v>175</v>
      </c>
      <c r="BJ1631">
        <v>1</v>
      </c>
      <c r="BK1631">
        <v>1</v>
      </c>
      <c r="BL1631">
        <v>1</v>
      </c>
      <c r="BM1631">
        <v>0</v>
      </c>
      <c r="BP1631">
        <v>0</v>
      </c>
      <c r="BQ1631">
        <v>0</v>
      </c>
      <c r="BX1631" t="str">
        <f>"14:17:33.070"</f>
        <v>14:17:33.070</v>
      </c>
      <c r="BY1631" t="str">
        <f>"072700923"</f>
        <v>072700923</v>
      </c>
      <c r="CL1631">
        <v>0</v>
      </c>
      <c r="CM1631">
        <v>2</v>
      </c>
      <c r="CN1631">
        <v>0</v>
      </c>
      <c r="CO1631">
        <v>2</v>
      </c>
      <c r="CP1631">
        <v>0</v>
      </c>
      <c r="CQ1631">
        <v>6</v>
      </c>
      <c r="CR1631" t="s">
        <v>116</v>
      </c>
      <c r="CS1631">
        <v>39</v>
      </c>
      <c r="CT1631">
        <v>2</v>
      </c>
      <c r="CU1631" t="s">
        <v>2259</v>
      </c>
      <c r="CV1631" t="s">
        <v>2260</v>
      </c>
      <c r="CY1631">
        <v>15909976</v>
      </c>
      <c r="CZ1631" t="s">
        <v>119</v>
      </c>
    </row>
    <row r="1632" spans="1:104" x14ac:dyDescent="0.25">
      <c r="A1632" t="str">
        <f>"14:17:34.203"</f>
        <v>14:17:34.203</v>
      </c>
      <c r="B1632" t="s">
        <v>108</v>
      </c>
      <c r="C1632" t="str">
        <f t="shared" si="76"/>
        <v>ffdfd3c0</v>
      </c>
      <c r="D1632" t="s">
        <v>109</v>
      </c>
      <c r="E1632">
        <v>4</v>
      </c>
      <c r="F1632">
        <v>1004</v>
      </c>
      <c r="G1632" t="s">
        <v>110</v>
      </c>
      <c r="J1632" t="s">
        <v>111</v>
      </c>
      <c r="K1632">
        <v>0</v>
      </c>
      <c r="L1632">
        <v>3</v>
      </c>
      <c r="M1632">
        <v>0</v>
      </c>
      <c r="N1632">
        <v>2</v>
      </c>
      <c r="O1632">
        <v>1</v>
      </c>
      <c r="P1632">
        <v>0</v>
      </c>
      <c r="Q1632">
        <v>0</v>
      </c>
      <c r="R1632" t="s">
        <v>112</v>
      </c>
      <c r="S1632" t="str">
        <f>"14:17:34.023"</f>
        <v>14:17:34.023</v>
      </c>
      <c r="T1632" t="str">
        <f>"14:17:33.523"</f>
        <v>14:17:33.523</v>
      </c>
      <c r="U1632" t="str">
        <f t="shared" si="75"/>
        <v>ad5732</v>
      </c>
      <c r="V1632">
        <v>0</v>
      </c>
      <c r="W1632">
        <v>0</v>
      </c>
      <c r="X1632">
        <v>1</v>
      </c>
      <c r="Z1632">
        <v>0</v>
      </c>
      <c r="AA1632">
        <v>9</v>
      </c>
      <c r="AB1632">
        <v>3</v>
      </c>
      <c r="AC1632">
        <v>0</v>
      </c>
      <c r="AD1632">
        <v>10</v>
      </c>
      <c r="AE1632">
        <v>0</v>
      </c>
      <c r="AF1632">
        <v>3</v>
      </c>
      <c r="AG1632">
        <v>2</v>
      </c>
      <c r="AH1632">
        <v>0</v>
      </c>
      <c r="AI1632" t="s">
        <v>3367</v>
      </c>
      <c r="AJ1632">
        <v>39.698667999999998</v>
      </c>
      <c r="AK1632" t="s">
        <v>3368</v>
      </c>
      <c r="AL1632">
        <v>-76.217523</v>
      </c>
      <c r="AM1632">
        <v>100</v>
      </c>
      <c r="AN1632">
        <v>4700</v>
      </c>
      <c r="AO1632" t="s">
        <v>115</v>
      </c>
      <c r="AP1632">
        <v>162</v>
      </c>
      <c r="AQ1632">
        <v>87</v>
      </c>
      <c r="AR1632">
        <v>-64</v>
      </c>
      <c r="AZ1632">
        <v>3614</v>
      </c>
      <c r="BA1632">
        <v>1</v>
      </c>
      <c r="BB1632" t="str">
        <f t="shared" si="77"/>
        <v xml:space="preserve">N959MJ  </v>
      </c>
      <c r="BC1632">
        <v>1</v>
      </c>
      <c r="BE1632">
        <v>0</v>
      </c>
      <c r="BF1632">
        <v>0</v>
      </c>
      <c r="BG1632">
        <v>0</v>
      </c>
      <c r="BH1632">
        <v>4875</v>
      </c>
      <c r="BI1632">
        <v>175</v>
      </c>
      <c r="BJ1632">
        <v>1</v>
      </c>
      <c r="BK1632">
        <v>1</v>
      </c>
      <c r="BL1632">
        <v>1</v>
      </c>
      <c r="BM1632">
        <v>0</v>
      </c>
      <c r="BP1632">
        <v>0</v>
      </c>
      <c r="BQ1632">
        <v>0</v>
      </c>
      <c r="BX1632" t="str">
        <f>"14:17:34.023"</f>
        <v>14:17:34.023</v>
      </c>
      <c r="BY1632" t="str">
        <f>"024627112"</f>
        <v>024627112</v>
      </c>
      <c r="CL1632">
        <v>0</v>
      </c>
      <c r="CM1632">
        <v>2</v>
      </c>
      <c r="CN1632">
        <v>0</v>
      </c>
      <c r="CO1632">
        <v>2</v>
      </c>
      <c r="CP1632">
        <v>0</v>
      </c>
      <c r="CQ1632">
        <v>6</v>
      </c>
      <c r="CR1632" t="s">
        <v>116</v>
      </c>
      <c r="CS1632">
        <v>39</v>
      </c>
      <c r="CT1632">
        <v>2</v>
      </c>
      <c r="CU1632" t="s">
        <v>2259</v>
      </c>
      <c r="CV1632" t="s">
        <v>2260</v>
      </c>
      <c r="CY1632">
        <v>15911577</v>
      </c>
      <c r="CZ1632" t="s">
        <v>119</v>
      </c>
    </row>
    <row r="1633" spans="1:104" x14ac:dyDescent="0.25">
      <c r="A1633" t="str">
        <f>"14:17:35.266"</f>
        <v>14:17:35.266</v>
      </c>
      <c r="B1633" t="s">
        <v>108</v>
      </c>
      <c r="C1633" t="str">
        <f t="shared" si="76"/>
        <v>ffdfd3c0</v>
      </c>
      <c r="D1633" t="s">
        <v>109</v>
      </c>
      <c r="E1633">
        <v>4</v>
      </c>
      <c r="F1633">
        <v>1004</v>
      </c>
      <c r="G1633" t="s">
        <v>110</v>
      </c>
      <c r="J1633" t="s">
        <v>111</v>
      </c>
      <c r="K1633">
        <v>0</v>
      </c>
      <c r="L1633">
        <v>3</v>
      </c>
      <c r="M1633">
        <v>0</v>
      </c>
      <c r="N1633">
        <v>2</v>
      </c>
      <c r="O1633">
        <v>1</v>
      </c>
      <c r="P1633">
        <v>0</v>
      </c>
      <c r="Q1633">
        <v>0</v>
      </c>
      <c r="R1633" t="s">
        <v>112</v>
      </c>
      <c r="S1633" t="str">
        <f>"14:17:35.078"</f>
        <v>14:17:35.078</v>
      </c>
      <c r="T1633" t="str">
        <f>"14:17:34.578"</f>
        <v>14:17:34.578</v>
      </c>
      <c r="U1633" t="str">
        <f t="shared" si="75"/>
        <v>ad5732</v>
      </c>
      <c r="V1633">
        <v>0</v>
      </c>
      <c r="W1633">
        <v>0</v>
      </c>
      <c r="X1633">
        <v>1</v>
      </c>
      <c r="Z1633">
        <v>0</v>
      </c>
      <c r="AA1633">
        <v>9</v>
      </c>
      <c r="AB1633">
        <v>3</v>
      </c>
      <c r="AC1633">
        <v>0</v>
      </c>
      <c r="AD1633">
        <v>10</v>
      </c>
      <c r="AE1633">
        <v>0</v>
      </c>
      <c r="AF1633">
        <v>3</v>
      </c>
      <c r="AG1633">
        <v>2</v>
      </c>
      <c r="AH1633">
        <v>0</v>
      </c>
      <c r="AI1633" t="s">
        <v>3369</v>
      </c>
      <c r="AJ1633">
        <v>39.699053999999997</v>
      </c>
      <c r="AK1633" t="s">
        <v>3370</v>
      </c>
      <c r="AL1633">
        <v>-76.216556999999995</v>
      </c>
      <c r="AM1633">
        <v>100</v>
      </c>
      <c r="AN1633">
        <v>4700</v>
      </c>
      <c r="AO1633" t="s">
        <v>115</v>
      </c>
      <c r="AP1633">
        <v>162</v>
      </c>
      <c r="AQ1633">
        <v>86</v>
      </c>
      <c r="AR1633">
        <v>-128</v>
      </c>
      <c r="AZ1633">
        <v>3614</v>
      </c>
      <c r="BA1633">
        <v>1</v>
      </c>
      <c r="BB1633" t="str">
        <f t="shared" si="77"/>
        <v xml:space="preserve">N959MJ  </v>
      </c>
      <c r="BC1633">
        <v>1</v>
      </c>
      <c r="BE1633">
        <v>0</v>
      </c>
      <c r="BF1633">
        <v>0</v>
      </c>
      <c r="BG1633">
        <v>0</v>
      </c>
      <c r="BH1633">
        <v>4875</v>
      </c>
      <c r="BI1633">
        <v>175</v>
      </c>
      <c r="BJ1633">
        <v>1</v>
      </c>
      <c r="BK1633">
        <v>1</v>
      </c>
      <c r="BL1633">
        <v>1</v>
      </c>
      <c r="BM1633">
        <v>0</v>
      </c>
      <c r="BP1633">
        <v>0</v>
      </c>
      <c r="BQ1633">
        <v>0</v>
      </c>
      <c r="BX1633" t="str">
        <f>"14:17:35.086"</f>
        <v>14:17:35.086</v>
      </c>
      <c r="BY1633" t="str">
        <f>"084689402"</f>
        <v>084689402</v>
      </c>
      <c r="CL1633">
        <v>0</v>
      </c>
      <c r="CM1633">
        <v>2</v>
      </c>
      <c r="CN1633">
        <v>0</v>
      </c>
      <c r="CO1633">
        <v>2</v>
      </c>
      <c r="CP1633">
        <v>0</v>
      </c>
      <c r="CQ1633">
        <v>6</v>
      </c>
      <c r="CR1633" t="s">
        <v>116</v>
      </c>
      <c r="CS1633">
        <v>39</v>
      </c>
      <c r="CT1633">
        <v>2</v>
      </c>
      <c r="CU1633" t="s">
        <v>2259</v>
      </c>
      <c r="CV1633" t="s">
        <v>2260</v>
      </c>
      <c r="CY1633">
        <v>15913281</v>
      </c>
      <c r="CZ1633" t="s">
        <v>119</v>
      </c>
    </row>
    <row r="1634" spans="1:104" x14ac:dyDescent="0.25">
      <c r="A1634" t="str">
        <f>"14:17:36.219"</f>
        <v>14:17:36.219</v>
      </c>
      <c r="B1634" t="s">
        <v>108</v>
      </c>
      <c r="C1634" t="str">
        <f t="shared" si="76"/>
        <v>ffdfd3c0</v>
      </c>
      <c r="D1634" t="s">
        <v>109</v>
      </c>
      <c r="E1634">
        <v>4</v>
      </c>
      <c r="F1634">
        <v>1004</v>
      </c>
      <c r="G1634" t="s">
        <v>110</v>
      </c>
      <c r="J1634" t="s">
        <v>111</v>
      </c>
      <c r="K1634">
        <v>0</v>
      </c>
      <c r="L1634">
        <v>3</v>
      </c>
      <c r="M1634">
        <v>0</v>
      </c>
      <c r="N1634">
        <v>2</v>
      </c>
      <c r="O1634">
        <v>1</v>
      </c>
      <c r="P1634">
        <v>0</v>
      </c>
      <c r="Q1634">
        <v>0</v>
      </c>
      <c r="R1634" t="s">
        <v>112</v>
      </c>
      <c r="S1634" t="str">
        <f>"14:17:36.023"</f>
        <v>14:17:36.023</v>
      </c>
      <c r="T1634" t="str">
        <f>"14:17:35.625"</f>
        <v>14:17:35.625</v>
      </c>
      <c r="U1634" t="str">
        <f t="shared" si="75"/>
        <v>ad5732</v>
      </c>
      <c r="V1634">
        <v>0</v>
      </c>
      <c r="W1634">
        <v>0</v>
      </c>
      <c r="X1634">
        <v>1</v>
      </c>
      <c r="Z1634">
        <v>0</v>
      </c>
      <c r="AA1634">
        <v>9</v>
      </c>
      <c r="AB1634">
        <v>3</v>
      </c>
      <c r="AC1634">
        <v>0</v>
      </c>
      <c r="AD1634">
        <v>10</v>
      </c>
      <c r="AE1634">
        <v>0</v>
      </c>
      <c r="AF1634">
        <v>3</v>
      </c>
      <c r="AG1634">
        <v>2</v>
      </c>
      <c r="AH1634">
        <v>0</v>
      </c>
      <c r="AI1634" t="s">
        <v>3371</v>
      </c>
      <c r="AJ1634">
        <v>39.699460999999999</v>
      </c>
      <c r="AK1634" t="s">
        <v>3372</v>
      </c>
      <c r="AL1634">
        <v>-76.21557</v>
      </c>
      <c r="AM1634">
        <v>100</v>
      </c>
      <c r="AN1634">
        <v>4700</v>
      </c>
      <c r="AO1634" t="s">
        <v>115</v>
      </c>
      <c r="AP1634">
        <v>162</v>
      </c>
      <c r="AQ1634">
        <v>86</v>
      </c>
      <c r="AR1634">
        <v>-128</v>
      </c>
      <c r="AZ1634">
        <v>3614</v>
      </c>
      <c r="BA1634">
        <v>1</v>
      </c>
      <c r="BB1634" t="str">
        <f t="shared" si="77"/>
        <v xml:space="preserve">N959MJ  </v>
      </c>
      <c r="BC1634">
        <v>1</v>
      </c>
      <c r="BE1634">
        <v>0</v>
      </c>
      <c r="BF1634">
        <v>0</v>
      </c>
      <c r="BG1634">
        <v>0</v>
      </c>
      <c r="BH1634">
        <v>4875</v>
      </c>
      <c r="BI1634">
        <v>175</v>
      </c>
      <c r="BJ1634">
        <v>1</v>
      </c>
      <c r="BK1634">
        <v>1</v>
      </c>
      <c r="BL1634">
        <v>1</v>
      </c>
      <c r="BM1634">
        <v>0</v>
      </c>
      <c r="BP1634">
        <v>0</v>
      </c>
      <c r="BQ1634">
        <v>0</v>
      </c>
      <c r="BX1634" t="str">
        <f>"14:17:36.031"</f>
        <v>14:17:36.031</v>
      </c>
      <c r="BY1634" t="str">
        <f>"028423449"</f>
        <v>028423449</v>
      </c>
      <c r="CL1634">
        <v>0</v>
      </c>
      <c r="CM1634">
        <v>2</v>
      </c>
      <c r="CN1634">
        <v>0</v>
      </c>
      <c r="CO1634">
        <v>2</v>
      </c>
      <c r="CP1634">
        <v>0</v>
      </c>
      <c r="CQ1634">
        <v>6</v>
      </c>
      <c r="CR1634" t="s">
        <v>116</v>
      </c>
      <c r="CS1634">
        <v>39</v>
      </c>
      <c r="CT1634">
        <v>2</v>
      </c>
      <c r="CU1634" t="s">
        <v>2259</v>
      </c>
      <c r="CV1634" t="s">
        <v>2260</v>
      </c>
      <c r="CY1634">
        <v>15914796</v>
      </c>
      <c r="CZ1634" t="s">
        <v>119</v>
      </c>
    </row>
    <row r="1635" spans="1:104" x14ac:dyDescent="0.25">
      <c r="A1635" t="str">
        <f>"14:17:37.180"</f>
        <v>14:17:37.180</v>
      </c>
      <c r="B1635" t="s">
        <v>108</v>
      </c>
      <c r="C1635" t="str">
        <f t="shared" si="76"/>
        <v>ffdfd3c0</v>
      </c>
      <c r="D1635" t="s">
        <v>109</v>
      </c>
      <c r="E1635">
        <v>4</v>
      </c>
      <c r="F1635">
        <v>1004</v>
      </c>
      <c r="G1635" t="s">
        <v>110</v>
      </c>
      <c r="J1635" t="s">
        <v>111</v>
      </c>
      <c r="K1635">
        <v>0</v>
      </c>
      <c r="L1635">
        <v>3</v>
      </c>
      <c r="M1635">
        <v>0</v>
      </c>
      <c r="N1635">
        <v>2</v>
      </c>
      <c r="O1635">
        <v>1</v>
      </c>
      <c r="P1635">
        <v>0</v>
      </c>
      <c r="Q1635">
        <v>0</v>
      </c>
      <c r="R1635" t="s">
        <v>112</v>
      </c>
      <c r="S1635" t="str">
        <f>"14:17:36.961"</f>
        <v>14:17:36.961</v>
      </c>
      <c r="T1635" t="str">
        <f>"14:17:36.461"</f>
        <v>14:17:36.461</v>
      </c>
      <c r="U1635" t="str">
        <f t="shared" si="75"/>
        <v>ad5732</v>
      </c>
      <c r="V1635">
        <v>0</v>
      </c>
      <c r="W1635">
        <v>0</v>
      </c>
      <c r="X1635">
        <v>1</v>
      </c>
      <c r="Z1635">
        <v>0</v>
      </c>
      <c r="AA1635">
        <v>9</v>
      </c>
      <c r="AB1635">
        <v>3</v>
      </c>
      <c r="AC1635">
        <v>0</v>
      </c>
      <c r="AD1635">
        <v>10</v>
      </c>
      <c r="AE1635">
        <v>0</v>
      </c>
      <c r="AF1635">
        <v>3</v>
      </c>
      <c r="AG1635">
        <v>2</v>
      </c>
      <c r="AH1635">
        <v>0</v>
      </c>
      <c r="AI1635" t="s">
        <v>3373</v>
      </c>
      <c r="AJ1635">
        <v>39.699826000000002</v>
      </c>
      <c r="AK1635" t="s">
        <v>3374</v>
      </c>
      <c r="AL1635">
        <v>-76.214732999999995</v>
      </c>
      <c r="AM1635">
        <v>100</v>
      </c>
      <c r="AN1635">
        <v>4700</v>
      </c>
      <c r="AO1635" t="s">
        <v>115</v>
      </c>
      <c r="AP1635">
        <v>162</v>
      </c>
      <c r="AQ1635">
        <v>86</v>
      </c>
      <c r="AR1635">
        <v>-64</v>
      </c>
      <c r="AZ1635">
        <v>3614</v>
      </c>
      <c r="BA1635">
        <v>1</v>
      </c>
      <c r="BB1635" t="str">
        <f t="shared" si="77"/>
        <v xml:space="preserve">N959MJ  </v>
      </c>
      <c r="BC1635">
        <v>1</v>
      </c>
      <c r="BE1635">
        <v>0</v>
      </c>
      <c r="BF1635">
        <v>0</v>
      </c>
      <c r="BG1635">
        <v>0</v>
      </c>
      <c r="BH1635">
        <v>4875</v>
      </c>
      <c r="BI1635">
        <v>175</v>
      </c>
      <c r="BJ1635">
        <v>1</v>
      </c>
      <c r="BK1635">
        <v>1</v>
      </c>
      <c r="BL1635">
        <v>1</v>
      </c>
      <c r="BM1635">
        <v>0</v>
      </c>
      <c r="BP1635">
        <v>0</v>
      </c>
      <c r="BQ1635">
        <v>0</v>
      </c>
      <c r="BX1635" t="str">
        <f>"14:17:36.969"</f>
        <v>14:17:36.969</v>
      </c>
      <c r="BY1635" t="str">
        <f>"965540830"</f>
        <v>965540830</v>
      </c>
      <c r="CL1635">
        <v>0</v>
      </c>
      <c r="CM1635">
        <v>2</v>
      </c>
      <c r="CN1635">
        <v>0</v>
      </c>
      <c r="CO1635">
        <v>2</v>
      </c>
      <c r="CP1635">
        <v>0</v>
      </c>
      <c r="CQ1635">
        <v>6</v>
      </c>
      <c r="CR1635" t="s">
        <v>116</v>
      </c>
      <c r="CS1635">
        <v>396</v>
      </c>
      <c r="CT1635">
        <v>1</v>
      </c>
      <c r="CU1635" t="s">
        <v>939</v>
      </c>
      <c r="CV1635" t="s">
        <v>940</v>
      </c>
      <c r="CY1635">
        <v>9222158</v>
      </c>
      <c r="CZ1635" t="s">
        <v>119</v>
      </c>
    </row>
    <row r="1636" spans="1:104" x14ac:dyDescent="0.25">
      <c r="A1636" t="str">
        <f>"14:17:38.188"</f>
        <v>14:17:38.188</v>
      </c>
      <c r="B1636" t="s">
        <v>108</v>
      </c>
      <c r="C1636" t="str">
        <f t="shared" si="76"/>
        <v>ffdfd3c0</v>
      </c>
      <c r="D1636" t="s">
        <v>109</v>
      </c>
      <c r="E1636">
        <v>4</v>
      </c>
      <c r="F1636">
        <v>1004</v>
      </c>
      <c r="G1636" t="s">
        <v>110</v>
      </c>
      <c r="J1636" t="s">
        <v>111</v>
      </c>
      <c r="K1636">
        <v>0</v>
      </c>
      <c r="L1636">
        <v>3</v>
      </c>
      <c r="M1636">
        <v>0</v>
      </c>
      <c r="N1636">
        <v>2</v>
      </c>
      <c r="O1636">
        <v>1</v>
      </c>
      <c r="P1636">
        <v>0</v>
      </c>
      <c r="Q1636">
        <v>0</v>
      </c>
      <c r="R1636" t="s">
        <v>112</v>
      </c>
      <c r="S1636" t="str">
        <f>"14:17:37.984"</f>
        <v>14:17:37.984</v>
      </c>
      <c r="T1636" t="str">
        <f>"14:17:37.586"</f>
        <v>14:17:37.586</v>
      </c>
      <c r="U1636" t="str">
        <f t="shared" si="75"/>
        <v>ad5732</v>
      </c>
      <c r="V1636">
        <v>0</v>
      </c>
      <c r="W1636">
        <v>0</v>
      </c>
      <c r="X1636">
        <v>1</v>
      </c>
      <c r="Z1636">
        <v>0</v>
      </c>
      <c r="AA1636">
        <v>9</v>
      </c>
      <c r="AB1636">
        <v>3</v>
      </c>
      <c r="AC1636">
        <v>0</v>
      </c>
      <c r="AD1636">
        <v>10</v>
      </c>
      <c r="AE1636">
        <v>0</v>
      </c>
      <c r="AF1636">
        <v>3</v>
      </c>
      <c r="AG1636">
        <v>2</v>
      </c>
      <c r="AH1636">
        <v>0</v>
      </c>
      <c r="AI1636" t="s">
        <v>3375</v>
      </c>
      <c r="AJ1636">
        <v>39.700190999999997</v>
      </c>
      <c r="AK1636" t="s">
        <v>3376</v>
      </c>
      <c r="AL1636">
        <v>-76.213768000000002</v>
      </c>
      <c r="AM1636">
        <v>100</v>
      </c>
      <c r="AN1636">
        <v>4700</v>
      </c>
      <c r="AO1636" t="s">
        <v>115</v>
      </c>
      <c r="AP1636">
        <v>162</v>
      </c>
      <c r="AQ1636">
        <v>85</v>
      </c>
      <c r="AR1636">
        <v>0</v>
      </c>
      <c r="AZ1636">
        <v>3614</v>
      </c>
      <c r="BA1636">
        <v>1</v>
      </c>
      <c r="BB1636" t="str">
        <f t="shared" si="77"/>
        <v xml:space="preserve">N959MJ  </v>
      </c>
      <c r="BC1636">
        <v>1</v>
      </c>
      <c r="BE1636">
        <v>0</v>
      </c>
      <c r="BF1636">
        <v>0</v>
      </c>
      <c r="BG1636">
        <v>0</v>
      </c>
      <c r="BH1636">
        <v>4875</v>
      </c>
      <c r="BI1636">
        <v>175</v>
      </c>
      <c r="BJ1636">
        <v>1</v>
      </c>
      <c r="BK1636">
        <v>1</v>
      </c>
      <c r="BL1636">
        <v>1</v>
      </c>
      <c r="BM1636">
        <v>0</v>
      </c>
      <c r="BP1636">
        <v>0</v>
      </c>
      <c r="BQ1636">
        <v>0</v>
      </c>
      <c r="BX1636" t="str">
        <f>"14:17:37.984"</f>
        <v>14:17:37.984</v>
      </c>
      <c r="BY1636" t="str">
        <f>"987919795"</f>
        <v>987919795</v>
      </c>
      <c r="CL1636">
        <v>0</v>
      </c>
      <c r="CM1636">
        <v>2</v>
      </c>
      <c r="CN1636">
        <v>0</v>
      </c>
      <c r="CO1636">
        <v>2</v>
      </c>
      <c r="CP1636">
        <v>0</v>
      </c>
      <c r="CQ1636">
        <v>6</v>
      </c>
      <c r="CR1636" t="s">
        <v>116</v>
      </c>
      <c r="CS1636">
        <v>396</v>
      </c>
      <c r="CT1636">
        <v>1</v>
      </c>
      <c r="CU1636" t="s">
        <v>939</v>
      </c>
      <c r="CV1636" t="s">
        <v>940</v>
      </c>
      <c r="CY1636">
        <v>9223910</v>
      </c>
      <c r="CZ1636" t="s">
        <v>119</v>
      </c>
    </row>
    <row r="1637" spans="1:104" x14ac:dyDescent="0.25">
      <c r="A1637" t="str">
        <f>"14:17:39.203"</f>
        <v>14:17:39.203</v>
      </c>
      <c r="B1637" t="s">
        <v>108</v>
      </c>
      <c r="C1637" t="str">
        <f t="shared" si="76"/>
        <v>ffdfd3c0</v>
      </c>
      <c r="D1637" t="s">
        <v>109</v>
      </c>
      <c r="E1637">
        <v>4</v>
      </c>
      <c r="F1637">
        <v>1004</v>
      </c>
      <c r="G1637" t="s">
        <v>110</v>
      </c>
      <c r="J1637" t="s">
        <v>111</v>
      </c>
      <c r="K1637">
        <v>0</v>
      </c>
      <c r="L1637">
        <v>3</v>
      </c>
      <c r="M1637">
        <v>0</v>
      </c>
      <c r="N1637">
        <v>2</v>
      </c>
      <c r="O1637">
        <v>1</v>
      </c>
      <c r="P1637">
        <v>0</v>
      </c>
      <c r="Q1637">
        <v>0</v>
      </c>
      <c r="R1637" t="s">
        <v>112</v>
      </c>
      <c r="S1637" t="str">
        <f>"14:17:39.000"</f>
        <v>14:17:39.000</v>
      </c>
      <c r="T1637" t="str">
        <f>"14:17:38.500"</f>
        <v>14:17:38.500</v>
      </c>
      <c r="U1637" t="str">
        <f t="shared" si="75"/>
        <v>ad5732</v>
      </c>
      <c r="V1637">
        <v>0</v>
      </c>
      <c r="W1637">
        <v>0</v>
      </c>
      <c r="X1637">
        <v>1</v>
      </c>
      <c r="Z1637">
        <v>0</v>
      </c>
      <c r="AA1637">
        <v>9</v>
      </c>
      <c r="AB1637">
        <v>3</v>
      </c>
      <c r="AC1637">
        <v>0</v>
      </c>
      <c r="AD1637">
        <v>10</v>
      </c>
      <c r="AE1637">
        <v>0</v>
      </c>
      <c r="AF1637">
        <v>3</v>
      </c>
      <c r="AG1637">
        <v>2</v>
      </c>
      <c r="AH1637">
        <v>0</v>
      </c>
      <c r="AI1637" t="s">
        <v>3377</v>
      </c>
      <c r="AJ1637">
        <v>39.700642000000002</v>
      </c>
      <c r="AK1637" t="s">
        <v>3378</v>
      </c>
      <c r="AL1637">
        <v>-76.212716</v>
      </c>
      <c r="AM1637">
        <v>100</v>
      </c>
      <c r="AN1637">
        <v>4700</v>
      </c>
      <c r="AO1637" t="s">
        <v>115</v>
      </c>
      <c r="AP1637">
        <v>162</v>
      </c>
      <c r="AQ1637">
        <v>85</v>
      </c>
      <c r="AR1637">
        <v>64</v>
      </c>
      <c r="AZ1637">
        <v>3614</v>
      </c>
      <c r="BA1637">
        <v>1</v>
      </c>
      <c r="BB1637" t="str">
        <f t="shared" si="77"/>
        <v xml:space="preserve">N959MJ  </v>
      </c>
      <c r="BC1637">
        <v>1</v>
      </c>
      <c r="BE1637">
        <v>0</v>
      </c>
      <c r="BF1637">
        <v>0</v>
      </c>
      <c r="BG1637">
        <v>0</v>
      </c>
      <c r="BH1637">
        <v>4875</v>
      </c>
      <c r="BI1637">
        <v>175</v>
      </c>
      <c r="BJ1637">
        <v>1</v>
      </c>
      <c r="BK1637">
        <v>1</v>
      </c>
      <c r="BL1637">
        <v>1</v>
      </c>
      <c r="BM1637">
        <v>0</v>
      </c>
      <c r="BP1637">
        <v>0</v>
      </c>
      <c r="BQ1637">
        <v>0</v>
      </c>
      <c r="BX1637" t="str">
        <f>"14:17:39.000"</f>
        <v>14:17:39.000</v>
      </c>
      <c r="BY1637" t="str">
        <f>"000530190"</f>
        <v>000530190</v>
      </c>
      <c r="CL1637">
        <v>0</v>
      </c>
      <c r="CM1637">
        <v>2</v>
      </c>
      <c r="CN1637">
        <v>0</v>
      </c>
      <c r="CO1637">
        <v>2</v>
      </c>
      <c r="CP1637">
        <v>0</v>
      </c>
      <c r="CQ1637">
        <v>6</v>
      </c>
      <c r="CR1637" t="s">
        <v>116</v>
      </c>
      <c r="CS1637">
        <v>39</v>
      </c>
      <c r="CT1637">
        <v>2</v>
      </c>
      <c r="CU1637" t="s">
        <v>2259</v>
      </c>
      <c r="CV1637" t="s">
        <v>2260</v>
      </c>
      <c r="CY1637">
        <v>15919480</v>
      </c>
      <c r="CZ1637" t="s">
        <v>119</v>
      </c>
    </row>
    <row r="1638" spans="1:104" x14ac:dyDescent="0.25">
      <c r="A1638" t="str">
        <f>"14:17:40.258"</f>
        <v>14:17:40.258</v>
      </c>
      <c r="B1638" t="s">
        <v>108</v>
      </c>
      <c r="C1638" t="str">
        <f t="shared" si="76"/>
        <v>ffdfd3c0</v>
      </c>
      <c r="D1638" t="s">
        <v>109</v>
      </c>
      <c r="E1638">
        <v>4</v>
      </c>
      <c r="F1638">
        <v>1004</v>
      </c>
      <c r="G1638" t="s">
        <v>110</v>
      </c>
      <c r="J1638" t="s">
        <v>111</v>
      </c>
      <c r="K1638">
        <v>0</v>
      </c>
      <c r="L1638">
        <v>3</v>
      </c>
      <c r="M1638">
        <v>0</v>
      </c>
      <c r="N1638">
        <v>2</v>
      </c>
      <c r="O1638">
        <v>1</v>
      </c>
      <c r="P1638">
        <v>0</v>
      </c>
      <c r="Q1638">
        <v>0</v>
      </c>
      <c r="R1638" t="s">
        <v>112</v>
      </c>
      <c r="S1638" t="str">
        <f>"14:17:40.055"</f>
        <v>14:17:40.055</v>
      </c>
      <c r="T1638" t="str">
        <f>"14:17:39.656"</f>
        <v>14:17:39.656</v>
      </c>
      <c r="U1638" t="str">
        <f t="shared" si="75"/>
        <v>ad5732</v>
      </c>
      <c r="V1638">
        <v>0</v>
      </c>
      <c r="W1638">
        <v>0</v>
      </c>
      <c r="X1638">
        <v>1</v>
      </c>
      <c r="Z1638">
        <v>0</v>
      </c>
      <c r="AA1638">
        <v>9</v>
      </c>
      <c r="AB1638">
        <v>3</v>
      </c>
      <c r="AC1638">
        <v>0</v>
      </c>
      <c r="AD1638">
        <v>10</v>
      </c>
      <c r="AE1638">
        <v>0</v>
      </c>
      <c r="AF1638">
        <v>3</v>
      </c>
      <c r="AG1638">
        <v>2</v>
      </c>
      <c r="AH1638">
        <v>0</v>
      </c>
      <c r="AI1638" t="s">
        <v>3379</v>
      </c>
      <c r="AJ1638">
        <v>39.701048999999998</v>
      </c>
      <c r="AK1638" t="s">
        <v>3380</v>
      </c>
      <c r="AL1638">
        <v>-76.211729000000005</v>
      </c>
      <c r="AM1638">
        <v>100</v>
      </c>
      <c r="AN1638">
        <v>4700</v>
      </c>
      <c r="AO1638" t="s">
        <v>115</v>
      </c>
      <c r="AP1638">
        <v>162</v>
      </c>
      <c r="AQ1638">
        <v>85</v>
      </c>
      <c r="AR1638">
        <v>0</v>
      </c>
      <c r="AZ1638">
        <v>3614</v>
      </c>
      <c r="BA1638">
        <v>1</v>
      </c>
      <c r="BB1638" t="str">
        <f t="shared" si="77"/>
        <v xml:space="preserve">N959MJ  </v>
      </c>
      <c r="BC1638">
        <v>1</v>
      </c>
      <c r="BE1638">
        <v>0</v>
      </c>
      <c r="BF1638">
        <v>0</v>
      </c>
      <c r="BG1638">
        <v>0</v>
      </c>
      <c r="BH1638">
        <v>4875</v>
      </c>
      <c r="BI1638">
        <v>175</v>
      </c>
      <c r="BJ1638">
        <v>1</v>
      </c>
      <c r="BK1638">
        <v>1</v>
      </c>
      <c r="BL1638">
        <v>1</v>
      </c>
      <c r="BM1638">
        <v>0</v>
      </c>
      <c r="BP1638">
        <v>0</v>
      </c>
      <c r="BQ1638">
        <v>0</v>
      </c>
      <c r="BX1638" t="str">
        <f>"14:17:40.063"</f>
        <v>14:17:40.063</v>
      </c>
      <c r="BY1638" t="str">
        <f>"062169422"</f>
        <v>062169422</v>
      </c>
      <c r="CL1638">
        <v>0</v>
      </c>
      <c r="CM1638">
        <v>2</v>
      </c>
      <c r="CN1638">
        <v>0</v>
      </c>
      <c r="CO1638">
        <v>2</v>
      </c>
      <c r="CP1638">
        <v>0</v>
      </c>
      <c r="CQ1638">
        <v>6</v>
      </c>
      <c r="CR1638" t="s">
        <v>116</v>
      </c>
      <c r="CS1638">
        <v>396</v>
      </c>
      <c r="CT1638">
        <v>1</v>
      </c>
      <c r="CU1638" t="s">
        <v>939</v>
      </c>
      <c r="CV1638" t="s">
        <v>940</v>
      </c>
      <c r="CY1638">
        <v>9227681</v>
      </c>
      <c r="CZ1638" t="s">
        <v>119</v>
      </c>
    </row>
    <row r="1639" spans="1:104" x14ac:dyDescent="0.25">
      <c r="A1639" t="str">
        <f>"14:17:41.320"</f>
        <v>14:17:41.320</v>
      </c>
      <c r="B1639" t="s">
        <v>108</v>
      </c>
      <c r="C1639" t="str">
        <f t="shared" si="76"/>
        <v>ffdfd3c0</v>
      </c>
      <c r="D1639" t="s">
        <v>109</v>
      </c>
      <c r="E1639">
        <v>4</v>
      </c>
      <c r="F1639">
        <v>1004</v>
      </c>
      <c r="G1639" t="s">
        <v>110</v>
      </c>
      <c r="J1639" t="s">
        <v>111</v>
      </c>
      <c r="K1639">
        <v>0</v>
      </c>
      <c r="L1639">
        <v>3</v>
      </c>
      <c r="M1639">
        <v>0</v>
      </c>
      <c r="N1639">
        <v>2</v>
      </c>
      <c r="O1639">
        <v>1</v>
      </c>
      <c r="P1639">
        <v>0</v>
      </c>
      <c r="Q1639">
        <v>0</v>
      </c>
      <c r="R1639" t="s">
        <v>112</v>
      </c>
      <c r="S1639" t="str">
        <f>"14:17:41.125"</f>
        <v>14:17:41.125</v>
      </c>
      <c r="T1639" t="str">
        <f>"14:17:40.625"</f>
        <v>14:17:40.625</v>
      </c>
      <c r="U1639" t="str">
        <f t="shared" si="75"/>
        <v>ad5732</v>
      </c>
      <c r="V1639">
        <v>0</v>
      </c>
      <c r="W1639">
        <v>0</v>
      </c>
      <c r="X1639">
        <v>1</v>
      </c>
      <c r="Z1639">
        <v>0</v>
      </c>
      <c r="AA1639">
        <v>9</v>
      </c>
      <c r="AB1639">
        <v>3</v>
      </c>
      <c r="AC1639">
        <v>0</v>
      </c>
      <c r="AD1639">
        <v>10</v>
      </c>
      <c r="AE1639">
        <v>0</v>
      </c>
      <c r="AF1639">
        <v>3</v>
      </c>
      <c r="AG1639">
        <v>2</v>
      </c>
      <c r="AH1639">
        <v>0</v>
      </c>
      <c r="AI1639" t="s">
        <v>3381</v>
      </c>
      <c r="AJ1639">
        <v>39.701478000000002</v>
      </c>
      <c r="AK1639" t="s">
        <v>3382</v>
      </c>
      <c r="AL1639">
        <v>-76.210656</v>
      </c>
      <c r="AM1639">
        <v>100</v>
      </c>
      <c r="AN1639">
        <v>4700</v>
      </c>
      <c r="AO1639" t="s">
        <v>115</v>
      </c>
      <c r="AP1639">
        <v>162</v>
      </c>
      <c r="AQ1639">
        <v>85</v>
      </c>
      <c r="AR1639">
        <v>0</v>
      </c>
      <c r="AZ1639">
        <v>3614</v>
      </c>
      <c r="BA1639">
        <v>1</v>
      </c>
      <c r="BB1639" t="str">
        <f t="shared" si="77"/>
        <v xml:space="preserve">N959MJ  </v>
      </c>
      <c r="BC1639">
        <v>1</v>
      </c>
      <c r="BE1639">
        <v>0</v>
      </c>
      <c r="BF1639">
        <v>0</v>
      </c>
      <c r="BG1639">
        <v>0</v>
      </c>
      <c r="BH1639">
        <v>4875</v>
      </c>
      <c r="BI1639">
        <v>175</v>
      </c>
      <c r="BJ1639">
        <v>1</v>
      </c>
      <c r="BK1639">
        <v>1</v>
      </c>
      <c r="BL1639">
        <v>1</v>
      </c>
      <c r="BM1639">
        <v>0</v>
      </c>
      <c r="BP1639">
        <v>0</v>
      </c>
      <c r="BQ1639">
        <v>0</v>
      </c>
      <c r="BX1639" t="str">
        <f>"14:17:41.125"</f>
        <v>14:17:41.125</v>
      </c>
      <c r="BY1639" t="str">
        <f>"127147550"</f>
        <v>127147550</v>
      </c>
      <c r="CL1639">
        <v>0</v>
      </c>
      <c r="CM1639">
        <v>2</v>
      </c>
      <c r="CN1639">
        <v>0</v>
      </c>
      <c r="CO1639">
        <v>2</v>
      </c>
      <c r="CP1639">
        <v>0</v>
      </c>
      <c r="CQ1639">
        <v>6</v>
      </c>
      <c r="CR1639" t="s">
        <v>116</v>
      </c>
      <c r="CS1639">
        <v>396</v>
      </c>
      <c r="CT1639">
        <v>1</v>
      </c>
      <c r="CU1639" t="s">
        <v>939</v>
      </c>
      <c r="CV1639" t="s">
        <v>940</v>
      </c>
      <c r="CY1639">
        <v>9229600</v>
      </c>
      <c r="CZ1639" t="s">
        <v>119</v>
      </c>
    </row>
    <row r="1640" spans="1:104" x14ac:dyDescent="0.25">
      <c r="A1640" t="str">
        <f>"14:17:42.281"</f>
        <v>14:17:42.281</v>
      </c>
      <c r="B1640" t="s">
        <v>108</v>
      </c>
      <c r="C1640" t="str">
        <f t="shared" si="76"/>
        <v>ffdfd3c0</v>
      </c>
      <c r="D1640" t="s">
        <v>109</v>
      </c>
      <c r="E1640">
        <v>4</v>
      </c>
      <c r="F1640">
        <v>1004</v>
      </c>
      <c r="G1640" t="s">
        <v>110</v>
      </c>
      <c r="J1640" t="s">
        <v>111</v>
      </c>
      <c r="K1640">
        <v>0</v>
      </c>
      <c r="L1640">
        <v>3</v>
      </c>
      <c r="M1640">
        <v>0</v>
      </c>
      <c r="N1640">
        <v>2</v>
      </c>
      <c r="O1640">
        <v>1</v>
      </c>
      <c r="P1640">
        <v>0</v>
      </c>
      <c r="Q1640">
        <v>0</v>
      </c>
      <c r="R1640" t="s">
        <v>112</v>
      </c>
      <c r="S1640" t="str">
        <f>"14:17:42.109"</f>
        <v>14:17:42.109</v>
      </c>
      <c r="T1640" t="str">
        <f>"14:17:41.711"</f>
        <v>14:17:41.711</v>
      </c>
      <c r="U1640" t="str">
        <f t="shared" si="75"/>
        <v>ad5732</v>
      </c>
      <c r="V1640">
        <v>0</v>
      </c>
      <c r="W1640">
        <v>0</v>
      </c>
      <c r="X1640">
        <v>1</v>
      </c>
      <c r="Z1640">
        <v>0</v>
      </c>
      <c r="AA1640">
        <v>9</v>
      </c>
      <c r="AB1640">
        <v>3</v>
      </c>
      <c r="AC1640">
        <v>0</v>
      </c>
      <c r="AD1640">
        <v>10</v>
      </c>
      <c r="AE1640">
        <v>0</v>
      </c>
      <c r="AF1640">
        <v>3</v>
      </c>
      <c r="AG1640">
        <v>2</v>
      </c>
      <c r="AH1640">
        <v>0</v>
      </c>
      <c r="AI1640" t="s">
        <v>3383</v>
      </c>
      <c r="AJ1640">
        <v>39.701842999999997</v>
      </c>
      <c r="AK1640" t="s">
        <v>3384</v>
      </c>
      <c r="AL1640">
        <v>-76.209648000000001</v>
      </c>
      <c r="AM1640">
        <v>100</v>
      </c>
      <c r="AN1640">
        <v>4700</v>
      </c>
      <c r="AO1640" t="s">
        <v>115</v>
      </c>
      <c r="AP1640">
        <v>162</v>
      </c>
      <c r="AQ1640">
        <v>84</v>
      </c>
      <c r="AR1640">
        <v>64</v>
      </c>
      <c r="AZ1640">
        <v>3614</v>
      </c>
      <c r="BA1640">
        <v>1</v>
      </c>
      <c r="BB1640" t="str">
        <f t="shared" si="77"/>
        <v xml:space="preserve">N959MJ  </v>
      </c>
      <c r="BC1640">
        <v>1</v>
      </c>
      <c r="BE1640">
        <v>0</v>
      </c>
      <c r="BF1640">
        <v>0</v>
      </c>
      <c r="BG1640">
        <v>0</v>
      </c>
      <c r="BH1640">
        <v>4875</v>
      </c>
      <c r="BI1640">
        <v>175</v>
      </c>
      <c r="BJ1640">
        <v>1</v>
      </c>
      <c r="BK1640">
        <v>1</v>
      </c>
      <c r="BL1640">
        <v>1</v>
      </c>
      <c r="BM1640">
        <v>0</v>
      </c>
      <c r="BP1640">
        <v>0</v>
      </c>
      <c r="BQ1640">
        <v>0</v>
      </c>
      <c r="BX1640" t="str">
        <f>"14:17:42.117"</f>
        <v>14:17:42.117</v>
      </c>
      <c r="BY1640" t="str">
        <f>"113541687"</f>
        <v>113541687</v>
      </c>
      <c r="CL1640">
        <v>0</v>
      </c>
      <c r="CM1640">
        <v>2</v>
      </c>
      <c r="CN1640">
        <v>0</v>
      </c>
      <c r="CO1640">
        <v>2</v>
      </c>
      <c r="CP1640">
        <v>0</v>
      </c>
      <c r="CQ1640">
        <v>6</v>
      </c>
      <c r="CR1640" t="s">
        <v>116</v>
      </c>
      <c r="CS1640">
        <v>39</v>
      </c>
      <c r="CT1640">
        <v>2</v>
      </c>
      <c r="CU1640" t="s">
        <v>2259</v>
      </c>
      <c r="CV1640" t="s">
        <v>2260</v>
      </c>
      <c r="CY1640">
        <v>15924374</v>
      </c>
      <c r="CZ1640" t="s">
        <v>119</v>
      </c>
    </row>
    <row r="1641" spans="1:104" x14ac:dyDescent="0.25">
      <c r="A1641" t="str">
        <f>"14:17:43.289"</f>
        <v>14:17:43.289</v>
      </c>
      <c r="B1641" t="s">
        <v>108</v>
      </c>
      <c r="C1641" t="str">
        <f t="shared" si="76"/>
        <v>ffdfd3c0</v>
      </c>
      <c r="D1641" t="s">
        <v>109</v>
      </c>
      <c r="E1641">
        <v>4</v>
      </c>
      <c r="F1641">
        <v>1004</v>
      </c>
      <c r="G1641" t="s">
        <v>110</v>
      </c>
      <c r="J1641" t="s">
        <v>111</v>
      </c>
      <c r="K1641">
        <v>0</v>
      </c>
      <c r="L1641">
        <v>3</v>
      </c>
      <c r="M1641">
        <v>0</v>
      </c>
      <c r="N1641">
        <v>2</v>
      </c>
      <c r="O1641">
        <v>1</v>
      </c>
      <c r="P1641">
        <v>0</v>
      </c>
      <c r="Q1641">
        <v>0</v>
      </c>
      <c r="R1641" t="s">
        <v>112</v>
      </c>
      <c r="S1641" t="str">
        <f>"14:17:43.086"</f>
        <v>14:17:43.086</v>
      </c>
      <c r="T1641" t="str">
        <f>"14:17:42.688"</f>
        <v>14:17:42.688</v>
      </c>
      <c r="U1641" t="str">
        <f t="shared" si="75"/>
        <v>ad5732</v>
      </c>
      <c r="V1641">
        <v>0</v>
      </c>
      <c r="W1641">
        <v>0</v>
      </c>
      <c r="X1641">
        <v>1</v>
      </c>
      <c r="Z1641">
        <v>0</v>
      </c>
      <c r="AA1641">
        <v>9</v>
      </c>
      <c r="AB1641">
        <v>3</v>
      </c>
      <c r="AC1641">
        <v>0</v>
      </c>
      <c r="AD1641">
        <v>10</v>
      </c>
      <c r="AE1641">
        <v>0</v>
      </c>
      <c r="AF1641">
        <v>3</v>
      </c>
      <c r="AG1641">
        <v>2</v>
      </c>
      <c r="AH1641">
        <v>0</v>
      </c>
      <c r="AI1641" t="s">
        <v>3385</v>
      </c>
      <c r="AJ1641">
        <v>39.702207999999999</v>
      </c>
      <c r="AK1641" t="s">
        <v>3386</v>
      </c>
      <c r="AL1641">
        <v>-76.208810999999997</v>
      </c>
      <c r="AM1641">
        <v>100</v>
      </c>
      <c r="AN1641">
        <v>4700</v>
      </c>
      <c r="AO1641" t="s">
        <v>115</v>
      </c>
      <c r="AP1641">
        <v>161</v>
      </c>
      <c r="AQ1641">
        <v>84</v>
      </c>
      <c r="AR1641">
        <v>64</v>
      </c>
      <c r="AZ1641">
        <v>3614</v>
      </c>
      <c r="BA1641">
        <v>1</v>
      </c>
      <c r="BB1641" t="str">
        <f t="shared" si="77"/>
        <v xml:space="preserve">N959MJ  </v>
      </c>
      <c r="BC1641">
        <v>1</v>
      </c>
      <c r="BE1641">
        <v>0</v>
      </c>
      <c r="BF1641">
        <v>0</v>
      </c>
      <c r="BG1641">
        <v>0</v>
      </c>
      <c r="BH1641">
        <v>4875</v>
      </c>
      <c r="BI1641">
        <v>175</v>
      </c>
      <c r="BJ1641">
        <v>1</v>
      </c>
      <c r="BK1641">
        <v>1</v>
      </c>
      <c r="BL1641">
        <v>1</v>
      </c>
      <c r="BM1641">
        <v>0</v>
      </c>
      <c r="BP1641">
        <v>0</v>
      </c>
      <c r="BQ1641">
        <v>0</v>
      </c>
      <c r="BX1641" t="str">
        <f>"14:17:43.086"</f>
        <v>14:17:43.086</v>
      </c>
      <c r="BY1641" t="str">
        <f>"086835189"</f>
        <v>086835189</v>
      </c>
      <c r="CL1641">
        <v>0</v>
      </c>
      <c r="CM1641">
        <v>2</v>
      </c>
      <c r="CN1641">
        <v>0</v>
      </c>
      <c r="CO1641">
        <v>2</v>
      </c>
      <c r="CP1641">
        <v>0</v>
      </c>
      <c r="CQ1641">
        <v>5</v>
      </c>
      <c r="CR1641" t="s">
        <v>116</v>
      </c>
      <c r="CS1641">
        <v>372</v>
      </c>
      <c r="CT1641">
        <v>3</v>
      </c>
      <c r="CU1641" t="s">
        <v>877</v>
      </c>
      <c r="CV1641" t="s">
        <v>878</v>
      </c>
      <c r="CY1641">
        <v>12297865</v>
      </c>
      <c r="CZ1641" t="s">
        <v>119</v>
      </c>
    </row>
    <row r="1642" spans="1:104" x14ac:dyDescent="0.25">
      <c r="A1642" t="str">
        <f>"14:17:44.344"</f>
        <v>14:17:44.344</v>
      </c>
      <c r="B1642" t="s">
        <v>108</v>
      </c>
      <c r="C1642" t="str">
        <f t="shared" si="76"/>
        <v>ffdfd3c0</v>
      </c>
      <c r="D1642" t="s">
        <v>109</v>
      </c>
      <c r="E1642">
        <v>4</v>
      </c>
      <c r="F1642">
        <v>1004</v>
      </c>
      <c r="G1642" t="s">
        <v>110</v>
      </c>
      <c r="J1642" t="s">
        <v>111</v>
      </c>
      <c r="K1642">
        <v>0</v>
      </c>
      <c r="L1642">
        <v>3</v>
      </c>
      <c r="M1642">
        <v>0</v>
      </c>
      <c r="N1642">
        <v>2</v>
      </c>
      <c r="O1642">
        <v>1</v>
      </c>
      <c r="P1642">
        <v>0</v>
      </c>
      <c r="Q1642">
        <v>0</v>
      </c>
      <c r="R1642" t="s">
        <v>112</v>
      </c>
      <c r="S1642" t="str">
        <f>"14:17:44.156"</f>
        <v>14:17:44.156</v>
      </c>
      <c r="T1642" t="str">
        <f>"14:17:43.656"</f>
        <v>14:17:43.656</v>
      </c>
      <c r="U1642" t="str">
        <f t="shared" si="75"/>
        <v>ad5732</v>
      </c>
      <c r="V1642">
        <v>0</v>
      </c>
      <c r="W1642">
        <v>0</v>
      </c>
      <c r="X1642">
        <v>1</v>
      </c>
      <c r="Z1642">
        <v>0</v>
      </c>
      <c r="AA1642">
        <v>9</v>
      </c>
      <c r="AB1642">
        <v>3</v>
      </c>
      <c r="AC1642">
        <v>0</v>
      </c>
      <c r="AD1642">
        <v>10</v>
      </c>
      <c r="AE1642">
        <v>0</v>
      </c>
      <c r="AF1642">
        <v>3</v>
      </c>
      <c r="AG1642">
        <v>2</v>
      </c>
      <c r="AH1642">
        <v>0</v>
      </c>
      <c r="AI1642" t="s">
        <v>3387</v>
      </c>
      <c r="AJ1642">
        <v>39.702615999999999</v>
      </c>
      <c r="AK1642" t="s">
        <v>3388</v>
      </c>
      <c r="AL1642">
        <v>-76.207738000000006</v>
      </c>
      <c r="AM1642">
        <v>100</v>
      </c>
      <c r="AN1642">
        <v>4700</v>
      </c>
      <c r="AO1642" t="s">
        <v>115</v>
      </c>
      <c r="AP1642">
        <v>161</v>
      </c>
      <c r="AQ1642">
        <v>84</v>
      </c>
      <c r="AR1642">
        <v>64</v>
      </c>
      <c r="AZ1642">
        <v>3614</v>
      </c>
      <c r="BA1642">
        <v>1</v>
      </c>
      <c r="BB1642" t="str">
        <f t="shared" si="77"/>
        <v xml:space="preserve">N959MJ  </v>
      </c>
      <c r="BC1642">
        <v>1</v>
      </c>
      <c r="BE1642">
        <v>0</v>
      </c>
      <c r="BF1642">
        <v>0</v>
      </c>
      <c r="BG1642">
        <v>0</v>
      </c>
      <c r="BH1642">
        <v>4875</v>
      </c>
      <c r="BI1642">
        <v>175</v>
      </c>
      <c r="BJ1642">
        <v>1</v>
      </c>
      <c r="BK1642">
        <v>1</v>
      </c>
      <c r="BL1642">
        <v>1</v>
      </c>
      <c r="BM1642">
        <v>0</v>
      </c>
      <c r="BP1642">
        <v>0</v>
      </c>
      <c r="BQ1642">
        <v>0</v>
      </c>
      <c r="BX1642" t="str">
        <f>"14:17:44.156"</f>
        <v>14:17:44.156</v>
      </c>
      <c r="BY1642" t="str">
        <f>"158298729"</f>
        <v>158298729</v>
      </c>
      <c r="CL1642">
        <v>0</v>
      </c>
      <c r="CM1642">
        <v>2</v>
      </c>
      <c r="CN1642">
        <v>0</v>
      </c>
      <c r="CO1642">
        <v>2</v>
      </c>
      <c r="CP1642">
        <v>0</v>
      </c>
      <c r="CQ1642">
        <v>6</v>
      </c>
      <c r="CR1642" t="s">
        <v>116</v>
      </c>
      <c r="CS1642">
        <v>39</v>
      </c>
      <c r="CT1642">
        <v>2</v>
      </c>
      <c r="CU1642" t="s">
        <v>2259</v>
      </c>
      <c r="CV1642" t="s">
        <v>2260</v>
      </c>
      <c r="CY1642">
        <v>15927766</v>
      </c>
      <c r="CZ1642" t="s">
        <v>119</v>
      </c>
    </row>
    <row r="1643" spans="1:104" x14ac:dyDescent="0.25">
      <c r="A1643" t="str">
        <f>"14:17:45.305"</f>
        <v>14:17:45.305</v>
      </c>
      <c r="B1643" t="s">
        <v>108</v>
      </c>
      <c r="C1643" t="str">
        <f t="shared" si="76"/>
        <v>ffdfd3c0</v>
      </c>
      <c r="D1643" t="s">
        <v>109</v>
      </c>
      <c r="E1643">
        <v>4</v>
      </c>
      <c r="F1643">
        <v>1004</v>
      </c>
      <c r="G1643" t="s">
        <v>110</v>
      </c>
      <c r="J1643" t="s">
        <v>111</v>
      </c>
      <c r="K1643">
        <v>0</v>
      </c>
      <c r="L1643">
        <v>3</v>
      </c>
      <c r="M1643">
        <v>0</v>
      </c>
      <c r="N1643">
        <v>2</v>
      </c>
      <c r="O1643">
        <v>1</v>
      </c>
      <c r="P1643">
        <v>0</v>
      </c>
      <c r="Q1643">
        <v>0</v>
      </c>
      <c r="R1643" t="s">
        <v>112</v>
      </c>
      <c r="S1643" t="str">
        <f>"14:17:45.125"</f>
        <v>14:17:45.125</v>
      </c>
      <c r="T1643" t="str">
        <f>"14:17:44.625"</f>
        <v>14:17:44.625</v>
      </c>
      <c r="U1643" t="str">
        <f t="shared" si="75"/>
        <v>ad5732</v>
      </c>
      <c r="V1643">
        <v>0</v>
      </c>
      <c r="W1643">
        <v>0</v>
      </c>
      <c r="X1643">
        <v>1</v>
      </c>
      <c r="Z1643">
        <v>0</v>
      </c>
      <c r="AA1643">
        <v>9</v>
      </c>
      <c r="AB1643">
        <v>3</v>
      </c>
      <c r="AC1643">
        <v>0</v>
      </c>
      <c r="AD1643">
        <v>10</v>
      </c>
      <c r="AE1643">
        <v>0</v>
      </c>
      <c r="AF1643">
        <v>3</v>
      </c>
      <c r="AG1643">
        <v>2</v>
      </c>
      <c r="AH1643">
        <v>0</v>
      </c>
      <c r="AI1643" t="s">
        <v>3389</v>
      </c>
      <c r="AJ1643">
        <v>39.703023000000002</v>
      </c>
      <c r="AK1643" t="s">
        <v>3390</v>
      </c>
      <c r="AL1643">
        <v>-76.206794000000002</v>
      </c>
      <c r="AM1643">
        <v>100</v>
      </c>
      <c r="AN1643">
        <v>4700</v>
      </c>
      <c r="AO1643" t="s">
        <v>115</v>
      </c>
      <c r="AP1643">
        <v>161</v>
      </c>
      <c r="AQ1643">
        <v>84</v>
      </c>
      <c r="AR1643">
        <v>64</v>
      </c>
      <c r="AZ1643">
        <v>3614</v>
      </c>
      <c r="BA1643">
        <v>1</v>
      </c>
      <c r="BB1643" t="str">
        <f t="shared" si="77"/>
        <v xml:space="preserve">N959MJ  </v>
      </c>
      <c r="BC1643">
        <v>1</v>
      </c>
      <c r="BE1643">
        <v>0</v>
      </c>
      <c r="BF1643">
        <v>0</v>
      </c>
      <c r="BG1643">
        <v>0</v>
      </c>
      <c r="BH1643">
        <v>4875</v>
      </c>
      <c r="BI1643">
        <v>175</v>
      </c>
      <c r="BJ1643">
        <v>1</v>
      </c>
      <c r="BK1643">
        <v>1</v>
      </c>
      <c r="BL1643">
        <v>1</v>
      </c>
      <c r="BM1643">
        <v>0</v>
      </c>
      <c r="BP1643">
        <v>0</v>
      </c>
      <c r="BQ1643">
        <v>0</v>
      </c>
      <c r="BX1643" t="str">
        <f>"14:17:45.133"</f>
        <v>14:17:45.133</v>
      </c>
      <c r="BY1643" t="str">
        <f>"129886061"</f>
        <v>129886061</v>
      </c>
      <c r="CL1643">
        <v>0</v>
      </c>
      <c r="CM1643">
        <v>2</v>
      </c>
      <c r="CN1643">
        <v>0</v>
      </c>
      <c r="CO1643">
        <v>2</v>
      </c>
      <c r="CP1643">
        <v>0</v>
      </c>
      <c r="CQ1643">
        <v>6</v>
      </c>
      <c r="CR1643" t="s">
        <v>116</v>
      </c>
      <c r="CS1643">
        <v>39</v>
      </c>
      <c r="CT1643">
        <v>2</v>
      </c>
      <c r="CU1643" t="s">
        <v>2259</v>
      </c>
      <c r="CV1643" t="s">
        <v>2260</v>
      </c>
      <c r="CY1643">
        <v>15929274</v>
      </c>
      <c r="CZ1643" t="s">
        <v>119</v>
      </c>
    </row>
    <row r="1644" spans="1:104" x14ac:dyDescent="0.25">
      <c r="A1644" t="str">
        <f>"14:17:46.266"</f>
        <v>14:17:46.266</v>
      </c>
      <c r="B1644" t="s">
        <v>108</v>
      </c>
      <c r="C1644" t="str">
        <f t="shared" si="76"/>
        <v>ffdfd3c0</v>
      </c>
      <c r="D1644" t="s">
        <v>109</v>
      </c>
      <c r="E1644">
        <v>4</v>
      </c>
      <c r="F1644">
        <v>1004</v>
      </c>
      <c r="G1644" t="s">
        <v>110</v>
      </c>
      <c r="J1644" t="s">
        <v>111</v>
      </c>
      <c r="K1644">
        <v>0</v>
      </c>
      <c r="L1644">
        <v>3</v>
      </c>
      <c r="M1644">
        <v>0</v>
      </c>
      <c r="N1644">
        <v>2</v>
      </c>
      <c r="O1644">
        <v>1</v>
      </c>
      <c r="P1644">
        <v>0</v>
      </c>
      <c r="Q1644">
        <v>0</v>
      </c>
      <c r="R1644" t="s">
        <v>112</v>
      </c>
      <c r="S1644" t="str">
        <f>"14:17:46.063"</f>
        <v>14:17:46.063</v>
      </c>
      <c r="T1644" t="str">
        <f>"14:17:45.664"</f>
        <v>14:17:45.664</v>
      </c>
      <c r="U1644" t="str">
        <f t="shared" si="75"/>
        <v>ad5732</v>
      </c>
      <c r="V1644">
        <v>0</v>
      </c>
      <c r="W1644">
        <v>0</v>
      </c>
      <c r="X1644">
        <v>1</v>
      </c>
      <c r="Z1644">
        <v>0</v>
      </c>
      <c r="AA1644">
        <v>9</v>
      </c>
      <c r="AB1644">
        <v>3</v>
      </c>
      <c r="AC1644">
        <v>0</v>
      </c>
      <c r="AD1644">
        <v>10</v>
      </c>
      <c r="AE1644">
        <v>0</v>
      </c>
      <c r="AF1644">
        <v>3</v>
      </c>
      <c r="AG1644">
        <v>2</v>
      </c>
      <c r="AH1644">
        <v>0</v>
      </c>
      <c r="AI1644" t="s">
        <v>3391</v>
      </c>
      <c r="AJ1644">
        <v>39.703387999999997</v>
      </c>
      <c r="AK1644" t="s">
        <v>3392</v>
      </c>
      <c r="AL1644">
        <v>-76.205934999999997</v>
      </c>
      <c r="AM1644">
        <v>100</v>
      </c>
      <c r="AN1644">
        <v>4700</v>
      </c>
      <c r="AO1644" t="s">
        <v>115</v>
      </c>
      <c r="AP1644">
        <v>161</v>
      </c>
      <c r="AQ1644">
        <v>84</v>
      </c>
      <c r="AR1644">
        <v>64</v>
      </c>
      <c r="AZ1644">
        <v>3614</v>
      </c>
      <c r="BA1644">
        <v>1</v>
      </c>
      <c r="BB1644" t="str">
        <f t="shared" si="77"/>
        <v xml:space="preserve">N959MJ  </v>
      </c>
      <c r="BC1644">
        <v>1</v>
      </c>
      <c r="BE1644">
        <v>0</v>
      </c>
      <c r="BF1644">
        <v>0</v>
      </c>
      <c r="BG1644">
        <v>0</v>
      </c>
      <c r="BH1644">
        <v>4875</v>
      </c>
      <c r="BI1644">
        <v>175</v>
      </c>
      <c r="BJ1644">
        <v>1</v>
      </c>
      <c r="BK1644">
        <v>1</v>
      </c>
      <c r="BL1644">
        <v>1</v>
      </c>
      <c r="BM1644">
        <v>0</v>
      </c>
      <c r="BP1644">
        <v>0</v>
      </c>
      <c r="BQ1644">
        <v>0</v>
      </c>
      <c r="BX1644" t="str">
        <f>"14:17:46.070"</f>
        <v>14:17:46.070</v>
      </c>
      <c r="BY1644" t="str">
        <f>"068773868"</f>
        <v>068773868</v>
      </c>
      <c r="CL1644">
        <v>0</v>
      </c>
      <c r="CM1644">
        <v>2</v>
      </c>
      <c r="CN1644">
        <v>0</v>
      </c>
      <c r="CO1644">
        <v>2</v>
      </c>
      <c r="CP1644">
        <v>0</v>
      </c>
      <c r="CQ1644">
        <v>5</v>
      </c>
      <c r="CR1644" t="s">
        <v>116</v>
      </c>
      <c r="CS1644">
        <v>372</v>
      </c>
      <c r="CT1644">
        <v>3</v>
      </c>
      <c r="CU1644" t="s">
        <v>877</v>
      </c>
      <c r="CV1644" t="s">
        <v>878</v>
      </c>
      <c r="CY1644">
        <v>12303624</v>
      </c>
      <c r="CZ1644" t="s">
        <v>119</v>
      </c>
    </row>
    <row r="1645" spans="1:104" x14ac:dyDescent="0.25">
      <c r="A1645" t="str">
        <f>"14:17:47.328"</f>
        <v>14:17:47.328</v>
      </c>
      <c r="B1645" t="s">
        <v>108</v>
      </c>
      <c r="C1645" t="str">
        <f t="shared" si="76"/>
        <v>ffdfd3c0</v>
      </c>
      <c r="D1645" t="s">
        <v>109</v>
      </c>
      <c r="E1645">
        <v>4</v>
      </c>
      <c r="F1645">
        <v>1004</v>
      </c>
      <c r="G1645" t="s">
        <v>110</v>
      </c>
      <c r="J1645" t="s">
        <v>111</v>
      </c>
      <c r="K1645">
        <v>0</v>
      </c>
      <c r="L1645">
        <v>3</v>
      </c>
      <c r="M1645">
        <v>0</v>
      </c>
      <c r="N1645">
        <v>2</v>
      </c>
      <c r="O1645">
        <v>1</v>
      </c>
      <c r="P1645">
        <v>0</v>
      </c>
      <c r="Q1645">
        <v>0</v>
      </c>
      <c r="R1645" t="s">
        <v>112</v>
      </c>
      <c r="S1645" t="str">
        <f>"14:17:47.156"</f>
        <v>14:17:47.156</v>
      </c>
      <c r="T1645" t="str">
        <f>"14:17:46.656"</f>
        <v>14:17:46.656</v>
      </c>
      <c r="U1645" t="str">
        <f t="shared" si="75"/>
        <v>ad5732</v>
      </c>
      <c r="V1645">
        <v>0</v>
      </c>
      <c r="W1645">
        <v>0</v>
      </c>
      <c r="X1645">
        <v>1</v>
      </c>
      <c r="Z1645">
        <v>0</v>
      </c>
      <c r="AA1645">
        <v>9</v>
      </c>
      <c r="AB1645">
        <v>3</v>
      </c>
      <c r="AC1645">
        <v>0</v>
      </c>
      <c r="AD1645">
        <v>10</v>
      </c>
      <c r="AE1645">
        <v>0</v>
      </c>
      <c r="AF1645">
        <v>3</v>
      </c>
      <c r="AG1645">
        <v>2</v>
      </c>
      <c r="AH1645">
        <v>0</v>
      </c>
      <c r="AI1645" t="s">
        <v>3393</v>
      </c>
      <c r="AJ1645">
        <v>39.703817000000001</v>
      </c>
      <c r="AK1645" t="s">
        <v>3394</v>
      </c>
      <c r="AL1645">
        <v>-76.204819999999998</v>
      </c>
      <c r="AM1645">
        <v>100</v>
      </c>
      <c r="AN1645">
        <v>4700</v>
      </c>
      <c r="AO1645" t="s">
        <v>115</v>
      </c>
      <c r="AP1645">
        <v>161</v>
      </c>
      <c r="AQ1645">
        <v>83</v>
      </c>
      <c r="AR1645">
        <v>64</v>
      </c>
      <c r="AZ1645">
        <v>3614</v>
      </c>
      <c r="BA1645">
        <v>1</v>
      </c>
      <c r="BB1645" t="str">
        <f t="shared" si="77"/>
        <v xml:space="preserve">N959MJ  </v>
      </c>
      <c r="BC1645">
        <v>1</v>
      </c>
      <c r="BE1645">
        <v>0</v>
      </c>
      <c r="BF1645">
        <v>0</v>
      </c>
      <c r="BG1645">
        <v>0</v>
      </c>
      <c r="BH1645">
        <v>4900</v>
      </c>
      <c r="BI1645">
        <v>200</v>
      </c>
      <c r="BJ1645">
        <v>1</v>
      </c>
      <c r="BK1645">
        <v>1</v>
      </c>
      <c r="BL1645">
        <v>1</v>
      </c>
      <c r="BM1645">
        <v>0</v>
      </c>
      <c r="BP1645">
        <v>0</v>
      </c>
      <c r="BQ1645">
        <v>0</v>
      </c>
      <c r="BX1645" t="str">
        <f>"14:17:47.164"</f>
        <v>14:17:47.164</v>
      </c>
      <c r="BY1645" t="str">
        <f>"161535685"</f>
        <v>161535685</v>
      </c>
      <c r="CL1645">
        <v>0</v>
      </c>
      <c r="CM1645">
        <v>2</v>
      </c>
      <c r="CN1645">
        <v>0</v>
      </c>
      <c r="CO1645">
        <v>2</v>
      </c>
      <c r="CP1645">
        <v>0</v>
      </c>
      <c r="CQ1645">
        <v>6</v>
      </c>
      <c r="CR1645" t="s">
        <v>116</v>
      </c>
      <c r="CS1645">
        <v>39</v>
      </c>
      <c r="CT1645">
        <v>2</v>
      </c>
      <c r="CU1645" t="s">
        <v>2259</v>
      </c>
      <c r="CV1645" t="s">
        <v>2260</v>
      </c>
      <c r="CY1645">
        <v>15932504</v>
      </c>
      <c r="CZ1645" t="s">
        <v>119</v>
      </c>
    </row>
    <row r="1646" spans="1:104" x14ac:dyDescent="0.25">
      <c r="A1646" t="str">
        <f>"14:17:48.391"</f>
        <v>14:17:48.391</v>
      </c>
      <c r="B1646" t="s">
        <v>108</v>
      </c>
      <c r="C1646" t="str">
        <f t="shared" si="76"/>
        <v>ffdfd3c0</v>
      </c>
      <c r="D1646" t="s">
        <v>109</v>
      </c>
      <c r="E1646">
        <v>4</v>
      </c>
      <c r="F1646">
        <v>1004</v>
      </c>
      <c r="G1646" t="s">
        <v>110</v>
      </c>
      <c r="J1646" t="s">
        <v>111</v>
      </c>
      <c r="K1646">
        <v>0</v>
      </c>
      <c r="L1646">
        <v>3</v>
      </c>
      <c r="M1646">
        <v>0</v>
      </c>
      <c r="N1646">
        <v>2</v>
      </c>
      <c r="O1646">
        <v>1</v>
      </c>
      <c r="P1646">
        <v>0</v>
      </c>
      <c r="Q1646">
        <v>0</v>
      </c>
      <c r="R1646" t="s">
        <v>112</v>
      </c>
      <c r="S1646" t="str">
        <f>"14:17:48.211"</f>
        <v>14:17:48.211</v>
      </c>
      <c r="T1646" t="str">
        <f>"14:17:47.813"</f>
        <v>14:17:47.813</v>
      </c>
      <c r="U1646" t="str">
        <f t="shared" si="75"/>
        <v>ad5732</v>
      </c>
      <c r="V1646">
        <v>0</v>
      </c>
      <c r="W1646">
        <v>0</v>
      </c>
      <c r="X1646">
        <v>1</v>
      </c>
      <c r="Z1646">
        <v>0</v>
      </c>
      <c r="AA1646">
        <v>9</v>
      </c>
      <c r="AB1646">
        <v>3</v>
      </c>
      <c r="AC1646">
        <v>0</v>
      </c>
      <c r="AD1646">
        <v>10</v>
      </c>
      <c r="AE1646">
        <v>0</v>
      </c>
      <c r="AF1646">
        <v>3</v>
      </c>
      <c r="AG1646">
        <v>2</v>
      </c>
      <c r="AH1646">
        <v>0</v>
      </c>
      <c r="AI1646" t="s">
        <v>3395</v>
      </c>
      <c r="AJ1646">
        <v>39.704225000000001</v>
      </c>
      <c r="AK1646" t="s">
        <v>3396</v>
      </c>
      <c r="AL1646">
        <v>-76.203789999999998</v>
      </c>
      <c r="AM1646">
        <v>100</v>
      </c>
      <c r="AN1646">
        <v>4700</v>
      </c>
      <c r="AO1646" t="s">
        <v>115</v>
      </c>
      <c r="AP1646">
        <v>161</v>
      </c>
      <c r="AQ1646">
        <v>83</v>
      </c>
      <c r="AR1646">
        <v>64</v>
      </c>
      <c r="AZ1646">
        <v>3614</v>
      </c>
      <c r="BA1646">
        <v>1</v>
      </c>
      <c r="BB1646" t="str">
        <f t="shared" si="77"/>
        <v xml:space="preserve">N959MJ  </v>
      </c>
      <c r="BC1646">
        <v>1</v>
      </c>
      <c r="BE1646">
        <v>0</v>
      </c>
      <c r="BF1646">
        <v>0</v>
      </c>
      <c r="BG1646">
        <v>0</v>
      </c>
      <c r="BH1646">
        <v>4900</v>
      </c>
      <c r="BI1646">
        <v>200</v>
      </c>
      <c r="BJ1646">
        <v>1</v>
      </c>
      <c r="BK1646">
        <v>1</v>
      </c>
      <c r="BL1646">
        <v>1</v>
      </c>
      <c r="BM1646">
        <v>0</v>
      </c>
      <c r="BP1646">
        <v>0</v>
      </c>
      <c r="BQ1646">
        <v>0</v>
      </c>
      <c r="BX1646" t="str">
        <f>"14:17:48.219"</f>
        <v>14:17:48.219</v>
      </c>
      <c r="BY1646" t="str">
        <f>"215044283"</f>
        <v>215044283</v>
      </c>
      <c r="CL1646">
        <v>0</v>
      </c>
      <c r="CM1646">
        <v>2</v>
      </c>
      <c r="CN1646">
        <v>0</v>
      </c>
      <c r="CO1646">
        <v>2</v>
      </c>
      <c r="CP1646">
        <v>0</v>
      </c>
      <c r="CQ1646">
        <v>6</v>
      </c>
      <c r="CR1646" t="s">
        <v>116</v>
      </c>
      <c r="CS1646">
        <v>39</v>
      </c>
      <c r="CT1646">
        <v>2</v>
      </c>
      <c r="CU1646" t="s">
        <v>2259</v>
      </c>
      <c r="CV1646" t="s">
        <v>2260</v>
      </c>
      <c r="CY1646">
        <v>15934265</v>
      </c>
      <c r="CZ1646" t="s">
        <v>119</v>
      </c>
    </row>
    <row r="1647" spans="1:104" x14ac:dyDescent="0.25">
      <c r="A1647" t="str">
        <f>"14:17:49.344"</f>
        <v>14:17:49.344</v>
      </c>
      <c r="B1647" t="s">
        <v>108</v>
      </c>
      <c r="C1647" t="str">
        <f t="shared" si="76"/>
        <v>ffdfd3c0</v>
      </c>
      <c r="D1647" t="s">
        <v>109</v>
      </c>
      <c r="E1647">
        <v>4</v>
      </c>
      <c r="F1647">
        <v>1004</v>
      </c>
      <c r="G1647" t="s">
        <v>110</v>
      </c>
      <c r="J1647" t="s">
        <v>111</v>
      </c>
      <c r="K1647">
        <v>0</v>
      </c>
      <c r="L1647">
        <v>3</v>
      </c>
      <c r="M1647">
        <v>0</v>
      </c>
      <c r="N1647">
        <v>2</v>
      </c>
      <c r="O1647">
        <v>1</v>
      </c>
      <c r="P1647">
        <v>0</v>
      </c>
      <c r="Q1647">
        <v>0</v>
      </c>
      <c r="R1647" t="s">
        <v>112</v>
      </c>
      <c r="S1647" t="str">
        <f>"14:17:49.172"</f>
        <v>14:17:49.172</v>
      </c>
      <c r="T1647" t="str">
        <f>"14:17:48.773"</f>
        <v>14:17:48.773</v>
      </c>
      <c r="U1647" t="str">
        <f t="shared" si="75"/>
        <v>ad5732</v>
      </c>
      <c r="V1647">
        <v>0</v>
      </c>
      <c r="W1647">
        <v>0</v>
      </c>
      <c r="X1647">
        <v>1</v>
      </c>
      <c r="Z1647">
        <v>0</v>
      </c>
      <c r="AA1647">
        <v>9</v>
      </c>
      <c r="AB1647">
        <v>3</v>
      </c>
      <c r="AC1647">
        <v>0</v>
      </c>
      <c r="AD1647">
        <v>10</v>
      </c>
      <c r="AE1647">
        <v>0</v>
      </c>
      <c r="AF1647">
        <v>3</v>
      </c>
      <c r="AG1647">
        <v>2</v>
      </c>
      <c r="AH1647">
        <v>0</v>
      </c>
      <c r="AI1647" t="s">
        <v>3397</v>
      </c>
      <c r="AJ1647">
        <v>39.704590000000003</v>
      </c>
      <c r="AK1647" t="s">
        <v>3398</v>
      </c>
      <c r="AL1647">
        <v>-76.202910000000003</v>
      </c>
      <c r="AM1647">
        <v>100</v>
      </c>
      <c r="AN1647">
        <v>4700</v>
      </c>
      <c r="AO1647" t="s">
        <v>115</v>
      </c>
      <c r="AP1647">
        <v>160</v>
      </c>
      <c r="AQ1647">
        <v>83</v>
      </c>
      <c r="AR1647">
        <v>64</v>
      </c>
      <c r="AZ1647">
        <v>3614</v>
      </c>
      <c r="BA1647">
        <v>1</v>
      </c>
      <c r="BB1647" t="str">
        <f t="shared" si="77"/>
        <v xml:space="preserve">N959MJ  </v>
      </c>
      <c r="BC1647">
        <v>1</v>
      </c>
      <c r="BE1647">
        <v>0</v>
      </c>
      <c r="BF1647">
        <v>0</v>
      </c>
      <c r="BG1647">
        <v>0</v>
      </c>
      <c r="BH1647">
        <v>4900</v>
      </c>
      <c r="BI1647">
        <v>200</v>
      </c>
      <c r="BJ1647">
        <v>1</v>
      </c>
      <c r="BK1647">
        <v>1</v>
      </c>
      <c r="BL1647">
        <v>1</v>
      </c>
      <c r="BM1647">
        <v>0</v>
      </c>
      <c r="BP1647">
        <v>0</v>
      </c>
      <c r="BQ1647">
        <v>0</v>
      </c>
      <c r="BX1647" t="str">
        <f>"14:17:49.172"</f>
        <v>14:17:49.172</v>
      </c>
      <c r="BY1647" t="str">
        <f>"175162571"</f>
        <v>175162571</v>
      </c>
      <c r="CL1647">
        <v>0</v>
      </c>
      <c r="CM1647">
        <v>2</v>
      </c>
      <c r="CN1647">
        <v>0</v>
      </c>
      <c r="CO1647">
        <v>2</v>
      </c>
      <c r="CP1647">
        <v>0</v>
      </c>
      <c r="CQ1647">
        <v>6</v>
      </c>
      <c r="CR1647" t="s">
        <v>116</v>
      </c>
      <c r="CS1647">
        <v>39</v>
      </c>
      <c r="CT1647">
        <v>2</v>
      </c>
      <c r="CU1647" t="s">
        <v>2259</v>
      </c>
      <c r="CV1647" t="s">
        <v>2260</v>
      </c>
      <c r="CY1647">
        <v>15935760</v>
      </c>
      <c r="CZ1647" t="s">
        <v>119</v>
      </c>
    </row>
    <row r="1648" spans="1:104" x14ac:dyDescent="0.25">
      <c r="A1648" t="str">
        <f>"14:17:50.406"</f>
        <v>14:17:50.406</v>
      </c>
      <c r="B1648" t="s">
        <v>108</v>
      </c>
      <c r="C1648" t="str">
        <f t="shared" si="76"/>
        <v>ffdfd3c0</v>
      </c>
      <c r="D1648" t="s">
        <v>109</v>
      </c>
      <c r="E1648">
        <v>4</v>
      </c>
      <c r="F1648">
        <v>1004</v>
      </c>
      <c r="G1648" t="s">
        <v>110</v>
      </c>
      <c r="J1648" t="s">
        <v>111</v>
      </c>
      <c r="K1648">
        <v>0</v>
      </c>
      <c r="L1648">
        <v>3</v>
      </c>
      <c r="M1648">
        <v>0</v>
      </c>
      <c r="N1648">
        <v>2</v>
      </c>
      <c r="O1648">
        <v>1</v>
      </c>
      <c r="P1648">
        <v>0</v>
      </c>
      <c r="Q1648">
        <v>0</v>
      </c>
      <c r="R1648" t="s">
        <v>112</v>
      </c>
      <c r="S1648" t="str">
        <f>"14:17:50.211"</f>
        <v>14:17:50.211</v>
      </c>
      <c r="T1648" t="str">
        <f>"14:17:49.711"</f>
        <v>14:17:49.711</v>
      </c>
      <c r="U1648" t="str">
        <f t="shared" si="75"/>
        <v>ad5732</v>
      </c>
      <c r="V1648">
        <v>0</v>
      </c>
      <c r="W1648">
        <v>0</v>
      </c>
      <c r="X1648">
        <v>1</v>
      </c>
      <c r="Z1648">
        <v>0</v>
      </c>
      <c r="AA1648">
        <v>9</v>
      </c>
      <c r="AB1648">
        <v>3</v>
      </c>
      <c r="AC1648">
        <v>0</v>
      </c>
      <c r="AD1648">
        <v>10</v>
      </c>
      <c r="AE1648">
        <v>0</v>
      </c>
      <c r="AF1648">
        <v>3</v>
      </c>
      <c r="AG1648">
        <v>2</v>
      </c>
      <c r="AH1648">
        <v>0</v>
      </c>
      <c r="AI1648" t="s">
        <v>3399</v>
      </c>
      <c r="AJ1648">
        <v>39.705019</v>
      </c>
      <c r="AK1648" t="s">
        <v>3400</v>
      </c>
      <c r="AL1648">
        <v>-76.201836999999998</v>
      </c>
      <c r="AM1648">
        <v>100</v>
      </c>
      <c r="AN1648">
        <v>4700</v>
      </c>
      <c r="AO1648" t="s">
        <v>115</v>
      </c>
      <c r="AP1648">
        <v>160</v>
      </c>
      <c r="AQ1648">
        <v>83</v>
      </c>
      <c r="AR1648">
        <v>64</v>
      </c>
      <c r="AZ1648">
        <v>3614</v>
      </c>
      <c r="BA1648">
        <v>1</v>
      </c>
      <c r="BB1648" t="str">
        <f t="shared" si="77"/>
        <v xml:space="preserve">N959MJ  </v>
      </c>
      <c r="BC1648">
        <v>1</v>
      </c>
      <c r="BE1648">
        <v>0</v>
      </c>
      <c r="BF1648">
        <v>0</v>
      </c>
      <c r="BG1648">
        <v>0</v>
      </c>
      <c r="BH1648">
        <v>4900</v>
      </c>
      <c r="BI1648">
        <v>200</v>
      </c>
      <c r="BJ1648">
        <v>1</v>
      </c>
      <c r="BK1648">
        <v>1</v>
      </c>
      <c r="BL1648">
        <v>1</v>
      </c>
      <c r="BM1648">
        <v>0</v>
      </c>
      <c r="BP1648">
        <v>0</v>
      </c>
      <c r="BQ1648">
        <v>0</v>
      </c>
      <c r="BX1648" t="str">
        <f>"14:17:50.219"</f>
        <v>14:17:50.219</v>
      </c>
      <c r="BY1648" t="str">
        <f>"217145112"</f>
        <v>217145112</v>
      </c>
      <c r="CL1648">
        <v>0</v>
      </c>
      <c r="CM1648">
        <v>2</v>
      </c>
      <c r="CN1648">
        <v>0</v>
      </c>
      <c r="CO1648">
        <v>2</v>
      </c>
      <c r="CP1648">
        <v>0</v>
      </c>
      <c r="CQ1648">
        <v>6</v>
      </c>
      <c r="CR1648" t="s">
        <v>116</v>
      </c>
      <c r="CS1648">
        <v>396</v>
      </c>
      <c r="CT1648">
        <v>1</v>
      </c>
      <c r="CU1648" t="s">
        <v>939</v>
      </c>
      <c r="CV1648" t="s">
        <v>940</v>
      </c>
      <c r="CY1648">
        <v>9246190</v>
      </c>
      <c r="CZ1648" t="s">
        <v>119</v>
      </c>
    </row>
    <row r="1649" spans="1:104" x14ac:dyDescent="0.25">
      <c r="A1649" t="str">
        <f>"14:17:51.313"</f>
        <v>14:17:51.313</v>
      </c>
      <c r="B1649" t="s">
        <v>108</v>
      </c>
      <c r="C1649" t="str">
        <f t="shared" si="76"/>
        <v>ffdfd3c0</v>
      </c>
      <c r="D1649" t="s">
        <v>109</v>
      </c>
      <c r="E1649">
        <v>4</v>
      </c>
      <c r="F1649">
        <v>1004</v>
      </c>
      <c r="G1649" t="s">
        <v>110</v>
      </c>
      <c r="J1649" t="s">
        <v>111</v>
      </c>
      <c r="K1649">
        <v>0</v>
      </c>
      <c r="L1649">
        <v>3</v>
      </c>
      <c r="M1649">
        <v>0</v>
      </c>
      <c r="N1649">
        <v>2</v>
      </c>
      <c r="O1649">
        <v>1</v>
      </c>
      <c r="P1649">
        <v>0</v>
      </c>
      <c r="Q1649">
        <v>0</v>
      </c>
      <c r="R1649" t="s">
        <v>112</v>
      </c>
      <c r="S1649" t="str">
        <f>"14:17:51.133"</f>
        <v>14:17:51.133</v>
      </c>
      <c r="T1649" t="str">
        <f>"14:17:50.734"</f>
        <v>14:17:50.734</v>
      </c>
      <c r="U1649" t="str">
        <f t="shared" si="75"/>
        <v>ad5732</v>
      </c>
      <c r="V1649">
        <v>0</v>
      </c>
      <c r="W1649">
        <v>0</v>
      </c>
      <c r="X1649">
        <v>1</v>
      </c>
      <c r="Z1649">
        <v>0</v>
      </c>
      <c r="AA1649">
        <v>9</v>
      </c>
      <c r="AB1649">
        <v>3</v>
      </c>
      <c r="AC1649">
        <v>0</v>
      </c>
      <c r="AD1649">
        <v>10</v>
      </c>
      <c r="AE1649">
        <v>0</v>
      </c>
      <c r="AF1649">
        <v>3</v>
      </c>
      <c r="AG1649">
        <v>2</v>
      </c>
      <c r="AH1649">
        <v>0</v>
      </c>
      <c r="AI1649" t="s">
        <v>3401</v>
      </c>
      <c r="AJ1649">
        <v>39.705319000000003</v>
      </c>
      <c r="AK1649" t="s">
        <v>3402</v>
      </c>
      <c r="AL1649">
        <v>-76.200999999999993</v>
      </c>
      <c r="AM1649">
        <v>100</v>
      </c>
      <c r="AN1649">
        <v>4700</v>
      </c>
      <c r="AO1649" t="s">
        <v>115</v>
      </c>
      <c r="AP1649">
        <v>160</v>
      </c>
      <c r="AQ1649">
        <v>83</v>
      </c>
      <c r="AR1649">
        <v>0</v>
      </c>
      <c r="AZ1649">
        <v>3614</v>
      </c>
      <c r="BA1649">
        <v>1</v>
      </c>
      <c r="BB1649" t="str">
        <f t="shared" si="77"/>
        <v xml:space="preserve">N959MJ  </v>
      </c>
      <c r="BC1649">
        <v>1</v>
      </c>
      <c r="BE1649">
        <v>0</v>
      </c>
      <c r="BF1649">
        <v>0</v>
      </c>
      <c r="BG1649">
        <v>0</v>
      </c>
      <c r="BH1649">
        <v>4900</v>
      </c>
      <c r="BI1649">
        <v>200</v>
      </c>
      <c r="BJ1649">
        <v>1</v>
      </c>
      <c r="BK1649">
        <v>1</v>
      </c>
      <c r="BL1649">
        <v>1</v>
      </c>
      <c r="BM1649">
        <v>0</v>
      </c>
      <c r="BP1649">
        <v>0</v>
      </c>
      <c r="BQ1649">
        <v>0</v>
      </c>
      <c r="BX1649" t="str">
        <f>"14:17:51.133"</f>
        <v>14:17:51.133</v>
      </c>
      <c r="BY1649" t="str">
        <f>"133083003"</f>
        <v>133083003</v>
      </c>
      <c r="CL1649">
        <v>0</v>
      </c>
      <c r="CM1649">
        <v>2</v>
      </c>
      <c r="CN1649">
        <v>0</v>
      </c>
      <c r="CO1649">
        <v>2</v>
      </c>
      <c r="CP1649">
        <v>0</v>
      </c>
      <c r="CQ1649">
        <v>6</v>
      </c>
      <c r="CR1649" t="s">
        <v>116</v>
      </c>
      <c r="CS1649">
        <v>39</v>
      </c>
      <c r="CT1649">
        <v>2</v>
      </c>
      <c r="CU1649" t="s">
        <v>2259</v>
      </c>
      <c r="CV1649" t="s">
        <v>2260</v>
      </c>
      <c r="CY1649">
        <v>15938779</v>
      </c>
      <c r="CZ1649" t="s">
        <v>119</v>
      </c>
    </row>
    <row r="1650" spans="1:104" x14ac:dyDescent="0.25">
      <c r="A1650" t="str">
        <f>"14:17:52.273"</f>
        <v>14:17:52.273</v>
      </c>
      <c r="B1650" t="s">
        <v>108</v>
      </c>
      <c r="C1650" t="str">
        <f t="shared" si="76"/>
        <v>ffdfd3c0</v>
      </c>
      <c r="D1650" t="s">
        <v>109</v>
      </c>
      <c r="E1650">
        <v>4</v>
      </c>
      <c r="F1650">
        <v>1004</v>
      </c>
      <c r="G1650" t="s">
        <v>110</v>
      </c>
      <c r="J1650" t="s">
        <v>111</v>
      </c>
      <c r="K1650">
        <v>0</v>
      </c>
      <c r="L1650">
        <v>3</v>
      </c>
      <c r="M1650">
        <v>0</v>
      </c>
      <c r="N1650">
        <v>2</v>
      </c>
      <c r="O1650">
        <v>1</v>
      </c>
      <c r="P1650">
        <v>0</v>
      </c>
      <c r="Q1650">
        <v>0</v>
      </c>
      <c r="R1650" t="s">
        <v>112</v>
      </c>
      <c r="S1650" t="str">
        <f>"14:17:52.094"</f>
        <v>14:17:52.094</v>
      </c>
      <c r="T1650" t="str">
        <f>"14:17:51.594"</f>
        <v>14:17:51.594</v>
      </c>
      <c r="U1650" t="str">
        <f t="shared" si="75"/>
        <v>ad5732</v>
      </c>
      <c r="V1650">
        <v>0</v>
      </c>
      <c r="W1650">
        <v>0</v>
      </c>
      <c r="X1650">
        <v>1</v>
      </c>
      <c r="Z1650">
        <v>0</v>
      </c>
      <c r="AA1650">
        <v>9</v>
      </c>
      <c r="AB1650">
        <v>3</v>
      </c>
      <c r="AC1650">
        <v>0</v>
      </c>
      <c r="AD1650">
        <v>10</v>
      </c>
      <c r="AE1650">
        <v>0</v>
      </c>
      <c r="AF1650">
        <v>3</v>
      </c>
      <c r="AG1650">
        <v>2</v>
      </c>
      <c r="AH1650">
        <v>0</v>
      </c>
      <c r="AI1650" t="s">
        <v>3403</v>
      </c>
      <c r="AJ1650">
        <v>39.705727000000003</v>
      </c>
      <c r="AK1650" t="s">
        <v>3404</v>
      </c>
      <c r="AL1650">
        <v>-76.200035</v>
      </c>
      <c r="AM1650">
        <v>100</v>
      </c>
      <c r="AN1650">
        <v>4700</v>
      </c>
      <c r="AO1650" t="s">
        <v>115</v>
      </c>
      <c r="AP1650">
        <v>160</v>
      </c>
      <c r="AQ1650">
        <v>83</v>
      </c>
      <c r="AR1650">
        <v>0</v>
      </c>
      <c r="AZ1650">
        <v>3614</v>
      </c>
      <c r="BA1650">
        <v>1</v>
      </c>
      <c r="BB1650" t="str">
        <f t="shared" si="77"/>
        <v xml:space="preserve">N959MJ  </v>
      </c>
      <c r="BC1650">
        <v>1</v>
      </c>
      <c r="BE1650">
        <v>0</v>
      </c>
      <c r="BF1650">
        <v>0</v>
      </c>
      <c r="BG1650">
        <v>0</v>
      </c>
      <c r="BH1650">
        <v>4900</v>
      </c>
      <c r="BI1650">
        <v>200</v>
      </c>
      <c r="BJ1650">
        <v>1</v>
      </c>
      <c r="BK1650">
        <v>1</v>
      </c>
      <c r="BL1650">
        <v>1</v>
      </c>
      <c r="BM1650">
        <v>0</v>
      </c>
      <c r="BP1650">
        <v>0</v>
      </c>
      <c r="BQ1650">
        <v>0</v>
      </c>
      <c r="BX1650" t="str">
        <f>"14:17:52.102"</f>
        <v>14:17:52.102</v>
      </c>
      <c r="BY1650" t="str">
        <f>"098260780"</f>
        <v>098260780</v>
      </c>
      <c r="CL1650">
        <v>0</v>
      </c>
      <c r="CM1650">
        <v>2</v>
      </c>
      <c r="CN1650">
        <v>0</v>
      </c>
      <c r="CO1650">
        <v>2</v>
      </c>
      <c r="CP1650">
        <v>0</v>
      </c>
      <c r="CQ1650">
        <v>3</v>
      </c>
      <c r="CR1650" t="s">
        <v>116</v>
      </c>
      <c r="CS1650">
        <v>408</v>
      </c>
      <c r="CT1650">
        <v>1</v>
      </c>
      <c r="CU1650" t="s">
        <v>2317</v>
      </c>
      <c r="CV1650" t="s">
        <v>2318</v>
      </c>
      <c r="CY1650">
        <v>11554891</v>
      </c>
      <c r="CZ1650" t="s">
        <v>119</v>
      </c>
    </row>
    <row r="1651" spans="1:104" x14ac:dyDescent="0.25">
      <c r="A1651" t="str">
        <f>"14:17:53.328"</f>
        <v>14:17:53.328</v>
      </c>
      <c r="B1651" t="s">
        <v>108</v>
      </c>
      <c r="C1651" t="str">
        <f t="shared" si="76"/>
        <v>ffdfd3c0</v>
      </c>
      <c r="D1651" t="s">
        <v>109</v>
      </c>
      <c r="E1651">
        <v>4</v>
      </c>
      <c r="F1651">
        <v>1004</v>
      </c>
      <c r="G1651" t="s">
        <v>110</v>
      </c>
      <c r="J1651" t="s">
        <v>111</v>
      </c>
      <c r="K1651">
        <v>0</v>
      </c>
      <c r="L1651">
        <v>3</v>
      </c>
      <c r="M1651">
        <v>0</v>
      </c>
      <c r="N1651">
        <v>2</v>
      </c>
      <c r="O1651">
        <v>1</v>
      </c>
      <c r="P1651">
        <v>0</v>
      </c>
      <c r="Q1651">
        <v>0</v>
      </c>
      <c r="R1651" t="s">
        <v>112</v>
      </c>
      <c r="S1651" t="str">
        <f>"14:17:53.156"</f>
        <v>14:17:53.156</v>
      </c>
      <c r="T1651" t="str">
        <f>"14:17:52.656"</f>
        <v>14:17:52.656</v>
      </c>
      <c r="U1651" t="str">
        <f t="shared" si="75"/>
        <v>ad5732</v>
      </c>
      <c r="V1651">
        <v>0</v>
      </c>
      <c r="W1651">
        <v>0</v>
      </c>
      <c r="X1651">
        <v>1</v>
      </c>
      <c r="Z1651">
        <v>0</v>
      </c>
      <c r="AA1651">
        <v>9</v>
      </c>
      <c r="AB1651">
        <v>3</v>
      </c>
      <c r="AC1651">
        <v>0</v>
      </c>
      <c r="AD1651">
        <v>10</v>
      </c>
      <c r="AE1651">
        <v>0</v>
      </c>
      <c r="AF1651">
        <v>3</v>
      </c>
      <c r="AG1651">
        <v>2</v>
      </c>
      <c r="AH1651">
        <v>0</v>
      </c>
      <c r="AI1651" t="s">
        <v>3405</v>
      </c>
      <c r="AJ1651">
        <v>39.706091999999998</v>
      </c>
      <c r="AK1651" t="s">
        <v>3406</v>
      </c>
      <c r="AL1651">
        <v>-76.199089999999998</v>
      </c>
      <c r="AM1651">
        <v>100</v>
      </c>
      <c r="AN1651">
        <v>4700</v>
      </c>
      <c r="AO1651" t="s">
        <v>115</v>
      </c>
      <c r="AP1651">
        <v>160</v>
      </c>
      <c r="AQ1651">
        <v>83</v>
      </c>
      <c r="AR1651">
        <v>-64</v>
      </c>
      <c r="AZ1651">
        <v>3614</v>
      </c>
      <c r="BA1651">
        <v>1</v>
      </c>
      <c r="BB1651" t="str">
        <f t="shared" si="77"/>
        <v xml:space="preserve">N959MJ  </v>
      </c>
      <c r="BC1651">
        <v>1</v>
      </c>
      <c r="BE1651">
        <v>0</v>
      </c>
      <c r="BF1651">
        <v>0</v>
      </c>
      <c r="BG1651">
        <v>0</v>
      </c>
      <c r="BH1651">
        <v>4900</v>
      </c>
      <c r="BI1651">
        <v>200</v>
      </c>
      <c r="BJ1651">
        <v>1</v>
      </c>
      <c r="BK1651">
        <v>1</v>
      </c>
      <c r="BL1651">
        <v>1</v>
      </c>
      <c r="BM1651">
        <v>0</v>
      </c>
      <c r="BP1651">
        <v>0</v>
      </c>
      <c r="BQ1651">
        <v>0</v>
      </c>
      <c r="BX1651" t="str">
        <f>"14:17:53.164"</f>
        <v>14:17:53.164</v>
      </c>
      <c r="BY1651" t="str">
        <f>"161455832"</f>
        <v>161455832</v>
      </c>
      <c r="CL1651">
        <v>0</v>
      </c>
      <c r="CM1651">
        <v>2</v>
      </c>
      <c r="CN1651">
        <v>0</v>
      </c>
      <c r="CO1651">
        <v>2</v>
      </c>
      <c r="CP1651">
        <v>0</v>
      </c>
      <c r="CQ1651">
        <v>6</v>
      </c>
      <c r="CR1651" t="s">
        <v>116</v>
      </c>
      <c r="CS1651">
        <v>39</v>
      </c>
      <c r="CT1651">
        <v>2</v>
      </c>
      <c r="CU1651" t="s">
        <v>2259</v>
      </c>
      <c r="CV1651" t="s">
        <v>2260</v>
      </c>
      <c r="CY1651">
        <v>15942098</v>
      </c>
      <c r="CZ1651" t="s">
        <v>119</v>
      </c>
    </row>
    <row r="1652" spans="1:104" x14ac:dyDescent="0.25">
      <c r="A1652" t="str">
        <f>"14:17:54.336"</f>
        <v>14:17:54.336</v>
      </c>
      <c r="B1652" t="s">
        <v>108</v>
      </c>
      <c r="C1652" t="str">
        <f t="shared" si="76"/>
        <v>ffdfd3c0</v>
      </c>
      <c r="D1652" t="s">
        <v>109</v>
      </c>
      <c r="E1652">
        <v>4</v>
      </c>
      <c r="F1652">
        <v>1004</v>
      </c>
      <c r="G1652" t="s">
        <v>110</v>
      </c>
      <c r="J1652" t="s">
        <v>111</v>
      </c>
      <c r="K1652">
        <v>0</v>
      </c>
      <c r="L1652">
        <v>3</v>
      </c>
      <c r="M1652">
        <v>0</v>
      </c>
      <c r="N1652">
        <v>2</v>
      </c>
      <c r="O1652">
        <v>1</v>
      </c>
      <c r="P1652">
        <v>0</v>
      </c>
      <c r="Q1652">
        <v>0</v>
      </c>
      <c r="R1652" t="s">
        <v>112</v>
      </c>
      <c r="S1652" t="str">
        <f>"14:17:54.141"</f>
        <v>14:17:54.141</v>
      </c>
      <c r="T1652" t="str">
        <f>"14:17:53.641"</f>
        <v>14:17:53.641</v>
      </c>
      <c r="U1652" t="str">
        <f t="shared" si="75"/>
        <v>ad5732</v>
      </c>
      <c r="V1652">
        <v>0</v>
      </c>
      <c r="W1652">
        <v>0</v>
      </c>
      <c r="X1652">
        <v>1</v>
      </c>
      <c r="Z1652">
        <v>0</v>
      </c>
      <c r="AA1652">
        <v>9</v>
      </c>
      <c r="AB1652">
        <v>3</v>
      </c>
      <c r="AC1652">
        <v>0</v>
      </c>
      <c r="AD1652">
        <v>10</v>
      </c>
      <c r="AE1652">
        <v>0</v>
      </c>
      <c r="AF1652">
        <v>3</v>
      </c>
      <c r="AG1652">
        <v>2</v>
      </c>
      <c r="AH1652">
        <v>0</v>
      </c>
      <c r="AI1652" t="s">
        <v>3407</v>
      </c>
      <c r="AJ1652">
        <v>39.706457</v>
      </c>
      <c r="AK1652" t="s">
        <v>3408</v>
      </c>
      <c r="AL1652">
        <v>-76.198125000000005</v>
      </c>
      <c r="AM1652">
        <v>100</v>
      </c>
      <c r="AN1652">
        <v>4700</v>
      </c>
      <c r="AO1652" t="s">
        <v>115</v>
      </c>
      <c r="AP1652">
        <v>160</v>
      </c>
      <c r="AQ1652">
        <v>83</v>
      </c>
      <c r="AR1652">
        <v>-64</v>
      </c>
      <c r="AZ1652">
        <v>3614</v>
      </c>
      <c r="BA1652">
        <v>1</v>
      </c>
      <c r="BB1652" t="str">
        <f t="shared" si="77"/>
        <v xml:space="preserve">N959MJ  </v>
      </c>
      <c r="BC1652">
        <v>1</v>
      </c>
      <c r="BE1652">
        <v>0</v>
      </c>
      <c r="BF1652">
        <v>0</v>
      </c>
      <c r="BG1652">
        <v>0</v>
      </c>
      <c r="BH1652">
        <v>4875</v>
      </c>
      <c r="BI1652">
        <v>175</v>
      </c>
      <c r="BJ1652">
        <v>1</v>
      </c>
      <c r="BK1652">
        <v>1</v>
      </c>
      <c r="BL1652">
        <v>1</v>
      </c>
      <c r="BM1652">
        <v>0</v>
      </c>
      <c r="BP1652">
        <v>0</v>
      </c>
      <c r="BQ1652">
        <v>0</v>
      </c>
      <c r="BX1652" t="str">
        <f>"14:17:54.141"</f>
        <v>14:17:54.141</v>
      </c>
      <c r="BY1652" t="str">
        <f>"142873638"</f>
        <v>142873638</v>
      </c>
      <c r="CL1652">
        <v>0</v>
      </c>
      <c r="CM1652">
        <v>2</v>
      </c>
      <c r="CN1652">
        <v>0</v>
      </c>
      <c r="CO1652">
        <v>2</v>
      </c>
      <c r="CP1652">
        <v>0</v>
      </c>
      <c r="CQ1652">
        <v>6</v>
      </c>
      <c r="CR1652" t="s">
        <v>116</v>
      </c>
      <c r="CS1652">
        <v>39</v>
      </c>
      <c r="CT1652">
        <v>2</v>
      </c>
      <c r="CU1652" t="s">
        <v>2259</v>
      </c>
      <c r="CV1652" t="s">
        <v>2260</v>
      </c>
      <c r="CY1652">
        <v>15943643</v>
      </c>
      <c r="CZ1652" t="s">
        <v>119</v>
      </c>
    </row>
    <row r="1653" spans="1:104" x14ac:dyDescent="0.25">
      <c r="A1653" t="str">
        <f>"14:17:55.398"</f>
        <v>14:17:55.398</v>
      </c>
      <c r="B1653" t="s">
        <v>108</v>
      </c>
      <c r="C1653" t="str">
        <f t="shared" si="76"/>
        <v>ffdfd3c0</v>
      </c>
      <c r="D1653" t="s">
        <v>109</v>
      </c>
      <c r="E1653">
        <v>4</v>
      </c>
      <c r="F1653">
        <v>1004</v>
      </c>
      <c r="G1653" t="s">
        <v>110</v>
      </c>
      <c r="J1653" t="s">
        <v>111</v>
      </c>
      <c r="K1653">
        <v>0</v>
      </c>
      <c r="L1653">
        <v>3</v>
      </c>
      <c r="M1653">
        <v>0</v>
      </c>
      <c r="N1653">
        <v>2</v>
      </c>
      <c r="O1653">
        <v>1</v>
      </c>
      <c r="P1653">
        <v>0</v>
      </c>
      <c r="Q1653">
        <v>0</v>
      </c>
      <c r="R1653" t="s">
        <v>112</v>
      </c>
      <c r="S1653" t="str">
        <f>"14:17:55.219"</f>
        <v>14:17:55.219</v>
      </c>
      <c r="T1653" t="str">
        <f>"14:17:54.820"</f>
        <v>14:17:54.820</v>
      </c>
      <c r="U1653" t="str">
        <f t="shared" si="75"/>
        <v>ad5732</v>
      </c>
      <c r="V1653">
        <v>0</v>
      </c>
      <c r="W1653">
        <v>0</v>
      </c>
      <c r="X1653">
        <v>1</v>
      </c>
      <c r="Z1653">
        <v>0</v>
      </c>
      <c r="AA1653">
        <v>9</v>
      </c>
      <c r="AB1653">
        <v>3</v>
      </c>
      <c r="AC1653">
        <v>0</v>
      </c>
      <c r="AD1653">
        <v>10</v>
      </c>
      <c r="AE1653">
        <v>0</v>
      </c>
      <c r="AF1653">
        <v>3</v>
      </c>
      <c r="AG1653">
        <v>2</v>
      </c>
      <c r="AH1653">
        <v>0</v>
      </c>
      <c r="AI1653" t="s">
        <v>3409</v>
      </c>
      <c r="AJ1653">
        <v>39.706907000000001</v>
      </c>
      <c r="AK1653" t="s">
        <v>3410</v>
      </c>
      <c r="AL1653">
        <v>-76.197073000000003</v>
      </c>
      <c r="AM1653">
        <v>100</v>
      </c>
      <c r="AN1653">
        <v>4700</v>
      </c>
      <c r="AO1653" t="s">
        <v>115</v>
      </c>
      <c r="AP1653">
        <v>160</v>
      </c>
      <c r="AQ1653">
        <v>83</v>
      </c>
      <c r="AR1653">
        <v>-64</v>
      </c>
      <c r="AZ1653">
        <v>3614</v>
      </c>
      <c r="BA1653">
        <v>1</v>
      </c>
      <c r="BB1653" t="str">
        <f t="shared" si="77"/>
        <v xml:space="preserve">N959MJ  </v>
      </c>
      <c r="BC1653">
        <v>1</v>
      </c>
      <c r="BE1653">
        <v>0</v>
      </c>
      <c r="BF1653">
        <v>0</v>
      </c>
      <c r="BG1653">
        <v>0</v>
      </c>
      <c r="BH1653">
        <v>4875</v>
      </c>
      <c r="BI1653">
        <v>175</v>
      </c>
      <c r="BJ1653">
        <v>1</v>
      </c>
      <c r="BK1653">
        <v>1</v>
      </c>
      <c r="BL1653">
        <v>1</v>
      </c>
      <c r="BM1653">
        <v>0</v>
      </c>
      <c r="BP1653">
        <v>0</v>
      </c>
      <c r="BQ1653">
        <v>0</v>
      </c>
      <c r="BX1653" t="str">
        <f>"14:17:55.219"</f>
        <v>14:17:55.219</v>
      </c>
      <c r="BY1653" t="str">
        <f>"219320310"</f>
        <v>219320310</v>
      </c>
      <c r="CL1653">
        <v>0</v>
      </c>
      <c r="CM1653">
        <v>2</v>
      </c>
      <c r="CN1653">
        <v>0</v>
      </c>
      <c r="CO1653">
        <v>2</v>
      </c>
      <c r="CP1653">
        <v>0</v>
      </c>
      <c r="CQ1653">
        <v>6</v>
      </c>
      <c r="CR1653" t="s">
        <v>116</v>
      </c>
      <c r="CS1653">
        <v>39</v>
      </c>
      <c r="CT1653">
        <v>2</v>
      </c>
      <c r="CU1653" t="s">
        <v>2259</v>
      </c>
      <c r="CV1653" t="s">
        <v>2260</v>
      </c>
      <c r="CY1653">
        <v>15945271</v>
      </c>
      <c r="CZ1653" t="s">
        <v>119</v>
      </c>
    </row>
    <row r="1654" spans="1:104" x14ac:dyDescent="0.25">
      <c r="A1654" t="str">
        <f>"14:17:56.359"</f>
        <v>14:17:56.359</v>
      </c>
      <c r="B1654" t="s">
        <v>108</v>
      </c>
      <c r="C1654" t="str">
        <f t="shared" si="76"/>
        <v>ffdfd3c0</v>
      </c>
      <c r="D1654" t="s">
        <v>109</v>
      </c>
      <c r="E1654">
        <v>4</v>
      </c>
      <c r="F1654">
        <v>1004</v>
      </c>
      <c r="G1654" t="s">
        <v>110</v>
      </c>
      <c r="J1654" t="s">
        <v>111</v>
      </c>
      <c r="K1654">
        <v>0</v>
      </c>
      <c r="L1654">
        <v>3</v>
      </c>
      <c r="M1654">
        <v>0</v>
      </c>
      <c r="N1654">
        <v>2</v>
      </c>
      <c r="O1654">
        <v>1</v>
      </c>
      <c r="P1654">
        <v>0</v>
      </c>
      <c r="Q1654">
        <v>0</v>
      </c>
      <c r="R1654" t="s">
        <v>112</v>
      </c>
      <c r="S1654" t="str">
        <f>"14:17:56.180"</f>
        <v>14:17:56.180</v>
      </c>
      <c r="T1654" t="str">
        <f>"14:17:55.781"</f>
        <v>14:17:55.781</v>
      </c>
      <c r="U1654" t="str">
        <f t="shared" si="75"/>
        <v>ad5732</v>
      </c>
      <c r="V1654">
        <v>0</v>
      </c>
      <c r="W1654">
        <v>0</v>
      </c>
      <c r="X1654">
        <v>1</v>
      </c>
      <c r="Z1654">
        <v>0</v>
      </c>
      <c r="AA1654">
        <v>9</v>
      </c>
      <c r="AB1654">
        <v>3</v>
      </c>
      <c r="AC1654">
        <v>0</v>
      </c>
      <c r="AD1654">
        <v>10</v>
      </c>
      <c r="AE1654">
        <v>0</v>
      </c>
      <c r="AF1654">
        <v>3</v>
      </c>
      <c r="AG1654">
        <v>2</v>
      </c>
      <c r="AH1654">
        <v>0</v>
      </c>
      <c r="AI1654" t="s">
        <v>3411</v>
      </c>
      <c r="AJ1654">
        <v>39.707250999999999</v>
      </c>
      <c r="AK1654" t="s">
        <v>3412</v>
      </c>
      <c r="AL1654">
        <v>-76.196214999999995</v>
      </c>
      <c r="AM1654">
        <v>100</v>
      </c>
      <c r="AN1654">
        <v>4700</v>
      </c>
      <c r="AO1654" t="s">
        <v>115</v>
      </c>
      <c r="AP1654">
        <v>160</v>
      </c>
      <c r="AQ1654">
        <v>82</v>
      </c>
      <c r="AR1654">
        <v>-64</v>
      </c>
      <c r="AZ1654">
        <v>3614</v>
      </c>
      <c r="BA1654">
        <v>1</v>
      </c>
      <c r="BB1654" t="str">
        <f t="shared" si="77"/>
        <v xml:space="preserve">N959MJ  </v>
      </c>
      <c r="BC1654">
        <v>1</v>
      </c>
      <c r="BE1654">
        <v>0</v>
      </c>
      <c r="BF1654">
        <v>0</v>
      </c>
      <c r="BG1654">
        <v>0</v>
      </c>
      <c r="BH1654">
        <v>4875</v>
      </c>
      <c r="BI1654">
        <v>175</v>
      </c>
      <c r="BJ1654">
        <v>1</v>
      </c>
      <c r="BK1654">
        <v>1</v>
      </c>
      <c r="BL1654">
        <v>1</v>
      </c>
      <c r="BM1654">
        <v>0</v>
      </c>
      <c r="BP1654">
        <v>0</v>
      </c>
      <c r="BQ1654">
        <v>0</v>
      </c>
      <c r="BX1654" t="str">
        <f>"14:17:56.180"</f>
        <v>14:17:56.180</v>
      </c>
      <c r="BY1654" t="str">
        <f>"181076982"</f>
        <v>181076982</v>
      </c>
      <c r="CL1654">
        <v>0</v>
      </c>
      <c r="CM1654">
        <v>2</v>
      </c>
      <c r="CN1654">
        <v>0</v>
      </c>
      <c r="CO1654">
        <v>2</v>
      </c>
      <c r="CP1654">
        <v>0</v>
      </c>
      <c r="CQ1654">
        <v>6</v>
      </c>
      <c r="CR1654" t="s">
        <v>116</v>
      </c>
      <c r="CS1654">
        <v>39</v>
      </c>
      <c r="CT1654">
        <v>2</v>
      </c>
      <c r="CU1654" t="s">
        <v>2259</v>
      </c>
      <c r="CV1654" t="s">
        <v>2260</v>
      </c>
      <c r="CY1654">
        <v>15946829</v>
      </c>
      <c r="CZ1654" t="s">
        <v>119</v>
      </c>
    </row>
    <row r="1655" spans="1:104" x14ac:dyDescent="0.25">
      <c r="A1655" t="str">
        <f>"14:17:57.273"</f>
        <v>14:17:57.273</v>
      </c>
      <c r="B1655" t="s">
        <v>108</v>
      </c>
      <c r="C1655" t="str">
        <f t="shared" si="76"/>
        <v>ffdfd3c0</v>
      </c>
      <c r="D1655" t="s">
        <v>109</v>
      </c>
      <c r="E1655">
        <v>4</v>
      </c>
      <c r="F1655">
        <v>1004</v>
      </c>
      <c r="G1655" t="s">
        <v>110</v>
      </c>
      <c r="J1655" t="s">
        <v>111</v>
      </c>
      <c r="K1655">
        <v>0</v>
      </c>
      <c r="L1655">
        <v>3</v>
      </c>
      <c r="M1655">
        <v>0</v>
      </c>
      <c r="N1655">
        <v>2</v>
      </c>
      <c r="O1655">
        <v>1</v>
      </c>
      <c r="P1655">
        <v>0</v>
      </c>
      <c r="Q1655">
        <v>0</v>
      </c>
      <c r="R1655" t="s">
        <v>112</v>
      </c>
      <c r="S1655" t="str">
        <f>"14:17:57.102"</f>
        <v>14:17:57.102</v>
      </c>
      <c r="T1655" t="str">
        <f>"14:17:56.703"</f>
        <v>14:17:56.703</v>
      </c>
      <c r="U1655" t="str">
        <f t="shared" si="75"/>
        <v>ad5732</v>
      </c>
      <c r="V1655">
        <v>0</v>
      </c>
      <c r="W1655">
        <v>0</v>
      </c>
      <c r="X1655">
        <v>1</v>
      </c>
      <c r="Z1655">
        <v>0</v>
      </c>
      <c r="AA1655">
        <v>9</v>
      </c>
      <c r="AB1655">
        <v>3</v>
      </c>
      <c r="AC1655">
        <v>0</v>
      </c>
      <c r="AD1655">
        <v>10</v>
      </c>
      <c r="AE1655">
        <v>0</v>
      </c>
      <c r="AF1655">
        <v>3</v>
      </c>
      <c r="AG1655">
        <v>2</v>
      </c>
      <c r="AH1655">
        <v>0</v>
      </c>
      <c r="AI1655" t="s">
        <v>3413</v>
      </c>
      <c r="AJ1655">
        <v>39.707614999999997</v>
      </c>
      <c r="AK1655" t="s">
        <v>3414</v>
      </c>
      <c r="AL1655">
        <v>-76.195271000000005</v>
      </c>
      <c r="AM1655">
        <v>100</v>
      </c>
      <c r="AN1655">
        <v>4700</v>
      </c>
      <c r="AO1655" t="s">
        <v>115</v>
      </c>
      <c r="AP1655">
        <v>160</v>
      </c>
      <c r="AQ1655">
        <v>82</v>
      </c>
      <c r="AR1655">
        <v>64</v>
      </c>
      <c r="AZ1655">
        <v>3614</v>
      </c>
      <c r="BA1655">
        <v>1</v>
      </c>
      <c r="BB1655" t="str">
        <f t="shared" si="77"/>
        <v xml:space="preserve">N959MJ  </v>
      </c>
      <c r="BC1655">
        <v>1</v>
      </c>
      <c r="BE1655">
        <v>0</v>
      </c>
      <c r="BF1655">
        <v>0</v>
      </c>
      <c r="BG1655">
        <v>0</v>
      </c>
      <c r="BH1655">
        <v>4875</v>
      </c>
      <c r="BI1655">
        <v>175</v>
      </c>
      <c r="BJ1655">
        <v>1</v>
      </c>
      <c r="BK1655">
        <v>1</v>
      </c>
      <c r="BL1655">
        <v>1</v>
      </c>
      <c r="BM1655">
        <v>0</v>
      </c>
      <c r="BP1655">
        <v>0</v>
      </c>
      <c r="BQ1655">
        <v>0</v>
      </c>
      <c r="BX1655" t="str">
        <f>"14:17:57.102"</f>
        <v>14:17:57.102</v>
      </c>
      <c r="BY1655" t="str">
        <f>"105149939"</f>
        <v>105149939</v>
      </c>
      <c r="CL1655">
        <v>0</v>
      </c>
      <c r="CM1655">
        <v>2</v>
      </c>
      <c r="CN1655">
        <v>0</v>
      </c>
      <c r="CO1655">
        <v>2</v>
      </c>
      <c r="CP1655">
        <v>0</v>
      </c>
      <c r="CQ1655">
        <v>6</v>
      </c>
      <c r="CR1655" t="s">
        <v>116</v>
      </c>
      <c r="CS1655">
        <v>39</v>
      </c>
      <c r="CT1655">
        <v>2</v>
      </c>
      <c r="CU1655" t="s">
        <v>2259</v>
      </c>
      <c r="CV1655" t="s">
        <v>2260</v>
      </c>
      <c r="CY1655">
        <v>15948333</v>
      </c>
      <c r="CZ1655" t="s">
        <v>119</v>
      </c>
    </row>
    <row r="1656" spans="1:104" x14ac:dyDescent="0.25">
      <c r="A1656" t="str">
        <f>"14:17:58.328"</f>
        <v>14:17:58.328</v>
      </c>
      <c r="B1656" t="s">
        <v>108</v>
      </c>
      <c r="C1656" t="str">
        <f t="shared" si="76"/>
        <v>ffdfd3c0</v>
      </c>
      <c r="D1656" t="s">
        <v>109</v>
      </c>
      <c r="E1656">
        <v>4</v>
      </c>
      <c r="F1656">
        <v>1004</v>
      </c>
      <c r="G1656" t="s">
        <v>110</v>
      </c>
      <c r="J1656" t="s">
        <v>111</v>
      </c>
      <c r="K1656">
        <v>0</v>
      </c>
      <c r="L1656">
        <v>3</v>
      </c>
      <c r="M1656">
        <v>0</v>
      </c>
      <c r="N1656">
        <v>2</v>
      </c>
      <c r="O1656">
        <v>1</v>
      </c>
      <c r="P1656">
        <v>0</v>
      </c>
      <c r="Q1656">
        <v>0</v>
      </c>
      <c r="R1656" t="s">
        <v>112</v>
      </c>
      <c r="S1656" t="str">
        <f>"14:17:58.148"</f>
        <v>14:17:58.148</v>
      </c>
      <c r="T1656" t="str">
        <f>"14:17:57.648"</f>
        <v>14:17:57.648</v>
      </c>
      <c r="U1656" t="str">
        <f t="shared" si="75"/>
        <v>ad5732</v>
      </c>
      <c r="V1656">
        <v>0</v>
      </c>
      <c r="W1656">
        <v>0</v>
      </c>
      <c r="X1656">
        <v>1</v>
      </c>
      <c r="Z1656">
        <v>0</v>
      </c>
      <c r="AA1656">
        <v>9</v>
      </c>
      <c r="AB1656">
        <v>3</v>
      </c>
      <c r="AC1656">
        <v>0</v>
      </c>
      <c r="AD1656">
        <v>10</v>
      </c>
      <c r="AE1656">
        <v>0</v>
      </c>
      <c r="AF1656">
        <v>3</v>
      </c>
      <c r="AG1656">
        <v>2</v>
      </c>
      <c r="AH1656">
        <v>0</v>
      </c>
      <c r="AI1656" t="s">
        <v>3415</v>
      </c>
      <c r="AJ1656">
        <v>39.708022999999997</v>
      </c>
      <c r="AK1656" t="s">
        <v>3416</v>
      </c>
      <c r="AL1656">
        <v>-76.194305</v>
      </c>
      <c r="AM1656">
        <v>100</v>
      </c>
      <c r="AN1656">
        <v>4700</v>
      </c>
      <c r="AO1656" t="s">
        <v>115</v>
      </c>
      <c r="AP1656">
        <v>160</v>
      </c>
      <c r="AQ1656">
        <v>83</v>
      </c>
      <c r="AR1656">
        <v>64</v>
      </c>
      <c r="AZ1656">
        <v>3614</v>
      </c>
      <c r="BA1656">
        <v>1</v>
      </c>
      <c r="BB1656" t="str">
        <f t="shared" si="77"/>
        <v xml:space="preserve">N959MJ  </v>
      </c>
      <c r="BC1656">
        <v>1</v>
      </c>
      <c r="BE1656">
        <v>0</v>
      </c>
      <c r="BF1656">
        <v>0</v>
      </c>
      <c r="BG1656">
        <v>0</v>
      </c>
      <c r="BH1656">
        <v>4900</v>
      </c>
      <c r="BI1656">
        <v>200</v>
      </c>
      <c r="BJ1656">
        <v>1</v>
      </c>
      <c r="BK1656">
        <v>1</v>
      </c>
      <c r="BL1656">
        <v>1</v>
      </c>
      <c r="BM1656">
        <v>0</v>
      </c>
      <c r="BP1656">
        <v>0</v>
      </c>
      <c r="BQ1656">
        <v>0</v>
      </c>
      <c r="BX1656" t="str">
        <f>"14:17:58.148"</f>
        <v>14:17:58.148</v>
      </c>
      <c r="BY1656" t="str">
        <f>"150466505"</f>
        <v>150466505</v>
      </c>
      <c r="CL1656">
        <v>0</v>
      </c>
      <c r="CM1656">
        <v>2</v>
      </c>
      <c r="CN1656">
        <v>0</v>
      </c>
      <c r="CO1656">
        <v>2</v>
      </c>
      <c r="CP1656">
        <v>0</v>
      </c>
      <c r="CQ1656">
        <v>6</v>
      </c>
      <c r="CR1656" t="s">
        <v>116</v>
      </c>
      <c r="CS1656">
        <v>39</v>
      </c>
      <c r="CT1656">
        <v>2</v>
      </c>
      <c r="CU1656" t="s">
        <v>2259</v>
      </c>
      <c r="CV1656" t="s">
        <v>2260</v>
      </c>
      <c r="CY1656">
        <v>15949958</v>
      </c>
      <c r="CZ1656" t="s">
        <v>119</v>
      </c>
    </row>
    <row r="1657" spans="1:104" x14ac:dyDescent="0.25">
      <c r="A1657" t="str">
        <f>"14:17:59.484"</f>
        <v>14:17:59.484</v>
      </c>
      <c r="B1657" t="s">
        <v>108</v>
      </c>
      <c r="C1657" t="str">
        <f t="shared" si="76"/>
        <v>ffdfd3c0</v>
      </c>
      <c r="D1657" t="s">
        <v>109</v>
      </c>
      <c r="E1657">
        <v>4</v>
      </c>
      <c r="F1657">
        <v>1004</v>
      </c>
      <c r="G1657" t="s">
        <v>110</v>
      </c>
      <c r="J1657" t="s">
        <v>111</v>
      </c>
      <c r="K1657">
        <v>0</v>
      </c>
      <c r="L1657">
        <v>3</v>
      </c>
      <c r="M1657">
        <v>0</v>
      </c>
      <c r="N1657">
        <v>2</v>
      </c>
      <c r="O1657">
        <v>1</v>
      </c>
      <c r="P1657">
        <v>0</v>
      </c>
      <c r="Q1657">
        <v>0</v>
      </c>
      <c r="R1657" t="s">
        <v>112</v>
      </c>
      <c r="S1657" t="str">
        <f>"14:17:59.305"</f>
        <v>14:17:59.305</v>
      </c>
      <c r="T1657" t="str">
        <f>"14:17:58.805"</f>
        <v>14:17:58.805</v>
      </c>
      <c r="U1657" t="str">
        <f t="shared" si="75"/>
        <v>ad5732</v>
      </c>
      <c r="V1657">
        <v>0</v>
      </c>
      <c r="W1657">
        <v>0</v>
      </c>
      <c r="X1657">
        <v>1</v>
      </c>
      <c r="Z1657">
        <v>0</v>
      </c>
      <c r="AA1657">
        <v>9</v>
      </c>
      <c r="AB1657">
        <v>3</v>
      </c>
      <c r="AC1657">
        <v>0</v>
      </c>
      <c r="AD1657">
        <v>10</v>
      </c>
      <c r="AE1657">
        <v>0</v>
      </c>
      <c r="AF1657">
        <v>3</v>
      </c>
      <c r="AG1657">
        <v>2</v>
      </c>
      <c r="AH1657">
        <v>0</v>
      </c>
      <c r="AI1657" t="s">
        <v>3417</v>
      </c>
      <c r="AJ1657">
        <v>39.708474000000002</v>
      </c>
      <c r="AK1657" t="s">
        <v>3418</v>
      </c>
      <c r="AL1657">
        <v>-76.193104000000005</v>
      </c>
      <c r="AM1657">
        <v>100</v>
      </c>
      <c r="AN1657">
        <v>4700</v>
      </c>
      <c r="AO1657" t="s">
        <v>115</v>
      </c>
      <c r="AP1657">
        <v>159</v>
      </c>
      <c r="AQ1657">
        <v>83</v>
      </c>
      <c r="AR1657">
        <v>64</v>
      </c>
      <c r="AZ1657">
        <v>3614</v>
      </c>
      <c r="BA1657">
        <v>1</v>
      </c>
      <c r="BB1657" t="str">
        <f t="shared" si="77"/>
        <v xml:space="preserve">N959MJ  </v>
      </c>
      <c r="BC1657">
        <v>1</v>
      </c>
      <c r="BE1657">
        <v>0</v>
      </c>
      <c r="BF1657">
        <v>0</v>
      </c>
      <c r="BG1657">
        <v>0</v>
      </c>
      <c r="BH1657">
        <v>4900</v>
      </c>
      <c r="BI1657">
        <v>200</v>
      </c>
      <c r="BJ1657">
        <v>1</v>
      </c>
      <c r="BK1657">
        <v>1</v>
      </c>
      <c r="BL1657">
        <v>1</v>
      </c>
      <c r="BM1657">
        <v>0</v>
      </c>
      <c r="BP1657">
        <v>0</v>
      </c>
      <c r="BQ1657">
        <v>0</v>
      </c>
      <c r="BX1657" t="str">
        <f>"14:17:59.313"</f>
        <v>14:17:59.313</v>
      </c>
      <c r="BY1657" t="str">
        <f>"312111237"</f>
        <v>312111237</v>
      </c>
      <c r="CL1657">
        <v>0</v>
      </c>
      <c r="CM1657">
        <v>2</v>
      </c>
      <c r="CN1657">
        <v>0</v>
      </c>
      <c r="CO1657">
        <v>2</v>
      </c>
      <c r="CP1657">
        <v>0</v>
      </c>
      <c r="CQ1657">
        <v>6</v>
      </c>
      <c r="CR1657" t="s">
        <v>116</v>
      </c>
      <c r="CS1657">
        <v>39</v>
      </c>
      <c r="CT1657">
        <v>2</v>
      </c>
      <c r="CU1657" t="s">
        <v>2259</v>
      </c>
      <c r="CV1657" t="s">
        <v>2260</v>
      </c>
      <c r="CY1657">
        <v>15951819</v>
      </c>
      <c r="CZ1657" t="s">
        <v>119</v>
      </c>
    </row>
    <row r="1658" spans="1:104" x14ac:dyDescent="0.25">
      <c r="A1658" t="str">
        <f>"14:18:00.594"</f>
        <v>14:18:00.594</v>
      </c>
      <c r="B1658" t="s">
        <v>108</v>
      </c>
      <c r="C1658" t="str">
        <f t="shared" si="76"/>
        <v>ffdfd3c0</v>
      </c>
      <c r="D1658" t="s">
        <v>109</v>
      </c>
      <c r="E1658">
        <v>4</v>
      </c>
      <c r="F1658">
        <v>1004</v>
      </c>
      <c r="G1658" t="s">
        <v>110</v>
      </c>
      <c r="J1658" t="s">
        <v>111</v>
      </c>
      <c r="K1658">
        <v>0</v>
      </c>
      <c r="L1658">
        <v>3</v>
      </c>
      <c r="M1658">
        <v>0</v>
      </c>
      <c r="N1658">
        <v>2</v>
      </c>
      <c r="O1658">
        <v>1</v>
      </c>
      <c r="P1658">
        <v>0</v>
      </c>
      <c r="Q1658">
        <v>0</v>
      </c>
      <c r="R1658" t="s">
        <v>112</v>
      </c>
      <c r="S1658" t="str">
        <f>"14:18:00.406"</f>
        <v>14:18:00.406</v>
      </c>
      <c r="T1658" t="str">
        <f>"14:17:59.906"</f>
        <v>14:17:59.906</v>
      </c>
      <c r="U1658" t="str">
        <f t="shared" si="75"/>
        <v>ad5732</v>
      </c>
      <c r="V1658">
        <v>0</v>
      </c>
      <c r="W1658">
        <v>0</v>
      </c>
      <c r="X1658">
        <v>1</v>
      </c>
      <c r="Z1658">
        <v>0</v>
      </c>
      <c r="AA1658">
        <v>9</v>
      </c>
      <c r="AB1658">
        <v>3</v>
      </c>
      <c r="AC1658">
        <v>0</v>
      </c>
      <c r="AD1658">
        <v>10</v>
      </c>
      <c r="AE1658">
        <v>0</v>
      </c>
      <c r="AF1658">
        <v>3</v>
      </c>
      <c r="AG1658">
        <v>2</v>
      </c>
      <c r="AH1658">
        <v>0</v>
      </c>
      <c r="AI1658" t="s">
        <v>3419</v>
      </c>
      <c r="AJ1658">
        <v>39.708924000000003</v>
      </c>
      <c r="AK1658" t="s">
        <v>3420</v>
      </c>
      <c r="AL1658">
        <v>-76.192074000000005</v>
      </c>
      <c r="AM1658">
        <v>100</v>
      </c>
      <c r="AN1658">
        <v>4700</v>
      </c>
      <c r="AO1658" t="s">
        <v>115</v>
      </c>
      <c r="AP1658">
        <v>159</v>
      </c>
      <c r="AQ1658">
        <v>83</v>
      </c>
      <c r="AR1658">
        <v>0</v>
      </c>
      <c r="AZ1658">
        <v>3614</v>
      </c>
      <c r="BA1658">
        <v>1</v>
      </c>
      <c r="BB1658" t="str">
        <f t="shared" si="77"/>
        <v xml:space="preserve">N959MJ  </v>
      </c>
      <c r="BC1658">
        <v>1</v>
      </c>
      <c r="BE1658">
        <v>0</v>
      </c>
      <c r="BF1658">
        <v>0</v>
      </c>
      <c r="BG1658">
        <v>0</v>
      </c>
      <c r="BH1658">
        <v>4900</v>
      </c>
      <c r="BI1658">
        <v>200</v>
      </c>
      <c r="BJ1658">
        <v>1</v>
      </c>
      <c r="BK1658">
        <v>1</v>
      </c>
      <c r="BL1658">
        <v>1</v>
      </c>
      <c r="BM1658">
        <v>0</v>
      </c>
      <c r="BP1658">
        <v>0</v>
      </c>
      <c r="BQ1658">
        <v>0</v>
      </c>
      <c r="BX1658" t="str">
        <f>"14:18:00.414"</f>
        <v>14:18:00.414</v>
      </c>
      <c r="BY1658" t="str">
        <f>"411495863"</f>
        <v>411495863</v>
      </c>
      <c r="CL1658">
        <v>0</v>
      </c>
      <c r="CM1658">
        <v>2</v>
      </c>
      <c r="CN1658">
        <v>0</v>
      </c>
      <c r="CO1658">
        <v>2</v>
      </c>
      <c r="CP1658">
        <v>0</v>
      </c>
      <c r="CQ1658">
        <v>6</v>
      </c>
      <c r="CR1658" t="s">
        <v>116</v>
      </c>
      <c r="CS1658">
        <v>39</v>
      </c>
      <c r="CT1658">
        <v>2</v>
      </c>
      <c r="CU1658" t="s">
        <v>2259</v>
      </c>
      <c r="CV1658" t="s">
        <v>2260</v>
      </c>
      <c r="CY1658">
        <v>15953595</v>
      </c>
      <c r="CZ1658" t="s">
        <v>119</v>
      </c>
    </row>
    <row r="1659" spans="1:104" x14ac:dyDescent="0.25">
      <c r="A1659" t="str">
        <f>"14:18:01.555"</f>
        <v>14:18:01.555</v>
      </c>
      <c r="B1659" t="s">
        <v>108</v>
      </c>
      <c r="C1659" t="str">
        <f t="shared" si="76"/>
        <v>ffdfd3c0</v>
      </c>
      <c r="D1659" t="s">
        <v>109</v>
      </c>
      <c r="E1659">
        <v>4</v>
      </c>
      <c r="F1659">
        <v>1004</v>
      </c>
      <c r="G1659" t="s">
        <v>110</v>
      </c>
      <c r="J1659" t="s">
        <v>111</v>
      </c>
      <c r="K1659">
        <v>0</v>
      </c>
      <c r="L1659">
        <v>3</v>
      </c>
      <c r="M1659">
        <v>0</v>
      </c>
      <c r="N1659">
        <v>2</v>
      </c>
      <c r="O1659">
        <v>1</v>
      </c>
      <c r="P1659">
        <v>0</v>
      </c>
      <c r="Q1659">
        <v>0</v>
      </c>
      <c r="R1659" t="s">
        <v>112</v>
      </c>
      <c r="S1659" t="str">
        <f>"14:18:01.367"</f>
        <v>14:18:01.367</v>
      </c>
      <c r="T1659" t="str">
        <f>"14:18:00.867"</f>
        <v>14:18:00.867</v>
      </c>
      <c r="U1659" t="str">
        <f t="shared" si="75"/>
        <v>ad5732</v>
      </c>
      <c r="V1659">
        <v>0</v>
      </c>
      <c r="W1659">
        <v>0</v>
      </c>
      <c r="X1659">
        <v>1</v>
      </c>
      <c r="Z1659">
        <v>0</v>
      </c>
      <c r="AA1659">
        <v>9</v>
      </c>
      <c r="AB1659">
        <v>3</v>
      </c>
      <c r="AC1659">
        <v>0</v>
      </c>
      <c r="AD1659">
        <v>10</v>
      </c>
      <c r="AE1659">
        <v>0</v>
      </c>
      <c r="AF1659">
        <v>3</v>
      </c>
      <c r="AG1659">
        <v>2</v>
      </c>
      <c r="AH1659">
        <v>0</v>
      </c>
      <c r="AI1659" t="s">
        <v>3421</v>
      </c>
      <c r="AJ1659">
        <v>39.709268000000002</v>
      </c>
      <c r="AK1659" t="s">
        <v>3422</v>
      </c>
      <c r="AL1659">
        <v>-76.191258000000005</v>
      </c>
      <c r="AM1659">
        <v>100</v>
      </c>
      <c r="AN1659">
        <v>4700</v>
      </c>
      <c r="AO1659" t="s">
        <v>115</v>
      </c>
      <c r="AP1659">
        <v>159</v>
      </c>
      <c r="AQ1659">
        <v>83</v>
      </c>
      <c r="AR1659">
        <v>-64</v>
      </c>
      <c r="AZ1659">
        <v>3614</v>
      </c>
      <c r="BA1659">
        <v>1</v>
      </c>
      <c r="BB1659" t="str">
        <f t="shared" si="77"/>
        <v xml:space="preserve">N959MJ  </v>
      </c>
      <c r="BC1659">
        <v>1</v>
      </c>
      <c r="BE1659">
        <v>0</v>
      </c>
      <c r="BF1659">
        <v>0</v>
      </c>
      <c r="BG1659">
        <v>0</v>
      </c>
      <c r="BH1659">
        <v>4900</v>
      </c>
      <c r="BI1659">
        <v>200</v>
      </c>
      <c r="BJ1659">
        <v>1</v>
      </c>
      <c r="BK1659">
        <v>1</v>
      </c>
      <c r="BL1659">
        <v>1</v>
      </c>
      <c r="BM1659">
        <v>0</v>
      </c>
      <c r="BP1659">
        <v>0</v>
      </c>
      <c r="BQ1659">
        <v>0</v>
      </c>
      <c r="BX1659" t="str">
        <f>"14:18:01.367"</f>
        <v>14:18:01.367</v>
      </c>
      <c r="BY1659" t="str">
        <f>"368337307"</f>
        <v>368337307</v>
      </c>
      <c r="CL1659">
        <v>0</v>
      </c>
      <c r="CM1659">
        <v>2</v>
      </c>
      <c r="CN1659">
        <v>0</v>
      </c>
      <c r="CO1659">
        <v>2</v>
      </c>
      <c r="CP1659">
        <v>0</v>
      </c>
      <c r="CQ1659">
        <v>6</v>
      </c>
      <c r="CR1659" t="s">
        <v>116</v>
      </c>
      <c r="CS1659">
        <v>39</v>
      </c>
      <c r="CT1659">
        <v>2</v>
      </c>
      <c r="CU1659" t="s">
        <v>2259</v>
      </c>
      <c r="CV1659" t="s">
        <v>2260</v>
      </c>
      <c r="CY1659">
        <v>15955153</v>
      </c>
      <c r="CZ1659" t="s">
        <v>119</v>
      </c>
    </row>
    <row r="1660" spans="1:104" x14ac:dyDescent="0.25">
      <c r="A1660" t="str">
        <f>"14:18:02.617"</f>
        <v>14:18:02.617</v>
      </c>
      <c r="B1660" t="s">
        <v>108</v>
      </c>
      <c r="C1660" t="str">
        <f t="shared" si="76"/>
        <v>ffdfd3c0</v>
      </c>
      <c r="D1660" t="s">
        <v>109</v>
      </c>
      <c r="E1660">
        <v>4</v>
      </c>
      <c r="F1660">
        <v>1004</v>
      </c>
      <c r="G1660" t="s">
        <v>110</v>
      </c>
      <c r="J1660" t="s">
        <v>111</v>
      </c>
      <c r="K1660">
        <v>0</v>
      </c>
      <c r="L1660">
        <v>3</v>
      </c>
      <c r="M1660">
        <v>0</v>
      </c>
      <c r="N1660">
        <v>2</v>
      </c>
      <c r="O1660">
        <v>1</v>
      </c>
      <c r="P1660">
        <v>0</v>
      </c>
      <c r="Q1660">
        <v>0</v>
      </c>
      <c r="R1660" t="s">
        <v>112</v>
      </c>
      <c r="S1660" t="str">
        <f>"14:18:02.453"</f>
        <v>14:18:02.453</v>
      </c>
      <c r="T1660" t="str">
        <f>"14:18:01.953"</f>
        <v>14:18:01.953</v>
      </c>
      <c r="U1660" t="str">
        <f t="shared" si="75"/>
        <v>ad5732</v>
      </c>
      <c r="V1660">
        <v>0</v>
      </c>
      <c r="W1660">
        <v>0</v>
      </c>
      <c r="X1660">
        <v>1</v>
      </c>
      <c r="Z1660">
        <v>0</v>
      </c>
      <c r="AA1660">
        <v>9</v>
      </c>
      <c r="AB1660">
        <v>3</v>
      </c>
      <c r="AC1660">
        <v>0</v>
      </c>
      <c r="AD1660">
        <v>10</v>
      </c>
      <c r="AE1660">
        <v>0</v>
      </c>
      <c r="AF1660">
        <v>3</v>
      </c>
      <c r="AG1660">
        <v>2</v>
      </c>
      <c r="AH1660">
        <v>0</v>
      </c>
      <c r="AI1660" t="s">
        <v>3423</v>
      </c>
      <c r="AJ1660">
        <v>39.709654</v>
      </c>
      <c r="AK1660" t="s">
        <v>3424</v>
      </c>
      <c r="AL1660">
        <v>-76.190185999999997</v>
      </c>
      <c r="AM1660">
        <v>100</v>
      </c>
      <c r="AN1660">
        <v>4700</v>
      </c>
      <c r="AO1660" t="s">
        <v>115</v>
      </c>
      <c r="AP1660">
        <v>159</v>
      </c>
      <c r="AQ1660">
        <v>83</v>
      </c>
      <c r="AR1660">
        <v>-64</v>
      </c>
      <c r="AZ1660">
        <v>3614</v>
      </c>
      <c r="BA1660">
        <v>1</v>
      </c>
      <c r="BB1660" t="str">
        <f t="shared" si="77"/>
        <v xml:space="preserve">N959MJ  </v>
      </c>
      <c r="BC1660">
        <v>1</v>
      </c>
      <c r="BE1660">
        <v>0</v>
      </c>
      <c r="BF1660">
        <v>0</v>
      </c>
      <c r="BG1660">
        <v>0</v>
      </c>
      <c r="BH1660">
        <v>4900</v>
      </c>
      <c r="BI1660">
        <v>200</v>
      </c>
      <c r="BJ1660">
        <v>1</v>
      </c>
      <c r="BK1660">
        <v>1</v>
      </c>
      <c r="BL1660">
        <v>1</v>
      </c>
      <c r="BM1660">
        <v>0</v>
      </c>
      <c r="BP1660">
        <v>0</v>
      </c>
      <c r="BQ1660">
        <v>0</v>
      </c>
      <c r="BX1660" t="str">
        <f>"14:18:02.453"</f>
        <v>14:18:02.453</v>
      </c>
      <c r="BY1660" t="str">
        <f>"454570316"</f>
        <v>454570316</v>
      </c>
      <c r="CL1660">
        <v>0</v>
      </c>
      <c r="CM1660">
        <v>2</v>
      </c>
      <c r="CN1660">
        <v>0</v>
      </c>
      <c r="CO1660">
        <v>2</v>
      </c>
      <c r="CP1660">
        <v>0</v>
      </c>
      <c r="CQ1660">
        <v>6</v>
      </c>
      <c r="CR1660" t="s">
        <v>116</v>
      </c>
      <c r="CS1660">
        <v>396</v>
      </c>
      <c r="CT1660">
        <v>1</v>
      </c>
      <c r="CU1660" t="s">
        <v>939</v>
      </c>
      <c r="CV1660" t="s">
        <v>940</v>
      </c>
      <c r="CY1660">
        <v>9268635</v>
      </c>
      <c r="CZ1660" t="s">
        <v>119</v>
      </c>
    </row>
    <row r="1661" spans="1:104" x14ac:dyDescent="0.25">
      <c r="A1661" t="str">
        <f>"14:18:03.727"</f>
        <v>14:18:03.727</v>
      </c>
      <c r="B1661" t="s">
        <v>108</v>
      </c>
      <c r="C1661" t="str">
        <f t="shared" si="76"/>
        <v>ffdfd3c0</v>
      </c>
      <c r="D1661" t="s">
        <v>109</v>
      </c>
      <c r="E1661">
        <v>4</v>
      </c>
      <c r="F1661">
        <v>1004</v>
      </c>
      <c r="G1661" t="s">
        <v>110</v>
      </c>
      <c r="J1661" t="s">
        <v>111</v>
      </c>
      <c r="K1661">
        <v>0</v>
      </c>
      <c r="L1661">
        <v>3</v>
      </c>
      <c r="M1661">
        <v>0</v>
      </c>
      <c r="N1661">
        <v>2</v>
      </c>
      <c r="O1661">
        <v>1</v>
      </c>
      <c r="P1661">
        <v>0</v>
      </c>
      <c r="Q1661">
        <v>0</v>
      </c>
      <c r="R1661" t="s">
        <v>112</v>
      </c>
      <c r="S1661" t="str">
        <f>"14:18:03.523"</f>
        <v>14:18:03.523</v>
      </c>
      <c r="T1661" t="str">
        <f>"14:18:03.023"</f>
        <v>14:18:03.023</v>
      </c>
      <c r="U1661" t="str">
        <f t="shared" si="75"/>
        <v>ad5732</v>
      </c>
      <c r="V1661">
        <v>0</v>
      </c>
      <c r="W1661">
        <v>0</v>
      </c>
      <c r="X1661">
        <v>1</v>
      </c>
      <c r="Z1661">
        <v>0</v>
      </c>
      <c r="AA1661">
        <v>9</v>
      </c>
      <c r="AB1661">
        <v>3</v>
      </c>
      <c r="AC1661">
        <v>0</v>
      </c>
      <c r="AD1661">
        <v>10</v>
      </c>
      <c r="AE1661">
        <v>0</v>
      </c>
      <c r="AF1661">
        <v>3</v>
      </c>
      <c r="AG1661">
        <v>2</v>
      </c>
      <c r="AH1661">
        <v>0</v>
      </c>
      <c r="AI1661" t="s">
        <v>3425</v>
      </c>
      <c r="AJ1661">
        <v>39.710082999999997</v>
      </c>
      <c r="AK1661" t="s">
        <v>3426</v>
      </c>
      <c r="AL1661">
        <v>-76.189113000000006</v>
      </c>
      <c r="AM1661">
        <v>100</v>
      </c>
      <c r="AN1661">
        <v>4700</v>
      </c>
      <c r="AO1661" t="s">
        <v>115</v>
      </c>
      <c r="AP1661">
        <v>159</v>
      </c>
      <c r="AQ1661">
        <v>83</v>
      </c>
      <c r="AR1661">
        <v>-64</v>
      </c>
      <c r="AZ1661">
        <v>3614</v>
      </c>
      <c r="BA1661">
        <v>1</v>
      </c>
      <c r="BB1661" t="str">
        <f t="shared" si="77"/>
        <v xml:space="preserve">N959MJ  </v>
      </c>
      <c r="BC1661">
        <v>1</v>
      </c>
      <c r="BE1661">
        <v>0</v>
      </c>
      <c r="BF1661">
        <v>0</v>
      </c>
      <c r="BG1661">
        <v>0</v>
      </c>
      <c r="BH1661">
        <v>4875</v>
      </c>
      <c r="BI1661">
        <v>175</v>
      </c>
      <c r="BJ1661">
        <v>1</v>
      </c>
      <c r="BK1661">
        <v>1</v>
      </c>
      <c r="BL1661">
        <v>1</v>
      </c>
      <c r="BM1661">
        <v>0</v>
      </c>
      <c r="BP1661">
        <v>0</v>
      </c>
      <c r="BQ1661">
        <v>0</v>
      </c>
      <c r="BX1661" t="str">
        <f>"14:18:03.531"</f>
        <v>14:18:03.531</v>
      </c>
      <c r="BY1661" t="str">
        <f>"529422716"</f>
        <v>529422716</v>
      </c>
      <c r="CL1661">
        <v>0</v>
      </c>
      <c r="CM1661">
        <v>2</v>
      </c>
      <c r="CN1661">
        <v>0</v>
      </c>
      <c r="CO1661">
        <v>2</v>
      </c>
      <c r="CP1661">
        <v>0</v>
      </c>
      <c r="CQ1661">
        <v>6</v>
      </c>
      <c r="CR1661" t="s">
        <v>116</v>
      </c>
      <c r="CS1661">
        <v>39</v>
      </c>
      <c r="CT1661">
        <v>2</v>
      </c>
      <c r="CU1661" t="s">
        <v>2259</v>
      </c>
      <c r="CV1661" t="s">
        <v>2260</v>
      </c>
      <c r="CY1661">
        <v>15958601</v>
      </c>
      <c r="CZ1661" t="s">
        <v>119</v>
      </c>
    </row>
    <row r="1662" spans="1:104" x14ac:dyDescent="0.25">
      <c r="A1662" t="str">
        <f>"14:18:04.836"</f>
        <v>14:18:04.836</v>
      </c>
      <c r="B1662" t="s">
        <v>108</v>
      </c>
      <c r="C1662" t="str">
        <f t="shared" si="76"/>
        <v>ffdfd3c0</v>
      </c>
      <c r="D1662" t="s">
        <v>109</v>
      </c>
      <c r="E1662">
        <v>4</v>
      </c>
      <c r="F1662">
        <v>1004</v>
      </c>
      <c r="G1662" t="s">
        <v>110</v>
      </c>
      <c r="J1662" t="s">
        <v>111</v>
      </c>
      <c r="K1662">
        <v>0</v>
      </c>
      <c r="L1662">
        <v>3</v>
      </c>
      <c r="M1662">
        <v>0</v>
      </c>
      <c r="N1662">
        <v>2</v>
      </c>
      <c r="O1662">
        <v>1</v>
      </c>
      <c r="P1662">
        <v>0</v>
      </c>
      <c r="Q1662">
        <v>0</v>
      </c>
      <c r="R1662" t="s">
        <v>112</v>
      </c>
      <c r="S1662" t="str">
        <f>"14:18:04.648"</f>
        <v>14:18:04.648</v>
      </c>
      <c r="T1662" t="str">
        <f>"14:18:04.148"</f>
        <v>14:18:04.148</v>
      </c>
      <c r="U1662" t="str">
        <f t="shared" si="75"/>
        <v>ad5732</v>
      </c>
      <c r="V1662">
        <v>0</v>
      </c>
      <c r="W1662">
        <v>0</v>
      </c>
      <c r="X1662">
        <v>1</v>
      </c>
      <c r="Z1662">
        <v>0</v>
      </c>
      <c r="AA1662">
        <v>9</v>
      </c>
      <c r="AB1662">
        <v>3</v>
      </c>
      <c r="AC1662">
        <v>0</v>
      </c>
      <c r="AD1662">
        <v>10</v>
      </c>
      <c r="AE1662">
        <v>0</v>
      </c>
      <c r="AF1662">
        <v>3</v>
      </c>
      <c r="AG1662">
        <v>2</v>
      </c>
      <c r="AH1662">
        <v>0</v>
      </c>
      <c r="AI1662" t="s">
        <v>3427</v>
      </c>
      <c r="AJ1662">
        <v>39.710512000000001</v>
      </c>
      <c r="AK1662" t="s">
        <v>3428</v>
      </c>
      <c r="AL1662">
        <v>-76.188103999999996</v>
      </c>
      <c r="AM1662">
        <v>100</v>
      </c>
      <c r="AN1662">
        <v>4700</v>
      </c>
      <c r="AO1662" t="s">
        <v>115</v>
      </c>
      <c r="AP1662">
        <v>158</v>
      </c>
      <c r="AQ1662">
        <v>83</v>
      </c>
      <c r="AR1662">
        <v>0</v>
      </c>
      <c r="AZ1662">
        <v>3614</v>
      </c>
      <c r="BA1662">
        <v>1</v>
      </c>
      <c r="BB1662" t="str">
        <f t="shared" si="77"/>
        <v xml:space="preserve">N959MJ  </v>
      </c>
      <c r="BC1662">
        <v>1</v>
      </c>
      <c r="BE1662">
        <v>0</v>
      </c>
      <c r="BF1662">
        <v>0</v>
      </c>
      <c r="BG1662">
        <v>0</v>
      </c>
      <c r="BH1662">
        <v>4875</v>
      </c>
      <c r="BI1662">
        <v>175</v>
      </c>
      <c r="BJ1662">
        <v>1</v>
      </c>
      <c r="BK1662">
        <v>1</v>
      </c>
      <c r="BL1662">
        <v>1</v>
      </c>
      <c r="BM1662">
        <v>0</v>
      </c>
      <c r="BP1662">
        <v>0</v>
      </c>
      <c r="BQ1662">
        <v>0</v>
      </c>
      <c r="BX1662" t="str">
        <f>"14:18:04.656"</f>
        <v>14:18:04.656</v>
      </c>
      <c r="BY1662" t="str">
        <f>"655022154"</f>
        <v>655022154</v>
      </c>
      <c r="CL1662">
        <v>0</v>
      </c>
      <c r="CM1662">
        <v>2</v>
      </c>
      <c r="CN1662">
        <v>0</v>
      </c>
      <c r="CO1662">
        <v>2</v>
      </c>
      <c r="CP1662">
        <v>0</v>
      </c>
      <c r="CQ1662">
        <v>6</v>
      </c>
      <c r="CR1662" t="s">
        <v>116</v>
      </c>
      <c r="CS1662">
        <v>39</v>
      </c>
      <c r="CT1662">
        <v>2</v>
      </c>
      <c r="CU1662" t="s">
        <v>2259</v>
      </c>
      <c r="CV1662" t="s">
        <v>2260</v>
      </c>
      <c r="CY1662">
        <v>15960411</v>
      </c>
      <c r="CZ1662" t="s">
        <v>119</v>
      </c>
    </row>
    <row r="1663" spans="1:104" x14ac:dyDescent="0.25">
      <c r="A1663" t="str">
        <f>"14:18:05.797"</f>
        <v>14:18:05.797</v>
      </c>
      <c r="B1663" t="s">
        <v>108</v>
      </c>
      <c r="C1663" t="str">
        <f t="shared" si="76"/>
        <v>ffdfd3c0</v>
      </c>
      <c r="D1663" t="s">
        <v>109</v>
      </c>
      <c r="E1663">
        <v>4</v>
      </c>
      <c r="F1663">
        <v>1004</v>
      </c>
      <c r="G1663" t="s">
        <v>110</v>
      </c>
      <c r="J1663" t="s">
        <v>111</v>
      </c>
      <c r="K1663">
        <v>0</v>
      </c>
      <c r="L1663">
        <v>3</v>
      </c>
      <c r="M1663">
        <v>0</v>
      </c>
      <c r="N1663">
        <v>2</v>
      </c>
      <c r="O1663">
        <v>1</v>
      </c>
      <c r="P1663">
        <v>0</v>
      </c>
      <c r="Q1663">
        <v>0</v>
      </c>
      <c r="R1663" t="s">
        <v>112</v>
      </c>
      <c r="S1663" t="str">
        <f>"14:18:05.617"</f>
        <v>14:18:05.617</v>
      </c>
      <c r="T1663" t="str">
        <f>"14:18:05.219"</f>
        <v>14:18:05.219</v>
      </c>
      <c r="U1663" t="str">
        <f t="shared" si="75"/>
        <v>ad5732</v>
      </c>
      <c r="V1663">
        <v>0</v>
      </c>
      <c r="W1663">
        <v>0</v>
      </c>
      <c r="X1663">
        <v>1</v>
      </c>
      <c r="Z1663">
        <v>0</v>
      </c>
      <c r="AA1663">
        <v>9</v>
      </c>
      <c r="AB1663">
        <v>3</v>
      </c>
      <c r="AC1663">
        <v>0</v>
      </c>
      <c r="AD1663">
        <v>10</v>
      </c>
      <c r="AE1663">
        <v>0</v>
      </c>
      <c r="AF1663">
        <v>3</v>
      </c>
      <c r="AG1663">
        <v>2</v>
      </c>
      <c r="AH1663">
        <v>0</v>
      </c>
      <c r="AI1663" t="s">
        <v>3429</v>
      </c>
      <c r="AJ1663">
        <v>39.710920000000002</v>
      </c>
      <c r="AK1663" t="s">
        <v>3430</v>
      </c>
      <c r="AL1663">
        <v>-76.187139000000002</v>
      </c>
      <c r="AM1663">
        <v>100</v>
      </c>
      <c r="AN1663">
        <v>4700</v>
      </c>
      <c r="AO1663" t="s">
        <v>115</v>
      </c>
      <c r="AP1663">
        <v>158</v>
      </c>
      <c r="AQ1663">
        <v>84</v>
      </c>
      <c r="AR1663">
        <v>0</v>
      </c>
      <c r="AZ1663">
        <v>3614</v>
      </c>
      <c r="BA1663">
        <v>1</v>
      </c>
      <c r="BB1663" t="str">
        <f t="shared" si="77"/>
        <v xml:space="preserve">N959MJ  </v>
      </c>
      <c r="BC1663">
        <v>1</v>
      </c>
      <c r="BE1663">
        <v>0</v>
      </c>
      <c r="BF1663">
        <v>0</v>
      </c>
      <c r="BG1663">
        <v>0</v>
      </c>
      <c r="BH1663">
        <v>4875</v>
      </c>
      <c r="BI1663">
        <v>175</v>
      </c>
      <c r="BJ1663">
        <v>1</v>
      </c>
      <c r="BK1663">
        <v>1</v>
      </c>
      <c r="BL1663">
        <v>1</v>
      </c>
      <c r="BM1663">
        <v>0</v>
      </c>
      <c r="BP1663">
        <v>0</v>
      </c>
      <c r="BQ1663">
        <v>0</v>
      </c>
      <c r="BX1663" t="str">
        <f>"14:18:05.625"</f>
        <v>14:18:05.625</v>
      </c>
      <c r="BY1663" t="str">
        <f>"623332606"</f>
        <v>623332606</v>
      </c>
      <c r="CL1663">
        <v>0</v>
      </c>
      <c r="CM1663">
        <v>2</v>
      </c>
      <c r="CN1663">
        <v>0</v>
      </c>
      <c r="CO1663">
        <v>2</v>
      </c>
      <c r="CP1663">
        <v>0</v>
      </c>
      <c r="CQ1663">
        <v>6</v>
      </c>
      <c r="CR1663" t="s">
        <v>116</v>
      </c>
      <c r="CS1663">
        <v>39</v>
      </c>
      <c r="CT1663">
        <v>2</v>
      </c>
      <c r="CU1663" t="s">
        <v>2259</v>
      </c>
      <c r="CV1663" t="s">
        <v>2260</v>
      </c>
      <c r="CY1663">
        <v>15961912</v>
      </c>
      <c r="CZ1663" t="s">
        <v>119</v>
      </c>
    </row>
    <row r="1664" spans="1:104" x14ac:dyDescent="0.25">
      <c r="A1664" t="str">
        <f>"14:18:06.805"</f>
        <v>14:18:06.805</v>
      </c>
      <c r="B1664" t="s">
        <v>108</v>
      </c>
      <c r="C1664" t="str">
        <f t="shared" si="76"/>
        <v>ffdfd3c0</v>
      </c>
      <c r="D1664" t="s">
        <v>109</v>
      </c>
      <c r="E1664">
        <v>4</v>
      </c>
      <c r="F1664">
        <v>1004</v>
      </c>
      <c r="G1664" t="s">
        <v>110</v>
      </c>
      <c r="J1664" t="s">
        <v>111</v>
      </c>
      <c r="K1664">
        <v>0</v>
      </c>
      <c r="L1664">
        <v>3</v>
      </c>
      <c r="M1664">
        <v>0</v>
      </c>
      <c r="N1664">
        <v>2</v>
      </c>
      <c r="O1664">
        <v>1</v>
      </c>
      <c r="P1664">
        <v>0</v>
      </c>
      <c r="Q1664">
        <v>0</v>
      </c>
      <c r="R1664" t="s">
        <v>112</v>
      </c>
      <c r="S1664" t="str">
        <f>"14:18:06.602"</f>
        <v>14:18:06.602</v>
      </c>
      <c r="T1664" t="str">
        <f>"14:18:06.203"</f>
        <v>14:18:06.203</v>
      </c>
      <c r="U1664" t="str">
        <f t="shared" si="75"/>
        <v>ad5732</v>
      </c>
      <c r="V1664">
        <v>0</v>
      </c>
      <c r="W1664">
        <v>0</v>
      </c>
      <c r="X1664">
        <v>1</v>
      </c>
      <c r="Z1664">
        <v>0</v>
      </c>
      <c r="AA1664">
        <v>9</v>
      </c>
      <c r="AB1664">
        <v>3</v>
      </c>
      <c r="AC1664">
        <v>0</v>
      </c>
      <c r="AD1664">
        <v>10</v>
      </c>
      <c r="AE1664">
        <v>0</v>
      </c>
      <c r="AF1664">
        <v>3</v>
      </c>
      <c r="AG1664">
        <v>2</v>
      </c>
      <c r="AH1664">
        <v>0</v>
      </c>
      <c r="AI1664" t="s">
        <v>3431</v>
      </c>
      <c r="AJ1664">
        <v>39.711284999999997</v>
      </c>
      <c r="AK1664" t="s">
        <v>3432</v>
      </c>
      <c r="AL1664">
        <v>-76.186216000000002</v>
      </c>
      <c r="AM1664">
        <v>100</v>
      </c>
      <c r="AN1664">
        <v>4700</v>
      </c>
      <c r="AO1664" t="s">
        <v>115</v>
      </c>
      <c r="AP1664">
        <v>158</v>
      </c>
      <c r="AQ1664">
        <v>84</v>
      </c>
      <c r="AR1664">
        <v>0</v>
      </c>
      <c r="AZ1664">
        <v>3614</v>
      </c>
      <c r="BA1664">
        <v>1</v>
      </c>
      <c r="BB1664" t="str">
        <f t="shared" si="77"/>
        <v xml:space="preserve">N959MJ  </v>
      </c>
      <c r="BC1664">
        <v>1</v>
      </c>
      <c r="BE1664">
        <v>0</v>
      </c>
      <c r="BF1664">
        <v>0</v>
      </c>
      <c r="BG1664">
        <v>0</v>
      </c>
      <c r="BH1664">
        <v>4875</v>
      </c>
      <c r="BI1664">
        <v>175</v>
      </c>
      <c r="BJ1664">
        <v>1</v>
      </c>
      <c r="BK1664">
        <v>1</v>
      </c>
      <c r="BL1664">
        <v>1</v>
      </c>
      <c r="BM1664">
        <v>0</v>
      </c>
      <c r="BP1664">
        <v>0</v>
      </c>
      <c r="BQ1664">
        <v>0</v>
      </c>
      <c r="BX1664" t="str">
        <f>"14:18:06.609"</f>
        <v>14:18:06.609</v>
      </c>
      <c r="BY1664" t="str">
        <f>"608027326"</f>
        <v>608027326</v>
      </c>
      <c r="CL1664">
        <v>0</v>
      </c>
      <c r="CM1664">
        <v>2</v>
      </c>
      <c r="CN1664">
        <v>0</v>
      </c>
      <c r="CO1664">
        <v>2</v>
      </c>
      <c r="CP1664">
        <v>0</v>
      </c>
      <c r="CQ1664">
        <v>6</v>
      </c>
      <c r="CR1664" t="s">
        <v>116</v>
      </c>
      <c r="CS1664">
        <v>39</v>
      </c>
      <c r="CT1664">
        <v>2</v>
      </c>
      <c r="CU1664" t="s">
        <v>2259</v>
      </c>
      <c r="CV1664" t="s">
        <v>2260</v>
      </c>
      <c r="CY1664">
        <v>15963505</v>
      </c>
      <c r="CZ1664" t="s">
        <v>119</v>
      </c>
    </row>
    <row r="1665" spans="1:104" x14ac:dyDescent="0.25">
      <c r="A1665" t="str">
        <f>"14:18:07.867"</f>
        <v>14:18:07.867</v>
      </c>
      <c r="B1665" t="s">
        <v>108</v>
      </c>
      <c r="C1665" t="str">
        <f t="shared" si="76"/>
        <v>ffdfd3c0</v>
      </c>
      <c r="D1665" t="s">
        <v>109</v>
      </c>
      <c r="E1665">
        <v>4</v>
      </c>
      <c r="F1665">
        <v>1004</v>
      </c>
      <c r="G1665" t="s">
        <v>110</v>
      </c>
      <c r="J1665" t="s">
        <v>111</v>
      </c>
      <c r="K1665">
        <v>0</v>
      </c>
      <c r="L1665">
        <v>3</v>
      </c>
      <c r="M1665">
        <v>0</v>
      </c>
      <c r="N1665">
        <v>2</v>
      </c>
      <c r="O1665">
        <v>1</v>
      </c>
      <c r="P1665">
        <v>0</v>
      </c>
      <c r="Q1665">
        <v>0</v>
      </c>
      <c r="R1665" t="s">
        <v>112</v>
      </c>
      <c r="S1665" t="str">
        <f>"14:18:07.656"</f>
        <v>14:18:07.656</v>
      </c>
      <c r="T1665" t="str">
        <f>"14:18:07.156"</f>
        <v>14:18:07.156</v>
      </c>
      <c r="U1665" t="str">
        <f t="shared" si="75"/>
        <v>ad5732</v>
      </c>
      <c r="V1665">
        <v>0</v>
      </c>
      <c r="W1665">
        <v>0</v>
      </c>
      <c r="X1665">
        <v>1</v>
      </c>
      <c r="Z1665">
        <v>0</v>
      </c>
      <c r="AA1665">
        <v>9</v>
      </c>
      <c r="AB1665">
        <v>3</v>
      </c>
      <c r="AC1665">
        <v>0</v>
      </c>
      <c r="AD1665">
        <v>10</v>
      </c>
      <c r="AE1665">
        <v>0</v>
      </c>
      <c r="AF1665">
        <v>3</v>
      </c>
      <c r="AG1665">
        <v>2</v>
      </c>
      <c r="AH1665">
        <v>0</v>
      </c>
      <c r="AI1665" t="s">
        <v>3433</v>
      </c>
      <c r="AJ1665">
        <v>39.711671000000003</v>
      </c>
      <c r="AK1665" t="s">
        <v>3434</v>
      </c>
      <c r="AL1665">
        <v>-76.185249999999996</v>
      </c>
      <c r="AM1665">
        <v>100</v>
      </c>
      <c r="AN1665">
        <v>4700</v>
      </c>
      <c r="AO1665" t="s">
        <v>115</v>
      </c>
      <c r="AP1665">
        <v>158</v>
      </c>
      <c r="AQ1665">
        <v>84</v>
      </c>
      <c r="AR1665">
        <v>0</v>
      </c>
      <c r="AZ1665">
        <v>3614</v>
      </c>
      <c r="BA1665">
        <v>1</v>
      </c>
      <c r="BB1665" t="str">
        <f t="shared" si="77"/>
        <v xml:space="preserve">N959MJ  </v>
      </c>
      <c r="BC1665">
        <v>1</v>
      </c>
      <c r="BE1665">
        <v>0</v>
      </c>
      <c r="BF1665">
        <v>0</v>
      </c>
      <c r="BG1665">
        <v>0</v>
      </c>
      <c r="BH1665">
        <v>4875</v>
      </c>
      <c r="BI1665">
        <v>175</v>
      </c>
      <c r="BJ1665">
        <v>1</v>
      </c>
      <c r="BK1665">
        <v>1</v>
      </c>
      <c r="BL1665">
        <v>1</v>
      </c>
      <c r="BM1665">
        <v>0</v>
      </c>
      <c r="BP1665">
        <v>0</v>
      </c>
      <c r="BQ1665">
        <v>0</v>
      </c>
      <c r="BX1665" t="str">
        <f>"14:18:07.656"</f>
        <v>14:18:07.656</v>
      </c>
      <c r="BY1665" t="str">
        <f>"659848027"</f>
        <v>659848027</v>
      </c>
      <c r="CL1665">
        <v>0</v>
      </c>
      <c r="CM1665">
        <v>2</v>
      </c>
      <c r="CN1665">
        <v>0</v>
      </c>
      <c r="CO1665">
        <v>2</v>
      </c>
      <c r="CP1665">
        <v>0</v>
      </c>
      <c r="CQ1665">
        <v>6</v>
      </c>
      <c r="CR1665" t="s">
        <v>116</v>
      </c>
      <c r="CS1665">
        <v>396</v>
      </c>
      <c r="CT1665">
        <v>1</v>
      </c>
      <c r="CU1665" t="s">
        <v>939</v>
      </c>
      <c r="CV1665" t="s">
        <v>940</v>
      </c>
      <c r="CY1665">
        <v>9278296</v>
      </c>
      <c r="CZ1665" t="s">
        <v>119</v>
      </c>
    </row>
    <row r="1666" spans="1:104" x14ac:dyDescent="0.25">
      <c r="A1666" t="str">
        <f>"14:18:08.875"</f>
        <v>14:18:08.875</v>
      </c>
      <c r="B1666" t="s">
        <v>108</v>
      </c>
      <c r="C1666" t="str">
        <f t="shared" si="76"/>
        <v>ffdfd3c0</v>
      </c>
      <c r="D1666" t="s">
        <v>109</v>
      </c>
      <c r="E1666">
        <v>4</v>
      </c>
      <c r="F1666">
        <v>1004</v>
      </c>
      <c r="G1666" t="s">
        <v>110</v>
      </c>
      <c r="J1666" t="s">
        <v>111</v>
      </c>
      <c r="K1666">
        <v>0</v>
      </c>
      <c r="L1666">
        <v>3</v>
      </c>
      <c r="M1666">
        <v>0</v>
      </c>
      <c r="N1666">
        <v>2</v>
      </c>
      <c r="O1666">
        <v>1</v>
      </c>
      <c r="P1666">
        <v>0</v>
      </c>
      <c r="Q1666">
        <v>0</v>
      </c>
      <c r="R1666" t="s">
        <v>112</v>
      </c>
      <c r="S1666" t="str">
        <f>"14:18:08.695"</f>
        <v>14:18:08.695</v>
      </c>
      <c r="T1666" t="str">
        <f>"14:18:08.195"</f>
        <v>14:18:08.195</v>
      </c>
      <c r="U1666" t="str">
        <f t="shared" ref="U1666:U1729" si="78">"ad5732"</f>
        <v>ad5732</v>
      </c>
      <c r="V1666">
        <v>0</v>
      </c>
      <c r="W1666">
        <v>0</v>
      </c>
      <c r="X1666">
        <v>1</v>
      </c>
      <c r="Z1666">
        <v>0</v>
      </c>
      <c r="AA1666">
        <v>9</v>
      </c>
      <c r="AB1666">
        <v>3</v>
      </c>
      <c r="AC1666">
        <v>0</v>
      </c>
      <c r="AD1666">
        <v>10</v>
      </c>
      <c r="AE1666">
        <v>0</v>
      </c>
      <c r="AF1666">
        <v>3</v>
      </c>
      <c r="AG1666">
        <v>2</v>
      </c>
      <c r="AH1666">
        <v>0</v>
      </c>
      <c r="AI1666" t="s">
        <v>3435</v>
      </c>
      <c r="AJ1666">
        <v>39.7121</v>
      </c>
      <c r="AK1666" t="s">
        <v>3436</v>
      </c>
      <c r="AL1666">
        <v>-76.184219999999996</v>
      </c>
      <c r="AM1666">
        <v>100</v>
      </c>
      <c r="AN1666">
        <v>4700</v>
      </c>
      <c r="AO1666" t="s">
        <v>115</v>
      </c>
      <c r="AP1666">
        <v>158</v>
      </c>
      <c r="AQ1666">
        <v>84</v>
      </c>
      <c r="AR1666">
        <v>-64</v>
      </c>
      <c r="AZ1666">
        <v>3614</v>
      </c>
      <c r="BA1666">
        <v>1</v>
      </c>
      <c r="BB1666" t="str">
        <f t="shared" si="77"/>
        <v xml:space="preserve">N959MJ  </v>
      </c>
      <c r="BC1666">
        <v>1</v>
      </c>
      <c r="BE1666">
        <v>0</v>
      </c>
      <c r="BF1666">
        <v>0</v>
      </c>
      <c r="BG1666">
        <v>0</v>
      </c>
      <c r="BH1666">
        <v>4875</v>
      </c>
      <c r="BI1666">
        <v>175</v>
      </c>
      <c r="BJ1666">
        <v>1</v>
      </c>
      <c r="BK1666">
        <v>1</v>
      </c>
      <c r="BL1666">
        <v>1</v>
      </c>
      <c r="BM1666">
        <v>0</v>
      </c>
      <c r="BP1666">
        <v>0</v>
      </c>
      <c r="BQ1666">
        <v>0</v>
      </c>
      <c r="BX1666" t="str">
        <f>"14:18:08.695"</f>
        <v>14:18:08.695</v>
      </c>
      <c r="BY1666" t="str">
        <f>"696972919"</f>
        <v>696972919</v>
      </c>
      <c r="CL1666">
        <v>0</v>
      </c>
      <c r="CM1666">
        <v>2</v>
      </c>
      <c r="CN1666">
        <v>0</v>
      </c>
      <c r="CO1666">
        <v>2</v>
      </c>
      <c r="CP1666">
        <v>0</v>
      </c>
      <c r="CQ1666">
        <v>6</v>
      </c>
      <c r="CR1666" t="s">
        <v>116</v>
      </c>
      <c r="CS1666">
        <v>396</v>
      </c>
      <c r="CT1666">
        <v>1</v>
      </c>
      <c r="CU1666" t="s">
        <v>939</v>
      </c>
      <c r="CV1666" t="s">
        <v>940</v>
      </c>
      <c r="CY1666">
        <v>9280159</v>
      </c>
      <c r="CZ1666" t="s">
        <v>119</v>
      </c>
    </row>
    <row r="1667" spans="1:104" x14ac:dyDescent="0.25">
      <c r="A1667" t="str">
        <f>"14:18:09.883"</f>
        <v>14:18:09.883</v>
      </c>
      <c r="B1667" t="s">
        <v>108</v>
      </c>
      <c r="C1667" t="str">
        <f t="shared" si="76"/>
        <v>ffdfd3c0</v>
      </c>
      <c r="D1667" t="s">
        <v>109</v>
      </c>
      <c r="E1667">
        <v>4</v>
      </c>
      <c r="F1667">
        <v>1004</v>
      </c>
      <c r="G1667" t="s">
        <v>110</v>
      </c>
      <c r="J1667" t="s">
        <v>111</v>
      </c>
      <c r="K1667">
        <v>0</v>
      </c>
      <c r="L1667">
        <v>3</v>
      </c>
      <c r="M1667">
        <v>0</v>
      </c>
      <c r="N1667">
        <v>2</v>
      </c>
      <c r="O1667">
        <v>1</v>
      </c>
      <c r="P1667">
        <v>0</v>
      </c>
      <c r="Q1667">
        <v>0</v>
      </c>
      <c r="R1667" t="s">
        <v>112</v>
      </c>
      <c r="S1667" t="str">
        <f>"14:18:09.688"</f>
        <v>14:18:09.688</v>
      </c>
      <c r="T1667" t="str">
        <f>"14:18:09.188"</f>
        <v>14:18:09.188</v>
      </c>
      <c r="U1667" t="str">
        <f t="shared" si="78"/>
        <v>ad5732</v>
      </c>
      <c r="V1667">
        <v>0</v>
      </c>
      <c r="W1667">
        <v>0</v>
      </c>
      <c r="X1667">
        <v>1</v>
      </c>
      <c r="Z1667">
        <v>0</v>
      </c>
      <c r="AA1667">
        <v>9</v>
      </c>
      <c r="AB1667">
        <v>3</v>
      </c>
      <c r="AC1667">
        <v>0</v>
      </c>
      <c r="AD1667">
        <v>10</v>
      </c>
      <c r="AE1667">
        <v>0</v>
      </c>
      <c r="AF1667">
        <v>3</v>
      </c>
      <c r="AG1667">
        <v>2</v>
      </c>
      <c r="AH1667">
        <v>0</v>
      </c>
      <c r="AI1667" t="s">
        <v>3437</v>
      </c>
      <c r="AJ1667">
        <v>39.712465000000002</v>
      </c>
      <c r="AK1667" t="s">
        <v>3438</v>
      </c>
      <c r="AL1667">
        <v>-76.183340999999999</v>
      </c>
      <c r="AM1667">
        <v>100</v>
      </c>
      <c r="AN1667">
        <v>4700</v>
      </c>
      <c r="AO1667" t="s">
        <v>115</v>
      </c>
      <c r="AP1667">
        <v>158</v>
      </c>
      <c r="AQ1667">
        <v>84</v>
      </c>
      <c r="AR1667">
        <v>-64</v>
      </c>
      <c r="AZ1667">
        <v>3614</v>
      </c>
      <c r="BA1667">
        <v>1</v>
      </c>
      <c r="BB1667" t="str">
        <f t="shared" si="77"/>
        <v xml:space="preserve">N959MJ  </v>
      </c>
      <c r="BC1667">
        <v>1</v>
      </c>
      <c r="BE1667">
        <v>0</v>
      </c>
      <c r="BF1667">
        <v>0</v>
      </c>
      <c r="BG1667">
        <v>0</v>
      </c>
      <c r="BH1667">
        <v>4875</v>
      </c>
      <c r="BI1667">
        <v>175</v>
      </c>
      <c r="BJ1667">
        <v>1</v>
      </c>
      <c r="BK1667">
        <v>1</v>
      </c>
      <c r="BL1667">
        <v>1</v>
      </c>
      <c r="BM1667">
        <v>0</v>
      </c>
      <c r="BP1667">
        <v>0</v>
      </c>
      <c r="BQ1667">
        <v>0</v>
      </c>
      <c r="BX1667" t="str">
        <f>"14:18:09.688"</f>
        <v>14:18:09.688</v>
      </c>
      <c r="BY1667" t="str">
        <f>"689860147"</f>
        <v>689860147</v>
      </c>
      <c r="CL1667">
        <v>0</v>
      </c>
      <c r="CM1667">
        <v>2</v>
      </c>
      <c r="CN1667">
        <v>0</v>
      </c>
      <c r="CO1667">
        <v>2</v>
      </c>
      <c r="CP1667">
        <v>0</v>
      </c>
      <c r="CQ1667">
        <v>6</v>
      </c>
      <c r="CR1667" t="s">
        <v>116</v>
      </c>
      <c r="CS1667">
        <v>396</v>
      </c>
      <c r="CT1667">
        <v>1</v>
      </c>
      <c r="CU1667" t="s">
        <v>939</v>
      </c>
      <c r="CV1667" t="s">
        <v>940</v>
      </c>
      <c r="CY1667">
        <v>9281947</v>
      </c>
      <c r="CZ1667" t="s">
        <v>119</v>
      </c>
    </row>
    <row r="1668" spans="1:104" x14ac:dyDescent="0.25">
      <c r="A1668" t="str">
        <f>"14:18:10.844"</f>
        <v>14:18:10.844</v>
      </c>
      <c r="B1668" t="s">
        <v>108</v>
      </c>
      <c r="C1668" t="str">
        <f t="shared" si="76"/>
        <v>ffdfd3c0</v>
      </c>
      <c r="D1668" t="s">
        <v>109</v>
      </c>
      <c r="E1668">
        <v>4</v>
      </c>
      <c r="F1668">
        <v>1004</v>
      </c>
      <c r="G1668" t="s">
        <v>110</v>
      </c>
      <c r="J1668" t="s">
        <v>111</v>
      </c>
      <c r="K1668">
        <v>0</v>
      </c>
      <c r="L1668">
        <v>3</v>
      </c>
      <c r="M1668">
        <v>0</v>
      </c>
      <c r="N1668">
        <v>2</v>
      </c>
      <c r="O1668">
        <v>1</v>
      </c>
      <c r="P1668">
        <v>0</v>
      </c>
      <c r="Q1668">
        <v>0</v>
      </c>
      <c r="R1668" t="s">
        <v>112</v>
      </c>
      <c r="S1668" t="str">
        <f>"14:18:10.641"</f>
        <v>14:18:10.641</v>
      </c>
      <c r="T1668" t="str">
        <f>"14:18:10.242"</f>
        <v>14:18:10.242</v>
      </c>
      <c r="U1668" t="str">
        <f t="shared" si="78"/>
        <v>ad5732</v>
      </c>
      <c r="V1668">
        <v>0</v>
      </c>
      <c r="W1668">
        <v>0</v>
      </c>
      <c r="X1668">
        <v>1</v>
      </c>
      <c r="Z1668">
        <v>0</v>
      </c>
      <c r="AA1668">
        <v>9</v>
      </c>
      <c r="AB1668">
        <v>3</v>
      </c>
      <c r="AC1668">
        <v>0</v>
      </c>
      <c r="AD1668">
        <v>10</v>
      </c>
      <c r="AE1668">
        <v>0</v>
      </c>
      <c r="AF1668">
        <v>3</v>
      </c>
      <c r="AG1668">
        <v>2</v>
      </c>
      <c r="AH1668">
        <v>0</v>
      </c>
      <c r="AI1668" t="s">
        <v>3439</v>
      </c>
      <c r="AJ1668">
        <v>39.712873000000002</v>
      </c>
      <c r="AK1668" t="s">
        <v>3440</v>
      </c>
      <c r="AL1668">
        <v>-76.182439000000002</v>
      </c>
      <c r="AM1668">
        <v>100</v>
      </c>
      <c r="AN1668">
        <v>4700</v>
      </c>
      <c r="AO1668" t="s">
        <v>115</v>
      </c>
      <c r="AP1668">
        <v>158</v>
      </c>
      <c r="AQ1668">
        <v>84</v>
      </c>
      <c r="AR1668">
        <v>-64</v>
      </c>
      <c r="AZ1668">
        <v>3614</v>
      </c>
      <c r="BA1668">
        <v>1</v>
      </c>
      <c r="BB1668" t="str">
        <f t="shared" si="77"/>
        <v xml:space="preserve">N959MJ  </v>
      </c>
      <c r="BC1668">
        <v>1</v>
      </c>
      <c r="BE1668">
        <v>0</v>
      </c>
      <c r="BF1668">
        <v>0</v>
      </c>
      <c r="BG1668">
        <v>0</v>
      </c>
      <c r="BH1668">
        <v>4875</v>
      </c>
      <c r="BI1668">
        <v>175</v>
      </c>
      <c r="BJ1668">
        <v>1</v>
      </c>
      <c r="BK1668">
        <v>1</v>
      </c>
      <c r="BL1668">
        <v>1</v>
      </c>
      <c r="BM1668">
        <v>0</v>
      </c>
      <c r="BP1668">
        <v>0</v>
      </c>
      <c r="BQ1668">
        <v>0</v>
      </c>
      <c r="BX1668" t="str">
        <f>"14:18:10.648"</f>
        <v>14:18:10.648</v>
      </c>
      <c r="BY1668" t="str">
        <f>"645111817"</f>
        <v>645111817</v>
      </c>
      <c r="CL1668">
        <v>0</v>
      </c>
      <c r="CM1668">
        <v>2</v>
      </c>
      <c r="CN1668">
        <v>0</v>
      </c>
      <c r="CO1668">
        <v>2</v>
      </c>
      <c r="CP1668">
        <v>0</v>
      </c>
      <c r="CQ1668">
        <v>6</v>
      </c>
      <c r="CR1668" t="s">
        <v>116</v>
      </c>
      <c r="CS1668">
        <v>39</v>
      </c>
      <c r="CT1668">
        <v>2</v>
      </c>
      <c r="CU1668" t="s">
        <v>2259</v>
      </c>
      <c r="CV1668" t="s">
        <v>2260</v>
      </c>
      <c r="CY1668">
        <v>15969836</v>
      </c>
      <c r="CZ1668" t="s">
        <v>119</v>
      </c>
    </row>
    <row r="1669" spans="1:104" x14ac:dyDescent="0.25">
      <c r="A1669" t="str">
        <f>"14:18:11.953"</f>
        <v>14:18:11.953</v>
      </c>
      <c r="B1669" t="s">
        <v>108</v>
      </c>
      <c r="C1669" t="str">
        <f t="shared" si="76"/>
        <v>ffdfd3c0</v>
      </c>
      <c r="D1669" t="s">
        <v>109</v>
      </c>
      <c r="E1669">
        <v>4</v>
      </c>
      <c r="F1669">
        <v>1004</v>
      </c>
      <c r="G1669" t="s">
        <v>110</v>
      </c>
      <c r="J1669" t="s">
        <v>111</v>
      </c>
      <c r="K1669">
        <v>0</v>
      </c>
      <c r="L1669">
        <v>3</v>
      </c>
      <c r="M1669">
        <v>0</v>
      </c>
      <c r="N1669">
        <v>2</v>
      </c>
      <c r="O1669">
        <v>1</v>
      </c>
      <c r="P1669">
        <v>0</v>
      </c>
      <c r="Q1669">
        <v>0</v>
      </c>
      <c r="R1669" t="s">
        <v>112</v>
      </c>
      <c r="S1669" t="str">
        <f>"14:18:11.766"</f>
        <v>14:18:11.766</v>
      </c>
      <c r="T1669" t="str">
        <f>"14:18:11.266"</f>
        <v>14:18:11.266</v>
      </c>
      <c r="U1669" t="str">
        <f t="shared" si="78"/>
        <v>ad5732</v>
      </c>
      <c r="V1669">
        <v>0</v>
      </c>
      <c r="W1669">
        <v>0</v>
      </c>
      <c r="X1669">
        <v>1</v>
      </c>
      <c r="Z1669">
        <v>0</v>
      </c>
      <c r="AA1669">
        <v>9</v>
      </c>
      <c r="AB1669">
        <v>3</v>
      </c>
      <c r="AC1669">
        <v>0</v>
      </c>
      <c r="AD1669">
        <v>10</v>
      </c>
      <c r="AE1669">
        <v>0</v>
      </c>
      <c r="AF1669">
        <v>3</v>
      </c>
      <c r="AG1669">
        <v>2</v>
      </c>
      <c r="AH1669">
        <v>0</v>
      </c>
      <c r="AI1669" t="s">
        <v>3441</v>
      </c>
      <c r="AJ1669">
        <v>39.713279999999997</v>
      </c>
      <c r="AK1669" t="s">
        <v>3442</v>
      </c>
      <c r="AL1669">
        <v>-76.181344999999993</v>
      </c>
      <c r="AM1669">
        <v>100</v>
      </c>
      <c r="AN1669">
        <v>4700</v>
      </c>
      <c r="AO1669" t="s">
        <v>115</v>
      </c>
      <c r="AP1669">
        <v>157</v>
      </c>
      <c r="AQ1669">
        <v>84</v>
      </c>
      <c r="AR1669">
        <v>0</v>
      </c>
      <c r="AZ1669">
        <v>3614</v>
      </c>
      <c r="BA1669">
        <v>1</v>
      </c>
      <c r="BB1669" t="str">
        <f t="shared" si="77"/>
        <v xml:space="preserve">N959MJ  </v>
      </c>
      <c r="BC1669">
        <v>1</v>
      </c>
      <c r="BE1669">
        <v>0</v>
      </c>
      <c r="BF1669">
        <v>0</v>
      </c>
      <c r="BG1669">
        <v>0</v>
      </c>
      <c r="BH1669">
        <v>4875</v>
      </c>
      <c r="BI1669">
        <v>175</v>
      </c>
      <c r="BJ1669">
        <v>1</v>
      </c>
      <c r="BK1669">
        <v>1</v>
      </c>
      <c r="BL1669">
        <v>1</v>
      </c>
      <c r="BM1669">
        <v>0</v>
      </c>
      <c r="BP1669">
        <v>0</v>
      </c>
      <c r="BQ1669">
        <v>0</v>
      </c>
      <c r="BX1669" t="str">
        <f>"14:18:11.766"</f>
        <v>14:18:11.766</v>
      </c>
      <c r="BY1669" t="str">
        <f>"767434415"</f>
        <v>767434415</v>
      </c>
      <c r="CL1669">
        <v>0</v>
      </c>
      <c r="CM1669">
        <v>2</v>
      </c>
      <c r="CN1669">
        <v>0</v>
      </c>
      <c r="CO1669">
        <v>2</v>
      </c>
      <c r="CP1669">
        <v>0</v>
      </c>
      <c r="CQ1669">
        <v>6</v>
      </c>
      <c r="CR1669" t="s">
        <v>116</v>
      </c>
      <c r="CS1669">
        <v>39</v>
      </c>
      <c r="CT1669">
        <v>2</v>
      </c>
      <c r="CU1669" t="s">
        <v>2259</v>
      </c>
      <c r="CV1669" t="s">
        <v>2260</v>
      </c>
      <c r="CY1669">
        <v>15971706</v>
      </c>
      <c r="CZ1669" t="s">
        <v>119</v>
      </c>
    </row>
    <row r="1670" spans="1:104" x14ac:dyDescent="0.25">
      <c r="A1670" t="str">
        <f>"14:18:12.914"</f>
        <v>14:18:12.914</v>
      </c>
      <c r="B1670" t="s">
        <v>108</v>
      </c>
      <c r="C1670" t="str">
        <f t="shared" si="76"/>
        <v>ffdfd3c0</v>
      </c>
      <c r="D1670" t="s">
        <v>109</v>
      </c>
      <c r="E1670">
        <v>4</v>
      </c>
      <c r="F1670">
        <v>1004</v>
      </c>
      <c r="G1670" t="s">
        <v>110</v>
      </c>
      <c r="J1670" t="s">
        <v>111</v>
      </c>
      <c r="K1670">
        <v>0</v>
      </c>
      <c r="L1670">
        <v>3</v>
      </c>
      <c r="M1670">
        <v>0</v>
      </c>
      <c r="N1670">
        <v>2</v>
      </c>
      <c r="O1670">
        <v>1</v>
      </c>
      <c r="P1670">
        <v>0</v>
      </c>
      <c r="Q1670">
        <v>0</v>
      </c>
      <c r="R1670" t="s">
        <v>112</v>
      </c>
      <c r="S1670" t="str">
        <f>"14:18:12.727"</f>
        <v>14:18:12.727</v>
      </c>
      <c r="T1670" t="str">
        <f>"14:18:12.227"</f>
        <v>14:18:12.227</v>
      </c>
      <c r="U1670" t="str">
        <f t="shared" si="78"/>
        <v>ad5732</v>
      </c>
      <c r="V1670">
        <v>0</v>
      </c>
      <c r="W1670">
        <v>0</v>
      </c>
      <c r="X1670">
        <v>1</v>
      </c>
      <c r="Z1670">
        <v>0</v>
      </c>
      <c r="AA1670">
        <v>9</v>
      </c>
      <c r="AB1670">
        <v>3</v>
      </c>
      <c r="AC1670">
        <v>0</v>
      </c>
      <c r="AD1670">
        <v>10</v>
      </c>
      <c r="AE1670">
        <v>0</v>
      </c>
      <c r="AF1670">
        <v>3</v>
      </c>
      <c r="AG1670">
        <v>2</v>
      </c>
      <c r="AH1670">
        <v>0</v>
      </c>
      <c r="AI1670" t="s">
        <v>3443</v>
      </c>
      <c r="AJ1670">
        <v>39.713645</v>
      </c>
      <c r="AK1670" t="s">
        <v>3444</v>
      </c>
      <c r="AL1670">
        <v>-76.180443999999994</v>
      </c>
      <c r="AM1670">
        <v>100</v>
      </c>
      <c r="AN1670">
        <v>4700</v>
      </c>
      <c r="AO1670" t="s">
        <v>115</v>
      </c>
      <c r="AP1670">
        <v>157</v>
      </c>
      <c r="AQ1670">
        <v>84</v>
      </c>
      <c r="AR1670">
        <v>64</v>
      </c>
      <c r="AZ1670">
        <v>3614</v>
      </c>
      <c r="BA1670">
        <v>1</v>
      </c>
      <c r="BB1670" t="str">
        <f t="shared" si="77"/>
        <v xml:space="preserve">N959MJ  </v>
      </c>
      <c r="BC1670">
        <v>1</v>
      </c>
      <c r="BE1670">
        <v>0</v>
      </c>
      <c r="BF1670">
        <v>0</v>
      </c>
      <c r="BG1670">
        <v>0</v>
      </c>
      <c r="BH1670">
        <v>4875</v>
      </c>
      <c r="BI1670">
        <v>175</v>
      </c>
      <c r="BJ1670">
        <v>1</v>
      </c>
      <c r="BK1670">
        <v>1</v>
      </c>
      <c r="BL1670">
        <v>1</v>
      </c>
      <c r="BM1670">
        <v>0</v>
      </c>
      <c r="BP1670">
        <v>0</v>
      </c>
      <c r="BQ1670">
        <v>0</v>
      </c>
      <c r="BX1670" t="str">
        <f>"14:18:12.734"</f>
        <v>14:18:12.734</v>
      </c>
      <c r="BY1670" t="str">
        <f>"734106443"</f>
        <v>734106443</v>
      </c>
      <c r="CL1670">
        <v>0</v>
      </c>
      <c r="CM1670">
        <v>2</v>
      </c>
      <c r="CN1670">
        <v>0</v>
      </c>
      <c r="CO1670">
        <v>2</v>
      </c>
      <c r="CP1670">
        <v>0</v>
      </c>
      <c r="CQ1670">
        <v>6</v>
      </c>
      <c r="CR1670" t="s">
        <v>116</v>
      </c>
      <c r="CS1670">
        <v>39</v>
      </c>
      <c r="CT1670">
        <v>2</v>
      </c>
      <c r="CU1670" t="s">
        <v>2259</v>
      </c>
      <c r="CV1670" t="s">
        <v>2260</v>
      </c>
      <c r="CY1670">
        <v>15973145</v>
      </c>
      <c r="CZ1670" t="s">
        <v>119</v>
      </c>
    </row>
    <row r="1671" spans="1:104" x14ac:dyDescent="0.25">
      <c r="A1671" t="str">
        <f>"14:18:13.969"</f>
        <v>14:18:13.969</v>
      </c>
      <c r="B1671" t="s">
        <v>108</v>
      </c>
      <c r="C1671" t="str">
        <f t="shared" si="76"/>
        <v>ffdfd3c0</v>
      </c>
      <c r="D1671" t="s">
        <v>109</v>
      </c>
      <c r="E1671">
        <v>4</v>
      </c>
      <c r="F1671">
        <v>1004</v>
      </c>
      <c r="G1671" t="s">
        <v>110</v>
      </c>
      <c r="J1671" t="s">
        <v>111</v>
      </c>
      <c r="K1671">
        <v>0</v>
      </c>
      <c r="L1671">
        <v>3</v>
      </c>
      <c r="M1671">
        <v>0</v>
      </c>
      <c r="N1671">
        <v>2</v>
      </c>
      <c r="O1671">
        <v>1</v>
      </c>
      <c r="P1671">
        <v>0</v>
      </c>
      <c r="Q1671">
        <v>0</v>
      </c>
      <c r="R1671" t="s">
        <v>112</v>
      </c>
      <c r="S1671" t="str">
        <f>"14:18:13.766"</f>
        <v>14:18:13.766</v>
      </c>
      <c r="T1671" t="str">
        <f>"14:18:13.266"</f>
        <v>14:18:13.266</v>
      </c>
      <c r="U1671" t="str">
        <f t="shared" si="78"/>
        <v>ad5732</v>
      </c>
      <c r="V1671">
        <v>0</v>
      </c>
      <c r="W1671">
        <v>0</v>
      </c>
      <c r="X1671">
        <v>1</v>
      </c>
      <c r="Z1671">
        <v>0</v>
      </c>
      <c r="AA1671">
        <v>9</v>
      </c>
      <c r="AB1671">
        <v>3</v>
      </c>
      <c r="AC1671">
        <v>0</v>
      </c>
      <c r="AD1671">
        <v>10</v>
      </c>
      <c r="AE1671">
        <v>0</v>
      </c>
      <c r="AF1671">
        <v>3</v>
      </c>
      <c r="AG1671">
        <v>2</v>
      </c>
      <c r="AH1671">
        <v>0</v>
      </c>
      <c r="AI1671" t="s">
        <v>3445</v>
      </c>
      <c r="AJ1671">
        <v>39.714073999999997</v>
      </c>
      <c r="AK1671" t="s">
        <v>3446</v>
      </c>
      <c r="AL1671">
        <v>-76.179500000000004</v>
      </c>
      <c r="AM1671">
        <v>100</v>
      </c>
      <c r="AN1671">
        <v>4700</v>
      </c>
      <c r="AO1671" t="s">
        <v>115</v>
      </c>
      <c r="AP1671">
        <v>157</v>
      </c>
      <c r="AQ1671">
        <v>84</v>
      </c>
      <c r="AR1671">
        <v>64</v>
      </c>
      <c r="AZ1671">
        <v>3614</v>
      </c>
      <c r="BA1671">
        <v>1</v>
      </c>
      <c r="BB1671" t="str">
        <f t="shared" si="77"/>
        <v xml:space="preserve">N959MJ  </v>
      </c>
      <c r="BC1671">
        <v>1</v>
      </c>
      <c r="BE1671">
        <v>0</v>
      </c>
      <c r="BF1671">
        <v>0</v>
      </c>
      <c r="BG1671">
        <v>0</v>
      </c>
      <c r="BH1671">
        <v>4875</v>
      </c>
      <c r="BI1671">
        <v>175</v>
      </c>
      <c r="BJ1671">
        <v>1</v>
      </c>
      <c r="BK1671">
        <v>1</v>
      </c>
      <c r="BL1671">
        <v>1</v>
      </c>
      <c r="BM1671">
        <v>0</v>
      </c>
      <c r="BP1671">
        <v>0</v>
      </c>
      <c r="BQ1671">
        <v>0</v>
      </c>
      <c r="BX1671" t="str">
        <f>"14:18:13.773"</f>
        <v>14:18:13.773</v>
      </c>
      <c r="BY1671" t="str">
        <f>"771183986"</f>
        <v>771183986</v>
      </c>
      <c r="CL1671">
        <v>0</v>
      </c>
      <c r="CM1671">
        <v>2</v>
      </c>
      <c r="CN1671">
        <v>0</v>
      </c>
      <c r="CO1671">
        <v>2</v>
      </c>
      <c r="CP1671">
        <v>0</v>
      </c>
      <c r="CQ1671">
        <v>6</v>
      </c>
      <c r="CR1671" t="s">
        <v>116</v>
      </c>
      <c r="CS1671">
        <v>396</v>
      </c>
      <c r="CT1671">
        <v>1</v>
      </c>
      <c r="CU1671" t="s">
        <v>939</v>
      </c>
      <c r="CV1671" t="s">
        <v>940</v>
      </c>
      <c r="CY1671">
        <v>9289227</v>
      </c>
      <c r="CZ1671" t="s">
        <v>119</v>
      </c>
    </row>
    <row r="1672" spans="1:104" x14ac:dyDescent="0.25">
      <c r="A1672" t="str">
        <f>"14:18:14.984"</f>
        <v>14:18:14.984</v>
      </c>
      <c r="B1672" t="s">
        <v>108</v>
      </c>
      <c r="C1672" t="str">
        <f t="shared" si="76"/>
        <v>ffdfd3c0</v>
      </c>
      <c r="D1672" t="s">
        <v>109</v>
      </c>
      <c r="E1672">
        <v>4</v>
      </c>
      <c r="F1672">
        <v>1004</v>
      </c>
      <c r="G1672" t="s">
        <v>110</v>
      </c>
      <c r="J1672" t="s">
        <v>111</v>
      </c>
      <c r="K1672">
        <v>0</v>
      </c>
      <c r="L1672">
        <v>3</v>
      </c>
      <c r="M1672">
        <v>0</v>
      </c>
      <c r="N1672">
        <v>2</v>
      </c>
      <c r="O1672">
        <v>1</v>
      </c>
      <c r="P1672">
        <v>0</v>
      </c>
      <c r="Q1672">
        <v>0</v>
      </c>
      <c r="R1672" t="s">
        <v>112</v>
      </c>
      <c r="S1672" t="str">
        <f>"14:18:14.797"</f>
        <v>14:18:14.797</v>
      </c>
      <c r="T1672" t="str">
        <f>"14:18:14.398"</f>
        <v>14:18:14.398</v>
      </c>
      <c r="U1672" t="str">
        <f t="shared" si="78"/>
        <v>ad5732</v>
      </c>
      <c r="V1672">
        <v>0</v>
      </c>
      <c r="W1672">
        <v>0</v>
      </c>
      <c r="X1672">
        <v>1</v>
      </c>
      <c r="Z1672">
        <v>0</v>
      </c>
      <c r="AA1672">
        <v>9</v>
      </c>
      <c r="AB1672">
        <v>3</v>
      </c>
      <c r="AC1672">
        <v>0</v>
      </c>
      <c r="AD1672">
        <v>10</v>
      </c>
      <c r="AE1672">
        <v>0</v>
      </c>
      <c r="AF1672">
        <v>3</v>
      </c>
      <c r="AG1672">
        <v>2</v>
      </c>
      <c r="AH1672">
        <v>0</v>
      </c>
      <c r="AI1672" t="s">
        <v>3447</v>
      </c>
      <c r="AJ1672">
        <v>39.714503000000001</v>
      </c>
      <c r="AK1672" t="s">
        <v>3448</v>
      </c>
      <c r="AL1672">
        <v>-76.178470000000004</v>
      </c>
      <c r="AM1672">
        <v>100</v>
      </c>
      <c r="AN1672">
        <v>4700</v>
      </c>
      <c r="AO1672" t="s">
        <v>115</v>
      </c>
      <c r="AP1672">
        <v>157</v>
      </c>
      <c r="AQ1672">
        <v>84</v>
      </c>
      <c r="AR1672">
        <v>0</v>
      </c>
      <c r="AZ1672">
        <v>3614</v>
      </c>
      <c r="BA1672">
        <v>1</v>
      </c>
      <c r="BB1672" t="str">
        <f t="shared" si="77"/>
        <v xml:space="preserve">N959MJ  </v>
      </c>
      <c r="BC1672">
        <v>1</v>
      </c>
      <c r="BE1672">
        <v>0</v>
      </c>
      <c r="BF1672">
        <v>0</v>
      </c>
      <c r="BG1672">
        <v>0</v>
      </c>
      <c r="BH1672">
        <v>4875</v>
      </c>
      <c r="BI1672">
        <v>175</v>
      </c>
      <c r="BJ1672">
        <v>1</v>
      </c>
      <c r="BK1672">
        <v>1</v>
      </c>
      <c r="BL1672">
        <v>1</v>
      </c>
      <c r="BM1672">
        <v>0</v>
      </c>
      <c r="BP1672">
        <v>0</v>
      </c>
      <c r="BQ1672">
        <v>0</v>
      </c>
      <c r="BX1672" t="str">
        <f>"14:18:14.805"</f>
        <v>14:18:14.805</v>
      </c>
      <c r="BY1672" t="str">
        <f>"803439942"</f>
        <v>803439942</v>
      </c>
      <c r="CL1672">
        <v>0</v>
      </c>
      <c r="CM1672">
        <v>2</v>
      </c>
      <c r="CN1672">
        <v>0</v>
      </c>
      <c r="CO1672">
        <v>2</v>
      </c>
      <c r="CP1672">
        <v>0</v>
      </c>
      <c r="CQ1672">
        <v>6</v>
      </c>
      <c r="CR1672" t="s">
        <v>116</v>
      </c>
      <c r="CS1672">
        <v>39</v>
      </c>
      <c r="CT1672">
        <v>2</v>
      </c>
      <c r="CU1672" t="s">
        <v>2259</v>
      </c>
      <c r="CV1672" t="s">
        <v>2260</v>
      </c>
      <c r="CY1672">
        <v>15976311</v>
      </c>
      <c r="CZ1672" t="s">
        <v>119</v>
      </c>
    </row>
    <row r="1673" spans="1:104" x14ac:dyDescent="0.25">
      <c r="A1673" t="str">
        <f>"14:18:15.992"</f>
        <v>14:18:15.992</v>
      </c>
      <c r="B1673" t="s">
        <v>108</v>
      </c>
      <c r="C1673" t="str">
        <f t="shared" si="76"/>
        <v>ffdfd3c0</v>
      </c>
      <c r="D1673" t="s">
        <v>109</v>
      </c>
      <c r="E1673">
        <v>4</v>
      </c>
      <c r="F1673">
        <v>1004</v>
      </c>
      <c r="G1673" t="s">
        <v>110</v>
      </c>
      <c r="J1673" t="s">
        <v>111</v>
      </c>
      <c r="K1673">
        <v>0</v>
      </c>
      <c r="L1673">
        <v>3</v>
      </c>
      <c r="M1673">
        <v>0</v>
      </c>
      <c r="N1673">
        <v>2</v>
      </c>
      <c r="O1673">
        <v>1</v>
      </c>
      <c r="P1673">
        <v>0</v>
      </c>
      <c r="Q1673">
        <v>0</v>
      </c>
      <c r="R1673" t="s">
        <v>112</v>
      </c>
      <c r="S1673" t="str">
        <f>"14:18:15.813"</f>
        <v>14:18:15.813</v>
      </c>
      <c r="T1673" t="str">
        <f>"14:18:15.414"</f>
        <v>14:18:15.414</v>
      </c>
      <c r="U1673" t="str">
        <f t="shared" si="78"/>
        <v>ad5732</v>
      </c>
      <c r="V1673">
        <v>0</v>
      </c>
      <c r="W1673">
        <v>0</v>
      </c>
      <c r="X1673">
        <v>1</v>
      </c>
      <c r="Z1673">
        <v>0</v>
      </c>
      <c r="AA1673">
        <v>9</v>
      </c>
      <c r="AB1673">
        <v>3</v>
      </c>
      <c r="AC1673">
        <v>0</v>
      </c>
      <c r="AD1673">
        <v>10</v>
      </c>
      <c r="AE1673">
        <v>0</v>
      </c>
      <c r="AF1673">
        <v>3</v>
      </c>
      <c r="AG1673">
        <v>2</v>
      </c>
      <c r="AH1673">
        <v>0</v>
      </c>
      <c r="AI1673" t="s">
        <v>3449</v>
      </c>
      <c r="AJ1673">
        <v>39.714868000000003</v>
      </c>
      <c r="AK1673" t="s">
        <v>3450</v>
      </c>
      <c r="AL1673">
        <v>-76.177482999999995</v>
      </c>
      <c r="AM1673">
        <v>100</v>
      </c>
      <c r="AN1673">
        <v>4700</v>
      </c>
      <c r="AO1673" t="s">
        <v>115</v>
      </c>
      <c r="AP1673">
        <v>157</v>
      </c>
      <c r="AQ1673">
        <v>84</v>
      </c>
      <c r="AR1673">
        <v>0</v>
      </c>
      <c r="AZ1673">
        <v>3614</v>
      </c>
      <c r="BA1673">
        <v>1</v>
      </c>
      <c r="BB1673" t="str">
        <f t="shared" si="77"/>
        <v xml:space="preserve">N959MJ  </v>
      </c>
      <c r="BC1673">
        <v>1</v>
      </c>
      <c r="BE1673">
        <v>0</v>
      </c>
      <c r="BF1673">
        <v>0</v>
      </c>
      <c r="BG1673">
        <v>0</v>
      </c>
      <c r="BH1673">
        <v>4875</v>
      </c>
      <c r="BI1673">
        <v>175</v>
      </c>
      <c r="BJ1673">
        <v>1</v>
      </c>
      <c r="BK1673">
        <v>1</v>
      </c>
      <c r="BL1673">
        <v>1</v>
      </c>
      <c r="BM1673">
        <v>0</v>
      </c>
      <c r="BP1673">
        <v>0</v>
      </c>
      <c r="BQ1673">
        <v>0</v>
      </c>
      <c r="BX1673" t="str">
        <f>"14:18:15.813"</f>
        <v>14:18:15.813</v>
      </c>
      <c r="BY1673" t="str">
        <f>"814349554"</f>
        <v>814349554</v>
      </c>
      <c r="CL1673">
        <v>0</v>
      </c>
      <c r="CM1673">
        <v>2</v>
      </c>
      <c r="CN1673">
        <v>0</v>
      </c>
      <c r="CO1673">
        <v>2</v>
      </c>
      <c r="CP1673">
        <v>0</v>
      </c>
      <c r="CQ1673">
        <v>6</v>
      </c>
      <c r="CR1673" t="s">
        <v>116</v>
      </c>
      <c r="CS1673">
        <v>39</v>
      </c>
      <c r="CT1673">
        <v>2</v>
      </c>
      <c r="CU1673" t="s">
        <v>2259</v>
      </c>
      <c r="CV1673" t="s">
        <v>2260</v>
      </c>
      <c r="CY1673">
        <v>15978017</v>
      </c>
      <c r="CZ1673" t="s">
        <v>119</v>
      </c>
    </row>
    <row r="1674" spans="1:104" x14ac:dyDescent="0.25">
      <c r="A1674" t="str">
        <f>"14:18:16.945"</f>
        <v>14:18:16.945</v>
      </c>
      <c r="B1674" t="s">
        <v>108</v>
      </c>
      <c r="C1674" t="str">
        <f t="shared" ref="C1674:C1737" si="79">"ffdfd3c0"</f>
        <v>ffdfd3c0</v>
      </c>
      <c r="D1674" t="s">
        <v>109</v>
      </c>
      <c r="E1674">
        <v>4</v>
      </c>
      <c r="F1674">
        <v>1004</v>
      </c>
      <c r="G1674" t="s">
        <v>110</v>
      </c>
      <c r="J1674" t="s">
        <v>111</v>
      </c>
      <c r="K1674">
        <v>0</v>
      </c>
      <c r="L1674">
        <v>3</v>
      </c>
      <c r="M1674">
        <v>0</v>
      </c>
      <c r="N1674">
        <v>2</v>
      </c>
      <c r="O1674">
        <v>1</v>
      </c>
      <c r="P1674">
        <v>0</v>
      </c>
      <c r="Q1674">
        <v>0</v>
      </c>
      <c r="R1674" t="s">
        <v>112</v>
      </c>
      <c r="S1674" t="str">
        <f>"14:18:16.789"</f>
        <v>14:18:16.789</v>
      </c>
      <c r="T1674" t="str">
        <f>"14:18:16.289"</f>
        <v>14:18:16.289</v>
      </c>
      <c r="U1674" t="str">
        <f t="shared" si="78"/>
        <v>ad5732</v>
      </c>
      <c r="V1674">
        <v>0</v>
      </c>
      <c r="W1674">
        <v>0</v>
      </c>
      <c r="X1674">
        <v>1</v>
      </c>
      <c r="Z1674">
        <v>0</v>
      </c>
      <c r="AA1674">
        <v>9</v>
      </c>
      <c r="AB1674">
        <v>3</v>
      </c>
      <c r="AC1674">
        <v>0</v>
      </c>
      <c r="AD1674">
        <v>10</v>
      </c>
      <c r="AE1674">
        <v>0</v>
      </c>
      <c r="AF1674">
        <v>3</v>
      </c>
      <c r="AG1674">
        <v>2</v>
      </c>
      <c r="AH1674">
        <v>0</v>
      </c>
      <c r="AI1674" t="s">
        <v>3451</v>
      </c>
      <c r="AJ1674">
        <v>39.715210999999996</v>
      </c>
      <c r="AK1674" t="s">
        <v>3452</v>
      </c>
      <c r="AL1674">
        <v>-76.176688999999996</v>
      </c>
      <c r="AM1674">
        <v>100</v>
      </c>
      <c r="AN1674">
        <v>4700</v>
      </c>
      <c r="AO1674" t="s">
        <v>115</v>
      </c>
      <c r="AP1674">
        <v>157</v>
      </c>
      <c r="AQ1674">
        <v>84</v>
      </c>
      <c r="AR1674">
        <v>0</v>
      </c>
      <c r="AZ1674">
        <v>3614</v>
      </c>
      <c r="BA1674">
        <v>1</v>
      </c>
      <c r="BB1674" t="str">
        <f t="shared" ref="BB1674:BB1737" si="80">"N959MJ  "</f>
        <v xml:space="preserve">N959MJ  </v>
      </c>
      <c r="BC1674">
        <v>1</v>
      </c>
      <c r="BE1674">
        <v>0</v>
      </c>
      <c r="BF1674">
        <v>0</v>
      </c>
      <c r="BG1674">
        <v>0</v>
      </c>
      <c r="BH1674">
        <v>4875</v>
      </c>
      <c r="BI1674">
        <v>175</v>
      </c>
      <c r="BJ1674">
        <v>1</v>
      </c>
      <c r="BK1674">
        <v>1</v>
      </c>
      <c r="BL1674">
        <v>1</v>
      </c>
      <c r="BM1674">
        <v>0</v>
      </c>
      <c r="BP1674">
        <v>0</v>
      </c>
      <c r="BQ1674">
        <v>0</v>
      </c>
      <c r="BX1674" t="str">
        <f>"14:18:16.789"</f>
        <v>14:18:16.789</v>
      </c>
      <c r="BY1674" t="str">
        <f>"792490520"</f>
        <v>792490520</v>
      </c>
      <c r="CL1674">
        <v>0</v>
      </c>
      <c r="CM1674">
        <v>2</v>
      </c>
      <c r="CN1674">
        <v>0</v>
      </c>
      <c r="CO1674">
        <v>2</v>
      </c>
      <c r="CP1674">
        <v>0</v>
      </c>
      <c r="CQ1674">
        <v>6</v>
      </c>
      <c r="CR1674" t="s">
        <v>116</v>
      </c>
      <c r="CS1674">
        <v>39</v>
      </c>
      <c r="CT1674">
        <v>2</v>
      </c>
      <c r="CU1674" t="s">
        <v>2259</v>
      </c>
      <c r="CV1674" t="s">
        <v>2260</v>
      </c>
      <c r="CY1674">
        <v>15979559</v>
      </c>
      <c r="CZ1674" t="s">
        <v>119</v>
      </c>
    </row>
    <row r="1675" spans="1:104" x14ac:dyDescent="0.25">
      <c r="A1675" t="str">
        <f>"14:18:17.859"</f>
        <v>14:18:17.859</v>
      </c>
      <c r="B1675" t="s">
        <v>108</v>
      </c>
      <c r="C1675" t="str">
        <f t="shared" si="79"/>
        <v>ffdfd3c0</v>
      </c>
      <c r="D1675" t="s">
        <v>109</v>
      </c>
      <c r="E1675">
        <v>4</v>
      </c>
      <c r="F1675">
        <v>1004</v>
      </c>
      <c r="G1675" t="s">
        <v>110</v>
      </c>
      <c r="J1675" t="s">
        <v>111</v>
      </c>
      <c r="K1675">
        <v>0</v>
      </c>
      <c r="L1675">
        <v>3</v>
      </c>
      <c r="M1675">
        <v>0</v>
      </c>
      <c r="N1675">
        <v>2</v>
      </c>
      <c r="O1675">
        <v>1</v>
      </c>
      <c r="P1675">
        <v>0</v>
      </c>
      <c r="Q1675">
        <v>0</v>
      </c>
      <c r="R1675" t="s">
        <v>112</v>
      </c>
      <c r="S1675" t="str">
        <f>"14:18:17.664"</f>
        <v>14:18:17.664</v>
      </c>
      <c r="T1675" t="str">
        <f>"14:18:17.266"</f>
        <v>14:18:17.266</v>
      </c>
      <c r="U1675" t="str">
        <f t="shared" si="78"/>
        <v>ad5732</v>
      </c>
      <c r="V1675">
        <v>0</v>
      </c>
      <c r="W1675">
        <v>0</v>
      </c>
      <c r="X1675">
        <v>1</v>
      </c>
      <c r="Z1675">
        <v>0</v>
      </c>
      <c r="AA1675">
        <v>9</v>
      </c>
      <c r="AB1675">
        <v>3</v>
      </c>
      <c r="AC1675">
        <v>0</v>
      </c>
      <c r="AD1675">
        <v>10</v>
      </c>
      <c r="AE1675">
        <v>0</v>
      </c>
      <c r="AF1675">
        <v>3</v>
      </c>
      <c r="AG1675">
        <v>2</v>
      </c>
      <c r="AH1675">
        <v>0</v>
      </c>
      <c r="AI1675" t="s">
        <v>3453</v>
      </c>
      <c r="AJ1675">
        <v>39.715575999999999</v>
      </c>
      <c r="AK1675" t="s">
        <v>3454</v>
      </c>
      <c r="AL1675">
        <v>-76.175852000000006</v>
      </c>
      <c r="AM1675">
        <v>100</v>
      </c>
      <c r="AN1675">
        <v>4700</v>
      </c>
      <c r="AO1675" t="s">
        <v>115</v>
      </c>
      <c r="AP1675">
        <v>157</v>
      </c>
      <c r="AQ1675">
        <v>84</v>
      </c>
      <c r="AR1675">
        <v>0</v>
      </c>
      <c r="AZ1675">
        <v>3614</v>
      </c>
      <c r="BA1675">
        <v>1</v>
      </c>
      <c r="BB1675" t="str">
        <f t="shared" si="80"/>
        <v xml:space="preserve">N959MJ  </v>
      </c>
      <c r="BC1675">
        <v>1</v>
      </c>
      <c r="BE1675">
        <v>0</v>
      </c>
      <c r="BF1675">
        <v>0</v>
      </c>
      <c r="BG1675">
        <v>0</v>
      </c>
      <c r="BH1675">
        <v>4900</v>
      </c>
      <c r="BI1675">
        <v>200</v>
      </c>
      <c r="BJ1675">
        <v>1</v>
      </c>
      <c r="BK1675">
        <v>1</v>
      </c>
      <c r="BL1675">
        <v>1</v>
      </c>
      <c r="BM1675">
        <v>0</v>
      </c>
      <c r="BP1675">
        <v>0</v>
      </c>
      <c r="BQ1675">
        <v>0</v>
      </c>
      <c r="BX1675" t="str">
        <f>"14:18:17.664"</f>
        <v>14:18:17.664</v>
      </c>
      <c r="BY1675" t="str">
        <f>"667410718"</f>
        <v>667410718</v>
      </c>
      <c r="CL1675">
        <v>0</v>
      </c>
      <c r="CM1675">
        <v>2</v>
      </c>
      <c r="CN1675">
        <v>0</v>
      </c>
      <c r="CO1675">
        <v>2</v>
      </c>
      <c r="CP1675">
        <v>0</v>
      </c>
      <c r="CQ1675">
        <v>6</v>
      </c>
      <c r="CR1675" t="s">
        <v>116</v>
      </c>
      <c r="CS1675">
        <v>39</v>
      </c>
      <c r="CT1675">
        <v>2</v>
      </c>
      <c r="CU1675" t="s">
        <v>2259</v>
      </c>
      <c r="CV1675" t="s">
        <v>2260</v>
      </c>
      <c r="CY1675">
        <v>15980885</v>
      </c>
      <c r="CZ1675" t="s">
        <v>119</v>
      </c>
    </row>
    <row r="1676" spans="1:104" x14ac:dyDescent="0.25">
      <c r="A1676" t="str">
        <f>"14:18:18.875"</f>
        <v>14:18:18.875</v>
      </c>
      <c r="B1676" t="s">
        <v>108</v>
      </c>
      <c r="C1676" t="str">
        <f t="shared" si="79"/>
        <v>ffdfd3c0</v>
      </c>
      <c r="D1676" t="s">
        <v>109</v>
      </c>
      <c r="E1676">
        <v>4</v>
      </c>
      <c r="F1676">
        <v>1004</v>
      </c>
      <c r="G1676" t="s">
        <v>110</v>
      </c>
      <c r="J1676" t="s">
        <v>111</v>
      </c>
      <c r="K1676">
        <v>0</v>
      </c>
      <c r="L1676">
        <v>3</v>
      </c>
      <c r="M1676">
        <v>0</v>
      </c>
      <c r="N1676">
        <v>2</v>
      </c>
      <c r="O1676">
        <v>1</v>
      </c>
      <c r="P1676">
        <v>0</v>
      </c>
      <c r="Q1676">
        <v>0</v>
      </c>
      <c r="R1676" t="s">
        <v>112</v>
      </c>
      <c r="S1676" t="str">
        <f>"14:18:18.711"</f>
        <v>14:18:18.711</v>
      </c>
      <c r="T1676" t="str">
        <f>"14:18:18.211"</f>
        <v>14:18:18.211</v>
      </c>
      <c r="U1676" t="str">
        <f t="shared" si="78"/>
        <v>ad5732</v>
      </c>
      <c r="V1676">
        <v>0</v>
      </c>
      <c r="W1676">
        <v>0</v>
      </c>
      <c r="X1676">
        <v>1</v>
      </c>
      <c r="Z1676">
        <v>0</v>
      </c>
      <c r="AA1676">
        <v>9</v>
      </c>
      <c r="AB1676">
        <v>3</v>
      </c>
      <c r="AC1676">
        <v>0</v>
      </c>
      <c r="AD1676">
        <v>10</v>
      </c>
      <c r="AE1676">
        <v>0</v>
      </c>
      <c r="AF1676">
        <v>3</v>
      </c>
      <c r="AG1676">
        <v>2</v>
      </c>
      <c r="AH1676">
        <v>0</v>
      </c>
      <c r="AI1676" t="s">
        <v>3455</v>
      </c>
      <c r="AJ1676">
        <v>39.715983999999999</v>
      </c>
      <c r="AK1676" t="s">
        <v>3456</v>
      </c>
      <c r="AL1676">
        <v>-76.174779000000001</v>
      </c>
      <c r="AM1676">
        <v>100</v>
      </c>
      <c r="AN1676">
        <v>4700</v>
      </c>
      <c r="AO1676" t="s">
        <v>115</v>
      </c>
      <c r="AP1676">
        <v>157</v>
      </c>
      <c r="AQ1676">
        <v>84</v>
      </c>
      <c r="AR1676">
        <v>0</v>
      </c>
      <c r="AZ1676">
        <v>3614</v>
      </c>
      <c r="BA1676">
        <v>1</v>
      </c>
      <c r="BB1676" t="str">
        <f t="shared" si="80"/>
        <v xml:space="preserve">N959MJ  </v>
      </c>
      <c r="BC1676">
        <v>1</v>
      </c>
      <c r="BE1676">
        <v>0</v>
      </c>
      <c r="BF1676">
        <v>0</v>
      </c>
      <c r="BG1676">
        <v>0</v>
      </c>
      <c r="BH1676">
        <v>4900</v>
      </c>
      <c r="BI1676">
        <v>200</v>
      </c>
      <c r="BJ1676">
        <v>1</v>
      </c>
      <c r="BK1676">
        <v>1</v>
      </c>
      <c r="BL1676">
        <v>1</v>
      </c>
      <c r="BM1676">
        <v>0</v>
      </c>
      <c r="BP1676">
        <v>0</v>
      </c>
      <c r="BQ1676">
        <v>0</v>
      </c>
      <c r="BX1676" t="str">
        <f>"14:18:18.711"</f>
        <v>14:18:18.711</v>
      </c>
      <c r="BY1676" t="str">
        <f>"711088722"</f>
        <v>711088722</v>
      </c>
      <c r="CL1676">
        <v>0</v>
      </c>
      <c r="CM1676">
        <v>2</v>
      </c>
      <c r="CN1676">
        <v>0</v>
      </c>
      <c r="CO1676">
        <v>2</v>
      </c>
      <c r="CP1676">
        <v>0</v>
      </c>
      <c r="CQ1676">
        <v>6</v>
      </c>
      <c r="CR1676" t="s">
        <v>116</v>
      </c>
      <c r="CS1676">
        <v>39</v>
      </c>
      <c r="CT1676">
        <v>2</v>
      </c>
      <c r="CU1676" t="s">
        <v>2259</v>
      </c>
      <c r="CV1676" t="s">
        <v>2260</v>
      </c>
      <c r="CY1676">
        <v>15982506</v>
      </c>
      <c r="CZ1676" t="s">
        <v>119</v>
      </c>
    </row>
    <row r="1677" spans="1:104" x14ac:dyDescent="0.25">
      <c r="A1677" t="str">
        <f>"14:18:19.875"</f>
        <v>14:18:19.875</v>
      </c>
      <c r="B1677" t="s">
        <v>108</v>
      </c>
      <c r="C1677" t="str">
        <f t="shared" si="79"/>
        <v>ffdfd3c0</v>
      </c>
      <c r="D1677" t="s">
        <v>109</v>
      </c>
      <c r="E1677">
        <v>4</v>
      </c>
      <c r="F1677">
        <v>1004</v>
      </c>
      <c r="G1677" t="s">
        <v>110</v>
      </c>
      <c r="J1677" t="s">
        <v>111</v>
      </c>
      <c r="K1677">
        <v>0</v>
      </c>
      <c r="L1677">
        <v>3</v>
      </c>
      <c r="M1677">
        <v>0</v>
      </c>
      <c r="N1677">
        <v>2</v>
      </c>
      <c r="O1677">
        <v>1</v>
      </c>
      <c r="P1677">
        <v>0</v>
      </c>
      <c r="Q1677">
        <v>0</v>
      </c>
      <c r="R1677" t="s">
        <v>112</v>
      </c>
      <c r="S1677" t="str">
        <f>"14:18:19.719"</f>
        <v>14:18:19.719</v>
      </c>
      <c r="T1677" t="str">
        <f>"14:18:19.219"</f>
        <v>14:18:19.219</v>
      </c>
      <c r="U1677" t="str">
        <f t="shared" si="78"/>
        <v>ad5732</v>
      </c>
      <c r="V1677">
        <v>0</v>
      </c>
      <c r="W1677">
        <v>0</v>
      </c>
      <c r="X1677">
        <v>1</v>
      </c>
      <c r="Z1677">
        <v>0</v>
      </c>
      <c r="AA1677">
        <v>9</v>
      </c>
      <c r="AB1677">
        <v>3</v>
      </c>
      <c r="AC1677">
        <v>0</v>
      </c>
      <c r="AD1677">
        <v>10</v>
      </c>
      <c r="AE1677">
        <v>0</v>
      </c>
      <c r="AF1677">
        <v>3</v>
      </c>
      <c r="AG1677">
        <v>2</v>
      </c>
      <c r="AH1677">
        <v>0</v>
      </c>
      <c r="AI1677" t="s">
        <v>3457</v>
      </c>
      <c r="AJ1677">
        <v>39.716391999999999</v>
      </c>
      <c r="AK1677" t="s">
        <v>3458</v>
      </c>
      <c r="AL1677">
        <v>-76.173834999999997</v>
      </c>
      <c r="AM1677">
        <v>100</v>
      </c>
      <c r="AN1677">
        <v>4700</v>
      </c>
      <c r="AO1677" t="s">
        <v>115</v>
      </c>
      <c r="AP1677">
        <v>157</v>
      </c>
      <c r="AQ1677">
        <v>84</v>
      </c>
      <c r="AR1677">
        <v>0</v>
      </c>
      <c r="AZ1677">
        <v>3614</v>
      </c>
      <c r="BA1677">
        <v>1</v>
      </c>
      <c r="BB1677" t="str">
        <f t="shared" si="80"/>
        <v xml:space="preserve">N959MJ  </v>
      </c>
      <c r="BC1677">
        <v>1</v>
      </c>
      <c r="BE1677">
        <v>0</v>
      </c>
      <c r="BF1677">
        <v>0</v>
      </c>
      <c r="BG1677">
        <v>0</v>
      </c>
      <c r="BH1677">
        <v>4900</v>
      </c>
      <c r="BI1677">
        <v>200</v>
      </c>
      <c r="BJ1677">
        <v>1</v>
      </c>
      <c r="BK1677">
        <v>1</v>
      </c>
      <c r="BL1677">
        <v>1</v>
      </c>
      <c r="BM1677">
        <v>0</v>
      </c>
      <c r="BP1677">
        <v>0</v>
      </c>
      <c r="BQ1677">
        <v>0</v>
      </c>
      <c r="BX1677" t="str">
        <f>"14:18:19.719"</f>
        <v>14:18:19.719</v>
      </c>
      <c r="BY1677" t="str">
        <f>"721954331"</f>
        <v>721954331</v>
      </c>
      <c r="CL1677">
        <v>0</v>
      </c>
      <c r="CM1677">
        <v>2</v>
      </c>
      <c r="CN1677">
        <v>0</v>
      </c>
      <c r="CO1677">
        <v>2</v>
      </c>
      <c r="CP1677">
        <v>0</v>
      </c>
      <c r="CQ1677">
        <v>6</v>
      </c>
      <c r="CR1677" t="s">
        <v>116</v>
      </c>
      <c r="CS1677">
        <v>396</v>
      </c>
      <c r="CT1677">
        <v>1</v>
      </c>
      <c r="CU1677" t="s">
        <v>939</v>
      </c>
      <c r="CV1677" t="s">
        <v>940</v>
      </c>
      <c r="CY1677">
        <v>9300053</v>
      </c>
      <c r="CZ1677" t="s">
        <v>119</v>
      </c>
    </row>
    <row r="1678" spans="1:104" x14ac:dyDescent="0.25">
      <c r="A1678" t="str">
        <f>"14:18:20.891"</f>
        <v>14:18:20.891</v>
      </c>
      <c r="B1678" t="s">
        <v>108</v>
      </c>
      <c r="C1678" t="str">
        <f t="shared" si="79"/>
        <v>ffdfd3c0</v>
      </c>
      <c r="D1678" t="s">
        <v>109</v>
      </c>
      <c r="E1678">
        <v>4</v>
      </c>
      <c r="F1678">
        <v>1004</v>
      </c>
      <c r="G1678" t="s">
        <v>110</v>
      </c>
      <c r="J1678" t="s">
        <v>111</v>
      </c>
      <c r="K1678">
        <v>0</v>
      </c>
      <c r="L1678">
        <v>3</v>
      </c>
      <c r="M1678">
        <v>0</v>
      </c>
      <c r="N1678">
        <v>2</v>
      </c>
      <c r="O1678">
        <v>1</v>
      </c>
      <c r="P1678">
        <v>0</v>
      </c>
      <c r="Q1678">
        <v>0</v>
      </c>
      <c r="R1678" t="s">
        <v>112</v>
      </c>
      <c r="S1678" t="str">
        <f>"14:18:20.711"</f>
        <v>14:18:20.711</v>
      </c>
      <c r="T1678" t="str">
        <f>"14:18:20.313"</f>
        <v>14:18:20.313</v>
      </c>
      <c r="U1678" t="str">
        <f t="shared" si="78"/>
        <v>ad5732</v>
      </c>
      <c r="V1678">
        <v>0</v>
      </c>
      <c r="W1678">
        <v>0</v>
      </c>
      <c r="X1678">
        <v>1</v>
      </c>
      <c r="Z1678">
        <v>0</v>
      </c>
      <c r="AA1678">
        <v>9</v>
      </c>
      <c r="AB1678">
        <v>3</v>
      </c>
      <c r="AC1678">
        <v>0</v>
      </c>
      <c r="AD1678">
        <v>10</v>
      </c>
      <c r="AE1678">
        <v>0</v>
      </c>
      <c r="AF1678">
        <v>3</v>
      </c>
      <c r="AG1678">
        <v>2</v>
      </c>
      <c r="AH1678">
        <v>0</v>
      </c>
      <c r="AI1678" t="s">
        <v>3459</v>
      </c>
      <c r="AJ1678">
        <v>39.716755999999997</v>
      </c>
      <c r="AK1678" t="s">
        <v>3460</v>
      </c>
      <c r="AL1678">
        <v>-76.172933999999998</v>
      </c>
      <c r="AM1678">
        <v>100</v>
      </c>
      <c r="AN1678">
        <v>4700</v>
      </c>
      <c r="AO1678" t="s">
        <v>115</v>
      </c>
      <c r="AP1678">
        <v>157</v>
      </c>
      <c r="AQ1678">
        <v>83</v>
      </c>
      <c r="AR1678">
        <v>0</v>
      </c>
      <c r="AZ1678">
        <v>3614</v>
      </c>
      <c r="BA1678">
        <v>1</v>
      </c>
      <c r="BB1678" t="str">
        <f t="shared" si="80"/>
        <v xml:space="preserve">N959MJ  </v>
      </c>
      <c r="BC1678">
        <v>1</v>
      </c>
      <c r="BE1678">
        <v>0</v>
      </c>
      <c r="BF1678">
        <v>0</v>
      </c>
      <c r="BG1678">
        <v>0</v>
      </c>
      <c r="BH1678">
        <v>4900</v>
      </c>
      <c r="BI1678">
        <v>200</v>
      </c>
      <c r="BJ1678">
        <v>1</v>
      </c>
      <c r="BK1678">
        <v>1</v>
      </c>
      <c r="BL1678">
        <v>1</v>
      </c>
      <c r="BM1678">
        <v>0</v>
      </c>
      <c r="BP1678">
        <v>0</v>
      </c>
      <c r="BQ1678">
        <v>0</v>
      </c>
      <c r="BX1678" t="str">
        <f>"14:18:20.711"</f>
        <v>14:18:20.711</v>
      </c>
      <c r="BY1678" t="str">
        <f>"711694161"</f>
        <v>711694161</v>
      </c>
      <c r="CL1678">
        <v>0</v>
      </c>
      <c r="CM1678">
        <v>2</v>
      </c>
      <c r="CN1678">
        <v>0</v>
      </c>
      <c r="CO1678">
        <v>2</v>
      </c>
      <c r="CP1678">
        <v>0</v>
      </c>
      <c r="CQ1678">
        <v>5</v>
      </c>
      <c r="CR1678" t="s">
        <v>116</v>
      </c>
      <c r="CS1678">
        <v>372</v>
      </c>
      <c r="CT1678">
        <v>3</v>
      </c>
      <c r="CU1678" t="s">
        <v>877</v>
      </c>
      <c r="CV1678" t="s">
        <v>878</v>
      </c>
      <c r="CY1678">
        <v>12367297</v>
      </c>
      <c r="CZ1678" t="s">
        <v>119</v>
      </c>
    </row>
    <row r="1679" spans="1:104" x14ac:dyDescent="0.25">
      <c r="A1679" t="str">
        <f>"14:18:21.844"</f>
        <v>14:18:21.844</v>
      </c>
      <c r="B1679" t="s">
        <v>108</v>
      </c>
      <c r="C1679" t="str">
        <f t="shared" si="79"/>
        <v>ffdfd3c0</v>
      </c>
      <c r="D1679" t="s">
        <v>109</v>
      </c>
      <c r="E1679">
        <v>4</v>
      </c>
      <c r="F1679">
        <v>1004</v>
      </c>
      <c r="G1679" t="s">
        <v>110</v>
      </c>
      <c r="J1679" t="s">
        <v>111</v>
      </c>
      <c r="K1679">
        <v>0</v>
      </c>
      <c r="L1679">
        <v>3</v>
      </c>
      <c r="M1679">
        <v>0</v>
      </c>
      <c r="N1679">
        <v>2</v>
      </c>
      <c r="O1679">
        <v>1</v>
      </c>
      <c r="P1679">
        <v>0</v>
      </c>
      <c r="Q1679">
        <v>0</v>
      </c>
      <c r="R1679" t="s">
        <v>112</v>
      </c>
      <c r="S1679" t="str">
        <f>"14:18:21.641"</f>
        <v>14:18:21.641</v>
      </c>
      <c r="T1679" t="str">
        <f>"14:18:21.242"</f>
        <v>14:18:21.242</v>
      </c>
      <c r="U1679" t="str">
        <f t="shared" si="78"/>
        <v>ad5732</v>
      </c>
      <c r="V1679">
        <v>0</v>
      </c>
      <c r="W1679">
        <v>0</v>
      </c>
      <c r="X1679">
        <v>1</v>
      </c>
      <c r="Z1679">
        <v>0</v>
      </c>
      <c r="AA1679">
        <v>9</v>
      </c>
      <c r="AB1679">
        <v>3</v>
      </c>
      <c r="AC1679">
        <v>0</v>
      </c>
      <c r="AD1679">
        <v>10</v>
      </c>
      <c r="AE1679">
        <v>0</v>
      </c>
      <c r="AF1679">
        <v>3</v>
      </c>
      <c r="AG1679">
        <v>2</v>
      </c>
      <c r="AH1679">
        <v>0</v>
      </c>
      <c r="AI1679" t="s">
        <v>3461</v>
      </c>
      <c r="AJ1679">
        <v>39.717120999999999</v>
      </c>
      <c r="AK1679" t="s">
        <v>3462</v>
      </c>
      <c r="AL1679">
        <v>-76.172054000000003</v>
      </c>
      <c r="AM1679">
        <v>100</v>
      </c>
      <c r="AN1679">
        <v>4700</v>
      </c>
      <c r="AO1679" t="s">
        <v>115</v>
      </c>
      <c r="AP1679">
        <v>157</v>
      </c>
      <c r="AQ1679">
        <v>83</v>
      </c>
      <c r="AR1679">
        <v>0</v>
      </c>
      <c r="AZ1679">
        <v>3614</v>
      </c>
      <c r="BA1679">
        <v>1</v>
      </c>
      <c r="BB1679" t="str">
        <f t="shared" si="80"/>
        <v xml:space="preserve">N959MJ  </v>
      </c>
      <c r="BC1679">
        <v>1</v>
      </c>
      <c r="BE1679">
        <v>0</v>
      </c>
      <c r="BF1679">
        <v>0</v>
      </c>
      <c r="BG1679">
        <v>0</v>
      </c>
      <c r="BH1679">
        <v>4900</v>
      </c>
      <c r="BI1679">
        <v>200</v>
      </c>
      <c r="BJ1679">
        <v>1</v>
      </c>
      <c r="BK1679">
        <v>1</v>
      </c>
      <c r="BL1679">
        <v>1</v>
      </c>
      <c r="BM1679">
        <v>0</v>
      </c>
      <c r="BP1679">
        <v>0</v>
      </c>
      <c r="BQ1679">
        <v>0</v>
      </c>
      <c r="BX1679" t="str">
        <f>"14:18:21.648"</f>
        <v>14:18:21.648</v>
      </c>
      <c r="BY1679" t="str">
        <f>"645511832"</f>
        <v>645511832</v>
      </c>
      <c r="CL1679">
        <v>0</v>
      </c>
      <c r="CM1679">
        <v>2</v>
      </c>
      <c r="CN1679">
        <v>0</v>
      </c>
      <c r="CO1679">
        <v>2</v>
      </c>
      <c r="CP1679">
        <v>0</v>
      </c>
      <c r="CQ1679">
        <v>6</v>
      </c>
      <c r="CR1679" t="s">
        <v>116</v>
      </c>
      <c r="CS1679">
        <v>39</v>
      </c>
      <c r="CT1679">
        <v>2</v>
      </c>
      <c r="CU1679" t="s">
        <v>2259</v>
      </c>
      <c r="CV1679" t="s">
        <v>2260</v>
      </c>
      <c r="CY1679">
        <v>15987166</v>
      </c>
      <c r="CZ1679" t="s">
        <v>119</v>
      </c>
    </row>
    <row r="1680" spans="1:104" x14ac:dyDescent="0.25">
      <c r="A1680" t="str">
        <f>"14:18:22.906"</f>
        <v>14:18:22.906</v>
      </c>
      <c r="B1680" t="s">
        <v>108</v>
      </c>
      <c r="C1680" t="str">
        <f t="shared" si="79"/>
        <v>ffdfd3c0</v>
      </c>
      <c r="D1680" t="s">
        <v>109</v>
      </c>
      <c r="E1680">
        <v>4</v>
      </c>
      <c r="F1680">
        <v>1004</v>
      </c>
      <c r="G1680" t="s">
        <v>110</v>
      </c>
      <c r="J1680" t="s">
        <v>111</v>
      </c>
      <c r="K1680">
        <v>0</v>
      </c>
      <c r="L1680">
        <v>3</v>
      </c>
      <c r="M1680">
        <v>0</v>
      </c>
      <c r="N1680">
        <v>2</v>
      </c>
      <c r="O1680">
        <v>1</v>
      </c>
      <c r="P1680">
        <v>0</v>
      </c>
      <c r="Q1680">
        <v>0</v>
      </c>
      <c r="R1680" t="s">
        <v>112</v>
      </c>
      <c r="S1680" t="str">
        <f>"14:18:22.719"</f>
        <v>14:18:22.719</v>
      </c>
      <c r="T1680" t="str">
        <f>"14:18:22.320"</f>
        <v>14:18:22.320</v>
      </c>
      <c r="U1680" t="str">
        <f t="shared" si="78"/>
        <v>ad5732</v>
      </c>
      <c r="V1680">
        <v>0</v>
      </c>
      <c r="W1680">
        <v>0</v>
      </c>
      <c r="X1680">
        <v>1</v>
      </c>
      <c r="Z1680">
        <v>0</v>
      </c>
      <c r="AA1680">
        <v>9</v>
      </c>
      <c r="AB1680">
        <v>3</v>
      </c>
      <c r="AC1680">
        <v>0</v>
      </c>
      <c r="AD1680">
        <v>10</v>
      </c>
      <c r="AE1680">
        <v>0</v>
      </c>
      <c r="AF1680">
        <v>3</v>
      </c>
      <c r="AG1680">
        <v>2</v>
      </c>
      <c r="AH1680">
        <v>0</v>
      </c>
      <c r="AI1680" t="s">
        <v>3463</v>
      </c>
      <c r="AJ1680">
        <v>39.717550000000003</v>
      </c>
      <c r="AK1680" t="s">
        <v>3464</v>
      </c>
      <c r="AL1680">
        <v>-76.171024000000003</v>
      </c>
      <c r="AM1680">
        <v>100</v>
      </c>
      <c r="AN1680">
        <v>4700</v>
      </c>
      <c r="AO1680" t="s">
        <v>115</v>
      </c>
      <c r="AP1680">
        <v>157</v>
      </c>
      <c r="AQ1680">
        <v>83</v>
      </c>
      <c r="AR1680">
        <v>0</v>
      </c>
      <c r="AZ1680">
        <v>3614</v>
      </c>
      <c r="BA1680">
        <v>1</v>
      </c>
      <c r="BB1680" t="str">
        <f t="shared" si="80"/>
        <v xml:space="preserve">N959MJ  </v>
      </c>
      <c r="BC1680">
        <v>1</v>
      </c>
      <c r="BE1680">
        <v>0</v>
      </c>
      <c r="BF1680">
        <v>0</v>
      </c>
      <c r="BG1680">
        <v>0</v>
      </c>
      <c r="BH1680">
        <v>4900</v>
      </c>
      <c r="BI1680">
        <v>200</v>
      </c>
      <c r="BJ1680">
        <v>1</v>
      </c>
      <c r="BK1680">
        <v>1</v>
      </c>
      <c r="BL1680">
        <v>1</v>
      </c>
      <c r="BM1680">
        <v>0</v>
      </c>
      <c r="BP1680">
        <v>0</v>
      </c>
      <c r="BQ1680">
        <v>0</v>
      </c>
      <c r="BX1680" t="str">
        <f>"14:18:22.727"</f>
        <v>14:18:22.727</v>
      </c>
      <c r="BY1680" t="str">
        <f>"725235280"</f>
        <v>725235280</v>
      </c>
      <c r="CL1680">
        <v>0</v>
      </c>
      <c r="CM1680">
        <v>2</v>
      </c>
      <c r="CN1680">
        <v>0</v>
      </c>
      <c r="CO1680">
        <v>2</v>
      </c>
      <c r="CP1680">
        <v>0</v>
      </c>
      <c r="CQ1680">
        <v>6</v>
      </c>
      <c r="CR1680" t="s">
        <v>116</v>
      </c>
      <c r="CS1680">
        <v>39</v>
      </c>
      <c r="CT1680">
        <v>2</v>
      </c>
      <c r="CU1680" t="s">
        <v>2259</v>
      </c>
      <c r="CV1680" t="s">
        <v>2260</v>
      </c>
      <c r="CY1680">
        <v>15988765</v>
      </c>
      <c r="CZ1680" t="s">
        <v>119</v>
      </c>
    </row>
    <row r="1681" spans="1:104" x14ac:dyDescent="0.25">
      <c r="A1681" t="str">
        <f>"14:18:23.867"</f>
        <v>14:18:23.867</v>
      </c>
      <c r="B1681" t="s">
        <v>108</v>
      </c>
      <c r="C1681" t="str">
        <f t="shared" si="79"/>
        <v>ffdfd3c0</v>
      </c>
      <c r="D1681" t="s">
        <v>109</v>
      </c>
      <c r="E1681">
        <v>4</v>
      </c>
      <c r="F1681">
        <v>1004</v>
      </c>
      <c r="G1681" t="s">
        <v>110</v>
      </c>
      <c r="J1681" t="s">
        <v>111</v>
      </c>
      <c r="K1681">
        <v>0</v>
      </c>
      <c r="L1681">
        <v>3</v>
      </c>
      <c r="M1681">
        <v>0</v>
      </c>
      <c r="N1681">
        <v>2</v>
      </c>
      <c r="O1681">
        <v>1</v>
      </c>
      <c r="P1681">
        <v>0</v>
      </c>
      <c r="Q1681">
        <v>0</v>
      </c>
      <c r="R1681" t="s">
        <v>112</v>
      </c>
      <c r="S1681" t="str">
        <f>"14:18:23.688"</f>
        <v>14:18:23.688</v>
      </c>
      <c r="T1681" t="str">
        <f>"14:18:23.289"</f>
        <v>14:18:23.289</v>
      </c>
      <c r="U1681" t="str">
        <f t="shared" si="78"/>
        <v>ad5732</v>
      </c>
      <c r="V1681">
        <v>0</v>
      </c>
      <c r="W1681">
        <v>0</v>
      </c>
      <c r="X1681">
        <v>1</v>
      </c>
      <c r="Z1681">
        <v>0</v>
      </c>
      <c r="AA1681">
        <v>9</v>
      </c>
      <c r="AB1681">
        <v>3</v>
      </c>
      <c r="AC1681">
        <v>0</v>
      </c>
      <c r="AD1681">
        <v>10</v>
      </c>
      <c r="AE1681">
        <v>0</v>
      </c>
      <c r="AF1681">
        <v>3</v>
      </c>
      <c r="AG1681">
        <v>2</v>
      </c>
      <c r="AH1681">
        <v>0</v>
      </c>
      <c r="AI1681" t="s">
        <v>3465</v>
      </c>
      <c r="AJ1681">
        <v>39.717914999999998</v>
      </c>
      <c r="AK1681" t="s">
        <v>3466</v>
      </c>
      <c r="AL1681">
        <v>-76.170057999999997</v>
      </c>
      <c r="AM1681">
        <v>100</v>
      </c>
      <c r="AN1681">
        <v>4700</v>
      </c>
      <c r="AO1681" t="s">
        <v>115</v>
      </c>
      <c r="AP1681">
        <v>157</v>
      </c>
      <c r="AQ1681">
        <v>83</v>
      </c>
      <c r="AR1681">
        <v>0</v>
      </c>
      <c r="AZ1681">
        <v>3614</v>
      </c>
      <c r="BA1681">
        <v>1</v>
      </c>
      <c r="BB1681" t="str">
        <f t="shared" si="80"/>
        <v xml:space="preserve">N959MJ  </v>
      </c>
      <c r="BC1681">
        <v>1</v>
      </c>
      <c r="BE1681">
        <v>0</v>
      </c>
      <c r="BF1681">
        <v>0</v>
      </c>
      <c r="BG1681">
        <v>0</v>
      </c>
      <c r="BH1681">
        <v>4900</v>
      </c>
      <c r="BI1681">
        <v>200</v>
      </c>
      <c r="BJ1681">
        <v>1</v>
      </c>
      <c r="BK1681">
        <v>1</v>
      </c>
      <c r="BL1681">
        <v>1</v>
      </c>
      <c r="BM1681">
        <v>0</v>
      </c>
      <c r="BP1681">
        <v>0</v>
      </c>
      <c r="BQ1681">
        <v>0</v>
      </c>
      <c r="BX1681" t="str">
        <f>"14:18:23.695"</f>
        <v>14:18:23.695</v>
      </c>
      <c r="BY1681" t="str">
        <f>"695184172"</f>
        <v>695184172</v>
      </c>
      <c r="CL1681">
        <v>0</v>
      </c>
      <c r="CM1681">
        <v>2</v>
      </c>
      <c r="CN1681">
        <v>0</v>
      </c>
      <c r="CO1681">
        <v>2</v>
      </c>
      <c r="CP1681">
        <v>0</v>
      </c>
      <c r="CQ1681">
        <v>6</v>
      </c>
      <c r="CR1681" t="s">
        <v>116</v>
      </c>
      <c r="CS1681">
        <v>39</v>
      </c>
      <c r="CT1681">
        <v>2</v>
      </c>
      <c r="CU1681" t="s">
        <v>2259</v>
      </c>
      <c r="CV1681" t="s">
        <v>2260</v>
      </c>
      <c r="CY1681">
        <v>15990255</v>
      </c>
      <c r="CZ1681" t="s">
        <v>119</v>
      </c>
    </row>
    <row r="1682" spans="1:104" x14ac:dyDescent="0.25">
      <c r="A1682" t="str">
        <f>"14:18:24.820"</f>
        <v>14:18:24.820</v>
      </c>
      <c r="B1682" t="s">
        <v>108</v>
      </c>
      <c r="C1682" t="str">
        <f t="shared" si="79"/>
        <v>ffdfd3c0</v>
      </c>
      <c r="D1682" t="s">
        <v>109</v>
      </c>
      <c r="E1682">
        <v>4</v>
      </c>
      <c r="F1682">
        <v>1004</v>
      </c>
      <c r="G1682" t="s">
        <v>110</v>
      </c>
      <c r="J1682" t="s">
        <v>111</v>
      </c>
      <c r="K1682">
        <v>0</v>
      </c>
      <c r="L1682">
        <v>3</v>
      </c>
      <c r="M1682">
        <v>0</v>
      </c>
      <c r="N1682">
        <v>2</v>
      </c>
      <c r="O1682">
        <v>1</v>
      </c>
      <c r="P1682">
        <v>0</v>
      </c>
      <c r="Q1682">
        <v>0</v>
      </c>
      <c r="R1682" t="s">
        <v>112</v>
      </c>
      <c r="S1682" t="str">
        <f>"14:18:24.625"</f>
        <v>14:18:24.625</v>
      </c>
      <c r="T1682" t="str">
        <f>"14:18:24.227"</f>
        <v>14:18:24.227</v>
      </c>
      <c r="U1682" t="str">
        <f t="shared" si="78"/>
        <v>ad5732</v>
      </c>
      <c r="V1682">
        <v>0</v>
      </c>
      <c r="W1682">
        <v>0</v>
      </c>
      <c r="X1682">
        <v>1</v>
      </c>
      <c r="Z1682">
        <v>0</v>
      </c>
      <c r="AA1682">
        <v>9</v>
      </c>
      <c r="AB1682">
        <v>3</v>
      </c>
      <c r="AC1682">
        <v>0</v>
      </c>
      <c r="AD1682">
        <v>10</v>
      </c>
      <c r="AE1682">
        <v>0</v>
      </c>
      <c r="AF1682">
        <v>3</v>
      </c>
      <c r="AG1682">
        <v>2</v>
      </c>
      <c r="AH1682">
        <v>0</v>
      </c>
      <c r="AI1682" t="s">
        <v>3467</v>
      </c>
      <c r="AJ1682">
        <v>39.71828</v>
      </c>
      <c r="AK1682" t="s">
        <v>3468</v>
      </c>
      <c r="AL1682">
        <v>-76.169242999999994</v>
      </c>
      <c r="AM1682">
        <v>100</v>
      </c>
      <c r="AN1682">
        <v>4700</v>
      </c>
      <c r="AO1682" t="s">
        <v>115</v>
      </c>
      <c r="AP1682">
        <v>157</v>
      </c>
      <c r="AQ1682">
        <v>83</v>
      </c>
      <c r="AR1682">
        <v>0</v>
      </c>
      <c r="AZ1682">
        <v>3614</v>
      </c>
      <c r="BA1682">
        <v>1</v>
      </c>
      <c r="BB1682" t="str">
        <f t="shared" si="80"/>
        <v xml:space="preserve">N959MJ  </v>
      </c>
      <c r="BC1682">
        <v>1</v>
      </c>
      <c r="BE1682">
        <v>0</v>
      </c>
      <c r="BF1682">
        <v>0</v>
      </c>
      <c r="BG1682">
        <v>0</v>
      </c>
      <c r="BH1682">
        <v>4900</v>
      </c>
      <c r="BI1682">
        <v>200</v>
      </c>
      <c r="BJ1682">
        <v>1</v>
      </c>
      <c r="BK1682">
        <v>1</v>
      </c>
      <c r="BL1682">
        <v>1</v>
      </c>
      <c r="BM1682">
        <v>0</v>
      </c>
      <c r="BP1682">
        <v>0</v>
      </c>
      <c r="BQ1682">
        <v>0</v>
      </c>
      <c r="BX1682" t="str">
        <f>"14:18:24.625"</f>
        <v>14:18:24.625</v>
      </c>
      <c r="BY1682" t="str">
        <f>"627449278"</f>
        <v>627449278</v>
      </c>
      <c r="CL1682">
        <v>0</v>
      </c>
      <c r="CM1682">
        <v>2</v>
      </c>
      <c r="CN1682">
        <v>0</v>
      </c>
      <c r="CO1682">
        <v>2</v>
      </c>
      <c r="CP1682">
        <v>0</v>
      </c>
      <c r="CQ1682">
        <v>6</v>
      </c>
      <c r="CR1682" t="s">
        <v>116</v>
      </c>
      <c r="CS1682">
        <v>39</v>
      </c>
      <c r="CT1682">
        <v>2</v>
      </c>
      <c r="CU1682" t="s">
        <v>2259</v>
      </c>
      <c r="CV1682" t="s">
        <v>2260</v>
      </c>
      <c r="CY1682">
        <v>15991805</v>
      </c>
      <c r="CZ1682" t="s">
        <v>119</v>
      </c>
    </row>
    <row r="1683" spans="1:104" x14ac:dyDescent="0.25">
      <c r="A1683" t="str">
        <f>"14:18:25.734"</f>
        <v>14:18:25.734</v>
      </c>
      <c r="B1683" t="s">
        <v>108</v>
      </c>
      <c r="C1683" t="str">
        <f t="shared" si="79"/>
        <v>ffdfd3c0</v>
      </c>
      <c r="D1683" t="s">
        <v>109</v>
      </c>
      <c r="E1683">
        <v>4</v>
      </c>
      <c r="F1683">
        <v>1004</v>
      </c>
      <c r="G1683" t="s">
        <v>110</v>
      </c>
      <c r="J1683" t="s">
        <v>111</v>
      </c>
      <c r="K1683">
        <v>0</v>
      </c>
      <c r="L1683">
        <v>3</v>
      </c>
      <c r="M1683">
        <v>0</v>
      </c>
      <c r="N1683">
        <v>2</v>
      </c>
      <c r="O1683">
        <v>1</v>
      </c>
      <c r="P1683">
        <v>0</v>
      </c>
      <c r="Q1683">
        <v>0</v>
      </c>
      <c r="R1683" t="s">
        <v>112</v>
      </c>
      <c r="S1683" t="str">
        <f>"14:18:25.555"</f>
        <v>14:18:25.555</v>
      </c>
      <c r="T1683" t="str">
        <f>"14:18:25.156"</f>
        <v>14:18:25.156</v>
      </c>
      <c r="U1683" t="str">
        <f t="shared" si="78"/>
        <v>ad5732</v>
      </c>
      <c r="V1683">
        <v>0</v>
      </c>
      <c r="W1683">
        <v>0</v>
      </c>
      <c r="X1683">
        <v>1</v>
      </c>
      <c r="Z1683">
        <v>0</v>
      </c>
      <c r="AA1683">
        <v>9</v>
      </c>
      <c r="AB1683">
        <v>3</v>
      </c>
      <c r="AC1683">
        <v>0</v>
      </c>
      <c r="AD1683">
        <v>10</v>
      </c>
      <c r="AE1683">
        <v>0</v>
      </c>
      <c r="AF1683">
        <v>3</v>
      </c>
      <c r="AG1683">
        <v>2</v>
      </c>
      <c r="AH1683">
        <v>0</v>
      </c>
      <c r="AI1683" t="s">
        <v>3469</v>
      </c>
      <c r="AJ1683">
        <v>39.718601999999997</v>
      </c>
      <c r="AK1683" t="s">
        <v>3470</v>
      </c>
      <c r="AL1683">
        <v>-76.168385000000001</v>
      </c>
      <c r="AM1683">
        <v>100</v>
      </c>
      <c r="AN1683">
        <v>4700</v>
      </c>
      <c r="AO1683" t="s">
        <v>115</v>
      </c>
      <c r="AP1683">
        <v>157</v>
      </c>
      <c r="AQ1683">
        <v>82</v>
      </c>
      <c r="AR1683">
        <v>0</v>
      </c>
      <c r="AZ1683">
        <v>3614</v>
      </c>
      <c r="BA1683">
        <v>1</v>
      </c>
      <c r="BB1683" t="str">
        <f t="shared" si="80"/>
        <v xml:space="preserve">N959MJ  </v>
      </c>
      <c r="BC1683">
        <v>1</v>
      </c>
      <c r="BE1683">
        <v>0</v>
      </c>
      <c r="BF1683">
        <v>0</v>
      </c>
      <c r="BG1683">
        <v>0</v>
      </c>
      <c r="BH1683">
        <v>4900</v>
      </c>
      <c r="BI1683">
        <v>200</v>
      </c>
      <c r="BJ1683">
        <v>1</v>
      </c>
      <c r="BK1683">
        <v>1</v>
      </c>
      <c r="BL1683">
        <v>1</v>
      </c>
      <c r="BM1683">
        <v>0</v>
      </c>
      <c r="BP1683">
        <v>0</v>
      </c>
      <c r="BQ1683">
        <v>0</v>
      </c>
      <c r="BX1683" t="str">
        <f>"14:18:25.555"</f>
        <v>14:18:25.555</v>
      </c>
      <c r="BY1683" t="str">
        <f>"554757383"</f>
        <v>554757383</v>
      </c>
      <c r="CL1683">
        <v>0</v>
      </c>
      <c r="CM1683">
        <v>2</v>
      </c>
      <c r="CN1683">
        <v>0</v>
      </c>
      <c r="CO1683">
        <v>2</v>
      </c>
      <c r="CP1683">
        <v>0</v>
      </c>
      <c r="CQ1683">
        <v>6</v>
      </c>
      <c r="CR1683" t="s">
        <v>116</v>
      </c>
      <c r="CS1683">
        <v>396</v>
      </c>
      <c r="CT1683">
        <v>1</v>
      </c>
      <c r="CU1683" t="s">
        <v>939</v>
      </c>
      <c r="CV1683" t="s">
        <v>940</v>
      </c>
      <c r="CY1683">
        <v>9310611</v>
      </c>
      <c r="CZ1683" t="s">
        <v>119</v>
      </c>
    </row>
    <row r="1684" spans="1:104" x14ac:dyDescent="0.25">
      <c r="A1684" t="str">
        <f>"14:18:26.742"</f>
        <v>14:18:26.742</v>
      </c>
      <c r="B1684" t="s">
        <v>108</v>
      </c>
      <c r="C1684" t="str">
        <f t="shared" si="79"/>
        <v>ffdfd3c0</v>
      </c>
      <c r="D1684" t="s">
        <v>109</v>
      </c>
      <c r="E1684">
        <v>4</v>
      </c>
      <c r="F1684">
        <v>1004</v>
      </c>
      <c r="G1684" t="s">
        <v>110</v>
      </c>
      <c r="J1684" t="s">
        <v>111</v>
      </c>
      <c r="K1684">
        <v>0</v>
      </c>
      <c r="L1684">
        <v>3</v>
      </c>
      <c r="M1684">
        <v>0</v>
      </c>
      <c r="N1684">
        <v>2</v>
      </c>
      <c r="O1684">
        <v>1</v>
      </c>
      <c r="P1684">
        <v>0</v>
      </c>
      <c r="Q1684">
        <v>0</v>
      </c>
      <c r="R1684" t="s">
        <v>112</v>
      </c>
      <c r="S1684" t="str">
        <f>"14:18:26.563"</f>
        <v>14:18:26.563</v>
      </c>
      <c r="T1684" t="str">
        <f>"14:18:26.164"</f>
        <v>14:18:26.164</v>
      </c>
      <c r="U1684" t="str">
        <f t="shared" si="78"/>
        <v>ad5732</v>
      </c>
      <c r="V1684">
        <v>0</v>
      </c>
      <c r="W1684">
        <v>0</v>
      </c>
      <c r="X1684">
        <v>1</v>
      </c>
      <c r="Z1684">
        <v>0</v>
      </c>
      <c r="AA1684">
        <v>9</v>
      </c>
      <c r="AB1684">
        <v>3</v>
      </c>
      <c r="AC1684">
        <v>0</v>
      </c>
      <c r="AD1684">
        <v>10</v>
      </c>
      <c r="AE1684">
        <v>0</v>
      </c>
      <c r="AF1684">
        <v>3</v>
      </c>
      <c r="AG1684">
        <v>2</v>
      </c>
      <c r="AH1684">
        <v>0</v>
      </c>
      <c r="AI1684" t="s">
        <v>3471</v>
      </c>
      <c r="AJ1684">
        <v>39.719009</v>
      </c>
      <c r="AK1684" t="s">
        <v>3472</v>
      </c>
      <c r="AL1684">
        <v>-76.167439999999999</v>
      </c>
      <c r="AM1684">
        <v>100</v>
      </c>
      <c r="AN1684">
        <v>4700</v>
      </c>
      <c r="AO1684" t="s">
        <v>115</v>
      </c>
      <c r="AP1684">
        <v>157</v>
      </c>
      <c r="AQ1684">
        <v>82</v>
      </c>
      <c r="AR1684">
        <v>0</v>
      </c>
      <c r="AZ1684">
        <v>3614</v>
      </c>
      <c r="BA1684">
        <v>1</v>
      </c>
      <c r="BB1684" t="str">
        <f t="shared" si="80"/>
        <v xml:space="preserve">N959MJ  </v>
      </c>
      <c r="BC1684">
        <v>1</v>
      </c>
      <c r="BE1684">
        <v>0</v>
      </c>
      <c r="BF1684">
        <v>0</v>
      </c>
      <c r="BG1684">
        <v>0</v>
      </c>
      <c r="BH1684">
        <v>4900</v>
      </c>
      <c r="BI1684">
        <v>200</v>
      </c>
      <c r="BJ1684">
        <v>1</v>
      </c>
      <c r="BK1684">
        <v>1</v>
      </c>
      <c r="BL1684">
        <v>1</v>
      </c>
      <c r="BM1684">
        <v>0</v>
      </c>
      <c r="BP1684">
        <v>0</v>
      </c>
      <c r="BQ1684">
        <v>0</v>
      </c>
      <c r="BX1684" t="str">
        <f>"14:18:26.563"</f>
        <v>14:18:26.563</v>
      </c>
      <c r="BY1684" t="str">
        <f>"564070150"</f>
        <v>564070150</v>
      </c>
      <c r="CL1684">
        <v>0</v>
      </c>
      <c r="CM1684">
        <v>2</v>
      </c>
      <c r="CN1684">
        <v>0</v>
      </c>
      <c r="CO1684">
        <v>2</v>
      </c>
      <c r="CP1684">
        <v>0</v>
      </c>
      <c r="CQ1684">
        <v>6</v>
      </c>
      <c r="CR1684" t="s">
        <v>116</v>
      </c>
      <c r="CS1684">
        <v>39</v>
      </c>
      <c r="CT1684">
        <v>2</v>
      </c>
      <c r="CU1684" t="s">
        <v>2259</v>
      </c>
      <c r="CV1684" t="s">
        <v>2260</v>
      </c>
      <c r="CY1684">
        <v>15994827</v>
      </c>
      <c r="CZ1684" t="s">
        <v>119</v>
      </c>
    </row>
    <row r="1685" spans="1:104" x14ac:dyDescent="0.25">
      <c r="A1685" t="str">
        <f>"14:18:27.602"</f>
        <v>14:18:27.602</v>
      </c>
      <c r="B1685" t="s">
        <v>108</v>
      </c>
      <c r="C1685" t="str">
        <f t="shared" si="79"/>
        <v>ffdfd3c0</v>
      </c>
      <c r="D1685" t="s">
        <v>109</v>
      </c>
      <c r="E1685">
        <v>4</v>
      </c>
      <c r="F1685">
        <v>1004</v>
      </c>
      <c r="G1685" t="s">
        <v>110</v>
      </c>
      <c r="J1685" t="s">
        <v>111</v>
      </c>
      <c r="K1685">
        <v>0</v>
      </c>
      <c r="L1685">
        <v>3</v>
      </c>
      <c r="M1685">
        <v>0</v>
      </c>
      <c r="N1685">
        <v>2</v>
      </c>
      <c r="O1685">
        <v>1</v>
      </c>
      <c r="P1685">
        <v>0</v>
      </c>
      <c r="Q1685">
        <v>0</v>
      </c>
      <c r="R1685" t="s">
        <v>112</v>
      </c>
      <c r="S1685" t="str">
        <f>"14:18:27.445"</f>
        <v>14:18:27.445</v>
      </c>
      <c r="T1685" t="str">
        <f>"14:18:27.047"</f>
        <v>14:18:27.047</v>
      </c>
      <c r="U1685" t="str">
        <f t="shared" si="78"/>
        <v>ad5732</v>
      </c>
      <c r="V1685">
        <v>0</v>
      </c>
      <c r="W1685">
        <v>0</v>
      </c>
      <c r="X1685">
        <v>1</v>
      </c>
      <c r="Z1685">
        <v>0</v>
      </c>
      <c r="AA1685">
        <v>9</v>
      </c>
      <c r="AB1685">
        <v>3</v>
      </c>
      <c r="AC1685">
        <v>0</v>
      </c>
      <c r="AD1685">
        <v>10</v>
      </c>
      <c r="AE1685">
        <v>0</v>
      </c>
      <c r="AF1685">
        <v>3</v>
      </c>
      <c r="AG1685">
        <v>2</v>
      </c>
      <c r="AH1685">
        <v>0</v>
      </c>
      <c r="AI1685" t="s">
        <v>3473</v>
      </c>
      <c r="AJ1685">
        <v>39.719352999999998</v>
      </c>
      <c r="AK1685" t="s">
        <v>3474</v>
      </c>
      <c r="AL1685">
        <v>-76.166624999999996</v>
      </c>
      <c r="AM1685">
        <v>100</v>
      </c>
      <c r="AN1685">
        <v>4700</v>
      </c>
      <c r="AO1685" t="s">
        <v>115</v>
      </c>
      <c r="AP1685">
        <v>157</v>
      </c>
      <c r="AQ1685">
        <v>82</v>
      </c>
      <c r="AR1685">
        <v>0</v>
      </c>
      <c r="AZ1685">
        <v>3614</v>
      </c>
      <c r="BA1685">
        <v>1</v>
      </c>
      <c r="BB1685" t="str">
        <f t="shared" si="80"/>
        <v xml:space="preserve">N959MJ  </v>
      </c>
      <c r="BC1685">
        <v>1</v>
      </c>
      <c r="BE1685">
        <v>0</v>
      </c>
      <c r="BF1685">
        <v>0</v>
      </c>
      <c r="BG1685">
        <v>0</v>
      </c>
      <c r="BH1685">
        <v>4900</v>
      </c>
      <c r="BI1685">
        <v>200</v>
      </c>
      <c r="BJ1685">
        <v>1</v>
      </c>
      <c r="BK1685">
        <v>1</v>
      </c>
      <c r="BL1685">
        <v>1</v>
      </c>
      <c r="BM1685">
        <v>0</v>
      </c>
      <c r="BP1685">
        <v>0</v>
      </c>
      <c r="BQ1685">
        <v>0</v>
      </c>
      <c r="BX1685" t="str">
        <f>"14:18:27.445"</f>
        <v>14:18:27.445</v>
      </c>
      <c r="BY1685" t="str">
        <f>"447182398"</f>
        <v>447182398</v>
      </c>
      <c r="CL1685">
        <v>0</v>
      </c>
      <c r="CM1685">
        <v>2</v>
      </c>
      <c r="CN1685">
        <v>0</v>
      </c>
      <c r="CO1685">
        <v>2</v>
      </c>
      <c r="CP1685">
        <v>0</v>
      </c>
      <c r="CQ1685">
        <v>6</v>
      </c>
      <c r="CR1685" t="s">
        <v>116</v>
      </c>
      <c r="CS1685">
        <v>39</v>
      </c>
      <c r="CT1685">
        <v>2</v>
      </c>
      <c r="CU1685" t="s">
        <v>2259</v>
      </c>
      <c r="CV1685" t="s">
        <v>2260</v>
      </c>
      <c r="CY1685">
        <v>15996157</v>
      </c>
      <c r="CZ1685" t="s">
        <v>119</v>
      </c>
    </row>
    <row r="1686" spans="1:104" x14ac:dyDescent="0.25">
      <c r="A1686" t="str">
        <f>"14:18:28.609"</f>
        <v>14:18:28.609</v>
      </c>
      <c r="B1686" t="s">
        <v>108</v>
      </c>
      <c r="C1686" t="str">
        <f t="shared" si="79"/>
        <v>ffdfd3c0</v>
      </c>
      <c r="D1686" t="s">
        <v>109</v>
      </c>
      <c r="E1686">
        <v>4</v>
      </c>
      <c r="F1686">
        <v>1004</v>
      </c>
      <c r="G1686" t="s">
        <v>110</v>
      </c>
      <c r="J1686" t="s">
        <v>111</v>
      </c>
      <c r="K1686">
        <v>0</v>
      </c>
      <c r="L1686">
        <v>3</v>
      </c>
      <c r="M1686">
        <v>0</v>
      </c>
      <c r="N1686">
        <v>2</v>
      </c>
      <c r="O1686">
        <v>1</v>
      </c>
      <c r="P1686">
        <v>0</v>
      </c>
      <c r="Q1686">
        <v>0</v>
      </c>
      <c r="R1686" t="s">
        <v>112</v>
      </c>
      <c r="S1686" t="str">
        <f>"14:18:28.375"</f>
        <v>14:18:28.375</v>
      </c>
      <c r="T1686" t="str">
        <f>"14:18:27.977"</f>
        <v>14:18:27.977</v>
      </c>
      <c r="U1686" t="str">
        <f t="shared" si="78"/>
        <v>ad5732</v>
      </c>
      <c r="V1686">
        <v>0</v>
      </c>
      <c r="W1686">
        <v>0</v>
      </c>
      <c r="X1686">
        <v>1</v>
      </c>
      <c r="Z1686">
        <v>0</v>
      </c>
      <c r="AA1686">
        <v>9</v>
      </c>
      <c r="AB1686">
        <v>3</v>
      </c>
      <c r="AC1686">
        <v>0</v>
      </c>
      <c r="AD1686">
        <v>10</v>
      </c>
      <c r="AE1686">
        <v>0</v>
      </c>
      <c r="AF1686">
        <v>3</v>
      </c>
      <c r="AG1686">
        <v>2</v>
      </c>
      <c r="AH1686">
        <v>0</v>
      </c>
      <c r="AI1686" t="s">
        <v>3475</v>
      </c>
      <c r="AJ1686">
        <v>39.719695999999999</v>
      </c>
      <c r="AK1686" t="s">
        <v>3476</v>
      </c>
      <c r="AL1686">
        <v>-76.165767000000002</v>
      </c>
      <c r="AM1686">
        <v>100</v>
      </c>
      <c r="AN1686">
        <v>4700</v>
      </c>
      <c r="AO1686" t="s">
        <v>115</v>
      </c>
      <c r="AP1686">
        <v>157</v>
      </c>
      <c r="AQ1686">
        <v>82</v>
      </c>
      <c r="AR1686">
        <v>0</v>
      </c>
      <c r="AZ1686">
        <v>3614</v>
      </c>
      <c r="BA1686">
        <v>1</v>
      </c>
      <c r="BB1686" t="str">
        <f t="shared" si="80"/>
        <v xml:space="preserve">N959MJ  </v>
      </c>
      <c r="BC1686">
        <v>1</v>
      </c>
      <c r="BE1686">
        <v>0</v>
      </c>
      <c r="BF1686">
        <v>0</v>
      </c>
      <c r="BG1686">
        <v>0</v>
      </c>
      <c r="BH1686">
        <v>4900</v>
      </c>
      <c r="BI1686">
        <v>200</v>
      </c>
      <c r="BJ1686">
        <v>1</v>
      </c>
      <c r="BK1686">
        <v>1</v>
      </c>
      <c r="BL1686">
        <v>1</v>
      </c>
      <c r="BM1686">
        <v>0</v>
      </c>
      <c r="BP1686">
        <v>0</v>
      </c>
      <c r="BQ1686">
        <v>0</v>
      </c>
      <c r="BX1686" t="str">
        <f>"14:18:28.383"</f>
        <v>14:18:28.383</v>
      </c>
      <c r="BY1686" t="str">
        <f>"381085885"</f>
        <v>381085885</v>
      </c>
      <c r="CL1686">
        <v>0</v>
      </c>
      <c r="CM1686">
        <v>2</v>
      </c>
      <c r="CN1686">
        <v>0</v>
      </c>
      <c r="CO1686">
        <v>2</v>
      </c>
      <c r="CP1686">
        <v>0</v>
      </c>
      <c r="CQ1686">
        <v>6</v>
      </c>
      <c r="CR1686" t="s">
        <v>116</v>
      </c>
      <c r="CS1686">
        <v>39</v>
      </c>
      <c r="CT1686">
        <v>2</v>
      </c>
      <c r="CU1686" t="s">
        <v>2259</v>
      </c>
      <c r="CV1686" t="s">
        <v>2260</v>
      </c>
      <c r="CY1686">
        <v>15997616</v>
      </c>
      <c r="CZ1686" t="s">
        <v>119</v>
      </c>
    </row>
    <row r="1687" spans="1:104" x14ac:dyDescent="0.25">
      <c r="A1687" t="str">
        <f>"14:18:29.570"</f>
        <v>14:18:29.570</v>
      </c>
      <c r="B1687" t="s">
        <v>108</v>
      </c>
      <c r="C1687" t="str">
        <f t="shared" si="79"/>
        <v>ffdfd3c0</v>
      </c>
      <c r="D1687" t="s">
        <v>109</v>
      </c>
      <c r="E1687">
        <v>4</v>
      </c>
      <c r="F1687">
        <v>1004</v>
      </c>
      <c r="G1687" t="s">
        <v>110</v>
      </c>
      <c r="J1687" t="s">
        <v>111</v>
      </c>
      <c r="K1687">
        <v>0</v>
      </c>
      <c r="L1687">
        <v>3</v>
      </c>
      <c r="M1687">
        <v>0</v>
      </c>
      <c r="N1687">
        <v>2</v>
      </c>
      <c r="O1687">
        <v>1</v>
      </c>
      <c r="P1687">
        <v>0</v>
      </c>
      <c r="Q1687">
        <v>0</v>
      </c>
      <c r="R1687" t="s">
        <v>112</v>
      </c>
      <c r="S1687" t="str">
        <f>"14:18:29.406"</f>
        <v>14:18:29.406</v>
      </c>
      <c r="T1687" t="str">
        <f>"14:18:28.906"</f>
        <v>14:18:28.906</v>
      </c>
      <c r="U1687" t="str">
        <f t="shared" si="78"/>
        <v>ad5732</v>
      </c>
      <c r="V1687">
        <v>0</v>
      </c>
      <c r="W1687">
        <v>0</v>
      </c>
      <c r="X1687">
        <v>1</v>
      </c>
      <c r="Z1687">
        <v>0</v>
      </c>
      <c r="AA1687">
        <v>9</v>
      </c>
      <c r="AB1687">
        <v>3</v>
      </c>
      <c r="AC1687">
        <v>0</v>
      </c>
      <c r="AD1687">
        <v>10</v>
      </c>
      <c r="AE1687">
        <v>0</v>
      </c>
      <c r="AF1687">
        <v>3</v>
      </c>
      <c r="AG1687">
        <v>2</v>
      </c>
      <c r="AH1687">
        <v>0</v>
      </c>
      <c r="AI1687" t="s">
        <v>3477</v>
      </c>
      <c r="AJ1687">
        <v>39.720081999999998</v>
      </c>
      <c r="AK1687" t="s">
        <v>3478</v>
      </c>
      <c r="AL1687">
        <v>-76.164737000000002</v>
      </c>
      <c r="AM1687">
        <v>100</v>
      </c>
      <c r="AN1687">
        <v>4700</v>
      </c>
      <c r="AO1687" t="s">
        <v>115</v>
      </c>
      <c r="AP1687">
        <v>157</v>
      </c>
      <c r="AQ1687">
        <v>82</v>
      </c>
      <c r="AR1687">
        <v>0</v>
      </c>
      <c r="AZ1687">
        <v>3614</v>
      </c>
      <c r="BA1687">
        <v>1</v>
      </c>
      <c r="BB1687" t="str">
        <f t="shared" si="80"/>
        <v xml:space="preserve">N959MJ  </v>
      </c>
      <c r="BC1687">
        <v>1</v>
      </c>
      <c r="BE1687">
        <v>0</v>
      </c>
      <c r="BF1687">
        <v>0</v>
      </c>
      <c r="BG1687">
        <v>0</v>
      </c>
      <c r="BH1687">
        <v>4900</v>
      </c>
      <c r="BI1687">
        <v>200</v>
      </c>
      <c r="BJ1687">
        <v>1</v>
      </c>
      <c r="BK1687">
        <v>1</v>
      </c>
      <c r="BL1687">
        <v>1</v>
      </c>
      <c r="BM1687">
        <v>0</v>
      </c>
      <c r="BP1687">
        <v>0</v>
      </c>
      <c r="BQ1687">
        <v>0</v>
      </c>
      <c r="BX1687" t="str">
        <f>"14:18:29.414"</f>
        <v>14:18:29.414</v>
      </c>
      <c r="BY1687" t="str">
        <f>"411656584"</f>
        <v>411656584</v>
      </c>
      <c r="CL1687">
        <v>0</v>
      </c>
      <c r="CM1687">
        <v>2</v>
      </c>
      <c r="CN1687">
        <v>0</v>
      </c>
      <c r="CO1687">
        <v>2</v>
      </c>
      <c r="CP1687">
        <v>0</v>
      </c>
      <c r="CQ1687">
        <v>6</v>
      </c>
      <c r="CR1687" t="s">
        <v>116</v>
      </c>
      <c r="CS1687">
        <v>39</v>
      </c>
      <c r="CT1687">
        <v>2</v>
      </c>
      <c r="CU1687" t="s">
        <v>2259</v>
      </c>
      <c r="CV1687" t="s">
        <v>2260</v>
      </c>
      <c r="CY1687">
        <v>15999288</v>
      </c>
      <c r="CZ1687" t="s">
        <v>119</v>
      </c>
    </row>
    <row r="1688" spans="1:104" x14ac:dyDescent="0.25">
      <c r="A1688" t="str">
        <f>"14:18:30.625"</f>
        <v>14:18:30.625</v>
      </c>
      <c r="B1688" t="s">
        <v>108</v>
      </c>
      <c r="C1688" t="str">
        <f t="shared" si="79"/>
        <v>ffdfd3c0</v>
      </c>
      <c r="D1688" t="s">
        <v>109</v>
      </c>
      <c r="E1688">
        <v>4</v>
      </c>
      <c r="F1688">
        <v>1004</v>
      </c>
      <c r="G1688" t="s">
        <v>110</v>
      </c>
      <c r="J1688" t="s">
        <v>111</v>
      </c>
      <c r="K1688">
        <v>0</v>
      </c>
      <c r="L1688">
        <v>3</v>
      </c>
      <c r="M1688">
        <v>0</v>
      </c>
      <c r="N1688">
        <v>2</v>
      </c>
      <c r="O1688">
        <v>1</v>
      </c>
      <c r="P1688">
        <v>0</v>
      </c>
      <c r="Q1688">
        <v>0</v>
      </c>
      <c r="R1688" t="s">
        <v>112</v>
      </c>
      <c r="S1688" t="str">
        <f>"14:18:30.461"</f>
        <v>14:18:30.461</v>
      </c>
      <c r="T1688" t="str">
        <f>"14:18:29.961"</f>
        <v>14:18:29.961</v>
      </c>
      <c r="U1688" t="str">
        <f t="shared" si="78"/>
        <v>ad5732</v>
      </c>
      <c r="V1688">
        <v>0</v>
      </c>
      <c r="W1688">
        <v>0</v>
      </c>
      <c r="X1688">
        <v>1</v>
      </c>
      <c r="Z1688">
        <v>0</v>
      </c>
      <c r="AA1688">
        <v>9</v>
      </c>
      <c r="AB1688">
        <v>3</v>
      </c>
      <c r="AC1688">
        <v>0</v>
      </c>
      <c r="AD1688">
        <v>10</v>
      </c>
      <c r="AE1688">
        <v>0</v>
      </c>
      <c r="AF1688">
        <v>3</v>
      </c>
      <c r="AG1688">
        <v>2</v>
      </c>
      <c r="AH1688">
        <v>0</v>
      </c>
      <c r="AI1688" t="s">
        <v>3479</v>
      </c>
      <c r="AJ1688">
        <v>39.720469000000001</v>
      </c>
      <c r="AK1688" t="s">
        <v>3480</v>
      </c>
      <c r="AL1688">
        <v>-76.163749999999993</v>
      </c>
      <c r="AM1688">
        <v>100</v>
      </c>
      <c r="AN1688">
        <v>4700</v>
      </c>
      <c r="AO1688" t="s">
        <v>115</v>
      </c>
      <c r="AP1688">
        <v>157</v>
      </c>
      <c r="AQ1688">
        <v>81</v>
      </c>
      <c r="AR1688">
        <v>0</v>
      </c>
      <c r="AZ1688">
        <v>3614</v>
      </c>
      <c r="BA1688">
        <v>1</v>
      </c>
      <c r="BB1688" t="str">
        <f t="shared" si="80"/>
        <v xml:space="preserve">N959MJ  </v>
      </c>
      <c r="BC1688">
        <v>1</v>
      </c>
      <c r="BE1688">
        <v>0</v>
      </c>
      <c r="BF1688">
        <v>0</v>
      </c>
      <c r="BG1688">
        <v>0</v>
      </c>
      <c r="BH1688">
        <v>4900</v>
      </c>
      <c r="BI1688">
        <v>200</v>
      </c>
      <c r="BJ1688">
        <v>1</v>
      </c>
      <c r="BK1688">
        <v>1</v>
      </c>
      <c r="BL1688">
        <v>1</v>
      </c>
      <c r="BM1688">
        <v>0</v>
      </c>
      <c r="BP1688">
        <v>0</v>
      </c>
      <c r="BQ1688">
        <v>0</v>
      </c>
      <c r="BX1688" t="str">
        <f>"14:18:30.461"</f>
        <v>14:18:30.461</v>
      </c>
      <c r="BY1688" t="str">
        <f>"461888388"</f>
        <v>461888388</v>
      </c>
      <c r="CL1688">
        <v>0</v>
      </c>
      <c r="CM1688">
        <v>2</v>
      </c>
      <c r="CN1688">
        <v>0</v>
      </c>
      <c r="CO1688">
        <v>2</v>
      </c>
      <c r="CP1688">
        <v>0</v>
      </c>
      <c r="CQ1688">
        <v>6</v>
      </c>
      <c r="CR1688" t="s">
        <v>116</v>
      </c>
      <c r="CS1688">
        <v>39</v>
      </c>
      <c r="CT1688">
        <v>2</v>
      </c>
      <c r="CU1688" t="s">
        <v>2259</v>
      </c>
      <c r="CV1688" t="s">
        <v>2260</v>
      </c>
      <c r="CY1688">
        <v>16000972</v>
      </c>
      <c r="CZ1688" t="s">
        <v>119</v>
      </c>
    </row>
    <row r="1689" spans="1:104" x14ac:dyDescent="0.25">
      <c r="A1689" t="str">
        <f>"14:18:31.641"</f>
        <v>14:18:31.641</v>
      </c>
      <c r="B1689" t="s">
        <v>108</v>
      </c>
      <c r="C1689" t="str">
        <f t="shared" si="79"/>
        <v>ffdfd3c0</v>
      </c>
      <c r="D1689" t="s">
        <v>109</v>
      </c>
      <c r="E1689">
        <v>4</v>
      </c>
      <c r="F1689">
        <v>1004</v>
      </c>
      <c r="G1689" t="s">
        <v>110</v>
      </c>
      <c r="J1689" t="s">
        <v>111</v>
      </c>
      <c r="K1689">
        <v>0</v>
      </c>
      <c r="L1689">
        <v>3</v>
      </c>
      <c r="M1689">
        <v>0</v>
      </c>
      <c r="N1689">
        <v>2</v>
      </c>
      <c r="O1689">
        <v>1</v>
      </c>
      <c r="P1689">
        <v>0</v>
      </c>
      <c r="Q1689">
        <v>0</v>
      </c>
      <c r="R1689" t="s">
        <v>112</v>
      </c>
      <c r="S1689" t="str">
        <f>"14:18:31.438"</f>
        <v>14:18:31.438</v>
      </c>
      <c r="T1689" t="str">
        <f>"14:18:31.039"</f>
        <v>14:18:31.039</v>
      </c>
      <c r="U1689" t="str">
        <f t="shared" si="78"/>
        <v>ad5732</v>
      </c>
      <c r="V1689">
        <v>0</v>
      </c>
      <c r="W1689">
        <v>0</v>
      </c>
      <c r="X1689">
        <v>1</v>
      </c>
      <c r="Z1689">
        <v>0</v>
      </c>
      <c r="AA1689">
        <v>9</v>
      </c>
      <c r="AB1689">
        <v>3</v>
      </c>
      <c r="AC1689">
        <v>0</v>
      </c>
      <c r="AD1689">
        <v>10</v>
      </c>
      <c r="AE1689">
        <v>0</v>
      </c>
      <c r="AF1689">
        <v>3</v>
      </c>
      <c r="AG1689">
        <v>2</v>
      </c>
      <c r="AH1689">
        <v>0</v>
      </c>
      <c r="AI1689" t="s">
        <v>3481</v>
      </c>
      <c r="AJ1689">
        <v>39.720832999999999</v>
      </c>
      <c r="AK1689" t="s">
        <v>3482</v>
      </c>
      <c r="AL1689">
        <v>-76.162847999999997</v>
      </c>
      <c r="AM1689">
        <v>100</v>
      </c>
      <c r="AN1689">
        <v>4700</v>
      </c>
      <c r="AO1689" t="s">
        <v>115</v>
      </c>
      <c r="AP1689">
        <v>157</v>
      </c>
      <c r="AQ1689">
        <v>81</v>
      </c>
      <c r="AR1689">
        <v>0</v>
      </c>
      <c r="AZ1689">
        <v>3614</v>
      </c>
      <c r="BA1689">
        <v>1</v>
      </c>
      <c r="BB1689" t="str">
        <f t="shared" si="80"/>
        <v xml:space="preserve">N959MJ  </v>
      </c>
      <c r="BC1689">
        <v>1</v>
      </c>
      <c r="BE1689">
        <v>0</v>
      </c>
      <c r="BF1689">
        <v>0</v>
      </c>
      <c r="BG1689">
        <v>0</v>
      </c>
      <c r="BH1689">
        <v>4900</v>
      </c>
      <c r="BI1689">
        <v>200</v>
      </c>
      <c r="BJ1689">
        <v>1</v>
      </c>
      <c r="BK1689">
        <v>1</v>
      </c>
      <c r="BL1689">
        <v>1</v>
      </c>
      <c r="BM1689">
        <v>0</v>
      </c>
      <c r="BP1689">
        <v>0</v>
      </c>
      <c r="BQ1689">
        <v>0</v>
      </c>
      <c r="BX1689" t="str">
        <f>"14:18:31.445"</f>
        <v>14:18:31.445</v>
      </c>
      <c r="BY1689" t="str">
        <f>"443306334"</f>
        <v>443306334</v>
      </c>
      <c r="CL1689">
        <v>0</v>
      </c>
      <c r="CM1689">
        <v>2</v>
      </c>
      <c r="CN1689">
        <v>0</v>
      </c>
      <c r="CO1689">
        <v>2</v>
      </c>
      <c r="CP1689">
        <v>0</v>
      </c>
      <c r="CQ1689">
        <v>6</v>
      </c>
      <c r="CR1689" t="s">
        <v>116</v>
      </c>
      <c r="CS1689">
        <v>39</v>
      </c>
      <c r="CT1689">
        <v>2</v>
      </c>
      <c r="CU1689" t="s">
        <v>2259</v>
      </c>
      <c r="CV1689" t="s">
        <v>2260</v>
      </c>
      <c r="CY1689">
        <v>16002557</v>
      </c>
      <c r="CZ1689" t="s">
        <v>119</v>
      </c>
    </row>
    <row r="1690" spans="1:104" x14ac:dyDescent="0.25">
      <c r="A1690" t="str">
        <f>"14:18:32.750"</f>
        <v>14:18:32.750</v>
      </c>
      <c r="B1690" t="s">
        <v>108</v>
      </c>
      <c r="C1690" t="str">
        <f t="shared" si="79"/>
        <v>ffdfd3c0</v>
      </c>
      <c r="D1690" t="s">
        <v>109</v>
      </c>
      <c r="E1690">
        <v>4</v>
      </c>
      <c r="F1690">
        <v>1004</v>
      </c>
      <c r="G1690" t="s">
        <v>110</v>
      </c>
      <c r="J1690" t="s">
        <v>111</v>
      </c>
      <c r="K1690">
        <v>0</v>
      </c>
      <c r="L1690">
        <v>3</v>
      </c>
      <c r="M1690">
        <v>0</v>
      </c>
      <c r="N1690">
        <v>2</v>
      </c>
      <c r="O1690">
        <v>1</v>
      </c>
      <c r="P1690">
        <v>0</v>
      </c>
      <c r="Q1690">
        <v>0</v>
      </c>
      <c r="R1690" t="s">
        <v>112</v>
      </c>
      <c r="S1690" t="str">
        <f>"14:18:32.578"</f>
        <v>14:18:32.578</v>
      </c>
      <c r="T1690" t="str">
        <f>"14:18:32.078"</f>
        <v>14:18:32.078</v>
      </c>
      <c r="U1690" t="str">
        <f t="shared" si="78"/>
        <v>ad5732</v>
      </c>
      <c r="V1690">
        <v>0</v>
      </c>
      <c r="W1690">
        <v>0</v>
      </c>
      <c r="X1690">
        <v>1</v>
      </c>
      <c r="Z1690">
        <v>0</v>
      </c>
      <c r="AA1690">
        <v>9</v>
      </c>
      <c r="AB1690">
        <v>3</v>
      </c>
      <c r="AC1690">
        <v>0</v>
      </c>
      <c r="AD1690">
        <v>10</v>
      </c>
      <c r="AE1690">
        <v>0</v>
      </c>
      <c r="AF1690">
        <v>3</v>
      </c>
      <c r="AG1690">
        <v>2</v>
      </c>
      <c r="AH1690">
        <v>0</v>
      </c>
      <c r="AI1690" t="s">
        <v>3483</v>
      </c>
      <c r="AJ1690">
        <v>39.721262000000003</v>
      </c>
      <c r="AK1690" t="s">
        <v>3484</v>
      </c>
      <c r="AL1690">
        <v>-76.161818999999994</v>
      </c>
      <c r="AM1690">
        <v>100</v>
      </c>
      <c r="AN1690">
        <v>4700</v>
      </c>
      <c r="AO1690" t="s">
        <v>115</v>
      </c>
      <c r="AP1690">
        <v>157</v>
      </c>
      <c r="AQ1690">
        <v>81</v>
      </c>
      <c r="AR1690">
        <v>0</v>
      </c>
      <c r="AZ1690">
        <v>3614</v>
      </c>
      <c r="BA1690">
        <v>1</v>
      </c>
      <c r="BB1690" t="str">
        <f t="shared" si="80"/>
        <v xml:space="preserve">N959MJ  </v>
      </c>
      <c r="BC1690">
        <v>1</v>
      </c>
      <c r="BE1690">
        <v>0</v>
      </c>
      <c r="BF1690">
        <v>0</v>
      </c>
      <c r="BG1690">
        <v>0</v>
      </c>
      <c r="BH1690">
        <v>4900</v>
      </c>
      <c r="BI1690">
        <v>200</v>
      </c>
      <c r="BJ1690">
        <v>1</v>
      </c>
      <c r="BK1690">
        <v>1</v>
      </c>
      <c r="BL1690">
        <v>1</v>
      </c>
      <c r="BM1690">
        <v>0</v>
      </c>
      <c r="BP1690">
        <v>0</v>
      </c>
      <c r="BQ1690">
        <v>0</v>
      </c>
      <c r="BX1690" t="str">
        <f>"14:18:32.578"</f>
        <v>14:18:32.578</v>
      </c>
      <c r="BY1690" t="str">
        <f>"578736421"</f>
        <v>578736421</v>
      </c>
      <c r="CL1690">
        <v>0</v>
      </c>
      <c r="CM1690">
        <v>2</v>
      </c>
      <c r="CN1690">
        <v>0</v>
      </c>
      <c r="CO1690">
        <v>2</v>
      </c>
      <c r="CP1690">
        <v>0</v>
      </c>
      <c r="CQ1690">
        <v>6</v>
      </c>
      <c r="CR1690" t="s">
        <v>116</v>
      </c>
      <c r="CS1690">
        <v>39</v>
      </c>
      <c r="CT1690">
        <v>2</v>
      </c>
      <c r="CU1690" t="s">
        <v>2259</v>
      </c>
      <c r="CV1690" t="s">
        <v>2260</v>
      </c>
      <c r="CY1690">
        <v>16004253</v>
      </c>
      <c r="CZ1690" t="s">
        <v>119</v>
      </c>
    </row>
    <row r="1691" spans="1:104" x14ac:dyDescent="0.25">
      <c r="A1691" t="str">
        <f>"14:18:33.859"</f>
        <v>14:18:33.859</v>
      </c>
      <c r="B1691" t="s">
        <v>108</v>
      </c>
      <c r="C1691" t="str">
        <f t="shared" si="79"/>
        <v>ffdfd3c0</v>
      </c>
      <c r="D1691" t="s">
        <v>109</v>
      </c>
      <c r="E1691">
        <v>4</v>
      </c>
      <c r="F1691">
        <v>1004</v>
      </c>
      <c r="G1691" t="s">
        <v>110</v>
      </c>
      <c r="J1691" t="s">
        <v>111</v>
      </c>
      <c r="K1691">
        <v>0</v>
      </c>
      <c r="L1691">
        <v>3</v>
      </c>
      <c r="M1691">
        <v>0</v>
      </c>
      <c r="N1691">
        <v>2</v>
      </c>
      <c r="O1691">
        <v>1</v>
      </c>
      <c r="P1691">
        <v>0</v>
      </c>
      <c r="Q1691">
        <v>0</v>
      </c>
      <c r="R1691" t="s">
        <v>112</v>
      </c>
      <c r="S1691" t="str">
        <f>"14:18:33.664"</f>
        <v>14:18:33.664</v>
      </c>
      <c r="T1691" t="str">
        <f>"14:18:33.164"</f>
        <v>14:18:33.164</v>
      </c>
      <c r="U1691" t="str">
        <f t="shared" si="78"/>
        <v>ad5732</v>
      </c>
      <c r="V1691">
        <v>0</v>
      </c>
      <c r="W1691">
        <v>0</v>
      </c>
      <c r="X1691">
        <v>1</v>
      </c>
      <c r="Z1691">
        <v>0</v>
      </c>
      <c r="AA1691">
        <v>9</v>
      </c>
      <c r="AB1691">
        <v>3</v>
      </c>
      <c r="AC1691">
        <v>0</v>
      </c>
      <c r="AD1691">
        <v>10</v>
      </c>
      <c r="AE1691">
        <v>0</v>
      </c>
      <c r="AF1691">
        <v>3</v>
      </c>
      <c r="AG1691">
        <v>2</v>
      </c>
      <c r="AH1691">
        <v>0</v>
      </c>
      <c r="AI1691" t="s">
        <v>3485</v>
      </c>
      <c r="AJ1691">
        <v>39.721670000000003</v>
      </c>
      <c r="AK1691" t="s">
        <v>3486</v>
      </c>
      <c r="AL1691">
        <v>-76.160767000000007</v>
      </c>
      <c r="AM1691">
        <v>100</v>
      </c>
      <c r="AN1691">
        <v>4700</v>
      </c>
      <c r="AO1691" t="s">
        <v>115</v>
      </c>
      <c r="AP1691">
        <v>157</v>
      </c>
      <c r="AQ1691">
        <v>81</v>
      </c>
      <c r="AR1691">
        <v>0</v>
      </c>
      <c r="AZ1691">
        <v>3614</v>
      </c>
      <c r="BA1691">
        <v>1</v>
      </c>
      <c r="BB1691" t="str">
        <f t="shared" si="80"/>
        <v xml:space="preserve">N959MJ  </v>
      </c>
      <c r="BC1691">
        <v>1</v>
      </c>
      <c r="BE1691">
        <v>0</v>
      </c>
      <c r="BF1691">
        <v>0</v>
      </c>
      <c r="BG1691">
        <v>0</v>
      </c>
      <c r="BH1691">
        <v>4900</v>
      </c>
      <c r="BI1691">
        <v>200</v>
      </c>
      <c r="BJ1691">
        <v>1</v>
      </c>
      <c r="BK1691">
        <v>1</v>
      </c>
      <c r="BL1691">
        <v>1</v>
      </c>
      <c r="BM1691">
        <v>0</v>
      </c>
      <c r="BP1691">
        <v>0</v>
      </c>
      <c r="BQ1691">
        <v>0</v>
      </c>
      <c r="BX1691" t="str">
        <f>"14:18:33.672"</f>
        <v>14:18:33.672</v>
      </c>
      <c r="BY1691" t="str">
        <f>"668290395"</f>
        <v>668290395</v>
      </c>
      <c r="CL1691">
        <v>0</v>
      </c>
      <c r="CM1691">
        <v>2</v>
      </c>
      <c r="CN1691">
        <v>0</v>
      </c>
      <c r="CO1691">
        <v>2</v>
      </c>
      <c r="CP1691">
        <v>0</v>
      </c>
      <c r="CQ1691">
        <v>6</v>
      </c>
      <c r="CR1691" t="s">
        <v>116</v>
      </c>
      <c r="CS1691">
        <v>39</v>
      </c>
      <c r="CT1691">
        <v>2</v>
      </c>
      <c r="CU1691" t="s">
        <v>2259</v>
      </c>
      <c r="CV1691" t="s">
        <v>2260</v>
      </c>
      <c r="CY1691">
        <v>16006060</v>
      </c>
      <c r="CZ1691" t="s">
        <v>119</v>
      </c>
    </row>
    <row r="1692" spans="1:104" x14ac:dyDescent="0.25">
      <c r="A1692" t="str">
        <f>"14:18:34.867"</f>
        <v>14:18:34.867</v>
      </c>
      <c r="B1692" t="s">
        <v>108</v>
      </c>
      <c r="C1692" t="str">
        <f t="shared" si="79"/>
        <v>ffdfd3c0</v>
      </c>
      <c r="D1692" t="s">
        <v>109</v>
      </c>
      <c r="E1692">
        <v>4</v>
      </c>
      <c r="F1692">
        <v>1004</v>
      </c>
      <c r="G1692" t="s">
        <v>110</v>
      </c>
      <c r="J1692" t="s">
        <v>111</v>
      </c>
      <c r="K1692">
        <v>0</v>
      </c>
      <c r="L1692">
        <v>3</v>
      </c>
      <c r="M1692">
        <v>0</v>
      </c>
      <c r="N1692">
        <v>2</v>
      </c>
      <c r="O1692">
        <v>1</v>
      </c>
      <c r="P1692">
        <v>0</v>
      </c>
      <c r="Q1692">
        <v>0</v>
      </c>
      <c r="R1692" t="s">
        <v>112</v>
      </c>
      <c r="S1692" t="str">
        <f>"14:18:34.672"</f>
        <v>14:18:34.672</v>
      </c>
      <c r="T1692" t="str">
        <f>"14:18:34.172"</f>
        <v>14:18:34.172</v>
      </c>
      <c r="U1692" t="str">
        <f t="shared" si="78"/>
        <v>ad5732</v>
      </c>
      <c r="V1692">
        <v>0</v>
      </c>
      <c r="W1692">
        <v>0</v>
      </c>
      <c r="X1692">
        <v>1</v>
      </c>
      <c r="Z1692">
        <v>0</v>
      </c>
      <c r="AA1692">
        <v>9</v>
      </c>
      <c r="AB1692">
        <v>3</v>
      </c>
      <c r="AC1692">
        <v>0</v>
      </c>
      <c r="AD1692">
        <v>10</v>
      </c>
      <c r="AE1692">
        <v>0</v>
      </c>
      <c r="AF1692">
        <v>3</v>
      </c>
      <c r="AG1692">
        <v>2</v>
      </c>
      <c r="AH1692">
        <v>0</v>
      </c>
      <c r="AI1692" t="s">
        <v>3487</v>
      </c>
      <c r="AJ1692">
        <v>39.722056000000002</v>
      </c>
      <c r="AK1692" t="s">
        <v>3488</v>
      </c>
      <c r="AL1692">
        <v>-76.159844000000007</v>
      </c>
      <c r="AM1692">
        <v>100</v>
      </c>
      <c r="AN1692">
        <v>4700</v>
      </c>
      <c r="AO1692" t="s">
        <v>115</v>
      </c>
      <c r="AP1692">
        <v>157</v>
      </c>
      <c r="AQ1692">
        <v>81</v>
      </c>
      <c r="AR1692">
        <v>0</v>
      </c>
      <c r="AZ1692">
        <v>3614</v>
      </c>
      <c r="BA1692">
        <v>1</v>
      </c>
      <c r="BB1692" t="str">
        <f t="shared" si="80"/>
        <v xml:space="preserve">N959MJ  </v>
      </c>
      <c r="BC1692">
        <v>1</v>
      </c>
      <c r="BE1692">
        <v>0</v>
      </c>
      <c r="BF1692">
        <v>0</v>
      </c>
      <c r="BG1692">
        <v>0</v>
      </c>
      <c r="BH1692">
        <v>4900</v>
      </c>
      <c r="BI1692">
        <v>200</v>
      </c>
      <c r="BJ1692">
        <v>1</v>
      </c>
      <c r="BK1692">
        <v>1</v>
      </c>
      <c r="BL1692">
        <v>1</v>
      </c>
      <c r="BM1692">
        <v>0</v>
      </c>
      <c r="BP1692">
        <v>0</v>
      </c>
      <c r="BQ1692">
        <v>0</v>
      </c>
      <c r="BX1692" t="str">
        <f>"14:18:34.672"</f>
        <v>14:18:34.672</v>
      </c>
      <c r="BY1692" t="str">
        <f>"674284635"</f>
        <v>674284635</v>
      </c>
      <c r="CL1692">
        <v>0</v>
      </c>
      <c r="CM1692">
        <v>2</v>
      </c>
      <c r="CN1692">
        <v>0</v>
      </c>
      <c r="CO1692">
        <v>2</v>
      </c>
      <c r="CP1692">
        <v>0</v>
      </c>
      <c r="CQ1692">
        <v>7</v>
      </c>
      <c r="CR1692" t="s">
        <v>116</v>
      </c>
      <c r="CS1692">
        <v>39</v>
      </c>
      <c r="CT1692">
        <v>2</v>
      </c>
      <c r="CU1692" t="s">
        <v>2259</v>
      </c>
      <c r="CV1692" t="s">
        <v>2260</v>
      </c>
      <c r="CY1692">
        <v>16007597</v>
      </c>
      <c r="CZ1692" t="s">
        <v>119</v>
      </c>
    </row>
    <row r="1693" spans="1:104" x14ac:dyDescent="0.25">
      <c r="A1693" t="str">
        <f>"14:18:35.875"</f>
        <v>14:18:35.875</v>
      </c>
      <c r="B1693" t="s">
        <v>108</v>
      </c>
      <c r="C1693" t="str">
        <f t="shared" si="79"/>
        <v>ffdfd3c0</v>
      </c>
      <c r="D1693" t="s">
        <v>109</v>
      </c>
      <c r="E1693">
        <v>4</v>
      </c>
      <c r="F1693">
        <v>1004</v>
      </c>
      <c r="G1693" t="s">
        <v>110</v>
      </c>
      <c r="J1693" t="s">
        <v>111</v>
      </c>
      <c r="K1693">
        <v>0</v>
      </c>
      <c r="L1693">
        <v>3</v>
      </c>
      <c r="M1693">
        <v>0</v>
      </c>
      <c r="N1693">
        <v>2</v>
      </c>
      <c r="O1693">
        <v>1</v>
      </c>
      <c r="P1693">
        <v>0</v>
      </c>
      <c r="Q1693">
        <v>0</v>
      </c>
      <c r="R1693" t="s">
        <v>112</v>
      </c>
      <c r="S1693" t="str">
        <f>"14:18:35.695"</f>
        <v>14:18:35.695</v>
      </c>
      <c r="T1693" t="str">
        <f>"14:18:35.195"</f>
        <v>14:18:35.195</v>
      </c>
      <c r="U1693" t="str">
        <f t="shared" si="78"/>
        <v>ad5732</v>
      </c>
      <c r="V1693">
        <v>0</v>
      </c>
      <c r="W1693">
        <v>0</v>
      </c>
      <c r="X1693">
        <v>1</v>
      </c>
      <c r="Z1693">
        <v>0</v>
      </c>
      <c r="AA1693">
        <v>9</v>
      </c>
      <c r="AB1693">
        <v>3</v>
      </c>
      <c r="AC1693">
        <v>0</v>
      </c>
      <c r="AD1693">
        <v>10</v>
      </c>
      <c r="AE1693">
        <v>0</v>
      </c>
      <c r="AF1693">
        <v>3</v>
      </c>
      <c r="AG1693">
        <v>2</v>
      </c>
      <c r="AH1693">
        <v>0</v>
      </c>
      <c r="AI1693" t="s">
        <v>3489</v>
      </c>
      <c r="AJ1693">
        <v>39.722442999999998</v>
      </c>
      <c r="AK1693" t="s">
        <v>3490</v>
      </c>
      <c r="AL1693">
        <v>-76.158771999999999</v>
      </c>
      <c r="AM1693">
        <v>100</v>
      </c>
      <c r="AN1693">
        <v>4700</v>
      </c>
      <c r="AO1693" t="s">
        <v>115</v>
      </c>
      <c r="AP1693">
        <v>157</v>
      </c>
      <c r="AQ1693">
        <v>81</v>
      </c>
      <c r="AR1693">
        <v>0</v>
      </c>
      <c r="AZ1693">
        <v>3614</v>
      </c>
      <c r="BA1693">
        <v>1</v>
      </c>
      <c r="BB1693" t="str">
        <f t="shared" si="80"/>
        <v xml:space="preserve">N959MJ  </v>
      </c>
      <c r="BC1693">
        <v>1</v>
      </c>
      <c r="BE1693">
        <v>0</v>
      </c>
      <c r="BF1693">
        <v>0</v>
      </c>
      <c r="BG1693">
        <v>0</v>
      </c>
      <c r="BH1693">
        <v>4900</v>
      </c>
      <c r="BI1693">
        <v>200</v>
      </c>
      <c r="BJ1693">
        <v>1</v>
      </c>
      <c r="BK1693">
        <v>1</v>
      </c>
      <c r="BL1693">
        <v>1</v>
      </c>
      <c r="BM1693">
        <v>0</v>
      </c>
      <c r="BP1693">
        <v>0</v>
      </c>
      <c r="BQ1693">
        <v>0</v>
      </c>
      <c r="BX1693" t="str">
        <f>"14:18:35.703"</f>
        <v>14:18:35.703</v>
      </c>
      <c r="BY1693" t="str">
        <f>"699902947"</f>
        <v>699902947</v>
      </c>
      <c r="CL1693">
        <v>0</v>
      </c>
      <c r="CM1693">
        <v>2</v>
      </c>
      <c r="CN1693">
        <v>0</v>
      </c>
      <c r="CO1693">
        <v>2</v>
      </c>
      <c r="CP1693">
        <v>0</v>
      </c>
      <c r="CQ1693">
        <v>6</v>
      </c>
      <c r="CR1693" t="s">
        <v>116</v>
      </c>
      <c r="CS1693">
        <v>396</v>
      </c>
      <c r="CT1693">
        <v>1</v>
      </c>
      <c r="CU1693" t="s">
        <v>939</v>
      </c>
      <c r="CV1693" t="s">
        <v>940</v>
      </c>
      <c r="CY1693">
        <v>9329035</v>
      </c>
      <c r="CZ1693" t="s">
        <v>119</v>
      </c>
    </row>
    <row r="1694" spans="1:104" x14ac:dyDescent="0.25">
      <c r="A1694" t="str">
        <f>"14:18:36.688"</f>
        <v>14:18:36.688</v>
      </c>
      <c r="B1694" t="s">
        <v>108</v>
      </c>
      <c r="C1694" t="str">
        <f t="shared" si="79"/>
        <v>ffdfd3c0</v>
      </c>
      <c r="D1694" t="s">
        <v>109</v>
      </c>
      <c r="E1694">
        <v>4</v>
      </c>
      <c r="F1694">
        <v>1004</v>
      </c>
      <c r="G1694" t="s">
        <v>110</v>
      </c>
      <c r="J1694" t="s">
        <v>111</v>
      </c>
      <c r="K1694">
        <v>0</v>
      </c>
      <c r="L1694">
        <v>3</v>
      </c>
      <c r="M1694">
        <v>0</v>
      </c>
      <c r="N1694">
        <v>2</v>
      </c>
      <c r="O1694">
        <v>1</v>
      </c>
      <c r="P1694">
        <v>0</v>
      </c>
      <c r="Q1694">
        <v>0</v>
      </c>
      <c r="R1694" t="s">
        <v>112</v>
      </c>
      <c r="S1694" t="str">
        <f>"14:18:36.508"</f>
        <v>14:18:36.508</v>
      </c>
      <c r="T1694" t="str">
        <f>"14:18:36.109"</f>
        <v>14:18:36.109</v>
      </c>
      <c r="U1694" t="str">
        <f t="shared" si="78"/>
        <v>ad5732</v>
      </c>
      <c r="V1694">
        <v>0</v>
      </c>
      <c r="W1694">
        <v>0</v>
      </c>
      <c r="X1694">
        <v>1</v>
      </c>
      <c r="Z1694">
        <v>0</v>
      </c>
      <c r="AA1694">
        <v>9</v>
      </c>
      <c r="AB1694">
        <v>3</v>
      </c>
      <c r="AC1694">
        <v>0</v>
      </c>
      <c r="AD1694">
        <v>10</v>
      </c>
      <c r="AE1694">
        <v>0</v>
      </c>
      <c r="AF1694">
        <v>3</v>
      </c>
      <c r="AG1694">
        <v>2</v>
      </c>
      <c r="AH1694">
        <v>0</v>
      </c>
      <c r="AI1694" t="s">
        <v>3491</v>
      </c>
      <c r="AJ1694">
        <v>39.722763999999998</v>
      </c>
      <c r="AK1694" t="s">
        <v>3492</v>
      </c>
      <c r="AL1694">
        <v>-76.158062999999999</v>
      </c>
      <c r="AM1694">
        <v>100</v>
      </c>
      <c r="AN1694">
        <v>4700</v>
      </c>
      <c r="AO1694" t="s">
        <v>115</v>
      </c>
      <c r="AP1694">
        <v>157</v>
      </c>
      <c r="AQ1694">
        <v>81</v>
      </c>
      <c r="AR1694">
        <v>0</v>
      </c>
      <c r="AZ1694">
        <v>3614</v>
      </c>
      <c r="BA1694">
        <v>1</v>
      </c>
      <c r="BB1694" t="str">
        <f t="shared" si="80"/>
        <v xml:space="preserve">N959MJ  </v>
      </c>
      <c r="BC1694">
        <v>1</v>
      </c>
      <c r="BE1694">
        <v>0</v>
      </c>
      <c r="BF1694">
        <v>0</v>
      </c>
      <c r="BG1694">
        <v>0</v>
      </c>
      <c r="BH1694">
        <v>4900</v>
      </c>
      <c r="BI1694">
        <v>200</v>
      </c>
      <c r="BJ1694">
        <v>1</v>
      </c>
      <c r="BK1694">
        <v>1</v>
      </c>
      <c r="BL1694">
        <v>1</v>
      </c>
      <c r="BM1694">
        <v>0</v>
      </c>
      <c r="BP1694">
        <v>0</v>
      </c>
      <c r="BQ1694">
        <v>0</v>
      </c>
      <c r="BX1694" t="str">
        <f>"14:18:36.508"</f>
        <v>14:18:36.508</v>
      </c>
      <c r="BY1694" t="str">
        <f>"510961554"</f>
        <v>510961554</v>
      </c>
      <c r="CL1694">
        <v>0</v>
      </c>
      <c r="CM1694">
        <v>2</v>
      </c>
      <c r="CN1694">
        <v>0</v>
      </c>
      <c r="CO1694">
        <v>2</v>
      </c>
      <c r="CP1694">
        <v>0</v>
      </c>
      <c r="CQ1694">
        <v>6</v>
      </c>
      <c r="CR1694" t="s">
        <v>116</v>
      </c>
      <c r="CS1694">
        <v>39</v>
      </c>
      <c r="CT1694">
        <v>2</v>
      </c>
      <c r="CU1694" t="s">
        <v>2259</v>
      </c>
      <c r="CV1694" t="s">
        <v>2260</v>
      </c>
      <c r="CY1694">
        <v>16010509</v>
      </c>
      <c r="CZ1694" t="s">
        <v>119</v>
      </c>
    </row>
    <row r="1695" spans="1:104" x14ac:dyDescent="0.25">
      <c r="A1695" t="str">
        <f>"14:18:37.695"</f>
        <v>14:18:37.695</v>
      </c>
      <c r="B1695" t="s">
        <v>108</v>
      </c>
      <c r="C1695" t="str">
        <f t="shared" si="79"/>
        <v>ffdfd3c0</v>
      </c>
      <c r="D1695" t="s">
        <v>109</v>
      </c>
      <c r="E1695">
        <v>4</v>
      </c>
      <c r="F1695">
        <v>1004</v>
      </c>
      <c r="G1695" t="s">
        <v>110</v>
      </c>
      <c r="J1695" t="s">
        <v>111</v>
      </c>
      <c r="K1695">
        <v>0</v>
      </c>
      <c r="L1695">
        <v>3</v>
      </c>
      <c r="M1695">
        <v>0</v>
      </c>
      <c r="N1695">
        <v>2</v>
      </c>
      <c r="O1695">
        <v>1</v>
      </c>
      <c r="P1695">
        <v>0</v>
      </c>
      <c r="Q1695">
        <v>0</v>
      </c>
      <c r="R1695" t="s">
        <v>112</v>
      </c>
      <c r="S1695" t="str">
        <f>"14:18:37.469"</f>
        <v>14:18:37.469</v>
      </c>
      <c r="T1695" t="str">
        <f>"14:18:37.070"</f>
        <v>14:18:37.070</v>
      </c>
      <c r="U1695" t="str">
        <f t="shared" si="78"/>
        <v>ad5732</v>
      </c>
      <c r="V1695">
        <v>0</v>
      </c>
      <c r="W1695">
        <v>0</v>
      </c>
      <c r="X1695">
        <v>1</v>
      </c>
      <c r="Z1695">
        <v>0</v>
      </c>
      <c r="AA1695">
        <v>9</v>
      </c>
      <c r="AB1695">
        <v>3</v>
      </c>
      <c r="AC1695">
        <v>0</v>
      </c>
      <c r="AD1695">
        <v>10</v>
      </c>
      <c r="AE1695">
        <v>0</v>
      </c>
      <c r="AF1695">
        <v>3</v>
      </c>
      <c r="AG1695">
        <v>2</v>
      </c>
      <c r="AH1695">
        <v>0</v>
      </c>
      <c r="AI1695" t="s">
        <v>3493</v>
      </c>
      <c r="AJ1695">
        <v>39.723108000000003</v>
      </c>
      <c r="AK1695" t="s">
        <v>3494</v>
      </c>
      <c r="AL1695">
        <v>-76.157162</v>
      </c>
      <c r="AM1695">
        <v>100</v>
      </c>
      <c r="AN1695">
        <v>4700</v>
      </c>
      <c r="AO1695" t="s">
        <v>115</v>
      </c>
      <c r="AP1695">
        <v>157</v>
      </c>
      <c r="AQ1695">
        <v>81</v>
      </c>
      <c r="AR1695">
        <v>0</v>
      </c>
      <c r="AZ1695">
        <v>3614</v>
      </c>
      <c r="BA1695">
        <v>1</v>
      </c>
      <c r="BB1695" t="str">
        <f t="shared" si="80"/>
        <v xml:space="preserve">N959MJ  </v>
      </c>
      <c r="BC1695">
        <v>1</v>
      </c>
      <c r="BE1695">
        <v>0</v>
      </c>
      <c r="BF1695">
        <v>0</v>
      </c>
      <c r="BG1695">
        <v>0</v>
      </c>
      <c r="BH1695">
        <v>4900</v>
      </c>
      <c r="BI1695">
        <v>200</v>
      </c>
      <c r="BJ1695">
        <v>1</v>
      </c>
      <c r="BK1695">
        <v>1</v>
      </c>
      <c r="BL1695">
        <v>1</v>
      </c>
      <c r="BM1695">
        <v>0</v>
      </c>
      <c r="BP1695">
        <v>0</v>
      </c>
      <c r="BQ1695">
        <v>0</v>
      </c>
      <c r="BX1695" t="str">
        <f>"14:18:37.477"</f>
        <v>14:18:37.477</v>
      </c>
      <c r="BY1695" t="str">
        <f>"474479634"</f>
        <v>474479634</v>
      </c>
      <c r="CL1695">
        <v>0</v>
      </c>
      <c r="CM1695">
        <v>2</v>
      </c>
      <c r="CN1695">
        <v>0</v>
      </c>
      <c r="CO1695">
        <v>2</v>
      </c>
      <c r="CP1695">
        <v>0</v>
      </c>
      <c r="CQ1695">
        <v>4</v>
      </c>
      <c r="CR1695" t="s">
        <v>116</v>
      </c>
      <c r="CS1695">
        <v>148</v>
      </c>
      <c r="CT1695">
        <v>2</v>
      </c>
      <c r="CU1695" t="s">
        <v>470</v>
      </c>
      <c r="CV1695" t="s">
        <v>471</v>
      </c>
      <c r="CY1695">
        <v>5388032</v>
      </c>
      <c r="CZ1695" t="s">
        <v>119</v>
      </c>
    </row>
    <row r="1696" spans="1:104" x14ac:dyDescent="0.25">
      <c r="A1696" t="str">
        <f>"14:18:38.758"</f>
        <v>14:18:38.758</v>
      </c>
      <c r="B1696" t="s">
        <v>108</v>
      </c>
      <c r="C1696" t="str">
        <f t="shared" si="79"/>
        <v>ffdfd3c0</v>
      </c>
      <c r="D1696" t="s">
        <v>109</v>
      </c>
      <c r="E1696">
        <v>4</v>
      </c>
      <c r="F1696">
        <v>1004</v>
      </c>
      <c r="G1696" t="s">
        <v>110</v>
      </c>
      <c r="J1696" t="s">
        <v>111</v>
      </c>
      <c r="K1696">
        <v>0</v>
      </c>
      <c r="L1696">
        <v>3</v>
      </c>
      <c r="M1696">
        <v>0</v>
      </c>
      <c r="N1696">
        <v>2</v>
      </c>
      <c r="O1696">
        <v>1</v>
      </c>
      <c r="P1696">
        <v>0</v>
      </c>
      <c r="Q1696">
        <v>0</v>
      </c>
      <c r="R1696" t="s">
        <v>112</v>
      </c>
      <c r="S1696" t="str">
        <f>"14:18:38.570"</f>
        <v>14:18:38.570</v>
      </c>
      <c r="T1696" t="str">
        <f>"14:18:38.070"</f>
        <v>14:18:38.070</v>
      </c>
      <c r="U1696" t="str">
        <f t="shared" si="78"/>
        <v>ad5732</v>
      </c>
      <c r="V1696">
        <v>0</v>
      </c>
      <c r="W1696">
        <v>0</v>
      </c>
      <c r="X1696">
        <v>1</v>
      </c>
      <c r="Z1696">
        <v>0</v>
      </c>
      <c r="AA1696">
        <v>9</v>
      </c>
      <c r="AB1696">
        <v>3</v>
      </c>
      <c r="AC1696">
        <v>0</v>
      </c>
      <c r="AD1696">
        <v>10</v>
      </c>
      <c r="AE1696">
        <v>0</v>
      </c>
      <c r="AF1696">
        <v>3</v>
      </c>
      <c r="AG1696">
        <v>2</v>
      </c>
      <c r="AH1696">
        <v>0</v>
      </c>
      <c r="AI1696" t="s">
        <v>3495</v>
      </c>
      <c r="AJ1696">
        <v>39.723494000000002</v>
      </c>
      <c r="AK1696" t="s">
        <v>3496</v>
      </c>
      <c r="AL1696">
        <v>-76.156154000000001</v>
      </c>
      <c r="AM1696">
        <v>100</v>
      </c>
      <c r="AN1696">
        <v>4700</v>
      </c>
      <c r="AO1696" t="s">
        <v>115</v>
      </c>
      <c r="AP1696">
        <v>157</v>
      </c>
      <c r="AQ1696">
        <v>81</v>
      </c>
      <c r="AR1696">
        <v>0</v>
      </c>
      <c r="AZ1696">
        <v>3614</v>
      </c>
      <c r="BA1696">
        <v>1</v>
      </c>
      <c r="BB1696" t="str">
        <f t="shared" si="80"/>
        <v xml:space="preserve">N959MJ  </v>
      </c>
      <c r="BC1696">
        <v>1</v>
      </c>
      <c r="BE1696">
        <v>0</v>
      </c>
      <c r="BF1696">
        <v>0</v>
      </c>
      <c r="BG1696">
        <v>0</v>
      </c>
      <c r="BH1696">
        <v>4900</v>
      </c>
      <c r="BI1696">
        <v>200</v>
      </c>
      <c r="BJ1696">
        <v>1</v>
      </c>
      <c r="BK1696">
        <v>1</v>
      </c>
      <c r="BL1696">
        <v>1</v>
      </c>
      <c r="BM1696">
        <v>0</v>
      </c>
      <c r="BP1696">
        <v>0</v>
      </c>
      <c r="BQ1696">
        <v>0</v>
      </c>
      <c r="BX1696" t="str">
        <f>"14:18:38.578"</f>
        <v>14:18:38.578</v>
      </c>
      <c r="BY1696" t="str">
        <f>"577018390"</f>
        <v>577018390</v>
      </c>
      <c r="CL1696">
        <v>0</v>
      </c>
      <c r="CM1696">
        <v>2</v>
      </c>
      <c r="CN1696">
        <v>0</v>
      </c>
      <c r="CO1696">
        <v>2</v>
      </c>
      <c r="CP1696">
        <v>0</v>
      </c>
      <c r="CQ1696">
        <v>6</v>
      </c>
      <c r="CR1696" t="s">
        <v>116</v>
      </c>
      <c r="CS1696">
        <v>39</v>
      </c>
      <c r="CT1696">
        <v>2</v>
      </c>
      <c r="CU1696" t="s">
        <v>2259</v>
      </c>
      <c r="CV1696" t="s">
        <v>2260</v>
      </c>
      <c r="CY1696">
        <v>16013758</v>
      </c>
      <c r="CZ1696" t="s">
        <v>119</v>
      </c>
    </row>
    <row r="1697" spans="1:104" x14ac:dyDescent="0.25">
      <c r="A1697" t="str">
        <f>"14:18:39.664"</f>
        <v>14:18:39.664</v>
      </c>
      <c r="B1697" t="s">
        <v>108</v>
      </c>
      <c r="C1697" t="str">
        <f t="shared" si="79"/>
        <v>ffdfd3c0</v>
      </c>
      <c r="D1697" t="s">
        <v>109</v>
      </c>
      <c r="E1697">
        <v>4</v>
      </c>
      <c r="F1697">
        <v>1004</v>
      </c>
      <c r="G1697" t="s">
        <v>110</v>
      </c>
      <c r="J1697" t="s">
        <v>111</v>
      </c>
      <c r="K1697">
        <v>0</v>
      </c>
      <c r="L1697">
        <v>3</v>
      </c>
      <c r="M1697">
        <v>0</v>
      </c>
      <c r="N1697">
        <v>2</v>
      </c>
      <c r="O1697">
        <v>1</v>
      </c>
      <c r="P1697">
        <v>0</v>
      </c>
      <c r="Q1697">
        <v>0</v>
      </c>
      <c r="R1697" t="s">
        <v>112</v>
      </c>
      <c r="S1697" t="str">
        <f>"14:18:39.453"</f>
        <v>14:18:39.453</v>
      </c>
      <c r="T1697" t="str">
        <f>"14:18:39.055"</f>
        <v>14:18:39.055</v>
      </c>
      <c r="U1697" t="str">
        <f t="shared" si="78"/>
        <v>ad5732</v>
      </c>
      <c r="V1697">
        <v>0</v>
      </c>
      <c r="W1697">
        <v>0</v>
      </c>
      <c r="X1697">
        <v>1</v>
      </c>
      <c r="Z1697">
        <v>0</v>
      </c>
      <c r="AA1697">
        <v>9</v>
      </c>
      <c r="AB1697">
        <v>3</v>
      </c>
      <c r="AC1697">
        <v>0</v>
      </c>
      <c r="AD1697">
        <v>10</v>
      </c>
      <c r="AE1697">
        <v>0</v>
      </c>
      <c r="AF1697">
        <v>3</v>
      </c>
      <c r="AG1697">
        <v>2</v>
      </c>
      <c r="AH1697">
        <v>0</v>
      </c>
      <c r="AI1697" t="s">
        <v>3497</v>
      </c>
      <c r="AJ1697">
        <v>39.723858999999997</v>
      </c>
      <c r="AK1697" t="s">
        <v>3498</v>
      </c>
      <c r="AL1697">
        <v>-76.155338</v>
      </c>
      <c r="AM1697">
        <v>100</v>
      </c>
      <c r="AN1697">
        <v>4700</v>
      </c>
      <c r="AO1697" t="s">
        <v>115</v>
      </c>
      <c r="AP1697">
        <v>157</v>
      </c>
      <c r="AQ1697">
        <v>81</v>
      </c>
      <c r="AR1697">
        <v>0</v>
      </c>
      <c r="AZ1697">
        <v>3614</v>
      </c>
      <c r="BA1697">
        <v>1</v>
      </c>
      <c r="BB1697" t="str">
        <f t="shared" si="80"/>
        <v xml:space="preserve">N959MJ  </v>
      </c>
      <c r="BC1697">
        <v>1</v>
      </c>
      <c r="BE1697">
        <v>0</v>
      </c>
      <c r="BF1697">
        <v>0</v>
      </c>
      <c r="BG1697">
        <v>0</v>
      </c>
      <c r="BH1697">
        <v>4900</v>
      </c>
      <c r="BI1697">
        <v>200</v>
      </c>
      <c r="BJ1697">
        <v>1</v>
      </c>
      <c r="BK1697">
        <v>1</v>
      </c>
      <c r="BL1697">
        <v>1</v>
      </c>
      <c r="BM1697">
        <v>0</v>
      </c>
      <c r="BP1697">
        <v>0</v>
      </c>
      <c r="BQ1697">
        <v>0</v>
      </c>
      <c r="BX1697" t="str">
        <f>"14:18:39.461"</f>
        <v>14:18:39.461</v>
      </c>
      <c r="BY1697" t="str">
        <f>"458492068"</f>
        <v>458492068</v>
      </c>
      <c r="CL1697">
        <v>0</v>
      </c>
      <c r="CM1697">
        <v>2</v>
      </c>
      <c r="CN1697">
        <v>0</v>
      </c>
      <c r="CO1697">
        <v>2</v>
      </c>
      <c r="CP1697">
        <v>0</v>
      </c>
      <c r="CQ1697">
        <v>6</v>
      </c>
      <c r="CR1697" t="s">
        <v>116</v>
      </c>
      <c r="CS1697">
        <v>39</v>
      </c>
      <c r="CT1697">
        <v>2</v>
      </c>
      <c r="CU1697" t="s">
        <v>2259</v>
      </c>
      <c r="CV1697" t="s">
        <v>2260</v>
      </c>
      <c r="CY1697">
        <v>16015228</v>
      </c>
      <c r="CZ1697" t="s">
        <v>119</v>
      </c>
    </row>
    <row r="1698" spans="1:104" x14ac:dyDescent="0.25">
      <c r="A1698" t="str">
        <f>"14:18:40.523"</f>
        <v>14:18:40.523</v>
      </c>
      <c r="B1698" t="s">
        <v>108</v>
      </c>
      <c r="C1698" t="str">
        <f t="shared" si="79"/>
        <v>ffdfd3c0</v>
      </c>
      <c r="D1698" t="s">
        <v>109</v>
      </c>
      <c r="E1698">
        <v>4</v>
      </c>
      <c r="F1698">
        <v>1004</v>
      </c>
      <c r="G1698" t="s">
        <v>110</v>
      </c>
      <c r="J1698" t="s">
        <v>111</v>
      </c>
      <c r="K1698">
        <v>0</v>
      </c>
      <c r="L1698">
        <v>3</v>
      </c>
      <c r="M1698">
        <v>0</v>
      </c>
      <c r="N1698">
        <v>2</v>
      </c>
      <c r="O1698">
        <v>1</v>
      </c>
      <c r="P1698">
        <v>0</v>
      </c>
      <c r="Q1698">
        <v>0</v>
      </c>
      <c r="R1698" t="s">
        <v>112</v>
      </c>
      <c r="S1698" t="str">
        <f>"14:18:40.359"</f>
        <v>14:18:40.359</v>
      </c>
      <c r="T1698" t="str">
        <f>"14:18:39.961"</f>
        <v>14:18:39.961</v>
      </c>
      <c r="U1698" t="str">
        <f t="shared" si="78"/>
        <v>ad5732</v>
      </c>
      <c r="V1698">
        <v>0</v>
      </c>
      <c r="W1698">
        <v>0</v>
      </c>
      <c r="X1698">
        <v>1</v>
      </c>
      <c r="Z1698">
        <v>0</v>
      </c>
      <c r="AA1698">
        <v>9</v>
      </c>
      <c r="AB1698">
        <v>3</v>
      </c>
      <c r="AC1698">
        <v>0</v>
      </c>
      <c r="AD1698">
        <v>10</v>
      </c>
      <c r="AE1698">
        <v>0</v>
      </c>
      <c r="AF1698">
        <v>3</v>
      </c>
      <c r="AG1698">
        <v>2</v>
      </c>
      <c r="AH1698">
        <v>0</v>
      </c>
      <c r="AI1698" t="s">
        <v>3499</v>
      </c>
      <c r="AJ1698">
        <v>39.724181000000002</v>
      </c>
      <c r="AK1698" t="s">
        <v>3500</v>
      </c>
      <c r="AL1698">
        <v>-76.154480000000007</v>
      </c>
      <c r="AM1698">
        <v>100</v>
      </c>
      <c r="AN1698">
        <v>4700</v>
      </c>
      <c r="AO1698" t="s">
        <v>115</v>
      </c>
      <c r="AP1698">
        <v>157</v>
      </c>
      <c r="AQ1698">
        <v>81</v>
      </c>
      <c r="AR1698">
        <v>0</v>
      </c>
      <c r="AZ1698">
        <v>3614</v>
      </c>
      <c r="BA1698">
        <v>1</v>
      </c>
      <c r="BB1698" t="str">
        <f t="shared" si="80"/>
        <v xml:space="preserve">N959MJ  </v>
      </c>
      <c r="BC1698">
        <v>1</v>
      </c>
      <c r="BE1698">
        <v>0</v>
      </c>
      <c r="BF1698">
        <v>0</v>
      </c>
      <c r="BG1698">
        <v>0</v>
      </c>
      <c r="BH1698">
        <v>4900</v>
      </c>
      <c r="BI1698">
        <v>200</v>
      </c>
      <c r="BJ1698">
        <v>1</v>
      </c>
      <c r="BK1698">
        <v>1</v>
      </c>
      <c r="BL1698">
        <v>1</v>
      </c>
      <c r="BM1698">
        <v>0</v>
      </c>
      <c r="BP1698">
        <v>0</v>
      </c>
      <c r="BQ1698">
        <v>0</v>
      </c>
      <c r="BX1698" t="str">
        <f>"14:18:40.367"</f>
        <v>14:18:40.367</v>
      </c>
      <c r="BY1698" t="str">
        <f>"366276168"</f>
        <v>366276168</v>
      </c>
      <c r="CL1698">
        <v>0</v>
      </c>
      <c r="CM1698">
        <v>2</v>
      </c>
      <c r="CN1698">
        <v>0</v>
      </c>
      <c r="CO1698">
        <v>2</v>
      </c>
      <c r="CP1698">
        <v>0</v>
      </c>
      <c r="CQ1698">
        <v>5</v>
      </c>
      <c r="CR1698" t="s">
        <v>116</v>
      </c>
      <c r="CS1698">
        <v>372</v>
      </c>
      <c r="CT1698">
        <v>3</v>
      </c>
      <c r="CU1698" t="s">
        <v>877</v>
      </c>
      <c r="CV1698" t="s">
        <v>878</v>
      </c>
      <c r="CY1698">
        <v>12403542</v>
      </c>
      <c r="CZ1698" t="s">
        <v>119</v>
      </c>
    </row>
    <row r="1699" spans="1:104" x14ac:dyDescent="0.25">
      <c r="A1699" t="str">
        <f>"14:18:41.477"</f>
        <v>14:18:41.477</v>
      </c>
      <c r="B1699" t="s">
        <v>108</v>
      </c>
      <c r="C1699" t="str">
        <f t="shared" si="79"/>
        <v>ffdfd3c0</v>
      </c>
      <c r="D1699" t="s">
        <v>109</v>
      </c>
      <c r="E1699">
        <v>4</v>
      </c>
      <c r="F1699">
        <v>1004</v>
      </c>
      <c r="G1699" t="s">
        <v>110</v>
      </c>
      <c r="J1699" t="s">
        <v>111</v>
      </c>
      <c r="K1699">
        <v>0</v>
      </c>
      <c r="L1699">
        <v>3</v>
      </c>
      <c r="M1699">
        <v>0</v>
      </c>
      <c r="N1699">
        <v>2</v>
      </c>
      <c r="O1699">
        <v>1</v>
      </c>
      <c r="P1699">
        <v>0</v>
      </c>
      <c r="Q1699">
        <v>0</v>
      </c>
      <c r="R1699" t="s">
        <v>112</v>
      </c>
      <c r="S1699" t="str">
        <f>"14:18:41.273"</f>
        <v>14:18:41.273</v>
      </c>
      <c r="T1699" t="str">
        <f>"14:18:40.875"</f>
        <v>14:18:40.875</v>
      </c>
      <c r="U1699" t="str">
        <f t="shared" si="78"/>
        <v>ad5732</v>
      </c>
      <c r="V1699">
        <v>0</v>
      </c>
      <c r="W1699">
        <v>0</v>
      </c>
      <c r="X1699">
        <v>1</v>
      </c>
      <c r="Z1699">
        <v>0</v>
      </c>
      <c r="AA1699">
        <v>9</v>
      </c>
      <c r="AB1699">
        <v>3</v>
      </c>
      <c r="AC1699">
        <v>0</v>
      </c>
      <c r="AD1699">
        <v>10</v>
      </c>
      <c r="AE1699">
        <v>0</v>
      </c>
      <c r="AF1699">
        <v>3</v>
      </c>
      <c r="AG1699">
        <v>2</v>
      </c>
      <c r="AH1699">
        <v>0</v>
      </c>
      <c r="AI1699" t="s">
        <v>3501</v>
      </c>
      <c r="AJ1699">
        <v>39.724524000000002</v>
      </c>
      <c r="AK1699" t="s">
        <v>3502</v>
      </c>
      <c r="AL1699">
        <v>-76.153621999999999</v>
      </c>
      <c r="AM1699">
        <v>100</v>
      </c>
      <c r="AN1699">
        <v>4700</v>
      </c>
      <c r="AO1699" t="s">
        <v>115</v>
      </c>
      <c r="AP1699">
        <v>157</v>
      </c>
      <c r="AQ1699">
        <v>81</v>
      </c>
      <c r="AR1699">
        <v>0</v>
      </c>
      <c r="AZ1699">
        <v>3614</v>
      </c>
      <c r="BA1699">
        <v>1</v>
      </c>
      <c r="BB1699" t="str">
        <f t="shared" si="80"/>
        <v xml:space="preserve">N959MJ  </v>
      </c>
      <c r="BC1699">
        <v>1</v>
      </c>
      <c r="BE1699">
        <v>0</v>
      </c>
      <c r="BF1699">
        <v>0</v>
      </c>
      <c r="BG1699">
        <v>0</v>
      </c>
      <c r="BH1699">
        <v>4900</v>
      </c>
      <c r="BI1699">
        <v>200</v>
      </c>
      <c r="BJ1699">
        <v>1</v>
      </c>
      <c r="BK1699">
        <v>1</v>
      </c>
      <c r="BL1699">
        <v>1</v>
      </c>
      <c r="BM1699">
        <v>0</v>
      </c>
      <c r="BP1699">
        <v>0</v>
      </c>
      <c r="BQ1699">
        <v>0</v>
      </c>
      <c r="BX1699" t="str">
        <f>"14:18:41.273"</f>
        <v>14:18:41.273</v>
      </c>
      <c r="BY1699" t="str">
        <f>"277146241"</f>
        <v>277146241</v>
      </c>
      <c r="CL1699">
        <v>0</v>
      </c>
      <c r="CM1699">
        <v>2</v>
      </c>
      <c r="CN1699">
        <v>0</v>
      </c>
      <c r="CO1699">
        <v>2</v>
      </c>
      <c r="CP1699">
        <v>0</v>
      </c>
      <c r="CQ1699">
        <v>6</v>
      </c>
      <c r="CR1699" t="s">
        <v>116</v>
      </c>
      <c r="CS1699">
        <v>39</v>
      </c>
      <c r="CT1699">
        <v>2</v>
      </c>
      <c r="CU1699" t="s">
        <v>2259</v>
      </c>
      <c r="CV1699" t="s">
        <v>2260</v>
      </c>
      <c r="CY1699">
        <v>16018068</v>
      </c>
      <c r="CZ1699" t="s">
        <v>119</v>
      </c>
    </row>
    <row r="1700" spans="1:104" x14ac:dyDescent="0.25">
      <c r="A1700" t="str">
        <f>"14:18:42.539"</f>
        <v>14:18:42.539</v>
      </c>
      <c r="B1700" t="s">
        <v>108</v>
      </c>
      <c r="C1700" t="str">
        <f t="shared" si="79"/>
        <v>ffdfd3c0</v>
      </c>
      <c r="D1700" t="s">
        <v>109</v>
      </c>
      <c r="E1700">
        <v>4</v>
      </c>
      <c r="F1700">
        <v>1004</v>
      </c>
      <c r="G1700" t="s">
        <v>110</v>
      </c>
      <c r="J1700" t="s">
        <v>111</v>
      </c>
      <c r="K1700">
        <v>0</v>
      </c>
      <c r="L1700">
        <v>3</v>
      </c>
      <c r="M1700">
        <v>0</v>
      </c>
      <c r="N1700">
        <v>2</v>
      </c>
      <c r="O1700">
        <v>1</v>
      </c>
      <c r="P1700">
        <v>0</v>
      </c>
      <c r="Q1700">
        <v>0</v>
      </c>
      <c r="R1700" t="s">
        <v>112</v>
      </c>
      <c r="S1700" t="str">
        <f>"14:18:42.352"</f>
        <v>14:18:42.352</v>
      </c>
      <c r="T1700" t="str">
        <f>"14:18:41.852"</f>
        <v>14:18:41.852</v>
      </c>
      <c r="U1700" t="str">
        <f t="shared" si="78"/>
        <v>ad5732</v>
      </c>
      <c r="V1700">
        <v>0</v>
      </c>
      <c r="W1700">
        <v>0</v>
      </c>
      <c r="X1700">
        <v>1</v>
      </c>
      <c r="Z1700">
        <v>0</v>
      </c>
      <c r="AA1700">
        <v>9</v>
      </c>
      <c r="AB1700">
        <v>3</v>
      </c>
      <c r="AC1700">
        <v>0</v>
      </c>
      <c r="AD1700">
        <v>10</v>
      </c>
      <c r="AE1700">
        <v>0</v>
      </c>
      <c r="AF1700">
        <v>3</v>
      </c>
      <c r="AG1700">
        <v>2</v>
      </c>
      <c r="AH1700">
        <v>0</v>
      </c>
      <c r="AI1700" t="s">
        <v>3503</v>
      </c>
      <c r="AJ1700">
        <v>39.724952999999999</v>
      </c>
      <c r="AK1700" t="s">
        <v>3504</v>
      </c>
      <c r="AL1700">
        <v>-76.152569999999997</v>
      </c>
      <c r="AM1700">
        <v>100</v>
      </c>
      <c r="AN1700">
        <v>4700</v>
      </c>
      <c r="AO1700" t="s">
        <v>115</v>
      </c>
      <c r="AP1700">
        <v>157</v>
      </c>
      <c r="AQ1700">
        <v>81</v>
      </c>
      <c r="AR1700">
        <v>0</v>
      </c>
      <c r="AZ1700">
        <v>3614</v>
      </c>
      <c r="BA1700">
        <v>1</v>
      </c>
      <c r="BB1700" t="str">
        <f t="shared" si="80"/>
        <v xml:space="preserve">N959MJ  </v>
      </c>
      <c r="BC1700">
        <v>1</v>
      </c>
      <c r="BE1700">
        <v>0</v>
      </c>
      <c r="BF1700">
        <v>0</v>
      </c>
      <c r="BG1700">
        <v>0</v>
      </c>
      <c r="BH1700">
        <v>4900</v>
      </c>
      <c r="BI1700">
        <v>200</v>
      </c>
      <c r="BJ1700">
        <v>1</v>
      </c>
      <c r="BK1700">
        <v>1</v>
      </c>
      <c r="BL1700">
        <v>1</v>
      </c>
      <c r="BM1700">
        <v>0</v>
      </c>
      <c r="BP1700">
        <v>0</v>
      </c>
      <c r="BQ1700">
        <v>0</v>
      </c>
      <c r="BX1700" t="str">
        <f>"14:18:42.359"</f>
        <v>14:18:42.359</v>
      </c>
      <c r="BY1700" t="str">
        <f>"358508243"</f>
        <v>358508243</v>
      </c>
      <c r="CL1700">
        <v>0</v>
      </c>
      <c r="CM1700">
        <v>2</v>
      </c>
      <c r="CN1700">
        <v>0</v>
      </c>
      <c r="CO1700">
        <v>2</v>
      </c>
      <c r="CP1700">
        <v>0</v>
      </c>
      <c r="CQ1700">
        <v>6</v>
      </c>
      <c r="CR1700" t="s">
        <v>116</v>
      </c>
      <c r="CS1700">
        <v>39</v>
      </c>
      <c r="CT1700">
        <v>2</v>
      </c>
      <c r="CU1700" t="s">
        <v>2259</v>
      </c>
      <c r="CV1700" t="s">
        <v>2260</v>
      </c>
      <c r="CY1700">
        <v>16019699</v>
      </c>
      <c r="CZ1700" t="s">
        <v>119</v>
      </c>
    </row>
    <row r="1701" spans="1:104" x14ac:dyDescent="0.25">
      <c r="A1701" t="str">
        <f>"14:18:43.547"</f>
        <v>14:18:43.547</v>
      </c>
      <c r="B1701" t="s">
        <v>108</v>
      </c>
      <c r="C1701" t="str">
        <f t="shared" si="79"/>
        <v>ffdfd3c0</v>
      </c>
      <c r="D1701" t="s">
        <v>109</v>
      </c>
      <c r="E1701">
        <v>4</v>
      </c>
      <c r="F1701">
        <v>1004</v>
      </c>
      <c r="G1701" t="s">
        <v>110</v>
      </c>
      <c r="J1701" t="s">
        <v>111</v>
      </c>
      <c r="K1701">
        <v>0</v>
      </c>
      <c r="L1701">
        <v>3</v>
      </c>
      <c r="M1701">
        <v>0</v>
      </c>
      <c r="N1701">
        <v>2</v>
      </c>
      <c r="O1701">
        <v>1</v>
      </c>
      <c r="P1701">
        <v>0</v>
      </c>
      <c r="Q1701">
        <v>0</v>
      </c>
      <c r="R1701" t="s">
        <v>112</v>
      </c>
      <c r="S1701" t="str">
        <f>"14:18:43.375"</f>
        <v>14:18:43.375</v>
      </c>
      <c r="T1701" t="str">
        <f>"14:18:42.875"</f>
        <v>14:18:42.875</v>
      </c>
      <c r="U1701" t="str">
        <f t="shared" si="78"/>
        <v>ad5732</v>
      </c>
      <c r="V1701">
        <v>0</v>
      </c>
      <c r="W1701">
        <v>0</v>
      </c>
      <c r="X1701">
        <v>1</v>
      </c>
      <c r="Z1701">
        <v>0</v>
      </c>
      <c r="AA1701">
        <v>9</v>
      </c>
      <c r="AB1701">
        <v>3</v>
      </c>
      <c r="AC1701">
        <v>0</v>
      </c>
      <c r="AD1701">
        <v>10</v>
      </c>
      <c r="AE1701">
        <v>0</v>
      </c>
      <c r="AF1701">
        <v>3</v>
      </c>
      <c r="AG1701">
        <v>2</v>
      </c>
      <c r="AH1701">
        <v>0</v>
      </c>
      <c r="AI1701" t="s">
        <v>3505</v>
      </c>
      <c r="AJ1701">
        <v>39.725318000000001</v>
      </c>
      <c r="AK1701" t="s">
        <v>3506</v>
      </c>
      <c r="AL1701">
        <v>-76.151668999999998</v>
      </c>
      <c r="AM1701">
        <v>100</v>
      </c>
      <c r="AN1701">
        <v>4700</v>
      </c>
      <c r="AO1701" t="s">
        <v>115</v>
      </c>
      <c r="AP1701">
        <v>156</v>
      </c>
      <c r="AQ1701">
        <v>82</v>
      </c>
      <c r="AR1701">
        <v>0</v>
      </c>
      <c r="AZ1701">
        <v>3614</v>
      </c>
      <c r="BA1701">
        <v>1</v>
      </c>
      <c r="BB1701" t="str">
        <f t="shared" si="80"/>
        <v xml:space="preserve">N959MJ  </v>
      </c>
      <c r="BC1701">
        <v>1</v>
      </c>
      <c r="BE1701">
        <v>0</v>
      </c>
      <c r="BF1701">
        <v>0</v>
      </c>
      <c r="BG1701">
        <v>0</v>
      </c>
      <c r="BH1701">
        <v>4900</v>
      </c>
      <c r="BI1701">
        <v>200</v>
      </c>
      <c r="BJ1701">
        <v>1</v>
      </c>
      <c r="BK1701">
        <v>1</v>
      </c>
      <c r="BL1701">
        <v>1</v>
      </c>
      <c r="BM1701">
        <v>0</v>
      </c>
      <c r="BP1701">
        <v>0</v>
      </c>
      <c r="BQ1701">
        <v>0</v>
      </c>
      <c r="BX1701" t="str">
        <f>"14:18:43.383"</f>
        <v>14:18:43.383</v>
      </c>
      <c r="BY1701" t="str">
        <f>"379214618"</f>
        <v>379214618</v>
      </c>
      <c r="CL1701">
        <v>0</v>
      </c>
      <c r="CM1701">
        <v>2</v>
      </c>
      <c r="CN1701">
        <v>0</v>
      </c>
      <c r="CO1701">
        <v>2</v>
      </c>
      <c r="CP1701">
        <v>0</v>
      </c>
      <c r="CQ1701">
        <v>6</v>
      </c>
      <c r="CR1701" t="s">
        <v>116</v>
      </c>
      <c r="CS1701">
        <v>396</v>
      </c>
      <c r="CT1701">
        <v>1</v>
      </c>
      <c r="CU1701" t="s">
        <v>939</v>
      </c>
      <c r="CV1701" t="s">
        <v>940</v>
      </c>
      <c r="CY1701">
        <v>9342793</v>
      </c>
      <c r="CZ1701" t="s">
        <v>119</v>
      </c>
    </row>
    <row r="1702" spans="1:104" x14ac:dyDescent="0.25">
      <c r="A1702" t="str">
        <f>"14:18:44.555"</f>
        <v>14:18:44.555</v>
      </c>
      <c r="B1702" t="s">
        <v>108</v>
      </c>
      <c r="C1702" t="str">
        <f t="shared" si="79"/>
        <v>ffdfd3c0</v>
      </c>
      <c r="D1702" t="s">
        <v>109</v>
      </c>
      <c r="E1702">
        <v>4</v>
      </c>
      <c r="F1702">
        <v>1004</v>
      </c>
      <c r="G1702" t="s">
        <v>110</v>
      </c>
      <c r="J1702" t="s">
        <v>111</v>
      </c>
      <c r="K1702">
        <v>0</v>
      </c>
      <c r="L1702">
        <v>3</v>
      </c>
      <c r="M1702">
        <v>0</v>
      </c>
      <c r="N1702">
        <v>2</v>
      </c>
      <c r="O1702">
        <v>1</v>
      </c>
      <c r="P1702">
        <v>0</v>
      </c>
      <c r="Q1702">
        <v>0</v>
      </c>
      <c r="R1702" t="s">
        <v>112</v>
      </c>
      <c r="S1702" t="str">
        <f>"14:18:44.383"</f>
        <v>14:18:44.383</v>
      </c>
      <c r="T1702" t="str">
        <f>"14:18:43.984"</f>
        <v>14:18:43.984</v>
      </c>
      <c r="U1702" t="str">
        <f t="shared" si="78"/>
        <v>ad5732</v>
      </c>
      <c r="V1702">
        <v>0</v>
      </c>
      <c r="W1702">
        <v>0</v>
      </c>
      <c r="X1702">
        <v>1</v>
      </c>
      <c r="Z1702">
        <v>0</v>
      </c>
      <c r="AA1702">
        <v>9</v>
      </c>
      <c r="AB1702">
        <v>3</v>
      </c>
      <c r="AC1702">
        <v>0</v>
      </c>
      <c r="AD1702">
        <v>10</v>
      </c>
      <c r="AE1702">
        <v>0</v>
      </c>
      <c r="AF1702">
        <v>3</v>
      </c>
      <c r="AG1702">
        <v>2</v>
      </c>
      <c r="AH1702">
        <v>0</v>
      </c>
      <c r="AI1702" t="s">
        <v>3507</v>
      </c>
      <c r="AJ1702">
        <v>39.725682999999997</v>
      </c>
      <c r="AK1702" t="s">
        <v>3508</v>
      </c>
      <c r="AL1702">
        <v>-76.150724999999994</v>
      </c>
      <c r="AM1702">
        <v>100</v>
      </c>
      <c r="AN1702">
        <v>4700</v>
      </c>
      <c r="AO1702" t="s">
        <v>115</v>
      </c>
      <c r="AP1702">
        <v>156</v>
      </c>
      <c r="AQ1702">
        <v>82</v>
      </c>
      <c r="AR1702">
        <v>0</v>
      </c>
      <c r="AZ1702">
        <v>3614</v>
      </c>
      <c r="BA1702">
        <v>1</v>
      </c>
      <c r="BB1702" t="str">
        <f t="shared" si="80"/>
        <v xml:space="preserve">N959MJ  </v>
      </c>
      <c r="BC1702">
        <v>1</v>
      </c>
      <c r="BE1702">
        <v>0</v>
      </c>
      <c r="BF1702">
        <v>0</v>
      </c>
      <c r="BG1702">
        <v>0</v>
      </c>
      <c r="BH1702">
        <v>4900</v>
      </c>
      <c r="BI1702">
        <v>200</v>
      </c>
      <c r="BJ1702">
        <v>1</v>
      </c>
      <c r="BK1702">
        <v>1</v>
      </c>
      <c r="BL1702">
        <v>1</v>
      </c>
      <c r="BM1702">
        <v>0</v>
      </c>
      <c r="BP1702">
        <v>0</v>
      </c>
      <c r="BQ1702">
        <v>0</v>
      </c>
      <c r="BX1702" t="str">
        <f>"14:18:44.383"</f>
        <v>14:18:44.383</v>
      </c>
      <c r="BY1702" t="str">
        <f>"385242628"</f>
        <v>385242628</v>
      </c>
      <c r="CL1702">
        <v>0</v>
      </c>
      <c r="CM1702">
        <v>2</v>
      </c>
      <c r="CN1702">
        <v>0</v>
      </c>
      <c r="CO1702">
        <v>2</v>
      </c>
      <c r="CP1702">
        <v>0</v>
      </c>
      <c r="CQ1702">
        <v>6</v>
      </c>
      <c r="CR1702" t="s">
        <v>116</v>
      </c>
      <c r="CS1702">
        <v>39</v>
      </c>
      <c r="CT1702">
        <v>2</v>
      </c>
      <c r="CU1702" t="s">
        <v>2259</v>
      </c>
      <c r="CV1702" t="s">
        <v>2260</v>
      </c>
      <c r="CY1702">
        <v>16023029</v>
      </c>
      <c r="CZ1702" t="s">
        <v>119</v>
      </c>
    </row>
    <row r="1703" spans="1:104" x14ac:dyDescent="0.25">
      <c r="A1703" t="str">
        <f>"14:18:45.617"</f>
        <v>14:18:45.617</v>
      </c>
      <c r="B1703" t="s">
        <v>108</v>
      </c>
      <c r="C1703" t="str">
        <f t="shared" si="79"/>
        <v>ffdfd3c0</v>
      </c>
      <c r="D1703" t="s">
        <v>109</v>
      </c>
      <c r="E1703">
        <v>4</v>
      </c>
      <c r="F1703">
        <v>1004</v>
      </c>
      <c r="G1703" t="s">
        <v>110</v>
      </c>
      <c r="J1703" t="s">
        <v>111</v>
      </c>
      <c r="K1703">
        <v>0</v>
      </c>
      <c r="L1703">
        <v>3</v>
      </c>
      <c r="M1703">
        <v>0</v>
      </c>
      <c r="N1703">
        <v>2</v>
      </c>
      <c r="O1703">
        <v>1</v>
      </c>
      <c r="P1703">
        <v>0</v>
      </c>
      <c r="Q1703">
        <v>0</v>
      </c>
      <c r="R1703" t="s">
        <v>112</v>
      </c>
      <c r="S1703" t="str">
        <f>"14:18:45.422"</f>
        <v>14:18:45.422</v>
      </c>
      <c r="T1703" t="str">
        <f>"14:18:45.023"</f>
        <v>14:18:45.023</v>
      </c>
      <c r="U1703" t="str">
        <f t="shared" si="78"/>
        <v>ad5732</v>
      </c>
      <c r="V1703">
        <v>0</v>
      </c>
      <c r="W1703">
        <v>0</v>
      </c>
      <c r="X1703">
        <v>1</v>
      </c>
      <c r="Z1703">
        <v>0</v>
      </c>
      <c r="AA1703">
        <v>9</v>
      </c>
      <c r="AB1703">
        <v>3</v>
      </c>
      <c r="AC1703">
        <v>0</v>
      </c>
      <c r="AD1703">
        <v>10</v>
      </c>
      <c r="AE1703">
        <v>0</v>
      </c>
      <c r="AF1703">
        <v>3</v>
      </c>
      <c r="AG1703">
        <v>2</v>
      </c>
      <c r="AH1703">
        <v>0</v>
      </c>
      <c r="AI1703" t="s">
        <v>3509</v>
      </c>
      <c r="AJ1703">
        <v>39.726089999999999</v>
      </c>
      <c r="AK1703" t="s">
        <v>3510</v>
      </c>
      <c r="AL1703">
        <v>-76.149652000000003</v>
      </c>
      <c r="AM1703">
        <v>100</v>
      </c>
      <c r="AN1703">
        <v>4700</v>
      </c>
      <c r="AO1703" t="s">
        <v>115</v>
      </c>
      <c r="AP1703">
        <v>156</v>
      </c>
      <c r="AQ1703">
        <v>82</v>
      </c>
      <c r="AR1703">
        <v>0</v>
      </c>
      <c r="AZ1703">
        <v>3614</v>
      </c>
      <c r="BA1703">
        <v>1</v>
      </c>
      <c r="BB1703" t="str">
        <f t="shared" si="80"/>
        <v xml:space="preserve">N959MJ  </v>
      </c>
      <c r="BC1703">
        <v>1</v>
      </c>
      <c r="BE1703">
        <v>0</v>
      </c>
      <c r="BF1703">
        <v>0</v>
      </c>
      <c r="BG1703">
        <v>0</v>
      </c>
      <c r="BH1703">
        <v>4900</v>
      </c>
      <c r="BI1703">
        <v>200</v>
      </c>
      <c r="BJ1703">
        <v>1</v>
      </c>
      <c r="BK1703">
        <v>1</v>
      </c>
      <c r="BL1703">
        <v>1</v>
      </c>
      <c r="BM1703">
        <v>0</v>
      </c>
      <c r="BP1703">
        <v>0</v>
      </c>
      <c r="BQ1703">
        <v>0</v>
      </c>
      <c r="BX1703" t="str">
        <f>"14:18:45.422"</f>
        <v>14:18:45.422</v>
      </c>
      <c r="BY1703" t="str">
        <f>"423972793"</f>
        <v>423972793</v>
      </c>
      <c r="CL1703">
        <v>0</v>
      </c>
      <c r="CM1703">
        <v>2</v>
      </c>
      <c r="CN1703">
        <v>0</v>
      </c>
      <c r="CO1703">
        <v>2</v>
      </c>
      <c r="CP1703">
        <v>0</v>
      </c>
      <c r="CQ1703">
        <v>6</v>
      </c>
      <c r="CR1703" t="s">
        <v>116</v>
      </c>
      <c r="CS1703">
        <v>396</v>
      </c>
      <c r="CT1703">
        <v>1</v>
      </c>
      <c r="CU1703" t="s">
        <v>939</v>
      </c>
      <c r="CV1703" t="s">
        <v>940</v>
      </c>
      <c r="CY1703">
        <v>9346519</v>
      </c>
      <c r="CZ1703" t="s">
        <v>119</v>
      </c>
    </row>
    <row r="1704" spans="1:104" x14ac:dyDescent="0.25">
      <c r="A1704" t="str">
        <f>"14:18:46.578"</f>
        <v>14:18:46.578</v>
      </c>
      <c r="B1704" t="s">
        <v>108</v>
      </c>
      <c r="C1704" t="str">
        <f t="shared" si="79"/>
        <v>ffdfd3c0</v>
      </c>
      <c r="D1704" t="s">
        <v>109</v>
      </c>
      <c r="E1704">
        <v>4</v>
      </c>
      <c r="F1704">
        <v>1004</v>
      </c>
      <c r="G1704" t="s">
        <v>110</v>
      </c>
      <c r="J1704" t="s">
        <v>111</v>
      </c>
      <c r="K1704">
        <v>0</v>
      </c>
      <c r="L1704">
        <v>3</v>
      </c>
      <c r="M1704">
        <v>0</v>
      </c>
      <c r="N1704">
        <v>2</v>
      </c>
      <c r="O1704">
        <v>1</v>
      </c>
      <c r="P1704">
        <v>0</v>
      </c>
      <c r="Q1704">
        <v>0</v>
      </c>
      <c r="R1704" t="s">
        <v>112</v>
      </c>
      <c r="S1704" t="str">
        <f>"14:18:46.414"</f>
        <v>14:18:46.414</v>
      </c>
      <c r="T1704" t="str">
        <f>"14:18:45.914"</f>
        <v>14:18:45.914</v>
      </c>
      <c r="U1704" t="str">
        <f t="shared" si="78"/>
        <v>ad5732</v>
      </c>
      <c r="V1704">
        <v>0</v>
      </c>
      <c r="W1704">
        <v>0</v>
      </c>
      <c r="X1704">
        <v>1</v>
      </c>
      <c r="Z1704">
        <v>0</v>
      </c>
      <c r="AA1704">
        <v>9</v>
      </c>
      <c r="AB1704">
        <v>3</v>
      </c>
      <c r="AC1704">
        <v>0</v>
      </c>
      <c r="AD1704">
        <v>10</v>
      </c>
      <c r="AE1704">
        <v>0</v>
      </c>
      <c r="AF1704">
        <v>3</v>
      </c>
      <c r="AG1704">
        <v>2</v>
      </c>
      <c r="AH1704">
        <v>0</v>
      </c>
      <c r="AI1704" t="s">
        <v>3511</v>
      </c>
      <c r="AJ1704">
        <v>39.726520000000001</v>
      </c>
      <c r="AK1704" t="s">
        <v>3512</v>
      </c>
      <c r="AL1704">
        <v>-76.148751000000004</v>
      </c>
      <c r="AM1704">
        <v>100</v>
      </c>
      <c r="AN1704">
        <v>4700</v>
      </c>
      <c r="AO1704" t="s">
        <v>115</v>
      </c>
      <c r="AP1704">
        <v>156</v>
      </c>
      <c r="AQ1704">
        <v>82</v>
      </c>
      <c r="AR1704">
        <v>64</v>
      </c>
      <c r="AZ1704">
        <v>3614</v>
      </c>
      <c r="BA1704">
        <v>1</v>
      </c>
      <c r="BB1704" t="str">
        <f t="shared" si="80"/>
        <v xml:space="preserve">N959MJ  </v>
      </c>
      <c r="BC1704">
        <v>1</v>
      </c>
      <c r="BE1704">
        <v>0</v>
      </c>
      <c r="BF1704">
        <v>0</v>
      </c>
      <c r="BG1704">
        <v>0</v>
      </c>
      <c r="BH1704">
        <v>4900</v>
      </c>
      <c r="BI1704">
        <v>200</v>
      </c>
      <c r="BJ1704">
        <v>1</v>
      </c>
      <c r="BK1704">
        <v>1</v>
      </c>
      <c r="BL1704">
        <v>1</v>
      </c>
      <c r="BM1704">
        <v>0</v>
      </c>
      <c r="BP1704">
        <v>0</v>
      </c>
      <c r="BQ1704">
        <v>0</v>
      </c>
      <c r="BX1704" t="str">
        <f>"14:18:46.422"</f>
        <v>14:18:46.422</v>
      </c>
      <c r="BY1704" t="str">
        <f>"418530770"</f>
        <v>418530770</v>
      </c>
      <c r="CL1704">
        <v>0</v>
      </c>
      <c r="CM1704">
        <v>2</v>
      </c>
      <c r="CN1704">
        <v>0</v>
      </c>
      <c r="CO1704">
        <v>2</v>
      </c>
      <c r="CP1704">
        <v>0</v>
      </c>
      <c r="CQ1704">
        <v>6</v>
      </c>
      <c r="CR1704" t="s">
        <v>116</v>
      </c>
      <c r="CS1704">
        <v>39</v>
      </c>
      <c r="CT1704">
        <v>2</v>
      </c>
      <c r="CU1704" t="s">
        <v>2259</v>
      </c>
      <c r="CV1704" t="s">
        <v>2260</v>
      </c>
      <c r="CY1704">
        <v>16026248</v>
      </c>
      <c r="CZ1704" t="s">
        <v>119</v>
      </c>
    </row>
    <row r="1705" spans="1:104" x14ac:dyDescent="0.25">
      <c r="A1705" t="str">
        <f>"14:18:47.539"</f>
        <v>14:18:47.539</v>
      </c>
      <c r="B1705" t="s">
        <v>108</v>
      </c>
      <c r="C1705" t="str">
        <f t="shared" si="79"/>
        <v>ffdfd3c0</v>
      </c>
      <c r="D1705" t="s">
        <v>109</v>
      </c>
      <c r="E1705">
        <v>4</v>
      </c>
      <c r="F1705">
        <v>1004</v>
      </c>
      <c r="G1705" t="s">
        <v>110</v>
      </c>
      <c r="J1705" t="s">
        <v>111</v>
      </c>
      <c r="K1705">
        <v>0</v>
      </c>
      <c r="L1705">
        <v>3</v>
      </c>
      <c r="M1705">
        <v>0</v>
      </c>
      <c r="N1705">
        <v>2</v>
      </c>
      <c r="O1705">
        <v>1</v>
      </c>
      <c r="P1705">
        <v>0</v>
      </c>
      <c r="Q1705">
        <v>0</v>
      </c>
      <c r="R1705" t="s">
        <v>112</v>
      </c>
      <c r="S1705" t="str">
        <f>"14:18:47.336"</f>
        <v>14:18:47.336</v>
      </c>
      <c r="T1705" t="str">
        <f>"14:18:46.938"</f>
        <v>14:18:46.938</v>
      </c>
      <c r="U1705" t="str">
        <f t="shared" si="78"/>
        <v>ad5732</v>
      </c>
      <c r="V1705">
        <v>0</v>
      </c>
      <c r="W1705">
        <v>0</v>
      </c>
      <c r="X1705">
        <v>1</v>
      </c>
      <c r="Z1705">
        <v>0</v>
      </c>
      <c r="AA1705">
        <v>9</v>
      </c>
      <c r="AB1705">
        <v>3</v>
      </c>
      <c r="AC1705">
        <v>0</v>
      </c>
      <c r="AD1705">
        <v>10</v>
      </c>
      <c r="AE1705">
        <v>0</v>
      </c>
      <c r="AF1705">
        <v>3</v>
      </c>
      <c r="AG1705">
        <v>2</v>
      </c>
      <c r="AH1705">
        <v>0</v>
      </c>
      <c r="AI1705" t="s">
        <v>3513</v>
      </c>
      <c r="AJ1705">
        <v>39.726841</v>
      </c>
      <c r="AK1705" t="s">
        <v>3514</v>
      </c>
      <c r="AL1705">
        <v>-76.147914</v>
      </c>
      <c r="AM1705">
        <v>100</v>
      </c>
      <c r="AN1705">
        <v>4700</v>
      </c>
      <c r="AO1705" t="s">
        <v>115</v>
      </c>
      <c r="AP1705">
        <v>156</v>
      </c>
      <c r="AQ1705">
        <v>82</v>
      </c>
      <c r="AR1705">
        <v>128</v>
      </c>
      <c r="AZ1705">
        <v>3614</v>
      </c>
      <c r="BA1705">
        <v>1</v>
      </c>
      <c r="BB1705" t="str">
        <f t="shared" si="80"/>
        <v xml:space="preserve">N959MJ  </v>
      </c>
      <c r="BC1705">
        <v>1</v>
      </c>
      <c r="BE1705">
        <v>0</v>
      </c>
      <c r="BF1705">
        <v>0</v>
      </c>
      <c r="BG1705">
        <v>0</v>
      </c>
      <c r="BH1705">
        <v>4900</v>
      </c>
      <c r="BI1705">
        <v>200</v>
      </c>
      <c r="BJ1705">
        <v>1</v>
      </c>
      <c r="BK1705">
        <v>1</v>
      </c>
      <c r="BL1705">
        <v>1</v>
      </c>
      <c r="BM1705">
        <v>0</v>
      </c>
      <c r="BP1705">
        <v>0</v>
      </c>
      <c r="BQ1705">
        <v>0</v>
      </c>
      <c r="BX1705" t="str">
        <f>"14:18:47.336"</f>
        <v>14:18:47.336</v>
      </c>
      <c r="BY1705" t="str">
        <f>"336018081"</f>
        <v>336018081</v>
      </c>
      <c r="CL1705">
        <v>0</v>
      </c>
      <c r="CM1705">
        <v>2</v>
      </c>
      <c r="CN1705">
        <v>0</v>
      </c>
      <c r="CO1705">
        <v>2</v>
      </c>
      <c r="CP1705">
        <v>0</v>
      </c>
      <c r="CQ1705">
        <v>6</v>
      </c>
      <c r="CR1705" t="s">
        <v>116</v>
      </c>
      <c r="CS1705">
        <v>396</v>
      </c>
      <c r="CT1705">
        <v>1</v>
      </c>
      <c r="CU1705" t="s">
        <v>939</v>
      </c>
      <c r="CV1705" t="s">
        <v>940</v>
      </c>
      <c r="CY1705">
        <v>9349997</v>
      </c>
      <c r="CZ1705" t="s">
        <v>119</v>
      </c>
    </row>
    <row r="1706" spans="1:104" x14ac:dyDescent="0.25">
      <c r="A1706" t="str">
        <f>"14:18:48.648"</f>
        <v>14:18:48.648</v>
      </c>
      <c r="B1706" t="s">
        <v>108</v>
      </c>
      <c r="C1706" t="str">
        <f t="shared" si="79"/>
        <v>ffdfd3c0</v>
      </c>
      <c r="D1706" t="s">
        <v>109</v>
      </c>
      <c r="E1706">
        <v>4</v>
      </c>
      <c r="F1706">
        <v>1004</v>
      </c>
      <c r="G1706" t="s">
        <v>110</v>
      </c>
      <c r="J1706" t="s">
        <v>111</v>
      </c>
      <c r="K1706">
        <v>0</v>
      </c>
      <c r="L1706">
        <v>3</v>
      </c>
      <c r="M1706">
        <v>0</v>
      </c>
      <c r="N1706">
        <v>2</v>
      </c>
      <c r="O1706">
        <v>1</v>
      </c>
      <c r="P1706">
        <v>0</v>
      </c>
      <c r="Q1706">
        <v>0</v>
      </c>
      <c r="R1706" t="s">
        <v>112</v>
      </c>
      <c r="S1706" t="str">
        <f>"14:18:48.477"</f>
        <v>14:18:48.477</v>
      </c>
      <c r="T1706" t="str">
        <f>"14:18:47.977"</f>
        <v>14:18:47.977</v>
      </c>
      <c r="U1706" t="str">
        <f t="shared" si="78"/>
        <v>ad5732</v>
      </c>
      <c r="V1706">
        <v>0</v>
      </c>
      <c r="W1706">
        <v>0</v>
      </c>
      <c r="X1706">
        <v>1</v>
      </c>
      <c r="Z1706">
        <v>0</v>
      </c>
      <c r="AA1706">
        <v>9</v>
      </c>
      <c r="AB1706">
        <v>3</v>
      </c>
      <c r="AC1706">
        <v>0</v>
      </c>
      <c r="AD1706">
        <v>10</v>
      </c>
      <c r="AE1706">
        <v>0</v>
      </c>
      <c r="AF1706">
        <v>3</v>
      </c>
      <c r="AG1706">
        <v>2</v>
      </c>
      <c r="AH1706">
        <v>0</v>
      </c>
      <c r="AI1706" t="s">
        <v>3515</v>
      </c>
      <c r="AJ1706">
        <v>39.727271000000002</v>
      </c>
      <c r="AK1706" t="s">
        <v>3516</v>
      </c>
      <c r="AL1706">
        <v>-76.146840999999995</v>
      </c>
      <c r="AM1706">
        <v>100</v>
      </c>
      <c r="AN1706">
        <v>4700</v>
      </c>
      <c r="AO1706" t="s">
        <v>115</v>
      </c>
      <c r="AP1706">
        <v>156</v>
      </c>
      <c r="AQ1706">
        <v>83</v>
      </c>
      <c r="AR1706">
        <v>128</v>
      </c>
      <c r="AZ1706">
        <v>3614</v>
      </c>
      <c r="BA1706">
        <v>1</v>
      </c>
      <c r="BB1706" t="str">
        <f t="shared" si="80"/>
        <v xml:space="preserve">N959MJ  </v>
      </c>
      <c r="BC1706">
        <v>1</v>
      </c>
      <c r="BE1706">
        <v>0</v>
      </c>
      <c r="BF1706">
        <v>0</v>
      </c>
      <c r="BG1706">
        <v>0</v>
      </c>
      <c r="BH1706">
        <v>4900</v>
      </c>
      <c r="BI1706">
        <v>200</v>
      </c>
      <c r="BJ1706">
        <v>1</v>
      </c>
      <c r="BK1706">
        <v>1</v>
      </c>
      <c r="BL1706">
        <v>1</v>
      </c>
      <c r="BM1706">
        <v>0</v>
      </c>
      <c r="BP1706">
        <v>0</v>
      </c>
      <c r="BQ1706">
        <v>0</v>
      </c>
      <c r="BX1706" t="str">
        <f>"14:18:48.477"</f>
        <v>14:18:48.477</v>
      </c>
      <c r="BY1706" t="str">
        <f>"479640851"</f>
        <v>479640851</v>
      </c>
      <c r="CL1706">
        <v>0</v>
      </c>
      <c r="CM1706">
        <v>2</v>
      </c>
      <c r="CN1706">
        <v>0</v>
      </c>
      <c r="CO1706">
        <v>2</v>
      </c>
      <c r="CP1706">
        <v>0</v>
      </c>
      <c r="CQ1706">
        <v>6</v>
      </c>
      <c r="CR1706" t="s">
        <v>116</v>
      </c>
      <c r="CS1706">
        <v>396</v>
      </c>
      <c r="CT1706">
        <v>1</v>
      </c>
      <c r="CU1706" t="s">
        <v>939</v>
      </c>
      <c r="CV1706" t="s">
        <v>940</v>
      </c>
      <c r="CY1706">
        <v>9352043</v>
      </c>
      <c r="CZ1706" t="s">
        <v>119</v>
      </c>
    </row>
    <row r="1707" spans="1:104" x14ac:dyDescent="0.25">
      <c r="A1707" t="str">
        <f>"14:18:49.703"</f>
        <v>14:18:49.703</v>
      </c>
      <c r="B1707" t="s">
        <v>108</v>
      </c>
      <c r="C1707" t="str">
        <f t="shared" si="79"/>
        <v>ffdfd3c0</v>
      </c>
      <c r="D1707" t="s">
        <v>109</v>
      </c>
      <c r="E1707">
        <v>4</v>
      </c>
      <c r="F1707">
        <v>1004</v>
      </c>
      <c r="G1707" t="s">
        <v>110</v>
      </c>
      <c r="J1707" t="s">
        <v>111</v>
      </c>
      <c r="K1707">
        <v>0</v>
      </c>
      <c r="L1707">
        <v>3</v>
      </c>
      <c r="M1707">
        <v>0</v>
      </c>
      <c r="N1707">
        <v>2</v>
      </c>
      <c r="O1707">
        <v>1</v>
      </c>
      <c r="P1707">
        <v>0</v>
      </c>
      <c r="Q1707">
        <v>0</v>
      </c>
      <c r="R1707" t="s">
        <v>112</v>
      </c>
      <c r="S1707" t="str">
        <f>"14:18:49.508"</f>
        <v>14:18:49.508</v>
      </c>
      <c r="T1707" t="str">
        <f>"14:18:48.508"</f>
        <v>14:18:48.508</v>
      </c>
      <c r="U1707" t="str">
        <f t="shared" si="78"/>
        <v>ad5732</v>
      </c>
      <c r="V1707">
        <v>0</v>
      </c>
      <c r="W1707">
        <v>0</v>
      </c>
      <c r="X1707">
        <v>1</v>
      </c>
      <c r="Z1707">
        <v>0</v>
      </c>
      <c r="AA1707">
        <v>9</v>
      </c>
      <c r="AB1707">
        <v>3</v>
      </c>
      <c r="AC1707">
        <v>0</v>
      </c>
      <c r="AD1707">
        <v>10</v>
      </c>
      <c r="AE1707">
        <v>0</v>
      </c>
      <c r="AF1707">
        <v>3</v>
      </c>
      <c r="AG1707">
        <v>2</v>
      </c>
      <c r="AH1707">
        <v>0</v>
      </c>
      <c r="AI1707" t="s">
        <v>3517</v>
      </c>
      <c r="AJ1707">
        <v>39.727699999999999</v>
      </c>
      <c r="AK1707" t="s">
        <v>3518</v>
      </c>
      <c r="AL1707">
        <v>-76.145832999999996</v>
      </c>
      <c r="AM1707">
        <v>100</v>
      </c>
      <c r="AN1707">
        <v>4700</v>
      </c>
      <c r="AO1707" t="s">
        <v>115</v>
      </c>
      <c r="AP1707">
        <v>156</v>
      </c>
      <c r="AQ1707">
        <v>83</v>
      </c>
      <c r="AR1707">
        <v>128</v>
      </c>
      <c r="AZ1707">
        <v>3614</v>
      </c>
      <c r="BA1707">
        <v>1</v>
      </c>
      <c r="BB1707" t="str">
        <f t="shared" si="80"/>
        <v xml:space="preserve">N959MJ  </v>
      </c>
      <c r="BC1707">
        <v>1</v>
      </c>
      <c r="BE1707">
        <v>0</v>
      </c>
      <c r="BF1707">
        <v>0</v>
      </c>
      <c r="BG1707">
        <v>0</v>
      </c>
      <c r="BH1707">
        <v>4900</v>
      </c>
      <c r="BI1707">
        <v>200</v>
      </c>
      <c r="BJ1707">
        <v>1</v>
      </c>
      <c r="BK1707">
        <v>1</v>
      </c>
      <c r="BL1707">
        <v>1</v>
      </c>
      <c r="BM1707">
        <v>0</v>
      </c>
      <c r="BP1707">
        <v>0</v>
      </c>
      <c r="BQ1707">
        <v>0</v>
      </c>
      <c r="BX1707" t="str">
        <f>"14:18:49.516"</f>
        <v>14:18:49.516</v>
      </c>
      <c r="BY1707" t="str">
        <f>"511881313"</f>
        <v>511881313</v>
      </c>
      <c r="CL1707">
        <v>0</v>
      </c>
      <c r="CM1707">
        <v>2</v>
      </c>
      <c r="CN1707">
        <v>0</v>
      </c>
      <c r="CO1707">
        <v>2</v>
      </c>
      <c r="CP1707">
        <v>0</v>
      </c>
      <c r="CQ1707">
        <v>6</v>
      </c>
      <c r="CR1707" t="s">
        <v>116</v>
      </c>
      <c r="CS1707">
        <v>39</v>
      </c>
      <c r="CT1707">
        <v>2</v>
      </c>
      <c r="CU1707" t="s">
        <v>2259</v>
      </c>
      <c r="CV1707" t="s">
        <v>2260</v>
      </c>
      <c r="CY1707">
        <v>16031155</v>
      </c>
      <c r="CZ1707" t="s">
        <v>119</v>
      </c>
    </row>
    <row r="1708" spans="1:104" x14ac:dyDescent="0.25">
      <c r="A1708" t="str">
        <f>"14:18:50.664"</f>
        <v>14:18:50.664</v>
      </c>
      <c r="B1708" t="s">
        <v>108</v>
      </c>
      <c r="C1708" t="str">
        <f t="shared" si="79"/>
        <v>ffdfd3c0</v>
      </c>
      <c r="D1708" t="s">
        <v>109</v>
      </c>
      <c r="E1708">
        <v>4</v>
      </c>
      <c r="F1708">
        <v>1004</v>
      </c>
      <c r="G1708" t="s">
        <v>110</v>
      </c>
      <c r="J1708" t="s">
        <v>111</v>
      </c>
      <c r="K1708">
        <v>0</v>
      </c>
      <c r="L1708">
        <v>3</v>
      </c>
      <c r="M1708">
        <v>0</v>
      </c>
      <c r="N1708">
        <v>2</v>
      </c>
      <c r="O1708">
        <v>1</v>
      </c>
      <c r="P1708">
        <v>0</v>
      </c>
      <c r="Q1708">
        <v>0</v>
      </c>
      <c r="R1708" t="s">
        <v>112</v>
      </c>
      <c r="S1708" t="str">
        <f>"14:18:50.477"</f>
        <v>14:18:50.477</v>
      </c>
      <c r="T1708" t="str">
        <f>"14:18:50.078"</f>
        <v>14:18:50.078</v>
      </c>
      <c r="U1708" t="str">
        <f t="shared" si="78"/>
        <v>ad5732</v>
      </c>
      <c r="V1708">
        <v>0</v>
      </c>
      <c r="W1708">
        <v>0</v>
      </c>
      <c r="X1708">
        <v>1</v>
      </c>
      <c r="Z1708">
        <v>0</v>
      </c>
      <c r="AA1708">
        <v>9</v>
      </c>
      <c r="AB1708">
        <v>3</v>
      </c>
      <c r="AC1708">
        <v>0</v>
      </c>
      <c r="AD1708">
        <v>10</v>
      </c>
      <c r="AE1708">
        <v>0</v>
      </c>
      <c r="AF1708">
        <v>3</v>
      </c>
      <c r="AG1708">
        <v>2</v>
      </c>
      <c r="AH1708">
        <v>0</v>
      </c>
      <c r="AI1708" t="s">
        <v>3519</v>
      </c>
      <c r="AJ1708">
        <v>39.728043</v>
      </c>
      <c r="AK1708" t="s">
        <v>3520</v>
      </c>
      <c r="AL1708">
        <v>-76.145016999999996</v>
      </c>
      <c r="AM1708">
        <v>100</v>
      </c>
      <c r="AN1708">
        <v>4700</v>
      </c>
      <c r="AO1708" t="s">
        <v>115</v>
      </c>
      <c r="AP1708">
        <v>156</v>
      </c>
      <c r="AQ1708">
        <v>83</v>
      </c>
      <c r="AR1708">
        <v>128</v>
      </c>
      <c r="AZ1708">
        <v>3614</v>
      </c>
      <c r="BA1708">
        <v>1</v>
      </c>
      <c r="BB1708" t="str">
        <f t="shared" si="80"/>
        <v xml:space="preserve">N959MJ  </v>
      </c>
      <c r="BC1708">
        <v>1</v>
      </c>
      <c r="BE1708">
        <v>0</v>
      </c>
      <c r="BF1708">
        <v>0</v>
      </c>
      <c r="BG1708">
        <v>0</v>
      </c>
      <c r="BH1708">
        <v>4900</v>
      </c>
      <c r="BI1708">
        <v>200</v>
      </c>
      <c r="BJ1708">
        <v>1</v>
      </c>
      <c r="BK1708">
        <v>1</v>
      </c>
      <c r="BL1708">
        <v>1</v>
      </c>
      <c r="BM1708">
        <v>0</v>
      </c>
      <c r="BP1708">
        <v>0</v>
      </c>
      <c r="BQ1708">
        <v>0</v>
      </c>
      <c r="BX1708" t="str">
        <f>"14:18:50.484"</f>
        <v>14:18:50.484</v>
      </c>
      <c r="BY1708" t="str">
        <f>"483658510"</f>
        <v>483658510</v>
      </c>
      <c r="CL1708">
        <v>0</v>
      </c>
      <c r="CM1708">
        <v>2</v>
      </c>
      <c r="CN1708">
        <v>0</v>
      </c>
      <c r="CO1708">
        <v>2</v>
      </c>
      <c r="CP1708">
        <v>0</v>
      </c>
      <c r="CQ1708">
        <v>4</v>
      </c>
      <c r="CR1708" t="s">
        <v>116</v>
      </c>
      <c r="CS1708">
        <v>147</v>
      </c>
      <c r="CT1708">
        <v>0</v>
      </c>
      <c r="CU1708" t="s">
        <v>117</v>
      </c>
      <c r="CV1708" t="s">
        <v>118</v>
      </c>
      <c r="CY1708">
        <v>6734156</v>
      </c>
      <c r="CZ1708" t="s">
        <v>119</v>
      </c>
    </row>
    <row r="1709" spans="1:104" x14ac:dyDescent="0.25">
      <c r="A1709" t="str">
        <f>"14:18:51.523"</f>
        <v>14:18:51.523</v>
      </c>
      <c r="B1709" t="s">
        <v>108</v>
      </c>
      <c r="C1709" t="str">
        <f t="shared" si="79"/>
        <v>ffdfd3c0</v>
      </c>
      <c r="D1709" t="s">
        <v>109</v>
      </c>
      <c r="E1709">
        <v>4</v>
      </c>
      <c r="F1709">
        <v>1004</v>
      </c>
      <c r="G1709" t="s">
        <v>110</v>
      </c>
      <c r="J1709" t="s">
        <v>111</v>
      </c>
      <c r="K1709">
        <v>0</v>
      </c>
      <c r="L1709">
        <v>3</v>
      </c>
      <c r="M1709">
        <v>0</v>
      </c>
      <c r="N1709">
        <v>2</v>
      </c>
      <c r="O1709">
        <v>1</v>
      </c>
      <c r="P1709">
        <v>0</v>
      </c>
      <c r="Q1709">
        <v>0</v>
      </c>
      <c r="R1709" t="s">
        <v>112</v>
      </c>
      <c r="S1709" t="str">
        <f>"14:18:51.352"</f>
        <v>14:18:51.352</v>
      </c>
      <c r="T1709" t="str">
        <f>"14:18:50.953"</f>
        <v>14:18:50.953</v>
      </c>
      <c r="U1709" t="str">
        <f t="shared" si="78"/>
        <v>ad5732</v>
      </c>
      <c r="V1709">
        <v>0</v>
      </c>
      <c r="W1709">
        <v>0</v>
      </c>
      <c r="X1709">
        <v>1</v>
      </c>
      <c r="Z1709">
        <v>0</v>
      </c>
      <c r="AA1709">
        <v>9</v>
      </c>
      <c r="AB1709">
        <v>3</v>
      </c>
      <c r="AC1709">
        <v>0</v>
      </c>
      <c r="AD1709">
        <v>10</v>
      </c>
      <c r="AE1709">
        <v>0</v>
      </c>
      <c r="AF1709">
        <v>3</v>
      </c>
      <c r="AG1709">
        <v>2</v>
      </c>
      <c r="AH1709">
        <v>0</v>
      </c>
      <c r="AI1709" t="s">
        <v>3521</v>
      </c>
      <c r="AJ1709">
        <v>39.728386</v>
      </c>
      <c r="AK1709" t="s">
        <v>3522</v>
      </c>
      <c r="AL1709">
        <v>-76.144159000000002</v>
      </c>
      <c r="AM1709">
        <v>100</v>
      </c>
      <c r="AN1709">
        <v>4700</v>
      </c>
      <c r="AO1709" t="s">
        <v>115</v>
      </c>
      <c r="AP1709">
        <v>156</v>
      </c>
      <c r="AQ1709">
        <v>83</v>
      </c>
      <c r="AR1709">
        <v>128</v>
      </c>
      <c r="AZ1709">
        <v>3614</v>
      </c>
      <c r="BA1709">
        <v>1</v>
      </c>
      <c r="BB1709" t="str">
        <f t="shared" si="80"/>
        <v xml:space="preserve">N959MJ  </v>
      </c>
      <c r="BC1709">
        <v>1</v>
      </c>
      <c r="BE1709">
        <v>0</v>
      </c>
      <c r="BF1709">
        <v>0</v>
      </c>
      <c r="BG1709">
        <v>0</v>
      </c>
      <c r="BH1709">
        <v>4900</v>
      </c>
      <c r="BI1709">
        <v>200</v>
      </c>
      <c r="BJ1709">
        <v>1</v>
      </c>
      <c r="BK1709">
        <v>1</v>
      </c>
      <c r="BL1709">
        <v>1</v>
      </c>
      <c r="BM1709">
        <v>0</v>
      </c>
      <c r="BP1709">
        <v>0</v>
      </c>
      <c r="BQ1709">
        <v>0</v>
      </c>
      <c r="BX1709" t="str">
        <f>"14:18:51.352"</f>
        <v>14:18:51.352</v>
      </c>
      <c r="BY1709" t="str">
        <f>"355081854"</f>
        <v>355081854</v>
      </c>
      <c r="CL1709">
        <v>0</v>
      </c>
      <c r="CM1709">
        <v>2</v>
      </c>
      <c r="CN1709">
        <v>0</v>
      </c>
      <c r="CO1709">
        <v>2</v>
      </c>
      <c r="CP1709">
        <v>0</v>
      </c>
      <c r="CQ1709">
        <v>6</v>
      </c>
      <c r="CR1709" t="s">
        <v>116</v>
      </c>
      <c r="CS1709">
        <v>396</v>
      </c>
      <c r="CT1709">
        <v>1</v>
      </c>
      <c r="CU1709" t="s">
        <v>939</v>
      </c>
      <c r="CV1709" t="s">
        <v>940</v>
      </c>
      <c r="CY1709">
        <v>9357113</v>
      </c>
      <c r="CZ1709" t="s">
        <v>119</v>
      </c>
    </row>
    <row r="1710" spans="1:104" x14ac:dyDescent="0.25">
      <c r="A1710" t="str">
        <f>"14:18:52.633"</f>
        <v>14:18:52.633</v>
      </c>
      <c r="B1710" t="s">
        <v>108</v>
      </c>
      <c r="C1710" t="str">
        <f t="shared" si="79"/>
        <v>ffdfd3c0</v>
      </c>
      <c r="D1710" t="s">
        <v>109</v>
      </c>
      <c r="E1710">
        <v>4</v>
      </c>
      <c r="F1710">
        <v>1004</v>
      </c>
      <c r="G1710" t="s">
        <v>110</v>
      </c>
      <c r="J1710" t="s">
        <v>111</v>
      </c>
      <c r="K1710">
        <v>0</v>
      </c>
      <c r="L1710">
        <v>3</v>
      </c>
      <c r="M1710">
        <v>0</v>
      </c>
      <c r="N1710">
        <v>2</v>
      </c>
      <c r="O1710">
        <v>1</v>
      </c>
      <c r="P1710">
        <v>0</v>
      </c>
      <c r="Q1710">
        <v>0</v>
      </c>
      <c r="R1710" t="s">
        <v>112</v>
      </c>
      <c r="S1710" t="str">
        <f>"14:18:52.461"</f>
        <v>14:18:52.461</v>
      </c>
      <c r="T1710" t="str">
        <f>"14:18:51.961"</f>
        <v>14:18:51.961</v>
      </c>
      <c r="U1710" t="str">
        <f t="shared" si="78"/>
        <v>ad5732</v>
      </c>
      <c r="V1710">
        <v>0</v>
      </c>
      <c r="W1710">
        <v>0</v>
      </c>
      <c r="X1710">
        <v>1</v>
      </c>
      <c r="Z1710">
        <v>0</v>
      </c>
      <c r="AA1710">
        <v>9</v>
      </c>
      <c r="AB1710">
        <v>3</v>
      </c>
      <c r="AC1710">
        <v>0</v>
      </c>
      <c r="AD1710">
        <v>10</v>
      </c>
      <c r="AE1710">
        <v>0</v>
      </c>
      <c r="AF1710">
        <v>3</v>
      </c>
      <c r="AG1710">
        <v>2</v>
      </c>
      <c r="AH1710">
        <v>0</v>
      </c>
      <c r="AI1710" t="s">
        <v>3523</v>
      </c>
      <c r="AJ1710">
        <v>39.728794000000001</v>
      </c>
      <c r="AK1710" t="s">
        <v>3524</v>
      </c>
      <c r="AL1710">
        <v>-76.143129000000002</v>
      </c>
      <c r="AM1710">
        <v>100</v>
      </c>
      <c r="AN1710">
        <v>4700</v>
      </c>
      <c r="AO1710" t="s">
        <v>115</v>
      </c>
      <c r="AP1710">
        <v>156</v>
      </c>
      <c r="AQ1710">
        <v>83</v>
      </c>
      <c r="AR1710">
        <v>64</v>
      </c>
      <c r="AZ1710">
        <v>3614</v>
      </c>
      <c r="BA1710">
        <v>1</v>
      </c>
      <c r="BB1710" t="str">
        <f t="shared" si="80"/>
        <v xml:space="preserve">N959MJ  </v>
      </c>
      <c r="BC1710">
        <v>1</v>
      </c>
      <c r="BE1710">
        <v>0</v>
      </c>
      <c r="BF1710">
        <v>0</v>
      </c>
      <c r="BG1710">
        <v>0</v>
      </c>
      <c r="BH1710">
        <v>4900</v>
      </c>
      <c r="BI1710">
        <v>200</v>
      </c>
      <c r="BJ1710">
        <v>1</v>
      </c>
      <c r="BK1710">
        <v>1</v>
      </c>
      <c r="BL1710">
        <v>1</v>
      </c>
      <c r="BM1710">
        <v>0</v>
      </c>
      <c r="BP1710">
        <v>0</v>
      </c>
      <c r="BQ1710">
        <v>0</v>
      </c>
      <c r="BX1710" t="str">
        <f>"14:18:52.461"</f>
        <v>14:18:52.461</v>
      </c>
      <c r="BY1710" t="str">
        <f>"461050264"</f>
        <v>461050264</v>
      </c>
      <c r="CL1710">
        <v>0</v>
      </c>
      <c r="CM1710">
        <v>2</v>
      </c>
      <c r="CN1710">
        <v>0</v>
      </c>
      <c r="CO1710">
        <v>2</v>
      </c>
      <c r="CP1710">
        <v>0</v>
      </c>
      <c r="CQ1710">
        <v>6</v>
      </c>
      <c r="CR1710" t="s">
        <v>116</v>
      </c>
      <c r="CS1710">
        <v>39</v>
      </c>
      <c r="CT1710">
        <v>2</v>
      </c>
      <c r="CU1710" t="s">
        <v>2259</v>
      </c>
      <c r="CV1710" t="s">
        <v>2260</v>
      </c>
      <c r="CY1710">
        <v>16035774</v>
      </c>
      <c r="CZ1710" t="s">
        <v>119</v>
      </c>
    </row>
    <row r="1711" spans="1:104" x14ac:dyDescent="0.25">
      <c r="A1711" t="str">
        <f>"14:18:53.594"</f>
        <v>14:18:53.594</v>
      </c>
      <c r="B1711" t="s">
        <v>108</v>
      </c>
      <c r="C1711" t="str">
        <f t="shared" si="79"/>
        <v>ffdfd3c0</v>
      </c>
      <c r="D1711" t="s">
        <v>109</v>
      </c>
      <c r="E1711">
        <v>4</v>
      </c>
      <c r="F1711">
        <v>1004</v>
      </c>
      <c r="G1711" t="s">
        <v>110</v>
      </c>
      <c r="J1711" t="s">
        <v>111</v>
      </c>
      <c r="K1711">
        <v>0</v>
      </c>
      <c r="L1711">
        <v>3</v>
      </c>
      <c r="M1711">
        <v>0</v>
      </c>
      <c r="N1711">
        <v>2</v>
      </c>
      <c r="O1711">
        <v>1</v>
      </c>
      <c r="P1711">
        <v>0</v>
      </c>
      <c r="Q1711">
        <v>0</v>
      </c>
      <c r="R1711" t="s">
        <v>112</v>
      </c>
      <c r="S1711" t="str">
        <f>"14:18:53.398"</f>
        <v>14:18:53.398</v>
      </c>
      <c r="T1711" t="str">
        <f>"14:18:53.000"</f>
        <v>14:18:53.000</v>
      </c>
      <c r="U1711" t="str">
        <f t="shared" si="78"/>
        <v>ad5732</v>
      </c>
      <c r="V1711">
        <v>0</v>
      </c>
      <c r="W1711">
        <v>0</v>
      </c>
      <c r="X1711">
        <v>1</v>
      </c>
      <c r="Z1711">
        <v>0</v>
      </c>
      <c r="AA1711">
        <v>9</v>
      </c>
      <c r="AB1711">
        <v>3</v>
      </c>
      <c r="AC1711">
        <v>0</v>
      </c>
      <c r="AD1711">
        <v>10</v>
      </c>
      <c r="AE1711">
        <v>0</v>
      </c>
      <c r="AF1711">
        <v>3</v>
      </c>
      <c r="AG1711">
        <v>2</v>
      </c>
      <c r="AH1711">
        <v>0</v>
      </c>
      <c r="AI1711" t="s">
        <v>3525</v>
      </c>
      <c r="AJ1711">
        <v>39.729222999999998</v>
      </c>
      <c r="AK1711" t="s">
        <v>3526</v>
      </c>
      <c r="AL1711">
        <v>-76.142206000000002</v>
      </c>
      <c r="AM1711">
        <v>100</v>
      </c>
      <c r="AN1711">
        <v>4700</v>
      </c>
      <c r="AO1711" t="s">
        <v>115</v>
      </c>
      <c r="AP1711">
        <v>156</v>
      </c>
      <c r="AQ1711">
        <v>83</v>
      </c>
      <c r="AR1711">
        <v>0</v>
      </c>
      <c r="AZ1711">
        <v>3614</v>
      </c>
      <c r="BA1711">
        <v>1</v>
      </c>
      <c r="BB1711" t="str">
        <f t="shared" si="80"/>
        <v xml:space="preserve">N959MJ  </v>
      </c>
      <c r="BC1711">
        <v>1</v>
      </c>
      <c r="BE1711">
        <v>0</v>
      </c>
      <c r="BF1711">
        <v>0</v>
      </c>
      <c r="BG1711">
        <v>0</v>
      </c>
      <c r="BH1711">
        <v>4900</v>
      </c>
      <c r="BI1711">
        <v>200</v>
      </c>
      <c r="BJ1711">
        <v>1</v>
      </c>
      <c r="BK1711">
        <v>1</v>
      </c>
      <c r="BL1711">
        <v>1</v>
      </c>
      <c r="BM1711">
        <v>0</v>
      </c>
      <c r="BP1711">
        <v>0</v>
      </c>
      <c r="BQ1711">
        <v>0</v>
      </c>
      <c r="BX1711" t="str">
        <f>"14:18:53.398"</f>
        <v>14:18:53.398</v>
      </c>
      <c r="BY1711" t="str">
        <f>"401507476"</f>
        <v>401507476</v>
      </c>
      <c r="CL1711">
        <v>0</v>
      </c>
      <c r="CM1711">
        <v>2</v>
      </c>
      <c r="CN1711">
        <v>0</v>
      </c>
      <c r="CO1711">
        <v>2</v>
      </c>
      <c r="CP1711">
        <v>0</v>
      </c>
      <c r="CQ1711">
        <v>6</v>
      </c>
      <c r="CR1711" t="s">
        <v>116</v>
      </c>
      <c r="CS1711">
        <v>39</v>
      </c>
      <c r="CT1711">
        <v>2</v>
      </c>
      <c r="CU1711" t="s">
        <v>2259</v>
      </c>
      <c r="CV1711" t="s">
        <v>2260</v>
      </c>
      <c r="CY1711">
        <v>16037269</v>
      </c>
      <c r="CZ1711" t="s">
        <v>119</v>
      </c>
    </row>
    <row r="1712" spans="1:104" x14ac:dyDescent="0.25">
      <c r="A1712" t="str">
        <f>"14:18:54.602"</f>
        <v>14:18:54.602</v>
      </c>
      <c r="B1712" t="s">
        <v>108</v>
      </c>
      <c r="C1712" t="str">
        <f t="shared" si="79"/>
        <v>ffdfd3c0</v>
      </c>
      <c r="D1712" t="s">
        <v>109</v>
      </c>
      <c r="E1712">
        <v>4</v>
      </c>
      <c r="F1712">
        <v>1004</v>
      </c>
      <c r="G1712" t="s">
        <v>110</v>
      </c>
      <c r="J1712" t="s">
        <v>111</v>
      </c>
      <c r="K1712">
        <v>0</v>
      </c>
      <c r="L1712">
        <v>3</v>
      </c>
      <c r="M1712">
        <v>0</v>
      </c>
      <c r="N1712">
        <v>2</v>
      </c>
      <c r="O1712">
        <v>1</v>
      </c>
      <c r="P1712">
        <v>0</v>
      </c>
      <c r="Q1712">
        <v>0</v>
      </c>
      <c r="R1712" t="s">
        <v>112</v>
      </c>
      <c r="S1712" t="str">
        <f>"14:18:54.414"</f>
        <v>14:18:54.414</v>
      </c>
      <c r="T1712" t="str">
        <f>"14:18:54.016"</f>
        <v>14:18:54.016</v>
      </c>
      <c r="U1712" t="str">
        <f t="shared" si="78"/>
        <v>ad5732</v>
      </c>
      <c r="V1712">
        <v>0</v>
      </c>
      <c r="W1712">
        <v>0</v>
      </c>
      <c r="X1712">
        <v>1</v>
      </c>
      <c r="Z1712">
        <v>0</v>
      </c>
      <c r="AA1712">
        <v>9</v>
      </c>
      <c r="AB1712">
        <v>3</v>
      </c>
      <c r="AC1712">
        <v>0</v>
      </c>
      <c r="AD1712">
        <v>10</v>
      </c>
      <c r="AE1712">
        <v>0</v>
      </c>
      <c r="AF1712">
        <v>3</v>
      </c>
      <c r="AG1712">
        <v>2</v>
      </c>
      <c r="AH1712">
        <v>0</v>
      </c>
      <c r="AI1712" t="s">
        <v>3527</v>
      </c>
      <c r="AJ1712">
        <v>39.729588</v>
      </c>
      <c r="AK1712" t="s">
        <v>3528</v>
      </c>
      <c r="AL1712">
        <v>-76.141305000000003</v>
      </c>
      <c r="AM1712">
        <v>100</v>
      </c>
      <c r="AN1712">
        <v>4700</v>
      </c>
      <c r="AO1712" t="s">
        <v>115</v>
      </c>
      <c r="AP1712">
        <v>156</v>
      </c>
      <c r="AQ1712">
        <v>83</v>
      </c>
      <c r="AR1712">
        <v>-64</v>
      </c>
      <c r="AZ1712">
        <v>3614</v>
      </c>
      <c r="BA1712">
        <v>1</v>
      </c>
      <c r="BB1712" t="str">
        <f t="shared" si="80"/>
        <v xml:space="preserve">N959MJ  </v>
      </c>
      <c r="BC1712">
        <v>1</v>
      </c>
      <c r="BE1712">
        <v>0</v>
      </c>
      <c r="BF1712">
        <v>0</v>
      </c>
      <c r="BG1712">
        <v>0</v>
      </c>
      <c r="BH1712">
        <v>4900</v>
      </c>
      <c r="BI1712">
        <v>200</v>
      </c>
      <c r="BJ1712">
        <v>1</v>
      </c>
      <c r="BK1712">
        <v>1</v>
      </c>
      <c r="BL1712">
        <v>1</v>
      </c>
      <c r="BM1712">
        <v>0</v>
      </c>
      <c r="BP1712">
        <v>0</v>
      </c>
      <c r="BQ1712">
        <v>0</v>
      </c>
      <c r="BX1712" t="str">
        <f>"14:18:54.414"</f>
        <v>14:18:54.414</v>
      </c>
      <c r="BY1712" t="str">
        <f>"415693910"</f>
        <v>415693910</v>
      </c>
      <c r="CL1712">
        <v>0</v>
      </c>
      <c r="CM1712">
        <v>2</v>
      </c>
      <c r="CN1712">
        <v>0</v>
      </c>
      <c r="CO1712">
        <v>2</v>
      </c>
      <c r="CP1712">
        <v>0</v>
      </c>
      <c r="CQ1712">
        <v>6</v>
      </c>
      <c r="CR1712" t="s">
        <v>116</v>
      </c>
      <c r="CS1712">
        <v>39</v>
      </c>
      <c r="CT1712">
        <v>2</v>
      </c>
      <c r="CU1712" t="s">
        <v>2259</v>
      </c>
      <c r="CV1712" t="s">
        <v>2260</v>
      </c>
      <c r="CY1712">
        <v>16038813</v>
      </c>
      <c r="CZ1712" t="s">
        <v>119</v>
      </c>
    </row>
    <row r="1713" spans="1:104" x14ac:dyDescent="0.25">
      <c r="A1713" t="str">
        <f>"14:18:55.508"</f>
        <v>14:18:55.508</v>
      </c>
      <c r="B1713" t="s">
        <v>108</v>
      </c>
      <c r="C1713" t="str">
        <f t="shared" si="79"/>
        <v>ffdfd3c0</v>
      </c>
      <c r="D1713" t="s">
        <v>109</v>
      </c>
      <c r="E1713">
        <v>4</v>
      </c>
      <c r="F1713">
        <v>1004</v>
      </c>
      <c r="G1713" t="s">
        <v>110</v>
      </c>
      <c r="J1713" t="s">
        <v>111</v>
      </c>
      <c r="K1713">
        <v>0</v>
      </c>
      <c r="L1713">
        <v>3</v>
      </c>
      <c r="M1713">
        <v>0</v>
      </c>
      <c r="N1713">
        <v>2</v>
      </c>
      <c r="O1713">
        <v>1</v>
      </c>
      <c r="P1713">
        <v>0</v>
      </c>
      <c r="Q1713">
        <v>0</v>
      </c>
      <c r="R1713" t="s">
        <v>112</v>
      </c>
      <c r="S1713" t="str">
        <f>"14:18:55.359"</f>
        <v>14:18:55.359</v>
      </c>
      <c r="T1713" t="str">
        <f>"14:18:54.961"</f>
        <v>14:18:54.961</v>
      </c>
      <c r="U1713" t="str">
        <f t="shared" si="78"/>
        <v>ad5732</v>
      </c>
      <c r="V1713">
        <v>0</v>
      </c>
      <c r="W1713">
        <v>0</v>
      </c>
      <c r="X1713">
        <v>1</v>
      </c>
      <c r="Z1713">
        <v>0</v>
      </c>
      <c r="AA1713">
        <v>9</v>
      </c>
      <c r="AB1713">
        <v>3</v>
      </c>
      <c r="AC1713">
        <v>0</v>
      </c>
      <c r="AD1713">
        <v>10</v>
      </c>
      <c r="AE1713">
        <v>0</v>
      </c>
      <c r="AF1713">
        <v>3</v>
      </c>
      <c r="AG1713">
        <v>2</v>
      </c>
      <c r="AH1713">
        <v>0</v>
      </c>
      <c r="AI1713" t="s">
        <v>3529</v>
      </c>
      <c r="AJ1713">
        <v>39.729953000000002</v>
      </c>
      <c r="AK1713" t="s">
        <v>3530</v>
      </c>
      <c r="AL1713">
        <v>-76.140382000000002</v>
      </c>
      <c r="AM1713">
        <v>100</v>
      </c>
      <c r="AN1713">
        <v>4700</v>
      </c>
      <c r="AO1713" t="s">
        <v>115</v>
      </c>
      <c r="AP1713">
        <v>156</v>
      </c>
      <c r="AQ1713">
        <v>84</v>
      </c>
      <c r="AR1713">
        <v>-64</v>
      </c>
      <c r="AZ1713">
        <v>3614</v>
      </c>
      <c r="BA1713">
        <v>1</v>
      </c>
      <c r="BB1713" t="str">
        <f t="shared" si="80"/>
        <v xml:space="preserve">N959MJ  </v>
      </c>
      <c r="BC1713">
        <v>1</v>
      </c>
      <c r="BE1713">
        <v>0</v>
      </c>
      <c r="BF1713">
        <v>0</v>
      </c>
      <c r="BG1713">
        <v>0</v>
      </c>
      <c r="BH1713">
        <v>4900</v>
      </c>
      <c r="BI1713">
        <v>200</v>
      </c>
      <c r="BJ1713">
        <v>1</v>
      </c>
      <c r="BK1713">
        <v>1</v>
      </c>
      <c r="BL1713">
        <v>1</v>
      </c>
      <c r="BM1713">
        <v>0</v>
      </c>
      <c r="BP1713">
        <v>0</v>
      </c>
      <c r="BQ1713">
        <v>0</v>
      </c>
      <c r="BX1713" t="str">
        <f>"14:18:55.359"</f>
        <v>14:18:55.359</v>
      </c>
      <c r="BY1713" t="str">
        <f>"361038138"</f>
        <v>361038138</v>
      </c>
      <c r="CL1713">
        <v>0</v>
      </c>
      <c r="CM1713">
        <v>2</v>
      </c>
      <c r="CN1713">
        <v>0</v>
      </c>
      <c r="CO1713">
        <v>2</v>
      </c>
      <c r="CP1713">
        <v>0</v>
      </c>
      <c r="CQ1713">
        <v>6</v>
      </c>
      <c r="CR1713" t="s">
        <v>116</v>
      </c>
      <c r="CS1713">
        <v>396</v>
      </c>
      <c r="CT1713">
        <v>1</v>
      </c>
      <c r="CU1713" t="s">
        <v>939</v>
      </c>
      <c r="CV1713" t="s">
        <v>940</v>
      </c>
      <c r="CY1713">
        <v>9364319</v>
      </c>
      <c r="CZ1713" t="s">
        <v>119</v>
      </c>
    </row>
    <row r="1714" spans="1:104" x14ac:dyDescent="0.25">
      <c r="A1714" t="str">
        <f>"14:18:56.422"</f>
        <v>14:18:56.422</v>
      </c>
      <c r="B1714" t="s">
        <v>108</v>
      </c>
      <c r="C1714" t="str">
        <f t="shared" si="79"/>
        <v>ffdfd3c0</v>
      </c>
      <c r="D1714" t="s">
        <v>109</v>
      </c>
      <c r="E1714">
        <v>4</v>
      </c>
      <c r="F1714">
        <v>1004</v>
      </c>
      <c r="G1714" t="s">
        <v>110</v>
      </c>
      <c r="J1714" t="s">
        <v>111</v>
      </c>
      <c r="K1714">
        <v>0</v>
      </c>
      <c r="L1714">
        <v>3</v>
      </c>
      <c r="M1714">
        <v>0</v>
      </c>
      <c r="N1714">
        <v>2</v>
      </c>
      <c r="O1714">
        <v>1</v>
      </c>
      <c r="P1714">
        <v>0</v>
      </c>
      <c r="Q1714">
        <v>0</v>
      </c>
      <c r="R1714" t="s">
        <v>112</v>
      </c>
      <c r="S1714" t="str">
        <f>"14:18:56.219"</f>
        <v>14:18:56.219</v>
      </c>
      <c r="T1714" t="str">
        <f>"14:18:55.820"</f>
        <v>14:18:55.820</v>
      </c>
      <c r="U1714" t="str">
        <f t="shared" si="78"/>
        <v>ad5732</v>
      </c>
      <c r="V1714">
        <v>0</v>
      </c>
      <c r="W1714">
        <v>0</v>
      </c>
      <c r="X1714">
        <v>1</v>
      </c>
      <c r="Z1714">
        <v>0</v>
      </c>
      <c r="AA1714">
        <v>9</v>
      </c>
      <c r="AB1714">
        <v>3</v>
      </c>
      <c r="AC1714">
        <v>0</v>
      </c>
      <c r="AD1714">
        <v>10</v>
      </c>
      <c r="AE1714">
        <v>0</v>
      </c>
      <c r="AF1714">
        <v>3</v>
      </c>
      <c r="AG1714">
        <v>2</v>
      </c>
      <c r="AH1714">
        <v>0</v>
      </c>
      <c r="AI1714" t="s">
        <v>3531</v>
      </c>
      <c r="AJ1714">
        <v>39.730296000000003</v>
      </c>
      <c r="AK1714" t="s">
        <v>3532</v>
      </c>
      <c r="AL1714">
        <v>-76.139588000000003</v>
      </c>
      <c r="AM1714">
        <v>100</v>
      </c>
      <c r="AN1714">
        <v>4700</v>
      </c>
      <c r="AO1714" t="s">
        <v>115</v>
      </c>
      <c r="AP1714">
        <v>156</v>
      </c>
      <c r="AQ1714">
        <v>83</v>
      </c>
      <c r="AR1714">
        <v>-128</v>
      </c>
      <c r="AZ1714">
        <v>3614</v>
      </c>
      <c r="BA1714">
        <v>1</v>
      </c>
      <c r="BB1714" t="str">
        <f t="shared" si="80"/>
        <v xml:space="preserve">N959MJ  </v>
      </c>
      <c r="BC1714">
        <v>1</v>
      </c>
      <c r="BE1714">
        <v>0</v>
      </c>
      <c r="BF1714">
        <v>0</v>
      </c>
      <c r="BG1714">
        <v>0</v>
      </c>
      <c r="BH1714">
        <v>4900</v>
      </c>
      <c r="BI1714">
        <v>200</v>
      </c>
      <c r="BJ1714">
        <v>1</v>
      </c>
      <c r="BK1714">
        <v>1</v>
      </c>
      <c r="BL1714">
        <v>1</v>
      </c>
      <c r="BM1714">
        <v>0</v>
      </c>
      <c r="BP1714">
        <v>0</v>
      </c>
      <c r="BQ1714">
        <v>0</v>
      </c>
      <c r="BX1714" t="str">
        <f>"14:18:56.219"</f>
        <v>14:18:56.219</v>
      </c>
      <c r="BY1714" t="str">
        <f>"219602315"</f>
        <v>219602315</v>
      </c>
      <c r="CL1714">
        <v>0</v>
      </c>
      <c r="CM1714">
        <v>2</v>
      </c>
      <c r="CN1714">
        <v>0</v>
      </c>
      <c r="CO1714">
        <v>2</v>
      </c>
      <c r="CP1714">
        <v>0</v>
      </c>
      <c r="CQ1714">
        <v>6</v>
      </c>
      <c r="CR1714" t="s">
        <v>116</v>
      </c>
      <c r="CS1714">
        <v>39</v>
      </c>
      <c r="CT1714">
        <v>2</v>
      </c>
      <c r="CU1714" t="s">
        <v>2259</v>
      </c>
      <c r="CV1714" t="s">
        <v>2260</v>
      </c>
      <c r="CY1714">
        <v>16041640</v>
      </c>
      <c r="CZ1714" t="s">
        <v>119</v>
      </c>
    </row>
    <row r="1715" spans="1:104" x14ac:dyDescent="0.25">
      <c r="A1715" t="str">
        <f>"14:18:57.273"</f>
        <v>14:18:57.273</v>
      </c>
      <c r="B1715" t="s">
        <v>108</v>
      </c>
      <c r="C1715" t="str">
        <f t="shared" si="79"/>
        <v>ffdfd3c0</v>
      </c>
      <c r="D1715" t="s">
        <v>109</v>
      </c>
      <c r="E1715">
        <v>4</v>
      </c>
      <c r="F1715">
        <v>1004</v>
      </c>
      <c r="G1715" t="s">
        <v>110</v>
      </c>
      <c r="J1715" t="s">
        <v>111</v>
      </c>
      <c r="K1715">
        <v>0</v>
      </c>
      <c r="L1715">
        <v>3</v>
      </c>
      <c r="M1715">
        <v>0</v>
      </c>
      <c r="N1715">
        <v>2</v>
      </c>
      <c r="O1715">
        <v>1</v>
      </c>
      <c r="P1715">
        <v>0</v>
      </c>
      <c r="Q1715">
        <v>0</v>
      </c>
      <c r="R1715" t="s">
        <v>112</v>
      </c>
      <c r="S1715" t="str">
        <f>"14:18:57.102"</f>
        <v>14:18:57.102</v>
      </c>
      <c r="T1715" t="str">
        <f>"14:18:56.703"</f>
        <v>14:18:56.703</v>
      </c>
      <c r="U1715" t="str">
        <f t="shared" si="78"/>
        <v>ad5732</v>
      </c>
      <c r="V1715">
        <v>0</v>
      </c>
      <c r="W1715">
        <v>0</v>
      </c>
      <c r="X1715">
        <v>1</v>
      </c>
      <c r="Z1715">
        <v>0</v>
      </c>
      <c r="AA1715">
        <v>9</v>
      </c>
      <c r="AB1715">
        <v>3</v>
      </c>
      <c r="AC1715">
        <v>0</v>
      </c>
      <c r="AD1715">
        <v>10</v>
      </c>
      <c r="AE1715">
        <v>0</v>
      </c>
      <c r="AF1715">
        <v>3</v>
      </c>
      <c r="AG1715">
        <v>2</v>
      </c>
      <c r="AH1715">
        <v>0</v>
      </c>
      <c r="AI1715" t="s">
        <v>3533</v>
      </c>
      <c r="AJ1715">
        <v>39.730638999999996</v>
      </c>
      <c r="AK1715" t="s">
        <v>3534</v>
      </c>
      <c r="AL1715">
        <v>-76.138709000000006</v>
      </c>
      <c r="AM1715">
        <v>100</v>
      </c>
      <c r="AN1715">
        <v>4700</v>
      </c>
      <c r="AO1715" t="s">
        <v>115</v>
      </c>
      <c r="AP1715">
        <v>156</v>
      </c>
      <c r="AQ1715">
        <v>83</v>
      </c>
      <c r="AR1715">
        <v>-128</v>
      </c>
      <c r="AZ1715">
        <v>3614</v>
      </c>
      <c r="BA1715">
        <v>1</v>
      </c>
      <c r="BB1715" t="str">
        <f t="shared" si="80"/>
        <v xml:space="preserve">N959MJ  </v>
      </c>
      <c r="BC1715">
        <v>1</v>
      </c>
      <c r="BE1715">
        <v>0</v>
      </c>
      <c r="BF1715">
        <v>0</v>
      </c>
      <c r="BG1715">
        <v>0</v>
      </c>
      <c r="BH1715">
        <v>4900</v>
      </c>
      <c r="BI1715">
        <v>200</v>
      </c>
      <c r="BJ1715">
        <v>1</v>
      </c>
      <c r="BK1715">
        <v>1</v>
      </c>
      <c r="BL1715">
        <v>1</v>
      </c>
      <c r="BM1715">
        <v>0</v>
      </c>
      <c r="BP1715">
        <v>0</v>
      </c>
      <c r="BQ1715">
        <v>0</v>
      </c>
      <c r="BX1715" t="str">
        <f>"14:18:57.102"</f>
        <v>14:18:57.102</v>
      </c>
      <c r="BY1715" t="str">
        <f>"104352989"</f>
        <v>104352989</v>
      </c>
      <c r="CL1715">
        <v>0</v>
      </c>
      <c r="CM1715">
        <v>2</v>
      </c>
      <c r="CN1715">
        <v>0</v>
      </c>
      <c r="CO1715">
        <v>2</v>
      </c>
      <c r="CP1715">
        <v>0</v>
      </c>
      <c r="CQ1715">
        <v>6</v>
      </c>
      <c r="CR1715" t="s">
        <v>116</v>
      </c>
      <c r="CS1715">
        <v>39</v>
      </c>
      <c r="CT1715">
        <v>2</v>
      </c>
      <c r="CU1715" t="s">
        <v>2259</v>
      </c>
      <c r="CV1715" t="s">
        <v>2260</v>
      </c>
      <c r="CY1715">
        <v>16043097</v>
      </c>
      <c r="CZ1715" t="s">
        <v>119</v>
      </c>
    </row>
    <row r="1716" spans="1:104" x14ac:dyDescent="0.25">
      <c r="A1716" t="str">
        <f>"14:18:58.188"</f>
        <v>14:18:58.188</v>
      </c>
      <c r="B1716" t="s">
        <v>108</v>
      </c>
      <c r="C1716" t="str">
        <f t="shared" si="79"/>
        <v>ffdfd3c0</v>
      </c>
      <c r="D1716" t="s">
        <v>109</v>
      </c>
      <c r="E1716">
        <v>4</v>
      </c>
      <c r="F1716">
        <v>1004</v>
      </c>
      <c r="G1716" t="s">
        <v>110</v>
      </c>
      <c r="J1716" t="s">
        <v>111</v>
      </c>
      <c r="K1716">
        <v>0</v>
      </c>
      <c r="L1716">
        <v>3</v>
      </c>
      <c r="M1716">
        <v>0</v>
      </c>
      <c r="N1716">
        <v>2</v>
      </c>
      <c r="O1716">
        <v>1</v>
      </c>
      <c r="P1716">
        <v>0</v>
      </c>
      <c r="Q1716">
        <v>0</v>
      </c>
      <c r="R1716" t="s">
        <v>112</v>
      </c>
      <c r="S1716" t="str">
        <f>"14:18:57.992"</f>
        <v>14:18:57.992</v>
      </c>
      <c r="T1716" t="str">
        <f>"14:18:57.594"</f>
        <v>14:18:57.594</v>
      </c>
      <c r="U1716" t="str">
        <f t="shared" si="78"/>
        <v>ad5732</v>
      </c>
      <c r="V1716">
        <v>0</v>
      </c>
      <c r="W1716">
        <v>0</v>
      </c>
      <c r="X1716">
        <v>1</v>
      </c>
      <c r="Z1716">
        <v>0</v>
      </c>
      <c r="AA1716">
        <v>9</v>
      </c>
      <c r="AB1716">
        <v>3</v>
      </c>
      <c r="AC1716">
        <v>0</v>
      </c>
      <c r="AD1716">
        <v>10</v>
      </c>
      <c r="AE1716">
        <v>0</v>
      </c>
      <c r="AF1716">
        <v>3</v>
      </c>
      <c r="AG1716">
        <v>2</v>
      </c>
      <c r="AH1716">
        <v>0</v>
      </c>
      <c r="AI1716" t="s">
        <v>3535</v>
      </c>
      <c r="AJ1716">
        <v>39.730983000000002</v>
      </c>
      <c r="AK1716" t="s">
        <v>3536</v>
      </c>
      <c r="AL1716">
        <v>-76.137872000000002</v>
      </c>
      <c r="AM1716">
        <v>100</v>
      </c>
      <c r="AN1716">
        <v>4700</v>
      </c>
      <c r="AO1716" t="s">
        <v>115</v>
      </c>
      <c r="AP1716">
        <v>157</v>
      </c>
      <c r="AQ1716">
        <v>83</v>
      </c>
      <c r="AR1716">
        <v>-128</v>
      </c>
      <c r="AZ1716">
        <v>3614</v>
      </c>
      <c r="BA1716">
        <v>1</v>
      </c>
      <c r="BB1716" t="str">
        <f t="shared" si="80"/>
        <v xml:space="preserve">N959MJ  </v>
      </c>
      <c r="BC1716">
        <v>1</v>
      </c>
      <c r="BE1716">
        <v>0</v>
      </c>
      <c r="BF1716">
        <v>0</v>
      </c>
      <c r="BG1716">
        <v>0</v>
      </c>
      <c r="BH1716">
        <v>4900</v>
      </c>
      <c r="BI1716">
        <v>200</v>
      </c>
      <c r="BJ1716">
        <v>1</v>
      </c>
      <c r="BK1716">
        <v>1</v>
      </c>
      <c r="BL1716">
        <v>1</v>
      </c>
      <c r="BM1716">
        <v>0</v>
      </c>
      <c r="BP1716">
        <v>0</v>
      </c>
      <c r="BQ1716">
        <v>0</v>
      </c>
      <c r="BX1716" t="str">
        <f>"14:18:58.000"</f>
        <v>14:18:58.000</v>
      </c>
      <c r="BY1716" t="str">
        <f>"998907145"</f>
        <v>998907145</v>
      </c>
      <c r="CL1716">
        <v>0</v>
      </c>
      <c r="CM1716">
        <v>2</v>
      </c>
      <c r="CN1716">
        <v>0</v>
      </c>
      <c r="CO1716">
        <v>2</v>
      </c>
      <c r="CP1716">
        <v>0</v>
      </c>
      <c r="CQ1716">
        <v>6</v>
      </c>
      <c r="CR1716" t="s">
        <v>116</v>
      </c>
      <c r="CS1716">
        <v>396</v>
      </c>
      <c r="CT1716">
        <v>1</v>
      </c>
      <c r="CU1716" t="s">
        <v>939</v>
      </c>
      <c r="CV1716" t="s">
        <v>940</v>
      </c>
      <c r="CY1716">
        <v>9369043</v>
      </c>
      <c r="CZ1716" t="s">
        <v>119</v>
      </c>
    </row>
    <row r="1717" spans="1:104" x14ac:dyDescent="0.25">
      <c r="A1717" t="str">
        <f>"14:18:59.195"</f>
        <v>14:18:59.195</v>
      </c>
      <c r="B1717" t="s">
        <v>108</v>
      </c>
      <c r="C1717" t="str">
        <f t="shared" si="79"/>
        <v>ffdfd3c0</v>
      </c>
      <c r="D1717" t="s">
        <v>109</v>
      </c>
      <c r="E1717">
        <v>4</v>
      </c>
      <c r="F1717">
        <v>1004</v>
      </c>
      <c r="G1717" t="s">
        <v>110</v>
      </c>
      <c r="J1717" t="s">
        <v>111</v>
      </c>
      <c r="K1717">
        <v>0</v>
      </c>
      <c r="L1717">
        <v>3</v>
      </c>
      <c r="M1717">
        <v>0</v>
      </c>
      <c r="N1717">
        <v>2</v>
      </c>
      <c r="O1717">
        <v>1</v>
      </c>
      <c r="P1717">
        <v>0</v>
      </c>
      <c r="Q1717">
        <v>0</v>
      </c>
      <c r="R1717" t="s">
        <v>112</v>
      </c>
      <c r="S1717" t="str">
        <f>"14:18:59.008"</f>
        <v>14:18:59.008</v>
      </c>
      <c r="T1717" t="str">
        <f>"14:18:58.508"</f>
        <v>14:18:58.508</v>
      </c>
      <c r="U1717" t="str">
        <f t="shared" si="78"/>
        <v>ad5732</v>
      </c>
      <c r="V1717">
        <v>0</v>
      </c>
      <c r="W1717">
        <v>0</v>
      </c>
      <c r="X1717">
        <v>1</v>
      </c>
      <c r="Z1717">
        <v>0</v>
      </c>
      <c r="AA1717">
        <v>9</v>
      </c>
      <c r="AB1717">
        <v>3</v>
      </c>
      <c r="AC1717">
        <v>0</v>
      </c>
      <c r="AD1717">
        <v>10</v>
      </c>
      <c r="AE1717">
        <v>0</v>
      </c>
      <c r="AF1717">
        <v>3</v>
      </c>
      <c r="AG1717">
        <v>2</v>
      </c>
      <c r="AH1717">
        <v>0</v>
      </c>
      <c r="AI1717" t="s">
        <v>3537</v>
      </c>
      <c r="AJ1717">
        <v>39.731347999999997</v>
      </c>
      <c r="AK1717" t="s">
        <v>3538</v>
      </c>
      <c r="AL1717">
        <v>-76.136905999999996</v>
      </c>
      <c r="AM1717">
        <v>100</v>
      </c>
      <c r="AN1717">
        <v>4700</v>
      </c>
      <c r="AO1717" t="s">
        <v>115</v>
      </c>
      <c r="AP1717">
        <v>157</v>
      </c>
      <c r="AQ1717">
        <v>83</v>
      </c>
      <c r="AR1717">
        <v>-128</v>
      </c>
      <c r="AZ1717">
        <v>3614</v>
      </c>
      <c r="BA1717">
        <v>1</v>
      </c>
      <c r="BB1717" t="str">
        <f t="shared" si="80"/>
        <v xml:space="preserve">N959MJ  </v>
      </c>
      <c r="BC1717">
        <v>1</v>
      </c>
      <c r="BE1717">
        <v>0</v>
      </c>
      <c r="BF1717">
        <v>0</v>
      </c>
      <c r="BG1717">
        <v>0</v>
      </c>
      <c r="BH1717">
        <v>4900</v>
      </c>
      <c r="BI1717">
        <v>200</v>
      </c>
      <c r="BJ1717">
        <v>1</v>
      </c>
      <c r="BK1717">
        <v>1</v>
      </c>
      <c r="BL1717">
        <v>1</v>
      </c>
      <c r="BM1717">
        <v>0</v>
      </c>
      <c r="BP1717">
        <v>0</v>
      </c>
      <c r="BQ1717">
        <v>0</v>
      </c>
      <c r="BX1717" t="str">
        <f>"14:18:59.016"</f>
        <v>14:18:59.016</v>
      </c>
      <c r="BY1717" t="str">
        <f>"014759029"</f>
        <v>014759029</v>
      </c>
      <c r="CL1717">
        <v>0</v>
      </c>
      <c r="CM1717">
        <v>2</v>
      </c>
      <c r="CN1717">
        <v>0</v>
      </c>
      <c r="CO1717">
        <v>2</v>
      </c>
      <c r="CP1717">
        <v>0</v>
      </c>
      <c r="CQ1717">
        <v>6</v>
      </c>
      <c r="CR1717" t="s">
        <v>116</v>
      </c>
      <c r="CS1717">
        <v>39</v>
      </c>
      <c r="CT1717">
        <v>2</v>
      </c>
      <c r="CU1717" t="s">
        <v>2259</v>
      </c>
      <c r="CV1717" t="s">
        <v>2260</v>
      </c>
      <c r="CY1717">
        <v>16046111</v>
      </c>
      <c r="CZ1717" t="s">
        <v>119</v>
      </c>
    </row>
    <row r="1718" spans="1:104" x14ac:dyDescent="0.25">
      <c r="A1718" t="str">
        <f>"14:19:00.102"</f>
        <v>14:19:00.102</v>
      </c>
      <c r="B1718" t="s">
        <v>108</v>
      </c>
      <c r="C1718" t="str">
        <f t="shared" si="79"/>
        <v>ffdfd3c0</v>
      </c>
      <c r="D1718" t="s">
        <v>109</v>
      </c>
      <c r="E1718">
        <v>4</v>
      </c>
      <c r="F1718">
        <v>1004</v>
      </c>
      <c r="G1718" t="s">
        <v>110</v>
      </c>
      <c r="J1718" t="s">
        <v>111</v>
      </c>
      <c r="K1718">
        <v>0</v>
      </c>
      <c r="L1718">
        <v>3</v>
      </c>
      <c r="M1718">
        <v>0</v>
      </c>
      <c r="N1718">
        <v>2</v>
      </c>
      <c r="O1718">
        <v>1</v>
      </c>
      <c r="P1718">
        <v>0</v>
      </c>
      <c r="Q1718">
        <v>0</v>
      </c>
      <c r="R1718" t="s">
        <v>112</v>
      </c>
      <c r="S1718" t="str">
        <f>"14:18:59.906"</f>
        <v>14:18:59.906</v>
      </c>
      <c r="T1718" t="str">
        <f>"14:18:59.508"</f>
        <v>14:18:59.508</v>
      </c>
      <c r="U1718" t="str">
        <f t="shared" si="78"/>
        <v>ad5732</v>
      </c>
      <c r="V1718">
        <v>0</v>
      </c>
      <c r="W1718">
        <v>0</v>
      </c>
      <c r="X1718">
        <v>1</v>
      </c>
      <c r="Z1718">
        <v>0</v>
      </c>
      <c r="AA1718">
        <v>9</v>
      </c>
      <c r="AB1718">
        <v>3</v>
      </c>
      <c r="AC1718">
        <v>0</v>
      </c>
      <c r="AD1718">
        <v>10</v>
      </c>
      <c r="AE1718">
        <v>0</v>
      </c>
      <c r="AF1718">
        <v>3</v>
      </c>
      <c r="AG1718">
        <v>2</v>
      </c>
      <c r="AH1718">
        <v>0</v>
      </c>
      <c r="AI1718" t="s">
        <v>3539</v>
      </c>
      <c r="AJ1718">
        <v>39.731690999999998</v>
      </c>
      <c r="AK1718" t="s">
        <v>3540</v>
      </c>
      <c r="AL1718">
        <v>-76.136090999999993</v>
      </c>
      <c r="AM1718">
        <v>100</v>
      </c>
      <c r="AN1718">
        <v>4700</v>
      </c>
      <c r="AO1718" t="s">
        <v>115</v>
      </c>
      <c r="AP1718">
        <v>157</v>
      </c>
      <c r="AQ1718">
        <v>83</v>
      </c>
      <c r="AR1718">
        <v>-128</v>
      </c>
      <c r="AZ1718">
        <v>3614</v>
      </c>
      <c r="BA1718">
        <v>1</v>
      </c>
      <c r="BB1718" t="str">
        <f t="shared" si="80"/>
        <v xml:space="preserve">N959MJ  </v>
      </c>
      <c r="BC1718">
        <v>1</v>
      </c>
      <c r="BE1718">
        <v>0</v>
      </c>
      <c r="BF1718">
        <v>0</v>
      </c>
      <c r="BG1718">
        <v>0</v>
      </c>
      <c r="BH1718">
        <v>4900</v>
      </c>
      <c r="BI1718">
        <v>200</v>
      </c>
      <c r="BJ1718">
        <v>1</v>
      </c>
      <c r="BK1718">
        <v>1</v>
      </c>
      <c r="BL1718">
        <v>1</v>
      </c>
      <c r="BM1718">
        <v>0</v>
      </c>
      <c r="BP1718">
        <v>0</v>
      </c>
      <c r="BQ1718">
        <v>0</v>
      </c>
      <c r="BX1718" t="str">
        <f>"14:18:59.914"</f>
        <v>14:18:59.914</v>
      </c>
      <c r="BY1718" t="str">
        <f>"910978737"</f>
        <v>910978737</v>
      </c>
      <c r="CL1718">
        <v>0</v>
      </c>
      <c r="CM1718">
        <v>2</v>
      </c>
      <c r="CN1718">
        <v>0</v>
      </c>
      <c r="CO1718">
        <v>2</v>
      </c>
      <c r="CP1718">
        <v>0</v>
      </c>
      <c r="CQ1718">
        <v>6</v>
      </c>
      <c r="CR1718" t="s">
        <v>116</v>
      </c>
      <c r="CS1718">
        <v>39</v>
      </c>
      <c r="CT1718">
        <v>2</v>
      </c>
      <c r="CU1718" t="s">
        <v>2259</v>
      </c>
      <c r="CV1718" t="s">
        <v>2260</v>
      </c>
      <c r="CY1718">
        <v>16047504</v>
      </c>
      <c r="CZ1718" t="s">
        <v>119</v>
      </c>
    </row>
    <row r="1719" spans="1:104" x14ac:dyDescent="0.25">
      <c r="A1719" t="str">
        <f>"14:19:01.008"</f>
        <v>14:19:01.008</v>
      </c>
      <c r="B1719" t="s">
        <v>108</v>
      </c>
      <c r="C1719" t="str">
        <f t="shared" si="79"/>
        <v>ffdfd3c0</v>
      </c>
      <c r="D1719" t="s">
        <v>109</v>
      </c>
      <c r="E1719">
        <v>4</v>
      </c>
      <c r="F1719">
        <v>1004</v>
      </c>
      <c r="G1719" t="s">
        <v>110</v>
      </c>
      <c r="J1719" t="s">
        <v>111</v>
      </c>
      <c r="K1719">
        <v>0</v>
      </c>
      <c r="L1719">
        <v>3</v>
      </c>
      <c r="M1719">
        <v>0</v>
      </c>
      <c r="N1719">
        <v>2</v>
      </c>
      <c r="O1719">
        <v>1</v>
      </c>
      <c r="P1719">
        <v>0</v>
      </c>
      <c r="Q1719">
        <v>0</v>
      </c>
      <c r="R1719" t="s">
        <v>112</v>
      </c>
      <c r="S1719" t="str">
        <f>"14:19:00.805"</f>
        <v>14:19:00.805</v>
      </c>
      <c r="T1719" t="str">
        <f>"14:19:00.406"</f>
        <v>14:19:00.406</v>
      </c>
      <c r="U1719" t="str">
        <f t="shared" si="78"/>
        <v>ad5732</v>
      </c>
      <c r="V1719">
        <v>0</v>
      </c>
      <c r="W1719">
        <v>0</v>
      </c>
      <c r="X1719">
        <v>1</v>
      </c>
      <c r="Z1719">
        <v>0</v>
      </c>
      <c r="AA1719">
        <v>9</v>
      </c>
      <c r="AB1719">
        <v>3</v>
      </c>
      <c r="AC1719">
        <v>0</v>
      </c>
      <c r="AD1719">
        <v>10</v>
      </c>
      <c r="AE1719">
        <v>0</v>
      </c>
      <c r="AF1719">
        <v>3</v>
      </c>
      <c r="AG1719">
        <v>2</v>
      </c>
      <c r="AH1719">
        <v>0</v>
      </c>
      <c r="AI1719" t="s">
        <v>3541</v>
      </c>
      <c r="AJ1719">
        <v>39.732056</v>
      </c>
      <c r="AK1719" t="s">
        <v>3542</v>
      </c>
      <c r="AL1719">
        <v>-76.135254000000003</v>
      </c>
      <c r="AM1719">
        <v>100</v>
      </c>
      <c r="AN1719">
        <v>4700</v>
      </c>
      <c r="AO1719" t="s">
        <v>115</v>
      </c>
      <c r="AP1719">
        <v>157</v>
      </c>
      <c r="AQ1719">
        <v>82</v>
      </c>
      <c r="AR1719">
        <v>-128</v>
      </c>
      <c r="AZ1719">
        <v>3614</v>
      </c>
      <c r="BA1719">
        <v>1</v>
      </c>
      <c r="BB1719" t="str">
        <f t="shared" si="80"/>
        <v xml:space="preserve">N959MJ  </v>
      </c>
      <c r="BC1719">
        <v>1</v>
      </c>
      <c r="BE1719">
        <v>0</v>
      </c>
      <c r="BF1719">
        <v>0</v>
      </c>
      <c r="BG1719">
        <v>0</v>
      </c>
      <c r="BH1719">
        <v>4900</v>
      </c>
      <c r="BI1719">
        <v>200</v>
      </c>
      <c r="BJ1719">
        <v>1</v>
      </c>
      <c r="BK1719">
        <v>1</v>
      </c>
      <c r="BL1719">
        <v>1</v>
      </c>
      <c r="BM1719">
        <v>0</v>
      </c>
      <c r="BP1719">
        <v>0</v>
      </c>
      <c r="BQ1719">
        <v>0</v>
      </c>
      <c r="BX1719" t="str">
        <f>"14:19:00.813"</f>
        <v>14:19:00.813</v>
      </c>
      <c r="BY1719" t="str">
        <f>"810475273"</f>
        <v>810475273</v>
      </c>
      <c r="CL1719">
        <v>0</v>
      </c>
      <c r="CM1719">
        <v>2</v>
      </c>
      <c r="CN1719">
        <v>0</v>
      </c>
      <c r="CO1719">
        <v>2</v>
      </c>
      <c r="CP1719">
        <v>0</v>
      </c>
      <c r="CQ1719">
        <v>6</v>
      </c>
      <c r="CR1719" t="s">
        <v>116</v>
      </c>
      <c r="CS1719">
        <v>39</v>
      </c>
      <c r="CT1719">
        <v>2</v>
      </c>
      <c r="CU1719" t="s">
        <v>2259</v>
      </c>
      <c r="CV1719" t="s">
        <v>2260</v>
      </c>
      <c r="CY1719">
        <v>16048909</v>
      </c>
      <c r="CZ1719" t="s">
        <v>119</v>
      </c>
    </row>
    <row r="1720" spans="1:104" x14ac:dyDescent="0.25">
      <c r="A1720" t="str">
        <f>"14:19:02.070"</f>
        <v>14:19:02.070</v>
      </c>
      <c r="B1720" t="s">
        <v>108</v>
      </c>
      <c r="C1720" t="str">
        <f t="shared" si="79"/>
        <v>ffdfd3c0</v>
      </c>
      <c r="D1720" t="s">
        <v>109</v>
      </c>
      <c r="E1720">
        <v>4</v>
      </c>
      <c r="F1720">
        <v>1004</v>
      </c>
      <c r="G1720" t="s">
        <v>110</v>
      </c>
      <c r="J1720" t="s">
        <v>111</v>
      </c>
      <c r="K1720">
        <v>0</v>
      </c>
      <c r="L1720">
        <v>3</v>
      </c>
      <c r="M1720">
        <v>0</v>
      </c>
      <c r="N1720">
        <v>2</v>
      </c>
      <c r="O1720">
        <v>1</v>
      </c>
      <c r="P1720">
        <v>0</v>
      </c>
      <c r="Q1720">
        <v>0</v>
      </c>
      <c r="R1720" t="s">
        <v>112</v>
      </c>
      <c r="S1720" t="str">
        <f>"14:19:01.883"</f>
        <v>14:19:01.883</v>
      </c>
      <c r="T1720" t="str">
        <f>"14:19:01.383"</f>
        <v>14:19:01.383</v>
      </c>
      <c r="U1720" t="str">
        <f t="shared" si="78"/>
        <v>ad5732</v>
      </c>
      <c r="V1720">
        <v>0</v>
      </c>
      <c r="W1720">
        <v>0</v>
      </c>
      <c r="X1720">
        <v>1</v>
      </c>
      <c r="Z1720">
        <v>0</v>
      </c>
      <c r="AA1720">
        <v>9</v>
      </c>
      <c r="AB1720">
        <v>3</v>
      </c>
      <c r="AC1720">
        <v>0</v>
      </c>
      <c r="AD1720">
        <v>10</v>
      </c>
      <c r="AE1720">
        <v>0</v>
      </c>
      <c r="AF1720">
        <v>3</v>
      </c>
      <c r="AG1720">
        <v>2</v>
      </c>
      <c r="AH1720">
        <v>0</v>
      </c>
      <c r="AI1720" t="s">
        <v>3543</v>
      </c>
      <c r="AJ1720">
        <v>39.732419999999998</v>
      </c>
      <c r="AK1720" t="s">
        <v>3544</v>
      </c>
      <c r="AL1720">
        <v>-76.134266999999994</v>
      </c>
      <c r="AM1720">
        <v>100</v>
      </c>
      <c r="AN1720">
        <v>4700</v>
      </c>
      <c r="AO1720" t="s">
        <v>115</v>
      </c>
      <c r="AP1720">
        <v>158</v>
      </c>
      <c r="AQ1720">
        <v>82</v>
      </c>
      <c r="AR1720">
        <v>-128</v>
      </c>
      <c r="AZ1720">
        <v>3614</v>
      </c>
      <c r="BA1720">
        <v>1</v>
      </c>
      <c r="BB1720" t="str">
        <f t="shared" si="80"/>
        <v xml:space="preserve">N959MJ  </v>
      </c>
      <c r="BC1720">
        <v>1</v>
      </c>
      <c r="BE1720">
        <v>0</v>
      </c>
      <c r="BF1720">
        <v>0</v>
      </c>
      <c r="BG1720">
        <v>0</v>
      </c>
      <c r="BH1720">
        <v>4900</v>
      </c>
      <c r="BI1720">
        <v>200</v>
      </c>
      <c r="BJ1720">
        <v>1</v>
      </c>
      <c r="BK1720">
        <v>1</v>
      </c>
      <c r="BL1720">
        <v>1</v>
      </c>
      <c r="BM1720">
        <v>0</v>
      </c>
      <c r="BP1720">
        <v>0</v>
      </c>
      <c r="BQ1720">
        <v>0</v>
      </c>
      <c r="BX1720" t="str">
        <f>"14:19:01.891"</f>
        <v>14:19:01.891</v>
      </c>
      <c r="BY1720" t="str">
        <f>"887027804"</f>
        <v>887027804</v>
      </c>
      <c r="CL1720">
        <v>0</v>
      </c>
      <c r="CM1720">
        <v>2</v>
      </c>
      <c r="CN1720">
        <v>0</v>
      </c>
      <c r="CO1720">
        <v>2</v>
      </c>
      <c r="CP1720">
        <v>0</v>
      </c>
      <c r="CQ1720">
        <v>5</v>
      </c>
      <c r="CR1720" t="s">
        <v>116</v>
      </c>
      <c r="CS1720">
        <v>372</v>
      </c>
      <c r="CT1720">
        <v>3</v>
      </c>
      <c r="CU1720" t="s">
        <v>877</v>
      </c>
      <c r="CV1720" t="s">
        <v>878</v>
      </c>
      <c r="CY1720">
        <v>12443453</v>
      </c>
      <c r="CZ1720" t="s">
        <v>119</v>
      </c>
    </row>
    <row r="1721" spans="1:104" x14ac:dyDescent="0.25">
      <c r="A1721" t="str">
        <f>"14:19:03.133"</f>
        <v>14:19:03.133</v>
      </c>
      <c r="B1721" t="s">
        <v>108</v>
      </c>
      <c r="C1721" t="str">
        <f t="shared" si="79"/>
        <v>ffdfd3c0</v>
      </c>
      <c r="D1721" t="s">
        <v>109</v>
      </c>
      <c r="E1721">
        <v>4</v>
      </c>
      <c r="F1721">
        <v>1004</v>
      </c>
      <c r="G1721" t="s">
        <v>110</v>
      </c>
      <c r="J1721" t="s">
        <v>111</v>
      </c>
      <c r="K1721">
        <v>0</v>
      </c>
      <c r="L1721">
        <v>3</v>
      </c>
      <c r="M1721">
        <v>0</v>
      </c>
      <c r="N1721">
        <v>2</v>
      </c>
      <c r="O1721">
        <v>1</v>
      </c>
      <c r="P1721">
        <v>0</v>
      </c>
      <c r="Q1721">
        <v>0</v>
      </c>
      <c r="R1721" t="s">
        <v>112</v>
      </c>
      <c r="S1721" t="str">
        <f>"14:19:02.930"</f>
        <v>14:19:02.930</v>
      </c>
      <c r="T1721" t="str">
        <f>"14:19:02.531"</f>
        <v>14:19:02.531</v>
      </c>
      <c r="U1721" t="str">
        <f t="shared" si="78"/>
        <v>ad5732</v>
      </c>
      <c r="V1721">
        <v>0</v>
      </c>
      <c r="W1721">
        <v>0</v>
      </c>
      <c r="X1721">
        <v>1</v>
      </c>
      <c r="Z1721">
        <v>0</v>
      </c>
      <c r="AA1721">
        <v>9</v>
      </c>
      <c r="AB1721">
        <v>3</v>
      </c>
      <c r="AC1721">
        <v>0</v>
      </c>
      <c r="AD1721">
        <v>10</v>
      </c>
      <c r="AE1721">
        <v>0</v>
      </c>
      <c r="AF1721">
        <v>3</v>
      </c>
      <c r="AG1721">
        <v>2</v>
      </c>
      <c r="AH1721">
        <v>0</v>
      </c>
      <c r="AI1721" t="s">
        <v>3545</v>
      </c>
      <c r="AJ1721">
        <v>39.732827999999998</v>
      </c>
      <c r="AK1721" t="s">
        <v>3546</v>
      </c>
      <c r="AL1721">
        <v>-76.133215000000007</v>
      </c>
      <c r="AM1721">
        <v>100</v>
      </c>
      <c r="AN1721">
        <v>4700</v>
      </c>
      <c r="AO1721" t="s">
        <v>115</v>
      </c>
      <c r="AP1721">
        <v>158</v>
      </c>
      <c r="AQ1721">
        <v>82</v>
      </c>
      <c r="AR1721">
        <v>-64</v>
      </c>
      <c r="AZ1721">
        <v>3614</v>
      </c>
      <c r="BA1721">
        <v>1</v>
      </c>
      <c r="BB1721" t="str">
        <f t="shared" si="80"/>
        <v xml:space="preserve">N959MJ  </v>
      </c>
      <c r="BC1721">
        <v>1</v>
      </c>
      <c r="BE1721">
        <v>0</v>
      </c>
      <c r="BF1721">
        <v>0</v>
      </c>
      <c r="BG1721">
        <v>0</v>
      </c>
      <c r="BH1721">
        <v>4900</v>
      </c>
      <c r="BI1721">
        <v>200</v>
      </c>
      <c r="BJ1721">
        <v>1</v>
      </c>
      <c r="BK1721">
        <v>1</v>
      </c>
      <c r="BL1721">
        <v>1</v>
      </c>
      <c r="BM1721">
        <v>0</v>
      </c>
      <c r="BP1721">
        <v>0</v>
      </c>
      <c r="BQ1721">
        <v>0</v>
      </c>
      <c r="BX1721" t="str">
        <f>"14:19:02.938"</f>
        <v>14:19:02.938</v>
      </c>
      <c r="BY1721" t="str">
        <f>"933876982"</f>
        <v>933876982</v>
      </c>
      <c r="CL1721">
        <v>0</v>
      </c>
      <c r="CM1721">
        <v>2</v>
      </c>
      <c r="CN1721">
        <v>0</v>
      </c>
      <c r="CO1721">
        <v>2</v>
      </c>
      <c r="CP1721">
        <v>0</v>
      </c>
      <c r="CQ1721">
        <v>6</v>
      </c>
      <c r="CR1721" t="s">
        <v>116</v>
      </c>
      <c r="CS1721">
        <v>39</v>
      </c>
      <c r="CT1721">
        <v>2</v>
      </c>
      <c r="CU1721" t="s">
        <v>2259</v>
      </c>
      <c r="CV1721" t="s">
        <v>2260</v>
      </c>
      <c r="CY1721">
        <v>16052357</v>
      </c>
      <c r="CZ1721" t="s">
        <v>119</v>
      </c>
    </row>
    <row r="1722" spans="1:104" x14ac:dyDescent="0.25">
      <c r="A1722" t="str">
        <f>"14:19:04.141"</f>
        <v>14:19:04.141</v>
      </c>
      <c r="B1722" t="s">
        <v>108</v>
      </c>
      <c r="C1722" t="str">
        <f t="shared" si="79"/>
        <v>ffdfd3c0</v>
      </c>
      <c r="D1722" t="s">
        <v>109</v>
      </c>
      <c r="E1722">
        <v>4</v>
      </c>
      <c r="F1722">
        <v>1004</v>
      </c>
      <c r="G1722" t="s">
        <v>110</v>
      </c>
      <c r="J1722" t="s">
        <v>111</v>
      </c>
      <c r="K1722">
        <v>0</v>
      </c>
      <c r="L1722">
        <v>3</v>
      </c>
      <c r="M1722">
        <v>0</v>
      </c>
      <c r="N1722">
        <v>2</v>
      </c>
      <c r="O1722">
        <v>1</v>
      </c>
      <c r="P1722">
        <v>0</v>
      </c>
      <c r="Q1722">
        <v>0</v>
      </c>
      <c r="R1722" t="s">
        <v>112</v>
      </c>
      <c r="S1722" t="str">
        <f>"14:19:03.961"</f>
        <v>14:19:03.961</v>
      </c>
      <c r="T1722" t="str">
        <f>"14:19:03.563"</f>
        <v>14:19:03.563</v>
      </c>
      <c r="U1722" t="str">
        <f t="shared" si="78"/>
        <v>ad5732</v>
      </c>
      <c r="V1722">
        <v>0</v>
      </c>
      <c r="W1722">
        <v>0</v>
      </c>
      <c r="X1722">
        <v>1</v>
      </c>
      <c r="Z1722">
        <v>0</v>
      </c>
      <c r="AA1722">
        <v>9</v>
      </c>
      <c r="AB1722">
        <v>3</v>
      </c>
      <c r="AC1722">
        <v>0</v>
      </c>
      <c r="AD1722">
        <v>10</v>
      </c>
      <c r="AE1722">
        <v>0</v>
      </c>
      <c r="AF1722">
        <v>3</v>
      </c>
      <c r="AG1722">
        <v>2</v>
      </c>
      <c r="AH1722">
        <v>0</v>
      </c>
      <c r="AI1722" t="s">
        <v>3547</v>
      </c>
      <c r="AJ1722">
        <v>39.733193</v>
      </c>
      <c r="AK1722" t="s">
        <v>3548</v>
      </c>
      <c r="AL1722">
        <v>-76.132271000000003</v>
      </c>
      <c r="AM1722">
        <v>100</v>
      </c>
      <c r="AN1722">
        <v>4700</v>
      </c>
      <c r="AO1722" t="s">
        <v>115</v>
      </c>
      <c r="AP1722">
        <v>158</v>
      </c>
      <c r="AQ1722">
        <v>81</v>
      </c>
      <c r="AR1722">
        <v>-64</v>
      </c>
      <c r="AZ1722">
        <v>3614</v>
      </c>
      <c r="BA1722">
        <v>1</v>
      </c>
      <c r="BB1722" t="str">
        <f t="shared" si="80"/>
        <v xml:space="preserve">N959MJ  </v>
      </c>
      <c r="BC1722">
        <v>1</v>
      </c>
      <c r="BE1722">
        <v>0</v>
      </c>
      <c r="BF1722">
        <v>0</v>
      </c>
      <c r="BG1722">
        <v>0</v>
      </c>
      <c r="BH1722">
        <v>4875</v>
      </c>
      <c r="BI1722">
        <v>175</v>
      </c>
      <c r="BJ1722">
        <v>1</v>
      </c>
      <c r="BK1722">
        <v>1</v>
      </c>
      <c r="BL1722">
        <v>1</v>
      </c>
      <c r="BM1722">
        <v>0</v>
      </c>
      <c r="BP1722">
        <v>0</v>
      </c>
      <c r="BQ1722">
        <v>0</v>
      </c>
      <c r="BX1722" t="str">
        <f>"14:19:03.961"</f>
        <v>14:19:03.961</v>
      </c>
      <c r="BY1722" t="str">
        <f>"962784925"</f>
        <v>962784925</v>
      </c>
      <c r="CL1722">
        <v>0</v>
      </c>
      <c r="CM1722">
        <v>2</v>
      </c>
      <c r="CN1722">
        <v>0</v>
      </c>
      <c r="CO1722">
        <v>2</v>
      </c>
      <c r="CP1722">
        <v>0</v>
      </c>
      <c r="CQ1722">
        <v>6</v>
      </c>
      <c r="CR1722" t="s">
        <v>116</v>
      </c>
      <c r="CS1722">
        <v>396</v>
      </c>
      <c r="CT1722">
        <v>1</v>
      </c>
      <c r="CU1722" t="s">
        <v>939</v>
      </c>
      <c r="CV1722" t="s">
        <v>940</v>
      </c>
      <c r="CY1722">
        <v>9379575</v>
      </c>
      <c r="CZ1722" t="s">
        <v>119</v>
      </c>
    </row>
    <row r="1723" spans="1:104" x14ac:dyDescent="0.25">
      <c r="A1723" t="str">
        <f>"14:19:05.047"</f>
        <v>14:19:05.047</v>
      </c>
      <c r="B1723" t="s">
        <v>108</v>
      </c>
      <c r="C1723" t="str">
        <f t="shared" si="79"/>
        <v>ffdfd3c0</v>
      </c>
      <c r="D1723" t="s">
        <v>109</v>
      </c>
      <c r="E1723">
        <v>4</v>
      </c>
      <c r="F1723">
        <v>1004</v>
      </c>
      <c r="G1723" t="s">
        <v>110</v>
      </c>
      <c r="J1723" t="s">
        <v>111</v>
      </c>
      <c r="K1723">
        <v>0</v>
      </c>
      <c r="L1723">
        <v>3</v>
      </c>
      <c r="M1723">
        <v>0</v>
      </c>
      <c r="N1723">
        <v>2</v>
      </c>
      <c r="O1723">
        <v>1</v>
      </c>
      <c r="P1723">
        <v>0</v>
      </c>
      <c r="Q1723">
        <v>0</v>
      </c>
      <c r="R1723" t="s">
        <v>112</v>
      </c>
      <c r="S1723" t="str">
        <f>"14:19:04.867"</f>
        <v>14:19:04.867</v>
      </c>
      <c r="T1723" t="str">
        <f>"14:19:04.469"</f>
        <v>14:19:04.469</v>
      </c>
      <c r="U1723" t="str">
        <f t="shared" si="78"/>
        <v>ad5732</v>
      </c>
      <c r="V1723">
        <v>0</v>
      </c>
      <c r="W1723">
        <v>0</v>
      </c>
      <c r="X1723">
        <v>1</v>
      </c>
      <c r="Z1723">
        <v>0</v>
      </c>
      <c r="AA1723">
        <v>9</v>
      </c>
      <c r="AB1723">
        <v>3</v>
      </c>
      <c r="AC1723">
        <v>0</v>
      </c>
      <c r="AD1723">
        <v>10</v>
      </c>
      <c r="AE1723">
        <v>0</v>
      </c>
      <c r="AF1723">
        <v>3</v>
      </c>
      <c r="AG1723">
        <v>2</v>
      </c>
      <c r="AH1723">
        <v>0</v>
      </c>
      <c r="AI1723" t="s">
        <v>3549</v>
      </c>
      <c r="AJ1723">
        <v>39.733536000000001</v>
      </c>
      <c r="AK1723" t="s">
        <v>3550</v>
      </c>
      <c r="AL1723">
        <v>-76.131412999999995</v>
      </c>
      <c r="AM1723">
        <v>100</v>
      </c>
      <c r="AN1723">
        <v>4700</v>
      </c>
      <c r="AO1723" t="s">
        <v>115</v>
      </c>
      <c r="AP1723">
        <v>158</v>
      </c>
      <c r="AQ1723">
        <v>81</v>
      </c>
      <c r="AR1723">
        <v>-64</v>
      </c>
      <c r="AZ1723">
        <v>3614</v>
      </c>
      <c r="BA1723">
        <v>1</v>
      </c>
      <c r="BB1723" t="str">
        <f t="shared" si="80"/>
        <v xml:space="preserve">N959MJ  </v>
      </c>
      <c r="BC1723">
        <v>1</v>
      </c>
      <c r="BE1723">
        <v>0</v>
      </c>
      <c r="BF1723">
        <v>0</v>
      </c>
      <c r="BG1723">
        <v>0</v>
      </c>
      <c r="BH1723">
        <v>4875</v>
      </c>
      <c r="BI1723">
        <v>175</v>
      </c>
      <c r="BJ1723">
        <v>1</v>
      </c>
      <c r="BK1723">
        <v>1</v>
      </c>
      <c r="BL1723">
        <v>1</v>
      </c>
      <c r="BM1723">
        <v>0</v>
      </c>
      <c r="BP1723">
        <v>0</v>
      </c>
      <c r="BQ1723">
        <v>0</v>
      </c>
      <c r="BX1723" t="str">
        <f>"14:19:04.875"</f>
        <v>14:19:04.875</v>
      </c>
      <c r="BY1723" t="str">
        <f>"872136320"</f>
        <v>872136320</v>
      </c>
      <c r="CL1723">
        <v>0</v>
      </c>
      <c r="CM1723">
        <v>2</v>
      </c>
      <c r="CN1723">
        <v>0</v>
      </c>
      <c r="CO1723">
        <v>2</v>
      </c>
      <c r="CP1723">
        <v>0</v>
      </c>
      <c r="CQ1723">
        <v>6</v>
      </c>
      <c r="CR1723" t="s">
        <v>116</v>
      </c>
      <c r="CS1723">
        <v>39</v>
      </c>
      <c r="CT1723">
        <v>2</v>
      </c>
      <c r="CU1723" t="s">
        <v>2259</v>
      </c>
      <c r="CV1723" t="s">
        <v>2260</v>
      </c>
      <c r="CY1723">
        <v>16055317</v>
      </c>
      <c r="CZ1723" t="s">
        <v>119</v>
      </c>
    </row>
    <row r="1724" spans="1:104" x14ac:dyDescent="0.25">
      <c r="A1724" t="str">
        <f>"14:19:05.961"</f>
        <v>14:19:05.961</v>
      </c>
      <c r="B1724" t="s">
        <v>108</v>
      </c>
      <c r="C1724" t="str">
        <f t="shared" si="79"/>
        <v>ffdfd3c0</v>
      </c>
      <c r="D1724" t="s">
        <v>109</v>
      </c>
      <c r="E1724">
        <v>4</v>
      </c>
      <c r="F1724">
        <v>1004</v>
      </c>
      <c r="G1724" t="s">
        <v>110</v>
      </c>
      <c r="J1724" t="s">
        <v>111</v>
      </c>
      <c r="K1724">
        <v>0</v>
      </c>
      <c r="L1724">
        <v>3</v>
      </c>
      <c r="M1724">
        <v>0</v>
      </c>
      <c r="N1724">
        <v>2</v>
      </c>
      <c r="O1724">
        <v>1</v>
      </c>
      <c r="P1724">
        <v>0</v>
      </c>
      <c r="Q1724">
        <v>0</v>
      </c>
      <c r="R1724" t="s">
        <v>112</v>
      </c>
      <c r="S1724" t="str">
        <f>"14:19:05.773"</f>
        <v>14:19:05.773</v>
      </c>
      <c r="T1724" t="str">
        <f>"14:19:05.375"</f>
        <v>14:19:05.375</v>
      </c>
      <c r="U1724" t="str">
        <f t="shared" si="78"/>
        <v>ad5732</v>
      </c>
      <c r="V1724">
        <v>0</v>
      </c>
      <c r="W1724">
        <v>0</v>
      </c>
      <c r="X1724">
        <v>1</v>
      </c>
      <c r="Z1724">
        <v>0</v>
      </c>
      <c r="AA1724">
        <v>9</v>
      </c>
      <c r="AB1724">
        <v>3</v>
      </c>
      <c r="AC1724">
        <v>0</v>
      </c>
      <c r="AD1724">
        <v>10</v>
      </c>
      <c r="AE1724">
        <v>0</v>
      </c>
      <c r="AF1724">
        <v>3</v>
      </c>
      <c r="AG1724">
        <v>2</v>
      </c>
      <c r="AH1724">
        <v>0</v>
      </c>
      <c r="AI1724" t="s">
        <v>3551</v>
      </c>
      <c r="AJ1724">
        <v>39.733879999999999</v>
      </c>
      <c r="AK1724" t="s">
        <v>3552</v>
      </c>
      <c r="AL1724">
        <v>-76.130598000000006</v>
      </c>
      <c r="AM1724">
        <v>100</v>
      </c>
      <c r="AN1724">
        <v>4700</v>
      </c>
      <c r="AO1724" t="s">
        <v>115</v>
      </c>
      <c r="AP1724">
        <v>158</v>
      </c>
      <c r="AQ1724">
        <v>81</v>
      </c>
      <c r="AR1724">
        <v>0</v>
      </c>
      <c r="AZ1724">
        <v>3614</v>
      </c>
      <c r="BA1724">
        <v>1</v>
      </c>
      <c r="BB1724" t="str">
        <f t="shared" si="80"/>
        <v xml:space="preserve">N959MJ  </v>
      </c>
      <c r="BC1724">
        <v>1</v>
      </c>
      <c r="BE1724">
        <v>0</v>
      </c>
      <c r="BF1724">
        <v>0</v>
      </c>
      <c r="BG1724">
        <v>0</v>
      </c>
      <c r="BH1724">
        <v>4875</v>
      </c>
      <c r="BI1724">
        <v>175</v>
      </c>
      <c r="BJ1724">
        <v>1</v>
      </c>
      <c r="BK1724">
        <v>1</v>
      </c>
      <c r="BL1724">
        <v>1</v>
      </c>
      <c r="BM1724">
        <v>0</v>
      </c>
      <c r="BP1724">
        <v>0</v>
      </c>
      <c r="BQ1724">
        <v>0</v>
      </c>
      <c r="BX1724" t="str">
        <f>"14:19:05.773"</f>
        <v>14:19:05.773</v>
      </c>
      <c r="BY1724" t="str">
        <f>"776524685"</f>
        <v>776524685</v>
      </c>
      <c r="CL1724">
        <v>0</v>
      </c>
      <c r="CM1724">
        <v>2</v>
      </c>
      <c r="CN1724">
        <v>0</v>
      </c>
      <c r="CO1724">
        <v>2</v>
      </c>
      <c r="CP1724">
        <v>0</v>
      </c>
      <c r="CQ1724">
        <v>6</v>
      </c>
      <c r="CR1724" t="s">
        <v>116</v>
      </c>
      <c r="CS1724">
        <v>396</v>
      </c>
      <c r="CT1724">
        <v>1</v>
      </c>
      <c r="CU1724" t="s">
        <v>939</v>
      </c>
      <c r="CV1724" t="s">
        <v>940</v>
      </c>
      <c r="CY1724">
        <v>9382724</v>
      </c>
      <c r="CZ1724" t="s">
        <v>119</v>
      </c>
    </row>
    <row r="1725" spans="1:104" x14ac:dyDescent="0.25">
      <c r="A1725" t="str">
        <f>"14:19:06.813"</f>
        <v>14:19:06.813</v>
      </c>
      <c r="B1725" t="s">
        <v>108</v>
      </c>
      <c r="C1725" t="str">
        <f t="shared" si="79"/>
        <v>ffdfd3c0</v>
      </c>
      <c r="D1725" t="s">
        <v>109</v>
      </c>
      <c r="E1725">
        <v>4</v>
      </c>
      <c r="F1725">
        <v>1004</v>
      </c>
      <c r="G1725" t="s">
        <v>110</v>
      </c>
      <c r="J1725" t="s">
        <v>111</v>
      </c>
      <c r="K1725">
        <v>0</v>
      </c>
      <c r="L1725">
        <v>3</v>
      </c>
      <c r="M1725">
        <v>0</v>
      </c>
      <c r="N1725">
        <v>2</v>
      </c>
      <c r="O1725">
        <v>1</v>
      </c>
      <c r="P1725">
        <v>0</v>
      </c>
      <c r="Q1725">
        <v>0</v>
      </c>
      <c r="R1725" t="s">
        <v>112</v>
      </c>
      <c r="S1725" t="str">
        <f>"14:19:06.656"</f>
        <v>14:19:06.656</v>
      </c>
      <c r="T1725" t="str">
        <f>"14:19:06.258"</f>
        <v>14:19:06.258</v>
      </c>
      <c r="U1725" t="str">
        <f t="shared" si="78"/>
        <v>ad5732</v>
      </c>
      <c r="V1725">
        <v>0</v>
      </c>
      <c r="W1725">
        <v>0</v>
      </c>
      <c r="X1725">
        <v>1</v>
      </c>
      <c r="Z1725">
        <v>0</v>
      </c>
      <c r="AA1725">
        <v>9</v>
      </c>
      <c r="AB1725">
        <v>3</v>
      </c>
      <c r="AC1725">
        <v>0</v>
      </c>
      <c r="AD1725">
        <v>10</v>
      </c>
      <c r="AE1725">
        <v>0</v>
      </c>
      <c r="AF1725">
        <v>3</v>
      </c>
      <c r="AG1725">
        <v>2</v>
      </c>
      <c r="AH1725">
        <v>0</v>
      </c>
      <c r="AI1725" t="s">
        <v>3553</v>
      </c>
      <c r="AJ1725">
        <v>39.734243999999997</v>
      </c>
      <c r="AK1725" t="s">
        <v>3554</v>
      </c>
      <c r="AL1725">
        <v>-76.129761000000002</v>
      </c>
      <c r="AM1725">
        <v>100</v>
      </c>
      <c r="AN1725">
        <v>4700</v>
      </c>
      <c r="AO1725" t="s">
        <v>115</v>
      </c>
      <c r="AP1725">
        <v>158</v>
      </c>
      <c r="AQ1725">
        <v>81</v>
      </c>
      <c r="AR1725">
        <v>0</v>
      </c>
      <c r="AZ1725">
        <v>3614</v>
      </c>
      <c r="BA1725">
        <v>1</v>
      </c>
      <c r="BB1725" t="str">
        <f t="shared" si="80"/>
        <v xml:space="preserve">N959MJ  </v>
      </c>
      <c r="BC1725">
        <v>1</v>
      </c>
      <c r="BE1725">
        <v>0</v>
      </c>
      <c r="BF1725">
        <v>0</v>
      </c>
      <c r="BG1725">
        <v>0</v>
      </c>
      <c r="BH1725">
        <v>4875</v>
      </c>
      <c r="BI1725">
        <v>175</v>
      </c>
      <c r="BJ1725">
        <v>1</v>
      </c>
      <c r="BK1725">
        <v>1</v>
      </c>
      <c r="BL1725">
        <v>1</v>
      </c>
      <c r="BM1725">
        <v>0</v>
      </c>
      <c r="BP1725">
        <v>0</v>
      </c>
      <c r="BQ1725">
        <v>0</v>
      </c>
      <c r="BX1725" t="str">
        <f>"14:19:06.656"</f>
        <v>14:19:06.656</v>
      </c>
      <c r="BY1725" t="str">
        <f>"658021922"</f>
        <v>658021922</v>
      </c>
      <c r="CL1725">
        <v>0</v>
      </c>
      <c r="CM1725">
        <v>2</v>
      </c>
      <c r="CN1725">
        <v>0</v>
      </c>
      <c r="CO1725">
        <v>2</v>
      </c>
      <c r="CP1725">
        <v>0</v>
      </c>
      <c r="CQ1725">
        <v>6</v>
      </c>
      <c r="CR1725" t="s">
        <v>116</v>
      </c>
      <c r="CS1725">
        <v>39</v>
      </c>
      <c r="CT1725">
        <v>2</v>
      </c>
      <c r="CU1725" t="s">
        <v>2259</v>
      </c>
      <c r="CV1725" t="s">
        <v>2260</v>
      </c>
      <c r="CY1725">
        <v>16058266</v>
      </c>
      <c r="CZ1725" t="s">
        <v>119</v>
      </c>
    </row>
    <row r="1726" spans="1:104" x14ac:dyDescent="0.25">
      <c r="A1726" t="str">
        <f>"14:19:07.875"</f>
        <v>14:19:07.875</v>
      </c>
      <c r="B1726" t="s">
        <v>108</v>
      </c>
      <c r="C1726" t="str">
        <f t="shared" si="79"/>
        <v>ffdfd3c0</v>
      </c>
      <c r="D1726" t="s">
        <v>109</v>
      </c>
      <c r="E1726">
        <v>4</v>
      </c>
      <c r="F1726">
        <v>1004</v>
      </c>
      <c r="G1726" t="s">
        <v>110</v>
      </c>
      <c r="J1726" t="s">
        <v>111</v>
      </c>
      <c r="K1726">
        <v>0</v>
      </c>
      <c r="L1726">
        <v>3</v>
      </c>
      <c r="M1726">
        <v>0</v>
      </c>
      <c r="N1726">
        <v>2</v>
      </c>
      <c r="O1726">
        <v>1</v>
      </c>
      <c r="P1726">
        <v>0</v>
      </c>
      <c r="Q1726">
        <v>0</v>
      </c>
      <c r="R1726" t="s">
        <v>112</v>
      </c>
      <c r="S1726" t="str">
        <f>"14:19:07.680"</f>
        <v>14:19:07.680</v>
      </c>
      <c r="T1726" t="str">
        <f>"14:19:07.281"</f>
        <v>14:19:07.281</v>
      </c>
      <c r="U1726" t="str">
        <f t="shared" si="78"/>
        <v>ad5732</v>
      </c>
      <c r="V1726">
        <v>0</v>
      </c>
      <c r="W1726">
        <v>0</v>
      </c>
      <c r="X1726">
        <v>1</v>
      </c>
      <c r="Z1726">
        <v>0</v>
      </c>
      <c r="AA1726">
        <v>9</v>
      </c>
      <c r="AB1726">
        <v>3</v>
      </c>
      <c r="AC1726">
        <v>0</v>
      </c>
      <c r="AD1726">
        <v>10</v>
      </c>
      <c r="AE1726">
        <v>0</v>
      </c>
      <c r="AF1726">
        <v>3</v>
      </c>
      <c r="AG1726">
        <v>2</v>
      </c>
      <c r="AH1726">
        <v>0</v>
      </c>
      <c r="AI1726" t="s">
        <v>3555</v>
      </c>
      <c r="AJ1726">
        <v>39.734608999999999</v>
      </c>
      <c r="AK1726" t="s">
        <v>3556</v>
      </c>
      <c r="AL1726">
        <v>-76.128774000000007</v>
      </c>
      <c r="AM1726">
        <v>100</v>
      </c>
      <c r="AN1726">
        <v>4700</v>
      </c>
      <c r="AO1726" t="s">
        <v>115</v>
      </c>
      <c r="AP1726">
        <v>158</v>
      </c>
      <c r="AQ1726">
        <v>81</v>
      </c>
      <c r="AR1726">
        <v>64</v>
      </c>
      <c r="AZ1726">
        <v>3614</v>
      </c>
      <c r="BA1726">
        <v>1</v>
      </c>
      <c r="BB1726" t="str">
        <f t="shared" si="80"/>
        <v xml:space="preserve">N959MJ  </v>
      </c>
      <c r="BC1726">
        <v>1</v>
      </c>
      <c r="BE1726">
        <v>0</v>
      </c>
      <c r="BF1726">
        <v>0</v>
      </c>
      <c r="BG1726">
        <v>0</v>
      </c>
      <c r="BH1726">
        <v>4875</v>
      </c>
      <c r="BI1726">
        <v>175</v>
      </c>
      <c r="BJ1726">
        <v>1</v>
      </c>
      <c r="BK1726">
        <v>1</v>
      </c>
      <c r="BL1726">
        <v>1</v>
      </c>
      <c r="BM1726">
        <v>0</v>
      </c>
      <c r="BP1726">
        <v>0</v>
      </c>
      <c r="BQ1726">
        <v>0</v>
      </c>
      <c r="BX1726" t="str">
        <f>"14:19:07.688"</f>
        <v>14:19:07.688</v>
      </c>
      <c r="BY1726" t="str">
        <f>"686954255"</f>
        <v>686954255</v>
      </c>
      <c r="CL1726">
        <v>0</v>
      </c>
      <c r="CM1726">
        <v>2</v>
      </c>
      <c r="CN1726">
        <v>0</v>
      </c>
      <c r="CO1726">
        <v>2</v>
      </c>
      <c r="CP1726">
        <v>0</v>
      </c>
      <c r="CQ1726">
        <v>6</v>
      </c>
      <c r="CR1726" t="s">
        <v>116</v>
      </c>
      <c r="CS1726">
        <v>39</v>
      </c>
      <c r="CT1726">
        <v>2</v>
      </c>
      <c r="CU1726" t="s">
        <v>2259</v>
      </c>
      <c r="CV1726" t="s">
        <v>2260</v>
      </c>
      <c r="CY1726">
        <v>16059862</v>
      </c>
      <c r="CZ1726" t="s">
        <v>119</v>
      </c>
    </row>
    <row r="1727" spans="1:104" x14ac:dyDescent="0.25">
      <c r="A1727" t="str">
        <f>"14:19:09.039"</f>
        <v>14:19:09.039</v>
      </c>
      <c r="B1727" t="s">
        <v>108</v>
      </c>
      <c r="C1727" t="str">
        <f t="shared" si="79"/>
        <v>ffdfd3c0</v>
      </c>
      <c r="D1727" t="s">
        <v>109</v>
      </c>
      <c r="E1727">
        <v>4</v>
      </c>
      <c r="F1727">
        <v>1004</v>
      </c>
      <c r="G1727" t="s">
        <v>110</v>
      </c>
      <c r="J1727" t="s">
        <v>111</v>
      </c>
      <c r="K1727">
        <v>0</v>
      </c>
      <c r="L1727">
        <v>3</v>
      </c>
      <c r="M1727">
        <v>0</v>
      </c>
      <c r="N1727">
        <v>2</v>
      </c>
      <c r="O1727">
        <v>1</v>
      </c>
      <c r="P1727">
        <v>0</v>
      </c>
      <c r="Q1727">
        <v>0</v>
      </c>
      <c r="R1727" t="s">
        <v>112</v>
      </c>
      <c r="S1727" t="str">
        <f>"14:19:08.836"</f>
        <v>14:19:08.836</v>
      </c>
      <c r="T1727" t="str">
        <f>"14:19:08.336"</f>
        <v>14:19:08.336</v>
      </c>
      <c r="U1727" t="str">
        <f t="shared" si="78"/>
        <v>ad5732</v>
      </c>
      <c r="V1727">
        <v>0</v>
      </c>
      <c r="W1727">
        <v>0</v>
      </c>
      <c r="X1727">
        <v>1</v>
      </c>
      <c r="Z1727">
        <v>0</v>
      </c>
      <c r="AA1727">
        <v>9</v>
      </c>
      <c r="AB1727">
        <v>3</v>
      </c>
      <c r="AC1727">
        <v>0</v>
      </c>
      <c r="AD1727">
        <v>10</v>
      </c>
      <c r="AE1727">
        <v>0</v>
      </c>
      <c r="AF1727">
        <v>3</v>
      </c>
      <c r="AG1727">
        <v>2</v>
      </c>
      <c r="AH1727">
        <v>0</v>
      </c>
      <c r="AI1727" t="s">
        <v>3557</v>
      </c>
      <c r="AJ1727">
        <v>39.735038000000003</v>
      </c>
      <c r="AK1727" t="s">
        <v>3558</v>
      </c>
      <c r="AL1727">
        <v>-76.127615000000006</v>
      </c>
      <c r="AM1727">
        <v>100</v>
      </c>
      <c r="AN1727">
        <v>4700</v>
      </c>
      <c r="AO1727" t="s">
        <v>115</v>
      </c>
      <c r="AP1727">
        <v>158</v>
      </c>
      <c r="AQ1727">
        <v>81</v>
      </c>
      <c r="AR1727">
        <v>64</v>
      </c>
      <c r="AZ1727">
        <v>3614</v>
      </c>
      <c r="BA1727">
        <v>1</v>
      </c>
      <c r="BB1727" t="str">
        <f t="shared" si="80"/>
        <v xml:space="preserve">N959MJ  </v>
      </c>
      <c r="BC1727">
        <v>1</v>
      </c>
      <c r="BE1727">
        <v>0</v>
      </c>
      <c r="BF1727">
        <v>0</v>
      </c>
      <c r="BG1727">
        <v>0</v>
      </c>
      <c r="BH1727">
        <v>4875</v>
      </c>
      <c r="BI1727">
        <v>175</v>
      </c>
      <c r="BJ1727">
        <v>1</v>
      </c>
      <c r="BK1727">
        <v>1</v>
      </c>
      <c r="BL1727">
        <v>1</v>
      </c>
      <c r="BM1727">
        <v>0</v>
      </c>
      <c r="BP1727">
        <v>0</v>
      </c>
      <c r="BQ1727">
        <v>0</v>
      </c>
      <c r="BX1727" t="str">
        <f>"14:19:08.844"</f>
        <v>14:19:08.844</v>
      </c>
      <c r="BY1727" t="str">
        <f>"843683861"</f>
        <v>843683861</v>
      </c>
      <c r="CL1727">
        <v>0</v>
      </c>
      <c r="CM1727">
        <v>2</v>
      </c>
      <c r="CN1727">
        <v>0</v>
      </c>
      <c r="CO1727">
        <v>2</v>
      </c>
      <c r="CP1727">
        <v>0</v>
      </c>
      <c r="CQ1727">
        <v>6</v>
      </c>
      <c r="CR1727" t="s">
        <v>116</v>
      </c>
      <c r="CS1727">
        <v>39</v>
      </c>
      <c r="CT1727">
        <v>2</v>
      </c>
      <c r="CU1727" t="s">
        <v>2259</v>
      </c>
      <c r="CV1727" t="s">
        <v>2260</v>
      </c>
      <c r="CY1727">
        <v>16061665</v>
      </c>
      <c r="CZ1727" t="s">
        <v>119</v>
      </c>
    </row>
    <row r="1728" spans="1:104" x14ac:dyDescent="0.25">
      <c r="A1728" t="str">
        <f>"14:19:10.047"</f>
        <v>14:19:10.047</v>
      </c>
      <c r="B1728" t="s">
        <v>108</v>
      </c>
      <c r="C1728" t="str">
        <f t="shared" si="79"/>
        <v>ffdfd3c0</v>
      </c>
      <c r="D1728" t="s">
        <v>109</v>
      </c>
      <c r="E1728">
        <v>4</v>
      </c>
      <c r="F1728">
        <v>1004</v>
      </c>
      <c r="G1728" t="s">
        <v>110</v>
      </c>
      <c r="J1728" t="s">
        <v>111</v>
      </c>
      <c r="K1728">
        <v>0</v>
      </c>
      <c r="L1728">
        <v>3</v>
      </c>
      <c r="M1728">
        <v>0</v>
      </c>
      <c r="N1728">
        <v>2</v>
      </c>
      <c r="O1728">
        <v>1</v>
      </c>
      <c r="P1728">
        <v>0</v>
      </c>
      <c r="Q1728">
        <v>0</v>
      </c>
      <c r="R1728" t="s">
        <v>112</v>
      </c>
      <c r="S1728" t="str">
        <f>"14:19:09.836"</f>
        <v>14:19:09.836</v>
      </c>
      <c r="T1728" t="str">
        <f>"14:19:09.336"</f>
        <v>14:19:09.336</v>
      </c>
      <c r="U1728" t="str">
        <f t="shared" si="78"/>
        <v>ad5732</v>
      </c>
      <c r="V1728">
        <v>0</v>
      </c>
      <c r="W1728">
        <v>0</v>
      </c>
      <c r="X1728">
        <v>1</v>
      </c>
      <c r="Z1728">
        <v>0</v>
      </c>
      <c r="AA1728">
        <v>9</v>
      </c>
      <c r="AB1728">
        <v>3</v>
      </c>
      <c r="AC1728">
        <v>0</v>
      </c>
      <c r="AD1728">
        <v>10</v>
      </c>
      <c r="AE1728">
        <v>0</v>
      </c>
      <c r="AF1728">
        <v>3</v>
      </c>
      <c r="AG1728">
        <v>2</v>
      </c>
      <c r="AH1728">
        <v>0</v>
      </c>
      <c r="AI1728" t="s">
        <v>3559</v>
      </c>
      <c r="AJ1728">
        <v>39.735402999999998</v>
      </c>
      <c r="AK1728" t="s">
        <v>3560</v>
      </c>
      <c r="AL1728">
        <v>-76.126714000000007</v>
      </c>
      <c r="AM1728">
        <v>100</v>
      </c>
      <c r="AN1728">
        <v>4700</v>
      </c>
      <c r="AO1728" t="s">
        <v>115</v>
      </c>
      <c r="AP1728">
        <v>158</v>
      </c>
      <c r="AQ1728">
        <v>80</v>
      </c>
      <c r="AR1728">
        <v>128</v>
      </c>
      <c r="AZ1728">
        <v>3614</v>
      </c>
      <c r="BA1728">
        <v>1</v>
      </c>
      <c r="BB1728" t="str">
        <f t="shared" si="80"/>
        <v xml:space="preserve">N959MJ  </v>
      </c>
      <c r="BC1728">
        <v>1</v>
      </c>
      <c r="BE1728">
        <v>0</v>
      </c>
      <c r="BF1728">
        <v>0</v>
      </c>
      <c r="BG1728">
        <v>0</v>
      </c>
      <c r="BH1728">
        <v>4900</v>
      </c>
      <c r="BI1728">
        <v>200</v>
      </c>
      <c r="BJ1728">
        <v>1</v>
      </c>
      <c r="BK1728">
        <v>1</v>
      </c>
      <c r="BL1728">
        <v>1</v>
      </c>
      <c r="BM1728">
        <v>0</v>
      </c>
      <c r="BP1728">
        <v>0</v>
      </c>
      <c r="BQ1728">
        <v>0</v>
      </c>
      <c r="BX1728" t="str">
        <f>"14:19:09.844"</f>
        <v>14:19:09.844</v>
      </c>
      <c r="BY1728" t="str">
        <f>"843102918"</f>
        <v>843102918</v>
      </c>
      <c r="CL1728">
        <v>0</v>
      </c>
      <c r="CM1728">
        <v>2</v>
      </c>
      <c r="CN1728">
        <v>0</v>
      </c>
      <c r="CO1728">
        <v>2</v>
      </c>
      <c r="CP1728">
        <v>0</v>
      </c>
      <c r="CQ1728">
        <v>6</v>
      </c>
      <c r="CR1728" t="s">
        <v>116</v>
      </c>
      <c r="CS1728">
        <v>396</v>
      </c>
      <c r="CT1728">
        <v>1</v>
      </c>
      <c r="CU1728" t="s">
        <v>939</v>
      </c>
      <c r="CV1728" t="s">
        <v>940</v>
      </c>
      <c r="CY1728">
        <v>9389898</v>
      </c>
      <c r="CZ1728" t="s">
        <v>119</v>
      </c>
    </row>
    <row r="1729" spans="1:104" x14ac:dyDescent="0.25">
      <c r="A1729" t="str">
        <f>"14:19:11.055"</f>
        <v>14:19:11.055</v>
      </c>
      <c r="B1729" t="s">
        <v>108</v>
      </c>
      <c r="C1729" t="str">
        <f t="shared" si="79"/>
        <v>ffdfd3c0</v>
      </c>
      <c r="D1729" t="s">
        <v>109</v>
      </c>
      <c r="E1729">
        <v>4</v>
      </c>
      <c r="F1729">
        <v>1004</v>
      </c>
      <c r="G1729" t="s">
        <v>110</v>
      </c>
      <c r="J1729" t="s">
        <v>111</v>
      </c>
      <c r="K1729">
        <v>0</v>
      </c>
      <c r="L1729">
        <v>3</v>
      </c>
      <c r="M1729">
        <v>0</v>
      </c>
      <c r="N1729">
        <v>2</v>
      </c>
      <c r="O1729">
        <v>1</v>
      </c>
      <c r="P1729">
        <v>0</v>
      </c>
      <c r="Q1729">
        <v>0</v>
      </c>
      <c r="R1729" t="s">
        <v>112</v>
      </c>
      <c r="S1729" t="str">
        <f>"14:19:10.859"</f>
        <v>14:19:10.859</v>
      </c>
      <c r="T1729" t="str">
        <f>"14:19:10.461"</f>
        <v>14:19:10.461</v>
      </c>
      <c r="U1729" t="str">
        <f t="shared" si="78"/>
        <v>ad5732</v>
      </c>
      <c r="V1729">
        <v>0</v>
      </c>
      <c r="W1729">
        <v>0</v>
      </c>
      <c r="X1729">
        <v>1</v>
      </c>
      <c r="Z1729">
        <v>0</v>
      </c>
      <c r="AA1729">
        <v>9</v>
      </c>
      <c r="AB1729">
        <v>3</v>
      </c>
      <c r="AC1729">
        <v>0</v>
      </c>
      <c r="AD1729">
        <v>10</v>
      </c>
      <c r="AE1729">
        <v>0</v>
      </c>
      <c r="AF1729">
        <v>3</v>
      </c>
      <c r="AG1729">
        <v>2</v>
      </c>
      <c r="AH1729">
        <v>0</v>
      </c>
      <c r="AI1729" t="s">
        <v>3561</v>
      </c>
      <c r="AJ1729">
        <v>39.735788999999997</v>
      </c>
      <c r="AK1729" t="s">
        <v>3562</v>
      </c>
      <c r="AL1729">
        <v>-76.125791000000007</v>
      </c>
      <c r="AM1729">
        <v>100</v>
      </c>
      <c r="AN1729">
        <v>4700</v>
      </c>
      <c r="AO1729" t="s">
        <v>115</v>
      </c>
      <c r="AP1729">
        <v>157</v>
      </c>
      <c r="AQ1729">
        <v>80</v>
      </c>
      <c r="AR1729">
        <v>128</v>
      </c>
      <c r="AZ1729">
        <v>3614</v>
      </c>
      <c r="BA1729">
        <v>1</v>
      </c>
      <c r="BB1729" t="str">
        <f t="shared" si="80"/>
        <v xml:space="preserve">N959MJ  </v>
      </c>
      <c r="BC1729">
        <v>1</v>
      </c>
      <c r="BE1729">
        <v>0</v>
      </c>
      <c r="BF1729">
        <v>0</v>
      </c>
      <c r="BG1729">
        <v>0</v>
      </c>
      <c r="BH1729">
        <v>4900</v>
      </c>
      <c r="BI1729">
        <v>200</v>
      </c>
      <c r="BJ1729">
        <v>1</v>
      </c>
      <c r="BK1729">
        <v>1</v>
      </c>
      <c r="BL1729">
        <v>1</v>
      </c>
      <c r="BM1729">
        <v>0</v>
      </c>
      <c r="BP1729">
        <v>0</v>
      </c>
      <c r="BQ1729">
        <v>0</v>
      </c>
      <c r="BX1729" t="str">
        <f>"14:19:10.859"</f>
        <v>14:19:10.859</v>
      </c>
      <c r="BY1729" t="str">
        <f>"860566696"</f>
        <v>860566696</v>
      </c>
      <c r="CL1729">
        <v>0</v>
      </c>
      <c r="CM1729">
        <v>2</v>
      </c>
      <c r="CN1729">
        <v>0</v>
      </c>
      <c r="CO1729">
        <v>2</v>
      </c>
      <c r="CP1729">
        <v>0</v>
      </c>
      <c r="CQ1729">
        <v>6</v>
      </c>
      <c r="CR1729" t="s">
        <v>116</v>
      </c>
      <c r="CS1729">
        <v>396</v>
      </c>
      <c r="CT1729">
        <v>1</v>
      </c>
      <c r="CU1729" t="s">
        <v>939</v>
      </c>
      <c r="CV1729" t="s">
        <v>940</v>
      </c>
      <c r="CY1729">
        <v>9391766</v>
      </c>
      <c r="CZ1729" t="s">
        <v>119</v>
      </c>
    </row>
    <row r="1730" spans="1:104" x14ac:dyDescent="0.25">
      <c r="A1730" t="str">
        <f>"14:19:12.063"</f>
        <v>14:19:12.063</v>
      </c>
      <c r="B1730" t="s">
        <v>108</v>
      </c>
      <c r="C1730" t="str">
        <f t="shared" si="79"/>
        <v>ffdfd3c0</v>
      </c>
      <c r="D1730" t="s">
        <v>109</v>
      </c>
      <c r="E1730">
        <v>4</v>
      </c>
      <c r="F1730">
        <v>1004</v>
      </c>
      <c r="G1730" t="s">
        <v>110</v>
      </c>
      <c r="J1730" t="s">
        <v>111</v>
      </c>
      <c r="K1730">
        <v>0</v>
      </c>
      <c r="L1730">
        <v>3</v>
      </c>
      <c r="M1730">
        <v>0</v>
      </c>
      <c r="N1730">
        <v>2</v>
      </c>
      <c r="O1730">
        <v>1</v>
      </c>
      <c r="P1730">
        <v>0</v>
      </c>
      <c r="Q1730">
        <v>0</v>
      </c>
      <c r="R1730" t="s">
        <v>112</v>
      </c>
      <c r="S1730" t="str">
        <f>"14:19:11.867"</f>
        <v>14:19:11.867</v>
      </c>
      <c r="T1730" t="str">
        <f>"14:19:11.367"</f>
        <v>14:19:11.367</v>
      </c>
      <c r="U1730" t="str">
        <f t="shared" ref="U1730:U1793" si="81">"ad5732"</f>
        <v>ad5732</v>
      </c>
      <c r="V1730">
        <v>0</v>
      </c>
      <c r="W1730">
        <v>0</v>
      </c>
      <c r="X1730">
        <v>1</v>
      </c>
      <c r="Z1730">
        <v>0</v>
      </c>
      <c r="AA1730">
        <v>9</v>
      </c>
      <c r="AB1730">
        <v>3</v>
      </c>
      <c r="AC1730">
        <v>0</v>
      </c>
      <c r="AD1730">
        <v>10</v>
      </c>
      <c r="AE1730">
        <v>0</v>
      </c>
      <c r="AF1730">
        <v>3</v>
      </c>
      <c r="AG1730">
        <v>2</v>
      </c>
      <c r="AH1730">
        <v>0</v>
      </c>
      <c r="AI1730" t="s">
        <v>3563</v>
      </c>
      <c r="AJ1730">
        <v>39.736153999999999</v>
      </c>
      <c r="AK1730" t="s">
        <v>3564</v>
      </c>
      <c r="AL1730">
        <v>-76.124825000000001</v>
      </c>
      <c r="AM1730">
        <v>100</v>
      </c>
      <c r="AN1730">
        <v>4700</v>
      </c>
      <c r="AO1730" t="s">
        <v>115</v>
      </c>
      <c r="AP1730">
        <v>157</v>
      </c>
      <c r="AQ1730">
        <v>80</v>
      </c>
      <c r="AR1730">
        <v>128</v>
      </c>
      <c r="AZ1730">
        <v>3614</v>
      </c>
      <c r="BA1730">
        <v>1</v>
      </c>
      <c r="BB1730" t="str">
        <f t="shared" si="80"/>
        <v xml:space="preserve">N959MJ  </v>
      </c>
      <c r="BC1730">
        <v>1</v>
      </c>
      <c r="BE1730">
        <v>0</v>
      </c>
      <c r="BF1730">
        <v>0</v>
      </c>
      <c r="BG1730">
        <v>0</v>
      </c>
      <c r="BH1730">
        <v>4900</v>
      </c>
      <c r="BI1730">
        <v>200</v>
      </c>
      <c r="BJ1730">
        <v>1</v>
      </c>
      <c r="BK1730">
        <v>1</v>
      </c>
      <c r="BL1730">
        <v>1</v>
      </c>
      <c r="BM1730">
        <v>0</v>
      </c>
      <c r="BP1730">
        <v>0</v>
      </c>
      <c r="BQ1730">
        <v>0</v>
      </c>
      <c r="BX1730" t="str">
        <f>"14:19:11.875"</f>
        <v>14:19:11.875</v>
      </c>
      <c r="BY1730" t="str">
        <f>"873135787"</f>
        <v>873135787</v>
      </c>
      <c r="CL1730">
        <v>0</v>
      </c>
      <c r="CM1730">
        <v>2</v>
      </c>
      <c r="CN1730">
        <v>0</v>
      </c>
      <c r="CO1730">
        <v>2</v>
      </c>
      <c r="CP1730">
        <v>0</v>
      </c>
      <c r="CQ1730">
        <v>6</v>
      </c>
      <c r="CR1730" t="s">
        <v>116</v>
      </c>
      <c r="CS1730">
        <v>39</v>
      </c>
      <c r="CT1730">
        <v>2</v>
      </c>
      <c r="CU1730" t="s">
        <v>2259</v>
      </c>
      <c r="CV1730" t="s">
        <v>2260</v>
      </c>
      <c r="CY1730">
        <v>16066425</v>
      </c>
      <c r="CZ1730" t="s">
        <v>119</v>
      </c>
    </row>
    <row r="1731" spans="1:104" x14ac:dyDescent="0.25">
      <c r="A1731" t="str">
        <f>"14:19:13.125"</f>
        <v>14:19:13.125</v>
      </c>
      <c r="B1731" t="s">
        <v>108</v>
      </c>
      <c r="C1731" t="str">
        <f t="shared" si="79"/>
        <v>ffdfd3c0</v>
      </c>
      <c r="D1731" t="s">
        <v>109</v>
      </c>
      <c r="E1731">
        <v>4</v>
      </c>
      <c r="F1731">
        <v>1004</v>
      </c>
      <c r="G1731" t="s">
        <v>110</v>
      </c>
      <c r="J1731" t="s">
        <v>111</v>
      </c>
      <c r="K1731">
        <v>0</v>
      </c>
      <c r="L1731">
        <v>3</v>
      </c>
      <c r="M1731">
        <v>0</v>
      </c>
      <c r="N1731">
        <v>2</v>
      </c>
      <c r="O1731">
        <v>1</v>
      </c>
      <c r="P1731">
        <v>0</v>
      </c>
      <c r="Q1731">
        <v>0</v>
      </c>
      <c r="R1731" t="s">
        <v>112</v>
      </c>
      <c r="S1731" t="str">
        <f>"14:19:12.914"</f>
        <v>14:19:12.914</v>
      </c>
      <c r="T1731" t="str">
        <f>"14:19:12.414"</f>
        <v>14:19:12.414</v>
      </c>
      <c r="U1731" t="str">
        <f t="shared" si="81"/>
        <v>ad5732</v>
      </c>
      <c r="V1731">
        <v>0</v>
      </c>
      <c r="W1731">
        <v>0</v>
      </c>
      <c r="X1731">
        <v>1</v>
      </c>
      <c r="Z1731">
        <v>0</v>
      </c>
      <c r="AA1731">
        <v>9</v>
      </c>
      <c r="AB1731">
        <v>3</v>
      </c>
      <c r="AC1731">
        <v>0</v>
      </c>
      <c r="AD1731">
        <v>10</v>
      </c>
      <c r="AE1731">
        <v>0</v>
      </c>
      <c r="AF1731">
        <v>3</v>
      </c>
      <c r="AG1731">
        <v>2</v>
      </c>
      <c r="AH1731">
        <v>0</v>
      </c>
      <c r="AI1731" t="s">
        <v>3565</v>
      </c>
      <c r="AJ1731">
        <v>39.736583000000003</v>
      </c>
      <c r="AK1731" t="s">
        <v>3566</v>
      </c>
      <c r="AL1731">
        <v>-76.123795999999999</v>
      </c>
      <c r="AM1731">
        <v>100</v>
      </c>
      <c r="AN1731">
        <v>4700</v>
      </c>
      <c r="AO1731" t="s">
        <v>115</v>
      </c>
      <c r="AP1731">
        <v>157</v>
      </c>
      <c r="AQ1731">
        <v>80</v>
      </c>
      <c r="AR1731">
        <v>128</v>
      </c>
      <c r="AZ1731">
        <v>3614</v>
      </c>
      <c r="BA1731">
        <v>1</v>
      </c>
      <c r="BB1731" t="str">
        <f t="shared" si="80"/>
        <v xml:space="preserve">N959MJ  </v>
      </c>
      <c r="BC1731">
        <v>1</v>
      </c>
      <c r="BE1731">
        <v>0</v>
      </c>
      <c r="BF1731">
        <v>0</v>
      </c>
      <c r="BG1731">
        <v>0</v>
      </c>
      <c r="BH1731">
        <v>4900</v>
      </c>
      <c r="BI1731">
        <v>200</v>
      </c>
      <c r="BJ1731">
        <v>1</v>
      </c>
      <c r="BK1731">
        <v>1</v>
      </c>
      <c r="BL1731">
        <v>1</v>
      </c>
      <c r="BM1731">
        <v>0</v>
      </c>
      <c r="BP1731">
        <v>0</v>
      </c>
      <c r="BQ1731">
        <v>0</v>
      </c>
      <c r="BX1731" t="str">
        <f>"14:19:12.922"</f>
        <v>14:19:12.922</v>
      </c>
      <c r="BY1731" t="str">
        <f>"921709106"</f>
        <v>921709106</v>
      </c>
      <c r="CL1731">
        <v>0</v>
      </c>
      <c r="CM1731">
        <v>2</v>
      </c>
      <c r="CN1731">
        <v>0</v>
      </c>
      <c r="CO1731">
        <v>2</v>
      </c>
      <c r="CP1731">
        <v>0</v>
      </c>
      <c r="CQ1731">
        <v>6</v>
      </c>
      <c r="CR1731" t="s">
        <v>116</v>
      </c>
      <c r="CS1731">
        <v>396</v>
      </c>
      <c r="CT1731">
        <v>1</v>
      </c>
      <c r="CU1731" t="s">
        <v>939</v>
      </c>
      <c r="CV1731" t="s">
        <v>940</v>
      </c>
      <c r="CY1731">
        <v>9395511</v>
      </c>
      <c r="CZ1731" t="s">
        <v>119</v>
      </c>
    </row>
    <row r="1732" spans="1:104" x14ac:dyDescent="0.25">
      <c r="A1732" t="str">
        <f>"14:19:14.234"</f>
        <v>14:19:14.234</v>
      </c>
      <c r="B1732" t="s">
        <v>108</v>
      </c>
      <c r="C1732" t="str">
        <f t="shared" si="79"/>
        <v>ffdfd3c0</v>
      </c>
      <c r="D1732" t="s">
        <v>109</v>
      </c>
      <c r="E1732">
        <v>4</v>
      </c>
      <c r="F1732">
        <v>1004</v>
      </c>
      <c r="G1732" t="s">
        <v>110</v>
      </c>
      <c r="J1732" t="s">
        <v>111</v>
      </c>
      <c r="K1732">
        <v>0</v>
      </c>
      <c r="L1732">
        <v>3</v>
      </c>
      <c r="M1732">
        <v>0</v>
      </c>
      <c r="N1732">
        <v>2</v>
      </c>
      <c r="O1732">
        <v>1</v>
      </c>
      <c r="P1732">
        <v>0</v>
      </c>
      <c r="Q1732">
        <v>0</v>
      </c>
      <c r="R1732" t="s">
        <v>112</v>
      </c>
      <c r="S1732" t="str">
        <f>"14:19:14.070"</f>
        <v>14:19:14.070</v>
      </c>
      <c r="T1732" t="str">
        <f>"14:19:13.570"</f>
        <v>14:19:13.570</v>
      </c>
      <c r="U1732" t="str">
        <f t="shared" si="81"/>
        <v>ad5732</v>
      </c>
      <c r="V1732">
        <v>0</v>
      </c>
      <c r="W1732">
        <v>0</v>
      </c>
      <c r="X1732">
        <v>1</v>
      </c>
      <c r="Z1732">
        <v>0</v>
      </c>
      <c r="AA1732">
        <v>9</v>
      </c>
      <c r="AB1732">
        <v>3</v>
      </c>
      <c r="AC1732">
        <v>0</v>
      </c>
      <c r="AD1732">
        <v>10</v>
      </c>
      <c r="AE1732">
        <v>0</v>
      </c>
      <c r="AF1732">
        <v>3</v>
      </c>
      <c r="AG1732">
        <v>2</v>
      </c>
      <c r="AH1732">
        <v>0</v>
      </c>
      <c r="AI1732" t="s">
        <v>3567</v>
      </c>
      <c r="AJ1732">
        <v>39.736991000000003</v>
      </c>
      <c r="AK1732" t="s">
        <v>3568</v>
      </c>
      <c r="AL1732">
        <v>-76.122743999999997</v>
      </c>
      <c r="AM1732">
        <v>100</v>
      </c>
      <c r="AN1732">
        <v>4700</v>
      </c>
      <c r="AO1732" t="s">
        <v>115</v>
      </c>
      <c r="AP1732">
        <v>157</v>
      </c>
      <c r="AQ1732">
        <v>81</v>
      </c>
      <c r="AR1732">
        <v>64</v>
      </c>
      <c r="AZ1732">
        <v>3614</v>
      </c>
      <c r="BA1732">
        <v>1</v>
      </c>
      <c r="BB1732" t="str">
        <f t="shared" si="80"/>
        <v xml:space="preserve">N959MJ  </v>
      </c>
      <c r="BC1732">
        <v>1</v>
      </c>
      <c r="BE1732">
        <v>0</v>
      </c>
      <c r="BF1732">
        <v>0</v>
      </c>
      <c r="BG1732">
        <v>0</v>
      </c>
      <c r="BH1732">
        <v>4900</v>
      </c>
      <c r="BI1732">
        <v>200</v>
      </c>
      <c r="BJ1732">
        <v>1</v>
      </c>
      <c r="BK1732">
        <v>1</v>
      </c>
      <c r="BL1732">
        <v>1</v>
      </c>
      <c r="BM1732">
        <v>0</v>
      </c>
      <c r="BP1732">
        <v>0</v>
      </c>
      <c r="BQ1732">
        <v>0</v>
      </c>
      <c r="BX1732" t="str">
        <f>"14:19:14.078"</f>
        <v>14:19:14.078</v>
      </c>
      <c r="BY1732" t="str">
        <f>"076820386"</f>
        <v>076820386</v>
      </c>
      <c r="CL1732">
        <v>0</v>
      </c>
      <c r="CM1732">
        <v>2</v>
      </c>
      <c r="CN1732">
        <v>0</v>
      </c>
      <c r="CO1732">
        <v>2</v>
      </c>
      <c r="CP1732">
        <v>0</v>
      </c>
      <c r="CQ1732">
        <v>6</v>
      </c>
      <c r="CR1732" t="s">
        <v>116</v>
      </c>
      <c r="CS1732">
        <v>39</v>
      </c>
      <c r="CT1732">
        <v>2</v>
      </c>
      <c r="CU1732" t="s">
        <v>2259</v>
      </c>
      <c r="CV1732" t="s">
        <v>2260</v>
      </c>
      <c r="CY1732">
        <v>16069755</v>
      </c>
      <c r="CZ1732" t="s">
        <v>119</v>
      </c>
    </row>
    <row r="1733" spans="1:104" x14ac:dyDescent="0.25">
      <c r="A1733" t="str">
        <f>"14:19:15.141"</f>
        <v>14:19:15.141</v>
      </c>
      <c r="B1733" t="s">
        <v>108</v>
      </c>
      <c r="C1733" t="str">
        <f t="shared" si="79"/>
        <v>ffdfd3c0</v>
      </c>
      <c r="D1733" t="s">
        <v>109</v>
      </c>
      <c r="E1733">
        <v>4</v>
      </c>
      <c r="F1733">
        <v>1004</v>
      </c>
      <c r="G1733" t="s">
        <v>110</v>
      </c>
      <c r="J1733" t="s">
        <v>111</v>
      </c>
      <c r="K1733">
        <v>0</v>
      </c>
      <c r="L1733">
        <v>3</v>
      </c>
      <c r="M1733">
        <v>0</v>
      </c>
      <c r="N1733">
        <v>2</v>
      </c>
      <c r="O1733">
        <v>1</v>
      </c>
      <c r="P1733">
        <v>0</v>
      </c>
      <c r="Q1733">
        <v>0</v>
      </c>
      <c r="R1733" t="s">
        <v>112</v>
      </c>
      <c r="S1733" t="str">
        <f>"14:19:14.961"</f>
        <v>14:19:14.961</v>
      </c>
      <c r="T1733" t="str">
        <f>"14:19:14.563"</f>
        <v>14:19:14.563</v>
      </c>
      <c r="U1733" t="str">
        <f t="shared" si="81"/>
        <v>ad5732</v>
      </c>
      <c r="V1733">
        <v>0</v>
      </c>
      <c r="W1733">
        <v>0</v>
      </c>
      <c r="X1733">
        <v>1</v>
      </c>
      <c r="Z1733">
        <v>0</v>
      </c>
      <c r="AA1733">
        <v>9</v>
      </c>
      <c r="AB1733">
        <v>3</v>
      </c>
      <c r="AC1733">
        <v>0</v>
      </c>
      <c r="AD1733">
        <v>10</v>
      </c>
      <c r="AE1733">
        <v>0</v>
      </c>
      <c r="AF1733">
        <v>3</v>
      </c>
      <c r="AG1733">
        <v>2</v>
      </c>
      <c r="AH1733">
        <v>0</v>
      </c>
      <c r="AI1733" t="s">
        <v>3569</v>
      </c>
      <c r="AJ1733">
        <v>39.737313</v>
      </c>
      <c r="AK1733" t="s">
        <v>3570</v>
      </c>
      <c r="AL1733">
        <v>-76.121886000000003</v>
      </c>
      <c r="AM1733">
        <v>100</v>
      </c>
      <c r="AN1733">
        <v>4700</v>
      </c>
      <c r="AO1733" t="s">
        <v>115</v>
      </c>
      <c r="AP1733">
        <v>157</v>
      </c>
      <c r="AQ1733">
        <v>81</v>
      </c>
      <c r="AR1733">
        <v>64</v>
      </c>
      <c r="AZ1733">
        <v>3614</v>
      </c>
      <c r="BA1733">
        <v>1</v>
      </c>
      <c r="BB1733" t="str">
        <f t="shared" si="80"/>
        <v xml:space="preserve">N959MJ  </v>
      </c>
      <c r="BC1733">
        <v>1</v>
      </c>
      <c r="BE1733">
        <v>0</v>
      </c>
      <c r="BF1733">
        <v>0</v>
      </c>
      <c r="BG1733">
        <v>0</v>
      </c>
      <c r="BH1733">
        <v>4900</v>
      </c>
      <c r="BI1733">
        <v>200</v>
      </c>
      <c r="BJ1733">
        <v>1</v>
      </c>
      <c r="BK1733">
        <v>1</v>
      </c>
      <c r="BL1733">
        <v>1</v>
      </c>
      <c r="BM1733">
        <v>0</v>
      </c>
      <c r="BP1733">
        <v>0</v>
      </c>
      <c r="BQ1733">
        <v>0</v>
      </c>
      <c r="BX1733" t="str">
        <f>"14:19:14.961"</f>
        <v>14:19:14.961</v>
      </c>
      <c r="BY1733" t="str">
        <f>"963209545"</f>
        <v>963209545</v>
      </c>
      <c r="CL1733">
        <v>0</v>
      </c>
      <c r="CM1733">
        <v>2</v>
      </c>
      <c r="CN1733">
        <v>0</v>
      </c>
      <c r="CO1733">
        <v>2</v>
      </c>
      <c r="CP1733">
        <v>0</v>
      </c>
      <c r="CQ1733">
        <v>6</v>
      </c>
      <c r="CR1733" t="s">
        <v>116</v>
      </c>
      <c r="CS1733">
        <v>39</v>
      </c>
      <c r="CT1733">
        <v>2</v>
      </c>
      <c r="CU1733" t="s">
        <v>2259</v>
      </c>
      <c r="CV1733" t="s">
        <v>2260</v>
      </c>
      <c r="CY1733">
        <v>16071213</v>
      </c>
      <c r="CZ1733" t="s">
        <v>119</v>
      </c>
    </row>
    <row r="1734" spans="1:104" x14ac:dyDescent="0.25">
      <c r="A1734" t="str">
        <f>"14:19:16.258"</f>
        <v>14:19:16.258</v>
      </c>
      <c r="B1734" t="s">
        <v>108</v>
      </c>
      <c r="C1734" t="str">
        <f t="shared" si="79"/>
        <v>ffdfd3c0</v>
      </c>
      <c r="D1734" t="s">
        <v>109</v>
      </c>
      <c r="E1734">
        <v>4</v>
      </c>
      <c r="F1734">
        <v>1004</v>
      </c>
      <c r="G1734" t="s">
        <v>110</v>
      </c>
      <c r="J1734" t="s">
        <v>111</v>
      </c>
      <c r="K1734">
        <v>0</v>
      </c>
      <c r="L1734">
        <v>3</v>
      </c>
      <c r="M1734">
        <v>0</v>
      </c>
      <c r="N1734">
        <v>2</v>
      </c>
      <c r="O1734">
        <v>1</v>
      </c>
      <c r="P1734">
        <v>0</v>
      </c>
      <c r="Q1734">
        <v>0</v>
      </c>
      <c r="R1734" t="s">
        <v>112</v>
      </c>
      <c r="S1734" t="str">
        <f>"14:19:16.078"</f>
        <v>14:19:16.078</v>
      </c>
      <c r="T1734" t="str">
        <f>"14:19:15.578"</f>
        <v>14:19:15.578</v>
      </c>
      <c r="U1734" t="str">
        <f t="shared" si="81"/>
        <v>ad5732</v>
      </c>
      <c r="V1734">
        <v>0</v>
      </c>
      <c r="W1734">
        <v>0</v>
      </c>
      <c r="X1734">
        <v>1</v>
      </c>
      <c r="Z1734">
        <v>0</v>
      </c>
      <c r="AA1734">
        <v>9</v>
      </c>
      <c r="AB1734">
        <v>3</v>
      </c>
      <c r="AC1734">
        <v>0</v>
      </c>
      <c r="AD1734">
        <v>10</v>
      </c>
      <c r="AE1734">
        <v>0</v>
      </c>
      <c r="AF1734">
        <v>3</v>
      </c>
      <c r="AG1734">
        <v>2</v>
      </c>
      <c r="AH1734">
        <v>0</v>
      </c>
      <c r="AI1734" t="s">
        <v>3571</v>
      </c>
      <c r="AJ1734">
        <v>39.737741999999997</v>
      </c>
      <c r="AK1734" t="s">
        <v>3572</v>
      </c>
      <c r="AL1734">
        <v>-76.120856000000003</v>
      </c>
      <c r="AM1734">
        <v>100</v>
      </c>
      <c r="AN1734">
        <v>4700</v>
      </c>
      <c r="AO1734" t="s">
        <v>115</v>
      </c>
      <c r="AP1734">
        <v>157</v>
      </c>
      <c r="AQ1734">
        <v>81</v>
      </c>
      <c r="AR1734">
        <v>0</v>
      </c>
      <c r="AZ1734">
        <v>3614</v>
      </c>
      <c r="BA1734">
        <v>1</v>
      </c>
      <c r="BB1734" t="str">
        <f t="shared" si="80"/>
        <v xml:space="preserve">N959MJ  </v>
      </c>
      <c r="BC1734">
        <v>1</v>
      </c>
      <c r="BE1734">
        <v>0</v>
      </c>
      <c r="BF1734">
        <v>0</v>
      </c>
      <c r="BG1734">
        <v>0</v>
      </c>
      <c r="BH1734">
        <v>4900</v>
      </c>
      <c r="BI1734">
        <v>200</v>
      </c>
      <c r="BJ1734">
        <v>1</v>
      </c>
      <c r="BK1734">
        <v>1</v>
      </c>
      <c r="BL1734">
        <v>1</v>
      </c>
      <c r="BM1734">
        <v>0</v>
      </c>
      <c r="BP1734">
        <v>0</v>
      </c>
      <c r="BQ1734">
        <v>0</v>
      </c>
      <c r="BX1734" t="str">
        <f>"14:19:16.086"</f>
        <v>14:19:16.086</v>
      </c>
      <c r="BY1734" t="str">
        <f>"083893726"</f>
        <v>083893726</v>
      </c>
      <c r="CL1734">
        <v>0</v>
      </c>
      <c r="CM1734">
        <v>2</v>
      </c>
      <c r="CN1734">
        <v>0</v>
      </c>
      <c r="CO1734">
        <v>2</v>
      </c>
      <c r="CP1734">
        <v>0</v>
      </c>
      <c r="CQ1734">
        <v>6</v>
      </c>
      <c r="CR1734" t="s">
        <v>116</v>
      </c>
      <c r="CS1734">
        <v>39</v>
      </c>
      <c r="CT1734">
        <v>2</v>
      </c>
      <c r="CU1734" t="s">
        <v>2259</v>
      </c>
      <c r="CV1734" t="s">
        <v>2260</v>
      </c>
      <c r="CY1734">
        <v>16073027</v>
      </c>
      <c r="CZ1734" t="s">
        <v>119</v>
      </c>
    </row>
    <row r="1735" spans="1:104" x14ac:dyDescent="0.25">
      <c r="A1735" t="str">
        <f>"14:19:17.164"</f>
        <v>14:19:17.164</v>
      </c>
      <c r="B1735" t="s">
        <v>108</v>
      </c>
      <c r="C1735" t="str">
        <f t="shared" si="79"/>
        <v>ffdfd3c0</v>
      </c>
      <c r="D1735" t="s">
        <v>109</v>
      </c>
      <c r="E1735">
        <v>4</v>
      </c>
      <c r="F1735">
        <v>1004</v>
      </c>
      <c r="G1735" t="s">
        <v>110</v>
      </c>
      <c r="J1735" t="s">
        <v>111</v>
      </c>
      <c r="K1735">
        <v>0</v>
      </c>
      <c r="L1735">
        <v>3</v>
      </c>
      <c r="M1735">
        <v>0</v>
      </c>
      <c r="N1735">
        <v>2</v>
      </c>
      <c r="O1735">
        <v>1</v>
      </c>
      <c r="P1735">
        <v>0</v>
      </c>
      <c r="Q1735">
        <v>0</v>
      </c>
      <c r="R1735" t="s">
        <v>112</v>
      </c>
      <c r="S1735" t="str">
        <f>"14:19:16.984"</f>
        <v>14:19:16.984</v>
      </c>
      <c r="T1735" t="str">
        <f>"14:19:16.586"</f>
        <v>14:19:16.586</v>
      </c>
      <c r="U1735" t="str">
        <f t="shared" si="81"/>
        <v>ad5732</v>
      </c>
      <c r="V1735">
        <v>0</v>
      </c>
      <c r="W1735">
        <v>0</v>
      </c>
      <c r="X1735">
        <v>1</v>
      </c>
      <c r="Z1735">
        <v>0</v>
      </c>
      <c r="AA1735">
        <v>9</v>
      </c>
      <c r="AB1735">
        <v>3</v>
      </c>
      <c r="AC1735">
        <v>0</v>
      </c>
      <c r="AD1735">
        <v>10</v>
      </c>
      <c r="AE1735">
        <v>0</v>
      </c>
      <c r="AF1735">
        <v>3</v>
      </c>
      <c r="AG1735">
        <v>2</v>
      </c>
      <c r="AH1735">
        <v>0</v>
      </c>
      <c r="AI1735" t="s">
        <v>3573</v>
      </c>
      <c r="AJ1735">
        <v>39.738106999999999</v>
      </c>
      <c r="AK1735" t="s">
        <v>3574</v>
      </c>
      <c r="AL1735">
        <v>-76.120018999999999</v>
      </c>
      <c r="AM1735">
        <v>100</v>
      </c>
      <c r="AN1735">
        <v>4700</v>
      </c>
      <c r="AO1735" t="s">
        <v>115</v>
      </c>
      <c r="AP1735">
        <v>157</v>
      </c>
      <c r="AQ1735">
        <v>81</v>
      </c>
      <c r="AR1735">
        <v>0</v>
      </c>
      <c r="AZ1735">
        <v>3614</v>
      </c>
      <c r="BA1735">
        <v>1</v>
      </c>
      <c r="BB1735" t="str">
        <f t="shared" si="80"/>
        <v xml:space="preserve">N959MJ  </v>
      </c>
      <c r="BC1735">
        <v>1</v>
      </c>
      <c r="BE1735">
        <v>0</v>
      </c>
      <c r="BF1735">
        <v>0</v>
      </c>
      <c r="BG1735">
        <v>0</v>
      </c>
      <c r="BH1735">
        <v>4900</v>
      </c>
      <c r="BI1735">
        <v>200</v>
      </c>
      <c r="BJ1735">
        <v>1</v>
      </c>
      <c r="BK1735">
        <v>1</v>
      </c>
      <c r="BL1735">
        <v>1</v>
      </c>
      <c r="BM1735">
        <v>0</v>
      </c>
      <c r="BP1735">
        <v>0</v>
      </c>
      <c r="BQ1735">
        <v>0</v>
      </c>
      <c r="BX1735" t="str">
        <f>"14:19:16.992"</f>
        <v>14:19:16.992</v>
      </c>
      <c r="BY1735" t="str">
        <f>"989944035"</f>
        <v>989944035</v>
      </c>
      <c r="CL1735">
        <v>0</v>
      </c>
      <c r="CM1735">
        <v>2</v>
      </c>
      <c r="CN1735">
        <v>0</v>
      </c>
      <c r="CO1735">
        <v>2</v>
      </c>
      <c r="CP1735">
        <v>0</v>
      </c>
      <c r="CQ1735">
        <v>6</v>
      </c>
      <c r="CR1735" t="s">
        <v>116</v>
      </c>
      <c r="CS1735">
        <v>39</v>
      </c>
      <c r="CT1735">
        <v>2</v>
      </c>
      <c r="CU1735" t="s">
        <v>2259</v>
      </c>
      <c r="CV1735" t="s">
        <v>2260</v>
      </c>
      <c r="CY1735">
        <v>16074387</v>
      </c>
      <c r="CZ1735" t="s">
        <v>119</v>
      </c>
    </row>
    <row r="1736" spans="1:104" x14ac:dyDescent="0.25">
      <c r="A1736" t="str">
        <f>"14:19:18.227"</f>
        <v>14:19:18.227</v>
      </c>
      <c r="B1736" t="s">
        <v>108</v>
      </c>
      <c r="C1736" t="str">
        <f t="shared" si="79"/>
        <v>ffdfd3c0</v>
      </c>
      <c r="D1736" t="s">
        <v>109</v>
      </c>
      <c r="E1736">
        <v>4</v>
      </c>
      <c r="F1736">
        <v>1004</v>
      </c>
      <c r="G1736" t="s">
        <v>110</v>
      </c>
      <c r="J1736" t="s">
        <v>111</v>
      </c>
      <c r="K1736">
        <v>0</v>
      </c>
      <c r="L1736">
        <v>3</v>
      </c>
      <c r="M1736">
        <v>0</v>
      </c>
      <c r="N1736">
        <v>2</v>
      </c>
      <c r="O1736">
        <v>1</v>
      </c>
      <c r="P1736">
        <v>0</v>
      </c>
      <c r="Q1736">
        <v>0</v>
      </c>
      <c r="R1736" t="s">
        <v>112</v>
      </c>
      <c r="S1736" t="str">
        <f>"14:19:18.023"</f>
        <v>14:19:18.023</v>
      </c>
      <c r="T1736" t="str">
        <f>"14:19:17.523"</f>
        <v>14:19:17.523</v>
      </c>
      <c r="U1736" t="str">
        <f t="shared" si="81"/>
        <v>ad5732</v>
      </c>
      <c r="V1736">
        <v>0</v>
      </c>
      <c r="W1736">
        <v>0</v>
      </c>
      <c r="X1736">
        <v>1</v>
      </c>
      <c r="Z1736">
        <v>0</v>
      </c>
      <c r="AA1736">
        <v>9</v>
      </c>
      <c r="AB1736">
        <v>3</v>
      </c>
      <c r="AC1736">
        <v>0</v>
      </c>
      <c r="AD1736">
        <v>10</v>
      </c>
      <c r="AE1736">
        <v>0</v>
      </c>
      <c r="AF1736">
        <v>3</v>
      </c>
      <c r="AG1736">
        <v>2</v>
      </c>
      <c r="AH1736">
        <v>0</v>
      </c>
      <c r="AI1736" t="s">
        <v>3575</v>
      </c>
      <c r="AJ1736">
        <v>39.738472000000002</v>
      </c>
      <c r="AK1736" t="s">
        <v>3576</v>
      </c>
      <c r="AL1736">
        <v>-76.119010000000003</v>
      </c>
      <c r="AM1736">
        <v>100</v>
      </c>
      <c r="AN1736">
        <v>4700</v>
      </c>
      <c r="AO1736" t="s">
        <v>115</v>
      </c>
      <c r="AP1736">
        <v>157</v>
      </c>
      <c r="AQ1736">
        <v>81</v>
      </c>
      <c r="AR1736">
        <v>0</v>
      </c>
      <c r="AZ1736">
        <v>3614</v>
      </c>
      <c r="BA1736">
        <v>1</v>
      </c>
      <c r="BB1736" t="str">
        <f t="shared" si="80"/>
        <v xml:space="preserve">N959MJ  </v>
      </c>
      <c r="BC1736">
        <v>1</v>
      </c>
      <c r="BE1736">
        <v>0</v>
      </c>
      <c r="BF1736">
        <v>0</v>
      </c>
      <c r="BG1736">
        <v>0</v>
      </c>
      <c r="BH1736">
        <v>4900</v>
      </c>
      <c r="BI1736">
        <v>200</v>
      </c>
      <c r="BJ1736">
        <v>1</v>
      </c>
      <c r="BK1736">
        <v>1</v>
      </c>
      <c r="BL1736">
        <v>1</v>
      </c>
      <c r="BM1736">
        <v>0</v>
      </c>
      <c r="BP1736">
        <v>0</v>
      </c>
      <c r="BQ1736">
        <v>0</v>
      </c>
      <c r="BX1736" t="str">
        <f>"14:19:18.023"</f>
        <v>14:19:18.023</v>
      </c>
      <c r="BY1736" t="str">
        <f>"025412333"</f>
        <v>025412333</v>
      </c>
      <c r="CL1736">
        <v>0</v>
      </c>
      <c r="CM1736">
        <v>2</v>
      </c>
      <c r="CN1736">
        <v>0</v>
      </c>
      <c r="CO1736">
        <v>2</v>
      </c>
      <c r="CP1736">
        <v>0</v>
      </c>
      <c r="CQ1736">
        <v>6</v>
      </c>
      <c r="CR1736" t="s">
        <v>116</v>
      </c>
      <c r="CS1736">
        <v>396</v>
      </c>
      <c r="CT1736">
        <v>1</v>
      </c>
      <c r="CU1736" t="s">
        <v>939</v>
      </c>
      <c r="CV1736" t="s">
        <v>940</v>
      </c>
      <c r="CY1736">
        <v>9404737</v>
      </c>
      <c r="CZ1736" t="s">
        <v>119</v>
      </c>
    </row>
    <row r="1737" spans="1:104" x14ac:dyDescent="0.25">
      <c r="A1737" t="str">
        <f>"14:19:19.133"</f>
        <v>14:19:19.133</v>
      </c>
      <c r="B1737" t="s">
        <v>108</v>
      </c>
      <c r="C1737" t="str">
        <f t="shared" si="79"/>
        <v>ffdfd3c0</v>
      </c>
      <c r="D1737" t="s">
        <v>109</v>
      </c>
      <c r="E1737">
        <v>4</v>
      </c>
      <c r="F1737">
        <v>1004</v>
      </c>
      <c r="G1737" t="s">
        <v>110</v>
      </c>
      <c r="J1737" t="s">
        <v>111</v>
      </c>
      <c r="K1737">
        <v>0</v>
      </c>
      <c r="L1737">
        <v>3</v>
      </c>
      <c r="M1737">
        <v>0</v>
      </c>
      <c r="N1737">
        <v>2</v>
      </c>
      <c r="O1737">
        <v>1</v>
      </c>
      <c r="P1737">
        <v>0</v>
      </c>
      <c r="Q1737">
        <v>0</v>
      </c>
      <c r="R1737" t="s">
        <v>112</v>
      </c>
      <c r="S1737" t="str">
        <f>"14:19:18.961"</f>
        <v>14:19:18.961</v>
      </c>
      <c r="T1737" t="str">
        <f>"14:19:18.664"</f>
        <v>14:19:18.664</v>
      </c>
      <c r="U1737" t="str">
        <f t="shared" si="81"/>
        <v>ad5732</v>
      </c>
      <c r="V1737">
        <v>0</v>
      </c>
      <c r="W1737">
        <v>0</v>
      </c>
      <c r="X1737">
        <v>1</v>
      </c>
      <c r="Z1737">
        <v>0</v>
      </c>
      <c r="AA1737">
        <v>9</v>
      </c>
      <c r="AB1737">
        <v>3</v>
      </c>
      <c r="AC1737">
        <v>0</v>
      </c>
      <c r="AD1737">
        <v>10</v>
      </c>
      <c r="AE1737">
        <v>0</v>
      </c>
      <c r="AF1737">
        <v>3</v>
      </c>
      <c r="AG1737">
        <v>2</v>
      </c>
      <c r="AH1737">
        <v>0</v>
      </c>
      <c r="AI1737" t="s">
        <v>3577</v>
      </c>
      <c r="AJ1737">
        <v>39.738835999999999</v>
      </c>
      <c r="AK1737" t="s">
        <v>3578</v>
      </c>
      <c r="AL1737">
        <v>-76.118109000000004</v>
      </c>
      <c r="AM1737">
        <v>100</v>
      </c>
      <c r="AN1737">
        <v>4700</v>
      </c>
      <c r="AO1737" t="s">
        <v>115</v>
      </c>
      <c r="AP1737">
        <v>157</v>
      </c>
      <c r="AQ1737">
        <v>81</v>
      </c>
      <c r="AR1737">
        <v>-64</v>
      </c>
      <c r="AZ1737">
        <v>3614</v>
      </c>
      <c r="BA1737">
        <v>1</v>
      </c>
      <c r="BB1737" t="str">
        <f t="shared" si="80"/>
        <v xml:space="preserve">N959MJ  </v>
      </c>
      <c r="BC1737">
        <v>1</v>
      </c>
      <c r="BE1737">
        <v>0</v>
      </c>
      <c r="BF1737">
        <v>0</v>
      </c>
      <c r="BG1737">
        <v>0</v>
      </c>
      <c r="BH1737">
        <v>4900</v>
      </c>
      <c r="BI1737">
        <v>200</v>
      </c>
      <c r="BJ1737">
        <v>1</v>
      </c>
      <c r="BK1737">
        <v>1</v>
      </c>
      <c r="BL1737">
        <v>1</v>
      </c>
      <c r="BM1737">
        <v>0</v>
      </c>
      <c r="BP1737">
        <v>0</v>
      </c>
      <c r="BQ1737">
        <v>0</v>
      </c>
      <c r="BX1737" t="str">
        <f>"14:19:18.961"</f>
        <v>14:19:18.961</v>
      </c>
      <c r="BY1737" t="str">
        <f>"962610351"</f>
        <v>962610351</v>
      </c>
      <c r="CL1737">
        <v>0</v>
      </c>
      <c r="CM1737">
        <v>2</v>
      </c>
      <c r="CN1737">
        <v>0</v>
      </c>
      <c r="CO1737">
        <v>2</v>
      </c>
      <c r="CP1737">
        <v>0</v>
      </c>
      <c r="CQ1737">
        <v>6</v>
      </c>
      <c r="CR1737" t="s">
        <v>116</v>
      </c>
      <c r="CS1737">
        <v>39</v>
      </c>
      <c r="CT1737">
        <v>2</v>
      </c>
      <c r="CU1737" t="s">
        <v>2259</v>
      </c>
      <c r="CV1737" t="s">
        <v>2260</v>
      </c>
      <c r="CY1737">
        <v>16077492</v>
      </c>
      <c r="CZ1737" t="s">
        <v>119</v>
      </c>
    </row>
    <row r="1738" spans="1:104" x14ac:dyDescent="0.25">
      <c r="A1738" t="str">
        <f>"14:19:20.094"</f>
        <v>14:19:20.094</v>
      </c>
      <c r="B1738" t="s">
        <v>108</v>
      </c>
      <c r="C1738" t="str">
        <f t="shared" ref="C1738:C1801" si="82">"ffdfd3c0"</f>
        <v>ffdfd3c0</v>
      </c>
      <c r="D1738" t="s">
        <v>109</v>
      </c>
      <c r="E1738">
        <v>4</v>
      </c>
      <c r="F1738">
        <v>1004</v>
      </c>
      <c r="G1738" t="s">
        <v>110</v>
      </c>
      <c r="J1738" t="s">
        <v>111</v>
      </c>
      <c r="K1738">
        <v>0</v>
      </c>
      <c r="L1738">
        <v>3</v>
      </c>
      <c r="M1738">
        <v>0</v>
      </c>
      <c r="N1738">
        <v>2</v>
      </c>
      <c r="O1738">
        <v>1</v>
      </c>
      <c r="P1738">
        <v>0</v>
      </c>
      <c r="Q1738">
        <v>0</v>
      </c>
      <c r="R1738" t="s">
        <v>112</v>
      </c>
      <c r="S1738" t="str">
        <f>"14:19:19.922"</f>
        <v>14:19:19.922</v>
      </c>
      <c r="T1738" t="str">
        <f>"14:19:19.523"</f>
        <v>14:19:19.523</v>
      </c>
      <c r="U1738" t="str">
        <f t="shared" si="81"/>
        <v>ad5732</v>
      </c>
      <c r="V1738">
        <v>0</v>
      </c>
      <c r="W1738">
        <v>0</v>
      </c>
      <c r="X1738">
        <v>1</v>
      </c>
      <c r="Z1738">
        <v>0</v>
      </c>
      <c r="AA1738">
        <v>9</v>
      </c>
      <c r="AB1738">
        <v>3</v>
      </c>
      <c r="AC1738">
        <v>0</v>
      </c>
      <c r="AD1738">
        <v>10</v>
      </c>
      <c r="AE1738">
        <v>0</v>
      </c>
      <c r="AF1738">
        <v>3</v>
      </c>
      <c r="AG1738">
        <v>2</v>
      </c>
      <c r="AH1738">
        <v>0</v>
      </c>
      <c r="AI1738" t="s">
        <v>3579</v>
      </c>
      <c r="AJ1738">
        <v>39.739201000000001</v>
      </c>
      <c r="AK1738" t="s">
        <v>3580</v>
      </c>
      <c r="AL1738">
        <v>-76.117228999999995</v>
      </c>
      <c r="AM1738">
        <v>100</v>
      </c>
      <c r="AN1738">
        <v>4700</v>
      </c>
      <c r="AO1738" t="s">
        <v>115</v>
      </c>
      <c r="AP1738">
        <v>157</v>
      </c>
      <c r="AQ1738">
        <v>81</v>
      </c>
      <c r="AR1738">
        <v>-64</v>
      </c>
      <c r="AZ1738">
        <v>3614</v>
      </c>
      <c r="BA1738">
        <v>1</v>
      </c>
      <c r="BB1738" t="str">
        <f t="shared" ref="BB1738:BB1801" si="83">"N959MJ  "</f>
        <v xml:space="preserve">N959MJ  </v>
      </c>
      <c r="BC1738">
        <v>1</v>
      </c>
      <c r="BE1738">
        <v>0</v>
      </c>
      <c r="BF1738">
        <v>0</v>
      </c>
      <c r="BG1738">
        <v>0</v>
      </c>
      <c r="BH1738">
        <v>4900</v>
      </c>
      <c r="BI1738">
        <v>200</v>
      </c>
      <c r="BJ1738">
        <v>1</v>
      </c>
      <c r="BK1738">
        <v>1</v>
      </c>
      <c r="BL1738">
        <v>1</v>
      </c>
      <c r="BM1738">
        <v>0</v>
      </c>
      <c r="BP1738">
        <v>0</v>
      </c>
      <c r="BQ1738">
        <v>0</v>
      </c>
      <c r="BX1738" t="str">
        <f>"14:19:19.930"</f>
        <v>14:19:19.930</v>
      </c>
      <c r="BY1738" t="str">
        <f>"926005665"</f>
        <v>926005665</v>
      </c>
      <c r="CL1738">
        <v>0</v>
      </c>
      <c r="CM1738">
        <v>2</v>
      </c>
      <c r="CN1738">
        <v>0</v>
      </c>
      <c r="CO1738">
        <v>2</v>
      </c>
      <c r="CP1738">
        <v>0</v>
      </c>
      <c r="CQ1738">
        <v>6</v>
      </c>
      <c r="CR1738" t="s">
        <v>116</v>
      </c>
      <c r="CS1738">
        <v>39</v>
      </c>
      <c r="CT1738">
        <v>2</v>
      </c>
      <c r="CU1738" t="s">
        <v>2259</v>
      </c>
      <c r="CV1738" t="s">
        <v>2260</v>
      </c>
      <c r="CY1738">
        <v>16079123</v>
      </c>
      <c r="CZ1738" t="s">
        <v>119</v>
      </c>
    </row>
    <row r="1739" spans="1:104" x14ac:dyDescent="0.25">
      <c r="A1739" t="str">
        <f>"14:19:21.047"</f>
        <v>14:19:21.047</v>
      </c>
      <c r="B1739" t="s">
        <v>108</v>
      </c>
      <c r="C1739" t="str">
        <f t="shared" si="82"/>
        <v>ffdfd3c0</v>
      </c>
      <c r="D1739" t="s">
        <v>109</v>
      </c>
      <c r="E1739">
        <v>4</v>
      </c>
      <c r="F1739">
        <v>1004</v>
      </c>
      <c r="G1739" t="s">
        <v>110</v>
      </c>
      <c r="J1739" t="s">
        <v>111</v>
      </c>
      <c r="K1739">
        <v>0</v>
      </c>
      <c r="L1739">
        <v>3</v>
      </c>
      <c r="M1739">
        <v>0</v>
      </c>
      <c r="N1739">
        <v>2</v>
      </c>
      <c r="O1739">
        <v>1</v>
      </c>
      <c r="P1739">
        <v>0</v>
      </c>
      <c r="Q1739">
        <v>0</v>
      </c>
      <c r="R1739" t="s">
        <v>112</v>
      </c>
      <c r="S1739" t="str">
        <f>"14:19:20.844"</f>
        <v>14:19:20.844</v>
      </c>
      <c r="T1739" t="str">
        <f>"14:19:20.445"</f>
        <v>14:19:20.445</v>
      </c>
      <c r="U1739" t="str">
        <f t="shared" si="81"/>
        <v>ad5732</v>
      </c>
      <c r="V1739">
        <v>0</v>
      </c>
      <c r="W1739">
        <v>0</v>
      </c>
      <c r="X1739">
        <v>1</v>
      </c>
      <c r="Z1739">
        <v>0</v>
      </c>
      <c r="AA1739">
        <v>9</v>
      </c>
      <c r="AB1739">
        <v>3</v>
      </c>
      <c r="AC1739">
        <v>0</v>
      </c>
      <c r="AD1739">
        <v>10</v>
      </c>
      <c r="AE1739">
        <v>0</v>
      </c>
      <c r="AF1739">
        <v>3</v>
      </c>
      <c r="AG1739">
        <v>2</v>
      </c>
      <c r="AH1739">
        <v>0</v>
      </c>
      <c r="AI1739" t="s">
        <v>3581</v>
      </c>
      <c r="AJ1739">
        <v>39.739544000000002</v>
      </c>
      <c r="AK1739" t="s">
        <v>3582</v>
      </c>
      <c r="AL1739">
        <v>-76.116327999999996</v>
      </c>
      <c r="AM1739">
        <v>100</v>
      </c>
      <c r="AN1739">
        <v>4700</v>
      </c>
      <c r="AO1739" t="s">
        <v>115</v>
      </c>
      <c r="AP1739">
        <v>157</v>
      </c>
      <c r="AQ1739">
        <v>81</v>
      </c>
      <c r="AR1739">
        <v>-64</v>
      </c>
      <c r="AZ1739">
        <v>3614</v>
      </c>
      <c r="BA1739">
        <v>1</v>
      </c>
      <c r="BB1739" t="str">
        <f t="shared" si="83"/>
        <v xml:space="preserve">N959MJ  </v>
      </c>
      <c r="BC1739">
        <v>1</v>
      </c>
      <c r="BE1739">
        <v>0</v>
      </c>
      <c r="BF1739">
        <v>0</v>
      </c>
      <c r="BG1739">
        <v>0</v>
      </c>
      <c r="BH1739">
        <v>4900</v>
      </c>
      <c r="BI1739">
        <v>200</v>
      </c>
      <c r="BJ1739">
        <v>1</v>
      </c>
      <c r="BK1739">
        <v>1</v>
      </c>
      <c r="BL1739">
        <v>1</v>
      </c>
      <c r="BM1739">
        <v>0</v>
      </c>
      <c r="BP1739">
        <v>0</v>
      </c>
      <c r="BQ1739">
        <v>0</v>
      </c>
      <c r="BX1739" t="str">
        <f>"14:19:20.852"</f>
        <v>14:19:20.852</v>
      </c>
      <c r="BY1739" t="str">
        <f>"848555290"</f>
        <v>848555290</v>
      </c>
      <c r="CL1739">
        <v>0</v>
      </c>
      <c r="CM1739">
        <v>2</v>
      </c>
      <c r="CN1739">
        <v>0</v>
      </c>
      <c r="CO1739">
        <v>2</v>
      </c>
      <c r="CP1739">
        <v>0</v>
      </c>
      <c r="CQ1739">
        <v>4</v>
      </c>
      <c r="CR1739" t="s">
        <v>116</v>
      </c>
      <c r="CS1739">
        <v>372</v>
      </c>
      <c r="CT1739">
        <v>3</v>
      </c>
      <c r="CU1739" t="s">
        <v>877</v>
      </c>
      <c r="CV1739" t="s">
        <v>878</v>
      </c>
      <c r="CY1739">
        <v>12478151</v>
      </c>
      <c r="CZ1739" t="s">
        <v>119</v>
      </c>
    </row>
    <row r="1740" spans="1:104" x14ac:dyDescent="0.25">
      <c r="A1740" t="str">
        <f>"14:19:22.008"</f>
        <v>14:19:22.008</v>
      </c>
      <c r="B1740" t="s">
        <v>108</v>
      </c>
      <c r="C1740" t="str">
        <f t="shared" si="82"/>
        <v>ffdfd3c0</v>
      </c>
      <c r="D1740" t="s">
        <v>109</v>
      </c>
      <c r="E1740">
        <v>4</v>
      </c>
      <c r="F1740">
        <v>1004</v>
      </c>
      <c r="G1740" t="s">
        <v>110</v>
      </c>
      <c r="J1740" t="s">
        <v>111</v>
      </c>
      <c r="K1740">
        <v>0</v>
      </c>
      <c r="L1740">
        <v>3</v>
      </c>
      <c r="M1740">
        <v>0</v>
      </c>
      <c r="N1740">
        <v>2</v>
      </c>
      <c r="O1740">
        <v>1</v>
      </c>
      <c r="P1740">
        <v>0</v>
      </c>
      <c r="Q1740">
        <v>0</v>
      </c>
      <c r="R1740" t="s">
        <v>112</v>
      </c>
      <c r="S1740" t="str">
        <f>"14:19:21.797"</f>
        <v>14:19:21.797</v>
      </c>
      <c r="T1740" t="str">
        <f>"14:19:21.398"</f>
        <v>14:19:21.398</v>
      </c>
      <c r="U1740" t="str">
        <f t="shared" si="81"/>
        <v>ad5732</v>
      </c>
      <c r="V1740">
        <v>0</v>
      </c>
      <c r="W1740">
        <v>0</v>
      </c>
      <c r="X1740">
        <v>1</v>
      </c>
      <c r="Z1740">
        <v>0</v>
      </c>
      <c r="AA1740">
        <v>9</v>
      </c>
      <c r="AB1740">
        <v>3</v>
      </c>
      <c r="AC1740">
        <v>0</v>
      </c>
      <c r="AD1740">
        <v>10</v>
      </c>
      <c r="AE1740">
        <v>0</v>
      </c>
      <c r="AF1740">
        <v>3</v>
      </c>
      <c r="AG1740">
        <v>2</v>
      </c>
      <c r="AH1740">
        <v>0</v>
      </c>
      <c r="AI1740" t="s">
        <v>3583</v>
      </c>
      <c r="AJ1740">
        <v>39.739930999999999</v>
      </c>
      <c r="AK1740" t="s">
        <v>3584</v>
      </c>
      <c r="AL1740">
        <v>-76.115426999999997</v>
      </c>
      <c r="AM1740">
        <v>100</v>
      </c>
      <c r="AN1740">
        <v>4700</v>
      </c>
      <c r="AO1740" t="s">
        <v>115</v>
      </c>
      <c r="AP1740">
        <v>156</v>
      </c>
      <c r="AQ1740">
        <v>81</v>
      </c>
      <c r="AR1740">
        <v>0</v>
      </c>
      <c r="AZ1740">
        <v>3614</v>
      </c>
      <c r="BA1740">
        <v>1</v>
      </c>
      <c r="BB1740" t="str">
        <f t="shared" si="83"/>
        <v xml:space="preserve">N959MJ  </v>
      </c>
      <c r="BC1740">
        <v>1</v>
      </c>
      <c r="BE1740">
        <v>0</v>
      </c>
      <c r="BF1740">
        <v>0</v>
      </c>
      <c r="BG1740">
        <v>0</v>
      </c>
      <c r="BH1740">
        <v>4900</v>
      </c>
      <c r="BI1740">
        <v>200</v>
      </c>
      <c r="BJ1740">
        <v>1</v>
      </c>
      <c r="BK1740">
        <v>1</v>
      </c>
      <c r="BL1740">
        <v>1</v>
      </c>
      <c r="BM1740">
        <v>0</v>
      </c>
      <c r="BP1740">
        <v>0</v>
      </c>
      <c r="BQ1740">
        <v>0</v>
      </c>
      <c r="BX1740" t="str">
        <f>"14:19:21.797"</f>
        <v>14:19:21.797</v>
      </c>
      <c r="BY1740" t="str">
        <f>"797089433"</f>
        <v>797089433</v>
      </c>
      <c r="CL1740">
        <v>0</v>
      </c>
      <c r="CM1740">
        <v>2</v>
      </c>
      <c r="CN1740">
        <v>0</v>
      </c>
      <c r="CO1740">
        <v>2</v>
      </c>
      <c r="CP1740">
        <v>0</v>
      </c>
      <c r="CQ1740">
        <v>6</v>
      </c>
      <c r="CR1740" t="s">
        <v>116</v>
      </c>
      <c r="CS1740">
        <v>39</v>
      </c>
      <c r="CT1740">
        <v>2</v>
      </c>
      <c r="CU1740" t="s">
        <v>2259</v>
      </c>
      <c r="CV1740" t="s">
        <v>2260</v>
      </c>
      <c r="CY1740">
        <v>16082111</v>
      </c>
      <c r="CZ1740" t="s">
        <v>119</v>
      </c>
    </row>
    <row r="1741" spans="1:104" x14ac:dyDescent="0.25">
      <c r="A1741" t="str">
        <f>"14:19:22.914"</f>
        <v>14:19:22.914</v>
      </c>
      <c r="B1741" t="s">
        <v>108</v>
      </c>
      <c r="C1741" t="str">
        <f t="shared" si="82"/>
        <v>ffdfd3c0</v>
      </c>
      <c r="D1741" t="s">
        <v>109</v>
      </c>
      <c r="E1741">
        <v>4</v>
      </c>
      <c r="F1741">
        <v>1004</v>
      </c>
      <c r="G1741" t="s">
        <v>110</v>
      </c>
      <c r="J1741" t="s">
        <v>111</v>
      </c>
      <c r="K1741">
        <v>0</v>
      </c>
      <c r="L1741">
        <v>3</v>
      </c>
      <c r="M1741">
        <v>0</v>
      </c>
      <c r="N1741">
        <v>2</v>
      </c>
      <c r="O1741">
        <v>1</v>
      </c>
      <c r="P1741">
        <v>0</v>
      </c>
      <c r="Q1741">
        <v>0</v>
      </c>
      <c r="R1741" t="s">
        <v>112</v>
      </c>
      <c r="S1741" t="str">
        <f>"14:19:22.750"</f>
        <v>14:19:22.750</v>
      </c>
      <c r="T1741" t="str">
        <f>"14:19:22.352"</f>
        <v>14:19:22.352</v>
      </c>
      <c r="U1741" t="str">
        <f t="shared" si="81"/>
        <v>ad5732</v>
      </c>
      <c r="V1741">
        <v>0</v>
      </c>
      <c r="W1741">
        <v>0</v>
      </c>
      <c r="X1741">
        <v>1</v>
      </c>
      <c r="Z1741">
        <v>0</v>
      </c>
      <c r="AA1741">
        <v>9</v>
      </c>
      <c r="AB1741">
        <v>3</v>
      </c>
      <c r="AC1741">
        <v>0</v>
      </c>
      <c r="AD1741">
        <v>10</v>
      </c>
      <c r="AE1741">
        <v>0</v>
      </c>
      <c r="AF1741">
        <v>3</v>
      </c>
      <c r="AG1741">
        <v>2</v>
      </c>
      <c r="AH1741">
        <v>0</v>
      </c>
      <c r="AI1741" t="s">
        <v>3585</v>
      </c>
      <c r="AJ1741">
        <v>39.740251999999998</v>
      </c>
      <c r="AK1741" t="s">
        <v>3586</v>
      </c>
      <c r="AL1741">
        <v>-76.114590000000007</v>
      </c>
      <c r="AM1741">
        <v>100</v>
      </c>
      <c r="AN1741">
        <v>4700</v>
      </c>
      <c r="AO1741" t="s">
        <v>115</v>
      </c>
      <c r="AP1741">
        <v>156</v>
      </c>
      <c r="AQ1741">
        <v>81</v>
      </c>
      <c r="AR1741">
        <v>0</v>
      </c>
      <c r="AZ1741">
        <v>3614</v>
      </c>
      <c r="BA1741">
        <v>1</v>
      </c>
      <c r="BB1741" t="str">
        <f t="shared" si="83"/>
        <v xml:space="preserve">N959MJ  </v>
      </c>
      <c r="BC1741">
        <v>1</v>
      </c>
      <c r="BE1741">
        <v>0</v>
      </c>
      <c r="BF1741">
        <v>0</v>
      </c>
      <c r="BG1741">
        <v>0</v>
      </c>
      <c r="BH1741">
        <v>4900</v>
      </c>
      <c r="BI1741">
        <v>200</v>
      </c>
      <c r="BJ1741">
        <v>1</v>
      </c>
      <c r="BK1741">
        <v>1</v>
      </c>
      <c r="BL1741">
        <v>1</v>
      </c>
      <c r="BM1741">
        <v>0</v>
      </c>
      <c r="BP1741">
        <v>0</v>
      </c>
      <c r="BQ1741">
        <v>0</v>
      </c>
      <c r="BX1741" t="str">
        <f>"14:19:22.758"</f>
        <v>14:19:22.758</v>
      </c>
      <c r="BY1741" t="str">
        <f>"755569405"</f>
        <v>755569405</v>
      </c>
      <c r="CL1741">
        <v>0</v>
      </c>
      <c r="CM1741">
        <v>2</v>
      </c>
      <c r="CN1741">
        <v>0</v>
      </c>
      <c r="CO1741">
        <v>2</v>
      </c>
      <c r="CP1741">
        <v>0</v>
      </c>
      <c r="CQ1741">
        <v>7</v>
      </c>
      <c r="CR1741" t="s">
        <v>116</v>
      </c>
      <c r="CS1741">
        <v>39</v>
      </c>
      <c r="CT1741">
        <v>2</v>
      </c>
      <c r="CU1741" t="s">
        <v>2259</v>
      </c>
      <c r="CV1741" t="s">
        <v>2260</v>
      </c>
      <c r="CY1741">
        <v>16083528</v>
      </c>
      <c r="CZ1741" t="s">
        <v>119</v>
      </c>
    </row>
    <row r="1742" spans="1:104" x14ac:dyDescent="0.25">
      <c r="A1742" t="str">
        <f>"14:19:24.023"</f>
        <v>14:19:24.023</v>
      </c>
      <c r="B1742" t="s">
        <v>108</v>
      </c>
      <c r="C1742" t="str">
        <f t="shared" si="82"/>
        <v>ffdfd3c0</v>
      </c>
      <c r="D1742" t="s">
        <v>109</v>
      </c>
      <c r="E1742">
        <v>4</v>
      </c>
      <c r="F1742">
        <v>1004</v>
      </c>
      <c r="G1742" t="s">
        <v>110</v>
      </c>
      <c r="J1742" t="s">
        <v>111</v>
      </c>
      <c r="K1742">
        <v>0</v>
      </c>
      <c r="L1742">
        <v>3</v>
      </c>
      <c r="M1742">
        <v>0</v>
      </c>
      <c r="N1742">
        <v>2</v>
      </c>
      <c r="O1742">
        <v>1</v>
      </c>
      <c r="P1742">
        <v>0</v>
      </c>
      <c r="Q1742">
        <v>0</v>
      </c>
      <c r="R1742" t="s">
        <v>112</v>
      </c>
      <c r="S1742" t="str">
        <f>"14:19:23.836"</f>
        <v>14:19:23.836</v>
      </c>
      <c r="T1742" t="str">
        <f>"14:19:23.336"</f>
        <v>14:19:23.336</v>
      </c>
      <c r="U1742" t="str">
        <f t="shared" si="81"/>
        <v>ad5732</v>
      </c>
      <c r="V1742">
        <v>0</v>
      </c>
      <c r="W1742">
        <v>0</v>
      </c>
      <c r="X1742">
        <v>1</v>
      </c>
      <c r="Z1742">
        <v>0</v>
      </c>
      <c r="AA1742">
        <v>9</v>
      </c>
      <c r="AB1742">
        <v>3</v>
      </c>
      <c r="AC1742">
        <v>0</v>
      </c>
      <c r="AD1742">
        <v>10</v>
      </c>
      <c r="AE1742">
        <v>0</v>
      </c>
      <c r="AF1742">
        <v>3</v>
      </c>
      <c r="AG1742">
        <v>2</v>
      </c>
      <c r="AH1742">
        <v>0</v>
      </c>
      <c r="AI1742" t="s">
        <v>3587</v>
      </c>
      <c r="AJ1742">
        <v>39.740659999999998</v>
      </c>
      <c r="AK1742" t="s">
        <v>3588</v>
      </c>
      <c r="AL1742">
        <v>-76.113517000000002</v>
      </c>
      <c r="AM1742">
        <v>100</v>
      </c>
      <c r="AN1742">
        <v>4700</v>
      </c>
      <c r="AO1742" t="s">
        <v>115</v>
      </c>
      <c r="AP1742">
        <v>156</v>
      </c>
      <c r="AQ1742">
        <v>81</v>
      </c>
      <c r="AR1742">
        <v>0</v>
      </c>
      <c r="AZ1742">
        <v>3614</v>
      </c>
      <c r="BA1742">
        <v>1</v>
      </c>
      <c r="BB1742" t="str">
        <f t="shared" si="83"/>
        <v xml:space="preserve">N959MJ  </v>
      </c>
      <c r="BC1742">
        <v>1</v>
      </c>
      <c r="BE1742">
        <v>0</v>
      </c>
      <c r="BF1742">
        <v>0</v>
      </c>
      <c r="BG1742">
        <v>0</v>
      </c>
      <c r="BH1742">
        <v>4900</v>
      </c>
      <c r="BI1742">
        <v>200</v>
      </c>
      <c r="BJ1742">
        <v>1</v>
      </c>
      <c r="BK1742">
        <v>1</v>
      </c>
      <c r="BL1742">
        <v>1</v>
      </c>
      <c r="BM1742">
        <v>0</v>
      </c>
      <c r="BP1742">
        <v>0</v>
      </c>
      <c r="BQ1742">
        <v>0</v>
      </c>
      <c r="BX1742" t="str">
        <f>"14:19:23.836"</f>
        <v>14:19:23.836</v>
      </c>
      <c r="BY1742" t="str">
        <f>"836931360"</f>
        <v>836931360</v>
      </c>
      <c r="CL1742">
        <v>0</v>
      </c>
      <c r="CM1742">
        <v>2</v>
      </c>
      <c r="CN1742">
        <v>0</v>
      </c>
      <c r="CO1742">
        <v>2</v>
      </c>
      <c r="CP1742">
        <v>0</v>
      </c>
      <c r="CQ1742">
        <v>6</v>
      </c>
      <c r="CR1742" t="s">
        <v>116</v>
      </c>
      <c r="CS1742">
        <v>39</v>
      </c>
      <c r="CT1742">
        <v>2</v>
      </c>
      <c r="CU1742" t="s">
        <v>2259</v>
      </c>
      <c r="CV1742" t="s">
        <v>2260</v>
      </c>
      <c r="CY1742">
        <v>16085210</v>
      </c>
      <c r="CZ1742" t="s">
        <v>119</v>
      </c>
    </row>
    <row r="1743" spans="1:104" x14ac:dyDescent="0.25">
      <c r="A1743" t="str">
        <f>"14:19:24.938"</f>
        <v>14:19:24.938</v>
      </c>
      <c r="B1743" t="s">
        <v>108</v>
      </c>
      <c r="C1743" t="str">
        <f t="shared" si="82"/>
        <v>ffdfd3c0</v>
      </c>
      <c r="D1743" t="s">
        <v>109</v>
      </c>
      <c r="E1743">
        <v>4</v>
      </c>
      <c r="F1743">
        <v>1004</v>
      </c>
      <c r="G1743" t="s">
        <v>110</v>
      </c>
      <c r="J1743" t="s">
        <v>111</v>
      </c>
      <c r="K1743">
        <v>0</v>
      </c>
      <c r="L1743">
        <v>3</v>
      </c>
      <c r="M1743">
        <v>0</v>
      </c>
      <c r="N1743">
        <v>2</v>
      </c>
      <c r="O1743">
        <v>1</v>
      </c>
      <c r="P1743">
        <v>0</v>
      </c>
      <c r="Q1743">
        <v>0</v>
      </c>
      <c r="R1743" t="s">
        <v>112</v>
      </c>
      <c r="S1743" t="str">
        <f>"14:19:24.766"</f>
        <v>14:19:24.766</v>
      </c>
      <c r="T1743" t="str">
        <f>"14:19:24.367"</f>
        <v>14:19:24.367</v>
      </c>
      <c r="U1743" t="str">
        <f t="shared" si="81"/>
        <v>ad5732</v>
      </c>
      <c r="V1743">
        <v>0</v>
      </c>
      <c r="W1743">
        <v>0</v>
      </c>
      <c r="X1743">
        <v>1</v>
      </c>
      <c r="Z1743">
        <v>0</v>
      </c>
      <c r="AA1743">
        <v>9</v>
      </c>
      <c r="AB1743">
        <v>3</v>
      </c>
      <c r="AC1743">
        <v>0</v>
      </c>
      <c r="AD1743">
        <v>10</v>
      </c>
      <c r="AE1743">
        <v>0</v>
      </c>
      <c r="AF1743">
        <v>3</v>
      </c>
      <c r="AG1743">
        <v>2</v>
      </c>
      <c r="AH1743">
        <v>0</v>
      </c>
      <c r="AI1743" t="s">
        <v>3589</v>
      </c>
      <c r="AJ1743">
        <v>39.741025</v>
      </c>
      <c r="AK1743" t="s">
        <v>3590</v>
      </c>
      <c r="AL1743">
        <v>-76.112679999999997</v>
      </c>
      <c r="AM1743">
        <v>100</v>
      </c>
      <c r="AN1743">
        <v>4700</v>
      </c>
      <c r="AO1743" t="s">
        <v>115</v>
      </c>
      <c r="AP1743">
        <v>156</v>
      </c>
      <c r="AQ1743">
        <v>81</v>
      </c>
      <c r="AR1743">
        <v>0</v>
      </c>
      <c r="AZ1743">
        <v>3614</v>
      </c>
      <c r="BA1743">
        <v>1</v>
      </c>
      <c r="BB1743" t="str">
        <f t="shared" si="83"/>
        <v xml:space="preserve">N959MJ  </v>
      </c>
      <c r="BC1743">
        <v>1</v>
      </c>
      <c r="BE1743">
        <v>0</v>
      </c>
      <c r="BF1743">
        <v>0</v>
      </c>
      <c r="BG1743">
        <v>0</v>
      </c>
      <c r="BH1743">
        <v>4900</v>
      </c>
      <c r="BI1743">
        <v>200</v>
      </c>
      <c r="BJ1743">
        <v>1</v>
      </c>
      <c r="BK1743">
        <v>1</v>
      </c>
      <c r="BL1743">
        <v>1</v>
      </c>
      <c r="BM1743">
        <v>0</v>
      </c>
      <c r="BP1743">
        <v>0</v>
      </c>
      <c r="BQ1743">
        <v>0</v>
      </c>
      <c r="BX1743" t="str">
        <f>"14:19:24.766"</f>
        <v>14:19:24.766</v>
      </c>
      <c r="BY1743" t="str">
        <f>"767543486"</f>
        <v>767543486</v>
      </c>
      <c r="CL1743">
        <v>0</v>
      </c>
      <c r="CM1743">
        <v>2</v>
      </c>
      <c r="CN1743">
        <v>0</v>
      </c>
      <c r="CO1743">
        <v>2</v>
      </c>
      <c r="CP1743">
        <v>0</v>
      </c>
      <c r="CQ1743">
        <v>6</v>
      </c>
      <c r="CR1743" t="s">
        <v>116</v>
      </c>
      <c r="CS1743">
        <v>396</v>
      </c>
      <c r="CT1743">
        <v>1</v>
      </c>
      <c r="CU1743" t="s">
        <v>939</v>
      </c>
      <c r="CV1743" t="s">
        <v>940</v>
      </c>
      <c r="CY1743">
        <v>9416866</v>
      </c>
      <c r="CZ1743" t="s">
        <v>119</v>
      </c>
    </row>
    <row r="1744" spans="1:104" x14ac:dyDescent="0.25">
      <c r="A1744" t="str">
        <f>"14:19:26.047"</f>
        <v>14:19:26.047</v>
      </c>
      <c r="B1744" t="s">
        <v>108</v>
      </c>
      <c r="C1744" t="str">
        <f t="shared" si="82"/>
        <v>ffdfd3c0</v>
      </c>
      <c r="D1744" t="s">
        <v>109</v>
      </c>
      <c r="E1744">
        <v>4</v>
      </c>
      <c r="F1744">
        <v>1004</v>
      </c>
      <c r="G1744" t="s">
        <v>110</v>
      </c>
      <c r="J1744" t="s">
        <v>111</v>
      </c>
      <c r="K1744">
        <v>0</v>
      </c>
      <c r="L1744">
        <v>3</v>
      </c>
      <c r="M1744">
        <v>0</v>
      </c>
      <c r="N1744">
        <v>2</v>
      </c>
      <c r="O1744">
        <v>1</v>
      </c>
      <c r="P1744">
        <v>0</v>
      </c>
      <c r="Q1744">
        <v>0</v>
      </c>
      <c r="R1744" t="s">
        <v>112</v>
      </c>
      <c r="S1744" t="str">
        <f>"14:19:25.875"</f>
        <v>14:19:25.875</v>
      </c>
      <c r="T1744" t="str">
        <f>"14:19:25.375"</f>
        <v>14:19:25.375</v>
      </c>
      <c r="U1744" t="str">
        <f t="shared" si="81"/>
        <v>ad5732</v>
      </c>
      <c r="V1744">
        <v>0</v>
      </c>
      <c r="W1744">
        <v>0</v>
      </c>
      <c r="X1744">
        <v>1</v>
      </c>
      <c r="Z1744">
        <v>0</v>
      </c>
      <c r="AA1744">
        <v>9</v>
      </c>
      <c r="AB1744">
        <v>3</v>
      </c>
      <c r="AC1744">
        <v>0</v>
      </c>
      <c r="AD1744">
        <v>10</v>
      </c>
      <c r="AE1744">
        <v>0</v>
      </c>
      <c r="AF1744">
        <v>3</v>
      </c>
      <c r="AG1744">
        <v>2</v>
      </c>
      <c r="AH1744">
        <v>0</v>
      </c>
      <c r="AI1744" t="s">
        <v>3591</v>
      </c>
      <c r="AJ1744">
        <v>39.741410999999999</v>
      </c>
      <c r="AK1744" t="s">
        <v>3592</v>
      </c>
      <c r="AL1744">
        <v>-76.111693000000002</v>
      </c>
      <c r="AM1744">
        <v>100</v>
      </c>
      <c r="AN1744">
        <v>4700</v>
      </c>
      <c r="AO1744" t="s">
        <v>115</v>
      </c>
      <c r="AP1744">
        <v>156</v>
      </c>
      <c r="AQ1744">
        <v>81</v>
      </c>
      <c r="AR1744">
        <v>0</v>
      </c>
      <c r="AZ1744">
        <v>3614</v>
      </c>
      <c r="BA1744">
        <v>1</v>
      </c>
      <c r="BB1744" t="str">
        <f t="shared" si="83"/>
        <v xml:space="preserve">N959MJ  </v>
      </c>
      <c r="BC1744">
        <v>1</v>
      </c>
      <c r="BE1744">
        <v>0</v>
      </c>
      <c r="BF1744">
        <v>0</v>
      </c>
      <c r="BG1744">
        <v>0</v>
      </c>
      <c r="BH1744">
        <v>4900</v>
      </c>
      <c r="BI1744">
        <v>200</v>
      </c>
      <c r="BJ1744">
        <v>1</v>
      </c>
      <c r="BK1744">
        <v>1</v>
      </c>
      <c r="BL1744">
        <v>1</v>
      </c>
      <c r="BM1744">
        <v>0</v>
      </c>
      <c r="BP1744">
        <v>0</v>
      </c>
      <c r="BQ1744">
        <v>0</v>
      </c>
      <c r="BX1744" t="str">
        <f>"14:19:25.875"</f>
        <v>14:19:25.875</v>
      </c>
      <c r="BY1744" t="str">
        <f>"876773250"</f>
        <v>876773250</v>
      </c>
      <c r="CL1744">
        <v>0</v>
      </c>
      <c r="CM1744">
        <v>2</v>
      </c>
      <c r="CN1744">
        <v>0</v>
      </c>
      <c r="CO1744">
        <v>2</v>
      </c>
      <c r="CP1744">
        <v>0</v>
      </c>
      <c r="CQ1744">
        <v>6</v>
      </c>
      <c r="CR1744" t="s">
        <v>116</v>
      </c>
      <c r="CS1744">
        <v>39</v>
      </c>
      <c r="CT1744">
        <v>2</v>
      </c>
      <c r="CU1744" t="s">
        <v>2259</v>
      </c>
      <c r="CV1744" t="s">
        <v>2260</v>
      </c>
      <c r="CY1744">
        <v>16088405</v>
      </c>
      <c r="CZ1744" t="s">
        <v>119</v>
      </c>
    </row>
    <row r="1745" spans="1:104" x14ac:dyDescent="0.25">
      <c r="A1745" t="str">
        <f>"14:19:27.102"</f>
        <v>14:19:27.102</v>
      </c>
      <c r="B1745" t="s">
        <v>108</v>
      </c>
      <c r="C1745" t="str">
        <f t="shared" si="82"/>
        <v>ffdfd3c0</v>
      </c>
      <c r="D1745" t="s">
        <v>109</v>
      </c>
      <c r="E1745">
        <v>4</v>
      </c>
      <c r="F1745">
        <v>1004</v>
      </c>
      <c r="G1745" t="s">
        <v>110</v>
      </c>
      <c r="J1745" t="s">
        <v>111</v>
      </c>
      <c r="K1745">
        <v>0</v>
      </c>
      <c r="L1745">
        <v>3</v>
      </c>
      <c r="M1745">
        <v>0</v>
      </c>
      <c r="N1745">
        <v>2</v>
      </c>
      <c r="O1745">
        <v>1</v>
      </c>
      <c r="P1745">
        <v>0</v>
      </c>
      <c r="Q1745">
        <v>0</v>
      </c>
      <c r="R1745" t="s">
        <v>112</v>
      </c>
      <c r="S1745" t="str">
        <f>"14:19:26.891"</f>
        <v>14:19:26.891</v>
      </c>
      <c r="T1745" t="str">
        <f>"14:19:26.391"</f>
        <v>14:19:26.391</v>
      </c>
      <c r="U1745" t="str">
        <f t="shared" si="81"/>
        <v>ad5732</v>
      </c>
      <c r="V1745">
        <v>0</v>
      </c>
      <c r="W1745">
        <v>0</v>
      </c>
      <c r="X1745">
        <v>1</v>
      </c>
      <c r="Z1745">
        <v>0</v>
      </c>
      <c r="AA1745">
        <v>9</v>
      </c>
      <c r="AB1745">
        <v>3</v>
      </c>
      <c r="AC1745">
        <v>0</v>
      </c>
      <c r="AD1745">
        <v>10</v>
      </c>
      <c r="AE1745">
        <v>0</v>
      </c>
      <c r="AF1745">
        <v>3</v>
      </c>
      <c r="AG1745">
        <v>2</v>
      </c>
      <c r="AH1745">
        <v>0</v>
      </c>
      <c r="AI1745" t="s">
        <v>3593</v>
      </c>
      <c r="AJ1745">
        <v>39.741861999999998</v>
      </c>
      <c r="AK1745" t="s">
        <v>3594</v>
      </c>
      <c r="AL1745">
        <v>-76.110663000000002</v>
      </c>
      <c r="AM1745">
        <v>100</v>
      </c>
      <c r="AN1745">
        <v>4700</v>
      </c>
      <c r="AO1745" t="s">
        <v>115</v>
      </c>
      <c r="AP1745">
        <v>156</v>
      </c>
      <c r="AQ1745">
        <v>81</v>
      </c>
      <c r="AR1745">
        <v>0</v>
      </c>
      <c r="AZ1745">
        <v>3614</v>
      </c>
      <c r="BA1745">
        <v>1</v>
      </c>
      <c r="BB1745" t="str">
        <f t="shared" si="83"/>
        <v xml:space="preserve">N959MJ  </v>
      </c>
      <c r="BC1745">
        <v>1</v>
      </c>
      <c r="BE1745">
        <v>0</v>
      </c>
      <c r="BF1745">
        <v>0</v>
      </c>
      <c r="BG1745">
        <v>0</v>
      </c>
      <c r="BH1745">
        <v>4900</v>
      </c>
      <c r="BI1745">
        <v>200</v>
      </c>
      <c r="BJ1745">
        <v>1</v>
      </c>
      <c r="BK1745">
        <v>1</v>
      </c>
      <c r="BL1745">
        <v>1</v>
      </c>
      <c r="BM1745">
        <v>0</v>
      </c>
      <c r="BP1745">
        <v>0</v>
      </c>
      <c r="BQ1745">
        <v>0</v>
      </c>
      <c r="BX1745" t="str">
        <f>"14:19:26.898"</f>
        <v>14:19:26.898</v>
      </c>
      <c r="BY1745" t="str">
        <f>"895875000"</f>
        <v>895875000</v>
      </c>
      <c r="CL1745">
        <v>0</v>
      </c>
      <c r="CM1745">
        <v>2</v>
      </c>
      <c r="CN1745">
        <v>0</v>
      </c>
      <c r="CO1745">
        <v>2</v>
      </c>
      <c r="CP1745">
        <v>0</v>
      </c>
      <c r="CQ1745">
        <v>6</v>
      </c>
      <c r="CR1745" t="s">
        <v>116</v>
      </c>
      <c r="CS1745">
        <v>39</v>
      </c>
      <c r="CT1745">
        <v>2</v>
      </c>
      <c r="CU1745" t="s">
        <v>2259</v>
      </c>
      <c r="CV1745" t="s">
        <v>2260</v>
      </c>
      <c r="CY1745">
        <v>16089990</v>
      </c>
      <c r="CZ1745" t="s">
        <v>119</v>
      </c>
    </row>
    <row r="1746" spans="1:104" x14ac:dyDescent="0.25">
      <c r="A1746" t="str">
        <f>"14:19:28.063"</f>
        <v>14:19:28.063</v>
      </c>
      <c r="B1746" t="s">
        <v>108</v>
      </c>
      <c r="C1746" t="str">
        <f t="shared" si="82"/>
        <v>ffdfd3c0</v>
      </c>
      <c r="D1746" t="s">
        <v>109</v>
      </c>
      <c r="E1746">
        <v>4</v>
      </c>
      <c r="F1746">
        <v>1004</v>
      </c>
      <c r="G1746" t="s">
        <v>110</v>
      </c>
      <c r="J1746" t="s">
        <v>111</v>
      </c>
      <c r="K1746">
        <v>0</v>
      </c>
      <c r="L1746">
        <v>3</v>
      </c>
      <c r="M1746">
        <v>0</v>
      </c>
      <c r="N1746">
        <v>2</v>
      </c>
      <c r="O1746">
        <v>1</v>
      </c>
      <c r="P1746">
        <v>0</v>
      </c>
      <c r="Q1746">
        <v>0</v>
      </c>
      <c r="R1746" t="s">
        <v>112</v>
      </c>
      <c r="S1746" t="str">
        <f>"14:19:27.891"</f>
        <v>14:19:27.891</v>
      </c>
      <c r="T1746" t="str">
        <f>"14:19:27.492"</f>
        <v>14:19:27.492</v>
      </c>
      <c r="U1746" t="str">
        <f t="shared" si="81"/>
        <v>ad5732</v>
      </c>
      <c r="V1746">
        <v>0</v>
      </c>
      <c r="W1746">
        <v>0</v>
      </c>
      <c r="X1746">
        <v>1</v>
      </c>
      <c r="Z1746">
        <v>0</v>
      </c>
      <c r="AA1746">
        <v>9</v>
      </c>
      <c r="AB1746">
        <v>3</v>
      </c>
      <c r="AC1746">
        <v>0</v>
      </c>
      <c r="AD1746">
        <v>10</v>
      </c>
      <c r="AE1746">
        <v>0</v>
      </c>
      <c r="AF1746">
        <v>3</v>
      </c>
      <c r="AG1746">
        <v>2</v>
      </c>
      <c r="AH1746">
        <v>0</v>
      </c>
      <c r="AI1746" t="s">
        <v>3595</v>
      </c>
      <c r="AJ1746">
        <v>39.742227</v>
      </c>
      <c r="AK1746" t="s">
        <v>3596</v>
      </c>
      <c r="AL1746">
        <v>-76.109697999999995</v>
      </c>
      <c r="AM1746">
        <v>100</v>
      </c>
      <c r="AN1746">
        <v>4700</v>
      </c>
      <c r="AO1746" t="s">
        <v>115</v>
      </c>
      <c r="AP1746">
        <v>156</v>
      </c>
      <c r="AQ1746">
        <v>81</v>
      </c>
      <c r="AR1746">
        <v>0</v>
      </c>
      <c r="AZ1746">
        <v>3614</v>
      </c>
      <c r="BA1746">
        <v>1</v>
      </c>
      <c r="BB1746" t="str">
        <f t="shared" si="83"/>
        <v xml:space="preserve">N959MJ  </v>
      </c>
      <c r="BC1746">
        <v>1</v>
      </c>
      <c r="BE1746">
        <v>0</v>
      </c>
      <c r="BF1746">
        <v>0</v>
      </c>
      <c r="BG1746">
        <v>0</v>
      </c>
      <c r="BH1746">
        <v>4900</v>
      </c>
      <c r="BI1746">
        <v>200</v>
      </c>
      <c r="BJ1746">
        <v>1</v>
      </c>
      <c r="BK1746">
        <v>1</v>
      </c>
      <c r="BL1746">
        <v>1</v>
      </c>
      <c r="BM1746">
        <v>0</v>
      </c>
      <c r="BP1746">
        <v>0</v>
      </c>
      <c r="BQ1746">
        <v>0</v>
      </c>
      <c r="BX1746" t="str">
        <f>"14:19:27.898"</f>
        <v>14:19:27.898</v>
      </c>
      <c r="BY1746" t="str">
        <f>"895315586"</f>
        <v>895315586</v>
      </c>
      <c r="CL1746">
        <v>0</v>
      </c>
      <c r="CM1746">
        <v>2</v>
      </c>
      <c r="CN1746">
        <v>0</v>
      </c>
      <c r="CO1746">
        <v>2</v>
      </c>
      <c r="CP1746">
        <v>0</v>
      </c>
      <c r="CQ1746">
        <v>7</v>
      </c>
      <c r="CR1746" t="s">
        <v>116</v>
      </c>
      <c r="CS1746">
        <v>39</v>
      </c>
      <c r="CT1746">
        <v>2</v>
      </c>
      <c r="CU1746" t="s">
        <v>2259</v>
      </c>
      <c r="CV1746" t="s">
        <v>2260</v>
      </c>
      <c r="CY1746">
        <v>16091477</v>
      </c>
      <c r="CZ1746" t="s">
        <v>119</v>
      </c>
    </row>
    <row r="1747" spans="1:104" x14ac:dyDescent="0.25">
      <c r="A1747" t="str">
        <f>"14:19:29.023"</f>
        <v>14:19:29.023</v>
      </c>
      <c r="B1747" t="s">
        <v>108</v>
      </c>
      <c r="C1747" t="str">
        <f t="shared" si="82"/>
        <v>ffdfd3c0</v>
      </c>
      <c r="D1747" t="s">
        <v>109</v>
      </c>
      <c r="E1747">
        <v>4</v>
      </c>
      <c r="F1747">
        <v>1004</v>
      </c>
      <c r="G1747" t="s">
        <v>110</v>
      </c>
      <c r="J1747" t="s">
        <v>111</v>
      </c>
      <c r="K1747">
        <v>0</v>
      </c>
      <c r="L1747">
        <v>3</v>
      </c>
      <c r="M1747">
        <v>0</v>
      </c>
      <c r="N1747">
        <v>2</v>
      </c>
      <c r="O1747">
        <v>1</v>
      </c>
      <c r="P1747">
        <v>0</v>
      </c>
      <c r="Q1747">
        <v>0</v>
      </c>
      <c r="R1747" t="s">
        <v>112</v>
      </c>
      <c r="S1747" t="str">
        <f>"14:19:28.828"</f>
        <v>14:19:28.828</v>
      </c>
      <c r="T1747" t="str">
        <f>"14:19:28.328"</f>
        <v>14:19:28.328</v>
      </c>
      <c r="U1747" t="str">
        <f t="shared" si="81"/>
        <v>ad5732</v>
      </c>
      <c r="V1747">
        <v>0</v>
      </c>
      <c r="W1747">
        <v>0</v>
      </c>
      <c r="X1747">
        <v>1</v>
      </c>
      <c r="Z1747">
        <v>0</v>
      </c>
      <c r="AA1747">
        <v>9</v>
      </c>
      <c r="AB1747">
        <v>3</v>
      </c>
      <c r="AC1747">
        <v>0</v>
      </c>
      <c r="AD1747">
        <v>10</v>
      </c>
      <c r="AE1747">
        <v>0</v>
      </c>
      <c r="AF1747">
        <v>3</v>
      </c>
      <c r="AG1747">
        <v>2</v>
      </c>
      <c r="AH1747">
        <v>0</v>
      </c>
      <c r="AI1747" t="s">
        <v>3597</v>
      </c>
      <c r="AJ1747">
        <v>39.742570000000001</v>
      </c>
      <c r="AK1747" t="s">
        <v>3598</v>
      </c>
      <c r="AL1747">
        <v>-76.108881999999994</v>
      </c>
      <c r="AM1747">
        <v>100</v>
      </c>
      <c r="AN1747">
        <v>4700</v>
      </c>
      <c r="AO1747" t="s">
        <v>115</v>
      </c>
      <c r="AP1747">
        <v>156</v>
      </c>
      <c r="AQ1747">
        <v>81</v>
      </c>
      <c r="AR1747">
        <v>0</v>
      </c>
      <c r="AZ1747">
        <v>3614</v>
      </c>
      <c r="BA1747">
        <v>1</v>
      </c>
      <c r="BB1747" t="str">
        <f t="shared" si="83"/>
        <v xml:space="preserve">N959MJ  </v>
      </c>
      <c r="BC1747">
        <v>1</v>
      </c>
      <c r="BE1747">
        <v>0</v>
      </c>
      <c r="BF1747">
        <v>0</v>
      </c>
      <c r="BG1747">
        <v>0</v>
      </c>
      <c r="BH1747">
        <v>4900</v>
      </c>
      <c r="BI1747">
        <v>200</v>
      </c>
      <c r="BJ1747">
        <v>1</v>
      </c>
      <c r="BK1747">
        <v>1</v>
      </c>
      <c r="BL1747">
        <v>1</v>
      </c>
      <c r="BM1747">
        <v>0</v>
      </c>
      <c r="BP1747">
        <v>0</v>
      </c>
      <c r="BQ1747">
        <v>0</v>
      </c>
      <c r="BX1747" t="str">
        <f>"14:19:28.836"</f>
        <v>14:19:28.836</v>
      </c>
      <c r="BY1747" t="str">
        <f>"834347359"</f>
        <v>834347359</v>
      </c>
      <c r="CL1747">
        <v>0</v>
      </c>
      <c r="CM1747">
        <v>2</v>
      </c>
      <c r="CN1747">
        <v>0</v>
      </c>
      <c r="CO1747">
        <v>2</v>
      </c>
      <c r="CP1747">
        <v>0</v>
      </c>
      <c r="CQ1747">
        <v>4</v>
      </c>
      <c r="CR1747" t="s">
        <v>116</v>
      </c>
      <c r="CS1747">
        <v>147</v>
      </c>
      <c r="CT1747">
        <v>0</v>
      </c>
      <c r="CU1747" t="s">
        <v>117</v>
      </c>
      <c r="CV1747" t="s">
        <v>118</v>
      </c>
      <c r="CY1747">
        <v>6799871</v>
      </c>
      <c r="CZ1747" t="s">
        <v>119</v>
      </c>
    </row>
    <row r="1748" spans="1:104" x14ac:dyDescent="0.25">
      <c r="A1748" t="str">
        <f>"14:19:30.031"</f>
        <v>14:19:30.031</v>
      </c>
      <c r="B1748" t="s">
        <v>108</v>
      </c>
      <c r="C1748" t="str">
        <f t="shared" si="82"/>
        <v>ffdfd3c0</v>
      </c>
      <c r="D1748" t="s">
        <v>109</v>
      </c>
      <c r="E1748">
        <v>4</v>
      </c>
      <c r="F1748">
        <v>1004</v>
      </c>
      <c r="G1748" t="s">
        <v>110</v>
      </c>
      <c r="J1748" t="s">
        <v>111</v>
      </c>
      <c r="K1748">
        <v>0</v>
      </c>
      <c r="L1748">
        <v>3</v>
      </c>
      <c r="M1748">
        <v>0</v>
      </c>
      <c r="N1748">
        <v>2</v>
      </c>
      <c r="O1748">
        <v>1</v>
      </c>
      <c r="P1748">
        <v>0</v>
      </c>
      <c r="Q1748">
        <v>0</v>
      </c>
      <c r="R1748" t="s">
        <v>112</v>
      </c>
      <c r="S1748" t="str">
        <f>"14:19:29.883"</f>
        <v>14:19:29.883</v>
      </c>
      <c r="T1748" t="str">
        <f>"14:19:29.383"</f>
        <v>14:19:29.383</v>
      </c>
      <c r="U1748" t="str">
        <f t="shared" si="81"/>
        <v>ad5732</v>
      </c>
      <c r="V1748">
        <v>0</v>
      </c>
      <c r="W1748">
        <v>0</v>
      </c>
      <c r="X1748">
        <v>1</v>
      </c>
      <c r="Z1748">
        <v>0</v>
      </c>
      <c r="AA1748">
        <v>9</v>
      </c>
      <c r="AB1748">
        <v>3</v>
      </c>
      <c r="AC1748">
        <v>0</v>
      </c>
      <c r="AD1748">
        <v>10</v>
      </c>
      <c r="AE1748">
        <v>0</v>
      </c>
      <c r="AF1748">
        <v>3</v>
      </c>
      <c r="AG1748">
        <v>2</v>
      </c>
      <c r="AH1748">
        <v>0</v>
      </c>
      <c r="AI1748" t="s">
        <v>3599</v>
      </c>
      <c r="AJ1748">
        <v>39.742956</v>
      </c>
      <c r="AK1748" t="s">
        <v>3600</v>
      </c>
      <c r="AL1748">
        <v>-76.107917</v>
      </c>
      <c r="AM1748">
        <v>100</v>
      </c>
      <c r="AN1748">
        <v>4700</v>
      </c>
      <c r="AO1748" t="s">
        <v>115</v>
      </c>
      <c r="AP1748">
        <v>156</v>
      </c>
      <c r="AQ1748">
        <v>81</v>
      </c>
      <c r="AR1748">
        <v>0</v>
      </c>
      <c r="AZ1748">
        <v>3614</v>
      </c>
      <c r="BA1748">
        <v>1</v>
      </c>
      <c r="BB1748" t="str">
        <f t="shared" si="83"/>
        <v xml:space="preserve">N959MJ  </v>
      </c>
      <c r="BC1748">
        <v>1</v>
      </c>
      <c r="BE1748">
        <v>0</v>
      </c>
      <c r="BF1748">
        <v>0</v>
      </c>
      <c r="BG1748">
        <v>0</v>
      </c>
      <c r="BH1748">
        <v>4900</v>
      </c>
      <c r="BI1748">
        <v>200</v>
      </c>
      <c r="BJ1748">
        <v>1</v>
      </c>
      <c r="BK1748">
        <v>1</v>
      </c>
      <c r="BL1748">
        <v>1</v>
      </c>
      <c r="BM1748">
        <v>0</v>
      </c>
      <c r="BP1748">
        <v>0</v>
      </c>
      <c r="BQ1748">
        <v>0</v>
      </c>
      <c r="BX1748" t="str">
        <f>"14:19:29.891"</f>
        <v>14:19:29.891</v>
      </c>
      <c r="BY1748" t="str">
        <f>"887643172"</f>
        <v>887643172</v>
      </c>
      <c r="CL1748">
        <v>0</v>
      </c>
      <c r="CM1748">
        <v>2</v>
      </c>
      <c r="CN1748">
        <v>0</v>
      </c>
      <c r="CO1748">
        <v>2</v>
      </c>
      <c r="CP1748">
        <v>0</v>
      </c>
      <c r="CQ1748">
        <v>6</v>
      </c>
      <c r="CR1748" t="s">
        <v>116</v>
      </c>
      <c r="CS1748">
        <v>39</v>
      </c>
      <c r="CT1748">
        <v>2</v>
      </c>
      <c r="CU1748" t="s">
        <v>2259</v>
      </c>
      <c r="CV1748" t="s">
        <v>2260</v>
      </c>
      <c r="CY1748">
        <v>16094704</v>
      </c>
      <c r="CZ1748" t="s">
        <v>119</v>
      </c>
    </row>
    <row r="1749" spans="1:104" x14ac:dyDescent="0.25">
      <c r="A1749" t="str">
        <f>"14:19:31.094"</f>
        <v>14:19:31.094</v>
      </c>
      <c r="B1749" t="s">
        <v>108</v>
      </c>
      <c r="C1749" t="str">
        <f t="shared" si="82"/>
        <v>ffdfd3c0</v>
      </c>
      <c r="D1749" t="s">
        <v>109</v>
      </c>
      <c r="E1749">
        <v>4</v>
      </c>
      <c r="F1749">
        <v>1004</v>
      </c>
      <c r="G1749" t="s">
        <v>110</v>
      </c>
      <c r="J1749" t="s">
        <v>111</v>
      </c>
      <c r="K1749">
        <v>0</v>
      </c>
      <c r="L1749">
        <v>3</v>
      </c>
      <c r="M1749">
        <v>0</v>
      </c>
      <c r="N1749">
        <v>2</v>
      </c>
      <c r="O1749">
        <v>1</v>
      </c>
      <c r="P1749">
        <v>0</v>
      </c>
      <c r="Q1749">
        <v>0</v>
      </c>
      <c r="R1749" t="s">
        <v>112</v>
      </c>
      <c r="S1749" t="str">
        <f>"14:19:30.875"</f>
        <v>14:19:30.875</v>
      </c>
      <c r="T1749" t="str">
        <f>"14:19:30.477"</f>
        <v>14:19:30.477</v>
      </c>
      <c r="U1749" t="str">
        <f t="shared" si="81"/>
        <v>ad5732</v>
      </c>
      <c r="V1749">
        <v>0</v>
      </c>
      <c r="W1749">
        <v>0</v>
      </c>
      <c r="X1749">
        <v>1</v>
      </c>
      <c r="Z1749">
        <v>0</v>
      </c>
      <c r="AA1749">
        <v>9</v>
      </c>
      <c r="AB1749">
        <v>3</v>
      </c>
      <c r="AC1749">
        <v>0</v>
      </c>
      <c r="AD1749">
        <v>10</v>
      </c>
      <c r="AE1749">
        <v>0</v>
      </c>
      <c r="AF1749">
        <v>3</v>
      </c>
      <c r="AG1749">
        <v>2</v>
      </c>
      <c r="AH1749">
        <v>0</v>
      </c>
      <c r="AI1749" t="s">
        <v>3601</v>
      </c>
      <c r="AJ1749">
        <v>39.743321000000002</v>
      </c>
      <c r="AK1749" t="s">
        <v>3602</v>
      </c>
      <c r="AL1749">
        <v>-76.106994</v>
      </c>
      <c r="AM1749">
        <v>100</v>
      </c>
      <c r="AN1749">
        <v>4700</v>
      </c>
      <c r="AO1749" t="s">
        <v>115</v>
      </c>
      <c r="AP1749">
        <v>156</v>
      </c>
      <c r="AQ1749">
        <v>81</v>
      </c>
      <c r="AR1749">
        <v>0</v>
      </c>
      <c r="AZ1749">
        <v>3614</v>
      </c>
      <c r="BA1749">
        <v>1</v>
      </c>
      <c r="BB1749" t="str">
        <f t="shared" si="83"/>
        <v xml:space="preserve">N959MJ  </v>
      </c>
      <c r="BC1749">
        <v>1</v>
      </c>
      <c r="BE1749">
        <v>0</v>
      </c>
      <c r="BF1749">
        <v>0</v>
      </c>
      <c r="BG1749">
        <v>0</v>
      </c>
      <c r="BH1749">
        <v>4900</v>
      </c>
      <c r="BI1749">
        <v>200</v>
      </c>
      <c r="BJ1749">
        <v>1</v>
      </c>
      <c r="BK1749">
        <v>1</v>
      </c>
      <c r="BL1749">
        <v>1</v>
      </c>
      <c r="BM1749">
        <v>0</v>
      </c>
      <c r="BP1749">
        <v>0</v>
      </c>
      <c r="BQ1749">
        <v>0</v>
      </c>
      <c r="BX1749" t="str">
        <f>"14:19:30.875"</f>
        <v>14:19:30.875</v>
      </c>
      <c r="BY1749" t="str">
        <f>"878891645"</f>
        <v>878891645</v>
      </c>
      <c r="CL1749">
        <v>0</v>
      </c>
      <c r="CM1749">
        <v>2</v>
      </c>
      <c r="CN1749">
        <v>0</v>
      </c>
      <c r="CO1749">
        <v>2</v>
      </c>
      <c r="CP1749">
        <v>0</v>
      </c>
      <c r="CQ1749">
        <v>6</v>
      </c>
      <c r="CR1749" t="s">
        <v>116</v>
      </c>
      <c r="CS1749">
        <v>39</v>
      </c>
      <c r="CT1749">
        <v>2</v>
      </c>
      <c r="CU1749" t="s">
        <v>2259</v>
      </c>
      <c r="CV1749" t="s">
        <v>2260</v>
      </c>
      <c r="CY1749">
        <v>16096287</v>
      </c>
      <c r="CZ1749" t="s">
        <v>119</v>
      </c>
    </row>
    <row r="1750" spans="1:104" x14ac:dyDescent="0.25">
      <c r="A1750" t="str">
        <f>"14:19:32.156"</f>
        <v>14:19:32.156</v>
      </c>
      <c r="B1750" t="s">
        <v>108</v>
      </c>
      <c r="C1750" t="str">
        <f t="shared" si="82"/>
        <v>ffdfd3c0</v>
      </c>
      <c r="D1750" t="s">
        <v>109</v>
      </c>
      <c r="E1750">
        <v>4</v>
      </c>
      <c r="F1750">
        <v>1004</v>
      </c>
      <c r="G1750" t="s">
        <v>110</v>
      </c>
      <c r="J1750" t="s">
        <v>111</v>
      </c>
      <c r="K1750">
        <v>0</v>
      </c>
      <c r="L1750">
        <v>3</v>
      </c>
      <c r="M1750">
        <v>0</v>
      </c>
      <c r="N1750">
        <v>2</v>
      </c>
      <c r="O1750">
        <v>1</v>
      </c>
      <c r="P1750">
        <v>0</v>
      </c>
      <c r="Q1750">
        <v>0</v>
      </c>
      <c r="R1750" t="s">
        <v>112</v>
      </c>
      <c r="S1750" t="str">
        <f>"14:19:31.984"</f>
        <v>14:19:31.984</v>
      </c>
      <c r="T1750" t="str">
        <f>"14:19:31.484"</f>
        <v>14:19:31.484</v>
      </c>
      <c r="U1750" t="str">
        <f t="shared" si="81"/>
        <v>ad5732</v>
      </c>
      <c r="V1750">
        <v>0</v>
      </c>
      <c r="W1750">
        <v>0</v>
      </c>
      <c r="X1750">
        <v>1</v>
      </c>
      <c r="Z1750">
        <v>0</v>
      </c>
      <c r="AA1750">
        <v>9</v>
      </c>
      <c r="AB1750">
        <v>3</v>
      </c>
      <c r="AC1750">
        <v>0</v>
      </c>
      <c r="AD1750">
        <v>10</v>
      </c>
      <c r="AE1750">
        <v>0</v>
      </c>
      <c r="AF1750">
        <v>3</v>
      </c>
      <c r="AG1750">
        <v>2</v>
      </c>
      <c r="AH1750">
        <v>0</v>
      </c>
      <c r="AI1750" t="s">
        <v>3603</v>
      </c>
      <c r="AJ1750">
        <v>39.743729000000002</v>
      </c>
      <c r="AK1750" t="s">
        <v>3604</v>
      </c>
      <c r="AL1750">
        <v>-76.105942999999996</v>
      </c>
      <c r="AM1750">
        <v>100</v>
      </c>
      <c r="AN1750">
        <v>4700</v>
      </c>
      <c r="AO1750" t="s">
        <v>115</v>
      </c>
      <c r="AP1750">
        <v>156</v>
      </c>
      <c r="AQ1750">
        <v>81</v>
      </c>
      <c r="AR1750">
        <v>0</v>
      </c>
      <c r="AZ1750">
        <v>3614</v>
      </c>
      <c r="BA1750">
        <v>1</v>
      </c>
      <c r="BB1750" t="str">
        <f t="shared" si="83"/>
        <v xml:space="preserve">N959MJ  </v>
      </c>
      <c r="BC1750">
        <v>1</v>
      </c>
      <c r="BE1750">
        <v>0</v>
      </c>
      <c r="BF1750">
        <v>0</v>
      </c>
      <c r="BG1750">
        <v>0</v>
      </c>
      <c r="BH1750">
        <v>4900</v>
      </c>
      <c r="BI1750">
        <v>200</v>
      </c>
      <c r="BJ1750">
        <v>1</v>
      </c>
      <c r="BK1750">
        <v>1</v>
      </c>
      <c r="BL1750">
        <v>1</v>
      </c>
      <c r="BM1750">
        <v>0</v>
      </c>
      <c r="BP1750">
        <v>0</v>
      </c>
      <c r="BQ1750">
        <v>0</v>
      </c>
      <c r="BX1750" t="str">
        <f>"14:19:31.992"</f>
        <v>14:19:31.992</v>
      </c>
      <c r="BY1750" t="str">
        <f>"989745268"</f>
        <v>989745268</v>
      </c>
      <c r="CL1750">
        <v>0</v>
      </c>
      <c r="CM1750">
        <v>2</v>
      </c>
      <c r="CN1750">
        <v>0</v>
      </c>
      <c r="CO1750">
        <v>2</v>
      </c>
      <c r="CP1750">
        <v>0</v>
      </c>
      <c r="CQ1750">
        <v>6</v>
      </c>
      <c r="CR1750" t="s">
        <v>116</v>
      </c>
      <c r="CS1750">
        <v>39</v>
      </c>
      <c r="CT1750">
        <v>2</v>
      </c>
      <c r="CU1750" t="s">
        <v>2259</v>
      </c>
      <c r="CV1750" t="s">
        <v>2260</v>
      </c>
      <c r="CY1750">
        <v>16097955</v>
      </c>
      <c r="CZ1750" t="s">
        <v>119</v>
      </c>
    </row>
    <row r="1751" spans="1:104" x14ac:dyDescent="0.25">
      <c r="A1751" t="str">
        <f>"14:19:33.008"</f>
        <v>14:19:33.008</v>
      </c>
      <c r="B1751" t="s">
        <v>108</v>
      </c>
      <c r="C1751" t="str">
        <f t="shared" si="82"/>
        <v>ffdfd3c0</v>
      </c>
      <c r="D1751" t="s">
        <v>109</v>
      </c>
      <c r="E1751">
        <v>4</v>
      </c>
      <c r="F1751">
        <v>1004</v>
      </c>
      <c r="G1751" t="s">
        <v>110</v>
      </c>
      <c r="J1751" t="s">
        <v>111</v>
      </c>
      <c r="K1751">
        <v>0</v>
      </c>
      <c r="L1751">
        <v>3</v>
      </c>
      <c r="M1751">
        <v>0</v>
      </c>
      <c r="N1751">
        <v>2</v>
      </c>
      <c r="O1751">
        <v>1</v>
      </c>
      <c r="P1751">
        <v>0</v>
      </c>
      <c r="Q1751">
        <v>0</v>
      </c>
      <c r="R1751" t="s">
        <v>112</v>
      </c>
      <c r="S1751" t="str">
        <f>"14:19:32.820"</f>
        <v>14:19:32.820</v>
      </c>
      <c r="T1751" t="str">
        <f>"14:19:32.422"</f>
        <v>14:19:32.422</v>
      </c>
      <c r="U1751" t="str">
        <f t="shared" si="81"/>
        <v>ad5732</v>
      </c>
      <c r="V1751">
        <v>0</v>
      </c>
      <c r="W1751">
        <v>0</v>
      </c>
      <c r="X1751">
        <v>1</v>
      </c>
      <c r="Z1751">
        <v>0</v>
      </c>
      <c r="AA1751">
        <v>9</v>
      </c>
      <c r="AB1751">
        <v>3</v>
      </c>
      <c r="AC1751">
        <v>0</v>
      </c>
      <c r="AD1751">
        <v>10</v>
      </c>
      <c r="AE1751">
        <v>0</v>
      </c>
      <c r="AF1751">
        <v>3</v>
      </c>
      <c r="AG1751">
        <v>2</v>
      </c>
      <c r="AH1751">
        <v>0</v>
      </c>
      <c r="AI1751" t="s">
        <v>3605</v>
      </c>
      <c r="AJ1751">
        <v>39.744072000000003</v>
      </c>
      <c r="AK1751" t="s">
        <v>3606</v>
      </c>
      <c r="AL1751">
        <v>-76.105106000000006</v>
      </c>
      <c r="AM1751">
        <v>100</v>
      </c>
      <c r="AN1751">
        <v>4700</v>
      </c>
      <c r="AO1751" t="s">
        <v>115</v>
      </c>
      <c r="AP1751">
        <v>156</v>
      </c>
      <c r="AQ1751">
        <v>81</v>
      </c>
      <c r="AR1751">
        <v>64</v>
      </c>
      <c r="AZ1751">
        <v>3614</v>
      </c>
      <c r="BA1751">
        <v>1</v>
      </c>
      <c r="BB1751" t="str">
        <f t="shared" si="83"/>
        <v xml:space="preserve">N959MJ  </v>
      </c>
      <c r="BC1751">
        <v>1</v>
      </c>
      <c r="BE1751">
        <v>0</v>
      </c>
      <c r="BF1751">
        <v>0</v>
      </c>
      <c r="BG1751">
        <v>0</v>
      </c>
      <c r="BH1751">
        <v>4900</v>
      </c>
      <c r="BI1751">
        <v>200</v>
      </c>
      <c r="BJ1751">
        <v>1</v>
      </c>
      <c r="BK1751">
        <v>1</v>
      </c>
      <c r="BL1751">
        <v>1</v>
      </c>
      <c r="BM1751">
        <v>0</v>
      </c>
      <c r="BP1751">
        <v>0</v>
      </c>
      <c r="BQ1751">
        <v>0</v>
      </c>
      <c r="BX1751" t="str">
        <f>"14:19:32.820"</f>
        <v>14:19:32.820</v>
      </c>
      <c r="BY1751" t="str">
        <f>"822066301"</f>
        <v>822066301</v>
      </c>
      <c r="CL1751">
        <v>0</v>
      </c>
      <c r="CM1751">
        <v>2</v>
      </c>
      <c r="CN1751">
        <v>0</v>
      </c>
      <c r="CO1751">
        <v>2</v>
      </c>
      <c r="CP1751">
        <v>0</v>
      </c>
      <c r="CQ1751">
        <v>6</v>
      </c>
      <c r="CR1751" t="s">
        <v>116</v>
      </c>
      <c r="CS1751">
        <v>39</v>
      </c>
      <c r="CT1751">
        <v>2</v>
      </c>
      <c r="CU1751" t="s">
        <v>2259</v>
      </c>
      <c r="CV1751" t="s">
        <v>2260</v>
      </c>
      <c r="CY1751">
        <v>16099163</v>
      </c>
      <c r="CZ1751" t="s">
        <v>119</v>
      </c>
    </row>
    <row r="1752" spans="1:104" x14ac:dyDescent="0.25">
      <c r="A1752" t="str">
        <f>"14:19:34.070"</f>
        <v>14:19:34.070</v>
      </c>
      <c r="B1752" t="s">
        <v>108</v>
      </c>
      <c r="C1752" t="str">
        <f t="shared" si="82"/>
        <v>ffdfd3c0</v>
      </c>
      <c r="D1752" t="s">
        <v>109</v>
      </c>
      <c r="E1752">
        <v>4</v>
      </c>
      <c r="F1752">
        <v>1004</v>
      </c>
      <c r="G1752" t="s">
        <v>110</v>
      </c>
      <c r="J1752" t="s">
        <v>111</v>
      </c>
      <c r="K1752">
        <v>0</v>
      </c>
      <c r="L1752">
        <v>3</v>
      </c>
      <c r="M1752">
        <v>0</v>
      </c>
      <c r="N1752">
        <v>2</v>
      </c>
      <c r="O1752">
        <v>1</v>
      </c>
      <c r="P1752">
        <v>0</v>
      </c>
      <c r="Q1752">
        <v>0</v>
      </c>
      <c r="R1752" t="s">
        <v>112</v>
      </c>
      <c r="S1752" t="str">
        <f>"14:19:33.898"</f>
        <v>14:19:33.898</v>
      </c>
      <c r="T1752" t="str">
        <f>"14:19:33.398"</f>
        <v>14:19:33.398</v>
      </c>
      <c r="U1752" t="str">
        <f t="shared" si="81"/>
        <v>ad5732</v>
      </c>
      <c r="V1752">
        <v>0</v>
      </c>
      <c r="W1752">
        <v>0</v>
      </c>
      <c r="X1752">
        <v>1</v>
      </c>
      <c r="Z1752">
        <v>0</v>
      </c>
      <c r="AA1752">
        <v>9</v>
      </c>
      <c r="AB1752">
        <v>3</v>
      </c>
      <c r="AC1752">
        <v>0</v>
      </c>
      <c r="AD1752">
        <v>10</v>
      </c>
      <c r="AE1752">
        <v>0</v>
      </c>
      <c r="AF1752">
        <v>3</v>
      </c>
      <c r="AG1752">
        <v>2</v>
      </c>
      <c r="AH1752">
        <v>0</v>
      </c>
      <c r="AI1752" t="s">
        <v>3607</v>
      </c>
      <c r="AJ1752">
        <v>39.744458000000002</v>
      </c>
      <c r="AK1752" t="s">
        <v>3608</v>
      </c>
      <c r="AL1752">
        <v>-76.104076000000006</v>
      </c>
      <c r="AM1752">
        <v>100</v>
      </c>
      <c r="AN1752">
        <v>4700</v>
      </c>
      <c r="AO1752" t="s">
        <v>115</v>
      </c>
      <c r="AP1752">
        <v>156</v>
      </c>
      <c r="AQ1752">
        <v>81</v>
      </c>
      <c r="AR1752">
        <v>64</v>
      </c>
      <c r="AZ1752">
        <v>3614</v>
      </c>
      <c r="BA1752">
        <v>1</v>
      </c>
      <c r="BB1752" t="str">
        <f t="shared" si="83"/>
        <v xml:space="preserve">N959MJ  </v>
      </c>
      <c r="BC1752">
        <v>1</v>
      </c>
      <c r="BE1752">
        <v>0</v>
      </c>
      <c r="BF1752">
        <v>0</v>
      </c>
      <c r="BG1752">
        <v>0</v>
      </c>
      <c r="BH1752">
        <v>4900</v>
      </c>
      <c r="BI1752">
        <v>200</v>
      </c>
      <c r="BJ1752">
        <v>1</v>
      </c>
      <c r="BK1752">
        <v>1</v>
      </c>
      <c r="BL1752">
        <v>1</v>
      </c>
      <c r="BM1752">
        <v>0</v>
      </c>
      <c r="BP1752">
        <v>0</v>
      </c>
      <c r="BQ1752">
        <v>0</v>
      </c>
      <c r="BX1752" t="str">
        <f>"14:19:33.906"</f>
        <v>14:19:33.906</v>
      </c>
      <c r="BY1752" t="str">
        <f>"903418059"</f>
        <v>903418059</v>
      </c>
      <c r="CL1752">
        <v>0</v>
      </c>
      <c r="CM1752">
        <v>2</v>
      </c>
      <c r="CN1752">
        <v>0</v>
      </c>
      <c r="CO1752">
        <v>2</v>
      </c>
      <c r="CP1752">
        <v>0</v>
      </c>
      <c r="CQ1752">
        <v>6</v>
      </c>
      <c r="CR1752" t="s">
        <v>116</v>
      </c>
      <c r="CS1752">
        <v>396</v>
      </c>
      <c r="CT1752">
        <v>1</v>
      </c>
      <c r="CU1752" t="s">
        <v>939</v>
      </c>
      <c r="CV1752" t="s">
        <v>940</v>
      </c>
      <c r="CY1752">
        <v>9433351</v>
      </c>
      <c r="CZ1752" t="s">
        <v>119</v>
      </c>
    </row>
    <row r="1753" spans="1:104" x14ac:dyDescent="0.25">
      <c r="A1753" t="str">
        <f>"14:19:34.977"</f>
        <v>14:19:34.977</v>
      </c>
      <c r="B1753" t="s">
        <v>108</v>
      </c>
      <c r="C1753" t="str">
        <f t="shared" si="82"/>
        <v>ffdfd3c0</v>
      </c>
      <c r="D1753" t="s">
        <v>109</v>
      </c>
      <c r="E1753">
        <v>4</v>
      </c>
      <c r="F1753">
        <v>1004</v>
      </c>
      <c r="G1753" t="s">
        <v>110</v>
      </c>
      <c r="J1753" t="s">
        <v>111</v>
      </c>
      <c r="K1753">
        <v>0</v>
      </c>
      <c r="L1753">
        <v>3</v>
      </c>
      <c r="M1753">
        <v>0</v>
      </c>
      <c r="N1753">
        <v>2</v>
      </c>
      <c r="O1753">
        <v>1</v>
      </c>
      <c r="P1753">
        <v>0</v>
      </c>
      <c r="Q1753">
        <v>0</v>
      </c>
      <c r="R1753" t="s">
        <v>112</v>
      </c>
      <c r="S1753" t="str">
        <f>"14:19:34.789"</f>
        <v>14:19:34.789</v>
      </c>
      <c r="T1753" t="str">
        <f>"14:19:34.391"</f>
        <v>14:19:34.391</v>
      </c>
      <c r="U1753" t="str">
        <f t="shared" si="81"/>
        <v>ad5732</v>
      </c>
      <c r="V1753">
        <v>0</v>
      </c>
      <c r="W1753">
        <v>0</v>
      </c>
      <c r="X1753">
        <v>1</v>
      </c>
      <c r="Z1753">
        <v>0</v>
      </c>
      <c r="AA1753">
        <v>9</v>
      </c>
      <c r="AB1753">
        <v>3</v>
      </c>
      <c r="AC1753">
        <v>0</v>
      </c>
      <c r="AD1753">
        <v>10</v>
      </c>
      <c r="AE1753">
        <v>0</v>
      </c>
      <c r="AF1753">
        <v>3</v>
      </c>
      <c r="AG1753">
        <v>2</v>
      </c>
      <c r="AH1753">
        <v>0</v>
      </c>
      <c r="AI1753" t="s">
        <v>3609</v>
      </c>
      <c r="AJ1753">
        <v>39.744802</v>
      </c>
      <c r="AK1753" t="s">
        <v>3610</v>
      </c>
      <c r="AL1753">
        <v>-76.103217999999998</v>
      </c>
      <c r="AM1753">
        <v>100</v>
      </c>
      <c r="AN1753">
        <v>4700</v>
      </c>
      <c r="AO1753" t="s">
        <v>115</v>
      </c>
      <c r="AP1753">
        <v>156</v>
      </c>
      <c r="AQ1753">
        <v>81</v>
      </c>
      <c r="AR1753">
        <v>64</v>
      </c>
      <c r="AZ1753">
        <v>3614</v>
      </c>
      <c r="BA1753">
        <v>1</v>
      </c>
      <c r="BB1753" t="str">
        <f t="shared" si="83"/>
        <v xml:space="preserve">N959MJ  </v>
      </c>
      <c r="BC1753">
        <v>1</v>
      </c>
      <c r="BE1753">
        <v>0</v>
      </c>
      <c r="BF1753">
        <v>0</v>
      </c>
      <c r="BG1753">
        <v>0</v>
      </c>
      <c r="BH1753">
        <v>4900</v>
      </c>
      <c r="BI1753">
        <v>200</v>
      </c>
      <c r="BJ1753">
        <v>1</v>
      </c>
      <c r="BK1753">
        <v>1</v>
      </c>
      <c r="BL1753">
        <v>1</v>
      </c>
      <c r="BM1753">
        <v>0</v>
      </c>
      <c r="BP1753">
        <v>0</v>
      </c>
      <c r="BQ1753">
        <v>0</v>
      </c>
      <c r="BX1753" t="str">
        <f>"14:19:34.797"</f>
        <v>14:19:34.797</v>
      </c>
      <c r="BY1753" t="str">
        <f>"796371129"</f>
        <v>796371129</v>
      </c>
      <c r="CL1753">
        <v>0</v>
      </c>
      <c r="CM1753">
        <v>2</v>
      </c>
      <c r="CN1753">
        <v>0</v>
      </c>
      <c r="CO1753">
        <v>2</v>
      </c>
      <c r="CP1753">
        <v>0</v>
      </c>
      <c r="CQ1753">
        <v>6</v>
      </c>
      <c r="CR1753" t="s">
        <v>116</v>
      </c>
      <c r="CS1753">
        <v>39</v>
      </c>
      <c r="CT1753">
        <v>2</v>
      </c>
      <c r="CU1753" t="s">
        <v>2259</v>
      </c>
      <c r="CV1753" t="s">
        <v>2260</v>
      </c>
      <c r="CY1753">
        <v>16102415</v>
      </c>
      <c r="CZ1753" t="s">
        <v>119</v>
      </c>
    </row>
    <row r="1754" spans="1:104" x14ac:dyDescent="0.25">
      <c r="A1754" t="str">
        <f>"14:19:35.992"</f>
        <v>14:19:35.992</v>
      </c>
      <c r="B1754" t="s">
        <v>108</v>
      </c>
      <c r="C1754" t="str">
        <f t="shared" si="82"/>
        <v>ffdfd3c0</v>
      </c>
      <c r="D1754" t="s">
        <v>109</v>
      </c>
      <c r="E1754">
        <v>4</v>
      </c>
      <c r="F1754">
        <v>1004</v>
      </c>
      <c r="G1754" t="s">
        <v>110</v>
      </c>
      <c r="J1754" t="s">
        <v>111</v>
      </c>
      <c r="K1754">
        <v>0</v>
      </c>
      <c r="L1754">
        <v>3</v>
      </c>
      <c r="M1754">
        <v>0</v>
      </c>
      <c r="N1754">
        <v>2</v>
      </c>
      <c r="O1754">
        <v>1</v>
      </c>
      <c r="P1754">
        <v>0</v>
      </c>
      <c r="Q1754">
        <v>0</v>
      </c>
      <c r="R1754" t="s">
        <v>112</v>
      </c>
      <c r="S1754" t="str">
        <f>"14:19:35.820"</f>
        <v>14:19:35.820</v>
      </c>
      <c r="T1754" t="str">
        <f>"14:19:35.320"</f>
        <v>14:19:35.320</v>
      </c>
      <c r="U1754" t="str">
        <f t="shared" si="81"/>
        <v>ad5732</v>
      </c>
      <c r="V1754">
        <v>0</v>
      </c>
      <c r="W1754">
        <v>0</v>
      </c>
      <c r="X1754">
        <v>1</v>
      </c>
      <c r="Z1754">
        <v>0</v>
      </c>
      <c r="AA1754">
        <v>9</v>
      </c>
      <c r="AB1754">
        <v>3</v>
      </c>
      <c r="AC1754">
        <v>0</v>
      </c>
      <c r="AD1754">
        <v>10</v>
      </c>
      <c r="AE1754">
        <v>0</v>
      </c>
      <c r="AF1754">
        <v>3</v>
      </c>
      <c r="AG1754">
        <v>2</v>
      </c>
      <c r="AH1754">
        <v>0</v>
      </c>
      <c r="AI1754" t="s">
        <v>3611</v>
      </c>
      <c r="AJ1754">
        <v>39.745187999999999</v>
      </c>
      <c r="AK1754" t="s">
        <v>3612</v>
      </c>
      <c r="AL1754">
        <v>-76.102294999999998</v>
      </c>
      <c r="AM1754">
        <v>100</v>
      </c>
      <c r="AN1754">
        <v>4700</v>
      </c>
      <c r="AO1754" t="s">
        <v>115</v>
      </c>
      <c r="AP1754">
        <v>156</v>
      </c>
      <c r="AQ1754">
        <v>81</v>
      </c>
      <c r="AR1754">
        <v>64</v>
      </c>
      <c r="AZ1754">
        <v>3614</v>
      </c>
      <c r="BA1754">
        <v>1</v>
      </c>
      <c r="BB1754" t="str">
        <f t="shared" si="83"/>
        <v xml:space="preserve">N959MJ  </v>
      </c>
      <c r="BC1754">
        <v>1</v>
      </c>
      <c r="BE1754">
        <v>0</v>
      </c>
      <c r="BF1754">
        <v>0</v>
      </c>
      <c r="BG1754">
        <v>0</v>
      </c>
      <c r="BH1754">
        <v>4900</v>
      </c>
      <c r="BI1754">
        <v>200</v>
      </c>
      <c r="BJ1754">
        <v>1</v>
      </c>
      <c r="BK1754">
        <v>1</v>
      </c>
      <c r="BL1754">
        <v>1</v>
      </c>
      <c r="BM1754">
        <v>0</v>
      </c>
      <c r="BP1754">
        <v>0</v>
      </c>
      <c r="BQ1754">
        <v>0</v>
      </c>
      <c r="BX1754" t="str">
        <f>"14:19:35.820"</f>
        <v>14:19:35.820</v>
      </c>
      <c r="BY1754" t="str">
        <f>"823655700"</f>
        <v>823655700</v>
      </c>
      <c r="CL1754">
        <v>0</v>
      </c>
      <c r="CM1754">
        <v>2</v>
      </c>
      <c r="CN1754">
        <v>0</v>
      </c>
      <c r="CO1754">
        <v>2</v>
      </c>
      <c r="CP1754">
        <v>0</v>
      </c>
      <c r="CQ1754">
        <v>6</v>
      </c>
      <c r="CR1754" t="s">
        <v>116</v>
      </c>
      <c r="CS1754">
        <v>396</v>
      </c>
      <c r="CT1754">
        <v>1</v>
      </c>
      <c r="CU1754" t="s">
        <v>939</v>
      </c>
      <c r="CV1754" t="s">
        <v>940</v>
      </c>
      <c r="CY1754">
        <v>9436995</v>
      </c>
      <c r="CZ1754" t="s">
        <v>119</v>
      </c>
    </row>
    <row r="1755" spans="1:104" x14ac:dyDescent="0.25">
      <c r="A1755" t="str">
        <f>"14:19:36.945"</f>
        <v>14:19:36.945</v>
      </c>
      <c r="B1755" t="s">
        <v>108</v>
      </c>
      <c r="C1755" t="str">
        <f t="shared" si="82"/>
        <v>ffdfd3c0</v>
      </c>
      <c r="D1755" t="s">
        <v>109</v>
      </c>
      <c r="E1755">
        <v>4</v>
      </c>
      <c r="F1755">
        <v>1004</v>
      </c>
      <c r="G1755" t="s">
        <v>110</v>
      </c>
      <c r="J1755" t="s">
        <v>111</v>
      </c>
      <c r="K1755">
        <v>0</v>
      </c>
      <c r="L1755">
        <v>3</v>
      </c>
      <c r="M1755">
        <v>0</v>
      </c>
      <c r="N1755">
        <v>2</v>
      </c>
      <c r="O1755">
        <v>1</v>
      </c>
      <c r="P1755">
        <v>0</v>
      </c>
      <c r="Q1755">
        <v>0</v>
      </c>
      <c r="R1755" t="s">
        <v>112</v>
      </c>
      <c r="S1755" t="str">
        <f>"14:19:36.781"</f>
        <v>14:19:36.781</v>
      </c>
      <c r="T1755" t="str">
        <f>"14:19:36.281"</f>
        <v>14:19:36.281</v>
      </c>
      <c r="U1755" t="str">
        <f t="shared" si="81"/>
        <v>ad5732</v>
      </c>
      <c r="V1755">
        <v>0</v>
      </c>
      <c r="W1755">
        <v>0</v>
      </c>
      <c r="X1755">
        <v>1</v>
      </c>
      <c r="Z1755">
        <v>0</v>
      </c>
      <c r="AA1755">
        <v>9</v>
      </c>
      <c r="AB1755">
        <v>3</v>
      </c>
      <c r="AC1755">
        <v>0</v>
      </c>
      <c r="AD1755">
        <v>10</v>
      </c>
      <c r="AE1755">
        <v>0</v>
      </c>
      <c r="AF1755">
        <v>3</v>
      </c>
      <c r="AG1755">
        <v>2</v>
      </c>
      <c r="AH1755">
        <v>0</v>
      </c>
      <c r="AI1755" t="s">
        <v>3613</v>
      </c>
      <c r="AJ1755">
        <v>39.745510000000003</v>
      </c>
      <c r="AK1755" t="s">
        <v>3614</v>
      </c>
      <c r="AL1755">
        <v>-76.101457999999994</v>
      </c>
      <c r="AM1755">
        <v>100</v>
      </c>
      <c r="AN1755">
        <v>4700</v>
      </c>
      <c r="AO1755" t="s">
        <v>115</v>
      </c>
      <c r="AP1755">
        <v>156</v>
      </c>
      <c r="AQ1755">
        <v>81</v>
      </c>
      <c r="AR1755">
        <v>64</v>
      </c>
      <c r="AZ1755">
        <v>3614</v>
      </c>
      <c r="BA1755">
        <v>1</v>
      </c>
      <c r="BB1755" t="str">
        <f t="shared" si="83"/>
        <v xml:space="preserve">N959MJ  </v>
      </c>
      <c r="BC1755">
        <v>1</v>
      </c>
      <c r="BE1755">
        <v>0</v>
      </c>
      <c r="BF1755">
        <v>0</v>
      </c>
      <c r="BG1755">
        <v>0</v>
      </c>
      <c r="BH1755">
        <v>4900</v>
      </c>
      <c r="BI1755">
        <v>200</v>
      </c>
      <c r="BJ1755">
        <v>1</v>
      </c>
      <c r="BK1755">
        <v>1</v>
      </c>
      <c r="BL1755">
        <v>1</v>
      </c>
      <c r="BM1755">
        <v>0</v>
      </c>
      <c r="BP1755">
        <v>0</v>
      </c>
      <c r="BQ1755">
        <v>0</v>
      </c>
      <c r="BX1755" t="str">
        <f>"14:19:36.789"</f>
        <v>14:19:36.789</v>
      </c>
      <c r="BY1755" t="str">
        <f>"785421793"</f>
        <v>785421793</v>
      </c>
      <c r="CL1755">
        <v>0</v>
      </c>
      <c r="CM1755">
        <v>2</v>
      </c>
      <c r="CN1755">
        <v>0</v>
      </c>
      <c r="CO1755">
        <v>2</v>
      </c>
      <c r="CP1755">
        <v>0</v>
      </c>
      <c r="CQ1755">
        <v>6</v>
      </c>
      <c r="CR1755" t="s">
        <v>116</v>
      </c>
      <c r="CS1755">
        <v>39</v>
      </c>
      <c r="CT1755">
        <v>2</v>
      </c>
      <c r="CU1755" t="s">
        <v>2259</v>
      </c>
      <c r="CV1755" t="s">
        <v>2260</v>
      </c>
      <c r="CY1755">
        <v>16105476</v>
      </c>
      <c r="CZ1755" t="s">
        <v>119</v>
      </c>
    </row>
    <row r="1756" spans="1:104" x14ac:dyDescent="0.25">
      <c r="A1756" t="str">
        <f>"14:19:38.063"</f>
        <v>14:19:38.063</v>
      </c>
      <c r="B1756" t="s">
        <v>108</v>
      </c>
      <c r="C1756" t="str">
        <f t="shared" si="82"/>
        <v>ffdfd3c0</v>
      </c>
      <c r="D1756" t="s">
        <v>109</v>
      </c>
      <c r="E1756">
        <v>4</v>
      </c>
      <c r="F1756">
        <v>1004</v>
      </c>
      <c r="G1756" t="s">
        <v>110</v>
      </c>
      <c r="J1756" t="s">
        <v>111</v>
      </c>
      <c r="K1756">
        <v>0</v>
      </c>
      <c r="L1756">
        <v>3</v>
      </c>
      <c r="M1756">
        <v>0</v>
      </c>
      <c r="N1756">
        <v>2</v>
      </c>
      <c r="O1756">
        <v>1</v>
      </c>
      <c r="P1756">
        <v>0</v>
      </c>
      <c r="Q1756">
        <v>0</v>
      </c>
      <c r="R1756" t="s">
        <v>112</v>
      </c>
      <c r="S1756" t="str">
        <f>"14:19:37.859"</f>
        <v>14:19:37.859</v>
      </c>
      <c r="T1756" t="str">
        <f>"14:19:37.359"</f>
        <v>14:19:37.359</v>
      </c>
      <c r="U1756" t="str">
        <f t="shared" si="81"/>
        <v>ad5732</v>
      </c>
      <c r="V1756">
        <v>0</v>
      </c>
      <c r="W1756">
        <v>0</v>
      </c>
      <c r="X1756">
        <v>1</v>
      </c>
      <c r="Z1756">
        <v>0</v>
      </c>
      <c r="AA1756">
        <v>9</v>
      </c>
      <c r="AB1756">
        <v>3</v>
      </c>
      <c r="AC1756">
        <v>0</v>
      </c>
      <c r="AD1756">
        <v>10</v>
      </c>
      <c r="AE1756">
        <v>0</v>
      </c>
      <c r="AF1756">
        <v>3</v>
      </c>
      <c r="AG1756">
        <v>2</v>
      </c>
      <c r="AH1756">
        <v>0</v>
      </c>
      <c r="AI1756" t="s">
        <v>3615</v>
      </c>
      <c r="AJ1756">
        <v>39.745939</v>
      </c>
      <c r="AK1756" t="s">
        <v>3616</v>
      </c>
      <c r="AL1756">
        <v>-76.100407000000004</v>
      </c>
      <c r="AM1756">
        <v>100</v>
      </c>
      <c r="AN1756">
        <v>4700</v>
      </c>
      <c r="AO1756" t="s">
        <v>115</v>
      </c>
      <c r="AP1756">
        <v>156</v>
      </c>
      <c r="AQ1756">
        <v>81</v>
      </c>
      <c r="AR1756">
        <v>0</v>
      </c>
      <c r="AZ1756">
        <v>3614</v>
      </c>
      <c r="BA1756">
        <v>1</v>
      </c>
      <c r="BB1756" t="str">
        <f t="shared" si="83"/>
        <v xml:space="preserve">N959MJ  </v>
      </c>
      <c r="BC1756">
        <v>1</v>
      </c>
      <c r="BE1756">
        <v>0</v>
      </c>
      <c r="BF1756">
        <v>0</v>
      </c>
      <c r="BG1756">
        <v>0</v>
      </c>
      <c r="BH1756">
        <v>4900</v>
      </c>
      <c r="BI1756">
        <v>200</v>
      </c>
      <c r="BJ1756">
        <v>1</v>
      </c>
      <c r="BK1756">
        <v>1</v>
      </c>
      <c r="BL1756">
        <v>1</v>
      </c>
      <c r="BM1756">
        <v>0</v>
      </c>
      <c r="BP1756">
        <v>0</v>
      </c>
      <c r="BQ1756">
        <v>0</v>
      </c>
      <c r="BX1756" t="str">
        <f>"14:19:37.859"</f>
        <v>14:19:37.859</v>
      </c>
      <c r="BY1756" t="str">
        <f>"861860195"</f>
        <v>861860195</v>
      </c>
      <c r="CL1756">
        <v>0</v>
      </c>
      <c r="CM1756">
        <v>2</v>
      </c>
      <c r="CN1756">
        <v>0</v>
      </c>
      <c r="CO1756">
        <v>2</v>
      </c>
      <c r="CP1756">
        <v>0</v>
      </c>
      <c r="CQ1756">
        <v>6</v>
      </c>
      <c r="CR1756" t="s">
        <v>116</v>
      </c>
      <c r="CS1756">
        <v>396</v>
      </c>
      <c r="CT1756">
        <v>1</v>
      </c>
      <c r="CU1756" t="s">
        <v>939</v>
      </c>
      <c r="CV1756" t="s">
        <v>940</v>
      </c>
      <c r="CY1756">
        <v>9440574</v>
      </c>
      <c r="CZ1756" t="s">
        <v>119</v>
      </c>
    </row>
    <row r="1757" spans="1:104" x14ac:dyDescent="0.25">
      <c r="A1757" t="str">
        <f>"14:19:38.969"</f>
        <v>14:19:38.969</v>
      </c>
      <c r="B1757" t="s">
        <v>108</v>
      </c>
      <c r="C1757" t="str">
        <f t="shared" si="82"/>
        <v>ffdfd3c0</v>
      </c>
      <c r="D1757" t="s">
        <v>109</v>
      </c>
      <c r="E1757">
        <v>4</v>
      </c>
      <c r="F1757">
        <v>1004</v>
      </c>
      <c r="G1757" t="s">
        <v>110</v>
      </c>
      <c r="J1757" t="s">
        <v>111</v>
      </c>
      <c r="K1757">
        <v>0</v>
      </c>
      <c r="L1757">
        <v>3</v>
      </c>
      <c r="M1757">
        <v>0</v>
      </c>
      <c r="N1757">
        <v>2</v>
      </c>
      <c r="O1757">
        <v>1</v>
      </c>
      <c r="P1757">
        <v>0</v>
      </c>
      <c r="Q1757">
        <v>0</v>
      </c>
      <c r="R1757" t="s">
        <v>112</v>
      </c>
      <c r="S1757" t="str">
        <f>"14:19:38.789"</f>
        <v>14:19:38.789</v>
      </c>
      <c r="T1757" t="str">
        <f>"14:19:38.391"</f>
        <v>14:19:38.391</v>
      </c>
      <c r="U1757" t="str">
        <f t="shared" si="81"/>
        <v>ad5732</v>
      </c>
      <c r="V1757">
        <v>0</v>
      </c>
      <c r="W1757">
        <v>0</v>
      </c>
      <c r="X1757">
        <v>1</v>
      </c>
      <c r="Z1757">
        <v>0</v>
      </c>
      <c r="AA1757">
        <v>9</v>
      </c>
      <c r="AB1757">
        <v>3</v>
      </c>
      <c r="AC1757">
        <v>0</v>
      </c>
      <c r="AD1757">
        <v>10</v>
      </c>
      <c r="AE1757">
        <v>0</v>
      </c>
      <c r="AF1757">
        <v>3</v>
      </c>
      <c r="AG1757">
        <v>2</v>
      </c>
      <c r="AH1757">
        <v>0</v>
      </c>
      <c r="AI1757" t="s">
        <v>3617</v>
      </c>
      <c r="AJ1757">
        <v>39.746239000000003</v>
      </c>
      <c r="AK1757" t="s">
        <v>3618</v>
      </c>
      <c r="AL1757">
        <v>-76.099547999999999</v>
      </c>
      <c r="AM1757">
        <v>100</v>
      </c>
      <c r="AN1757">
        <v>4700</v>
      </c>
      <c r="AO1757" t="s">
        <v>115</v>
      </c>
      <c r="AP1757">
        <v>156</v>
      </c>
      <c r="AQ1757">
        <v>81</v>
      </c>
      <c r="AR1757">
        <v>0</v>
      </c>
      <c r="AZ1757">
        <v>3614</v>
      </c>
      <c r="BA1757">
        <v>1</v>
      </c>
      <c r="BB1757" t="str">
        <f t="shared" si="83"/>
        <v xml:space="preserve">N959MJ  </v>
      </c>
      <c r="BC1757">
        <v>1</v>
      </c>
      <c r="BE1757">
        <v>0</v>
      </c>
      <c r="BF1757">
        <v>0</v>
      </c>
      <c r="BG1757">
        <v>0</v>
      </c>
      <c r="BH1757">
        <v>4900</v>
      </c>
      <c r="BI1757">
        <v>200</v>
      </c>
      <c r="BJ1757">
        <v>1</v>
      </c>
      <c r="BK1757">
        <v>1</v>
      </c>
      <c r="BL1757">
        <v>1</v>
      </c>
      <c r="BM1757">
        <v>0</v>
      </c>
      <c r="BP1757">
        <v>0</v>
      </c>
      <c r="BQ1757">
        <v>0</v>
      </c>
      <c r="BX1757" t="str">
        <f>"14:19:38.789"</f>
        <v>14:19:38.789</v>
      </c>
      <c r="BY1757" t="str">
        <f>"790856746"</f>
        <v>790856746</v>
      </c>
      <c r="CL1757">
        <v>0</v>
      </c>
      <c r="CM1757">
        <v>2</v>
      </c>
      <c r="CN1757">
        <v>0</v>
      </c>
      <c r="CO1757">
        <v>2</v>
      </c>
      <c r="CP1757">
        <v>0</v>
      </c>
      <c r="CQ1757">
        <v>6</v>
      </c>
      <c r="CR1757" t="s">
        <v>116</v>
      </c>
      <c r="CS1757">
        <v>39</v>
      </c>
      <c r="CT1757">
        <v>2</v>
      </c>
      <c r="CU1757" t="s">
        <v>2259</v>
      </c>
      <c r="CV1757" t="s">
        <v>2260</v>
      </c>
      <c r="CY1757">
        <v>16108624</v>
      </c>
      <c r="CZ1757" t="s">
        <v>119</v>
      </c>
    </row>
    <row r="1758" spans="1:104" x14ac:dyDescent="0.25">
      <c r="A1758" t="str">
        <f>"14:19:39.922"</f>
        <v>14:19:39.922</v>
      </c>
      <c r="B1758" t="s">
        <v>108</v>
      </c>
      <c r="C1758" t="str">
        <f t="shared" si="82"/>
        <v>ffdfd3c0</v>
      </c>
      <c r="D1758" t="s">
        <v>109</v>
      </c>
      <c r="E1758">
        <v>4</v>
      </c>
      <c r="F1758">
        <v>1004</v>
      </c>
      <c r="G1758" t="s">
        <v>110</v>
      </c>
      <c r="J1758" t="s">
        <v>111</v>
      </c>
      <c r="K1758">
        <v>0</v>
      </c>
      <c r="L1758">
        <v>3</v>
      </c>
      <c r="M1758">
        <v>0</v>
      </c>
      <c r="N1758">
        <v>2</v>
      </c>
      <c r="O1758">
        <v>1</v>
      </c>
      <c r="P1758">
        <v>0</v>
      </c>
      <c r="Q1758">
        <v>0</v>
      </c>
      <c r="R1758" t="s">
        <v>112</v>
      </c>
      <c r="S1758" t="str">
        <f>"14:19:39.758"</f>
        <v>14:19:39.758</v>
      </c>
      <c r="T1758" t="str">
        <f>"14:19:39.359"</f>
        <v>14:19:39.359</v>
      </c>
      <c r="U1758" t="str">
        <f t="shared" si="81"/>
        <v>ad5732</v>
      </c>
      <c r="V1758">
        <v>0</v>
      </c>
      <c r="W1758">
        <v>0</v>
      </c>
      <c r="X1758">
        <v>1</v>
      </c>
      <c r="Z1758">
        <v>0</v>
      </c>
      <c r="AA1758">
        <v>9</v>
      </c>
      <c r="AB1758">
        <v>3</v>
      </c>
      <c r="AC1758">
        <v>0</v>
      </c>
      <c r="AD1758">
        <v>10</v>
      </c>
      <c r="AE1758">
        <v>0</v>
      </c>
      <c r="AF1758">
        <v>3</v>
      </c>
      <c r="AG1758">
        <v>2</v>
      </c>
      <c r="AH1758">
        <v>0</v>
      </c>
      <c r="AI1758" t="s">
        <v>3619</v>
      </c>
      <c r="AJ1758">
        <v>39.746668</v>
      </c>
      <c r="AK1758" t="s">
        <v>3620</v>
      </c>
      <c r="AL1758">
        <v>-76.098647</v>
      </c>
      <c r="AM1758">
        <v>100</v>
      </c>
      <c r="AN1758">
        <v>4700</v>
      </c>
      <c r="AO1758" t="s">
        <v>115</v>
      </c>
      <c r="AP1758">
        <v>156</v>
      </c>
      <c r="AQ1758">
        <v>81</v>
      </c>
      <c r="AR1758">
        <v>0</v>
      </c>
      <c r="AZ1758">
        <v>3614</v>
      </c>
      <c r="BA1758">
        <v>1</v>
      </c>
      <c r="BB1758" t="str">
        <f t="shared" si="83"/>
        <v xml:space="preserve">N959MJ  </v>
      </c>
      <c r="BC1758">
        <v>1</v>
      </c>
      <c r="BE1758">
        <v>0</v>
      </c>
      <c r="BF1758">
        <v>0</v>
      </c>
      <c r="BG1758">
        <v>0</v>
      </c>
      <c r="BH1758">
        <v>4900</v>
      </c>
      <c r="BI1758">
        <v>200</v>
      </c>
      <c r="BJ1758">
        <v>1</v>
      </c>
      <c r="BK1758">
        <v>1</v>
      </c>
      <c r="BL1758">
        <v>1</v>
      </c>
      <c r="BM1758">
        <v>0</v>
      </c>
      <c r="BP1758">
        <v>0</v>
      </c>
      <c r="BQ1758">
        <v>0</v>
      </c>
      <c r="BX1758" t="str">
        <f>"14:19:39.758"</f>
        <v>14:19:39.758</v>
      </c>
      <c r="BY1758" t="str">
        <f>"760805683"</f>
        <v>760805683</v>
      </c>
      <c r="CL1758">
        <v>0</v>
      </c>
      <c r="CM1758">
        <v>2</v>
      </c>
      <c r="CN1758">
        <v>0</v>
      </c>
      <c r="CO1758">
        <v>2</v>
      </c>
      <c r="CP1758">
        <v>0</v>
      </c>
      <c r="CQ1758">
        <v>6</v>
      </c>
      <c r="CR1758" t="s">
        <v>116</v>
      </c>
      <c r="CS1758">
        <v>39</v>
      </c>
      <c r="CT1758">
        <v>2</v>
      </c>
      <c r="CU1758" t="s">
        <v>2259</v>
      </c>
      <c r="CV1758" t="s">
        <v>2260</v>
      </c>
      <c r="CY1758">
        <v>16110222</v>
      </c>
      <c r="CZ1758" t="s">
        <v>119</v>
      </c>
    </row>
    <row r="1759" spans="1:104" x14ac:dyDescent="0.25">
      <c r="A1759" t="str">
        <f>"14:19:40.836"</f>
        <v>14:19:40.836</v>
      </c>
      <c r="B1759" t="s">
        <v>108</v>
      </c>
      <c r="C1759" t="str">
        <f t="shared" si="82"/>
        <v>ffdfd3c0</v>
      </c>
      <c r="D1759" t="s">
        <v>109</v>
      </c>
      <c r="E1759">
        <v>4</v>
      </c>
      <c r="F1759">
        <v>1004</v>
      </c>
      <c r="G1759" t="s">
        <v>110</v>
      </c>
      <c r="J1759" t="s">
        <v>111</v>
      </c>
      <c r="K1759">
        <v>0</v>
      </c>
      <c r="L1759">
        <v>3</v>
      </c>
      <c r="M1759">
        <v>0</v>
      </c>
      <c r="N1759">
        <v>2</v>
      </c>
      <c r="O1759">
        <v>1</v>
      </c>
      <c r="P1759">
        <v>0</v>
      </c>
      <c r="Q1759">
        <v>0</v>
      </c>
      <c r="R1759" t="s">
        <v>112</v>
      </c>
      <c r="S1759" t="str">
        <f>"14:19:40.625"</f>
        <v>14:19:40.625</v>
      </c>
      <c r="T1759" t="str">
        <f>"14:19:39.828"</f>
        <v>14:19:39.828</v>
      </c>
      <c r="U1759" t="str">
        <f t="shared" si="81"/>
        <v>ad5732</v>
      </c>
      <c r="V1759">
        <v>0</v>
      </c>
      <c r="W1759">
        <v>0</v>
      </c>
      <c r="X1759">
        <v>1</v>
      </c>
      <c r="Z1759">
        <v>0</v>
      </c>
      <c r="AA1759">
        <v>9</v>
      </c>
      <c r="AB1759">
        <v>3</v>
      </c>
      <c r="AC1759">
        <v>0</v>
      </c>
      <c r="AD1759">
        <v>10</v>
      </c>
      <c r="AE1759">
        <v>0</v>
      </c>
      <c r="AF1759">
        <v>3</v>
      </c>
      <c r="AG1759">
        <v>2</v>
      </c>
      <c r="AH1759">
        <v>0</v>
      </c>
      <c r="AI1759" t="s">
        <v>3621</v>
      </c>
      <c r="AJ1759">
        <v>39.746989999999997</v>
      </c>
      <c r="AK1759" t="s">
        <v>3622</v>
      </c>
      <c r="AL1759">
        <v>-76.097789000000006</v>
      </c>
      <c r="AM1759">
        <v>100</v>
      </c>
      <c r="AN1759">
        <v>4700</v>
      </c>
      <c r="AO1759" t="s">
        <v>115</v>
      </c>
      <c r="AP1759">
        <v>156</v>
      </c>
      <c r="AQ1759">
        <v>81</v>
      </c>
      <c r="AR1759">
        <v>0</v>
      </c>
      <c r="AZ1759">
        <v>3614</v>
      </c>
      <c r="BA1759">
        <v>1</v>
      </c>
      <c r="BB1759" t="str">
        <f t="shared" si="83"/>
        <v xml:space="preserve">N959MJ  </v>
      </c>
      <c r="BC1759">
        <v>1</v>
      </c>
      <c r="BE1759">
        <v>0</v>
      </c>
      <c r="BF1759">
        <v>0</v>
      </c>
      <c r="BG1759">
        <v>0</v>
      </c>
      <c r="BH1759">
        <v>4900</v>
      </c>
      <c r="BI1759">
        <v>200</v>
      </c>
      <c r="BJ1759">
        <v>1</v>
      </c>
      <c r="BK1759">
        <v>1</v>
      </c>
      <c r="BL1759">
        <v>1</v>
      </c>
      <c r="BM1759">
        <v>0</v>
      </c>
      <c r="BP1759">
        <v>0</v>
      </c>
      <c r="BQ1759">
        <v>0</v>
      </c>
      <c r="BX1759" t="str">
        <f>"14:19:40.633"</f>
        <v>14:19:40.633</v>
      </c>
      <c r="BY1759" t="str">
        <f>"629477766"</f>
        <v>629477766</v>
      </c>
      <c r="CL1759">
        <v>0</v>
      </c>
      <c r="CM1759">
        <v>2</v>
      </c>
      <c r="CN1759">
        <v>0</v>
      </c>
      <c r="CO1759">
        <v>2</v>
      </c>
      <c r="CP1759">
        <v>0</v>
      </c>
      <c r="CQ1759">
        <v>5</v>
      </c>
      <c r="CR1759" t="s">
        <v>116</v>
      </c>
      <c r="CS1759">
        <v>379</v>
      </c>
      <c r="CT1759">
        <v>0</v>
      </c>
      <c r="CU1759" t="s">
        <v>538</v>
      </c>
      <c r="CV1759" t="s">
        <v>539</v>
      </c>
      <c r="CY1759">
        <v>8371614</v>
      </c>
      <c r="CZ1759" t="s">
        <v>119</v>
      </c>
    </row>
    <row r="1760" spans="1:104" x14ac:dyDescent="0.25">
      <c r="A1760" t="str">
        <f>"14:19:41.789"</f>
        <v>14:19:41.789</v>
      </c>
      <c r="B1760" t="s">
        <v>108</v>
      </c>
      <c r="C1760" t="str">
        <f t="shared" si="82"/>
        <v>ffdfd3c0</v>
      </c>
      <c r="D1760" t="s">
        <v>109</v>
      </c>
      <c r="E1760">
        <v>4</v>
      </c>
      <c r="F1760">
        <v>1004</v>
      </c>
      <c r="G1760" t="s">
        <v>110</v>
      </c>
      <c r="J1760" t="s">
        <v>111</v>
      </c>
      <c r="K1760">
        <v>0</v>
      </c>
      <c r="L1760">
        <v>3</v>
      </c>
      <c r="M1760">
        <v>0</v>
      </c>
      <c r="N1760">
        <v>2</v>
      </c>
      <c r="O1760">
        <v>1</v>
      </c>
      <c r="P1760">
        <v>0</v>
      </c>
      <c r="Q1760">
        <v>0</v>
      </c>
      <c r="R1760" t="s">
        <v>112</v>
      </c>
      <c r="S1760" t="str">
        <f>"14:19:41.633"</f>
        <v>14:19:41.633</v>
      </c>
      <c r="T1760" t="str">
        <f>"14:19:41.133"</f>
        <v>14:19:41.133</v>
      </c>
      <c r="U1760" t="str">
        <f t="shared" si="81"/>
        <v>ad5732</v>
      </c>
      <c r="V1760">
        <v>0</v>
      </c>
      <c r="W1760">
        <v>0</v>
      </c>
      <c r="X1760">
        <v>1</v>
      </c>
      <c r="Z1760">
        <v>0</v>
      </c>
      <c r="AA1760">
        <v>9</v>
      </c>
      <c r="AB1760">
        <v>3</v>
      </c>
      <c r="AC1760">
        <v>0</v>
      </c>
      <c r="AD1760">
        <v>10</v>
      </c>
      <c r="AE1760">
        <v>0</v>
      </c>
      <c r="AF1760">
        <v>3</v>
      </c>
      <c r="AG1760">
        <v>2</v>
      </c>
      <c r="AH1760">
        <v>0</v>
      </c>
      <c r="AI1760" t="s">
        <v>3623</v>
      </c>
      <c r="AJ1760">
        <v>39.747376000000003</v>
      </c>
      <c r="AK1760" t="s">
        <v>3624</v>
      </c>
      <c r="AL1760">
        <v>-76.096866000000006</v>
      </c>
      <c r="AM1760">
        <v>100</v>
      </c>
      <c r="AN1760">
        <v>4700</v>
      </c>
      <c r="AO1760" t="s">
        <v>115</v>
      </c>
      <c r="AP1760">
        <v>156</v>
      </c>
      <c r="AQ1760">
        <v>81</v>
      </c>
      <c r="AR1760">
        <v>0</v>
      </c>
      <c r="AZ1760">
        <v>3614</v>
      </c>
      <c r="BA1760">
        <v>1</v>
      </c>
      <c r="BB1760" t="str">
        <f t="shared" si="83"/>
        <v xml:space="preserve">N959MJ  </v>
      </c>
      <c r="BC1760">
        <v>1</v>
      </c>
      <c r="BE1760">
        <v>0</v>
      </c>
      <c r="BF1760">
        <v>0</v>
      </c>
      <c r="BG1760">
        <v>0</v>
      </c>
      <c r="BH1760">
        <v>4900</v>
      </c>
      <c r="BI1760">
        <v>200</v>
      </c>
      <c r="BJ1760">
        <v>1</v>
      </c>
      <c r="BK1760">
        <v>1</v>
      </c>
      <c r="BL1760">
        <v>1</v>
      </c>
      <c r="BM1760">
        <v>0</v>
      </c>
      <c r="BP1760">
        <v>0</v>
      </c>
      <c r="BQ1760">
        <v>0</v>
      </c>
      <c r="BX1760" t="str">
        <f>"14:19:41.633"</f>
        <v>14:19:41.633</v>
      </c>
      <c r="BY1760" t="str">
        <f>"635166564"</f>
        <v>635166564</v>
      </c>
      <c r="CL1760">
        <v>0</v>
      </c>
      <c r="CM1760">
        <v>2</v>
      </c>
      <c r="CN1760">
        <v>0</v>
      </c>
      <c r="CO1760">
        <v>2</v>
      </c>
      <c r="CP1760">
        <v>0</v>
      </c>
      <c r="CQ1760">
        <v>6</v>
      </c>
      <c r="CR1760" t="s">
        <v>116</v>
      </c>
      <c r="CS1760">
        <v>39</v>
      </c>
      <c r="CT1760">
        <v>2</v>
      </c>
      <c r="CU1760" t="s">
        <v>2259</v>
      </c>
      <c r="CV1760" t="s">
        <v>2260</v>
      </c>
      <c r="CY1760">
        <v>16113036</v>
      </c>
      <c r="CZ1760" t="s">
        <v>119</v>
      </c>
    </row>
    <row r="1761" spans="1:104" x14ac:dyDescent="0.25">
      <c r="A1761" t="str">
        <f>"14:19:42.805"</f>
        <v>14:19:42.805</v>
      </c>
      <c r="B1761" t="s">
        <v>108</v>
      </c>
      <c r="C1761" t="str">
        <f t="shared" si="82"/>
        <v>ffdfd3c0</v>
      </c>
      <c r="D1761" t="s">
        <v>109</v>
      </c>
      <c r="E1761">
        <v>4</v>
      </c>
      <c r="F1761">
        <v>1004</v>
      </c>
      <c r="G1761" t="s">
        <v>110</v>
      </c>
      <c r="J1761" t="s">
        <v>111</v>
      </c>
      <c r="K1761">
        <v>0</v>
      </c>
      <c r="L1761">
        <v>3</v>
      </c>
      <c r="M1761">
        <v>0</v>
      </c>
      <c r="N1761">
        <v>2</v>
      </c>
      <c r="O1761">
        <v>1</v>
      </c>
      <c r="P1761">
        <v>0</v>
      </c>
      <c r="Q1761">
        <v>0</v>
      </c>
      <c r="R1761" t="s">
        <v>112</v>
      </c>
      <c r="S1761" t="str">
        <f>"14:19:42.609"</f>
        <v>14:19:42.609</v>
      </c>
      <c r="T1761" t="str">
        <f>"14:19:42.211"</f>
        <v>14:19:42.211</v>
      </c>
      <c r="U1761" t="str">
        <f t="shared" si="81"/>
        <v>ad5732</v>
      </c>
      <c r="V1761">
        <v>0</v>
      </c>
      <c r="W1761">
        <v>0</v>
      </c>
      <c r="X1761">
        <v>1</v>
      </c>
      <c r="Z1761">
        <v>0</v>
      </c>
      <c r="AA1761">
        <v>9</v>
      </c>
      <c r="AB1761">
        <v>3</v>
      </c>
      <c r="AC1761">
        <v>0</v>
      </c>
      <c r="AD1761">
        <v>10</v>
      </c>
      <c r="AE1761">
        <v>0</v>
      </c>
      <c r="AF1761">
        <v>3</v>
      </c>
      <c r="AG1761">
        <v>2</v>
      </c>
      <c r="AH1761">
        <v>0</v>
      </c>
      <c r="AI1761" t="s">
        <v>3625</v>
      </c>
      <c r="AJ1761">
        <v>39.747740999999998</v>
      </c>
      <c r="AK1761" t="s">
        <v>3626</v>
      </c>
      <c r="AL1761">
        <v>-76.095878999999996</v>
      </c>
      <c r="AM1761">
        <v>100</v>
      </c>
      <c r="AN1761">
        <v>4700</v>
      </c>
      <c r="AO1761" t="s">
        <v>115</v>
      </c>
      <c r="AP1761">
        <v>156</v>
      </c>
      <c r="AQ1761">
        <v>81</v>
      </c>
      <c r="AR1761">
        <v>0</v>
      </c>
      <c r="AZ1761">
        <v>3614</v>
      </c>
      <c r="BA1761">
        <v>1</v>
      </c>
      <c r="BB1761" t="str">
        <f t="shared" si="83"/>
        <v xml:space="preserve">N959MJ  </v>
      </c>
      <c r="BC1761">
        <v>1</v>
      </c>
      <c r="BE1761">
        <v>0</v>
      </c>
      <c r="BF1761">
        <v>0</v>
      </c>
      <c r="BG1761">
        <v>0</v>
      </c>
      <c r="BH1761">
        <v>4900</v>
      </c>
      <c r="BI1761">
        <v>200</v>
      </c>
      <c r="BJ1761">
        <v>1</v>
      </c>
      <c r="BK1761">
        <v>1</v>
      </c>
      <c r="BL1761">
        <v>1</v>
      </c>
      <c r="BM1761">
        <v>0</v>
      </c>
      <c r="BP1761">
        <v>0</v>
      </c>
      <c r="BQ1761">
        <v>0</v>
      </c>
      <c r="BX1761" t="str">
        <f>"14:19:42.617"</f>
        <v>14:19:42.617</v>
      </c>
      <c r="BY1761" t="str">
        <f>"613301435"</f>
        <v>613301435</v>
      </c>
      <c r="CL1761">
        <v>0</v>
      </c>
      <c r="CM1761">
        <v>2</v>
      </c>
      <c r="CN1761">
        <v>0</v>
      </c>
      <c r="CO1761">
        <v>2</v>
      </c>
      <c r="CP1761">
        <v>0</v>
      </c>
      <c r="CQ1761">
        <v>6</v>
      </c>
      <c r="CR1761" t="s">
        <v>116</v>
      </c>
      <c r="CS1761">
        <v>396</v>
      </c>
      <c r="CT1761">
        <v>1</v>
      </c>
      <c r="CU1761" t="s">
        <v>939</v>
      </c>
      <c r="CV1761" t="s">
        <v>940</v>
      </c>
      <c r="CY1761">
        <v>9449024</v>
      </c>
      <c r="CZ1761" t="s">
        <v>119</v>
      </c>
    </row>
    <row r="1762" spans="1:104" x14ac:dyDescent="0.25">
      <c r="A1762" t="str">
        <f>"14:19:43.758"</f>
        <v>14:19:43.758</v>
      </c>
      <c r="B1762" t="s">
        <v>108</v>
      </c>
      <c r="C1762" t="str">
        <f t="shared" si="82"/>
        <v>ffdfd3c0</v>
      </c>
      <c r="D1762" t="s">
        <v>109</v>
      </c>
      <c r="E1762">
        <v>4</v>
      </c>
      <c r="F1762">
        <v>1004</v>
      </c>
      <c r="G1762" t="s">
        <v>110</v>
      </c>
      <c r="J1762" t="s">
        <v>111</v>
      </c>
      <c r="K1762">
        <v>0</v>
      </c>
      <c r="L1762">
        <v>3</v>
      </c>
      <c r="M1762">
        <v>0</v>
      </c>
      <c r="N1762">
        <v>2</v>
      </c>
      <c r="O1762">
        <v>1</v>
      </c>
      <c r="P1762">
        <v>0</v>
      </c>
      <c r="Q1762">
        <v>0</v>
      </c>
      <c r="R1762" t="s">
        <v>112</v>
      </c>
      <c r="S1762" t="str">
        <f>"14:19:43.547"</f>
        <v>14:19:43.547</v>
      </c>
      <c r="T1762" t="str">
        <f>"14:19:43.148"</f>
        <v>14:19:43.148</v>
      </c>
      <c r="U1762" t="str">
        <f t="shared" si="81"/>
        <v>ad5732</v>
      </c>
      <c r="V1762">
        <v>0</v>
      </c>
      <c r="W1762">
        <v>0</v>
      </c>
      <c r="X1762">
        <v>1</v>
      </c>
      <c r="Z1762">
        <v>0</v>
      </c>
      <c r="AA1762">
        <v>9</v>
      </c>
      <c r="AB1762">
        <v>3</v>
      </c>
      <c r="AC1762">
        <v>0</v>
      </c>
      <c r="AD1762">
        <v>10</v>
      </c>
      <c r="AE1762">
        <v>0</v>
      </c>
      <c r="AF1762">
        <v>3</v>
      </c>
      <c r="AG1762">
        <v>2</v>
      </c>
      <c r="AH1762">
        <v>0</v>
      </c>
      <c r="AI1762" t="s">
        <v>3627</v>
      </c>
      <c r="AJ1762">
        <v>39.748085000000003</v>
      </c>
      <c r="AK1762" t="s">
        <v>3628</v>
      </c>
      <c r="AL1762">
        <v>-76.095063999999994</v>
      </c>
      <c r="AM1762">
        <v>100</v>
      </c>
      <c r="AN1762">
        <v>4700</v>
      </c>
      <c r="AO1762" t="s">
        <v>115</v>
      </c>
      <c r="AP1762">
        <v>157</v>
      </c>
      <c r="AQ1762">
        <v>80</v>
      </c>
      <c r="AR1762">
        <v>0</v>
      </c>
      <c r="AZ1762">
        <v>3614</v>
      </c>
      <c r="BA1762">
        <v>1</v>
      </c>
      <c r="BB1762" t="str">
        <f t="shared" si="83"/>
        <v xml:space="preserve">N959MJ  </v>
      </c>
      <c r="BC1762">
        <v>1</v>
      </c>
      <c r="BE1762">
        <v>0</v>
      </c>
      <c r="BF1762">
        <v>0</v>
      </c>
      <c r="BG1762">
        <v>0</v>
      </c>
      <c r="BH1762">
        <v>4900</v>
      </c>
      <c r="BI1762">
        <v>200</v>
      </c>
      <c r="BJ1762">
        <v>1</v>
      </c>
      <c r="BK1762">
        <v>1</v>
      </c>
      <c r="BL1762">
        <v>1</v>
      </c>
      <c r="BM1762">
        <v>0</v>
      </c>
      <c r="BP1762">
        <v>0</v>
      </c>
      <c r="BQ1762">
        <v>0</v>
      </c>
      <c r="BX1762" t="str">
        <f>"14:19:43.547"</f>
        <v>14:19:43.547</v>
      </c>
      <c r="BY1762" t="str">
        <f>"547205404"</f>
        <v>547205404</v>
      </c>
      <c r="CL1762">
        <v>0</v>
      </c>
      <c r="CM1762">
        <v>2</v>
      </c>
      <c r="CN1762">
        <v>0</v>
      </c>
      <c r="CO1762">
        <v>2</v>
      </c>
      <c r="CP1762">
        <v>0</v>
      </c>
      <c r="CQ1762">
        <v>6</v>
      </c>
      <c r="CR1762" t="s">
        <v>116</v>
      </c>
      <c r="CS1762">
        <v>396</v>
      </c>
      <c r="CT1762">
        <v>1</v>
      </c>
      <c r="CU1762" t="s">
        <v>939</v>
      </c>
      <c r="CV1762" t="s">
        <v>940</v>
      </c>
      <c r="CY1762">
        <v>9450678</v>
      </c>
      <c r="CZ1762" t="s">
        <v>119</v>
      </c>
    </row>
    <row r="1763" spans="1:104" x14ac:dyDescent="0.25">
      <c r="A1763" t="str">
        <f>"14:19:44.570"</f>
        <v>14:19:44.570</v>
      </c>
      <c r="B1763" t="s">
        <v>108</v>
      </c>
      <c r="C1763" t="str">
        <f t="shared" si="82"/>
        <v>ffdfd3c0</v>
      </c>
      <c r="D1763" t="s">
        <v>109</v>
      </c>
      <c r="E1763">
        <v>4</v>
      </c>
      <c r="F1763">
        <v>1004</v>
      </c>
      <c r="G1763" t="s">
        <v>110</v>
      </c>
      <c r="J1763" t="s">
        <v>111</v>
      </c>
      <c r="K1763">
        <v>0</v>
      </c>
      <c r="L1763">
        <v>3</v>
      </c>
      <c r="M1763">
        <v>0</v>
      </c>
      <c r="N1763">
        <v>2</v>
      </c>
      <c r="O1763">
        <v>1</v>
      </c>
      <c r="P1763">
        <v>0</v>
      </c>
      <c r="Q1763">
        <v>0</v>
      </c>
      <c r="R1763" t="s">
        <v>112</v>
      </c>
      <c r="S1763" t="str">
        <f>"14:19:44.414"</f>
        <v>14:19:44.414</v>
      </c>
      <c r="T1763" t="str">
        <f>"14:19:44.016"</f>
        <v>14:19:44.016</v>
      </c>
      <c r="U1763" t="str">
        <f t="shared" si="81"/>
        <v>ad5732</v>
      </c>
      <c r="V1763">
        <v>0</v>
      </c>
      <c r="W1763">
        <v>0</v>
      </c>
      <c r="X1763">
        <v>1</v>
      </c>
      <c r="Z1763">
        <v>0</v>
      </c>
      <c r="AA1763">
        <v>9</v>
      </c>
      <c r="AB1763">
        <v>3</v>
      </c>
      <c r="AC1763">
        <v>0</v>
      </c>
      <c r="AD1763">
        <v>10</v>
      </c>
      <c r="AE1763">
        <v>0</v>
      </c>
      <c r="AF1763">
        <v>3</v>
      </c>
      <c r="AG1763">
        <v>2</v>
      </c>
      <c r="AH1763">
        <v>0</v>
      </c>
      <c r="AI1763" t="s">
        <v>3629</v>
      </c>
      <c r="AJ1763">
        <v>39.748384999999999</v>
      </c>
      <c r="AK1763" t="s">
        <v>3630</v>
      </c>
      <c r="AL1763">
        <v>-76.094247999999993</v>
      </c>
      <c r="AM1763">
        <v>100</v>
      </c>
      <c r="AN1763">
        <v>4700</v>
      </c>
      <c r="AO1763" t="s">
        <v>115</v>
      </c>
      <c r="AP1763">
        <v>157</v>
      </c>
      <c r="AQ1763">
        <v>80</v>
      </c>
      <c r="AR1763">
        <v>0</v>
      </c>
      <c r="AZ1763">
        <v>3614</v>
      </c>
      <c r="BA1763">
        <v>1</v>
      </c>
      <c r="BB1763" t="str">
        <f t="shared" si="83"/>
        <v xml:space="preserve">N959MJ  </v>
      </c>
      <c r="BC1763">
        <v>1</v>
      </c>
      <c r="BE1763">
        <v>0</v>
      </c>
      <c r="BF1763">
        <v>0</v>
      </c>
      <c r="BG1763">
        <v>0</v>
      </c>
      <c r="BH1763">
        <v>4900</v>
      </c>
      <c r="BI1763">
        <v>200</v>
      </c>
      <c r="BJ1763">
        <v>1</v>
      </c>
      <c r="BK1763">
        <v>1</v>
      </c>
      <c r="BL1763">
        <v>1</v>
      </c>
      <c r="BM1763">
        <v>0</v>
      </c>
      <c r="BP1763">
        <v>0</v>
      </c>
      <c r="BQ1763">
        <v>0</v>
      </c>
      <c r="BX1763" t="str">
        <f>"14:19:44.414"</f>
        <v>14:19:44.414</v>
      </c>
      <c r="BY1763" t="str">
        <f>"417211010"</f>
        <v>417211010</v>
      </c>
      <c r="CL1763">
        <v>0</v>
      </c>
      <c r="CM1763">
        <v>2</v>
      </c>
      <c r="CN1763">
        <v>0</v>
      </c>
      <c r="CO1763">
        <v>2</v>
      </c>
      <c r="CP1763">
        <v>0</v>
      </c>
      <c r="CQ1763">
        <v>6</v>
      </c>
      <c r="CR1763" t="s">
        <v>116</v>
      </c>
      <c r="CS1763">
        <v>396</v>
      </c>
      <c r="CT1763">
        <v>1</v>
      </c>
      <c r="CU1763" t="s">
        <v>939</v>
      </c>
      <c r="CV1763" t="s">
        <v>940</v>
      </c>
      <c r="CY1763">
        <v>9452388</v>
      </c>
      <c r="CZ1763" t="s">
        <v>119</v>
      </c>
    </row>
    <row r="1764" spans="1:104" x14ac:dyDescent="0.25">
      <c r="A1764" t="str">
        <f>"14:19:45.430"</f>
        <v>14:19:45.430</v>
      </c>
      <c r="B1764" t="s">
        <v>108</v>
      </c>
      <c r="C1764" t="str">
        <f t="shared" si="82"/>
        <v>ffdfd3c0</v>
      </c>
      <c r="D1764" t="s">
        <v>109</v>
      </c>
      <c r="E1764">
        <v>4</v>
      </c>
      <c r="F1764">
        <v>1004</v>
      </c>
      <c r="G1764" t="s">
        <v>110</v>
      </c>
      <c r="J1764" t="s">
        <v>111</v>
      </c>
      <c r="K1764">
        <v>0</v>
      </c>
      <c r="L1764">
        <v>3</v>
      </c>
      <c r="M1764">
        <v>0</v>
      </c>
      <c r="N1764">
        <v>2</v>
      </c>
      <c r="O1764">
        <v>1</v>
      </c>
      <c r="P1764">
        <v>0</v>
      </c>
      <c r="Q1764">
        <v>0</v>
      </c>
      <c r="R1764" t="s">
        <v>112</v>
      </c>
      <c r="S1764" t="str">
        <f>"14:19:45.227"</f>
        <v>14:19:45.227</v>
      </c>
      <c r="T1764" t="str">
        <f>"14:19:44.828"</f>
        <v>14:19:44.828</v>
      </c>
      <c r="U1764" t="str">
        <f t="shared" si="81"/>
        <v>ad5732</v>
      </c>
      <c r="V1764">
        <v>0</v>
      </c>
      <c r="W1764">
        <v>0</v>
      </c>
      <c r="X1764">
        <v>1</v>
      </c>
      <c r="Z1764">
        <v>0</v>
      </c>
      <c r="AA1764">
        <v>9</v>
      </c>
      <c r="AB1764">
        <v>3</v>
      </c>
      <c r="AC1764">
        <v>0</v>
      </c>
      <c r="AD1764">
        <v>10</v>
      </c>
      <c r="AE1764">
        <v>0</v>
      </c>
      <c r="AF1764">
        <v>3</v>
      </c>
      <c r="AG1764">
        <v>2</v>
      </c>
      <c r="AH1764">
        <v>0</v>
      </c>
      <c r="AI1764" t="s">
        <v>3631</v>
      </c>
      <c r="AJ1764">
        <v>39.748685000000002</v>
      </c>
      <c r="AK1764" t="s">
        <v>3632</v>
      </c>
      <c r="AL1764">
        <v>-76.093453999999994</v>
      </c>
      <c r="AM1764">
        <v>100</v>
      </c>
      <c r="AN1764">
        <v>4700</v>
      </c>
      <c r="AO1764" t="s">
        <v>115</v>
      </c>
      <c r="AP1764">
        <v>157</v>
      </c>
      <c r="AQ1764">
        <v>80</v>
      </c>
      <c r="AR1764">
        <v>0</v>
      </c>
      <c r="AZ1764">
        <v>3614</v>
      </c>
      <c r="BA1764">
        <v>1</v>
      </c>
      <c r="BB1764" t="str">
        <f t="shared" si="83"/>
        <v xml:space="preserve">N959MJ  </v>
      </c>
      <c r="BC1764">
        <v>1</v>
      </c>
      <c r="BE1764">
        <v>0</v>
      </c>
      <c r="BF1764">
        <v>0</v>
      </c>
      <c r="BG1764">
        <v>0</v>
      </c>
      <c r="BH1764">
        <v>4900</v>
      </c>
      <c r="BI1764">
        <v>200</v>
      </c>
      <c r="BJ1764">
        <v>1</v>
      </c>
      <c r="BK1764">
        <v>1</v>
      </c>
      <c r="BL1764">
        <v>1</v>
      </c>
      <c r="BM1764">
        <v>0</v>
      </c>
      <c r="BP1764">
        <v>0</v>
      </c>
      <c r="BQ1764">
        <v>0</v>
      </c>
      <c r="BX1764" t="str">
        <f>"14:19:45.227"</f>
        <v>14:19:45.227</v>
      </c>
      <c r="BY1764" t="str">
        <f>"228237445"</f>
        <v>228237445</v>
      </c>
      <c r="CL1764">
        <v>0</v>
      </c>
      <c r="CM1764">
        <v>2</v>
      </c>
      <c r="CN1764">
        <v>0</v>
      </c>
      <c r="CO1764">
        <v>2</v>
      </c>
      <c r="CP1764">
        <v>0</v>
      </c>
      <c r="CQ1764">
        <v>6</v>
      </c>
      <c r="CR1764" t="s">
        <v>116</v>
      </c>
      <c r="CS1764">
        <v>39</v>
      </c>
      <c r="CT1764">
        <v>2</v>
      </c>
      <c r="CU1764" t="s">
        <v>2259</v>
      </c>
      <c r="CV1764" t="s">
        <v>2260</v>
      </c>
      <c r="CY1764">
        <v>16118820</v>
      </c>
      <c r="CZ1764" t="s">
        <v>119</v>
      </c>
    </row>
    <row r="1765" spans="1:104" x14ac:dyDescent="0.25">
      <c r="A1765" t="str">
        <f>"14:19:46.484"</f>
        <v>14:19:46.484</v>
      </c>
      <c r="B1765" t="s">
        <v>108</v>
      </c>
      <c r="C1765" t="str">
        <f t="shared" si="82"/>
        <v>ffdfd3c0</v>
      </c>
      <c r="D1765" t="s">
        <v>109</v>
      </c>
      <c r="E1765">
        <v>4</v>
      </c>
      <c r="F1765">
        <v>1004</v>
      </c>
      <c r="G1765" t="s">
        <v>110</v>
      </c>
      <c r="J1765" t="s">
        <v>111</v>
      </c>
      <c r="K1765">
        <v>0</v>
      </c>
      <c r="L1765">
        <v>3</v>
      </c>
      <c r="M1765">
        <v>0</v>
      </c>
      <c r="N1765">
        <v>2</v>
      </c>
      <c r="O1765">
        <v>1</v>
      </c>
      <c r="P1765">
        <v>0</v>
      </c>
      <c r="Q1765">
        <v>0</v>
      </c>
      <c r="R1765" t="s">
        <v>112</v>
      </c>
      <c r="S1765" t="str">
        <f>"14:19:46.297"</f>
        <v>14:19:46.297</v>
      </c>
      <c r="T1765" t="str">
        <f>"14:19:45.797"</f>
        <v>14:19:45.797</v>
      </c>
      <c r="U1765" t="str">
        <f t="shared" si="81"/>
        <v>ad5732</v>
      </c>
      <c r="V1765">
        <v>0</v>
      </c>
      <c r="W1765">
        <v>0</v>
      </c>
      <c r="X1765">
        <v>1</v>
      </c>
      <c r="Z1765">
        <v>0</v>
      </c>
      <c r="AA1765">
        <v>9</v>
      </c>
      <c r="AB1765">
        <v>3</v>
      </c>
      <c r="AC1765">
        <v>0</v>
      </c>
      <c r="AD1765">
        <v>10</v>
      </c>
      <c r="AE1765">
        <v>0</v>
      </c>
      <c r="AF1765">
        <v>3</v>
      </c>
      <c r="AG1765">
        <v>2</v>
      </c>
      <c r="AH1765">
        <v>0</v>
      </c>
      <c r="AI1765" t="s">
        <v>3633</v>
      </c>
      <c r="AJ1765">
        <v>39.749093000000002</v>
      </c>
      <c r="AK1765" t="s">
        <v>3634</v>
      </c>
      <c r="AL1765">
        <v>-76.092445999999995</v>
      </c>
      <c r="AM1765">
        <v>100</v>
      </c>
      <c r="AN1765">
        <v>4700</v>
      </c>
      <c r="AO1765" t="s">
        <v>115</v>
      </c>
      <c r="AP1765">
        <v>157</v>
      </c>
      <c r="AQ1765">
        <v>80</v>
      </c>
      <c r="AR1765">
        <v>0</v>
      </c>
      <c r="AZ1765">
        <v>3614</v>
      </c>
      <c r="BA1765">
        <v>1</v>
      </c>
      <c r="BB1765" t="str">
        <f t="shared" si="83"/>
        <v xml:space="preserve">N959MJ  </v>
      </c>
      <c r="BC1765">
        <v>1</v>
      </c>
      <c r="BE1765">
        <v>0</v>
      </c>
      <c r="BF1765">
        <v>0</v>
      </c>
      <c r="BG1765">
        <v>0</v>
      </c>
      <c r="BH1765">
        <v>4900</v>
      </c>
      <c r="BI1765">
        <v>200</v>
      </c>
      <c r="BJ1765">
        <v>1</v>
      </c>
      <c r="BK1765">
        <v>1</v>
      </c>
      <c r="BL1765">
        <v>1</v>
      </c>
      <c r="BM1765">
        <v>0</v>
      </c>
      <c r="BP1765">
        <v>0</v>
      </c>
      <c r="BQ1765">
        <v>0</v>
      </c>
      <c r="BX1765" t="str">
        <f>"14:19:46.297"</f>
        <v>14:19:46.297</v>
      </c>
      <c r="BY1765" t="str">
        <f>"299768875"</f>
        <v>299768875</v>
      </c>
      <c r="CL1765">
        <v>0</v>
      </c>
      <c r="CM1765">
        <v>2</v>
      </c>
      <c r="CN1765">
        <v>0</v>
      </c>
      <c r="CO1765">
        <v>2</v>
      </c>
      <c r="CP1765">
        <v>0</v>
      </c>
      <c r="CQ1765">
        <v>6</v>
      </c>
      <c r="CR1765" t="s">
        <v>116</v>
      </c>
      <c r="CS1765">
        <v>39</v>
      </c>
      <c r="CT1765">
        <v>2</v>
      </c>
      <c r="CU1765" t="s">
        <v>2259</v>
      </c>
      <c r="CV1765" t="s">
        <v>2260</v>
      </c>
      <c r="CY1765">
        <v>16120424</v>
      </c>
      <c r="CZ1765" t="s">
        <v>119</v>
      </c>
    </row>
    <row r="1766" spans="1:104" x14ac:dyDescent="0.25">
      <c r="A1766" t="str">
        <f>"14:19:47.500"</f>
        <v>14:19:47.500</v>
      </c>
      <c r="B1766" t="s">
        <v>108</v>
      </c>
      <c r="C1766" t="str">
        <f t="shared" si="82"/>
        <v>ffdfd3c0</v>
      </c>
      <c r="D1766" t="s">
        <v>109</v>
      </c>
      <c r="E1766">
        <v>4</v>
      </c>
      <c r="F1766">
        <v>1004</v>
      </c>
      <c r="G1766" t="s">
        <v>110</v>
      </c>
      <c r="J1766" t="s">
        <v>111</v>
      </c>
      <c r="K1766">
        <v>0</v>
      </c>
      <c r="L1766">
        <v>3</v>
      </c>
      <c r="M1766">
        <v>0</v>
      </c>
      <c r="N1766">
        <v>2</v>
      </c>
      <c r="O1766">
        <v>1</v>
      </c>
      <c r="P1766">
        <v>0</v>
      </c>
      <c r="Q1766">
        <v>0</v>
      </c>
      <c r="R1766" t="s">
        <v>112</v>
      </c>
      <c r="S1766" t="str">
        <f>"14:19:47.305"</f>
        <v>14:19:47.305</v>
      </c>
      <c r="T1766" t="str">
        <f>"14:19:46.805"</f>
        <v>14:19:46.805</v>
      </c>
      <c r="U1766" t="str">
        <f t="shared" si="81"/>
        <v>ad5732</v>
      </c>
      <c r="V1766">
        <v>0</v>
      </c>
      <c r="W1766">
        <v>0</v>
      </c>
      <c r="X1766">
        <v>1</v>
      </c>
      <c r="Z1766">
        <v>0</v>
      </c>
      <c r="AA1766">
        <v>9</v>
      </c>
      <c r="AB1766">
        <v>3</v>
      </c>
      <c r="AC1766">
        <v>0</v>
      </c>
      <c r="AD1766">
        <v>10</v>
      </c>
      <c r="AE1766">
        <v>0</v>
      </c>
      <c r="AF1766">
        <v>3</v>
      </c>
      <c r="AG1766">
        <v>2</v>
      </c>
      <c r="AH1766">
        <v>0</v>
      </c>
      <c r="AI1766" t="s">
        <v>3635</v>
      </c>
      <c r="AJ1766">
        <v>39.749501000000002</v>
      </c>
      <c r="AK1766" t="s">
        <v>3636</v>
      </c>
      <c r="AL1766">
        <v>-76.091480000000004</v>
      </c>
      <c r="AM1766">
        <v>100</v>
      </c>
      <c r="AN1766">
        <v>4700</v>
      </c>
      <c r="AO1766" t="s">
        <v>115</v>
      </c>
      <c r="AP1766">
        <v>157</v>
      </c>
      <c r="AQ1766">
        <v>80</v>
      </c>
      <c r="AR1766">
        <v>0</v>
      </c>
      <c r="AZ1766">
        <v>3614</v>
      </c>
      <c r="BA1766">
        <v>1</v>
      </c>
      <c r="BB1766" t="str">
        <f t="shared" si="83"/>
        <v xml:space="preserve">N959MJ  </v>
      </c>
      <c r="BC1766">
        <v>1</v>
      </c>
      <c r="BE1766">
        <v>0</v>
      </c>
      <c r="BF1766">
        <v>0</v>
      </c>
      <c r="BG1766">
        <v>0</v>
      </c>
      <c r="BH1766">
        <v>4900</v>
      </c>
      <c r="BI1766">
        <v>200</v>
      </c>
      <c r="BJ1766">
        <v>1</v>
      </c>
      <c r="BK1766">
        <v>1</v>
      </c>
      <c r="BL1766">
        <v>1</v>
      </c>
      <c r="BM1766">
        <v>0</v>
      </c>
      <c r="BP1766">
        <v>0</v>
      </c>
      <c r="BQ1766">
        <v>0</v>
      </c>
      <c r="BX1766" t="str">
        <f>"14:19:47.305"</f>
        <v>14:19:47.305</v>
      </c>
      <c r="BY1766" t="str">
        <f>"305763220"</f>
        <v>305763220</v>
      </c>
      <c r="CL1766">
        <v>0</v>
      </c>
      <c r="CM1766">
        <v>2</v>
      </c>
      <c r="CN1766">
        <v>0</v>
      </c>
      <c r="CO1766">
        <v>2</v>
      </c>
      <c r="CP1766">
        <v>0</v>
      </c>
      <c r="CQ1766">
        <v>7</v>
      </c>
      <c r="CR1766" t="s">
        <v>116</v>
      </c>
      <c r="CS1766">
        <v>39</v>
      </c>
      <c r="CT1766">
        <v>2</v>
      </c>
      <c r="CU1766" t="s">
        <v>2259</v>
      </c>
      <c r="CV1766" t="s">
        <v>2260</v>
      </c>
      <c r="CY1766">
        <v>16121919</v>
      </c>
      <c r="CZ1766" t="s">
        <v>119</v>
      </c>
    </row>
    <row r="1767" spans="1:104" x14ac:dyDescent="0.25">
      <c r="A1767" t="str">
        <f>"14:19:48.352"</f>
        <v>14:19:48.352</v>
      </c>
      <c r="B1767" t="s">
        <v>108</v>
      </c>
      <c r="C1767" t="str">
        <f t="shared" si="82"/>
        <v>ffdfd3c0</v>
      </c>
      <c r="D1767" t="s">
        <v>109</v>
      </c>
      <c r="E1767">
        <v>4</v>
      </c>
      <c r="F1767">
        <v>1004</v>
      </c>
      <c r="G1767" t="s">
        <v>110</v>
      </c>
      <c r="J1767" t="s">
        <v>111</v>
      </c>
      <c r="K1767">
        <v>0</v>
      </c>
      <c r="L1767">
        <v>3</v>
      </c>
      <c r="M1767">
        <v>0</v>
      </c>
      <c r="N1767">
        <v>2</v>
      </c>
      <c r="O1767">
        <v>1</v>
      </c>
      <c r="P1767">
        <v>0</v>
      </c>
      <c r="Q1767">
        <v>0</v>
      </c>
      <c r="R1767" t="s">
        <v>112</v>
      </c>
      <c r="S1767" t="str">
        <f>"14:19:48.203"</f>
        <v>14:19:48.203</v>
      </c>
      <c r="T1767" t="str">
        <f>"14:19:47.805"</f>
        <v>14:19:47.805</v>
      </c>
      <c r="U1767" t="str">
        <f t="shared" si="81"/>
        <v>ad5732</v>
      </c>
      <c r="V1767">
        <v>0</v>
      </c>
      <c r="W1767">
        <v>0</v>
      </c>
      <c r="X1767">
        <v>1</v>
      </c>
      <c r="Z1767">
        <v>0</v>
      </c>
      <c r="AA1767">
        <v>9</v>
      </c>
      <c r="AB1767">
        <v>3</v>
      </c>
      <c r="AC1767">
        <v>0</v>
      </c>
      <c r="AD1767">
        <v>10</v>
      </c>
      <c r="AE1767">
        <v>0</v>
      </c>
      <c r="AF1767">
        <v>3</v>
      </c>
      <c r="AG1767">
        <v>2</v>
      </c>
      <c r="AH1767">
        <v>0</v>
      </c>
      <c r="AI1767" t="s">
        <v>3637</v>
      </c>
      <c r="AJ1767">
        <v>39.749800999999998</v>
      </c>
      <c r="AK1767" t="s">
        <v>3638</v>
      </c>
      <c r="AL1767">
        <v>-76.090643</v>
      </c>
      <c r="AM1767">
        <v>100</v>
      </c>
      <c r="AN1767">
        <v>4700</v>
      </c>
      <c r="AO1767" t="s">
        <v>115</v>
      </c>
      <c r="AP1767">
        <v>157</v>
      </c>
      <c r="AQ1767">
        <v>80</v>
      </c>
      <c r="AR1767">
        <v>0</v>
      </c>
      <c r="AZ1767">
        <v>3614</v>
      </c>
      <c r="BA1767">
        <v>1</v>
      </c>
      <c r="BB1767" t="str">
        <f t="shared" si="83"/>
        <v xml:space="preserve">N959MJ  </v>
      </c>
      <c r="BC1767">
        <v>1</v>
      </c>
      <c r="BE1767">
        <v>0</v>
      </c>
      <c r="BF1767">
        <v>0</v>
      </c>
      <c r="BG1767">
        <v>0</v>
      </c>
      <c r="BH1767">
        <v>4900</v>
      </c>
      <c r="BI1767">
        <v>200</v>
      </c>
      <c r="BJ1767">
        <v>1</v>
      </c>
      <c r="BK1767">
        <v>1</v>
      </c>
      <c r="BL1767">
        <v>1</v>
      </c>
      <c r="BM1767">
        <v>0</v>
      </c>
      <c r="BP1767">
        <v>0</v>
      </c>
      <c r="BQ1767">
        <v>0</v>
      </c>
      <c r="BX1767" t="str">
        <f>"14:19:48.211"</f>
        <v>14:19:48.211</v>
      </c>
      <c r="BY1767" t="str">
        <f>"208533017"</f>
        <v>208533017</v>
      </c>
      <c r="CL1767">
        <v>0</v>
      </c>
      <c r="CM1767">
        <v>2</v>
      </c>
      <c r="CN1767">
        <v>0</v>
      </c>
      <c r="CO1767">
        <v>2</v>
      </c>
      <c r="CP1767">
        <v>0</v>
      </c>
      <c r="CQ1767">
        <v>6</v>
      </c>
      <c r="CR1767" t="s">
        <v>116</v>
      </c>
      <c r="CS1767">
        <v>396</v>
      </c>
      <c r="CT1767">
        <v>1</v>
      </c>
      <c r="CU1767" t="s">
        <v>939</v>
      </c>
      <c r="CV1767" t="s">
        <v>940</v>
      </c>
      <c r="CY1767">
        <v>9459137</v>
      </c>
      <c r="CZ1767" t="s">
        <v>119</v>
      </c>
    </row>
    <row r="1768" spans="1:104" x14ac:dyDescent="0.25">
      <c r="A1768" t="str">
        <f>"14:19:49.359"</f>
        <v>14:19:49.359</v>
      </c>
      <c r="B1768" t="s">
        <v>108</v>
      </c>
      <c r="C1768" t="str">
        <f t="shared" si="82"/>
        <v>ffdfd3c0</v>
      </c>
      <c r="D1768" t="s">
        <v>109</v>
      </c>
      <c r="E1768">
        <v>4</v>
      </c>
      <c r="F1768">
        <v>1004</v>
      </c>
      <c r="G1768" t="s">
        <v>110</v>
      </c>
      <c r="J1768" t="s">
        <v>111</v>
      </c>
      <c r="K1768">
        <v>0</v>
      </c>
      <c r="L1768">
        <v>3</v>
      </c>
      <c r="M1768">
        <v>0</v>
      </c>
      <c r="N1768">
        <v>2</v>
      </c>
      <c r="O1768">
        <v>1</v>
      </c>
      <c r="P1768">
        <v>0</v>
      </c>
      <c r="Q1768">
        <v>0</v>
      </c>
      <c r="R1768" t="s">
        <v>112</v>
      </c>
      <c r="S1768" t="str">
        <f>"14:19:49.164"</f>
        <v>14:19:49.164</v>
      </c>
      <c r="T1768" t="str">
        <f>"14:19:48.766"</f>
        <v>14:19:48.766</v>
      </c>
      <c r="U1768" t="str">
        <f t="shared" si="81"/>
        <v>ad5732</v>
      </c>
      <c r="V1768">
        <v>0</v>
      </c>
      <c r="W1768">
        <v>0</v>
      </c>
      <c r="X1768">
        <v>1</v>
      </c>
      <c r="Z1768">
        <v>0</v>
      </c>
      <c r="AA1768">
        <v>9</v>
      </c>
      <c r="AB1768">
        <v>3</v>
      </c>
      <c r="AC1768">
        <v>0</v>
      </c>
      <c r="AD1768">
        <v>10</v>
      </c>
      <c r="AE1768">
        <v>0</v>
      </c>
      <c r="AF1768">
        <v>3</v>
      </c>
      <c r="AG1768">
        <v>2</v>
      </c>
      <c r="AH1768">
        <v>0</v>
      </c>
      <c r="AI1768" t="s">
        <v>3639</v>
      </c>
      <c r="AJ1768">
        <v>39.750143999999999</v>
      </c>
      <c r="AK1768" t="s">
        <v>3640</v>
      </c>
      <c r="AL1768">
        <v>-76.089806999999993</v>
      </c>
      <c r="AM1768">
        <v>100</v>
      </c>
      <c r="AN1768">
        <v>4700</v>
      </c>
      <c r="AO1768" t="s">
        <v>115</v>
      </c>
      <c r="AP1768">
        <v>157</v>
      </c>
      <c r="AQ1768">
        <v>80</v>
      </c>
      <c r="AR1768">
        <v>0</v>
      </c>
      <c r="AZ1768">
        <v>3614</v>
      </c>
      <c r="BA1768">
        <v>1</v>
      </c>
      <c r="BB1768" t="str">
        <f t="shared" si="83"/>
        <v xml:space="preserve">N959MJ  </v>
      </c>
      <c r="BC1768">
        <v>1</v>
      </c>
      <c r="BE1768">
        <v>0</v>
      </c>
      <c r="BF1768">
        <v>0</v>
      </c>
      <c r="BG1768">
        <v>0</v>
      </c>
      <c r="BH1768">
        <v>4900</v>
      </c>
      <c r="BI1768">
        <v>200</v>
      </c>
      <c r="BJ1768">
        <v>1</v>
      </c>
      <c r="BK1768">
        <v>1</v>
      </c>
      <c r="BL1768">
        <v>1</v>
      </c>
      <c r="BM1768">
        <v>0</v>
      </c>
      <c r="BP1768">
        <v>0</v>
      </c>
      <c r="BQ1768">
        <v>0</v>
      </c>
      <c r="BX1768" t="str">
        <f>"14:19:49.172"</f>
        <v>14:19:49.172</v>
      </c>
      <c r="BY1768" t="str">
        <f>"168655020"</f>
        <v>168655020</v>
      </c>
      <c r="CL1768">
        <v>0</v>
      </c>
      <c r="CM1768">
        <v>2</v>
      </c>
      <c r="CN1768">
        <v>0</v>
      </c>
      <c r="CO1768">
        <v>2</v>
      </c>
      <c r="CP1768">
        <v>0</v>
      </c>
      <c r="CQ1768">
        <v>6</v>
      </c>
      <c r="CR1768" t="s">
        <v>116</v>
      </c>
      <c r="CS1768">
        <v>39</v>
      </c>
      <c r="CT1768">
        <v>2</v>
      </c>
      <c r="CU1768" t="s">
        <v>2259</v>
      </c>
      <c r="CV1768" t="s">
        <v>2260</v>
      </c>
      <c r="CY1768">
        <v>16125085</v>
      </c>
      <c r="CZ1768" t="s">
        <v>119</v>
      </c>
    </row>
    <row r="1769" spans="1:104" x14ac:dyDescent="0.25">
      <c r="A1769" t="str">
        <f>"14:19:50.375"</f>
        <v>14:19:50.375</v>
      </c>
      <c r="B1769" t="s">
        <v>108</v>
      </c>
      <c r="C1769" t="str">
        <f t="shared" si="82"/>
        <v>ffdfd3c0</v>
      </c>
      <c r="D1769" t="s">
        <v>109</v>
      </c>
      <c r="E1769">
        <v>4</v>
      </c>
      <c r="F1769">
        <v>1004</v>
      </c>
      <c r="G1769" t="s">
        <v>110</v>
      </c>
      <c r="J1769" t="s">
        <v>111</v>
      </c>
      <c r="K1769">
        <v>0</v>
      </c>
      <c r="L1769">
        <v>3</v>
      </c>
      <c r="M1769">
        <v>0</v>
      </c>
      <c r="N1769">
        <v>2</v>
      </c>
      <c r="O1769">
        <v>1</v>
      </c>
      <c r="P1769">
        <v>0</v>
      </c>
      <c r="Q1769">
        <v>0</v>
      </c>
      <c r="R1769" t="s">
        <v>112</v>
      </c>
      <c r="S1769" t="str">
        <f>"14:19:50.164"</f>
        <v>14:19:50.164</v>
      </c>
      <c r="T1769" t="str">
        <f>"14:19:49.664"</f>
        <v>14:19:49.664</v>
      </c>
      <c r="U1769" t="str">
        <f t="shared" si="81"/>
        <v>ad5732</v>
      </c>
      <c r="V1769">
        <v>0</v>
      </c>
      <c r="W1769">
        <v>0</v>
      </c>
      <c r="X1769">
        <v>1</v>
      </c>
      <c r="Z1769">
        <v>0</v>
      </c>
      <c r="AA1769">
        <v>9</v>
      </c>
      <c r="AB1769">
        <v>3</v>
      </c>
      <c r="AC1769">
        <v>0</v>
      </c>
      <c r="AD1769">
        <v>10</v>
      </c>
      <c r="AE1769">
        <v>0</v>
      </c>
      <c r="AF1769">
        <v>3</v>
      </c>
      <c r="AG1769">
        <v>2</v>
      </c>
      <c r="AH1769">
        <v>0</v>
      </c>
      <c r="AI1769" t="s">
        <v>3641</v>
      </c>
      <c r="AJ1769">
        <v>39.750509000000001</v>
      </c>
      <c r="AK1769" t="s">
        <v>3642</v>
      </c>
      <c r="AL1769">
        <v>-76.088862000000006</v>
      </c>
      <c r="AM1769">
        <v>100</v>
      </c>
      <c r="AN1769">
        <v>4700</v>
      </c>
      <c r="AO1769" t="s">
        <v>115</v>
      </c>
      <c r="AP1769">
        <v>157</v>
      </c>
      <c r="AQ1769">
        <v>80</v>
      </c>
      <c r="AR1769">
        <v>0</v>
      </c>
      <c r="AZ1769">
        <v>3614</v>
      </c>
      <c r="BA1769">
        <v>1</v>
      </c>
      <c r="BB1769" t="str">
        <f t="shared" si="83"/>
        <v xml:space="preserve">N959MJ  </v>
      </c>
      <c r="BC1769">
        <v>1</v>
      </c>
      <c r="BE1769">
        <v>0</v>
      </c>
      <c r="BF1769">
        <v>0</v>
      </c>
      <c r="BG1769">
        <v>0</v>
      </c>
      <c r="BH1769">
        <v>4900</v>
      </c>
      <c r="BI1769">
        <v>200</v>
      </c>
      <c r="BJ1769">
        <v>1</v>
      </c>
      <c r="BK1769">
        <v>1</v>
      </c>
      <c r="BL1769">
        <v>1</v>
      </c>
      <c r="BM1769">
        <v>0</v>
      </c>
      <c r="BP1769">
        <v>0</v>
      </c>
      <c r="BQ1769">
        <v>0</v>
      </c>
      <c r="BX1769" t="str">
        <f>"14:19:50.172"</f>
        <v>14:19:50.172</v>
      </c>
      <c r="BY1769" t="str">
        <f>"171372506"</f>
        <v>171372506</v>
      </c>
      <c r="CL1769">
        <v>0</v>
      </c>
      <c r="CM1769">
        <v>2</v>
      </c>
      <c r="CN1769">
        <v>0</v>
      </c>
      <c r="CO1769">
        <v>2</v>
      </c>
      <c r="CP1769">
        <v>0</v>
      </c>
      <c r="CQ1769">
        <v>6</v>
      </c>
      <c r="CR1769" t="s">
        <v>116</v>
      </c>
      <c r="CS1769">
        <v>39</v>
      </c>
      <c r="CT1769">
        <v>2</v>
      </c>
      <c r="CU1769" t="s">
        <v>2259</v>
      </c>
      <c r="CV1769" t="s">
        <v>2260</v>
      </c>
      <c r="CY1769">
        <v>16126717</v>
      </c>
      <c r="CZ1769" t="s">
        <v>119</v>
      </c>
    </row>
    <row r="1770" spans="1:104" x14ac:dyDescent="0.25">
      <c r="A1770" t="str">
        <f>"14:19:51.234"</f>
        <v>14:19:51.234</v>
      </c>
      <c r="B1770" t="s">
        <v>108</v>
      </c>
      <c r="C1770" t="str">
        <f t="shared" si="82"/>
        <v>ffdfd3c0</v>
      </c>
      <c r="D1770" t="s">
        <v>109</v>
      </c>
      <c r="E1770">
        <v>4</v>
      </c>
      <c r="F1770">
        <v>1004</v>
      </c>
      <c r="G1770" t="s">
        <v>110</v>
      </c>
      <c r="J1770" t="s">
        <v>111</v>
      </c>
      <c r="K1770">
        <v>0</v>
      </c>
      <c r="L1770">
        <v>3</v>
      </c>
      <c r="M1770">
        <v>0</v>
      </c>
      <c r="N1770">
        <v>2</v>
      </c>
      <c r="O1770">
        <v>1</v>
      </c>
      <c r="P1770">
        <v>0</v>
      </c>
      <c r="Q1770">
        <v>0</v>
      </c>
      <c r="R1770" t="s">
        <v>112</v>
      </c>
      <c r="S1770" t="str">
        <f>"14:19:51.070"</f>
        <v>14:19:51.070</v>
      </c>
      <c r="T1770" t="str">
        <f>"14:19:50.672"</f>
        <v>14:19:50.672</v>
      </c>
      <c r="U1770" t="str">
        <f t="shared" si="81"/>
        <v>ad5732</v>
      </c>
      <c r="V1770">
        <v>0</v>
      </c>
      <c r="W1770">
        <v>0</v>
      </c>
      <c r="X1770">
        <v>1</v>
      </c>
      <c r="Z1770">
        <v>0</v>
      </c>
      <c r="AA1770">
        <v>9</v>
      </c>
      <c r="AB1770">
        <v>3</v>
      </c>
      <c r="AC1770">
        <v>0</v>
      </c>
      <c r="AD1770">
        <v>10</v>
      </c>
      <c r="AE1770">
        <v>0</v>
      </c>
      <c r="AF1770">
        <v>3</v>
      </c>
      <c r="AG1770">
        <v>2</v>
      </c>
      <c r="AH1770">
        <v>0</v>
      </c>
      <c r="AI1770" t="s">
        <v>3643</v>
      </c>
      <c r="AJ1770">
        <v>39.750852999999999</v>
      </c>
      <c r="AK1770" t="s">
        <v>3644</v>
      </c>
      <c r="AL1770">
        <v>-76.088003999999998</v>
      </c>
      <c r="AM1770">
        <v>100</v>
      </c>
      <c r="AN1770">
        <v>4700</v>
      </c>
      <c r="AO1770" t="s">
        <v>115</v>
      </c>
      <c r="AP1770">
        <v>157</v>
      </c>
      <c r="AQ1770">
        <v>80</v>
      </c>
      <c r="AR1770">
        <v>0</v>
      </c>
      <c r="AZ1770">
        <v>3614</v>
      </c>
      <c r="BA1770">
        <v>1</v>
      </c>
      <c r="BB1770" t="str">
        <f t="shared" si="83"/>
        <v xml:space="preserve">N959MJ  </v>
      </c>
      <c r="BC1770">
        <v>1</v>
      </c>
      <c r="BE1770">
        <v>0</v>
      </c>
      <c r="BF1770">
        <v>0</v>
      </c>
      <c r="BG1770">
        <v>0</v>
      </c>
      <c r="BH1770">
        <v>4900</v>
      </c>
      <c r="BI1770">
        <v>200</v>
      </c>
      <c r="BJ1770">
        <v>1</v>
      </c>
      <c r="BK1770">
        <v>1</v>
      </c>
      <c r="BL1770">
        <v>1</v>
      </c>
      <c r="BM1770">
        <v>0</v>
      </c>
      <c r="BP1770">
        <v>0</v>
      </c>
      <c r="BQ1770">
        <v>0</v>
      </c>
      <c r="BX1770" t="str">
        <f>"14:19:51.070"</f>
        <v>14:19:51.070</v>
      </c>
      <c r="BY1770" t="str">
        <f>"072507553"</f>
        <v>072507553</v>
      </c>
      <c r="CL1770">
        <v>0</v>
      </c>
      <c r="CM1770">
        <v>2</v>
      </c>
      <c r="CN1770">
        <v>0</v>
      </c>
      <c r="CO1770">
        <v>2</v>
      </c>
      <c r="CP1770">
        <v>0</v>
      </c>
      <c r="CQ1770">
        <v>6</v>
      </c>
      <c r="CR1770" t="s">
        <v>116</v>
      </c>
      <c r="CS1770">
        <v>39</v>
      </c>
      <c r="CT1770">
        <v>2</v>
      </c>
      <c r="CU1770" t="s">
        <v>2259</v>
      </c>
      <c r="CV1770" t="s">
        <v>2260</v>
      </c>
      <c r="CY1770">
        <v>16128022</v>
      </c>
      <c r="CZ1770" t="s">
        <v>119</v>
      </c>
    </row>
    <row r="1771" spans="1:104" x14ac:dyDescent="0.25">
      <c r="A1771" t="str">
        <f>"14:19:52.141"</f>
        <v>14:19:52.141</v>
      </c>
      <c r="B1771" t="s">
        <v>108</v>
      </c>
      <c r="C1771" t="str">
        <f t="shared" si="82"/>
        <v>ffdfd3c0</v>
      </c>
      <c r="D1771" t="s">
        <v>109</v>
      </c>
      <c r="E1771">
        <v>4</v>
      </c>
      <c r="F1771">
        <v>1004</v>
      </c>
      <c r="G1771" t="s">
        <v>110</v>
      </c>
      <c r="J1771" t="s">
        <v>111</v>
      </c>
      <c r="K1771">
        <v>0</v>
      </c>
      <c r="L1771">
        <v>3</v>
      </c>
      <c r="M1771">
        <v>0</v>
      </c>
      <c r="N1771">
        <v>2</v>
      </c>
      <c r="O1771">
        <v>1</v>
      </c>
      <c r="P1771">
        <v>0</v>
      </c>
      <c r="Q1771">
        <v>0</v>
      </c>
      <c r="R1771" t="s">
        <v>112</v>
      </c>
      <c r="S1771" t="str">
        <f>"14:19:51.930"</f>
        <v>14:19:51.930</v>
      </c>
      <c r="T1771" t="str">
        <f>"14:19:51.531"</f>
        <v>14:19:51.531</v>
      </c>
      <c r="U1771" t="str">
        <f t="shared" si="81"/>
        <v>ad5732</v>
      </c>
      <c r="V1771">
        <v>0</v>
      </c>
      <c r="W1771">
        <v>0</v>
      </c>
      <c r="X1771">
        <v>1</v>
      </c>
      <c r="Z1771">
        <v>0</v>
      </c>
      <c r="AA1771">
        <v>9</v>
      </c>
      <c r="AB1771">
        <v>3</v>
      </c>
      <c r="AC1771">
        <v>0</v>
      </c>
      <c r="AD1771">
        <v>10</v>
      </c>
      <c r="AE1771">
        <v>0</v>
      </c>
      <c r="AF1771">
        <v>3</v>
      </c>
      <c r="AG1771">
        <v>2</v>
      </c>
      <c r="AH1771">
        <v>0</v>
      </c>
      <c r="AI1771" t="s">
        <v>3645</v>
      </c>
      <c r="AJ1771">
        <v>39.751196</v>
      </c>
      <c r="AK1771" t="s">
        <v>3646</v>
      </c>
      <c r="AL1771">
        <v>-76.087188999999995</v>
      </c>
      <c r="AM1771">
        <v>100</v>
      </c>
      <c r="AN1771">
        <v>4700</v>
      </c>
      <c r="AO1771" t="s">
        <v>115</v>
      </c>
      <c r="AP1771">
        <v>157</v>
      </c>
      <c r="AQ1771">
        <v>80</v>
      </c>
      <c r="AR1771">
        <v>0</v>
      </c>
      <c r="AZ1771">
        <v>3614</v>
      </c>
      <c r="BA1771">
        <v>1</v>
      </c>
      <c r="BB1771" t="str">
        <f t="shared" si="83"/>
        <v xml:space="preserve">N959MJ  </v>
      </c>
      <c r="BC1771">
        <v>1</v>
      </c>
      <c r="BE1771">
        <v>0</v>
      </c>
      <c r="BF1771">
        <v>0</v>
      </c>
      <c r="BG1771">
        <v>0</v>
      </c>
      <c r="BH1771">
        <v>4900</v>
      </c>
      <c r="BI1771">
        <v>200</v>
      </c>
      <c r="BJ1771">
        <v>1</v>
      </c>
      <c r="BK1771">
        <v>1</v>
      </c>
      <c r="BL1771">
        <v>1</v>
      </c>
      <c r="BM1771">
        <v>0</v>
      </c>
      <c r="BP1771">
        <v>0</v>
      </c>
      <c r="BQ1771">
        <v>0</v>
      </c>
      <c r="BX1771" t="str">
        <f>"14:19:51.938"</f>
        <v>14:19:51.938</v>
      </c>
      <c r="BY1771" t="str">
        <f>"934318606"</f>
        <v>934318606</v>
      </c>
      <c r="CL1771">
        <v>0</v>
      </c>
      <c r="CM1771">
        <v>2</v>
      </c>
      <c r="CN1771">
        <v>0</v>
      </c>
      <c r="CO1771">
        <v>2</v>
      </c>
      <c r="CP1771">
        <v>0</v>
      </c>
      <c r="CQ1771">
        <v>6</v>
      </c>
      <c r="CR1771" t="s">
        <v>116</v>
      </c>
      <c r="CS1771">
        <v>396</v>
      </c>
      <c r="CT1771">
        <v>1</v>
      </c>
      <c r="CU1771" t="s">
        <v>939</v>
      </c>
      <c r="CV1771" t="s">
        <v>940</v>
      </c>
      <c r="CY1771">
        <v>9465639</v>
      </c>
      <c r="CZ1771" t="s">
        <v>119</v>
      </c>
    </row>
    <row r="1772" spans="1:104" x14ac:dyDescent="0.25">
      <c r="A1772" t="str">
        <f>"14:19:53.102"</f>
        <v>14:19:53.102</v>
      </c>
      <c r="B1772" t="s">
        <v>108</v>
      </c>
      <c r="C1772" t="str">
        <f t="shared" si="82"/>
        <v>ffdfd3c0</v>
      </c>
      <c r="D1772" t="s">
        <v>109</v>
      </c>
      <c r="E1772">
        <v>4</v>
      </c>
      <c r="F1772">
        <v>1004</v>
      </c>
      <c r="G1772" t="s">
        <v>110</v>
      </c>
      <c r="J1772" t="s">
        <v>111</v>
      </c>
      <c r="K1772">
        <v>0</v>
      </c>
      <c r="L1772">
        <v>3</v>
      </c>
      <c r="M1772">
        <v>0</v>
      </c>
      <c r="N1772">
        <v>2</v>
      </c>
      <c r="O1772">
        <v>1</v>
      </c>
      <c r="P1772">
        <v>0</v>
      </c>
      <c r="Q1772">
        <v>0</v>
      </c>
      <c r="R1772" t="s">
        <v>112</v>
      </c>
      <c r="S1772" t="str">
        <f>"14:19:52.938"</f>
        <v>14:19:52.938</v>
      </c>
      <c r="T1772" t="str">
        <f>"14:19:52.438"</f>
        <v>14:19:52.438</v>
      </c>
      <c r="U1772" t="str">
        <f t="shared" si="81"/>
        <v>ad5732</v>
      </c>
      <c r="V1772">
        <v>0</v>
      </c>
      <c r="W1772">
        <v>0</v>
      </c>
      <c r="X1772">
        <v>1</v>
      </c>
      <c r="Z1772">
        <v>0</v>
      </c>
      <c r="AA1772">
        <v>9</v>
      </c>
      <c r="AB1772">
        <v>3</v>
      </c>
      <c r="AC1772">
        <v>0</v>
      </c>
      <c r="AD1772">
        <v>10</v>
      </c>
      <c r="AE1772">
        <v>0</v>
      </c>
      <c r="AF1772">
        <v>3</v>
      </c>
      <c r="AG1772">
        <v>2</v>
      </c>
      <c r="AH1772">
        <v>0</v>
      </c>
      <c r="AI1772" t="s">
        <v>3647</v>
      </c>
      <c r="AJ1772">
        <v>39.751561000000002</v>
      </c>
      <c r="AK1772" t="s">
        <v>3648</v>
      </c>
      <c r="AL1772">
        <v>-76.086223000000004</v>
      </c>
      <c r="AM1772">
        <v>100</v>
      </c>
      <c r="AN1772">
        <v>4700</v>
      </c>
      <c r="AO1772" t="s">
        <v>115</v>
      </c>
      <c r="AP1772">
        <v>157</v>
      </c>
      <c r="AQ1772">
        <v>80</v>
      </c>
      <c r="AR1772">
        <v>0</v>
      </c>
      <c r="AZ1772">
        <v>3614</v>
      </c>
      <c r="BA1772">
        <v>1</v>
      </c>
      <c r="BB1772" t="str">
        <f t="shared" si="83"/>
        <v xml:space="preserve">N959MJ  </v>
      </c>
      <c r="BC1772">
        <v>1</v>
      </c>
      <c r="BE1772">
        <v>0</v>
      </c>
      <c r="BF1772">
        <v>0</v>
      </c>
      <c r="BG1772">
        <v>0</v>
      </c>
      <c r="BH1772">
        <v>4900</v>
      </c>
      <c r="BI1772">
        <v>200</v>
      </c>
      <c r="BJ1772">
        <v>1</v>
      </c>
      <c r="BK1772">
        <v>1</v>
      </c>
      <c r="BL1772">
        <v>1</v>
      </c>
      <c r="BM1772">
        <v>0</v>
      </c>
      <c r="BP1772">
        <v>0</v>
      </c>
      <c r="BQ1772">
        <v>0</v>
      </c>
      <c r="BX1772" t="str">
        <f>"14:19:52.945"</f>
        <v>14:19:52.945</v>
      </c>
      <c r="BY1772" t="str">
        <f>"945229874"</f>
        <v>945229874</v>
      </c>
      <c r="CL1772">
        <v>0</v>
      </c>
      <c r="CM1772">
        <v>2</v>
      </c>
      <c r="CN1772">
        <v>0</v>
      </c>
      <c r="CO1772">
        <v>2</v>
      </c>
      <c r="CP1772">
        <v>0</v>
      </c>
      <c r="CQ1772">
        <v>6</v>
      </c>
      <c r="CR1772" t="s">
        <v>116</v>
      </c>
      <c r="CS1772">
        <v>39</v>
      </c>
      <c r="CT1772">
        <v>2</v>
      </c>
      <c r="CU1772" t="s">
        <v>2259</v>
      </c>
      <c r="CV1772" t="s">
        <v>2260</v>
      </c>
      <c r="CY1772">
        <v>16130911</v>
      </c>
      <c r="CZ1772" t="s">
        <v>119</v>
      </c>
    </row>
    <row r="1773" spans="1:104" x14ac:dyDescent="0.25">
      <c r="A1773" t="str">
        <f>"14:19:54.211"</f>
        <v>14:19:54.211</v>
      </c>
      <c r="B1773" t="s">
        <v>108</v>
      </c>
      <c r="C1773" t="str">
        <f t="shared" si="82"/>
        <v>ffdfd3c0</v>
      </c>
      <c r="D1773" t="s">
        <v>109</v>
      </c>
      <c r="E1773">
        <v>4</v>
      </c>
      <c r="F1773">
        <v>1004</v>
      </c>
      <c r="G1773" t="s">
        <v>110</v>
      </c>
      <c r="J1773" t="s">
        <v>111</v>
      </c>
      <c r="K1773">
        <v>0</v>
      </c>
      <c r="L1773">
        <v>3</v>
      </c>
      <c r="M1773">
        <v>0</v>
      </c>
      <c r="N1773">
        <v>2</v>
      </c>
      <c r="O1773">
        <v>1</v>
      </c>
      <c r="P1773">
        <v>0</v>
      </c>
      <c r="Q1773">
        <v>0</v>
      </c>
      <c r="R1773" t="s">
        <v>112</v>
      </c>
      <c r="S1773" t="str">
        <f>"14:19:54.039"</f>
        <v>14:19:54.039</v>
      </c>
      <c r="T1773" t="str">
        <f>"14:19:53.539"</f>
        <v>14:19:53.539</v>
      </c>
      <c r="U1773" t="str">
        <f t="shared" si="81"/>
        <v>ad5732</v>
      </c>
      <c r="V1773">
        <v>0</v>
      </c>
      <c r="W1773">
        <v>0</v>
      </c>
      <c r="X1773">
        <v>1</v>
      </c>
      <c r="Z1773">
        <v>0</v>
      </c>
      <c r="AA1773">
        <v>9</v>
      </c>
      <c r="AB1773">
        <v>3</v>
      </c>
      <c r="AC1773">
        <v>0</v>
      </c>
      <c r="AD1773">
        <v>10</v>
      </c>
      <c r="AE1773">
        <v>0</v>
      </c>
      <c r="AF1773">
        <v>3</v>
      </c>
      <c r="AG1773">
        <v>2</v>
      </c>
      <c r="AH1773">
        <v>0</v>
      </c>
      <c r="AI1773" t="s">
        <v>3649</v>
      </c>
      <c r="AJ1773">
        <v>39.751989999999999</v>
      </c>
      <c r="AK1773" t="s">
        <v>3650</v>
      </c>
      <c r="AL1773">
        <v>-76.085215000000005</v>
      </c>
      <c r="AM1773">
        <v>100</v>
      </c>
      <c r="AN1773">
        <v>4700</v>
      </c>
      <c r="AO1773" t="s">
        <v>115</v>
      </c>
      <c r="AP1773">
        <v>157</v>
      </c>
      <c r="AQ1773">
        <v>80</v>
      </c>
      <c r="AR1773">
        <v>0</v>
      </c>
      <c r="AZ1773">
        <v>3614</v>
      </c>
      <c r="BA1773">
        <v>1</v>
      </c>
      <c r="BB1773" t="str">
        <f t="shared" si="83"/>
        <v xml:space="preserve">N959MJ  </v>
      </c>
      <c r="BC1773">
        <v>1</v>
      </c>
      <c r="BE1773">
        <v>0</v>
      </c>
      <c r="BF1773">
        <v>0</v>
      </c>
      <c r="BG1773">
        <v>0</v>
      </c>
      <c r="BH1773">
        <v>4900</v>
      </c>
      <c r="BI1773">
        <v>200</v>
      </c>
      <c r="BJ1773">
        <v>1</v>
      </c>
      <c r="BK1773">
        <v>1</v>
      </c>
      <c r="BL1773">
        <v>1</v>
      </c>
      <c r="BM1773">
        <v>0</v>
      </c>
      <c r="BP1773">
        <v>0</v>
      </c>
      <c r="BQ1773">
        <v>0</v>
      </c>
      <c r="BX1773" t="str">
        <f>"14:19:54.047"</f>
        <v>14:19:54.047</v>
      </c>
      <c r="BY1773" t="str">
        <f>"046253037"</f>
        <v>046253037</v>
      </c>
      <c r="CL1773">
        <v>0</v>
      </c>
      <c r="CM1773">
        <v>2</v>
      </c>
      <c r="CN1773">
        <v>0</v>
      </c>
      <c r="CO1773">
        <v>2</v>
      </c>
      <c r="CP1773">
        <v>0</v>
      </c>
      <c r="CQ1773">
        <v>7</v>
      </c>
      <c r="CR1773" t="s">
        <v>116</v>
      </c>
      <c r="CS1773">
        <v>39</v>
      </c>
      <c r="CT1773">
        <v>2</v>
      </c>
      <c r="CU1773" t="s">
        <v>2259</v>
      </c>
      <c r="CV1773" t="s">
        <v>2260</v>
      </c>
      <c r="CY1773">
        <v>16132770</v>
      </c>
      <c r="CZ1773" t="s">
        <v>119</v>
      </c>
    </row>
    <row r="1774" spans="1:104" x14ac:dyDescent="0.25">
      <c r="A1774" t="str">
        <f>"14:19:55.266"</f>
        <v>14:19:55.266</v>
      </c>
      <c r="B1774" t="s">
        <v>108</v>
      </c>
      <c r="C1774" t="str">
        <f t="shared" si="82"/>
        <v>ffdfd3c0</v>
      </c>
      <c r="D1774" t="s">
        <v>109</v>
      </c>
      <c r="E1774">
        <v>4</v>
      </c>
      <c r="F1774">
        <v>1004</v>
      </c>
      <c r="G1774" t="s">
        <v>110</v>
      </c>
      <c r="J1774" t="s">
        <v>111</v>
      </c>
      <c r="K1774">
        <v>0</v>
      </c>
      <c r="L1774">
        <v>3</v>
      </c>
      <c r="M1774">
        <v>0</v>
      </c>
      <c r="N1774">
        <v>2</v>
      </c>
      <c r="O1774">
        <v>1</v>
      </c>
      <c r="P1774">
        <v>0</v>
      </c>
      <c r="Q1774">
        <v>0</v>
      </c>
      <c r="R1774" t="s">
        <v>112</v>
      </c>
      <c r="S1774" t="str">
        <f>"14:19:55.070"</f>
        <v>14:19:55.070</v>
      </c>
      <c r="T1774" t="str">
        <f>"14:19:54.570"</f>
        <v>14:19:54.570</v>
      </c>
      <c r="U1774" t="str">
        <f t="shared" si="81"/>
        <v>ad5732</v>
      </c>
      <c r="V1774">
        <v>0</v>
      </c>
      <c r="W1774">
        <v>0</v>
      </c>
      <c r="X1774">
        <v>1</v>
      </c>
      <c r="Z1774">
        <v>0</v>
      </c>
      <c r="AA1774">
        <v>9</v>
      </c>
      <c r="AB1774">
        <v>3</v>
      </c>
      <c r="AC1774">
        <v>0</v>
      </c>
      <c r="AD1774">
        <v>10</v>
      </c>
      <c r="AE1774">
        <v>0</v>
      </c>
      <c r="AF1774">
        <v>3</v>
      </c>
      <c r="AG1774">
        <v>2</v>
      </c>
      <c r="AH1774">
        <v>0</v>
      </c>
      <c r="AI1774" t="s">
        <v>3651</v>
      </c>
      <c r="AJ1774">
        <v>39.752355000000001</v>
      </c>
      <c r="AK1774" t="s">
        <v>3652</v>
      </c>
      <c r="AL1774">
        <v>-76.084227999999996</v>
      </c>
      <c r="AM1774">
        <v>100</v>
      </c>
      <c r="AN1774">
        <v>4700</v>
      </c>
      <c r="AO1774" t="s">
        <v>115</v>
      </c>
      <c r="AP1774">
        <v>157</v>
      </c>
      <c r="AQ1774">
        <v>80</v>
      </c>
      <c r="AR1774">
        <v>0</v>
      </c>
      <c r="AZ1774">
        <v>3614</v>
      </c>
      <c r="BA1774">
        <v>1</v>
      </c>
      <c r="BB1774" t="str">
        <f t="shared" si="83"/>
        <v xml:space="preserve">N959MJ  </v>
      </c>
      <c r="BC1774">
        <v>1</v>
      </c>
      <c r="BE1774">
        <v>0</v>
      </c>
      <c r="BF1774">
        <v>0</v>
      </c>
      <c r="BG1774">
        <v>0</v>
      </c>
      <c r="BH1774">
        <v>4900</v>
      </c>
      <c r="BI1774">
        <v>200</v>
      </c>
      <c r="BJ1774">
        <v>1</v>
      </c>
      <c r="BK1774">
        <v>1</v>
      </c>
      <c r="BL1774">
        <v>1</v>
      </c>
      <c r="BM1774">
        <v>0</v>
      </c>
      <c r="BP1774">
        <v>0</v>
      </c>
      <c r="BQ1774">
        <v>0</v>
      </c>
      <c r="BX1774" t="str">
        <f>"14:19:55.078"</f>
        <v>14:19:55.078</v>
      </c>
      <c r="BY1774" t="str">
        <f>"075185355"</f>
        <v>075185355</v>
      </c>
      <c r="CL1774">
        <v>0</v>
      </c>
      <c r="CM1774">
        <v>2</v>
      </c>
      <c r="CN1774">
        <v>0</v>
      </c>
      <c r="CO1774">
        <v>2</v>
      </c>
      <c r="CP1774">
        <v>0</v>
      </c>
      <c r="CQ1774">
        <v>7</v>
      </c>
      <c r="CR1774" t="s">
        <v>116</v>
      </c>
      <c r="CS1774">
        <v>39</v>
      </c>
      <c r="CT1774">
        <v>2</v>
      </c>
      <c r="CU1774" t="s">
        <v>2259</v>
      </c>
      <c r="CV1774" t="s">
        <v>2260</v>
      </c>
      <c r="CY1774">
        <v>16134418</v>
      </c>
      <c r="CZ1774" t="s">
        <v>119</v>
      </c>
    </row>
    <row r="1775" spans="1:104" x14ac:dyDescent="0.25">
      <c r="A1775" t="str">
        <f>"14:19:56.281"</f>
        <v>14:19:56.281</v>
      </c>
      <c r="B1775" t="s">
        <v>108</v>
      </c>
      <c r="C1775" t="str">
        <f t="shared" si="82"/>
        <v>ffdfd3c0</v>
      </c>
      <c r="D1775" t="s">
        <v>109</v>
      </c>
      <c r="E1775">
        <v>4</v>
      </c>
      <c r="F1775">
        <v>1004</v>
      </c>
      <c r="G1775" t="s">
        <v>110</v>
      </c>
      <c r="J1775" t="s">
        <v>111</v>
      </c>
      <c r="K1775">
        <v>0</v>
      </c>
      <c r="L1775">
        <v>3</v>
      </c>
      <c r="M1775">
        <v>0</v>
      </c>
      <c r="N1775">
        <v>2</v>
      </c>
      <c r="O1775">
        <v>1</v>
      </c>
      <c r="P1775">
        <v>0</v>
      </c>
      <c r="Q1775">
        <v>0</v>
      </c>
      <c r="R1775" t="s">
        <v>112</v>
      </c>
      <c r="S1775" t="str">
        <f>"14:19:56.094"</f>
        <v>14:19:56.094</v>
      </c>
      <c r="T1775" t="str">
        <f>"14:19:55.695"</f>
        <v>14:19:55.695</v>
      </c>
      <c r="U1775" t="str">
        <f t="shared" si="81"/>
        <v>ad5732</v>
      </c>
      <c r="V1775">
        <v>0</v>
      </c>
      <c r="W1775">
        <v>0</v>
      </c>
      <c r="X1775">
        <v>1</v>
      </c>
      <c r="Z1775">
        <v>0</v>
      </c>
      <c r="AA1775">
        <v>9</v>
      </c>
      <c r="AB1775">
        <v>3</v>
      </c>
      <c r="AC1775">
        <v>0</v>
      </c>
      <c r="AD1775">
        <v>10</v>
      </c>
      <c r="AE1775">
        <v>0</v>
      </c>
      <c r="AF1775">
        <v>3</v>
      </c>
      <c r="AG1775">
        <v>2</v>
      </c>
      <c r="AH1775">
        <v>0</v>
      </c>
      <c r="AI1775" t="s">
        <v>3653</v>
      </c>
      <c r="AJ1775">
        <v>39.752718999999999</v>
      </c>
      <c r="AK1775" t="s">
        <v>3654</v>
      </c>
      <c r="AL1775">
        <v>-76.083304999999996</v>
      </c>
      <c r="AM1775">
        <v>100</v>
      </c>
      <c r="AN1775">
        <v>4700</v>
      </c>
      <c r="AO1775" t="s">
        <v>115</v>
      </c>
      <c r="AP1775">
        <v>157</v>
      </c>
      <c r="AQ1775">
        <v>80</v>
      </c>
      <c r="AR1775">
        <v>0</v>
      </c>
      <c r="AZ1775">
        <v>3614</v>
      </c>
      <c r="BA1775">
        <v>1</v>
      </c>
      <c r="BB1775" t="str">
        <f t="shared" si="83"/>
        <v xml:space="preserve">N959MJ  </v>
      </c>
      <c r="BC1775">
        <v>1</v>
      </c>
      <c r="BE1775">
        <v>0</v>
      </c>
      <c r="BF1775">
        <v>0</v>
      </c>
      <c r="BG1775">
        <v>0</v>
      </c>
      <c r="BH1775">
        <v>4900</v>
      </c>
      <c r="BI1775">
        <v>200</v>
      </c>
      <c r="BJ1775">
        <v>1</v>
      </c>
      <c r="BK1775">
        <v>1</v>
      </c>
      <c r="BL1775">
        <v>1</v>
      </c>
      <c r="BM1775">
        <v>0</v>
      </c>
      <c r="BP1775">
        <v>0</v>
      </c>
      <c r="BQ1775">
        <v>0</v>
      </c>
      <c r="BX1775" t="str">
        <f>"14:19:56.094"</f>
        <v>14:19:56.094</v>
      </c>
      <c r="BY1775" t="str">
        <f>"094287203"</f>
        <v>094287203</v>
      </c>
      <c r="CL1775">
        <v>0</v>
      </c>
      <c r="CM1775">
        <v>2</v>
      </c>
      <c r="CN1775">
        <v>0</v>
      </c>
      <c r="CO1775">
        <v>2</v>
      </c>
      <c r="CP1775">
        <v>0</v>
      </c>
      <c r="CQ1775">
        <v>6</v>
      </c>
      <c r="CR1775" t="s">
        <v>116</v>
      </c>
      <c r="CS1775">
        <v>39</v>
      </c>
      <c r="CT1775">
        <v>2</v>
      </c>
      <c r="CU1775" t="s">
        <v>2259</v>
      </c>
      <c r="CV1775" t="s">
        <v>2260</v>
      </c>
      <c r="CY1775">
        <v>16136007</v>
      </c>
      <c r="CZ1775" t="s">
        <v>119</v>
      </c>
    </row>
    <row r="1776" spans="1:104" x14ac:dyDescent="0.25">
      <c r="A1776" t="str">
        <f>"14:19:57.336"</f>
        <v>14:19:57.336</v>
      </c>
      <c r="B1776" t="s">
        <v>108</v>
      </c>
      <c r="C1776" t="str">
        <f t="shared" si="82"/>
        <v>ffdfd3c0</v>
      </c>
      <c r="D1776" t="s">
        <v>109</v>
      </c>
      <c r="E1776">
        <v>4</v>
      </c>
      <c r="F1776">
        <v>1004</v>
      </c>
      <c r="G1776" t="s">
        <v>110</v>
      </c>
      <c r="J1776" t="s">
        <v>111</v>
      </c>
      <c r="K1776">
        <v>0</v>
      </c>
      <c r="L1776">
        <v>3</v>
      </c>
      <c r="M1776">
        <v>0</v>
      </c>
      <c r="N1776">
        <v>2</v>
      </c>
      <c r="O1776">
        <v>1</v>
      </c>
      <c r="P1776">
        <v>0</v>
      </c>
      <c r="Q1776">
        <v>0</v>
      </c>
      <c r="R1776" t="s">
        <v>112</v>
      </c>
      <c r="S1776" t="str">
        <f>"14:19:57.141"</f>
        <v>14:19:57.141</v>
      </c>
      <c r="T1776" t="str">
        <f>"14:19:56.742"</f>
        <v>14:19:56.742</v>
      </c>
      <c r="U1776" t="str">
        <f t="shared" si="81"/>
        <v>ad5732</v>
      </c>
      <c r="V1776">
        <v>0</v>
      </c>
      <c r="W1776">
        <v>0</v>
      </c>
      <c r="X1776">
        <v>1</v>
      </c>
      <c r="Z1776">
        <v>0</v>
      </c>
      <c r="AA1776">
        <v>9</v>
      </c>
      <c r="AB1776">
        <v>3</v>
      </c>
      <c r="AC1776">
        <v>0</v>
      </c>
      <c r="AD1776">
        <v>10</v>
      </c>
      <c r="AE1776">
        <v>0</v>
      </c>
      <c r="AF1776">
        <v>3</v>
      </c>
      <c r="AG1776">
        <v>2</v>
      </c>
      <c r="AH1776">
        <v>0</v>
      </c>
      <c r="AI1776" t="s">
        <v>3655</v>
      </c>
      <c r="AJ1776">
        <v>39.753106000000002</v>
      </c>
      <c r="AK1776" t="s">
        <v>3656</v>
      </c>
      <c r="AL1776">
        <v>-76.082295999999999</v>
      </c>
      <c r="AM1776">
        <v>100</v>
      </c>
      <c r="AN1776">
        <v>4700</v>
      </c>
      <c r="AO1776" t="s">
        <v>115</v>
      </c>
      <c r="AP1776">
        <v>156</v>
      </c>
      <c r="AQ1776">
        <v>80</v>
      </c>
      <c r="AR1776">
        <v>0</v>
      </c>
      <c r="AZ1776">
        <v>3614</v>
      </c>
      <c r="BA1776">
        <v>1</v>
      </c>
      <c r="BB1776" t="str">
        <f t="shared" si="83"/>
        <v xml:space="preserve">N959MJ  </v>
      </c>
      <c r="BC1776">
        <v>1</v>
      </c>
      <c r="BE1776">
        <v>0</v>
      </c>
      <c r="BF1776">
        <v>0</v>
      </c>
      <c r="BG1776">
        <v>0</v>
      </c>
      <c r="BH1776">
        <v>4900</v>
      </c>
      <c r="BI1776">
        <v>200</v>
      </c>
      <c r="BJ1776">
        <v>1</v>
      </c>
      <c r="BK1776">
        <v>1</v>
      </c>
      <c r="BL1776">
        <v>1</v>
      </c>
      <c r="BM1776">
        <v>0</v>
      </c>
      <c r="BP1776">
        <v>0</v>
      </c>
      <c r="BQ1776">
        <v>0</v>
      </c>
      <c r="BX1776" t="str">
        <f>"14:19:57.148"</f>
        <v>14:19:57.148</v>
      </c>
      <c r="BY1776" t="str">
        <f>"147796587"</f>
        <v>147796587</v>
      </c>
      <c r="CL1776">
        <v>0</v>
      </c>
      <c r="CM1776">
        <v>2</v>
      </c>
      <c r="CN1776">
        <v>0</v>
      </c>
      <c r="CO1776">
        <v>2</v>
      </c>
      <c r="CP1776">
        <v>0</v>
      </c>
      <c r="CQ1776">
        <v>6</v>
      </c>
      <c r="CR1776" t="s">
        <v>116</v>
      </c>
      <c r="CS1776">
        <v>396</v>
      </c>
      <c r="CT1776">
        <v>1</v>
      </c>
      <c r="CU1776" t="s">
        <v>939</v>
      </c>
      <c r="CV1776" t="s">
        <v>940</v>
      </c>
      <c r="CY1776">
        <v>9474975</v>
      </c>
      <c r="CZ1776" t="s">
        <v>119</v>
      </c>
    </row>
    <row r="1777" spans="1:104" x14ac:dyDescent="0.25">
      <c r="A1777" t="str">
        <f>"14:19:58.250"</f>
        <v>14:19:58.250</v>
      </c>
      <c r="B1777" t="s">
        <v>108</v>
      </c>
      <c r="C1777" t="str">
        <f t="shared" si="82"/>
        <v>ffdfd3c0</v>
      </c>
      <c r="D1777" t="s">
        <v>109</v>
      </c>
      <c r="E1777">
        <v>4</v>
      </c>
      <c r="F1777">
        <v>1004</v>
      </c>
      <c r="G1777" t="s">
        <v>110</v>
      </c>
      <c r="J1777" t="s">
        <v>111</v>
      </c>
      <c r="K1777">
        <v>0</v>
      </c>
      <c r="L1777">
        <v>3</v>
      </c>
      <c r="M1777">
        <v>0</v>
      </c>
      <c r="N1777">
        <v>2</v>
      </c>
      <c r="O1777">
        <v>1</v>
      </c>
      <c r="P1777">
        <v>0</v>
      </c>
      <c r="Q1777">
        <v>0</v>
      </c>
      <c r="R1777" t="s">
        <v>112</v>
      </c>
      <c r="S1777" t="str">
        <f>"14:19:58.063"</f>
        <v>14:19:58.063</v>
      </c>
      <c r="T1777" t="str">
        <f>"14:19:57.664"</f>
        <v>14:19:57.664</v>
      </c>
      <c r="U1777" t="str">
        <f t="shared" si="81"/>
        <v>ad5732</v>
      </c>
      <c r="V1777">
        <v>0</v>
      </c>
      <c r="W1777">
        <v>0</v>
      </c>
      <c r="X1777">
        <v>1</v>
      </c>
      <c r="Z1777">
        <v>0</v>
      </c>
      <c r="AA1777">
        <v>9</v>
      </c>
      <c r="AB1777">
        <v>3</v>
      </c>
      <c r="AC1777">
        <v>0</v>
      </c>
      <c r="AD1777">
        <v>10</v>
      </c>
      <c r="AE1777">
        <v>0</v>
      </c>
      <c r="AF1777">
        <v>3</v>
      </c>
      <c r="AG1777">
        <v>2</v>
      </c>
      <c r="AH1777">
        <v>0</v>
      </c>
      <c r="AI1777" t="s">
        <v>3657</v>
      </c>
      <c r="AJ1777">
        <v>39.75347</v>
      </c>
      <c r="AK1777" t="s">
        <v>3658</v>
      </c>
      <c r="AL1777">
        <v>-76.081417000000002</v>
      </c>
      <c r="AM1777">
        <v>100</v>
      </c>
      <c r="AN1777">
        <v>4700</v>
      </c>
      <c r="AO1777" t="s">
        <v>115</v>
      </c>
      <c r="AP1777">
        <v>156</v>
      </c>
      <c r="AQ1777">
        <v>81</v>
      </c>
      <c r="AR1777">
        <v>0</v>
      </c>
      <c r="AZ1777">
        <v>3614</v>
      </c>
      <c r="BA1777">
        <v>1</v>
      </c>
      <c r="BB1777" t="str">
        <f t="shared" si="83"/>
        <v xml:space="preserve">N959MJ  </v>
      </c>
      <c r="BC1777">
        <v>1</v>
      </c>
      <c r="BE1777">
        <v>0</v>
      </c>
      <c r="BF1777">
        <v>0</v>
      </c>
      <c r="BG1777">
        <v>0</v>
      </c>
      <c r="BH1777">
        <v>4900</v>
      </c>
      <c r="BI1777">
        <v>200</v>
      </c>
      <c r="BJ1777">
        <v>1</v>
      </c>
      <c r="BK1777">
        <v>1</v>
      </c>
      <c r="BL1777">
        <v>1</v>
      </c>
      <c r="BM1777">
        <v>0</v>
      </c>
      <c r="BP1777">
        <v>0</v>
      </c>
      <c r="BQ1777">
        <v>0</v>
      </c>
      <c r="BX1777" t="str">
        <f>"14:19:58.070"</f>
        <v>14:19:58.070</v>
      </c>
      <c r="BY1777" t="str">
        <f>"068592213"</f>
        <v>068592213</v>
      </c>
      <c r="CL1777">
        <v>0</v>
      </c>
      <c r="CM1777">
        <v>2</v>
      </c>
      <c r="CN1777">
        <v>0</v>
      </c>
      <c r="CO1777">
        <v>2</v>
      </c>
      <c r="CP1777">
        <v>0</v>
      </c>
      <c r="CQ1777">
        <v>6</v>
      </c>
      <c r="CR1777" t="s">
        <v>116</v>
      </c>
      <c r="CS1777">
        <v>39</v>
      </c>
      <c r="CT1777">
        <v>2</v>
      </c>
      <c r="CU1777" t="s">
        <v>2259</v>
      </c>
      <c r="CV1777" t="s">
        <v>2260</v>
      </c>
      <c r="CY1777">
        <v>16139234</v>
      </c>
      <c r="CZ1777" t="s">
        <v>119</v>
      </c>
    </row>
    <row r="1778" spans="1:104" x14ac:dyDescent="0.25">
      <c r="A1778" t="str">
        <f>"14:19:59.258"</f>
        <v>14:19:59.258</v>
      </c>
      <c r="B1778" t="s">
        <v>108</v>
      </c>
      <c r="C1778" t="str">
        <f t="shared" si="82"/>
        <v>ffdfd3c0</v>
      </c>
      <c r="D1778" t="s">
        <v>109</v>
      </c>
      <c r="E1778">
        <v>4</v>
      </c>
      <c r="F1778">
        <v>1004</v>
      </c>
      <c r="G1778" t="s">
        <v>110</v>
      </c>
      <c r="J1778" t="s">
        <v>111</v>
      </c>
      <c r="K1778">
        <v>0</v>
      </c>
      <c r="L1778">
        <v>3</v>
      </c>
      <c r="M1778">
        <v>0</v>
      </c>
      <c r="N1778">
        <v>2</v>
      </c>
      <c r="O1778">
        <v>1</v>
      </c>
      <c r="P1778">
        <v>0</v>
      </c>
      <c r="Q1778">
        <v>0</v>
      </c>
      <c r="R1778" t="s">
        <v>112</v>
      </c>
      <c r="S1778" t="str">
        <f>"14:19:59.094"</f>
        <v>14:19:59.094</v>
      </c>
      <c r="T1778" t="str">
        <f>"14:19:58.594"</f>
        <v>14:19:58.594</v>
      </c>
      <c r="U1778" t="str">
        <f t="shared" si="81"/>
        <v>ad5732</v>
      </c>
      <c r="V1778">
        <v>0</v>
      </c>
      <c r="W1778">
        <v>0</v>
      </c>
      <c r="X1778">
        <v>1</v>
      </c>
      <c r="Z1778">
        <v>0</v>
      </c>
      <c r="AA1778">
        <v>9</v>
      </c>
      <c r="AB1778">
        <v>3</v>
      </c>
      <c r="AC1778">
        <v>0</v>
      </c>
      <c r="AD1778">
        <v>10</v>
      </c>
      <c r="AE1778">
        <v>0</v>
      </c>
      <c r="AF1778">
        <v>3</v>
      </c>
      <c r="AG1778">
        <v>2</v>
      </c>
      <c r="AH1778">
        <v>0</v>
      </c>
      <c r="AI1778" t="s">
        <v>3659</v>
      </c>
      <c r="AJ1778">
        <v>39.753835000000002</v>
      </c>
      <c r="AK1778" t="s">
        <v>3660</v>
      </c>
      <c r="AL1778">
        <v>-76.080387000000002</v>
      </c>
      <c r="AM1778">
        <v>100</v>
      </c>
      <c r="AN1778">
        <v>4700</v>
      </c>
      <c r="AO1778" t="s">
        <v>115</v>
      </c>
      <c r="AP1778">
        <v>156</v>
      </c>
      <c r="AQ1778">
        <v>81</v>
      </c>
      <c r="AR1778">
        <v>0</v>
      </c>
      <c r="AZ1778">
        <v>3614</v>
      </c>
      <c r="BA1778">
        <v>1</v>
      </c>
      <c r="BB1778" t="str">
        <f t="shared" si="83"/>
        <v xml:space="preserve">N959MJ  </v>
      </c>
      <c r="BC1778">
        <v>1</v>
      </c>
      <c r="BE1778">
        <v>0</v>
      </c>
      <c r="BF1778">
        <v>0</v>
      </c>
      <c r="BG1778">
        <v>0</v>
      </c>
      <c r="BH1778">
        <v>4900</v>
      </c>
      <c r="BI1778">
        <v>200</v>
      </c>
      <c r="BJ1778">
        <v>1</v>
      </c>
      <c r="BK1778">
        <v>1</v>
      </c>
      <c r="BL1778">
        <v>1</v>
      </c>
      <c r="BM1778">
        <v>0</v>
      </c>
      <c r="BP1778">
        <v>0</v>
      </c>
      <c r="BQ1778">
        <v>0</v>
      </c>
      <c r="BX1778" t="str">
        <f>"14:19:59.094"</f>
        <v>14:19:59.094</v>
      </c>
      <c r="BY1778" t="str">
        <f>"095885810"</f>
        <v>095885810</v>
      </c>
      <c r="CL1778">
        <v>0</v>
      </c>
      <c r="CM1778">
        <v>2</v>
      </c>
      <c r="CN1778">
        <v>0</v>
      </c>
      <c r="CO1778">
        <v>2</v>
      </c>
      <c r="CP1778">
        <v>0</v>
      </c>
      <c r="CQ1778">
        <v>7</v>
      </c>
      <c r="CR1778" t="s">
        <v>116</v>
      </c>
      <c r="CS1778">
        <v>39</v>
      </c>
      <c r="CT1778">
        <v>2</v>
      </c>
      <c r="CU1778" t="s">
        <v>2259</v>
      </c>
      <c r="CV1778" t="s">
        <v>2260</v>
      </c>
      <c r="CY1778">
        <v>16140894</v>
      </c>
      <c r="CZ1778" t="s">
        <v>119</v>
      </c>
    </row>
    <row r="1779" spans="1:104" x14ac:dyDescent="0.25">
      <c r="A1779" t="str">
        <f>"14:20:00.266"</f>
        <v>14:20:00.266</v>
      </c>
      <c r="B1779" t="s">
        <v>108</v>
      </c>
      <c r="C1779" t="str">
        <f t="shared" si="82"/>
        <v>ffdfd3c0</v>
      </c>
      <c r="D1779" t="s">
        <v>109</v>
      </c>
      <c r="E1779">
        <v>4</v>
      </c>
      <c r="F1779">
        <v>1004</v>
      </c>
      <c r="G1779" t="s">
        <v>110</v>
      </c>
      <c r="J1779" t="s">
        <v>111</v>
      </c>
      <c r="K1779">
        <v>0</v>
      </c>
      <c r="L1779">
        <v>3</v>
      </c>
      <c r="M1779">
        <v>0</v>
      </c>
      <c r="N1779">
        <v>2</v>
      </c>
      <c r="O1779">
        <v>1</v>
      </c>
      <c r="P1779">
        <v>0</v>
      </c>
      <c r="Q1779">
        <v>0</v>
      </c>
      <c r="R1779" t="s">
        <v>112</v>
      </c>
      <c r="S1779" t="str">
        <f>"14:20:00.078"</f>
        <v>14:20:00.078</v>
      </c>
      <c r="T1779" t="str">
        <f>"14:19:59.578"</f>
        <v>14:19:59.578</v>
      </c>
      <c r="U1779" t="str">
        <f t="shared" si="81"/>
        <v>ad5732</v>
      </c>
      <c r="V1779">
        <v>0</v>
      </c>
      <c r="W1779">
        <v>0</v>
      </c>
      <c r="X1779">
        <v>1</v>
      </c>
      <c r="Z1779">
        <v>0</v>
      </c>
      <c r="AA1779">
        <v>9</v>
      </c>
      <c r="AB1779">
        <v>3</v>
      </c>
      <c r="AC1779">
        <v>0</v>
      </c>
      <c r="AD1779">
        <v>10</v>
      </c>
      <c r="AE1779">
        <v>0</v>
      </c>
      <c r="AF1779">
        <v>3</v>
      </c>
      <c r="AG1779">
        <v>2</v>
      </c>
      <c r="AH1779">
        <v>0</v>
      </c>
      <c r="AI1779" t="s">
        <v>3661</v>
      </c>
      <c r="AJ1779">
        <v>39.754221000000001</v>
      </c>
      <c r="AK1779" t="s">
        <v>3662</v>
      </c>
      <c r="AL1779">
        <v>-76.079527999999996</v>
      </c>
      <c r="AM1779">
        <v>100</v>
      </c>
      <c r="AN1779">
        <v>4700</v>
      </c>
      <c r="AO1779" t="s">
        <v>115</v>
      </c>
      <c r="AP1779">
        <v>156</v>
      </c>
      <c r="AQ1779">
        <v>81</v>
      </c>
      <c r="AR1779">
        <v>0</v>
      </c>
      <c r="AZ1779">
        <v>3614</v>
      </c>
      <c r="BA1779">
        <v>1</v>
      </c>
      <c r="BB1779" t="str">
        <f t="shared" si="83"/>
        <v xml:space="preserve">N959MJ  </v>
      </c>
      <c r="BC1779">
        <v>1</v>
      </c>
      <c r="BE1779">
        <v>0</v>
      </c>
      <c r="BF1779">
        <v>0</v>
      </c>
      <c r="BG1779">
        <v>0</v>
      </c>
      <c r="BH1779">
        <v>4900</v>
      </c>
      <c r="BI1779">
        <v>200</v>
      </c>
      <c r="BJ1779">
        <v>1</v>
      </c>
      <c r="BK1779">
        <v>1</v>
      </c>
      <c r="BL1779">
        <v>1</v>
      </c>
      <c r="BM1779">
        <v>0</v>
      </c>
      <c r="BP1779">
        <v>0</v>
      </c>
      <c r="BQ1779">
        <v>0</v>
      </c>
      <c r="BX1779" t="str">
        <f>"14:20:00.086"</f>
        <v>14:20:00.086</v>
      </c>
      <c r="BY1779" t="str">
        <f>"085495935"</f>
        <v>085495935</v>
      </c>
      <c r="CL1779">
        <v>0</v>
      </c>
      <c r="CM1779">
        <v>2</v>
      </c>
      <c r="CN1779">
        <v>0</v>
      </c>
      <c r="CO1779">
        <v>2</v>
      </c>
      <c r="CP1779">
        <v>0</v>
      </c>
      <c r="CQ1779">
        <v>6</v>
      </c>
      <c r="CR1779" t="s">
        <v>116</v>
      </c>
      <c r="CS1779">
        <v>39</v>
      </c>
      <c r="CT1779">
        <v>2</v>
      </c>
      <c r="CU1779" t="s">
        <v>2259</v>
      </c>
      <c r="CV1779" t="s">
        <v>2260</v>
      </c>
      <c r="CY1779">
        <v>16142460</v>
      </c>
      <c r="CZ1779" t="s">
        <v>119</v>
      </c>
    </row>
    <row r="1780" spans="1:104" x14ac:dyDescent="0.25">
      <c r="A1780" t="str">
        <f>"14:20:01.375"</f>
        <v>14:20:01.375</v>
      </c>
      <c r="B1780" t="s">
        <v>108</v>
      </c>
      <c r="C1780" t="str">
        <f t="shared" si="82"/>
        <v>ffdfd3c0</v>
      </c>
      <c r="D1780" t="s">
        <v>109</v>
      </c>
      <c r="E1780">
        <v>4</v>
      </c>
      <c r="F1780">
        <v>1004</v>
      </c>
      <c r="G1780" t="s">
        <v>110</v>
      </c>
      <c r="J1780" t="s">
        <v>111</v>
      </c>
      <c r="K1780">
        <v>0</v>
      </c>
      <c r="L1780">
        <v>3</v>
      </c>
      <c r="M1780">
        <v>0</v>
      </c>
      <c r="N1780">
        <v>2</v>
      </c>
      <c r="O1780">
        <v>1</v>
      </c>
      <c r="P1780">
        <v>0</v>
      </c>
      <c r="Q1780">
        <v>0</v>
      </c>
      <c r="R1780" t="s">
        <v>112</v>
      </c>
      <c r="S1780" t="str">
        <f>"14:20:01.195"</f>
        <v>14:20:01.195</v>
      </c>
      <c r="T1780" t="str">
        <f>"14:20:00.695"</f>
        <v>14:20:00.695</v>
      </c>
      <c r="U1780" t="str">
        <f t="shared" si="81"/>
        <v>ad5732</v>
      </c>
      <c r="V1780">
        <v>0</v>
      </c>
      <c r="W1780">
        <v>0</v>
      </c>
      <c r="X1780">
        <v>1</v>
      </c>
      <c r="Z1780">
        <v>0</v>
      </c>
      <c r="AA1780">
        <v>9</v>
      </c>
      <c r="AB1780">
        <v>3</v>
      </c>
      <c r="AC1780">
        <v>0</v>
      </c>
      <c r="AD1780">
        <v>10</v>
      </c>
      <c r="AE1780">
        <v>0</v>
      </c>
      <c r="AF1780">
        <v>3</v>
      </c>
      <c r="AG1780">
        <v>2</v>
      </c>
      <c r="AH1780">
        <v>0</v>
      </c>
      <c r="AI1780" t="s">
        <v>3663</v>
      </c>
      <c r="AJ1780">
        <v>39.754629000000001</v>
      </c>
      <c r="AK1780" t="s">
        <v>3664</v>
      </c>
      <c r="AL1780">
        <v>-76.078434000000001</v>
      </c>
      <c r="AM1780">
        <v>100</v>
      </c>
      <c r="AN1780">
        <v>4700</v>
      </c>
      <c r="AO1780" t="s">
        <v>115</v>
      </c>
      <c r="AP1780">
        <v>156</v>
      </c>
      <c r="AQ1780">
        <v>81</v>
      </c>
      <c r="AR1780">
        <v>0</v>
      </c>
      <c r="AZ1780">
        <v>3614</v>
      </c>
      <c r="BA1780">
        <v>1</v>
      </c>
      <c r="BB1780" t="str">
        <f t="shared" si="83"/>
        <v xml:space="preserve">N959MJ  </v>
      </c>
      <c r="BC1780">
        <v>1</v>
      </c>
      <c r="BE1780">
        <v>0</v>
      </c>
      <c r="BF1780">
        <v>0</v>
      </c>
      <c r="BG1780">
        <v>0</v>
      </c>
      <c r="BH1780">
        <v>4900</v>
      </c>
      <c r="BI1780">
        <v>200</v>
      </c>
      <c r="BJ1780">
        <v>1</v>
      </c>
      <c r="BK1780">
        <v>1</v>
      </c>
      <c r="BL1780">
        <v>1</v>
      </c>
      <c r="BM1780">
        <v>0</v>
      </c>
      <c r="BP1780">
        <v>0</v>
      </c>
      <c r="BQ1780">
        <v>0</v>
      </c>
      <c r="BX1780" t="str">
        <f>"14:20:01.195"</f>
        <v>14:20:01.195</v>
      </c>
      <c r="BY1780" t="str">
        <f>"196349564"</f>
        <v>196349564</v>
      </c>
      <c r="CL1780">
        <v>0</v>
      </c>
      <c r="CM1780">
        <v>2</v>
      </c>
      <c r="CN1780">
        <v>0</v>
      </c>
      <c r="CO1780">
        <v>2</v>
      </c>
      <c r="CP1780">
        <v>0</v>
      </c>
      <c r="CQ1780">
        <v>6</v>
      </c>
      <c r="CR1780" t="s">
        <v>116</v>
      </c>
      <c r="CS1780">
        <v>39</v>
      </c>
      <c r="CT1780">
        <v>2</v>
      </c>
      <c r="CU1780" t="s">
        <v>2259</v>
      </c>
      <c r="CV1780" t="s">
        <v>2260</v>
      </c>
      <c r="CY1780">
        <v>16144020</v>
      </c>
      <c r="CZ1780" t="s">
        <v>119</v>
      </c>
    </row>
    <row r="1781" spans="1:104" x14ac:dyDescent="0.25">
      <c r="A1781" t="str">
        <f>"14:20:02.289"</f>
        <v>14:20:02.289</v>
      </c>
      <c r="B1781" t="s">
        <v>108</v>
      </c>
      <c r="C1781" t="str">
        <f t="shared" si="82"/>
        <v>ffdfd3c0</v>
      </c>
      <c r="D1781" t="s">
        <v>109</v>
      </c>
      <c r="E1781">
        <v>4</v>
      </c>
      <c r="F1781">
        <v>1004</v>
      </c>
      <c r="G1781" t="s">
        <v>110</v>
      </c>
      <c r="J1781" t="s">
        <v>111</v>
      </c>
      <c r="K1781">
        <v>0</v>
      </c>
      <c r="L1781">
        <v>3</v>
      </c>
      <c r="M1781">
        <v>0</v>
      </c>
      <c r="N1781">
        <v>2</v>
      </c>
      <c r="O1781">
        <v>1</v>
      </c>
      <c r="P1781">
        <v>0</v>
      </c>
      <c r="Q1781">
        <v>0</v>
      </c>
      <c r="R1781" t="s">
        <v>112</v>
      </c>
      <c r="S1781" t="str">
        <f>"14:20:02.086"</f>
        <v>14:20:02.086</v>
      </c>
      <c r="T1781" t="str">
        <f>"14:20:01.688"</f>
        <v>14:20:01.688</v>
      </c>
      <c r="U1781" t="str">
        <f t="shared" si="81"/>
        <v>ad5732</v>
      </c>
      <c r="V1781">
        <v>0</v>
      </c>
      <c r="W1781">
        <v>0</v>
      </c>
      <c r="X1781">
        <v>1</v>
      </c>
      <c r="Z1781">
        <v>0</v>
      </c>
      <c r="AA1781">
        <v>9</v>
      </c>
      <c r="AB1781">
        <v>3</v>
      </c>
      <c r="AC1781">
        <v>0</v>
      </c>
      <c r="AD1781">
        <v>10</v>
      </c>
      <c r="AE1781">
        <v>0</v>
      </c>
      <c r="AF1781">
        <v>3</v>
      </c>
      <c r="AG1781">
        <v>2</v>
      </c>
      <c r="AH1781">
        <v>0</v>
      </c>
      <c r="AI1781" t="s">
        <v>3665</v>
      </c>
      <c r="AJ1781">
        <v>39.754950999999998</v>
      </c>
      <c r="AK1781" t="s">
        <v>3666</v>
      </c>
      <c r="AL1781">
        <v>-76.077703999999997</v>
      </c>
      <c r="AM1781">
        <v>100</v>
      </c>
      <c r="AN1781">
        <v>4700</v>
      </c>
      <c r="AO1781" t="s">
        <v>115</v>
      </c>
      <c r="AP1781">
        <v>156</v>
      </c>
      <c r="AQ1781">
        <v>81</v>
      </c>
      <c r="AR1781">
        <v>0</v>
      </c>
      <c r="AZ1781">
        <v>3614</v>
      </c>
      <c r="BA1781">
        <v>1</v>
      </c>
      <c r="BB1781" t="str">
        <f t="shared" si="83"/>
        <v xml:space="preserve">N959MJ  </v>
      </c>
      <c r="BC1781">
        <v>1</v>
      </c>
      <c r="BE1781">
        <v>0</v>
      </c>
      <c r="BF1781">
        <v>0</v>
      </c>
      <c r="BG1781">
        <v>0</v>
      </c>
      <c r="BH1781">
        <v>4900</v>
      </c>
      <c r="BI1781">
        <v>200</v>
      </c>
      <c r="BJ1781">
        <v>1</v>
      </c>
      <c r="BK1781">
        <v>1</v>
      </c>
      <c r="BL1781">
        <v>1</v>
      </c>
      <c r="BM1781">
        <v>0</v>
      </c>
      <c r="BP1781">
        <v>0</v>
      </c>
      <c r="BQ1781">
        <v>0</v>
      </c>
      <c r="BX1781" t="str">
        <f>"14:20:02.086"</f>
        <v>14:20:02.086</v>
      </c>
      <c r="BY1781" t="str">
        <f>"086015566"</f>
        <v>086015566</v>
      </c>
      <c r="CL1781">
        <v>0</v>
      </c>
      <c r="CM1781">
        <v>2</v>
      </c>
      <c r="CN1781">
        <v>0</v>
      </c>
      <c r="CO1781">
        <v>2</v>
      </c>
      <c r="CP1781">
        <v>0</v>
      </c>
      <c r="CQ1781">
        <v>6</v>
      </c>
      <c r="CR1781" t="s">
        <v>116</v>
      </c>
      <c r="CS1781">
        <v>39</v>
      </c>
      <c r="CT1781">
        <v>2</v>
      </c>
      <c r="CU1781" t="s">
        <v>2259</v>
      </c>
      <c r="CV1781" t="s">
        <v>2260</v>
      </c>
      <c r="CY1781">
        <v>16145320</v>
      </c>
      <c r="CZ1781" t="s">
        <v>119</v>
      </c>
    </row>
    <row r="1782" spans="1:104" x14ac:dyDescent="0.25">
      <c r="A1782" t="str">
        <f>"14:20:03.344"</f>
        <v>14:20:03.344</v>
      </c>
      <c r="B1782" t="s">
        <v>108</v>
      </c>
      <c r="C1782" t="str">
        <f t="shared" si="82"/>
        <v>ffdfd3c0</v>
      </c>
      <c r="D1782" t="s">
        <v>109</v>
      </c>
      <c r="E1782">
        <v>4</v>
      </c>
      <c r="F1782">
        <v>1004</v>
      </c>
      <c r="G1782" t="s">
        <v>110</v>
      </c>
      <c r="J1782" t="s">
        <v>111</v>
      </c>
      <c r="K1782">
        <v>0</v>
      </c>
      <c r="L1782">
        <v>3</v>
      </c>
      <c r="M1782">
        <v>0</v>
      </c>
      <c r="N1782">
        <v>2</v>
      </c>
      <c r="O1782">
        <v>1</v>
      </c>
      <c r="P1782">
        <v>0</v>
      </c>
      <c r="Q1782">
        <v>0</v>
      </c>
      <c r="R1782" t="s">
        <v>112</v>
      </c>
      <c r="S1782" t="str">
        <f>"14:20:03.148"</f>
        <v>14:20:03.148</v>
      </c>
      <c r="T1782" t="str">
        <f>"14:20:02.648"</f>
        <v>14:20:02.648</v>
      </c>
      <c r="U1782" t="str">
        <f t="shared" si="81"/>
        <v>ad5732</v>
      </c>
      <c r="V1782">
        <v>0</v>
      </c>
      <c r="W1782">
        <v>0</v>
      </c>
      <c r="X1782">
        <v>1</v>
      </c>
      <c r="Z1782">
        <v>0</v>
      </c>
      <c r="AA1782">
        <v>9</v>
      </c>
      <c r="AB1782">
        <v>3</v>
      </c>
      <c r="AC1782">
        <v>0</v>
      </c>
      <c r="AD1782">
        <v>10</v>
      </c>
      <c r="AE1782">
        <v>0</v>
      </c>
      <c r="AF1782">
        <v>3</v>
      </c>
      <c r="AG1782">
        <v>2</v>
      </c>
      <c r="AH1782">
        <v>0</v>
      </c>
      <c r="AI1782" t="s">
        <v>3667</v>
      </c>
      <c r="AJ1782">
        <v>39.755358999999999</v>
      </c>
      <c r="AK1782" t="s">
        <v>3668</v>
      </c>
      <c r="AL1782">
        <v>-76.076673999999997</v>
      </c>
      <c r="AM1782">
        <v>100</v>
      </c>
      <c r="AN1782">
        <v>4700</v>
      </c>
      <c r="AO1782" t="s">
        <v>115</v>
      </c>
      <c r="AP1782">
        <v>156</v>
      </c>
      <c r="AQ1782">
        <v>81</v>
      </c>
      <c r="AR1782">
        <v>0</v>
      </c>
      <c r="AZ1782">
        <v>3614</v>
      </c>
      <c r="BA1782">
        <v>1</v>
      </c>
      <c r="BB1782" t="str">
        <f t="shared" si="83"/>
        <v xml:space="preserve">N959MJ  </v>
      </c>
      <c r="BC1782">
        <v>1</v>
      </c>
      <c r="BE1782">
        <v>0</v>
      </c>
      <c r="BF1782">
        <v>0</v>
      </c>
      <c r="BG1782">
        <v>0</v>
      </c>
      <c r="BH1782">
        <v>4900</v>
      </c>
      <c r="BI1782">
        <v>200</v>
      </c>
      <c r="BJ1782">
        <v>1</v>
      </c>
      <c r="BK1782">
        <v>1</v>
      </c>
      <c r="BL1782">
        <v>1</v>
      </c>
      <c r="BM1782">
        <v>0</v>
      </c>
      <c r="BP1782">
        <v>0</v>
      </c>
      <c r="BQ1782">
        <v>0</v>
      </c>
      <c r="BX1782" t="str">
        <f>"14:20:03.156"</f>
        <v>14:20:03.156</v>
      </c>
      <c r="BY1782" t="str">
        <f>"156044650"</f>
        <v>156044650</v>
      </c>
      <c r="CL1782">
        <v>0</v>
      </c>
      <c r="CM1782">
        <v>2</v>
      </c>
      <c r="CN1782">
        <v>0</v>
      </c>
      <c r="CO1782">
        <v>2</v>
      </c>
      <c r="CP1782">
        <v>0</v>
      </c>
      <c r="CQ1782">
        <v>4</v>
      </c>
      <c r="CR1782" t="s">
        <v>116</v>
      </c>
      <c r="CS1782">
        <v>372</v>
      </c>
      <c r="CT1782">
        <v>0</v>
      </c>
      <c r="CU1782" t="s">
        <v>877</v>
      </c>
      <c r="CV1782" t="s">
        <v>878</v>
      </c>
      <c r="CY1782">
        <v>226932</v>
      </c>
      <c r="CZ1782" t="s">
        <v>119</v>
      </c>
    </row>
    <row r="1783" spans="1:104" x14ac:dyDescent="0.25">
      <c r="A1783" t="str">
        <f>"14:20:04.352"</f>
        <v>14:20:04.352</v>
      </c>
      <c r="B1783" t="s">
        <v>108</v>
      </c>
      <c r="C1783" t="str">
        <f t="shared" si="82"/>
        <v>ffdfd3c0</v>
      </c>
      <c r="D1783" t="s">
        <v>109</v>
      </c>
      <c r="E1783">
        <v>4</v>
      </c>
      <c r="F1783">
        <v>1004</v>
      </c>
      <c r="G1783" t="s">
        <v>110</v>
      </c>
      <c r="J1783" t="s">
        <v>111</v>
      </c>
      <c r="K1783">
        <v>0</v>
      </c>
      <c r="L1783">
        <v>3</v>
      </c>
      <c r="M1783">
        <v>0</v>
      </c>
      <c r="N1783">
        <v>2</v>
      </c>
      <c r="O1783">
        <v>1</v>
      </c>
      <c r="P1783">
        <v>0</v>
      </c>
      <c r="Q1783">
        <v>0</v>
      </c>
      <c r="R1783" t="s">
        <v>112</v>
      </c>
      <c r="S1783" t="str">
        <f>"14:20:04.172"</f>
        <v>14:20:04.172</v>
      </c>
      <c r="T1783" t="str">
        <f>"14:20:03.773"</f>
        <v>14:20:03.773</v>
      </c>
      <c r="U1783" t="str">
        <f t="shared" si="81"/>
        <v>ad5732</v>
      </c>
      <c r="V1783">
        <v>0</v>
      </c>
      <c r="W1783">
        <v>0</v>
      </c>
      <c r="X1783">
        <v>1</v>
      </c>
      <c r="Z1783">
        <v>0</v>
      </c>
      <c r="AA1783">
        <v>9</v>
      </c>
      <c r="AB1783">
        <v>3</v>
      </c>
      <c r="AC1783">
        <v>0</v>
      </c>
      <c r="AD1783">
        <v>10</v>
      </c>
      <c r="AE1783">
        <v>0</v>
      </c>
      <c r="AF1783">
        <v>3</v>
      </c>
      <c r="AG1783">
        <v>2</v>
      </c>
      <c r="AH1783">
        <v>0</v>
      </c>
      <c r="AI1783" t="s">
        <v>3669</v>
      </c>
      <c r="AJ1783">
        <v>39.755723000000003</v>
      </c>
      <c r="AK1783" t="s">
        <v>3670</v>
      </c>
      <c r="AL1783">
        <v>-76.075729999999993</v>
      </c>
      <c r="AM1783">
        <v>100</v>
      </c>
      <c r="AN1783">
        <v>4700</v>
      </c>
      <c r="AO1783" t="s">
        <v>115</v>
      </c>
      <c r="AP1783">
        <v>156</v>
      </c>
      <c r="AQ1783">
        <v>81</v>
      </c>
      <c r="AR1783">
        <v>0</v>
      </c>
      <c r="AZ1783">
        <v>3614</v>
      </c>
      <c r="BA1783">
        <v>1</v>
      </c>
      <c r="BB1783" t="str">
        <f t="shared" si="83"/>
        <v xml:space="preserve">N959MJ  </v>
      </c>
      <c r="BC1783">
        <v>1</v>
      </c>
      <c r="BE1783">
        <v>0</v>
      </c>
      <c r="BF1783">
        <v>0</v>
      </c>
      <c r="BG1783">
        <v>0</v>
      </c>
      <c r="BH1783">
        <v>4900</v>
      </c>
      <c r="BI1783">
        <v>200</v>
      </c>
      <c r="BJ1783">
        <v>1</v>
      </c>
      <c r="BK1783">
        <v>1</v>
      </c>
      <c r="BL1783">
        <v>1</v>
      </c>
      <c r="BM1783">
        <v>0</v>
      </c>
      <c r="BP1783">
        <v>0</v>
      </c>
      <c r="BQ1783">
        <v>0</v>
      </c>
      <c r="BX1783" t="str">
        <f>"14:20:04.180"</f>
        <v>14:20:04.180</v>
      </c>
      <c r="BY1783" t="str">
        <f>"178423735"</f>
        <v>178423735</v>
      </c>
      <c r="CL1783">
        <v>0</v>
      </c>
      <c r="CM1783">
        <v>2</v>
      </c>
      <c r="CN1783">
        <v>0</v>
      </c>
      <c r="CO1783">
        <v>2</v>
      </c>
      <c r="CP1783">
        <v>0</v>
      </c>
      <c r="CQ1783">
        <v>5</v>
      </c>
      <c r="CR1783" t="s">
        <v>116</v>
      </c>
      <c r="CS1783">
        <v>372</v>
      </c>
      <c r="CT1783">
        <v>3</v>
      </c>
      <c r="CU1783" t="s">
        <v>877</v>
      </c>
      <c r="CV1783" t="s">
        <v>878</v>
      </c>
      <c r="CY1783">
        <v>12556551</v>
      </c>
      <c r="CZ1783" t="s">
        <v>119</v>
      </c>
    </row>
    <row r="1784" spans="1:104" x14ac:dyDescent="0.25">
      <c r="A1784" t="str">
        <f>"14:20:05.563"</f>
        <v>14:20:05.563</v>
      </c>
      <c r="B1784" t="s">
        <v>108</v>
      </c>
      <c r="C1784" t="str">
        <f t="shared" si="82"/>
        <v>ffdfd3c0</v>
      </c>
      <c r="D1784" t="s">
        <v>109</v>
      </c>
      <c r="E1784">
        <v>4</v>
      </c>
      <c r="F1784">
        <v>1004</v>
      </c>
      <c r="G1784" t="s">
        <v>110</v>
      </c>
      <c r="J1784" t="s">
        <v>111</v>
      </c>
      <c r="K1784">
        <v>0</v>
      </c>
      <c r="L1784">
        <v>3</v>
      </c>
      <c r="M1784">
        <v>0</v>
      </c>
      <c r="N1784">
        <v>2</v>
      </c>
      <c r="O1784">
        <v>1</v>
      </c>
      <c r="P1784">
        <v>0</v>
      </c>
      <c r="Q1784">
        <v>0</v>
      </c>
      <c r="R1784" t="s">
        <v>112</v>
      </c>
      <c r="S1784" t="str">
        <f>"14:20:05.359"</f>
        <v>14:20:05.359</v>
      </c>
      <c r="T1784" t="str">
        <f>"14:20:04.859"</f>
        <v>14:20:04.859</v>
      </c>
      <c r="U1784" t="str">
        <f t="shared" si="81"/>
        <v>ad5732</v>
      </c>
      <c r="V1784">
        <v>0</v>
      </c>
      <c r="W1784">
        <v>0</v>
      </c>
      <c r="X1784">
        <v>1</v>
      </c>
      <c r="Z1784">
        <v>0</v>
      </c>
      <c r="AA1784">
        <v>9</v>
      </c>
      <c r="AB1784">
        <v>3</v>
      </c>
      <c r="AC1784">
        <v>0</v>
      </c>
      <c r="AD1784">
        <v>10</v>
      </c>
      <c r="AE1784">
        <v>0</v>
      </c>
      <c r="AF1784">
        <v>3</v>
      </c>
      <c r="AG1784">
        <v>2</v>
      </c>
      <c r="AH1784">
        <v>0</v>
      </c>
      <c r="AI1784" t="s">
        <v>3671</v>
      </c>
      <c r="AJ1784">
        <v>39.756174000000001</v>
      </c>
      <c r="AK1784" t="s">
        <v>3672</v>
      </c>
      <c r="AL1784">
        <v>-76.074592999999993</v>
      </c>
      <c r="AM1784">
        <v>100</v>
      </c>
      <c r="AN1784">
        <v>4700</v>
      </c>
      <c r="AO1784" t="s">
        <v>115</v>
      </c>
      <c r="AP1784">
        <v>156</v>
      </c>
      <c r="AQ1784">
        <v>81</v>
      </c>
      <c r="AR1784">
        <v>0</v>
      </c>
      <c r="AZ1784">
        <v>3614</v>
      </c>
      <c r="BA1784">
        <v>1</v>
      </c>
      <c r="BB1784" t="str">
        <f t="shared" si="83"/>
        <v xml:space="preserve">N959MJ  </v>
      </c>
      <c r="BC1784">
        <v>1</v>
      </c>
      <c r="BE1784">
        <v>0</v>
      </c>
      <c r="BF1784">
        <v>0</v>
      </c>
      <c r="BG1784">
        <v>0</v>
      </c>
      <c r="BH1784">
        <v>4900</v>
      </c>
      <c r="BI1784">
        <v>200</v>
      </c>
      <c r="BJ1784">
        <v>1</v>
      </c>
      <c r="BK1784">
        <v>1</v>
      </c>
      <c r="BL1784">
        <v>1</v>
      </c>
      <c r="BM1784">
        <v>0</v>
      </c>
      <c r="BP1784">
        <v>0</v>
      </c>
      <c r="BQ1784">
        <v>0</v>
      </c>
      <c r="BX1784" t="str">
        <f>"14:20:05.359"</f>
        <v>14:20:05.359</v>
      </c>
      <c r="BY1784" t="str">
        <f>"361231682"</f>
        <v>361231682</v>
      </c>
      <c r="CL1784">
        <v>0</v>
      </c>
      <c r="CM1784">
        <v>2</v>
      </c>
      <c r="CN1784">
        <v>0</v>
      </c>
      <c r="CO1784">
        <v>2</v>
      </c>
      <c r="CP1784">
        <v>0</v>
      </c>
      <c r="CQ1784">
        <v>7</v>
      </c>
      <c r="CR1784" t="s">
        <v>116</v>
      </c>
      <c r="CS1784">
        <v>39</v>
      </c>
      <c r="CT1784">
        <v>2</v>
      </c>
      <c r="CU1784" t="s">
        <v>2259</v>
      </c>
      <c r="CV1784" t="s">
        <v>2260</v>
      </c>
      <c r="CY1784">
        <v>16150593</v>
      </c>
      <c r="CZ1784" t="s">
        <v>119</v>
      </c>
    </row>
    <row r="1785" spans="1:104" x14ac:dyDescent="0.25">
      <c r="A1785" t="str">
        <f>"14:20:06.578"</f>
        <v>14:20:06.578</v>
      </c>
      <c r="B1785" t="s">
        <v>108</v>
      </c>
      <c r="C1785" t="str">
        <f t="shared" si="82"/>
        <v>ffdfd3c0</v>
      </c>
      <c r="D1785" t="s">
        <v>109</v>
      </c>
      <c r="E1785">
        <v>4</v>
      </c>
      <c r="F1785">
        <v>1004</v>
      </c>
      <c r="G1785" t="s">
        <v>110</v>
      </c>
      <c r="J1785" t="s">
        <v>111</v>
      </c>
      <c r="K1785">
        <v>0</v>
      </c>
      <c r="L1785">
        <v>3</v>
      </c>
      <c r="M1785">
        <v>0</v>
      </c>
      <c r="N1785">
        <v>2</v>
      </c>
      <c r="O1785">
        <v>1</v>
      </c>
      <c r="P1785">
        <v>0</v>
      </c>
      <c r="Q1785">
        <v>0</v>
      </c>
      <c r="R1785" t="s">
        <v>112</v>
      </c>
      <c r="S1785" t="str">
        <f>"14:20:06.367"</f>
        <v>14:20:06.367</v>
      </c>
      <c r="T1785" t="str">
        <f>"14:20:05.867"</f>
        <v>14:20:05.867</v>
      </c>
      <c r="U1785" t="str">
        <f t="shared" si="81"/>
        <v>ad5732</v>
      </c>
      <c r="V1785">
        <v>0</v>
      </c>
      <c r="W1785">
        <v>0</v>
      </c>
      <c r="X1785">
        <v>1</v>
      </c>
      <c r="Z1785">
        <v>0</v>
      </c>
      <c r="AA1785">
        <v>9</v>
      </c>
      <c r="AB1785">
        <v>3</v>
      </c>
      <c r="AC1785">
        <v>0</v>
      </c>
      <c r="AD1785">
        <v>10</v>
      </c>
      <c r="AE1785">
        <v>0</v>
      </c>
      <c r="AF1785">
        <v>3</v>
      </c>
      <c r="AG1785">
        <v>2</v>
      </c>
      <c r="AH1785">
        <v>0</v>
      </c>
      <c r="AI1785" t="s">
        <v>3673</v>
      </c>
      <c r="AJ1785">
        <v>39.756582000000002</v>
      </c>
      <c r="AK1785" t="s">
        <v>3674</v>
      </c>
      <c r="AL1785">
        <v>-76.073627000000002</v>
      </c>
      <c r="AM1785">
        <v>100</v>
      </c>
      <c r="AN1785">
        <v>4700</v>
      </c>
      <c r="AO1785" t="s">
        <v>115</v>
      </c>
      <c r="AP1785">
        <v>156</v>
      </c>
      <c r="AQ1785">
        <v>81</v>
      </c>
      <c r="AR1785">
        <v>0</v>
      </c>
      <c r="AZ1785">
        <v>3614</v>
      </c>
      <c r="BA1785">
        <v>1</v>
      </c>
      <c r="BB1785" t="str">
        <f t="shared" si="83"/>
        <v xml:space="preserve">N959MJ  </v>
      </c>
      <c r="BC1785">
        <v>1</v>
      </c>
      <c r="BE1785">
        <v>0</v>
      </c>
      <c r="BF1785">
        <v>0</v>
      </c>
      <c r="BG1785">
        <v>0</v>
      </c>
      <c r="BH1785">
        <v>4900</v>
      </c>
      <c r="BI1785">
        <v>200</v>
      </c>
      <c r="BJ1785">
        <v>1</v>
      </c>
      <c r="BK1785">
        <v>1</v>
      </c>
      <c r="BL1785">
        <v>1</v>
      </c>
      <c r="BM1785">
        <v>0</v>
      </c>
      <c r="BP1785">
        <v>0</v>
      </c>
      <c r="BQ1785">
        <v>0</v>
      </c>
      <c r="BX1785" t="str">
        <f>"14:20:06.367"</f>
        <v>14:20:06.367</v>
      </c>
      <c r="BY1785" t="str">
        <f>"370508148"</f>
        <v>370508148</v>
      </c>
      <c r="CL1785">
        <v>0</v>
      </c>
      <c r="CM1785">
        <v>2</v>
      </c>
      <c r="CN1785">
        <v>0</v>
      </c>
      <c r="CO1785">
        <v>2</v>
      </c>
      <c r="CP1785">
        <v>0</v>
      </c>
      <c r="CQ1785">
        <v>6</v>
      </c>
      <c r="CR1785" t="s">
        <v>116</v>
      </c>
      <c r="CS1785">
        <v>396</v>
      </c>
      <c r="CT1785">
        <v>1</v>
      </c>
      <c r="CU1785" t="s">
        <v>939</v>
      </c>
      <c r="CV1785" t="s">
        <v>940</v>
      </c>
      <c r="CY1785">
        <v>9491272</v>
      </c>
      <c r="CZ1785" t="s">
        <v>119</v>
      </c>
    </row>
    <row r="1786" spans="1:104" x14ac:dyDescent="0.25">
      <c r="A1786" t="str">
        <f>"14:20:07.688"</f>
        <v>14:20:07.688</v>
      </c>
      <c r="B1786" t="s">
        <v>108</v>
      </c>
      <c r="C1786" t="str">
        <f t="shared" si="82"/>
        <v>ffdfd3c0</v>
      </c>
      <c r="D1786" t="s">
        <v>109</v>
      </c>
      <c r="E1786">
        <v>4</v>
      </c>
      <c r="F1786">
        <v>1004</v>
      </c>
      <c r="G1786" t="s">
        <v>110</v>
      </c>
      <c r="J1786" t="s">
        <v>111</v>
      </c>
      <c r="K1786">
        <v>0</v>
      </c>
      <c r="L1786">
        <v>3</v>
      </c>
      <c r="M1786">
        <v>0</v>
      </c>
      <c r="N1786">
        <v>2</v>
      </c>
      <c r="O1786">
        <v>1</v>
      </c>
      <c r="P1786">
        <v>0</v>
      </c>
      <c r="Q1786">
        <v>0</v>
      </c>
      <c r="R1786" t="s">
        <v>112</v>
      </c>
      <c r="S1786" t="str">
        <f>"14:20:07.508"</f>
        <v>14:20:07.508</v>
      </c>
      <c r="T1786" t="str">
        <f>"14:20:07.008"</f>
        <v>14:20:07.008</v>
      </c>
      <c r="U1786" t="str">
        <f t="shared" si="81"/>
        <v>ad5732</v>
      </c>
      <c r="V1786">
        <v>0</v>
      </c>
      <c r="W1786">
        <v>0</v>
      </c>
      <c r="X1786">
        <v>1</v>
      </c>
      <c r="Z1786">
        <v>0</v>
      </c>
      <c r="AA1786">
        <v>9</v>
      </c>
      <c r="AB1786">
        <v>3</v>
      </c>
      <c r="AC1786">
        <v>0</v>
      </c>
      <c r="AD1786">
        <v>10</v>
      </c>
      <c r="AE1786">
        <v>0</v>
      </c>
      <c r="AF1786">
        <v>3</v>
      </c>
      <c r="AG1786">
        <v>2</v>
      </c>
      <c r="AH1786">
        <v>0</v>
      </c>
      <c r="AI1786" t="s">
        <v>3675</v>
      </c>
      <c r="AJ1786">
        <v>39.757010999999999</v>
      </c>
      <c r="AK1786" t="s">
        <v>3676</v>
      </c>
      <c r="AL1786">
        <v>-76.072554999999994</v>
      </c>
      <c r="AM1786">
        <v>100</v>
      </c>
      <c r="AN1786">
        <v>4700</v>
      </c>
      <c r="AO1786" t="s">
        <v>115</v>
      </c>
      <c r="AP1786">
        <v>156</v>
      </c>
      <c r="AQ1786">
        <v>82</v>
      </c>
      <c r="AR1786">
        <v>0</v>
      </c>
      <c r="AZ1786">
        <v>3614</v>
      </c>
      <c r="BA1786">
        <v>1</v>
      </c>
      <c r="BB1786" t="str">
        <f t="shared" si="83"/>
        <v xml:space="preserve">N959MJ  </v>
      </c>
      <c r="BC1786">
        <v>1</v>
      </c>
      <c r="BE1786">
        <v>0</v>
      </c>
      <c r="BF1786">
        <v>0</v>
      </c>
      <c r="BG1786">
        <v>0</v>
      </c>
      <c r="BH1786">
        <v>4900</v>
      </c>
      <c r="BI1786">
        <v>200</v>
      </c>
      <c r="BJ1786">
        <v>1</v>
      </c>
      <c r="BK1786">
        <v>1</v>
      </c>
      <c r="BL1786">
        <v>1</v>
      </c>
      <c r="BM1786">
        <v>0</v>
      </c>
      <c r="BP1786">
        <v>0</v>
      </c>
      <c r="BQ1786">
        <v>0</v>
      </c>
      <c r="BX1786" t="str">
        <f>"14:20:07.508"</f>
        <v>14:20:07.508</v>
      </c>
      <c r="BY1786" t="str">
        <f>"510848289"</f>
        <v>510848289</v>
      </c>
      <c r="CL1786">
        <v>0</v>
      </c>
      <c r="CM1786">
        <v>2</v>
      </c>
      <c r="CN1786">
        <v>0</v>
      </c>
      <c r="CO1786">
        <v>2</v>
      </c>
      <c r="CP1786">
        <v>0</v>
      </c>
      <c r="CQ1786">
        <v>6</v>
      </c>
      <c r="CR1786" t="s">
        <v>116</v>
      </c>
      <c r="CS1786">
        <v>39</v>
      </c>
      <c r="CT1786">
        <v>2</v>
      </c>
      <c r="CU1786" t="s">
        <v>2259</v>
      </c>
      <c r="CV1786" t="s">
        <v>2260</v>
      </c>
      <c r="CY1786">
        <v>16153859</v>
      </c>
      <c r="CZ1786" t="s">
        <v>119</v>
      </c>
    </row>
    <row r="1787" spans="1:104" x14ac:dyDescent="0.25">
      <c r="A1787" t="str">
        <f>"14:20:08.852"</f>
        <v>14:20:08.852</v>
      </c>
      <c r="B1787" t="s">
        <v>108</v>
      </c>
      <c r="C1787" t="str">
        <f t="shared" si="82"/>
        <v>ffdfd3c0</v>
      </c>
      <c r="D1787" t="s">
        <v>109</v>
      </c>
      <c r="E1787">
        <v>4</v>
      </c>
      <c r="F1787">
        <v>1004</v>
      </c>
      <c r="G1787" t="s">
        <v>110</v>
      </c>
      <c r="J1787" t="s">
        <v>111</v>
      </c>
      <c r="K1787">
        <v>0</v>
      </c>
      <c r="L1787">
        <v>3</v>
      </c>
      <c r="M1787">
        <v>0</v>
      </c>
      <c r="N1787">
        <v>2</v>
      </c>
      <c r="O1787">
        <v>1</v>
      </c>
      <c r="P1787">
        <v>0</v>
      </c>
      <c r="Q1787">
        <v>0</v>
      </c>
      <c r="R1787" t="s">
        <v>112</v>
      </c>
      <c r="S1787" t="str">
        <f>"14:20:08.641"</f>
        <v>14:20:08.641</v>
      </c>
      <c r="T1787" t="str">
        <f>"14:20:08.141"</f>
        <v>14:20:08.141</v>
      </c>
      <c r="U1787" t="str">
        <f t="shared" si="81"/>
        <v>ad5732</v>
      </c>
      <c r="V1787">
        <v>0</v>
      </c>
      <c r="W1787">
        <v>0</v>
      </c>
      <c r="X1787">
        <v>1</v>
      </c>
      <c r="Z1787">
        <v>0</v>
      </c>
      <c r="AA1787">
        <v>9</v>
      </c>
      <c r="AB1787">
        <v>3</v>
      </c>
      <c r="AC1787">
        <v>0</v>
      </c>
      <c r="AD1787">
        <v>10</v>
      </c>
      <c r="AE1787">
        <v>0</v>
      </c>
      <c r="AF1787">
        <v>3</v>
      </c>
      <c r="AG1787">
        <v>2</v>
      </c>
      <c r="AH1787">
        <v>0</v>
      </c>
      <c r="AI1787" t="s">
        <v>3677</v>
      </c>
      <c r="AJ1787">
        <v>39.757418999999999</v>
      </c>
      <c r="AK1787" t="s">
        <v>3678</v>
      </c>
      <c r="AL1787">
        <v>-76.071524999999994</v>
      </c>
      <c r="AM1787">
        <v>100</v>
      </c>
      <c r="AN1787">
        <v>4700</v>
      </c>
      <c r="AO1787" t="s">
        <v>115</v>
      </c>
      <c r="AP1787">
        <v>156</v>
      </c>
      <c r="AQ1787">
        <v>82</v>
      </c>
      <c r="AR1787">
        <v>0</v>
      </c>
      <c r="AZ1787">
        <v>3614</v>
      </c>
      <c r="BA1787">
        <v>1</v>
      </c>
      <c r="BB1787" t="str">
        <f t="shared" si="83"/>
        <v xml:space="preserve">N959MJ  </v>
      </c>
      <c r="BC1787">
        <v>1</v>
      </c>
      <c r="BE1787">
        <v>0</v>
      </c>
      <c r="BF1787">
        <v>0</v>
      </c>
      <c r="BG1787">
        <v>0</v>
      </c>
      <c r="BH1787">
        <v>4900</v>
      </c>
      <c r="BI1787">
        <v>200</v>
      </c>
      <c r="BJ1787">
        <v>1</v>
      </c>
      <c r="BK1787">
        <v>1</v>
      </c>
      <c r="BL1787">
        <v>1</v>
      </c>
      <c r="BM1787">
        <v>0</v>
      </c>
      <c r="BP1787">
        <v>0</v>
      </c>
      <c r="BQ1787">
        <v>0</v>
      </c>
      <c r="BX1787" t="str">
        <f>"14:20:08.648"</f>
        <v>14:20:08.648</v>
      </c>
      <c r="BY1787" t="str">
        <f>"646278332"</f>
        <v>646278332</v>
      </c>
      <c r="CL1787">
        <v>0</v>
      </c>
      <c r="CM1787">
        <v>2</v>
      </c>
      <c r="CN1787">
        <v>0</v>
      </c>
      <c r="CO1787">
        <v>2</v>
      </c>
      <c r="CP1787">
        <v>0</v>
      </c>
      <c r="CQ1787">
        <v>6</v>
      </c>
      <c r="CR1787" t="s">
        <v>116</v>
      </c>
      <c r="CS1787">
        <v>39</v>
      </c>
      <c r="CT1787">
        <v>2</v>
      </c>
      <c r="CU1787" t="s">
        <v>2259</v>
      </c>
      <c r="CV1787" t="s">
        <v>2260</v>
      </c>
      <c r="CY1787">
        <v>16155736</v>
      </c>
      <c r="CZ1787" t="s">
        <v>119</v>
      </c>
    </row>
    <row r="1788" spans="1:104" x14ac:dyDescent="0.25">
      <c r="A1788" t="str">
        <f>"14:20:09.703"</f>
        <v>14:20:09.703</v>
      </c>
      <c r="B1788" t="s">
        <v>108</v>
      </c>
      <c r="C1788" t="str">
        <f t="shared" si="82"/>
        <v>ffdfd3c0</v>
      </c>
      <c r="D1788" t="s">
        <v>109</v>
      </c>
      <c r="E1788">
        <v>4</v>
      </c>
      <c r="F1788">
        <v>1004</v>
      </c>
      <c r="G1788" t="s">
        <v>110</v>
      </c>
      <c r="J1788" t="s">
        <v>111</v>
      </c>
      <c r="K1788">
        <v>0</v>
      </c>
      <c r="L1788">
        <v>3</v>
      </c>
      <c r="M1788">
        <v>0</v>
      </c>
      <c r="N1788">
        <v>2</v>
      </c>
      <c r="O1788">
        <v>1</v>
      </c>
      <c r="P1788">
        <v>0</v>
      </c>
      <c r="Q1788">
        <v>0</v>
      </c>
      <c r="R1788" t="s">
        <v>112</v>
      </c>
      <c r="S1788" t="str">
        <f>"14:20:09.531"</f>
        <v>14:20:09.531</v>
      </c>
      <c r="T1788" t="str">
        <f>"14:20:09.133"</f>
        <v>14:20:09.133</v>
      </c>
      <c r="U1788" t="str">
        <f t="shared" si="81"/>
        <v>ad5732</v>
      </c>
      <c r="V1788">
        <v>0</v>
      </c>
      <c r="W1788">
        <v>0</v>
      </c>
      <c r="X1788">
        <v>1</v>
      </c>
      <c r="Z1788">
        <v>0</v>
      </c>
      <c r="AA1788">
        <v>9</v>
      </c>
      <c r="AB1788">
        <v>3</v>
      </c>
      <c r="AC1788">
        <v>0</v>
      </c>
      <c r="AD1788">
        <v>10</v>
      </c>
      <c r="AE1788">
        <v>0</v>
      </c>
      <c r="AF1788">
        <v>3</v>
      </c>
      <c r="AG1788">
        <v>2</v>
      </c>
      <c r="AH1788">
        <v>0</v>
      </c>
      <c r="AI1788" t="s">
        <v>3679</v>
      </c>
      <c r="AJ1788">
        <v>39.757783000000003</v>
      </c>
      <c r="AK1788" t="s">
        <v>3680</v>
      </c>
      <c r="AL1788">
        <v>-76.070644999999999</v>
      </c>
      <c r="AM1788">
        <v>100</v>
      </c>
      <c r="AN1788">
        <v>4700</v>
      </c>
      <c r="AO1788" t="s">
        <v>115</v>
      </c>
      <c r="AP1788">
        <v>156</v>
      </c>
      <c r="AQ1788">
        <v>82</v>
      </c>
      <c r="AR1788">
        <v>0</v>
      </c>
      <c r="AZ1788">
        <v>3614</v>
      </c>
      <c r="BA1788">
        <v>1</v>
      </c>
      <c r="BB1788" t="str">
        <f t="shared" si="83"/>
        <v xml:space="preserve">N959MJ  </v>
      </c>
      <c r="BC1788">
        <v>1</v>
      </c>
      <c r="BE1788">
        <v>0</v>
      </c>
      <c r="BF1788">
        <v>0</v>
      </c>
      <c r="BG1788">
        <v>0</v>
      </c>
      <c r="BH1788">
        <v>4900</v>
      </c>
      <c r="BI1788">
        <v>200</v>
      </c>
      <c r="BJ1788">
        <v>1</v>
      </c>
      <c r="BK1788">
        <v>1</v>
      </c>
      <c r="BL1788">
        <v>1</v>
      </c>
      <c r="BM1788">
        <v>0</v>
      </c>
      <c r="BP1788">
        <v>0</v>
      </c>
      <c r="BQ1788">
        <v>0</v>
      </c>
      <c r="BX1788" t="str">
        <f>"14:20:09.531"</f>
        <v>14:20:09.531</v>
      </c>
      <c r="BY1788" t="str">
        <f>"532667531"</f>
        <v>532667531</v>
      </c>
      <c r="CL1788">
        <v>0</v>
      </c>
      <c r="CM1788">
        <v>2</v>
      </c>
      <c r="CN1788">
        <v>0</v>
      </c>
      <c r="CO1788">
        <v>2</v>
      </c>
      <c r="CP1788">
        <v>0</v>
      </c>
      <c r="CQ1788">
        <v>6</v>
      </c>
      <c r="CR1788" t="s">
        <v>116</v>
      </c>
      <c r="CS1788">
        <v>39</v>
      </c>
      <c r="CT1788">
        <v>2</v>
      </c>
      <c r="CU1788" t="s">
        <v>2259</v>
      </c>
      <c r="CV1788" t="s">
        <v>2260</v>
      </c>
      <c r="CY1788">
        <v>16157078</v>
      </c>
      <c r="CZ1788" t="s">
        <v>119</v>
      </c>
    </row>
    <row r="1789" spans="1:104" x14ac:dyDescent="0.25">
      <c r="A1789" t="str">
        <f>"14:20:10.719"</f>
        <v>14:20:10.719</v>
      </c>
      <c r="B1789" t="s">
        <v>108</v>
      </c>
      <c r="C1789" t="str">
        <f t="shared" si="82"/>
        <v>ffdfd3c0</v>
      </c>
      <c r="D1789" t="s">
        <v>109</v>
      </c>
      <c r="E1789">
        <v>4</v>
      </c>
      <c r="F1789">
        <v>1004</v>
      </c>
      <c r="G1789" t="s">
        <v>110</v>
      </c>
      <c r="J1789" t="s">
        <v>111</v>
      </c>
      <c r="K1789">
        <v>0</v>
      </c>
      <c r="L1789">
        <v>3</v>
      </c>
      <c r="M1789">
        <v>0</v>
      </c>
      <c r="N1789">
        <v>2</v>
      </c>
      <c r="O1789">
        <v>1</v>
      </c>
      <c r="P1789">
        <v>0</v>
      </c>
      <c r="Q1789">
        <v>0</v>
      </c>
      <c r="R1789" t="s">
        <v>112</v>
      </c>
      <c r="S1789" t="str">
        <f>"14:20:10.508"</f>
        <v>14:20:10.508</v>
      </c>
      <c r="T1789" t="str">
        <f>"14:20:10.109"</f>
        <v>14:20:10.109</v>
      </c>
      <c r="U1789" t="str">
        <f t="shared" si="81"/>
        <v>ad5732</v>
      </c>
      <c r="V1789">
        <v>0</v>
      </c>
      <c r="W1789">
        <v>0</v>
      </c>
      <c r="X1789">
        <v>1</v>
      </c>
      <c r="Z1789">
        <v>0</v>
      </c>
      <c r="AA1789">
        <v>9</v>
      </c>
      <c r="AB1789">
        <v>3</v>
      </c>
      <c r="AC1789">
        <v>0</v>
      </c>
      <c r="AD1789">
        <v>10</v>
      </c>
      <c r="AE1789">
        <v>0</v>
      </c>
      <c r="AF1789">
        <v>3</v>
      </c>
      <c r="AG1789">
        <v>2</v>
      </c>
      <c r="AH1789">
        <v>0</v>
      </c>
      <c r="AI1789" t="s">
        <v>3681</v>
      </c>
      <c r="AJ1789">
        <v>39.758147999999998</v>
      </c>
      <c r="AK1789" t="s">
        <v>3682</v>
      </c>
      <c r="AL1789">
        <v>-76.069744</v>
      </c>
      <c r="AM1789">
        <v>100</v>
      </c>
      <c r="AN1789">
        <v>4700</v>
      </c>
      <c r="AO1789" t="s">
        <v>115</v>
      </c>
      <c r="AP1789">
        <v>156</v>
      </c>
      <c r="AQ1789">
        <v>82</v>
      </c>
      <c r="AR1789">
        <v>0</v>
      </c>
      <c r="AZ1789">
        <v>3614</v>
      </c>
      <c r="BA1789">
        <v>1</v>
      </c>
      <c r="BB1789" t="str">
        <f t="shared" si="83"/>
        <v xml:space="preserve">N959MJ  </v>
      </c>
      <c r="BC1789">
        <v>1</v>
      </c>
      <c r="BE1789">
        <v>0</v>
      </c>
      <c r="BF1789">
        <v>0</v>
      </c>
      <c r="BG1789">
        <v>0</v>
      </c>
      <c r="BH1789">
        <v>4900</v>
      </c>
      <c r="BI1789">
        <v>200</v>
      </c>
      <c r="BJ1789">
        <v>1</v>
      </c>
      <c r="BK1789">
        <v>1</v>
      </c>
      <c r="BL1789">
        <v>1</v>
      </c>
      <c r="BM1789">
        <v>0</v>
      </c>
      <c r="BP1789">
        <v>0</v>
      </c>
      <c r="BQ1789">
        <v>0</v>
      </c>
      <c r="BX1789" t="str">
        <f>"14:20:10.508"</f>
        <v>14:20:10.508</v>
      </c>
      <c r="BY1789" t="str">
        <f>"510808563"</f>
        <v>510808563</v>
      </c>
      <c r="CL1789">
        <v>0</v>
      </c>
      <c r="CM1789">
        <v>2</v>
      </c>
      <c r="CN1789">
        <v>0</v>
      </c>
      <c r="CO1789">
        <v>2</v>
      </c>
      <c r="CP1789">
        <v>0</v>
      </c>
      <c r="CQ1789">
        <v>6</v>
      </c>
      <c r="CR1789" t="s">
        <v>116</v>
      </c>
      <c r="CS1789">
        <v>39</v>
      </c>
      <c r="CT1789">
        <v>2</v>
      </c>
      <c r="CU1789" t="s">
        <v>2259</v>
      </c>
      <c r="CV1789" t="s">
        <v>2260</v>
      </c>
      <c r="CY1789">
        <v>16158525</v>
      </c>
      <c r="CZ1789" t="s">
        <v>119</v>
      </c>
    </row>
    <row r="1790" spans="1:104" x14ac:dyDescent="0.25">
      <c r="A1790" t="str">
        <f>"14:20:11.570"</f>
        <v>14:20:11.570</v>
      </c>
      <c r="B1790" t="s">
        <v>108</v>
      </c>
      <c r="C1790" t="str">
        <f t="shared" si="82"/>
        <v>ffdfd3c0</v>
      </c>
      <c r="D1790" t="s">
        <v>109</v>
      </c>
      <c r="E1790">
        <v>4</v>
      </c>
      <c r="F1790">
        <v>1004</v>
      </c>
      <c r="G1790" t="s">
        <v>110</v>
      </c>
      <c r="J1790" t="s">
        <v>111</v>
      </c>
      <c r="K1790">
        <v>0</v>
      </c>
      <c r="L1790">
        <v>3</v>
      </c>
      <c r="M1790">
        <v>0</v>
      </c>
      <c r="N1790">
        <v>2</v>
      </c>
      <c r="O1790">
        <v>1</v>
      </c>
      <c r="P1790">
        <v>0</v>
      </c>
      <c r="Q1790">
        <v>0</v>
      </c>
      <c r="R1790" t="s">
        <v>112</v>
      </c>
      <c r="S1790" t="str">
        <f>"14:20:11.391"</f>
        <v>14:20:11.391</v>
      </c>
      <c r="T1790" t="str">
        <f>"14:20:10.594"</f>
        <v>14:20:10.594</v>
      </c>
      <c r="U1790" t="str">
        <f t="shared" si="81"/>
        <v>ad5732</v>
      </c>
      <c r="V1790">
        <v>0</v>
      </c>
      <c r="W1790">
        <v>0</v>
      </c>
      <c r="X1790">
        <v>1</v>
      </c>
      <c r="Z1790">
        <v>0</v>
      </c>
      <c r="AA1790">
        <v>9</v>
      </c>
      <c r="AB1790">
        <v>3</v>
      </c>
      <c r="AC1790">
        <v>0</v>
      </c>
      <c r="AD1790">
        <v>10</v>
      </c>
      <c r="AE1790">
        <v>0</v>
      </c>
      <c r="AF1790">
        <v>3</v>
      </c>
      <c r="AG1790">
        <v>2</v>
      </c>
      <c r="AH1790">
        <v>0</v>
      </c>
      <c r="AI1790" t="s">
        <v>3683</v>
      </c>
      <c r="AJ1790">
        <v>39.758470000000003</v>
      </c>
      <c r="AK1790" t="s">
        <v>3684</v>
      </c>
      <c r="AL1790">
        <v>-76.068971000000005</v>
      </c>
      <c r="AM1790">
        <v>100</v>
      </c>
      <c r="AN1790">
        <v>4700</v>
      </c>
      <c r="AO1790" t="s">
        <v>115</v>
      </c>
      <c r="AP1790">
        <v>156</v>
      </c>
      <c r="AQ1790">
        <v>82</v>
      </c>
      <c r="AR1790">
        <v>0</v>
      </c>
      <c r="AZ1790">
        <v>3614</v>
      </c>
      <c r="BA1790">
        <v>1</v>
      </c>
      <c r="BB1790" t="str">
        <f t="shared" si="83"/>
        <v xml:space="preserve">N959MJ  </v>
      </c>
      <c r="BC1790">
        <v>1</v>
      </c>
      <c r="BE1790">
        <v>0</v>
      </c>
      <c r="BF1790">
        <v>0</v>
      </c>
      <c r="BG1790">
        <v>0</v>
      </c>
      <c r="BH1790">
        <v>4900</v>
      </c>
      <c r="BI1790">
        <v>200</v>
      </c>
      <c r="BJ1790">
        <v>1</v>
      </c>
      <c r="BK1790">
        <v>1</v>
      </c>
      <c r="BL1790">
        <v>1</v>
      </c>
      <c r="BM1790">
        <v>0</v>
      </c>
      <c r="BP1790">
        <v>0</v>
      </c>
      <c r="BQ1790">
        <v>0</v>
      </c>
      <c r="BX1790" t="str">
        <f>"14:20:11.391"</f>
        <v>14:20:11.391</v>
      </c>
      <c r="BY1790" t="str">
        <f>"390644063"</f>
        <v>390644063</v>
      </c>
      <c r="CL1790">
        <v>0</v>
      </c>
      <c r="CM1790">
        <v>2</v>
      </c>
      <c r="CN1790">
        <v>0</v>
      </c>
      <c r="CO1790">
        <v>2</v>
      </c>
      <c r="CP1790">
        <v>0</v>
      </c>
      <c r="CQ1790">
        <v>6</v>
      </c>
      <c r="CR1790" t="s">
        <v>116</v>
      </c>
      <c r="CS1790">
        <v>39</v>
      </c>
      <c r="CT1790">
        <v>2</v>
      </c>
      <c r="CU1790" t="s">
        <v>2259</v>
      </c>
      <c r="CV1790" t="s">
        <v>2260</v>
      </c>
      <c r="CY1790">
        <v>16159871</v>
      </c>
      <c r="CZ1790" t="s">
        <v>119</v>
      </c>
    </row>
    <row r="1791" spans="1:104" x14ac:dyDescent="0.25">
      <c r="A1791" t="str">
        <f>"14:20:12.586"</f>
        <v>14:20:12.586</v>
      </c>
      <c r="B1791" t="s">
        <v>108</v>
      </c>
      <c r="C1791" t="str">
        <f t="shared" si="82"/>
        <v>ffdfd3c0</v>
      </c>
      <c r="D1791" t="s">
        <v>109</v>
      </c>
      <c r="E1791">
        <v>4</v>
      </c>
      <c r="F1791">
        <v>1004</v>
      </c>
      <c r="G1791" t="s">
        <v>110</v>
      </c>
      <c r="J1791" t="s">
        <v>111</v>
      </c>
      <c r="K1791">
        <v>0</v>
      </c>
      <c r="L1791">
        <v>3</v>
      </c>
      <c r="M1791">
        <v>0</v>
      </c>
      <c r="N1791">
        <v>2</v>
      </c>
      <c r="O1791">
        <v>1</v>
      </c>
      <c r="P1791">
        <v>0</v>
      </c>
      <c r="Q1791">
        <v>0</v>
      </c>
      <c r="R1791" t="s">
        <v>112</v>
      </c>
      <c r="S1791" t="str">
        <f>"14:20:12.406"</f>
        <v>14:20:12.406</v>
      </c>
      <c r="T1791" t="str">
        <f>"14:20:11.906"</f>
        <v>14:20:11.906</v>
      </c>
      <c r="U1791" t="str">
        <f t="shared" si="81"/>
        <v>ad5732</v>
      </c>
      <c r="V1791">
        <v>0</v>
      </c>
      <c r="W1791">
        <v>0</v>
      </c>
      <c r="X1791">
        <v>1</v>
      </c>
      <c r="Z1791">
        <v>0</v>
      </c>
      <c r="AA1791">
        <v>9</v>
      </c>
      <c r="AB1791">
        <v>3</v>
      </c>
      <c r="AC1791">
        <v>0</v>
      </c>
      <c r="AD1791">
        <v>10</v>
      </c>
      <c r="AE1791">
        <v>0</v>
      </c>
      <c r="AF1791">
        <v>3</v>
      </c>
      <c r="AG1791">
        <v>2</v>
      </c>
      <c r="AH1791">
        <v>0</v>
      </c>
      <c r="AI1791" t="s">
        <v>3685</v>
      </c>
      <c r="AJ1791">
        <v>39.758878000000003</v>
      </c>
      <c r="AK1791" t="s">
        <v>3686</v>
      </c>
      <c r="AL1791">
        <v>-76.067941000000005</v>
      </c>
      <c r="AM1791">
        <v>100</v>
      </c>
      <c r="AN1791">
        <v>4700</v>
      </c>
      <c r="AO1791" t="s">
        <v>115</v>
      </c>
      <c r="AP1791">
        <v>156</v>
      </c>
      <c r="AQ1791">
        <v>82</v>
      </c>
      <c r="AR1791">
        <v>0</v>
      </c>
      <c r="AZ1791">
        <v>3614</v>
      </c>
      <c r="BA1791">
        <v>1</v>
      </c>
      <c r="BB1791" t="str">
        <f t="shared" si="83"/>
        <v xml:space="preserve">N959MJ  </v>
      </c>
      <c r="BC1791">
        <v>1</v>
      </c>
      <c r="BE1791">
        <v>0</v>
      </c>
      <c r="BF1791">
        <v>0</v>
      </c>
      <c r="BG1791">
        <v>0</v>
      </c>
      <c r="BH1791">
        <v>4900</v>
      </c>
      <c r="BI1791">
        <v>200</v>
      </c>
      <c r="BJ1791">
        <v>1</v>
      </c>
      <c r="BK1791">
        <v>1</v>
      </c>
      <c r="BL1791">
        <v>1</v>
      </c>
      <c r="BM1791">
        <v>0</v>
      </c>
      <c r="BP1791">
        <v>0</v>
      </c>
      <c r="BQ1791">
        <v>0</v>
      </c>
      <c r="BX1791" t="str">
        <f>"14:20:12.414"</f>
        <v>14:20:12.414</v>
      </c>
      <c r="BY1791" t="str">
        <f>"411392435"</f>
        <v>411392435</v>
      </c>
      <c r="CL1791">
        <v>0</v>
      </c>
      <c r="CM1791">
        <v>2</v>
      </c>
      <c r="CN1791">
        <v>0</v>
      </c>
      <c r="CO1791">
        <v>2</v>
      </c>
      <c r="CP1791">
        <v>0</v>
      </c>
      <c r="CQ1791">
        <v>6</v>
      </c>
      <c r="CR1791" t="s">
        <v>116</v>
      </c>
      <c r="CS1791">
        <v>396</v>
      </c>
      <c r="CT1791">
        <v>1</v>
      </c>
      <c r="CU1791" t="s">
        <v>939</v>
      </c>
      <c r="CV1791" t="s">
        <v>940</v>
      </c>
      <c r="CY1791">
        <v>9502003</v>
      </c>
      <c r="CZ1791" t="s">
        <v>119</v>
      </c>
    </row>
    <row r="1792" spans="1:104" x14ac:dyDescent="0.25">
      <c r="A1792" t="str">
        <f>"14:20:13.539"</f>
        <v>14:20:13.539</v>
      </c>
      <c r="B1792" t="s">
        <v>108</v>
      </c>
      <c r="C1792" t="str">
        <f t="shared" si="82"/>
        <v>ffdfd3c0</v>
      </c>
      <c r="D1792" t="s">
        <v>109</v>
      </c>
      <c r="E1792">
        <v>4</v>
      </c>
      <c r="F1792">
        <v>1004</v>
      </c>
      <c r="G1792" t="s">
        <v>110</v>
      </c>
      <c r="J1792" t="s">
        <v>111</v>
      </c>
      <c r="K1792">
        <v>0</v>
      </c>
      <c r="L1792">
        <v>3</v>
      </c>
      <c r="M1792">
        <v>0</v>
      </c>
      <c r="N1792">
        <v>2</v>
      </c>
      <c r="O1792">
        <v>1</v>
      </c>
      <c r="P1792">
        <v>0</v>
      </c>
      <c r="Q1792">
        <v>0</v>
      </c>
      <c r="R1792" t="s">
        <v>112</v>
      </c>
      <c r="S1792" t="str">
        <f>"14:20:13.375"</f>
        <v>14:20:13.375</v>
      </c>
      <c r="T1792" t="str">
        <f>"14:20:12.977"</f>
        <v>14:20:12.977</v>
      </c>
      <c r="U1792" t="str">
        <f t="shared" si="81"/>
        <v>ad5732</v>
      </c>
      <c r="V1792">
        <v>0</v>
      </c>
      <c r="W1792">
        <v>0</v>
      </c>
      <c r="X1792">
        <v>1</v>
      </c>
      <c r="Z1792">
        <v>0</v>
      </c>
      <c r="AA1792">
        <v>9</v>
      </c>
      <c r="AB1792">
        <v>3</v>
      </c>
      <c r="AC1792">
        <v>0</v>
      </c>
      <c r="AD1792">
        <v>10</v>
      </c>
      <c r="AE1792">
        <v>0</v>
      </c>
      <c r="AF1792">
        <v>3</v>
      </c>
      <c r="AG1792">
        <v>2</v>
      </c>
      <c r="AH1792">
        <v>0</v>
      </c>
      <c r="AI1792" t="s">
        <v>3687</v>
      </c>
      <c r="AJ1792">
        <v>39.759242999999998</v>
      </c>
      <c r="AK1792" t="s">
        <v>3688</v>
      </c>
      <c r="AL1792">
        <v>-76.067126000000002</v>
      </c>
      <c r="AM1792">
        <v>100</v>
      </c>
      <c r="AN1792">
        <v>4700</v>
      </c>
      <c r="AO1792" t="s">
        <v>115</v>
      </c>
      <c r="AP1792">
        <v>155</v>
      </c>
      <c r="AQ1792">
        <v>82</v>
      </c>
      <c r="AR1792">
        <v>0</v>
      </c>
      <c r="AZ1792">
        <v>3614</v>
      </c>
      <c r="BA1792">
        <v>1</v>
      </c>
      <c r="BB1792" t="str">
        <f t="shared" si="83"/>
        <v xml:space="preserve">N959MJ  </v>
      </c>
      <c r="BC1792">
        <v>1</v>
      </c>
      <c r="BE1792">
        <v>0</v>
      </c>
      <c r="BF1792">
        <v>0</v>
      </c>
      <c r="BG1792">
        <v>0</v>
      </c>
      <c r="BH1792">
        <v>4900</v>
      </c>
      <c r="BI1792">
        <v>200</v>
      </c>
      <c r="BJ1792">
        <v>1</v>
      </c>
      <c r="BK1792">
        <v>1</v>
      </c>
      <c r="BL1792">
        <v>1</v>
      </c>
      <c r="BM1792">
        <v>0</v>
      </c>
      <c r="BP1792">
        <v>0</v>
      </c>
      <c r="BQ1792">
        <v>0</v>
      </c>
      <c r="BX1792" t="str">
        <f>"14:20:13.375"</f>
        <v>14:20:13.375</v>
      </c>
      <c r="BY1792" t="str">
        <f>"378056303"</f>
        <v>378056303</v>
      </c>
      <c r="CL1792">
        <v>0</v>
      </c>
      <c r="CM1792">
        <v>2</v>
      </c>
      <c r="CN1792">
        <v>0</v>
      </c>
      <c r="CO1792">
        <v>2</v>
      </c>
      <c r="CP1792">
        <v>0</v>
      </c>
      <c r="CQ1792">
        <v>6</v>
      </c>
      <c r="CR1792" t="s">
        <v>116</v>
      </c>
      <c r="CS1792">
        <v>39</v>
      </c>
      <c r="CT1792">
        <v>2</v>
      </c>
      <c r="CU1792" t="s">
        <v>2259</v>
      </c>
      <c r="CV1792" t="s">
        <v>2260</v>
      </c>
      <c r="CY1792">
        <v>16163140</v>
      </c>
      <c r="CZ1792" t="s">
        <v>119</v>
      </c>
    </row>
    <row r="1793" spans="1:104" x14ac:dyDescent="0.25">
      <c r="A1793" t="str">
        <f>"14:20:14.602"</f>
        <v>14:20:14.602</v>
      </c>
      <c r="B1793" t="s">
        <v>108</v>
      </c>
      <c r="C1793" t="str">
        <f t="shared" si="82"/>
        <v>ffdfd3c0</v>
      </c>
      <c r="D1793" t="s">
        <v>109</v>
      </c>
      <c r="E1793">
        <v>4</v>
      </c>
      <c r="F1793">
        <v>1004</v>
      </c>
      <c r="G1793" t="s">
        <v>110</v>
      </c>
      <c r="J1793" t="s">
        <v>111</v>
      </c>
      <c r="K1793">
        <v>0</v>
      </c>
      <c r="L1793">
        <v>3</v>
      </c>
      <c r="M1793">
        <v>0</v>
      </c>
      <c r="N1793">
        <v>2</v>
      </c>
      <c r="O1793">
        <v>1</v>
      </c>
      <c r="P1793">
        <v>0</v>
      </c>
      <c r="Q1793">
        <v>0</v>
      </c>
      <c r="R1793" t="s">
        <v>112</v>
      </c>
      <c r="S1793" t="str">
        <f>"14:20:14.398"</f>
        <v>14:20:14.398</v>
      </c>
      <c r="T1793" t="str">
        <f>"14:20:14.000"</f>
        <v>14:20:14.000</v>
      </c>
      <c r="U1793" t="str">
        <f t="shared" si="81"/>
        <v>ad5732</v>
      </c>
      <c r="V1793">
        <v>0</v>
      </c>
      <c r="W1793">
        <v>0</v>
      </c>
      <c r="X1793">
        <v>1</v>
      </c>
      <c r="Z1793">
        <v>0</v>
      </c>
      <c r="AA1793">
        <v>9</v>
      </c>
      <c r="AB1793">
        <v>3</v>
      </c>
      <c r="AC1793">
        <v>0</v>
      </c>
      <c r="AD1793">
        <v>10</v>
      </c>
      <c r="AE1793">
        <v>0</v>
      </c>
      <c r="AF1793">
        <v>3</v>
      </c>
      <c r="AG1793">
        <v>2</v>
      </c>
      <c r="AH1793">
        <v>0</v>
      </c>
      <c r="AI1793" t="s">
        <v>3689</v>
      </c>
      <c r="AJ1793">
        <v>39.759672000000002</v>
      </c>
      <c r="AK1793" t="s">
        <v>3690</v>
      </c>
      <c r="AL1793">
        <v>-76.066096000000002</v>
      </c>
      <c r="AM1793">
        <v>100</v>
      </c>
      <c r="AN1793">
        <v>4700</v>
      </c>
      <c r="AO1793" t="s">
        <v>115</v>
      </c>
      <c r="AP1793">
        <v>155</v>
      </c>
      <c r="AQ1793">
        <v>83</v>
      </c>
      <c r="AR1793">
        <v>0</v>
      </c>
      <c r="AZ1793">
        <v>3614</v>
      </c>
      <c r="BA1793">
        <v>1</v>
      </c>
      <c r="BB1793" t="str">
        <f t="shared" si="83"/>
        <v xml:space="preserve">N959MJ  </v>
      </c>
      <c r="BC1793">
        <v>1</v>
      </c>
      <c r="BE1793">
        <v>0</v>
      </c>
      <c r="BF1793">
        <v>0</v>
      </c>
      <c r="BG1793">
        <v>0</v>
      </c>
      <c r="BH1793">
        <v>4900</v>
      </c>
      <c r="BI1793">
        <v>200</v>
      </c>
      <c r="BJ1793">
        <v>1</v>
      </c>
      <c r="BK1793">
        <v>1</v>
      </c>
      <c r="BL1793">
        <v>1</v>
      </c>
      <c r="BM1793">
        <v>0</v>
      </c>
      <c r="BP1793">
        <v>0</v>
      </c>
      <c r="BQ1793">
        <v>0</v>
      </c>
      <c r="BX1793" t="str">
        <f>"14:20:14.398"</f>
        <v>14:20:14.398</v>
      </c>
      <c r="BY1793" t="str">
        <f>"402073343"</f>
        <v>402073343</v>
      </c>
      <c r="CL1793">
        <v>0</v>
      </c>
      <c r="CM1793">
        <v>2</v>
      </c>
      <c r="CN1793">
        <v>0</v>
      </c>
      <c r="CO1793">
        <v>2</v>
      </c>
      <c r="CP1793">
        <v>0</v>
      </c>
      <c r="CQ1793">
        <v>6</v>
      </c>
      <c r="CR1793" t="s">
        <v>116</v>
      </c>
      <c r="CS1793">
        <v>39</v>
      </c>
      <c r="CT1793">
        <v>2</v>
      </c>
      <c r="CU1793" t="s">
        <v>2259</v>
      </c>
      <c r="CV1793" t="s">
        <v>2260</v>
      </c>
      <c r="CY1793">
        <v>16164652</v>
      </c>
      <c r="CZ1793" t="s">
        <v>119</v>
      </c>
    </row>
    <row r="1794" spans="1:104" x14ac:dyDescent="0.25">
      <c r="A1794" t="str">
        <f>"14:20:15.664"</f>
        <v>14:20:15.664</v>
      </c>
      <c r="B1794" t="s">
        <v>108</v>
      </c>
      <c r="C1794" t="str">
        <f t="shared" si="82"/>
        <v>ffdfd3c0</v>
      </c>
      <c r="D1794" t="s">
        <v>109</v>
      </c>
      <c r="E1794">
        <v>4</v>
      </c>
      <c r="F1794">
        <v>1004</v>
      </c>
      <c r="G1794" t="s">
        <v>110</v>
      </c>
      <c r="J1794" t="s">
        <v>111</v>
      </c>
      <c r="K1794">
        <v>0</v>
      </c>
      <c r="L1794">
        <v>3</v>
      </c>
      <c r="M1794">
        <v>0</v>
      </c>
      <c r="N1794">
        <v>2</v>
      </c>
      <c r="O1794">
        <v>1</v>
      </c>
      <c r="P1794">
        <v>0</v>
      </c>
      <c r="Q1794">
        <v>0</v>
      </c>
      <c r="R1794" t="s">
        <v>112</v>
      </c>
      <c r="S1794" t="str">
        <f>"14:20:15.461"</f>
        <v>14:20:15.461</v>
      </c>
      <c r="T1794" t="str">
        <f>"14:20:14.961"</f>
        <v>14:20:14.961</v>
      </c>
      <c r="U1794" t="str">
        <f t="shared" ref="U1794:U1857" si="84">"ad5732"</f>
        <v>ad5732</v>
      </c>
      <c r="V1794">
        <v>0</v>
      </c>
      <c r="W1794">
        <v>0</v>
      </c>
      <c r="X1794">
        <v>1</v>
      </c>
      <c r="Z1794">
        <v>0</v>
      </c>
      <c r="AA1794">
        <v>9</v>
      </c>
      <c r="AB1794">
        <v>3</v>
      </c>
      <c r="AC1794">
        <v>0</v>
      </c>
      <c r="AD1794">
        <v>10</v>
      </c>
      <c r="AE1794">
        <v>0</v>
      </c>
      <c r="AF1794">
        <v>3</v>
      </c>
      <c r="AG1794">
        <v>2</v>
      </c>
      <c r="AH1794">
        <v>0</v>
      </c>
      <c r="AI1794" t="s">
        <v>3691</v>
      </c>
      <c r="AJ1794">
        <v>39.760035999999999</v>
      </c>
      <c r="AK1794" t="s">
        <v>3692</v>
      </c>
      <c r="AL1794">
        <v>-76.065195000000003</v>
      </c>
      <c r="AM1794">
        <v>100</v>
      </c>
      <c r="AN1794">
        <v>4700</v>
      </c>
      <c r="AO1794" t="s">
        <v>115</v>
      </c>
      <c r="AP1794">
        <v>155</v>
      </c>
      <c r="AQ1794">
        <v>83</v>
      </c>
      <c r="AR1794">
        <v>0</v>
      </c>
      <c r="AZ1794">
        <v>3614</v>
      </c>
      <c r="BA1794">
        <v>1</v>
      </c>
      <c r="BB1794" t="str">
        <f t="shared" si="83"/>
        <v xml:space="preserve">N959MJ  </v>
      </c>
      <c r="BC1794">
        <v>1</v>
      </c>
      <c r="BE1794">
        <v>0</v>
      </c>
      <c r="BF1794">
        <v>0</v>
      </c>
      <c r="BG1794">
        <v>0</v>
      </c>
      <c r="BH1794">
        <v>4900</v>
      </c>
      <c r="BI1794">
        <v>200</v>
      </c>
      <c r="BJ1794">
        <v>1</v>
      </c>
      <c r="BK1794">
        <v>1</v>
      </c>
      <c r="BL1794">
        <v>1</v>
      </c>
      <c r="BM1794">
        <v>0</v>
      </c>
      <c r="BP1794">
        <v>0</v>
      </c>
      <c r="BQ1794">
        <v>0</v>
      </c>
      <c r="BX1794" t="str">
        <f>"14:20:15.469"</f>
        <v>14:20:15.469</v>
      </c>
      <c r="BY1794" t="str">
        <f>"468689527"</f>
        <v>468689527</v>
      </c>
      <c r="CL1794">
        <v>0</v>
      </c>
      <c r="CM1794">
        <v>2</v>
      </c>
      <c r="CN1794">
        <v>0</v>
      </c>
      <c r="CO1794">
        <v>2</v>
      </c>
      <c r="CP1794">
        <v>0</v>
      </c>
      <c r="CQ1794">
        <v>6</v>
      </c>
      <c r="CR1794" t="s">
        <v>116</v>
      </c>
      <c r="CS1794">
        <v>39</v>
      </c>
      <c r="CT1794">
        <v>2</v>
      </c>
      <c r="CU1794" t="s">
        <v>2259</v>
      </c>
      <c r="CV1794" t="s">
        <v>2260</v>
      </c>
      <c r="CY1794">
        <v>16166375</v>
      </c>
      <c r="CZ1794" t="s">
        <v>119</v>
      </c>
    </row>
    <row r="1795" spans="1:104" x14ac:dyDescent="0.25">
      <c r="A1795" t="str">
        <f>"14:20:16.672"</f>
        <v>14:20:16.672</v>
      </c>
      <c r="B1795" t="s">
        <v>108</v>
      </c>
      <c r="C1795" t="str">
        <f t="shared" si="82"/>
        <v>ffdfd3c0</v>
      </c>
      <c r="D1795" t="s">
        <v>109</v>
      </c>
      <c r="E1795">
        <v>4</v>
      </c>
      <c r="F1795">
        <v>1004</v>
      </c>
      <c r="G1795" t="s">
        <v>110</v>
      </c>
      <c r="J1795" t="s">
        <v>111</v>
      </c>
      <c r="K1795">
        <v>0</v>
      </c>
      <c r="L1795">
        <v>3</v>
      </c>
      <c r="M1795">
        <v>0</v>
      </c>
      <c r="N1795">
        <v>2</v>
      </c>
      <c r="O1795">
        <v>1</v>
      </c>
      <c r="P1795">
        <v>0</v>
      </c>
      <c r="Q1795">
        <v>0</v>
      </c>
      <c r="R1795" t="s">
        <v>112</v>
      </c>
      <c r="S1795" t="str">
        <f>"14:20:16.500"</f>
        <v>14:20:16.500</v>
      </c>
      <c r="T1795" t="str">
        <f>"14:20:16.102"</f>
        <v>14:20:16.102</v>
      </c>
      <c r="U1795" t="str">
        <f t="shared" si="84"/>
        <v>ad5732</v>
      </c>
      <c r="V1795">
        <v>0</v>
      </c>
      <c r="W1795">
        <v>0</v>
      </c>
      <c r="X1795">
        <v>1</v>
      </c>
      <c r="Z1795">
        <v>0</v>
      </c>
      <c r="AA1795">
        <v>9</v>
      </c>
      <c r="AB1795">
        <v>3</v>
      </c>
      <c r="AC1795">
        <v>0</v>
      </c>
      <c r="AD1795">
        <v>10</v>
      </c>
      <c r="AE1795">
        <v>0</v>
      </c>
      <c r="AF1795">
        <v>3</v>
      </c>
      <c r="AG1795">
        <v>2</v>
      </c>
      <c r="AH1795">
        <v>0</v>
      </c>
      <c r="AI1795" t="s">
        <v>3693</v>
      </c>
      <c r="AJ1795">
        <v>39.760444</v>
      </c>
      <c r="AK1795" t="s">
        <v>3694</v>
      </c>
      <c r="AL1795">
        <v>-76.064143000000001</v>
      </c>
      <c r="AM1795">
        <v>100</v>
      </c>
      <c r="AN1795">
        <v>4700</v>
      </c>
      <c r="AO1795" t="s">
        <v>115</v>
      </c>
      <c r="AP1795">
        <v>155</v>
      </c>
      <c r="AQ1795">
        <v>83</v>
      </c>
      <c r="AR1795">
        <v>0</v>
      </c>
      <c r="AZ1795">
        <v>3614</v>
      </c>
      <c r="BA1795">
        <v>1</v>
      </c>
      <c r="BB1795" t="str">
        <f t="shared" si="83"/>
        <v xml:space="preserve">N959MJ  </v>
      </c>
      <c r="BC1795">
        <v>1</v>
      </c>
      <c r="BE1795">
        <v>0</v>
      </c>
      <c r="BF1795">
        <v>0</v>
      </c>
      <c r="BG1795">
        <v>0</v>
      </c>
      <c r="BH1795">
        <v>4900</v>
      </c>
      <c r="BI1795">
        <v>200</v>
      </c>
      <c r="BJ1795">
        <v>1</v>
      </c>
      <c r="BK1795">
        <v>1</v>
      </c>
      <c r="BL1795">
        <v>1</v>
      </c>
      <c r="BM1795">
        <v>0</v>
      </c>
      <c r="BP1795">
        <v>0</v>
      </c>
      <c r="BQ1795">
        <v>0</v>
      </c>
      <c r="BX1795" t="str">
        <f>"14:20:16.508"</f>
        <v>14:20:16.508</v>
      </c>
      <c r="BY1795" t="str">
        <f>"505814014"</f>
        <v>505814014</v>
      </c>
      <c r="CL1795">
        <v>0</v>
      </c>
      <c r="CM1795">
        <v>2</v>
      </c>
      <c r="CN1795">
        <v>0</v>
      </c>
      <c r="CO1795">
        <v>2</v>
      </c>
      <c r="CP1795">
        <v>0</v>
      </c>
      <c r="CQ1795">
        <v>6</v>
      </c>
      <c r="CR1795" t="s">
        <v>116</v>
      </c>
      <c r="CS1795">
        <v>39</v>
      </c>
      <c r="CT1795">
        <v>2</v>
      </c>
      <c r="CU1795" t="s">
        <v>2259</v>
      </c>
      <c r="CV1795" t="s">
        <v>2260</v>
      </c>
      <c r="CY1795">
        <v>16168028</v>
      </c>
      <c r="CZ1795" t="s">
        <v>119</v>
      </c>
    </row>
    <row r="1796" spans="1:104" x14ac:dyDescent="0.25">
      <c r="A1796" t="str">
        <f>"14:20:17.633"</f>
        <v>14:20:17.633</v>
      </c>
      <c r="B1796" t="s">
        <v>108</v>
      </c>
      <c r="C1796" t="str">
        <f t="shared" si="82"/>
        <v>ffdfd3c0</v>
      </c>
      <c r="D1796" t="s">
        <v>109</v>
      </c>
      <c r="E1796">
        <v>4</v>
      </c>
      <c r="F1796">
        <v>1004</v>
      </c>
      <c r="G1796" t="s">
        <v>110</v>
      </c>
      <c r="J1796" t="s">
        <v>111</v>
      </c>
      <c r="K1796">
        <v>0</v>
      </c>
      <c r="L1796">
        <v>3</v>
      </c>
      <c r="M1796">
        <v>0</v>
      </c>
      <c r="N1796">
        <v>2</v>
      </c>
      <c r="O1796">
        <v>1</v>
      </c>
      <c r="P1796">
        <v>0</v>
      </c>
      <c r="Q1796">
        <v>0</v>
      </c>
      <c r="R1796" t="s">
        <v>112</v>
      </c>
      <c r="S1796" t="str">
        <f>"14:20:17.430"</f>
        <v>14:20:17.430</v>
      </c>
      <c r="T1796" t="str">
        <f>"14:20:16.930"</f>
        <v>14:20:16.930</v>
      </c>
      <c r="U1796" t="str">
        <f t="shared" si="84"/>
        <v>ad5732</v>
      </c>
      <c r="V1796">
        <v>0</v>
      </c>
      <c r="W1796">
        <v>0</v>
      </c>
      <c r="X1796">
        <v>1</v>
      </c>
      <c r="Z1796">
        <v>0</v>
      </c>
      <c r="AA1796">
        <v>9</v>
      </c>
      <c r="AB1796">
        <v>3</v>
      </c>
      <c r="AC1796">
        <v>0</v>
      </c>
      <c r="AD1796">
        <v>10</v>
      </c>
      <c r="AE1796">
        <v>0</v>
      </c>
      <c r="AF1796">
        <v>3</v>
      </c>
      <c r="AG1796">
        <v>2</v>
      </c>
      <c r="AH1796">
        <v>0</v>
      </c>
      <c r="AI1796" t="s">
        <v>3695</v>
      </c>
      <c r="AJ1796">
        <v>39.760787000000001</v>
      </c>
      <c r="AK1796" t="s">
        <v>3696</v>
      </c>
      <c r="AL1796">
        <v>-76.063284999999993</v>
      </c>
      <c r="AM1796">
        <v>100</v>
      </c>
      <c r="AN1796">
        <v>4700</v>
      </c>
      <c r="AO1796" t="s">
        <v>115</v>
      </c>
      <c r="AP1796">
        <v>155</v>
      </c>
      <c r="AQ1796">
        <v>83</v>
      </c>
      <c r="AR1796">
        <v>0</v>
      </c>
      <c r="AZ1796">
        <v>3614</v>
      </c>
      <c r="BA1796">
        <v>1</v>
      </c>
      <c r="BB1796" t="str">
        <f t="shared" si="83"/>
        <v xml:space="preserve">N959MJ  </v>
      </c>
      <c r="BC1796">
        <v>1</v>
      </c>
      <c r="BE1796">
        <v>0</v>
      </c>
      <c r="BF1796">
        <v>0</v>
      </c>
      <c r="BG1796">
        <v>0</v>
      </c>
      <c r="BH1796">
        <v>4900</v>
      </c>
      <c r="BI1796">
        <v>200</v>
      </c>
      <c r="BJ1796">
        <v>1</v>
      </c>
      <c r="BK1796">
        <v>1</v>
      </c>
      <c r="BL1796">
        <v>1</v>
      </c>
      <c r="BM1796">
        <v>0</v>
      </c>
      <c r="BP1796">
        <v>0</v>
      </c>
      <c r="BQ1796">
        <v>0</v>
      </c>
      <c r="BX1796" t="str">
        <f>"14:20:17.430"</f>
        <v>14:20:17.430</v>
      </c>
      <c r="BY1796" t="str">
        <f>"431525383"</f>
        <v>431525383</v>
      </c>
      <c r="CL1796">
        <v>0</v>
      </c>
      <c r="CM1796">
        <v>2</v>
      </c>
      <c r="CN1796">
        <v>0</v>
      </c>
      <c r="CO1796">
        <v>2</v>
      </c>
      <c r="CP1796">
        <v>0</v>
      </c>
      <c r="CQ1796">
        <v>6</v>
      </c>
      <c r="CR1796" t="s">
        <v>116</v>
      </c>
      <c r="CS1796">
        <v>39</v>
      </c>
      <c r="CT1796">
        <v>2</v>
      </c>
      <c r="CU1796" t="s">
        <v>2259</v>
      </c>
      <c r="CV1796" t="s">
        <v>2260</v>
      </c>
      <c r="CY1796">
        <v>16169543</v>
      </c>
      <c r="CZ1796" t="s">
        <v>119</v>
      </c>
    </row>
    <row r="1797" spans="1:104" x14ac:dyDescent="0.25">
      <c r="A1797" t="str">
        <f>"14:20:18.688"</f>
        <v>14:20:18.688</v>
      </c>
      <c r="B1797" t="s">
        <v>108</v>
      </c>
      <c r="C1797" t="str">
        <f t="shared" si="82"/>
        <v>ffdfd3c0</v>
      </c>
      <c r="D1797" t="s">
        <v>109</v>
      </c>
      <c r="E1797">
        <v>4</v>
      </c>
      <c r="F1797">
        <v>1004</v>
      </c>
      <c r="G1797" t="s">
        <v>110</v>
      </c>
      <c r="J1797" t="s">
        <v>111</v>
      </c>
      <c r="K1797">
        <v>0</v>
      </c>
      <c r="L1797">
        <v>3</v>
      </c>
      <c r="M1797">
        <v>0</v>
      </c>
      <c r="N1797">
        <v>2</v>
      </c>
      <c r="O1797">
        <v>1</v>
      </c>
      <c r="P1797">
        <v>0</v>
      </c>
      <c r="Q1797">
        <v>0</v>
      </c>
      <c r="R1797" t="s">
        <v>112</v>
      </c>
      <c r="S1797" t="str">
        <f>"14:20:18.516"</f>
        <v>14:20:18.516</v>
      </c>
      <c r="T1797" t="str">
        <f>"14:20:18.016"</f>
        <v>14:20:18.016</v>
      </c>
      <c r="U1797" t="str">
        <f t="shared" si="84"/>
        <v>ad5732</v>
      </c>
      <c r="V1797">
        <v>0</v>
      </c>
      <c r="W1797">
        <v>0</v>
      </c>
      <c r="X1797">
        <v>1</v>
      </c>
      <c r="Z1797">
        <v>0</v>
      </c>
      <c r="AA1797">
        <v>9</v>
      </c>
      <c r="AB1797">
        <v>3</v>
      </c>
      <c r="AC1797">
        <v>0</v>
      </c>
      <c r="AD1797">
        <v>10</v>
      </c>
      <c r="AE1797">
        <v>0</v>
      </c>
      <c r="AF1797">
        <v>3</v>
      </c>
      <c r="AG1797">
        <v>2</v>
      </c>
      <c r="AH1797">
        <v>0</v>
      </c>
      <c r="AI1797" t="s">
        <v>3697</v>
      </c>
      <c r="AJ1797">
        <v>39.761217000000002</v>
      </c>
      <c r="AK1797" t="s">
        <v>3698</v>
      </c>
      <c r="AL1797">
        <v>-76.062297999999998</v>
      </c>
      <c r="AM1797">
        <v>100</v>
      </c>
      <c r="AN1797">
        <v>4700</v>
      </c>
      <c r="AO1797" t="s">
        <v>115</v>
      </c>
      <c r="AP1797">
        <v>155</v>
      </c>
      <c r="AQ1797">
        <v>83</v>
      </c>
      <c r="AR1797">
        <v>0</v>
      </c>
      <c r="AZ1797">
        <v>3614</v>
      </c>
      <c r="BA1797">
        <v>1</v>
      </c>
      <c r="BB1797" t="str">
        <f t="shared" si="83"/>
        <v xml:space="preserve">N959MJ  </v>
      </c>
      <c r="BC1797">
        <v>1</v>
      </c>
      <c r="BE1797">
        <v>0</v>
      </c>
      <c r="BF1797">
        <v>0</v>
      </c>
      <c r="BG1797">
        <v>0</v>
      </c>
      <c r="BH1797">
        <v>4900</v>
      </c>
      <c r="BI1797">
        <v>200</v>
      </c>
      <c r="BJ1797">
        <v>1</v>
      </c>
      <c r="BK1797">
        <v>1</v>
      </c>
      <c r="BL1797">
        <v>1</v>
      </c>
      <c r="BM1797">
        <v>0</v>
      </c>
      <c r="BP1797">
        <v>0</v>
      </c>
      <c r="BQ1797">
        <v>0</v>
      </c>
      <c r="BX1797" t="str">
        <f>"14:20:18.516"</f>
        <v>14:20:18.516</v>
      </c>
      <c r="BY1797" t="str">
        <f>"519452299"</f>
        <v>519452299</v>
      </c>
      <c r="CL1797">
        <v>0</v>
      </c>
      <c r="CM1797">
        <v>2</v>
      </c>
      <c r="CN1797">
        <v>0</v>
      </c>
      <c r="CO1797">
        <v>2</v>
      </c>
      <c r="CP1797">
        <v>0</v>
      </c>
      <c r="CQ1797">
        <v>6</v>
      </c>
      <c r="CR1797" t="s">
        <v>116</v>
      </c>
      <c r="CS1797">
        <v>396</v>
      </c>
      <c r="CT1797">
        <v>1</v>
      </c>
      <c r="CU1797" t="s">
        <v>939</v>
      </c>
      <c r="CV1797" t="s">
        <v>940</v>
      </c>
      <c r="CY1797">
        <v>9512688</v>
      </c>
      <c r="CZ1797" t="s">
        <v>119</v>
      </c>
    </row>
    <row r="1798" spans="1:104" x14ac:dyDescent="0.25">
      <c r="A1798" t="str">
        <f>"14:20:19.805"</f>
        <v>14:20:19.805</v>
      </c>
      <c r="B1798" t="s">
        <v>108</v>
      </c>
      <c r="C1798" t="str">
        <f t="shared" si="82"/>
        <v>ffdfd3c0</v>
      </c>
      <c r="D1798" t="s">
        <v>109</v>
      </c>
      <c r="E1798">
        <v>4</v>
      </c>
      <c r="F1798">
        <v>1004</v>
      </c>
      <c r="G1798" t="s">
        <v>110</v>
      </c>
      <c r="J1798" t="s">
        <v>111</v>
      </c>
      <c r="K1798">
        <v>0</v>
      </c>
      <c r="L1798">
        <v>3</v>
      </c>
      <c r="M1798">
        <v>0</v>
      </c>
      <c r="N1798">
        <v>2</v>
      </c>
      <c r="O1798">
        <v>1</v>
      </c>
      <c r="P1798">
        <v>0</v>
      </c>
      <c r="Q1798">
        <v>0</v>
      </c>
      <c r="R1798" t="s">
        <v>112</v>
      </c>
      <c r="S1798" t="str">
        <f>"14:20:19.633"</f>
        <v>14:20:19.633</v>
      </c>
      <c r="T1798" t="str">
        <f>"14:20:19.133"</f>
        <v>14:20:19.133</v>
      </c>
      <c r="U1798" t="str">
        <f t="shared" si="84"/>
        <v>ad5732</v>
      </c>
      <c r="V1798">
        <v>0</v>
      </c>
      <c r="W1798">
        <v>0</v>
      </c>
      <c r="X1798">
        <v>1</v>
      </c>
      <c r="Z1798">
        <v>0</v>
      </c>
      <c r="AA1798">
        <v>9</v>
      </c>
      <c r="AB1798">
        <v>3</v>
      </c>
      <c r="AC1798">
        <v>0</v>
      </c>
      <c r="AD1798">
        <v>10</v>
      </c>
      <c r="AE1798">
        <v>0</v>
      </c>
      <c r="AF1798">
        <v>3</v>
      </c>
      <c r="AG1798">
        <v>2</v>
      </c>
      <c r="AH1798">
        <v>0</v>
      </c>
      <c r="AI1798" t="s">
        <v>3699</v>
      </c>
      <c r="AJ1798">
        <v>39.761623999999998</v>
      </c>
      <c r="AK1798" t="s">
        <v>3700</v>
      </c>
      <c r="AL1798">
        <v>-76.061224999999993</v>
      </c>
      <c r="AM1798">
        <v>100</v>
      </c>
      <c r="AN1798">
        <v>4700</v>
      </c>
      <c r="AO1798" t="s">
        <v>115</v>
      </c>
      <c r="AP1798">
        <v>155</v>
      </c>
      <c r="AQ1798">
        <v>83</v>
      </c>
      <c r="AR1798">
        <v>0</v>
      </c>
      <c r="AZ1798">
        <v>3614</v>
      </c>
      <c r="BA1798">
        <v>1</v>
      </c>
      <c r="BB1798" t="str">
        <f t="shared" si="83"/>
        <v xml:space="preserve">N959MJ  </v>
      </c>
      <c r="BC1798">
        <v>1</v>
      </c>
      <c r="BE1798">
        <v>0</v>
      </c>
      <c r="BF1798">
        <v>0</v>
      </c>
      <c r="BG1798">
        <v>0</v>
      </c>
      <c r="BH1798">
        <v>4900</v>
      </c>
      <c r="BI1798">
        <v>200</v>
      </c>
      <c r="BJ1798">
        <v>1</v>
      </c>
      <c r="BK1798">
        <v>1</v>
      </c>
      <c r="BL1798">
        <v>1</v>
      </c>
      <c r="BM1798">
        <v>0</v>
      </c>
      <c r="BP1798">
        <v>0</v>
      </c>
      <c r="BQ1798">
        <v>0</v>
      </c>
      <c r="BX1798" t="str">
        <f>"14:20:19.641"</f>
        <v>14:20:19.641</v>
      </c>
      <c r="BY1798" t="str">
        <f>"638498706"</f>
        <v>638498706</v>
      </c>
      <c r="CL1798">
        <v>0</v>
      </c>
      <c r="CM1798">
        <v>2</v>
      </c>
      <c r="CN1798">
        <v>0</v>
      </c>
      <c r="CO1798">
        <v>2</v>
      </c>
      <c r="CP1798">
        <v>0</v>
      </c>
      <c r="CQ1798">
        <v>6</v>
      </c>
      <c r="CR1798" t="s">
        <v>116</v>
      </c>
      <c r="CS1798">
        <v>396</v>
      </c>
      <c r="CT1798">
        <v>1</v>
      </c>
      <c r="CU1798" t="s">
        <v>939</v>
      </c>
      <c r="CV1798" t="s">
        <v>940</v>
      </c>
      <c r="CY1798">
        <v>9514740</v>
      </c>
      <c r="CZ1798" t="s">
        <v>119</v>
      </c>
    </row>
    <row r="1799" spans="1:104" x14ac:dyDescent="0.25">
      <c r="A1799" t="str">
        <f>"14:20:20.813"</f>
        <v>14:20:20.813</v>
      </c>
      <c r="B1799" t="s">
        <v>108</v>
      </c>
      <c r="C1799" t="str">
        <f t="shared" si="82"/>
        <v>ffdfd3c0</v>
      </c>
      <c r="D1799" t="s">
        <v>109</v>
      </c>
      <c r="E1799">
        <v>4</v>
      </c>
      <c r="F1799">
        <v>1004</v>
      </c>
      <c r="G1799" t="s">
        <v>110</v>
      </c>
      <c r="J1799" t="s">
        <v>111</v>
      </c>
      <c r="K1799">
        <v>0</v>
      </c>
      <c r="L1799">
        <v>3</v>
      </c>
      <c r="M1799">
        <v>0</v>
      </c>
      <c r="N1799">
        <v>2</v>
      </c>
      <c r="O1799">
        <v>1</v>
      </c>
      <c r="P1799">
        <v>0</v>
      </c>
      <c r="Q1799">
        <v>0</v>
      </c>
      <c r="R1799" t="s">
        <v>112</v>
      </c>
      <c r="S1799" t="str">
        <f>"14:20:20.617"</f>
        <v>14:20:20.617</v>
      </c>
      <c r="T1799" t="str">
        <f>"14:20:20.219"</f>
        <v>14:20:20.219</v>
      </c>
      <c r="U1799" t="str">
        <f t="shared" si="84"/>
        <v>ad5732</v>
      </c>
      <c r="V1799">
        <v>0</v>
      </c>
      <c r="W1799">
        <v>0</v>
      </c>
      <c r="X1799">
        <v>1</v>
      </c>
      <c r="Z1799">
        <v>0</v>
      </c>
      <c r="AA1799">
        <v>9</v>
      </c>
      <c r="AB1799">
        <v>3</v>
      </c>
      <c r="AC1799">
        <v>0</v>
      </c>
      <c r="AD1799">
        <v>10</v>
      </c>
      <c r="AE1799">
        <v>0</v>
      </c>
      <c r="AF1799">
        <v>3</v>
      </c>
      <c r="AG1799">
        <v>2</v>
      </c>
      <c r="AH1799">
        <v>0</v>
      </c>
      <c r="AI1799" t="s">
        <v>3701</v>
      </c>
      <c r="AJ1799">
        <v>39.762031999999998</v>
      </c>
      <c r="AK1799" t="s">
        <v>3702</v>
      </c>
      <c r="AL1799">
        <v>-76.060301999999993</v>
      </c>
      <c r="AM1799">
        <v>100</v>
      </c>
      <c r="AN1799">
        <v>4700</v>
      </c>
      <c r="AO1799" t="s">
        <v>115</v>
      </c>
      <c r="AP1799">
        <v>155</v>
      </c>
      <c r="AQ1799">
        <v>82</v>
      </c>
      <c r="AR1799">
        <v>0</v>
      </c>
      <c r="AZ1799">
        <v>3614</v>
      </c>
      <c r="BA1799">
        <v>1</v>
      </c>
      <c r="BB1799" t="str">
        <f t="shared" si="83"/>
        <v xml:space="preserve">N959MJ  </v>
      </c>
      <c r="BC1799">
        <v>1</v>
      </c>
      <c r="BE1799">
        <v>0</v>
      </c>
      <c r="BF1799">
        <v>0</v>
      </c>
      <c r="BG1799">
        <v>0</v>
      </c>
      <c r="BH1799">
        <v>4900</v>
      </c>
      <c r="BI1799">
        <v>200</v>
      </c>
      <c r="BJ1799">
        <v>1</v>
      </c>
      <c r="BK1799">
        <v>1</v>
      </c>
      <c r="BL1799">
        <v>1</v>
      </c>
      <c r="BM1799">
        <v>0</v>
      </c>
      <c r="BP1799">
        <v>0</v>
      </c>
      <c r="BQ1799">
        <v>0</v>
      </c>
      <c r="BX1799" t="str">
        <f>"14:20:20.625"</f>
        <v>14:20:20.625</v>
      </c>
      <c r="BY1799" t="str">
        <f>"621555546"</f>
        <v>621555546</v>
      </c>
      <c r="CL1799">
        <v>0</v>
      </c>
      <c r="CM1799">
        <v>2</v>
      </c>
      <c r="CN1799">
        <v>0</v>
      </c>
      <c r="CO1799">
        <v>2</v>
      </c>
      <c r="CP1799">
        <v>0</v>
      </c>
      <c r="CQ1799">
        <v>6</v>
      </c>
      <c r="CR1799" t="s">
        <v>116</v>
      </c>
      <c r="CS1799">
        <v>396</v>
      </c>
      <c r="CT1799">
        <v>1</v>
      </c>
      <c r="CU1799" t="s">
        <v>939</v>
      </c>
      <c r="CV1799" t="s">
        <v>940</v>
      </c>
      <c r="CY1799">
        <v>9516430</v>
      </c>
      <c r="CZ1799" t="s">
        <v>119</v>
      </c>
    </row>
    <row r="1800" spans="1:104" x14ac:dyDescent="0.25">
      <c r="A1800" t="str">
        <f>"14:20:21.969"</f>
        <v>14:20:21.969</v>
      </c>
      <c r="B1800" t="s">
        <v>108</v>
      </c>
      <c r="C1800" t="str">
        <f t="shared" si="82"/>
        <v>ffdfd3c0</v>
      </c>
      <c r="D1800" t="s">
        <v>109</v>
      </c>
      <c r="E1800">
        <v>4</v>
      </c>
      <c r="F1800">
        <v>1004</v>
      </c>
      <c r="G1800" t="s">
        <v>110</v>
      </c>
      <c r="J1800" t="s">
        <v>111</v>
      </c>
      <c r="K1800">
        <v>0</v>
      </c>
      <c r="L1800">
        <v>3</v>
      </c>
      <c r="M1800">
        <v>0</v>
      </c>
      <c r="N1800">
        <v>2</v>
      </c>
      <c r="O1800">
        <v>1</v>
      </c>
      <c r="P1800">
        <v>0</v>
      </c>
      <c r="Q1800">
        <v>0</v>
      </c>
      <c r="R1800" t="s">
        <v>112</v>
      </c>
      <c r="S1800" t="str">
        <f>"14:20:21.789"</f>
        <v>14:20:21.789</v>
      </c>
      <c r="T1800" t="str">
        <f>"14:20:21.289"</f>
        <v>14:20:21.289</v>
      </c>
      <c r="U1800" t="str">
        <f t="shared" si="84"/>
        <v>ad5732</v>
      </c>
      <c r="V1800">
        <v>0</v>
      </c>
      <c r="W1800">
        <v>0</v>
      </c>
      <c r="X1800">
        <v>1</v>
      </c>
      <c r="Z1800">
        <v>0</v>
      </c>
      <c r="AA1800">
        <v>9</v>
      </c>
      <c r="AB1800">
        <v>3</v>
      </c>
      <c r="AC1800">
        <v>0</v>
      </c>
      <c r="AD1800">
        <v>10</v>
      </c>
      <c r="AE1800">
        <v>0</v>
      </c>
      <c r="AF1800">
        <v>3</v>
      </c>
      <c r="AG1800">
        <v>2</v>
      </c>
      <c r="AH1800">
        <v>0</v>
      </c>
      <c r="AI1800" t="s">
        <v>3703</v>
      </c>
      <c r="AJ1800">
        <v>39.762461000000002</v>
      </c>
      <c r="AK1800" t="s">
        <v>3704</v>
      </c>
      <c r="AL1800">
        <v>-76.059314999999998</v>
      </c>
      <c r="AM1800">
        <v>100</v>
      </c>
      <c r="AN1800">
        <v>4700</v>
      </c>
      <c r="AO1800" t="s">
        <v>115</v>
      </c>
      <c r="AP1800">
        <v>155</v>
      </c>
      <c r="AQ1800">
        <v>82</v>
      </c>
      <c r="AR1800">
        <v>0</v>
      </c>
      <c r="AZ1800">
        <v>3614</v>
      </c>
      <c r="BA1800">
        <v>1</v>
      </c>
      <c r="BB1800" t="str">
        <f t="shared" si="83"/>
        <v xml:space="preserve">N959MJ  </v>
      </c>
      <c r="BC1800">
        <v>1</v>
      </c>
      <c r="BE1800">
        <v>0</v>
      </c>
      <c r="BF1800">
        <v>0</v>
      </c>
      <c r="BG1800">
        <v>0</v>
      </c>
      <c r="BH1800">
        <v>4900</v>
      </c>
      <c r="BI1800">
        <v>200</v>
      </c>
      <c r="BJ1800">
        <v>1</v>
      </c>
      <c r="BK1800">
        <v>1</v>
      </c>
      <c r="BL1800">
        <v>1</v>
      </c>
      <c r="BM1800">
        <v>0</v>
      </c>
      <c r="BP1800">
        <v>0</v>
      </c>
      <c r="BQ1800">
        <v>0</v>
      </c>
      <c r="BX1800" t="str">
        <f>"14:20:21.789"</f>
        <v>14:20:21.789</v>
      </c>
      <c r="BY1800" t="str">
        <f>"789741998"</f>
        <v>789741998</v>
      </c>
      <c r="CL1800">
        <v>0</v>
      </c>
      <c r="CM1800">
        <v>2</v>
      </c>
      <c r="CN1800">
        <v>0</v>
      </c>
      <c r="CO1800">
        <v>2</v>
      </c>
      <c r="CP1800">
        <v>0</v>
      </c>
      <c r="CQ1800">
        <v>6</v>
      </c>
      <c r="CR1800" t="s">
        <v>116</v>
      </c>
      <c r="CS1800">
        <v>39</v>
      </c>
      <c r="CT1800">
        <v>2</v>
      </c>
      <c r="CU1800" t="s">
        <v>2259</v>
      </c>
      <c r="CV1800" t="s">
        <v>2260</v>
      </c>
      <c r="CY1800">
        <v>16176341</v>
      </c>
      <c r="CZ1800" t="s">
        <v>119</v>
      </c>
    </row>
    <row r="1801" spans="1:104" x14ac:dyDescent="0.25">
      <c r="A1801" t="str">
        <f>"14:20:22.930"</f>
        <v>14:20:22.930</v>
      </c>
      <c r="B1801" t="s">
        <v>108</v>
      </c>
      <c r="C1801" t="str">
        <f t="shared" si="82"/>
        <v>ffdfd3c0</v>
      </c>
      <c r="D1801" t="s">
        <v>109</v>
      </c>
      <c r="E1801">
        <v>4</v>
      </c>
      <c r="F1801">
        <v>1004</v>
      </c>
      <c r="G1801" t="s">
        <v>110</v>
      </c>
      <c r="J1801" t="s">
        <v>111</v>
      </c>
      <c r="K1801">
        <v>0</v>
      </c>
      <c r="L1801">
        <v>3</v>
      </c>
      <c r="M1801">
        <v>0</v>
      </c>
      <c r="N1801">
        <v>2</v>
      </c>
      <c r="O1801">
        <v>1</v>
      </c>
      <c r="P1801">
        <v>0</v>
      </c>
      <c r="Q1801">
        <v>0</v>
      </c>
      <c r="R1801" t="s">
        <v>112</v>
      </c>
      <c r="S1801" t="str">
        <f>"14:20:22.742"</f>
        <v>14:20:22.742</v>
      </c>
      <c r="T1801" t="str">
        <f>"14:20:22.344"</f>
        <v>14:20:22.344</v>
      </c>
      <c r="U1801" t="str">
        <f t="shared" si="84"/>
        <v>ad5732</v>
      </c>
      <c r="V1801">
        <v>0</v>
      </c>
      <c r="W1801">
        <v>0</v>
      </c>
      <c r="X1801">
        <v>1</v>
      </c>
      <c r="Z1801">
        <v>0</v>
      </c>
      <c r="AA1801">
        <v>9</v>
      </c>
      <c r="AB1801">
        <v>3</v>
      </c>
      <c r="AC1801">
        <v>0</v>
      </c>
      <c r="AD1801">
        <v>10</v>
      </c>
      <c r="AE1801">
        <v>0</v>
      </c>
      <c r="AF1801">
        <v>3</v>
      </c>
      <c r="AG1801">
        <v>2</v>
      </c>
      <c r="AH1801">
        <v>0</v>
      </c>
      <c r="AI1801" t="s">
        <v>3705</v>
      </c>
      <c r="AJ1801">
        <v>39.762825999999997</v>
      </c>
      <c r="AK1801" t="s">
        <v>3706</v>
      </c>
      <c r="AL1801">
        <v>-76.058350000000004</v>
      </c>
      <c r="AM1801">
        <v>100</v>
      </c>
      <c r="AN1801">
        <v>4700</v>
      </c>
      <c r="AO1801" t="s">
        <v>115</v>
      </c>
      <c r="AP1801">
        <v>156</v>
      </c>
      <c r="AQ1801">
        <v>82</v>
      </c>
      <c r="AR1801">
        <v>0</v>
      </c>
      <c r="AZ1801">
        <v>3614</v>
      </c>
      <c r="BA1801">
        <v>1</v>
      </c>
      <c r="BB1801" t="str">
        <f t="shared" si="83"/>
        <v xml:space="preserve">N959MJ  </v>
      </c>
      <c r="BC1801">
        <v>1</v>
      </c>
      <c r="BE1801">
        <v>0</v>
      </c>
      <c r="BF1801">
        <v>0</v>
      </c>
      <c r="BG1801">
        <v>0</v>
      </c>
      <c r="BH1801">
        <v>4900</v>
      </c>
      <c r="BI1801">
        <v>200</v>
      </c>
      <c r="BJ1801">
        <v>1</v>
      </c>
      <c r="BK1801">
        <v>1</v>
      </c>
      <c r="BL1801">
        <v>1</v>
      </c>
      <c r="BM1801">
        <v>0</v>
      </c>
      <c r="BP1801">
        <v>0</v>
      </c>
      <c r="BQ1801">
        <v>0</v>
      </c>
      <c r="BX1801" t="str">
        <f>"14:20:22.742"</f>
        <v>14:20:22.742</v>
      </c>
      <c r="BY1801" t="str">
        <f>"743319968"</f>
        <v>743319968</v>
      </c>
      <c r="CL1801">
        <v>0</v>
      </c>
      <c r="CM1801">
        <v>2</v>
      </c>
      <c r="CN1801">
        <v>0</v>
      </c>
      <c r="CO1801">
        <v>2</v>
      </c>
      <c r="CP1801">
        <v>0</v>
      </c>
      <c r="CQ1801">
        <v>6</v>
      </c>
      <c r="CR1801" t="s">
        <v>116</v>
      </c>
      <c r="CS1801">
        <v>396</v>
      </c>
      <c r="CT1801">
        <v>1</v>
      </c>
      <c r="CU1801" t="s">
        <v>939</v>
      </c>
      <c r="CV1801" t="s">
        <v>940</v>
      </c>
      <c r="CY1801">
        <v>9520125</v>
      </c>
      <c r="CZ1801" t="s">
        <v>119</v>
      </c>
    </row>
    <row r="1802" spans="1:104" x14ac:dyDescent="0.25">
      <c r="A1802" t="str">
        <f>"14:20:23.789"</f>
        <v>14:20:23.789</v>
      </c>
      <c r="B1802" t="s">
        <v>108</v>
      </c>
      <c r="C1802" t="str">
        <f t="shared" ref="C1802:C1865" si="85">"ffdfd3c0"</f>
        <v>ffdfd3c0</v>
      </c>
      <c r="D1802" t="s">
        <v>109</v>
      </c>
      <c r="E1802">
        <v>4</v>
      </c>
      <c r="F1802">
        <v>1004</v>
      </c>
      <c r="G1802" t="s">
        <v>110</v>
      </c>
      <c r="J1802" t="s">
        <v>111</v>
      </c>
      <c r="K1802">
        <v>0</v>
      </c>
      <c r="L1802">
        <v>3</v>
      </c>
      <c r="M1802">
        <v>0</v>
      </c>
      <c r="N1802">
        <v>2</v>
      </c>
      <c r="O1802">
        <v>1</v>
      </c>
      <c r="P1802">
        <v>0</v>
      </c>
      <c r="Q1802">
        <v>0</v>
      </c>
      <c r="R1802" t="s">
        <v>112</v>
      </c>
      <c r="S1802" t="str">
        <f>"14:20:23.602"</f>
        <v>14:20:23.602</v>
      </c>
      <c r="T1802" t="str">
        <f>"14:20:23.203"</f>
        <v>14:20:23.203</v>
      </c>
      <c r="U1802" t="str">
        <f t="shared" si="84"/>
        <v>ad5732</v>
      </c>
      <c r="V1802">
        <v>0</v>
      </c>
      <c r="W1802">
        <v>0</v>
      </c>
      <c r="X1802">
        <v>1</v>
      </c>
      <c r="Z1802">
        <v>0</v>
      </c>
      <c r="AA1802">
        <v>9</v>
      </c>
      <c r="AB1802">
        <v>3</v>
      </c>
      <c r="AC1802">
        <v>0</v>
      </c>
      <c r="AD1802">
        <v>10</v>
      </c>
      <c r="AE1802">
        <v>0</v>
      </c>
      <c r="AF1802">
        <v>3</v>
      </c>
      <c r="AG1802">
        <v>2</v>
      </c>
      <c r="AH1802">
        <v>0</v>
      </c>
      <c r="AI1802" t="s">
        <v>3707</v>
      </c>
      <c r="AJ1802">
        <v>39.763148000000001</v>
      </c>
      <c r="AK1802" t="s">
        <v>3708</v>
      </c>
      <c r="AL1802">
        <v>-76.057490999999999</v>
      </c>
      <c r="AM1802">
        <v>100</v>
      </c>
      <c r="AN1802">
        <v>4700</v>
      </c>
      <c r="AO1802" t="s">
        <v>115</v>
      </c>
      <c r="AP1802">
        <v>156</v>
      </c>
      <c r="AQ1802">
        <v>82</v>
      </c>
      <c r="AR1802">
        <v>0</v>
      </c>
      <c r="AZ1802">
        <v>3614</v>
      </c>
      <c r="BA1802">
        <v>1</v>
      </c>
      <c r="BB1802" t="str">
        <f t="shared" ref="BB1802:BB1865" si="86">"N959MJ  "</f>
        <v xml:space="preserve">N959MJ  </v>
      </c>
      <c r="BC1802">
        <v>1</v>
      </c>
      <c r="BE1802">
        <v>0</v>
      </c>
      <c r="BF1802">
        <v>0</v>
      </c>
      <c r="BG1802">
        <v>0</v>
      </c>
      <c r="BH1802">
        <v>4900</v>
      </c>
      <c r="BI1802">
        <v>200</v>
      </c>
      <c r="BJ1802">
        <v>1</v>
      </c>
      <c r="BK1802">
        <v>1</v>
      </c>
      <c r="BL1802">
        <v>1</v>
      </c>
      <c r="BM1802">
        <v>0</v>
      </c>
      <c r="BP1802">
        <v>0</v>
      </c>
      <c r="BQ1802">
        <v>0</v>
      </c>
      <c r="BX1802" t="str">
        <f>"14:20:23.602"</f>
        <v>14:20:23.602</v>
      </c>
      <c r="BY1802" t="str">
        <f>"605133091"</f>
        <v>605133091</v>
      </c>
      <c r="CL1802">
        <v>0</v>
      </c>
      <c r="CM1802">
        <v>2</v>
      </c>
      <c r="CN1802">
        <v>0</v>
      </c>
      <c r="CO1802">
        <v>2</v>
      </c>
      <c r="CP1802">
        <v>0</v>
      </c>
      <c r="CQ1802">
        <v>6</v>
      </c>
      <c r="CR1802" t="s">
        <v>116</v>
      </c>
      <c r="CS1802">
        <v>396</v>
      </c>
      <c r="CT1802">
        <v>1</v>
      </c>
      <c r="CU1802" t="s">
        <v>939</v>
      </c>
      <c r="CV1802" t="s">
        <v>940</v>
      </c>
      <c r="CY1802">
        <v>9521632</v>
      </c>
      <c r="CZ1802" t="s">
        <v>119</v>
      </c>
    </row>
    <row r="1803" spans="1:104" x14ac:dyDescent="0.25">
      <c r="A1803" t="str">
        <f>"14:20:24.797"</f>
        <v>14:20:24.797</v>
      </c>
      <c r="B1803" t="s">
        <v>108</v>
      </c>
      <c r="C1803" t="str">
        <f t="shared" si="85"/>
        <v>ffdfd3c0</v>
      </c>
      <c r="D1803" t="s">
        <v>109</v>
      </c>
      <c r="E1803">
        <v>4</v>
      </c>
      <c r="F1803">
        <v>1004</v>
      </c>
      <c r="G1803" t="s">
        <v>110</v>
      </c>
      <c r="J1803" t="s">
        <v>111</v>
      </c>
      <c r="K1803">
        <v>0</v>
      </c>
      <c r="L1803">
        <v>3</v>
      </c>
      <c r="M1803">
        <v>0</v>
      </c>
      <c r="N1803">
        <v>2</v>
      </c>
      <c r="O1803">
        <v>1</v>
      </c>
      <c r="P1803">
        <v>0</v>
      </c>
      <c r="Q1803">
        <v>0</v>
      </c>
      <c r="R1803" t="s">
        <v>112</v>
      </c>
      <c r="S1803" t="str">
        <f>"14:20:24.586"</f>
        <v>14:20:24.586</v>
      </c>
      <c r="T1803" t="str">
        <f>"14:20:24.188"</f>
        <v>14:20:24.188</v>
      </c>
      <c r="U1803" t="str">
        <f t="shared" si="84"/>
        <v>ad5732</v>
      </c>
      <c r="V1803">
        <v>0</v>
      </c>
      <c r="W1803">
        <v>0</v>
      </c>
      <c r="X1803">
        <v>1</v>
      </c>
      <c r="Z1803">
        <v>0</v>
      </c>
      <c r="AA1803">
        <v>9</v>
      </c>
      <c r="AB1803">
        <v>3</v>
      </c>
      <c r="AC1803">
        <v>0</v>
      </c>
      <c r="AD1803">
        <v>10</v>
      </c>
      <c r="AE1803">
        <v>0</v>
      </c>
      <c r="AF1803">
        <v>3</v>
      </c>
      <c r="AG1803">
        <v>2</v>
      </c>
      <c r="AH1803">
        <v>0</v>
      </c>
      <c r="AI1803" t="s">
        <v>3709</v>
      </c>
      <c r="AJ1803">
        <v>39.763513000000003</v>
      </c>
      <c r="AK1803" t="s">
        <v>3710</v>
      </c>
      <c r="AL1803">
        <v>-76.056675999999996</v>
      </c>
      <c r="AM1803">
        <v>100</v>
      </c>
      <c r="AN1803">
        <v>4700</v>
      </c>
      <c r="AO1803" t="s">
        <v>115</v>
      </c>
      <c r="AP1803">
        <v>156</v>
      </c>
      <c r="AQ1803">
        <v>82</v>
      </c>
      <c r="AR1803">
        <v>0</v>
      </c>
      <c r="AZ1803">
        <v>3614</v>
      </c>
      <c r="BA1803">
        <v>1</v>
      </c>
      <c r="BB1803" t="str">
        <f t="shared" si="86"/>
        <v xml:space="preserve">N959MJ  </v>
      </c>
      <c r="BC1803">
        <v>1</v>
      </c>
      <c r="BE1803">
        <v>0</v>
      </c>
      <c r="BF1803">
        <v>0</v>
      </c>
      <c r="BG1803">
        <v>0</v>
      </c>
      <c r="BH1803">
        <v>4900</v>
      </c>
      <c r="BI1803">
        <v>200</v>
      </c>
      <c r="BJ1803">
        <v>1</v>
      </c>
      <c r="BK1803">
        <v>1</v>
      </c>
      <c r="BL1803">
        <v>1</v>
      </c>
      <c r="BM1803">
        <v>0</v>
      </c>
      <c r="BP1803">
        <v>0</v>
      </c>
      <c r="BQ1803">
        <v>0</v>
      </c>
      <c r="BX1803" t="str">
        <f>"14:20:24.586"</f>
        <v>14:20:24.586</v>
      </c>
      <c r="BY1803" t="str">
        <f>"589814220"</f>
        <v>589814220</v>
      </c>
      <c r="CL1803">
        <v>0</v>
      </c>
      <c r="CM1803">
        <v>2</v>
      </c>
      <c r="CN1803">
        <v>0</v>
      </c>
      <c r="CO1803">
        <v>2</v>
      </c>
      <c r="CP1803">
        <v>0</v>
      </c>
      <c r="CQ1803">
        <v>6</v>
      </c>
      <c r="CR1803" t="s">
        <v>116</v>
      </c>
      <c r="CS1803">
        <v>39</v>
      </c>
      <c r="CT1803">
        <v>2</v>
      </c>
      <c r="CU1803" t="s">
        <v>2259</v>
      </c>
      <c r="CV1803" t="s">
        <v>2260</v>
      </c>
      <c r="CY1803">
        <v>16180770</v>
      </c>
      <c r="CZ1803" t="s">
        <v>119</v>
      </c>
    </row>
    <row r="1804" spans="1:104" x14ac:dyDescent="0.25">
      <c r="A1804" t="str">
        <f>"14:20:25.813"</f>
        <v>14:20:25.813</v>
      </c>
      <c r="B1804" t="s">
        <v>108</v>
      </c>
      <c r="C1804" t="str">
        <f t="shared" si="85"/>
        <v>ffdfd3c0</v>
      </c>
      <c r="D1804" t="s">
        <v>109</v>
      </c>
      <c r="E1804">
        <v>4</v>
      </c>
      <c r="F1804">
        <v>1004</v>
      </c>
      <c r="G1804" t="s">
        <v>110</v>
      </c>
      <c r="J1804" t="s">
        <v>111</v>
      </c>
      <c r="K1804">
        <v>0</v>
      </c>
      <c r="L1804">
        <v>3</v>
      </c>
      <c r="M1804">
        <v>0</v>
      </c>
      <c r="N1804">
        <v>2</v>
      </c>
      <c r="O1804">
        <v>1</v>
      </c>
      <c r="P1804">
        <v>0</v>
      </c>
      <c r="Q1804">
        <v>0</v>
      </c>
      <c r="R1804" t="s">
        <v>112</v>
      </c>
      <c r="S1804" t="str">
        <f>"14:20:25.578"</f>
        <v>14:20:25.578</v>
      </c>
      <c r="T1804" t="str">
        <f>"14:20:25.078"</f>
        <v>14:20:25.078</v>
      </c>
      <c r="U1804" t="str">
        <f t="shared" si="84"/>
        <v>ad5732</v>
      </c>
      <c r="V1804">
        <v>0</v>
      </c>
      <c r="W1804">
        <v>0</v>
      </c>
      <c r="X1804">
        <v>1</v>
      </c>
      <c r="Z1804">
        <v>0</v>
      </c>
      <c r="AA1804">
        <v>9</v>
      </c>
      <c r="AB1804">
        <v>3</v>
      </c>
      <c r="AC1804">
        <v>0</v>
      </c>
      <c r="AD1804">
        <v>10</v>
      </c>
      <c r="AE1804">
        <v>0</v>
      </c>
      <c r="AF1804">
        <v>3</v>
      </c>
      <c r="AG1804">
        <v>2</v>
      </c>
      <c r="AH1804">
        <v>0</v>
      </c>
      <c r="AI1804" t="s">
        <v>3711</v>
      </c>
      <c r="AJ1804">
        <v>39.763877000000001</v>
      </c>
      <c r="AK1804" t="s">
        <v>3712</v>
      </c>
      <c r="AL1804">
        <v>-76.055732000000006</v>
      </c>
      <c r="AM1804">
        <v>100</v>
      </c>
      <c r="AN1804">
        <v>4700</v>
      </c>
      <c r="AO1804" t="s">
        <v>115</v>
      </c>
      <c r="AP1804">
        <v>156</v>
      </c>
      <c r="AQ1804">
        <v>81</v>
      </c>
      <c r="AR1804">
        <v>0</v>
      </c>
      <c r="AZ1804">
        <v>3614</v>
      </c>
      <c r="BA1804">
        <v>1</v>
      </c>
      <c r="BB1804" t="str">
        <f t="shared" si="86"/>
        <v xml:space="preserve">N959MJ  </v>
      </c>
      <c r="BC1804">
        <v>1</v>
      </c>
      <c r="BE1804">
        <v>0</v>
      </c>
      <c r="BF1804">
        <v>0</v>
      </c>
      <c r="BG1804">
        <v>0</v>
      </c>
      <c r="BH1804">
        <v>4900</v>
      </c>
      <c r="BI1804">
        <v>200</v>
      </c>
      <c r="BJ1804">
        <v>1</v>
      </c>
      <c r="BK1804">
        <v>1</v>
      </c>
      <c r="BL1804">
        <v>1</v>
      </c>
      <c r="BM1804">
        <v>0</v>
      </c>
      <c r="BP1804">
        <v>0</v>
      </c>
      <c r="BQ1804">
        <v>0</v>
      </c>
      <c r="BX1804" t="str">
        <f>"14:20:25.586"</f>
        <v>14:20:25.586</v>
      </c>
      <c r="BY1804" t="str">
        <f>"582701091"</f>
        <v>582701091</v>
      </c>
      <c r="CL1804">
        <v>0</v>
      </c>
      <c r="CM1804">
        <v>2</v>
      </c>
      <c r="CN1804">
        <v>0</v>
      </c>
      <c r="CO1804">
        <v>2</v>
      </c>
      <c r="CP1804">
        <v>0</v>
      </c>
      <c r="CQ1804">
        <v>6</v>
      </c>
      <c r="CR1804" t="s">
        <v>116</v>
      </c>
      <c r="CS1804">
        <v>39</v>
      </c>
      <c r="CT1804">
        <v>2</v>
      </c>
      <c r="CU1804" t="s">
        <v>2259</v>
      </c>
      <c r="CV1804" t="s">
        <v>2260</v>
      </c>
      <c r="CY1804">
        <v>16182305</v>
      </c>
      <c r="CZ1804" t="s">
        <v>119</v>
      </c>
    </row>
    <row r="1805" spans="1:104" x14ac:dyDescent="0.25">
      <c r="A1805" t="str">
        <f>"14:20:26.820"</f>
        <v>14:20:26.820</v>
      </c>
      <c r="B1805" t="s">
        <v>108</v>
      </c>
      <c r="C1805" t="str">
        <f t="shared" si="85"/>
        <v>ffdfd3c0</v>
      </c>
      <c r="D1805" t="s">
        <v>109</v>
      </c>
      <c r="E1805">
        <v>4</v>
      </c>
      <c r="F1805">
        <v>1004</v>
      </c>
      <c r="G1805" t="s">
        <v>110</v>
      </c>
      <c r="J1805" t="s">
        <v>111</v>
      </c>
      <c r="K1805">
        <v>0</v>
      </c>
      <c r="L1805">
        <v>3</v>
      </c>
      <c r="M1805">
        <v>0</v>
      </c>
      <c r="N1805">
        <v>2</v>
      </c>
      <c r="O1805">
        <v>1</v>
      </c>
      <c r="P1805">
        <v>0</v>
      </c>
      <c r="Q1805">
        <v>0</v>
      </c>
      <c r="R1805" t="s">
        <v>112</v>
      </c>
      <c r="S1805" t="str">
        <f>"14:20:26.570"</f>
        <v>14:20:26.570</v>
      </c>
      <c r="T1805" t="str">
        <f>"14:20:26.172"</f>
        <v>14:20:26.172</v>
      </c>
      <c r="U1805" t="str">
        <f t="shared" si="84"/>
        <v>ad5732</v>
      </c>
      <c r="V1805">
        <v>0</v>
      </c>
      <c r="W1805">
        <v>0</v>
      </c>
      <c r="X1805">
        <v>1</v>
      </c>
      <c r="Z1805">
        <v>0</v>
      </c>
      <c r="AA1805">
        <v>9</v>
      </c>
      <c r="AB1805">
        <v>3</v>
      </c>
      <c r="AC1805">
        <v>0</v>
      </c>
      <c r="AD1805">
        <v>10</v>
      </c>
      <c r="AE1805">
        <v>0</v>
      </c>
      <c r="AF1805">
        <v>3</v>
      </c>
      <c r="AG1805">
        <v>2</v>
      </c>
      <c r="AH1805">
        <v>0</v>
      </c>
      <c r="AI1805" t="s">
        <v>3713</v>
      </c>
      <c r="AJ1805">
        <v>39.764242000000003</v>
      </c>
      <c r="AK1805" t="s">
        <v>3714</v>
      </c>
      <c r="AL1805">
        <v>-76.054766000000001</v>
      </c>
      <c r="AM1805">
        <v>100</v>
      </c>
      <c r="AN1805">
        <v>4700</v>
      </c>
      <c r="AO1805" t="s">
        <v>115</v>
      </c>
      <c r="AP1805">
        <v>156</v>
      </c>
      <c r="AQ1805">
        <v>81</v>
      </c>
      <c r="AR1805">
        <v>0</v>
      </c>
      <c r="AZ1805">
        <v>3614</v>
      </c>
      <c r="BA1805">
        <v>1</v>
      </c>
      <c r="BB1805" t="str">
        <f t="shared" si="86"/>
        <v xml:space="preserve">N959MJ  </v>
      </c>
      <c r="BC1805">
        <v>1</v>
      </c>
      <c r="BE1805">
        <v>0</v>
      </c>
      <c r="BF1805">
        <v>0</v>
      </c>
      <c r="BG1805">
        <v>0</v>
      </c>
      <c r="BH1805">
        <v>4900</v>
      </c>
      <c r="BI1805">
        <v>200</v>
      </c>
      <c r="BJ1805">
        <v>1</v>
      </c>
      <c r="BK1805">
        <v>1</v>
      </c>
      <c r="BL1805">
        <v>1</v>
      </c>
      <c r="BM1805">
        <v>0</v>
      </c>
      <c r="BP1805">
        <v>0</v>
      </c>
      <c r="BQ1805">
        <v>0</v>
      </c>
      <c r="BX1805" t="str">
        <f>"14:20:26.578"</f>
        <v>14:20:26.578</v>
      </c>
      <c r="BY1805" t="str">
        <f>"577540334"</f>
        <v>577540334</v>
      </c>
      <c r="CL1805">
        <v>0</v>
      </c>
      <c r="CM1805">
        <v>2</v>
      </c>
      <c r="CN1805">
        <v>0</v>
      </c>
      <c r="CO1805">
        <v>2</v>
      </c>
      <c r="CP1805">
        <v>0</v>
      </c>
      <c r="CQ1805">
        <v>3</v>
      </c>
      <c r="CR1805" t="s">
        <v>116</v>
      </c>
      <c r="CS1805">
        <v>81</v>
      </c>
      <c r="CT1805">
        <v>2</v>
      </c>
      <c r="CU1805" t="s">
        <v>3715</v>
      </c>
      <c r="CV1805" t="s">
        <v>3716</v>
      </c>
      <c r="CY1805">
        <v>6791457</v>
      </c>
      <c r="CZ1805" t="s">
        <v>119</v>
      </c>
    </row>
    <row r="1806" spans="1:104" x14ac:dyDescent="0.25">
      <c r="A1806" t="str">
        <f>"14:20:27.781"</f>
        <v>14:20:27.781</v>
      </c>
      <c r="B1806" t="s">
        <v>108</v>
      </c>
      <c r="C1806" t="str">
        <f t="shared" si="85"/>
        <v>ffdfd3c0</v>
      </c>
      <c r="D1806" t="s">
        <v>109</v>
      </c>
      <c r="E1806">
        <v>4</v>
      </c>
      <c r="F1806">
        <v>1004</v>
      </c>
      <c r="G1806" t="s">
        <v>110</v>
      </c>
      <c r="J1806" t="s">
        <v>111</v>
      </c>
      <c r="K1806">
        <v>0</v>
      </c>
      <c r="L1806">
        <v>3</v>
      </c>
      <c r="M1806">
        <v>0</v>
      </c>
      <c r="N1806">
        <v>2</v>
      </c>
      <c r="O1806">
        <v>1</v>
      </c>
      <c r="P1806">
        <v>0</v>
      </c>
      <c r="Q1806">
        <v>0</v>
      </c>
      <c r="R1806" t="s">
        <v>112</v>
      </c>
      <c r="S1806" t="str">
        <f>"14:20:27.563"</f>
        <v>14:20:27.563</v>
      </c>
      <c r="T1806" t="str">
        <f>"14:20:27.164"</f>
        <v>14:20:27.164</v>
      </c>
      <c r="U1806" t="str">
        <f t="shared" si="84"/>
        <v>ad5732</v>
      </c>
      <c r="V1806">
        <v>0</v>
      </c>
      <c r="W1806">
        <v>0</v>
      </c>
      <c r="X1806">
        <v>1</v>
      </c>
      <c r="Z1806">
        <v>0</v>
      </c>
      <c r="AA1806">
        <v>9</v>
      </c>
      <c r="AB1806">
        <v>3</v>
      </c>
      <c r="AC1806">
        <v>0</v>
      </c>
      <c r="AD1806">
        <v>10</v>
      </c>
      <c r="AE1806">
        <v>0</v>
      </c>
      <c r="AF1806">
        <v>3</v>
      </c>
      <c r="AG1806">
        <v>2</v>
      </c>
      <c r="AH1806">
        <v>0</v>
      </c>
      <c r="AI1806" t="s">
        <v>3717</v>
      </c>
      <c r="AJ1806">
        <v>39.764606999999998</v>
      </c>
      <c r="AK1806" t="s">
        <v>3718</v>
      </c>
      <c r="AL1806">
        <v>-76.053865000000002</v>
      </c>
      <c r="AM1806">
        <v>100</v>
      </c>
      <c r="AN1806">
        <v>4700</v>
      </c>
      <c r="AO1806" t="s">
        <v>115</v>
      </c>
      <c r="AP1806">
        <v>156</v>
      </c>
      <c r="AQ1806">
        <v>81</v>
      </c>
      <c r="AR1806">
        <v>0</v>
      </c>
      <c r="AZ1806">
        <v>3614</v>
      </c>
      <c r="BA1806">
        <v>1</v>
      </c>
      <c r="BB1806" t="str">
        <f t="shared" si="86"/>
        <v xml:space="preserve">N959MJ  </v>
      </c>
      <c r="BC1806">
        <v>1</v>
      </c>
      <c r="BE1806">
        <v>0</v>
      </c>
      <c r="BF1806">
        <v>0</v>
      </c>
      <c r="BG1806">
        <v>0</v>
      </c>
      <c r="BH1806">
        <v>4900</v>
      </c>
      <c r="BI1806">
        <v>200</v>
      </c>
      <c r="BJ1806">
        <v>1</v>
      </c>
      <c r="BK1806">
        <v>1</v>
      </c>
      <c r="BL1806">
        <v>1</v>
      </c>
      <c r="BM1806">
        <v>0</v>
      </c>
      <c r="BP1806">
        <v>0</v>
      </c>
      <c r="BQ1806">
        <v>0</v>
      </c>
      <c r="BX1806" t="str">
        <f>"14:20:27.563"</f>
        <v>14:20:27.563</v>
      </c>
      <c r="BY1806" t="str">
        <f>"565213787"</f>
        <v>565213787</v>
      </c>
      <c r="CL1806">
        <v>0</v>
      </c>
      <c r="CM1806">
        <v>2</v>
      </c>
      <c r="CN1806">
        <v>0</v>
      </c>
      <c r="CO1806">
        <v>2</v>
      </c>
      <c r="CP1806">
        <v>0</v>
      </c>
      <c r="CQ1806">
        <v>6</v>
      </c>
      <c r="CR1806" t="s">
        <v>116</v>
      </c>
      <c r="CS1806">
        <v>396</v>
      </c>
      <c r="CT1806">
        <v>1</v>
      </c>
      <c r="CU1806" t="s">
        <v>939</v>
      </c>
      <c r="CV1806" t="s">
        <v>940</v>
      </c>
      <c r="CY1806">
        <v>9528484</v>
      </c>
      <c r="CZ1806" t="s">
        <v>119</v>
      </c>
    </row>
    <row r="1807" spans="1:104" x14ac:dyDescent="0.25">
      <c r="A1807" t="str">
        <f>"14:20:28.734"</f>
        <v>14:20:28.734</v>
      </c>
      <c r="B1807" t="s">
        <v>108</v>
      </c>
      <c r="C1807" t="str">
        <f t="shared" si="85"/>
        <v>ffdfd3c0</v>
      </c>
      <c r="D1807" t="s">
        <v>109</v>
      </c>
      <c r="E1807">
        <v>4</v>
      </c>
      <c r="F1807">
        <v>1004</v>
      </c>
      <c r="G1807" t="s">
        <v>110</v>
      </c>
      <c r="J1807" t="s">
        <v>111</v>
      </c>
      <c r="K1807">
        <v>0</v>
      </c>
      <c r="L1807">
        <v>3</v>
      </c>
      <c r="M1807">
        <v>0</v>
      </c>
      <c r="N1807">
        <v>2</v>
      </c>
      <c r="O1807">
        <v>1</v>
      </c>
      <c r="P1807">
        <v>0</v>
      </c>
      <c r="Q1807">
        <v>0</v>
      </c>
      <c r="R1807" t="s">
        <v>112</v>
      </c>
      <c r="S1807" t="str">
        <f>"14:20:28.531"</f>
        <v>14:20:28.531</v>
      </c>
      <c r="T1807" t="str">
        <f>"14:20:28.031"</f>
        <v>14:20:28.031</v>
      </c>
      <c r="U1807" t="str">
        <f t="shared" si="84"/>
        <v>ad5732</v>
      </c>
      <c r="V1807">
        <v>0</v>
      </c>
      <c r="W1807">
        <v>0</v>
      </c>
      <c r="X1807">
        <v>1</v>
      </c>
      <c r="Z1807">
        <v>0</v>
      </c>
      <c r="AA1807">
        <v>9</v>
      </c>
      <c r="AB1807">
        <v>3</v>
      </c>
      <c r="AC1807">
        <v>0</v>
      </c>
      <c r="AD1807">
        <v>10</v>
      </c>
      <c r="AE1807">
        <v>0</v>
      </c>
      <c r="AF1807">
        <v>3</v>
      </c>
      <c r="AG1807">
        <v>2</v>
      </c>
      <c r="AH1807">
        <v>0</v>
      </c>
      <c r="AI1807" t="s">
        <v>3719</v>
      </c>
      <c r="AJ1807">
        <v>39.765014999999998</v>
      </c>
      <c r="AK1807" t="s">
        <v>3720</v>
      </c>
      <c r="AL1807">
        <v>-76.052920999999998</v>
      </c>
      <c r="AM1807">
        <v>100</v>
      </c>
      <c r="AN1807">
        <v>4700</v>
      </c>
      <c r="AO1807" t="s">
        <v>115</v>
      </c>
      <c r="AP1807">
        <v>156</v>
      </c>
      <c r="AQ1807">
        <v>81</v>
      </c>
      <c r="AR1807">
        <v>0</v>
      </c>
      <c r="AZ1807">
        <v>3614</v>
      </c>
      <c r="BA1807">
        <v>1</v>
      </c>
      <c r="BB1807" t="str">
        <f t="shared" si="86"/>
        <v xml:space="preserve">N959MJ  </v>
      </c>
      <c r="BC1807">
        <v>1</v>
      </c>
      <c r="BE1807">
        <v>0</v>
      </c>
      <c r="BF1807">
        <v>0</v>
      </c>
      <c r="BG1807">
        <v>0</v>
      </c>
      <c r="BH1807">
        <v>4900</v>
      </c>
      <c r="BI1807">
        <v>200</v>
      </c>
      <c r="BJ1807">
        <v>1</v>
      </c>
      <c r="BK1807">
        <v>1</v>
      </c>
      <c r="BL1807">
        <v>1</v>
      </c>
      <c r="BM1807">
        <v>0</v>
      </c>
      <c r="BP1807">
        <v>0</v>
      </c>
      <c r="BQ1807">
        <v>0</v>
      </c>
      <c r="BX1807" t="str">
        <f>"14:20:28.531"</f>
        <v>14:20:28.531</v>
      </c>
      <c r="BY1807" t="str">
        <f>"533508671"</f>
        <v>533508671</v>
      </c>
      <c r="CL1807">
        <v>0</v>
      </c>
      <c r="CM1807">
        <v>2</v>
      </c>
      <c r="CN1807">
        <v>0</v>
      </c>
      <c r="CO1807">
        <v>2</v>
      </c>
      <c r="CP1807">
        <v>0</v>
      </c>
      <c r="CQ1807">
        <v>6</v>
      </c>
      <c r="CR1807" t="s">
        <v>116</v>
      </c>
      <c r="CS1807">
        <v>39</v>
      </c>
      <c r="CT1807">
        <v>2</v>
      </c>
      <c r="CU1807" t="s">
        <v>2259</v>
      </c>
      <c r="CV1807" t="s">
        <v>2260</v>
      </c>
      <c r="CY1807">
        <v>16187054</v>
      </c>
      <c r="CZ1807" t="s">
        <v>119</v>
      </c>
    </row>
    <row r="1808" spans="1:104" x14ac:dyDescent="0.25">
      <c r="A1808" t="str">
        <f>"14:20:29.852"</f>
        <v>14:20:29.852</v>
      </c>
      <c r="B1808" t="s">
        <v>108</v>
      </c>
      <c r="C1808" t="str">
        <f t="shared" si="85"/>
        <v>ffdfd3c0</v>
      </c>
      <c r="D1808" t="s">
        <v>109</v>
      </c>
      <c r="E1808">
        <v>4</v>
      </c>
      <c r="F1808">
        <v>1004</v>
      </c>
      <c r="G1808" t="s">
        <v>110</v>
      </c>
      <c r="J1808" t="s">
        <v>111</v>
      </c>
      <c r="K1808">
        <v>0</v>
      </c>
      <c r="L1808">
        <v>3</v>
      </c>
      <c r="M1808">
        <v>0</v>
      </c>
      <c r="N1808">
        <v>2</v>
      </c>
      <c r="O1808">
        <v>1</v>
      </c>
      <c r="P1808">
        <v>0</v>
      </c>
      <c r="Q1808">
        <v>0</v>
      </c>
      <c r="R1808" t="s">
        <v>112</v>
      </c>
      <c r="S1808" t="str">
        <f>"14:20:29.656"</f>
        <v>14:20:29.656</v>
      </c>
      <c r="T1808" t="str">
        <f>"14:20:29.156"</f>
        <v>14:20:29.156</v>
      </c>
      <c r="U1808" t="str">
        <f t="shared" si="84"/>
        <v>ad5732</v>
      </c>
      <c r="V1808">
        <v>0</v>
      </c>
      <c r="W1808">
        <v>0</v>
      </c>
      <c r="X1808">
        <v>1</v>
      </c>
      <c r="Z1808">
        <v>0</v>
      </c>
      <c r="AA1808">
        <v>9</v>
      </c>
      <c r="AB1808">
        <v>3</v>
      </c>
      <c r="AC1808">
        <v>0</v>
      </c>
      <c r="AD1808">
        <v>10</v>
      </c>
      <c r="AE1808">
        <v>0</v>
      </c>
      <c r="AF1808">
        <v>3</v>
      </c>
      <c r="AG1808">
        <v>2</v>
      </c>
      <c r="AH1808">
        <v>0</v>
      </c>
      <c r="AI1808" t="s">
        <v>3721</v>
      </c>
      <c r="AJ1808">
        <v>39.765379000000003</v>
      </c>
      <c r="AK1808" t="s">
        <v>3722</v>
      </c>
      <c r="AL1808">
        <v>-76.051868999999996</v>
      </c>
      <c r="AM1808">
        <v>100</v>
      </c>
      <c r="AN1808">
        <v>4700</v>
      </c>
      <c r="AO1808" t="s">
        <v>115</v>
      </c>
      <c r="AP1808">
        <v>156</v>
      </c>
      <c r="AQ1808">
        <v>80</v>
      </c>
      <c r="AR1808">
        <v>0</v>
      </c>
      <c r="AZ1808">
        <v>3614</v>
      </c>
      <c r="BA1808">
        <v>1</v>
      </c>
      <c r="BB1808" t="str">
        <f t="shared" si="86"/>
        <v xml:space="preserve">N959MJ  </v>
      </c>
      <c r="BC1808">
        <v>1</v>
      </c>
      <c r="BE1808">
        <v>0</v>
      </c>
      <c r="BF1808">
        <v>0</v>
      </c>
      <c r="BG1808">
        <v>0</v>
      </c>
      <c r="BH1808">
        <v>4900</v>
      </c>
      <c r="BI1808">
        <v>200</v>
      </c>
      <c r="BJ1808">
        <v>1</v>
      </c>
      <c r="BK1808">
        <v>1</v>
      </c>
      <c r="BL1808">
        <v>1</v>
      </c>
      <c r="BM1808">
        <v>0</v>
      </c>
      <c r="BP1808">
        <v>0</v>
      </c>
      <c r="BQ1808">
        <v>0</v>
      </c>
      <c r="BX1808" t="str">
        <f>"14:20:29.664"</f>
        <v>14:20:29.664</v>
      </c>
      <c r="BY1808" t="str">
        <f>"660763334"</f>
        <v>660763334</v>
      </c>
      <c r="CL1808">
        <v>0</v>
      </c>
      <c r="CM1808">
        <v>2</v>
      </c>
      <c r="CN1808">
        <v>0</v>
      </c>
      <c r="CO1808">
        <v>2</v>
      </c>
      <c r="CP1808">
        <v>0</v>
      </c>
      <c r="CQ1808">
        <v>6</v>
      </c>
      <c r="CR1808" t="s">
        <v>116</v>
      </c>
      <c r="CS1808">
        <v>396</v>
      </c>
      <c r="CT1808">
        <v>1</v>
      </c>
      <c r="CU1808" t="s">
        <v>939</v>
      </c>
      <c r="CV1808" t="s">
        <v>940</v>
      </c>
      <c r="CY1808">
        <v>9532232</v>
      </c>
      <c r="CZ1808" t="s">
        <v>119</v>
      </c>
    </row>
    <row r="1809" spans="1:104" x14ac:dyDescent="0.25">
      <c r="A1809" t="str">
        <f>"14:20:30.703"</f>
        <v>14:20:30.703</v>
      </c>
      <c r="B1809" t="s">
        <v>108</v>
      </c>
      <c r="C1809" t="str">
        <f t="shared" si="85"/>
        <v>ffdfd3c0</v>
      </c>
      <c r="D1809" t="s">
        <v>109</v>
      </c>
      <c r="E1809">
        <v>4</v>
      </c>
      <c r="F1809">
        <v>1004</v>
      </c>
      <c r="G1809" t="s">
        <v>110</v>
      </c>
      <c r="J1809" t="s">
        <v>111</v>
      </c>
      <c r="K1809">
        <v>0</v>
      </c>
      <c r="L1809">
        <v>3</v>
      </c>
      <c r="M1809">
        <v>0</v>
      </c>
      <c r="N1809">
        <v>2</v>
      </c>
      <c r="O1809">
        <v>1</v>
      </c>
      <c r="P1809">
        <v>0</v>
      </c>
      <c r="Q1809">
        <v>0</v>
      </c>
      <c r="R1809" t="s">
        <v>112</v>
      </c>
      <c r="S1809" t="str">
        <f>"14:20:30.508"</f>
        <v>14:20:30.508</v>
      </c>
      <c r="T1809" t="str">
        <f>"14:20:30.109"</f>
        <v>14:20:30.109</v>
      </c>
      <c r="U1809" t="str">
        <f t="shared" si="84"/>
        <v>ad5732</v>
      </c>
      <c r="V1809">
        <v>0</v>
      </c>
      <c r="W1809">
        <v>0</v>
      </c>
      <c r="X1809">
        <v>1</v>
      </c>
      <c r="Z1809">
        <v>0</v>
      </c>
      <c r="AA1809">
        <v>9</v>
      </c>
      <c r="AB1809">
        <v>3</v>
      </c>
      <c r="AC1809">
        <v>0</v>
      </c>
      <c r="AD1809">
        <v>10</v>
      </c>
      <c r="AE1809">
        <v>0</v>
      </c>
      <c r="AF1809">
        <v>3</v>
      </c>
      <c r="AG1809">
        <v>2</v>
      </c>
      <c r="AH1809">
        <v>0</v>
      </c>
      <c r="AI1809" t="s">
        <v>3723</v>
      </c>
      <c r="AJ1809">
        <v>39.765743999999998</v>
      </c>
      <c r="AK1809" t="s">
        <v>3724</v>
      </c>
      <c r="AL1809">
        <v>-76.051074999999997</v>
      </c>
      <c r="AM1809">
        <v>100</v>
      </c>
      <c r="AN1809">
        <v>4700</v>
      </c>
      <c r="AO1809" t="s">
        <v>115</v>
      </c>
      <c r="AP1809">
        <v>157</v>
      </c>
      <c r="AQ1809">
        <v>80</v>
      </c>
      <c r="AR1809">
        <v>0</v>
      </c>
      <c r="AZ1809">
        <v>3614</v>
      </c>
      <c r="BA1809">
        <v>1</v>
      </c>
      <c r="BB1809" t="str">
        <f t="shared" si="86"/>
        <v xml:space="preserve">N959MJ  </v>
      </c>
      <c r="BC1809">
        <v>1</v>
      </c>
      <c r="BE1809">
        <v>0</v>
      </c>
      <c r="BF1809">
        <v>0</v>
      </c>
      <c r="BG1809">
        <v>0</v>
      </c>
      <c r="BH1809">
        <v>4900</v>
      </c>
      <c r="BI1809">
        <v>200</v>
      </c>
      <c r="BJ1809">
        <v>1</v>
      </c>
      <c r="BK1809">
        <v>1</v>
      </c>
      <c r="BL1809">
        <v>1</v>
      </c>
      <c r="BM1809">
        <v>0</v>
      </c>
      <c r="BP1809">
        <v>0</v>
      </c>
      <c r="BQ1809">
        <v>0</v>
      </c>
      <c r="BX1809" t="str">
        <f>"14:20:30.508"</f>
        <v>14:20:30.508</v>
      </c>
      <c r="BY1809" t="str">
        <f>"511090471"</f>
        <v>511090471</v>
      </c>
      <c r="CL1809">
        <v>0</v>
      </c>
      <c r="CM1809">
        <v>2</v>
      </c>
      <c r="CN1809">
        <v>0</v>
      </c>
      <c r="CO1809">
        <v>2</v>
      </c>
      <c r="CP1809">
        <v>0</v>
      </c>
      <c r="CQ1809">
        <v>6</v>
      </c>
      <c r="CR1809" t="s">
        <v>116</v>
      </c>
      <c r="CS1809">
        <v>39</v>
      </c>
      <c r="CT1809">
        <v>2</v>
      </c>
      <c r="CU1809" t="s">
        <v>2259</v>
      </c>
      <c r="CV1809" t="s">
        <v>2260</v>
      </c>
      <c r="CY1809">
        <v>16190100</v>
      </c>
      <c r="CZ1809" t="s">
        <v>119</v>
      </c>
    </row>
    <row r="1810" spans="1:104" x14ac:dyDescent="0.25">
      <c r="A1810" t="str">
        <f>"14:20:31.617"</f>
        <v>14:20:31.617</v>
      </c>
      <c r="B1810" t="s">
        <v>108</v>
      </c>
      <c r="C1810" t="str">
        <f t="shared" si="85"/>
        <v>ffdfd3c0</v>
      </c>
      <c r="D1810" t="s">
        <v>109</v>
      </c>
      <c r="E1810">
        <v>4</v>
      </c>
      <c r="F1810">
        <v>1004</v>
      </c>
      <c r="G1810" t="s">
        <v>110</v>
      </c>
      <c r="J1810" t="s">
        <v>111</v>
      </c>
      <c r="K1810">
        <v>0</v>
      </c>
      <c r="L1810">
        <v>3</v>
      </c>
      <c r="M1810">
        <v>0</v>
      </c>
      <c r="N1810">
        <v>2</v>
      </c>
      <c r="O1810">
        <v>1</v>
      </c>
      <c r="P1810">
        <v>0</v>
      </c>
      <c r="Q1810">
        <v>0</v>
      </c>
      <c r="R1810" t="s">
        <v>112</v>
      </c>
      <c r="S1810" t="str">
        <f>"14:20:31.453"</f>
        <v>14:20:31.453</v>
      </c>
      <c r="T1810" t="str">
        <f>"14:20:31.055"</f>
        <v>14:20:31.055</v>
      </c>
      <c r="U1810" t="str">
        <f t="shared" si="84"/>
        <v>ad5732</v>
      </c>
      <c r="V1810">
        <v>0</v>
      </c>
      <c r="W1810">
        <v>0</v>
      </c>
      <c r="X1810">
        <v>1</v>
      </c>
      <c r="Z1810">
        <v>0</v>
      </c>
      <c r="AA1810">
        <v>9</v>
      </c>
      <c r="AB1810">
        <v>3</v>
      </c>
      <c r="AC1810">
        <v>0</v>
      </c>
      <c r="AD1810">
        <v>10</v>
      </c>
      <c r="AE1810">
        <v>0</v>
      </c>
      <c r="AF1810">
        <v>3</v>
      </c>
      <c r="AG1810">
        <v>2</v>
      </c>
      <c r="AH1810">
        <v>0</v>
      </c>
      <c r="AI1810" t="s">
        <v>3725</v>
      </c>
      <c r="AJ1810">
        <v>39.766088000000003</v>
      </c>
      <c r="AK1810" t="s">
        <v>3726</v>
      </c>
      <c r="AL1810">
        <v>-76.050173999999998</v>
      </c>
      <c r="AM1810">
        <v>100</v>
      </c>
      <c r="AN1810">
        <v>4700</v>
      </c>
      <c r="AO1810" t="s">
        <v>115</v>
      </c>
      <c r="AP1810">
        <v>157</v>
      </c>
      <c r="AQ1810">
        <v>80</v>
      </c>
      <c r="AR1810">
        <v>0</v>
      </c>
      <c r="AZ1810">
        <v>3614</v>
      </c>
      <c r="BA1810">
        <v>1</v>
      </c>
      <c r="BB1810" t="str">
        <f t="shared" si="86"/>
        <v xml:space="preserve">N959MJ  </v>
      </c>
      <c r="BC1810">
        <v>1</v>
      </c>
      <c r="BE1810">
        <v>0</v>
      </c>
      <c r="BF1810">
        <v>0</v>
      </c>
      <c r="BG1810">
        <v>0</v>
      </c>
      <c r="BH1810">
        <v>4900</v>
      </c>
      <c r="BI1810">
        <v>200</v>
      </c>
      <c r="BJ1810">
        <v>1</v>
      </c>
      <c r="BK1810">
        <v>1</v>
      </c>
      <c r="BL1810">
        <v>1</v>
      </c>
      <c r="BM1810">
        <v>0</v>
      </c>
      <c r="BP1810">
        <v>0</v>
      </c>
      <c r="BQ1810">
        <v>0</v>
      </c>
      <c r="BX1810" t="str">
        <f>"14:20:31.461"</f>
        <v>14:20:31.461</v>
      </c>
      <c r="BY1810" t="str">
        <f>"458119089"</f>
        <v>458119089</v>
      </c>
      <c r="CL1810">
        <v>0</v>
      </c>
      <c r="CM1810">
        <v>2</v>
      </c>
      <c r="CN1810">
        <v>0</v>
      </c>
      <c r="CO1810">
        <v>2</v>
      </c>
      <c r="CP1810">
        <v>0</v>
      </c>
      <c r="CQ1810">
        <v>6</v>
      </c>
      <c r="CR1810" t="s">
        <v>116</v>
      </c>
      <c r="CS1810">
        <v>396</v>
      </c>
      <c r="CT1810">
        <v>1</v>
      </c>
      <c r="CU1810" t="s">
        <v>939</v>
      </c>
      <c r="CV1810" t="s">
        <v>940</v>
      </c>
      <c r="CY1810">
        <v>9535305</v>
      </c>
      <c r="CZ1810" t="s">
        <v>119</v>
      </c>
    </row>
    <row r="1811" spans="1:104" x14ac:dyDescent="0.25">
      <c r="A1811" t="str">
        <f>"14:20:32.727"</f>
        <v>14:20:32.727</v>
      </c>
      <c r="B1811" t="s">
        <v>108</v>
      </c>
      <c r="C1811" t="str">
        <f t="shared" si="85"/>
        <v>ffdfd3c0</v>
      </c>
      <c r="D1811" t="s">
        <v>109</v>
      </c>
      <c r="E1811">
        <v>4</v>
      </c>
      <c r="F1811">
        <v>1004</v>
      </c>
      <c r="G1811" t="s">
        <v>110</v>
      </c>
      <c r="J1811" t="s">
        <v>111</v>
      </c>
      <c r="K1811">
        <v>0</v>
      </c>
      <c r="L1811">
        <v>3</v>
      </c>
      <c r="M1811">
        <v>0</v>
      </c>
      <c r="N1811">
        <v>2</v>
      </c>
      <c r="O1811">
        <v>1</v>
      </c>
      <c r="P1811">
        <v>0</v>
      </c>
      <c r="Q1811">
        <v>0</v>
      </c>
      <c r="R1811" t="s">
        <v>112</v>
      </c>
      <c r="S1811" t="str">
        <f>"14:20:32.547"</f>
        <v>14:20:32.547</v>
      </c>
      <c r="T1811" t="str">
        <f>"14:20:32.047"</f>
        <v>14:20:32.047</v>
      </c>
      <c r="U1811" t="str">
        <f t="shared" si="84"/>
        <v>ad5732</v>
      </c>
      <c r="V1811">
        <v>0</v>
      </c>
      <c r="W1811">
        <v>0</v>
      </c>
      <c r="X1811">
        <v>1</v>
      </c>
      <c r="Z1811">
        <v>0</v>
      </c>
      <c r="AA1811">
        <v>9</v>
      </c>
      <c r="AB1811">
        <v>3</v>
      </c>
      <c r="AC1811">
        <v>0</v>
      </c>
      <c r="AD1811">
        <v>10</v>
      </c>
      <c r="AE1811">
        <v>0</v>
      </c>
      <c r="AF1811">
        <v>3</v>
      </c>
      <c r="AG1811">
        <v>2</v>
      </c>
      <c r="AH1811">
        <v>0</v>
      </c>
      <c r="AI1811" t="s">
        <v>3727</v>
      </c>
      <c r="AJ1811">
        <v>39.766474000000002</v>
      </c>
      <c r="AK1811" t="s">
        <v>3728</v>
      </c>
      <c r="AL1811">
        <v>-76.049143999999998</v>
      </c>
      <c r="AM1811">
        <v>100</v>
      </c>
      <c r="AN1811">
        <v>4700</v>
      </c>
      <c r="AO1811" t="s">
        <v>115</v>
      </c>
      <c r="AP1811">
        <v>157</v>
      </c>
      <c r="AQ1811">
        <v>80</v>
      </c>
      <c r="AR1811">
        <v>-64</v>
      </c>
      <c r="AZ1811">
        <v>3614</v>
      </c>
      <c r="BA1811">
        <v>1</v>
      </c>
      <c r="BB1811" t="str">
        <f t="shared" si="86"/>
        <v xml:space="preserve">N959MJ  </v>
      </c>
      <c r="BC1811">
        <v>1</v>
      </c>
      <c r="BE1811">
        <v>0</v>
      </c>
      <c r="BF1811">
        <v>0</v>
      </c>
      <c r="BG1811">
        <v>0</v>
      </c>
      <c r="BH1811">
        <v>4900</v>
      </c>
      <c r="BI1811">
        <v>200</v>
      </c>
      <c r="BJ1811">
        <v>1</v>
      </c>
      <c r="BK1811">
        <v>1</v>
      </c>
      <c r="BL1811">
        <v>1</v>
      </c>
      <c r="BM1811">
        <v>0</v>
      </c>
      <c r="BP1811">
        <v>0</v>
      </c>
      <c r="BQ1811">
        <v>0</v>
      </c>
      <c r="BX1811" t="str">
        <f>"14:20:32.555"</f>
        <v>14:20:32.555</v>
      </c>
      <c r="BY1811" t="str">
        <f>"554209267"</f>
        <v>554209267</v>
      </c>
      <c r="CL1811">
        <v>0</v>
      </c>
      <c r="CM1811">
        <v>2</v>
      </c>
      <c r="CN1811">
        <v>0</v>
      </c>
      <c r="CO1811">
        <v>2</v>
      </c>
      <c r="CP1811">
        <v>0</v>
      </c>
      <c r="CQ1811">
        <v>6</v>
      </c>
      <c r="CR1811" t="s">
        <v>116</v>
      </c>
      <c r="CS1811">
        <v>39</v>
      </c>
      <c r="CT1811">
        <v>2</v>
      </c>
      <c r="CU1811" t="s">
        <v>2259</v>
      </c>
      <c r="CV1811" t="s">
        <v>2260</v>
      </c>
      <c r="CY1811">
        <v>16193343</v>
      </c>
      <c r="CZ1811" t="s">
        <v>119</v>
      </c>
    </row>
    <row r="1812" spans="1:104" x14ac:dyDescent="0.25">
      <c r="A1812" t="str">
        <f>"14:20:33.836"</f>
        <v>14:20:33.836</v>
      </c>
      <c r="B1812" t="s">
        <v>108</v>
      </c>
      <c r="C1812" t="str">
        <f t="shared" si="85"/>
        <v>ffdfd3c0</v>
      </c>
      <c r="D1812" t="s">
        <v>109</v>
      </c>
      <c r="E1812">
        <v>4</v>
      </c>
      <c r="F1812">
        <v>1004</v>
      </c>
      <c r="G1812" t="s">
        <v>110</v>
      </c>
      <c r="J1812" t="s">
        <v>111</v>
      </c>
      <c r="K1812">
        <v>0</v>
      </c>
      <c r="L1812">
        <v>3</v>
      </c>
      <c r="M1812">
        <v>0</v>
      </c>
      <c r="N1812">
        <v>2</v>
      </c>
      <c r="O1812">
        <v>1</v>
      </c>
      <c r="P1812">
        <v>0</v>
      </c>
      <c r="Q1812">
        <v>0</v>
      </c>
      <c r="R1812" t="s">
        <v>112</v>
      </c>
      <c r="S1812" t="str">
        <f>"14:20:33.664"</f>
        <v>14:20:33.664</v>
      </c>
      <c r="T1812" t="str">
        <f>"14:20:33.164"</f>
        <v>14:20:33.164</v>
      </c>
      <c r="U1812" t="str">
        <f t="shared" si="84"/>
        <v>ad5732</v>
      </c>
      <c r="V1812">
        <v>0</v>
      </c>
      <c r="W1812">
        <v>0</v>
      </c>
      <c r="X1812">
        <v>1</v>
      </c>
      <c r="Z1812">
        <v>0</v>
      </c>
      <c r="AA1812">
        <v>9</v>
      </c>
      <c r="AB1812">
        <v>3</v>
      </c>
      <c r="AC1812">
        <v>0</v>
      </c>
      <c r="AD1812">
        <v>10</v>
      </c>
      <c r="AE1812">
        <v>0</v>
      </c>
      <c r="AF1812">
        <v>3</v>
      </c>
      <c r="AG1812">
        <v>2</v>
      </c>
      <c r="AH1812">
        <v>0</v>
      </c>
      <c r="AI1812" t="s">
        <v>3729</v>
      </c>
      <c r="AJ1812">
        <v>39.766880999999998</v>
      </c>
      <c r="AK1812" t="s">
        <v>3730</v>
      </c>
      <c r="AL1812">
        <v>-76.048157000000003</v>
      </c>
      <c r="AM1812">
        <v>100</v>
      </c>
      <c r="AN1812">
        <v>4700</v>
      </c>
      <c r="AO1812" t="s">
        <v>115</v>
      </c>
      <c r="AP1812">
        <v>157</v>
      </c>
      <c r="AQ1812">
        <v>80</v>
      </c>
      <c r="AR1812">
        <v>-64</v>
      </c>
      <c r="AZ1812">
        <v>3614</v>
      </c>
      <c r="BA1812">
        <v>1</v>
      </c>
      <c r="BB1812" t="str">
        <f t="shared" si="86"/>
        <v xml:space="preserve">N959MJ  </v>
      </c>
      <c r="BC1812">
        <v>1</v>
      </c>
      <c r="BE1812">
        <v>0</v>
      </c>
      <c r="BF1812">
        <v>0</v>
      </c>
      <c r="BG1812">
        <v>0</v>
      </c>
      <c r="BH1812">
        <v>4900</v>
      </c>
      <c r="BI1812">
        <v>200</v>
      </c>
      <c r="BJ1812">
        <v>1</v>
      </c>
      <c r="BK1812">
        <v>1</v>
      </c>
      <c r="BL1812">
        <v>1</v>
      </c>
      <c r="BM1812">
        <v>0</v>
      </c>
      <c r="BP1812">
        <v>0</v>
      </c>
      <c r="BQ1812">
        <v>0</v>
      </c>
      <c r="BX1812" t="str">
        <f>"14:20:33.664"</f>
        <v>14:20:33.664</v>
      </c>
      <c r="BY1812" t="str">
        <f>"666701465"</f>
        <v>666701465</v>
      </c>
      <c r="CL1812">
        <v>0</v>
      </c>
      <c r="CM1812">
        <v>2</v>
      </c>
      <c r="CN1812">
        <v>0</v>
      </c>
      <c r="CO1812">
        <v>2</v>
      </c>
      <c r="CP1812">
        <v>0</v>
      </c>
      <c r="CQ1812">
        <v>7</v>
      </c>
      <c r="CR1812" t="s">
        <v>116</v>
      </c>
      <c r="CS1812">
        <v>39</v>
      </c>
      <c r="CT1812">
        <v>2</v>
      </c>
      <c r="CU1812" t="s">
        <v>2259</v>
      </c>
      <c r="CV1812" t="s">
        <v>2260</v>
      </c>
      <c r="CY1812">
        <v>16195173</v>
      </c>
      <c r="CZ1812" t="s">
        <v>119</v>
      </c>
    </row>
    <row r="1813" spans="1:104" x14ac:dyDescent="0.25">
      <c r="A1813" t="str">
        <f>"14:20:35.000"</f>
        <v>14:20:35.000</v>
      </c>
      <c r="B1813" t="s">
        <v>108</v>
      </c>
      <c r="C1813" t="str">
        <f t="shared" si="85"/>
        <v>ffdfd3c0</v>
      </c>
      <c r="D1813" t="s">
        <v>109</v>
      </c>
      <c r="E1813">
        <v>4</v>
      </c>
      <c r="F1813">
        <v>1004</v>
      </c>
      <c r="G1813" t="s">
        <v>110</v>
      </c>
      <c r="J1813" t="s">
        <v>111</v>
      </c>
      <c r="K1813">
        <v>0</v>
      </c>
      <c r="L1813">
        <v>3</v>
      </c>
      <c r="M1813">
        <v>0</v>
      </c>
      <c r="N1813">
        <v>2</v>
      </c>
      <c r="O1813">
        <v>1</v>
      </c>
      <c r="P1813">
        <v>0</v>
      </c>
      <c r="Q1813">
        <v>0</v>
      </c>
      <c r="R1813" t="s">
        <v>112</v>
      </c>
      <c r="S1813" t="str">
        <f>"14:20:34.813"</f>
        <v>14:20:34.813</v>
      </c>
      <c r="T1813" t="str">
        <f>"14:20:34.313"</f>
        <v>14:20:34.313</v>
      </c>
      <c r="U1813" t="str">
        <f t="shared" si="84"/>
        <v>ad5732</v>
      </c>
      <c r="V1813">
        <v>0</v>
      </c>
      <c r="W1813">
        <v>0</v>
      </c>
      <c r="X1813">
        <v>1</v>
      </c>
      <c r="Z1813">
        <v>0</v>
      </c>
      <c r="AA1813">
        <v>9</v>
      </c>
      <c r="AB1813">
        <v>3</v>
      </c>
      <c r="AC1813">
        <v>0</v>
      </c>
      <c r="AD1813">
        <v>10</v>
      </c>
      <c r="AE1813">
        <v>0</v>
      </c>
      <c r="AF1813">
        <v>3</v>
      </c>
      <c r="AG1813">
        <v>2</v>
      </c>
      <c r="AH1813">
        <v>0</v>
      </c>
      <c r="AI1813" t="s">
        <v>3731</v>
      </c>
      <c r="AJ1813">
        <v>39.767332000000003</v>
      </c>
      <c r="AK1813" t="s">
        <v>3732</v>
      </c>
      <c r="AL1813">
        <v>-76.046999</v>
      </c>
      <c r="AM1813">
        <v>100</v>
      </c>
      <c r="AN1813">
        <v>4700</v>
      </c>
      <c r="AO1813" t="s">
        <v>115</v>
      </c>
      <c r="AP1813">
        <v>157</v>
      </c>
      <c r="AQ1813">
        <v>80</v>
      </c>
      <c r="AR1813">
        <v>-64</v>
      </c>
      <c r="AZ1813">
        <v>3614</v>
      </c>
      <c r="BA1813">
        <v>1</v>
      </c>
      <c r="BB1813" t="str">
        <f t="shared" si="86"/>
        <v xml:space="preserve">N959MJ  </v>
      </c>
      <c r="BC1813">
        <v>1</v>
      </c>
      <c r="BE1813">
        <v>0</v>
      </c>
      <c r="BF1813">
        <v>0</v>
      </c>
      <c r="BG1813">
        <v>0</v>
      </c>
      <c r="BH1813">
        <v>4900</v>
      </c>
      <c r="BI1813">
        <v>200</v>
      </c>
      <c r="BJ1813">
        <v>1</v>
      </c>
      <c r="BK1813">
        <v>1</v>
      </c>
      <c r="BL1813">
        <v>1</v>
      </c>
      <c r="BM1813">
        <v>0</v>
      </c>
      <c r="BP1813">
        <v>0</v>
      </c>
      <c r="BQ1813">
        <v>0</v>
      </c>
      <c r="BX1813" t="str">
        <f>"14:20:34.820"</f>
        <v>14:20:34.820</v>
      </c>
      <c r="BY1813" t="str">
        <f>"816896534"</f>
        <v>816896534</v>
      </c>
      <c r="CL1813">
        <v>0</v>
      </c>
      <c r="CM1813">
        <v>2</v>
      </c>
      <c r="CN1813">
        <v>0</v>
      </c>
      <c r="CO1813">
        <v>2</v>
      </c>
      <c r="CP1813">
        <v>0</v>
      </c>
      <c r="CQ1813">
        <v>6</v>
      </c>
      <c r="CR1813" t="s">
        <v>116</v>
      </c>
      <c r="CS1813">
        <v>396</v>
      </c>
      <c r="CT1813">
        <v>1</v>
      </c>
      <c r="CU1813" t="s">
        <v>939</v>
      </c>
      <c r="CV1813" t="s">
        <v>940</v>
      </c>
      <c r="CY1813">
        <v>9541285</v>
      </c>
      <c r="CZ1813" t="s">
        <v>119</v>
      </c>
    </row>
    <row r="1814" spans="1:104" x14ac:dyDescent="0.25">
      <c r="A1814" t="str">
        <f>"14:20:36.008"</f>
        <v>14:20:36.008</v>
      </c>
      <c r="B1814" t="s">
        <v>108</v>
      </c>
      <c r="C1814" t="str">
        <f t="shared" si="85"/>
        <v>ffdfd3c0</v>
      </c>
      <c r="D1814" t="s">
        <v>109</v>
      </c>
      <c r="E1814">
        <v>4</v>
      </c>
      <c r="F1814">
        <v>1004</v>
      </c>
      <c r="G1814" t="s">
        <v>110</v>
      </c>
      <c r="J1814" t="s">
        <v>111</v>
      </c>
      <c r="K1814">
        <v>0</v>
      </c>
      <c r="L1814">
        <v>3</v>
      </c>
      <c r="M1814">
        <v>0</v>
      </c>
      <c r="N1814">
        <v>2</v>
      </c>
      <c r="O1814">
        <v>1</v>
      </c>
      <c r="P1814">
        <v>0</v>
      </c>
      <c r="Q1814">
        <v>0</v>
      </c>
      <c r="R1814" t="s">
        <v>112</v>
      </c>
      <c r="S1814" t="str">
        <f>"14:20:35.828"</f>
        <v>14:20:35.828</v>
      </c>
      <c r="T1814" t="str">
        <f>"14:20:35.430"</f>
        <v>14:20:35.430</v>
      </c>
      <c r="U1814" t="str">
        <f t="shared" si="84"/>
        <v>ad5732</v>
      </c>
      <c r="V1814">
        <v>0</v>
      </c>
      <c r="W1814">
        <v>0</v>
      </c>
      <c r="X1814">
        <v>1</v>
      </c>
      <c r="Z1814">
        <v>0</v>
      </c>
      <c r="AA1814">
        <v>9</v>
      </c>
      <c r="AB1814">
        <v>3</v>
      </c>
      <c r="AC1814">
        <v>0</v>
      </c>
      <c r="AD1814">
        <v>10</v>
      </c>
      <c r="AE1814">
        <v>0</v>
      </c>
      <c r="AF1814">
        <v>3</v>
      </c>
      <c r="AG1814">
        <v>2</v>
      </c>
      <c r="AH1814">
        <v>0</v>
      </c>
      <c r="AI1814" t="s">
        <v>3733</v>
      </c>
      <c r="AJ1814">
        <v>39.767718000000002</v>
      </c>
      <c r="AK1814" t="s">
        <v>3734</v>
      </c>
      <c r="AL1814">
        <v>-76.046075999999999</v>
      </c>
      <c r="AM1814">
        <v>100</v>
      </c>
      <c r="AN1814">
        <v>4700</v>
      </c>
      <c r="AO1814" t="s">
        <v>115</v>
      </c>
      <c r="AP1814">
        <v>157</v>
      </c>
      <c r="AQ1814">
        <v>80</v>
      </c>
      <c r="AR1814">
        <v>0</v>
      </c>
      <c r="AZ1814">
        <v>3614</v>
      </c>
      <c r="BA1814">
        <v>1</v>
      </c>
      <c r="BB1814" t="str">
        <f t="shared" si="86"/>
        <v xml:space="preserve">N959MJ  </v>
      </c>
      <c r="BC1814">
        <v>1</v>
      </c>
      <c r="BE1814">
        <v>0</v>
      </c>
      <c r="BF1814">
        <v>0</v>
      </c>
      <c r="BG1814">
        <v>0</v>
      </c>
      <c r="BH1814">
        <v>4900</v>
      </c>
      <c r="BI1814">
        <v>200</v>
      </c>
      <c r="BJ1814">
        <v>1</v>
      </c>
      <c r="BK1814">
        <v>1</v>
      </c>
      <c r="BL1814">
        <v>1</v>
      </c>
      <c r="BM1814">
        <v>0</v>
      </c>
      <c r="BP1814">
        <v>0</v>
      </c>
      <c r="BQ1814">
        <v>0</v>
      </c>
      <c r="BX1814" t="str">
        <f>"14:20:35.836"</f>
        <v>14:20:35.836</v>
      </c>
      <c r="BY1814" t="str">
        <f>"832721931"</f>
        <v>832721931</v>
      </c>
      <c r="CL1814">
        <v>0</v>
      </c>
      <c r="CM1814">
        <v>2</v>
      </c>
      <c r="CN1814">
        <v>0</v>
      </c>
      <c r="CO1814">
        <v>2</v>
      </c>
      <c r="CP1814">
        <v>0</v>
      </c>
      <c r="CQ1814">
        <v>6</v>
      </c>
      <c r="CR1814" t="s">
        <v>116</v>
      </c>
      <c r="CS1814">
        <v>396</v>
      </c>
      <c r="CT1814">
        <v>1</v>
      </c>
      <c r="CU1814" t="s">
        <v>939</v>
      </c>
      <c r="CV1814" t="s">
        <v>940</v>
      </c>
      <c r="CY1814">
        <v>9543182</v>
      </c>
      <c r="CZ1814" t="s">
        <v>119</v>
      </c>
    </row>
    <row r="1815" spans="1:104" x14ac:dyDescent="0.25">
      <c r="A1815" t="str">
        <f>"14:20:37.063"</f>
        <v>14:20:37.063</v>
      </c>
      <c r="B1815" t="s">
        <v>108</v>
      </c>
      <c r="C1815" t="str">
        <f t="shared" si="85"/>
        <v>ffdfd3c0</v>
      </c>
      <c r="D1815" t="s">
        <v>109</v>
      </c>
      <c r="E1815">
        <v>4</v>
      </c>
      <c r="F1815">
        <v>1004</v>
      </c>
      <c r="G1815" t="s">
        <v>110</v>
      </c>
      <c r="J1815" t="s">
        <v>111</v>
      </c>
      <c r="K1815">
        <v>0</v>
      </c>
      <c r="L1815">
        <v>3</v>
      </c>
      <c r="M1815">
        <v>0</v>
      </c>
      <c r="N1815">
        <v>2</v>
      </c>
      <c r="O1815">
        <v>1</v>
      </c>
      <c r="P1815">
        <v>0</v>
      </c>
      <c r="Q1815">
        <v>0</v>
      </c>
      <c r="R1815" t="s">
        <v>112</v>
      </c>
      <c r="S1815" t="str">
        <f>"14:20:36.898"</f>
        <v>14:20:36.898</v>
      </c>
      <c r="T1815" t="str">
        <f>"14:20:36.398"</f>
        <v>14:20:36.398</v>
      </c>
      <c r="U1815" t="str">
        <f t="shared" si="84"/>
        <v>ad5732</v>
      </c>
      <c r="V1815">
        <v>0</v>
      </c>
      <c r="W1815">
        <v>0</v>
      </c>
      <c r="X1815">
        <v>1</v>
      </c>
      <c r="Z1815">
        <v>0</v>
      </c>
      <c r="AA1815">
        <v>9</v>
      </c>
      <c r="AB1815">
        <v>3</v>
      </c>
      <c r="AC1815">
        <v>0</v>
      </c>
      <c r="AD1815">
        <v>10</v>
      </c>
      <c r="AE1815">
        <v>0</v>
      </c>
      <c r="AF1815">
        <v>3</v>
      </c>
      <c r="AG1815">
        <v>2</v>
      </c>
      <c r="AH1815">
        <v>0</v>
      </c>
      <c r="AI1815" t="s">
        <v>3735</v>
      </c>
      <c r="AJ1815">
        <v>39.768126000000002</v>
      </c>
      <c r="AK1815" t="s">
        <v>3736</v>
      </c>
      <c r="AL1815">
        <v>-76.045023999999998</v>
      </c>
      <c r="AM1815">
        <v>100</v>
      </c>
      <c r="AN1815">
        <v>4700</v>
      </c>
      <c r="AO1815" t="s">
        <v>115</v>
      </c>
      <c r="AP1815">
        <v>157</v>
      </c>
      <c r="AQ1815">
        <v>80</v>
      </c>
      <c r="AR1815">
        <v>0</v>
      </c>
      <c r="AZ1815">
        <v>3614</v>
      </c>
      <c r="BA1815">
        <v>1</v>
      </c>
      <c r="BB1815" t="str">
        <f t="shared" si="86"/>
        <v xml:space="preserve">N959MJ  </v>
      </c>
      <c r="BC1815">
        <v>1</v>
      </c>
      <c r="BE1815">
        <v>0</v>
      </c>
      <c r="BF1815">
        <v>0</v>
      </c>
      <c r="BG1815">
        <v>0</v>
      </c>
      <c r="BH1815">
        <v>4900</v>
      </c>
      <c r="BI1815">
        <v>200</v>
      </c>
      <c r="BJ1815">
        <v>1</v>
      </c>
      <c r="BK1815">
        <v>1</v>
      </c>
      <c r="BL1815">
        <v>1</v>
      </c>
      <c r="BM1815">
        <v>0</v>
      </c>
      <c r="BP1815">
        <v>0</v>
      </c>
      <c r="BQ1815">
        <v>0</v>
      </c>
      <c r="BX1815" t="str">
        <f>"14:20:36.906"</f>
        <v>14:20:36.906</v>
      </c>
      <c r="BY1815" t="str">
        <f>"902595322"</f>
        <v>902595322</v>
      </c>
      <c r="CL1815">
        <v>0</v>
      </c>
      <c r="CM1815">
        <v>2</v>
      </c>
      <c r="CN1815">
        <v>0</v>
      </c>
      <c r="CO1815">
        <v>2</v>
      </c>
      <c r="CP1815">
        <v>0</v>
      </c>
      <c r="CQ1815">
        <v>6</v>
      </c>
      <c r="CR1815" t="s">
        <v>116</v>
      </c>
      <c r="CS1815">
        <v>39</v>
      </c>
      <c r="CT1815">
        <v>2</v>
      </c>
      <c r="CU1815" t="s">
        <v>2259</v>
      </c>
      <c r="CV1815" t="s">
        <v>2260</v>
      </c>
      <c r="CY1815">
        <v>16200347</v>
      </c>
      <c r="CZ1815" t="s">
        <v>119</v>
      </c>
    </row>
    <row r="1816" spans="1:104" x14ac:dyDescent="0.25">
      <c r="A1816" t="str">
        <f>"14:20:38.023"</f>
        <v>14:20:38.023</v>
      </c>
      <c r="B1816" t="s">
        <v>108</v>
      </c>
      <c r="C1816" t="str">
        <f t="shared" si="85"/>
        <v>ffdfd3c0</v>
      </c>
      <c r="D1816" t="s">
        <v>109</v>
      </c>
      <c r="E1816">
        <v>4</v>
      </c>
      <c r="F1816">
        <v>1004</v>
      </c>
      <c r="G1816" t="s">
        <v>110</v>
      </c>
      <c r="J1816" t="s">
        <v>111</v>
      </c>
      <c r="K1816">
        <v>0</v>
      </c>
      <c r="L1816">
        <v>3</v>
      </c>
      <c r="M1816">
        <v>0</v>
      </c>
      <c r="N1816">
        <v>2</v>
      </c>
      <c r="O1816">
        <v>1</v>
      </c>
      <c r="P1816">
        <v>0</v>
      </c>
      <c r="Q1816">
        <v>0</v>
      </c>
      <c r="R1816" t="s">
        <v>112</v>
      </c>
      <c r="S1816" t="str">
        <f>"14:20:37.836"</f>
        <v>14:20:37.836</v>
      </c>
      <c r="T1816" t="str">
        <f>"14:20:37.438"</f>
        <v>14:20:37.438</v>
      </c>
      <c r="U1816" t="str">
        <f t="shared" si="84"/>
        <v>ad5732</v>
      </c>
      <c r="V1816">
        <v>0</v>
      </c>
      <c r="W1816">
        <v>0</v>
      </c>
      <c r="X1816">
        <v>1</v>
      </c>
      <c r="Z1816">
        <v>0</v>
      </c>
      <c r="AA1816">
        <v>9</v>
      </c>
      <c r="AB1816">
        <v>3</v>
      </c>
      <c r="AC1816">
        <v>0</v>
      </c>
      <c r="AD1816">
        <v>10</v>
      </c>
      <c r="AE1816">
        <v>0</v>
      </c>
      <c r="AF1816">
        <v>3</v>
      </c>
      <c r="AG1816">
        <v>2</v>
      </c>
      <c r="AH1816">
        <v>0</v>
      </c>
      <c r="AI1816" t="s">
        <v>3737</v>
      </c>
      <c r="AJ1816">
        <v>39.768405000000001</v>
      </c>
      <c r="AK1816" t="s">
        <v>3738</v>
      </c>
      <c r="AL1816">
        <v>-76.044188000000005</v>
      </c>
      <c r="AM1816">
        <v>100</v>
      </c>
      <c r="AN1816">
        <v>4700</v>
      </c>
      <c r="AO1816" t="s">
        <v>115</v>
      </c>
      <c r="AP1816">
        <v>157</v>
      </c>
      <c r="AQ1816">
        <v>80</v>
      </c>
      <c r="AR1816">
        <v>0</v>
      </c>
      <c r="AZ1816">
        <v>3614</v>
      </c>
      <c r="BA1816">
        <v>1</v>
      </c>
      <c r="BB1816" t="str">
        <f t="shared" si="86"/>
        <v xml:space="preserve">N959MJ  </v>
      </c>
      <c r="BC1816">
        <v>1</v>
      </c>
      <c r="BE1816">
        <v>0</v>
      </c>
      <c r="BF1816">
        <v>0</v>
      </c>
      <c r="BG1816">
        <v>0</v>
      </c>
      <c r="BH1816">
        <v>4900</v>
      </c>
      <c r="BI1816">
        <v>200</v>
      </c>
      <c r="BJ1816">
        <v>1</v>
      </c>
      <c r="BK1816">
        <v>1</v>
      </c>
      <c r="BL1816">
        <v>1</v>
      </c>
      <c r="BM1816">
        <v>0</v>
      </c>
      <c r="BP1816">
        <v>0</v>
      </c>
      <c r="BQ1816">
        <v>0</v>
      </c>
      <c r="BX1816" t="str">
        <f>"14:20:37.844"</f>
        <v>14:20:37.844</v>
      </c>
      <c r="BY1816" t="str">
        <f>"843052652"</f>
        <v>843052652</v>
      </c>
      <c r="CL1816">
        <v>0</v>
      </c>
      <c r="CM1816">
        <v>2</v>
      </c>
      <c r="CN1816">
        <v>0</v>
      </c>
      <c r="CO1816">
        <v>2</v>
      </c>
      <c r="CP1816">
        <v>0</v>
      </c>
      <c r="CQ1816">
        <v>7</v>
      </c>
      <c r="CR1816" t="s">
        <v>116</v>
      </c>
      <c r="CS1816">
        <v>39</v>
      </c>
      <c r="CT1816">
        <v>2</v>
      </c>
      <c r="CU1816" t="s">
        <v>2259</v>
      </c>
      <c r="CV1816" t="s">
        <v>2260</v>
      </c>
      <c r="CY1816">
        <v>16201878</v>
      </c>
      <c r="CZ1816" t="s">
        <v>119</v>
      </c>
    </row>
    <row r="1817" spans="1:104" x14ac:dyDescent="0.25">
      <c r="A1817" t="str">
        <f>"14:20:38.836"</f>
        <v>14:20:38.836</v>
      </c>
      <c r="B1817" t="s">
        <v>108</v>
      </c>
      <c r="C1817" t="str">
        <f t="shared" si="85"/>
        <v>ffdfd3c0</v>
      </c>
      <c r="D1817" t="s">
        <v>109</v>
      </c>
      <c r="E1817">
        <v>4</v>
      </c>
      <c r="F1817">
        <v>1004</v>
      </c>
      <c r="G1817" t="s">
        <v>110</v>
      </c>
      <c r="J1817" t="s">
        <v>111</v>
      </c>
      <c r="K1817">
        <v>0</v>
      </c>
      <c r="L1817">
        <v>3</v>
      </c>
      <c r="M1817">
        <v>0</v>
      </c>
      <c r="N1817">
        <v>2</v>
      </c>
      <c r="O1817">
        <v>1</v>
      </c>
      <c r="P1817">
        <v>0</v>
      </c>
      <c r="Q1817">
        <v>0</v>
      </c>
      <c r="R1817" t="s">
        <v>112</v>
      </c>
      <c r="S1817" t="str">
        <f>"14:20:38.672"</f>
        <v>14:20:38.672</v>
      </c>
      <c r="T1817" t="str">
        <f>"14:20:38.273"</f>
        <v>14:20:38.273</v>
      </c>
      <c r="U1817" t="str">
        <f t="shared" si="84"/>
        <v>ad5732</v>
      </c>
      <c r="V1817">
        <v>0</v>
      </c>
      <c r="W1817">
        <v>0</v>
      </c>
      <c r="X1817">
        <v>1</v>
      </c>
      <c r="Z1817">
        <v>0</v>
      </c>
      <c r="AA1817">
        <v>9</v>
      </c>
      <c r="AB1817">
        <v>3</v>
      </c>
      <c r="AC1817">
        <v>0</v>
      </c>
      <c r="AD1817">
        <v>10</v>
      </c>
      <c r="AE1817">
        <v>0</v>
      </c>
      <c r="AF1817">
        <v>3</v>
      </c>
      <c r="AG1817">
        <v>2</v>
      </c>
      <c r="AH1817">
        <v>0</v>
      </c>
      <c r="AI1817" t="s">
        <v>3739</v>
      </c>
      <c r="AJ1817">
        <v>39.768748000000002</v>
      </c>
      <c r="AK1817" t="s">
        <v>3740</v>
      </c>
      <c r="AL1817">
        <v>-76.043394000000006</v>
      </c>
      <c r="AM1817">
        <v>100</v>
      </c>
      <c r="AN1817">
        <v>4700</v>
      </c>
      <c r="AO1817" t="s">
        <v>115</v>
      </c>
      <c r="AP1817">
        <v>157</v>
      </c>
      <c r="AQ1817">
        <v>80</v>
      </c>
      <c r="AR1817">
        <v>0</v>
      </c>
      <c r="AZ1817">
        <v>3614</v>
      </c>
      <c r="BA1817">
        <v>1</v>
      </c>
      <c r="BB1817" t="str">
        <f t="shared" si="86"/>
        <v xml:space="preserve">N959MJ  </v>
      </c>
      <c r="BC1817">
        <v>1</v>
      </c>
      <c r="BE1817">
        <v>0</v>
      </c>
      <c r="BF1817">
        <v>0</v>
      </c>
      <c r="BG1817">
        <v>0</v>
      </c>
      <c r="BH1817">
        <v>4900</v>
      </c>
      <c r="BI1817">
        <v>200</v>
      </c>
      <c r="BJ1817">
        <v>1</v>
      </c>
      <c r="BK1817">
        <v>1</v>
      </c>
      <c r="BL1817">
        <v>1</v>
      </c>
      <c r="BM1817">
        <v>0</v>
      </c>
      <c r="BP1817">
        <v>0</v>
      </c>
      <c r="BQ1817">
        <v>0</v>
      </c>
      <c r="BX1817" t="str">
        <f>"14:20:38.672"</f>
        <v>14:20:38.672</v>
      </c>
      <c r="BY1817" t="str">
        <f>"675394838"</f>
        <v>675394838</v>
      </c>
      <c r="CL1817">
        <v>0</v>
      </c>
      <c r="CM1817">
        <v>2</v>
      </c>
      <c r="CN1817">
        <v>0</v>
      </c>
      <c r="CO1817">
        <v>2</v>
      </c>
      <c r="CP1817">
        <v>0</v>
      </c>
      <c r="CQ1817">
        <v>6</v>
      </c>
      <c r="CR1817" t="s">
        <v>116</v>
      </c>
      <c r="CS1817">
        <v>396</v>
      </c>
      <c r="CT1817">
        <v>1</v>
      </c>
      <c r="CU1817" t="s">
        <v>939</v>
      </c>
      <c r="CV1817" t="s">
        <v>940</v>
      </c>
      <c r="CY1817">
        <v>9548307</v>
      </c>
      <c r="CZ1817" t="s">
        <v>119</v>
      </c>
    </row>
    <row r="1818" spans="1:104" x14ac:dyDescent="0.25">
      <c r="A1818" t="str">
        <f>"14:20:39.789"</f>
        <v>14:20:39.789</v>
      </c>
      <c r="B1818" t="s">
        <v>108</v>
      </c>
      <c r="C1818" t="str">
        <f t="shared" si="85"/>
        <v>ffdfd3c0</v>
      </c>
      <c r="D1818" t="s">
        <v>109</v>
      </c>
      <c r="E1818">
        <v>4</v>
      </c>
      <c r="F1818">
        <v>1004</v>
      </c>
      <c r="G1818" t="s">
        <v>110</v>
      </c>
      <c r="J1818" t="s">
        <v>111</v>
      </c>
      <c r="K1818">
        <v>0</v>
      </c>
      <c r="L1818">
        <v>3</v>
      </c>
      <c r="M1818">
        <v>0</v>
      </c>
      <c r="N1818">
        <v>2</v>
      </c>
      <c r="O1818">
        <v>1</v>
      </c>
      <c r="P1818">
        <v>0</v>
      </c>
      <c r="Q1818">
        <v>0</v>
      </c>
      <c r="R1818" t="s">
        <v>112</v>
      </c>
      <c r="S1818" t="str">
        <f>"14:20:39.609"</f>
        <v>14:20:39.609</v>
      </c>
      <c r="T1818" t="str">
        <f>"14:20:39.211"</f>
        <v>14:20:39.211</v>
      </c>
      <c r="U1818" t="str">
        <f t="shared" si="84"/>
        <v>ad5732</v>
      </c>
      <c r="V1818">
        <v>0</v>
      </c>
      <c r="W1818">
        <v>0</v>
      </c>
      <c r="X1818">
        <v>1</v>
      </c>
      <c r="Z1818">
        <v>0</v>
      </c>
      <c r="AA1818">
        <v>9</v>
      </c>
      <c r="AB1818">
        <v>3</v>
      </c>
      <c r="AC1818">
        <v>0</v>
      </c>
      <c r="AD1818">
        <v>10</v>
      </c>
      <c r="AE1818">
        <v>0</v>
      </c>
      <c r="AF1818">
        <v>3</v>
      </c>
      <c r="AG1818">
        <v>2</v>
      </c>
      <c r="AH1818">
        <v>0</v>
      </c>
      <c r="AI1818" t="s">
        <v>3741</v>
      </c>
      <c r="AJ1818">
        <v>39.769112999999997</v>
      </c>
      <c r="AK1818" t="s">
        <v>3742</v>
      </c>
      <c r="AL1818">
        <v>-76.042471000000006</v>
      </c>
      <c r="AM1818">
        <v>100</v>
      </c>
      <c r="AN1818">
        <v>4700</v>
      </c>
      <c r="AO1818" t="s">
        <v>115</v>
      </c>
      <c r="AP1818">
        <v>157</v>
      </c>
      <c r="AQ1818">
        <v>79</v>
      </c>
      <c r="AR1818">
        <v>0</v>
      </c>
      <c r="AZ1818">
        <v>3614</v>
      </c>
      <c r="BA1818">
        <v>1</v>
      </c>
      <c r="BB1818" t="str">
        <f t="shared" si="86"/>
        <v xml:space="preserve">N959MJ  </v>
      </c>
      <c r="BC1818">
        <v>1</v>
      </c>
      <c r="BE1818">
        <v>0</v>
      </c>
      <c r="BF1818">
        <v>0</v>
      </c>
      <c r="BG1818">
        <v>0</v>
      </c>
      <c r="BH1818">
        <v>4900</v>
      </c>
      <c r="BI1818">
        <v>200</v>
      </c>
      <c r="BJ1818">
        <v>1</v>
      </c>
      <c r="BK1818">
        <v>1</v>
      </c>
      <c r="BL1818">
        <v>1</v>
      </c>
      <c r="BM1818">
        <v>0</v>
      </c>
      <c r="BP1818">
        <v>0</v>
      </c>
      <c r="BQ1818">
        <v>0</v>
      </c>
      <c r="BX1818" t="str">
        <f>"14:20:39.617"</f>
        <v>14:20:39.617</v>
      </c>
      <c r="BY1818" t="str">
        <f>"614192503"</f>
        <v>614192503</v>
      </c>
      <c r="CL1818">
        <v>0</v>
      </c>
      <c r="CM1818">
        <v>2</v>
      </c>
      <c r="CN1818">
        <v>0</v>
      </c>
      <c r="CO1818">
        <v>2</v>
      </c>
      <c r="CP1818">
        <v>0</v>
      </c>
      <c r="CQ1818">
        <v>6</v>
      </c>
      <c r="CR1818" t="s">
        <v>116</v>
      </c>
      <c r="CS1818">
        <v>39</v>
      </c>
      <c r="CT1818">
        <v>2</v>
      </c>
      <c r="CU1818" t="s">
        <v>2259</v>
      </c>
      <c r="CV1818" t="s">
        <v>2260</v>
      </c>
      <c r="CY1818">
        <v>16204744</v>
      </c>
      <c r="CZ1818" t="s">
        <v>119</v>
      </c>
    </row>
    <row r="1819" spans="1:104" x14ac:dyDescent="0.25">
      <c r="A1819" t="str">
        <f>"14:20:40.906"</f>
        <v>14:20:40.906</v>
      </c>
      <c r="B1819" t="s">
        <v>108</v>
      </c>
      <c r="C1819" t="str">
        <f t="shared" si="85"/>
        <v>ffdfd3c0</v>
      </c>
      <c r="D1819" t="s">
        <v>109</v>
      </c>
      <c r="E1819">
        <v>4</v>
      </c>
      <c r="F1819">
        <v>1004</v>
      </c>
      <c r="G1819" t="s">
        <v>110</v>
      </c>
      <c r="J1819" t="s">
        <v>111</v>
      </c>
      <c r="K1819">
        <v>0</v>
      </c>
      <c r="L1819">
        <v>3</v>
      </c>
      <c r="M1819">
        <v>0</v>
      </c>
      <c r="N1819">
        <v>2</v>
      </c>
      <c r="O1819">
        <v>1</v>
      </c>
      <c r="P1819">
        <v>0</v>
      </c>
      <c r="Q1819">
        <v>0</v>
      </c>
      <c r="R1819" t="s">
        <v>112</v>
      </c>
      <c r="S1819" t="str">
        <f>"14:20:40.742"</f>
        <v>14:20:40.742</v>
      </c>
      <c r="T1819" t="str">
        <f>"14:20:40.242"</f>
        <v>14:20:40.242</v>
      </c>
      <c r="U1819" t="str">
        <f t="shared" si="84"/>
        <v>ad5732</v>
      </c>
      <c r="V1819">
        <v>0</v>
      </c>
      <c r="W1819">
        <v>0</v>
      </c>
      <c r="X1819">
        <v>1</v>
      </c>
      <c r="Z1819">
        <v>0</v>
      </c>
      <c r="AA1819">
        <v>9</v>
      </c>
      <c r="AB1819">
        <v>3</v>
      </c>
      <c r="AC1819">
        <v>0</v>
      </c>
      <c r="AD1819">
        <v>10</v>
      </c>
      <c r="AE1819">
        <v>0</v>
      </c>
      <c r="AF1819">
        <v>3</v>
      </c>
      <c r="AG1819">
        <v>2</v>
      </c>
      <c r="AH1819">
        <v>0</v>
      </c>
      <c r="AI1819" t="s">
        <v>3743</v>
      </c>
      <c r="AJ1819">
        <v>39.769499000000003</v>
      </c>
      <c r="AK1819" t="s">
        <v>3744</v>
      </c>
      <c r="AL1819">
        <v>-76.041461999999996</v>
      </c>
      <c r="AM1819">
        <v>100</v>
      </c>
      <c r="AN1819">
        <v>4700</v>
      </c>
      <c r="AO1819" t="s">
        <v>115</v>
      </c>
      <c r="AP1819">
        <v>157</v>
      </c>
      <c r="AQ1819">
        <v>79</v>
      </c>
      <c r="AR1819">
        <v>0</v>
      </c>
      <c r="AZ1819">
        <v>3614</v>
      </c>
      <c r="BA1819">
        <v>1</v>
      </c>
      <c r="BB1819" t="str">
        <f t="shared" si="86"/>
        <v xml:space="preserve">N959MJ  </v>
      </c>
      <c r="BC1819">
        <v>1</v>
      </c>
      <c r="BE1819">
        <v>0</v>
      </c>
      <c r="BF1819">
        <v>0</v>
      </c>
      <c r="BG1819">
        <v>0</v>
      </c>
      <c r="BH1819">
        <v>4900</v>
      </c>
      <c r="BI1819">
        <v>200</v>
      </c>
      <c r="BJ1819">
        <v>1</v>
      </c>
      <c r="BK1819">
        <v>1</v>
      </c>
      <c r="BL1819">
        <v>1</v>
      </c>
      <c r="BM1819">
        <v>0</v>
      </c>
      <c r="BP1819">
        <v>0</v>
      </c>
      <c r="BQ1819">
        <v>0</v>
      </c>
      <c r="BX1819" t="str">
        <f>"14:20:40.742"</f>
        <v>14:20:40.742</v>
      </c>
      <c r="BY1819" t="str">
        <f>"744729601"</f>
        <v>744729601</v>
      </c>
      <c r="CL1819">
        <v>0</v>
      </c>
      <c r="CM1819">
        <v>2</v>
      </c>
      <c r="CN1819">
        <v>0</v>
      </c>
      <c r="CO1819">
        <v>2</v>
      </c>
      <c r="CP1819">
        <v>0</v>
      </c>
      <c r="CQ1819">
        <v>6</v>
      </c>
      <c r="CR1819" t="s">
        <v>116</v>
      </c>
      <c r="CS1819">
        <v>396</v>
      </c>
      <c r="CT1819">
        <v>1</v>
      </c>
      <c r="CU1819" t="s">
        <v>939</v>
      </c>
      <c r="CV1819" t="s">
        <v>940</v>
      </c>
      <c r="CY1819">
        <v>9552029</v>
      </c>
      <c r="CZ1819" t="s">
        <v>119</v>
      </c>
    </row>
    <row r="1820" spans="1:104" x14ac:dyDescent="0.25">
      <c r="A1820" t="str">
        <f>"14:20:42.016"</f>
        <v>14:20:42.016</v>
      </c>
      <c r="B1820" t="s">
        <v>108</v>
      </c>
      <c r="C1820" t="str">
        <f t="shared" si="85"/>
        <v>ffdfd3c0</v>
      </c>
      <c r="D1820" t="s">
        <v>109</v>
      </c>
      <c r="E1820">
        <v>4</v>
      </c>
      <c r="F1820">
        <v>1004</v>
      </c>
      <c r="G1820" t="s">
        <v>110</v>
      </c>
      <c r="J1820" t="s">
        <v>111</v>
      </c>
      <c r="K1820">
        <v>0</v>
      </c>
      <c r="L1820">
        <v>3</v>
      </c>
      <c r="M1820">
        <v>0</v>
      </c>
      <c r="N1820">
        <v>2</v>
      </c>
      <c r="O1820">
        <v>1</v>
      </c>
      <c r="P1820">
        <v>0</v>
      </c>
      <c r="Q1820">
        <v>0</v>
      </c>
      <c r="R1820" t="s">
        <v>112</v>
      </c>
      <c r="S1820" t="str">
        <f>"14:20:41.813"</f>
        <v>14:20:41.813</v>
      </c>
      <c r="T1820" t="str">
        <f>"14:20:41.313"</f>
        <v>14:20:41.313</v>
      </c>
      <c r="U1820" t="str">
        <f t="shared" si="84"/>
        <v>ad5732</v>
      </c>
      <c r="V1820">
        <v>0</v>
      </c>
      <c r="W1820">
        <v>0</v>
      </c>
      <c r="X1820">
        <v>1</v>
      </c>
      <c r="Z1820">
        <v>0</v>
      </c>
      <c r="AA1820">
        <v>9</v>
      </c>
      <c r="AB1820">
        <v>3</v>
      </c>
      <c r="AC1820">
        <v>0</v>
      </c>
      <c r="AD1820">
        <v>10</v>
      </c>
      <c r="AE1820">
        <v>0</v>
      </c>
      <c r="AF1820">
        <v>3</v>
      </c>
      <c r="AG1820">
        <v>2</v>
      </c>
      <c r="AH1820">
        <v>0</v>
      </c>
      <c r="AI1820" t="s">
        <v>3745</v>
      </c>
      <c r="AJ1820">
        <v>39.769907000000003</v>
      </c>
      <c r="AK1820" t="s">
        <v>3746</v>
      </c>
      <c r="AL1820">
        <v>-76.040411000000006</v>
      </c>
      <c r="AM1820">
        <v>100</v>
      </c>
      <c r="AN1820">
        <v>4700</v>
      </c>
      <c r="AO1820" t="s">
        <v>115</v>
      </c>
      <c r="AP1820">
        <v>157</v>
      </c>
      <c r="AQ1820">
        <v>79</v>
      </c>
      <c r="AR1820">
        <v>0</v>
      </c>
      <c r="AZ1820">
        <v>3614</v>
      </c>
      <c r="BA1820">
        <v>1</v>
      </c>
      <c r="BB1820" t="str">
        <f t="shared" si="86"/>
        <v xml:space="preserve">N959MJ  </v>
      </c>
      <c r="BC1820">
        <v>1</v>
      </c>
      <c r="BE1820">
        <v>0</v>
      </c>
      <c r="BF1820">
        <v>0</v>
      </c>
      <c r="BG1820">
        <v>0</v>
      </c>
      <c r="BH1820">
        <v>4900</v>
      </c>
      <c r="BI1820">
        <v>200</v>
      </c>
      <c r="BJ1820">
        <v>1</v>
      </c>
      <c r="BK1820">
        <v>1</v>
      </c>
      <c r="BL1820">
        <v>1</v>
      </c>
      <c r="BM1820">
        <v>0</v>
      </c>
      <c r="BP1820">
        <v>0</v>
      </c>
      <c r="BQ1820">
        <v>0</v>
      </c>
      <c r="BX1820" t="str">
        <f>"14:20:41.820"</f>
        <v>14:20:41.820</v>
      </c>
      <c r="BY1820" t="str">
        <f>"819515662"</f>
        <v>819515662</v>
      </c>
      <c r="CL1820">
        <v>0</v>
      </c>
      <c r="CM1820">
        <v>2</v>
      </c>
      <c r="CN1820">
        <v>0</v>
      </c>
      <c r="CO1820">
        <v>2</v>
      </c>
      <c r="CP1820">
        <v>0</v>
      </c>
      <c r="CQ1820">
        <v>6</v>
      </c>
      <c r="CR1820" t="s">
        <v>116</v>
      </c>
      <c r="CS1820">
        <v>39</v>
      </c>
      <c r="CT1820">
        <v>2</v>
      </c>
      <c r="CU1820" t="s">
        <v>2259</v>
      </c>
      <c r="CV1820" t="s">
        <v>2260</v>
      </c>
      <c r="CY1820">
        <v>16208178</v>
      </c>
      <c r="CZ1820" t="s">
        <v>119</v>
      </c>
    </row>
    <row r="1821" spans="1:104" x14ac:dyDescent="0.25">
      <c r="A1821" t="str">
        <f>"14:20:42.977"</f>
        <v>14:20:42.977</v>
      </c>
      <c r="B1821" t="s">
        <v>108</v>
      </c>
      <c r="C1821" t="str">
        <f t="shared" si="85"/>
        <v>ffdfd3c0</v>
      </c>
      <c r="D1821" t="s">
        <v>109</v>
      </c>
      <c r="E1821">
        <v>4</v>
      </c>
      <c r="F1821">
        <v>1004</v>
      </c>
      <c r="G1821" t="s">
        <v>110</v>
      </c>
      <c r="J1821" t="s">
        <v>111</v>
      </c>
      <c r="K1821">
        <v>0</v>
      </c>
      <c r="L1821">
        <v>3</v>
      </c>
      <c r="M1821">
        <v>0</v>
      </c>
      <c r="N1821">
        <v>2</v>
      </c>
      <c r="O1821">
        <v>1</v>
      </c>
      <c r="P1821">
        <v>0</v>
      </c>
      <c r="Q1821">
        <v>0</v>
      </c>
      <c r="R1821" t="s">
        <v>112</v>
      </c>
      <c r="S1821" t="str">
        <f>"14:20:42.789"</f>
        <v>14:20:42.789</v>
      </c>
      <c r="T1821" t="str">
        <f>"14:20:42.289"</f>
        <v>14:20:42.289</v>
      </c>
      <c r="U1821" t="str">
        <f t="shared" si="84"/>
        <v>ad5732</v>
      </c>
      <c r="V1821">
        <v>0</v>
      </c>
      <c r="W1821">
        <v>0</v>
      </c>
      <c r="X1821">
        <v>1</v>
      </c>
      <c r="Z1821">
        <v>0</v>
      </c>
      <c r="AA1821">
        <v>9</v>
      </c>
      <c r="AB1821">
        <v>3</v>
      </c>
      <c r="AC1821">
        <v>0</v>
      </c>
      <c r="AD1821">
        <v>10</v>
      </c>
      <c r="AE1821">
        <v>0</v>
      </c>
      <c r="AF1821">
        <v>3</v>
      </c>
      <c r="AG1821">
        <v>2</v>
      </c>
      <c r="AH1821">
        <v>0</v>
      </c>
      <c r="AI1821" t="s">
        <v>3747</v>
      </c>
      <c r="AJ1821">
        <v>39.770229</v>
      </c>
      <c r="AK1821" t="s">
        <v>3748</v>
      </c>
      <c r="AL1821">
        <v>-76.039530999999997</v>
      </c>
      <c r="AM1821">
        <v>100</v>
      </c>
      <c r="AN1821">
        <v>4700</v>
      </c>
      <c r="AO1821" t="s">
        <v>115</v>
      </c>
      <c r="AP1821">
        <v>157</v>
      </c>
      <c r="AQ1821">
        <v>79</v>
      </c>
      <c r="AR1821">
        <v>0</v>
      </c>
      <c r="AZ1821">
        <v>3614</v>
      </c>
      <c r="BA1821">
        <v>1</v>
      </c>
      <c r="BB1821" t="str">
        <f t="shared" si="86"/>
        <v xml:space="preserve">N959MJ  </v>
      </c>
      <c r="BC1821">
        <v>1</v>
      </c>
      <c r="BE1821">
        <v>0</v>
      </c>
      <c r="BF1821">
        <v>0</v>
      </c>
      <c r="BG1821">
        <v>0</v>
      </c>
      <c r="BH1821">
        <v>4900</v>
      </c>
      <c r="BI1821">
        <v>200</v>
      </c>
      <c r="BJ1821">
        <v>1</v>
      </c>
      <c r="BK1821">
        <v>1</v>
      </c>
      <c r="BL1821">
        <v>1</v>
      </c>
      <c r="BM1821">
        <v>0</v>
      </c>
      <c r="BP1821">
        <v>0</v>
      </c>
      <c r="BQ1821">
        <v>0</v>
      </c>
      <c r="BX1821" t="str">
        <f>"14:20:42.789"</f>
        <v>14:20:42.789</v>
      </c>
      <c r="BY1821" t="str">
        <f>"792764678"</f>
        <v>792764678</v>
      </c>
      <c r="CL1821">
        <v>0</v>
      </c>
      <c r="CM1821">
        <v>2</v>
      </c>
      <c r="CN1821">
        <v>0</v>
      </c>
      <c r="CO1821">
        <v>2</v>
      </c>
      <c r="CP1821">
        <v>0</v>
      </c>
      <c r="CQ1821">
        <v>6</v>
      </c>
      <c r="CR1821" t="s">
        <v>116</v>
      </c>
      <c r="CS1821">
        <v>396</v>
      </c>
      <c r="CT1821">
        <v>1</v>
      </c>
      <c r="CU1821" t="s">
        <v>939</v>
      </c>
      <c r="CV1821" t="s">
        <v>940</v>
      </c>
      <c r="CY1821">
        <v>9555621</v>
      </c>
      <c r="CZ1821" t="s">
        <v>119</v>
      </c>
    </row>
    <row r="1822" spans="1:104" x14ac:dyDescent="0.25">
      <c r="A1822" t="str">
        <f>"14:20:44.031"</f>
        <v>14:20:44.031</v>
      </c>
      <c r="B1822" t="s">
        <v>108</v>
      </c>
      <c r="C1822" t="str">
        <f t="shared" si="85"/>
        <v>ffdfd3c0</v>
      </c>
      <c r="D1822" t="s">
        <v>109</v>
      </c>
      <c r="E1822">
        <v>4</v>
      </c>
      <c r="F1822">
        <v>1004</v>
      </c>
      <c r="G1822" t="s">
        <v>110</v>
      </c>
      <c r="J1822" t="s">
        <v>111</v>
      </c>
      <c r="K1822">
        <v>0</v>
      </c>
      <c r="L1822">
        <v>3</v>
      </c>
      <c r="M1822">
        <v>0</v>
      </c>
      <c r="N1822">
        <v>2</v>
      </c>
      <c r="O1822">
        <v>1</v>
      </c>
      <c r="P1822">
        <v>0</v>
      </c>
      <c r="Q1822">
        <v>0</v>
      </c>
      <c r="R1822" t="s">
        <v>112</v>
      </c>
      <c r="S1822" t="str">
        <f>"14:20:43.836"</f>
        <v>14:20:43.836</v>
      </c>
      <c r="T1822" t="str">
        <f>"14:20:43.438"</f>
        <v>14:20:43.438</v>
      </c>
      <c r="U1822" t="str">
        <f t="shared" si="84"/>
        <v>ad5732</v>
      </c>
      <c r="V1822">
        <v>0</v>
      </c>
      <c r="W1822">
        <v>0</v>
      </c>
      <c r="X1822">
        <v>1</v>
      </c>
      <c r="Z1822">
        <v>0</v>
      </c>
      <c r="AA1822">
        <v>9</v>
      </c>
      <c r="AB1822">
        <v>3</v>
      </c>
      <c r="AC1822">
        <v>0</v>
      </c>
      <c r="AD1822">
        <v>10</v>
      </c>
      <c r="AE1822">
        <v>0</v>
      </c>
      <c r="AF1822">
        <v>3</v>
      </c>
      <c r="AG1822">
        <v>2</v>
      </c>
      <c r="AH1822">
        <v>0</v>
      </c>
      <c r="AI1822" t="s">
        <v>3749</v>
      </c>
      <c r="AJ1822">
        <v>39.770657999999997</v>
      </c>
      <c r="AK1822" t="s">
        <v>3750</v>
      </c>
      <c r="AL1822">
        <v>-76.038522999999998</v>
      </c>
      <c r="AM1822">
        <v>100</v>
      </c>
      <c r="AN1822">
        <v>4700</v>
      </c>
      <c r="AO1822" t="s">
        <v>115</v>
      </c>
      <c r="AP1822">
        <v>157</v>
      </c>
      <c r="AQ1822">
        <v>79</v>
      </c>
      <c r="AR1822">
        <v>0</v>
      </c>
      <c r="AZ1822">
        <v>3614</v>
      </c>
      <c r="BA1822">
        <v>1</v>
      </c>
      <c r="BB1822" t="str">
        <f t="shared" si="86"/>
        <v xml:space="preserve">N959MJ  </v>
      </c>
      <c r="BC1822">
        <v>1</v>
      </c>
      <c r="BE1822">
        <v>0</v>
      </c>
      <c r="BF1822">
        <v>0</v>
      </c>
      <c r="BG1822">
        <v>0</v>
      </c>
      <c r="BH1822">
        <v>4900</v>
      </c>
      <c r="BI1822">
        <v>200</v>
      </c>
      <c r="BJ1822">
        <v>1</v>
      </c>
      <c r="BK1822">
        <v>1</v>
      </c>
      <c r="BL1822">
        <v>1</v>
      </c>
      <c r="BM1822">
        <v>0</v>
      </c>
      <c r="BP1822">
        <v>0</v>
      </c>
      <c r="BQ1822">
        <v>0</v>
      </c>
      <c r="BX1822" t="str">
        <f>"14:20:43.836"</f>
        <v>14:20:43.836</v>
      </c>
      <c r="BY1822" t="str">
        <f>"838058114"</f>
        <v>838058114</v>
      </c>
      <c r="CL1822">
        <v>0</v>
      </c>
      <c r="CM1822">
        <v>2</v>
      </c>
      <c r="CN1822">
        <v>0</v>
      </c>
      <c r="CO1822">
        <v>2</v>
      </c>
      <c r="CP1822">
        <v>0</v>
      </c>
      <c r="CQ1822">
        <v>6</v>
      </c>
      <c r="CR1822" t="s">
        <v>116</v>
      </c>
      <c r="CS1822">
        <v>39</v>
      </c>
      <c r="CT1822">
        <v>2</v>
      </c>
      <c r="CU1822" t="s">
        <v>2259</v>
      </c>
      <c r="CV1822" t="s">
        <v>2260</v>
      </c>
      <c r="CY1822">
        <v>16211430</v>
      </c>
      <c r="CZ1822" t="s">
        <v>119</v>
      </c>
    </row>
    <row r="1823" spans="1:104" x14ac:dyDescent="0.25">
      <c r="A1823" t="str">
        <f>"14:20:44.992"</f>
        <v>14:20:44.992</v>
      </c>
      <c r="B1823" t="s">
        <v>108</v>
      </c>
      <c r="C1823" t="str">
        <f t="shared" si="85"/>
        <v>ffdfd3c0</v>
      </c>
      <c r="D1823" t="s">
        <v>109</v>
      </c>
      <c r="E1823">
        <v>4</v>
      </c>
      <c r="F1823">
        <v>1004</v>
      </c>
      <c r="G1823" t="s">
        <v>110</v>
      </c>
      <c r="J1823" t="s">
        <v>111</v>
      </c>
      <c r="K1823">
        <v>0</v>
      </c>
      <c r="L1823">
        <v>3</v>
      </c>
      <c r="M1823">
        <v>0</v>
      </c>
      <c r="N1823">
        <v>2</v>
      </c>
      <c r="O1823">
        <v>1</v>
      </c>
      <c r="P1823">
        <v>0</v>
      </c>
      <c r="Q1823">
        <v>0</v>
      </c>
      <c r="R1823" t="s">
        <v>112</v>
      </c>
      <c r="S1823" t="str">
        <f>"14:20:44.813"</f>
        <v>14:20:44.813</v>
      </c>
      <c r="T1823" t="str">
        <f>"14:20:44.313"</f>
        <v>14:20:44.313</v>
      </c>
      <c r="U1823" t="str">
        <f t="shared" si="84"/>
        <v>ad5732</v>
      </c>
      <c r="V1823">
        <v>0</v>
      </c>
      <c r="W1823">
        <v>0</v>
      </c>
      <c r="X1823">
        <v>1</v>
      </c>
      <c r="Z1823">
        <v>0</v>
      </c>
      <c r="AA1823">
        <v>9</v>
      </c>
      <c r="AB1823">
        <v>3</v>
      </c>
      <c r="AC1823">
        <v>0</v>
      </c>
      <c r="AD1823">
        <v>10</v>
      </c>
      <c r="AE1823">
        <v>0</v>
      </c>
      <c r="AF1823">
        <v>3</v>
      </c>
      <c r="AG1823">
        <v>2</v>
      </c>
      <c r="AH1823">
        <v>0</v>
      </c>
      <c r="AI1823" t="s">
        <v>3751</v>
      </c>
      <c r="AJ1823">
        <v>39.771023</v>
      </c>
      <c r="AK1823" t="s">
        <v>3752</v>
      </c>
      <c r="AL1823">
        <v>-76.037599999999998</v>
      </c>
      <c r="AM1823">
        <v>100</v>
      </c>
      <c r="AN1823">
        <v>4700</v>
      </c>
      <c r="AO1823" t="s">
        <v>115</v>
      </c>
      <c r="AP1823">
        <v>157</v>
      </c>
      <c r="AQ1823">
        <v>79</v>
      </c>
      <c r="AR1823">
        <v>0</v>
      </c>
      <c r="AZ1823">
        <v>3614</v>
      </c>
      <c r="BA1823">
        <v>1</v>
      </c>
      <c r="BB1823" t="str">
        <f t="shared" si="86"/>
        <v xml:space="preserve">N959MJ  </v>
      </c>
      <c r="BC1823">
        <v>1</v>
      </c>
      <c r="BE1823">
        <v>0</v>
      </c>
      <c r="BF1823">
        <v>0</v>
      </c>
      <c r="BG1823">
        <v>0</v>
      </c>
      <c r="BH1823">
        <v>4900</v>
      </c>
      <c r="BI1823">
        <v>200</v>
      </c>
      <c r="BJ1823">
        <v>1</v>
      </c>
      <c r="BK1823">
        <v>1</v>
      </c>
      <c r="BL1823">
        <v>1</v>
      </c>
      <c r="BM1823">
        <v>0</v>
      </c>
      <c r="BP1823">
        <v>0</v>
      </c>
      <c r="BQ1823">
        <v>0</v>
      </c>
      <c r="BX1823" t="str">
        <f>"14:20:44.813"</f>
        <v>14:20:44.813</v>
      </c>
      <c r="BY1823" t="str">
        <f>"814584968"</f>
        <v>814584968</v>
      </c>
      <c r="CL1823">
        <v>0</v>
      </c>
      <c r="CM1823">
        <v>2</v>
      </c>
      <c r="CN1823">
        <v>0</v>
      </c>
      <c r="CO1823">
        <v>2</v>
      </c>
      <c r="CP1823">
        <v>0</v>
      </c>
      <c r="CQ1823">
        <v>6</v>
      </c>
      <c r="CR1823" t="s">
        <v>116</v>
      </c>
      <c r="CS1823">
        <v>396</v>
      </c>
      <c r="CT1823">
        <v>1</v>
      </c>
      <c r="CU1823" t="s">
        <v>939</v>
      </c>
      <c r="CV1823" t="s">
        <v>940</v>
      </c>
      <c r="CY1823">
        <v>9559248</v>
      </c>
      <c r="CZ1823" t="s">
        <v>119</v>
      </c>
    </row>
    <row r="1824" spans="1:104" x14ac:dyDescent="0.25">
      <c r="A1824" t="str">
        <f>"14:20:45.898"</f>
        <v>14:20:45.898</v>
      </c>
      <c r="B1824" t="s">
        <v>108</v>
      </c>
      <c r="C1824" t="str">
        <f t="shared" si="85"/>
        <v>ffdfd3c0</v>
      </c>
      <c r="D1824" t="s">
        <v>109</v>
      </c>
      <c r="E1824">
        <v>4</v>
      </c>
      <c r="F1824">
        <v>1004</v>
      </c>
      <c r="G1824" t="s">
        <v>110</v>
      </c>
      <c r="J1824" t="s">
        <v>111</v>
      </c>
      <c r="K1824">
        <v>0</v>
      </c>
      <c r="L1824">
        <v>3</v>
      </c>
      <c r="M1824">
        <v>0</v>
      </c>
      <c r="N1824">
        <v>2</v>
      </c>
      <c r="O1824">
        <v>1</v>
      </c>
      <c r="P1824">
        <v>0</v>
      </c>
      <c r="Q1824">
        <v>0</v>
      </c>
      <c r="R1824" t="s">
        <v>112</v>
      </c>
      <c r="S1824" t="str">
        <f>"14:20:45.703"</f>
        <v>14:20:45.703</v>
      </c>
      <c r="T1824" t="str">
        <f>"14:20:45.305"</f>
        <v>14:20:45.305</v>
      </c>
      <c r="U1824" t="str">
        <f t="shared" si="84"/>
        <v>ad5732</v>
      </c>
      <c r="V1824">
        <v>0</v>
      </c>
      <c r="W1824">
        <v>0</v>
      </c>
      <c r="X1824">
        <v>1</v>
      </c>
      <c r="Z1824">
        <v>0</v>
      </c>
      <c r="AA1824">
        <v>9</v>
      </c>
      <c r="AB1824">
        <v>3</v>
      </c>
      <c r="AC1824">
        <v>0</v>
      </c>
      <c r="AD1824">
        <v>10</v>
      </c>
      <c r="AE1824">
        <v>0</v>
      </c>
      <c r="AF1824">
        <v>3</v>
      </c>
      <c r="AG1824">
        <v>2</v>
      </c>
      <c r="AH1824">
        <v>0</v>
      </c>
      <c r="AI1824" t="s">
        <v>3753</v>
      </c>
      <c r="AJ1824">
        <v>39.771323000000002</v>
      </c>
      <c r="AK1824" t="s">
        <v>3754</v>
      </c>
      <c r="AL1824">
        <v>-76.036742000000004</v>
      </c>
      <c r="AM1824">
        <v>100</v>
      </c>
      <c r="AN1824">
        <v>4700</v>
      </c>
      <c r="AO1824" t="s">
        <v>115</v>
      </c>
      <c r="AP1824">
        <v>157</v>
      </c>
      <c r="AQ1824">
        <v>79</v>
      </c>
      <c r="AR1824">
        <v>0</v>
      </c>
      <c r="AZ1824">
        <v>3614</v>
      </c>
      <c r="BA1824">
        <v>1</v>
      </c>
      <c r="BB1824" t="str">
        <f t="shared" si="86"/>
        <v xml:space="preserve">N959MJ  </v>
      </c>
      <c r="BC1824">
        <v>1</v>
      </c>
      <c r="BE1824">
        <v>0</v>
      </c>
      <c r="BF1824">
        <v>0</v>
      </c>
      <c r="BG1824">
        <v>0</v>
      </c>
      <c r="BH1824">
        <v>4900</v>
      </c>
      <c r="BI1824">
        <v>200</v>
      </c>
      <c r="BJ1824">
        <v>1</v>
      </c>
      <c r="BK1824">
        <v>1</v>
      </c>
      <c r="BL1824">
        <v>1</v>
      </c>
      <c r="BM1824">
        <v>0</v>
      </c>
      <c r="BP1824">
        <v>0</v>
      </c>
      <c r="BQ1824">
        <v>0</v>
      </c>
      <c r="BX1824" t="str">
        <f>"14:20:45.703"</f>
        <v>14:20:45.703</v>
      </c>
      <c r="BY1824" t="str">
        <f>"705865327"</f>
        <v>705865327</v>
      </c>
      <c r="CL1824">
        <v>0</v>
      </c>
      <c r="CM1824">
        <v>2</v>
      </c>
      <c r="CN1824">
        <v>0</v>
      </c>
      <c r="CO1824">
        <v>2</v>
      </c>
      <c r="CP1824">
        <v>0</v>
      </c>
      <c r="CQ1824">
        <v>6</v>
      </c>
      <c r="CR1824" t="s">
        <v>116</v>
      </c>
      <c r="CS1824">
        <v>39</v>
      </c>
      <c r="CT1824">
        <v>2</v>
      </c>
      <c r="CU1824" t="s">
        <v>2259</v>
      </c>
      <c r="CV1824" t="s">
        <v>2260</v>
      </c>
      <c r="CY1824">
        <v>16214310</v>
      </c>
      <c r="CZ1824" t="s">
        <v>119</v>
      </c>
    </row>
    <row r="1825" spans="1:104" x14ac:dyDescent="0.25">
      <c r="A1825" t="str">
        <f>"14:20:47.063"</f>
        <v>14:20:47.063</v>
      </c>
      <c r="B1825" t="s">
        <v>108</v>
      </c>
      <c r="C1825" t="str">
        <f t="shared" si="85"/>
        <v>ffdfd3c0</v>
      </c>
      <c r="D1825" t="s">
        <v>109</v>
      </c>
      <c r="E1825">
        <v>4</v>
      </c>
      <c r="F1825">
        <v>1004</v>
      </c>
      <c r="G1825" t="s">
        <v>110</v>
      </c>
      <c r="J1825" t="s">
        <v>111</v>
      </c>
      <c r="K1825">
        <v>0</v>
      </c>
      <c r="L1825">
        <v>3</v>
      </c>
      <c r="M1825">
        <v>0</v>
      </c>
      <c r="N1825">
        <v>2</v>
      </c>
      <c r="O1825">
        <v>1</v>
      </c>
      <c r="P1825">
        <v>0</v>
      </c>
      <c r="Q1825">
        <v>0</v>
      </c>
      <c r="R1825" t="s">
        <v>112</v>
      </c>
      <c r="S1825" t="str">
        <f>"14:20:46.875"</f>
        <v>14:20:46.875</v>
      </c>
      <c r="T1825" t="str">
        <f>"14:20:46.375"</f>
        <v>14:20:46.375</v>
      </c>
      <c r="U1825" t="str">
        <f t="shared" si="84"/>
        <v>ad5732</v>
      </c>
      <c r="V1825">
        <v>0</v>
      </c>
      <c r="W1825">
        <v>0</v>
      </c>
      <c r="X1825">
        <v>1</v>
      </c>
      <c r="Z1825">
        <v>0</v>
      </c>
      <c r="AA1825">
        <v>9</v>
      </c>
      <c r="AB1825">
        <v>3</v>
      </c>
      <c r="AC1825">
        <v>0</v>
      </c>
      <c r="AD1825">
        <v>10</v>
      </c>
      <c r="AE1825">
        <v>0</v>
      </c>
      <c r="AF1825">
        <v>3</v>
      </c>
      <c r="AG1825">
        <v>2</v>
      </c>
      <c r="AH1825">
        <v>0</v>
      </c>
      <c r="AI1825" t="s">
        <v>3755</v>
      </c>
      <c r="AJ1825">
        <v>39.771774000000001</v>
      </c>
      <c r="AK1825" t="s">
        <v>3756</v>
      </c>
      <c r="AL1825">
        <v>-76.035646999999997</v>
      </c>
      <c r="AM1825">
        <v>100</v>
      </c>
      <c r="AN1825">
        <v>4700</v>
      </c>
      <c r="AO1825" t="s">
        <v>115</v>
      </c>
      <c r="AP1825">
        <v>157</v>
      </c>
      <c r="AQ1825">
        <v>79</v>
      </c>
      <c r="AR1825">
        <v>0</v>
      </c>
      <c r="AZ1825">
        <v>3614</v>
      </c>
      <c r="BA1825">
        <v>1</v>
      </c>
      <c r="BB1825" t="str">
        <f t="shared" si="86"/>
        <v xml:space="preserve">N959MJ  </v>
      </c>
      <c r="BC1825">
        <v>1</v>
      </c>
      <c r="BE1825">
        <v>0</v>
      </c>
      <c r="BF1825">
        <v>0</v>
      </c>
      <c r="BG1825">
        <v>0</v>
      </c>
      <c r="BH1825">
        <v>4900</v>
      </c>
      <c r="BI1825">
        <v>200</v>
      </c>
      <c r="BJ1825">
        <v>1</v>
      </c>
      <c r="BK1825">
        <v>1</v>
      </c>
      <c r="BL1825">
        <v>1</v>
      </c>
      <c r="BM1825">
        <v>0</v>
      </c>
      <c r="BP1825">
        <v>0</v>
      </c>
      <c r="BQ1825">
        <v>0</v>
      </c>
      <c r="BX1825" t="str">
        <f>"14:20:46.875"</f>
        <v>14:20:46.875</v>
      </c>
      <c r="BY1825" t="str">
        <f>"877340754"</f>
        <v>877340754</v>
      </c>
      <c r="CL1825">
        <v>0</v>
      </c>
      <c r="CM1825">
        <v>2</v>
      </c>
      <c r="CN1825">
        <v>0</v>
      </c>
      <c r="CO1825">
        <v>2</v>
      </c>
      <c r="CP1825">
        <v>0</v>
      </c>
      <c r="CQ1825">
        <v>6</v>
      </c>
      <c r="CR1825" t="s">
        <v>116</v>
      </c>
      <c r="CS1825">
        <v>39</v>
      </c>
      <c r="CT1825">
        <v>2</v>
      </c>
      <c r="CU1825" t="s">
        <v>2259</v>
      </c>
      <c r="CV1825" t="s">
        <v>2260</v>
      </c>
      <c r="CY1825">
        <v>16216119</v>
      </c>
      <c r="CZ1825" t="s">
        <v>119</v>
      </c>
    </row>
    <row r="1826" spans="1:104" x14ac:dyDescent="0.25">
      <c r="A1826" t="str">
        <f>"14:20:47.969"</f>
        <v>14:20:47.969</v>
      </c>
      <c r="B1826" t="s">
        <v>108</v>
      </c>
      <c r="C1826" t="str">
        <f t="shared" si="85"/>
        <v>ffdfd3c0</v>
      </c>
      <c r="D1826" t="s">
        <v>109</v>
      </c>
      <c r="E1826">
        <v>4</v>
      </c>
      <c r="F1826">
        <v>1004</v>
      </c>
      <c r="G1826" t="s">
        <v>110</v>
      </c>
      <c r="J1826" t="s">
        <v>111</v>
      </c>
      <c r="K1826">
        <v>0</v>
      </c>
      <c r="L1826">
        <v>3</v>
      </c>
      <c r="M1826">
        <v>0</v>
      </c>
      <c r="N1826">
        <v>2</v>
      </c>
      <c r="O1826">
        <v>1</v>
      </c>
      <c r="P1826">
        <v>0</v>
      </c>
      <c r="Q1826">
        <v>0</v>
      </c>
      <c r="R1826" t="s">
        <v>112</v>
      </c>
      <c r="S1826" t="str">
        <f>"14:20:47.797"</f>
        <v>14:20:47.797</v>
      </c>
      <c r="T1826" t="str">
        <f>"14:20:47.398"</f>
        <v>14:20:47.398</v>
      </c>
      <c r="U1826" t="str">
        <f t="shared" si="84"/>
        <v>ad5732</v>
      </c>
      <c r="V1826">
        <v>0</v>
      </c>
      <c r="W1826">
        <v>0</v>
      </c>
      <c r="X1826">
        <v>1</v>
      </c>
      <c r="Z1826">
        <v>0</v>
      </c>
      <c r="AA1826">
        <v>9</v>
      </c>
      <c r="AB1826">
        <v>3</v>
      </c>
      <c r="AC1826">
        <v>0</v>
      </c>
      <c r="AD1826">
        <v>10</v>
      </c>
      <c r="AE1826">
        <v>0</v>
      </c>
      <c r="AF1826">
        <v>3</v>
      </c>
      <c r="AG1826">
        <v>2</v>
      </c>
      <c r="AH1826">
        <v>0</v>
      </c>
      <c r="AI1826" t="s">
        <v>3757</v>
      </c>
      <c r="AJ1826">
        <v>39.772095999999998</v>
      </c>
      <c r="AK1826" t="s">
        <v>3758</v>
      </c>
      <c r="AL1826">
        <v>-76.034724999999995</v>
      </c>
      <c r="AM1826">
        <v>100</v>
      </c>
      <c r="AN1826">
        <v>4700</v>
      </c>
      <c r="AO1826" t="s">
        <v>115</v>
      </c>
      <c r="AP1826">
        <v>157</v>
      </c>
      <c r="AQ1826">
        <v>79</v>
      </c>
      <c r="AR1826">
        <v>0</v>
      </c>
      <c r="AZ1826">
        <v>3614</v>
      </c>
      <c r="BA1826">
        <v>1</v>
      </c>
      <c r="BB1826" t="str">
        <f t="shared" si="86"/>
        <v xml:space="preserve">N959MJ  </v>
      </c>
      <c r="BC1826">
        <v>1</v>
      </c>
      <c r="BE1826">
        <v>0</v>
      </c>
      <c r="BF1826">
        <v>0</v>
      </c>
      <c r="BG1826">
        <v>0</v>
      </c>
      <c r="BH1826">
        <v>4900</v>
      </c>
      <c r="BI1826">
        <v>200</v>
      </c>
      <c r="BJ1826">
        <v>1</v>
      </c>
      <c r="BK1826">
        <v>1</v>
      </c>
      <c r="BL1826">
        <v>1</v>
      </c>
      <c r="BM1826">
        <v>0</v>
      </c>
      <c r="BP1826">
        <v>0</v>
      </c>
      <c r="BQ1826">
        <v>0</v>
      </c>
      <c r="BX1826" t="str">
        <f>"14:20:47.805"</f>
        <v>14:20:47.805</v>
      </c>
      <c r="BY1826" t="str">
        <f>"803052243"</f>
        <v>803052243</v>
      </c>
      <c r="CL1826">
        <v>0</v>
      </c>
      <c r="CM1826">
        <v>2</v>
      </c>
      <c r="CN1826">
        <v>0</v>
      </c>
      <c r="CO1826">
        <v>2</v>
      </c>
      <c r="CP1826">
        <v>0</v>
      </c>
      <c r="CQ1826">
        <v>6</v>
      </c>
      <c r="CR1826" t="s">
        <v>116</v>
      </c>
      <c r="CS1826">
        <v>39</v>
      </c>
      <c r="CT1826">
        <v>2</v>
      </c>
      <c r="CU1826" t="s">
        <v>2259</v>
      </c>
      <c r="CV1826" t="s">
        <v>2260</v>
      </c>
      <c r="CY1826">
        <v>16217582</v>
      </c>
      <c r="CZ1826" t="s">
        <v>119</v>
      </c>
    </row>
    <row r="1827" spans="1:104" x14ac:dyDescent="0.25">
      <c r="A1827" t="str">
        <f>"14:20:48.828"</f>
        <v>14:20:48.828</v>
      </c>
      <c r="B1827" t="s">
        <v>108</v>
      </c>
      <c r="C1827" t="str">
        <f t="shared" si="85"/>
        <v>ffdfd3c0</v>
      </c>
      <c r="D1827" t="s">
        <v>109</v>
      </c>
      <c r="E1827">
        <v>4</v>
      </c>
      <c r="F1827">
        <v>1004</v>
      </c>
      <c r="G1827" t="s">
        <v>110</v>
      </c>
      <c r="J1827" t="s">
        <v>111</v>
      </c>
      <c r="K1827">
        <v>0</v>
      </c>
      <c r="L1827">
        <v>3</v>
      </c>
      <c r="M1827">
        <v>0</v>
      </c>
      <c r="N1827">
        <v>2</v>
      </c>
      <c r="O1827">
        <v>1</v>
      </c>
      <c r="P1827">
        <v>0</v>
      </c>
      <c r="Q1827">
        <v>0</v>
      </c>
      <c r="R1827" t="s">
        <v>112</v>
      </c>
      <c r="S1827" t="str">
        <f>"14:20:48.648"</f>
        <v>14:20:48.648</v>
      </c>
      <c r="T1827" t="str">
        <f>"14:20:48.250"</f>
        <v>14:20:48.250</v>
      </c>
      <c r="U1827" t="str">
        <f t="shared" si="84"/>
        <v>ad5732</v>
      </c>
      <c r="V1827">
        <v>0</v>
      </c>
      <c r="W1827">
        <v>0</v>
      </c>
      <c r="X1827">
        <v>1</v>
      </c>
      <c r="Z1827">
        <v>0</v>
      </c>
      <c r="AA1827">
        <v>9</v>
      </c>
      <c r="AB1827">
        <v>3</v>
      </c>
      <c r="AC1827">
        <v>0</v>
      </c>
      <c r="AD1827">
        <v>10</v>
      </c>
      <c r="AE1827">
        <v>0</v>
      </c>
      <c r="AF1827">
        <v>3</v>
      </c>
      <c r="AG1827">
        <v>2</v>
      </c>
      <c r="AH1827">
        <v>0</v>
      </c>
      <c r="AI1827" t="s">
        <v>3759</v>
      </c>
      <c r="AJ1827">
        <v>39.772418000000002</v>
      </c>
      <c r="AK1827" t="s">
        <v>3760</v>
      </c>
      <c r="AL1827">
        <v>-76.033995000000004</v>
      </c>
      <c r="AM1827">
        <v>100</v>
      </c>
      <c r="AN1827">
        <v>4700</v>
      </c>
      <c r="AO1827" t="s">
        <v>115</v>
      </c>
      <c r="AP1827">
        <v>157</v>
      </c>
      <c r="AQ1827">
        <v>79</v>
      </c>
      <c r="AR1827">
        <v>0</v>
      </c>
      <c r="AZ1827">
        <v>3614</v>
      </c>
      <c r="BA1827">
        <v>1</v>
      </c>
      <c r="BB1827" t="str">
        <f t="shared" si="86"/>
        <v xml:space="preserve">N959MJ  </v>
      </c>
      <c r="BC1827">
        <v>1</v>
      </c>
      <c r="BE1827">
        <v>0</v>
      </c>
      <c r="BF1827">
        <v>0</v>
      </c>
      <c r="BG1827">
        <v>0</v>
      </c>
      <c r="BH1827">
        <v>4900</v>
      </c>
      <c r="BI1827">
        <v>200</v>
      </c>
      <c r="BJ1827">
        <v>1</v>
      </c>
      <c r="BK1827">
        <v>1</v>
      </c>
      <c r="BL1827">
        <v>1</v>
      </c>
      <c r="BM1827">
        <v>0</v>
      </c>
      <c r="BP1827">
        <v>0</v>
      </c>
      <c r="BQ1827">
        <v>0</v>
      </c>
      <c r="BX1827" t="str">
        <f>"14:20:48.648"</f>
        <v>14:20:48.648</v>
      </c>
      <c r="BY1827" t="str">
        <f>"651757558"</f>
        <v>651757558</v>
      </c>
      <c r="CL1827">
        <v>0</v>
      </c>
      <c r="CM1827">
        <v>2</v>
      </c>
      <c r="CN1827">
        <v>0</v>
      </c>
      <c r="CO1827">
        <v>2</v>
      </c>
      <c r="CP1827">
        <v>0</v>
      </c>
      <c r="CQ1827">
        <v>6</v>
      </c>
      <c r="CR1827" t="s">
        <v>116</v>
      </c>
      <c r="CS1827">
        <v>39</v>
      </c>
      <c r="CT1827">
        <v>2</v>
      </c>
      <c r="CU1827" t="s">
        <v>2259</v>
      </c>
      <c r="CV1827" t="s">
        <v>2260</v>
      </c>
      <c r="CY1827">
        <v>16218924</v>
      </c>
      <c r="CZ1827" t="s">
        <v>119</v>
      </c>
    </row>
    <row r="1828" spans="1:104" x14ac:dyDescent="0.25">
      <c r="A1828" t="str">
        <f>"14:20:49.789"</f>
        <v>14:20:49.789</v>
      </c>
      <c r="B1828" t="s">
        <v>108</v>
      </c>
      <c r="C1828" t="str">
        <f t="shared" si="85"/>
        <v>ffdfd3c0</v>
      </c>
      <c r="D1828" t="s">
        <v>109</v>
      </c>
      <c r="E1828">
        <v>4</v>
      </c>
      <c r="F1828">
        <v>1004</v>
      </c>
      <c r="G1828" t="s">
        <v>110</v>
      </c>
      <c r="J1828" t="s">
        <v>111</v>
      </c>
      <c r="K1828">
        <v>0</v>
      </c>
      <c r="L1828">
        <v>3</v>
      </c>
      <c r="M1828">
        <v>0</v>
      </c>
      <c r="N1828">
        <v>2</v>
      </c>
      <c r="O1828">
        <v>1</v>
      </c>
      <c r="P1828">
        <v>0</v>
      </c>
      <c r="Q1828">
        <v>0</v>
      </c>
      <c r="R1828" t="s">
        <v>112</v>
      </c>
      <c r="S1828" t="str">
        <f>"14:20:49.625"</f>
        <v>14:20:49.625</v>
      </c>
      <c r="T1828" t="str">
        <f>"14:20:49.125"</f>
        <v>14:20:49.125</v>
      </c>
      <c r="U1828" t="str">
        <f t="shared" si="84"/>
        <v>ad5732</v>
      </c>
      <c r="V1828">
        <v>0</v>
      </c>
      <c r="W1828">
        <v>0</v>
      </c>
      <c r="X1828">
        <v>1</v>
      </c>
      <c r="Z1828">
        <v>0</v>
      </c>
      <c r="AA1828">
        <v>9</v>
      </c>
      <c r="AB1828">
        <v>3</v>
      </c>
      <c r="AC1828">
        <v>0</v>
      </c>
      <c r="AD1828">
        <v>10</v>
      </c>
      <c r="AE1828">
        <v>0</v>
      </c>
      <c r="AF1828">
        <v>3</v>
      </c>
      <c r="AG1828">
        <v>2</v>
      </c>
      <c r="AH1828">
        <v>0</v>
      </c>
      <c r="AI1828" t="s">
        <v>3761</v>
      </c>
      <c r="AJ1828">
        <v>39.772781999999999</v>
      </c>
      <c r="AK1828" t="s">
        <v>3762</v>
      </c>
      <c r="AL1828">
        <v>-76.033072000000004</v>
      </c>
      <c r="AM1828">
        <v>100</v>
      </c>
      <c r="AN1828">
        <v>4700</v>
      </c>
      <c r="AO1828" t="s">
        <v>115</v>
      </c>
      <c r="AP1828">
        <v>157</v>
      </c>
      <c r="AQ1828">
        <v>80</v>
      </c>
      <c r="AR1828">
        <v>0</v>
      </c>
      <c r="AZ1828">
        <v>3614</v>
      </c>
      <c r="BA1828">
        <v>1</v>
      </c>
      <c r="BB1828" t="str">
        <f t="shared" si="86"/>
        <v xml:space="preserve">N959MJ  </v>
      </c>
      <c r="BC1828">
        <v>1</v>
      </c>
      <c r="BE1828">
        <v>0</v>
      </c>
      <c r="BF1828">
        <v>0</v>
      </c>
      <c r="BG1828">
        <v>0</v>
      </c>
      <c r="BH1828">
        <v>4900</v>
      </c>
      <c r="BI1828">
        <v>200</v>
      </c>
      <c r="BJ1828">
        <v>1</v>
      </c>
      <c r="BK1828">
        <v>1</v>
      </c>
      <c r="BL1828">
        <v>1</v>
      </c>
      <c r="BM1828">
        <v>0</v>
      </c>
      <c r="BP1828">
        <v>0</v>
      </c>
      <c r="BQ1828">
        <v>0</v>
      </c>
      <c r="BX1828" t="str">
        <f>"14:20:49.625"</f>
        <v>14:20:49.625</v>
      </c>
      <c r="BY1828" t="str">
        <f>"628286805"</f>
        <v>628286805</v>
      </c>
      <c r="CL1828">
        <v>0</v>
      </c>
      <c r="CM1828">
        <v>2</v>
      </c>
      <c r="CN1828">
        <v>0</v>
      </c>
      <c r="CO1828">
        <v>2</v>
      </c>
      <c r="CP1828">
        <v>0</v>
      </c>
      <c r="CQ1828">
        <v>6</v>
      </c>
      <c r="CR1828" t="s">
        <v>116</v>
      </c>
      <c r="CS1828">
        <v>396</v>
      </c>
      <c r="CT1828">
        <v>1</v>
      </c>
      <c r="CU1828" t="s">
        <v>939</v>
      </c>
      <c r="CV1828" t="s">
        <v>940</v>
      </c>
      <c r="CY1828">
        <v>9567804</v>
      </c>
      <c r="CZ1828" t="s">
        <v>119</v>
      </c>
    </row>
    <row r="1829" spans="1:104" x14ac:dyDescent="0.25">
      <c r="A1829" t="str">
        <f>"14:20:50.852"</f>
        <v>14:20:50.852</v>
      </c>
      <c r="B1829" t="s">
        <v>108</v>
      </c>
      <c r="C1829" t="str">
        <f t="shared" si="85"/>
        <v>ffdfd3c0</v>
      </c>
      <c r="D1829" t="s">
        <v>109</v>
      </c>
      <c r="E1829">
        <v>4</v>
      </c>
      <c r="F1829">
        <v>1004</v>
      </c>
      <c r="G1829" t="s">
        <v>110</v>
      </c>
      <c r="J1829" t="s">
        <v>111</v>
      </c>
      <c r="K1829">
        <v>0</v>
      </c>
      <c r="L1829">
        <v>3</v>
      </c>
      <c r="M1829">
        <v>0</v>
      </c>
      <c r="N1829">
        <v>2</v>
      </c>
      <c r="O1829">
        <v>1</v>
      </c>
      <c r="P1829">
        <v>0</v>
      </c>
      <c r="Q1829">
        <v>0</v>
      </c>
      <c r="R1829" t="s">
        <v>112</v>
      </c>
      <c r="S1829" t="str">
        <f>"14:20:50.688"</f>
        <v>14:20:50.688</v>
      </c>
      <c r="T1829" t="str">
        <f>"14:20:50.188"</f>
        <v>14:20:50.188</v>
      </c>
      <c r="U1829" t="str">
        <f t="shared" si="84"/>
        <v>ad5732</v>
      </c>
      <c r="V1829">
        <v>0</v>
      </c>
      <c r="W1829">
        <v>0</v>
      </c>
      <c r="X1829">
        <v>1</v>
      </c>
      <c r="Z1829">
        <v>0</v>
      </c>
      <c r="AA1829">
        <v>9</v>
      </c>
      <c r="AB1829">
        <v>3</v>
      </c>
      <c r="AC1829">
        <v>0</v>
      </c>
      <c r="AD1829">
        <v>10</v>
      </c>
      <c r="AE1829">
        <v>0</v>
      </c>
      <c r="AF1829">
        <v>3</v>
      </c>
      <c r="AG1829">
        <v>2</v>
      </c>
      <c r="AH1829">
        <v>0</v>
      </c>
      <c r="AI1829" t="s">
        <v>3763</v>
      </c>
      <c r="AJ1829">
        <v>39.773169000000003</v>
      </c>
      <c r="AK1829" t="s">
        <v>3764</v>
      </c>
      <c r="AL1829">
        <v>-76.032106999999996</v>
      </c>
      <c r="AM1829">
        <v>100</v>
      </c>
      <c r="AN1829">
        <v>4700</v>
      </c>
      <c r="AO1829" t="s">
        <v>115</v>
      </c>
      <c r="AP1829">
        <v>157</v>
      </c>
      <c r="AQ1829">
        <v>80</v>
      </c>
      <c r="AR1829">
        <v>0</v>
      </c>
      <c r="AZ1829">
        <v>3614</v>
      </c>
      <c r="BA1829">
        <v>1</v>
      </c>
      <c r="BB1829" t="str">
        <f t="shared" si="86"/>
        <v xml:space="preserve">N959MJ  </v>
      </c>
      <c r="BC1829">
        <v>1</v>
      </c>
      <c r="BE1829">
        <v>0</v>
      </c>
      <c r="BF1829">
        <v>0</v>
      </c>
      <c r="BG1829">
        <v>0</v>
      </c>
      <c r="BH1829">
        <v>4900</v>
      </c>
      <c r="BI1829">
        <v>200</v>
      </c>
      <c r="BJ1829">
        <v>1</v>
      </c>
      <c r="BK1829">
        <v>1</v>
      </c>
      <c r="BL1829">
        <v>1</v>
      </c>
      <c r="BM1829">
        <v>0</v>
      </c>
      <c r="BP1829">
        <v>0</v>
      </c>
      <c r="BQ1829">
        <v>0</v>
      </c>
      <c r="BX1829" t="str">
        <f>"14:20:50.688"</f>
        <v>14:20:50.688</v>
      </c>
      <c r="BY1829" t="str">
        <f>"689988240"</f>
        <v>689988240</v>
      </c>
      <c r="CL1829">
        <v>0</v>
      </c>
      <c r="CM1829">
        <v>2</v>
      </c>
      <c r="CN1829">
        <v>0</v>
      </c>
      <c r="CO1829">
        <v>2</v>
      </c>
      <c r="CP1829">
        <v>0</v>
      </c>
      <c r="CQ1829">
        <v>6</v>
      </c>
      <c r="CR1829" t="s">
        <v>116</v>
      </c>
      <c r="CS1829">
        <v>396</v>
      </c>
      <c r="CT1829">
        <v>1</v>
      </c>
      <c r="CU1829" t="s">
        <v>939</v>
      </c>
      <c r="CV1829" t="s">
        <v>940</v>
      </c>
      <c r="CY1829">
        <v>9569662</v>
      </c>
      <c r="CZ1829" t="s">
        <v>119</v>
      </c>
    </row>
    <row r="1830" spans="1:104" x14ac:dyDescent="0.25">
      <c r="A1830" t="str">
        <f>"14:20:51.758"</f>
        <v>14:20:51.758</v>
      </c>
      <c r="B1830" t="s">
        <v>108</v>
      </c>
      <c r="C1830" t="str">
        <f t="shared" si="85"/>
        <v>ffdfd3c0</v>
      </c>
      <c r="D1830" t="s">
        <v>109</v>
      </c>
      <c r="E1830">
        <v>4</v>
      </c>
      <c r="F1830">
        <v>1004</v>
      </c>
      <c r="G1830" t="s">
        <v>110</v>
      </c>
      <c r="J1830" t="s">
        <v>111</v>
      </c>
      <c r="K1830">
        <v>0</v>
      </c>
      <c r="L1830">
        <v>3</v>
      </c>
      <c r="M1830">
        <v>0</v>
      </c>
      <c r="N1830">
        <v>2</v>
      </c>
      <c r="O1830">
        <v>1</v>
      </c>
      <c r="P1830">
        <v>0</v>
      </c>
      <c r="Q1830">
        <v>0</v>
      </c>
      <c r="R1830" t="s">
        <v>112</v>
      </c>
      <c r="S1830" t="str">
        <f>"14:20:51.547"</f>
        <v>14:20:51.547</v>
      </c>
      <c r="T1830" t="str">
        <f>"14:20:51.148"</f>
        <v>14:20:51.148</v>
      </c>
      <c r="U1830" t="str">
        <f t="shared" si="84"/>
        <v>ad5732</v>
      </c>
      <c r="V1830">
        <v>0</v>
      </c>
      <c r="W1830">
        <v>0</v>
      </c>
      <c r="X1830">
        <v>1</v>
      </c>
      <c r="Z1830">
        <v>0</v>
      </c>
      <c r="AA1830">
        <v>9</v>
      </c>
      <c r="AB1830">
        <v>3</v>
      </c>
      <c r="AC1830">
        <v>0</v>
      </c>
      <c r="AD1830">
        <v>10</v>
      </c>
      <c r="AE1830">
        <v>0</v>
      </c>
      <c r="AF1830">
        <v>3</v>
      </c>
      <c r="AG1830">
        <v>2</v>
      </c>
      <c r="AH1830">
        <v>0</v>
      </c>
      <c r="AI1830" t="s">
        <v>3765</v>
      </c>
      <c r="AJ1830">
        <v>39.773490000000002</v>
      </c>
      <c r="AK1830" t="s">
        <v>3766</v>
      </c>
      <c r="AL1830">
        <v>-76.031249000000003</v>
      </c>
      <c r="AM1830">
        <v>100</v>
      </c>
      <c r="AN1830">
        <v>4700</v>
      </c>
      <c r="AO1830" t="s">
        <v>115</v>
      </c>
      <c r="AP1830">
        <v>157</v>
      </c>
      <c r="AQ1830">
        <v>80</v>
      </c>
      <c r="AR1830">
        <v>0</v>
      </c>
      <c r="AZ1830">
        <v>3614</v>
      </c>
      <c r="BA1830">
        <v>1</v>
      </c>
      <c r="BB1830" t="str">
        <f t="shared" si="86"/>
        <v xml:space="preserve">N959MJ  </v>
      </c>
      <c r="BC1830">
        <v>1</v>
      </c>
      <c r="BE1830">
        <v>0</v>
      </c>
      <c r="BF1830">
        <v>0</v>
      </c>
      <c r="BG1830">
        <v>0</v>
      </c>
      <c r="BH1830">
        <v>4900</v>
      </c>
      <c r="BI1830">
        <v>200</v>
      </c>
      <c r="BJ1830">
        <v>1</v>
      </c>
      <c r="BK1830">
        <v>1</v>
      </c>
      <c r="BL1830">
        <v>1</v>
      </c>
      <c r="BM1830">
        <v>0</v>
      </c>
      <c r="BP1830">
        <v>0</v>
      </c>
      <c r="BQ1830">
        <v>0</v>
      </c>
      <c r="BX1830" t="str">
        <f>"14:20:51.555"</f>
        <v>14:20:51.555</v>
      </c>
      <c r="BY1830" t="str">
        <f>"553412325"</f>
        <v>553412325</v>
      </c>
      <c r="CL1830">
        <v>0</v>
      </c>
      <c r="CM1830">
        <v>2</v>
      </c>
      <c r="CN1830">
        <v>0</v>
      </c>
      <c r="CO1830">
        <v>2</v>
      </c>
      <c r="CP1830">
        <v>0</v>
      </c>
      <c r="CQ1830">
        <v>7</v>
      </c>
      <c r="CR1830" t="s">
        <v>116</v>
      </c>
      <c r="CS1830">
        <v>39</v>
      </c>
      <c r="CT1830">
        <v>2</v>
      </c>
      <c r="CU1830" t="s">
        <v>2259</v>
      </c>
      <c r="CV1830" t="s">
        <v>2260</v>
      </c>
      <c r="CY1830">
        <v>16223408</v>
      </c>
      <c r="CZ1830" t="s">
        <v>119</v>
      </c>
    </row>
    <row r="1831" spans="1:104" x14ac:dyDescent="0.25">
      <c r="A1831" t="str">
        <f>"14:20:52.766"</f>
        <v>14:20:52.766</v>
      </c>
      <c r="B1831" t="s">
        <v>108</v>
      </c>
      <c r="C1831" t="str">
        <f t="shared" si="85"/>
        <v>ffdfd3c0</v>
      </c>
      <c r="D1831" t="s">
        <v>109</v>
      </c>
      <c r="E1831">
        <v>4</v>
      </c>
      <c r="F1831">
        <v>1004</v>
      </c>
      <c r="G1831" t="s">
        <v>110</v>
      </c>
      <c r="J1831" t="s">
        <v>111</v>
      </c>
      <c r="K1831">
        <v>0</v>
      </c>
      <c r="L1831">
        <v>3</v>
      </c>
      <c r="M1831">
        <v>0</v>
      </c>
      <c r="N1831">
        <v>2</v>
      </c>
      <c r="O1831">
        <v>1</v>
      </c>
      <c r="P1831">
        <v>0</v>
      </c>
      <c r="Q1831">
        <v>0</v>
      </c>
      <c r="R1831" t="s">
        <v>112</v>
      </c>
      <c r="S1831" t="str">
        <f>"14:20:52.578"</f>
        <v>14:20:52.578</v>
      </c>
      <c r="T1831" t="str">
        <f>"14:20:52.180"</f>
        <v>14:20:52.180</v>
      </c>
      <c r="U1831" t="str">
        <f t="shared" si="84"/>
        <v>ad5732</v>
      </c>
      <c r="V1831">
        <v>0</v>
      </c>
      <c r="W1831">
        <v>0</v>
      </c>
      <c r="X1831">
        <v>1</v>
      </c>
      <c r="Z1831">
        <v>0</v>
      </c>
      <c r="AA1831">
        <v>9</v>
      </c>
      <c r="AB1831">
        <v>3</v>
      </c>
      <c r="AC1831">
        <v>0</v>
      </c>
      <c r="AD1831">
        <v>10</v>
      </c>
      <c r="AE1831">
        <v>0</v>
      </c>
      <c r="AF1831">
        <v>3</v>
      </c>
      <c r="AG1831">
        <v>2</v>
      </c>
      <c r="AH1831">
        <v>0</v>
      </c>
      <c r="AI1831" t="s">
        <v>3767</v>
      </c>
      <c r="AJ1831">
        <v>39.773854999999998</v>
      </c>
      <c r="AK1831" t="s">
        <v>3768</v>
      </c>
      <c r="AL1831">
        <v>-76.030282999999997</v>
      </c>
      <c r="AM1831">
        <v>100</v>
      </c>
      <c r="AN1831">
        <v>4700</v>
      </c>
      <c r="AO1831" t="s">
        <v>115</v>
      </c>
      <c r="AP1831">
        <v>157</v>
      </c>
      <c r="AQ1831">
        <v>80</v>
      </c>
      <c r="AR1831">
        <v>0</v>
      </c>
      <c r="AZ1831">
        <v>3614</v>
      </c>
      <c r="BA1831">
        <v>1</v>
      </c>
      <c r="BB1831" t="str">
        <f t="shared" si="86"/>
        <v xml:space="preserve">N959MJ  </v>
      </c>
      <c r="BC1831">
        <v>1</v>
      </c>
      <c r="BE1831">
        <v>0</v>
      </c>
      <c r="BF1831">
        <v>0</v>
      </c>
      <c r="BG1831">
        <v>0</v>
      </c>
      <c r="BH1831">
        <v>4900</v>
      </c>
      <c r="BI1831">
        <v>200</v>
      </c>
      <c r="BJ1831">
        <v>1</v>
      </c>
      <c r="BK1831">
        <v>1</v>
      </c>
      <c r="BL1831">
        <v>1</v>
      </c>
      <c r="BM1831">
        <v>0</v>
      </c>
      <c r="BP1831">
        <v>0</v>
      </c>
      <c r="BQ1831">
        <v>0</v>
      </c>
      <c r="BX1831" t="str">
        <f>"14:20:52.586"</f>
        <v>14:20:52.586</v>
      </c>
      <c r="BY1831" t="str">
        <f>"585621544"</f>
        <v>585621544</v>
      </c>
      <c r="CL1831">
        <v>0</v>
      </c>
      <c r="CM1831">
        <v>2</v>
      </c>
      <c r="CN1831">
        <v>0</v>
      </c>
      <c r="CO1831">
        <v>2</v>
      </c>
      <c r="CP1831">
        <v>0</v>
      </c>
      <c r="CQ1831">
        <v>7</v>
      </c>
      <c r="CR1831" t="s">
        <v>116</v>
      </c>
      <c r="CS1831">
        <v>39</v>
      </c>
      <c r="CT1831">
        <v>2</v>
      </c>
      <c r="CU1831" t="s">
        <v>2259</v>
      </c>
      <c r="CV1831" t="s">
        <v>2260</v>
      </c>
      <c r="CY1831">
        <v>16225043</v>
      </c>
      <c r="CZ1831" t="s">
        <v>119</v>
      </c>
    </row>
    <row r="1832" spans="1:104" x14ac:dyDescent="0.25">
      <c r="A1832" t="str">
        <f>"14:20:53.828"</f>
        <v>14:20:53.828</v>
      </c>
      <c r="B1832" t="s">
        <v>108</v>
      </c>
      <c r="C1832" t="str">
        <f t="shared" si="85"/>
        <v>ffdfd3c0</v>
      </c>
      <c r="D1832" t="s">
        <v>109</v>
      </c>
      <c r="E1832">
        <v>4</v>
      </c>
      <c r="F1832">
        <v>1004</v>
      </c>
      <c r="G1832" t="s">
        <v>110</v>
      </c>
      <c r="J1832" t="s">
        <v>111</v>
      </c>
      <c r="K1832">
        <v>0</v>
      </c>
      <c r="L1832">
        <v>3</v>
      </c>
      <c r="M1832">
        <v>0</v>
      </c>
      <c r="N1832">
        <v>2</v>
      </c>
      <c r="O1832">
        <v>1</v>
      </c>
      <c r="P1832">
        <v>0</v>
      </c>
      <c r="Q1832">
        <v>0</v>
      </c>
      <c r="R1832" t="s">
        <v>112</v>
      </c>
      <c r="S1832" t="str">
        <f>"14:20:53.617"</f>
        <v>14:20:53.617</v>
      </c>
      <c r="T1832" t="str">
        <f>"14:20:53.219"</f>
        <v>14:20:53.219</v>
      </c>
      <c r="U1832" t="str">
        <f t="shared" si="84"/>
        <v>ad5732</v>
      </c>
      <c r="V1832">
        <v>0</v>
      </c>
      <c r="W1832">
        <v>0</v>
      </c>
      <c r="X1832">
        <v>1</v>
      </c>
      <c r="Z1832">
        <v>0</v>
      </c>
      <c r="AA1832">
        <v>9</v>
      </c>
      <c r="AB1832">
        <v>3</v>
      </c>
      <c r="AC1832">
        <v>0</v>
      </c>
      <c r="AD1832">
        <v>10</v>
      </c>
      <c r="AE1832">
        <v>0</v>
      </c>
      <c r="AF1832">
        <v>3</v>
      </c>
      <c r="AG1832">
        <v>2</v>
      </c>
      <c r="AH1832">
        <v>0</v>
      </c>
      <c r="AI1832" t="s">
        <v>3769</v>
      </c>
      <c r="AJ1832">
        <v>39.774241000000004</v>
      </c>
      <c r="AK1832" t="s">
        <v>3770</v>
      </c>
      <c r="AL1832">
        <v>-76.029296000000002</v>
      </c>
      <c r="AM1832">
        <v>100</v>
      </c>
      <c r="AN1832">
        <v>4700</v>
      </c>
      <c r="AO1832" t="s">
        <v>115</v>
      </c>
      <c r="AP1832">
        <v>157</v>
      </c>
      <c r="AQ1832">
        <v>80</v>
      </c>
      <c r="AR1832">
        <v>0</v>
      </c>
      <c r="AZ1832">
        <v>3614</v>
      </c>
      <c r="BA1832">
        <v>1</v>
      </c>
      <c r="BB1832" t="str">
        <f t="shared" si="86"/>
        <v xml:space="preserve">N959MJ  </v>
      </c>
      <c r="BC1832">
        <v>1</v>
      </c>
      <c r="BE1832">
        <v>0</v>
      </c>
      <c r="BF1832">
        <v>0</v>
      </c>
      <c r="BG1832">
        <v>0</v>
      </c>
      <c r="BH1832">
        <v>4900</v>
      </c>
      <c r="BI1832">
        <v>200</v>
      </c>
      <c r="BJ1832">
        <v>1</v>
      </c>
      <c r="BK1832">
        <v>1</v>
      </c>
      <c r="BL1832">
        <v>1</v>
      </c>
      <c r="BM1832">
        <v>0</v>
      </c>
      <c r="BP1832">
        <v>0</v>
      </c>
      <c r="BQ1832">
        <v>0</v>
      </c>
      <c r="BX1832" t="str">
        <f>"14:20:53.625"</f>
        <v>14:20:53.625</v>
      </c>
      <c r="BY1832" t="str">
        <f>"621107601"</f>
        <v>621107601</v>
      </c>
      <c r="CL1832">
        <v>0</v>
      </c>
      <c r="CM1832">
        <v>2</v>
      </c>
      <c r="CN1832">
        <v>0</v>
      </c>
      <c r="CO1832">
        <v>2</v>
      </c>
      <c r="CP1832">
        <v>0</v>
      </c>
      <c r="CQ1832">
        <v>6</v>
      </c>
      <c r="CR1832" t="s">
        <v>116</v>
      </c>
      <c r="CS1832">
        <v>39</v>
      </c>
      <c r="CT1832">
        <v>2</v>
      </c>
      <c r="CU1832" t="s">
        <v>2259</v>
      </c>
      <c r="CV1832" t="s">
        <v>2260</v>
      </c>
      <c r="CY1832">
        <v>16226731</v>
      </c>
      <c r="CZ1832" t="s">
        <v>119</v>
      </c>
    </row>
    <row r="1833" spans="1:104" x14ac:dyDescent="0.25">
      <c r="A1833" t="str">
        <f>"14:20:54.688"</f>
        <v>14:20:54.688</v>
      </c>
      <c r="B1833" t="s">
        <v>108</v>
      </c>
      <c r="C1833" t="str">
        <f t="shared" si="85"/>
        <v>ffdfd3c0</v>
      </c>
      <c r="D1833" t="s">
        <v>109</v>
      </c>
      <c r="E1833">
        <v>4</v>
      </c>
      <c r="F1833">
        <v>1004</v>
      </c>
      <c r="G1833" t="s">
        <v>110</v>
      </c>
      <c r="J1833" t="s">
        <v>111</v>
      </c>
      <c r="K1833">
        <v>0</v>
      </c>
      <c r="L1833">
        <v>3</v>
      </c>
      <c r="M1833">
        <v>0</v>
      </c>
      <c r="N1833">
        <v>2</v>
      </c>
      <c r="O1833">
        <v>1</v>
      </c>
      <c r="P1833">
        <v>0</v>
      </c>
      <c r="Q1833">
        <v>0</v>
      </c>
      <c r="R1833" t="s">
        <v>112</v>
      </c>
      <c r="S1833" t="str">
        <f>"14:20:54.516"</f>
        <v>14:20:54.516</v>
      </c>
      <c r="T1833" t="str">
        <f>"14:20:53.719"</f>
        <v>14:20:53.719</v>
      </c>
      <c r="U1833" t="str">
        <f t="shared" si="84"/>
        <v>ad5732</v>
      </c>
      <c r="V1833">
        <v>0</v>
      </c>
      <c r="W1833">
        <v>0</v>
      </c>
      <c r="X1833">
        <v>1</v>
      </c>
      <c r="Z1833">
        <v>0</v>
      </c>
      <c r="AA1833">
        <v>9</v>
      </c>
      <c r="AB1833">
        <v>3</v>
      </c>
      <c r="AC1833">
        <v>0</v>
      </c>
      <c r="AD1833">
        <v>10</v>
      </c>
      <c r="AE1833">
        <v>0</v>
      </c>
      <c r="AF1833">
        <v>3</v>
      </c>
      <c r="AG1833">
        <v>2</v>
      </c>
      <c r="AH1833">
        <v>0</v>
      </c>
      <c r="AI1833" t="s">
        <v>3771</v>
      </c>
      <c r="AJ1833">
        <v>39.774585000000002</v>
      </c>
      <c r="AK1833" t="s">
        <v>3772</v>
      </c>
      <c r="AL1833">
        <v>-76.028437999999994</v>
      </c>
      <c r="AM1833">
        <v>100</v>
      </c>
      <c r="AN1833">
        <v>4700</v>
      </c>
      <c r="AO1833" t="s">
        <v>115</v>
      </c>
      <c r="AP1833">
        <v>156</v>
      </c>
      <c r="AQ1833">
        <v>80</v>
      </c>
      <c r="AR1833">
        <v>0</v>
      </c>
      <c r="AZ1833">
        <v>3614</v>
      </c>
      <c r="BA1833">
        <v>1</v>
      </c>
      <c r="BB1833" t="str">
        <f t="shared" si="86"/>
        <v xml:space="preserve">N959MJ  </v>
      </c>
      <c r="BC1833">
        <v>1</v>
      </c>
      <c r="BE1833">
        <v>0</v>
      </c>
      <c r="BF1833">
        <v>0</v>
      </c>
      <c r="BG1833">
        <v>0</v>
      </c>
      <c r="BH1833">
        <v>4900</v>
      </c>
      <c r="BI1833">
        <v>200</v>
      </c>
      <c r="BJ1833">
        <v>1</v>
      </c>
      <c r="BK1833">
        <v>1</v>
      </c>
      <c r="BL1833">
        <v>1</v>
      </c>
      <c r="BM1833">
        <v>0</v>
      </c>
      <c r="BP1833">
        <v>0</v>
      </c>
      <c r="BQ1833">
        <v>0</v>
      </c>
      <c r="BX1833" t="str">
        <f>"14:20:54.516"</f>
        <v>14:20:54.516</v>
      </c>
      <c r="BY1833" t="str">
        <f>"515717929"</f>
        <v>515717929</v>
      </c>
      <c r="CL1833">
        <v>0</v>
      </c>
      <c r="CM1833">
        <v>2</v>
      </c>
      <c r="CN1833">
        <v>0</v>
      </c>
      <c r="CO1833">
        <v>2</v>
      </c>
      <c r="CP1833">
        <v>0</v>
      </c>
      <c r="CQ1833">
        <v>6</v>
      </c>
      <c r="CR1833" t="s">
        <v>116</v>
      </c>
      <c r="CS1833">
        <v>396</v>
      </c>
      <c r="CT1833">
        <v>1</v>
      </c>
      <c r="CU1833" t="s">
        <v>939</v>
      </c>
      <c r="CV1833" t="s">
        <v>940</v>
      </c>
      <c r="CY1833">
        <v>9576612</v>
      </c>
      <c r="CZ1833" t="s">
        <v>119</v>
      </c>
    </row>
    <row r="1834" spans="1:104" x14ac:dyDescent="0.25">
      <c r="A1834" t="str">
        <f>"14:20:55.742"</f>
        <v>14:20:55.742</v>
      </c>
      <c r="B1834" t="s">
        <v>108</v>
      </c>
      <c r="C1834" t="str">
        <f t="shared" si="85"/>
        <v>ffdfd3c0</v>
      </c>
      <c r="D1834" t="s">
        <v>109</v>
      </c>
      <c r="E1834">
        <v>4</v>
      </c>
      <c r="F1834">
        <v>1004</v>
      </c>
      <c r="G1834" t="s">
        <v>110</v>
      </c>
      <c r="J1834" t="s">
        <v>111</v>
      </c>
      <c r="K1834">
        <v>0</v>
      </c>
      <c r="L1834">
        <v>3</v>
      </c>
      <c r="M1834">
        <v>0</v>
      </c>
      <c r="N1834">
        <v>2</v>
      </c>
      <c r="O1834">
        <v>1</v>
      </c>
      <c r="P1834">
        <v>0</v>
      </c>
      <c r="Q1834">
        <v>0</v>
      </c>
      <c r="R1834" t="s">
        <v>112</v>
      </c>
      <c r="S1834" t="str">
        <f>"14:20:55.570"</f>
        <v>14:20:55.570</v>
      </c>
      <c r="T1834" t="str">
        <f>"14:20:55.070"</f>
        <v>14:20:55.070</v>
      </c>
      <c r="U1834" t="str">
        <f t="shared" si="84"/>
        <v>ad5732</v>
      </c>
      <c r="V1834">
        <v>0</v>
      </c>
      <c r="W1834">
        <v>0</v>
      </c>
      <c r="X1834">
        <v>1</v>
      </c>
      <c r="Z1834">
        <v>0</v>
      </c>
      <c r="AA1834">
        <v>9</v>
      </c>
      <c r="AB1834">
        <v>3</v>
      </c>
      <c r="AC1834">
        <v>0</v>
      </c>
      <c r="AD1834">
        <v>10</v>
      </c>
      <c r="AE1834">
        <v>0</v>
      </c>
      <c r="AF1834">
        <v>3</v>
      </c>
      <c r="AG1834">
        <v>2</v>
      </c>
      <c r="AH1834">
        <v>0</v>
      </c>
      <c r="AI1834" t="s">
        <v>3773</v>
      </c>
      <c r="AJ1834">
        <v>39.774949999999997</v>
      </c>
      <c r="AK1834" t="s">
        <v>3774</v>
      </c>
      <c r="AL1834">
        <v>-76.027472000000003</v>
      </c>
      <c r="AM1834">
        <v>100</v>
      </c>
      <c r="AN1834">
        <v>4700</v>
      </c>
      <c r="AO1834" t="s">
        <v>115</v>
      </c>
      <c r="AP1834">
        <v>156</v>
      </c>
      <c r="AQ1834">
        <v>80</v>
      </c>
      <c r="AR1834">
        <v>0</v>
      </c>
      <c r="AZ1834">
        <v>3614</v>
      </c>
      <c r="BA1834">
        <v>1</v>
      </c>
      <c r="BB1834" t="str">
        <f t="shared" si="86"/>
        <v xml:space="preserve">N959MJ  </v>
      </c>
      <c r="BC1834">
        <v>1</v>
      </c>
      <c r="BE1834">
        <v>0</v>
      </c>
      <c r="BF1834">
        <v>0</v>
      </c>
      <c r="BG1834">
        <v>0</v>
      </c>
      <c r="BH1834">
        <v>4900</v>
      </c>
      <c r="BI1834">
        <v>200</v>
      </c>
      <c r="BJ1834">
        <v>1</v>
      </c>
      <c r="BK1834">
        <v>1</v>
      </c>
      <c r="BL1834">
        <v>1</v>
      </c>
      <c r="BM1834">
        <v>0</v>
      </c>
      <c r="BP1834">
        <v>0</v>
      </c>
      <c r="BQ1834">
        <v>0</v>
      </c>
      <c r="BX1834" t="str">
        <f>"14:20:55.570"</f>
        <v>14:20:55.570</v>
      </c>
      <c r="BY1834" t="str">
        <f>"570836169"</f>
        <v>570836169</v>
      </c>
      <c r="CL1834">
        <v>0</v>
      </c>
      <c r="CM1834">
        <v>2</v>
      </c>
      <c r="CN1834">
        <v>0</v>
      </c>
      <c r="CO1834">
        <v>2</v>
      </c>
      <c r="CP1834">
        <v>0</v>
      </c>
      <c r="CQ1834">
        <v>6</v>
      </c>
      <c r="CR1834" t="s">
        <v>116</v>
      </c>
      <c r="CS1834">
        <v>39</v>
      </c>
      <c r="CT1834">
        <v>2</v>
      </c>
      <c r="CU1834" t="s">
        <v>2259</v>
      </c>
      <c r="CV1834" t="s">
        <v>2260</v>
      </c>
      <c r="CY1834">
        <v>16229716</v>
      </c>
      <c r="CZ1834" t="s">
        <v>119</v>
      </c>
    </row>
    <row r="1835" spans="1:104" x14ac:dyDescent="0.25">
      <c r="A1835" t="str">
        <f>"14:20:56.750"</f>
        <v>14:20:56.750</v>
      </c>
      <c r="B1835" t="s">
        <v>108</v>
      </c>
      <c r="C1835" t="str">
        <f t="shared" si="85"/>
        <v>ffdfd3c0</v>
      </c>
      <c r="D1835" t="s">
        <v>109</v>
      </c>
      <c r="E1835">
        <v>4</v>
      </c>
      <c r="F1835">
        <v>1004</v>
      </c>
      <c r="G1835" t="s">
        <v>110</v>
      </c>
      <c r="J1835" t="s">
        <v>111</v>
      </c>
      <c r="K1835">
        <v>0</v>
      </c>
      <c r="L1835">
        <v>3</v>
      </c>
      <c r="M1835">
        <v>0</v>
      </c>
      <c r="N1835">
        <v>2</v>
      </c>
      <c r="O1835">
        <v>1</v>
      </c>
      <c r="P1835">
        <v>0</v>
      </c>
      <c r="Q1835">
        <v>0</v>
      </c>
      <c r="R1835" t="s">
        <v>112</v>
      </c>
      <c r="S1835" t="str">
        <f>"14:20:56.570"</f>
        <v>14:20:56.570</v>
      </c>
      <c r="T1835" t="str">
        <f>"14:20:56.070"</f>
        <v>14:20:56.070</v>
      </c>
      <c r="U1835" t="str">
        <f t="shared" si="84"/>
        <v>ad5732</v>
      </c>
      <c r="V1835">
        <v>0</v>
      </c>
      <c r="W1835">
        <v>0</v>
      </c>
      <c r="X1835">
        <v>1</v>
      </c>
      <c r="Z1835">
        <v>0</v>
      </c>
      <c r="AA1835">
        <v>9</v>
      </c>
      <c r="AB1835">
        <v>3</v>
      </c>
      <c r="AC1835">
        <v>0</v>
      </c>
      <c r="AD1835">
        <v>10</v>
      </c>
      <c r="AE1835">
        <v>0</v>
      </c>
      <c r="AF1835">
        <v>3</v>
      </c>
      <c r="AG1835">
        <v>2</v>
      </c>
      <c r="AH1835">
        <v>0</v>
      </c>
      <c r="AI1835" t="s">
        <v>3775</v>
      </c>
      <c r="AJ1835">
        <v>39.775314000000002</v>
      </c>
      <c r="AK1835" t="s">
        <v>3776</v>
      </c>
      <c r="AL1835">
        <v>-76.026527999999999</v>
      </c>
      <c r="AM1835">
        <v>100</v>
      </c>
      <c r="AN1835">
        <v>4700</v>
      </c>
      <c r="AO1835" t="s">
        <v>115</v>
      </c>
      <c r="AP1835">
        <v>156</v>
      </c>
      <c r="AQ1835">
        <v>80</v>
      </c>
      <c r="AR1835">
        <v>0</v>
      </c>
      <c r="AZ1835">
        <v>3614</v>
      </c>
      <c r="BA1835">
        <v>1</v>
      </c>
      <c r="BB1835" t="str">
        <f t="shared" si="86"/>
        <v xml:space="preserve">N959MJ  </v>
      </c>
      <c r="BC1835">
        <v>1</v>
      </c>
      <c r="BE1835">
        <v>0</v>
      </c>
      <c r="BF1835">
        <v>0</v>
      </c>
      <c r="BG1835">
        <v>0</v>
      </c>
      <c r="BH1835">
        <v>4900</v>
      </c>
      <c r="BI1835">
        <v>200</v>
      </c>
      <c r="BJ1835">
        <v>1</v>
      </c>
      <c r="BK1835">
        <v>1</v>
      </c>
      <c r="BL1835">
        <v>1</v>
      </c>
      <c r="BM1835">
        <v>0</v>
      </c>
      <c r="BP1835">
        <v>0</v>
      </c>
      <c r="BQ1835">
        <v>0</v>
      </c>
      <c r="BX1835" t="str">
        <f>"14:20:56.578"</f>
        <v>14:20:56.578</v>
      </c>
      <c r="BY1835" t="str">
        <f>"575192067"</f>
        <v>575192067</v>
      </c>
      <c r="CL1835">
        <v>0</v>
      </c>
      <c r="CM1835">
        <v>2</v>
      </c>
      <c r="CN1835">
        <v>0</v>
      </c>
      <c r="CO1835">
        <v>2</v>
      </c>
      <c r="CP1835">
        <v>0</v>
      </c>
      <c r="CQ1835">
        <v>7</v>
      </c>
      <c r="CR1835" t="s">
        <v>116</v>
      </c>
      <c r="CS1835">
        <v>39</v>
      </c>
      <c r="CT1835">
        <v>2</v>
      </c>
      <c r="CU1835" t="s">
        <v>2259</v>
      </c>
      <c r="CV1835" t="s">
        <v>2260</v>
      </c>
      <c r="CY1835">
        <v>16231292</v>
      </c>
      <c r="CZ1835" t="s">
        <v>119</v>
      </c>
    </row>
    <row r="1836" spans="1:104" x14ac:dyDescent="0.25">
      <c r="A1836" t="str">
        <f>"14:20:57.867"</f>
        <v>14:20:57.867</v>
      </c>
      <c r="B1836" t="s">
        <v>108</v>
      </c>
      <c r="C1836" t="str">
        <f t="shared" si="85"/>
        <v>ffdfd3c0</v>
      </c>
      <c r="D1836" t="s">
        <v>109</v>
      </c>
      <c r="E1836">
        <v>4</v>
      </c>
      <c r="F1836">
        <v>1004</v>
      </c>
      <c r="G1836" t="s">
        <v>110</v>
      </c>
      <c r="J1836" t="s">
        <v>111</v>
      </c>
      <c r="K1836">
        <v>0</v>
      </c>
      <c r="L1836">
        <v>3</v>
      </c>
      <c r="M1836">
        <v>0</v>
      </c>
      <c r="N1836">
        <v>2</v>
      </c>
      <c r="O1836">
        <v>1</v>
      </c>
      <c r="P1836">
        <v>0</v>
      </c>
      <c r="Q1836">
        <v>0</v>
      </c>
      <c r="R1836" t="s">
        <v>112</v>
      </c>
      <c r="S1836" t="str">
        <f>"14:20:57.648"</f>
        <v>14:20:57.648</v>
      </c>
      <c r="T1836" t="str">
        <f>"14:20:57.148"</f>
        <v>14:20:57.148</v>
      </c>
      <c r="U1836" t="str">
        <f t="shared" si="84"/>
        <v>ad5732</v>
      </c>
      <c r="V1836">
        <v>0</v>
      </c>
      <c r="W1836">
        <v>0</v>
      </c>
      <c r="X1836">
        <v>1</v>
      </c>
      <c r="Z1836">
        <v>0</v>
      </c>
      <c r="AA1836">
        <v>9</v>
      </c>
      <c r="AB1836">
        <v>3</v>
      </c>
      <c r="AC1836">
        <v>0</v>
      </c>
      <c r="AD1836">
        <v>10</v>
      </c>
      <c r="AE1836">
        <v>0</v>
      </c>
      <c r="AF1836">
        <v>3</v>
      </c>
      <c r="AG1836">
        <v>2</v>
      </c>
      <c r="AH1836">
        <v>0</v>
      </c>
      <c r="AI1836" t="s">
        <v>3777</v>
      </c>
      <c r="AJ1836">
        <v>39.775722000000002</v>
      </c>
      <c r="AK1836" t="s">
        <v>3778</v>
      </c>
      <c r="AL1836">
        <v>-76.025519000000003</v>
      </c>
      <c r="AM1836">
        <v>100</v>
      </c>
      <c r="AN1836">
        <v>4700</v>
      </c>
      <c r="AO1836" t="s">
        <v>115</v>
      </c>
      <c r="AP1836">
        <v>156</v>
      </c>
      <c r="AQ1836">
        <v>80</v>
      </c>
      <c r="AR1836">
        <v>0</v>
      </c>
      <c r="AZ1836">
        <v>3614</v>
      </c>
      <c r="BA1836">
        <v>1</v>
      </c>
      <c r="BB1836" t="str">
        <f t="shared" si="86"/>
        <v xml:space="preserve">N959MJ  </v>
      </c>
      <c r="BC1836">
        <v>1</v>
      </c>
      <c r="BE1836">
        <v>0</v>
      </c>
      <c r="BF1836">
        <v>0</v>
      </c>
      <c r="BG1836">
        <v>0</v>
      </c>
      <c r="BH1836">
        <v>4900</v>
      </c>
      <c r="BI1836">
        <v>200</v>
      </c>
      <c r="BJ1836">
        <v>1</v>
      </c>
      <c r="BK1836">
        <v>1</v>
      </c>
      <c r="BL1836">
        <v>1</v>
      </c>
      <c r="BM1836">
        <v>0</v>
      </c>
      <c r="BP1836">
        <v>0</v>
      </c>
      <c r="BQ1836">
        <v>0</v>
      </c>
      <c r="BX1836" t="str">
        <f>"14:20:57.656"</f>
        <v>14:20:57.656</v>
      </c>
      <c r="BY1836" t="str">
        <f>"654915679"</f>
        <v>654915679</v>
      </c>
      <c r="CL1836">
        <v>0</v>
      </c>
      <c r="CM1836">
        <v>2</v>
      </c>
      <c r="CN1836">
        <v>0</v>
      </c>
      <c r="CO1836">
        <v>2</v>
      </c>
      <c r="CP1836">
        <v>0</v>
      </c>
      <c r="CQ1836">
        <v>7</v>
      </c>
      <c r="CR1836" t="s">
        <v>116</v>
      </c>
      <c r="CS1836">
        <v>39</v>
      </c>
      <c r="CT1836">
        <v>2</v>
      </c>
      <c r="CU1836" t="s">
        <v>2259</v>
      </c>
      <c r="CV1836" t="s">
        <v>2260</v>
      </c>
      <c r="CY1836">
        <v>16233016</v>
      </c>
      <c r="CZ1836" t="s">
        <v>119</v>
      </c>
    </row>
    <row r="1837" spans="1:104" x14ac:dyDescent="0.25">
      <c r="A1837" t="str">
        <f>"14:20:58.820"</f>
        <v>14:20:58.820</v>
      </c>
      <c r="B1837" t="s">
        <v>108</v>
      </c>
      <c r="C1837" t="str">
        <f t="shared" si="85"/>
        <v>ffdfd3c0</v>
      </c>
      <c r="D1837" t="s">
        <v>109</v>
      </c>
      <c r="E1837">
        <v>4</v>
      </c>
      <c r="F1837">
        <v>1004</v>
      </c>
      <c r="G1837" t="s">
        <v>110</v>
      </c>
      <c r="J1837" t="s">
        <v>111</v>
      </c>
      <c r="K1837">
        <v>0</v>
      </c>
      <c r="L1837">
        <v>3</v>
      </c>
      <c r="M1837">
        <v>0</v>
      </c>
      <c r="N1837">
        <v>2</v>
      </c>
      <c r="O1837">
        <v>1</v>
      </c>
      <c r="P1837">
        <v>0</v>
      </c>
      <c r="Q1837">
        <v>0</v>
      </c>
      <c r="R1837" t="s">
        <v>112</v>
      </c>
      <c r="S1837" t="str">
        <f>"14:20:58.656"</f>
        <v>14:20:58.656</v>
      </c>
      <c r="T1837" t="str">
        <f>"14:20:58.156"</f>
        <v>14:20:58.156</v>
      </c>
      <c r="U1837" t="str">
        <f t="shared" si="84"/>
        <v>ad5732</v>
      </c>
      <c r="V1837">
        <v>0</v>
      </c>
      <c r="W1837">
        <v>0</v>
      </c>
      <c r="X1837">
        <v>1</v>
      </c>
      <c r="Z1837">
        <v>0</v>
      </c>
      <c r="AA1837">
        <v>9</v>
      </c>
      <c r="AB1837">
        <v>3</v>
      </c>
      <c r="AC1837">
        <v>0</v>
      </c>
      <c r="AD1837">
        <v>10</v>
      </c>
      <c r="AE1837">
        <v>0</v>
      </c>
      <c r="AF1837">
        <v>3</v>
      </c>
      <c r="AG1837">
        <v>2</v>
      </c>
      <c r="AH1837">
        <v>0</v>
      </c>
      <c r="AI1837" t="s">
        <v>3779</v>
      </c>
      <c r="AJ1837">
        <v>39.776086999999997</v>
      </c>
      <c r="AK1837" t="s">
        <v>3780</v>
      </c>
      <c r="AL1837">
        <v>-76.024597</v>
      </c>
      <c r="AM1837">
        <v>100</v>
      </c>
      <c r="AN1837">
        <v>4700</v>
      </c>
      <c r="AO1837" t="s">
        <v>115</v>
      </c>
      <c r="AP1837">
        <v>156</v>
      </c>
      <c r="AQ1837">
        <v>80</v>
      </c>
      <c r="AR1837">
        <v>0</v>
      </c>
      <c r="AZ1837">
        <v>3614</v>
      </c>
      <c r="BA1837">
        <v>1</v>
      </c>
      <c r="BB1837" t="str">
        <f t="shared" si="86"/>
        <v xml:space="preserve">N959MJ  </v>
      </c>
      <c r="BC1837">
        <v>1</v>
      </c>
      <c r="BE1837">
        <v>0</v>
      </c>
      <c r="BF1837">
        <v>0</v>
      </c>
      <c r="BG1837">
        <v>0</v>
      </c>
      <c r="BH1837">
        <v>4900</v>
      </c>
      <c r="BI1837">
        <v>200</v>
      </c>
      <c r="BJ1837">
        <v>1</v>
      </c>
      <c r="BK1837">
        <v>1</v>
      </c>
      <c r="BL1837">
        <v>1</v>
      </c>
      <c r="BM1837">
        <v>0</v>
      </c>
      <c r="BP1837">
        <v>0</v>
      </c>
      <c r="BQ1837">
        <v>0</v>
      </c>
      <c r="BX1837" t="str">
        <f>"14:20:58.664"</f>
        <v>14:20:58.664</v>
      </c>
      <c r="BY1837" t="str">
        <f>"662579610"</f>
        <v>662579610</v>
      </c>
      <c r="CL1837">
        <v>0</v>
      </c>
      <c r="CM1837">
        <v>2</v>
      </c>
      <c r="CN1837">
        <v>0</v>
      </c>
      <c r="CO1837">
        <v>2</v>
      </c>
      <c r="CP1837">
        <v>0</v>
      </c>
      <c r="CQ1837">
        <v>6</v>
      </c>
      <c r="CR1837" t="s">
        <v>116</v>
      </c>
      <c r="CS1837">
        <v>396</v>
      </c>
      <c r="CT1837">
        <v>1</v>
      </c>
      <c r="CU1837" t="s">
        <v>939</v>
      </c>
      <c r="CV1837" t="s">
        <v>940</v>
      </c>
      <c r="CY1837">
        <v>9584087</v>
      </c>
      <c r="CZ1837" t="s">
        <v>119</v>
      </c>
    </row>
    <row r="1838" spans="1:104" x14ac:dyDescent="0.25">
      <c r="A1838" t="str">
        <f>"14:20:59.930"</f>
        <v>14:20:59.930</v>
      </c>
      <c r="B1838" t="s">
        <v>108</v>
      </c>
      <c r="C1838" t="str">
        <f t="shared" si="85"/>
        <v>ffdfd3c0</v>
      </c>
      <c r="D1838" t="s">
        <v>109</v>
      </c>
      <c r="E1838">
        <v>4</v>
      </c>
      <c r="F1838">
        <v>1004</v>
      </c>
      <c r="G1838" t="s">
        <v>110</v>
      </c>
      <c r="J1838" t="s">
        <v>111</v>
      </c>
      <c r="K1838">
        <v>0</v>
      </c>
      <c r="L1838">
        <v>3</v>
      </c>
      <c r="M1838">
        <v>0</v>
      </c>
      <c r="N1838">
        <v>2</v>
      </c>
      <c r="O1838">
        <v>1</v>
      </c>
      <c r="P1838">
        <v>0</v>
      </c>
      <c r="Q1838">
        <v>0</v>
      </c>
      <c r="R1838" t="s">
        <v>112</v>
      </c>
      <c r="S1838" t="str">
        <f>"14:20:59.766"</f>
        <v>14:20:59.766</v>
      </c>
      <c r="T1838" t="str">
        <f>"14:20:59.266"</f>
        <v>14:20:59.266</v>
      </c>
      <c r="U1838" t="str">
        <f t="shared" si="84"/>
        <v>ad5732</v>
      </c>
      <c r="V1838">
        <v>0</v>
      </c>
      <c r="W1838">
        <v>0</v>
      </c>
      <c r="X1838">
        <v>1</v>
      </c>
      <c r="Z1838">
        <v>0</v>
      </c>
      <c r="AA1838">
        <v>9</v>
      </c>
      <c r="AB1838">
        <v>3</v>
      </c>
      <c r="AC1838">
        <v>0</v>
      </c>
      <c r="AD1838">
        <v>10</v>
      </c>
      <c r="AE1838">
        <v>0</v>
      </c>
      <c r="AF1838">
        <v>3</v>
      </c>
      <c r="AG1838">
        <v>2</v>
      </c>
      <c r="AH1838">
        <v>0</v>
      </c>
      <c r="AI1838" t="s">
        <v>3781</v>
      </c>
      <c r="AJ1838">
        <v>39.776494999999997</v>
      </c>
      <c r="AK1838" t="s">
        <v>3782</v>
      </c>
      <c r="AL1838">
        <v>-76.023610000000005</v>
      </c>
      <c r="AM1838">
        <v>100</v>
      </c>
      <c r="AN1838">
        <v>4700</v>
      </c>
      <c r="AO1838" t="s">
        <v>115</v>
      </c>
      <c r="AP1838">
        <v>156</v>
      </c>
      <c r="AQ1838">
        <v>80</v>
      </c>
      <c r="AR1838">
        <v>0</v>
      </c>
      <c r="AZ1838">
        <v>3614</v>
      </c>
      <c r="BA1838">
        <v>1</v>
      </c>
      <c r="BB1838" t="str">
        <f t="shared" si="86"/>
        <v xml:space="preserve">N959MJ  </v>
      </c>
      <c r="BC1838">
        <v>1</v>
      </c>
      <c r="BE1838">
        <v>0</v>
      </c>
      <c r="BF1838">
        <v>0</v>
      </c>
      <c r="BG1838">
        <v>0</v>
      </c>
      <c r="BH1838">
        <v>4900</v>
      </c>
      <c r="BI1838">
        <v>200</v>
      </c>
      <c r="BJ1838">
        <v>1</v>
      </c>
      <c r="BK1838">
        <v>1</v>
      </c>
      <c r="BL1838">
        <v>1</v>
      </c>
      <c r="BM1838">
        <v>0</v>
      </c>
      <c r="BP1838">
        <v>0</v>
      </c>
      <c r="BQ1838">
        <v>0</v>
      </c>
      <c r="BX1838" t="str">
        <f>"14:20:59.773"</f>
        <v>14:20:59.773</v>
      </c>
      <c r="BY1838" t="str">
        <f>"773402243"</f>
        <v>773402243</v>
      </c>
      <c r="CL1838">
        <v>0</v>
      </c>
      <c r="CM1838">
        <v>2</v>
      </c>
      <c r="CN1838">
        <v>0</v>
      </c>
      <c r="CO1838">
        <v>2</v>
      </c>
      <c r="CP1838">
        <v>0</v>
      </c>
      <c r="CQ1838">
        <v>6</v>
      </c>
      <c r="CR1838" t="s">
        <v>116</v>
      </c>
      <c r="CS1838">
        <v>39</v>
      </c>
      <c r="CT1838">
        <v>2</v>
      </c>
      <c r="CU1838" t="s">
        <v>2259</v>
      </c>
      <c r="CV1838" t="s">
        <v>2260</v>
      </c>
      <c r="CY1838">
        <v>16236256</v>
      </c>
      <c r="CZ1838" t="s">
        <v>119</v>
      </c>
    </row>
    <row r="1839" spans="1:104" x14ac:dyDescent="0.25">
      <c r="A1839" t="str">
        <f>"14:21:00.945"</f>
        <v>14:21:00.945</v>
      </c>
      <c r="B1839" t="s">
        <v>108</v>
      </c>
      <c r="C1839" t="str">
        <f t="shared" si="85"/>
        <v>ffdfd3c0</v>
      </c>
      <c r="D1839" t="s">
        <v>109</v>
      </c>
      <c r="E1839">
        <v>4</v>
      </c>
      <c r="F1839">
        <v>1004</v>
      </c>
      <c r="G1839" t="s">
        <v>110</v>
      </c>
      <c r="J1839" t="s">
        <v>111</v>
      </c>
      <c r="K1839">
        <v>0</v>
      </c>
      <c r="L1839">
        <v>3</v>
      </c>
      <c r="M1839">
        <v>0</v>
      </c>
      <c r="N1839">
        <v>2</v>
      </c>
      <c r="O1839">
        <v>1</v>
      </c>
      <c r="P1839">
        <v>0</v>
      </c>
      <c r="Q1839">
        <v>0</v>
      </c>
      <c r="R1839" t="s">
        <v>112</v>
      </c>
      <c r="S1839" t="str">
        <f>"14:21:00.727"</f>
        <v>14:21:00.727</v>
      </c>
      <c r="T1839" t="str">
        <f>"14:21:00.227"</f>
        <v>14:21:00.227</v>
      </c>
      <c r="U1839" t="str">
        <f t="shared" si="84"/>
        <v>ad5732</v>
      </c>
      <c r="V1839">
        <v>0</v>
      </c>
      <c r="W1839">
        <v>0</v>
      </c>
      <c r="X1839">
        <v>1</v>
      </c>
      <c r="Z1839">
        <v>0</v>
      </c>
      <c r="AA1839">
        <v>9</v>
      </c>
      <c r="AB1839">
        <v>3</v>
      </c>
      <c r="AC1839">
        <v>0</v>
      </c>
      <c r="AD1839">
        <v>10</v>
      </c>
      <c r="AE1839">
        <v>0</v>
      </c>
      <c r="AF1839">
        <v>3</v>
      </c>
      <c r="AG1839">
        <v>2</v>
      </c>
      <c r="AH1839">
        <v>0</v>
      </c>
      <c r="AI1839" t="s">
        <v>3783</v>
      </c>
      <c r="AJ1839">
        <v>39.776881000000003</v>
      </c>
      <c r="AK1839" t="s">
        <v>3784</v>
      </c>
      <c r="AL1839">
        <v>-76.022644</v>
      </c>
      <c r="AM1839">
        <v>100</v>
      </c>
      <c r="AN1839">
        <v>4700</v>
      </c>
      <c r="AO1839" t="s">
        <v>115</v>
      </c>
      <c r="AP1839">
        <v>156</v>
      </c>
      <c r="AQ1839">
        <v>80</v>
      </c>
      <c r="AR1839">
        <v>0</v>
      </c>
      <c r="AZ1839">
        <v>3614</v>
      </c>
      <c r="BA1839">
        <v>1</v>
      </c>
      <c r="BB1839" t="str">
        <f t="shared" si="86"/>
        <v xml:space="preserve">N959MJ  </v>
      </c>
      <c r="BC1839">
        <v>1</v>
      </c>
      <c r="BE1839">
        <v>0</v>
      </c>
      <c r="BF1839">
        <v>0</v>
      </c>
      <c r="BG1839">
        <v>0</v>
      </c>
      <c r="BH1839">
        <v>4900</v>
      </c>
      <c r="BI1839">
        <v>200</v>
      </c>
      <c r="BJ1839">
        <v>1</v>
      </c>
      <c r="BK1839">
        <v>1</v>
      </c>
      <c r="BL1839">
        <v>1</v>
      </c>
      <c r="BM1839">
        <v>0</v>
      </c>
      <c r="BP1839">
        <v>0</v>
      </c>
      <c r="BQ1839">
        <v>0</v>
      </c>
      <c r="BX1839" t="str">
        <f>"14:21:00.734"</f>
        <v>14:21:00.734</v>
      </c>
      <c r="BY1839" t="str">
        <f>"731882198"</f>
        <v>731882198</v>
      </c>
      <c r="CL1839">
        <v>0</v>
      </c>
      <c r="CM1839">
        <v>2</v>
      </c>
      <c r="CN1839">
        <v>0</v>
      </c>
      <c r="CO1839">
        <v>2</v>
      </c>
      <c r="CP1839">
        <v>0</v>
      </c>
      <c r="CQ1839">
        <v>7</v>
      </c>
      <c r="CR1839" t="s">
        <v>116</v>
      </c>
      <c r="CS1839">
        <v>39</v>
      </c>
      <c r="CT1839">
        <v>2</v>
      </c>
      <c r="CU1839" t="s">
        <v>2259</v>
      </c>
      <c r="CV1839" t="s">
        <v>2260</v>
      </c>
      <c r="CY1839">
        <v>16237702</v>
      </c>
      <c r="CZ1839" t="s">
        <v>119</v>
      </c>
    </row>
    <row r="1840" spans="1:104" x14ac:dyDescent="0.25">
      <c r="A1840" t="str">
        <f>"14:21:01.898"</f>
        <v>14:21:01.898</v>
      </c>
      <c r="B1840" t="s">
        <v>108</v>
      </c>
      <c r="C1840" t="str">
        <f t="shared" si="85"/>
        <v>ffdfd3c0</v>
      </c>
      <c r="D1840" t="s">
        <v>109</v>
      </c>
      <c r="E1840">
        <v>4</v>
      </c>
      <c r="F1840">
        <v>1004</v>
      </c>
      <c r="G1840" t="s">
        <v>110</v>
      </c>
      <c r="J1840" t="s">
        <v>111</v>
      </c>
      <c r="K1840">
        <v>0</v>
      </c>
      <c r="L1840">
        <v>3</v>
      </c>
      <c r="M1840">
        <v>0</v>
      </c>
      <c r="N1840">
        <v>2</v>
      </c>
      <c r="O1840">
        <v>1</v>
      </c>
      <c r="P1840">
        <v>0</v>
      </c>
      <c r="Q1840">
        <v>0</v>
      </c>
      <c r="R1840" t="s">
        <v>112</v>
      </c>
      <c r="S1840" t="str">
        <f>"14:21:01.734"</f>
        <v>14:21:01.734</v>
      </c>
      <c r="T1840" t="str">
        <f>"14:21:01.234"</f>
        <v>14:21:01.234</v>
      </c>
      <c r="U1840" t="str">
        <f t="shared" si="84"/>
        <v>ad5732</v>
      </c>
      <c r="V1840">
        <v>0</v>
      </c>
      <c r="W1840">
        <v>0</v>
      </c>
      <c r="X1840">
        <v>1</v>
      </c>
      <c r="Z1840">
        <v>0</v>
      </c>
      <c r="AA1840">
        <v>9</v>
      </c>
      <c r="AB1840">
        <v>3</v>
      </c>
      <c r="AC1840">
        <v>0</v>
      </c>
      <c r="AD1840">
        <v>10</v>
      </c>
      <c r="AE1840">
        <v>0</v>
      </c>
      <c r="AF1840">
        <v>3</v>
      </c>
      <c r="AG1840">
        <v>2</v>
      </c>
      <c r="AH1840">
        <v>0</v>
      </c>
      <c r="AI1840" t="s">
        <v>3785</v>
      </c>
      <c r="AJ1840">
        <v>39.777245999999998</v>
      </c>
      <c r="AK1840" t="s">
        <v>3786</v>
      </c>
      <c r="AL1840">
        <v>-76.021677999999994</v>
      </c>
      <c r="AM1840">
        <v>100</v>
      </c>
      <c r="AN1840">
        <v>4700</v>
      </c>
      <c r="AO1840" t="s">
        <v>115</v>
      </c>
      <c r="AP1840">
        <v>156</v>
      </c>
      <c r="AQ1840">
        <v>80</v>
      </c>
      <c r="AR1840">
        <v>0</v>
      </c>
      <c r="AZ1840">
        <v>3614</v>
      </c>
      <c r="BA1840">
        <v>1</v>
      </c>
      <c r="BB1840" t="str">
        <f t="shared" si="86"/>
        <v xml:space="preserve">N959MJ  </v>
      </c>
      <c r="BC1840">
        <v>1</v>
      </c>
      <c r="BE1840">
        <v>0</v>
      </c>
      <c r="BF1840">
        <v>0</v>
      </c>
      <c r="BG1840">
        <v>0</v>
      </c>
      <c r="BH1840">
        <v>4900</v>
      </c>
      <c r="BI1840">
        <v>200</v>
      </c>
      <c r="BJ1840">
        <v>1</v>
      </c>
      <c r="BK1840">
        <v>1</v>
      </c>
      <c r="BL1840">
        <v>1</v>
      </c>
      <c r="BM1840">
        <v>0</v>
      </c>
      <c r="BP1840">
        <v>0</v>
      </c>
      <c r="BQ1840">
        <v>0</v>
      </c>
      <c r="BX1840" t="str">
        <f>"14:21:01.734"</f>
        <v>14:21:01.734</v>
      </c>
      <c r="BY1840" t="str">
        <f>"734599771"</f>
        <v>734599771</v>
      </c>
      <c r="CL1840">
        <v>0</v>
      </c>
      <c r="CM1840">
        <v>2</v>
      </c>
      <c r="CN1840">
        <v>0</v>
      </c>
      <c r="CO1840">
        <v>2</v>
      </c>
      <c r="CP1840">
        <v>0</v>
      </c>
      <c r="CQ1840">
        <v>7</v>
      </c>
      <c r="CR1840" t="s">
        <v>116</v>
      </c>
      <c r="CS1840">
        <v>39</v>
      </c>
      <c r="CT1840">
        <v>2</v>
      </c>
      <c r="CU1840" t="s">
        <v>2259</v>
      </c>
      <c r="CV1840" t="s">
        <v>2260</v>
      </c>
      <c r="CY1840">
        <v>16239325</v>
      </c>
      <c r="CZ1840" t="s">
        <v>119</v>
      </c>
    </row>
    <row r="1841" spans="1:104" x14ac:dyDescent="0.25">
      <c r="A1841" t="str">
        <f>"14:21:02.859"</f>
        <v>14:21:02.859</v>
      </c>
      <c r="B1841" t="s">
        <v>108</v>
      </c>
      <c r="C1841" t="str">
        <f t="shared" si="85"/>
        <v>ffdfd3c0</v>
      </c>
      <c r="D1841" t="s">
        <v>109</v>
      </c>
      <c r="E1841">
        <v>4</v>
      </c>
      <c r="F1841">
        <v>1004</v>
      </c>
      <c r="G1841" t="s">
        <v>110</v>
      </c>
      <c r="J1841" t="s">
        <v>111</v>
      </c>
      <c r="K1841">
        <v>0</v>
      </c>
      <c r="L1841">
        <v>3</v>
      </c>
      <c r="M1841">
        <v>0</v>
      </c>
      <c r="N1841">
        <v>2</v>
      </c>
      <c r="O1841">
        <v>1</v>
      </c>
      <c r="P1841">
        <v>0</v>
      </c>
      <c r="Q1841">
        <v>0</v>
      </c>
      <c r="R1841" t="s">
        <v>112</v>
      </c>
      <c r="S1841" t="str">
        <f>"14:21:02.695"</f>
        <v>14:21:02.695</v>
      </c>
      <c r="T1841" t="str">
        <f>"14:21:02.297"</f>
        <v>14:21:02.297</v>
      </c>
      <c r="U1841" t="str">
        <f t="shared" si="84"/>
        <v>ad5732</v>
      </c>
      <c r="V1841">
        <v>0</v>
      </c>
      <c r="W1841">
        <v>0</v>
      </c>
      <c r="X1841">
        <v>1</v>
      </c>
      <c r="Z1841">
        <v>0</v>
      </c>
      <c r="AA1841">
        <v>9</v>
      </c>
      <c r="AB1841">
        <v>3</v>
      </c>
      <c r="AC1841">
        <v>0</v>
      </c>
      <c r="AD1841">
        <v>10</v>
      </c>
      <c r="AE1841">
        <v>0</v>
      </c>
      <c r="AF1841">
        <v>3</v>
      </c>
      <c r="AG1841">
        <v>2</v>
      </c>
      <c r="AH1841">
        <v>0</v>
      </c>
      <c r="AI1841" t="s">
        <v>3787</v>
      </c>
      <c r="AJ1841">
        <v>39.777610000000003</v>
      </c>
      <c r="AK1841" t="s">
        <v>3788</v>
      </c>
      <c r="AL1841">
        <v>-76.020734000000004</v>
      </c>
      <c r="AM1841">
        <v>100</v>
      </c>
      <c r="AN1841">
        <v>4700</v>
      </c>
      <c r="AO1841" t="s">
        <v>115</v>
      </c>
      <c r="AP1841">
        <v>156</v>
      </c>
      <c r="AQ1841">
        <v>80</v>
      </c>
      <c r="AR1841">
        <v>0</v>
      </c>
      <c r="AZ1841">
        <v>3614</v>
      </c>
      <c r="BA1841">
        <v>1</v>
      </c>
      <c r="BB1841" t="str">
        <f t="shared" si="86"/>
        <v xml:space="preserve">N959MJ  </v>
      </c>
      <c r="BC1841">
        <v>1</v>
      </c>
      <c r="BE1841">
        <v>0</v>
      </c>
      <c r="BF1841">
        <v>0</v>
      </c>
      <c r="BG1841">
        <v>0</v>
      </c>
      <c r="BH1841">
        <v>4900</v>
      </c>
      <c r="BI1841">
        <v>200</v>
      </c>
      <c r="BJ1841">
        <v>1</v>
      </c>
      <c r="BK1841">
        <v>1</v>
      </c>
      <c r="BL1841">
        <v>1</v>
      </c>
      <c r="BM1841">
        <v>0</v>
      </c>
      <c r="BP1841">
        <v>0</v>
      </c>
      <c r="BQ1841">
        <v>0</v>
      </c>
      <c r="BX1841" t="str">
        <f>"14:21:02.695"</f>
        <v>14:21:02.695</v>
      </c>
      <c r="BY1841" t="str">
        <f>"697995047"</f>
        <v>697995047</v>
      </c>
      <c r="CL1841">
        <v>0</v>
      </c>
      <c r="CM1841">
        <v>2</v>
      </c>
      <c r="CN1841">
        <v>0</v>
      </c>
      <c r="CO1841">
        <v>2</v>
      </c>
      <c r="CP1841">
        <v>0</v>
      </c>
      <c r="CQ1841">
        <v>7</v>
      </c>
      <c r="CR1841" t="s">
        <v>116</v>
      </c>
      <c r="CS1841">
        <v>39</v>
      </c>
      <c r="CT1841">
        <v>2</v>
      </c>
      <c r="CU1841" t="s">
        <v>2259</v>
      </c>
      <c r="CV1841" t="s">
        <v>2260</v>
      </c>
      <c r="CY1841">
        <v>16240839</v>
      </c>
      <c r="CZ1841" t="s">
        <v>119</v>
      </c>
    </row>
    <row r="1842" spans="1:104" x14ac:dyDescent="0.25">
      <c r="A1842" t="str">
        <f>"14:21:03.867"</f>
        <v>14:21:03.867</v>
      </c>
      <c r="B1842" t="s">
        <v>108</v>
      </c>
      <c r="C1842" t="str">
        <f t="shared" si="85"/>
        <v>ffdfd3c0</v>
      </c>
      <c r="D1842" t="s">
        <v>109</v>
      </c>
      <c r="E1842">
        <v>4</v>
      </c>
      <c r="F1842">
        <v>1004</v>
      </c>
      <c r="G1842" t="s">
        <v>110</v>
      </c>
      <c r="J1842" t="s">
        <v>111</v>
      </c>
      <c r="K1842">
        <v>0</v>
      </c>
      <c r="L1842">
        <v>3</v>
      </c>
      <c r="M1842">
        <v>0</v>
      </c>
      <c r="N1842">
        <v>2</v>
      </c>
      <c r="O1842">
        <v>1</v>
      </c>
      <c r="P1842">
        <v>0</v>
      </c>
      <c r="Q1842">
        <v>0</v>
      </c>
      <c r="R1842" t="s">
        <v>112</v>
      </c>
      <c r="S1842" t="str">
        <f>"14:21:03.672"</f>
        <v>14:21:03.672</v>
      </c>
      <c r="T1842" t="str">
        <f>"14:21:03.273"</f>
        <v>14:21:03.273</v>
      </c>
      <c r="U1842" t="str">
        <f t="shared" si="84"/>
        <v>ad5732</v>
      </c>
      <c r="V1842">
        <v>0</v>
      </c>
      <c r="W1842">
        <v>0</v>
      </c>
      <c r="X1842">
        <v>1</v>
      </c>
      <c r="Z1842">
        <v>0</v>
      </c>
      <c r="AA1842">
        <v>9</v>
      </c>
      <c r="AB1842">
        <v>3</v>
      </c>
      <c r="AC1842">
        <v>0</v>
      </c>
      <c r="AD1842">
        <v>10</v>
      </c>
      <c r="AE1842">
        <v>0</v>
      </c>
      <c r="AF1842">
        <v>3</v>
      </c>
      <c r="AG1842">
        <v>2</v>
      </c>
      <c r="AH1842">
        <v>0</v>
      </c>
      <c r="AI1842" t="s">
        <v>3789</v>
      </c>
      <c r="AJ1842">
        <v>39.777954000000001</v>
      </c>
      <c r="AK1842" t="s">
        <v>3790</v>
      </c>
      <c r="AL1842">
        <v>-76.019897</v>
      </c>
      <c r="AM1842">
        <v>100</v>
      </c>
      <c r="AN1842">
        <v>4700</v>
      </c>
      <c r="AO1842" t="s">
        <v>115</v>
      </c>
      <c r="AP1842">
        <v>156</v>
      </c>
      <c r="AQ1842">
        <v>80</v>
      </c>
      <c r="AR1842">
        <v>0</v>
      </c>
      <c r="AZ1842">
        <v>3614</v>
      </c>
      <c r="BA1842">
        <v>1</v>
      </c>
      <c r="BB1842" t="str">
        <f t="shared" si="86"/>
        <v xml:space="preserve">N959MJ  </v>
      </c>
      <c r="BC1842">
        <v>1</v>
      </c>
      <c r="BE1842">
        <v>0</v>
      </c>
      <c r="BF1842">
        <v>0</v>
      </c>
      <c r="BG1842">
        <v>0</v>
      </c>
      <c r="BH1842">
        <v>4900</v>
      </c>
      <c r="BI1842">
        <v>200</v>
      </c>
      <c r="BJ1842">
        <v>1</v>
      </c>
      <c r="BK1842">
        <v>1</v>
      </c>
      <c r="BL1842">
        <v>1</v>
      </c>
      <c r="BM1842">
        <v>0</v>
      </c>
      <c r="BP1842">
        <v>0</v>
      </c>
      <c r="BQ1842">
        <v>0</v>
      </c>
      <c r="BX1842" t="str">
        <f>"14:21:03.680"</f>
        <v>14:21:03.680</v>
      </c>
      <c r="BY1842" t="str">
        <f>"676136110"</f>
        <v>676136110</v>
      </c>
      <c r="CL1842">
        <v>0</v>
      </c>
      <c r="CM1842">
        <v>2</v>
      </c>
      <c r="CN1842">
        <v>0</v>
      </c>
      <c r="CO1842">
        <v>2</v>
      </c>
      <c r="CP1842">
        <v>0</v>
      </c>
      <c r="CQ1842">
        <v>7</v>
      </c>
      <c r="CR1842" t="s">
        <v>116</v>
      </c>
      <c r="CS1842">
        <v>39</v>
      </c>
      <c r="CT1842">
        <v>2</v>
      </c>
      <c r="CU1842" t="s">
        <v>2259</v>
      </c>
      <c r="CV1842" t="s">
        <v>2260</v>
      </c>
      <c r="CY1842">
        <v>16242439</v>
      </c>
      <c r="CZ1842" t="s">
        <v>119</v>
      </c>
    </row>
    <row r="1843" spans="1:104" x14ac:dyDescent="0.25">
      <c r="A1843" t="str">
        <f>"14:21:04.828"</f>
        <v>14:21:04.828</v>
      </c>
      <c r="B1843" t="s">
        <v>108</v>
      </c>
      <c r="C1843" t="str">
        <f t="shared" si="85"/>
        <v>ffdfd3c0</v>
      </c>
      <c r="D1843" t="s">
        <v>109</v>
      </c>
      <c r="E1843">
        <v>4</v>
      </c>
      <c r="F1843">
        <v>1004</v>
      </c>
      <c r="G1843" t="s">
        <v>110</v>
      </c>
      <c r="J1843" t="s">
        <v>111</v>
      </c>
      <c r="K1843">
        <v>0</v>
      </c>
      <c r="L1843">
        <v>3</v>
      </c>
      <c r="M1843">
        <v>0</v>
      </c>
      <c r="N1843">
        <v>2</v>
      </c>
      <c r="O1843">
        <v>1</v>
      </c>
      <c r="P1843">
        <v>0</v>
      </c>
      <c r="Q1843">
        <v>0</v>
      </c>
      <c r="R1843" t="s">
        <v>112</v>
      </c>
      <c r="S1843" t="str">
        <f>"14:21:04.672"</f>
        <v>14:21:04.672</v>
      </c>
      <c r="T1843" t="str">
        <f>"14:21:04.172"</f>
        <v>14:21:04.172</v>
      </c>
      <c r="U1843" t="str">
        <f t="shared" si="84"/>
        <v>ad5732</v>
      </c>
      <c r="V1843">
        <v>0</v>
      </c>
      <c r="W1843">
        <v>0</v>
      </c>
      <c r="X1843">
        <v>1</v>
      </c>
      <c r="Z1843">
        <v>0</v>
      </c>
      <c r="AA1843">
        <v>9</v>
      </c>
      <c r="AB1843">
        <v>3</v>
      </c>
      <c r="AC1843">
        <v>0</v>
      </c>
      <c r="AD1843">
        <v>10</v>
      </c>
      <c r="AE1843">
        <v>0</v>
      </c>
      <c r="AF1843">
        <v>3</v>
      </c>
      <c r="AG1843">
        <v>2</v>
      </c>
      <c r="AH1843">
        <v>0</v>
      </c>
      <c r="AI1843" t="s">
        <v>3791</v>
      </c>
      <c r="AJ1843">
        <v>39.778317999999999</v>
      </c>
      <c r="AK1843" t="s">
        <v>3792</v>
      </c>
      <c r="AL1843">
        <v>-76.018974999999998</v>
      </c>
      <c r="AM1843">
        <v>100</v>
      </c>
      <c r="AN1843">
        <v>4700</v>
      </c>
      <c r="AO1843" t="s">
        <v>115</v>
      </c>
      <c r="AP1843">
        <v>156</v>
      </c>
      <c r="AQ1843">
        <v>80</v>
      </c>
      <c r="AR1843">
        <v>0</v>
      </c>
      <c r="AZ1843">
        <v>3614</v>
      </c>
      <c r="BA1843">
        <v>1</v>
      </c>
      <c r="BB1843" t="str">
        <f t="shared" si="86"/>
        <v xml:space="preserve">N959MJ  </v>
      </c>
      <c r="BC1843">
        <v>1</v>
      </c>
      <c r="BE1843">
        <v>0</v>
      </c>
      <c r="BF1843">
        <v>0</v>
      </c>
      <c r="BG1843">
        <v>0</v>
      </c>
      <c r="BH1843">
        <v>4900</v>
      </c>
      <c r="BI1843">
        <v>200</v>
      </c>
      <c r="BJ1843">
        <v>1</v>
      </c>
      <c r="BK1843">
        <v>1</v>
      </c>
      <c r="BL1843">
        <v>1</v>
      </c>
      <c r="BM1843">
        <v>0</v>
      </c>
      <c r="BP1843">
        <v>0</v>
      </c>
      <c r="BQ1843">
        <v>0</v>
      </c>
      <c r="BX1843" t="str">
        <f>"14:21:04.680"</f>
        <v>14:21:04.680</v>
      </c>
      <c r="BY1843" t="str">
        <f>"677215209"</f>
        <v>677215209</v>
      </c>
      <c r="CL1843">
        <v>0</v>
      </c>
      <c r="CM1843">
        <v>2</v>
      </c>
      <c r="CN1843">
        <v>0</v>
      </c>
      <c r="CO1843">
        <v>2</v>
      </c>
      <c r="CP1843">
        <v>0</v>
      </c>
      <c r="CQ1843">
        <v>7</v>
      </c>
      <c r="CR1843" t="s">
        <v>116</v>
      </c>
      <c r="CS1843">
        <v>39</v>
      </c>
      <c r="CT1843">
        <v>2</v>
      </c>
      <c r="CU1843" t="s">
        <v>2259</v>
      </c>
      <c r="CV1843" t="s">
        <v>2260</v>
      </c>
      <c r="CY1843">
        <v>16244054</v>
      </c>
      <c r="CZ1843" t="s">
        <v>119</v>
      </c>
    </row>
    <row r="1844" spans="1:104" x14ac:dyDescent="0.25">
      <c r="A1844" t="str">
        <f>"14:21:05.992"</f>
        <v>14:21:05.992</v>
      </c>
      <c r="B1844" t="s">
        <v>108</v>
      </c>
      <c r="C1844" t="str">
        <f t="shared" si="85"/>
        <v>ffdfd3c0</v>
      </c>
      <c r="D1844" t="s">
        <v>109</v>
      </c>
      <c r="E1844">
        <v>4</v>
      </c>
      <c r="F1844">
        <v>1004</v>
      </c>
      <c r="G1844" t="s">
        <v>110</v>
      </c>
      <c r="J1844" t="s">
        <v>111</v>
      </c>
      <c r="K1844">
        <v>0</v>
      </c>
      <c r="L1844">
        <v>3</v>
      </c>
      <c r="M1844">
        <v>0</v>
      </c>
      <c r="N1844">
        <v>2</v>
      </c>
      <c r="O1844">
        <v>1</v>
      </c>
      <c r="P1844">
        <v>0</v>
      </c>
      <c r="Q1844">
        <v>0</v>
      </c>
      <c r="R1844" t="s">
        <v>112</v>
      </c>
      <c r="S1844" t="str">
        <f>"14:21:05.828"</f>
        <v>14:21:05.828</v>
      </c>
      <c r="T1844" t="str">
        <f>"14:21:05.328"</f>
        <v>14:21:05.328</v>
      </c>
      <c r="U1844" t="str">
        <f t="shared" si="84"/>
        <v>ad5732</v>
      </c>
      <c r="V1844">
        <v>0</v>
      </c>
      <c r="W1844">
        <v>0</v>
      </c>
      <c r="X1844">
        <v>1</v>
      </c>
      <c r="Z1844">
        <v>0</v>
      </c>
      <c r="AA1844">
        <v>9</v>
      </c>
      <c r="AB1844">
        <v>3</v>
      </c>
      <c r="AC1844">
        <v>0</v>
      </c>
      <c r="AD1844">
        <v>10</v>
      </c>
      <c r="AE1844">
        <v>0</v>
      </c>
      <c r="AF1844">
        <v>3</v>
      </c>
      <c r="AG1844">
        <v>2</v>
      </c>
      <c r="AH1844">
        <v>0</v>
      </c>
      <c r="AI1844" t="s">
        <v>3793</v>
      </c>
      <c r="AJ1844">
        <v>39.778748</v>
      </c>
      <c r="AK1844" t="s">
        <v>3794</v>
      </c>
      <c r="AL1844">
        <v>-76.017880000000005</v>
      </c>
      <c r="AM1844">
        <v>100</v>
      </c>
      <c r="AN1844">
        <v>4700</v>
      </c>
      <c r="AO1844" t="s">
        <v>115</v>
      </c>
      <c r="AP1844">
        <v>156</v>
      </c>
      <c r="AQ1844">
        <v>80</v>
      </c>
      <c r="AR1844">
        <v>0</v>
      </c>
      <c r="AZ1844">
        <v>3614</v>
      </c>
      <c r="BA1844">
        <v>1</v>
      </c>
      <c r="BB1844" t="str">
        <f t="shared" si="86"/>
        <v xml:space="preserve">N959MJ  </v>
      </c>
      <c r="BC1844">
        <v>1</v>
      </c>
      <c r="BE1844">
        <v>0</v>
      </c>
      <c r="BF1844">
        <v>0</v>
      </c>
      <c r="BG1844">
        <v>0</v>
      </c>
      <c r="BH1844">
        <v>4900</v>
      </c>
      <c r="BI1844">
        <v>200</v>
      </c>
      <c r="BJ1844">
        <v>1</v>
      </c>
      <c r="BK1844">
        <v>1</v>
      </c>
      <c r="BL1844">
        <v>1</v>
      </c>
      <c r="BM1844">
        <v>0</v>
      </c>
      <c r="BP1844">
        <v>0</v>
      </c>
      <c r="BQ1844">
        <v>0</v>
      </c>
      <c r="BX1844" t="str">
        <f>"14:21:05.836"</f>
        <v>14:21:05.836</v>
      </c>
      <c r="BY1844" t="str">
        <f>"835583360"</f>
        <v>835583360</v>
      </c>
      <c r="CL1844">
        <v>0</v>
      </c>
      <c r="CM1844">
        <v>2</v>
      </c>
      <c r="CN1844">
        <v>0</v>
      </c>
      <c r="CO1844">
        <v>2</v>
      </c>
      <c r="CP1844">
        <v>0</v>
      </c>
      <c r="CQ1844">
        <v>7</v>
      </c>
      <c r="CR1844" t="s">
        <v>116</v>
      </c>
      <c r="CS1844">
        <v>39</v>
      </c>
      <c r="CT1844">
        <v>2</v>
      </c>
      <c r="CU1844" t="s">
        <v>2259</v>
      </c>
      <c r="CV1844" t="s">
        <v>2260</v>
      </c>
      <c r="CY1844">
        <v>16245812</v>
      </c>
      <c r="CZ1844" t="s">
        <v>119</v>
      </c>
    </row>
    <row r="1845" spans="1:104" x14ac:dyDescent="0.25">
      <c r="A1845" t="str">
        <f>"14:21:07.000"</f>
        <v>14:21:07.000</v>
      </c>
      <c r="B1845" t="s">
        <v>108</v>
      </c>
      <c r="C1845" t="str">
        <f t="shared" si="85"/>
        <v>ffdfd3c0</v>
      </c>
      <c r="D1845" t="s">
        <v>109</v>
      </c>
      <c r="E1845">
        <v>4</v>
      </c>
      <c r="F1845">
        <v>1004</v>
      </c>
      <c r="G1845" t="s">
        <v>110</v>
      </c>
      <c r="J1845" t="s">
        <v>111</v>
      </c>
      <c r="K1845">
        <v>0</v>
      </c>
      <c r="L1845">
        <v>3</v>
      </c>
      <c r="M1845">
        <v>0</v>
      </c>
      <c r="N1845">
        <v>2</v>
      </c>
      <c r="O1845">
        <v>1</v>
      </c>
      <c r="P1845">
        <v>0</v>
      </c>
      <c r="Q1845">
        <v>0</v>
      </c>
      <c r="R1845" t="s">
        <v>112</v>
      </c>
      <c r="S1845" t="str">
        <f>"14:21:06.797"</f>
        <v>14:21:06.797</v>
      </c>
      <c r="T1845" t="str">
        <f>"14:21:06.297"</f>
        <v>14:21:06.297</v>
      </c>
      <c r="U1845" t="str">
        <f t="shared" si="84"/>
        <v>ad5732</v>
      </c>
      <c r="V1845">
        <v>0</v>
      </c>
      <c r="W1845">
        <v>0</v>
      </c>
      <c r="X1845">
        <v>1</v>
      </c>
      <c r="Z1845">
        <v>0</v>
      </c>
      <c r="AA1845">
        <v>9</v>
      </c>
      <c r="AB1845">
        <v>3</v>
      </c>
      <c r="AC1845">
        <v>0</v>
      </c>
      <c r="AD1845">
        <v>10</v>
      </c>
      <c r="AE1845">
        <v>0</v>
      </c>
      <c r="AF1845">
        <v>3</v>
      </c>
      <c r="AG1845">
        <v>2</v>
      </c>
      <c r="AH1845">
        <v>0</v>
      </c>
      <c r="AI1845" t="s">
        <v>3795</v>
      </c>
      <c r="AJ1845">
        <v>39.779111999999998</v>
      </c>
      <c r="AK1845" t="s">
        <v>3796</v>
      </c>
      <c r="AL1845">
        <v>-76.016914999999997</v>
      </c>
      <c r="AM1845">
        <v>100</v>
      </c>
      <c r="AN1845">
        <v>4700</v>
      </c>
      <c r="AO1845" t="s">
        <v>115</v>
      </c>
      <c r="AP1845">
        <v>156</v>
      </c>
      <c r="AQ1845">
        <v>80</v>
      </c>
      <c r="AR1845">
        <v>0</v>
      </c>
      <c r="AZ1845">
        <v>3614</v>
      </c>
      <c r="BA1845">
        <v>1</v>
      </c>
      <c r="BB1845" t="str">
        <f t="shared" si="86"/>
        <v xml:space="preserve">N959MJ  </v>
      </c>
      <c r="BC1845">
        <v>1</v>
      </c>
      <c r="BE1845">
        <v>0</v>
      </c>
      <c r="BF1845">
        <v>0</v>
      </c>
      <c r="BG1845">
        <v>0</v>
      </c>
      <c r="BH1845">
        <v>4900</v>
      </c>
      <c r="BI1845">
        <v>200</v>
      </c>
      <c r="BJ1845">
        <v>1</v>
      </c>
      <c r="BK1845">
        <v>1</v>
      </c>
      <c r="BL1845">
        <v>1</v>
      </c>
      <c r="BM1845">
        <v>0</v>
      </c>
      <c r="BP1845">
        <v>0</v>
      </c>
      <c r="BQ1845">
        <v>0</v>
      </c>
      <c r="BX1845" t="str">
        <f>"14:21:06.805"</f>
        <v>14:21:06.805</v>
      </c>
      <c r="BY1845" t="str">
        <f>"804076161"</f>
        <v>804076161</v>
      </c>
      <c r="CL1845">
        <v>0</v>
      </c>
      <c r="CM1845">
        <v>2</v>
      </c>
      <c r="CN1845">
        <v>0</v>
      </c>
      <c r="CO1845">
        <v>2</v>
      </c>
      <c r="CP1845">
        <v>0</v>
      </c>
      <c r="CQ1845">
        <v>3</v>
      </c>
      <c r="CR1845" t="s">
        <v>116</v>
      </c>
      <c r="CS1845">
        <v>148</v>
      </c>
      <c r="CT1845">
        <v>1</v>
      </c>
      <c r="CU1845" t="s">
        <v>470</v>
      </c>
      <c r="CV1845" t="s">
        <v>471</v>
      </c>
      <c r="CY1845">
        <v>7958293</v>
      </c>
      <c r="CZ1845" t="s">
        <v>119</v>
      </c>
    </row>
    <row r="1846" spans="1:104" x14ac:dyDescent="0.25">
      <c r="A1846" t="str">
        <f>"14:21:07.961"</f>
        <v>14:21:07.961</v>
      </c>
      <c r="B1846" t="s">
        <v>108</v>
      </c>
      <c r="C1846" t="str">
        <f t="shared" si="85"/>
        <v>ffdfd3c0</v>
      </c>
      <c r="D1846" t="s">
        <v>109</v>
      </c>
      <c r="E1846">
        <v>4</v>
      </c>
      <c r="F1846">
        <v>1004</v>
      </c>
      <c r="G1846" t="s">
        <v>110</v>
      </c>
      <c r="J1846" t="s">
        <v>111</v>
      </c>
      <c r="K1846">
        <v>0</v>
      </c>
      <c r="L1846">
        <v>3</v>
      </c>
      <c r="M1846">
        <v>0</v>
      </c>
      <c r="N1846">
        <v>2</v>
      </c>
      <c r="O1846">
        <v>1</v>
      </c>
      <c r="P1846">
        <v>0</v>
      </c>
      <c r="Q1846">
        <v>0</v>
      </c>
      <c r="R1846" t="s">
        <v>112</v>
      </c>
      <c r="S1846" t="str">
        <f>"14:21:07.750"</f>
        <v>14:21:07.750</v>
      </c>
      <c r="T1846" t="str">
        <f>"14:21:07.352"</f>
        <v>14:21:07.352</v>
      </c>
      <c r="U1846" t="str">
        <f t="shared" si="84"/>
        <v>ad5732</v>
      </c>
      <c r="V1846">
        <v>0</v>
      </c>
      <c r="W1846">
        <v>0</v>
      </c>
      <c r="X1846">
        <v>1</v>
      </c>
      <c r="Z1846">
        <v>0</v>
      </c>
      <c r="AA1846">
        <v>9</v>
      </c>
      <c r="AB1846">
        <v>3</v>
      </c>
      <c r="AC1846">
        <v>0</v>
      </c>
      <c r="AD1846">
        <v>10</v>
      </c>
      <c r="AE1846">
        <v>0</v>
      </c>
      <c r="AF1846">
        <v>3</v>
      </c>
      <c r="AG1846">
        <v>2</v>
      </c>
      <c r="AH1846">
        <v>0</v>
      </c>
      <c r="AI1846" t="s">
        <v>3797</v>
      </c>
      <c r="AJ1846">
        <v>39.779477</v>
      </c>
      <c r="AK1846" t="s">
        <v>3798</v>
      </c>
      <c r="AL1846">
        <v>-76.016077999999993</v>
      </c>
      <c r="AM1846">
        <v>100</v>
      </c>
      <c r="AN1846">
        <v>4700</v>
      </c>
      <c r="AO1846" t="s">
        <v>115</v>
      </c>
      <c r="AP1846">
        <v>156</v>
      </c>
      <c r="AQ1846">
        <v>80</v>
      </c>
      <c r="AR1846">
        <v>0</v>
      </c>
      <c r="AZ1846">
        <v>3614</v>
      </c>
      <c r="BA1846">
        <v>1</v>
      </c>
      <c r="BB1846" t="str">
        <f t="shared" si="86"/>
        <v xml:space="preserve">N959MJ  </v>
      </c>
      <c r="BC1846">
        <v>1</v>
      </c>
      <c r="BE1846">
        <v>0</v>
      </c>
      <c r="BF1846">
        <v>0</v>
      </c>
      <c r="BG1846">
        <v>0</v>
      </c>
      <c r="BH1846">
        <v>4900</v>
      </c>
      <c r="BI1846">
        <v>200</v>
      </c>
      <c r="BJ1846">
        <v>1</v>
      </c>
      <c r="BK1846">
        <v>1</v>
      </c>
      <c r="BL1846">
        <v>1</v>
      </c>
      <c r="BM1846">
        <v>0</v>
      </c>
      <c r="BP1846">
        <v>0</v>
      </c>
      <c r="BQ1846">
        <v>0</v>
      </c>
      <c r="BX1846" t="str">
        <f>"14:21:07.750"</f>
        <v>14:21:07.750</v>
      </c>
      <c r="BY1846" t="str">
        <f>"750904882"</f>
        <v>750904882</v>
      </c>
      <c r="CL1846">
        <v>0</v>
      </c>
      <c r="CM1846">
        <v>2</v>
      </c>
      <c r="CN1846">
        <v>0</v>
      </c>
      <c r="CO1846">
        <v>2</v>
      </c>
      <c r="CP1846">
        <v>0</v>
      </c>
      <c r="CQ1846">
        <v>7</v>
      </c>
      <c r="CR1846" t="s">
        <v>116</v>
      </c>
      <c r="CS1846">
        <v>39</v>
      </c>
      <c r="CT1846">
        <v>2</v>
      </c>
      <c r="CU1846" t="s">
        <v>2259</v>
      </c>
      <c r="CV1846" t="s">
        <v>2260</v>
      </c>
      <c r="CY1846">
        <v>16248795</v>
      </c>
      <c r="CZ1846" t="s">
        <v>119</v>
      </c>
    </row>
    <row r="1847" spans="1:104" x14ac:dyDescent="0.25">
      <c r="A1847" t="str">
        <f>"14:21:08.969"</f>
        <v>14:21:08.969</v>
      </c>
      <c r="B1847" t="s">
        <v>108</v>
      </c>
      <c r="C1847" t="str">
        <f t="shared" si="85"/>
        <v>ffdfd3c0</v>
      </c>
      <c r="D1847" t="s">
        <v>109</v>
      </c>
      <c r="E1847">
        <v>4</v>
      </c>
      <c r="F1847">
        <v>1004</v>
      </c>
      <c r="G1847" t="s">
        <v>110</v>
      </c>
      <c r="J1847" t="s">
        <v>111</v>
      </c>
      <c r="K1847">
        <v>0</v>
      </c>
      <c r="L1847">
        <v>3</v>
      </c>
      <c r="M1847">
        <v>0</v>
      </c>
      <c r="N1847">
        <v>2</v>
      </c>
      <c r="O1847">
        <v>1</v>
      </c>
      <c r="P1847">
        <v>0</v>
      </c>
      <c r="Q1847">
        <v>0</v>
      </c>
      <c r="R1847" t="s">
        <v>112</v>
      </c>
      <c r="S1847" t="str">
        <f>"14:21:08.781"</f>
        <v>14:21:08.781</v>
      </c>
      <c r="T1847" t="str">
        <f>"14:21:08.383"</f>
        <v>14:21:08.383</v>
      </c>
      <c r="U1847" t="str">
        <f t="shared" si="84"/>
        <v>ad5732</v>
      </c>
      <c r="V1847">
        <v>0</v>
      </c>
      <c r="W1847">
        <v>0</v>
      </c>
      <c r="X1847">
        <v>1</v>
      </c>
      <c r="Z1847">
        <v>0</v>
      </c>
      <c r="AA1847">
        <v>9</v>
      </c>
      <c r="AB1847">
        <v>3</v>
      </c>
      <c r="AC1847">
        <v>0</v>
      </c>
      <c r="AD1847">
        <v>10</v>
      </c>
      <c r="AE1847">
        <v>0</v>
      </c>
      <c r="AF1847">
        <v>3</v>
      </c>
      <c r="AG1847">
        <v>2</v>
      </c>
      <c r="AH1847">
        <v>0</v>
      </c>
      <c r="AI1847" t="s">
        <v>3799</v>
      </c>
      <c r="AJ1847">
        <v>39.779842000000002</v>
      </c>
      <c r="AK1847" t="s">
        <v>3800</v>
      </c>
      <c r="AL1847">
        <v>-76.015112000000002</v>
      </c>
      <c r="AM1847">
        <v>100</v>
      </c>
      <c r="AN1847">
        <v>4700</v>
      </c>
      <c r="AO1847" t="s">
        <v>115</v>
      </c>
      <c r="AP1847">
        <v>156</v>
      </c>
      <c r="AQ1847">
        <v>81</v>
      </c>
      <c r="AR1847">
        <v>0</v>
      </c>
      <c r="AZ1847">
        <v>3614</v>
      </c>
      <c r="BA1847">
        <v>1</v>
      </c>
      <c r="BB1847" t="str">
        <f t="shared" si="86"/>
        <v xml:space="preserve">N959MJ  </v>
      </c>
      <c r="BC1847">
        <v>1</v>
      </c>
      <c r="BE1847">
        <v>0</v>
      </c>
      <c r="BF1847">
        <v>0</v>
      </c>
      <c r="BG1847">
        <v>0</v>
      </c>
      <c r="BH1847">
        <v>4900</v>
      </c>
      <c r="BI1847">
        <v>200</v>
      </c>
      <c r="BJ1847">
        <v>1</v>
      </c>
      <c r="BK1847">
        <v>1</v>
      </c>
      <c r="BL1847">
        <v>1</v>
      </c>
      <c r="BM1847">
        <v>0</v>
      </c>
      <c r="BP1847">
        <v>0</v>
      </c>
      <c r="BQ1847">
        <v>0</v>
      </c>
      <c r="BX1847" t="str">
        <f>"14:21:08.789"</f>
        <v>14:21:08.789</v>
      </c>
      <c r="BY1847" t="str">
        <f>"788029378"</f>
        <v>788029378</v>
      </c>
      <c r="CL1847">
        <v>0</v>
      </c>
      <c r="CM1847">
        <v>2</v>
      </c>
      <c r="CN1847">
        <v>0</v>
      </c>
      <c r="CO1847">
        <v>2</v>
      </c>
      <c r="CP1847">
        <v>0</v>
      </c>
      <c r="CQ1847">
        <v>7</v>
      </c>
      <c r="CR1847" t="s">
        <v>116</v>
      </c>
      <c r="CS1847">
        <v>39</v>
      </c>
      <c r="CT1847">
        <v>2</v>
      </c>
      <c r="CU1847" t="s">
        <v>2259</v>
      </c>
      <c r="CV1847" t="s">
        <v>2260</v>
      </c>
      <c r="CY1847">
        <v>16250501</v>
      </c>
      <c r="CZ1847" t="s">
        <v>119</v>
      </c>
    </row>
    <row r="1848" spans="1:104" x14ac:dyDescent="0.25">
      <c r="A1848" t="str">
        <f>"14:21:09.828"</f>
        <v>14:21:09.828</v>
      </c>
      <c r="B1848" t="s">
        <v>108</v>
      </c>
      <c r="C1848" t="str">
        <f t="shared" si="85"/>
        <v>ffdfd3c0</v>
      </c>
      <c r="D1848" t="s">
        <v>109</v>
      </c>
      <c r="E1848">
        <v>4</v>
      </c>
      <c r="F1848">
        <v>1004</v>
      </c>
      <c r="G1848" t="s">
        <v>110</v>
      </c>
      <c r="J1848" t="s">
        <v>111</v>
      </c>
      <c r="K1848">
        <v>0</v>
      </c>
      <c r="L1848">
        <v>3</v>
      </c>
      <c r="M1848">
        <v>0</v>
      </c>
      <c r="N1848">
        <v>2</v>
      </c>
      <c r="O1848">
        <v>1</v>
      </c>
      <c r="P1848">
        <v>0</v>
      </c>
      <c r="Q1848">
        <v>0</v>
      </c>
      <c r="R1848" t="s">
        <v>112</v>
      </c>
      <c r="S1848" t="str">
        <f>"14:21:09.641"</f>
        <v>14:21:09.641</v>
      </c>
      <c r="T1848" t="str">
        <f>"14:21:09.242"</f>
        <v>14:21:09.242</v>
      </c>
      <c r="U1848" t="str">
        <f t="shared" si="84"/>
        <v>ad5732</v>
      </c>
      <c r="V1848">
        <v>0</v>
      </c>
      <c r="W1848">
        <v>0</v>
      </c>
      <c r="X1848">
        <v>1</v>
      </c>
      <c r="Z1848">
        <v>0</v>
      </c>
      <c r="AA1848">
        <v>9</v>
      </c>
      <c r="AB1848">
        <v>3</v>
      </c>
      <c r="AC1848">
        <v>0</v>
      </c>
      <c r="AD1848">
        <v>10</v>
      </c>
      <c r="AE1848">
        <v>0</v>
      </c>
      <c r="AF1848">
        <v>3</v>
      </c>
      <c r="AG1848">
        <v>2</v>
      </c>
      <c r="AH1848">
        <v>0</v>
      </c>
      <c r="AI1848" t="s">
        <v>3801</v>
      </c>
      <c r="AJ1848">
        <v>39.780185000000003</v>
      </c>
      <c r="AK1848" t="s">
        <v>3802</v>
      </c>
      <c r="AL1848">
        <v>-76.014275999999995</v>
      </c>
      <c r="AM1848">
        <v>100</v>
      </c>
      <c r="AN1848">
        <v>4700</v>
      </c>
      <c r="AO1848" t="s">
        <v>115</v>
      </c>
      <c r="AP1848">
        <v>156</v>
      </c>
      <c r="AQ1848">
        <v>81</v>
      </c>
      <c r="AR1848">
        <v>0</v>
      </c>
      <c r="AZ1848">
        <v>3614</v>
      </c>
      <c r="BA1848">
        <v>1</v>
      </c>
      <c r="BB1848" t="str">
        <f t="shared" si="86"/>
        <v xml:space="preserve">N959MJ  </v>
      </c>
      <c r="BC1848">
        <v>1</v>
      </c>
      <c r="BE1848">
        <v>0</v>
      </c>
      <c r="BF1848">
        <v>0</v>
      </c>
      <c r="BG1848">
        <v>0</v>
      </c>
      <c r="BH1848">
        <v>4900</v>
      </c>
      <c r="BI1848">
        <v>200</v>
      </c>
      <c r="BJ1848">
        <v>1</v>
      </c>
      <c r="BK1848">
        <v>1</v>
      </c>
      <c r="BL1848">
        <v>1</v>
      </c>
      <c r="BM1848">
        <v>0</v>
      </c>
      <c r="BP1848">
        <v>0</v>
      </c>
      <c r="BQ1848">
        <v>0</v>
      </c>
      <c r="BX1848" t="str">
        <f>"14:21:09.641"</f>
        <v>14:21:09.641</v>
      </c>
      <c r="BY1848" t="str">
        <f>"643288442"</f>
        <v>643288442</v>
      </c>
      <c r="CL1848">
        <v>0</v>
      </c>
      <c r="CM1848">
        <v>2</v>
      </c>
      <c r="CN1848">
        <v>0</v>
      </c>
      <c r="CO1848">
        <v>2</v>
      </c>
      <c r="CP1848">
        <v>0</v>
      </c>
      <c r="CQ1848">
        <v>7</v>
      </c>
      <c r="CR1848" t="s">
        <v>116</v>
      </c>
      <c r="CS1848">
        <v>39</v>
      </c>
      <c r="CT1848">
        <v>2</v>
      </c>
      <c r="CU1848" t="s">
        <v>2259</v>
      </c>
      <c r="CV1848" t="s">
        <v>2260</v>
      </c>
      <c r="CY1848">
        <v>16251778</v>
      </c>
      <c r="CZ1848" t="s">
        <v>119</v>
      </c>
    </row>
    <row r="1849" spans="1:104" x14ac:dyDescent="0.25">
      <c r="A1849" t="str">
        <f>"14:21:10.891"</f>
        <v>14:21:10.891</v>
      </c>
      <c r="B1849" t="s">
        <v>108</v>
      </c>
      <c r="C1849" t="str">
        <f t="shared" si="85"/>
        <v>ffdfd3c0</v>
      </c>
      <c r="D1849" t="s">
        <v>109</v>
      </c>
      <c r="E1849">
        <v>4</v>
      </c>
      <c r="F1849">
        <v>1004</v>
      </c>
      <c r="G1849" t="s">
        <v>110</v>
      </c>
      <c r="J1849" t="s">
        <v>111</v>
      </c>
      <c r="K1849">
        <v>0</v>
      </c>
      <c r="L1849">
        <v>3</v>
      </c>
      <c r="M1849">
        <v>0</v>
      </c>
      <c r="N1849">
        <v>2</v>
      </c>
      <c r="O1849">
        <v>1</v>
      </c>
      <c r="P1849">
        <v>0</v>
      </c>
      <c r="Q1849">
        <v>0</v>
      </c>
      <c r="R1849" t="s">
        <v>112</v>
      </c>
      <c r="S1849" t="str">
        <f>"14:21:10.680"</f>
        <v>14:21:10.680</v>
      </c>
      <c r="T1849" t="str">
        <f>"14:21:10.180"</f>
        <v>14:21:10.180</v>
      </c>
      <c r="U1849" t="str">
        <f t="shared" si="84"/>
        <v>ad5732</v>
      </c>
      <c r="V1849">
        <v>0</v>
      </c>
      <c r="W1849">
        <v>0</v>
      </c>
      <c r="X1849">
        <v>1</v>
      </c>
      <c r="Z1849">
        <v>0</v>
      </c>
      <c r="AA1849">
        <v>9</v>
      </c>
      <c r="AB1849">
        <v>3</v>
      </c>
      <c r="AC1849">
        <v>0</v>
      </c>
      <c r="AD1849">
        <v>10</v>
      </c>
      <c r="AE1849">
        <v>0</v>
      </c>
      <c r="AF1849">
        <v>3</v>
      </c>
      <c r="AG1849">
        <v>2</v>
      </c>
      <c r="AH1849">
        <v>0</v>
      </c>
      <c r="AI1849" t="s">
        <v>3803</v>
      </c>
      <c r="AJ1849">
        <v>39.780571000000002</v>
      </c>
      <c r="AK1849" t="s">
        <v>3804</v>
      </c>
      <c r="AL1849">
        <v>-76.013373999999999</v>
      </c>
      <c r="AM1849">
        <v>100</v>
      </c>
      <c r="AN1849">
        <v>4700</v>
      </c>
      <c r="AO1849" t="s">
        <v>115</v>
      </c>
      <c r="AP1849">
        <v>156</v>
      </c>
      <c r="AQ1849">
        <v>81</v>
      </c>
      <c r="AR1849">
        <v>0</v>
      </c>
      <c r="AZ1849">
        <v>3614</v>
      </c>
      <c r="BA1849">
        <v>1</v>
      </c>
      <c r="BB1849" t="str">
        <f t="shared" si="86"/>
        <v xml:space="preserve">N959MJ  </v>
      </c>
      <c r="BC1849">
        <v>1</v>
      </c>
      <c r="BE1849">
        <v>0</v>
      </c>
      <c r="BF1849">
        <v>0</v>
      </c>
      <c r="BG1849">
        <v>0</v>
      </c>
      <c r="BH1849">
        <v>4900</v>
      </c>
      <c r="BI1849">
        <v>200</v>
      </c>
      <c r="BJ1849">
        <v>1</v>
      </c>
      <c r="BK1849">
        <v>1</v>
      </c>
      <c r="BL1849">
        <v>1</v>
      </c>
      <c r="BM1849">
        <v>0</v>
      </c>
      <c r="BP1849">
        <v>0</v>
      </c>
      <c r="BQ1849">
        <v>0</v>
      </c>
      <c r="BX1849" t="str">
        <f>"14:21:10.688"</f>
        <v>14:21:10.688</v>
      </c>
      <c r="BY1849" t="str">
        <f>"683689788"</f>
        <v>683689788</v>
      </c>
      <c r="CL1849">
        <v>0</v>
      </c>
      <c r="CM1849">
        <v>2</v>
      </c>
      <c r="CN1849">
        <v>0</v>
      </c>
      <c r="CO1849">
        <v>2</v>
      </c>
      <c r="CP1849">
        <v>0</v>
      </c>
      <c r="CQ1849">
        <v>6</v>
      </c>
      <c r="CR1849" t="s">
        <v>116</v>
      </c>
      <c r="CS1849">
        <v>39</v>
      </c>
      <c r="CT1849">
        <v>2</v>
      </c>
      <c r="CU1849" t="s">
        <v>2259</v>
      </c>
      <c r="CV1849" t="s">
        <v>2260</v>
      </c>
      <c r="CY1849">
        <v>16253321</v>
      </c>
      <c r="CZ1849" t="s">
        <v>119</v>
      </c>
    </row>
    <row r="1850" spans="1:104" x14ac:dyDescent="0.25">
      <c r="A1850" t="str">
        <f>"14:21:11.844"</f>
        <v>14:21:11.844</v>
      </c>
      <c r="B1850" t="s">
        <v>108</v>
      </c>
      <c r="C1850" t="str">
        <f t="shared" si="85"/>
        <v>ffdfd3c0</v>
      </c>
      <c r="D1850" t="s">
        <v>109</v>
      </c>
      <c r="E1850">
        <v>4</v>
      </c>
      <c r="F1850">
        <v>1004</v>
      </c>
      <c r="G1850" t="s">
        <v>110</v>
      </c>
      <c r="J1850" t="s">
        <v>111</v>
      </c>
      <c r="K1850">
        <v>0</v>
      </c>
      <c r="L1850">
        <v>3</v>
      </c>
      <c r="M1850">
        <v>0</v>
      </c>
      <c r="N1850">
        <v>2</v>
      </c>
      <c r="O1850">
        <v>1</v>
      </c>
      <c r="P1850">
        <v>0</v>
      </c>
      <c r="Q1850">
        <v>0</v>
      </c>
      <c r="R1850" t="s">
        <v>112</v>
      </c>
      <c r="S1850" t="str">
        <f>"14:21:11.664"</f>
        <v>14:21:11.664</v>
      </c>
      <c r="T1850" t="str">
        <f>"14:21:11.266"</f>
        <v>14:21:11.266</v>
      </c>
      <c r="U1850" t="str">
        <f t="shared" si="84"/>
        <v>ad5732</v>
      </c>
      <c r="V1850">
        <v>0</v>
      </c>
      <c r="W1850">
        <v>0</v>
      </c>
      <c r="X1850">
        <v>1</v>
      </c>
      <c r="Z1850">
        <v>0</v>
      </c>
      <c r="AA1850">
        <v>9</v>
      </c>
      <c r="AB1850">
        <v>3</v>
      </c>
      <c r="AC1850">
        <v>0</v>
      </c>
      <c r="AD1850">
        <v>10</v>
      </c>
      <c r="AE1850">
        <v>0</v>
      </c>
      <c r="AF1850">
        <v>3</v>
      </c>
      <c r="AG1850">
        <v>2</v>
      </c>
      <c r="AH1850">
        <v>0</v>
      </c>
      <c r="AI1850" t="s">
        <v>3805</v>
      </c>
      <c r="AJ1850">
        <v>39.780935999999997</v>
      </c>
      <c r="AK1850" t="s">
        <v>3806</v>
      </c>
      <c r="AL1850">
        <v>-76.012451999999996</v>
      </c>
      <c r="AM1850">
        <v>100</v>
      </c>
      <c r="AN1850">
        <v>4700</v>
      </c>
      <c r="AO1850" t="s">
        <v>115</v>
      </c>
      <c r="AP1850">
        <v>156</v>
      </c>
      <c r="AQ1850">
        <v>81</v>
      </c>
      <c r="AR1850">
        <v>0</v>
      </c>
      <c r="AZ1850">
        <v>3614</v>
      </c>
      <c r="BA1850">
        <v>1</v>
      </c>
      <c r="BB1850" t="str">
        <f t="shared" si="86"/>
        <v xml:space="preserve">N959MJ  </v>
      </c>
      <c r="BC1850">
        <v>1</v>
      </c>
      <c r="BE1850">
        <v>0</v>
      </c>
      <c r="BF1850">
        <v>0</v>
      </c>
      <c r="BG1850">
        <v>0</v>
      </c>
      <c r="BH1850">
        <v>4900</v>
      </c>
      <c r="BI1850">
        <v>200</v>
      </c>
      <c r="BJ1850">
        <v>1</v>
      </c>
      <c r="BK1850">
        <v>1</v>
      </c>
      <c r="BL1850">
        <v>1</v>
      </c>
      <c r="BM1850">
        <v>0</v>
      </c>
      <c r="BP1850">
        <v>0</v>
      </c>
      <c r="BQ1850">
        <v>0</v>
      </c>
      <c r="BX1850" t="str">
        <f>"14:21:11.664"</f>
        <v>14:21:11.664</v>
      </c>
      <c r="BY1850" t="str">
        <f>"666746204"</f>
        <v>666746204</v>
      </c>
      <c r="CL1850">
        <v>0</v>
      </c>
      <c r="CM1850">
        <v>2</v>
      </c>
      <c r="CN1850">
        <v>0</v>
      </c>
      <c r="CO1850">
        <v>2</v>
      </c>
      <c r="CP1850">
        <v>0</v>
      </c>
      <c r="CQ1850">
        <v>4</v>
      </c>
      <c r="CR1850" t="s">
        <v>116</v>
      </c>
      <c r="CS1850">
        <v>39</v>
      </c>
      <c r="CT1850">
        <v>1</v>
      </c>
      <c r="CU1850" t="s">
        <v>2259</v>
      </c>
      <c r="CV1850" t="s">
        <v>2260</v>
      </c>
      <c r="CY1850">
        <v>8282136</v>
      </c>
      <c r="CZ1850" t="s">
        <v>119</v>
      </c>
    </row>
    <row r="1851" spans="1:104" x14ac:dyDescent="0.25">
      <c r="A1851" t="str">
        <f>"14:21:13.008"</f>
        <v>14:21:13.008</v>
      </c>
      <c r="B1851" t="s">
        <v>108</v>
      </c>
      <c r="C1851" t="str">
        <f t="shared" si="85"/>
        <v>ffdfd3c0</v>
      </c>
      <c r="D1851" t="s">
        <v>109</v>
      </c>
      <c r="E1851">
        <v>4</v>
      </c>
      <c r="F1851">
        <v>1004</v>
      </c>
      <c r="G1851" t="s">
        <v>110</v>
      </c>
      <c r="J1851" t="s">
        <v>111</v>
      </c>
      <c r="K1851">
        <v>0</v>
      </c>
      <c r="L1851">
        <v>3</v>
      </c>
      <c r="M1851">
        <v>0</v>
      </c>
      <c r="N1851">
        <v>2</v>
      </c>
      <c r="O1851">
        <v>1</v>
      </c>
      <c r="P1851">
        <v>0</v>
      </c>
      <c r="Q1851">
        <v>0</v>
      </c>
      <c r="R1851" t="s">
        <v>112</v>
      </c>
      <c r="S1851" t="str">
        <f>"14:21:12.813"</f>
        <v>14:21:12.813</v>
      </c>
      <c r="T1851" t="str">
        <f>"14:21:12.313"</f>
        <v>14:21:12.313</v>
      </c>
      <c r="U1851" t="str">
        <f t="shared" si="84"/>
        <v>ad5732</v>
      </c>
      <c r="V1851">
        <v>0</v>
      </c>
      <c r="W1851">
        <v>0</v>
      </c>
      <c r="X1851">
        <v>1</v>
      </c>
      <c r="Z1851">
        <v>0</v>
      </c>
      <c r="AA1851">
        <v>9</v>
      </c>
      <c r="AB1851">
        <v>3</v>
      </c>
      <c r="AC1851">
        <v>0</v>
      </c>
      <c r="AD1851">
        <v>10</v>
      </c>
      <c r="AE1851">
        <v>0</v>
      </c>
      <c r="AF1851">
        <v>3</v>
      </c>
      <c r="AG1851">
        <v>2</v>
      </c>
      <c r="AH1851">
        <v>0</v>
      </c>
      <c r="AI1851" t="s">
        <v>3807</v>
      </c>
      <c r="AJ1851">
        <v>39.781407999999999</v>
      </c>
      <c r="AK1851" t="s">
        <v>3808</v>
      </c>
      <c r="AL1851">
        <v>-76.011292999999995</v>
      </c>
      <c r="AM1851">
        <v>100</v>
      </c>
      <c r="AN1851">
        <v>4700</v>
      </c>
      <c r="AO1851" t="s">
        <v>115</v>
      </c>
      <c r="AP1851">
        <v>156</v>
      </c>
      <c r="AQ1851">
        <v>81</v>
      </c>
      <c r="AR1851">
        <v>0</v>
      </c>
      <c r="AZ1851">
        <v>3614</v>
      </c>
      <c r="BA1851">
        <v>1</v>
      </c>
      <c r="BB1851" t="str">
        <f t="shared" si="86"/>
        <v xml:space="preserve">N959MJ  </v>
      </c>
      <c r="BC1851">
        <v>1</v>
      </c>
      <c r="BE1851">
        <v>0</v>
      </c>
      <c r="BF1851">
        <v>0</v>
      </c>
      <c r="BG1851">
        <v>0</v>
      </c>
      <c r="BH1851">
        <v>4900</v>
      </c>
      <c r="BI1851">
        <v>200</v>
      </c>
      <c r="BJ1851">
        <v>1</v>
      </c>
      <c r="BK1851">
        <v>1</v>
      </c>
      <c r="BL1851">
        <v>1</v>
      </c>
      <c r="BM1851">
        <v>0</v>
      </c>
      <c r="BP1851">
        <v>0</v>
      </c>
      <c r="BQ1851">
        <v>0</v>
      </c>
      <c r="BX1851" t="str">
        <f>"14:21:12.813"</f>
        <v>14:21:12.813</v>
      </c>
      <c r="BY1851" t="str">
        <f>"815283803"</f>
        <v>815283803</v>
      </c>
      <c r="CL1851">
        <v>0</v>
      </c>
      <c r="CM1851">
        <v>2</v>
      </c>
      <c r="CN1851">
        <v>0</v>
      </c>
      <c r="CO1851">
        <v>2</v>
      </c>
      <c r="CP1851">
        <v>0</v>
      </c>
      <c r="CQ1851">
        <v>7</v>
      </c>
      <c r="CR1851" t="s">
        <v>116</v>
      </c>
      <c r="CS1851">
        <v>39</v>
      </c>
      <c r="CT1851">
        <v>2</v>
      </c>
      <c r="CU1851" t="s">
        <v>2259</v>
      </c>
      <c r="CV1851" t="s">
        <v>2260</v>
      </c>
      <c r="CY1851">
        <v>16256646</v>
      </c>
      <c r="CZ1851" t="s">
        <v>119</v>
      </c>
    </row>
    <row r="1852" spans="1:104" x14ac:dyDescent="0.25">
      <c r="A1852" t="str">
        <f>"14:21:14.016"</f>
        <v>14:21:14.016</v>
      </c>
      <c r="B1852" t="s">
        <v>108</v>
      </c>
      <c r="C1852" t="str">
        <f t="shared" si="85"/>
        <v>ffdfd3c0</v>
      </c>
      <c r="D1852" t="s">
        <v>109</v>
      </c>
      <c r="E1852">
        <v>4</v>
      </c>
      <c r="F1852">
        <v>1004</v>
      </c>
      <c r="G1852" t="s">
        <v>110</v>
      </c>
      <c r="J1852" t="s">
        <v>111</v>
      </c>
      <c r="K1852">
        <v>0</v>
      </c>
      <c r="L1852">
        <v>3</v>
      </c>
      <c r="M1852">
        <v>0</v>
      </c>
      <c r="N1852">
        <v>2</v>
      </c>
      <c r="O1852">
        <v>1</v>
      </c>
      <c r="P1852">
        <v>0</v>
      </c>
      <c r="Q1852">
        <v>0</v>
      </c>
      <c r="R1852" t="s">
        <v>112</v>
      </c>
      <c r="S1852" t="str">
        <f>"14:21:13.828"</f>
        <v>14:21:13.828</v>
      </c>
      <c r="T1852" t="str">
        <f>"14:21:13.328"</f>
        <v>14:21:13.328</v>
      </c>
      <c r="U1852" t="str">
        <f t="shared" si="84"/>
        <v>ad5732</v>
      </c>
      <c r="V1852">
        <v>0</v>
      </c>
      <c r="W1852">
        <v>0</v>
      </c>
      <c r="X1852">
        <v>1</v>
      </c>
      <c r="Z1852">
        <v>0</v>
      </c>
      <c r="AA1852">
        <v>9</v>
      </c>
      <c r="AB1852">
        <v>3</v>
      </c>
      <c r="AC1852">
        <v>0</v>
      </c>
      <c r="AD1852">
        <v>10</v>
      </c>
      <c r="AE1852">
        <v>0</v>
      </c>
      <c r="AF1852">
        <v>3</v>
      </c>
      <c r="AG1852">
        <v>2</v>
      </c>
      <c r="AH1852">
        <v>0</v>
      </c>
      <c r="AI1852" t="s">
        <v>3809</v>
      </c>
      <c r="AJ1852">
        <v>39.781773000000001</v>
      </c>
      <c r="AK1852" t="s">
        <v>3810</v>
      </c>
      <c r="AL1852">
        <v>-76.010369999999995</v>
      </c>
      <c r="AM1852">
        <v>100</v>
      </c>
      <c r="AN1852">
        <v>4700</v>
      </c>
      <c r="AO1852" t="s">
        <v>115</v>
      </c>
      <c r="AP1852">
        <v>156</v>
      </c>
      <c r="AQ1852">
        <v>81</v>
      </c>
      <c r="AR1852">
        <v>0</v>
      </c>
      <c r="AZ1852">
        <v>3614</v>
      </c>
      <c r="BA1852">
        <v>1</v>
      </c>
      <c r="BB1852" t="str">
        <f t="shared" si="86"/>
        <v xml:space="preserve">N959MJ  </v>
      </c>
      <c r="BC1852">
        <v>1</v>
      </c>
      <c r="BE1852">
        <v>0</v>
      </c>
      <c r="BF1852">
        <v>0</v>
      </c>
      <c r="BG1852">
        <v>0</v>
      </c>
      <c r="BH1852">
        <v>4900</v>
      </c>
      <c r="BI1852">
        <v>200</v>
      </c>
      <c r="BJ1852">
        <v>1</v>
      </c>
      <c r="BK1852">
        <v>1</v>
      </c>
      <c r="BL1852">
        <v>1</v>
      </c>
      <c r="BM1852">
        <v>0</v>
      </c>
      <c r="BP1852">
        <v>0</v>
      </c>
      <c r="BQ1852">
        <v>0</v>
      </c>
      <c r="BX1852" t="str">
        <f>"14:21:13.836"</f>
        <v>14:21:13.836</v>
      </c>
      <c r="BY1852" t="str">
        <f>"832747122"</f>
        <v>832747122</v>
      </c>
      <c r="CL1852">
        <v>0</v>
      </c>
      <c r="CM1852">
        <v>2</v>
      </c>
      <c r="CN1852">
        <v>0</v>
      </c>
      <c r="CO1852">
        <v>2</v>
      </c>
      <c r="CP1852">
        <v>0</v>
      </c>
      <c r="CQ1852">
        <v>7</v>
      </c>
      <c r="CR1852" t="s">
        <v>116</v>
      </c>
      <c r="CS1852">
        <v>39</v>
      </c>
      <c r="CT1852">
        <v>2</v>
      </c>
      <c r="CU1852" t="s">
        <v>2259</v>
      </c>
      <c r="CV1852" t="s">
        <v>2260</v>
      </c>
      <c r="CY1852">
        <v>16258272</v>
      </c>
      <c r="CZ1852" t="s">
        <v>119</v>
      </c>
    </row>
    <row r="1853" spans="1:104" x14ac:dyDescent="0.25">
      <c r="A1853" t="str">
        <f>"14:21:14.875"</f>
        <v>14:21:14.875</v>
      </c>
      <c r="B1853" t="s">
        <v>108</v>
      </c>
      <c r="C1853" t="str">
        <f t="shared" si="85"/>
        <v>ffdfd3c0</v>
      </c>
      <c r="D1853" t="s">
        <v>109</v>
      </c>
      <c r="E1853">
        <v>4</v>
      </c>
      <c r="F1853">
        <v>1004</v>
      </c>
      <c r="G1853" t="s">
        <v>110</v>
      </c>
      <c r="J1853" t="s">
        <v>111</v>
      </c>
      <c r="K1853">
        <v>0</v>
      </c>
      <c r="L1853">
        <v>3</v>
      </c>
      <c r="M1853">
        <v>0</v>
      </c>
      <c r="N1853">
        <v>2</v>
      </c>
      <c r="O1853">
        <v>1</v>
      </c>
      <c r="P1853">
        <v>0</v>
      </c>
      <c r="Q1853">
        <v>0</v>
      </c>
      <c r="R1853" t="s">
        <v>112</v>
      </c>
      <c r="S1853" t="str">
        <f>"14:21:14.695"</f>
        <v>14:21:14.695</v>
      </c>
      <c r="T1853" t="str">
        <f>"14:21:14.297"</f>
        <v>14:21:14.297</v>
      </c>
      <c r="U1853" t="str">
        <f t="shared" si="84"/>
        <v>ad5732</v>
      </c>
      <c r="V1853">
        <v>0</v>
      </c>
      <c r="W1853">
        <v>0</v>
      </c>
      <c r="X1853">
        <v>1</v>
      </c>
      <c r="Z1853">
        <v>0</v>
      </c>
      <c r="AA1853">
        <v>9</v>
      </c>
      <c r="AB1853">
        <v>3</v>
      </c>
      <c r="AC1853">
        <v>0</v>
      </c>
      <c r="AD1853">
        <v>10</v>
      </c>
      <c r="AE1853">
        <v>0</v>
      </c>
      <c r="AF1853">
        <v>3</v>
      </c>
      <c r="AG1853">
        <v>2</v>
      </c>
      <c r="AH1853">
        <v>0</v>
      </c>
      <c r="AI1853" t="s">
        <v>3811</v>
      </c>
      <c r="AJ1853">
        <v>39.782094999999998</v>
      </c>
      <c r="AK1853" t="s">
        <v>3812</v>
      </c>
      <c r="AL1853">
        <v>-76.009512000000001</v>
      </c>
      <c r="AM1853">
        <v>100</v>
      </c>
      <c r="AN1853">
        <v>4700</v>
      </c>
      <c r="AO1853" t="s">
        <v>115</v>
      </c>
      <c r="AP1853">
        <v>155</v>
      </c>
      <c r="AQ1853">
        <v>81</v>
      </c>
      <c r="AR1853">
        <v>0</v>
      </c>
      <c r="AZ1853">
        <v>3614</v>
      </c>
      <c r="BA1853">
        <v>1</v>
      </c>
      <c r="BB1853" t="str">
        <f t="shared" si="86"/>
        <v xml:space="preserve">N959MJ  </v>
      </c>
      <c r="BC1853">
        <v>1</v>
      </c>
      <c r="BE1853">
        <v>0</v>
      </c>
      <c r="BF1853">
        <v>0</v>
      </c>
      <c r="BG1853">
        <v>0</v>
      </c>
      <c r="BH1853">
        <v>4900</v>
      </c>
      <c r="BI1853">
        <v>200</v>
      </c>
      <c r="BJ1853">
        <v>1</v>
      </c>
      <c r="BK1853">
        <v>1</v>
      </c>
      <c r="BL1853">
        <v>1</v>
      </c>
      <c r="BM1853">
        <v>0</v>
      </c>
      <c r="BP1853">
        <v>0</v>
      </c>
      <c r="BQ1853">
        <v>0</v>
      </c>
      <c r="BX1853" t="str">
        <f>"14:21:14.695"</f>
        <v>14:21:14.695</v>
      </c>
      <c r="BY1853" t="str">
        <f>"697836752"</f>
        <v>697836752</v>
      </c>
      <c r="CL1853">
        <v>0</v>
      </c>
      <c r="CM1853">
        <v>2</v>
      </c>
      <c r="CN1853">
        <v>0</v>
      </c>
      <c r="CO1853">
        <v>2</v>
      </c>
      <c r="CP1853">
        <v>0</v>
      </c>
      <c r="CQ1853">
        <v>7</v>
      </c>
      <c r="CR1853" t="s">
        <v>116</v>
      </c>
      <c r="CS1853">
        <v>39</v>
      </c>
      <c r="CT1853">
        <v>2</v>
      </c>
      <c r="CU1853" t="s">
        <v>2259</v>
      </c>
      <c r="CV1853" t="s">
        <v>2260</v>
      </c>
      <c r="CY1853">
        <v>16259562</v>
      </c>
      <c r="CZ1853" t="s">
        <v>119</v>
      </c>
    </row>
    <row r="1854" spans="1:104" x14ac:dyDescent="0.25">
      <c r="A1854" t="str">
        <f>"14:21:15.836"</f>
        <v>14:21:15.836</v>
      </c>
      <c r="B1854" t="s">
        <v>108</v>
      </c>
      <c r="C1854" t="str">
        <f t="shared" si="85"/>
        <v>ffdfd3c0</v>
      </c>
      <c r="D1854" t="s">
        <v>109</v>
      </c>
      <c r="E1854">
        <v>4</v>
      </c>
      <c r="F1854">
        <v>1004</v>
      </c>
      <c r="G1854" t="s">
        <v>110</v>
      </c>
      <c r="J1854" t="s">
        <v>111</v>
      </c>
      <c r="K1854">
        <v>0</v>
      </c>
      <c r="L1854">
        <v>3</v>
      </c>
      <c r="M1854">
        <v>0</v>
      </c>
      <c r="N1854">
        <v>2</v>
      </c>
      <c r="O1854">
        <v>1</v>
      </c>
      <c r="P1854">
        <v>0</v>
      </c>
      <c r="Q1854">
        <v>0</v>
      </c>
      <c r="R1854" t="s">
        <v>112</v>
      </c>
      <c r="S1854" t="str">
        <f>"14:21:15.664"</f>
        <v>14:21:15.664</v>
      </c>
      <c r="T1854" t="str">
        <f>"14:21:15.266"</f>
        <v>14:21:15.266</v>
      </c>
      <c r="U1854" t="str">
        <f t="shared" si="84"/>
        <v>ad5732</v>
      </c>
      <c r="V1854">
        <v>0</v>
      </c>
      <c r="W1854">
        <v>0</v>
      </c>
      <c r="X1854">
        <v>1</v>
      </c>
      <c r="Z1854">
        <v>0</v>
      </c>
      <c r="AA1854">
        <v>9</v>
      </c>
      <c r="AB1854">
        <v>3</v>
      </c>
      <c r="AC1854">
        <v>0</v>
      </c>
      <c r="AD1854">
        <v>10</v>
      </c>
      <c r="AE1854">
        <v>0</v>
      </c>
      <c r="AF1854">
        <v>3</v>
      </c>
      <c r="AG1854">
        <v>2</v>
      </c>
      <c r="AH1854">
        <v>0</v>
      </c>
      <c r="AI1854" t="s">
        <v>3813</v>
      </c>
      <c r="AJ1854">
        <v>39.782417000000002</v>
      </c>
      <c r="AK1854" t="s">
        <v>3814</v>
      </c>
      <c r="AL1854">
        <v>-76.008674999999997</v>
      </c>
      <c r="AM1854">
        <v>100</v>
      </c>
      <c r="AN1854">
        <v>4700</v>
      </c>
      <c r="AO1854" t="s">
        <v>115</v>
      </c>
      <c r="AP1854">
        <v>155</v>
      </c>
      <c r="AQ1854">
        <v>81</v>
      </c>
      <c r="AR1854">
        <v>0</v>
      </c>
      <c r="AZ1854">
        <v>3614</v>
      </c>
      <c r="BA1854">
        <v>1</v>
      </c>
      <c r="BB1854" t="str">
        <f t="shared" si="86"/>
        <v xml:space="preserve">N959MJ  </v>
      </c>
      <c r="BC1854">
        <v>1</v>
      </c>
      <c r="BE1854">
        <v>0</v>
      </c>
      <c r="BF1854">
        <v>0</v>
      </c>
      <c r="BG1854">
        <v>0</v>
      </c>
      <c r="BH1854">
        <v>4900</v>
      </c>
      <c r="BI1854">
        <v>200</v>
      </c>
      <c r="BJ1854">
        <v>1</v>
      </c>
      <c r="BK1854">
        <v>1</v>
      </c>
      <c r="BL1854">
        <v>1</v>
      </c>
      <c r="BM1854">
        <v>0</v>
      </c>
      <c r="BP1854">
        <v>0</v>
      </c>
      <c r="BQ1854">
        <v>0</v>
      </c>
      <c r="BX1854" t="str">
        <f>"14:21:15.672"</f>
        <v>14:21:15.672</v>
      </c>
      <c r="BY1854" t="str">
        <f>"671062591"</f>
        <v>671062591</v>
      </c>
      <c r="CL1854">
        <v>0</v>
      </c>
      <c r="CM1854">
        <v>2</v>
      </c>
      <c r="CN1854">
        <v>0</v>
      </c>
      <c r="CO1854">
        <v>2</v>
      </c>
      <c r="CP1854">
        <v>0</v>
      </c>
      <c r="CQ1854">
        <v>7</v>
      </c>
      <c r="CR1854" t="s">
        <v>116</v>
      </c>
      <c r="CS1854">
        <v>39</v>
      </c>
      <c r="CT1854">
        <v>2</v>
      </c>
      <c r="CU1854" t="s">
        <v>2259</v>
      </c>
      <c r="CV1854" t="s">
        <v>2260</v>
      </c>
      <c r="CY1854">
        <v>16261103</v>
      </c>
      <c r="CZ1854" t="s">
        <v>119</v>
      </c>
    </row>
    <row r="1855" spans="1:104" x14ac:dyDescent="0.25">
      <c r="A1855" t="str">
        <f>"14:21:17.000"</f>
        <v>14:21:17.000</v>
      </c>
      <c r="B1855" t="s">
        <v>108</v>
      </c>
      <c r="C1855" t="str">
        <f t="shared" si="85"/>
        <v>ffdfd3c0</v>
      </c>
      <c r="D1855" t="s">
        <v>109</v>
      </c>
      <c r="E1855">
        <v>4</v>
      </c>
      <c r="F1855">
        <v>1004</v>
      </c>
      <c r="G1855" t="s">
        <v>110</v>
      </c>
      <c r="J1855" t="s">
        <v>111</v>
      </c>
      <c r="K1855">
        <v>0</v>
      </c>
      <c r="L1855">
        <v>3</v>
      </c>
      <c r="M1855">
        <v>0</v>
      </c>
      <c r="N1855">
        <v>2</v>
      </c>
      <c r="O1855">
        <v>1</v>
      </c>
      <c r="P1855">
        <v>0</v>
      </c>
      <c r="Q1855">
        <v>0</v>
      </c>
      <c r="R1855" t="s">
        <v>112</v>
      </c>
      <c r="S1855" t="str">
        <f>"14:21:16.805"</f>
        <v>14:21:16.805</v>
      </c>
      <c r="T1855" t="str">
        <f>"14:21:16.305"</f>
        <v>14:21:16.305</v>
      </c>
      <c r="U1855" t="str">
        <f t="shared" si="84"/>
        <v>ad5732</v>
      </c>
      <c r="V1855">
        <v>0</v>
      </c>
      <c r="W1855">
        <v>0</v>
      </c>
      <c r="X1855">
        <v>1</v>
      </c>
      <c r="Z1855">
        <v>0</v>
      </c>
      <c r="AA1855">
        <v>9</v>
      </c>
      <c r="AB1855">
        <v>3</v>
      </c>
      <c r="AC1855">
        <v>0</v>
      </c>
      <c r="AD1855">
        <v>10</v>
      </c>
      <c r="AE1855">
        <v>0</v>
      </c>
      <c r="AF1855">
        <v>3</v>
      </c>
      <c r="AG1855">
        <v>2</v>
      </c>
      <c r="AH1855">
        <v>0</v>
      </c>
      <c r="AI1855" t="s">
        <v>3815</v>
      </c>
      <c r="AJ1855">
        <v>39.782888999999997</v>
      </c>
      <c r="AK1855" t="s">
        <v>3816</v>
      </c>
      <c r="AL1855">
        <v>-76.007559000000001</v>
      </c>
      <c r="AM1855">
        <v>100</v>
      </c>
      <c r="AN1855">
        <v>4700</v>
      </c>
      <c r="AO1855" t="s">
        <v>115</v>
      </c>
      <c r="AP1855">
        <v>155</v>
      </c>
      <c r="AQ1855">
        <v>81</v>
      </c>
      <c r="AR1855">
        <v>0</v>
      </c>
      <c r="AZ1855">
        <v>3614</v>
      </c>
      <c r="BA1855">
        <v>1</v>
      </c>
      <c r="BB1855" t="str">
        <f t="shared" si="86"/>
        <v xml:space="preserve">N959MJ  </v>
      </c>
      <c r="BC1855">
        <v>1</v>
      </c>
      <c r="BE1855">
        <v>0</v>
      </c>
      <c r="BF1855">
        <v>0</v>
      </c>
      <c r="BG1855">
        <v>0</v>
      </c>
      <c r="BH1855">
        <v>4900</v>
      </c>
      <c r="BI1855">
        <v>200</v>
      </c>
      <c r="BJ1855">
        <v>1</v>
      </c>
      <c r="BK1855">
        <v>1</v>
      </c>
      <c r="BL1855">
        <v>1</v>
      </c>
      <c r="BM1855">
        <v>0</v>
      </c>
      <c r="BP1855">
        <v>0</v>
      </c>
      <c r="BQ1855">
        <v>0</v>
      </c>
      <c r="BX1855" t="str">
        <f>"14:21:16.813"</f>
        <v>14:21:16.813</v>
      </c>
      <c r="BY1855" t="str">
        <f>"809769590"</f>
        <v>809769590</v>
      </c>
      <c r="CL1855">
        <v>0</v>
      </c>
      <c r="CM1855">
        <v>2</v>
      </c>
      <c r="CN1855">
        <v>0</v>
      </c>
      <c r="CO1855">
        <v>2</v>
      </c>
      <c r="CP1855">
        <v>0</v>
      </c>
      <c r="CQ1855">
        <v>7</v>
      </c>
      <c r="CR1855" t="s">
        <v>116</v>
      </c>
      <c r="CS1855">
        <v>39</v>
      </c>
      <c r="CT1855">
        <v>2</v>
      </c>
      <c r="CU1855" t="s">
        <v>2259</v>
      </c>
      <c r="CV1855" t="s">
        <v>2260</v>
      </c>
      <c r="CY1855">
        <v>16262906</v>
      </c>
      <c r="CZ1855" t="s">
        <v>119</v>
      </c>
    </row>
    <row r="1856" spans="1:104" x14ac:dyDescent="0.25">
      <c r="A1856" t="str">
        <f>"14:21:18.109"</f>
        <v>14:21:18.109</v>
      </c>
      <c r="B1856" t="s">
        <v>108</v>
      </c>
      <c r="C1856" t="str">
        <f t="shared" si="85"/>
        <v>ffdfd3c0</v>
      </c>
      <c r="D1856" t="s">
        <v>109</v>
      </c>
      <c r="E1856">
        <v>4</v>
      </c>
      <c r="F1856">
        <v>1004</v>
      </c>
      <c r="G1856" t="s">
        <v>110</v>
      </c>
      <c r="J1856" t="s">
        <v>111</v>
      </c>
      <c r="K1856">
        <v>0</v>
      </c>
      <c r="L1856">
        <v>3</v>
      </c>
      <c r="M1856">
        <v>0</v>
      </c>
      <c r="N1856">
        <v>2</v>
      </c>
      <c r="O1856">
        <v>1</v>
      </c>
      <c r="P1856">
        <v>0</v>
      </c>
      <c r="Q1856">
        <v>0</v>
      </c>
      <c r="R1856" t="s">
        <v>112</v>
      </c>
      <c r="S1856" t="str">
        <f>"14:21:17.930"</f>
        <v>14:21:17.930</v>
      </c>
      <c r="T1856" t="str">
        <f>"14:21:17.430"</f>
        <v>14:21:17.430</v>
      </c>
      <c r="U1856" t="str">
        <f t="shared" si="84"/>
        <v>ad5732</v>
      </c>
      <c r="V1856">
        <v>0</v>
      </c>
      <c r="W1856">
        <v>0</v>
      </c>
      <c r="X1856">
        <v>1</v>
      </c>
      <c r="Z1856">
        <v>0</v>
      </c>
      <c r="AA1856">
        <v>9</v>
      </c>
      <c r="AB1856">
        <v>3</v>
      </c>
      <c r="AC1856">
        <v>0</v>
      </c>
      <c r="AD1856">
        <v>10</v>
      </c>
      <c r="AE1856">
        <v>0</v>
      </c>
      <c r="AF1856">
        <v>3</v>
      </c>
      <c r="AG1856">
        <v>2</v>
      </c>
      <c r="AH1856">
        <v>0</v>
      </c>
      <c r="AI1856" t="s">
        <v>3817</v>
      </c>
      <c r="AJ1856">
        <v>39.783275000000003</v>
      </c>
      <c r="AK1856" t="s">
        <v>3818</v>
      </c>
      <c r="AL1856">
        <v>-76.006529</v>
      </c>
      <c r="AM1856">
        <v>100</v>
      </c>
      <c r="AN1856">
        <v>4700</v>
      </c>
      <c r="AO1856" t="s">
        <v>115</v>
      </c>
      <c r="AP1856">
        <v>155</v>
      </c>
      <c r="AQ1856">
        <v>81</v>
      </c>
      <c r="AR1856">
        <v>0</v>
      </c>
      <c r="AZ1856">
        <v>3614</v>
      </c>
      <c r="BA1856">
        <v>1</v>
      </c>
      <c r="BB1856" t="str">
        <f t="shared" si="86"/>
        <v xml:space="preserve">N959MJ  </v>
      </c>
      <c r="BC1856">
        <v>1</v>
      </c>
      <c r="BE1856">
        <v>0</v>
      </c>
      <c r="BF1856">
        <v>0</v>
      </c>
      <c r="BG1856">
        <v>0</v>
      </c>
      <c r="BH1856">
        <v>4900</v>
      </c>
      <c r="BI1856">
        <v>200</v>
      </c>
      <c r="BJ1856">
        <v>1</v>
      </c>
      <c r="BK1856">
        <v>1</v>
      </c>
      <c r="BL1856">
        <v>1</v>
      </c>
      <c r="BM1856">
        <v>0</v>
      </c>
      <c r="BP1856">
        <v>0</v>
      </c>
      <c r="BQ1856">
        <v>0</v>
      </c>
      <c r="BX1856" t="str">
        <f>"14:21:17.938"</f>
        <v>14:21:17.938</v>
      </c>
      <c r="BY1856" t="str">
        <f>"935369173"</f>
        <v>935369173</v>
      </c>
      <c r="CL1856">
        <v>0</v>
      </c>
      <c r="CM1856">
        <v>2</v>
      </c>
      <c r="CN1856">
        <v>0</v>
      </c>
      <c r="CO1856">
        <v>2</v>
      </c>
      <c r="CP1856">
        <v>0</v>
      </c>
      <c r="CQ1856">
        <v>7</v>
      </c>
      <c r="CR1856" t="s">
        <v>116</v>
      </c>
      <c r="CS1856">
        <v>39</v>
      </c>
      <c r="CT1856">
        <v>2</v>
      </c>
      <c r="CU1856" t="s">
        <v>2259</v>
      </c>
      <c r="CV1856" t="s">
        <v>2260</v>
      </c>
      <c r="CY1856">
        <v>16264743</v>
      </c>
      <c r="CZ1856" t="s">
        <v>119</v>
      </c>
    </row>
    <row r="1857" spans="1:104" x14ac:dyDescent="0.25">
      <c r="A1857" t="str">
        <f>"14:21:19.117"</f>
        <v>14:21:19.117</v>
      </c>
      <c r="B1857" t="s">
        <v>108</v>
      </c>
      <c r="C1857" t="str">
        <f t="shared" si="85"/>
        <v>ffdfd3c0</v>
      </c>
      <c r="D1857" t="s">
        <v>109</v>
      </c>
      <c r="E1857">
        <v>4</v>
      </c>
      <c r="F1857">
        <v>1004</v>
      </c>
      <c r="G1857" t="s">
        <v>110</v>
      </c>
      <c r="J1857" t="s">
        <v>111</v>
      </c>
      <c r="K1857">
        <v>0</v>
      </c>
      <c r="L1857">
        <v>3</v>
      </c>
      <c r="M1857">
        <v>0</v>
      </c>
      <c r="N1857">
        <v>2</v>
      </c>
      <c r="O1857">
        <v>1</v>
      </c>
      <c r="P1857">
        <v>0</v>
      </c>
      <c r="Q1857">
        <v>0</v>
      </c>
      <c r="R1857" t="s">
        <v>112</v>
      </c>
      <c r="S1857" t="str">
        <f>"14:21:18.938"</f>
        <v>14:21:18.938</v>
      </c>
      <c r="T1857" t="str">
        <f>"14:21:18.539"</f>
        <v>14:21:18.539</v>
      </c>
      <c r="U1857" t="str">
        <f t="shared" si="84"/>
        <v>ad5732</v>
      </c>
      <c r="V1857">
        <v>0</v>
      </c>
      <c r="W1857">
        <v>0</v>
      </c>
      <c r="X1857">
        <v>1</v>
      </c>
      <c r="Z1857">
        <v>0</v>
      </c>
      <c r="AA1857">
        <v>9</v>
      </c>
      <c r="AB1857">
        <v>3</v>
      </c>
      <c r="AC1857">
        <v>0</v>
      </c>
      <c r="AD1857">
        <v>10</v>
      </c>
      <c r="AE1857">
        <v>0</v>
      </c>
      <c r="AF1857">
        <v>3</v>
      </c>
      <c r="AG1857">
        <v>2</v>
      </c>
      <c r="AH1857">
        <v>0</v>
      </c>
      <c r="AI1857" t="s">
        <v>3819</v>
      </c>
      <c r="AJ1857">
        <v>39.783683000000003</v>
      </c>
      <c r="AK1857" t="s">
        <v>3820</v>
      </c>
      <c r="AL1857">
        <v>-76.005628000000002</v>
      </c>
      <c r="AM1857">
        <v>100</v>
      </c>
      <c r="AN1857">
        <v>4700</v>
      </c>
      <c r="AO1857" t="s">
        <v>115</v>
      </c>
      <c r="AP1857">
        <v>155</v>
      </c>
      <c r="AQ1857">
        <v>81</v>
      </c>
      <c r="AR1857">
        <v>0</v>
      </c>
      <c r="AZ1857">
        <v>3614</v>
      </c>
      <c r="BA1857">
        <v>1</v>
      </c>
      <c r="BB1857" t="str">
        <f t="shared" si="86"/>
        <v xml:space="preserve">N959MJ  </v>
      </c>
      <c r="BC1857">
        <v>1</v>
      </c>
      <c r="BE1857">
        <v>0</v>
      </c>
      <c r="BF1857">
        <v>0</v>
      </c>
      <c r="BG1857">
        <v>0</v>
      </c>
      <c r="BH1857">
        <v>4900</v>
      </c>
      <c r="BI1857">
        <v>200</v>
      </c>
      <c r="BJ1857">
        <v>1</v>
      </c>
      <c r="BK1857">
        <v>1</v>
      </c>
      <c r="BL1857">
        <v>1</v>
      </c>
      <c r="BM1857">
        <v>0</v>
      </c>
      <c r="BP1857">
        <v>0</v>
      </c>
      <c r="BQ1857">
        <v>0</v>
      </c>
      <c r="BX1857" t="str">
        <f>"14:21:18.938"</f>
        <v>14:21:18.938</v>
      </c>
      <c r="BY1857" t="str">
        <f>"941363523"</f>
        <v>941363523</v>
      </c>
      <c r="CL1857">
        <v>0</v>
      </c>
      <c r="CM1857">
        <v>2</v>
      </c>
      <c r="CN1857">
        <v>0</v>
      </c>
      <c r="CO1857">
        <v>2</v>
      </c>
      <c r="CP1857">
        <v>0</v>
      </c>
      <c r="CQ1857">
        <v>7</v>
      </c>
      <c r="CR1857" t="s">
        <v>116</v>
      </c>
      <c r="CS1857">
        <v>39</v>
      </c>
      <c r="CT1857">
        <v>2</v>
      </c>
      <c r="CU1857" t="s">
        <v>2259</v>
      </c>
      <c r="CV1857" t="s">
        <v>2260</v>
      </c>
      <c r="CY1857">
        <v>16266254</v>
      </c>
      <c r="CZ1857" t="s">
        <v>119</v>
      </c>
    </row>
    <row r="1858" spans="1:104" x14ac:dyDescent="0.25">
      <c r="A1858" t="str">
        <f>"14:21:20.125"</f>
        <v>14:21:20.125</v>
      </c>
      <c r="B1858" t="s">
        <v>108</v>
      </c>
      <c r="C1858" t="str">
        <f t="shared" si="85"/>
        <v>ffdfd3c0</v>
      </c>
      <c r="D1858" t="s">
        <v>109</v>
      </c>
      <c r="E1858">
        <v>4</v>
      </c>
      <c r="F1858">
        <v>1004</v>
      </c>
      <c r="G1858" t="s">
        <v>110</v>
      </c>
      <c r="J1858" t="s">
        <v>111</v>
      </c>
      <c r="K1858">
        <v>0</v>
      </c>
      <c r="L1858">
        <v>3</v>
      </c>
      <c r="M1858">
        <v>0</v>
      </c>
      <c r="N1858">
        <v>2</v>
      </c>
      <c r="O1858">
        <v>1</v>
      </c>
      <c r="P1858">
        <v>0</v>
      </c>
      <c r="Q1858">
        <v>0</v>
      </c>
      <c r="R1858" t="s">
        <v>112</v>
      </c>
      <c r="S1858" t="str">
        <f>"14:21:19.938"</f>
        <v>14:21:19.938</v>
      </c>
      <c r="T1858" t="str">
        <f>"14:21:19.539"</f>
        <v>14:21:19.539</v>
      </c>
      <c r="U1858" t="str">
        <f t="shared" ref="U1858:U1921" si="87">"ad5732"</f>
        <v>ad5732</v>
      </c>
      <c r="V1858">
        <v>0</v>
      </c>
      <c r="W1858">
        <v>0</v>
      </c>
      <c r="X1858">
        <v>1</v>
      </c>
      <c r="Z1858">
        <v>0</v>
      </c>
      <c r="AA1858">
        <v>9</v>
      </c>
      <c r="AB1858">
        <v>3</v>
      </c>
      <c r="AC1858">
        <v>0</v>
      </c>
      <c r="AD1858">
        <v>10</v>
      </c>
      <c r="AE1858">
        <v>0</v>
      </c>
      <c r="AF1858">
        <v>3</v>
      </c>
      <c r="AG1858">
        <v>2</v>
      </c>
      <c r="AH1858">
        <v>0</v>
      </c>
      <c r="AI1858" t="s">
        <v>3821</v>
      </c>
      <c r="AJ1858">
        <v>39.784047999999999</v>
      </c>
      <c r="AK1858" t="s">
        <v>3822</v>
      </c>
      <c r="AL1858">
        <v>-76.004662999999994</v>
      </c>
      <c r="AM1858">
        <v>100</v>
      </c>
      <c r="AN1858">
        <v>4700</v>
      </c>
      <c r="AO1858" t="s">
        <v>115</v>
      </c>
      <c r="AP1858">
        <v>155</v>
      </c>
      <c r="AQ1858">
        <v>81</v>
      </c>
      <c r="AR1858">
        <v>0</v>
      </c>
      <c r="AZ1858">
        <v>3614</v>
      </c>
      <c r="BA1858">
        <v>1</v>
      </c>
      <c r="BB1858" t="str">
        <f t="shared" si="86"/>
        <v xml:space="preserve">N959MJ  </v>
      </c>
      <c r="BC1858">
        <v>1</v>
      </c>
      <c r="BE1858">
        <v>0</v>
      </c>
      <c r="BF1858">
        <v>0</v>
      </c>
      <c r="BG1858">
        <v>0</v>
      </c>
      <c r="BH1858">
        <v>4900</v>
      </c>
      <c r="BI1858">
        <v>200</v>
      </c>
      <c r="BJ1858">
        <v>1</v>
      </c>
      <c r="BK1858">
        <v>1</v>
      </c>
      <c r="BL1858">
        <v>1</v>
      </c>
      <c r="BM1858">
        <v>0</v>
      </c>
      <c r="BP1858">
        <v>0</v>
      </c>
      <c r="BQ1858">
        <v>0</v>
      </c>
      <c r="BX1858" t="str">
        <f>"14:21:19.938"</f>
        <v>14:21:19.938</v>
      </c>
      <c r="BY1858" t="str">
        <f>"940804337"</f>
        <v>940804337</v>
      </c>
      <c r="CL1858">
        <v>0</v>
      </c>
      <c r="CM1858">
        <v>2</v>
      </c>
      <c r="CN1858">
        <v>0</v>
      </c>
      <c r="CO1858">
        <v>2</v>
      </c>
      <c r="CP1858">
        <v>0</v>
      </c>
      <c r="CQ1858">
        <v>7</v>
      </c>
      <c r="CR1858" t="s">
        <v>116</v>
      </c>
      <c r="CS1858">
        <v>39</v>
      </c>
      <c r="CT1858">
        <v>2</v>
      </c>
      <c r="CU1858" t="s">
        <v>2259</v>
      </c>
      <c r="CV1858" t="s">
        <v>2260</v>
      </c>
      <c r="CY1858">
        <v>16267884</v>
      </c>
      <c r="CZ1858" t="s">
        <v>119</v>
      </c>
    </row>
    <row r="1859" spans="1:104" x14ac:dyDescent="0.25">
      <c r="A1859" t="str">
        <f>"14:21:21.234"</f>
        <v>14:21:21.234</v>
      </c>
      <c r="B1859" t="s">
        <v>108</v>
      </c>
      <c r="C1859" t="str">
        <f t="shared" si="85"/>
        <v>ffdfd3c0</v>
      </c>
      <c r="D1859" t="s">
        <v>109</v>
      </c>
      <c r="E1859">
        <v>4</v>
      </c>
      <c r="F1859">
        <v>1004</v>
      </c>
      <c r="G1859" t="s">
        <v>110</v>
      </c>
      <c r="J1859" t="s">
        <v>111</v>
      </c>
      <c r="K1859">
        <v>0</v>
      </c>
      <c r="L1859">
        <v>3</v>
      </c>
      <c r="M1859">
        <v>0</v>
      </c>
      <c r="N1859">
        <v>2</v>
      </c>
      <c r="O1859">
        <v>1</v>
      </c>
      <c r="P1859">
        <v>0</v>
      </c>
      <c r="Q1859">
        <v>0</v>
      </c>
      <c r="R1859" t="s">
        <v>112</v>
      </c>
      <c r="S1859" t="str">
        <f>"14:21:21.008"</f>
        <v>14:21:21.008</v>
      </c>
      <c r="T1859" t="str">
        <f>"14:21:20.609"</f>
        <v>14:21:20.609</v>
      </c>
      <c r="U1859" t="str">
        <f t="shared" si="87"/>
        <v>ad5732</v>
      </c>
      <c r="V1859">
        <v>0</v>
      </c>
      <c r="W1859">
        <v>0</v>
      </c>
      <c r="X1859">
        <v>1</v>
      </c>
      <c r="Z1859">
        <v>0</v>
      </c>
      <c r="AA1859">
        <v>9</v>
      </c>
      <c r="AB1859">
        <v>3</v>
      </c>
      <c r="AC1859">
        <v>0</v>
      </c>
      <c r="AD1859">
        <v>10</v>
      </c>
      <c r="AE1859">
        <v>0</v>
      </c>
      <c r="AF1859">
        <v>3</v>
      </c>
      <c r="AG1859">
        <v>2</v>
      </c>
      <c r="AH1859">
        <v>0</v>
      </c>
      <c r="AI1859" t="s">
        <v>3823</v>
      </c>
      <c r="AJ1859">
        <v>39.784477000000003</v>
      </c>
      <c r="AK1859" t="s">
        <v>3824</v>
      </c>
      <c r="AL1859">
        <v>-76.003653999999997</v>
      </c>
      <c r="AM1859">
        <v>100</v>
      </c>
      <c r="AN1859">
        <v>4700</v>
      </c>
      <c r="AO1859" t="s">
        <v>115</v>
      </c>
      <c r="AP1859">
        <v>155</v>
      </c>
      <c r="AQ1859">
        <v>81</v>
      </c>
      <c r="AR1859">
        <v>0</v>
      </c>
      <c r="AZ1859">
        <v>3614</v>
      </c>
      <c r="BA1859">
        <v>1</v>
      </c>
      <c r="BB1859" t="str">
        <f t="shared" si="86"/>
        <v xml:space="preserve">N959MJ  </v>
      </c>
      <c r="BC1859">
        <v>1</v>
      </c>
      <c r="BE1859">
        <v>0</v>
      </c>
      <c r="BF1859">
        <v>0</v>
      </c>
      <c r="BG1859">
        <v>0</v>
      </c>
      <c r="BH1859">
        <v>4900</v>
      </c>
      <c r="BI1859">
        <v>200</v>
      </c>
      <c r="BJ1859">
        <v>1</v>
      </c>
      <c r="BK1859">
        <v>1</v>
      </c>
      <c r="BL1859">
        <v>1</v>
      </c>
      <c r="BM1859">
        <v>0</v>
      </c>
      <c r="BP1859">
        <v>0</v>
      </c>
      <c r="BQ1859">
        <v>0</v>
      </c>
      <c r="BX1859" t="str">
        <f>"14:21:21.008"</f>
        <v>14:21:21.008</v>
      </c>
      <c r="BY1859" t="str">
        <f>"009058859"</f>
        <v>009058859</v>
      </c>
      <c r="CL1859">
        <v>0</v>
      </c>
      <c r="CM1859">
        <v>2</v>
      </c>
      <c r="CN1859">
        <v>0</v>
      </c>
      <c r="CO1859">
        <v>2</v>
      </c>
      <c r="CP1859">
        <v>0</v>
      </c>
      <c r="CQ1859">
        <v>7</v>
      </c>
      <c r="CR1859" t="s">
        <v>116</v>
      </c>
      <c r="CS1859">
        <v>39</v>
      </c>
      <c r="CT1859">
        <v>2</v>
      </c>
      <c r="CU1859" t="s">
        <v>2259</v>
      </c>
      <c r="CV1859" t="s">
        <v>2260</v>
      </c>
      <c r="CY1859">
        <v>16269569</v>
      </c>
      <c r="CZ1859" t="s">
        <v>119</v>
      </c>
    </row>
    <row r="1860" spans="1:104" x14ac:dyDescent="0.25">
      <c r="A1860" t="str">
        <f>"14:21:22.344"</f>
        <v>14:21:22.344</v>
      </c>
      <c r="B1860" t="s">
        <v>108</v>
      </c>
      <c r="C1860" t="str">
        <f t="shared" si="85"/>
        <v>ffdfd3c0</v>
      </c>
      <c r="D1860" t="s">
        <v>109</v>
      </c>
      <c r="E1860">
        <v>4</v>
      </c>
      <c r="F1860">
        <v>1004</v>
      </c>
      <c r="G1860" t="s">
        <v>110</v>
      </c>
      <c r="J1860" t="s">
        <v>111</v>
      </c>
      <c r="K1860">
        <v>0</v>
      </c>
      <c r="L1860">
        <v>3</v>
      </c>
      <c r="M1860">
        <v>0</v>
      </c>
      <c r="N1860">
        <v>2</v>
      </c>
      <c r="O1860">
        <v>1</v>
      </c>
      <c r="P1860">
        <v>0</v>
      </c>
      <c r="Q1860">
        <v>0</v>
      </c>
      <c r="R1860" t="s">
        <v>112</v>
      </c>
      <c r="S1860" t="str">
        <f>"14:21:22.148"</f>
        <v>14:21:22.148</v>
      </c>
      <c r="T1860" t="str">
        <f>"14:21:21.648"</f>
        <v>14:21:21.648</v>
      </c>
      <c r="U1860" t="str">
        <f t="shared" si="87"/>
        <v>ad5732</v>
      </c>
      <c r="V1860">
        <v>0</v>
      </c>
      <c r="W1860">
        <v>0</v>
      </c>
      <c r="X1860">
        <v>1</v>
      </c>
      <c r="Z1860">
        <v>0</v>
      </c>
      <c r="AA1860">
        <v>9</v>
      </c>
      <c r="AB1860">
        <v>3</v>
      </c>
      <c r="AC1860">
        <v>0</v>
      </c>
      <c r="AD1860">
        <v>10</v>
      </c>
      <c r="AE1860">
        <v>0</v>
      </c>
      <c r="AF1860">
        <v>3</v>
      </c>
      <c r="AG1860">
        <v>2</v>
      </c>
      <c r="AH1860">
        <v>0</v>
      </c>
      <c r="AI1860" t="s">
        <v>3825</v>
      </c>
      <c r="AJ1860">
        <v>39.784883999999998</v>
      </c>
      <c r="AK1860" t="s">
        <v>3826</v>
      </c>
      <c r="AL1860">
        <v>-76.002645000000001</v>
      </c>
      <c r="AM1860">
        <v>100</v>
      </c>
      <c r="AN1860">
        <v>4700</v>
      </c>
      <c r="AO1860" t="s">
        <v>115</v>
      </c>
      <c r="AP1860">
        <v>155</v>
      </c>
      <c r="AQ1860">
        <v>81</v>
      </c>
      <c r="AR1860">
        <v>0</v>
      </c>
      <c r="AZ1860">
        <v>3614</v>
      </c>
      <c r="BA1860">
        <v>1</v>
      </c>
      <c r="BB1860" t="str">
        <f t="shared" si="86"/>
        <v xml:space="preserve">N959MJ  </v>
      </c>
      <c r="BC1860">
        <v>1</v>
      </c>
      <c r="BE1860">
        <v>0</v>
      </c>
      <c r="BF1860">
        <v>0</v>
      </c>
      <c r="BG1860">
        <v>0</v>
      </c>
      <c r="BH1860">
        <v>4900</v>
      </c>
      <c r="BI1860">
        <v>200</v>
      </c>
      <c r="BJ1860">
        <v>1</v>
      </c>
      <c r="BK1860">
        <v>1</v>
      </c>
      <c r="BL1860">
        <v>1</v>
      </c>
      <c r="BM1860">
        <v>0</v>
      </c>
      <c r="BP1860">
        <v>0</v>
      </c>
      <c r="BQ1860">
        <v>0</v>
      </c>
      <c r="BX1860" t="str">
        <f>"14:21:22.148"</f>
        <v>14:21:22.148</v>
      </c>
      <c r="BY1860" t="str">
        <f>"151085682"</f>
        <v>151085682</v>
      </c>
      <c r="CL1860">
        <v>0</v>
      </c>
      <c r="CM1860">
        <v>2</v>
      </c>
      <c r="CN1860">
        <v>0</v>
      </c>
      <c r="CO1860">
        <v>2</v>
      </c>
      <c r="CP1860">
        <v>0</v>
      </c>
      <c r="CQ1860">
        <v>6</v>
      </c>
      <c r="CR1860" t="s">
        <v>116</v>
      </c>
      <c r="CS1860">
        <v>396</v>
      </c>
      <c r="CT1860">
        <v>1</v>
      </c>
      <c r="CU1860" t="s">
        <v>939</v>
      </c>
      <c r="CV1860" t="s">
        <v>940</v>
      </c>
      <c r="CY1860">
        <v>9625895</v>
      </c>
      <c r="CZ1860" t="s">
        <v>119</v>
      </c>
    </row>
    <row r="1861" spans="1:104" x14ac:dyDescent="0.25">
      <c r="A1861" t="str">
        <f>"14:21:23.406"</f>
        <v>14:21:23.406</v>
      </c>
      <c r="B1861" t="s">
        <v>108</v>
      </c>
      <c r="C1861" t="str">
        <f t="shared" si="85"/>
        <v>ffdfd3c0</v>
      </c>
      <c r="D1861" t="s">
        <v>109</v>
      </c>
      <c r="E1861">
        <v>4</v>
      </c>
      <c r="F1861">
        <v>1004</v>
      </c>
      <c r="G1861" t="s">
        <v>110</v>
      </c>
      <c r="J1861" t="s">
        <v>111</v>
      </c>
      <c r="K1861">
        <v>0</v>
      </c>
      <c r="L1861">
        <v>3</v>
      </c>
      <c r="M1861">
        <v>0</v>
      </c>
      <c r="N1861">
        <v>2</v>
      </c>
      <c r="O1861">
        <v>1</v>
      </c>
      <c r="P1861">
        <v>0</v>
      </c>
      <c r="Q1861">
        <v>0</v>
      </c>
      <c r="R1861" t="s">
        <v>112</v>
      </c>
      <c r="S1861" t="str">
        <f>"14:21:23.219"</f>
        <v>14:21:23.219</v>
      </c>
      <c r="T1861" t="str">
        <f>"14:21:22.820"</f>
        <v>14:21:22.820</v>
      </c>
      <c r="U1861" t="str">
        <f t="shared" si="87"/>
        <v>ad5732</v>
      </c>
      <c r="V1861">
        <v>0</v>
      </c>
      <c r="W1861">
        <v>0</v>
      </c>
      <c r="X1861">
        <v>1</v>
      </c>
      <c r="Z1861">
        <v>0</v>
      </c>
      <c r="AA1861">
        <v>9</v>
      </c>
      <c r="AB1861">
        <v>3</v>
      </c>
      <c r="AC1861">
        <v>0</v>
      </c>
      <c r="AD1861">
        <v>10</v>
      </c>
      <c r="AE1861">
        <v>0</v>
      </c>
      <c r="AF1861">
        <v>3</v>
      </c>
      <c r="AG1861">
        <v>2</v>
      </c>
      <c r="AH1861">
        <v>0</v>
      </c>
      <c r="AI1861" t="s">
        <v>3827</v>
      </c>
      <c r="AJ1861">
        <v>39.785314</v>
      </c>
      <c r="AK1861" t="s">
        <v>3828</v>
      </c>
      <c r="AL1861">
        <v>-76.001593999999997</v>
      </c>
      <c r="AM1861">
        <v>100</v>
      </c>
      <c r="AN1861">
        <v>4700</v>
      </c>
      <c r="AO1861" t="s">
        <v>115</v>
      </c>
      <c r="AP1861">
        <v>155</v>
      </c>
      <c r="AQ1861">
        <v>81</v>
      </c>
      <c r="AR1861">
        <v>0</v>
      </c>
      <c r="AZ1861">
        <v>3614</v>
      </c>
      <c r="BA1861">
        <v>1</v>
      </c>
      <c r="BB1861" t="str">
        <f t="shared" si="86"/>
        <v xml:space="preserve">N959MJ  </v>
      </c>
      <c r="BC1861">
        <v>1</v>
      </c>
      <c r="BE1861">
        <v>0</v>
      </c>
      <c r="BF1861">
        <v>0</v>
      </c>
      <c r="BG1861">
        <v>0</v>
      </c>
      <c r="BH1861">
        <v>4900</v>
      </c>
      <c r="BI1861">
        <v>200</v>
      </c>
      <c r="BJ1861">
        <v>1</v>
      </c>
      <c r="BK1861">
        <v>1</v>
      </c>
      <c r="BL1861">
        <v>1</v>
      </c>
      <c r="BM1861">
        <v>0</v>
      </c>
      <c r="BP1861">
        <v>0</v>
      </c>
      <c r="BQ1861">
        <v>0</v>
      </c>
      <c r="BX1861" t="str">
        <f>"14:21:23.227"</f>
        <v>14:21:23.227</v>
      </c>
      <c r="BY1861" t="str">
        <f>"224212651"</f>
        <v>224212651</v>
      </c>
      <c r="CL1861">
        <v>0</v>
      </c>
      <c r="CM1861">
        <v>2</v>
      </c>
      <c r="CN1861">
        <v>0</v>
      </c>
      <c r="CO1861">
        <v>2</v>
      </c>
      <c r="CP1861">
        <v>0</v>
      </c>
      <c r="CQ1861">
        <v>6</v>
      </c>
      <c r="CR1861" t="s">
        <v>116</v>
      </c>
      <c r="CS1861">
        <v>39</v>
      </c>
      <c r="CT1861">
        <v>2</v>
      </c>
      <c r="CU1861" t="s">
        <v>2259</v>
      </c>
      <c r="CV1861" t="s">
        <v>2260</v>
      </c>
      <c r="CY1861">
        <v>16273031</v>
      </c>
      <c r="CZ1861" t="s">
        <v>119</v>
      </c>
    </row>
    <row r="1862" spans="1:104" x14ac:dyDescent="0.25">
      <c r="A1862" t="str">
        <f>"14:21:24.367"</f>
        <v>14:21:24.367</v>
      </c>
      <c r="B1862" t="s">
        <v>108</v>
      </c>
      <c r="C1862" t="str">
        <f t="shared" si="85"/>
        <v>ffdfd3c0</v>
      </c>
      <c r="D1862" t="s">
        <v>109</v>
      </c>
      <c r="E1862">
        <v>4</v>
      </c>
      <c r="F1862">
        <v>1004</v>
      </c>
      <c r="G1862" t="s">
        <v>110</v>
      </c>
      <c r="J1862" t="s">
        <v>111</v>
      </c>
      <c r="K1862">
        <v>0</v>
      </c>
      <c r="L1862">
        <v>3</v>
      </c>
      <c r="M1862">
        <v>0</v>
      </c>
      <c r="N1862">
        <v>2</v>
      </c>
      <c r="O1862">
        <v>1</v>
      </c>
      <c r="P1862">
        <v>0</v>
      </c>
      <c r="Q1862">
        <v>0</v>
      </c>
      <c r="R1862" t="s">
        <v>112</v>
      </c>
      <c r="S1862" t="str">
        <f>"14:21:24.203"</f>
        <v>14:21:24.203</v>
      </c>
      <c r="T1862" t="str">
        <f>"14:21:23.703"</f>
        <v>14:21:23.703</v>
      </c>
      <c r="U1862" t="str">
        <f t="shared" si="87"/>
        <v>ad5732</v>
      </c>
      <c r="V1862">
        <v>0</v>
      </c>
      <c r="W1862">
        <v>0</v>
      </c>
      <c r="X1862">
        <v>1</v>
      </c>
      <c r="Z1862">
        <v>0</v>
      </c>
      <c r="AA1862">
        <v>9</v>
      </c>
      <c r="AB1862">
        <v>3</v>
      </c>
      <c r="AC1862">
        <v>0</v>
      </c>
      <c r="AD1862">
        <v>10</v>
      </c>
      <c r="AE1862">
        <v>0</v>
      </c>
      <c r="AF1862">
        <v>3</v>
      </c>
      <c r="AG1862">
        <v>2</v>
      </c>
      <c r="AH1862">
        <v>0</v>
      </c>
      <c r="AI1862" t="s">
        <v>3829</v>
      </c>
      <c r="AJ1862">
        <v>39.785677999999997</v>
      </c>
      <c r="AK1862" t="s">
        <v>3830</v>
      </c>
      <c r="AL1862">
        <v>-76.000670999999997</v>
      </c>
      <c r="AM1862">
        <v>100</v>
      </c>
      <c r="AN1862">
        <v>4700</v>
      </c>
      <c r="AO1862" t="s">
        <v>115</v>
      </c>
      <c r="AP1862">
        <v>155</v>
      </c>
      <c r="AQ1862">
        <v>81</v>
      </c>
      <c r="AR1862">
        <v>0</v>
      </c>
      <c r="AZ1862">
        <v>3614</v>
      </c>
      <c r="BA1862">
        <v>1</v>
      </c>
      <c r="BB1862" t="str">
        <f t="shared" si="86"/>
        <v xml:space="preserve">N959MJ  </v>
      </c>
      <c r="BC1862">
        <v>1</v>
      </c>
      <c r="BE1862">
        <v>0</v>
      </c>
      <c r="BF1862">
        <v>0</v>
      </c>
      <c r="BG1862">
        <v>0</v>
      </c>
      <c r="BH1862">
        <v>4900</v>
      </c>
      <c r="BI1862">
        <v>200</v>
      </c>
      <c r="BJ1862">
        <v>1</v>
      </c>
      <c r="BK1862">
        <v>1</v>
      </c>
      <c r="BL1862">
        <v>1</v>
      </c>
      <c r="BM1862">
        <v>0</v>
      </c>
      <c r="BP1862">
        <v>0</v>
      </c>
      <c r="BQ1862">
        <v>0</v>
      </c>
      <c r="BX1862" t="str">
        <f>"14:21:24.211"</f>
        <v>14:21:24.211</v>
      </c>
      <c r="BY1862" t="str">
        <f>"210545915"</f>
        <v>210545915</v>
      </c>
      <c r="CL1862">
        <v>0</v>
      </c>
      <c r="CM1862">
        <v>2</v>
      </c>
      <c r="CN1862">
        <v>0</v>
      </c>
      <c r="CO1862">
        <v>2</v>
      </c>
      <c r="CP1862">
        <v>0</v>
      </c>
      <c r="CQ1862">
        <v>7</v>
      </c>
      <c r="CR1862" t="s">
        <v>116</v>
      </c>
      <c r="CS1862">
        <v>39</v>
      </c>
      <c r="CT1862">
        <v>2</v>
      </c>
      <c r="CU1862" t="s">
        <v>2259</v>
      </c>
      <c r="CV1862" t="s">
        <v>2260</v>
      </c>
      <c r="CY1862">
        <v>16274601</v>
      </c>
      <c r="CZ1862" t="s">
        <v>119</v>
      </c>
    </row>
    <row r="1863" spans="1:104" x14ac:dyDescent="0.25">
      <c r="A1863" t="str">
        <f>"14:21:25.430"</f>
        <v>14:21:25.430</v>
      </c>
      <c r="B1863" t="s">
        <v>108</v>
      </c>
      <c r="C1863" t="str">
        <f t="shared" si="85"/>
        <v>ffdfd3c0</v>
      </c>
      <c r="D1863" t="s">
        <v>109</v>
      </c>
      <c r="E1863">
        <v>4</v>
      </c>
      <c r="F1863">
        <v>1004</v>
      </c>
      <c r="G1863" t="s">
        <v>110</v>
      </c>
      <c r="J1863" t="s">
        <v>111</v>
      </c>
      <c r="K1863">
        <v>0</v>
      </c>
      <c r="L1863">
        <v>3</v>
      </c>
      <c r="M1863">
        <v>0</v>
      </c>
      <c r="N1863">
        <v>2</v>
      </c>
      <c r="O1863">
        <v>1</v>
      </c>
      <c r="P1863">
        <v>0</v>
      </c>
      <c r="Q1863">
        <v>0</v>
      </c>
      <c r="R1863" t="s">
        <v>112</v>
      </c>
      <c r="S1863" t="str">
        <f>"14:21:25.219"</f>
        <v>14:21:25.219</v>
      </c>
      <c r="T1863" t="str">
        <f>"14:21:24.719"</f>
        <v>14:21:24.719</v>
      </c>
      <c r="U1863" t="str">
        <f t="shared" si="87"/>
        <v>ad5732</v>
      </c>
      <c r="V1863">
        <v>0</v>
      </c>
      <c r="W1863">
        <v>0</v>
      </c>
      <c r="X1863">
        <v>1</v>
      </c>
      <c r="Z1863">
        <v>0</v>
      </c>
      <c r="AA1863">
        <v>9</v>
      </c>
      <c r="AB1863">
        <v>3</v>
      </c>
      <c r="AC1863">
        <v>0</v>
      </c>
      <c r="AD1863">
        <v>10</v>
      </c>
      <c r="AE1863">
        <v>0</v>
      </c>
      <c r="AF1863">
        <v>3</v>
      </c>
      <c r="AG1863">
        <v>2</v>
      </c>
      <c r="AH1863">
        <v>0</v>
      </c>
      <c r="AI1863" t="s">
        <v>3831</v>
      </c>
      <c r="AJ1863">
        <v>39.786065000000001</v>
      </c>
      <c r="AK1863" t="s">
        <v>3832</v>
      </c>
      <c r="AL1863">
        <v>-75.999748999999994</v>
      </c>
      <c r="AM1863">
        <v>100</v>
      </c>
      <c r="AN1863">
        <v>4700</v>
      </c>
      <c r="AO1863" t="s">
        <v>115</v>
      </c>
      <c r="AP1863">
        <v>155</v>
      </c>
      <c r="AQ1863">
        <v>81</v>
      </c>
      <c r="AR1863">
        <v>0</v>
      </c>
      <c r="AZ1863">
        <v>3614</v>
      </c>
      <c r="BA1863">
        <v>1</v>
      </c>
      <c r="BB1863" t="str">
        <f t="shared" si="86"/>
        <v xml:space="preserve">N959MJ  </v>
      </c>
      <c r="BC1863">
        <v>1</v>
      </c>
      <c r="BE1863">
        <v>0</v>
      </c>
      <c r="BF1863">
        <v>0</v>
      </c>
      <c r="BG1863">
        <v>0</v>
      </c>
      <c r="BH1863">
        <v>4900</v>
      </c>
      <c r="BI1863">
        <v>200</v>
      </c>
      <c r="BJ1863">
        <v>1</v>
      </c>
      <c r="BK1863">
        <v>1</v>
      </c>
      <c r="BL1863">
        <v>1</v>
      </c>
      <c r="BM1863">
        <v>0</v>
      </c>
      <c r="BP1863">
        <v>0</v>
      </c>
      <c r="BQ1863">
        <v>0</v>
      </c>
      <c r="BX1863" t="str">
        <f>"14:21:25.227"</f>
        <v>14:21:25.227</v>
      </c>
      <c r="BY1863" t="str">
        <f>"223138498"</f>
        <v>223138498</v>
      </c>
      <c r="CL1863">
        <v>0</v>
      </c>
      <c r="CM1863">
        <v>2</v>
      </c>
      <c r="CN1863">
        <v>0</v>
      </c>
      <c r="CO1863">
        <v>2</v>
      </c>
      <c r="CP1863">
        <v>0</v>
      </c>
      <c r="CQ1863">
        <v>6</v>
      </c>
      <c r="CR1863" t="s">
        <v>116</v>
      </c>
      <c r="CS1863">
        <v>396</v>
      </c>
      <c r="CT1863">
        <v>1</v>
      </c>
      <c r="CU1863" t="s">
        <v>939</v>
      </c>
      <c r="CV1863" t="s">
        <v>940</v>
      </c>
      <c r="CY1863">
        <v>9631334</v>
      </c>
      <c r="CZ1863" t="s">
        <v>119</v>
      </c>
    </row>
    <row r="1864" spans="1:104" x14ac:dyDescent="0.25">
      <c r="A1864" t="str">
        <f>"14:21:26.438"</f>
        <v>14:21:26.438</v>
      </c>
      <c r="B1864" t="s">
        <v>108</v>
      </c>
      <c r="C1864" t="str">
        <f t="shared" si="85"/>
        <v>ffdfd3c0</v>
      </c>
      <c r="D1864" t="s">
        <v>109</v>
      </c>
      <c r="E1864">
        <v>4</v>
      </c>
      <c r="F1864">
        <v>1004</v>
      </c>
      <c r="G1864" t="s">
        <v>110</v>
      </c>
      <c r="J1864" t="s">
        <v>111</v>
      </c>
      <c r="K1864">
        <v>0</v>
      </c>
      <c r="L1864">
        <v>3</v>
      </c>
      <c r="M1864">
        <v>0</v>
      </c>
      <c r="N1864">
        <v>2</v>
      </c>
      <c r="O1864">
        <v>1</v>
      </c>
      <c r="P1864">
        <v>0</v>
      </c>
      <c r="Q1864">
        <v>0</v>
      </c>
      <c r="R1864" t="s">
        <v>112</v>
      </c>
      <c r="S1864" t="str">
        <f>"14:21:26.242"</f>
        <v>14:21:26.242</v>
      </c>
      <c r="T1864" t="str">
        <f>"14:21:25.742"</f>
        <v>14:21:25.742</v>
      </c>
      <c r="U1864" t="str">
        <f t="shared" si="87"/>
        <v>ad5732</v>
      </c>
      <c r="V1864">
        <v>0</v>
      </c>
      <c r="W1864">
        <v>0</v>
      </c>
      <c r="X1864">
        <v>1</v>
      </c>
      <c r="Z1864">
        <v>0</v>
      </c>
      <c r="AA1864">
        <v>9</v>
      </c>
      <c r="AB1864">
        <v>3</v>
      </c>
      <c r="AC1864">
        <v>0</v>
      </c>
      <c r="AD1864">
        <v>10</v>
      </c>
      <c r="AE1864">
        <v>0</v>
      </c>
      <c r="AF1864">
        <v>3</v>
      </c>
      <c r="AG1864">
        <v>2</v>
      </c>
      <c r="AH1864">
        <v>0</v>
      </c>
      <c r="AI1864" t="s">
        <v>3833</v>
      </c>
      <c r="AJ1864">
        <v>39.786428999999998</v>
      </c>
      <c r="AK1864" t="s">
        <v>3834</v>
      </c>
      <c r="AL1864">
        <v>-75.998783000000003</v>
      </c>
      <c r="AM1864">
        <v>100</v>
      </c>
      <c r="AN1864">
        <v>4700</v>
      </c>
      <c r="AO1864" t="s">
        <v>115</v>
      </c>
      <c r="AP1864">
        <v>155</v>
      </c>
      <c r="AQ1864">
        <v>81</v>
      </c>
      <c r="AR1864">
        <v>0</v>
      </c>
      <c r="AZ1864">
        <v>3614</v>
      </c>
      <c r="BA1864">
        <v>1</v>
      </c>
      <c r="BB1864" t="str">
        <f t="shared" si="86"/>
        <v xml:space="preserve">N959MJ  </v>
      </c>
      <c r="BC1864">
        <v>1</v>
      </c>
      <c r="BE1864">
        <v>0</v>
      </c>
      <c r="BF1864">
        <v>0</v>
      </c>
      <c r="BG1864">
        <v>0</v>
      </c>
      <c r="BH1864">
        <v>4900</v>
      </c>
      <c r="BI1864">
        <v>200</v>
      </c>
      <c r="BJ1864">
        <v>1</v>
      </c>
      <c r="BK1864">
        <v>1</v>
      </c>
      <c r="BL1864">
        <v>1</v>
      </c>
      <c r="BM1864">
        <v>0</v>
      </c>
      <c r="BP1864">
        <v>0</v>
      </c>
      <c r="BQ1864">
        <v>0</v>
      </c>
      <c r="BX1864" t="str">
        <f>"14:21:26.242"</f>
        <v>14:21:26.242</v>
      </c>
      <c r="BY1864" t="str">
        <f>"245472691"</f>
        <v>245472691</v>
      </c>
      <c r="CL1864">
        <v>0</v>
      </c>
      <c r="CM1864">
        <v>2</v>
      </c>
      <c r="CN1864">
        <v>0</v>
      </c>
      <c r="CO1864">
        <v>2</v>
      </c>
      <c r="CP1864">
        <v>0</v>
      </c>
      <c r="CQ1864">
        <v>7</v>
      </c>
      <c r="CR1864" t="s">
        <v>116</v>
      </c>
      <c r="CS1864">
        <v>39</v>
      </c>
      <c r="CT1864">
        <v>2</v>
      </c>
      <c r="CU1864" t="s">
        <v>2259</v>
      </c>
      <c r="CV1864" t="s">
        <v>2260</v>
      </c>
      <c r="CY1864">
        <v>16277815</v>
      </c>
      <c r="CZ1864" t="s">
        <v>119</v>
      </c>
    </row>
    <row r="1865" spans="1:104" x14ac:dyDescent="0.25">
      <c r="A1865" t="str">
        <f>"14:21:27.398"</f>
        <v>14:21:27.398</v>
      </c>
      <c r="B1865" t="s">
        <v>108</v>
      </c>
      <c r="C1865" t="str">
        <f t="shared" si="85"/>
        <v>ffdfd3c0</v>
      </c>
      <c r="D1865" t="s">
        <v>109</v>
      </c>
      <c r="E1865">
        <v>4</v>
      </c>
      <c r="F1865">
        <v>1004</v>
      </c>
      <c r="G1865" t="s">
        <v>110</v>
      </c>
      <c r="J1865" t="s">
        <v>111</v>
      </c>
      <c r="K1865">
        <v>0</v>
      </c>
      <c r="L1865">
        <v>3</v>
      </c>
      <c r="M1865">
        <v>0</v>
      </c>
      <c r="N1865">
        <v>2</v>
      </c>
      <c r="O1865">
        <v>1</v>
      </c>
      <c r="P1865">
        <v>0</v>
      </c>
      <c r="Q1865">
        <v>0</v>
      </c>
      <c r="R1865" t="s">
        <v>112</v>
      </c>
      <c r="S1865" t="str">
        <f>"14:21:27.227"</f>
        <v>14:21:27.227</v>
      </c>
      <c r="T1865" t="str">
        <f>"14:21:26.828"</f>
        <v>14:21:26.828</v>
      </c>
      <c r="U1865" t="str">
        <f t="shared" si="87"/>
        <v>ad5732</v>
      </c>
      <c r="V1865">
        <v>0</v>
      </c>
      <c r="W1865">
        <v>0</v>
      </c>
      <c r="X1865">
        <v>1</v>
      </c>
      <c r="Z1865">
        <v>0</v>
      </c>
      <c r="AA1865">
        <v>9</v>
      </c>
      <c r="AB1865">
        <v>3</v>
      </c>
      <c r="AC1865">
        <v>0</v>
      </c>
      <c r="AD1865">
        <v>10</v>
      </c>
      <c r="AE1865">
        <v>0</v>
      </c>
      <c r="AF1865">
        <v>3</v>
      </c>
      <c r="AG1865">
        <v>2</v>
      </c>
      <c r="AH1865">
        <v>0</v>
      </c>
      <c r="AI1865" t="s">
        <v>3835</v>
      </c>
      <c r="AJ1865">
        <v>39.786794</v>
      </c>
      <c r="AK1865" t="s">
        <v>3836</v>
      </c>
      <c r="AL1865">
        <v>-75.997860000000003</v>
      </c>
      <c r="AM1865">
        <v>100</v>
      </c>
      <c r="AN1865">
        <v>4700</v>
      </c>
      <c r="AO1865" t="s">
        <v>115</v>
      </c>
      <c r="AP1865">
        <v>155</v>
      </c>
      <c r="AQ1865">
        <v>81</v>
      </c>
      <c r="AR1865">
        <v>0</v>
      </c>
      <c r="AZ1865">
        <v>3614</v>
      </c>
      <c r="BA1865">
        <v>1</v>
      </c>
      <c r="BB1865" t="str">
        <f t="shared" si="86"/>
        <v xml:space="preserve">N959MJ  </v>
      </c>
      <c r="BC1865">
        <v>1</v>
      </c>
      <c r="BE1865">
        <v>0</v>
      </c>
      <c r="BF1865">
        <v>0</v>
      </c>
      <c r="BG1865">
        <v>0</v>
      </c>
      <c r="BH1865">
        <v>4900</v>
      </c>
      <c r="BI1865">
        <v>200</v>
      </c>
      <c r="BJ1865">
        <v>1</v>
      </c>
      <c r="BK1865">
        <v>1</v>
      </c>
      <c r="BL1865">
        <v>1</v>
      </c>
      <c r="BM1865">
        <v>0</v>
      </c>
      <c r="BP1865">
        <v>0</v>
      </c>
      <c r="BQ1865">
        <v>0</v>
      </c>
      <c r="BX1865" t="str">
        <f>"14:21:27.227"</f>
        <v>14:21:27.227</v>
      </c>
      <c r="BY1865" t="str">
        <f>"230167542"</f>
        <v>230167542</v>
      </c>
      <c r="CL1865">
        <v>0</v>
      </c>
      <c r="CM1865">
        <v>2</v>
      </c>
      <c r="CN1865">
        <v>0</v>
      </c>
      <c r="CO1865">
        <v>2</v>
      </c>
      <c r="CP1865">
        <v>0</v>
      </c>
      <c r="CQ1865">
        <v>7</v>
      </c>
      <c r="CR1865" t="s">
        <v>116</v>
      </c>
      <c r="CS1865">
        <v>39</v>
      </c>
      <c r="CT1865">
        <v>2</v>
      </c>
      <c r="CU1865" t="s">
        <v>2259</v>
      </c>
      <c r="CV1865" t="s">
        <v>2260</v>
      </c>
      <c r="CY1865">
        <v>16279351</v>
      </c>
      <c r="CZ1865" t="s">
        <v>119</v>
      </c>
    </row>
    <row r="1866" spans="1:104" x14ac:dyDescent="0.25">
      <c r="A1866" t="str">
        <f>"14:21:28.406"</f>
        <v>14:21:28.406</v>
      </c>
      <c r="B1866" t="s">
        <v>108</v>
      </c>
      <c r="C1866" t="str">
        <f t="shared" ref="C1866:C1929" si="88">"ffdfd3c0"</f>
        <v>ffdfd3c0</v>
      </c>
      <c r="D1866" t="s">
        <v>109</v>
      </c>
      <c r="E1866">
        <v>4</v>
      </c>
      <c r="F1866">
        <v>1004</v>
      </c>
      <c r="G1866" t="s">
        <v>110</v>
      </c>
      <c r="J1866" t="s">
        <v>111</v>
      </c>
      <c r="K1866">
        <v>0</v>
      </c>
      <c r="L1866">
        <v>3</v>
      </c>
      <c r="M1866">
        <v>0</v>
      </c>
      <c r="N1866">
        <v>2</v>
      </c>
      <c r="O1866">
        <v>1</v>
      </c>
      <c r="P1866">
        <v>0</v>
      </c>
      <c r="Q1866">
        <v>0</v>
      </c>
      <c r="R1866" t="s">
        <v>112</v>
      </c>
      <c r="S1866" t="str">
        <f>"14:21:28.250"</f>
        <v>14:21:28.250</v>
      </c>
      <c r="T1866" t="str">
        <f>"14:21:27.852"</f>
        <v>14:21:27.852</v>
      </c>
      <c r="U1866" t="str">
        <f t="shared" si="87"/>
        <v>ad5732</v>
      </c>
      <c r="V1866">
        <v>0</v>
      </c>
      <c r="W1866">
        <v>0</v>
      </c>
      <c r="X1866">
        <v>1</v>
      </c>
      <c r="Z1866">
        <v>0</v>
      </c>
      <c r="AA1866">
        <v>9</v>
      </c>
      <c r="AB1866">
        <v>3</v>
      </c>
      <c r="AC1866">
        <v>0</v>
      </c>
      <c r="AD1866">
        <v>10</v>
      </c>
      <c r="AE1866">
        <v>0</v>
      </c>
      <c r="AF1866">
        <v>3</v>
      </c>
      <c r="AG1866">
        <v>2</v>
      </c>
      <c r="AH1866">
        <v>0</v>
      </c>
      <c r="AI1866" t="s">
        <v>3837</v>
      </c>
      <c r="AJ1866">
        <v>39.787179999999999</v>
      </c>
      <c r="AK1866" t="s">
        <v>3838</v>
      </c>
      <c r="AL1866">
        <v>-75.996938</v>
      </c>
      <c r="AM1866">
        <v>100</v>
      </c>
      <c r="AN1866">
        <v>4700</v>
      </c>
      <c r="AO1866" t="s">
        <v>115</v>
      </c>
      <c r="AP1866">
        <v>155</v>
      </c>
      <c r="AQ1866">
        <v>81</v>
      </c>
      <c r="AR1866">
        <v>0</v>
      </c>
      <c r="AZ1866">
        <v>3614</v>
      </c>
      <c r="BA1866">
        <v>1</v>
      </c>
      <c r="BB1866" t="str">
        <f t="shared" ref="BB1866:BB1929" si="89">"N959MJ  "</f>
        <v xml:space="preserve">N959MJ  </v>
      </c>
      <c r="BC1866">
        <v>1</v>
      </c>
      <c r="BE1866">
        <v>0</v>
      </c>
      <c r="BF1866">
        <v>0</v>
      </c>
      <c r="BG1866">
        <v>0</v>
      </c>
      <c r="BH1866">
        <v>4900</v>
      </c>
      <c r="BI1866">
        <v>200</v>
      </c>
      <c r="BJ1866">
        <v>1</v>
      </c>
      <c r="BK1866">
        <v>1</v>
      </c>
      <c r="BL1866">
        <v>1</v>
      </c>
      <c r="BM1866">
        <v>0</v>
      </c>
      <c r="BP1866">
        <v>0</v>
      </c>
      <c r="BQ1866">
        <v>0</v>
      </c>
      <c r="BX1866" t="str">
        <f>"14:21:28.258"</f>
        <v>14:21:28.258</v>
      </c>
      <c r="BY1866" t="str">
        <f>"254184634"</f>
        <v>254184634</v>
      </c>
      <c r="CL1866">
        <v>0</v>
      </c>
      <c r="CM1866">
        <v>2</v>
      </c>
      <c r="CN1866">
        <v>0</v>
      </c>
      <c r="CO1866">
        <v>2</v>
      </c>
      <c r="CP1866">
        <v>0</v>
      </c>
      <c r="CQ1866">
        <v>7</v>
      </c>
      <c r="CR1866" t="s">
        <v>116</v>
      </c>
      <c r="CS1866">
        <v>39</v>
      </c>
      <c r="CT1866">
        <v>2</v>
      </c>
      <c r="CU1866" t="s">
        <v>2259</v>
      </c>
      <c r="CV1866" t="s">
        <v>2260</v>
      </c>
      <c r="CY1866">
        <v>16280850</v>
      </c>
      <c r="CZ1866" t="s">
        <v>119</v>
      </c>
    </row>
    <row r="1867" spans="1:104" x14ac:dyDescent="0.25">
      <c r="A1867" t="str">
        <f>"14:21:29.469"</f>
        <v>14:21:29.469</v>
      </c>
      <c r="B1867" t="s">
        <v>108</v>
      </c>
      <c r="C1867" t="str">
        <f t="shared" si="88"/>
        <v>ffdfd3c0</v>
      </c>
      <c r="D1867" t="s">
        <v>109</v>
      </c>
      <c r="E1867">
        <v>4</v>
      </c>
      <c r="F1867">
        <v>1004</v>
      </c>
      <c r="G1867" t="s">
        <v>110</v>
      </c>
      <c r="J1867" t="s">
        <v>111</v>
      </c>
      <c r="K1867">
        <v>0</v>
      </c>
      <c r="L1867">
        <v>3</v>
      </c>
      <c r="M1867">
        <v>0</v>
      </c>
      <c r="N1867">
        <v>2</v>
      </c>
      <c r="O1867">
        <v>1</v>
      </c>
      <c r="P1867">
        <v>0</v>
      </c>
      <c r="Q1867">
        <v>0</v>
      </c>
      <c r="R1867" t="s">
        <v>112</v>
      </c>
      <c r="S1867" t="str">
        <f>"14:21:29.281"</f>
        <v>14:21:29.281</v>
      </c>
      <c r="T1867" t="str">
        <f>"14:21:28.781"</f>
        <v>14:21:28.781</v>
      </c>
      <c r="U1867" t="str">
        <f t="shared" si="87"/>
        <v>ad5732</v>
      </c>
      <c r="V1867">
        <v>0</v>
      </c>
      <c r="W1867">
        <v>0</v>
      </c>
      <c r="X1867">
        <v>1</v>
      </c>
      <c r="Z1867">
        <v>0</v>
      </c>
      <c r="AA1867">
        <v>9</v>
      </c>
      <c r="AB1867">
        <v>3</v>
      </c>
      <c r="AC1867">
        <v>0</v>
      </c>
      <c r="AD1867">
        <v>10</v>
      </c>
      <c r="AE1867">
        <v>0</v>
      </c>
      <c r="AF1867">
        <v>3</v>
      </c>
      <c r="AG1867">
        <v>2</v>
      </c>
      <c r="AH1867">
        <v>0</v>
      </c>
      <c r="AI1867" t="s">
        <v>3839</v>
      </c>
      <c r="AJ1867">
        <v>39.787545000000001</v>
      </c>
      <c r="AK1867" t="s">
        <v>3840</v>
      </c>
      <c r="AL1867">
        <v>-75.996037000000001</v>
      </c>
      <c r="AM1867">
        <v>100</v>
      </c>
      <c r="AN1867">
        <v>4700</v>
      </c>
      <c r="AO1867" t="s">
        <v>115</v>
      </c>
      <c r="AP1867">
        <v>155</v>
      </c>
      <c r="AQ1867">
        <v>81</v>
      </c>
      <c r="AR1867">
        <v>0</v>
      </c>
      <c r="AZ1867">
        <v>3614</v>
      </c>
      <c r="BA1867">
        <v>1</v>
      </c>
      <c r="BB1867" t="str">
        <f t="shared" si="89"/>
        <v xml:space="preserve">N959MJ  </v>
      </c>
      <c r="BC1867">
        <v>1</v>
      </c>
      <c r="BE1867">
        <v>0</v>
      </c>
      <c r="BF1867">
        <v>0</v>
      </c>
      <c r="BG1867">
        <v>0</v>
      </c>
      <c r="BH1867">
        <v>4900</v>
      </c>
      <c r="BI1867">
        <v>200</v>
      </c>
      <c r="BJ1867">
        <v>1</v>
      </c>
      <c r="BK1867">
        <v>1</v>
      </c>
      <c r="BL1867">
        <v>1</v>
      </c>
      <c r="BM1867">
        <v>0</v>
      </c>
      <c r="BP1867">
        <v>0</v>
      </c>
      <c r="BQ1867">
        <v>0</v>
      </c>
      <c r="BX1867" t="str">
        <f>"14:21:29.281"</f>
        <v>14:21:29.281</v>
      </c>
      <c r="BY1867" t="str">
        <f>"281478736"</f>
        <v>281478736</v>
      </c>
      <c r="CL1867">
        <v>0</v>
      </c>
      <c r="CM1867">
        <v>2</v>
      </c>
      <c r="CN1867">
        <v>0</v>
      </c>
      <c r="CO1867">
        <v>2</v>
      </c>
      <c r="CP1867">
        <v>0</v>
      </c>
      <c r="CQ1867">
        <v>7</v>
      </c>
      <c r="CR1867" t="s">
        <v>116</v>
      </c>
      <c r="CS1867">
        <v>39</v>
      </c>
      <c r="CT1867">
        <v>2</v>
      </c>
      <c r="CU1867" t="s">
        <v>2259</v>
      </c>
      <c r="CV1867" t="s">
        <v>2260</v>
      </c>
      <c r="CY1867">
        <v>16282520</v>
      </c>
      <c r="CZ1867" t="s">
        <v>119</v>
      </c>
    </row>
    <row r="1868" spans="1:104" x14ac:dyDescent="0.25">
      <c r="A1868" t="str">
        <f>"14:21:30.477"</f>
        <v>14:21:30.477</v>
      </c>
      <c r="B1868" t="s">
        <v>108</v>
      </c>
      <c r="C1868" t="str">
        <f t="shared" si="88"/>
        <v>ffdfd3c0</v>
      </c>
      <c r="D1868" t="s">
        <v>109</v>
      </c>
      <c r="E1868">
        <v>4</v>
      </c>
      <c r="F1868">
        <v>1004</v>
      </c>
      <c r="G1868" t="s">
        <v>110</v>
      </c>
      <c r="J1868" t="s">
        <v>111</v>
      </c>
      <c r="K1868">
        <v>0</v>
      </c>
      <c r="L1868">
        <v>3</v>
      </c>
      <c r="M1868">
        <v>0</v>
      </c>
      <c r="N1868">
        <v>2</v>
      </c>
      <c r="O1868">
        <v>1</v>
      </c>
      <c r="P1868">
        <v>0</v>
      </c>
      <c r="Q1868">
        <v>0</v>
      </c>
      <c r="R1868" t="s">
        <v>112</v>
      </c>
      <c r="S1868" t="str">
        <f>"14:21:30.281"</f>
        <v>14:21:30.281</v>
      </c>
      <c r="T1868" t="str">
        <f>"14:21:29.883"</f>
        <v>14:21:29.883</v>
      </c>
      <c r="U1868" t="str">
        <f t="shared" si="87"/>
        <v>ad5732</v>
      </c>
      <c r="V1868">
        <v>0</v>
      </c>
      <c r="W1868">
        <v>0</v>
      </c>
      <c r="X1868">
        <v>1</v>
      </c>
      <c r="Z1868">
        <v>0</v>
      </c>
      <c r="AA1868">
        <v>9</v>
      </c>
      <c r="AB1868">
        <v>3</v>
      </c>
      <c r="AC1868">
        <v>0</v>
      </c>
      <c r="AD1868">
        <v>10</v>
      </c>
      <c r="AE1868">
        <v>0</v>
      </c>
      <c r="AF1868">
        <v>3</v>
      </c>
      <c r="AG1868">
        <v>2</v>
      </c>
      <c r="AH1868">
        <v>0</v>
      </c>
      <c r="AI1868" t="s">
        <v>3841</v>
      </c>
      <c r="AJ1868">
        <v>39.787909999999997</v>
      </c>
      <c r="AK1868" t="s">
        <v>3842</v>
      </c>
      <c r="AL1868">
        <v>-75.995048999999995</v>
      </c>
      <c r="AM1868">
        <v>100</v>
      </c>
      <c r="AN1868">
        <v>4700</v>
      </c>
      <c r="AO1868" t="s">
        <v>115</v>
      </c>
      <c r="AP1868">
        <v>155</v>
      </c>
      <c r="AQ1868">
        <v>81</v>
      </c>
      <c r="AR1868">
        <v>0</v>
      </c>
      <c r="AZ1868">
        <v>3614</v>
      </c>
      <c r="BA1868">
        <v>1</v>
      </c>
      <c r="BB1868" t="str">
        <f t="shared" si="89"/>
        <v xml:space="preserve">N959MJ  </v>
      </c>
      <c r="BC1868">
        <v>1</v>
      </c>
      <c r="BE1868">
        <v>0</v>
      </c>
      <c r="BF1868">
        <v>0</v>
      </c>
      <c r="BG1868">
        <v>0</v>
      </c>
      <c r="BH1868">
        <v>4900</v>
      </c>
      <c r="BI1868">
        <v>200</v>
      </c>
      <c r="BJ1868">
        <v>1</v>
      </c>
      <c r="BK1868">
        <v>1</v>
      </c>
      <c r="BL1868">
        <v>1</v>
      </c>
      <c r="BM1868">
        <v>0</v>
      </c>
      <c r="BP1868">
        <v>0</v>
      </c>
      <c r="BQ1868">
        <v>0</v>
      </c>
      <c r="BX1868" t="str">
        <f>"14:21:30.281"</f>
        <v>14:21:30.281</v>
      </c>
      <c r="BY1868" t="str">
        <f>"282557800"</f>
        <v>282557800</v>
      </c>
      <c r="CL1868">
        <v>0</v>
      </c>
      <c r="CM1868">
        <v>2</v>
      </c>
      <c r="CN1868">
        <v>0</v>
      </c>
      <c r="CO1868">
        <v>2</v>
      </c>
      <c r="CP1868">
        <v>0</v>
      </c>
      <c r="CQ1868">
        <v>7</v>
      </c>
      <c r="CR1868" t="s">
        <v>116</v>
      </c>
      <c r="CS1868">
        <v>39</v>
      </c>
      <c r="CT1868">
        <v>2</v>
      </c>
      <c r="CU1868" t="s">
        <v>2259</v>
      </c>
      <c r="CV1868" t="s">
        <v>2260</v>
      </c>
      <c r="CY1868">
        <v>16284167</v>
      </c>
      <c r="CZ1868" t="s">
        <v>119</v>
      </c>
    </row>
    <row r="1869" spans="1:104" x14ac:dyDescent="0.25">
      <c r="A1869" t="str">
        <f>"14:21:31.484"</f>
        <v>14:21:31.484</v>
      </c>
      <c r="B1869" t="s">
        <v>108</v>
      </c>
      <c r="C1869" t="str">
        <f t="shared" si="88"/>
        <v>ffdfd3c0</v>
      </c>
      <c r="D1869" t="s">
        <v>109</v>
      </c>
      <c r="E1869">
        <v>4</v>
      </c>
      <c r="F1869">
        <v>1004</v>
      </c>
      <c r="G1869" t="s">
        <v>110</v>
      </c>
      <c r="J1869" t="s">
        <v>111</v>
      </c>
      <c r="K1869">
        <v>0</v>
      </c>
      <c r="L1869">
        <v>3</v>
      </c>
      <c r="M1869">
        <v>0</v>
      </c>
      <c r="N1869">
        <v>2</v>
      </c>
      <c r="O1869">
        <v>1</v>
      </c>
      <c r="P1869">
        <v>0</v>
      </c>
      <c r="Q1869">
        <v>0</v>
      </c>
      <c r="R1869" t="s">
        <v>112</v>
      </c>
      <c r="S1869" t="str">
        <f>"14:21:31.281"</f>
        <v>14:21:31.281</v>
      </c>
      <c r="T1869" t="str">
        <f>"14:21:30.883"</f>
        <v>14:21:30.883</v>
      </c>
      <c r="U1869" t="str">
        <f t="shared" si="87"/>
        <v>ad5732</v>
      </c>
      <c r="V1869">
        <v>0</v>
      </c>
      <c r="W1869">
        <v>0</v>
      </c>
      <c r="X1869">
        <v>1</v>
      </c>
      <c r="Z1869">
        <v>0</v>
      </c>
      <c r="AA1869">
        <v>9</v>
      </c>
      <c r="AB1869">
        <v>3</v>
      </c>
      <c r="AC1869">
        <v>0</v>
      </c>
      <c r="AD1869">
        <v>10</v>
      </c>
      <c r="AE1869">
        <v>0</v>
      </c>
      <c r="AF1869">
        <v>3</v>
      </c>
      <c r="AG1869">
        <v>2</v>
      </c>
      <c r="AH1869">
        <v>0</v>
      </c>
      <c r="AI1869" t="s">
        <v>3843</v>
      </c>
      <c r="AJ1869">
        <v>39.788339000000001</v>
      </c>
      <c r="AK1869" t="s">
        <v>3844</v>
      </c>
      <c r="AL1869">
        <v>-75.994147999999996</v>
      </c>
      <c r="AM1869">
        <v>100</v>
      </c>
      <c r="AN1869">
        <v>4700</v>
      </c>
      <c r="AO1869" t="s">
        <v>115</v>
      </c>
      <c r="AP1869">
        <v>155</v>
      </c>
      <c r="AQ1869">
        <v>81</v>
      </c>
      <c r="AR1869">
        <v>0</v>
      </c>
      <c r="AZ1869">
        <v>3614</v>
      </c>
      <c r="BA1869">
        <v>1</v>
      </c>
      <c r="BB1869" t="str">
        <f t="shared" si="89"/>
        <v xml:space="preserve">N959MJ  </v>
      </c>
      <c r="BC1869">
        <v>1</v>
      </c>
      <c r="BE1869">
        <v>0</v>
      </c>
      <c r="BF1869">
        <v>0</v>
      </c>
      <c r="BG1869">
        <v>0</v>
      </c>
      <c r="BH1869">
        <v>4900</v>
      </c>
      <c r="BI1869">
        <v>200</v>
      </c>
      <c r="BJ1869">
        <v>1</v>
      </c>
      <c r="BK1869">
        <v>1</v>
      </c>
      <c r="BL1869">
        <v>1</v>
      </c>
      <c r="BM1869">
        <v>0</v>
      </c>
      <c r="BP1869">
        <v>0</v>
      </c>
      <c r="BQ1869">
        <v>0</v>
      </c>
      <c r="BX1869" t="str">
        <f>"14:21:31.289"</f>
        <v>14:21:31.289</v>
      </c>
      <c r="BY1869" t="str">
        <f>"285275266"</f>
        <v>285275266</v>
      </c>
      <c r="CL1869">
        <v>0</v>
      </c>
      <c r="CM1869">
        <v>2</v>
      </c>
      <c r="CN1869">
        <v>0</v>
      </c>
      <c r="CO1869">
        <v>2</v>
      </c>
      <c r="CP1869">
        <v>0</v>
      </c>
      <c r="CQ1869">
        <v>7</v>
      </c>
      <c r="CR1869" t="s">
        <v>116</v>
      </c>
      <c r="CS1869">
        <v>39</v>
      </c>
      <c r="CT1869">
        <v>2</v>
      </c>
      <c r="CU1869" t="s">
        <v>2259</v>
      </c>
      <c r="CV1869" t="s">
        <v>2260</v>
      </c>
      <c r="CY1869">
        <v>16285644</v>
      </c>
      <c r="CZ1869" t="s">
        <v>119</v>
      </c>
    </row>
    <row r="1870" spans="1:104" x14ac:dyDescent="0.25">
      <c r="A1870" t="str">
        <f>"14:21:32.594"</f>
        <v>14:21:32.594</v>
      </c>
      <c r="B1870" t="s">
        <v>108</v>
      </c>
      <c r="C1870" t="str">
        <f t="shared" si="88"/>
        <v>ffdfd3c0</v>
      </c>
      <c r="D1870" t="s">
        <v>109</v>
      </c>
      <c r="E1870">
        <v>4</v>
      </c>
      <c r="F1870">
        <v>1004</v>
      </c>
      <c r="G1870" t="s">
        <v>110</v>
      </c>
      <c r="J1870" t="s">
        <v>111</v>
      </c>
      <c r="K1870">
        <v>0</v>
      </c>
      <c r="L1870">
        <v>3</v>
      </c>
      <c r="M1870">
        <v>0</v>
      </c>
      <c r="N1870">
        <v>2</v>
      </c>
      <c r="O1870">
        <v>1</v>
      </c>
      <c r="P1870">
        <v>0</v>
      </c>
      <c r="Q1870">
        <v>0</v>
      </c>
      <c r="R1870" t="s">
        <v>112</v>
      </c>
      <c r="S1870" t="str">
        <f>"14:21:32.398"</f>
        <v>14:21:32.398</v>
      </c>
      <c r="T1870" t="str">
        <f>"14:21:31.898"</f>
        <v>14:21:31.898</v>
      </c>
      <c r="U1870" t="str">
        <f t="shared" si="87"/>
        <v>ad5732</v>
      </c>
      <c r="V1870">
        <v>0</v>
      </c>
      <c r="W1870">
        <v>0</v>
      </c>
      <c r="X1870">
        <v>1</v>
      </c>
      <c r="Z1870">
        <v>0</v>
      </c>
      <c r="AA1870">
        <v>9</v>
      </c>
      <c r="AB1870">
        <v>3</v>
      </c>
      <c r="AC1870">
        <v>0</v>
      </c>
      <c r="AD1870">
        <v>10</v>
      </c>
      <c r="AE1870">
        <v>0</v>
      </c>
      <c r="AF1870">
        <v>3</v>
      </c>
      <c r="AG1870">
        <v>2</v>
      </c>
      <c r="AH1870">
        <v>0</v>
      </c>
      <c r="AI1870" t="s">
        <v>3845</v>
      </c>
      <c r="AJ1870">
        <v>39.788747000000001</v>
      </c>
      <c r="AK1870" t="s">
        <v>3846</v>
      </c>
      <c r="AL1870">
        <v>-75.993031999999999</v>
      </c>
      <c r="AM1870">
        <v>100</v>
      </c>
      <c r="AN1870">
        <v>4700</v>
      </c>
      <c r="AO1870" t="s">
        <v>115</v>
      </c>
      <c r="AP1870">
        <v>155</v>
      </c>
      <c r="AQ1870">
        <v>81</v>
      </c>
      <c r="AR1870">
        <v>0</v>
      </c>
      <c r="AZ1870">
        <v>3614</v>
      </c>
      <c r="BA1870">
        <v>1</v>
      </c>
      <c r="BB1870" t="str">
        <f t="shared" si="89"/>
        <v xml:space="preserve">N959MJ  </v>
      </c>
      <c r="BC1870">
        <v>1</v>
      </c>
      <c r="BE1870">
        <v>0</v>
      </c>
      <c r="BF1870">
        <v>0</v>
      </c>
      <c r="BG1870">
        <v>0</v>
      </c>
      <c r="BH1870">
        <v>4900</v>
      </c>
      <c r="BI1870">
        <v>200</v>
      </c>
      <c r="BJ1870">
        <v>1</v>
      </c>
      <c r="BK1870">
        <v>1</v>
      </c>
      <c r="BL1870">
        <v>1</v>
      </c>
      <c r="BM1870">
        <v>0</v>
      </c>
      <c r="BP1870">
        <v>0</v>
      </c>
      <c r="BQ1870">
        <v>0</v>
      </c>
      <c r="BX1870" t="str">
        <f>"14:21:32.406"</f>
        <v>14:21:32.406</v>
      </c>
      <c r="BY1870" t="str">
        <f>"402682714"</f>
        <v>402682714</v>
      </c>
      <c r="CL1870">
        <v>0</v>
      </c>
      <c r="CM1870">
        <v>2</v>
      </c>
      <c r="CN1870">
        <v>0</v>
      </c>
      <c r="CO1870">
        <v>2</v>
      </c>
      <c r="CP1870">
        <v>0</v>
      </c>
      <c r="CQ1870">
        <v>7</v>
      </c>
      <c r="CR1870" t="s">
        <v>116</v>
      </c>
      <c r="CS1870">
        <v>39</v>
      </c>
      <c r="CT1870">
        <v>2</v>
      </c>
      <c r="CU1870" t="s">
        <v>2259</v>
      </c>
      <c r="CV1870" t="s">
        <v>2260</v>
      </c>
      <c r="CY1870">
        <v>16287464</v>
      </c>
      <c r="CZ1870" t="s">
        <v>119</v>
      </c>
    </row>
    <row r="1871" spans="1:104" x14ac:dyDescent="0.25">
      <c r="A1871" t="str">
        <f>"14:21:33.602"</f>
        <v>14:21:33.602</v>
      </c>
      <c r="B1871" t="s">
        <v>108</v>
      </c>
      <c r="C1871" t="str">
        <f t="shared" si="88"/>
        <v>ffdfd3c0</v>
      </c>
      <c r="D1871" t="s">
        <v>109</v>
      </c>
      <c r="E1871">
        <v>4</v>
      </c>
      <c r="F1871">
        <v>1004</v>
      </c>
      <c r="G1871" t="s">
        <v>110</v>
      </c>
      <c r="J1871" t="s">
        <v>111</v>
      </c>
      <c r="K1871">
        <v>0</v>
      </c>
      <c r="L1871">
        <v>3</v>
      </c>
      <c r="M1871">
        <v>0</v>
      </c>
      <c r="N1871">
        <v>2</v>
      </c>
      <c r="O1871">
        <v>1</v>
      </c>
      <c r="P1871">
        <v>0</v>
      </c>
      <c r="Q1871">
        <v>0</v>
      </c>
      <c r="R1871" t="s">
        <v>112</v>
      </c>
      <c r="S1871" t="str">
        <f>"14:21:33.422"</f>
        <v>14:21:33.422</v>
      </c>
      <c r="T1871" t="str">
        <f>"14:21:32.922"</f>
        <v>14:21:32.922</v>
      </c>
      <c r="U1871" t="str">
        <f t="shared" si="87"/>
        <v>ad5732</v>
      </c>
      <c r="V1871">
        <v>0</v>
      </c>
      <c r="W1871">
        <v>0</v>
      </c>
      <c r="X1871">
        <v>1</v>
      </c>
      <c r="Z1871">
        <v>0</v>
      </c>
      <c r="AA1871">
        <v>9</v>
      </c>
      <c r="AB1871">
        <v>3</v>
      </c>
      <c r="AC1871">
        <v>0</v>
      </c>
      <c r="AD1871">
        <v>10</v>
      </c>
      <c r="AE1871">
        <v>0</v>
      </c>
      <c r="AF1871">
        <v>3</v>
      </c>
      <c r="AG1871">
        <v>2</v>
      </c>
      <c r="AH1871">
        <v>0</v>
      </c>
      <c r="AI1871" t="s">
        <v>3847</v>
      </c>
      <c r="AJ1871">
        <v>39.789133</v>
      </c>
      <c r="AK1871" t="s">
        <v>3848</v>
      </c>
      <c r="AL1871">
        <v>-75.992131000000001</v>
      </c>
      <c r="AM1871">
        <v>100</v>
      </c>
      <c r="AN1871">
        <v>4700</v>
      </c>
      <c r="AO1871" t="s">
        <v>115</v>
      </c>
      <c r="AP1871">
        <v>155</v>
      </c>
      <c r="AQ1871">
        <v>81</v>
      </c>
      <c r="AR1871">
        <v>0</v>
      </c>
      <c r="AZ1871">
        <v>3614</v>
      </c>
      <c r="BA1871">
        <v>1</v>
      </c>
      <c r="BB1871" t="str">
        <f t="shared" si="89"/>
        <v xml:space="preserve">N959MJ  </v>
      </c>
      <c r="BC1871">
        <v>1</v>
      </c>
      <c r="BE1871">
        <v>0</v>
      </c>
      <c r="BF1871">
        <v>0</v>
      </c>
      <c r="BG1871">
        <v>0</v>
      </c>
      <c r="BH1871">
        <v>4900</v>
      </c>
      <c r="BI1871">
        <v>200</v>
      </c>
      <c r="BJ1871">
        <v>1</v>
      </c>
      <c r="BK1871">
        <v>1</v>
      </c>
      <c r="BL1871">
        <v>1</v>
      </c>
      <c r="BM1871">
        <v>0</v>
      </c>
      <c r="BP1871">
        <v>0</v>
      </c>
      <c r="BQ1871">
        <v>0</v>
      </c>
      <c r="BX1871" t="str">
        <f>"14:21:33.422"</f>
        <v>14:21:33.422</v>
      </c>
      <c r="BY1871" t="str">
        <f>"425061388"</f>
        <v>425061388</v>
      </c>
      <c r="CL1871">
        <v>0</v>
      </c>
      <c r="CM1871">
        <v>2</v>
      </c>
      <c r="CN1871">
        <v>0</v>
      </c>
      <c r="CO1871">
        <v>2</v>
      </c>
      <c r="CP1871">
        <v>0</v>
      </c>
      <c r="CQ1871">
        <v>7</v>
      </c>
      <c r="CR1871" t="s">
        <v>116</v>
      </c>
      <c r="CS1871">
        <v>39</v>
      </c>
      <c r="CT1871">
        <v>2</v>
      </c>
      <c r="CU1871" t="s">
        <v>2259</v>
      </c>
      <c r="CV1871" t="s">
        <v>2260</v>
      </c>
      <c r="CY1871">
        <v>16289067</v>
      </c>
      <c r="CZ1871" t="s">
        <v>119</v>
      </c>
    </row>
    <row r="1872" spans="1:104" x14ac:dyDescent="0.25">
      <c r="A1872" t="str">
        <f>"14:21:34.516"</f>
        <v>14:21:34.516</v>
      </c>
      <c r="B1872" t="s">
        <v>108</v>
      </c>
      <c r="C1872" t="str">
        <f t="shared" si="88"/>
        <v>ffdfd3c0</v>
      </c>
      <c r="D1872" t="s">
        <v>109</v>
      </c>
      <c r="E1872">
        <v>4</v>
      </c>
      <c r="F1872">
        <v>1004</v>
      </c>
      <c r="G1872" t="s">
        <v>110</v>
      </c>
      <c r="J1872" t="s">
        <v>111</v>
      </c>
      <c r="K1872">
        <v>0</v>
      </c>
      <c r="L1872">
        <v>3</v>
      </c>
      <c r="M1872">
        <v>0</v>
      </c>
      <c r="N1872">
        <v>2</v>
      </c>
      <c r="O1872">
        <v>1</v>
      </c>
      <c r="P1872">
        <v>0</v>
      </c>
      <c r="Q1872">
        <v>0</v>
      </c>
      <c r="R1872" t="s">
        <v>112</v>
      </c>
      <c r="S1872" t="str">
        <f>"14:21:34.352"</f>
        <v>14:21:34.352</v>
      </c>
      <c r="T1872" t="str">
        <f>"14:21:33.953"</f>
        <v>14:21:33.953</v>
      </c>
      <c r="U1872" t="str">
        <f t="shared" si="87"/>
        <v>ad5732</v>
      </c>
      <c r="V1872">
        <v>0</v>
      </c>
      <c r="W1872">
        <v>0</v>
      </c>
      <c r="X1872">
        <v>1</v>
      </c>
      <c r="Z1872">
        <v>0</v>
      </c>
      <c r="AA1872">
        <v>9</v>
      </c>
      <c r="AB1872">
        <v>3</v>
      </c>
      <c r="AC1872">
        <v>0</v>
      </c>
      <c r="AD1872">
        <v>10</v>
      </c>
      <c r="AE1872">
        <v>0</v>
      </c>
      <c r="AF1872">
        <v>3</v>
      </c>
      <c r="AG1872">
        <v>2</v>
      </c>
      <c r="AH1872">
        <v>0</v>
      </c>
      <c r="AI1872" t="s">
        <v>3849</v>
      </c>
      <c r="AJ1872">
        <v>39.789454999999997</v>
      </c>
      <c r="AK1872" t="s">
        <v>3850</v>
      </c>
      <c r="AL1872">
        <v>-75.991293999999996</v>
      </c>
      <c r="AM1872">
        <v>100</v>
      </c>
      <c r="AN1872">
        <v>4700</v>
      </c>
      <c r="AO1872" t="s">
        <v>115</v>
      </c>
      <c r="AP1872">
        <v>155</v>
      </c>
      <c r="AQ1872">
        <v>81</v>
      </c>
      <c r="AR1872">
        <v>0</v>
      </c>
      <c r="AZ1872">
        <v>3614</v>
      </c>
      <c r="BA1872">
        <v>1</v>
      </c>
      <c r="BB1872" t="str">
        <f t="shared" si="89"/>
        <v xml:space="preserve">N959MJ  </v>
      </c>
      <c r="BC1872">
        <v>1</v>
      </c>
      <c r="BE1872">
        <v>0</v>
      </c>
      <c r="BF1872">
        <v>0</v>
      </c>
      <c r="BG1872">
        <v>0</v>
      </c>
      <c r="BH1872">
        <v>4900</v>
      </c>
      <c r="BI1872">
        <v>200</v>
      </c>
      <c r="BJ1872">
        <v>1</v>
      </c>
      <c r="BK1872">
        <v>1</v>
      </c>
      <c r="BL1872">
        <v>1</v>
      </c>
      <c r="BM1872">
        <v>0</v>
      </c>
      <c r="BP1872">
        <v>0</v>
      </c>
      <c r="BQ1872">
        <v>0</v>
      </c>
      <c r="BX1872" t="str">
        <f>"14:21:34.352"</f>
        <v>14:21:34.352</v>
      </c>
      <c r="BY1872" t="str">
        <f>"352593351"</f>
        <v>352593351</v>
      </c>
      <c r="CL1872">
        <v>0</v>
      </c>
      <c r="CM1872">
        <v>2</v>
      </c>
      <c r="CN1872">
        <v>0</v>
      </c>
      <c r="CO1872">
        <v>2</v>
      </c>
      <c r="CP1872">
        <v>0</v>
      </c>
      <c r="CQ1872">
        <v>5</v>
      </c>
      <c r="CR1872" t="s">
        <v>116</v>
      </c>
      <c r="CS1872">
        <v>372</v>
      </c>
      <c r="CT1872">
        <v>3</v>
      </c>
      <c r="CU1872" t="s">
        <v>877</v>
      </c>
      <c r="CV1872" t="s">
        <v>878</v>
      </c>
      <c r="CY1872">
        <v>12719420</v>
      </c>
      <c r="CZ1872" t="s">
        <v>119</v>
      </c>
    </row>
    <row r="1873" spans="1:104" x14ac:dyDescent="0.25">
      <c r="A1873" t="str">
        <f>"14:21:35.422"</f>
        <v>14:21:35.422</v>
      </c>
      <c r="B1873" t="s">
        <v>108</v>
      </c>
      <c r="C1873" t="str">
        <f t="shared" si="88"/>
        <v>ffdfd3c0</v>
      </c>
      <c r="D1873" t="s">
        <v>109</v>
      </c>
      <c r="E1873">
        <v>4</v>
      </c>
      <c r="F1873">
        <v>1004</v>
      </c>
      <c r="G1873" t="s">
        <v>110</v>
      </c>
      <c r="J1873" t="s">
        <v>111</v>
      </c>
      <c r="K1873">
        <v>0</v>
      </c>
      <c r="L1873">
        <v>3</v>
      </c>
      <c r="M1873">
        <v>0</v>
      </c>
      <c r="N1873">
        <v>2</v>
      </c>
      <c r="O1873">
        <v>1</v>
      </c>
      <c r="P1873">
        <v>0</v>
      </c>
      <c r="Q1873">
        <v>0</v>
      </c>
      <c r="R1873" t="s">
        <v>112</v>
      </c>
      <c r="S1873" t="str">
        <f>"14:21:35.266"</f>
        <v>14:21:35.266</v>
      </c>
      <c r="T1873" t="str">
        <f>"14:21:34.969"</f>
        <v>14:21:34.969</v>
      </c>
      <c r="U1873" t="str">
        <f t="shared" si="87"/>
        <v>ad5732</v>
      </c>
      <c r="V1873">
        <v>0</v>
      </c>
      <c r="W1873">
        <v>0</v>
      </c>
      <c r="X1873">
        <v>1</v>
      </c>
      <c r="Z1873">
        <v>0</v>
      </c>
      <c r="AA1873">
        <v>9</v>
      </c>
      <c r="AB1873">
        <v>3</v>
      </c>
      <c r="AC1873">
        <v>0</v>
      </c>
      <c r="AD1873">
        <v>10</v>
      </c>
      <c r="AE1873">
        <v>0</v>
      </c>
      <c r="AF1873">
        <v>3</v>
      </c>
      <c r="AG1873">
        <v>2</v>
      </c>
      <c r="AH1873">
        <v>0</v>
      </c>
      <c r="AI1873" t="s">
        <v>3851</v>
      </c>
      <c r="AJ1873">
        <v>39.789819999999999</v>
      </c>
      <c r="AK1873" t="s">
        <v>3852</v>
      </c>
      <c r="AL1873">
        <v>-75.990414999999999</v>
      </c>
      <c r="AM1873">
        <v>100</v>
      </c>
      <c r="AN1873">
        <v>4700</v>
      </c>
      <c r="AO1873" t="s">
        <v>115</v>
      </c>
      <c r="AP1873">
        <v>155</v>
      </c>
      <c r="AQ1873">
        <v>81</v>
      </c>
      <c r="AR1873">
        <v>0</v>
      </c>
      <c r="AZ1873">
        <v>3614</v>
      </c>
      <c r="BA1873">
        <v>1</v>
      </c>
      <c r="BB1873" t="str">
        <f t="shared" si="89"/>
        <v xml:space="preserve">N959MJ  </v>
      </c>
      <c r="BC1873">
        <v>1</v>
      </c>
      <c r="BE1873">
        <v>0</v>
      </c>
      <c r="BF1873">
        <v>0</v>
      </c>
      <c r="BG1873">
        <v>0</v>
      </c>
      <c r="BH1873">
        <v>4900</v>
      </c>
      <c r="BI1873">
        <v>200</v>
      </c>
      <c r="BJ1873">
        <v>1</v>
      </c>
      <c r="BK1873">
        <v>1</v>
      </c>
      <c r="BL1873">
        <v>1</v>
      </c>
      <c r="BM1873">
        <v>0</v>
      </c>
      <c r="BP1873">
        <v>0</v>
      </c>
      <c r="BQ1873">
        <v>0</v>
      </c>
      <c r="BX1873" t="str">
        <f>"14:21:35.273"</f>
        <v>14:21:35.273</v>
      </c>
      <c r="BY1873" t="str">
        <f>"269931642"</f>
        <v>269931642</v>
      </c>
      <c r="CL1873">
        <v>0</v>
      </c>
      <c r="CM1873">
        <v>2</v>
      </c>
      <c r="CN1873">
        <v>0</v>
      </c>
      <c r="CO1873">
        <v>2</v>
      </c>
      <c r="CP1873">
        <v>0</v>
      </c>
      <c r="CQ1873">
        <v>7</v>
      </c>
      <c r="CR1873" t="s">
        <v>116</v>
      </c>
      <c r="CS1873">
        <v>39</v>
      </c>
      <c r="CT1873">
        <v>2</v>
      </c>
      <c r="CU1873" t="s">
        <v>2259</v>
      </c>
      <c r="CV1873" t="s">
        <v>2260</v>
      </c>
      <c r="CY1873">
        <v>16292037</v>
      </c>
      <c r="CZ1873" t="s">
        <v>119</v>
      </c>
    </row>
    <row r="1874" spans="1:104" x14ac:dyDescent="0.25">
      <c r="A1874" t="str">
        <f>"14:21:36.430"</f>
        <v>14:21:36.430</v>
      </c>
      <c r="B1874" t="s">
        <v>108</v>
      </c>
      <c r="C1874" t="str">
        <f t="shared" si="88"/>
        <v>ffdfd3c0</v>
      </c>
      <c r="D1874" t="s">
        <v>109</v>
      </c>
      <c r="E1874">
        <v>4</v>
      </c>
      <c r="F1874">
        <v>1004</v>
      </c>
      <c r="G1874" t="s">
        <v>110</v>
      </c>
      <c r="J1874" t="s">
        <v>111</v>
      </c>
      <c r="K1874">
        <v>0</v>
      </c>
      <c r="L1874">
        <v>3</v>
      </c>
      <c r="M1874">
        <v>0</v>
      </c>
      <c r="N1874">
        <v>2</v>
      </c>
      <c r="O1874">
        <v>1</v>
      </c>
      <c r="P1874">
        <v>0</v>
      </c>
      <c r="Q1874">
        <v>0</v>
      </c>
      <c r="R1874" t="s">
        <v>112</v>
      </c>
      <c r="S1874" t="str">
        <f>"14:21:36.266"</f>
        <v>14:21:36.266</v>
      </c>
      <c r="T1874" t="str">
        <f>"14:21:35.766"</f>
        <v>14:21:35.766</v>
      </c>
      <c r="U1874" t="str">
        <f t="shared" si="87"/>
        <v>ad5732</v>
      </c>
      <c r="V1874">
        <v>0</v>
      </c>
      <c r="W1874">
        <v>0</v>
      </c>
      <c r="X1874">
        <v>1</v>
      </c>
      <c r="Z1874">
        <v>0</v>
      </c>
      <c r="AA1874">
        <v>9</v>
      </c>
      <c r="AB1874">
        <v>3</v>
      </c>
      <c r="AC1874">
        <v>0</v>
      </c>
      <c r="AD1874">
        <v>10</v>
      </c>
      <c r="AE1874">
        <v>0</v>
      </c>
      <c r="AF1874">
        <v>3</v>
      </c>
      <c r="AG1874">
        <v>2</v>
      </c>
      <c r="AH1874">
        <v>0</v>
      </c>
      <c r="AI1874" t="s">
        <v>3853</v>
      </c>
      <c r="AJ1874">
        <v>39.790205999999998</v>
      </c>
      <c r="AK1874" t="s">
        <v>3854</v>
      </c>
      <c r="AL1874">
        <v>-75.989491999999998</v>
      </c>
      <c r="AM1874">
        <v>100</v>
      </c>
      <c r="AN1874">
        <v>4700</v>
      </c>
      <c r="AO1874" t="s">
        <v>115</v>
      </c>
      <c r="AP1874">
        <v>155</v>
      </c>
      <c r="AQ1874">
        <v>81</v>
      </c>
      <c r="AR1874">
        <v>0</v>
      </c>
      <c r="AZ1874">
        <v>3614</v>
      </c>
      <c r="BA1874">
        <v>1</v>
      </c>
      <c r="BB1874" t="str">
        <f t="shared" si="89"/>
        <v xml:space="preserve">N959MJ  </v>
      </c>
      <c r="BC1874">
        <v>1</v>
      </c>
      <c r="BE1874">
        <v>0</v>
      </c>
      <c r="BF1874">
        <v>0</v>
      </c>
      <c r="BG1874">
        <v>0</v>
      </c>
      <c r="BH1874">
        <v>4900</v>
      </c>
      <c r="BI1874">
        <v>200</v>
      </c>
      <c r="BJ1874">
        <v>1</v>
      </c>
      <c r="BK1874">
        <v>1</v>
      </c>
      <c r="BL1874">
        <v>1</v>
      </c>
      <c r="BM1874">
        <v>0</v>
      </c>
      <c r="BP1874">
        <v>0</v>
      </c>
      <c r="BQ1874">
        <v>0</v>
      </c>
      <c r="BX1874" t="str">
        <f>"14:21:36.266"</f>
        <v>14:21:36.266</v>
      </c>
      <c r="BY1874" t="str">
        <f>"267732854"</f>
        <v>267732854</v>
      </c>
      <c r="CL1874">
        <v>0</v>
      </c>
      <c r="CM1874">
        <v>2</v>
      </c>
      <c r="CN1874">
        <v>0</v>
      </c>
      <c r="CO1874">
        <v>2</v>
      </c>
      <c r="CP1874">
        <v>0</v>
      </c>
      <c r="CQ1874">
        <v>7</v>
      </c>
      <c r="CR1874" t="s">
        <v>116</v>
      </c>
      <c r="CS1874">
        <v>39</v>
      </c>
      <c r="CT1874">
        <v>2</v>
      </c>
      <c r="CU1874" t="s">
        <v>2259</v>
      </c>
      <c r="CV1874" t="s">
        <v>2260</v>
      </c>
      <c r="CY1874">
        <v>16293569</v>
      </c>
      <c r="CZ1874" t="s">
        <v>119</v>
      </c>
    </row>
    <row r="1875" spans="1:104" x14ac:dyDescent="0.25">
      <c r="A1875" t="str">
        <f>"14:21:37.438"</f>
        <v>14:21:37.438</v>
      </c>
      <c r="B1875" t="s">
        <v>108</v>
      </c>
      <c r="C1875" t="str">
        <f t="shared" si="88"/>
        <v>ffdfd3c0</v>
      </c>
      <c r="D1875" t="s">
        <v>109</v>
      </c>
      <c r="E1875">
        <v>4</v>
      </c>
      <c r="F1875">
        <v>1004</v>
      </c>
      <c r="G1875" t="s">
        <v>110</v>
      </c>
      <c r="J1875" t="s">
        <v>111</v>
      </c>
      <c r="K1875">
        <v>0</v>
      </c>
      <c r="L1875">
        <v>3</v>
      </c>
      <c r="M1875">
        <v>0</v>
      </c>
      <c r="N1875">
        <v>2</v>
      </c>
      <c r="O1875">
        <v>1</v>
      </c>
      <c r="P1875">
        <v>0</v>
      </c>
      <c r="Q1875">
        <v>0</v>
      </c>
      <c r="R1875" t="s">
        <v>112</v>
      </c>
      <c r="S1875" t="str">
        <f>"14:21:37.219"</f>
        <v>14:21:37.219</v>
      </c>
      <c r="T1875" t="str">
        <f>"14:21:36.820"</f>
        <v>14:21:36.820</v>
      </c>
      <c r="U1875" t="str">
        <f t="shared" si="87"/>
        <v>ad5732</v>
      </c>
      <c r="V1875">
        <v>0</v>
      </c>
      <c r="W1875">
        <v>0</v>
      </c>
      <c r="X1875">
        <v>1</v>
      </c>
      <c r="Z1875">
        <v>0</v>
      </c>
      <c r="AA1875">
        <v>9</v>
      </c>
      <c r="AB1875">
        <v>3</v>
      </c>
      <c r="AC1875">
        <v>0</v>
      </c>
      <c r="AD1875">
        <v>10</v>
      </c>
      <c r="AE1875">
        <v>0</v>
      </c>
      <c r="AF1875">
        <v>3</v>
      </c>
      <c r="AG1875">
        <v>2</v>
      </c>
      <c r="AH1875">
        <v>0</v>
      </c>
      <c r="AI1875" t="s">
        <v>3855</v>
      </c>
      <c r="AJ1875">
        <v>39.790571</v>
      </c>
      <c r="AK1875" t="s">
        <v>3856</v>
      </c>
      <c r="AL1875">
        <v>-75.988591</v>
      </c>
      <c r="AM1875">
        <v>100</v>
      </c>
      <c r="AN1875">
        <v>4700</v>
      </c>
      <c r="AO1875" t="s">
        <v>115</v>
      </c>
      <c r="AP1875">
        <v>155</v>
      </c>
      <c r="AQ1875">
        <v>81</v>
      </c>
      <c r="AR1875">
        <v>64</v>
      </c>
      <c r="AZ1875">
        <v>3614</v>
      </c>
      <c r="BA1875">
        <v>1</v>
      </c>
      <c r="BB1875" t="str">
        <f t="shared" si="89"/>
        <v xml:space="preserve">N959MJ  </v>
      </c>
      <c r="BC1875">
        <v>1</v>
      </c>
      <c r="BE1875">
        <v>0</v>
      </c>
      <c r="BF1875">
        <v>0</v>
      </c>
      <c r="BG1875">
        <v>0</v>
      </c>
      <c r="BH1875">
        <v>4900</v>
      </c>
      <c r="BI1875">
        <v>200</v>
      </c>
      <c r="BJ1875">
        <v>1</v>
      </c>
      <c r="BK1875">
        <v>1</v>
      </c>
      <c r="BL1875">
        <v>1</v>
      </c>
      <c r="BM1875">
        <v>0</v>
      </c>
      <c r="BP1875">
        <v>0</v>
      </c>
      <c r="BQ1875">
        <v>0</v>
      </c>
      <c r="BX1875" t="str">
        <f>"14:21:37.227"</f>
        <v>14:21:37.227</v>
      </c>
      <c r="BY1875" t="str">
        <f>"222986563"</f>
        <v>222986563</v>
      </c>
      <c r="CL1875">
        <v>0</v>
      </c>
      <c r="CM1875">
        <v>2</v>
      </c>
      <c r="CN1875">
        <v>0</v>
      </c>
      <c r="CO1875">
        <v>2</v>
      </c>
      <c r="CP1875">
        <v>0</v>
      </c>
      <c r="CQ1875">
        <v>6</v>
      </c>
      <c r="CR1875" t="s">
        <v>116</v>
      </c>
      <c r="CS1875">
        <v>396</v>
      </c>
      <c r="CT1875">
        <v>1</v>
      </c>
      <c r="CU1875" t="s">
        <v>939</v>
      </c>
      <c r="CV1875" t="s">
        <v>940</v>
      </c>
      <c r="CY1875">
        <v>9653092</v>
      </c>
      <c r="CZ1875" t="s">
        <v>119</v>
      </c>
    </row>
    <row r="1876" spans="1:104" x14ac:dyDescent="0.25">
      <c r="A1876" t="str">
        <f>"14:21:38.500"</f>
        <v>14:21:38.500</v>
      </c>
      <c r="B1876" t="s">
        <v>108</v>
      </c>
      <c r="C1876" t="str">
        <f t="shared" si="88"/>
        <v>ffdfd3c0</v>
      </c>
      <c r="D1876" t="s">
        <v>109</v>
      </c>
      <c r="E1876">
        <v>4</v>
      </c>
      <c r="F1876">
        <v>1004</v>
      </c>
      <c r="G1876" t="s">
        <v>110</v>
      </c>
      <c r="J1876" t="s">
        <v>111</v>
      </c>
      <c r="K1876">
        <v>0</v>
      </c>
      <c r="L1876">
        <v>3</v>
      </c>
      <c r="M1876">
        <v>0</v>
      </c>
      <c r="N1876">
        <v>2</v>
      </c>
      <c r="O1876">
        <v>1</v>
      </c>
      <c r="P1876">
        <v>0</v>
      </c>
      <c r="Q1876">
        <v>0</v>
      </c>
      <c r="R1876" t="s">
        <v>112</v>
      </c>
      <c r="S1876" t="str">
        <f>"14:21:38.328"</f>
        <v>14:21:38.328</v>
      </c>
      <c r="T1876" t="str">
        <f>"14:21:37.828"</f>
        <v>14:21:37.828</v>
      </c>
      <c r="U1876" t="str">
        <f t="shared" si="87"/>
        <v>ad5732</v>
      </c>
      <c r="V1876">
        <v>0</v>
      </c>
      <c r="W1876">
        <v>0</v>
      </c>
      <c r="X1876">
        <v>1</v>
      </c>
      <c r="Z1876">
        <v>0</v>
      </c>
      <c r="AA1876">
        <v>9</v>
      </c>
      <c r="AB1876">
        <v>3</v>
      </c>
      <c r="AC1876">
        <v>0</v>
      </c>
      <c r="AD1876">
        <v>10</v>
      </c>
      <c r="AE1876">
        <v>0</v>
      </c>
      <c r="AF1876">
        <v>3</v>
      </c>
      <c r="AG1876">
        <v>2</v>
      </c>
      <c r="AH1876">
        <v>0</v>
      </c>
      <c r="AI1876" t="s">
        <v>3857</v>
      </c>
      <c r="AJ1876">
        <v>39.790978000000003</v>
      </c>
      <c r="AK1876" t="s">
        <v>3858</v>
      </c>
      <c r="AL1876">
        <v>-75.987538999999998</v>
      </c>
      <c r="AM1876">
        <v>100</v>
      </c>
      <c r="AN1876">
        <v>4700</v>
      </c>
      <c r="AO1876" t="s">
        <v>115</v>
      </c>
      <c r="AP1876">
        <v>155</v>
      </c>
      <c r="AQ1876">
        <v>81</v>
      </c>
      <c r="AR1876">
        <v>0</v>
      </c>
      <c r="AZ1876">
        <v>3614</v>
      </c>
      <c r="BA1876">
        <v>1</v>
      </c>
      <c r="BB1876" t="str">
        <f t="shared" si="89"/>
        <v xml:space="preserve">N959MJ  </v>
      </c>
      <c r="BC1876">
        <v>1</v>
      </c>
      <c r="BE1876">
        <v>0</v>
      </c>
      <c r="BF1876">
        <v>0</v>
      </c>
      <c r="BG1876">
        <v>0</v>
      </c>
      <c r="BH1876">
        <v>4900</v>
      </c>
      <c r="BI1876">
        <v>200</v>
      </c>
      <c r="BJ1876">
        <v>1</v>
      </c>
      <c r="BK1876">
        <v>1</v>
      </c>
      <c r="BL1876">
        <v>1</v>
      </c>
      <c r="BM1876">
        <v>0</v>
      </c>
      <c r="BP1876">
        <v>0</v>
      </c>
      <c r="BQ1876">
        <v>0</v>
      </c>
      <c r="BX1876" t="str">
        <f>"14:21:38.336"</f>
        <v>14:21:38.336</v>
      </c>
      <c r="BY1876" t="str">
        <f>"335428180"</f>
        <v>335428180</v>
      </c>
      <c r="CL1876">
        <v>0</v>
      </c>
      <c r="CM1876">
        <v>2</v>
      </c>
      <c r="CN1876">
        <v>0</v>
      </c>
      <c r="CO1876">
        <v>2</v>
      </c>
      <c r="CP1876">
        <v>0</v>
      </c>
      <c r="CQ1876">
        <v>7</v>
      </c>
      <c r="CR1876" t="s">
        <v>116</v>
      </c>
      <c r="CS1876">
        <v>39</v>
      </c>
      <c r="CT1876">
        <v>2</v>
      </c>
      <c r="CU1876" t="s">
        <v>2259</v>
      </c>
      <c r="CV1876" t="s">
        <v>2260</v>
      </c>
      <c r="CY1876">
        <v>16296815</v>
      </c>
      <c r="CZ1876" t="s">
        <v>119</v>
      </c>
    </row>
    <row r="1877" spans="1:104" x14ac:dyDescent="0.25">
      <c r="A1877" t="str">
        <f>"14:21:39.461"</f>
        <v>14:21:39.461</v>
      </c>
      <c r="B1877" t="s">
        <v>108</v>
      </c>
      <c r="C1877" t="str">
        <f t="shared" si="88"/>
        <v>ffdfd3c0</v>
      </c>
      <c r="D1877" t="s">
        <v>109</v>
      </c>
      <c r="E1877">
        <v>4</v>
      </c>
      <c r="F1877">
        <v>1004</v>
      </c>
      <c r="G1877" t="s">
        <v>110</v>
      </c>
      <c r="J1877" t="s">
        <v>111</v>
      </c>
      <c r="K1877">
        <v>0</v>
      </c>
      <c r="L1877">
        <v>3</v>
      </c>
      <c r="M1877">
        <v>0</v>
      </c>
      <c r="N1877">
        <v>2</v>
      </c>
      <c r="O1877">
        <v>1</v>
      </c>
      <c r="P1877">
        <v>0</v>
      </c>
      <c r="Q1877">
        <v>0</v>
      </c>
      <c r="R1877" t="s">
        <v>112</v>
      </c>
      <c r="S1877" t="str">
        <f>"14:21:39.266"</f>
        <v>14:21:39.266</v>
      </c>
      <c r="T1877" t="str">
        <f>"14:21:38.867"</f>
        <v>14:21:38.867</v>
      </c>
      <c r="U1877" t="str">
        <f t="shared" si="87"/>
        <v>ad5732</v>
      </c>
      <c r="V1877">
        <v>0</v>
      </c>
      <c r="W1877">
        <v>0</v>
      </c>
      <c r="X1877">
        <v>1</v>
      </c>
      <c r="Z1877">
        <v>0</v>
      </c>
      <c r="AA1877">
        <v>9</v>
      </c>
      <c r="AB1877">
        <v>3</v>
      </c>
      <c r="AC1877">
        <v>0</v>
      </c>
      <c r="AD1877">
        <v>10</v>
      </c>
      <c r="AE1877">
        <v>0</v>
      </c>
      <c r="AF1877">
        <v>3</v>
      </c>
      <c r="AG1877">
        <v>2</v>
      </c>
      <c r="AH1877">
        <v>0</v>
      </c>
      <c r="AI1877" t="s">
        <v>3859</v>
      </c>
      <c r="AJ1877">
        <v>39.791322000000001</v>
      </c>
      <c r="AK1877" t="s">
        <v>3860</v>
      </c>
      <c r="AL1877">
        <v>-75.986701999999994</v>
      </c>
      <c r="AM1877">
        <v>100</v>
      </c>
      <c r="AN1877">
        <v>4700</v>
      </c>
      <c r="AO1877" t="s">
        <v>115</v>
      </c>
      <c r="AP1877">
        <v>155</v>
      </c>
      <c r="AQ1877">
        <v>81</v>
      </c>
      <c r="AR1877">
        <v>0</v>
      </c>
      <c r="AZ1877">
        <v>3614</v>
      </c>
      <c r="BA1877">
        <v>1</v>
      </c>
      <c r="BB1877" t="str">
        <f t="shared" si="89"/>
        <v xml:space="preserve">N959MJ  </v>
      </c>
      <c r="BC1877">
        <v>1</v>
      </c>
      <c r="BE1877">
        <v>0</v>
      </c>
      <c r="BF1877">
        <v>0</v>
      </c>
      <c r="BG1877">
        <v>0</v>
      </c>
      <c r="BH1877">
        <v>4900</v>
      </c>
      <c r="BI1877">
        <v>200</v>
      </c>
      <c r="BJ1877">
        <v>1</v>
      </c>
      <c r="BK1877">
        <v>1</v>
      </c>
      <c r="BL1877">
        <v>1</v>
      </c>
      <c r="BM1877">
        <v>0</v>
      </c>
      <c r="BP1877">
        <v>0</v>
      </c>
      <c r="BQ1877">
        <v>0</v>
      </c>
      <c r="BX1877" t="str">
        <f>"14:21:39.266"</f>
        <v>14:21:39.266</v>
      </c>
      <c r="BY1877" t="str">
        <f>"267693348"</f>
        <v>267693348</v>
      </c>
      <c r="CL1877">
        <v>0</v>
      </c>
      <c r="CM1877">
        <v>2</v>
      </c>
      <c r="CN1877">
        <v>0</v>
      </c>
      <c r="CO1877">
        <v>2</v>
      </c>
      <c r="CP1877">
        <v>0</v>
      </c>
      <c r="CQ1877">
        <v>7</v>
      </c>
      <c r="CR1877" t="s">
        <v>116</v>
      </c>
      <c r="CS1877">
        <v>39</v>
      </c>
      <c r="CT1877">
        <v>2</v>
      </c>
      <c r="CU1877" t="s">
        <v>2259</v>
      </c>
      <c r="CV1877" t="s">
        <v>2260</v>
      </c>
      <c r="CY1877">
        <v>16298370</v>
      </c>
      <c r="CZ1877" t="s">
        <v>119</v>
      </c>
    </row>
    <row r="1878" spans="1:104" x14ac:dyDescent="0.25">
      <c r="A1878" t="str">
        <f>"14:21:40.523"</f>
        <v>14:21:40.523</v>
      </c>
      <c r="B1878" t="s">
        <v>108</v>
      </c>
      <c r="C1878" t="str">
        <f t="shared" si="88"/>
        <v>ffdfd3c0</v>
      </c>
      <c r="D1878" t="s">
        <v>109</v>
      </c>
      <c r="E1878">
        <v>4</v>
      </c>
      <c r="F1878">
        <v>1004</v>
      </c>
      <c r="G1878" t="s">
        <v>110</v>
      </c>
      <c r="J1878" t="s">
        <v>111</v>
      </c>
      <c r="K1878">
        <v>0</v>
      </c>
      <c r="L1878">
        <v>3</v>
      </c>
      <c r="M1878">
        <v>0</v>
      </c>
      <c r="N1878">
        <v>2</v>
      </c>
      <c r="O1878">
        <v>1</v>
      </c>
      <c r="P1878">
        <v>0</v>
      </c>
      <c r="Q1878">
        <v>0</v>
      </c>
      <c r="R1878" t="s">
        <v>112</v>
      </c>
      <c r="S1878" t="str">
        <f>"14:21:40.313"</f>
        <v>14:21:40.313</v>
      </c>
      <c r="T1878" t="str">
        <f>"14:21:39.813"</f>
        <v>14:21:39.813</v>
      </c>
      <c r="U1878" t="str">
        <f t="shared" si="87"/>
        <v>ad5732</v>
      </c>
      <c r="V1878">
        <v>0</v>
      </c>
      <c r="W1878">
        <v>0</v>
      </c>
      <c r="X1878">
        <v>1</v>
      </c>
      <c r="Z1878">
        <v>0</v>
      </c>
      <c r="AA1878">
        <v>9</v>
      </c>
      <c r="AB1878">
        <v>3</v>
      </c>
      <c r="AC1878">
        <v>0</v>
      </c>
      <c r="AD1878">
        <v>10</v>
      </c>
      <c r="AE1878">
        <v>0</v>
      </c>
      <c r="AF1878">
        <v>3</v>
      </c>
      <c r="AG1878">
        <v>2</v>
      </c>
      <c r="AH1878">
        <v>0</v>
      </c>
      <c r="AI1878" t="s">
        <v>3861</v>
      </c>
      <c r="AJ1878">
        <v>39.791750999999998</v>
      </c>
      <c r="AK1878" t="s">
        <v>3862</v>
      </c>
      <c r="AL1878">
        <v>-75.985693999999995</v>
      </c>
      <c r="AM1878">
        <v>100</v>
      </c>
      <c r="AN1878">
        <v>4700</v>
      </c>
      <c r="AO1878" t="s">
        <v>115</v>
      </c>
      <c r="AP1878">
        <v>155</v>
      </c>
      <c r="AQ1878">
        <v>81</v>
      </c>
      <c r="AR1878">
        <v>0</v>
      </c>
      <c r="AZ1878">
        <v>3614</v>
      </c>
      <c r="BA1878">
        <v>1</v>
      </c>
      <c r="BB1878" t="str">
        <f t="shared" si="89"/>
        <v xml:space="preserve">N959MJ  </v>
      </c>
      <c r="BC1878">
        <v>1</v>
      </c>
      <c r="BE1878">
        <v>0</v>
      </c>
      <c r="BF1878">
        <v>0</v>
      </c>
      <c r="BG1878">
        <v>0</v>
      </c>
      <c r="BH1878">
        <v>4900</v>
      </c>
      <c r="BI1878">
        <v>200</v>
      </c>
      <c r="BJ1878">
        <v>1</v>
      </c>
      <c r="BK1878">
        <v>1</v>
      </c>
      <c r="BL1878">
        <v>1</v>
      </c>
      <c r="BM1878">
        <v>0</v>
      </c>
      <c r="BP1878">
        <v>0</v>
      </c>
      <c r="BQ1878">
        <v>0</v>
      </c>
      <c r="BX1878" t="str">
        <f>"14:21:40.320"</f>
        <v>14:21:40.320</v>
      </c>
      <c r="BY1878" t="str">
        <f>"317925297"</f>
        <v>317925297</v>
      </c>
      <c r="CL1878">
        <v>0</v>
      </c>
      <c r="CM1878">
        <v>2</v>
      </c>
      <c r="CN1878">
        <v>0</v>
      </c>
      <c r="CO1878">
        <v>2</v>
      </c>
      <c r="CP1878">
        <v>0</v>
      </c>
      <c r="CQ1878">
        <v>7</v>
      </c>
      <c r="CR1878" t="s">
        <v>116</v>
      </c>
      <c r="CS1878">
        <v>39</v>
      </c>
      <c r="CT1878">
        <v>2</v>
      </c>
      <c r="CU1878" t="s">
        <v>2259</v>
      </c>
      <c r="CV1878" t="s">
        <v>2260</v>
      </c>
      <c r="CY1878">
        <v>16299985</v>
      </c>
      <c r="CZ1878" t="s">
        <v>119</v>
      </c>
    </row>
    <row r="1879" spans="1:104" x14ac:dyDescent="0.25">
      <c r="A1879" t="str">
        <f>"14:21:41.531"</f>
        <v>14:21:41.531</v>
      </c>
      <c r="B1879" t="s">
        <v>108</v>
      </c>
      <c r="C1879" t="str">
        <f t="shared" si="88"/>
        <v>ffdfd3c0</v>
      </c>
      <c r="D1879" t="s">
        <v>109</v>
      </c>
      <c r="E1879">
        <v>4</v>
      </c>
      <c r="F1879">
        <v>1004</v>
      </c>
      <c r="G1879" t="s">
        <v>110</v>
      </c>
      <c r="J1879" t="s">
        <v>111</v>
      </c>
      <c r="K1879">
        <v>0</v>
      </c>
      <c r="L1879">
        <v>3</v>
      </c>
      <c r="M1879">
        <v>0</v>
      </c>
      <c r="N1879">
        <v>2</v>
      </c>
      <c r="O1879">
        <v>1</v>
      </c>
      <c r="P1879">
        <v>0</v>
      </c>
      <c r="Q1879">
        <v>0</v>
      </c>
      <c r="R1879" t="s">
        <v>112</v>
      </c>
      <c r="S1879" t="str">
        <f>"14:21:41.352"</f>
        <v>14:21:41.352</v>
      </c>
      <c r="T1879" t="str">
        <f>"14:21:40.852"</f>
        <v>14:21:40.852</v>
      </c>
      <c r="U1879" t="str">
        <f t="shared" si="87"/>
        <v>ad5732</v>
      </c>
      <c r="V1879">
        <v>0</v>
      </c>
      <c r="W1879">
        <v>0</v>
      </c>
      <c r="X1879">
        <v>1</v>
      </c>
      <c r="Z1879">
        <v>0</v>
      </c>
      <c r="AA1879">
        <v>9</v>
      </c>
      <c r="AB1879">
        <v>3</v>
      </c>
      <c r="AC1879">
        <v>0</v>
      </c>
      <c r="AD1879">
        <v>10</v>
      </c>
      <c r="AE1879">
        <v>0</v>
      </c>
      <c r="AF1879">
        <v>3</v>
      </c>
      <c r="AG1879">
        <v>2</v>
      </c>
      <c r="AH1879">
        <v>0</v>
      </c>
      <c r="AI1879" t="s">
        <v>3863</v>
      </c>
      <c r="AJ1879">
        <v>39.792116</v>
      </c>
      <c r="AK1879" t="s">
        <v>3864</v>
      </c>
      <c r="AL1879">
        <v>-75.984728000000004</v>
      </c>
      <c r="AM1879">
        <v>100</v>
      </c>
      <c r="AN1879">
        <v>4700</v>
      </c>
      <c r="AO1879" t="s">
        <v>115</v>
      </c>
      <c r="AP1879">
        <v>155</v>
      </c>
      <c r="AQ1879">
        <v>81</v>
      </c>
      <c r="AR1879">
        <v>0</v>
      </c>
      <c r="AZ1879">
        <v>3614</v>
      </c>
      <c r="BA1879">
        <v>1</v>
      </c>
      <c r="BB1879" t="str">
        <f t="shared" si="89"/>
        <v xml:space="preserve">N959MJ  </v>
      </c>
      <c r="BC1879">
        <v>1</v>
      </c>
      <c r="BE1879">
        <v>0</v>
      </c>
      <c r="BF1879">
        <v>0</v>
      </c>
      <c r="BG1879">
        <v>0</v>
      </c>
      <c r="BH1879">
        <v>4900</v>
      </c>
      <c r="BI1879">
        <v>200</v>
      </c>
      <c r="BJ1879">
        <v>1</v>
      </c>
      <c r="BK1879">
        <v>1</v>
      </c>
      <c r="BL1879">
        <v>1</v>
      </c>
      <c r="BM1879">
        <v>0</v>
      </c>
      <c r="BP1879">
        <v>0</v>
      </c>
      <c r="BQ1879">
        <v>0</v>
      </c>
      <c r="BX1879" t="str">
        <f>"14:21:41.352"</f>
        <v>14:21:41.352</v>
      </c>
      <c r="BY1879" t="str">
        <f>"353411378"</f>
        <v>353411378</v>
      </c>
      <c r="CL1879">
        <v>0</v>
      </c>
      <c r="CM1879">
        <v>2</v>
      </c>
      <c r="CN1879">
        <v>0</v>
      </c>
      <c r="CO1879">
        <v>2</v>
      </c>
      <c r="CP1879">
        <v>0</v>
      </c>
      <c r="CQ1879">
        <v>7</v>
      </c>
      <c r="CR1879" t="s">
        <v>116</v>
      </c>
      <c r="CS1879">
        <v>39</v>
      </c>
      <c r="CT1879">
        <v>2</v>
      </c>
      <c r="CU1879" t="s">
        <v>2259</v>
      </c>
      <c r="CV1879" t="s">
        <v>2260</v>
      </c>
      <c r="CY1879">
        <v>16301655</v>
      </c>
      <c r="CZ1879" t="s">
        <v>119</v>
      </c>
    </row>
    <row r="1880" spans="1:104" x14ac:dyDescent="0.25">
      <c r="A1880" t="str">
        <f>"14:21:42.492"</f>
        <v>14:21:42.492</v>
      </c>
      <c r="B1880" t="s">
        <v>108</v>
      </c>
      <c r="C1880" t="str">
        <f t="shared" si="88"/>
        <v>ffdfd3c0</v>
      </c>
      <c r="D1880" t="s">
        <v>109</v>
      </c>
      <c r="E1880">
        <v>4</v>
      </c>
      <c r="F1880">
        <v>1004</v>
      </c>
      <c r="G1880" t="s">
        <v>110</v>
      </c>
      <c r="J1880" t="s">
        <v>111</v>
      </c>
      <c r="K1880">
        <v>0</v>
      </c>
      <c r="L1880">
        <v>3</v>
      </c>
      <c r="M1880">
        <v>0</v>
      </c>
      <c r="N1880">
        <v>2</v>
      </c>
      <c r="O1880">
        <v>1</v>
      </c>
      <c r="P1880">
        <v>0</v>
      </c>
      <c r="Q1880">
        <v>0</v>
      </c>
      <c r="R1880" t="s">
        <v>112</v>
      </c>
      <c r="S1880" t="str">
        <f>"14:21:42.281"</f>
        <v>14:21:42.281</v>
      </c>
      <c r="T1880" t="str">
        <f>"14:21:41.781"</f>
        <v>14:21:41.781</v>
      </c>
      <c r="U1880" t="str">
        <f t="shared" si="87"/>
        <v>ad5732</v>
      </c>
      <c r="V1880">
        <v>0</v>
      </c>
      <c r="W1880">
        <v>0</v>
      </c>
      <c r="X1880">
        <v>1</v>
      </c>
      <c r="Z1880">
        <v>0</v>
      </c>
      <c r="AA1880">
        <v>9</v>
      </c>
      <c r="AB1880">
        <v>3</v>
      </c>
      <c r="AC1880">
        <v>0</v>
      </c>
      <c r="AD1880">
        <v>10</v>
      </c>
      <c r="AE1880">
        <v>0</v>
      </c>
      <c r="AF1880">
        <v>3</v>
      </c>
      <c r="AG1880">
        <v>2</v>
      </c>
      <c r="AH1880">
        <v>0</v>
      </c>
      <c r="AI1880" t="s">
        <v>3865</v>
      </c>
      <c r="AJ1880">
        <v>39.792437999999997</v>
      </c>
      <c r="AK1880" t="s">
        <v>3866</v>
      </c>
      <c r="AL1880">
        <v>-75.983891</v>
      </c>
      <c r="AM1880">
        <v>100</v>
      </c>
      <c r="AN1880">
        <v>4700</v>
      </c>
      <c r="AO1880" t="s">
        <v>115</v>
      </c>
      <c r="AP1880">
        <v>155</v>
      </c>
      <c r="AQ1880">
        <v>80</v>
      </c>
      <c r="AR1880">
        <v>0</v>
      </c>
      <c r="AZ1880">
        <v>3614</v>
      </c>
      <c r="BA1880">
        <v>1</v>
      </c>
      <c r="BB1880" t="str">
        <f t="shared" si="89"/>
        <v xml:space="preserve">N959MJ  </v>
      </c>
      <c r="BC1880">
        <v>1</v>
      </c>
      <c r="BE1880">
        <v>0</v>
      </c>
      <c r="BF1880">
        <v>0</v>
      </c>
      <c r="BG1880">
        <v>0</v>
      </c>
      <c r="BH1880">
        <v>4900</v>
      </c>
      <c r="BI1880">
        <v>200</v>
      </c>
      <c r="BJ1880">
        <v>1</v>
      </c>
      <c r="BK1880">
        <v>1</v>
      </c>
      <c r="BL1880">
        <v>1</v>
      </c>
      <c r="BM1880">
        <v>0</v>
      </c>
      <c r="BP1880">
        <v>0</v>
      </c>
      <c r="BQ1880">
        <v>0</v>
      </c>
      <c r="BX1880" t="str">
        <f>"14:21:42.289"</f>
        <v>14:21:42.289</v>
      </c>
      <c r="BY1880" t="str">
        <f>"285676595"</f>
        <v>285676595</v>
      </c>
      <c r="CL1880">
        <v>0</v>
      </c>
      <c r="CM1880">
        <v>2</v>
      </c>
      <c r="CN1880">
        <v>0</v>
      </c>
      <c r="CO1880">
        <v>2</v>
      </c>
      <c r="CP1880">
        <v>0</v>
      </c>
      <c r="CQ1880">
        <v>7</v>
      </c>
      <c r="CR1880" t="s">
        <v>116</v>
      </c>
      <c r="CS1880">
        <v>39</v>
      </c>
      <c r="CT1880">
        <v>2</v>
      </c>
      <c r="CU1880" t="s">
        <v>2259</v>
      </c>
      <c r="CV1880" t="s">
        <v>2260</v>
      </c>
      <c r="CY1880">
        <v>16303202</v>
      </c>
      <c r="CZ1880" t="s">
        <v>119</v>
      </c>
    </row>
    <row r="1881" spans="1:104" x14ac:dyDescent="0.25">
      <c r="A1881" t="str">
        <f>"14:21:43.344"</f>
        <v>14:21:43.344</v>
      </c>
      <c r="B1881" t="s">
        <v>108</v>
      </c>
      <c r="C1881" t="str">
        <f t="shared" si="88"/>
        <v>ffdfd3c0</v>
      </c>
      <c r="D1881" t="s">
        <v>109</v>
      </c>
      <c r="E1881">
        <v>4</v>
      </c>
      <c r="F1881">
        <v>1004</v>
      </c>
      <c r="G1881" t="s">
        <v>110</v>
      </c>
      <c r="J1881" t="s">
        <v>111</v>
      </c>
      <c r="K1881">
        <v>0</v>
      </c>
      <c r="L1881">
        <v>3</v>
      </c>
      <c r="M1881">
        <v>0</v>
      </c>
      <c r="N1881">
        <v>2</v>
      </c>
      <c r="O1881">
        <v>1</v>
      </c>
      <c r="P1881">
        <v>0</v>
      </c>
      <c r="Q1881">
        <v>0</v>
      </c>
      <c r="R1881" t="s">
        <v>112</v>
      </c>
      <c r="S1881" t="str">
        <f>"14:21:43.164"</f>
        <v>14:21:43.164</v>
      </c>
      <c r="T1881" t="str">
        <f>"14:21:42.766"</f>
        <v>14:21:42.766</v>
      </c>
      <c r="U1881" t="str">
        <f t="shared" si="87"/>
        <v>ad5732</v>
      </c>
      <c r="V1881">
        <v>0</v>
      </c>
      <c r="W1881">
        <v>0</v>
      </c>
      <c r="X1881">
        <v>1</v>
      </c>
      <c r="Z1881">
        <v>0</v>
      </c>
      <c r="AA1881">
        <v>9</v>
      </c>
      <c r="AB1881">
        <v>3</v>
      </c>
      <c r="AC1881">
        <v>0</v>
      </c>
      <c r="AD1881">
        <v>10</v>
      </c>
      <c r="AE1881">
        <v>0</v>
      </c>
      <c r="AF1881">
        <v>3</v>
      </c>
      <c r="AG1881">
        <v>2</v>
      </c>
      <c r="AH1881">
        <v>0</v>
      </c>
      <c r="AI1881" t="s">
        <v>3867</v>
      </c>
      <c r="AJ1881">
        <v>39.792758999999997</v>
      </c>
      <c r="AK1881" t="s">
        <v>3868</v>
      </c>
      <c r="AL1881">
        <v>-75.983119000000002</v>
      </c>
      <c r="AM1881">
        <v>100</v>
      </c>
      <c r="AN1881">
        <v>4700</v>
      </c>
      <c r="AO1881" t="s">
        <v>115</v>
      </c>
      <c r="AP1881">
        <v>155</v>
      </c>
      <c r="AQ1881">
        <v>80</v>
      </c>
      <c r="AR1881">
        <v>0</v>
      </c>
      <c r="AZ1881">
        <v>3614</v>
      </c>
      <c r="BA1881">
        <v>1</v>
      </c>
      <c r="BB1881" t="str">
        <f t="shared" si="89"/>
        <v xml:space="preserve">N959MJ  </v>
      </c>
      <c r="BC1881">
        <v>1</v>
      </c>
      <c r="BE1881">
        <v>0</v>
      </c>
      <c r="BF1881">
        <v>0</v>
      </c>
      <c r="BG1881">
        <v>0</v>
      </c>
      <c r="BH1881">
        <v>4900</v>
      </c>
      <c r="BI1881">
        <v>200</v>
      </c>
      <c r="BJ1881">
        <v>1</v>
      </c>
      <c r="BK1881">
        <v>1</v>
      </c>
      <c r="BL1881">
        <v>1</v>
      </c>
      <c r="BM1881">
        <v>0</v>
      </c>
      <c r="BP1881">
        <v>0</v>
      </c>
      <c r="BQ1881">
        <v>0</v>
      </c>
      <c r="BX1881" t="str">
        <f>"14:21:43.172"</f>
        <v>14:21:43.172</v>
      </c>
      <c r="BY1881" t="str">
        <f>"168788902"</f>
        <v>168788902</v>
      </c>
      <c r="CL1881">
        <v>0</v>
      </c>
      <c r="CM1881">
        <v>2</v>
      </c>
      <c r="CN1881">
        <v>0</v>
      </c>
      <c r="CO1881">
        <v>2</v>
      </c>
      <c r="CP1881">
        <v>0</v>
      </c>
      <c r="CQ1881">
        <v>7</v>
      </c>
      <c r="CR1881" t="s">
        <v>116</v>
      </c>
      <c r="CS1881">
        <v>39</v>
      </c>
      <c r="CT1881">
        <v>2</v>
      </c>
      <c r="CU1881" t="s">
        <v>2259</v>
      </c>
      <c r="CV1881" t="s">
        <v>2260</v>
      </c>
      <c r="CY1881">
        <v>16304643</v>
      </c>
      <c r="CZ1881" t="s">
        <v>119</v>
      </c>
    </row>
    <row r="1882" spans="1:104" x14ac:dyDescent="0.25">
      <c r="A1882" t="str">
        <f>"14:21:44.406"</f>
        <v>14:21:44.406</v>
      </c>
      <c r="B1882" t="s">
        <v>108</v>
      </c>
      <c r="C1882" t="str">
        <f t="shared" si="88"/>
        <v>ffdfd3c0</v>
      </c>
      <c r="D1882" t="s">
        <v>109</v>
      </c>
      <c r="E1882">
        <v>4</v>
      </c>
      <c r="F1882">
        <v>1004</v>
      </c>
      <c r="G1882" t="s">
        <v>110</v>
      </c>
      <c r="J1882" t="s">
        <v>111</v>
      </c>
      <c r="K1882">
        <v>0</v>
      </c>
      <c r="L1882">
        <v>3</v>
      </c>
      <c r="M1882">
        <v>0</v>
      </c>
      <c r="N1882">
        <v>2</v>
      </c>
      <c r="O1882">
        <v>1</v>
      </c>
      <c r="P1882">
        <v>0</v>
      </c>
      <c r="Q1882">
        <v>0</v>
      </c>
      <c r="R1882" t="s">
        <v>112</v>
      </c>
      <c r="S1882" t="str">
        <f>"14:21:44.203"</f>
        <v>14:21:44.203</v>
      </c>
      <c r="T1882" t="str">
        <f>"14:21:43.703"</f>
        <v>14:21:43.703</v>
      </c>
      <c r="U1882" t="str">
        <f t="shared" si="87"/>
        <v>ad5732</v>
      </c>
      <c r="V1882">
        <v>0</v>
      </c>
      <c r="W1882">
        <v>0</v>
      </c>
      <c r="X1882">
        <v>1</v>
      </c>
      <c r="Z1882">
        <v>0</v>
      </c>
      <c r="AA1882">
        <v>9</v>
      </c>
      <c r="AB1882">
        <v>3</v>
      </c>
      <c r="AC1882">
        <v>0</v>
      </c>
      <c r="AD1882">
        <v>10</v>
      </c>
      <c r="AE1882">
        <v>0</v>
      </c>
      <c r="AF1882">
        <v>3</v>
      </c>
      <c r="AG1882">
        <v>2</v>
      </c>
      <c r="AH1882">
        <v>0</v>
      </c>
      <c r="AI1882" t="s">
        <v>3869</v>
      </c>
      <c r="AJ1882">
        <v>39.793188999999998</v>
      </c>
      <c r="AK1882" t="s">
        <v>3870</v>
      </c>
      <c r="AL1882">
        <v>-75.982045999999997</v>
      </c>
      <c r="AM1882">
        <v>100</v>
      </c>
      <c r="AN1882">
        <v>4700</v>
      </c>
      <c r="AO1882" t="s">
        <v>115</v>
      </c>
      <c r="AP1882">
        <v>155</v>
      </c>
      <c r="AQ1882">
        <v>80</v>
      </c>
      <c r="AR1882">
        <v>0</v>
      </c>
      <c r="AZ1882">
        <v>3614</v>
      </c>
      <c r="BA1882">
        <v>1</v>
      </c>
      <c r="BB1882" t="str">
        <f t="shared" si="89"/>
        <v xml:space="preserve">N959MJ  </v>
      </c>
      <c r="BC1882">
        <v>1</v>
      </c>
      <c r="BE1882">
        <v>0</v>
      </c>
      <c r="BF1882">
        <v>0</v>
      </c>
      <c r="BG1882">
        <v>0</v>
      </c>
      <c r="BH1882">
        <v>4900</v>
      </c>
      <c r="BI1882">
        <v>200</v>
      </c>
      <c r="BJ1882">
        <v>1</v>
      </c>
      <c r="BK1882">
        <v>1</v>
      </c>
      <c r="BL1882">
        <v>1</v>
      </c>
      <c r="BM1882">
        <v>0</v>
      </c>
      <c r="BP1882">
        <v>0</v>
      </c>
      <c r="BQ1882">
        <v>0</v>
      </c>
      <c r="BX1882" t="str">
        <f>"14:21:44.211"</f>
        <v>14:21:44.211</v>
      </c>
      <c r="BY1882" t="str">
        <f>"210828702"</f>
        <v>210828702</v>
      </c>
      <c r="CL1882">
        <v>0</v>
      </c>
      <c r="CM1882">
        <v>2</v>
      </c>
      <c r="CN1882">
        <v>0</v>
      </c>
      <c r="CO1882">
        <v>2</v>
      </c>
      <c r="CP1882">
        <v>0</v>
      </c>
      <c r="CQ1882">
        <v>7</v>
      </c>
      <c r="CR1882" t="s">
        <v>116</v>
      </c>
      <c r="CS1882">
        <v>39</v>
      </c>
      <c r="CT1882">
        <v>2</v>
      </c>
      <c r="CU1882" t="s">
        <v>2259</v>
      </c>
      <c r="CV1882" t="s">
        <v>2260</v>
      </c>
      <c r="CY1882">
        <v>16306317</v>
      </c>
      <c r="CZ1882" t="s">
        <v>119</v>
      </c>
    </row>
    <row r="1883" spans="1:104" x14ac:dyDescent="0.25">
      <c r="A1883" t="str">
        <f>"14:21:45.266"</f>
        <v>14:21:45.266</v>
      </c>
      <c r="B1883" t="s">
        <v>108</v>
      </c>
      <c r="C1883" t="str">
        <f t="shared" si="88"/>
        <v>ffdfd3c0</v>
      </c>
      <c r="D1883" t="s">
        <v>109</v>
      </c>
      <c r="E1883">
        <v>4</v>
      </c>
      <c r="F1883">
        <v>1004</v>
      </c>
      <c r="G1883" t="s">
        <v>110</v>
      </c>
      <c r="J1883" t="s">
        <v>111</v>
      </c>
      <c r="K1883">
        <v>0</v>
      </c>
      <c r="L1883">
        <v>3</v>
      </c>
      <c r="M1883">
        <v>0</v>
      </c>
      <c r="N1883">
        <v>2</v>
      </c>
      <c r="O1883">
        <v>1</v>
      </c>
      <c r="P1883">
        <v>0</v>
      </c>
      <c r="Q1883">
        <v>0</v>
      </c>
      <c r="R1883" t="s">
        <v>112</v>
      </c>
      <c r="S1883" t="str">
        <f>"14:21:45.086"</f>
        <v>14:21:45.086</v>
      </c>
      <c r="T1883" t="str">
        <f>"14:21:44.688"</f>
        <v>14:21:44.688</v>
      </c>
      <c r="U1883" t="str">
        <f t="shared" si="87"/>
        <v>ad5732</v>
      </c>
      <c r="V1883">
        <v>0</v>
      </c>
      <c r="W1883">
        <v>0</v>
      </c>
      <c r="X1883">
        <v>1</v>
      </c>
      <c r="Z1883">
        <v>0</v>
      </c>
      <c r="AA1883">
        <v>9</v>
      </c>
      <c r="AB1883">
        <v>3</v>
      </c>
      <c r="AC1883">
        <v>0</v>
      </c>
      <c r="AD1883">
        <v>10</v>
      </c>
      <c r="AE1883">
        <v>0</v>
      </c>
      <c r="AF1883">
        <v>3</v>
      </c>
      <c r="AG1883">
        <v>2</v>
      </c>
      <c r="AH1883">
        <v>0</v>
      </c>
      <c r="AI1883" t="s">
        <v>3871</v>
      </c>
      <c r="AJ1883">
        <v>39.793467999999997</v>
      </c>
      <c r="AK1883" t="s">
        <v>3872</v>
      </c>
      <c r="AL1883">
        <v>-75.981317000000004</v>
      </c>
      <c r="AM1883">
        <v>100</v>
      </c>
      <c r="AN1883">
        <v>4700</v>
      </c>
      <c r="AO1883" t="s">
        <v>115</v>
      </c>
      <c r="AP1883">
        <v>155</v>
      </c>
      <c r="AQ1883">
        <v>80</v>
      </c>
      <c r="AR1883">
        <v>0</v>
      </c>
      <c r="AZ1883">
        <v>3614</v>
      </c>
      <c r="BA1883">
        <v>1</v>
      </c>
      <c r="BB1883" t="str">
        <f t="shared" si="89"/>
        <v xml:space="preserve">N959MJ  </v>
      </c>
      <c r="BC1883">
        <v>1</v>
      </c>
      <c r="BE1883">
        <v>0</v>
      </c>
      <c r="BF1883">
        <v>0</v>
      </c>
      <c r="BG1883">
        <v>0</v>
      </c>
      <c r="BH1883">
        <v>4900</v>
      </c>
      <c r="BI1883">
        <v>200</v>
      </c>
      <c r="BJ1883">
        <v>1</v>
      </c>
      <c r="BK1883">
        <v>1</v>
      </c>
      <c r="BL1883">
        <v>1</v>
      </c>
      <c r="BM1883">
        <v>0</v>
      </c>
      <c r="BP1883">
        <v>0</v>
      </c>
      <c r="BQ1883">
        <v>0</v>
      </c>
      <c r="BX1883" t="str">
        <f>"14:21:45.086"</f>
        <v>14:21:45.086</v>
      </c>
      <c r="BY1883" t="str">
        <f>"087387337"</f>
        <v>087387337</v>
      </c>
      <c r="CL1883">
        <v>0</v>
      </c>
      <c r="CM1883">
        <v>2</v>
      </c>
      <c r="CN1883">
        <v>0</v>
      </c>
      <c r="CO1883">
        <v>2</v>
      </c>
      <c r="CP1883">
        <v>0</v>
      </c>
      <c r="CQ1883">
        <v>7</v>
      </c>
      <c r="CR1883" t="s">
        <v>116</v>
      </c>
      <c r="CS1883">
        <v>39</v>
      </c>
      <c r="CT1883">
        <v>2</v>
      </c>
      <c r="CU1883" t="s">
        <v>2259</v>
      </c>
      <c r="CV1883" t="s">
        <v>2260</v>
      </c>
      <c r="CY1883">
        <v>16307654</v>
      </c>
      <c r="CZ1883" t="s">
        <v>119</v>
      </c>
    </row>
    <row r="1884" spans="1:104" x14ac:dyDescent="0.25">
      <c r="A1884" t="str">
        <f>"14:21:46.227"</f>
        <v>14:21:46.227</v>
      </c>
      <c r="B1884" t="s">
        <v>108</v>
      </c>
      <c r="C1884" t="str">
        <f t="shared" si="88"/>
        <v>ffdfd3c0</v>
      </c>
      <c r="D1884" t="s">
        <v>109</v>
      </c>
      <c r="E1884">
        <v>4</v>
      </c>
      <c r="F1884">
        <v>1004</v>
      </c>
      <c r="G1884" t="s">
        <v>110</v>
      </c>
      <c r="J1884" t="s">
        <v>111</v>
      </c>
      <c r="K1884">
        <v>0</v>
      </c>
      <c r="L1884">
        <v>3</v>
      </c>
      <c r="M1884">
        <v>0</v>
      </c>
      <c r="N1884">
        <v>2</v>
      </c>
      <c r="O1884">
        <v>1</v>
      </c>
      <c r="P1884">
        <v>0</v>
      </c>
      <c r="Q1884">
        <v>0</v>
      </c>
      <c r="R1884" t="s">
        <v>112</v>
      </c>
      <c r="S1884" t="str">
        <f>"14:21:46.031"</f>
        <v>14:21:46.031</v>
      </c>
      <c r="T1884" t="str">
        <f>"14:21:45.531"</f>
        <v>14:21:45.531</v>
      </c>
      <c r="U1884" t="str">
        <f t="shared" si="87"/>
        <v>ad5732</v>
      </c>
      <c r="V1884">
        <v>0</v>
      </c>
      <c r="W1884">
        <v>0</v>
      </c>
      <c r="X1884">
        <v>1</v>
      </c>
      <c r="Z1884">
        <v>0</v>
      </c>
      <c r="AA1884">
        <v>9</v>
      </c>
      <c r="AB1884">
        <v>3</v>
      </c>
      <c r="AC1884">
        <v>0</v>
      </c>
      <c r="AD1884">
        <v>10</v>
      </c>
      <c r="AE1884">
        <v>0</v>
      </c>
      <c r="AF1884">
        <v>3</v>
      </c>
      <c r="AG1884">
        <v>2</v>
      </c>
      <c r="AH1884">
        <v>0</v>
      </c>
      <c r="AI1884" t="s">
        <v>3873</v>
      </c>
      <c r="AJ1884">
        <v>39.793832000000002</v>
      </c>
      <c r="AK1884" t="s">
        <v>3874</v>
      </c>
      <c r="AL1884">
        <v>-75.980414999999994</v>
      </c>
      <c r="AM1884">
        <v>100</v>
      </c>
      <c r="AN1884">
        <v>4700</v>
      </c>
      <c r="AO1884" t="s">
        <v>115</v>
      </c>
      <c r="AP1884">
        <v>155</v>
      </c>
      <c r="AQ1884">
        <v>80</v>
      </c>
      <c r="AR1884">
        <v>0</v>
      </c>
      <c r="AZ1884">
        <v>3614</v>
      </c>
      <c r="BA1884">
        <v>1</v>
      </c>
      <c r="BB1884" t="str">
        <f t="shared" si="89"/>
        <v xml:space="preserve">N959MJ  </v>
      </c>
      <c r="BC1884">
        <v>1</v>
      </c>
      <c r="BE1884">
        <v>0</v>
      </c>
      <c r="BF1884">
        <v>0</v>
      </c>
      <c r="BG1884">
        <v>0</v>
      </c>
      <c r="BH1884">
        <v>4900</v>
      </c>
      <c r="BI1884">
        <v>200</v>
      </c>
      <c r="BJ1884">
        <v>1</v>
      </c>
      <c r="BK1884">
        <v>1</v>
      </c>
      <c r="BL1884">
        <v>1</v>
      </c>
      <c r="BM1884">
        <v>0</v>
      </c>
      <c r="BP1884">
        <v>0</v>
      </c>
      <c r="BQ1884">
        <v>0</v>
      </c>
      <c r="BX1884" t="str">
        <f>"14:21:46.039"</f>
        <v>14:21:46.039</v>
      </c>
      <c r="BY1884" t="str">
        <f>"037675228"</f>
        <v>037675228</v>
      </c>
      <c r="CL1884">
        <v>0</v>
      </c>
      <c r="CM1884">
        <v>2</v>
      </c>
      <c r="CN1884">
        <v>0</v>
      </c>
      <c r="CO1884">
        <v>2</v>
      </c>
      <c r="CP1884">
        <v>0</v>
      </c>
      <c r="CQ1884">
        <v>7</v>
      </c>
      <c r="CR1884" t="s">
        <v>116</v>
      </c>
      <c r="CS1884">
        <v>39</v>
      </c>
      <c r="CT1884">
        <v>2</v>
      </c>
      <c r="CU1884" t="s">
        <v>2259</v>
      </c>
      <c r="CV1884" t="s">
        <v>2260</v>
      </c>
      <c r="CY1884">
        <v>16309141</v>
      </c>
      <c r="CZ1884" t="s">
        <v>119</v>
      </c>
    </row>
    <row r="1885" spans="1:104" x14ac:dyDescent="0.25">
      <c r="A1885" t="str">
        <f>"14:21:47.133"</f>
        <v>14:21:47.133</v>
      </c>
      <c r="B1885" t="s">
        <v>108</v>
      </c>
      <c r="C1885" t="str">
        <f t="shared" si="88"/>
        <v>ffdfd3c0</v>
      </c>
      <c r="D1885" t="s">
        <v>109</v>
      </c>
      <c r="E1885">
        <v>4</v>
      </c>
      <c r="F1885">
        <v>1004</v>
      </c>
      <c r="G1885" t="s">
        <v>110</v>
      </c>
      <c r="J1885" t="s">
        <v>111</v>
      </c>
      <c r="K1885">
        <v>0</v>
      </c>
      <c r="L1885">
        <v>3</v>
      </c>
      <c r="M1885">
        <v>0</v>
      </c>
      <c r="N1885">
        <v>2</v>
      </c>
      <c r="O1885">
        <v>1</v>
      </c>
      <c r="P1885">
        <v>0</v>
      </c>
      <c r="Q1885">
        <v>0</v>
      </c>
      <c r="R1885" t="s">
        <v>112</v>
      </c>
      <c r="S1885" t="str">
        <f>"14:21:46.914"</f>
        <v>14:21:46.914</v>
      </c>
      <c r="T1885" t="str">
        <f>"14:21:46.516"</f>
        <v>14:21:46.516</v>
      </c>
      <c r="U1885" t="str">
        <f t="shared" si="87"/>
        <v>ad5732</v>
      </c>
      <c r="V1885">
        <v>0</v>
      </c>
      <c r="W1885">
        <v>0</v>
      </c>
      <c r="X1885">
        <v>1</v>
      </c>
      <c r="Z1885">
        <v>0</v>
      </c>
      <c r="AA1885">
        <v>9</v>
      </c>
      <c r="AB1885">
        <v>3</v>
      </c>
      <c r="AC1885">
        <v>0</v>
      </c>
      <c r="AD1885">
        <v>10</v>
      </c>
      <c r="AE1885">
        <v>0</v>
      </c>
      <c r="AF1885">
        <v>3</v>
      </c>
      <c r="AG1885">
        <v>2</v>
      </c>
      <c r="AH1885">
        <v>0</v>
      </c>
      <c r="AI1885" t="s">
        <v>3875</v>
      </c>
      <c r="AJ1885">
        <v>39.794176</v>
      </c>
      <c r="AK1885" t="s">
        <v>3876</v>
      </c>
      <c r="AL1885">
        <v>-75.979535999999996</v>
      </c>
      <c r="AM1885">
        <v>100</v>
      </c>
      <c r="AN1885">
        <v>4700</v>
      </c>
      <c r="AO1885" t="s">
        <v>115</v>
      </c>
      <c r="AP1885">
        <v>155</v>
      </c>
      <c r="AQ1885">
        <v>80</v>
      </c>
      <c r="AR1885">
        <v>0</v>
      </c>
      <c r="AZ1885">
        <v>3614</v>
      </c>
      <c r="BA1885">
        <v>1</v>
      </c>
      <c r="BB1885" t="str">
        <f t="shared" si="89"/>
        <v xml:space="preserve">N959MJ  </v>
      </c>
      <c r="BC1885">
        <v>1</v>
      </c>
      <c r="BE1885">
        <v>0</v>
      </c>
      <c r="BF1885">
        <v>0</v>
      </c>
      <c r="BG1885">
        <v>0</v>
      </c>
      <c r="BH1885">
        <v>4900</v>
      </c>
      <c r="BI1885">
        <v>200</v>
      </c>
      <c r="BJ1885">
        <v>1</v>
      </c>
      <c r="BK1885">
        <v>1</v>
      </c>
      <c r="BL1885">
        <v>1</v>
      </c>
      <c r="BM1885">
        <v>0</v>
      </c>
      <c r="BP1885">
        <v>0</v>
      </c>
      <c r="BQ1885">
        <v>0</v>
      </c>
      <c r="BX1885" t="str">
        <f>"14:21:46.914"</f>
        <v>14:21:46.914</v>
      </c>
      <c r="BY1885" t="str">
        <f>"917806223"</f>
        <v>917806223</v>
      </c>
      <c r="CL1885">
        <v>0</v>
      </c>
      <c r="CM1885">
        <v>2</v>
      </c>
      <c r="CN1885">
        <v>0</v>
      </c>
      <c r="CO1885">
        <v>2</v>
      </c>
      <c r="CP1885">
        <v>0</v>
      </c>
      <c r="CQ1885">
        <v>4</v>
      </c>
      <c r="CR1885" t="s">
        <v>116</v>
      </c>
      <c r="CS1885">
        <v>147</v>
      </c>
      <c r="CT1885">
        <v>0</v>
      </c>
      <c r="CU1885" t="s">
        <v>117</v>
      </c>
      <c r="CV1885" t="s">
        <v>118</v>
      </c>
      <c r="CY1885">
        <v>7031585</v>
      </c>
      <c r="CZ1885" t="s">
        <v>119</v>
      </c>
    </row>
    <row r="1886" spans="1:104" x14ac:dyDescent="0.25">
      <c r="A1886" t="str">
        <f>"14:21:48.141"</f>
        <v>14:21:48.141</v>
      </c>
      <c r="B1886" t="s">
        <v>108</v>
      </c>
      <c r="C1886" t="str">
        <f t="shared" si="88"/>
        <v>ffdfd3c0</v>
      </c>
      <c r="D1886" t="s">
        <v>109</v>
      </c>
      <c r="E1886">
        <v>4</v>
      </c>
      <c r="F1886">
        <v>1004</v>
      </c>
      <c r="G1886" t="s">
        <v>110</v>
      </c>
      <c r="J1886" t="s">
        <v>111</v>
      </c>
      <c r="K1886">
        <v>0</v>
      </c>
      <c r="L1886">
        <v>3</v>
      </c>
      <c r="M1886">
        <v>0</v>
      </c>
      <c r="N1886">
        <v>2</v>
      </c>
      <c r="O1886">
        <v>1</v>
      </c>
      <c r="P1886">
        <v>0</v>
      </c>
      <c r="Q1886">
        <v>0</v>
      </c>
      <c r="R1886" t="s">
        <v>112</v>
      </c>
      <c r="S1886" t="str">
        <f>"14:21:47.961"</f>
        <v>14:21:47.961</v>
      </c>
      <c r="T1886" t="str">
        <f>"14:21:47.563"</f>
        <v>14:21:47.563</v>
      </c>
      <c r="U1886" t="str">
        <f t="shared" si="87"/>
        <v>ad5732</v>
      </c>
      <c r="V1886">
        <v>0</v>
      </c>
      <c r="W1886">
        <v>0</v>
      </c>
      <c r="X1886">
        <v>1</v>
      </c>
      <c r="Z1886">
        <v>0</v>
      </c>
      <c r="AA1886">
        <v>9</v>
      </c>
      <c r="AB1886">
        <v>3</v>
      </c>
      <c r="AC1886">
        <v>0</v>
      </c>
      <c r="AD1886">
        <v>10</v>
      </c>
      <c r="AE1886">
        <v>0</v>
      </c>
      <c r="AF1886">
        <v>3</v>
      </c>
      <c r="AG1886">
        <v>2</v>
      </c>
      <c r="AH1886">
        <v>0</v>
      </c>
      <c r="AI1886" t="s">
        <v>3877</v>
      </c>
      <c r="AJ1886">
        <v>39.794539999999998</v>
      </c>
      <c r="AK1886" t="s">
        <v>3878</v>
      </c>
      <c r="AL1886">
        <v>-75.978634</v>
      </c>
      <c r="AM1886">
        <v>100</v>
      </c>
      <c r="AN1886">
        <v>4700</v>
      </c>
      <c r="AO1886" t="s">
        <v>115</v>
      </c>
      <c r="AP1886">
        <v>156</v>
      </c>
      <c r="AQ1886">
        <v>80</v>
      </c>
      <c r="AR1886">
        <v>0</v>
      </c>
      <c r="AZ1886">
        <v>3614</v>
      </c>
      <c r="BA1886">
        <v>1</v>
      </c>
      <c r="BB1886" t="str">
        <f t="shared" si="89"/>
        <v xml:space="preserve">N959MJ  </v>
      </c>
      <c r="BC1886">
        <v>1</v>
      </c>
      <c r="BE1886">
        <v>0</v>
      </c>
      <c r="BF1886">
        <v>0</v>
      </c>
      <c r="BG1886">
        <v>0</v>
      </c>
      <c r="BH1886">
        <v>4900</v>
      </c>
      <c r="BI1886">
        <v>200</v>
      </c>
      <c r="BJ1886">
        <v>1</v>
      </c>
      <c r="BK1886">
        <v>1</v>
      </c>
      <c r="BL1886">
        <v>1</v>
      </c>
      <c r="BM1886">
        <v>0</v>
      </c>
      <c r="BP1886">
        <v>0</v>
      </c>
      <c r="BQ1886">
        <v>0</v>
      </c>
      <c r="BX1886" t="str">
        <f>"14:21:47.969"</f>
        <v>14:21:47.969</v>
      </c>
      <c r="BY1886" t="str">
        <f>"967742651"</f>
        <v>967742651</v>
      </c>
      <c r="CL1886">
        <v>0</v>
      </c>
      <c r="CM1886">
        <v>2</v>
      </c>
      <c r="CN1886">
        <v>0</v>
      </c>
      <c r="CO1886">
        <v>2</v>
      </c>
      <c r="CP1886">
        <v>0</v>
      </c>
      <c r="CQ1886">
        <v>7</v>
      </c>
      <c r="CR1886" t="s">
        <v>116</v>
      </c>
      <c r="CS1886">
        <v>39</v>
      </c>
      <c r="CT1886">
        <v>2</v>
      </c>
      <c r="CU1886" t="s">
        <v>2259</v>
      </c>
      <c r="CV1886" t="s">
        <v>2260</v>
      </c>
      <c r="CY1886">
        <v>16312071</v>
      </c>
      <c r="CZ1886" t="s">
        <v>119</v>
      </c>
    </row>
    <row r="1887" spans="1:104" x14ac:dyDescent="0.25">
      <c r="A1887" t="str">
        <f>"14:21:49.203"</f>
        <v>14:21:49.203</v>
      </c>
      <c r="B1887" t="s">
        <v>108</v>
      </c>
      <c r="C1887" t="str">
        <f t="shared" si="88"/>
        <v>ffdfd3c0</v>
      </c>
      <c r="D1887" t="s">
        <v>109</v>
      </c>
      <c r="E1887">
        <v>4</v>
      </c>
      <c r="F1887">
        <v>1004</v>
      </c>
      <c r="G1887" t="s">
        <v>110</v>
      </c>
      <c r="J1887" t="s">
        <v>111</v>
      </c>
      <c r="K1887">
        <v>0</v>
      </c>
      <c r="L1887">
        <v>3</v>
      </c>
      <c r="M1887">
        <v>0</v>
      </c>
      <c r="N1887">
        <v>2</v>
      </c>
      <c r="O1887">
        <v>1</v>
      </c>
      <c r="P1887">
        <v>0</v>
      </c>
      <c r="Q1887">
        <v>0</v>
      </c>
      <c r="R1887" t="s">
        <v>112</v>
      </c>
      <c r="S1887" t="str">
        <f>"14:21:49.039"</f>
        <v>14:21:49.039</v>
      </c>
      <c r="T1887" t="str">
        <f>"14:21:48.539"</f>
        <v>14:21:48.539</v>
      </c>
      <c r="U1887" t="str">
        <f t="shared" si="87"/>
        <v>ad5732</v>
      </c>
      <c r="V1887">
        <v>0</v>
      </c>
      <c r="W1887">
        <v>0</v>
      </c>
      <c r="X1887">
        <v>1</v>
      </c>
      <c r="Z1887">
        <v>0</v>
      </c>
      <c r="AA1887">
        <v>9</v>
      </c>
      <c r="AB1887">
        <v>3</v>
      </c>
      <c r="AC1887">
        <v>0</v>
      </c>
      <c r="AD1887">
        <v>10</v>
      </c>
      <c r="AE1887">
        <v>0</v>
      </c>
      <c r="AF1887">
        <v>3</v>
      </c>
      <c r="AG1887">
        <v>2</v>
      </c>
      <c r="AH1887">
        <v>0</v>
      </c>
      <c r="AI1887" t="s">
        <v>3879</v>
      </c>
      <c r="AJ1887">
        <v>39.794947999999998</v>
      </c>
      <c r="AK1887" t="s">
        <v>3880</v>
      </c>
      <c r="AL1887">
        <v>-75.977603999999999</v>
      </c>
      <c r="AM1887">
        <v>100</v>
      </c>
      <c r="AN1887">
        <v>4700</v>
      </c>
      <c r="AO1887" t="s">
        <v>115</v>
      </c>
      <c r="AP1887">
        <v>156</v>
      </c>
      <c r="AQ1887">
        <v>80</v>
      </c>
      <c r="AR1887">
        <v>0</v>
      </c>
      <c r="AZ1887">
        <v>3614</v>
      </c>
      <c r="BA1887">
        <v>1</v>
      </c>
      <c r="BB1887" t="str">
        <f t="shared" si="89"/>
        <v xml:space="preserve">N959MJ  </v>
      </c>
      <c r="BC1887">
        <v>1</v>
      </c>
      <c r="BE1887">
        <v>0</v>
      </c>
      <c r="BF1887">
        <v>0</v>
      </c>
      <c r="BG1887">
        <v>0</v>
      </c>
      <c r="BH1887">
        <v>4900</v>
      </c>
      <c r="BI1887">
        <v>200</v>
      </c>
      <c r="BJ1887">
        <v>1</v>
      </c>
      <c r="BK1887">
        <v>1</v>
      </c>
      <c r="BL1887">
        <v>1</v>
      </c>
      <c r="BM1887">
        <v>0</v>
      </c>
      <c r="BP1887">
        <v>0</v>
      </c>
      <c r="BQ1887">
        <v>0</v>
      </c>
      <c r="BX1887" t="str">
        <f>"14:21:49.047"</f>
        <v>14:21:49.047</v>
      </c>
      <c r="BY1887" t="str">
        <f>"044189530"</f>
        <v>044189530</v>
      </c>
      <c r="CL1887">
        <v>0</v>
      </c>
      <c r="CM1887">
        <v>2</v>
      </c>
      <c r="CN1887">
        <v>0</v>
      </c>
      <c r="CO1887">
        <v>2</v>
      </c>
      <c r="CP1887">
        <v>0</v>
      </c>
      <c r="CQ1887">
        <v>7</v>
      </c>
      <c r="CR1887" t="s">
        <v>116</v>
      </c>
      <c r="CS1887">
        <v>39</v>
      </c>
      <c r="CT1887">
        <v>2</v>
      </c>
      <c r="CU1887" t="s">
        <v>2259</v>
      </c>
      <c r="CV1887" t="s">
        <v>2260</v>
      </c>
      <c r="CY1887">
        <v>16313854</v>
      </c>
      <c r="CZ1887" t="s">
        <v>119</v>
      </c>
    </row>
    <row r="1888" spans="1:104" x14ac:dyDescent="0.25">
      <c r="A1888" t="str">
        <f>"14:21:50.313"</f>
        <v>14:21:50.313</v>
      </c>
      <c r="B1888" t="s">
        <v>108</v>
      </c>
      <c r="C1888" t="str">
        <f t="shared" si="88"/>
        <v>ffdfd3c0</v>
      </c>
      <c r="D1888" t="s">
        <v>109</v>
      </c>
      <c r="E1888">
        <v>4</v>
      </c>
      <c r="F1888">
        <v>1004</v>
      </c>
      <c r="G1888" t="s">
        <v>110</v>
      </c>
      <c r="J1888" t="s">
        <v>111</v>
      </c>
      <c r="K1888">
        <v>0</v>
      </c>
      <c r="L1888">
        <v>3</v>
      </c>
      <c r="M1888">
        <v>0</v>
      </c>
      <c r="N1888">
        <v>2</v>
      </c>
      <c r="O1888">
        <v>1</v>
      </c>
      <c r="P1888">
        <v>0</v>
      </c>
      <c r="Q1888">
        <v>0</v>
      </c>
      <c r="R1888" t="s">
        <v>112</v>
      </c>
      <c r="S1888" t="str">
        <f>"14:21:50.102"</f>
        <v>14:21:50.102</v>
      </c>
      <c r="T1888" t="str">
        <f>"14:21:49.602"</f>
        <v>14:21:49.602</v>
      </c>
      <c r="U1888" t="str">
        <f t="shared" si="87"/>
        <v>ad5732</v>
      </c>
      <c r="V1888">
        <v>0</v>
      </c>
      <c r="W1888">
        <v>0</v>
      </c>
      <c r="X1888">
        <v>1</v>
      </c>
      <c r="Z1888">
        <v>0</v>
      </c>
      <c r="AA1888">
        <v>9</v>
      </c>
      <c r="AB1888">
        <v>3</v>
      </c>
      <c r="AC1888">
        <v>0</v>
      </c>
      <c r="AD1888">
        <v>10</v>
      </c>
      <c r="AE1888">
        <v>0</v>
      </c>
      <c r="AF1888">
        <v>3</v>
      </c>
      <c r="AG1888">
        <v>2</v>
      </c>
      <c r="AH1888">
        <v>0</v>
      </c>
      <c r="AI1888" t="s">
        <v>3881</v>
      </c>
      <c r="AJ1888">
        <v>39.795355999999998</v>
      </c>
      <c r="AK1888" t="s">
        <v>3882</v>
      </c>
      <c r="AL1888">
        <v>-75.976552999999996</v>
      </c>
      <c r="AM1888">
        <v>100</v>
      </c>
      <c r="AN1888">
        <v>4700</v>
      </c>
      <c r="AO1888" t="s">
        <v>115</v>
      </c>
      <c r="AP1888">
        <v>156</v>
      </c>
      <c r="AQ1888">
        <v>80</v>
      </c>
      <c r="AR1888">
        <v>0</v>
      </c>
      <c r="AZ1888">
        <v>3614</v>
      </c>
      <c r="BA1888">
        <v>1</v>
      </c>
      <c r="BB1888" t="str">
        <f t="shared" si="89"/>
        <v xml:space="preserve">N959MJ  </v>
      </c>
      <c r="BC1888">
        <v>1</v>
      </c>
      <c r="BE1888">
        <v>0</v>
      </c>
      <c r="BF1888">
        <v>0</v>
      </c>
      <c r="BG1888">
        <v>0</v>
      </c>
      <c r="BH1888">
        <v>4900</v>
      </c>
      <c r="BI1888">
        <v>200</v>
      </c>
      <c r="BJ1888">
        <v>1</v>
      </c>
      <c r="BK1888">
        <v>1</v>
      </c>
      <c r="BL1888">
        <v>1</v>
      </c>
      <c r="BM1888">
        <v>0</v>
      </c>
      <c r="BP1888">
        <v>0</v>
      </c>
      <c r="BQ1888">
        <v>0</v>
      </c>
      <c r="BX1888" t="str">
        <f>"14:21:50.102"</f>
        <v>14:21:50.102</v>
      </c>
      <c r="BY1888" t="str">
        <f>"104251945"</f>
        <v>104251945</v>
      </c>
      <c r="CL1888">
        <v>0</v>
      </c>
      <c r="CM1888">
        <v>2</v>
      </c>
      <c r="CN1888">
        <v>0</v>
      </c>
      <c r="CO1888">
        <v>2</v>
      </c>
      <c r="CP1888">
        <v>0</v>
      </c>
      <c r="CQ1888">
        <v>7</v>
      </c>
      <c r="CR1888" t="s">
        <v>116</v>
      </c>
      <c r="CS1888">
        <v>39</v>
      </c>
      <c r="CT1888">
        <v>2</v>
      </c>
      <c r="CU1888" t="s">
        <v>2259</v>
      </c>
      <c r="CV1888" t="s">
        <v>2260</v>
      </c>
      <c r="CY1888">
        <v>16315531</v>
      </c>
      <c r="CZ1888" t="s">
        <v>119</v>
      </c>
    </row>
    <row r="1889" spans="1:104" x14ac:dyDescent="0.25">
      <c r="A1889" t="str">
        <f>"14:21:51.375"</f>
        <v>14:21:51.375</v>
      </c>
      <c r="B1889" t="s">
        <v>108</v>
      </c>
      <c r="C1889" t="str">
        <f t="shared" si="88"/>
        <v>ffdfd3c0</v>
      </c>
      <c r="D1889" t="s">
        <v>109</v>
      </c>
      <c r="E1889">
        <v>4</v>
      </c>
      <c r="F1889">
        <v>1004</v>
      </c>
      <c r="G1889" t="s">
        <v>110</v>
      </c>
      <c r="J1889" t="s">
        <v>111</v>
      </c>
      <c r="K1889">
        <v>0</v>
      </c>
      <c r="L1889">
        <v>3</v>
      </c>
      <c r="M1889">
        <v>0</v>
      </c>
      <c r="N1889">
        <v>2</v>
      </c>
      <c r="O1889">
        <v>1</v>
      </c>
      <c r="P1889">
        <v>0</v>
      </c>
      <c r="Q1889">
        <v>0</v>
      </c>
      <c r="R1889" t="s">
        <v>112</v>
      </c>
      <c r="S1889" t="str">
        <f>"14:21:51.156"</f>
        <v>14:21:51.156</v>
      </c>
      <c r="T1889" t="str">
        <f>"14:21:50.656"</f>
        <v>14:21:50.656</v>
      </c>
      <c r="U1889" t="str">
        <f t="shared" si="87"/>
        <v>ad5732</v>
      </c>
      <c r="V1889">
        <v>0</v>
      </c>
      <c r="W1889">
        <v>0</v>
      </c>
      <c r="X1889">
        <v>1</v>
      </c>
      <c r="Z1889">
        <v>0</v>
      </c>
      <c r="AA1889">
        <v>9</v>
      </c>
      <c r="AB1889">
        <v>3</v>
      </c>
      <c r="AC1889">
        <v>0</v>
      </c>
      <c r="AD1889">
        <v>10</v>
      </c>
      <c r="AE1889">
        <v>0</v>
      </c>
      <c r="AF1889">
        <v>3</v>
      </c>
      <c r="AG1889">
        <v>2</v>
      </c>
      <c r="AH1889">
        <v>0</v>
      </c>
      <c r="AI1889" t="s">
        <v>3883</v>
      </c>
      <c r="AJ1889">
        <v>39.795721</v>
      </c>
      <c r="AK1889" t="s">
        <v>3884</v>
      </c>
      <c r="AL1889">
        <v>-75.975651999999997</v>
      </c>
      <c r="AM1889">
        <v>100</v>
      </c>
      <c r="AN1889">
        <v>4700</v>
      </c>
      <c r="AO1889" t="s">
        <v>115</v>
      </c>
      <c r="AP1889">
        <v>156</v>
      </c>
      <c r="AQ1889">
        <v>80</v>
      </c>
      <c r="AR1889">
        <v>0</v>
      </c>
      <c r="AZ1889">
        <v>3614</v>
      </c>
      <c r="BA1889">
        <v>1</v>
      </c>
      <c r="BB1889" t="str">
        <f t="shared" si="89"/>
        <v xml:space="preserve">N959MJ  </v>
      </c>
      <c r="BC1889">
        <v>1</v>
      </c>
      <c r="BE1889">
        <v>0</v>
      </c>
      <c r="BF1889">
        <v>0</v>
      </c>
      <c r="BG1889">
        <v>0</v>
      </c>
      <c r="BH1889">
        <v>4900</v>
      </c>
      <c r="BI1889">
        <v>200</v>
      </c>
      <c r="BJ1889">
        <v>1</v>
      </c>
      <c r="BK1889">
        <v>1</v>
      </c>
      <c r="BL1889">
        <v>1</v>
      </c>
      <c r="BM1889">
        <v>0</v>
      </c>
      <c r="BP1889">
        <v>0</v>
      </c>
      <c r="BQ1889">
        <v>0</v>
      </c>
      <c r="BX1889" t="str">
        <f>"14:21:51.164"</f>
        <v>14:21:51.164</v>
      </c>
      <c r="BY1889" t="str">
        <f>"162676002"</f>
        <v>162676002</v>
      </c>
      <c r="CL1889">
        <v>0</v>
      </c>
      <c r="CM1889">
        <v>2</v>
      </c>
      <c r="CN1889">
        <v>0</v>
      </c>
      <c r="CO1889">
        <v>2</v>
      </c>
      <c r="CP1889">
        <v>0</v>
      </c>
      <c r="CQ1889">
        <v>7</v>
      </c>
      <c r="CR1889" t="s">
        <v>116</v>
      </c>
      <c r="CS1889">
        <v>39</v>
      </c>
      <c r="CT1889">
        <v>2</v>
      </c>
      <c r="CU1889" t="s">
        <v>2259</v>
      </c>
      <c r="CV1889" t="s">
        <v>2260</v>
      </c>
      <c r="CY1889">
        <v>16317168</v>
      </c>
      <c r="CZ1889" t="s">
        <v>119</v>
      </c>
    </row>
    <row r="1890" spans="1:104" x14ac:dyDescent="0.25">
      <c r="A1890" t="str">
        <f>"14:21:52.336"</f>
        <v>14:21:52.336</v>
      </c>
      <c r="B1890" t="s">
        <v>108</v>
      </c>
      <c r="C1890" t="str">
        <f t="shared" si="88"/>
        <v>ffdfd3c0</v>
      </c>
      <c r="D1890" t="s">
        <v>109</v>
      </c>
      <c r="E1890">
        <v>4</v>
      </c>
      <c r="F1890">
        <v>1004</v>
      </c>
      <c r="G1890" t="s">
        <v>110</v>
      </c>
      <c r="J1890" t="s">
        <v>111</v>
      </c>
      <c r="K1890">
        <v>0</v>
      </c>
      <c r="L1890">
        <v>3</v>
      </c>
      <c r="M1890">
        <v>0</v>
      </c>
      <c r="N1890">
        <v>2</v>
      </c>
      <c r="O1890">
        <v>1</v>
      </c>
      <c r="P1890">
        <v>0</v>
      </c>
      <c r="Q1890">
        <v>0</v>
      </c>
      <c r="R1890" t="s">
        <v>112</v>
      </c>
      <c r="S1890" t="str">
        <f>"14:21:52.180"</f>
        <v>14:21:52.180</v>
      </c>
      <c r="T1890" t="str">
        <f>"14:21:51.781"</f>
        <v>14:21:51.781</v>
      </c>
      <c r="U1890" t="str">
        <f t="shared" si="87"/>
        <v>ad5732</v>
      </c>
      <c r="V1890">
        <v>0</v>
      </c>
      <c r="W1890">
        <v>0</v>
      </c>
      <c r="X1890">
        <v>1</v>
      </c>
      <c r="Z1890">
        <v>0</v>
      </c>
      <c r="AA1890">
        <v>9</v>
      </c>
      <c r="AB1890">
        <v>3</v>
      </c>
      <c r="AC1890">
        <v>0</v>
      </c>
      <c r="AD1890">
        <v>10</v>
      </c>
      <c r="AE1890">
        <v>0</v>
      </c>
      <c r="AF1890">
        <v>3</v>
      </c>
      <c r="AG1890">
        <v>2</v>
      </c>
      <c r="AH1890">
        <v>0</v>
      </c>
      <c r="AI1890" t="s">
        <v>3885</v>
      </c>
      <c r="AJ1890">
        <v>39.796106999999999</v>
      </c>
      <c r="AK1890" t="s">
        <v>3886</v>
      </c>
      <c r="AL1890">
        <v>-75.974708000000007</v>
      </c>
      <c r="AM1890">
        <v>100</v>
      </c>
      <c r="AN1890">
        <v>4700</v>
      </c>
      <c r="AO1890" t="s">
        <v>115</v>
      </c>
      <c r="AP1890">
        <v>156</v>
      </c>
      <c r="AQ1890">
        <v>80</v>
      </c>
      <c r="AR1890">
        <v>0</v>
      </c>
      <c r="AZ1890">
        <v>3614</v>
      </c>
      <c r="BA1890">
        <v>1</v>
      </c>
      <c r="BB1890" t="str">
        <f t="shared" si="89"/>
        <v xml:space="preserve">N959MJ  </v>
      </c>
      <c r="BC1890">
        <v>1</v>
      </c>
      <c r="BE1890">
        <v>0</v>
      </c>
      <c r="BF1890">
        <v>0</v>
      </c>
      <c r="BG1890">
        <v>0</v>
      </c>
      <c r="BH1890">
        <v>4900</v>
      </c>
      <c r="BI1890">
        <v>200</v>
      </c>
      <c r="BJ1890">
        <v>1</v>
      </c>
      <c r="BK1890">
        <v>1</v>
      </c>
      <c r="BL1890">
        <v>1</v>
      </c>
      <c r="BM1890">
        <v>0</v>
      </c>
      <c r="BP1890">
        <v>0</v>
      </c>
      <c r="BQ1890">
        <v>0</v>
      </c>
      <c r="BX1890" t="str">
        <f>"14:21:52.180"</f>
        <v>14:21:52.180</v>
      </c>
      <c r="BY1890" t="str">
        <f>"183416378"</f>
        <v>183416378</v>
      </c>
      <c r="CL1890">
        <v>0</v>
      </c>
      <c r="CM1890">
        <v>2</v>
      </c>
      <c r="CN1890">
        <v>0</v>
      </c>
      <c r="CO1890">
        <v>2</v>
      </c>
      <c r="CP1890">
        <v>0</v>
      </c>
      <c r="CQ1890">
        <v>7</v>
      </c>
      <c r="CR1890" t="s">
        <v>116</v>
      </c>
      <c r="CS1890">
        <v>39</v>
      </c>
      <c r="CT1890">
        <v>2</v>
      </c>
      <c r="CU1890" t="s">
        <v>2259</v>
      </c>
      <c r="CV1890" t="s">
        <v>2260</v>
      </c>
      <c r="CY1890">
        <v>16318838</v>
      </c>
      <c r="CZ1890" t="s">
        <v>119</v>
      </c>
    </row>
    <row r="1891" spans="1:104" x14ac:dyDescent="0.25">
      <c r="A1891" t="str">
        <f>"14:21:53.391"</f>
        <v>14:21:53.391</v>
      </c>
      <c r="B1891" t="s">
        <v>108</v>
      </c>
      <c r="C1891" t="str">
        <f t="shared" si="88"/>
        <v>ffdfd3c0</v>
      </c>
      <c r="D1891" t="s">
        <v>109</v>
      </c>
      <c r="E1891">
        <v>4</v>
      </c>
      <c r="F1891">
        <v>1004</v>
      </c>
      <c r="G1891" t="s">
        <v>110</v>
      </c>
      <c r="J1891" t="s">
        <v>111</v>
      </c>
      <c r="K1891">
        <v>0</v>
      </c>
      <c r="L1891">
        <v>3</v>
      </c>
      <c r="M1891">
        <v>0</v>
      </c>
      <c r="N1891">
        <v>2</v>
      </c>
      <c r="O1891">
        <v>1</v>
      </c>
      <c r="P1891">
        <v>0</v>
      </c>
      <c r="Q1891">
        <v>0</v>
      </c>
      <c r="R1891" t="s">
        <v>112</v>
      </c>
      <c r="S1891" t="str">
        <f>"14:21:53.195"</f>
        <v>14:21:53.195</v>
      </c>
      <c r="T1891" t="str">
        <f>"14:21:52.797"</f>
        <v>14:21:52.797</v>
      </c>
      <c r="U1891" t="str">
        <f t="shared" si="87"/>
        <v>ad5732</v>
      </c>
      <c r="V1891">
        <v>0</v>
      </c>
      <c r="W1891">
        <v>0</v>
      </c>
      <c r="X1891">
        <v>1</v>
      </c>
      <c r="Z1891">
        <v>0</v>
      </c>
      <c r="AA1891">
        <v>9</v>
      </c>
      <c r="AB1891">
        <v>3</v>
      </c>
      <c r="AC1891">
        <v>0</v>
      </c>
      <c r="AD1891">
        <v>10</v>
      </c>
      <c r="AE1891">
        <v>0</v>
      </c>
      <c r="AF1891">
        <v>3</v>
      </c>
      <c r="AG1891">
        <v>2</v>
      </c>
      <c r="AH1891">
        <v>0</v>
      </c>
      <c r="AI1891" t="s">
        <v>3887</v>
      </c>
      <c r="AJ1891">
        <v>39.796536000000003</v>
      </c>
      <c r="AK1891" t="s">
        <v>3888</v>
      </c>
      <c r="AL1891">
        <v>-75.973635000000002</v>
      </c>
      <c r="AM1891">
        <v>100</v>
      </c>
      <c r="AN1891">
        <v>4700</v>
      </c>
      <c r="AO1891" t="s">
        <v>115</v>
      </c>
      <c r="AP1891">
        <v>156</v>
      </c>
      <c r="AQ1891">
        <v>80</v>
      </c>
      <c r="AR1891">
        <v>0</v>
      </c>
      <c r="AZ1891">
        <v>3614</v>
      </c>
      <c r="BA1891">
        <v>1</v>
      </c>
      <c r="BB1891" t="str">
        <f t="shared" si="89"/>
        <v xml:space="preserve">N959MJ  </v>
      </c>
      <c r="BC1891">
        <v>1</v>
      </c>
      <c r="BE1891">
        <v>0</v>
      </c>
      <c r="BF1891">
        <v>0</v>
      </c>
      <c r="BG1891">
        <v>0</v>
      </c>
      <c r="BH1891">
        <v>4900</v>
      </c>
      <c r="BI1891">
        <v>200</v>
      </c>
      <c r="BJ1891">
        <v>1</v>
      </c>
      <c r="BK1891">
        <v>1</v>
      </c>
      <c r="BL1891">
        <v>1</v>
      </c>
      <c r="BM1891">
        <v>0</v>
      </c>
      <c r="BP1891">
        <v>0</v>
      </c>
      <c r="BQ1891">
        <v>0</v>
      </c>
      <c r="BX1891" t="str">
        <f>"14:21:53.195"</f>
        <v>14:21:53.195</v>
      </c>
      <c r="BY1891" t="str">
        <f>"197602827"</f>
        <v>197602827</v>
      </c>
      <c r="CL1891">
        <v>0</v>
      </c>
      <c r="CM1891">
        <v>2</v>
      </c>
      <c r="CN1891">
        <v>0</v>
      </c>
      <c r="CO1891">
        <v>2</v>
      </c>
      <c r="CP1891">
        <v>0</v>
      </c>
      <c r="CQ1891">
        <v>7</v>
      </c>
      <c r="CR1891" t="s">
        <v>116</v>
      </c>
      <c r="CS1891">
        <v>39</v>
      </c>
      <c r="CT1891">
        <v>2</v>
      </c>
      <c r="CU1891" t="s">
        <v>2259</v>
      </c>
      <c r="CV1891" t="s">
        <v>2260</v>
      </c>
      <c r="CY1891">
        <v>16320462</v>
      </c>
      <c r="CZ1891" t="s">
        <v>119</v>
      </c>
    </row>
    <row r="1892" spans="1:104" x14ac:dyDescent="0.25">
      <c r="A1892" t="str">
        <f>"14:21:54.352"</f>
        <v>14:21:54.352</v>
      </c>
      <c r="B1892" t="s">
        <v>108</v>
      </c>
      <c r="C1892" t="str">
        <f t="shared" si="88"/>
        <v>ffdfd3c0</v>
      </c>
      <c r="D1892" t="s">
        <v>109</v>
      </c>
      <c r="E1892">
        <v>4</v>
      </c>
      <c r="F1892">
        <v>1004</v>
      </c>
      <c r="G1892" t="s">
        <v>110</v>
      </c>
      <c r="J1892" t="s">
        <v>111</v>
      </c>
      <c r="K1892">
        <v>0</v>
      </c>
      <c r="L1892">
        <v>3</v>
      </c>
      <c r="M1892">
        <v>0</v>
      </c>
      <c r="N1892">
        <v>2</v>
      </c>
      <c r="O1892">
        <v>1</v>
      </c>
      <c r="P1892">
        <v>0</v>
      </c>
      <c r="Q1892">
        <v>0</v>
      </c>
      <c r="R1892" t="s">
        <v>112</v>
      </c>
      <c r="S1892" t="str">
        <f>"14:21:54.180"</f>
        <v>14:21:54.180</v>
      </c>
      <c r="T1892" t="str">
        <f>"14:21:53.781"</f>
        <v>14:21:53.781</v>
      </c>
      <c r="U1892" t="str">
        <f t="shared" si="87"/>
        <v>ad5732</v>
      </c>
      <c r="V1892">
        <v>0</v>
      </c>
      <c r="W1892">
        <v>0</v>
      </c>
      <c r="X1892">
        <v>1</v>
      </c>
      <c r="Z1892">
        <v>0</v>
      </c>
      <c r="AA1892">
        <v>9</v>
      </c>
      <c r="AB1892">
        <v>3</v>
      </c>
      <c r="AC1892">
        <v>0</v>
      </c>
      <c r="AD1892">
        <v>10</v>
      </c>
      <c r="AE1892">
        <v>0</v>
      </c>
      <c r="AF1892">
        <v>3</v>
      </c>
      <c r="AG1892">
        <v>2</v>
      </c>
      <c r="AH1892">
        <v>0</v>
      </c>
      <c r="AI1892" t="s">
        <v>3889</v>
      </c>
      <c r="AJ1892">
        <v>39.796835999999999</v>
      </c>
      <c r="AK1892" t="s">
        <v>3890</v>
      </c>
      <c r="AL1892">
        <v>-75.972841000000003</v>
      </c>
      <c r="AM1892">
        <v>100</v>
      </c>
      <c r="AN1892">
        <v>4700</v>
      </c>
      <c r="AO1892" t="s">
        <v>115</v>
      </c>
      <c r="AP1892">
        <v>156</v>
      </c>
      <c r="AQ1892">
        <v>80</v>
      </c>
      <c r="AR1892">
        <v>0</v>
      </c>
      <c r="AZ1892">
        <v>3614</v>
      </c>
      <c r="BA1892">
        <v>1</v>
      </c>
      <c r="BB1892" t="str">
        <f t="shared" si="89"/>
        <v xml:space="preserve">N959MJ  </v>
      </c>
      <c r="BC1892">
        <v>1</v>
      </c>
      <c r="BE1892">
        <v>0</v>
      </c>
      <c r="BF1892">
        <v>0</v>
      </c>
      <c r="BG1892">
        <v>0</v>
      </c>
      <c r="BH1892">
        <v>4900</v>
      </c>
      <c r="BI1892">
        <v>200</v>
      </c>
      <c r="BJ1892">
        <v>1</v>
      </c>
      <c r="BK1892">
        <v>1</v>
      </c>
      <c r="BL1892">
        <v>1</v>
      </c>
      <c r="BM1892">
        <v>0</v>
      </c>
      <c r="BP1892">
        <v>0</v>
      </c>
      <c r="BQ1892">
        <v>0</v>
      </c>
      <c r="BX1892" t="str">
        <f>"14:21:54.180"</f>
        <v>14:21:54.180</v>
      </c>
      <c r="BY1892" t="str">
        <f>"182297681"</f>
        <v>182297681</v>
      </c>
      <c r="CL1892">
        <v>0</v>
      </c>
      <c r="CM1892">
        <v>2</v>
      </c>
      <c r="CN1892">
        <v>0</v>
      </c>
      <c r="CO1892">
        <v>2</v>
      </c>
      <c r="CP1892">
        <v>0</v>
      </c>
      <c r="CQ1892">
        <v>7</v>
      </c>
      <c r="CR1892" t="s">
        <v>116</v>
      </c>
      <c r="CS1892">
        <v>39</v>
      </c>
      <c r="CT1892">
        <v>2</v>
      </c>
      <c r="CU1892" t="s">
        <v>2259</v>
      </c>
      <c r="CV1892" t="s">
        <v>2260</v>
      </c>
      <c r="CY1892">
        <v>16322077</v>
      </c>
      <c r="CZ1892" t="s">
        <v>119</v>
      </c>
    </row>
    <row r="1893" spans="1:104" x14ac:dyDescent="0.25">
      <c r="A1893" t="str">
        <f>"14:21:55.258"</f>
        <v>14:21:55.258</v>
      </c>
      <c r="B1893" t="s">
        <v>108</v>
      </c>
      <c r="C1893" t="str">
        <f t="shared" si="88"/>
        <v>ffdfd3c0</v>
      </c>
      <c r="D1893" t="s">
        <v>109</v>
      </c>
      <c r="E1893">
        <v>4</v>
      </c>
      <c r="F1893">
        <v>1004</v>
      </c>
      <c r="G1893" t="s">
        <v>110</v>
      </c>
      <c r="J1893" t="s">
        <v>111</v>
      </c>
      <c r="K1893">
        <v>0</v>
      </c>
      <c r="L1893">
        <v>3</v>
      </c>
      <c r="M1893">
        <v>0</v>
      </c>
      <c r="N1893">
        <v>2</v>
      </c>
      <c r="O1893">
        <v>1</v>
      </c>
      <c r="P1893">
        <v>0</v>
      </c>
      <c r="Q1893">
        <v>0</v>
      </c>
      <c r="R1893" t="s">
        <v>112</v>
      </c>
      <c r="S1893" t="str">
        <f>"14:21:55.055"</f>
        <v>14:21:55.055</v>
      </c>
      <c r="T1893" t="str">
        <f>"14:21:54.656"</f>
        <v>14:21:54.656</v>
      </c>
      <c r="U1893" t="str">
        <f t="shared" si="87"/>
        <v>ad5732</v>
      </c>
      <c r="V1893">
        <v>0</v>
      </c>
      <c r="W1893">
        <v>0</v>
      </c>
      <c r="X1893">
        <v>1</v>
      </c>
      <c r="Z1893">
        <v>0</v>
      </c>
      <c r="AA1893">
        <v>9</v>
      </c>
      <c r="AB1893">
        <v>3</v>
      </c>
      <c r="AC1893">
        <v>0</v>
      </c>
      <c r="AD1893">
        <v>10</v>
      </c>
      <c r="AE1893">
        <v>0</v>
      </c>
      <c r="AF1893">
        <v>3</v>
      </c>
      <c r="AG1893">
        <v>2</v>
      </c>
      <c r="AH1893">
        <v>0</v>
      </c>
      <c r="AI1893" t="s">
        <v>3891</v>
      </c>
      <c r="AJ1893">
        <v>39.797179999999997</v>
      </c>
      <c r="AK1893" t="s">
        <v>3892</v>
      </c>
      <c r="AL1893">
        <v>-75.971981999999997</v>
      </c>
      <c r="AM1893">
        <v>100</v>
      </c>
      <c r="AN1893">
        <v>4700</v>
      </c>
      <c r="AO1893" t="s">
        <v>115</v>
      </c>
      <c r="AP1893">
        <v>156</v>
      </c>
      <c r="AQ1893">
        <v>80</v>
      </c>
      <c r="AR1893">
        <v>0</v>
      </c>
      <c r="AZ1893">
        <v>3614</v>
      </c>
      <c r="BA1893">
        <v>1</v>
      </c>
      <c r="BB1893" t="str">
        <f t="shared" si="89"/>
        <v xml:space="preserve">N959MJ  </v>
      </c>
      <c r="BC1893">
        <v>1</v>
      </c>
      <c r="BE1893">
        <v>0</v>
      </c>
      <c r="BF1893">
        <v>0</v>
      </c>
      <c r="BG1893">
        <v>0</v>
      </c>
      <c r="BH1893">
        <v>4900</v>
      </c>
      <c r="BI1893">
        <v>200</v>
      </c>
      <c r="BJ1893">
        <v>1</v>
      </c>
      <c r="BK1893">
        <v>1</v>
      </c>
      <c r="BL1893">
        <v>1</v>
      </c>
      <c r="BM1893">
        <v>0</v>
      </c>
      <c r="BP1893">
        <v>0</v>
      </c>
      <c r="BQ1893">
        <v>0</v>
      </c>
      <c r="BX1893" t="str">
        <f>"14:21:55.055"</f>
        <v>14:21:55.055</v>
      </c>
      <c r="BY1893" t="str">
        <f>"055579474"</f>
        <v>055579474</v>
      </c>
      <c r="CL1893">
        <v>0</v>
      </c>
      <c r="CM1893">
        <v>2</v>
      </c>
      <c r="CN1893">
        <v>0</v>
      </c>
      <c r="CO1893">
        <v>2</v>
      </c>
      <c r="CP1893">
        <v>0</v>
      </c>
      <c r="CQ1893">
        <v>7</v>
      </c>
      <c r="CR1893" t="s">
        <v>116</v>
      </c>
      <c r="CS1893">
        <v>39</v>
      </c>
      <c r="CT1893">
        <v>2</v>
      </c>
      <c r="CU1893" t="s">
        <v>2259</v>
      </c>
      <c r="CV1893" t="s">
        <v>2260</v>
      </c>
      <c r="CY1893">
        <v>16323508</v>
      </c>
      <c r="CZ1893" t="s">
        <v>119</v>
      </c>
    </row>
    <row r="1894" spans="1:104" x14ac:dyDescent="0.25">
      <c r="A1894" t="str">
        <f>"14:21:56.273"</f>
        <v>14:21:56.273</v>
      </c>
      <c r="B1894" t="s">
        <v>108</v>
      </c>
      <c r="C1894" t="str">
        <f t="shared" si="88"/>
        <v>ffdfd3c0</v>
      </c>
      <c r="D1894" t="s">
        <v>109</v>
      </c>
      <c r="E1894">
        <v>4</v>
      </c>
      <c r="F1894">
        <v>1004</v>
      </c>
      <c r="G1894" t="s">
        <v>110</v>
      </c>
      <c r="J1894" t="s">
        <v>111</v>
      </c>
      <c r="K1894">
        <v>0</v>
      </c>
      <c r="L1894">
        <v>3</v>
      </c>
      <c r="M1894">
        <v>0</v>
      </c>
      <c r="N1894">
        <v>2</v>
      </c>
      <c r="O1894">
        <v>1</v>
      </c>
      <c r="P1894">
        <v>0</v>
      </c>
      <c r="Q1894">
        <v>0</v>
      </c>
      <c r="R1894" t="s">
        <v>112</v>
      </c>
      <c r="S1894" t="str">
        <f>"14:21:56.117"</f>
        <v>14:21:56.117</v>
      </c>
      <c r="T1894" t="str">
        <f>"14:21:55.617"</f>
        <v>14:21:55.617</v>
      </c>
      <c r="U1894" t="str">
        <f t="shared" si="87"/>
        <v>ad5732</v>
      </c>
      <c r="V1894">
        <v>0</v>
      </c>
      <c r="W1894">
        <v>0</v>
      </c>
      <c r="X1894">
        <v>1</v>
      </c>
      <c r="Z1894">
        <v>0</v>
      </c>
      <c r="AA1894">
        <v>9</v>
      </c>
      <c r="AB1894">
        <v>3</v>
      </c>
      <c r="AC1894">
        <v>0</v>
      </c>
      <c r="AD1894">
        <v>10</v>
      </c>
      <c r="AE1894">
        <v>0</v>
      </c>
      <c r="AF1894">
        <v>3</v>
      </c>
      <c r="AG1894">
        <v>2</v>
      </c>
      <c r="AH1894">
        <v>0</v>
      </c>
      <c r="AI1894" t="s">
        <v>3893</v>
      </c>
      <c r="AJ1894">
        <v>39.797566000000003</v>
      </c>
      <c r="AK1894" t="s">
        <v>3894</v>
      </c>
      <c r="AL1894">
        <v>-75.970930999999993</v>
      </c>
      <c r="AM1894">
        <v>100</v>
      </c>
      <c r="AN1894">
        <v>4700</v>
      </c>
      <c r="AO1894" t="s">
        <v>115</v>
      </c>
      <c r="AP1894">
        <v>156</v>
      </c>
      <c r="AQ1894">
        <v>80</v>
      </c>
      <c r="AR1894">
        <v>0</v>
      </c>
      <c r="AZ1894">
        <v>3614</v>
      </c>
      <c r="BA1894">
        <v>1</v>
      </c>
      <c r="BB1894" t="str">
        <f t="shared" si="89"/>
        <v xml:space="preserve">N959MJ  </v>
      </c>
      <c r="BC1894">
        <v>1</v>
      </c>
      <c r="BE1894">
        <v>0</v>
      </c>
      <c r="BF1894">
        <v>0</v>
      </c>
      <c r="BG1894">
        <v>0</v>
      </c>
      <c r="BH1894">
        <v>4900</v>
      </c>
      <c r="BI1894">
        <v>200</v>
      </c>
      <c r="BJ1894">
        <v>1</v>
      </c>
      <c r="BK1894">
        <v>1</v>
      </c>
      <c r="BL1894">
        <v>1</v>
      </c>
      <c r="BM1894">
        <v>0</v>
      </c>
      <c r="BP1894">
        <v>0</v>
      </c>
      <c r="BQ1894">
        <v>0</v>
      </c>
      <c r="BX1894" t="str">
        <f>"14:21:56.125"</f>
        <v>14:21:56.125</v>
      </c>
      <c r="BY1894" t="str">
        <f>"122195698"</f>
        <v>122195698</v>
      </c>
      <c r="CL1894">
        <v>0</v>
      </c>
      <c r="CM1894">
        <v>2</v>
      </c>
      <c r="CN1894">
        <v>0</v>
      </c>
      <c r="CO1894">
        <v>2</v>
      </c>
      <c r="CP1894">
        <v>0</v>
      </c>
      <c r="CQ1894">
        <v>7</v>
      </c>
      <c r="CR1894" t="s">
        <v>116</v>
      </c>
      <c r="CS1894">
        <v>39</v>
      </c>
      <c r="CT1894">
        <v>2</v>
      </c>
      <c r="CU1894" t="s">
        <v>2259</v>
      </c>
      <c r="CV1894" t="s">
        <v>2260</v>
      </c>
      <c r="CY1894">
        <v>16325152</v>
      </c>
      <c r="CZ1894" t="s">
        <v>119</v>
      </c>
    </row>
    <row r="1895" spans="1:104" x14ac:dyDescent="0.25">
      <c r="A1895" t="str">
        <f>"14:21:57.281"</f>
        <v>14:21:57.281</v>
      </c>
      <c r="B1895" t="s">
        <v>108</v>
      </c>
      <c r="C1895" t="str">
        <f t="shared" si="88"/>
        <v>ffdfd3c0</v>
      </c>
      <c r="D1895" t="s">
        <v>109</v>
      </c>
      <c r="E1895">
        <v>4</v>
      </c>
      <c r="F1895">
        <v>1004</v>
      </c>
      <c r="G1895" t="s">
        <v>110</v>
      </c>
      <c r="J1895" t="s">
        <v>111</v>
      </c>
      <c r="K1895">
        <v>0</v>
      </c>
      <c r="L1895">
        <v>3</v>
      </c>
      <c r="M1895">
        <v>0</v>
      </c>
      <c r="N1895">
        <v>2</v>
      </c>
      <c r="O1895">
        <v>1</v>
      </c>
      <c r="P1895">
        <v>0</v>
      </c>
      <c r="Q1895">
        <v>0</v>
      </c>
      <c r="R1895" t="s">
        <v>112</v>
      </c>
      <c r="S1895" t="str">
        <f>"14:21:57.102"</f>
        <v>14:21:57.102</v>
      </c>
      <c r="T1895" t="str">
        <f>"14:21:56.703"</f>
        <v>14:21:56.703</v>
      </c>
      <c r="U1895" t="str">
        <f t="shared" si="87"/>
        <v>ad5732</v>
      </c>
      <c r="V1895">
        <v>0</v>
      </c>
      <c r="W1895">
        <v>0</v>
      </c>
      <c r="X1895">
        <v>1</v>
      </c>
      <c r="Z1895">
        <v>0</v>
      </c>
      <c r="AA1895">
        <v>9</v>
      </c>
      <c r="AB1895">
        <v>3</v>
      </c>
      <c r="AC1895">
        <v>0</v>
      </c>
      <c r="AD1895">
        <v>10</v>
      </c>
      <c r="AE1895">
        <v>0</v>
      </c>
      <c r="AF1895">
        <v>3</v>
      </c>
      <c r="AG1895">
        <v>2</v>
      </c>
      <c r="AH1895">
        <v>0</v>
      </c>
      <c r="AI1895" t="s">
        <v>3895</v>
      </c>
      <c r="AJ1895">
        <v>39.797930999999998</v>
      </c>
      <c r="AK1895" t="s">
        <v>3896</v>
      </c>
      <c r="AL1895">
        <v>-75.970050999999998</v>
      </c>
      <c r="AM1895">
        <v>100</v>
      </c>
      <c r="AN1895">
        <v>4700</v>
      </c>
      <c r="AO1895" t="s">
        <v>115</v>
      </c>
      <c r="AP1895">
        <v>156</v>
      </c>
      <c r="AQ1895">
        <v>80</v>
      </c>
      <c r="AR1895">
        <v>0</v>
      </c>
      <c r="AZ1895">
        <v>3614</v>
      </c>
      <c r="BA1895">
        <v>1</v>
      </c>
      <c r="BB1895" t="str">
        <f t="shared" si="89"/>
        <v xml:space="preserve">N959MJ  </v>
      </c>
      <c r="BC1895">
        <v>1</v>
      </c>
      <c r="BE1895">
        <v>0</v>
      </c>
      <c r="BF1895">
        <v>0</v>
      </c>
      <c r="BG1895">
        <v>0</v>
      </c>
      <c r="BH1895">
        <v>4900</v>
      </c>
      <c r="BI1895">
        <v>200</v>
      </c>
      <c r="BJ1895">
        <v>1</v>
      </c>
      <c r="BK1895">
        <v>1</v>
      </c>
      <c r="BL1895">
        <v>1</v>
      </c>
      <c r="BM1895">
        <v>0</v>
      </c>
      <c r="BP1895">
        <v>0</v>
      </c>
      <c r="BQ1895">
        <v>0</v>
      </c>
      <c r="BX1895" t="str">
        <f>"14:21:57.102"</f>
        <v>14:21:57.102</v>
      </c>
      <c r="BY1895" t="str">
        <f>"102036003"</f>
        <v>102036003</v>
      </c>
      <c r="CL1895">
        <v>0</v>
      </c>
      <c r="CM1895">
        <v>2</v>
      </c>
      <c r="CN1895">
        <v>0</v>
      </c>
      <c r="CO1895">
        <v>2</v>
      </c>
      <c r="CP1895">
        <v>0</v>
      </c>
      <c r="CQ1895">
        <v>6</v>
      </c>
      <c r="CR1895" t="s">
        <v>116</v>
      </c>
      <c r="CS1895">
        <v>396</v>
      </c>
      <c r="CT1895">
        <v>1</v>
      </c>
      <c r="CU1895" t="s">
        <v>939</v>
      </c>
      <c r="CV1895" t="s">
        <v>940</v>
      </c>
      <c r="CY1895">
        <v>9688579</v>
      </c>
      <c r="CZ1895" t="s">
        <v>119</v>
      </c>
    </row>
    <row r="1896" spans="1:104" x14ac:dyDescent="0.25">
      <c r="A1896" t="str">
        <f>"14:21:58.188"</f>
        <v>14:21:58.188</v>
      </c>
      <c r="B1896" t="s">
        <v>108</v>
      </c>
      <c r="C1896" t="str">
        <f t="shared" si="88"/>
        <v>ffdfd3c0</v>
      </c>
      <c r="D1896" t="s">
        <v>109</v>
      </c>
      <c r="E1896">
        <v>4</v>
      </c>
      <c r="F1896">
        <v>1004</v>
      </c>
      <c r="G1896" t="s">
        <v>110</v>
      </c>
      <c r="J1896" t="s">
        <v>111</v>
      </c>
      <c r="K1896">
        <v>0</v>
      </c>
      <c r="L1896">
        <v>3</v>
      </c>
      <c r="M1896">
        <v>0</v>
      </c>
      <c r="N1896">
        <v>2</v>
      </c>
      <c r="O1896">
        <v>1</v>
      </c>
      <c r="P1896">
        <v>0</v>
      </c>
      <c r="Q1896">
        <v>0</v>
      </c>
      <c r="R1896" t="s">
        <v>112</v>
      </c>
      <c r="S1896" t="str">
        <f>"14:21:58.008"</f>
        <v>14:21:58.008</v>
      </c>
      <c r="T1896" t="str">
        <f>"14:21:57.609"</f>
        <v>14:21:57.609</v>
      </c>
      <c r="U1896" t="str">
        <f t="shared" si="87"/>
        <v>ad5732</v>
      </c>
      <c r="V1896">
        <v>0</v>
      </c>
      <c r="W1896">
        <v>0</v>
      </c>
      <c r="X1896">
        <v>1</v>
      </c>
      <c r="Z1896">
        <v>0</v>
      </c>
      <c r="AA1896">
        <v>9</v>
      </c>
      <c r="AB1896">
        <v>3</v>
      </c>
      <c r="AC1896">
        <v>0</v>
      </c>
      <c r="AD1896">
        <v>10</v>
      </c>
      <c r="AE1896">
        <v>0</v>
      </c>
      <c r="AF1896">
        <v>3</v>
      </c>
      <c r="AG1896">
        <v>2</v>
      </c>
      <c r="AH1896">
        <v>0</v>
      </c>
      <c r="AI1896" t="s">
        <v>3897</v>
      </c>
      <c r="AJ1896">
        <v>39.798253000000003</v>
      </c>
      <c r="AK1896" t="s">
        <v>3898</v>
      </c>
      <c r="AL1896">
        <v>-75.969172</v>
      </c>
      <c r="AM1896">
        <v>100</v>
      </c>
      <c r="AN1896">
        <v>4700</v>
      </c>
      <c r="AO1896" t="s">
        <v>115</v>
      </c>
      <c r="AP1896">
        <v>156</v>
      </c>
      <c r="AQ1896">
        <v>80</v>
      </c>
      <c r="AR1896">
        <v>0</v>
      </c>
      <c r="AZ1896">
        <v>3614</v>
      </c>
      <c r="BA1896">
        <v>1</v>
      </c>
      <c r="BB1896" t="str">
        <f t="shared" si="89"/>
        <v xml:space="preserve">N959MJ  </v>
      </c>
      <c r="BC1896">
        <v>1</v>
      </c>
      <c r="BE1896">
        <v>0</v>
      </c>
      <c r="BF1896">
        <v>0</v>
      </c>
      <c r="BG1896">
        <v>0</v>
      </c>
      <c r="BH1896">
        <v>4900</v>
      </c>
      <c r="BI1896">
        <v>200</v>
      </c>
      <c r="BJ1896">
        <v>1</v>
      </c>
      <c r="BK1896">
        <v>1</v>
      </c>
      <c r="BL1896">
        <v>1</v>
      </c>
      <c r="BM1896">
        <v>0</v>
      </c>
      <c r="BP1896">
        <v>0</v>
      </c>
      <c r="BQ1896">
        <v>0</v>
      </c>
      <c r="BX1896" t="str">
        <f>"14:21:58.016"</f>
        <v>14:21:58.016</v>
      </c>
      <c r="BY1896" t="str">
        <f>"014579325"</f>
        <v>014579325</v>
      </c>
      <c r="CL1896">
        <v>0</v>
      </c>
      <c r="CM1896">
        <v>2</v>
      </c>
      <c r="CN1896">
        <v>0</v>
      </c>
      <c r="CO1896">
        <v>2</v>
      </c>
      <c r="CP1896">
        <v>0</v>
      </c>
      <c r="CQ1896">
        <v>7</v>
      </c>
      <c r="CR1896" t="s">
        <v>116</v>
      </c>
      <c r="CS1896">
        <v>39</v>
      </c>
      <c r="CT1896">
        <v>2</v>
      </c>
      <c r="CU1896" t="s">
        <v>2259</v>
      </c>
      <c r="CV1896" t="s">
        <v>2260</v>
      </c>
      <c r="CY1896">
        <v>16328201</v>
      </c>
      <c r="CZ1896" t="s">
        <v>119</v>
      </c>
    </row>
    <row r="1897" spans="1:104" x14ac:dyDescent="0.25">
      <c r="A1897" t="str">
        <f>"14:21:59.094"</f>
        <v>14:21:59.094</v>
      </c>
      <c r="B1897" t="s">
        <v>108</v>
      </c>
      <c r="C1897" t="str">
        <f t="shared" si="88"/>
        <v>ffdfd3c0</v>
      </c>
      <c r="D1897" t="s">
        <v>109</v>
      </c>
      <c r="E1897">
        <v>4</v>
      </c>
      <c r="F1897">
        <v>1004</v>
      </c>
      <c r="G1897" t="s">
        <v>110</v>
      </c>
      <c r="J1897" t="s">
        <v>111</v>
      </c>
      <c r="K1897">
        <v>0</v>
      </c>
      <c r="L1897">
        <v>3</v>
      </c>
      <c r="M1897">
        <v>0</v>
      </c>
      <c r="N1897">
        <v>2</v>
      </c>
      <c r="O1897">
        <v>1</v>
      </c>
      <c r="P1897">
        <v>0</v>
      </c>
      <c r="Q1897">
        <v>0</v>
      </c>
      <c r="R1897" t="s">
        <v>112</v>
      </c>
      <c r="S1897" t="str">
        <f>"14:21:58.906"</f>
        <v>14:21:58.906</v>
      </c>
      <c r="T1897" t="str">
        <f>"14:21:58.508"</f>
        <v>14:21:58.508</v>
      </c>
      <c r="U1897" t="str">
        <f t="shared" si="87"/>
        <v>ad5732</v>
      </c>
      <c r="V1897">
        <v>0</v>
      </c>
      <c r="W1897">
        <v>0</v>
      </c>
      <c r="X1897">
        <v>1</v>
      </c>
      <c r="Z1897">
        <v>0</v>
      </c>
      <c r="AA1897">
        <v>9</v>
      </c>
      <c r="AB1897">
        <v>3</v>
      </c>
      <c r="AC1897">
        <v>0</v>
      </c>
      <c r="AD1897">
        <v>10</v>
      </c>
      <c r="AE1897">
        <v>0</v>
      </c>
      <c r="AF1897">
        <v>3</v>
      </c>
      <c r="AG1897">
        <v>2</v>
      </c>
      <c r="AH1897">
        <v>0</v>
      </c>
      <c r="AI1897" t="s">
        <v>3899</v>
      </c>
      <c r="AJ1897">
        <v>39.798617</v>
      </c>
      <c r="AK1897" t="s">
        <v>3900</v>
      </c>
      <c r="AL1897">
        <v>-75.968378000000001</v>
      </c>
      <c r="AM1897">
        <v>100</v>
      </c>
      <c r="AN1897">
        <v>4700</v>
      </c>
      <c r="AO1897" t="s">
        <v>115</v>
      </c>
      <c r="AP1897">
        <v>156</v>
      </c>
      <c r="AQ1897">
        <v>80</v>
      </c>
      <c r="AR1897">
        <v>-64</v>
      </c>
      <c r="AZ1897">
        <v>3614</v>
      </c>
      <c r="BA1897">
        <v>1</v>
      </c>
      <c r="BB1897" t="str">
        <f t="shared" si="89"/>
        <v xml:space="preserve">N959MJ  </v>
      </c>
      <c r="BC1897">
        <v>1</v>
      </c>
      <c r="BE1897">
        <v>0</v>
      </c>
      <c r="BF1897">
        <v>0</v>
      </c>
      <c r="BG1897">
        <v>0</v>
      </c>
      <c r="BH1897">
        <v>4900</v>
      </c>
      <c r="BI1897">
        <v>200</v>
      </c>
      <c r="BJ1897">
        <v>1</v>
      </c>
      <c r="BK1897">
        <v>1</v>
      </c>
      <c r="BL1897">
        <v>1</v>
      </c>
      <c r="BM1897">
        <v>0</v>
      </c>
      <c r="BP1897">
        <v>0</v>
      </c>
      <c r="BQ1897">
        <v>0</v>
      </c>
      <c r="BX1897" t="str">
        <f>"14:21:58.914"</f>
        <v>14:21:58.914</v>
      </c>
      <c r="BY1897" t="str">
        <f>"912437529"</f>
        <v>912437529</v>
      </c>
      <c r="CL1897">
        <v>0</v>
      </c>
      <c r="CM1897">
        <v>2</v>
      </c>
      <c r="CN1897">
        <v>0</v>
      </c>
      <c r="CO1897">
        <v>2</v>
      </c>
      <c r="CP1897">
        <v>0</v>
      </c>
      <c r="CQ1897">
        <v>7</v>
      </c>
      <c r="CR1897" t="s">
        <v>116</v>
      </c>
      <c r="CS1897">
        <v>39</v>
      </c>
      <c r="CT1897">
        <v>2</v>
      </c>
      <c r="CU1897" t="s">
        <v>2259</v>
      </c>
      <c r="CV1897" t="s">
        <v>2260</v>
      </c>
      <c r="CY1897">
        <v>16329695</v>
      </c>
      <c r="CZ1897" t="s">
        <v>119</v>
      </c>
    </row>
    <row r="1898" spans="1:104" x14ac:dyDescent="0.25">
      <c r="A1898" t="str">
        <f>"14:22:00.055"</f>
        <v>14:22:00.055</v>
      </c>
      <c r="B1898" t="s">
        <v>108</v>
      </c>
      <c r="C1898" t="str">
        <f t="shared" si="88"/>
        <v>ffdfd3c0</v>
      </c>
      <c r="D1898" t="s">
        <v>109</v>
      </c>
      <c r="E1898">
        <v>4</v>
      </c>
      <c r="F1898">
        <v>1004</v>
      </c>
      <c r="G1898" t="s">
        <v>110</v>
      </c>
      <c r="J1898" t="s">
        <v>111</v>
      </c>
      <c r="K1898">
        <v>0</v>
      </c>
      <c r="L1898">
        <v>3</v>
      </c>
      <c r="M1898">
        <v>0</v>
      </c>
      <c r="N1898">
        <v>2</v>
      </c>
      <c r="O1898">
        <v>1</v>
      </c>
      <c r="P1898">
        <v>0</v>
      </c>
      <c r="Q1898">
        <v>0</v>
      </c>
      <c r="R1898" t="s">
        <v>112</v>
      </c>
      <c r="S1898" t="str">
        <f>"14:21:59.844"</f>
        <v>14:21:59.844</v>
      </c>
      <c r="T1898" t="str">
        <f>"14:21:59.445"</f>
        <v>14:21:59.445</v>
      </c>
      <c r="U1898" t="str">
        <f t="shared" si="87"/>
        <v>ad5732</v>
      </c>
      <c r="V1898">
        <v>0</v>
      </c>
      <c r="W1898">
        <v>0</v>
      </c>
      <c r="X1898">
        <v>1</v>
      </c>
      <c r="Z1898">
        <v>0</v>
      </c>
      <c r="AA1898">
        <v>9</v>
      </c>
      <c r="AB1898">
        <v>3</v>
      </c>
      <c r="AC1898">
        <v>0</v>
      </c>
      <c r="AD1898">
        <v>10</v>
      </c>
      <c r="AE1898">
        <v>0</v>
      </c>
      <c r="AF1898">
        <v>3</v>
      </c>
      <c r="AG1898">
        <v>2</v>
      </c>
      <c r="AH1898">
        <v>0</v>
      </c>
      <c r="AI1898" t="s">
        <v>3901</v>
      </c>
      <c r="AJ1898">
        <v>39.798960999999998</v>
      </c>
      <c r="AK1898" t="s">
        <v>3902</v>
      </c>
      <c r="AL1898">
        <v>-75.967518999999996</v>
      </c>
      <c r="AM1898">
        <v>100</v>
      </c>
      <c r="AN1898">
        <v>4700</v>
      </c>
      <c r="AO1898" t="s">
        <v>115</v>
      </c>
      <c r="AP1898">
        <v>156</v>
      </c>
      <c r="AQ1898">
        <v>80</v>
      </c>
      <c r="AR1898">
        <v>-64</v>
      </c>
      <c r="AZ1898">
        <v>3614</v>
      </c>
      <c r="BA1898">
        <v>1</v>
      </c>
      <c r="BB1898" t="str">
        <f t="shared" si="89"/>
        <v xml:space="preserve">N959MJ  </v>
      </c>
      <c r="BC1898">
        <v>1</v>
      </c>
      <c r="BE1898">
        <v>0</v>
      </c>
      <c r="BF1898">
        <v>0</v>
      </c>
      <c r="BG1898">
        <v>0</v>
      </c>
      <c r="BH1898">
        <v>4900</v>
      </c>
      <c r="BI1898">
        <v>200</v>
      </c>
      <c r="BJ1898">
        <v>1</v>
      </c>
      <c r="BK1898">
        <v>1</v>
      </c>
      <c r="BL1898">
        <v>1</v>
      </c>
      <c r="BM1898">
        <v>0</v>
      </c>
      <c r="BP1898">
        <v>0</v>
      </c>
      <c r="BQ1898">
        <v>0</v>
      </c>
      <c r="BX1898" t="str">
        <f>"14:21:59.844"</f>
        <v>14:21:59.844</v>
      </c>
      <c r="BY1898" t="str">
        <f>"846341140"</f>
        <v>846341140</v>
      </c>
      <c r="CL1898">
        <v>0</v>
      </c>
      <c r="CM1898">
        <v>2</v>
      </c>
      <c r="CN1898">
        <v>0</v>
      </c>
      <c r="CO1898">
        <v>2</v>
      </c>
      <c r="CP1898">
        <v>0</v>
      </c>
      <c r="CQ1898">
        <v>7</v>
      </c>
      <c r="CR1898" t="s">
        <v>116</v>
      </c>
      <c r="CS1898">
        <v>39</v>
      </c>
      <c r="CT1898">
        <v>2</v>
      </c>
      <c r="CU1898" t="s">
        <v>2259</v>
      </c>
      <c r="CV1898" t="s">
        <v>2260</v>
      </c>
      <c r="CY1898">
        <v>16331152</v>
      </c>
      <c r="CZ1898" t="s">
        <v>119</v>
      </c>
    </row>
    <row r="1899" spans="1:104" x14ac:dyDescent="0.25">
      <c r="A1899" t="str">
        <f>"14:22:01.117"</f>
        <v>14:22:01.117</v>
      </c>
      <c r="B1899" t="s">
        <v>108</v>
      </c>
      <c r="C1899" t="str">
        <f t="shared" si="88"/>
        <v>ffdfd3c0</v>
      </c>
      <c r="D1899" t="s">
        <v>109</v>
      </c>
      <c r="E1899">
        <v>4</v>
      </c>
      <c r="F1899">
        <v>1004</v>
      </c>
      <c r="G1899" t="s">
        <v>110</v>
      </c>
      <c r="J1899" t="s">
        <v>111</v>
      </c>
      <c r="K1899">
        <v>0</v>
      </c>
      <c r="L1899">
        <v>3</v>
      </c>
      <c r="M1899">
        <v>0</v>
      </c>
      <c r="N1899">
        <v>2</v>
      </c>
      <c r="O1899">
        <v>1</v>
      </c>
      <c r="P1899">
        <v>0</v>
      </c>
      <c r="Q1899">
        <v>0</v>
      </c>
      <c r="R1899" t="s">
        <v>112</v>
      </c>
      <c r="S1899" t="str">
        <f>"14:22:00.922"</f>
        <v>14:22:00.922</v>
      </c>
      <c r="T1899" t="str">
        <f>"14:22:00.523"</f>
        <v>14:22:00.523</v>
      </c>
      <c r="U1899" t="str">
        <f t="shared" si="87"/>
        <v>ad5732</v>
      </c>
      <c r="V1899">
        <v>0</v>
      </c>
      <c r="W1899">
        <v>0</v>
      </c>
      <c r="X1899">
        <v>1</v>
      </c>
      <c r="Z1899">
        <v>0</v>
      </c>
      <c r="AA1899">
        <v>9</v>
      </c>
      <c r="AB1899">
        <v>3</v>
      </c>
      <c r="AC1899">
        <v>0</v>
      </c>
      <c r="AD1899">
        <v>10</v>
      </c>
      <c r="AE1899">
        <v>0</v>
      </c>
      <c r="AF1899">
        <v>3</v>
      </c>
      <c r="AG1899">
        <v>2</v>
      </c>
      <c r="AH1899">
        <v>0</v>
      </c>
      <c r="AI1899" t="s">
        <v>3903</v>
      </c>
      <c r="AJ1899">
        <v>39.799346999999997</v>
      </c>
      <c r="AK1899" t="s">
        <v>3904</v>
      </c>
      <c r="AL1899">
        <v>-75.966468000000006</v>
      </c>
      <c r="AM1899">
        <v>100</v>
      </c>
      <c r="AN1899">
        <v>4700</v>
      </c>
      <c r="AO1899" t="s">
        <v>115</v>
      </c>
      <c r="AP1899">
        <v>156</v>
      </c>
      <c r="AQ1899">
        <v>79</v>
      </c>
      <c r="AR1899">
        <v>-64</v>
      </c>
      <c r="AZ1899">
        <v>3614</v>
      </c>
      <c r="BA1899">
        <v>1</v>
      </c>
      <c r="BB1899" t="str">
        <f t="shared" si="89"/>
        <v xml:space="preserve">N959MJ  </v>
      </c>
      <c r="BC1899">
        <v>1</v>
      </c>
      <c r="BE1899">
        <v>0</v>
      </c>
      <c r="BF1899">
        <v>0</v>
      </c>
      <c r="BG1899">
        <v>0</v>
      </c>
      <c r="BH1899">
        <v>4900</v>
      </c>
      <c r="BI1899">
        <v>200</v>
      </c>
      <c r="BJ1899">
        <v>1</v>
      </c>
      <c r="BK1899">
        <v>1</v>
      </c>
      <c r="BL1899">
        <v>1</v>
      </c>
      <c r="BM1899">
        <v>0</v>
      </c>
      <c r="BP1899">
        <v>0</v>
      </c>
      <c r="BQ1899">
        <v>0</v>
      </c>
      <c r="BX1899" t="str">
        <f>"14:22:00.930"</f>
        <v>14:22:00.930</v>
      </c>
      <c r="BY1899" t="str">
        <f>"926064780"</f>
        <v>926064780</v>
      </c>
      <c r="CL1899">
        <v>0</v>
      </c>
      <c r="CM1899">
        <v>2</v>
      </c>
      <c r="CN1899">
        <v>0</v>
      </c>
      <c r="CO1899">
        <v>2</v>
      </c>
      <c r="CP1899">
        <v>0</v>
      </c>
      <c r="CQ1899">
        <v>7</v>
      </c>
      <c r="CR1899" t="s">
        <v>116</v>
      </c>
      <c r="CS1899">
        <v>39</v>
      </c>
      <c r="CT1899">
        <v>2</v>
      </c>
      <c r="CU1899" t="s">
        <v>2259</v>
      </c>
      <c r="CV1899" t="s">
        <v>2260</v>
      </c>
      <c r="CY1899">
        <v>16332805</v>
      </c>
      <c r="CZ1899" t="s">
        <v>119</v>
      </c>
    </row>
    <row r="1900" spans="1:104" x14ac:dyDescent="0.25">
      <c r="A1900" t="str">
        <f>"14:22:02.227"</f>
        <v>14:22:02.227</v>
      </c>
      <c r="B1900" t="s">
        <v>108</v>
      </c>
      <c r="C1900" t="str">
        <f t="shared" si="88"/>
        <v>ffdfd3c0</v>
      </c>
      <c r="D1900" t="s">
        <v>109</v>
      </c>
      <c r="E1900">
        <v>4</v>
      </c>
      <c r="F1900">
        <v>1004</v>
      </c>
      <c r="G1900" t="s">
        <v>110</v>
      </c>
      <c r="J1900" t="s">
        <v>111</v>
      </c>
      <c r="K1900">
        <v>0</v>
      </c>
      <c r="L1900">
        <v>3</v>
      </c>
      <c r="M1900">
        <v>0</v>
      </c>
      <c r="N1900">
        <v>2</v>
      </c>
      <c r="O1900">
        <v>1</v>
      </c>
      <c r="P1900">
        <v>0</v>
      </c>
      <c r="Q1900">
        <v>0</v>
      </c>
      <c r="R1900" t="s">
        <v>112</v>
      </c>
      <c r="S1900" t="str">
        <f>"14:22:02.039"</f>
        <v>14:22:02.039</v>
      </c>
      <c r="T1900" t="str">
        <f>"14:22:01.539"</f>
        <v>14:22:01.539</v>
      </c>
      <c r="U1900" t="str">
        <f t="shared" si="87"/>
        <v>ad5732</v>
      </c>
      <c r="V1900">
        <v>0</v>
      </c>
      <c r="W1900">
        <v>0</v>
      </c>
      <c r="X1900">
        <v>1</v>
      </c>
      <c r="Z1900">
        <v>0</v>
      </c>
      <c r="AA1900">
        <v>9</v>
      </c>
      <c r="AB1900">
        <v>3</v>
      </c>
      <c r="AC1900">
        <v>0</v>
      </c>
      <c r="AD1900">
        <v>10</v>
      </c>
      <c r="AE1900">
        <v>0</v>
      </c>
      <c r="AF1900">
        <v>3</v>
      </c>
      <c r="AG1900">
        <v>2</v>
      </c>
      <c r="AH1900">
        <v>0</v>
      </c>
      <c r="AI1900" t="s">
        <v>3905</v>
      </c>
      <c r="AJ1900">
        <v>39.799733000000003</v>
      </c>
      <c r="AK1900" t="s">
        <v>3906</v>
      </c>
      <c r="AL1900">
        <v>-75.965458999999996</v>
      </c>
      <c r="AM1900">
        <v>100</v>
      </c>
      <c r="AN1900">
        <v>4700</v>
      </c>
      <c r="AO1900" t="s">
        <v>115</v>
      </c>
      <c r="AP1900">
        <v>156</v>
      </c>
      <c r="AQ1900">
        <v>80</v>
      </c>
      <c r="AR1900">
        <v>-64</v>
      </c>
      <c r="AZ1900">
        <v>3614</v>
      </c>
      <c r="BA1900">
        <v>1</v>
      </c>
      <c r="BB1900" t="str">
        <f t="shared" si="89"/>
        <v xml:space="preserve">N959MJ  </v>
      </c>
      <c r="BC1900">
        <v>1</v>
      </c>
      <c r="BE1900">
        <v>0</v>
      </c>
      <c r="BF1900">
        <v>0</v>
      </c>
      <c r="BG1900">
        <v>0</v>
      </c>
      <c r="BH1900">
        <v>4900</v>
      </c>
      <c r="BI1900">
        <v>200</v>
      </c>
      <c r="BJ1900">
        <v>1</v>
      </c>
      <c r="BK1900">
        <v>1</v>
      </c>
      <c r="BL1900">
        <v>1</v>
      </c>
      <c r="BM1900">
        <v>0</v>
      </c>
      <c r="BP1900">
        <v>0</v>
      </c>
      <c r="BQ1900">
        <v>0</v>
      </c>
      <c r="BX1900" t="str">
        <f>"14:22:02.047"</f>
        <v>14:22:02.047</v>
      </c>
      <c r="BY1900" t="str">
        <f>"045110670"</f>
        <v>045110670</v>
      </c>
      <c r="CL1900">
        <v>0</v>
      </c>
      <c r="CM1900">
        <v>2</v>
      </c>
      <c r="CN1900">
        <v>0</v>
      </c>
      <c r="CO1900">
        <v>2</v>
      </c>
      <c r="CP1900">
        <v>0</v>
      </c>
      <c r="CQ1900">
        <v>7</v>
      </c>
      <c r="CR1900" t="s">
        <v>116</v>
      </c>
      <c r="CS1900">
        <v>39</v>
      </c>
      <c r="CT1900">
        <v>2</v>
      </c>
      <c r="CU1900" t="s">
        <v>2259</v>
      </c>
      <c r="CV1900" t="s">
        <v>2260</v>
      </c>
      <c r="CY1900">
        <v>16334631</v>
      </c>
      <c r="CZ1900" t="s">
        <v>119</v>
      </c>
    </row>
    <row r="1901" spans="1:104" x14ac:dyDescent="0.25">
      <c r="A1901" t="str">
        <f>"14:22:03.234"</f>
        <v>14:22:03.234</v>
      </c>
      <c r="B1901" t="s">
        <v>108</v>
      </c>
      <c r="C1901" t="str">
        <f t="shared" si="88"/>
        <v>ffdfd3c0</v>
      </c>
      <c r="D1901" t="s">
        <v>109</v>
      </c>
      <c r="E1901">
        <v>4</v>
      </c>
      <c r="F1901">
        <v>1004</v>
      </c>
      <c r="G1901" t="s">
        <v>110</v>
      </c>
      <c r="J1901" t="s">
        <v>111</v>
      </c>
      <c r="K1901">
        <v>0</v>
      </c>
      <c r="L1901">
        <v>3</v>
      </c>
      <c r="M1901">
        <v>0</v>
      </c>
      <c r="N1901">
        <v>2</v>
      </c>
      <c r="O1901">
        <v>1</v>
      </c>
      <c r="P1901">
        <v>0</v>
      </c>
      <c r="Q1901">
        <v>0</v>
      </c>
      <c r="R1901" t="s">
        <v>112</v>
      </c>
      <c r="S1901" t="str">
        <f>"14:22:03.023"</f>
        <v>14:22:03.023</v>
      </c>
      <c r="T1901" t="str">
        <f>"14:22:02.523"</f>
        <v>14:22:02.523</v>
      </c>
      <c r="U1901" t="str">
        <f t="shared" si="87"/>
        <v>ad5732</v>
      </c>
      <c r="V1901">
        <v>0</v>
      </c>
      <c r="W1901">
        <v>0</v>
      </c>
      <c r="X1901">
        <v>1</v>
      </c>
      <c r="Z1901">
        <v>0</v>
      </c>
      <c r="AA1901">
        <v>9</v>
      </c>
      <c r="AB1901">
        <v>3</v>
      </c>
      <c r="AC1901">
        <v>0</v>
      </c>
      <c r="AD1901">
        <v>10</v>
      </c>
      <c r="AE1901">
        <v>0</v>
      </c>
      <c r="AF1901">
        <v>3</v>
      </c>
      <c r="AG1901">
        <v>2</v>
      </c>
      <c r="AH1901">
        <v>0</v>
      </c>
      <c r="AI1901" t="s">
        <v>3907</v>
      </c>
      <c r="AJ1901">
        <v>39.800119000000002</v>
      </c>
      <c r="AK1901" t="s">
        <v>3908</v>
      </c>
      <c r="AL1901">
        <v>-75.964472000000001</v>
      </c>
      <c r="AM1901">
        <v>100</v>
      </c>
      <c r="AN1901">
        <v>4700</v>
      </c>
      <c r="AO1901" t="s">
        <v>115</v>
      </c>
      <c r="AP1901">
        <v>156</v>
      </c>
      <c r="AQ1901">
        <v>80</v>
      </c>
      <c r="AR1901">
        <v>-128</v>
      </c>
      <c r="AZ1901">
        <v>3614</v>
      </c>
      <c r="BA1901">
        <v>1</v>
      </c>
      <c r="BB1901" t="str">
        <f t="shared" si="89"/>
        <v xml:space="preserve">N959MJ  </v>
      </c>
      <c r="BC1901">
        <v>1</v>
      </c>
      <c r="BE1901">
        <v>0</v>
      </c>
      <c r="BF1901">
        <v>0</v>
      </c>
      <c r="BG1901">
        <v>0</v>
      </c>
      <c r="BH1901">
        <v>4900</v>
      </c>
      <c r="BI1901">
        <v>200</v>
      </c>
      <c r="BJ1901">
        <v>1</v>
      </c>
      <c r="BK1901">
        <v>1</v>
      </c>
      <c r="BL1901">
        <v>1</v>
      </c>
      <c r="BM1901">
        <v>0</v>
      </c>
      <c r="BP1901">
        <v>0</v>
      </c>
      <c r="BQ1901">
        <v>0</v>
      </c>
      <c r="BX1901" t="str">
        <f>"14:22:03.031"</f>
        <v>14:22:03.031</v>
      </c>
      <c r="BY1901" t="str">
        <f>"029869270"</f>
        <v>029869270</v>
      </c>
      <c r="CL1901">
        <v>0</v>
      </c>
      <c r="CM1901">
        <v>2</v>
      </c>
      <c r="CN1901">
        <v>0</v>
      </c>
      <c r="CO1901">
        <v>2</v>
      </c>
      <c r="CP1901">
        <v>0</v>
      </c>
      <c r="CQ1901">
        <v>5</v>
      </c>
      <c r="CR1901" t="s">
        <v>116</v>
      </c>
      <c r="CS1901">
        <v>396</v>
      </c>
      <c r="CT1901">
        <v>1</v>
      </c>
      <c r="CU1901" t="s">
        <v>939</v>
      </c>
      <c r="CV1901" t="s">
        <v>940</v>
      </c>
      <c r="CY1901">
        <v>9699219</v>
      </c>
      <c r="CZ1901" t="s">
        <v>119</v>
      </c>
    </row>
    <row r="1902" spans="1:104" x14ac:dyDescent="0.25">
      <c r="A1902" t="str">
        <f>"14:22:04.094"</f>
        <v>14:22:04.094</v>
      </c>
      <c r="B1902" t="s">
        <v>108</v>
      </c>
      <c r="C1902" t="str">
        <f t="shared" si="88"/>
        <v>ffdfd3c0</v>
      </c>
      <c r="D1902" t="s">
        <v>109</v>
      </c>
      <c r="E1902">
        <v>4</v>
      </c>
      <c r="F1902">
        <v>1004</v>
      </c>
      <c r="G1902" t="s">
        <v>110</v>
      </c>
      <c r="J1902" t="s">
        <v>111</v>
      </c>
      <c r="K1902">
        <v>0</v>
      </c>
      <c r="L1902">
        <v>3</v>
      </c>
      <c r="M1902">
        <v>0</v>
      </c>
      <c r="N1902">
        <v>2</v>
      </c>
      <c r="O1902">
        <v>1</v>
      </c>
      <c r="P1902">
        <v>0</v>
      </c>
      <c r="Q1902">
        <v>0</v>
      </c>
      <c r="R1902" t="s">
        <v>112</v>
      </c>
      <c r="S1902" t="str">
        <f>"14:22:03.922"</f>
        <v>14:22:03.922</v>
      </c>
      <c r="T1902" t="str">
        <f>"14:22:03.523"</f>
        <v>14:22:03.523</v>
      </c>
      <c r="U1902" t="str">
        <f t="shared" si="87"/>
        <v>ad5732</v>
      </c>
      <c r="V1902">
        <v>0</v>
      </c>
      <c r="W1902">
        <v>0</v>
      </c>
      <c r="X1902">
        <v>1</v>
      </c>
      <c r="Z1902">
        <v>0</v>
      </c>
      <c r="AA1902">
        <v>9</v>
      </c>
      <c r="AB1902">
        <v>3</v>
      </c>
      <c r="AC1902">
        <v>0</v>
      </c>
      <c r="AD1902">
        <v>10</v>
      </c>
      <c r="AE1902">
        <v>0</v>
      </c>
      <c r="AF1902">
        <v>3</v>
      </c>
      <c r="AG1902">
        <v>2</v>
      </c>
      <c r="AH1902">
        <v>0</v>
      </c>
      <c r="AI1902" t="s">
        <v>3909</v>
      </c>
      <c r="AJ1902">
        <v>39.800440999999999</v>
      </c>
      <c r="AK1902" t="s">
        <v>3910</v>
      </c>
      <c r="AL1902">
        <v>-75.963656999999998</v>
      </c>
      <c r="AM1902">
        <v>100</v>
      </c>
      <c r="AN1902">
        <v>4700</v>
      </c>
      <c r="AO1902" t="s">
        <v>115</v>
      </c>
      <c r="AP1902">
        <v>156</v>
      </c>
      <c r="AQ1902">
        <v>80</v>
      </c>
      <c r="AR1902">
        <v>-128</v>
      </c>
      <c r="AZ1902">
        <v>3614</v>
      </c>
      <c r="BA1902">
        <v>1</v>
      </c>
      <c r="BB1902" t="str">
        <f t="shared" si="89"/>
        <v xml:space="preserve">N959MJ  </v>
      </c>
      <c r="BC1902">
        <v>1</v>
      </c>
      <c r="BE1902">
        <v>0</v>
      </c>
      <c r="BF1902">
        <v>0</v>
      </c>
      <c r="BG1902">
        <v>0</v>
      </c>
      <c r="BH1902">
        <v>4900</v>
      </c>
      <c r="BI1902">
        <v>200</v>
      </c>
      <c r="BJ1902">
        <v>1</v>
      </c>
      <c r="BK1902">
        <v>1</v>
      </c>
      <c r="BL1902">
        <v>1</v>
      </c>
      <c r="BM1902">
        <v>0</v>
      </c>
      <c r="BP1902">
        <v>0</v>
      </c>
      <c r="BQ1902">
        <v>0</v>
      </c>
      <c r="BX1902" t="str">
        <f>"14:22:03.922"</f>
        <v>14:22:03.922</v>
      </c>
      <c r="BY1902" t="str">
        <f>"922748461"</f>
        <v>922748461</v>
      </c>
      <c r="CL1902">
        <v>0</v>
      </c>
      <c r="CM1902">
        <v>2</v>
      </c>
      <c r="CN1902">
        <v>0</v>
      </c>
      <c r="CO1902">
        <v>2</v>
      </c>
      <c r="CP1902">
        <v>0</v>
      </c>
      <c r="CQ1902">
        <v>7</v>
      </c>
      <c r="CR1902" t="s">
        <v>116</v>
      </c>
      <c r="CS1902">
        <v>39</v>
      </c>
      <c r="CT1902">
        <v>2</v>
      </c>
      <c r="CU1902" t="s">
        <v>2259</v>
      </c>
      <c r="CV1902" t="s">
        <v>2260</v>
      </c>
      <c r="CY1902">
        <v>16337652</v>
      </c>
      <c r="CZ1902" t="s">
        <v>119</v>
      </c>
    </row>
    <row r="1903" spans="1:104" x14ac:dyDescent="0.25">
      <c r="A1903" t="str">
        <f>"14:22:05.156"</f>
        <v>14:22:05.156</v>
      </c>
      <c r="B1903" t="s">
        <v>108</v>
      </c>
      <c r="C1903" t="str">
        <f t="shared" si="88"/>
        <v>ffdfd3c0</v>
      </c>
      <c r="D1903" t="s">
        <v>109</v>
      </c>
      <c r="E1903">
        <v>4</v>
      </c>
      <c r="F1903">
        <v>1004</v>
      </c>
      <c r="G1903" t="s">
        <v>110</v>
      </c>
      <c r="J1903" t="s">
        <v>111</v>
      </c>
      <c r="K1903">
        <v>0</v>
      </c>
      <c r="L1903">
        <v>3</v>
      </c>
      <c r="M1903">
        <v>0</v>
      </c>
      <c r="N1903">
        <v>2</v>
      </c>
      <c r="O1903">
        <v>1</v>
      </c>
      <c r="P1903">
        <v>0</v>
      </c>
      <c r="Q1903">
        <v>0</v>
      </c>
      <c r="R1903" t="s">
        <v>112</v>
      </c>
      <c r="S1903" t="str">
        <f>"14:22:04.914"</f>
        <v>14:22:04.914</v>
      </c>
      <c r="T1903" t="str">
        <f>"14:22:04.516"</f>
        <v>14:22:04.516</v>
      </c>
      <c r="U1903" t="str">
        <f t="shared" si="87"/>
        <v>ad5732</v>
      </c>
      <c r="V1903">
        <v>0</v>
      </c>
      <c r="W1903">
        <v>0</v>
      </c>
      <c r="X1903">
        <v>1</v>
      </c>
      <c r="Z1903">
        <v>0</v>
      </c>
      <c r="AA1903">
        <v>9</v>
      </c>
      <c r="AB1903">
        <v>3</v>
      </c>
      <c r="AC1903">
        <v>0</v>
      </c>
      <c r="AD1903">
        <v>10</v>
      </c>
      <c r="AE1903">
        <v>0</v>
      </c>
      <c r="AF1903">
        <v>3</v>
      </c>
      <c r="AG1903">
        <v>2</v>
      </c>
      <c r="AH1903">
        <v>0</v>
      </c>
      <c r="AI1903" t="s">
        <v>3911</v>
      </c>
      <c r="AJ1903">
        <v>39.800806000000001</v>
      </c>
      <c r="AK1903" t="s">
        <v>3912</v>
      </c>
      <c r="AL1903">
        <v>-75.962691000000007</v>
      </c>
      <c r="AM1903">
        <v>100</v>
      </c>
      <c r="AN1903">
        <v>4700</v>
      </c>
      <c r="AO1903" t="s">
        <v>115</v>
      </c>
      <c r="AP1903">
        <v>157</v>
      </c>
      <c r="AQ1903">
        <v>80</v>
      </c>
      <c r="AR1903">
        <v>-192</v>
      </c>
      <c r="AZ1903">
        <v>3614</v>
      </c>
      <c r="BA1903">
        <v>1</v>
      </c>
      <c r="BB1903" t="str">
        <f t="shared" si="89"/>
        <v xml:space="preserve">N959MJ  </v>
      </c>
      <c r="BC1903">
        <v>1</v>
      </c>
      <c r="BE1903">
        <v>0</v>
      </c>
      <c r="BF1903">
        <v>0</v>
      </c>
      <c r="BG1903">
        <v>0</v>
      </c>
      <c r="BH1903">
        <v>4900</v>
      </c>
      <c r="BI1903">
        <v>200</v>
      </c>
      <c r="BJ1903">
        <v>1</v>
      </c>
      <c r="BK1903">
        <v>1</v>
      </c>
      <c r="BL1903">
        <v>1</v>
      </c>
      <c r="BM1903">
        <v>0</v>
      </c>
      <c r="BP1903">
        <v>0</v>
      </c>
      <c r="BQ1903">
        <v>0</v>
      </c>
      <c r="BX1903" t="str">
        <f>"14:22:04.922"</f>
        <v>14:22:04.922</v>
      </c>
      <c r="BY1903" t="str">
        <f>"920550736"</f>
        <v>920550736</v>
      </c>
      <c r="CL1903">
        <v>0</v>
      </c>
      <c r="CM1903">
        <v>2</v>
      </c>
      <c r="CN1903">
        <v>0</v>
      </c>
      <c r="CO1903">
        <v>2</v>
      </c>
      <c r="CP1903">
        <v>0</v>
      </c>
      <c r="CQ1903">
        <v>7</v>
      </c>
      <c r="CR1903" t="s">
        <v>116</v>
      </c>
      <c r="CS1903">
        <v>39</v>
      </c>
      <c r="CT1903">
        <v>2</v>
      </c>
      <c r="CU1903" t="s">
        <v>2259</v>
      </c>
      <c r="CV1903" t="s">
        <v>2260</v>
      </c>
      <c r="CY1903">
        <v>16339121</v>
      </c>
      <c r="CZ1903" t="s">
        <v>119</v>
      </c>
    </row>
    <row r="1904" spans="1:104" x14ac:dyDescent="0.25">
      <c r="A1904" t="str">
        <f>"14:22:06.164"</f>
        <v>14:22:06.164</v>
      </c>
      <c r="B1904" t="s">
        <v>108</v>
      </c>
      <c r="C1904" t="str">
        <f t="shared" si="88"/>
        <v>ffdfd3c0</v>
      </c>
      <c r="D1904" t="s">
        <v>109</v>
      </c>
      <c r="E1904">
        <v>4</v>
      </c>
      <c r="F1904">
        <v>1004</v>
      </c>
      <c r="G1904" t="s">
        <v>110</v>
      </c>
      <c r="J1904" t="s">
        <v>111</v>
      </c>
      <c r="K1904">
        <v>0</v>
      </c>
      <c r="L1904">
        <v>3</v>
      </c>
      <c r="M1904">
        <v>0</v>
      </c>
      <c r="N1904">
        <v>2</v>
      </c>
      <c r="O1904">
        <v>1</v>
      </c>
      <c r="P1904">
        <v>0</v>
      </c>
      <c r="Q1904">
        <v>0</v>
      </c>
      <c r="R1904" t="s">
        <v>112</v>
      </c>
      <c r="S1904" t="str">
        <f>"14:22:05.977"</f>
        <v>14:22:05.977</v>
      </c>
      <c r="T1904" t="str">
        <f>"14:22:05.477"</f>
        <v>14:22:05.477</v>
      </c>
      <c r="U1904" t="str">
        <f t="shared" si="87"/>
        <v>ad5732</v>
      </c>
      <c r="V1904">
        <v>0</v>
      </c>
      <c r="W1904">
        <v>0</v>
      </c>
      <c r="X1904">
        <v>1</v>
      </c>
      <c r="Z1904">
        <v>0</v>
      </c>
      <c r="AA1904">
        <v>9</v>
      </c>
      <c r="AB1904">
        <v>3</v>
      </c>
      <c r="AC1904">
        <v>0</v>
      </c>
      <c r="AD1904">
        <v>10</v>
      </c>
      <c r="AE1904">
        <v>0</v>
      </c>
      <c r="AF1904">
        <v>3</v>
      </c>
      <c r="AG1904">
        <v>2</v>
      </c>
      <c r="AH1904">
        <v>0</v>
      </c>
      <c r="AI1904" t="s">
        <v>3913</v>
      </c>
      <c r="AJ1904">
        <v>39.801170999999997</v>
      </c>
      <c r="AK1904" t="s">
        <v>3914</v>
      </c>
      <c r="AL1904">
        <v>-75.961811999999995</v>
      </c>
      <c r="AM1904">
        <v>100</v>
      </c>
      <c r="AN1904">
        <v>4700</v>
      </c>
      <c r="AO1904" t="s">
        <v>115</v>
      </c>
      <c r="AP1904">
        <v>157</v>
      </c>
      <c r="AQ1904">
        <v>80</v>
      </c>
      <c r="AR1904">
        <v>-128</v>
      </c>
      <c r="AZ1904">
        <v>3614</v>
      </c>
      <c r="BA1904">
        <v>1</v>
      </c>
      <c r="BB1904" t="str">
        <f t="shared" si="89"/>
        <v xml:space="preserve">N959MJ  </v>
      </c>
      <c r="BC1904">
        <v>1</v>
      </c>
      <c r="BE1904">
        <v>0</v>
      </c>
      <c r="BF1904">
        <v>0</v>
      </c>
      <c r="BG1904">
        <v>0</v>
      </c>
      <c r="BH1904">
        <v>4875</v>
      </c>
      <c r="BI1904">
        <v>175</v>
      </c>
      <c r="BJ1904">
        <v>1</v>
      </c>
      <c r="BK1904">
        <v>1</v>
      </c>
      <c r="BL1904">
        <v>1</v>
      </c>
      <c r="BM1904">
        <v>0</v>
      </c>
      <c r="BP1904">
        <v>0</v>
      </c>
      <c r="BQ1904">
        <v>0</v>
      </c>
      <c r="BX1904" t="str">
        <f>"14:22:05.977"</f>
        <v>14:22:05.977</v>
      </c>
      <c r="BY1904" t="str">
        <f>"977336399"</f>
        <v>977336399</v>
      </c>
      <c r="CL1904">
        <v>0</v>
      </c>
      <c r="CM1904">
        <v>2</v>
      </c>
      <c r="CN1904">
        <v>0</v>
      </c>
      <c r="CO1904">
        <v>2</v>
      </c>
      <c r="CP1904">
        <v>0</v>
      </c>
      <c r="CQ1904">
        <v>7</v>
      </c>
      <c r="CR1904" t="s">
        <v>116</v>
      </c>
      <c r="CS1904">
        <v>39</v>
      </c>
      <c r="CT1904">
        <v>2</v>
      </c>
      <c r="CU1904" t="s">
        <v>2259</v>
      </c>
      <c r="CV1904" t="s">
        <v>2260</v>
      </c>
      <c r="CY1904">
        <v>16340822</v>
      </c>
      <c r="CZ1904" t="s">
        <v>119</v>
      </c>
    </row>
    <row r="1905" spans="1:104" x14ac:dyDescent="0.25">
      <c r="A1905" t="str">
        <f>"14:22:07.227"</f>
        <v>14:22:07.227</v>
      </c>
      <c r="B1905" t="s">
        <v>108</v>
      </c>
      <c r="C1905" t="str">
        <f t="shared" si="88"/>
        <v>ffdfd3c0</v>
      </c>
      <c r="D1905" t="s">
        <v>109</v>
      </c>
      <c r="E1905">
        <v>4</v>
      </c>
      <c r="F1905">
        <v>1004</v>
      </c>
      <c r="G1905" t="s">
        <v>110</v>
      </c>
      <c r="J1905" t="s">
        <v>111</v>
      </c>
      <c r="K1905">
        <v>0</v>
      </c>
      <c r="L1905">
        <v>3</v>
      </c>
      <c r="M1905">
        <v>0</v>
      </c>
      <c r="N1905">
        <v>2</v>
      </c>
      <c r="O1905">
        <v>1</v>
      </c>
      <c r="P1905">
        <v>0</v>
      </c>
      <c r="Q1905">
        <v>0</v>
      </c>
      <c r="R1905" t="s">
        <v>112</v>
      </c>
      <c r="S1905" t="str">
        <f>"14:22:07.070"</f>
        <v>14:22:07.070</v>
      </c>
      <c r="T1905" t="str">
        <f>"14:22:06.570"</f>
        <v>14:22:06.570</v>
      </c>
      <c r="U1905" t="str">
        <f t="shared" si="87"/>
        <v>ad5732</v>
      </c>
      <c r="V1905">
        <v>0</v>
      </c>
      <c r="W1905">
        <v>0</v>
      </c>
      <c r="X1905">
        <v>1</v>
      </c>
      <c r="Z1905">
        <v>0</v>
      </c>
      <c r="AA1905">
        <v>9</v>
      </c>
      <c r="AB1905">
        <v>3</v>
      </c>
      <c r="AC1905">
        <v>0</v>
      </c>
      <c r="AD1905">
        <v>10</v>
      </c>
      <c r="AE1905">
        <v>0</v>
      </c>
      <c r="AF1905">
        <v>3</v>
      </c>
      <c r="AG1905">
        <v>2</v>
      </c>
      <c r="AH1905">
        <v>0</v>
      </c>
      <c r="AI1905" t="s">
        <v>3915</v>
      </c>
      <c r="AJ1905">
        <v>39.801600000000001</v>
      </c>
      <c r="AK1905" t="s">
        <v>3916</v>
      </c>
      <c r="AL1905">
        <v>-75.960759999999993</v>
      </c>
      <c r="AM1905">
        <v>100</v>
      </c>
      <c r="AN1905">
        <v>4700</v>
      </c>
      <c r="AO1905" t="s">
        <v>115</v>
      </c>
      <c r="AP1905">
        <v>157</v>
      </c>
      <c r="AQ1905">
        <v>80</v>
      </c>
      <c r="AR1905">
        <v>0</v>
      </c>
      <c r="AZ1905">
        <v>3614</v>
      </c>
      <c r="BA1905">
        <v>1</v>
      </c>
      <c r="BB1905" t="str">
        <f t="shared" si="89"/>
        <v xml:space="preserve">N959MJ  </v>
      </c>
      <c r="BC1905">
        <v>1</v>
      </c>
      <c r="BE1905">
        <v>0</v>
      </c>
      <c r="BF1905">
        <v>0</v>
      </c>
      <c r="BG1905">
        <v>0</v>
      </c>
      <c r="BH1905">
        <v>4875</v>
      </c>
      <c r="BI1905">
        <v>175</v>
      </c>
      <c r="BJ1905">
        <v>1</v>
      </c>
      <c r="BK1905">
        <v>1</v>
      </c>
      <c r="BL1905">
        <v>1</v>
      </c>
      <c r="BM1905">
        <v>0</v>
      </c>
      <c r="BP1905">
        <v>0</v>
      </c>
      <c r="BQ1905">
        <v>0</v>
      </c>
      <c r="BX1905" t="str">
        <f>"14:22:07.078"</f>
        <v>14:22:07.078</v>
      </c>
      <c r="BY1905" t="str">
        <f>"075082746"</f>
        <v>075082746</v>
      </c>
      <c r="CL1905">
        <v>0</v>
      </c>
      <c r="CM1905">
        <v>2</v>
      </c>
      <c r="CN1905">
        <v>0</v>
      </c>
      <c r="CO1905">
        <v>2</v>
      </c>
      <c r="CP1905">
        <v>0</v>
      </c>
      <c r="CQ1905">
        <v>7</v>
      </c>
      <c r="CR1905" t="s">
        <v>116</v>
      </c>
      <c r="CS1905">
        <v>39</v>
      </c>
      <c r="CT1905">
        <v>2</v>
      </c>
      <c r="CU1905" t="s">
        <v>2259</v>
      </c>
      <c r="CV1905" t="s">
        <v>2260</v>
      </c>
      <c r="CY1905">
        <v>16342599</v>
      </c>
      <c r="CZ1905" t="s">
        <v>119</v>
      </c>
    </row>
    <row r="1906" spans="1:104" x14ac:dyDescent="0.25">
      <c r="A1906" t="str">
        <f>"14:22:08.234"</f>
        <v>14:22:08.234</v>
      </c>
      <c r="B1906" t="s">
        <v>108</v>
      </c>
      <c r="C1906" t="str">
        <f t="shared" si="88"/>
        <v>ffdfd3c0</v>
      </c>
      <c r="D1906" t="s">
        <v>109</v>
      </c>
      <c r="E1906">
        <v>4</v>
      </c>
      <c r="F1906">
        <v>1004</v>
      </c>
      <c r="G1906" t="s">
        <v>110</v>
      </c>
      <c r="J1906" t="s">
        <v>111</v>
      </c>
      <c r="K1906">
        <v>0</v>
      </c>
      <c r="L1906">
        <v>3</v>
      </c>
      <c r="M1906">
        <v>0</v>
      </c>
      <c r="N1906">
        <v>2</v>
      </c>
      <c r="O1906">
        <v>1</v>
      </c>
      <c r="P1906">
        <v>0</v>
      </c>
      <c r="Q1906">
        <v>0</v>
      </c>
      <c r="R1906" t="s">
        <v>112</v>
      </c>
      <c r="S1906" t="str">
        <f>"14:22:08.070"</f>
        <v>14:22:08.070</v>
      </c>
      <c r="T1906" t="str">
        <f>"14:22:07.672"</f>
        <v>14:22:07.672</v>
      </c>
      <c r="U1906" t="str">
        <f t="shared" si="87"/>
        <v>ad5732</v>
      </c>
      <c r="V1906">
        <v>0</v>
      </c>
      <c r="W1906">
        <v>0</v>
      </c>
      <c r="X1906">
        <v>1</v>
      </c>
      <c r="Z1906">
        <v>0</v>
      </c>
      <c r="AA1906">
        <v>9</v>
      </c>
      <c r="AB1906">
        <v>3</v>
      </c>
      <c r="AC1906">
        <v>0</v>
      </c>
      <c r="AD1906">
        <v>10</v>
      </c>
      <c r="AE1906">
        <v>0</v>
      </c>
      <c r="AF1906">
        <v>3</v>
      </c>
      <c r="AG1906">
        <v>2</v>
      </c>
      <c r="AH1906">
        <v>0</v>
      </c>
      <c r="AI1906" t="s">
        <v>3917</v>
      </c>
      <c r="AJ1906">
        <v>39.801985999999999</v>
      </c>
      <c r="AK1906" t="s">
        <v>3918</v>
      </c>
      <c r="AL1906">
        <v>-75.959772999999998</v>
      </c>
      <c r="AM1906">
        <v>100</v>
      </c>
      <c r="AN1906">
        <v>4700</v>
      </c>
      <c r="AO1906" t="s">
        <v>115</v>
      </c>
      <c r="AP1906">
        <v>157</v>
      </c>
      <c r="AQ1906">
        <v>80</v>
      </c>
      <c r="AR1906">
        <v>64</v>
      </c>
      <c r="AZ1906">
        <v>3614</v>
      </c>
      <c r="BA1906">
        <v>1</v>
      </c>
      <c r="BB1906" t="str">
        <f t="shared" si="89"/>
        <v xml:space="preserve">N959MJ  </v>
      </c>
      <c r="BC1906">
        <v>1</v>
      </c>
      <c r="BE1906">
        <v>0</v>
      </c>
      <c r="BF1906">
        <v>0</v>
      </c>
      <c r="BG1906">
        <v>0</v>
      </c>
      <c r="BH1906">
        <v>4875</v>
      </c>
      <c r="BI1906">
        <v>175</v>
      </c>
      <c r="BJ1906">
        <v>1</v>
      </c>
      <c r="BK1906">
        <v>1</v>
      </c>
      <c r="BL1906">
        <v>1</v>
      </c>
      <c r="BM1906">
        <v>0</v>
      </c>
      <c r="BP1906">
        <v>0</v>
      </c>
      <c r="BQ1906">
        <v>0</v>
      </c>
      <c r="BX1906" t="str">
        <f>"14:22:08.070"</f>
        <v>14:22:08.070</v>
      </c>
      <c r="BY1906" t="str">
        <f>"071246592"</f>
        <v>071246592</v>
      </c>
      <c r="CL1906">
        <v>0</v>
      </c>
      <c r="CM1906">
        <v>2</v>
      </c>
      <c r="CN1906">
        <v>0</v>
      </c>
      <c r="CO1906">
        <v>2</v>
      </c>
      <c r="CP1906">
        <v>0</v>
      </c>
      <c r="CQ1906">
        <v>7</v>
      </c>
      <c r="CR1906" t="s">
        <v>116</v>
      </c>
      <c r="CS1906">
        <v>39</v>
      </c>
      <c r="CT1906">
        <v>2</v>
      </c>
      <c r="CU1906" t="s">
        <v>2259</v>
      </c>
      <c r="CV1906" t="s">
        <v>2260</v>
      </c>
      <c r="CY1906">
        <v>16344123</v>
      </c>
      <c r="CZ1906" t="s">
        <v>119</v>
      </c>
    </row>
    <row r="1907" spans="1:104" x14ac:dyDescent="0.25">
      <c r="A1907" t="str">
        <f>"14:22:09.195"</f>
        <v>14:22:09.195</v>
      </c>
      <c r="B1907" t="s">
        <v>108</v>
      </c>
      <c r="C1907" t="str">
        <f t="shared" si="88"/>
        <v>ffdfd3c0</v>
      </c>
      <c r="D1907" t="s">
        <v>109</v>
      </c>
      <c r="E1907">
        <v>4</v>
      </c>
      <c r="F1907">
        <v>1004</v>
      </c>
      <c r="G1907" t="s">
        <v>110</v>
      </c>
      <c r="J1907" t="s">
        <v>111</v>
      </c>
      <c r="K1907">
        <v>0</v>
      </c>
      <c r="L1907">
        <v>3</v>
      </c>
      <c r="M1907">
        <v>0</v>
      </c>
      <c r="N1907">
        <v>2</v>
      </c>
      <c r="O1907">
        <v>1</v>
      </c>
      <c r="P1907">
        <v>0</v>
      </c>
      <c r="Q1907">
        <v>0</v>
      </c>
      <c r="R1907" t="s">
        <v>112</v>
      </c>
      <c r="S1907" t="str">
        <f>"14:22:09.000"</f>
        <v>14:22:09.000</v>
      </c>
      <c r="T1907" t="str">
        <f>"14:22:08.602"</f>
        <v>14:22:08.602</v>
      </c>
      <c r="U1907" t="str">
        <f t="shared" si="87"/>
        <v>ad5732</v>
      </c>
      <c r="V1907">
        <v>0</v>
      </c>
      <c r="W1907">
        <v>0</v>
      </c>
      <c r="X1907">
        <v>1</v>
      </c>
      <c r="Z1907">
        <v>0</v>
      </c>
      <c r="AA1907">
        <v>9</v>
      </c>
      <c r="AB1907">
        <v>3</v>
      </c>
      <c r="AC1907">
        <v>0</v>
      </c>
      <c r="AD1907">
        <v>10</v>
      </c>
      <c r="AE1907">
        <v>0</v>
      </c>
      <c r="AF1907">
        <v>3</v>
      </c>
      <c r="AG1907">
        <v>2</v>
      </c>
      <c r="AH1907">
        <v>0</v>
      </c>
      <c r="AI1907" t="s">
        <v>3919</v>
      </c>
      <c r="AJ1907">
        <v>39.802351000000002</v>
      </c>
      <c r="AK1907" t="s">
        <v>3920</v>
      </c>
      <c r="AL1907">
        <v>-75.958872</v>
      </c>
      <c r="AM1907">
        <v>100</v>
      </c>
      <c r="AN1907">
        <v>4700</v>
      </c>
      <c r="AO1907" t="s">
        <v>115</v>
      </c>
      <c r="AP1907">
        <v>157</v>
      </c>
      <c r="AQ1907">
        <v>80</v>
      </c>
      <c r="AR1907">
        <v>192</v>
      </c>
      <c r="AZ1907">
        <v>3614</v>
      </c>
      <c r="BA1907">
        <v>1</v>
      </c>
      <c r="BB1907" t="str">
        <f t="shared" si="89"/>
        <v xml:space="preserve">N959MJ  </v>
      </c>
      <c r="BC1907">
        <v>1</v>
      </c>
      <c r="BE1907">
        <v>0</v>
      </c>
      <c r="BF1907">
        <v>0</v>
      </c>
      <c r="BG1907">
        <v>0</v>
      </c>
      <c r="BH1907">
        <v>4900</v>
      </c>
      <c r="BI1907">
        <v>200</v>
      </c>
      <c r="BJ1907">
        <v>1</v>
      </c>
      <c r="BK1907">
        <v>1</v>
      </c>
      <c r="BL1907">
        <v>1</v>
      </c>
      <c r="BM1907">
        <v>0</v>
      </c>
      <c r="BP1907">
        <v>0</v>
      </c>
      <c r="BQ1907">
        <v>0</v>
      </c>
      <c r="BX1907" t="str">
        <f>"14:22:09.000"</f>
        <v>14:22:09.000</v>
      </c>
      <c r="BY1907" t="str">
        <f>"001873341"</f>
        <v>001873341</v>
      </c>
      <c r="CL1907">
        <v>0</v>
      </c>
      <c r="CM1907">
        <v>2</v>
      </c>
      <c r="CN1907">
        <v>0</v>
      </c>
      <c r="CO1907">
        <v>2</v>
      </c>
      <c r="CP1907">
        <v>0</v>
      </c>
      <c r="CQ1907">
        <v>7</v>
      </c>
      <c r="CR1907" t="s">
        <v>116</v>
      </c>
      <c r="CS1907">
        <v>39</v>
      </c>
      <c r="CT1907">
        <v>2</v>
      </c>
      <c r="CU1907" t="s">
        <v>2259</v>
      </c>
      <c r="CV1907" t="s">
        <v>2260</v>
      </c>
      <c r="CY1907">
        <v>16345592</v>
      </c>
      <c r="CZ1907" t="s">
        <v>119</v>
      </c>
    </row>
    <row r="1908" spans="1:104" x14ac:dyDescent="0.25">
      <c r="A1908" t="str">
        <f>"14:22:10.156"</f>
        <v>14:22:10.156</v>
      </c>
      <c r="B1908" t="s">
        <v>108</v>
      </c>
      <c r="C1908" t="str">
        <f t="shared" si="88"/>
        <v>ffdfd3c0</v>
      </c>
      <c r="D1908" t="s">
        <v>109</v>
      </c>
      <c r="E1908">
        <v>4</v>
      </c>
      <c r="F1908">
        <v>1004</v>
      </c>
      <c r="G1908" t="s">
        <v>110</v>
      </c>
      <c r="J1908" t="s">
        <v>111</v>
      </c>
      <c r="K1908">
        <v>0</v>
      </c>
      <c r="L1908">
        <v>3</v>
      </c>
      <c r="M1908">
        <v>0</v>
      </c>
      <c r="N1908">
        <v>2</v>
      </c>
      <c r="O1908">
        <v>1</v>
      </c>
      <c r="P1908">
        <v>0</v>
      </c>
      <c r="Q1908">
        <v>0</v>
      </c>
      <c r="R1908" t="s">
        <v>112</v>
      </c>
      <c r="S1908" t="str">
        <f>"14:22:09.992"</f>
        <v>14:22:09.992</v>
      </c>
      <c r="T1908" t="str">
        <f>"14:22:09.492"</f>
        <v>14:22:09.492</v>
      </c>
      <c r="U1908" t="str">
        <f t="shared" si="87"/>
        <v>ad5732</v>
      </c>
      <c r="V1908">
        <v>0</v>
      </c>
      <c r="W1908">
        <v>0</v>
      </c>
      <c r="X1908">
        <v>1</v>
      </c>
      <c r="Z1908">
        <v>0</v>
      </c>
      <c r="AA1908">
        <v>9</v>
      </c>
      <c r="AB1908">
        <v>3</v>
      </c>
      <c r="AC1908">
        <v>0</v>
      </c>
      <c r="AD1908">
        <v>10</v>
      </c>
      <c r="AE1908">
        <v>0</v>
      </c>
      <c r="AF1908">
        <v>3</v>
      </c>
      <c r="AG1908">
        <v>2</v>
      </c>
      <c r="AH1908">
        <v>0</v>
      </c>
      <c r="AI1908" t="s">
        <v>3921</v>
      </c>
      <c r="AJ1908">
        <v>39.802694000000002</v>
      </c>
      <c r="AK1908" t="s">
        <v>3922</v>
      </c>
      <c r="AL1908">
        <v>-75.958034999999995</v>
      </c>
      <c r="AM1908">
        <v>100</v>
      </c>
      <c r="AN1908">
        <v>4700</v>
      </c>
      <c r="AO1908" t="s">
        <v>115</v>
      </c>
      <c r="AP1908">
        <v>156</v>
      </c>
      <c r="AQ1908">
        <v>80</v>
      </c>
      <c r="AR1908">
        <v>256</v>
      </c>
      <c r="AZ1908">
        <v>3614</v>
      </c>
      <c r="BA1908">
        <v>1</v>
      </c>
      <c r="BB1908" t="str">
        <f t="shared" si="89"/>
        <v xml:space="preserve">N959MJ  </v>
      </c>
      <c r="BC1908">
        <v>1</v>
      </c>
      <c r="BE1908">
        <v>0</v>
      </c>
      <c r="BF1908">
        <v>0</v>
      </c>
      <c r="BG1908">
        <v>0</v>
      </c>
      <c r="BH1908">
        <v>4900</v>
      </c>
      <c r="BI1908">
        <v>200</v>
      </c>
      <c r="BJ1908">
        <v>1</v>
      </c>
      <c r="BK1908">
        <v>1</v>
      </c>
      <c r="BL1908">
        <v>1</v>
      </c>
      <c r="BM1908">
        <v>0</v>
      </c>
      <c r="BP1908">
        <v>0</v>
      </c>
      <c r="BQ1908">
        <v>0</v>
      </c>
      <c r="BX1908" t="str">
        <f>"14:22:09.992"</f>
        <v>14:22:09.992</v>
      </c>
      <c r="BY1908" t="str">
        <f>"993121916"</f>
        <v>993121916</v>
      </c>
      <c r="CL1908">
        <v>0</v>
      </c>
      <c r="CM1908">
        <v>2</v>
      </c>
      <c r="CN1908">
        <v>0</v>
      </c>
      <c r="CO1908">
        <v>2</v>
      </c>
      <c r="CP1908">
        <v>0</v>
      </c>
      <c r="CQ1908">
        <v>7</v>
      </c>
      <c r="CR1908" t="s">
        <v>116</v>
      </c>
      <c r="CS1908">
        <v>39</v>
      </c>
      <c r="CT1908">
        <v>2</v>
      </c>
      <c r="CU1908" t="s">
        <v>2259</v>
      </c>
      <c r="CV1908" t="s">
        <v>2260</v>
      </c>
      <c r="CY1908">
        <v>16347085</v>
      </c>
      <c r="CZ1908" t="s">
        <v>119</v>
      </c>
    </row>
    <row r="1909" spans="1:104" x14ac:dyDescent="0.25">
      <c r="A1909" t="str">
        <f>"14:22:11.266"</f>
        <v>14:22:11.266</v>
      </c>
      <c r="B1909" t="s">
        <v>108</v>
      </c>
      <c r="C1909" t="str">
        <f t="shared" si="88"/>
        <v>ffdfd3c0</v>
      </c>
      <c r="D1909" t="s">
        <v>109</v>
      </c>
      <c r="E1909">
        <v>4</v>
      </c>
      <c r="F1909">
        <v>1004</v>
      </c>
      <c r="G1909" t="s">
        <v>110</v>
      </c>
      <c r="J1909" t="s">
        <v>111</v>
      </c>
      <c r="K1909">
        <v>0</v>
      </c>
      <c r="L1909">
        <v>3</v>
      </c>
      <c r="M1909">
        <v>0</v>
      </c>
      <c r="N1909">
        <v>2</v>
      </c>
      <c r="O1909">
        <v>1</v>
      </c>
      <c r="P1909">
        <v>0</v>
      </c>
      <c r="Q1909">
        <v>0</v>
      </c>
      <c r="R1909" t="s">
        <v>112</v>
      </c>
      <c r="S1909" t="str">
        <f>"14:22:11.063"</f>
        <v>14:22:11.063</v>
      </c>
      <c r="T1909" t="str">
        <f>"14:22:10.563"</f>
        <v>14:22:10.563</v>
      </c>
      <c r="U1909" t="str">
        <f t="shared" si="87"/>
        <v>ad5732</v>
      </c>
      <c r="V1909">
        <v>0</v>
      </c>
      <c r="W1909">
        <v>0</v>
      </c>
      <c r="X1909">
        <v>1</v>
      </c>
      <c r="Z1909">
        <v>0</v>
      </c>
      <c r="AA1909">
        <v>9</v>
      </c>
      <c r="AB1909">
        <v>3</v>
      </c>
      <c r="AC1909">
        <v>0</v>
      </c>
      <c r="AD1909">
        <v>10</v>
      </c>
      <c r="AE1909">
        <v>0</v>
      </c>
      <c r="AF1909">
        <v>3</v>
      </c>
      <c r="AG1909">
        <v>2</v>
      </c>
      <c r="AH1909">
        <v>0</v>
      </c>
      <c r="AI1909" t="s">
        <v>3923</v>
      </c>
      <c r="AJ1909">
        <v>39.803102000000003</v>
      </c>
      <c r="AK1909" t="s">
        <v>3924</v>
      </c>
      <c r="AL1909">
        <v>-75.956962000000004</v>
      </c>
      <c r="AM1909">
        <v>100</v>
      </c>
      <c r="AN1909">
        <v>4700</v>
      </c>
      <c r="AO1909" t="s">
        <v>115</v>
      </c>
      <c r="AP1909">
        <v>156</v>
      </c>
      <c r="AQ1909">
        <v>80</v>
      </c>
      <c r="AR1909">
        <v>320</v>
      </c>
      <c r="AZ1909">
        <v>3614</v>
      </c>
      <c r="BA1909">
        <v>1</v>
      </c>
      <c r="BB1909" t="str">
        <f t="shared" si="89"/>
        <v xml:space="preserve">N959MJ  </v>
      </c>
      <c r="BC1909">
        <v>1</v>
      </c>
      <c r="BE1909">
        <v>0</v>
      </c>
      <c r="BF1909">
        <v>0</v>
      </c>
      <c r="BG1909">
        <v>0</v>
      </c>
      <c r="BH1909">
        <v>4900</v>
      </c>
      <c r="BI1909">
        <v>200</v>
      </c>
      <c r="BJ1909">
        <v>1</v>
      </c>
      <c r="BK1909">
        <v>1</v>
      </c>
      <c r="BL1909">
        <v>1</v>
      </c>
      <c r="BM1909">
        <v>0</v>
      </c>
      <c r="BP1909">
        <v>0</v>
      </c>
      <c r="BQ1909">
        <v>0</v>
      </c>
      <c r="BX1909" t="str">
        <f>"14:22:11.063"</f>
        <v>14:22:11.063</v>
      </c>
      <c r="BY1909" t="str">
        <f>"066291860"</f>
        <v>066291860</v>
      </c>
      <c r="CL1909">
        <v>0</v>
      </c>
      <c r="CM1909">
        <v>2</v>
      </c>
      <c r="CN1909">
        <v>0</v>
      </c>
      <c r="CO1909">
        <v>2</v>
      </c>
      <c r="CP1909">
        <v>0</v>
      </c>
      <c r="CQ1909">
        <v>7</v>
      </c>
      <c r="CR1909" t="s">
        <v>116</v>
      </c>
      <c r="CS1909">
        <v>39</v>
      </c>
      <c r="CT1909">
        <v>2</v>
      </c>
      <c r="CU1909" t="s">
        <v>2259</v>
      </c>
      <c r="CV1909" t="s">
        <v>2260</v>
      </c>
      <c r="CY1909">
        <v>16348929</v>
      </c>
      <c r="CZ1909" t="s">
        <v>119</v>
      </c>
    </row>
    <row r="1910" spans="1:104" x14ac:dyDescent="0.25">
      <c r="A1910" t="str">
        <f>"14:22:12.172"</f>
        <v>14:22:12.172</v>
      </c>
      <c r="B1910" t="s">
        <v>108</v>
      </c>
      <c r="C1910" t="str">
        <f t="shared" si="88"/>
        <v>ffdfd3c0</v>
      </c>
      <c r="D1910" t="s">
        <v>109</v>
      </c>
      <c r="E1910">
        <v>4</v>
      </c>
      <c r="F1910">
        <v>1004</v>
      </c>
      <c r="G1910" t="s">
        <v>110</v>
      </c>
      <c r="J1910" t="s">
        <v>111</v>
      </c>
      <c r="K1910">
        <v>0</v>
      </c>
      <c r="L1910">
        <v>3</v>
      </c>
      <c r="M1910">
        <v>0</v>
      </c>
      <c r="N1910">
        <v>2</v>
      </c>
      <c r="O1910">
        <v>1</v>
      </c>
      <c r="P1910">
        <v>0</v>
      </c>
      <c r="Q1910">
        <v>0</v>
      </c>
      <c r="R1910" t="s">
        <v>112</v>
      </c>
      <c r="S1910" t="str">
        <f>"14:22:12.008"</f>
        <v>14:22:12.008</v>
      </c>
      <c r="T1910" t="str">
        <f>"14:22:11.508"</f>
        <v>14:22:11.508</v>
      </c>
      <c r="U1910" t="str">
        <f t="shared" si="87"/>
        <v>ad5732</v>
      </c>
      <c r="V1910">
        <v>0</v>
      </c>
      <c r="W1910">
        <v>0</v>
      </c>
      <c r="X1910">
        <v>1</v>
      </c>
      <c r="Z1910">
        <v>0</v>
      </c>
      <c r="AA1910">
        <v>9</v>
      </c>
      <c r="AB1910">
        <v>3</v>
      </c>
      <c r="AC1910">
        <v>0</v>
      </c>
      <c r="AD1910">
        <v>10</v>
      </c>
      <c r="AE1910">
        <v>0</v>
      </c>
      <c r="AF1910">
        <v>3</v>
      </c>
      <c r="AG1910">
        <v>2</v>
      </c>
      <c r="AH1910">
        <v>0</v>
      </c>
      <c r="AI1910" t="s">
        <v>3925</v>
      </c>
      <c r="AJ1910">
        <v>39.803466999999998</v>
      </c>
      <c r="AK1910" t="s">
        <v>3926</v>
      </c>
      <c r="AL1910">
        <v>-75.956061000000005</v>
      </c>
      <c r="AM1910">
        <v>100</v>
      </c>
      <c r="AN1910">
        <v>4700</v>
      </c>
      <c r="AO1910" t="s">
        <v>115</v>
      </c>
      <c r="AP1910">
        <v>156</v>
      </c>
      <c r="AQ1910">
        <v>80</v>
      </c>
      <c r="AR1910">
        <v>320</v>
      </c>
      <c r="AZ1910">
        <v>3614</v>
      </c>
      <c r="BA1910">
        <v>1</v>
      </c>
      <c r="BB1910" t="str">
        <f t="shared" si="89"/>
        <v xml:space="preserve">N959MJ  </v>
      </c>
      <c r="BC1910">
        <v>1</v>
      </c>
      <c r="BE1910">
        <v>0</v>
      </c>
      <c r="BF1910">
        <v>0</v>
      </c>
      <c r="BG1910">
        <v>0</v>
      </c>
      <c r="BH1910">
        <v>4900</v>
      </c>
      <c r="BI1910">
        <v>200</v>
      </c>
      <c r="BJ1910">
        <v>1</v>
      </c>
      <c r="BK1910">
        <v>1</v>
      </c>
      <c r="BL1910">
        <v>1</v>
      </c>
      <c r="BM1910">
        <v>0</v>
      </c>
      <c r="BP1910">
        <v>0</v>
      </c>
      <c r="BQ1910">
        <v>0</v>
      </c>
      <c r="BX1910" t="str">
        <f>"14:22:12.016"</f>
        <v>14:22:12.016</v>
      </c>
      <c r="BY1910" t="str">
        <f>"013302886"</f>
        <v>013302886</v>
      </c>
      <c r="CL1910">
        <v>0</v>
      </c>
      <c r="CM1910">
        <v>2</v>
      </c>
      <c r="CN1910">
        <v>0</v>
      </c>
      <c r="CO1910">
        <v>2</v>
      </c>
      <c r="CP1910">
        <v>0</v>
      </c>
      <c r="CQ1910">
        <v>7</v>
      </c>
      <c r="CR1910" t="s">
        <v>116</v>
      </c>
      <c r="CS1910">
        <v>39</v>
      </c>
      <c r="CT1910">
        <v>2</v>
      </c>
      <c r="CU1910" t="s">
        <v>2259</v>
      </c>
      <c r="CV1910" t="s">
        <v>2260</v>
      </c>
      <c r="CY1910">
        <v>16350381</v>
      </c>
      <c r="CZ1910" t="s">
        <v>119</v>
      </c>
    </row>
    <row r="1911" spans="1:104" x14ac:dyDescent="0.25">
      <c r="A1911" t="str">
        <f>"14:22:13.180"</f>
        <v>14:22:13.180</v>
      </c>
      <c r="B1911" t="s">
        <v>108</v>
      </c>
      <c r="C1911" t="str">
        <f t="shared" si="88"/>
        <v>ffdfd3c0</v>
      </c>
      <c r="D1911" t="s">
        <v>109</v>
      </c>
      <c r="E1911">
        <v>4</v>
      </c>
      <c r="F1911">
        <v>1004</v>
      </c>
      <c r="G1911" t="s">
        <v>110</v>
      </c>
      <c r="J1911" t="s">
        <v>111</v>
      </c>
      <c r="K1911">
        <v>0</v>
      </c>
      <c r="L1911">
        <v>3</v>
      </c>
      <c r="M1911">
        <v>0</v>
      </c>
      <c r="N1911">
        <v>2</v>
      </c>
      <c r="O1911">
        <v>1</v>
      </c>
      <c r="P1911">
        <v>0</v>
      </c>
      <c r="Q1911">
        <v>0</v>
      </c>
      <c r="R1911" t="s">
        <v>112</v>
      </c>
      <c r="S1911" t="str">
        <f>"14:22:13.008"</f>
        <v>14:22:13.008</v>
      </c>
      <c r="T1911" t="str">
        <f>"14:22:12.508"</f>
        <v>14:22:12.508</v>
      </c>
      <c r="U1911" t="str">
        <f t="shared" si="87"/>
        <v>ad5732</v>
      </c>
      <c r="V1911">
        <v>0</v>
      </c>
      <c r="W1911">
        <v>0</v>
      </c>
      <c r="X1911">
        <v>1</v>
      </c>
      <c r="Z1911">
        <v>0</v>
      </c>
      <c r="AA1911">
        <v>9</v>
      </c>
      <c r="AB1911">
        <v>3</v>
      </c>
      <c r="AC1911">
        <v>0</v>
      </c>
      <c r="AD1911">
        <v>10</v>
      </c>
      <c r="AE1911">
        <v>0</v>
      </c>
      <c r="AF1911">
        <v>3</v>
      </c>
      <c r="AG1911">
        <v>2</v>
      </c>
      <c r="AH1911">
        <v>0</v>
      </c>
      <c r="AI1911" t="s">
        <v>3927</v>
      </c>
      <c r="AJ1911">
        <v>39.803832</v>
      </c>
      <c r="AK1911" t="s">
        <v>3928</v>
      </c>
      <c r="AL1911">
        <v>-75.955138000000005</v>
      </c>
      <c r="AM1911">
        <v>100</v>
      </c>
      <c r="AN1911">
        <v>4700</v>
      </c>
      <c r="AO1911" t="s">
        <v>115</v>
      </c>
      <c r="AP1911">
        <v>156</v>
      </c>
      <c r="AQ1911">
        <v>80</v>
      </c>
      <c r="AR1911">
        <v>192</v>
      </c>
      <c r="AZ1911">
        <v>3614</v>
      </c>
      <c r="BA1911">
        <v>1</v>
      </c>
      <c r="BB1911" t="str">
        <f t="shared" si="89"/>
        <v xml:space="preserve">N959MJ  </v>
      </c>
      <c r="BC1911">
        <v>1</v>
      </c>
      <c r="BE1911">
        <v>0</v>
      </c>
      <c r="BF1911">
        <v>0</v>
      </c>
      <c r="BG1911">
        <v>0</v>
      </c>
      <c r="BH1911">
        <v>4900</v>
      </c>
      <c r="BI1911">
        <v>200</v>
      </c>
      <c r="BJ1911">
        <v>1</v>
      </c>
      <c r="BK1911">
        <v>1</v>
      </c>
      <c r="BL1911">
        <v>1</v>
      </c>
      <c r="BM1911">
        <v>0</v>
      </c>
      <c r="BP1911">
        <v>0</v>
      </c>
      <c r="BQ1911">
        <v>0</v>
      </c>
      <c r="BX1911" t="str">
        <f>"14:22:13.008"</f>
        <v>14:22:13.008</v>
      </c>
      <c r="BY1911" t="str">
        <f>"011105168"</f>
        <v>011105168</v>
      </c>
      <c r="CL1911">
        <v>0</v>
      </c>
      <c r="CM1911">
        <v>2</v>
      </c>
      <c r="CN1911">
        <v>0</v>
      </c>
      <c r="CO1911">
        <v>2</v>
      </c>
      <c r="CP1911">
        <v>0</v>
      </c>
      <c r="CQ1911">
        <v>7</v>
      </c>
      <c r="CR1911" t="s">
        <v>116</v>
      </c>
      <c r="CS1911">
        <v>39</v>
      </c>
      <c r="CT1911">
        <v>2</v>
      </c>
      <c r="CU1911" t="s">
        <v>2259</v>
      </c>
      <c r="CV1911" t="s">
        <v>2260</v>
      </c>
      <c r="CY1911">
        <v>16351898</v>
      </c>
      <c r="CZ1911" t="s">
        <v>119</v>
      </c>
    </row>
    <row r="1912" spans="1:104" x14ac:dyDescent="0.25">
      <c r="A1912" t="str">
        <f>"14:22:14.039"</f>
        <v>14:22:14.039</v>
      </c>
      <c r="B1912" t="s">
        <v>108</v>
      </c>
      <c r="C1912" t="str">
        <f t="shared" si="88"/>
        <v>ffdfd3c0</v>
      </c>
      <c r="D1912" t="s">
        <v>109</v>
      </c>
      <c r="E1912">
        <v>4</v>
      </c>
      <c r="F1912">
        <v>1004</v>
      </c>
      <c r="G1912" t="s">
        <v>110</v>
      </c>
      <c r="J1912" t="s">
        <v>111</v>
      </c>
      <c r="K1912">
        <v>0</v>
      </c>
      <c r="L1912">
        <v>3</v>
      </c>
      <c r="M1912">
        <v>0</v>
      </c>
      <c r="N1912">
        <v>2</v>
      </c>
      <c r="O1912">
        <v>1</v>
      </c>
      <c r="P1912">
        <v>0</v>
      </c>
      <c r="Q1912">
        <v>0</v>
      </c>
      <c r="R1912" t="s">
        <v>112</v>
      </c>
      <c r="S1912" t="str">
        <f>"14:22:13.852"</f>
        <v>14:22:13.852</v>
      </c>
      <c r="T1912" t="str">
        <f>"14:22:13.453"</f>
        <v>14:22:13.453</v>
      </c>
      <c r="U1912" t="str">
        <f t="shared" si="87"/>
        <v>ad5732</v>
      </c>
      <c r="V1912">
        <v>0</v>
      </c>
      <c r="W1912">
        <v>0</v>
      </c>
      <c r="X1912">
        <v>1</v>
      </c>
      <c r="Z1912">
        <v>0</v>
      </c>
      <c r="AA1912">
        <v>9</v>
      </c>
      <c r="AB1912">
        <v>3</v>
      </c>
      <c r="AC1912">
        <v>0</v>
      </c>
      <c r="AD1912">
        <v>10</v>
      </c>
      <c r="AE1912">
        <v>0</v>
      </c>
      <c r="AF1912">
        <v>3</v>
      </c>
      <c r="AG1912">
        <v>2</v>
      </c>
      <c r="AH1912">
        <v>0</v>
      </c>
      <c r="AI1912" t="s">
        <v>3929</v>
      </c>
      <c r="AJ1912">
        <v>39.804110999999999</v>
      </c>
      <c r="AK1912" t="s">
        <v>3930</v>
      </c>
      <c r="AL1912">
        <v>-75.954344000000006</v>
      </c>
      <c r="AM1912">
        <v>100</v>
      </c>
      <c r="AN1912">
        <v>4700</v>
      </c>
      <c r="AO1912" t="s">
        <v>115</v>
      </c>
      <c r="AP1912">
        <v>156</v>
      </c>
      <c r="AQ1912">
        <v>81</v>
      </c>
      <c r="AR1912">
        <v>128</v>
      </c>
      <c r="AZ1912">
        <v>3614</v>
      </c>
      <c r="BA1912">
        <v>1</v>
      </c>
      <c r="BB1912" t="str">
        <f t="shared" si="89"/>
        <v xml:space="preserve">N959MJ  </v>
      </c>
      <c r="BC1912">
        <v>1</v>
      </c>
      <c r="BE1912">
        <v>0</v>
      </c>
      <c r="BF1912">
        <v>0</v>
      </c>
      <c r="BG1912">
        <v>0</v>
      </c>
      <c r="BH1912">
        <v>4900</v>
      </c>
      <c r="BI1912">
        <v>200</v>
      </c>
      <c r="BJ1912">
        <v>1</v>
      </c>
      <c r="BK1912">
        <v>1</v>
      </c>
      <c r="BL1912">
        <v>1</v>
      </c>
      <c r="BM1912">
        <v>0</v>
      </c>
      <c r="BP1912">
        <v>0</v>
      </c>
      <c r="BQ1912">
        <v>0</v>
      </c>
      <c r="BX1912" t="str">
        <f>"14:22:13.852"</f>
        <v>14:22:13.852</v>
      </c>
      <c r="BY1912" t="str">
        <f>"851618422"</f>
        <v>851618422</v>
      </c>
      <c r="CL1912">
        <v>0</v>
      </c>
      <c r="CM1912">
        <v>2</v>
      </c>
      <c r="CN1912">
        <v>0</v>
      </c>
      <c r="CO1912">
        <v>2</v>
      </c>
      <c r="CP1912">
        <v>0</v>
      </c>
      <c r="CQ1912">
        <v>7</v>
      </c>
      <c r="CR1912" t="s">
        <v>116</v>
      </c>
      <c r="CS1912">
        <v>39</v>
      </c>
      <c r="CT1912">
        <v>2</v>
      </c>
      <c r="CU1912" t="s">
        <v>2259</v>
      </c>
      <c r="CV1912" t="s">
        <v>2260</v>
      </c>
      <c r="CY1912">
        <v>16353238</v>
      </c>
      <c r="CZ1912" t="s">
        <v>119</v>
      </c>
    </row>
    <row r="1913" spans="1:104" x14ac:dyDescent="0.25">
      <c r="A1913" t="str">
        <f>"14:22:14.898"</f>
        <v>14:22:14.898</v>
      </c>
      <c r="B1913" t="s">
        <v>108</v>
      </c>
      <c r="C1913" t="str">
        <f t="shared" si="88"/>
        <v>ffdfd3c0</v>
      </c>
      <c r="D1913" t="s">
        <v>109</v>
      </c>
      <c r="E1913">
        <v>4</v>
      </c>
      <c r="F1913">
        <v>1004</v>
      </c>
      <c r="G1913" t="s">
        <v>110</v>
      </c>
      <c r="J1913" t="s">
        <v>111</v>
      </c>
      <c r="K1913">
        <v>0</v>
      </c>
      <c r="L1913">
        <v>3</v>
      </c>
      <c r="M1913">
        <v>0</v>
      </c>
      <c r="N1913">
        <v>2</v>
      </c>
      <c r="O1913">
        <v>1</v>
      </c>
      <c r="P1913">
        <v>0</v>
      </c>
      <c r="Q1913">
        <v>0</v>
      </c>
      <c r="R1913" t="s">
        <v>112</v>
      </c>
      <c r="S1913" t="str">
        <f>"14:22:14.703"</f>
        <v>14:22:14.703</v>
      </c>
      <c r="T1913" t="str">
        <f>"14:22:14.305"</f>
        <v>14:22:14.305</v>
      </c>
      <c r="U1913" t="str">
        <f t="shared" si="87"/>
        <v>ad5732</v>
      </c>
      <c r="V1913">
        <v>0</v>
      </c>
      <c r="W1913">
        <v>0</v>
      </c>
      <c r="X1913">
        <v>1</v>
      </c>
      <c r="Z1913">
        <v>0</v>
      </c>
      <c r="AA1913">
        <v>9</v>
      </c>
      <c r="AB1913">
        <v>3</v>
      </c>
      <c r="AC1913">
        <v>0</v>
      </c>
      <c r="AD1913">
        <v>10</v>
      </c>
      <c r="AE1913">
        <v>0</v>
      </c>
      <c r="AF1913">
        <v>3</v>
      </c>
      <c r="AG1913">
        <v>2</v>
      </c>
      <c r="AH1913">
        <v>0</v>
      </c>
      <c r="AI1913" t="s">
        <v>3931</v>
      </c>
      <c r="AJ1913">
        <v>39.804474999999996</v>
      </c>
      <c r="AK1913" t="s">
        <v>3932</v>
      </c>
      <c r="AL1913">
        <v>-75.953507000000002</v>
      </c>
      <c r="AM1913">
        <v>100</v>
      </c>
      <c r="AN1913">
        <v>4700</v>
      </c>
      <c r="AO1913" t="s">
        <v>115</v>
      </c>
      <c r="AP1913">
        <v>156</v>
      </c>
      <c r="AQ1913">
        <v>81</v>
      </c>
      <c r="AR1913">
        <v>64</v>
      </c>
      <c r="AZ1913">
        <v>3614</v>
      </c>
      <c r="BA1913">
        <v>1</v>
      </c>
      <c r="BB1913" t="str">
        <f t="shared" si="89"/>
        <v xml:space="preserve">N959MJ  </v>
      </c>
      <c r="BC1913">
        <v>1</v>
      </c>
      <c r="BE1913">
        <v>0</v>
      </c>
      <c r="BF1913">
        <v>0</v>
      </c>
      <c r="BG1913">
        <v>0</v>
      </c>
      <c r="BH1913">
        <v>4925</v>
      </c>
      <c r="BI1913">
        <v>225</v>
      </c>
      <c r="BJ1913">
        <v>1</v>
      </c>
      <c r="BK1913">
        <v>1</v>
      </c>
      <c r="BL1913">
        <v>1</v>
      </c>
      <c r="BM1913">
        <v>0</v>
      </c>
      <c r="BP1913">
        <v>0</v>
      </c>
      <c r="BQ1913">
        <v>0</v>
      </c>
      <c r="BX1913" t="str">
        <f>"14:22:14.711"</f>
        <v>14:22:14.711</v>
      </c>
      <c r="BY1913" t="str">
        <f>"708515950"</f>
        <v>708515950</v>
      </c>
      <c r="CL1913">
        <v>0</v>
      </c>
      <c r="CM1913">
        <v>2</v>
      </c>
      <c r="CN1913">
        <v>0</v>
      </c>
      <c r="CO1913">
        <v>2</v>
      </c>
      <c r="CP1913">
        <v>0</v>
      </c>
      <c r="CQ1913">
        <v>7</v>
      </c>
      <c r="CR1913" t="s">
        <v>116</v>
      </c>
      <c r="CS1913">
        <v>39</v>
      </c>
      <c r="CT1913">
        <v>2</v>
      </c>
      <c r="CU1913" t="s">
        <v>2259</v>
      </c>
      <c r="CV1913" t="s">
        <v>2260</v>
      </c>
      <c r="CY1913">
        <v>16354559</v>
      </c>
      <c r="CZ1913" t="s">
        <v>119</v>
      </c>
    </row>
    <row r="1914" spans="1:104" x14ac:dyDescent="0.25">
      <c r="A1914" t="str">
        <f>"14:22:15.805"</f>
        <v>14:22:15.805</v>
      </c>
      <c r="B1914" t="s">
        <v>108</v>
      </c>
      <c r="C1914" t="str">
        <f t="shared" si="88"/>
        <v>ffdfd3c0</v>
      </c>
      <c r="D1914" t="s">
        <v>109</v>
      </c>
      <c r="E1914">
        <v>4</v>
      </c>
      <c r="F1914">
        <v>1004</v>
      </c>
      <c r="G1914" t="s">
        <v>110</v>
      </c>
      <c r="J1914" t="s">
        <v>111</v>
      </c>
      <c r="K1914">
        <v>0</v>
      </c>
      <c r="L1914">
        <v>3</v>
      </c>
      <c r="M1914">
        <v>0</v>
      </c>
      <c r="N1914">
        <v>2</v>
      </c>
      <c r="O1914">
        <v>1</v>
      </c>
      <c r="P1914">
        <v>0</v>
      </c>
      <c r="Q1914">
        <v>0</v>
      </c>
      <c r="R1914" t="s">
        <v>112</v>
      </c>
      <c r="S1914" t="str">
        <f>"14:22:15.625"</f>
        <v>14:22:15.625</v>
      </c>
      <c r="T1914" t="str">
        <f>"14:22:15.227"</f>
        <v>14:22:15.227</v>
      </c>
      <c r="U1914" t="str">
        <f t="shared" si="87"/>
        <v>ad5732</v>
      </c>
      <c r="V1914">
        <v>0</v>
      </c>
      <c r="W1914">
        <v>0</v>
      </c>
      <c r="X1914">
        <v>1</v>
      </c>
      <c r="Z1914">
        <v>0</v>
      </c>
      <c r="AA1914">
        <v>9</v>
      </c>
      <c r="AB1914">
        <v>3</v>
      </c>
      <c r="AC1914">
        <v>0</v>
      </c>
      <c r="AD1914">
        <v>10</v>
      </c>
      <c r="AE1914">
        <v>0</v>
      </c>
      <c r="AF1914">
        <v>3</v>
      </c>
      <c r="AG1914">
        <v>2</v>
      </c>
      <c r="AH1914">
        <v>0</v>
      </c>
      <c r="AI1914" t="s">
        <v>3933</v>
      </c>
      <c r="AJ1914">
        <v>39.804819000000002</v>
      </c>
      <c r="AK1914" t="s">
        <v>3934</v>
      </c>
      <c r="AL1914">
        <v>-75.952691999999999</v>
      </c>
      <c r="AM1914">
        <v>100</v>
      </c>
      <c r="AN1914">
        <v>4700</v>
      </c>
      <c r="AO1914" t="s">
        <v>115</v>
      </c>
      <c r="AP1914">
        <v>156</v>
      </c>
      <c r="AQ1914">
        <v>81</v>
      </c>
      <c r="AR1914">
        <v>0</v>
      </c>
      <c r="AZ1914">
        <v>3614</v>
      </c>
      <c r="BA1914">
        <v>1</v>
      </c>
      <c r="BB1914" t="str">
        <f t="shared" si="89"/>
        <v xml:space="preserve">N959MJ  </v>
      </c>
      <c r="BC1914">
        <v>1</v>
      </c>
      <c r="BE1914">
        <v>0</v>
      </c>
      <c r="BF1914">
        <v>0</v>
      </c>
      <c r="BG1914">
        <v>0</v>
      </c>
      <c r="BH1914">
        <v>4900</v>
      </c>
      <c r="BI1914">
        <v>200</v>
      </c>
      <c r="BJ1914">
        <v>1</v>
      </c>
      <c r="BK1914">
        <v>1</v>
      </c>
      <c r="BL1914">
        <v>1</v>
      </c>
      <c r="BM1914">
        <v>0</v>
      </c>
      <c r="BP1914">
        <v>0</v>
      </c>
      <c r="BQ1914">
        <v>0</v>
      </c>
      <c r="BX1914" t="str">
        <f>"14:22:15.633"</f>
        <v>14:22:15.633</v>
      </c>
      <c r="BY1914" t="str">
        <f>"632589054"</f>
        <v>632589054</v>
      </c>
      <c r="CL1914">
        <v>0</v>
      </c>
      <c r="CM1914">
        <v>2</v>
      </c>
      <c r="CN1914">
        <v>0</v>
      </c>
      <c r="CO1914">
        <v>2</v>
      </c>
      <c r="CP1914">
        <v>0</v>
      </c>
      <c r="CQ1914">
        <v>7</v>
      </c>
      <c r="CR1914" t="s">
        <v>116</v>
      </c>
      <c r="CS1914">
        <v>39</v>
      </c>
      <c r="CT1914">
        <v>2</v>
      </c>
      <c r="CU1914" t="s">
        <v>2259</v>
      </c>
      <c r="CV1914" t="s">
        <v>2260</v>
      </c>
      <c r="CY1914">
        <v>16356136</v>
      </c>
      <c r="CZ1914" t="s">
        <v>119</v>
      </c>
    </row>
    <row r="1915" spans="1:104" x14ac:dyDescent="0.25">
      <c r="A1915" t="str">
        <f>"14:22:16.719"</f>
        <v>14:22:16.719</v>
      </c>
      <c r="B1915" t="s">
        <v>108</v>
      </c>
      <c r="C1915" t="str">
        <f t="shared" si="88"/>
        <v>ffdfd3c0</v>
      </c>
      <c r="D1915" t="s">
        <v>109</v>
      </c>
      <c r="E1915">
        <v>4</v>
      </c>
      <c r="F1915">
        <v>1004</v>
      </c>
      <c r="G1915" t="s">
        <v>110</v>
      </c>
      <c r="J1915" t="s">
        <v>111</v>
      </c>
      <c r="K1915">
        <v>0</v>
      </c>
      <c r="L1915">
        <v>3</v>
      </c>
      <c r="M1915">
        <v>0</v>
      </c>
      <c r="N1915">
        <v>2</v>
      </c>
      <c r="O1915">
        <v>1</v>
      </c>
      <c r="P1915">
        <v>0</v>
      </c>
      <c r="Q1915">
        <v>0</v>
      </c>
      <c r="R1915" t="s">
        <v>112</v>
      </c>
      <c r="S1915" t="str">
        <f>"14:22:16.539"</f>
        <v>14:22:16.539</v>
      </c>
      <c r="T1915" t="str">
        <f>"14:22:16.141"</f>
        <v>14:22:16.141</v>
      </c>
      <c r="U1915" t="str">
        <f t="shared" si="87"/>
        <v>ad5732</v>
      </c>
      <c r="V1915">
        <v>0</v>
      </c>
      <c r="W1915">
        <v>0</v>
      </c>
      <c r="X1915">
        <v>1</v>
      </c>
      <c r="Z1915">
        <v>0</v>
      </c>
      <c r="AA1915">
        <v>9</v>
      </c>
      <c r="AB1915">
        <v>3</v>
      </c>
      <c r="AC1915">
        <v>0</v>
      </c>
      <c r="AD1915">
        <v>10</v>
      </c>
      <c r="AE1915">
        <v>0</v>
      </c>
      <c r="AF1915">
        <v>3</v>
      </c>
      <c r="AG1915">
        <v>2</v>
      </c>
      <c r="AH1915">
        <v>0</v>
      </c>
      <c r="AI1915" t="s">
        <v>3935</v>
      </c>
      <c r="AJ1915">
        <v>39.805162000000003</v>
      </c>
      <c r="AK1915" t="s">
        <v>3936</v>
      </c>
      <c r="AL1915">
        <v>-75.951834000000005</v>
      </c>
      <c r="AM1915">
        <v>100</v>
      </c>
      <c r="AN1915">
        <v>4700</v>
      </c>
      <c r="AO1915" t="s">
        <v>115</v>
      </c>
      <c r="AP1915">
        <v>156</v>
      </c>
      <c r="AQ1915">
        <v>81</v>
      </c>
      <c r="AR1915">
        <v>-64</v>
      </c>
      <c r="AZ1915">
        <v>3614</v>
      </c>
      <c r="BA1915">
        <v>1</v>
      </c>
      <c r="BB1915" t="str">
        <f t="shared" si="89"/>
        <v xml:space="preserve">N959MJ  </v>
      </c>
      <c r="BC1915">
        <v>1</v>
      </c>
      <c r="BE1915">
        <v>0</v>
      </c>
      <c r="BF1915">
        <v>0</v>
      </c>
      <c r="BG1915">
        <v>0</v>
      </c>
      <c r="BH1915">
        <v>4900</v>
      </c>
      <c r="BI1915">
        <v>200</v>
      </c>
      <c r="BJ1915">
        <v>1</v>
      </c>
      <c r="BK1915">
        <v>1</v>
      </c>
      <c r="BL1915">
        <v>1</v>
      </c>
      <c r="BM1915">
        <v>0</v>
      </c>
      <c r="BP1915">
        <v>0</v>
      </c>
      <c r="BQ1915">
        <v>0</v>
      </c>
      <c r="BX1915" t="str">
        <f>"14:22:16.539"</f>
        <v>14:22:16.539</v>
      </c>
      <c r="BY1915" t="str">
        <f>"541916209"</f>
        <v>541916209</v>
      </c>
      <c r="CL1915">
        <v>0</v>
      </c>
      <c r="CM1915">
        <v>2</v>
      </c>
      <c r="CN1915">
        <v>0</v>
      </c>
      <c r="CO1915">
        <v>2</v>
      </c>
      <c r="CP1915">
        <v>0</v>
      </c>
      <c r="CQ1915">
        <v>7</v>
      </c>
      <c r="CR1915" t="s">
        <v>116</v>
      </c>
      <c r="CS1915">
        <v>39</v>
      </c>
      <c r="CT1915">
        <v>2</v>
      </c>
      <c r="CU1915" t="s">
        <v>2259</v>
      </c>
      <c r="CV1915" t="s">
        <v>2260</v>
      </c>
      <c r="CY1915">
        <v>16357569</v>
      </c>
      <c r="CZ1915" t="s">
        <v>119</v>
      </c>
    </row>
    <row r="1916" spans="1:104" x14ac:dyDescent="0.25">
      <c r="A1916" t="str">
        <f>"14:22:17.727"</f>
        <v>14:22:17.727</v>
      </c>
      <c r="B1916" t="s">
        <v>108</v>
      </c>
      <c r="C1916" t="str">
        <f t="shared" si="88"/>
        <v>ffdfd3c0</v>
      </c>
      <c r="D1916" t="s">
        <v>109</v>
      </c>
      <c r="E1916">
        <v>4</v>
      </c>
      <c r="F1916">
        <v>1004</v>
      </c>
      <c r="G1916" t="s">
        <v>110</v>
      </c>
      <c r="J1916" t="s">
        <v>111</v>
      </c>
      <c r="K1916">
        <v>0</v>
      </c>
      <c r="L1916">
        <v>3</v>
      </c>
      <c r="M1916">
        <v>0</v>
      </c>
      <c r="N1916">
        <v>2</v>
      </c>
      <c r="O1916">
        <v>1</v>
      </c>
      <c r="P1916">
        <v>0</v>
      </c>
      <c r="Q1916">
        <v>0</v>
      </c>
      <c r="R1916" t="s">
        <v>112</v>
      </c>
      <c r="S1916" t="str">
        <f>"14:22:17.563"</f>
        <v>14:22:17.563</v>
      </c>
      <c r="T1916" t="str">
        <f>"14:22:17.164"</f>
        <v>14:22:17.164</v>
      </c>
      <c r="U1916" t="str">
        <f t="shared" si="87"/>
        <v>ad5732</v>
      </c>
      <c r="V1916">
        <v>0</v>
      </c>
      <c r="W1916">
        <v>0</v>
      </c>
      <c r="X1916">
        <v>1</v>
      </c>
      <c r="Z1916">
        <v>0</v>
      </c>
      <c r="AA1916">
        <v>9</v>
      </c>
      <c r="AB1916">
        <v>3</v>
      </c>
      <c r="AC1916">
        <v>0</v>
      </c>
      <c r="AD1916">
        <v>10</v>
      </c>
      <c r="AE1916">
        <v>0</v>
      </c>
      <c r="AF1916">
        <v>3</v>
      </c>
      <c r="AG1916">
        <v>2</v>
      </c>
      <c r="AH1916">
        <v>0</v>
      </c>
      <c r="AI1916" t="s">
        <v>3937</v>
      </c>
      <c r="AJ1916">
        <v>39.805526999999998</v>
      </c>
      <c r="AK1916" t="s">
        <v>3938</v>
      </c>
      <c r="AL1916">
        <v>-75.950868</v>
      </c>
      <c r="AM1916">
        <v>100</v>
      </c>
      <c r="AN1916">
        <v>4700</v>
      </c>
      <c r="AO1916" t="s">
        <v>115</v>
      </c>
      <c r="AP1916">
        <v>156</v>
      </c>
      <c r="AQ1916">
        <v>81</v>
      </c>
      <c r="AR1916">
        <v>-128</v>
      </c>
      <c r="AZ1916">
        <v>3614</v>
      </c>
      <c r="BA1916">
        <v>1</v>
      </c>
      <c r="BB1916" t="str">
        <f t="shared" si="89"/>
        <v xml:space="preserve">N959MJ  </v>
      </c>
      <c r="BC1916">
        <v>1</v>
      </c>
      <c r="BE1916">
        <v>0</v>
      </c>
      <c r="BF1916">
        <v>0</v>
      </c>
      <c r="BG1916">
        <v>0</v>
      </c>
      <c r="BH1916">
        <v>4900</v>
      </c>
      <c r="BI1916">
        <v>200</v>
      </c>
      <c r="BJ1916">
        <v>1</v>
      </c>
      <c r="BK1916">
        <v>1</v>
      </c>
      <c r="BL1916">
        <v>1</v>
      </c>
      <c r="BM1916">
        <v>0</v>
      </c>
      <c r="BP1916">
        <v>0</v>
      </c>
      <c r="BQ1916">
        <v>0</v>
      </c>
      <c r="BX1916" t="str">
        <f>"14:22:17.563"</f>
        <v>14:22:17.563</v>
      </c>
      <c r="BY1916" t="str">
        <f>"565933325"</f>
        <v>565933325</v>
      </c>
      <c r="CL1916">
        <v>0</v>
      </c>
      <c r="CM1916">
        <v>2</v>
      </c>
      <c r="CN1916">
        <v>0</v>
      </c>
      <c r="CO1916">
        <v>2</v>
      </c>
      <c r="CP1916">
        <v>0</v>
      </c>
      <c r="CQ1916">
        <v>7</v>
      </c>
      <c r="CR1916" t="s">
        <v>116</v>
      </c>
      <c r="CS1916">
        <v>39</v>
      </c>
      <c r="CT1916">
        <v>2</v>
      </c>
      <c r="CU1916" t="s">
        <v>2259</v>
      </c>
      <c r="CV1916" t="s">
        <v>2260</v>
      </c>
      <c r="CY1916">
        <v>16359086</v>
      </c>
      <c r="CZ1916" t="s">
        <v>119</v>
      </c>
    </row>
    <row r="1917" spans="1:104" x14ac:dyDescent="0.25">
      <c r="A1917" t="str">
        <f>"14:22:18.586"</f>
        <v>14:22:18.586</v>
      </c>
      <c r="B1917" t="s">
        <v>108</v>
      </c>
      <c r="C1917" t="str">
        <f t="shared" si="88"/>
        <v>ffdfd3c0</v>
      </c>
      <c r="D1917" t="s">
        <v>109</v>
      </c>
      <c r="E1917">
        <v>4</v>
      </c>
      <c r="F1917">
        <v>1004</v>
      </c>
      <c r="G1917" t="s">
        <v>110</v>
      </c>
      <c r="J1917" t="s">
        <v>111</v>
      </c>
      <c r="K1917">
        <v>0</v>
      </c>
      <c r="L1917">
        <v>3</v>
      </c>
      <c r="M1917">
        <v>0</v>
      </c>
      <c r="N1917">
        <v>2</v>
      </c>
      <c r="O1917">
        <v>1</v>
      </c>
      <c r="P1917">
        <v>0</v>
      </c>
      <c r="Q1917">
        <v>0</v>
      </c>
      <c r="R1917" t="s">
        <v>112</v>
      </c>
      <c r="S1917" t="str">
        <f>"14:22:18.391"</f>
        <v>14:22:18.391</v>
      </c>
      <c r="T1917" t="str">
        <f>"14:22:17.992"</f>
        <v>14:22:17.992</v>
      </c>
      <c r="U1917" t="str">
        <f t="shared" si="87"/>
        <v>ad5732</v>
      </c>
      <c r="V1917">
        <v>0</v>
      </c>
      <c r="W1917">
        <v>0</v>
      </c>
      <c r="X1917">
        <v>1</v>
      </c>
      <c r="Z1917">
        <v>0</v>
      </c>
      <c r="AA1917">
        <v>9</v>
      </c>
      <c r="AB1917">
        <v>3</v>
      </c>
      <c r="AC1917">
        <v>0</v>
      </c>
      <c r="AD1917">
        <v>10</v>
      </c>
      <c r="AE1917">
        <v>0</v>
      </c>
      <c r="AF1917">
        <v>3</v>
      </c>
      <c r="AG1917">
        <v>2</v>
      </c>
      <c r="AH1917">
        <v>0</v>
      </c>
      <c r="AI1917" t="s">
        <v>3939</v>
      </c>
      <c r="AJ1917">
        <v>39.805849000000002</v>
      </c>
      <c r="AK1917" t="s">
        <v>3940</v>
      </c>
      <c r="AL1917">
        <v>-75.950159999999997</v>
      </c>
      <c r="AM1917">
        <v>100</v>
      </c>
      <c r="AN1917">
        <v>4700</v>
      </c>
      <c r="AO1917" t="s">
        <v>115</v>
      </c>
      <c r="AP1917">
        <v>156</v>
      </c>
      <c r="AQ1917">
        <v>81</v>
      </c>
      <c r="AR1917">
        <v>-128</v>
      </c>
      <c r="AZ1917">
        <v>3614</v>
      </c>
      <c r="BA1917">
        <v>1</v>
      </c>
      <c r="BB1917" t="str">
        <f t="shared" si="89"/>
        <v xml:space="preserve">N959MJ  </v>
      </c>
      <c r="BC1917">
        <v>1</v>
      </c>
      <c r="BE1917">
        <v>0</v>
      </c>
      <c r="BF1917">
        <v>0</v>
      </c>
      <c r="BG1917">
        <v>0</v>
      </c>
      <c r="BH1917">
        <v>4900</v>
      </c>
      <c r="BI1917">
        <v>200</v>
      </c>
      <c r="BJ1917">
        <v>1</v>
      </c>
      <c r="BK1917">
        <v>1</v>
      </c>
      <c r="BL1917">
        <v>1</v>
      </c>
      <c r="BM1917">
        <v>0</v>
      </c>
      <c r="BP1917">
        <v>0</v>
      </c>
      <c r="BQ1917">
        <v>0</v>
      </c>
      <c r="BX1917" t="str">
        <f>"14:22:18.391"</f>
        <v>14:22:18.391</v>
      </c>
      <c r="BY1917" t="str">
        <f>"393339158"</f>
        <v>393339158</v>
      </c>
      <c r="CL1917">
        <v>0</v>
      </c>
      <c r="CM1917">
        <v>2</v>
      </c>
      <c r="CN1917">
        <v>0</v>
      </c>
      <c r="CO1917">
        <v>2</v>
      </c>
      <c r="CP1917">
        <v>0</v>
      </c>
      <c r="CQ1917">
        <v>7</v>
      </c>
      <c r="CR1917" t="s">
        <v>116</v>
      </c>
      <c r="CS1917">
        <v>39</v>
      </c>
      <c r="CT1917">
        <v>2</v>
      </c>
      <c r="CU1917" t="s">
        <v>2259</v>
      </c>
      <c r="CV1917" t="s">
        <v>2260</v>
      </c>
      <c r="CY1917">
        <v>16360486</v>
      </c>
      <c r="CZ1917" t="s">
        <v>119</v>
      </c>
    </row>
    <row r="1918" spans="1:104" x14ac:dyDescent="0.25">
      <c r="A1918" t="str">
        <f>"14:22:19.594"</f>
        <v>14:22:19.594</v>
      </c>
      <c r="B1918" t="s">
        <v>108</v>
      </c>
      <c r="C1918" t="str">
        <f t="shared" si="88"/>
        <v>ffdfd3c0</v>
      </c>
      <c r="D1918" t="s">
        <v>109</v>
      </c>
      <c r="E1918">
        <v>4</v>
      </c>
      <c r="F1918">
        <v>1004</v>
      </c>
      <c r="G1918" t="s">
        <v>110</v>
      </c>
      <c r="J1918" t="s">
        <v>111</v>
      </c>
      <c r="K1918">
        <v>0</v>
      </c>
      <c r="L1918">
        <v>3</v>
      </c>
      <c r="M1918">
        <v>0</v>
      </c>
      <c r="N1918">
        <v>2</v>
      </c>
      <c r="O1918">
        <v>1</v>
      </c>
      <c r="P1918">
        <v>0</v>
      </c>
      <c r="Q1918">
        <v>0</v>
      </c>
      <c r="R1918" t="s">
        <v>112</v>
      </c>
      <c r="S1918" t="str">
        <f>"14:22:19.422"</f>
        <v>14:22:19.422</v>
      </c>
      <c r="T1918" t="str">
        <f>"14:22:18.922"</f>
        <v>14:22:18.922</v>
      </c>
      <c r="U1918" t="str">
        <f t="shared" si="87"/>
        <v>ad5732</v>
      </c>
      <c r="V1918">
        <v>0</v>
      </c>
      <c r="W1918">
        <v>0</v>
      </c>
      <c r="X1918">
        <v>1</v>
      </c>
      <c r="Z1918">
        <v>0</v>
      </c>
      <c r="AA1918">
        <v>9</v>
      </c>
      <c r="AB1918">
        <v>3</v>
      </c>
      <c r="AC1918">
        <v>0</v>
      </c>
      <c r="AD1918">
        <v>10</v>
      </c>
      <c r="AE1918">
        <v>0</v>
      </c>
      <c r="AF1918">
        <v>3</v>
      </c>
      <c r="AG1918">
        <v>2</v>
      </c>
      <c r="AH1918">
        <v>0</v>
      </c>
      <c r="AI1918" t="s">
        <v>3941</v>
      </c>
      <c r="AJ1918">
        <v>39.806255999999998</v>
      </c>
      <c r="AK1918" t="s">
        <v>3942</v>
      </c>
      <c r="AL1918">
        <v>-75.949087000000006</v>
      </c>
      <c r="AM1918">
        <v>100</v>
      </c>
      <c r="AN1918">
        <v>4700</v>
      </c>
      <c r="AO1918" t="s">
        <v>115</v>
      </c>
      <c r="AP1918">
        <v>156</v>
      </c>
      <c r="AQ1918">
        <v>82</v>
      </c>
      <c r="AR1918">
        <v>-192</v>
      </c>
      <c r="AZ1918">
        <v>3614</v>
      </c>
      <c r="BA1918">
        <v>1</v>
      </c>
      <c r="BB1918" t="str">
        <f t="shared" si="89"/>
        <v xml:space="preserve">N959MJ  </v>
      </c>
      <c r="BC1918">
        <v>1</v>
      </c>
      <c r="BE1918">
        <v>0</v>
      </c>
      <c r="BF1918">
        <v>0</v>
      </c>
      <c r="BG1918">
        <v>0</v>
      </c>
      <c r="BH1918">
        <v>4900</v>
      </c>
      <c r="BI1918">
        <v>200</v>
      </c>
      <c r="BJ1918">
        <v>1</v>
      </c>
      <c r="BK1918">
        <v>1</v>
      </c>
      <c r="BL1918">
        <v>1</v>
      </c>
      <c r="BM1918">
        <v>0</v>
      </c>
      <c r="BP1918">
        <v>0</v>
      </c>
      <c r="BQ1918">
        <v>0</v>
      </c>
      <c r="BX1918" t="str">
        <f>"14:22:19.422"</f>
        <v>14:22:19.422</v>
      </c>
      <c r="BY1918" t="str">
        <f>"423909980"</f>
        <v>423909980</v>
      </c>
      <c r="CL1918">
        <v>0</v>
      </c>
      <c r="CM1918">
        <v>2</v>
      </c>
      <c r="CN1918">
        <v>0</v>
      </c>
      <c r="CO1918">
        <v>2</v>
      </c>
      <c r="CP1918">
        <v>0</v>
      </c>
      <c r="CQ1918">
        <v>7</v>
      </c>
      <c r="CR1918" t="s">
        <v>116</v>
      </c>
      <c r="CS1918">
        <v>39</v>
      </c>
      <c r="CT1918">
        <v>2</v>
      </c>
      <c r="CU1918" t="s">
        <v>2259</v>
      </c>
      <c r="CV1918" t="s">
        <v>2260</v>
      </c>
      <c r="CY1918">
        <v>16362113</v>
      </c>
      <c r="CZ1918" t="s">
        <v>119</v>
      </c>
    </row>
    <row r="1919" spans="1:104" x14ac:dyDescent="0.25">
      <c r="A1919" t="str">
        <f>"14:22:20.703"</f>
        <v>14:22:20.703</v>
      </c>
      <c r="B1919" t="s">
        <v>108</v>
      </c>
      <c r="C1919" t="str">
        <f t="shared" si="88"/>
        <v>ffdfd3c0</v>
      </c>
      <c r="D1919" t="s">
        <v>109</v>
      </c>
      <c r="E1919">
        <v>4</v>
      </c>
      <c r="F1919">
        <v>1004</v>
      </c>
      <c r="G1919" t="s">
        <v>110</v>
      </c>
      <c r="J1919" t="s">
        <v>111</v>
      </c>
      <c r="K1919">
        <v>0</v>
      </c>
      <c r="L1919">
        <v>3</v>
      </c>
      <c r="M1919">
        <v>0</v>
      </c>
      <c r="N1919">
        <v>2</v>
      </c>
      <c r="O1919">
        <v>1</v>
      </c>
      <c r="P1919">
        <v>0</v>
      </c>
      <c r="Q1919">
        <v>0</v>
      </c>
      <c r="R1919" t="s">
        <v>112</v>
      </c>
      <c r="S1919" t="str">
        <f>"14:22:20.508"</f>
        <v>14:22:20.508</v>
      </c>
      <c r="T1919" t="str">
        <f>"14:22:20.008"</f>
        <v>14:22:20.008</v>
      </c>
      <c r="U1919" t="str">
        <f t="shared" si="87"/>
        <v>ad5732</v>
      </c>
      <c r="V1919">
        <v>0</v>
      </c>
      <c r="W1919">
        <v>0</v>
      </c>
      <c r="X1919">
        <v>1</v>
      </c>
      <c r="Z1919">
        <v>0</v>
      </c>
      <c r="AA1919">
        <v>9</v>
      </c>
      <c r="AB1919">
        <v>3</v>
      </c>
      <c r="AC1919">
        <v>0</v>
      </c>
      <c r="AD1919">
        <v>10</v>
      </c>
      <c r="AE1919">
        <v>0</v>
      </c>
      <c r="AF1919">
        <v>3</v>
      </c>
      <c r="AG1919">
        <v>2</v>
      </c>
      <c r="AH1919">
        <v>0</v>
      </c>
      <c r="AI1919" t="s">
        <v>3943</v>
      </c>
      <c r="AJ1919">
        <v>39.806663999999998</v>
      </c>
      <c r="AK1919" t="s">
        <v>3944</v>
      </c>
      <c r="AL1919">
        <v>-75.948079000000007</v>
      </c>
      <c r="AM1919">
        <v>100</v>
      </c>
      <c r="AN1919">
        <v>4700</v>
      </c>
      <c r="AO1919" t="s">
        <v>115</v>
      </c>
      <c r="AP1919">
        <v>156</v>
      </c>
      <c r="AQ1919">
        <v>82</v>
      </c>
      <c r="AR1919">
        <v>-192</v>
      </c>
      <c r="AZ1919">
        <v>3614</v>
      </c>
      <c r="BA1919">
        <v>1</v>
      </c>
      <c r="BB1919" t="str">
        <f t="shared" si="89"/>
        <v xml:space="preserve">N959MJ  </v>
      </c>
      <c r="BC1919">
        <v>1</v>
      </c>
      <c r="BE1919">
        <v>0</v>
      </c>
      <c r="BF1919">
        <v>0</v>
      </c>
      <c r="BG1919">
        <v>0</v>
      </c>
      <c r="BH1919">
        <v>4900</v>
      </c>
      <c r="BI1919">
        <v>200</v>
      </c>
      <c r="BJ1919">
        <v>1</v>
      </c>
      <c r="BK1919">
        <v>1</v>
      </c>
      <c r="BL1919">
        <v>1</v>
      </c>
      <c r="BM1919">
        <v>0</v>
      </c>
      <c r="BP1919">
        <v>0</v>
      </c>
      <c r="BQ1919">
        <v>0</v>
      </c>
      <c r="BX1919" t="str">
        <f>"14:22:20.516"</f>
        <v>14:22:20.516</v>
      </c>
      <c r="BY1919" t="str">
        <f>"511825778"</f>
        <v>511825778</v>
      </c>
      <c r="CL1919">
        <v>0</v>
      </c>
      <c r="CM1919">
        <v>2</v>
      </c>
      <c r="CN1919">
        <v>0</v>
      </c>
      <c r="CO1919">
        <v>2</v>
      </c>
      <c r="CP1919">
        <v>0</v>
      </c>
      <c r="CQ1919">
        <v>7</v>
      </c>
      <c r="CR1919" t="s">
        <v>116</v>
      </c>
      <c r="CS1919">
        <v>39</v>
      </c>
      <c r="CT1919">
        <v>2</v>
      </c>
      <c r="CU1919" t="s">
        <v>2259</v>
      </c>
      <c r="CV1919" t="s">
        <v>2260</v>
      </c>
      <c r="CY1919">
        <v>16363849</v>
      </c>
      <c r="CZ1919" t="s">
        <v>119</v>
      </c>
    </row>
    <row r="1920" spans="1:104" x14ac:dyDescent="0.25">
      <c r="A1920" t="str">
        <f>"14:22:21.766"</f>
        <v>14:22:21.766</v>
      </c>
      <c r="B1920" t="s">
        <v>108</v>
      </c>
      <c r="C1920" t="str">
        <f t="shared" si="88"/>
        <v>ffdfd3c0</v>
      </c>
      <c r="D1920" t="s">
        <v>109</v>
      </c>
      <c r="E1920">
        <v>4</v>
      </c>
      <c r="F1920">
        <v>1004</v>
      </c>
      <c r="G1920" t="s">
        <v>110</v>
      </c>
      <c r="J1920" t="s">
        <v>111</v>
      </c>
      <c r="K1920">
        <v>0</v>
      </c>
      <c r="L1920">
        <v>3</v>
      </c>
      <c r="M1920">
        <v>0</v>
      </c>
      <c r="N1920">
        <v>2</v>
      </c>
      <c r="O1920">
        <v>1</v>
      </c>
      <c r="P1920">
        <v>0</v>
      </c>
      <c r="Q1920">
        <v>0</v>
      </c>
      <c r="R1920" t="s">
        <v>112</v>
      </c>
      <c r="S1920" t="str">
        <f>"14:22:21.570"</f>
        <v>14:22:21.570</v>
      </c>
      <c r="T1920" t="str">
        <f>"14:22:21.070"</f>
        <v>14:22:21.070</v>
      </c>
      <c r="U1920" t="str">
        <f t="shared" si="87"/>
        <v>ad5732</v>
      </c>
      <c r="V1920">
        <v>0</v>
      </c>
      <c r="W1920">
        <v>0</v>
      </c>
      <c r="X1920">
        <v>1</v>
      </c>
      <c r="Z1920">
        <v>0</v>
      </c>
      <c r="AA1920">
        <v>9</v>
      </c>
      <c r="AB1920">
        <v>3</v>
      </c>
      <c r="AC1920">
        <v>0</v>
      </c>
      <c r="AD1920">
        <v>10</v>
      </c>
      <c r="AE1920">
        <v>0</v>
      </c>
      <c r="AF1920">
        <v>3</v>
      </c>
      <c r="AG1920">
        <v>2</v>
      </c>
      <c r="AH1920">
        <v>0</v>
      </c>
      <c r="AI1920" t="s">
        <v>3945</v>
      </c>
      <c r="AJ1920">
        <v>39.807029</v>
      </c>
      <c r="AK1920" t="s">
        <v>3946</v>
      </c>
      <c r="AL1920">
        <v>-75.947113000000002</v>
      </c>
      <c r="AM1920">
        <v>100</v>
      </c>
      <c r="AN1920">
        <v>4700</v>
      </c>
      <c r="AO1920" t="s">
        <v>115</v>
      </c>
      <c r="AP1920">
        <v>157</v>
      </c>
      <c r="AQ1920">
        <v>82</v>
      </c>
      <c r="AR1920">
        <v>-128</v>
      </c>
      <c r="AZ1920">
        <v>3614</v>
      </c>
      <c r="BA1920">
        <v>1</v>
      </c>
      <c r="BB1920" t="str">
        <f t="shared" si="89"/>
        <v xml:space="preserve">N959MJ  </v>
      </c>
      <c r="BC1920">
        <v>1</v>
      </c>
      <c r="BE1920">
        <v>0</v>
      </c>
      <c r="BF1920">
        <v>0</v>
      </c>
      <c r="BG1920">
        <v>0</v>
      </c>
      <c r="BH1920">
        <v>4900</v>
      </c>
      <c r="BI1920">
        <v>200</v>
      </c>
      <c r="BJ1920">
        <v>1</v>
      </c>
      <c r="BK1920">
        <v>1</v>
      </c>
      <c r="BL1920">
        <v>1</v>
      </c>
      <c r="BM1920">
        <v>0</v>
      </c>
      <c r="BP1920">
        <v>0</v>
      </c>
      <c r="BQ1920">
        <v>0</v>
      </c>
      <c r="BX1920" t="str">
        <f>"14:22:21.578"</f>
        <v>14:22:21.578</v>
      </c>
      <c r="BY1920" t="str">
        <f>"575165162"</f>
        <v>575165162</v>
      </c>
      <c r="CL1920">
        <v>0</v>
      </c>
      <c r="CM1920">
        <v>2</v>
      </c>
      <c r="CN1920">
        <v>0</v>
      </c>
      <c r="CO1920">
        <v>2</v>
      </c>
      <c r="CP1920">
        <v>0</v>
      </c>
      <c r="CQ1920">
        <v>7</v>
      </c>
      <c r="CR1920" t="s">
        <v>116</v>
      </c>
      <c r="CS1920">
        <v>39</v>
      </c>
      <c r="CT1920">
        <v>2</v>
      </c>
      <c r="CU1920" t="s">
        <v>2259</v>
      </c>
      <c r="CV1920" t="s">
        <v>2260</v>
      </c>
      <c r="CY1920">
        <v>16365535</v>
      </c>
      <c r="CZ1920" t="s">
        <v>119</v>
      </c>
    </row>
    <row r="1921" spans="1:104" x14ac:dyDescent="0.25">
      <c r="A1921" t="str">
        <f>"14:22:22.625"</f>
        <v>14:22:22.625</v>
      </c>
      <c r="B1921" t="s">
        <v>108</v>
      </c>
      <c r="C1921" t="str">
        <f t="shared" si="88"/>
        <v>ffdfd3c0</v>
      </c>
      <c r="D1921" t="s">
        <v>109</v>
      </c>
      <c r="E1921">
        <v>4</v>
      </c>
      <c r="F1921">
        <v>1004</v>
      </c>
      <c r="G1921" t="s">
        <v>110</v>
      </c>
      <c r="J1921" t="s">
        <v>111</v>
      </c>
      <c r="K1921">
        <v>0</v>
      </c>
      <c r="L1921">
        <v>3</v>
      </c>
      <c r="M1921">
        <v>0</v>
      </c>
      <c r="N1921">
        <v>2</v>
      </c>
      <c r="O1921">
        <v>1</v>
      </c>
      <c r="P1921">
        <v>0</v>
      </c>
      <c r="Q1921">
        <v>0</v>
      </c>
      <c r="R1921" t="s">
        <v>112</v>
      </c>
      <c r="S1921" t="str">
        <f>"14:22:22.445"</f>
        <v>14:22:22.445</v>
      </c>
      <c r="T1921" t="str">
        <f>"14:22:22.047"</f>
        <v>14:22:22.047</v>
      </c>
      <c r="U1921" t="str">
        <f t="shared" si="87"/>
        <v>ad5732</v>
      </c>
      <c r="V1921">
        <v>0</v>
      </c>
      <c r="W1921">
        <v>0</v>
      </c>
      <c r="X1921">
        <v>1</v>
      </c>
      <c r="Z1921">
        <v>0</v>
      </c>
      <c r="AA1921">
        <v>9</v>
      </c>
      <c r="AB1921">
        <v>3</v>
      </c>
      <c r="AC1921">
        <v>0</v>
      </c>
      <c r="AD1921">
        <v>10</v>
      </c>
      <c r="AE1921">
        <v>0</v>
      </c>
      <c r="AF1921">
        <v>3</v>
      </c>
      <c r="AG1921">
        <v>2</v>
      </c>
      <c r="AH1921">
        <v>0</v>
      </c>
      <c r="AI1921" t="s">
        <v>3947</v>
      </c>
      <c r="AJ1921">
        <v>39.807372000000001</v>
      </c>
      <c r="AK1921" t="s">
        <v>3948</v>
      </c>
      <c r="AL1921">
        <v>-75.946297999999999</v>
      </c>
      <c r="AM1921">
        <v>100</v>
      </c>
      <c r="AN1921">
        <v>4700</v>
      </c>
      <c r="AO1921" t="s">
        <v>115</v>
      </c>
      <c r="AP1921">
        <v>157</v>
      </c>
      <c r="AQ1921">
        <v>83</v>
      </c>
      <c r="AR1921">
        <v>-64</v>
      </c>
      <c r="AZ1921">
        <v>3614</v>
      </c>
      <c r="BA1921">
        <v>1</v>
      </c>
      <c r="BB1921" t="str">
        <f t="shared" si="89"/>
        <v xml:space="preserve">N959MJ  </v>
      </c>
      <c r="BC1921">
        <v>1</v>
      </c>
      <c r="BE1921">
        <v>0</v>
      </c>
      <c r="BF1921">
        <v>0</v>
      </c>
      <c r="BG1921">
        <v>0</v>
      </c>
      <c r="BH1921">
        <v>4900</v>
      </c>
      <c r="BI1921">
        <v>200</v>
      </c>
      <c r="BJ1921">
        <v>1</v>
      </c>
      <c r="BK1921">
        <v>1</v>
      </c>
      <c r="BL1921">
        <v>1</v>
      </c>
      <c r="BM1921">
        <v>0</v>
      </c>
      <c r="BP1921">
        <v>0</v>
      </c>
      <c r="BQ1921">
        <v>0</v>
      </c>
      <c r="BX1921" t="str">
        <f>"14:22:22.453"</f>
        <v>14:22:22.453</v>
      </c>
      <c r="BY1921" t="str">
        <f>"450085392"</f>
        <v>450085392</v>
      </c>
      <c r="CL1921">
        <v>0</v>
      </c>
      <c r="CM1921">
        <v>2</v>
      </c>
      <c r="CN1921">
        <v>0</v>
      </c>
      <c r="CO1921">
        <v>2</v>
      </c>
      <c r="CP1921">
        <v>0</v>
      </c>
      <c r="CQ1921">
        <v>7</v>
      </c>
      <c r="CR1921" t="s">
        <v>116</v>
      </c>
      <c r="CS1921">
        <v>39</v>
      </c>
      <c r="CT1921">
        <v>2</v>
      </c>
      <c r="CU1921" t="s">
        <v>2259</v>
      </c>
      <c r="CV1921" t="s">
        <v>2260</v>
      </c>
      <c r="CY1921">
        <v>16366938</v>
      </c>
      <c r="CZ1921" t="s">
        <v>119</v>
      </c>
    </row>
    <row r="1922" spans="1:104" x14ac:dyDescent="0.25">
      <c r="A1922" t="str">
        <f>"14:22:23.633"</f>
        <v>14:22:23.633</v>
      </c>
      <c r="B1922" t="s">
        <v>108</v>
      </c>
      <c r="C1922" t="str">
        <f t="shared" si="88"/>
        <v>ffdfd3c0</v>
      </c>
      <c r="D1922" t="s">
        <v>109</v>
      </c>
      <c r="E1922">
        <v>4</v>
      </c>
      <c r="F1922">
        <v>1004</v>
      </c>
      <c r="G1922" t="s">
        <v>110</v>
      </c>
      <c r="J1922" t="s">
        <v>111</v>
      </c>
      <c r="K1922">
        <v>0</v>
      </c>
      <c r="L1922">
        <v>3</v>
      </c>
      <c r="M1922">
        <v>0</v>
      </c>
      <c r="N1922">
        <v>2</v>
      </c>
      <c r="O1922">
        <v>1</v>
      </c>
      <c r="P1922">
        <v>0</v>
      </c>
      <c r="Q1922">
        <v>0</v>
      </c>
      <c r="R1922" t="s">
        <v>112</v>
      </c>
      <c r="S1922" t="str">
        <f>"14:22:23.438"</f>
        <v>14:22:23.438</v>
      </c>
      <c r="T1922" t="str">
        <f>"14:22:23.039"</f>
        <v>14:22:23.039</v>
      </c>
      <c r="U1922" t="str">
        <f t="shared" ref="U1922:U1985" si="90">"ad5732"</f>
        <v>ad5732</v>
      </c>
      <c r="V1922">
        <v>0</v>
      </c>
      <c r="W1922">
        <v>0</v>
      </c>
      <c r="X1922">
        <v>1</v>
      </c>
      <c r="Z1922">
        <v>0</v>
      </c>
      <c r="AA1922">
        <v>9</v>
      </c>
      <c r="AB1922">
        <v>3</v>
      </c>
      <c r="AC1922">
        <v>0</v>
      </c>
      <c r="AD1922">
        <v>10</v>
      </c>
      <c r="AE1922">
        <v>0</v>
      </c>
      <c r="AF1922">
        <v>3</v>
      </c>
      <c r="AG1922">
        <v>2</v>
      </c>
      <c r="AH1922">
        <v>0</v>
      </c>
      <c r="AI1922" t="s">
        <v>3949</v>
      </c>
      <c r="AJ1922">
        <v>39.807800999999998</v>
      </c>
      <c r="AK1922" t="s">
        <v>3950</v>
      </c>
      <c r="AL1922">
        <v>-75.945311000000004</v>
      </c>
      <c r="AM1922">
        <v>100</v>
      </c>
      <c r="AN1922">
        <v>4700</v>
      </c>
      <c r="AO1922" t="s">
        <v>115</v>
      </c>
      <c r="AP1922">
        <v>157</v>
      </c>
      <c r="AQ1922">
        <v>83</v>
      </c>
      <c r="AR1922">
        <v>0</v>
      </c>
      <c r="AZ1922">
        <v>3614</v>
      </c>
      <c r="BA1922">
        <v>1</v>
      </c>
      <c r="BB1922" t="str">
        <f t="shared" si="89"/>
        <v xml:space="preserve">N959MJ  </v>
      </c>
      <c r="BC1922">
        <v>1</v>
      </c>
      <c r="BE1922">
        <v>0</v>
      </c>
      <c r="BF1922">
        <v>0</v>
      </c>
      <c r="BG1922">
        <v>0</v>
      </c>
      <c r="BH1922">
        <v>4900</v>
      </c>
      <c r="BI1922">
        <v>200</v>
      </c>
      <c r="BJ1922">
        <v>1</v>
      </c>
      <c r="BK1922">
        <v>1</v>
      </c>
      <c r="BL1922">
        <v>1</v>
      </c>
      <c r="BM1922">
        <v>0</v>
      </c>
      <c r="BP1922">
        <v>0</v>
      </c>
      <c r="BQ1922">
        <v>0</v>
      </c>
      <c r="BX1922" t="str">
        <f>"14:22:23.438"</f>
        <v>14:22:23.438</v>
      </c>
      <c r="BY1922" t="str">
        <f>"439695537"</f>
        <v>439695537</v>
      </c>
      <c r="CL1922">
        <v>0</v>
      </c>
      <c r="CM1922">
        <v>2</v>
      </c>
      <c r="CN1922">
        <v>0</v>
      </c>
      <c r="CO1922">
        <v>2</v>
      </c>
      <c r="CP1922">
        <v>0</v>
      </c>
      <c r="CQ1922">
        <v>7</v>
      </c>
      <c r="CR1922" t="s">
        <v>116</v>
      </c>
      <c r="CS1922">
        <v>39</v>
      </c>
      <c r="CT1922">
        <v>2</v>
      </c>
      <c r="CU1922" t="s">
        <v>2259</v>
      </c>
      <c r="CV1922" t="s">
        <v>2260</v>
      </c>
      <c r="CY1922">
        <v>16368420</v>
      </c>
      <c r="CZ1922" t="s">
        <v>119</v>
      </c>
    </row>
    <row r="1923" spans="1:104" x14ac:dyDescent="0.25">
      <c r="A1923" t="str">
        <f>"14:22:24.539"</f>
        <v>14:22:24.539</v>
      </c>
      <c r="B1923" t="s">
        <v>108</v>
      </c>
      <c r="C1923" t="str">
        <f t="shared" si="88"/>
        <v>ffdfd3c0</v>
      </c>
      <c r="D1923" t="s">
        <v>109</v>
      </c>
      <c r="E1923">
        <v>4</v>
      </c>
      <c r="F1923">
        <v>1004</v>
      </c>
      <c r="G1923" t="s">
        <v>110</v>
      </c>
      <c r="J1923" t="s">
        <v>111</v>
      </c>
      <c r="K1923">
        <v>0</v>
      </c>
      <c r="L1923">
        <v>3</v>
      </c>
      <c r="M1923">
        <v>0</v>
      </c>
      <c r="N1923">
        <v>2</v>
      </c>
      <c r="O1923">
        <v>1</v>
      </c>
      <c r="P1923">
        <v>0</v>
      </c>
      <c r="Q1923">
        <v>0</v>
      </c>
      <c r="R1923" t="s">
        <v>112</v>
      </c>
      <c r="S1923" t="str">
        <f>"14:22:24.328"</f>
        <v>14:22:24.328</v>
      </c>
      <c r="T1923" t="str">
        <f>"14:22:23.930"</f>
        <v>14:22:23.930</v>
      </c>
      <c r="U1923" t="str">
        <f t="shared" si="90"/>
        <v>ad5732</v>
      </c>
      <c r="V1923">
        <v>0</v>
      </c>
      <c r="W1923">
        <v>0</v>
      </c>
      <c r="X1923">
        <v>1</v>
      </c>
      <c r="Z1923">
        <v>0</v>
      </c>
      <c r="AA1923">
        <v>9</v>
      </c>
      <c r="AB1923">
        <v>3</v>
      </c>
      <c r="AC1923">
        <v>0</v>
      </c>
      <c r="AD1923">
        <v>10</v>
      </c>
      <c r="AE1923">
        <v>0</v>
      </c>
      <c r="AF1923">
        <v>3</v>
      </c>
      <c r="AG1923">
        <v>2</v>
      </c>
      <c r="AH1923">
        <v>0</v>
      </c>
      <c r="AI1923" t="s">
        <v>3951</v>
      </c>
      <c r="AJ1923">
        <v>39.808145000000003</v>
      </c>
      <c r="AK1923" t="s">
        <v>3952</v>
      </c>
      <c r="AL1923">
        <v>-75.944495000000003</v>
      </c>
      <c r="AM1923">
        <v>100</v>
      </c>
      <c r="AN1923">
        <v>4700</v>
      </c>
      <c r="AO1923" t="s">
        <v>115</v>
      </c>
      <c r="AP1923">
        <v>157</v>
      </c>
      <c r="AQ1923">
        <v>83</v>
      </c>
      <c r="AR1923">
        <v>0</v>
      </c>
      <c r="AZ1923">
        <v>3614</v>
      </c>
      <c r="BA1923">
        <v>1</v>
      </c>
      <c r="BB1923" t="str">
        <f t="shared" si="89"/>
        <v xml:space="preserve">N959MJ  </v>
      </c>
      <c r="BC1923">
        <v>1</v>
      </c>
      <c r="BE1923">
        <v>0</v>
      </c>
      <c r="BF1923">
        <v>0</v>
      </c>
      <c r="BG1923">
        <v>0</v>
      </c>
      <c r="BH1923">
        <v>4900</v>
      </c>
      <c r="BI1923">
        <v>200</v>
      </c>
      <c r="BJ1923">
        <v>1</v>
      </c>
      <c r="BK1923">
        <v>1</v>
      </c>
      <c r="BL1923">
        <v>1</v>
      </c>
      <c r="BM1923">
        <v>0</v>
      </c>
      <c r="BP1923">
        <v>0</v>
      </c>
      <c r="BQ1923">
        <v>0</v>
      </c>
      <c r="BX1923" t="str">
        <f>"14:22:24.336"</f>
        <v>14:22:24.336</v>
      </c>
      <c r="BY1923" t="str">
        <f>"334276888"</f>
        <v>334276888</v>
      </c>
      <c r="CL1923">
        <v>0</v>
      </c>
      <c r="CM1923">
        <v>2</v>
      </c>
      <c r="CN1923">
        <v>0</v>
      </c>
      <c r="CO1923">
        <v>2</v>
      </c>
      <c r="CP1923">
        <v>0</v>
      </c>
      <c r="CQ1923">
        <v>7</v>
      </c>
      <c r="CR1923" t="s">
        <v>116</v>
      </c>
      <c r="CS1923">
        <v>39</v>
      </c>
      <c r="CT1923">
        <v>2</v>
      </c>
      <c r="CU1923" t="s">
        <v>2259</v>
      </c>
      <c r="CV1923" t="s">
        <v>2260</v>
      </c>
      <c r="CY1923">
        <v>16369879</v>
      </c>
      <c r="CZ1923" t="s">
        <v>119</v>
      </c>
    </row>
    <row r="1924" spans="1:104" x14ac:dyDescent="0.25">
      <c r="A1924" t="str">
        <f>"14:22:25.500"</f>
        <v>14:22:25.500</v>
      </c>
      <c r="B1924" t="s">
        <v>108</v>
      </c>
      <c r="C1924" t="str">
        <f t="shared" si="88"/>
        <v>ffdfd3c0</v>
      </c>
      <c r="D1924" t="s">
        <v>109</v>
      </c>
      <c r="E1924">
        <v>4</v>
      </c>
      <c r="F1924">
        <v>1004</v>
      </c>
      <c r="G1924" t="s">
        <v>110</v>
      </c>
      <c r="J1924" t="s">
        <v>111</v>
      </c>
      <c r="K1924">
        <v>0</v>
      </c>
      <c r="L1924">
        <v>3</v>
      </c>
      <c r="M1924">
        <v>0</v>
      </c>
      <c r="N1924">
        <v>2</v>
      </c>
      <c r="O1924">
        <v>1</v>
      </c>
      <c r="P1924">
        <v>0</v>
      </c>
      <c r="Q1924">
        <v>0</v>
      </c>
      <c r="R1924" t="s">
        <v>112</v>
      </c>
      <c r="S1924" t="str">
        <f>"14:22:25.305"</f>
        <v>14:22:25.305</v>
      </c>
      <c r="T1924" t="str">
        <f>"14:22:24.805"</f>
        <v>14:22:24.805</v>
      </c>
      <c r="U1924" t="str">
        <f t="shared" si="90"/>
        <v>ad5732</v>
      </c>
      <c r="V1924">
        <v>0</v>
      </c>
      <c r="W1924">
        <v>0</v>
      </c>
      <c r="X1924">
        <v>1</v>
      </c>
      <c r="Z1924">
        <v>0</v>
      </c>
      <c r="AA1924">
        <v>9</v>
      </c>
      <c r="AB1924">
        <v>3</v>
      </c>
      <c r="AC1924">
        <v>0</v>
      </c>
      <c r="AD1924">
        <v>10</v>
      </c>
      <c r="AE1924">
        <v>0</v>
      </c>
      <c r="AF1924">
        <v>3</v>
      </c>
      <c r="AG1924">
        <v>2</v>
      </c>
      <c r="AH1924">
        <v>0</v>
      </c>
      <c r="AI1924" t="s">
        <v>3953</v>
      </c>
      <c r="AJ1924">
        <v>39.808509000000001</v>
      </c>
      <c r="AK1924" t="s">
        <v>3954</v>
      </c>
      <c r="AL1924">
        <v>-75.943529999999996</v>
      </c>
      <c r="AM1924">
        <v>100</v>
      </c>
      <c r="AN1924">
        <v>4700</v>
      </c>
      <c r="AO1924" t="s">
        <v>115</v>
      </c>
      <c r="AP1924">
        <v>157</v>
      </c>
      <c r="AQ1924">
        <v>83</v>
      </c>
      <c r="AR1924">
        <v>64</v>
      </c>
      <c r="AZ1924">
        <v>3614</v>
      </c>
      <c r="BA1924">
        <v>1</v>
      </c>
      <c r="BB1924" t="str">
        <f t="shared" si="89"/>
        <v xml:space="preserve">N959MJ  </v>
      </c>
      <c r="BC1924">
        <v>1</v>
      </c>
      <c r="BE1924">
        <v>0</v>
      </c>
      <c r="BF1924">
        <v>0</v>
      </c>
      <c r="BG1924">
        <v>0</v>
      </c>
      <c r="BH1924">
        <v>4900</v>
      </c>
      <c r="BI1924">
        <v>200</v>
      </c>
      <c r="BJ1924">
        <v>1</v>
      </c>
      <c r="BK1924">
        <v>1</v>
      </c>
      <c r="BL1924">
        <v>1</v>
      </c>
      <c r="BM1924">
        <v>0</v>
      </c>
      <c r="BP1924">
        <v>0</v>
      </c>
      <c r="BQ1924">
        <v>0</v>
      </c>
      <c r="BX1924" t="str">
        <f>"14:22:25.313"</f>
        <v>14:22:25.313</v>
      </c>
      <c r="BY1924" t="str">
        <f>"310779673"</f>
        <v>310779673</v>
      </c>
      <c r="CL1924">
        <v>0</v>
      </c>
      <c r="CM1924">
        <v>2</v>
      </c>
      <c r="CN1924">
        <v>0</v>
      </c>
      <c r="CO1924">
        <v>2</v>
      </c>
      <c r="CP1924">
        <v>0</v>
      </c>
      <c r="CQ1924">
        <v>7</v>
      </c>
      <c r="CR1924" t="s">
        <v>116</v>
      </c>
      <c r="CS1924">
        <v>39</v>
      </c>
      <c r="CT1924">
        <v>2</v>
      </c>
      <c r="CU1924" t="s">
        <v>2259</v>
      </c>
      <c r="CV1924" t="s">
        <v>2260</v>
      </c>
      <c r="CY1924">
        <v>16371453</v>
      </c>
      <c r="CZ1924" t="s">
        <v>119</v>
      </c>
    </row>
    <row r="1925" spans="1:104" x14ac:dyDescent="0.25">
      <c r="A1925" t="str">
        <f>"14:22:26.508"</f>
        <v>14:22:26.508</v>
      </c>
      <c r="B1925" t="s">
        <v>108</v>
      </c>
      <c r="C1925" t="str">
        <f t="shared" si="88"/>
        <v>ffdfd3c0</v>
      </c>
      <c r="D1925" t="s">
        <v>109</v>
      </c>
      <c r="E1925">
        <v>4</v>
      </c>
      <c r="F1925">
        <v>1004</v>
      </c>
      <c r="G1925" t="s">
        <v>110</v>
      </c>
      <c r="J1925" t="s">
        <v>111</v>
      </c>
      <c r="K1925">
        <v>0</v>
      </c>
      <c r="L1925">
        <v>3</v>
      </c>
      <c r="M1925">
        <v>0</v>
      </c>
      <c r="N1925">
        <v>2</v>
      </c>
      <c r="O1925">
        <v>1</v>
      </c>
      <c r="P1925">
        <v>0</v>
      </c>
      <c r="Q1925">
        <v>0</v>
      </c>
      <c r="R1925" t="s">
        <v>112</v>
      </c>
      <c r="S1925" t="str">
        <f>"14:22:26.352"</f>
        <v>14:22:26.352</v>
      </c>
      <c r="T1925" t="str">
        <f>"14:22:25.852"</f>
        <v>14:22:25.852</v>
      </c>
      <c r="U1925" t="str">
        <f t="shared" si="90"/>
        <v>ad5732</v>
      </c>
      <c r="V1925">
        <v>0</v>
      </c>
      <c r="W1925">
        <v>0</v>
      </c>
      <c r="X1925">
        <v>1</v>
      </c>
      <c r="Z1925">
        <v>0</v>
      </c>
      <c r="AA1925">
        <v>9</v>
      </c>
      <c r="AB1925">
        <v>3</v>
      </c>
      <c r="AC1925">
        <v>0</v>
      </c>
      <c r="AD1925">
        <v>10</v>
      </c>
      <c r="AE1925">
        <v>0</v>
      </c>
      <c r="AF1925">
        <v>3</v>
      </c>
      <c r="AG1925">
        <v>2</v>
      </c>
      <c r="AH1925">
        <v>0</v>
      </c>
      <c r="AI1925" t="s">
        <v>3955</v>
      </c>
      <c r="AJ1925">
        <v>39.808917000000001</v>
      </c>
      <c r="AK1925" t="s">
        <v>3956</v>
      </c>
      <c r="AL1925">
        <v>-75.942627999999999</v>
      </c>
      <c r="AM1925">
        <v>100</v>
      </c>
      <c r="AN1925">
        <v>4700</v>
      </c>
      <c r="AO1925" t="s">
        <v>115</v>
      </c>
      <c r="AP1925">
        <v>156</v>
      </c>
      <c r="AQ1925">
        <v>83</v>
      </c>
      <c r="AR1925">
        <v>128</v>
      </c>
      <c r="AZ1925">
        <v>3614</v>
      </c>
      <c r="BA1925">
        <v>1</v>
      </c>
      <c r="BB1925" t="str">
        <f t="shared" si="89"/>
        <v xml:space="preserve">N959MJ  </v>
      </c>
      <c r="BC1925">
        <v>1</v>
      </c>
      <c r="BE1925">
        <v>0</v>
      </c>
      <c r="BF1925">
        <v>0</v>
      </c>
      <c r="BG1925">
        <v>0</v>
      </c>
      <c r="BH1925">
        <v>4900</v>
      </c>
      <c r="BI1925">
        <v>200</v>
      </c>
      <c r="BJ1925">
        <v>1</v>
      </c>
      <c r="BK1925">
        <v>1</v>
      </c>
      <c r="BL1925">
        <v>1</v>
      </c>
      <c r="BM1925">
        <v>0</v>
      </c>
      <c r="BP1925">
        <v>0</v>
      </c>
      <c r="BQ1925">
        <v>0</v>
      </c>
      <c r="BX1925" t="str">
        <f>"14:22:26.359"</f>
        <v>14:22:26.359</v>
      </c>
      <c r="BY1925" t="str">
        <f>"356172222"</f>
        <v>356172222</v>
      </c>
      <c r="CL1925">
        <v>0</v>
      </c>
      <c r="CM1925">
        <v>2</v>
      </c>
      <c r="CN1925">
        <v>0</v>
      </c>
      <c r="CO1925">
        <v>2</v>
      </c>
      <c r="CP1925">
        <v>0</v>
      </c>
      <c r="CQ1925">
        <v>6</v>
      </c>
      <c r="CR1925" t="s">
        <v>116</v>
      </c>
      <c r="CS1925">
        <v>396</v>
      </c>
      <c r="CT1925">
        <v>1</v>
      </c>
      <c r="CU1925" t="s">
        <v>939</v>
      </c>
      <c r="CV1925" t="s">
        <v>940</v>
      </c>
      <c r="CY1925">
        <v>9740059</v>
      </c>
      <c r="CZ1925" t="s">
        <v>119</v>
      </c>
    </row>
    <row r="1926" spans="1:104" x14ac:dyDescent="0.25">
      <c r="A1926" t="str">
        <f>"14:22:27.523"</f>
        <v>14:22:27.523</v>
      </c>
      <c r="B1926" t="s">
        <v>108</v>
      </c>
      <c r="C1926" t="str">
        <f t="shared" si="88"/>
        <v>ffdfd3c0</v>
      </c>
      <c r="D1926" t="s">
        <v>109</v>
      </c>
      <c r="E1926">
        <v>4</v>
      </c>
      <c r="F1926">
        <v>1004</v>
      </c>
      <c r="G1926" t="s">
        <v>110</v>
      </c>
      <c r="J1926" t="s">
        <v>111</v>
      </c>
      <c r="K1926">
        <v>0</v>
      </c>
      <c r="L1926">
        <v>3</v>
      </c>
      <c r="M1926">
        <v>0</v>
      </c>
      <c r="N1926">
        <v>2</v>
      </c>
      <c r="O1926">
        <v>1</v>
      </c>
      <c r="P1926">
        <v>0</v>
      </c>
      <c r="Q1926">
        <v>0</v>
      </c>
      <c r="R1926" t="s">
        <v>112</v>
      </c>
      <c r="S1926" t="str">
        <f>"14:22:27.328"</f>
        <v>14:22:27.328</v>
      </c>
      <c r="T1926" t="str">
        <f>"14:22:26.930"</f>
        <v>14:22:26.930</v>
      </c>
      <c r="U1926" t="str">
        <f t="shared" si="90"/>
        <v>ad5732</v>
      </c>
      <c r="V1926">
        <v>0</v>
      </c>
      <c r="W1926">
        <v>0</v>
      </c>
      <c r="X1926">
        <v>1</v>
      </c>
      <c r="Z1926">
        <v>0</v>
      </c>
      <c r="AA1926">
        <v>9</v>
      </c>
      <c r="AB1926">
        <v>3</v>
      </c>
      <c r="AC1926">
        <v>0</v>
      </c>
      <c r="AD1926">
        <v>10</v>
      </c>
      <c r="AE1926">
        <v>0</v>
      </c>
      <c r="AF1926">
        <v>3</v>
      </c>
      <c r="AG1926">
        <v>2</v>
      </c>
      <c r="AH1926">
        <v>0</v>
      </c>
      <c r="AI1926" t="s">
        <v>3957</v>
      </c>
      <c r="AJ1926">
        <v>39.809282000000003</v>
      </c>
      <c r="AK1926" t="s">
        <v>3958</v>
      </c>
      <c r="AL1926">
        <v>-75.941683999999995</v>
      </c>
      <c r="AM1926">
        <v>100</v>
      </c>
      <c r="AN1926">
        <v>4700</v>
      </c>
      <c r="AO1926" t="s">
        <v>115</v>
      </c>
      <c r="AP1926">
        <v>156</v>
      </c>
      <c r="AQ1926">
        <v>84</v>
      </c>
      <c r="AR1926">
        <v>128</v>
      </c>
      <c r="AZ1926">
        <v>3614</v>
      </c>
      <c r="BA1926">
        <v>1</v>
      </c>
      <c r="BB1926" t="str">
        <f t="shared" si="89"/>
        <v xml:space="preserve">N959MJ  </v>
      </c>
      <c r="BC1926">
        <v>1</v>
      </c>
      <c r="BE1926">
        <v>0</v>
      </c>
      <c r="BF1926">
        <v>0</v>
      </c>
      <c r="BG1926">
        <v>0</v>
      </c>
      <c r="BH1926">
        <v>4900</v>
      </c>
      <c r="BI1926">
        <v>200</v>
      </c>
      <c r="BJ1926">
        <v>1</v>
      </c>
      <c r="BK1926">
        <v>1</v>
      </c>
      <c r="BL1926">
        <v>1</v>
      </c>
      <c r="BM1926">
        <v>0</v>
      </c>
      <c r="BP1926">
        <v>0</v>
      </c>
      <c r="BQ1926">
        <v>0</v>
      </c>
      <c r="BX1926" t="str">
        <f>"14:22:27.336"</f>
        <v>14:22:27.336</v>
      </c>
      <c r="BY1926" t="str">
        <f>"332599089"</f>
        <v>332599089</v>
      </c>
      <c r="CL1926">
        <v>0</v>
      </c>
      <c r="CM1926">
        <v>2</v>
      </c>
      <c r="CN1926">
        <v>0</v>
      </c>
      <c r="CO1926">
        <v>2</v>
      </c>
      <c r="CP1926">
        <v>0</v>
      </c>
      <c r="CQ1926">
        <v>7</v>
      </c>
      <c r="CR1926" t="s">
        <v>116</v>
      </c>
      <c r="CS1926">
        <v>39</v>
      </c>
      <c r="CT1926">
        <v>2</v>
      </c>
      <c r="CU1926" t="s">
        <v>2259</v>
      </c>
      <c r="CV1926" t="s">
        <v>2260</v>
      </c>
      <c r="CY1926">
        <v>16374576</v>
      </c>
      <c r="CZ1926" t="s">
        <v>119</v>
      </c>
    </row>
    <row r="1927" spans="1:104" x14ac:dyDescent="0.25">
      <c r="A1927" t="str">
        <f>"14:22:28.680"</f>
        <v>14:22:28.680</v>
      </c>
      <c r="B1927" t="s">
        <v>108</v>
      </c>
      <c r="C1927" t="str">
        <f t="shared" si="88"/>
        <v>ffdfd3c0</v>
      </c>
      <c r="D1927" t="s">
        <v>109</v>
      </c>
      <c r="E1927">
        <v>4</v>
      </c>
      <c r="F1927">
        <v>1004</v>
      </c>
      <c r="G1927" t="s">
        <v>110</v>
      </c>
      <c r="J1927" t="s">
        <v>111</v>
      </c>
      <c r="K1927">
        <v>0</v>
      </c>
      <c r="L1927">
        <v>3</v>
      </c>
      <c r="M1927">
        <v>0</v>
      </c>
      <c r="N1927">
        <v>2</v>
      </c>
      <c r="O1927">
        <v>1</v>
      </c>
      <c r="P1927">
        <v>0</v>
      </c>
      <c r="Q1927">
        <v>0</v>
      </c>
      <c r="R1927" t="s">
        <v>112</v>
      </c>
      <c r="S1927" t="str">
        <f>"14:22:28.477"</f>
        <v>14:22:28.477</v>
      </c>
      <c r="T1927" t="str">
        <f>"14:22:27.977"</f>
        <v>14:22:27.977</v>
      </c>
      <c r="U1927" t="str">
        <f t="shared" si="90"/>
        <v>ad5732</v>
      </c>
      <c r="V1927">
        <v>0</v>
      </c>
      <c r="W1927">
        <v>0</v>
      </c>
      <c r="X1927">
        <v>1</v>
      </c>
      <c r="Z1927">
        <v>0</v>
      </c>
      <c r="AA1927">
        <v>9</v>
      </c>
      <c r="AB1927">
        <v>3</v>
      </c>
      <c r="AC1927">
        <v>0</v>
      </c>
      <c r="AD1927">
        <v>10</v>
      </c>
      <c r="AE1927">
        <v>0</v>
      </c>
      <c r="AF1927">
        <v>3</v>
      </c>
      <c r="AG1927">
        <v>2</v>
      </c>
      <c r="AH1927">
        <v>0</v>
      </c>
      <c r="AI1927" t="s">
        <v>3959</v>
      </c>
      <c r="AJ1927">
        <v>39.809711</v>
      </c>
      <c r="AK1927" t="s">
        <v>3960</v>
      </c>
      <c r="AL1927">
        <v>-75.940611000000004</v>
      </c>
      <c r="AM1927">
        <v>100</v>
      </c>
      <c r="AN1927">
        <v>4700</v>
      </c>
      <c r="AO1927" t="s">
        <v>115</v>
      </c>
      <c r="AP1927">
        <v>156</v>
      </c>
      <c r="AQ1927">
        <v>83</v>
      </c>
      <c r="AR1927">
        <v>128</v>
      </c>
      <c r="AZ1927">
        <v>3614</v>
      </c>
      <c r="BA1927">
        <v>1</v>
      </c>
      <c r="BB1927" t="str">
        <f t="shared" si="89"/>
        <v xml:space="preserve">N959MJ  </v>
      </c>
      <c r="BC1927">
        <v>1</v>
      </c>
      <c r="BE1927">
        <v>0</v>
      </c>
      <c r="BF1927">
        <v>0</v>
      </c>
      <c r="BG1927">
        <v>0</v>
      </c>
      <c r="BH1927">
        <v>4900</v>
      </c>
      <c r="BI1927">
        <v>200</v>
      </c>
      <c r="BJ1927">
        <v>1</v>
      </c>
      <c r="BK1927">
        <v>1</v>
      </c>
      <c r="BL1927">
        <v>1</v>
      </c>
      <c r="BM1927">
        <v>0</v>
      </c>
      <c r="BP1927">
        <v>0</v>
      </c>
      <c r="BQ1927">
        <v>0</v>
      </c>
      <c r="BX1927" t="str">
        <f>"14:22:28.477"</f>
        <v>14:22:28.477</v>
      </c>
      <c r="BY1927" t="str">
        <f>"479498216"</f>
        <v>479498216</v>
      </c>
      <c r="CL1927">
        <v>0</v>
      </c>
      <c r="CM1927">
        <v>2</v>
      </c>
      <c r="CN1927">
        <v>0</v>
      </c>
      <c r="CO1927">
        <v>2</v>
      </c>
      <c r="CP1927">
        <v>0</v>
      </c>
      <c r="CQ1927">
        <v>7</v>
      </c>
      <c r="CR1927" t="s">
        <v>116</v>
      </c>
      <c r="CS1927">
        <v>39</v>
      </c>
      <c r="CT1927">
        <v>2</v>
      </c>
      <c r="CU1927" t="s">
        <v>2259</v>
      </c>
      <c r="CV1927" t="s">
        <v>2260</v>
      </c>
      <c r="CY1927">
        <v>16376384</v>
      </c>
      <c r="CZ1927" t="s">
        <v>119</v>
      </c>
    </row>
    <row r="1928" spans="1:104" x14ac:dyDescent="0.25">
      <c r="A1928" t="str">
        <f>"14:22:29.539"</f>
        <v>14:22:29.539</v>
      </c>
      <c r="B1928" t="s">
        <v>108</v>
      </c>
      <c r="C1928" t="str">
        <f t="shared" si="88"/>
        <v>ffdfd3c0</v>
      </c>
      <c r="D1928" t="s">
        <v>109</v>
      </c>
      <c r="E1928">
        <v>4</v>
      </c>
      <c r="F1928">
        <v>1004</v>
      </c>
      <c r="G1928" t="s">
        <v>110</v>
      </c>
      <c r="J1928" t="s">
        <v>111</v>
      </c>
      <c r="K1928">
        <v>0</v>
      </c>
      <c r="L1928">
        <v>3</v>
      </c>
      <c r="M1928">
        <v>0</v>
      </c>
      <c r="N1928">
        <v>2</v>
      </c>
      <c r="O1928">
        <v>1</v>
      </c>
      <c r="P1928">
        <v>0</v>
      </c>
      <c r="Q1928">
        <v>0</v>
      </c>
      <c r="R1928" t="s">
        <v>112</v>
      </c>
      <c r="S1928" t="str">
        <f>"14:22:29.391"</f>
        <v>14:22:29.391</v>
      </c>
      <c r="T1928" t="str">
        <f>"14:22:28.992"</f>
        <v>14:22:28.992</v>
      </c>
      <c r="U1928" t="str">
        <f t="shared" si="90"/>
        <v>ad5732</v>
      </c>
      <c r="V1928">
        <v>0</v>
      </c>
      <c r="W1928">
        <v>0</v>
      </c>
      <c r="X1928">
        <v>1</v>
      </c>
      <c r="Z1928">
        <v>0</v>
      </c>
      <c r="AA1928">
        <v>9</v>
      </c>
      <c r="AB1928">
        <v>3</v>
      </c>
      <c r="AC1928">
        <v>0</v>
      </c>
      <c r="AD1928">
        <v>10</v>
      </c>
      <c r="AE1928">
        <v>0</v>
      </c>
      <c r="AF1928">
        <v>3</v>
      </c>
      <c r="AG1928">
        <v>2</v>
      </c>
      <c r="AH1928">
        <v>0</v>
      </c>
      <c r="AI1928" t="s">
        <v>3961</v>
      </c>
      <c r="AJ1928">
        <v>39.810054000000001</v>
      </c>
      <c r="AK1928" t="s">
        <v>3962</v>
      </c>
      <c r="AL1928">
        <v>-75.939774999999997</v>
      </c>
      <c r="AM1928">
        <v>100</v>
      </c>
      <c r="AN1928">
        <v>4700</v>
      </c>
      <c r="AO1928" t="s">
        <v>115</v>
      </c>
      <c r="AP1928">
        <v>156</v>
      </c>
      <c r="AQ1928">
        <v>83</v>
      </c>
      <c r="AR1928">
        <v>64</v>
      </c>
      <c r="AZ1928">
        <v>3614</v>
      </c>
      <c r="BA1928">
        <v>1</v>
      </c>
      <c r="BB1928" t="str">
        <f t="shared" si="89"/>
        <v xml:space="preserve">N959MJ  </v>
      </c>
      <c r="BC1928">
        <v>1</v>
      </c>
      <c r="BE1928">
        <v>0</v>
      </c>
      <c r="BF1928">
        <v>0</v>
      </c>
      <c r="BG1928">
        <v>0</v>
      </c>
      <c r="BH1928">
        <v>4900</v>
      </c>
      <c r="BI1928">
        <v>200</v>
      </c>
      <c r="BJ1928">
        <v>1</v>
      </c>
      <c r="BK1928">
        <v>1</v>
      </c>
      <c r="BL1928">
        <v>1</v>
      </c>
      <c r="BM1928">
        <v>0</v>
      </c>
      <c r="BP1928">
        <v>0</v>
      </c>
      <c r="BQ1928">
        <v>0</v>
      </c>
      <c r="BX1928" t="str">
        <f>"14:22:29.398"</f>
        <v>14:22:29.398</v>
      </c>
      <c r="BY1928" t="str">
        <f>"395379182"</f>
        <v>395379182</v>
      </c>
      <c r="CL1928">
        <v>0</v>
      </c>
      <c r="CM1928">
        <v>2</v>
      </c>
      <c r="CN1928">
        <v>0</v>
      </c>
      <c r="CO1928">
        <v>2</v>
      </c>
      <c r="CP1928">
        <v>0</v>
      </c>
      <c r="CQ1928">
        <v>7</v>
      </c>
      <c r="CR1928" t="s">
        <v>116</v>
      </c>
      <c r="CS1928">
        <v>39</v>
      </c>
      <c r="CT1928">
        <v>2</v>
      </c>
      <c r="CU1928" t="s">
        <v>2259</v>
      </c>
      <c r="CV1928" t="s">
        <v>2260</v>
      </c>
      <c r="CY1928">
        <v>16377952</v>
      </c>
      <c r="CZ1928" t="s">
        <v>119</v>
      </c>
    </row>
    <row r="1929" spans="1:104" x14ac:dyDescent="0.25">
      <c r="A1929" t="str">
        <f>"14:22:30.648"</f>
        <v>14:22:30.648</v>
      </c>
      <c r="B1929" t="s">
        <v>108</v>
      </c>
      <c r="C1929" t="str">
        <f t="shared" si="88"/>
        <v>ffdfd3c0</v>
      </c>
      <c r="D1929" t="s">
        <v>109</v>
      </c>
      <c r="E1929">
        <v>4</v>
      </c>
      <c r="F1929">
        <v>1004</v>
      </c>
      <c r="G1929" t="s">
        <v>110</v>
      </c>
      <c r="J1929" t="s">
        <v>111</v>
      </c>
      <c r="K1929">
        <v>0</v>
      </c>
      <c r="L1929">
        <v>3</v>
      </c>
      <c r="M1929">
        <v>0</v>
      </c>
      <c r="N1929">
        <v>2</v>
      </c>
      <c r="O1929">
        <v>1</v>
      </c>
      <c r="P1929">
        <v>0</v>
      </c>
      <c r="Q1929">
        <v>0</v>
      </c>
      <c r="R1929" t="s">
        <v>112</v>
      </c>
      <c r="S1929" t="str">
        <f>"14:22:30.461"</f>
        <v>14:22:30.461</v>
      </c>
      <c r="T1929" t="str">
        <f>"14:22:29.961"</f>
        <v>14:22:29.961</v>
      </c>
      <c r="U1929" t="str">
        <f t="shared" si="90"/>
        <v>ad5732</v>
      </c>
      <c r="V1929">
        <v>0</v>
      </c>
      <c r="W1929">
        <v>0</v>
      </c>
      <c r="X1929">
        <v>1</v>
      </c>
      <c r="Z1929">
        <v>0</v>
      </c>
      <c r="AA1929">
        <v>9</v>
      </c>
      <c r="AB1929">
        <v>3</v>
      </c>
      <c r="AC1929">
        <v>0</v>
      </c>
      <c r="AD1929">
        <v>10</v>
      </c>
      <c r="AE1929">
        <v>0</v>
      </c>
      <c r="AF1929">
        <v>3</v>
      </c>
      <c r="AG1929">
        <v>2</v>
      </c>
      <c r="AH1929">
        <v>0</v>
      </c>
      <c r="AI1929" t="s">
        <v>3963</v>
      </c>
      <c r="AJ1929">
        <v>39.810504999999999</v>
      </c>
      <c r="AK1929" t="s">
        <v>3964</v>
      </c>
      <c r="AL1929">
        <v>-75.938787000000005</v>
      </c>
      <c r="AM1929">
        <v>100</v>
      </c>
      <c r="AN1929">
        <v>4700</v>
      </c>
      <c r="AO1929" t="s">
        <v>115</v>
      </c>
      <c r="AP1929">
        <v>156</v>
      </c>
      <c r="AQ1929">
        <v>83</v>
      </c>
      <c r="AR1929">
        <v>0</v>
      </c>
      <c r="AZ1929">
        <v>3614</v>
      </c>
      <c r="BA1929">
        <v>1</v>
      </c>
      <c r="BB1929" t="str">
        <f t="shared" si="89"/>
        <v xml:space="preserve">N959MJ  </v>
      </c>
      <c r="BC1929">
        <v>1</v>
      </c>
      <c r="BE1929">
        <v>0</v>
      </c>
      <c r="BF1929">
        <v>0</v>
      </c>
      <c r="BG1929">
        <v>0</v>
      </c>
      <c r="BH1929">
        <v>4900</v>
      </c>
      <c r="BI1929">
        <v>200</v>
      </c>
      <c r="BJ1929">
        <v>1</v>
      </c>
      <c r="BK1929">
        <v>1</v>
      </c>
      <c r="BL1929">
        <v>1</v>
      </c>
      <c r="BM1929">
        <v>0</v>
      </c>
      <c r="BP1929">
        <v>0</v>
      </c>
      <c r="BQ1929">
        <v>0</v>
      </c>
      <c r="BX1929" t="str">
        <f>"14:22:30.461"</f>
        <v>14:22:30.461</v>
      </c>
      <c r="BY1929" t="str">
        <f>"463633794"</f>
        <v>463633794</v>
      </c>
      <c r="CL1929">
        <v>0</v>
      </c>
      <c r="CM1929">
        <v>2</v>
      </c>
      <c r="CN1929">
        <v>0</v>
      </c>
      <c r="CO1929">
        <v>2</v>
      </c>
      <c r="CP1929">
        <v>0</v>
      </c>
      <c r="CQ1929">
        <v>5</v>
      </c>
      <c r="CR1929" t="s">
        <v>116</v>
      </c>
      <c r="CS1929">
        <v>39</v>
      </c>
      <c r="CT1929">
        <v>3</v>
      </c>
      <c r="CU1929" t="s">
        <v>2259</v>
      </c>
      <c r="CV1929" t="s">
        <v>2260</v>
      </c>
      <c r="CY1929">
        <v>10336956</v>
      </c>
      <c r="CZ1929" t="s">
        <v>119</v>
      </c>
    </row>
    <row r="1930" spans="1:104" x14ac:dyDescent="0.25">
      <c r="A1930" t="str">
        <f>"14:22:31.766"</f>
        <v>14:22:31.766</v>
      </c>
      <c r="B1930" t="s">
        <v>108</v>
      </c>
      <c r="C1930" t="str">
        <f t="shared" ref="C1930:C1993" si="91">"ffdfd3c0"</f>
        <v>ffdfd3c0</v>
      </c>
      <c r="D1930" t="s">
        <v>109</v>
      </c>
      <c r="E1930">
        <v>4</v>
      </c>
      <c r="F1930">
        <v>1004</v>
      </c>
      <c r="G1930" t="s">
        <v>110</v>
      </c>
      <c r="J1930" t="s">
        <v>111</v>
      </c>
      <c r="K1930">
        <v>0</v>
      </c>
      <c r="L1930">
        <v>3</v>
      </c>
      <c r="M1930">
        <v>0</v>
      </c>
      <c r="N1930">
        <v>2</v>
      </c>
      <c r="O1930">
        <v>1</v>
      </c>
      <c r="P1930">
        <v>0</v>
      </c>
      <c r="Q1930">
        <v>0</v>
      </c>
      <c r="R1930" t="s">
        <v>112</v>
      </c>
      <c r="S1930" t="str">
        <f>"14:22:31.563"</f>
        <v>14:22:31.563</v>
      </c>
      <c r="T1930" t="str">
        <f>"14:22:31.063"</f>
        <v>14:22:31.063</v>
      </c>
      <c r="U1930" t="str">
        <f t="shared" si="90"/>
        <v>ad5732</v>
      </c>
      <c r="V1930">
        <v>0</v>
      </c>
      <c r="W1930">
        <v>0</v>
      </c>
      <c r="X1930">
        <v>1</v>
      </c>
      <c r="Z1930">
        <v>0</v>
      </c>
      <c r="AA1930">
        <v>9</v>
      </c>
      <c r="AB1930">
        <v>3</v>
      </c>
      <c r="AC1930">
        <v>0</v>
      </c>
      <c r="AD1930">
        <v>10</v>
      </c>
      <c r="AE1930">
        <v>0</v>
      </c>
      <c r="AF1930">
        <v>3</v>
      </c>
      <c r="AG1930">
        <v>2</v>
      </c>
      <c r="AH1930">
        <v>0</v>
      </c>
      <c r="AI1930" t="s">
        <v>3965</v>
      </c>
      <c r="AJ1930">
        <v>39.810890999999998</v>
      </c>
      <c r="AK1930" t="s">
        <v>3966</v>
      </c>
      <c r="AL1930">
        <v>-75.937736000000001</v>
      </c>
      <c r="AM1930">
        <v>100</v>
      </c>
      <c r="AN1930">
        <v>4700</v>
      </c>
      <c r="AO1930" t="s">
        <v>115</v>
      </c>
      <c r="AP1930">
        <v>157</v>
      </c>
      <c r="AQ1930">
        <v>83</v>
      </c>
      <c r="AR1930">
        <v>0</v>
      </c>
      <c r="AZ1930">
        <v>3614</v>
      </c>
      <c r="BA1930">
        <v>1</v>
      </c>
      <c r="BB1930" t="str">
        <f t="shared" ref="BB1930:BB1993" si="92">"N959MJ  "</f>
        <v xml:space="preserve">N959MJ  </v>
      </c>
      <c r="BC1930">
        <v>1</v>
      </c>
      <c r="BE1930">
        <v>0</v>
      </c>
      <c r="BF1930">
        <v>0</v>
      </c>
      <c r="BG1930">
        <v>0</v>
      </c>
      <c r="BH1930">
        <v>4900</v>
      </c>
      <c r="BI1930">
        <v>200</v>
      </c>
      <c r="BJ1930">
        <v>1</v>
      </c>
      <c r="BK1930">
        <v>1</v>
      </c>
      <c r="BL1930">
        <v>1</v>
      </c>
      <c r="BM1930">
        <v>0</v>
      </c>
      <c r="BP1930">
        <v>0</v>
      </c>
      <c r="BQ1930">
        <v>0</v>
      </c>
      <c r="BX1930" t="str">
        <f>"14:22:31.570"</f>
        <v>14:22:31.570</v>
      </c>
      <c r="BY1930" t="str">
        <f>"567933876"</f>
        <v>567933876</v>
      </c>
      <c r="CL1930">
        <v>0</v>
      </c>
      <c r="CM1930">
        <v>2</v>
      </c>
      <c r="CN1930">
        <v>0</v>
      </c>
      <c r="CO1930">
        <v>2</v>
      </c>
      <c r="CP1930">
        <v>0</v>
      </c>
      <c r="CQ1930">
        <v>7</v>
      </c>
      <c r="CR1930" t="s">
        <v>116</v>
      </c>
      <c r="CS1930">
        <v>39</v>
      </c>
      <c r="CT1930">
        <v>2</v>
      </c>
      <c r="CU1930" t="s">
        <v>2259</v>
      </c>
      <c r="CV1930" t="s">
        <v>2260</v>
      </c>
      <c r="CY1930">
        <v>16381420</v>
      </c>
      <c r="CZ1930" t="s">
        <v>119</v>
      </c>
    </row>
    <row r="1931" spans="1:104" x14ac:dyDescent="0.25">
      <c r="A1931" t="str">
        <f>"14:22:32.820"</f>
        <v>14:22:32.820</v>
      </c>
      <c r="B1931" t="s">
        <v>108</v>
      </c>
      <c r="C1931" t="str">
        <f t="shared" si="91"/>
        <v>ffdfd3c0</v>
      </c>
      <c r="D1931" t="s">
        <v>109</v>
      </c>
      <c r="E1931">
        <v>4</v>
      </c>
      <c r="F1931">
        <v>1004</v>
      </c>
      <c r="G1931" t="s">
        <v>110</v>
      </c>
      <c r="J1931" t="s">
        <v>111</v>
      </c>
      <c r="K1931">
        <v>0</v>
      </c>
      <c r="L1931">
        <v>3</v>
      </c>
      <c r="M1931">
        <v>0</v>
      </c>
      <c r="N1931">
        <v>2</v>
      </c>
      <c r="O1931">
        <v>1</v>
      </c>
      <c r="P1931">
        <v>0</v>
      </c>
      <c r="Q1931">
        <v>0</v>
      </c>
      <c r="R1931" t="s">
        <v>112</v>
      </c>
      <c r="S1931" t="str">
        <f>"14:22:32.625"</f>
        <v>14:22:32.625</v>
      </c>
      <c r="T1931" t="str">
        <f>"14:22:32.227"</f>
        <v>14:22:32.227</v>
      </c>
      <c r="U1931" t="str">
        <f t="shared" si="90"/>
        <v>ad5732</v>
      </c>
      <c r="V1931">
        <v>0</v>
      </c>
      <c r="W1931">
        <v>0</v>
      </c>
      <c r="X1931">
        <v>1</v>
      </c>
      <c r="Z1931">
        <v>0</v>
      </c>
      <c r="AA1931">
        <v>9</v>
      </c>
      <c r="AB1931">
        <v>3</v>
      </c>
      <c r="AC1931">
        <v>0</v>
      </c>
      <c r="AD1931">
        <v>10</v>
      </c>
      <c r="AE1931">
        <v>0</v>
      </c>
      <c r="AF1931">
        <v>3</v>
      </c>
      <c r="AG1931">
        <v>2</v>
      </c>
      <c r="AH1931">
        <v>0</v>
      </c>
      <c r="AI1931" t="s">
        <v>3967</v>
      </c>
      <c r="AJ1931">
        <v>39.811342000000003</v>
      </c>
      <c r="AK1931" t="s">
        <v>3968</v>
      </c>
      <c r="AL1931">
        <v>-75.936706000000001</v>
      </c>
      <c r="AM1931">
        <v>100</v>
      </c>
      <c r="AN1931">
        <v>4700</v>
      </c>
      <c r="AO1931" t="s">
        <v>115</v>
      </c>
      <c r="AP1931">
        <v>157</v>
      </c>
      <c r="AQ1931">
        <v>83</v>
      </c>
      <c r="AR1931">
        <v>-64</v>
      </c>
      <c r="AZ1931">
        <v>3614</v>
      </c>
      <c r="BA1931">
        <v>1</v>
      </c>
      <c r="BB1931" t="str">
        <f t="shared" si="92"/>
        <v xml:space="preserve">N959MJ  </v>
      </c>
      <c r="BC1931">
        <v>1</v>
      </c>
      <c r="BE1931">
        <v>0</v>
      </c>
      <c r="BF1931">
        <v>0</v>
      </c>
      <c r="BG1931">
        <v>0</v>
      </c>
      <c r="BH1931">
        <v>4900</v>
      </c>
      <c r="BI1931">
        <v>200</v>
      </c>
      <c r="BJ1931">
        <v>1</v>
      </c>
      <c r="BK1931">
        <v>1</v>
      </c>
      <c r="BL1931">
        <v>1</v>
      </c>
      <c r="BM1931">
        <v>0</v>
      </c>
      <c r="BP1931">
        <v>0</v>
      </c>
      <c r="BQ1931">
        <v>0</v>
      </c>
      <c r="BX1931" t="str">
        <f>"14:22:32.625"</f>
        <v>14:22:32.625</v>
      </c>
      <c r="BY1931" t="str">
        <f>"626358028"</f>
        <v>626358028</v>
      </c>
      <c r="CL1931">
        <v>0</v>
      </c>
      <c r="CM1931">
        <v>2</v>
      </c>
      <c r="CN1931">
        <v>0</v>
      </c>
      <c r="CO1931">
        <v>2</v>
      </c>
      <c r="CP1931">
        <v>0</v>
      </c>
      <c r="CQ1931">
        <v>7</v>
      </c>
      <c r="CR1931" t="s">
        <v>116</v>
      </c>
      <c r="CS1931">
        <v>39</v>
      </c>
      <c r="CT1931">
        <v>2</v>
      </c>
      <c r="CU1931" t="s">
        <v>2259</v>
      </c>
      <c r="CV1931" t="s">
        <v>2260</v>
      </c>
      <c r="CY1931">
        <v>16383020</v>
      </c>
      <c r="CZ1931" t="s">
        <v>119</v>
      </c>
    </row>
    <row r="1932" spans="1:104" x14ac:dyDescent="0.25">
      <c r="A1932" t="str">
        <f>"14:22:33.781"</f>
        <v>14:22:33.781</v>
      </c>
      <c r="B1932" t="s">
        <v>108</v>
      </c>
      <c r="C1932" t="str">
        <f t="shared" si="91"/>
        <v>ffdfd3c0</v>
      </c>
      <c r="D1932" t="s">
        <v>109</v>
      </c>
      <c r="E1932">
        <v>4</v>
      </c>
      <c r="F1932">
        <v>1004</v>
      </c>
      <c r="G1932" t="s">
        <v>110</v>
      </c>
      <c r="J1932" t="s">
        <v>111</v>
      </c>
      <c r="K1932">
        <v>0</v>
      </c>
      <c r="L1932">
        <v>3</v>
      </c>
      <c r="M1932">
        <v>0</v>
      </c>
      <c r="N1932">
        <v>2</v>
      </c>
      <c r="O1932">
        <v>1</v>
      </c>
      <c r="P1932">
        <v>0</v>
      </c>
      <c r="Q1932">
        <v>0</v>
      </c>
      <c r="R1932" t="s">
        <v>112</v>
      </c>
      <c r="S1932" t="str">
        <f>"14:22:33.625"</f>
        <v>14:22:33.625</v>
      </c>
      <c r="T1932" t="str">
        <f>"14:22:33.125"</f>
        <v>14:22:33.125</v>
      </c>
      <c r="U1932" t="str">
        <f t="shared" si="90"/>
        <v>ad5732</v>
      </c>
      <c r="V1932">
        <v>0</v>
      </c>
      <c r="W1932">
        <v>0</v>
      </c>
      <c r="X1932">
        <v>1</v>
      </c>
      <c r="Z1932">
        <v>0</v>
      </c>
      <c r="AA1932">
        <v>9</v>
      </c>
      <c r="AB1932">
        <v>3</v>
      </c>
      <c r="AC1932">
        <v>0</v>
      </c>
      <c r="AD1932">
        <v>10</v>
      </c>
      <c r="AE1932">
        <v>0</v>
      </c>
      <c r="AF1932">
        <v>3</v>
      </c>
      <c r="AG1932">
        <v>2</v>
      </c>
      <c r="AH1932">
        <v>0</v>
      </c>
      <c r="AI1932" t="s">
        <v>3969</v>
      </c>
      <c r="AJ1932">
        <v>39.811706999999998</v>
      </c>
      <c r="AK1932" t="s">
        <v>3970</v>
      </c>
      <c r="AL1932">
        <v>-75.935783000000001</v>
      </c>
      <c r="AM1932">
        <v>100</v>
      </c>
      <c r="AN1932">
        <v>4700</v>
      </c>
      <c r="AO1932" t="s">
        <v>115</v>
      </c>
      <c r="AP1932">
        <v>157</v>
      </c>
      <c r="AQ1932">
        <v>83</v>
      </c>
      <c r="AR1932">
        <v>-64</v>
      </c>
      <c r="AZ1932">
        <v>3614</v>
      </c>
      <c r="BA1932">
        <v>1</v>
      </c>
      <c r="BB1932" t="str">
        <f t="shared" si="92"/>
        <v xml:space="preserve">N959MJ  </v>
      </c>
      <c r="BC1932">
        <v>1</v>
      </c>
      <c r="BE1932">
        <v>0</v>
      </c>
      <c r="BF1932">
        <v>0</v>
      </c>
      <c r="BG1932">
        <v>0</v>
      </c>
      <c r="BH1932">
        <v>4900</v>
      </c>
      <c r="BI1932">
        <v>200</v>
      </c>
      <c r="BJ1932">
        <v>1</v>
      </c>
      <c r="BK1932">
        <v>1</v>
      </c>
      <c r="BL1932">
        <v>1</v>
      </c>
      <c r="BM1932">
        <v>0</v>
      </c>
      <c r="BP1932">
        <v>0</v>
      </c>
      <c r="BQ1932">
        <v>0</v>
      </c>
      <c r="BX1932" t="str">
        <f>"14:22:33.633"</f>
        <v>14:22:33.633</v>
      </c>
      <c r="BY1932" t="str">
        <f>"631037472"</f>
        <v>631037472</v>
      </c>
      <c r="CL1932">
        <v>0</v>
      </c>
      <c r="CM1932">
        <v>2</v>
      </c>
      <c r="CN1932">
        <v>0</v>
      </c>
      <c r="CO1932">
        <v>2</v>
      </c>
      <c r="CP1932">
        <v>0</v>
      </c>
      <c r="CQ1932">
        <v>3</v>
      </c>
      <c r="CR1932" t="s">
        <v>116</v>
      </c>
      <c r="CS1932">
        <v>147</v>
      </c>
      <c r="CT1932">
        <v>0</v>
      </c>
      <c r="CU1932" t="s">
        <v>117</v>
      </c>
      <c r="CV1932" t="s">
        <v>118</v>
      </c>
      <c r="CY1932">
        <v>7109217</v>
      </c>
      <c r="CZ1932" t="s">
        <v>119</v>
      </c>
    </row>
    <row r="1933" spans="1:104" x14ac:dyDescent="0.25">
      <c r="A1933" t="str">
        <f>"14:22:34.742"</f>
        <v>14:22:34.742</v>
      </c>
      <c r="B1933" t="s">
        <v>108</v>
      </c>
      <c r="C1933" t="str">
        <f t="shared" si="91"/>
        <v>ffdfd3c0</v>
      </c>
      <c r="D1933" t="s">
        <v>109</v>
      </c>
      <c r="E1933">
        <v>4</v>
      </c>
      <c r="F1933">
        <v>1004</v>
      </c>
      <c r="G1933" t="s">
        <v>110</v>
      </c>
      <c r="J1933" t="s">
        <v>111</v>
      </c>
      <c r="K1933">
        <v>0</v>
      </c>
      <c r="L1933">
        <v>3</v>
      </c>
      <c r="M1933">
        <v>0</v>
      </c>
      <c r="N1933">
        <v>2</v>
      </c>
      <c r="O1933">
        <v>1</v>
      </c>
      <c r="P1933">
        <v>0</v>
      </c>
      <c r="Q1933">
        <v>0</v>
      </c>
      <c r="R1933" t="s">
        <v>112</v>
      </c>
      <c r="S1933" t="str">
        <f>"14:22:34.578"</f>
        <v>14:22:34.578</v>
      </c>
      <c r="T1933" t="str">
        <f>"14:22:34.180"</f>
        <v>14:22:34.180</v>
      </c>
      <c r="U1933" t="str">
        <f t="shared" si="90"/>
        <v>ad5732</v>
      </c>
      <c r="V1933">
        <v>0</v>
      </c>
      <c r="W1933">
        <v>0</v>
      </c>
      <c r="X1933">
        <v>1</v>
      </c>
      <c r="Z1933">
        <v>0</v>
      </c>
      <c r="AA1933">
        <v>9</v>
      </c>
      <c r="AB1933">
        <v>3</v>
      </c>
      <c r="AC1933">
        <v>0</v>
      </c>
      <c r="AD1933">
        <v>10</v>
      </c>
      <c r="AE1933">
        <v>0</v>
      </c>
      <c r="AF1933">
        <v>3</v>
      </c>
      <c r="AG1933">
        <v>2</v>
      </c>
      <c r="AH1933">
        <v>0</v>
      </c>
      <c r="AI1933" t="s">
        <v>3971</v>
      </c>
      <c r="AJ1933">
        <v>39.812071000000003</v>
      </c>
      <c r="AK1933" t="s">
        <v>3972</v>
      </c>
      <c r="AL1933">
        <v>-75.934882000000002</v>
      </c>
      <c r="AM1933">
        <v>100</v>
      </c>
      <c r="AN1933">
        <v>4700</v>
      </c>
      <c r="AO1933" t="s">
        <v>115</v>
      </c>
      <c r="AP1933">
        <v>158</v>
      </c>
      <c r="AQ1933">
        <v>83</v>
      </c>
      <c r="AR1933">
        <v>-128</v>
      </c>
      <c r="AZ1933">
        <v>3614</v>
      </c>
      <c r="BA1933">
        <v>1</v>
      </c>
      <c r="BB1933" t="str">
        <f t="shared" si="92"/>
        <v xml:space="preserve">N959MJ  </v>
      </c>
      <c r="BC1933">
        <v>1</v>
      </c>
      <c r="BE1933">
        <v>0</v>
      </c>
      <c r="BF1933">
        <v>0</v>
      </c>
      <c r="BG1933">
        <v>0</v>
      </c>
      <c r="BH1933">
        <v>4900</v>
      </c>
      <c r="BI1933">
        <v>200</v>
      </c>
      <c r="BJ1933">
        <v>1</v>
      </c>
      <c r="BK1933">
        <v>1</v>
      </c>
      <c r="BL1933">
        <v>1</v>
      </c>
      <c r="BM1933">
        <v>0</v>
      </c>
      <c r="BP1933">
        <v>0</v>
      </c>
      <c r="BQ1933">
        <v>0</v>
      </c>
      <c r="BX1933" t="str">
        <f>"14:22:34.578"</f>
        <v>14:22:34.578</v>
      </c>
      <c r="BY1933" t="str">
        <f>"581001872"</f>
        <v>581001872</v>
      </c>
      <c r="CL1933">
        <v>0</v>
      </c>
      <c r="CM1933">
        <v>2</v>
      </c>
      <c r="CN1933">
        <v>0</v>
      </c>
      <c r="CO1933">
        <v>2</v>
      </c>
      <c r="CP1933">
        <v>0</v>
      </c>
      <c r="CQ1933">
        <v>7</v>
      </c>
      <c r="CR1933" t="s">
        <v>116</v>
      </c>
      <c r="CS1933">
        <v>39</v>
      </c>
      <c r="CT1933">
        <v>2</v>
      </c>
      <c r="CU1933" t="s">
        <v>2259</v>
      </c>
      <c r="CV1933" t="s">
        <v>2260</v>
      </c>
      <c r="CY1933">
        <v>16386222</v>
      </c>
      <c r="CZ1933" t="s">
        <v>119</v>
      </c>
    </row>
    <row r="1934" spans="1:104" x14ac:dyDescent="0.25">
      <c r="A1934" t="str">
        <f>"14:22:35.703"</f>
        <v>14:22:35.703</v>
      </c>
      <c r="B1934" t="s">
        <v>108</v>
      </c>
      <c r="C1934" t="str">
        <f t="shared" si="91"/>
        <v>ffdfd3c0</v>
      </c>
      <c r="D1934" t="s">
        <v>109</v>
      </c>
      <c r="E1934">
        <v>4</v>
      </c>
      <c r="F1934">
        <v>1004</v>
      </c>
      <c r="G1934" t="s">
        <v>110</v>
      </c>
      <c r="J1934" t="s">
        <v>111</v>
      </c>
      <c r="K1934">
        <v>0</v>
      </c>
      <c r="L1934">
        <v>3</v>
      </c>
      <c r="M1934">
        <v>0</v>
      </c>
      <c r="N1934">
        <v>2</v>
      </c>
      <c r="O1934">
        <v>1</v>
      </c>
      <c r="P1934">
        <v>0</v>
      </c>
      <c r="Q1934">
        <v>0</v>
      </c>
      <c r="R1934" t="s">
        <v>112</v>
      </c>
      <c r="S1934" t="str">
        <f>"14:22:35.516"</f>
        <v>14:22:35.516</v>
      </c>
      <c r="T1934" t="str">
        <f>"14:22:35.117"</f>
        <v>14:22:35.117</v>
      </c>
      <c r="U1934" t="str">
        <f t="shared" si="90"/>
        <v>ad5732</v>
      </c>
      <c r="V1934">
        <v>0</v>
      </c>
      <c r="W1934">
        <v>0</v>
      </c>
      <c r="X1934">
        <v>1</v>
      </c>
      <c r="Z1934">
        <v>0</v>
      </c>
      <c r="AA1934">
        <v>9</v>
      </c>
      <c r="AB1934">
        <v>3</v>
      </c>
      <c r="AC1934">
        <v>0</v>
      </c>
      <c r="AD1934">
        <v>10</v>
      </c>
      <c r="AE1934">
        <v>0</v>
      </c>
      <c r="AF1934">
        <v>3</v>
      </c>
      <c r="AG1934">
        <v>2</v>
      </c>
      <c r="AH1934">
        <v>0</v>
      </c>
      <c r="AI1934" t="s">
        <v>3973</v>
      </c>
      <c r="AJ1934">
        <v>39.812435999999998</v>
      </c>
      <c r="AK1934" t="s">
        <v>3974</v>
      </c>
      <c r="AL1934">
        <v>-75.933916999999994</v>
      </c>
      <c r="AM1934">
        <v>100</v>
      </c>
      <c r="AN1934">
        <v>4700</v>
      </c>
      <c r="AO1934" t="s">
        <v>115</v>
      </c>
      <c r="AP1934">
        <v>158</v>
      </c>
      <c r="AQ1934">
        <v>82</v>
      </c>
      <c r="AR1934">
        <v>-128</v>
      </c>
      <c r="AZ1934">
        <v>3614</v>
      </c>
      <c r="BA1934">
        <v>1</v>
      </c>
      <c r="BB1934" t="str">
        <f t="shared" si="92"/>
        <v xml:space="preserve">N959MJ  </v>
      </c>
      <c r="BC1934">
        <v>1</v>
      </c>
      <c r="BE1934">
        <v>0</v>
      </c>
      <c r="BF1934">
        <v>0</v>
      </c>
      <c r="BG1934">
        <v>0</v>
      </c>
      <c r="BH1934">
        <v>4900</v>
      </c>
      <c r="BI1934">
        <v>200</v>
      </c>
      <c r="BJ1934">
        <v>1</v>
      </c>
      <c r="BK1934">
        <v>1</v>
      </c>
      <c r="BL1934">
        <v>1</v>
      </c>
      <c r="BM1934">
        <v>0</v>
      </c>
      <c r="BP1934">
        <v>0</v>
      </c>
      <c r="BQ1934">
        <v>0</v>
      </c>
      <c r="BX1934" t="str">
        <f>"14:22:35.516"</f>
        <v>14:22:35.516</v>
      </c>
      <c r="BY1934" t="str">
        <f>"516923526"</f>
        <v>516923526</v>
      </c>
      <c r="CL1934">
        <v>0</v>
      </c>
      <c r="CM1934">
        <v>2</v>
      </c>
      <c r="CN1934">
        <v>0</v>
      </c>
      <c r="CO1934">
        <v>2</v>
      </c>
      <c r="CP1934">
        <v>0</v>
      </c>
      <c r="CQ1934">
        <v>5</v>
      </c>
      <c r="CR1934" t="s">
        <v>116</v>
      </c>
      <c r="CS1934">
        <v>379</v>
      </c>
      <c r="CT1934">
        <v>0</v>
      </c>
      <c r="CU1934" t="s">
        <v>538</v>
      </c>
      <c r="CV1934" t="s">
        <v>539</v>
      </c>
      <c r="CY1934">
        <v>8686160</v>
      </c>
      <c r="CZ1934" t="s">
        <v>119</v>
      </c>
    </row>
    <row r="1935" spans="1:104" x14ac:dyDescent="0.25">
      <c r="A1935" t="str">
        <f>"14:22:36.813"</f>
        <v>14:22:36.813</v>
      </c>
      <c r="B1935" t="s">
        <v>108</v>
      </c>
      <c r="C1935" t="str">
        <f t="shared" si="91"/>
        <v>ffdfd3c0</v>
      </c>
      <c r="D1935" t="s">
        <v>109</v>
      </c>
      <c r="E1935">
        <v>4</v>
      </c>
      <c r="F1935">
        <v>1004</v>
      </c>
      <c r="G1935" t="s">
        <v>110</v>
      </c>
      <c r="J1935" t="s">
        <v>111</v>
      </c>
      <c r="K1935">
        <v>0</v>
      </c>
      <c r="L1935">
        <v>3</v>
      </c>
      <c r="M1935">
        <v>0</v>
      </c>
      <c r="N1935">
        <v>2</v>
      </c>
      <c r="O1935">
        <v>1</v>
      </c>
      <c r="P1935">
        <v>0</v>
      </c>
      <c r="Q1935">
        <v>0</v>
      </c>
      <c r="R1935" t="s">
        <v>112</v>
      </c>
      <c r="S1935" t="str">
        <f>"14:22:36.633"</f>
        <v>14:22:36.633</v>
      </c>
      <c r="T1935" t="str">
        <f>"14:22:36.133"</f>
        <v>14:22:36.133</v>
      </c>
      <c r="U1935" t="str">
        <f t="shared" si="90"/>
        <v>ad5732</v>
      </c>
      <c r="V1935">
        <v>0</v>
      </c>
      <c r="W1935">
        <v>0</v>
      </c>
      <c r="X1935">
        <v>1</v>
      </c>
      <c r="Z1935">
        <v>0</v>
      </c>
      <c r="AA1935">
        <v>9</v>
      </c>
      <c r="AB1935">
        <v>3</v>
      </c>
      <c r="AC1935">
        <v>0</v>
      </c>
      <c r="AD1935">
        <v>10</v>
      </c>
      <c r="AE1935">
        <v>0</v>
      </c>
      <c r="AF1935">
        <v>3</v>
      </c>
      <c r="AG1935">
        <v>2</v>
      </c>
      <c r="AH1935">
        <v>0</v>
      </c>
      <c r="AI1935" t="s">
        <v>3975</v>
      </c>
      <c r="AJ1935">
        <v>39.812821999999997</v>
      </c>
      <c r="AK1935" t="s">
        <v>3976</v>
      </c>
      <c r="AL1935">
        <v>-75.932929999999999</v>
      </c>
      <c r="AM1935">
        <v>100</v>
      </c>
      <c r="AN1935">
        <v>4700</v>
      </c>
      <c r="AO1935" t="s">
        <v>115</v>
      </c>
      <c r="AP1935">
        <v>158</v>
      </c>
      <c r="AQ1935">
        <v>82</v>
      </c>
      <c r="AR1935">
        <v>-128</v>
      </c>
      <c r="AZ1935">
        <v>3614</v>
      </c>
      <c r="BA1935">
        <v>1</v>
      </c>
      <c r="BB1935" t="str">
        <f t="shared" si="92"/>
        <v xml:space="preserve">N959MJ  </v>
      </c>
      <c r="BC1935">
        <v>1</v>
      </c>
      <c r="BE1935">
        <v>0</v>
      </c>
      <c r="BF1935">
        <v>0</v>
      </c>
      <c r="BG1935">
        <v>0</v>
      </c>
      <c r="BH1935">
        <v>4900</v>
      </c>
      <c r="BI1935">
        <v>200</v>
      </c>
      <c r="BJ1935">
        <v>1</v>
      </c>
      <c r="BK1935">
        <v>1</v>
      </c>
      <c r="BL1935">
        <v>1</v>
      </c>
      <c r="BM1935">
        <v>0</v>
      </c>
      <c r="BP1935">
        <v>0</v>
      </c>
      <c r="BQ1935">
        <v>0</v>
      </c>
      <c r="BX1935" t="str">
        <f>"14:22:36.641"</f>
        <v>14:22:36.641</v>
      </c>
      <c r="BY1935" t="str">
        <f>"640505172"</f>
        <v>640505172</v>
      </c>
      <c r="CL1935">
        <v>0</v>
      </c>
      <c r="CM1935">
        <v>2</v>
      </c>
      <c r="CN1935">
        <v>0</v>
      </c>
      <c r="CO1935">
        <v>2</v>
      </c>
      <c r="CP1935">
        <v>0</v>
      </c>
      <c r="CQ1935">
        <v>7</v>
      </c>
      <c r="CR1935" t="s">
        <v>116</v>
      </c>
      <c r="CS1935">
        <v>39</v>
      </c>
      <c r="CT1935">
        <v>2</v>
      </c>
      <c r="CU1935" t="s">
        <v>2259</v>
      </c>
      <c r="CV1935" t="s">
        <v>2260</v>
      </c>
      <c r="CY1935">
        <v>16389390</v>
      </c>
      <c r="CZ1935" t="s">
        <v>119</v>
      </c>
    </row>
    <row r="1936" spans="1:104" x14ac:dyDescent="0.25">
      <c r="A1936" t="str">
        <f>"14:22:37.773"</f>
        <v>14:22:37.773</v>
      </c>
      <c r="B1936" t="s">
        <v>108</v>
      </c>
      <c r="C1936" t="str">
        <f t="shared" si="91"/>
        <v>ffdfd3c0</v>
      </c>
      <c r="D1936" t="s">
        <v>109</v>
      </c>
      <c r="E1936">
        <v>4</v>
      </c>
      <c r="F1936">
        <v>1004</v>
      </c>
      <c r="G1936" t="s">
        <v>110</v>
      </c>
      <c r="J1936" t="s">
        <v>111</v>
      </c>
      <c r="K1936">
        <v>0</v>
      </c>
      <c r="L1936">
        <v>3</v>
      </c>
      <c r="M1936">
        <v>0</v>
      </c>
      <c r="N1936">
        <v>2</v>
      </c>
      <c r="O1936">
        <v>1</v>
      </c>
      <c r="P1936">
        <v>0</v>
      </c>
      <c r="Q1936">
        <v>0</v>
      </c>
      <c r="R1936" t="s">
        <v>112</v>
      </c>
      <c r="S1936" t="str">
        <f>"14:22:37.555"</f>
        <v>14:22:37.555</v>
      </c>
      <c r="T1936" t="str">
        <f>"14:22:37.055"</f>
        <v>14:22:37.055</v>
      </c>
      <c r="U1936" t="str">
        <f t="shared" si="90"/>
        <v>ad5732</v>
      </c>
      <c r="V1936">
        <v>0</v>
      </c>
      <c r="W1936">
        <v>0</v>
      </c>
      <c r="X1936">
        <v>1</v>
      </c>
      <c r="Z1936">
        <v>0</v>
      </c>
      <c r="AA1936">
        <v>9</v>
      </c>
      <c r="AB1936">
        <v>3</v>
      </c>
      <c r="AC1936">
        <v>0</v>
      </c>
      <c r="AD1936">
        <v>10</v>
      </c>
      <c r="AE1936">
        <v>0</v>
      </c>
      <c r="AF1936">
        <v>3</v>
      </c>
      <c r="AG1936">
        <v>2</v>
      </c>
      <c r="AH1936">
        <v>0</v>
      </c>
      <c r="AI1936" t="s">
        <v>3977</v>
      </c>
      <c r="AJ1936">
        <v>39.813209000000001</v>
      </c>
      <c r="AK1936" t="s">
        <v>3978</v>
      </c>
      <c r="AL1936">
        <v>-75.932006999999999</v>
      </c>
      <c r="AM1936">
        <v>100</v>
      </c>
      <c r="AN1936">
        <v>4700</v>
      </c>
      <c r="AO1936" t="s">
        <v>115</v>
      </c>
      <c r="AP1936">
        <v>159</v>
      </c>
      <c r="AQ1936">
        <v>82</v>
      </c>
      <c r="AR1936">
        <v>-64</v>
      </c>
      <c r="AZ1936">
        <v>3614</v>
      </c>
      <c r="BA1936">
        <v>1</v>
      </c>
      <c r="BB1936" t="str">
        <f t="shared" si="92"/>
        <v xml:space="preserve">N959MJ  </v>
      </c>
      <c r="BC1936">
        <v>1</v>
      </c>
      <c r="BE1936">
        <v>0</v>
      </c>
      <c r="BF1936">
        <v>0</v>
      </c>
      <c r="BG1936">
        <v>0</v>
      </c>
      <c r="BH1936">
        <v>4900</v>
      </c>
      <c r="BI1936">
        <v>200</v>
      </c>
      <c r="BJ1936">
        <v>1</v>
      </c>
      <c r="BK1936">
        <v>1</v>
      </c>
      <c r="BL1936">
        <v>1</v>
      </c>
      <c r="BM1936">
        <v>0</v>
      </c>
      <c r="BP1936">
        <v>0</v>
      </c>
      <c r="BQ1936">
        <v>0</v>
      </c>
      <c r="BX1936" t="str">
        <f>"14:22:37.555"</f>
        <v>14:22:37.555</v>
      </c>
      <c r="BY1936" t="str">
        <f>"554747773"</f>
        <v>554747773</v>
      </c>
      <c r="CL1936">
        <v>0</v>
      </c>
      <c r="CM1936">
        <v>2</v>
      </c>
      <c r="CN1936">
        <v>0</v>
      </c>
      <c r="CO1936">
        <v>2</v>
      </c>
      <c r="CP1936">
        <v>0</v>
      </c>
      <c r="CQ1936">
        <v>7</v>
      </c>
      <c r="CR1936" t="s">
        <v>116</v>
      </c>
      <c r="CS1936">
        <v>39</v>
      </c>
      <c r="CT1936">
        <v>2</v>
      </c>
      <c r="CU1936" t="s">
        <v>2259</v>
      </c>
      <c r="CV1936" t="s">
        <v>2260</v>
      </c>
      <c r="CY1936">
        <v>16390770</v>
      </c>
      <c r="CZ1936" t="s">
        <v>119</v>
      </c>
    </row>
    <row r="1937" spans="1:104" x14ac:dyDescent="0.25">
      <c r="A1937" t="str">
        <f>"14:22:38.680"</f>
        <v>14:22:38.680</v>
      </c>
      <c r="B1937" t="s">
        <v>108</v>
      </c>
      <c r="C1937" t="str">
        <f t="shared" si="91"/>
        <v>ffdfd3c0</v>
      </c>
      <c r="D1937" t="s">
        <v>109</v>
      </c>
      <c r="E1937">
        <v>4</v>
      </c>
      <c r="F1937">
        <v>1004</v>
      </c>
      <c r="G1937" t="s">
        <v>110</v>
      </c>
      <c r="J1937" t="s">
        <v>111</v>
      </c>
      <c r="K1937">
        <v>0</v>
      </c>
      <c r="L1937">
        <v>3</v>
      </c>
      <c r="M1937">
        <v>0</v>
      </c>
      <c r="N1937">
        <v>2</v>
      </c>
      <c r="O1937">
        <v>1</v>
      </c>
      <c r="P1937">
        <v>0</v>
      </c>
      <c r="Q1937">
        <v>0</v>
      </c>
      <c r="R1937" t="s">
        <v>112</v>
      </c>
      <c r="S1937" t="str">
        <f>"14:22:38.508"</f>
        <v>14:22:38.508</v>
      </c>
      <c r="T1937" t="str">
        <f>"14:22:38.008"</f>
        <v>14:22:38.008</v>
      </c>
      <c r="U1937" t="str">
        <f t="shared" si="90"/>
        <v>ad5732</v>
      </c>
      <c r="V1937">
        <v>0</v>
      </c>
      <c r="W1937">
        <v>0</v>
      </c>
      <c r="X1937">
        <v>1</v>
      </c>
      <c r="Z1937">
        <v>0</v>
      </c>
      <c r="AA1937">
        <v>9</v>
      </c>
      <c r="AB1937">
        <v>3</v>
      </c>
      <c r="AC1937">
        <v>0</v>
      </c>
      <c r="AD1937">
        <v>10</v>
      </c>
      <c r="AE1937">
        <v>0</v>
      </c>
      <c r="AF1937">
        <v>3</v>
      </c>
      <c r="AG1937">
        <v>2</v>
      </c>
      <c r="AH1937">
        <v>0</v>
      </c>
      <c r="AI1937" t="s">
        <v>3979</v>
      </c>
      <c r="AJ1937">
        <v>39.813572999999998</v>
      </c>
      <c r="AK1937" t="s">
        <v>3980</v>
      </c>
      <c r="AL1937">
        <v>-75.931040999999993</v>
      </c>
      <c r="AM1937">
        <v>100</v>
      </c>
      <c r="AN1937">
        <v>4700</v>
      </c>
      <c r="AO1937" t="s">
        <v>115</v>
      </c>
      <c r="AP1937">
        <v>159</v>
      </c>
      <c r="AQ1937">
        <v>82</v>
      </c>
      <c r="AR1937">
        <v>-64</v>
      </c>
      <c r="AZ1937">
        <v>3614</v>
      </c>
      <c r="BA1937">
        <v>1</v>
      </c>
      <c r="BB1937" t="str">
        <f t="shared" si="92"/>
        <v xml:space="preserve">N959MJ  </v>
      </c>
      <c r="BC1937">
        <v>1</v>
      </c>
      <c r="BE1937">
        <v>0</v>
      </c>
      <c r="BF1937">
        <v>0</v>
      </c>
      <c r="BG1937">
        <v>0</v>
      </c>
      <c r="BH1937">
        <v>4900</v>
      </c>
      <c r="BI1937">
        <v>200</v>
      </c>
      <c r="BJ1937">
        <v>1</v>
      </c>
      <c r="BK1937">
        <v>1</v>
      </c>
      <c r="BL1937">
        <v>1</v>
      </c>
      <c r="BM1937">
        <v>0</v>
      </c>
      <c r="BP1937">
        <v>0</v>
      </c>
      <c r="BQ1937">
        <v>0</v>
      </c>
      <c r="BX1937" t="str">
        <f>"14:22:38.508"</f>
        <v>14:22:38.508</v>
      </c>
      <c r="BY1937" t="str">
        <f>"511589221"</f>
        <v>511589221</v>
      </c>
      <c r="CL1937">
        <v>0</v>
      </c>
      <c r="CM1937">
        <v>2</v>
      </c>
      <c r="CN1937">
        <v>0</v>
      </c>
      <c r="CO1937">
        <v>2</v>
      </c>
      <c r="CP1937">
        <v>0</v>
      </c>
      <c r="CQ1937">
        <v>7</v>
      </c>
      <c r="CR1937" t="s">
        <v>116</v>
      </c>
      <c r="CS1937">
        <v>39</v>
      </c>
      <c r="CT1937">
        <v>2</v>
      </c>
      <c r="CU1937" t="s">
        <v>2259</v>
      </c>
      <c r="CV1937" t="s">
        <v>2260</v>
      </c>
      <c r="CY1937">
        <v>16392389</v>
      </c>
      <c r="CZ1937" t="s">
        <v>119</v>
      </c>
    </row>
    <row r="1938" spans="1:104" x14ac:dyDescent="0.25">
      <c r="A1938" t="str">
        <f>"14:22:39.586"</f>
        <v>14:22:39.586</v>
      </c>
      <c r="B1938" t="s">
        <v>108</v>
      </c>
      <c r="C1938" t="str">
        <f t="shared" si="91"/>
        <v>ffdfd3c0</v>
      </c>
      <c r="D1938" t="s">
        <v>109</v>
      </c>
      <c r="E1938">
        <v>4</v>
      </c>
      <c r="F1938">
        <v>1004</v>
      </c>
      <c r="G1938" t="s">
        <v>110</v>
      </c>
      <c r="J1938" t="s">
        <v>111</v>
      </c>
      <c r="K1938">
        <v>0</v>
      </c>
      <c r="L1938">
        <v>3</v>
      </c>
      <c r="M1938">
        <v>0</v>
      </c>
      <c r="N1938">
        <v>2</v>
      </c>
      <c r="O1938">
        <v>1</v>
      </c>
      <c r="P1938">
        <v>0</v>
      </c>
      <c r="Q1938">
        <v>0</v>
      </c>
      <c r="R1938" t="s">
        <v>112</v>
      </c>
      <c r="S1938" t="str">
        <f>"14:22:39.430"</f>
        <v>14:22:39.430</v>
      </c>
      <c r="T1938" t="str">
        <f>"14:22:38.930"</f>
        <v>14:22:38.930</v>
      </c>
      <c r="U1938" t="str">
        <f t="shared" si="90"/>
        <v>ad5732</v>
      </c>
      <c r="V1938">
        <v>0</v>
      </c>
      <c r="W1938">
        <v>0</v>
      </c>
      <c r="X1938">
        <v>1</v>
      </c>
      <c r="Z1938">
        <v>0</v>
      </c>
      <c r="AA1938">
        <v>9</v>
      </c>
      <c r="AB1938">
        <v>3</v>
      </c>
      <c r="AC1938">
        <v>0</v>
      </c>
      <c r="AD1938">
        <v>10</v>
      </c>
      <c r="AE1938">
        <v>0</v>
      </c>
      <c r="AF1938">
        <v>3</v>
      </c>
      <c r="AG1938">
        <v>2</v>
      </c>
      <c r="AH1938">
        <v>0</v>
      </c>
      <c r="AI1938" t="s">
        <v>3981</v>
      </c>
      <c r="AJ1938">
        <v>39.813895000000002</v>
      </c>
      <c r="AK1938" t="s">
        <v>3982</v>
      </c>
      <c r="AL1938">
        <v>-75.930246999999994</v>
      </c>
      <c r="AM1938">
        <v>100</v>
      </c>
      <c r="AN1938">
        <v>4700</v>
      </c>
      <c r="AO1938" t="s">
        <v>115</v>
      </c>
      <c r="AP1938">
        <v>159</v>
      </c>
      <c r="AQ1938">
        <v>82</v>
      </c>
      <c r="AR1938">
        <v>0</v>
      </c>
      <c r="AZ1938">
        <v>3614</v>
      </c>
      <c r="BA1938">
        <v>1</v>
      </c>
      <c r="BB1938" t="str">
        <f t="shared" si="92"/>
        <v xml:space="preserve">N959MJ  </v>
      </c>
      <c r="BC1938">
        <v>1</v>
      </c>
      <c r="BE1938">
        <v>0</v>
      </c>
      <c r="BF1938">
        <v>0</v>
      </c>
      <c r="BG1938">
        <v>0</v>
      </c>
      <c r="BH1938">
        <v>4900</v>
      </c>
      <c r="BI1938">
        <v>200</v>
      </c>
      <c r="BJ1938">
        <v>1</v>
      </c>
      <c r="BK1938">
        <v>1</v>
      </c>
      <c r="BL1938">
        <v>1</v>
      </c>
      <c r="BM1938">
        <v>0</v>
      </c>
      <c r="BP1938">
        <v>0</v>
      </c>
      <c r="BQ1938">
        <v>0</v>
      </c>
      <c r="BX1938" t="str">
        <f>"14:22:39.438"</f>
        <v>14:22:39.438</v>
      </c>
      <c r="BY1938" t="str">
        <f>"434023893"</f>
        <v>434023893</v>
      </c>
      <c r="CL1938">
        <v>0</v>
      </c>
      <c r="CM1938">
        <v>2</v>
      </c>
      <c r="CN1938">
        <v>0</v>
      </c>
      <c r="CO1938">
        <v>2</v>
      </c>
      <c r="CP1938">
        <v>0</v>
      </c>
      <c r="CQ1938">
        <v>7</v>
      </c>
      <c r="CR1938" t="s">
        <v>116</v>
      </c>
      <c r="CS1938">
        <v>39</v>
      </c>
      <c r="CT1938">
        <v>2</v>
      </c>
      <c r="CU1938" t="s">
        <v>2259</v>
      </c>
      <c r="CV1938" t="s">
        <v>2260</v>
      </c>
      <c r="CY1938">
        <v>16393848</v>
      </c>
      <c r="CZ1938" t="s">
        <v>119</v>
      </c>
    </row>
    <row r="1939" spans="1:104" x14ac:dyDescent="0.25">
      <c r="A1939" t="str">
        <f>"14:22:40.602"</f>
        <v>14:22:40.602</v>
      </c>
      <c r="B1939" t="s">
        <v>108</v>
      </c>
      <c r="C1939" t="str">
        <f t="shared" si="91"/>
        <v>ffdfd3c0</v>
      </c>
      <c r="D1939" t="s">
        <v>109</v>
      </c>
      <c r="E1939">
        <v>4</v>
      </c>
      <c r="F1939">
        <v>1004</v>
      </c>
      <c r="G1939" t="s">
        <v>110</v>
      </c>
      <c r="J1939" t="s">
        <v>111</v>
      </c>
      <c r="K1939">
        <v>0</v>
      </c>
      <c r="L1939">
        <v>3</v>
      </c>
      <c r="M1939">
        <v>0</v>
      </c>
      <c r="N1939">
        <v>2</v>
      </c>
      <c r="O1939">
        <v>1</v>
      </c>
      <c r="P1939">
        <v>0</v>
      </c>
      <c r="Q1939">
        <v>0</v>
      </c>
      <c r="R1939" t="s">
        <v>112</v>
      </c>
      <c r="S1939" t="str">
        <f>"14:22:40.414"</f>
        <v>14:22:40.414</v>
      </c>
      <c r="T1939" t="str">
        <f>"14:22:39.914"</f>
        <v>14:22:39.914</v>
      </c>
      <c r="U1939" t="str">
        <f t="shared" si="90"/>
        <v>ad5732</v>
      </c>
      <c r="V1939">
        <v>0</v>
      </c>
      <c r="W1939">
        <v>0</v>
      </c>
      <c r="X1939">
        <v>1</v>
      </c>
      <c r="Z1939">
        <v>0</v>
      </c>
      <c r="AA1939">
        <v>9</v>
      </c>
      <c r="AB1939">
        <v>3</v>
      </c>
      <c r="AC1939">
        <v>0</v>
      </c>
      <c r="AD1939">
        <v>10</v>
      </c>
      <c r="AE1939">
        <v>0</v>
      </c>
      <c r="AF1939">
        <v>3</v>
      </c>
      <c r="AG1939">
        <v>2</v>
      </c>
      <c r="AH1939">
        <v>0</v>
      </c>
      <c r="AI1939" t="s">
        <v>3983</v>
      </c>
      <c r="AJ1939">
        <v>39.814259999999997</v>
      </c>
      <c r="AK1939" t="s">
        <v>3984</v>
      </c>
      <c r="AL1939">
        <v>-75.929259999999999</v>
      </c>
      <c r="AM1939">
        <v>100</v>
      </c>
      <c r="AN1939">
        <v>4700</v>
      </c>
      <c r="AO1939" t="s">
        <v>115</v>
      </c>
      <c r="AP1939">
        <v>159</v>
      </c>
      <c r="AQ1939">
        <v>81</v>
      </c>
      <c r="AR1939">
        <v>0</v>
      </c>
      <c r="AZ1939">
        <v>3614</v>
      </c>
      <c r="BA1939">
        <v>1</v>
      </c>
      <c r="BB1939" t="str">
        <f t="shared" si="92"/>
        <v xml:space="preserve">N959MJ  </v>
      </c>
      <c r="BC1939">
        <v>1</v>
      </c>
      <c r="BE1939">
        <v>0</v>
      </c>
      <c r="BF1939">
        <v>0</v>
      </c>
      <c r="BG1939">
        <v>0</v>
      </c>
      <c r="BH1939">
        <v>4900</v>
      </c>
      <c r="BI1939">
        <v>200</v>
      </c>
      <c r="BJ1939">
        <v>1</v>
      </c>
      <c r="BK1939">
        <v>1</v>
      </c>
      <c r="BL1939">
        <v>1</v>
      </c>
      <c r="BM1939">
        <v>0</v>
      </c>
      <c r="BP1939">
        <v>0</v>
      </c>
      <c r="BQ1939">
        <v>0</v>
      </c>
      <c r="BX1939" t="str">
        <f>"14:22:40.422"</f>
        <v>14:22:40.422</v>
      </c>
      <c r="BY1939" t="str">
        <f>"420357148"</f>
        <v>420357148</v>
      </c>
      <c r="CL1939">
        <v>0</v>
      </c>
      <c r="CM1939">
        <v>2</v>
      </c>
      <c r="CN1939">
        <v>0</v>
      </c>
      <c r="CO1939">
        <v>2</v>
      </c>
      <c r="CP1939">
        <v>0</v>
      </c>
      <c r="CQ1939">
        <v>7</v>
      </c>
      <c r="CR1939" t="s">
        <v>116</v>
      </c>
      <c r="CS1939">
        <v>39</v>
      </c>
      <c r="CT1939">
        <v>2</v>
      </c>
      <c r="CU1939" t="s">
        <v>2259</v>
      </c>
      <c r="CV1939" t="s">
        <v>2260</v>
      </c>
      <c r="CY1939">
        <v>16395382</v>
      </c>
      <c r="CZ1939" t="s">
        <v>119</v>
      </c>
    </row>
    <row r="1940" spans="1:104" x14ac:dyDescent="0.25">
      <c r="A1940" t="str">
        <f>"14:22:41.555"</f>
        <v>14:22:41.555</v>
      </c>
      <c r="B1940" t="s">
        <v>108</v>
      </c>
      <c r="C1940" t="str">
        <f t="shared" si="91"/>
        <v>ffdfd3c0</v>
      </c>
      <c r="D1940" t="s">
        <v>109</v>
      </c>
      <c r="E1940">
        <v>4</v>
      </c>
      <c r="F1940">
        <v>1004</v>
      </c>
      <c r="G1940" t="s">
        <v>110</v>
      </c>
      <c r="J1940" t="s">
        <v>111</v>
      </c>
      <c r="K1940">
        <v>0</v>
      </c>
      <c r="L1940">
        <v>3</v>
      </c>
      <c r="M1940">
        <v>0</v>
      </c>
      <c r="N1940">
        <v>2</v>
      </c>
      <c r="O1940">
        <v>1</v>
      </c>
      <c r="P1940">
        <v>0</v>
      </c>
      <c r="Q1940">
        <v>0</v>
      </c>
      <c r="R1940" t="s">
        <v>112</v>
      </c>
      <c r="S1940" t="str">
        <f>"14:22:41.391"</f>
        <v>14:22:41.391</v>
      </c>
      <c r="T1940" t="str">
        <f>"14:22:40.891"</f>
        <v>14:22:40.891</v>
      </c>
      <c r="U1940" t="str">
        <f t="shared" si="90"/>
        <v>ad5732</v>
      </c>
      <c r="V1940">
        <v>0</v>
      </c>
      <c r="W1940">
        <v>0</v>
      </c>
      <c r="X1940">
        <v>1</v>
      </c>
      <c r="Z1940">
        <v>0</v>
      </c>
      <c r="AA1940">
        <v>9</v>
      </c>
      <c r="AB1940">
        <v>3</v>
      </c>
      <c r="AC1940">
        <v>0</v>
      </c>
      <c r="AD1940">
        <v>10</v>
      </c>
      <c r="AE1940">
        <v>0</v>
      </c>
      <c r="AF1940">
        <v>3</v>
      </c>
      <c r="AG1940">
        <v>2</v>
      </c>
      <c r="AH1940">
        <v>0</v>
      </c>
      <c r="AI1940" t="s">
        <v>3985</v>
      </c>
      <c r="AJ1940">
        <v>39.814646000000003</v>
      </c>
      <c r="AK1940" t="s">
        <v>3986</v>
      </c>
      <c r="AL1940">
        <v>-75.928422999999995</v>
      </c>
      <c r="AM1940">
        <v>100</v>
      </c>
      <c r="AN1940">
        <v>4700</v>
      </c>
      <c r="AO1940" t="s">
        <v>115</v>
      </c>
      <c r="AP1940">
        <v>159</v>
      </c>
      <c r="AQ1940">
        <v>81</v>
      </c>
      <c r="AR1940">
        <v>64</v>
      </c>
      <c r="AZ1940">
        <v>3614</v>
      </c>
      <c r="BA1940">
        <v>1</v>
      </c>
      <c r="BB1940" t="str">
        <f t="shared" si="92"/>
        <v xml:space="preserve">N959MJ  </v>
      </c>
      <c r="BC1940">
        <v>1</v>
      </c>
      <c r="BE1940">
        <v>0</v>
      </c>
      <c r="BF1940">
        <v>0</v>
      </c>
      <c r="BG1940">
        <v>0</v>
      </c>
      <c r="BH1940">
        <v>4900</v>
      </c>
      <c r="BI1940">
        <v>200</v>
      </c>
      <c r="BJ1940">
        <v>1</v>
      </c>
      <c r="BK1940">
        <v>1</v>
      </c>
      <c r="BL1940">
        <v>1</v>
      </c>
      <c r="BM1940">
        <v>0</v>
      </c>
      <c r="BP1940">
        <v>0</v>
      </c>
      <c r="BQ1940">
        <v>0</v>
      </c>
      <c r="BX1940" t="str">
        <f>"14:22:41.398"</f>
        <v>14:22:41.398</v>
      </c>
      <c r="BY1940" t="str">
        <f>"395221452"</f>
        <v>395221452</v>
      </c>
      <c r="CL1940">
        <v>0</v>
      </c>
      <c r="CM1940">
        <v>2</v>
      </c>
      <c r="CN1940">
        <v>0</v>
      </c>
      <c r="CO1940">
        <v>2</v>
      </c>
      <c r="CP1940">
        <v>0</v>
      </c>
      <c r="CQ1940">
        <v>7</v>
      </c>
      <c r="CR1940" t="s">
        <v>116</v>
      </c>
      <c r="CS1940">
        <v>39</v>
      </c>
      <c r="CT1940">
        <v>2</v>
      </c>
      <c r="CU1940" t="s">
        <v>2259</v>
      </c>
      <c r="CV1940" t="s">
        <v>2260</v>
      </c>
      <c r="CY1940">
        <v>16396830</v>
      </c>
      <c r="CZ1940" t="s">
        <v>119</v>
      </c>
    </row>
    <row r="1941" spans="1:104" x14ac:dyDescent="0.25">
      <c r="A1941" t="str">
        <f>"14:22:42.570"</f>
        <v>14:22:42.570</v>
      </c>
      <c r="B1941" t="s">
        <v>108</v>
      </c>
      <c r="C1941" t="str">
        <f t="shared" si="91"/>
        <v>ffdfd3c0</v>
      </c>
      <c r="D1941" t="s">
        <v>109</v>
      </c>
      <c r="E1941">
        <v>4</v>
      </c>
      <c r="F1941">
        <v>1004</v>
      </c>
      <c r="G1941" t="s">
        <v>110</v>
      </c>
      <c r="J1941" t="s">
        <v>111</v>
      </c>
      <c r="K1941">
        <v>0</v>
      </c>
      <c r="L1941">
        <v>3</v>
      </c>
      <c r="M1941">
        <v>0</v>
      </c>
      <c r="N1941">
        <v>2</v>
      </c>
      <c r="O1941">
        <v>1</v>
      </c>
      <c r="P1941">
        <v>0</v>
      </c>
      <c r="Q1941">
        <v>0</v>
      </c>
      <c r="R1941" t="s">
        <v>112</v>
      </c>
      <c r="S1941" t="str">
        <f>"14:22:42.398"</f>
        <v>14:22:42.398</v>
      </c>
      <c r="T1941" t="str">
        <f>"14:22:42.000"</f>
        <v>14:22:42.000</v>
      </c>
      <c r="U1941" t="str">
        <f t="shared" si="90"/>
        <v>ad5732</v>
      </c>
      <c r="V1941">
        <v>0</v>
      </c>
      <c r="W1941">
        <v>0</v>
      </c>
      <c r="X1941">
        <v>1</v>
      </c>
      <c r="Z1941">
        <v>0</v>
      </c>
      <c r="AA1941">
        <v>9</v>
      </c>
      <c r="AB1941">
        <v>3</v>
      </c>
      <c r="AC1941">
        <v>0</v>
      </c>
      <c r="AD1941">
        <v>10</v>
      </c>
      <c r="AE1941">
        <v>0</v>
      </c>
      <c r="AF1941">
        <v>3</v>
      </c>
      <c r="AG1941">
        <v>2</v>
      </c>
      <c r="AH1941">
        <v>0</v>
      </c>
      <c r="AI1941" t="s">
        <v>3987</v>
      </c>
      <c r="AJ1941">
        <v>39.815054000000003</v>
      </c>
      <c r="AK1941" t="s">
        <v>3988</v>
      </c>
      <c r="AL1941">
        <v>-75.927372000000005</v>
      </c>
      <c r="AM1941">
        <v>100</v>
      </c>
      <c r="AN1941">
        <v>4700</v>
      </c>
      <c r="AO1941" t="s">
        <v>115</v>
      </c>
      <c r="AP1941">
        <v>160</v>
      </c>
      <c r="AQ1941">
        <v>81</v>
      </c>
      <c r="AR1941">
        <v>128</v>
      </c>
      <c r="AZ1941">
        <v>3614</v>
      </c>
      <c r="BA1941">
        <v>1</v>
      </c>
      <c r="BB1941" t="str">
        <f t="shared" si="92"/>
        <v xml:space="preserve">N959MJ  </v>
      </c>
      <c r="BC1941">
        <v>1</v>
      </c>
      <c r="BE1941">
        <v>0</v>
      </c>
      <c r="BF1941">
        <v>0</v>
      </c>
      <c r="BG1941">
        <v>0</v>
      </c>
      <c r="BH1941">
        <v>4900</v>
      </c>
      <c r="BI1941">
        <v>200</v>
      </c>
      <c r="BJ1941">
        <v>1</v>
      </c>
      <c r="BK1941">
        <v>1</v>
      </c>
      <c r="BL1941">
        <v>1</v>
      </c>
      <c r="BM1941">
        <v>0</v>
      </c>
      <c r="BP1941">
        <v>0</v>
      </c>
      <c r="BQ1941">
        <v>0</v>
      </c>
      <c r="BX1941" t="str">
        <f>"14:22:42.406"</f>
        <v>14:22:42.406</v>
      </c>
      <c r="BY1941" t="str">
        <f>"402854320"</f>
        <v>402854320</v>
      </c>
      <c r="CL1941">
        <v>0</v>
      </c>
      <c r="CM1941">
        <v>2</v>
      </c>
      <c r="CN1941">
        <v>0</v>
      </c>
      <c r="CO1941">
        <v>2</v>
      </c>
      <c r="CP1941">
        <v>0</v>
      </c>
      <c r="CQ1941">
        <v>7</v>
      </c>
      <c r="CR1941" t="s">
        <v>116</v>
      </c>
      <c r="CS1941">
        <v>39</v>
      </c>
      <c r="CT1941">
        <v>2</v>
      </c>
      <c r="CU1941" t="s">
        <v>2259</v>
      </c>
      <c r="CV1941" t="s">
        <v>2260</v>
      </c>
      <c r="CY1941">
        <v>16398403</v>
      </c>
      <c r="CZ1941" t="s">
        <v>119</v>
      </c>
    </row>
    <row r="1942" spans="1:104" x14ac:dyDescent="0.25">
      <c r="A1942" t="str">
        <f>"14:22:43.523"</f>
        <v>14:22:43.523</v>
      </c>
      <c r="B1942" t="s">
        <v>108</v>
      </c>
      <c r="C1942" t="str">
        <f t="shared" si="91"/>
        <v>ffdfd3c0</v>
      </c>
      <c r="D1942" t="s">
        <v>109</v>
      </c>
      <c r="E1942">
        <v>4</v>
      </c>
      <c r="F1942">
        <v>1004</v>
      </c>
      <c r="G1942" t="s">
        <v>110</v>
      </c>
      <c r="J1942" t="s">
        <v>111</v>
      </c>
      <c r="K1942">
        <v>0</v>
      </c>
      <c r="L1942">
        <v>3</v>
      </c>
      <c r="M1942">
        <v>0</v>
      </c>
      <c r="N1942">
        <v>2</v>
      </c>
      <c r="O1942">
        <v>1</v>
      </c>
      <c r="P1942">
        <v>0</v>
      </c>
      <c r="Q1942">
        <v>0</v>
      </c>
      <c r="R1942" t="s">
        <v>112</v>
      </c>
      <c r="S1942" t="str">
        <f>"14:22:43.359"</f>
        <v>14:22:43.359</v>
      </c>
      <c r="T1942" t="str">
        <f>"14:22:42.859"</f>
        <v>14:22:42.859</v>
      </c>
      <c r="U1942" t="str">
        <f t="shared" si="90"/>
        <v>ad5732</v>
      </c>
      <c r="V1942">
        <v>0</v>
      </c>
      <c r="W1942">
        <v>0</v>
      </c>
      <c r="X1942">
        <v>1</v>
      </c>
      <c r="Z1942">
        <v>0</v>
      </c>
      <c r="AA1942">
        <v>9</v>
      </c>
      <c r="AB1942">
        <v>3</v>
      </c>
      <c r="AC1942">
        <v>0</v>
      </c>
      <c r="AD1942">
        <v>10</v>
      </c>
      <c r="AE1942">
        <v>0</v>
      </c>
      <c r="AF1942">
        <v>3</v>
      </c>
      <c r="AG1942">
        <v>2</v>
      </c>
      <c r="AH1942">
        <v>0</v>
      </c>
      <c r="AI1942" t="s">
        <v>3989</v>
      </c>
      <c r="AJ1942">
        <v>39.815376000000001</v>
      </c>
      <c r="AK1942" t="s">
        <v>3990</v>
      </c>
      <c r="AL1942">
        <v>-75.926513999999997</v>
      </c>
      <c r="AM1942">
        <v>100</v>
      </c>
      <c r="AN1942">
        <v>4700</v>
      </c>
      <c r="AO1942" t="s">
        <v>115</v>
      </c>
      <c r="AP1942">
        <v>160</v>
      </c>
      <c r="AQ1942">
        <v>80</v>
      </c>
      <c r="AR1942">
        <v>128</v>
      </c>
      <c r="AZ1942">
        <v>3614</v>
      </c>
      <c r="BA1942">
        <v>1</v>
      </c>
      <c r="BB1942" t="str">
        <f t="shared" si="92"/>
        <v xml:space="preserve">N959MJ  </v>
      </c>
      <c r="BC1942">
        <v>1</v>
      </c>
      <c r="BE1942">
        <v>0</v>
      </c>
      <c r="BF1942">
        <v>0</v>
      </c>
      <c r="BG1942">
        <v>0</v>
      </c>
      <c r="BH1942">
        <v>4900</v>
      </c>
      <c r="BI1942">
        <v>200</v>
      </c>
      <c r="BJ1942">
        <v>1</v>
      </c>
      <c r="BK1942">
        <v>1</v>
      </c>
      <c r="BL1942">
        <v>1</v>
      </c>
      <c r="BM1942">
        <v>0</v>
      </c>
      <c r="BP1942">
        <v>0</v>
      </c>
      <c r="BQ1942">
        <v>0</v>
      </c>
      <c r="BX1942" t="str">
        <f>"14:22:43.367"</f>
        <v>14:22:43.367</v>
      </c>
      <c r="BY1942" t="str">
        <f>"364611259"</f>
        <v>364611259</v>
      </c>
      <c r="CL1942">
        <v>0</v>
      </c>
      <c r="CM1942">
        <v>2</v>
      </c>
      <c r="CN1942">
        <v>0</v>
      </c>
      <c r="CO1942">
        <v>2</v>
      </c>
      <c r="CP1942">
        <v>0</v>
      </c>
      <c r="CQ1942">
        <v>7</v>
      </c>
      <c r="CR1942" t="s">
        <v>116</v>
      </c>
      <c r="CS1942">
        <v>39</v>
      </c>
      <c r="CT1942">
        <v>2</v>
      </c>
      <c r="CU1942" t="s">
        <v>2259</v>
      </c>
      <c r="CV1942" t="s">
        <v>2260</v>
      </c>
      <c r="CY1942">
        <v>16400112</v>
      </c>
      <c r="CZ1942" t="s">
        <v>119</v>
      </c>
    </row>
    <row r="1943" spans="1:104" x14ac:dyDescent="0.25">
      <c r="A1943" t="str">
        <f>"14:22:44.633"</f>
        <v>14:22:44.633</v>
      </c>
      <c r="B1943" t="s">
        <v>108</v>
      </c>
      <c r="C1943" t="str">
        <f t="shared" si="91"/>
        <v>ffdfd3c0</v>
      </c>
      <c r="D1943" t="s">
        <v>109</v>
      </c>
      <c r="E1943">
        <v>4</v>
      </c>
      <c r="F1943">
        <v>1004</v>
      </c>
      <c r="G1943" t="s">
        <v>110</v>
      </c>
      <c r="J1943" t="s">
        <v>111</v>
      </c>
      <c r="K1943">
        <v>0</v>
      </c>
      <c r="L1943">
        <v>3</v>
      </c>
      <c r="M1943">
        <v>0</v>
      </c>
      <c r="N1943">
        <v>2</v>
      </c>
      <c r="O1943">
        <v>1</v>
      </c>
      <c r="P1943">
        <v>0</v>
      </c>
      <c r="Q1943">
        <v>0</v>
      </c>
      <c r="R1943" t="s">
        <v>112</v>
      </c>
      <c r="S1943" t="str">
        <f>"14:22:44.453"</f>
        <v>14:22:44.453</v>
      </c>
      <c r="T1943" t="str">
        <f>"14:22:43.953"</f>
        <v>14:22:43.953</v>
      </c>
      <c r="U1943" t="str">
        <f t="shared" si="90"/>
        <v>ad5732</v>
      </c>
      <c r="V1943">
        <v>0</v>
      </c>
      <c r="W1943">
        <v>0</v>
      </c>
      <c r="X1943">
        <v>1</v>
      </c>
      <c r="Z1943">
        <v>0</v>
      </c>
      <c r="AA1943">
        <v>9</v>
      </c>
      <c r="AB1943">
        <v>3</v>
      </c>
      <c r="AC1943">
        <v>0</v>
      </c>
      <c r="AD1943">
        <v>10</v>
      </c>
      <c r="AE1943">
        <v>0</v>
      </c>
      <c r="AF1943">
        <v>3</v>
      </c>
      <c r="AG1943">
        <v>2</v>
      </c>
      <c r="AH1943">
        <v>0</v>
      </c>
      <c r="AI1943" t="s">
        <v>3991</v>
      </c>
      <c r="AJ1943">
        <v>39.815761999999999</v>
      </c>
      <c r="AK1943" t="s">
        <v>3992</v>
      </c>
      <c r="AL1943">
        <v>-75.925419000000005</v>
      </c>
      <c r="AM1943">
        <v>100</v>
      </c>
      <c r="AN1943">
        <v>4700</v>
      </c>
      <c r="AO1943" t="s">
        <v>115</v>
      </c>
      <c r="AP1943">
        <v>160</v>
      </c>
      <c r="AQ1943">
        <v>80</v>
      </c>
      <c r="AR1943">
        <v>128</v>
      </c>
      <c r="AZ1943">
        <v>3614</v>
      </c>
      <c r="BA1943">
        <v>1</v>
      </c>
      <c r="BB1943" t="str">
        <f t="shared" si="92"/>
        <v xml:space="preserve">N959MJ  </v>
      </c>
      <c r="BC1943">
        <v>1</v>
      </c>
      <c r="BE1943">
        <v>0</v>
      </c>
      <c r="BF1943">
        <v>0</v>
      </c>
      <c r="BG1943">
        <v>0</v>
      </c>
      <c r="BH1943">
        <v>4900</v>
      </c>
      <c r="BI1943">
        <v>200</v>
      </c>
      <c r="BJ1943">
        <v>1</v>
      </c>
      <c r="BK1943">
        <v>1</v>
      </c>
      <c r="BL1943">
        <v>1</v>
      </c>
      <c r="BM1943">
        <v>0</v>
      </c>
      <c r="BP1943">
        <v>0</v>
      </c>
      <c r="BQ1943">
        <v>0</v>
      </c>
      <c r="BX1943" t="str">
        <f>"14:22:44.461"</f>
        <v>14:22:44.461</v>
      </c>
      <c r="BY1943" t="str">
        <f>"459304750"</f>
        <v>459304750</v>
      </c>
      <c r="CL1943">
        <v>0</v>
      </c>
      <c r="CM1943">
        <v>2</v>
      </c>
      <c r="CN1943">
        <v>0</v>
      </c>
      <c r="CO1943">
        <v>2</v>
      </c>
      <c r="CP1943">
        <v>0</v>
      </c>
      <c r="CQ1943">
        <v>2</v>
      </c>
      <c r="CR1943" t="s">
        <v>116</v>
      </c>
      <c r="CS1943">
        <v>148</v>
      </c>
      <c r="CT1943">
        <v>2</v>
      </c>
      <c r="CU1943" t="s">
        <v>470</v>
      </c>
      <c r="CV1943" t="s">
        <v>471</v>
      </c>
      <c r="CY1943">
        <v>5824046</v>
      </c>
      <c r="CZ1943" t="s">
        <v>119</v>
      </c>
    </row>
    <row r="1944" spans="1:104" x14ac:dyDescent="0.25">
      <c r="A1944" t="str">
        <f>"14:22:45.750"</f>
        <v>14:22:45.750</v>
      </c>
      <c r="B1944" t="s">
        <v>108</v>
      </c>
      <c r="C1944" t="str">
        <f t="shared" si="91"/>
        <v>ffdfd3c0</v>
      </c>
      <c r="D1944" t="s">
        <v>109</v>
      </c>
      <c r="E1944">
        <v>4</v>
      </c>
      <c r="F1944">
        <v>1004</v>
      </c>
      <c r="G1944" t="s">
        <v>110</v>
      </c>
      <c r="J1944" t="s">
        <v>111</v>
      </c>
      <c r="K1944">
        <v>0</v>
      </c>
      <c r="L1944">
        <v>3</v>
      </c>
      <c r="M1944">
        <v>0</v>
      </c>
      <c r="N1944">
        <v>2</v>
      </c>
      <c r="O1944">
        <v>1</v>
      </c>
      <c r="P1944">
        <v>0</v>
      </c>
      <c r="Q1944">
        <v>0</v>
      </c>
      <c r="R1944" t="s">
        <v>112</v>
      </c>
      <c r="S1944" t="str">
        <f>"14:22:45.563"</f>
        <v>14:22:45.563</v>
      </c>
      <c r="T1944" t="str">
        <f>"14:22:45.063"</f>
        <v>14:22:45.063</v>
      </c>
      <c r="U1944" t="str">
        <f t="shared" si="90"/>
        <v>ad5732</v>
      </c>
      <c r="V1944">
        <v>0</v>
      </c>
      <c r="W1944">
        <v>0</v>
      </c>
      <c r="X1944">
        <v>1</v>
      </c>
      <c r="Z1944">
        <v>0</v>
      </c>
      <c r="AA1944">
        <v>9</v>
      </c>
      <c r="AB1944">
        <v>3</v>
      </c>
      <c r="AC1944">
        <v>0</v>
      </c>
      <c r="AD1944">
        <v>10</v>
      </c>
      <c r="AE1944">
        <v>0</v>
      </c>
      <c r="AF1944">
        <v>3</v>
      </c>
      <c r="AG1944">
        <v>2</v>
      </c>
      <c r="AH1944">
        <v>0</v>
      </c>
      <c r="AI1944" t="s">
        <v>3993</v>
      </c>
      <c r="AJ1944">
        <v>39.816191000000003</v>
      </c>
      <c r="AK1944" t="s">
        <v>3994</v>
      </c>
      <c r="AL1944">
        <v>-75.924368000000001</v>
      </c>
      <c r="AM1944">
        <v>100</v>
      </c>
      <c r="AN1944">
        <v>4700</v>
      </c>
      <c r="AO1944" t="s">
        <v>115</v>
      </c>
      <c r="AP1944">
        <v>160</v>
      </c>
      <c r="AQ1944">
        <v>80</v>
      </c>
      <c r="AR1944">
        <v>64</v>
      </c>
      <c r="AZ1944">
        <v>3614</v>
      </c>
      <c r="BA1944">
        <v>1</v>
      </c>
      <c r="BB1944" t="str">
        <f t="shared" si="92"/>
        <v xml:space="preserve">N959MJ  </v>
      </c>
      <c r="BC1944">
        <v>1</v>
      </c>
      <c r="BE1944">
        <v>0</v>
      </c>
      <c r="BF1944">
        <v>0</v>
      </c>
      <c r="BG1944">
        <v>0</v>
      </c>
      <c r="BH1944">
        <v>4900</v>
      </c>
      <c r="BI1944">
        <v>200</v>
      </c>
      <c r="BJ1944">
        <v>1</v>
      </c>
      <c r="BK1944">
        <v>1</v>
      </c>
      <c r="BL1944">
        <v>1</v>
      </c>
      <c r="BM1944">
        <v>0</v>
      </c>
      <c r="BP1944">
        <v>0</v>
      </c>
      <c r="BQ1944">
        <v>0</v>
      </c>
      <c r="BX1944" t="str">
        <f>"14:22:45.570"</f>
        <v>14:22:45.570</v>
      </c>
      <c r="BY1944" t="str">
        <f>"569934557"</f>
        <v>569934557</v>
      </c>
      <c r="CL1944">
        <v>0</v>
      </c>
      <c r="CM1944">
        <v>2</v>
      </c>
      <c r="CN1944">
        <v>0</v>
      </c>
      <c r="CO1944">
        <v>2</v>
      </c>
      <c r="CP1944">
        <v>0</v>
      </c>
      <c r="CQ1944">
        <v>7</v>
      </c>
      <c r="CR1944" t="s">
        <v>116</v>
      </c>
      <c r="CS1944">
        <v>39</v>
      </c>
      <c r="CT1944">
        <v>2</v>
      </c>
      <c r="CU1944" t="s">
        <v>2259</v>
      </c>
      <c r="CV1944" t="s">
        <v>2260</v>
      </c>
      <c r="CY1944">
        <v>16403628</v>
      </c>
      <c r="CZ1944" t="s">
        <v>119</v>
      </c>
    </row>
    <row r="1945" spans="1:104" x14ac:dyDescent="0.25">
      <c r="A1945" t="str">
        <f>"14:22:46.555"</f>
        <v>14:22:46.555</v>
      </c>
      <c r="B1945" t="s">
        <v>108</v>
      </c>
      <c r="C1945" t="str">
        <f t="shared" si="91"/>
        <v>ffdfd3c0</v>
      </c>
      <c r="D1945" t="s">
        <v>109</v>
      </c>
      <c r="E1945">
        <v>4</v>
      </c>
      <c r="F1945">
        <v>1004</v>
      </c>
      <c r="G1945" t="s">
        <v>110</v>
      </c>
      <c r="J1945" t="s">
        <v>111</v>
      </c>
      <c r="K1945">
        <v>0</v>
      </c>
      <c r="L1945">
        <v>3</v>
      </c>
      <c r="M1945">
        <v>0</v>
      </c>
      <c r="N1945">
        <v>2</v>
      </c>
      <c r="O1945">
        <v>1</v>
      </c>
      <c r="P1945">
        <v>0</v>
      </c>
      <c r="Q1945">
        <v>0</v>
      </c>
      <c r="R1945" t="s">
        <v>112</v>
      </c>
      <c r="S1945" t="str">
        <f>"14:22:46.398"</f>
        <v>14:22:46.398</v>
      </c>
      <c r="T1945" t="str">
        <f>"14:22:46.000"</f>
        <v>14:22:46.000</v>
      </c>
      <c r="U1945" t="str">
        <f t="shared" si="90"/>
        <v>ad5732</v>
      </c>
      <c r="V1945">
        <v>0</v>
      </c>
      <c r="W1945">
        <v>0</v>
      </c>
      <c r="X1945">
        <v>1</v>
      </c>
      <c r="Z1945">
        <v>0</v>
      </c>
      <c r="AA1945">
        <v>9</v>
      </c>
      <c r="AB1945">
        <v>3</v>
      </c>
      <c r="AC1945">
        <v>0</v>
      </c>
      <c r="AD1945">
        <v>10</v>
      </c>
      <c r="AE1945">
        <v>0</v>
      </c>
      <c r="AF1945">
        <v>3</v>
      </c>
      <c r="AG1945">
        <v>2</v>
      </c>
      <c r="AH1945">
        <v>0</v>
      </c>
      <c r="AI1945" t="s">
        <v>3995</v>
      </c>
      <c r="AJ1945">
        <v>39.816491999999997</v>
      </c>
      <c r="AK1945" t="s">
        <v>3996</v>
      </c>
      <c r="AL1945">
        <v>-75.923530999999997</v>
      </c>
      <c r="AM1945">
        <v>100</v>
      </c>
      <c r="AN1945">
        <v>4700</v>
      </c>
      <c r="AO1945" t="s">
        <v>115</v>
      </c>
      <c r="AP1945">
        <v>160</v>
      </c>
      <c r="AQ1945">
        <v>80</v>
      </c>
      <c r="AR1945">
        <v>0</v>
      </c>
      <c r="AZ1945">
        <v>3614</v>
      </c>
      <c r="BA1945">
        <v>1</v>
      </c>
      <c r="BB1945" t="str">
        <f t="shared" si="92"/>
        <v xml:space="preserve">N959MJ  </v>
      </c>
      <c r="BC1945">
        <v>1</v>
      </c>
      <c r="BE1945">
        <v>0</v>
      </c>
      <c r="BF1945">
        <v>0</v>
      </c>
      <c r="BG1945">
        <v>0</v>
      </c>
      <c r="BH1945">
        <v>4900</v>
      </c>
      <c r="BI1945">
        <v>200</v>
      </c>
      <c r="BJ1945">
        <v>1</v>
      </c>
      <c r="BK1945">
        <v>1</v>
      </c>
      <c r="BL1945">
        <v>1</v>
      </c>
      <c r="BM1945">
        <v>0</v>
      </c>
      <c r="BP1945">
        <v>0</v>
      </c>
      <c r="BQ1945">
        <v>0</v>
      </c>
      <c r="BX1945" t="str">
        <f>"14:22:46.406"</f>
        <v>14:22:46.406</v>
      </c>
      <c r="BY1945" t="str">
        <f>"405532489"</f>
        <v>405532489</v>
      </c>
      <c r="CL1945">
        <v>0</v>
      </c>
      <c r="CM1945">
        <v>2</v>
      </c>
      <c r="CN1945">
        <v>0</v>
      </c>
      <c r="CO1945">
        <v>2</v>
      </c>
      <c r="CP1945">
        <v>0</v>
      </c>
      <c r="CQ1945">
        <v>7</v>
      </c>
      <c r="CR1945" t="s">
        <v>116</v>
      </c>
      <c r="CS1945">
        <v>39</v>
      </c>
      <c r="CT1945">
        <v>2</v>
      </c>
      <c r="CU1945" t="s">
        <v>2259</v>
      </c>
      <c r="CV1945" t="s">
        <v>2260</v>
      </c>
      <c r="CY1945">
        <v>16404866</v>
      </c>
      <c r="CZ1945" t="s">
        <v>119</v>
      </c>
    </row>
    <row r="1946" spans="1:104" x14ac:dyDescent="0.25">
      <c r="A1946" t="str">
        <f>"14:22:47.563"</f>
        <v>14:22:47.563</v>
      </c>
      <c r="B1946" t="s">
        <v>108</v>
      </c>
      <c r="C1946" t="str">
        <f t="shared" si="91"/>
        <v>ffdfd3c0</v>
      </c>
      <c r="D1946" t="s">
        <v>109</v>
      </c>
      <c r="E1946">
        <v>4</v>
      </c>
      <c r="F1946">
        <v>1004</v>
      </c>
      <c r="G1946" t="s">
        <v>110</v>
      </c>
      <c r="J1946" t="s">
        <v>111</v>
      </c>
      <c r="K1946">
        <v>0</v>
      </c>
      <c r="L1946">
        <v>3</v>
      </c>
      <c r="M1946">
        <v>0</v>
      </c>
      <c r="N1946">
        <v>2</v>
      </c>
      <c r="O1946">
        <v>1</v>
      </c>
      <c r="P1946">
        <v>0</v>
      </c>
      <c r="Q1946">
        <v>0</v>
      </c>
      <c r="R1946" t="s">
        <v>112</v>
      </c>
      <c r="S1946" t="str">
        <f>"14:22:47.375"</f>
        <v>14:22:47.375</v>
      </c>
      <c r="T1946" t="str">
        <f>"14:22:46.977"</f>
        <v>14:22:46.977</v>
      </c>
      <c r="U1946" t="str">
        <f t="shared" si="90"/>
        <v>ad5732</v>
      </c>
      <c r="V1946">
        <v>0</v>
      </c>
      <c r="W1946">
        <v>0</v>
      </c>
      <c r="X1946">
        <v>1</v>
      </c>
      <c r="Z1946">
        <v>0</v>
      </c>
      <c r="AA1946">
        <v>9</v>
      </c>
      <c r="AB1946">
        <v>3</v>
      </c>
      <c r="AC1946">
        <v>0</v>
      </c>
      <c r="AD1946">
        <v>10</v>
      </c>
      <c r="AE1946">
        <v>0</v>
      </c>
      <c r="AF1946">
        <v>3</v>
      </c>
      <c r="AG1946">
        <v>2</v>
      </c>
      <c r="AH1946">
        <v>0</v>
      </c>
      <c r="AI1946" t="s">
        <v>3997</v>
      </c>
      <c r="AJ1946">
        <v>39.816834999999998</v>
      </c>
      <c r="AK1946" t="s">
        <v>3998</v>
      </c>
      <c r="AL1946">
        <v>-75.922629999999998</v>
      </c>
      <c r="AM1946">
        <v>100</v>
      </c>
      <c r="AN1946">
        <v>4700</v>
      </c>
      <c r="AO1946" t="s">
        <v>115</v>
      </c>
      <c r="AP1946">
        <v>160</v>
      </c>
      <c r="AQ1946">
        <v>80</v>
      </c>
      <c r="AR1946">
        <v>0</v>
      </c>
      <c r="AZ1946">
        <v>3614</v>
      </c>
      <c r="BA1946">
        <v>1</v>
      </c>
      <c r="BB1946" t="str">
        <f t="shared" si="92"/>
        <v xml:space="preserve">N959MJ  </v>
      </c>
      <c r="BC1946">
        <v>1</v>
      </c>
      <c r="BE1946">
        <v>0</v>
      </c>
      <c r="BF1946">
        <v>0</v>
      </c>
      <c r="BG1946">
        <v>0</v>
      </c>
      <c r="BH1946">
        <v>4900</v>
      </c>
      <c r="BI1946">
        <v>200</v>
      </c>
      <c r="BJ1946">
        <v>1</v>
      </c>
      <c r="BK1946">
        <v>1</v>
      </c>
      <c r="BL1946">
        <v>1</v>
      </c>
      <c r="BM1946">
        <v>0</v>
      </c>
      <c r="BP1946">
        <v>0</v>
      </c>
      <c r="BQ1946">
        <v>0</v>
      </c>
      <c r="BX1946" t="str">
        <f>"14:22:47.383"</f>
        <v>14:22:47.383</v>
      </c>
      <c r="BY1946" t="str">
        <f>"380396795"</f>
        <v>380396795</v>
      </c>
      <c r="CL1946">
        <v>0</v>
      </c>
      <c r="CM1946">
        <v>2</v>
      </c>
      <c r="CN1946">
        <v>0</v>
      </c>
      <c r="CO1946">
        <v>2</v>
      </c>
      <c r="CP1946">
        <v>0</v>
      </c>
      <c r="CQ1946">
        <v>7</v>
      </c>
      <c r="CR1946" t="s">
        <v>116</v>
      </c>
      <c r="CS1946">
        <v>39</v>
      </c>
      <c r="CT1946">
        <v>2</v>
      </c>
      <c r="CU1946" t="s">
        <v>2259</v>
      </c>
      <c r="CV1946" t="s">
        <v>2260</v>
      </c>
      <c r="CY1946">
        <v>16406417</v>
      </c>
      <c r="CZ1946" t="s">
        <v>119</v>
      </c>
    </row>
    <row r="1947" spans="1:104" x14ac:dyDescent="0.25">
      <c r="A1947" t="str">
        <f>"14:22:48.727"</f>
        <v>14:22:48.727</v>
      </c>
      <c r="B1947" t="s">
        <v>108</v>
      </c>
      <c r="C1947" t="str">
        <f t="shared" si="91"/>
        <v>ffdfd3c0</v>
      </c>
      <c r="D1947" t="s">
        <v>109</v>
      </c>
      <c r="E1947">
        <v>4</v>
      </c>
      <c r="F1947">
        <v>1004</v>
      </c>
      <c r="G1947" t="s">
        <v>110</v>
      </c>
      <c r="J1947" t="s">
        <v>111</v>
      </c>
      <c r="K1947">
        <v>0</v>
      </c>
      <c r="L1947">
        <v>3</v>
      </c>
      <c r="M1947">
        <v>0</v>
      </c>
      <c r="N1947">
        <v>2</v>
      </c>
      <c r="O1947">
        <v>1</v>
      </c>
      <c r="P1947">
        <v>0</v>
      </c>
      <c r="Q1947">
        <v>0</v>
      </c>
      <c r="R1947" t="s">
        <v>112</v>
      </c>
      <c r="S1947" t="str">
        <f>"14:22:48.539"</f>
        <v>14:22:48.539</v>
      </c>
      <c r="T1947" t="str">
        <f>"14:22:48.039"</f>
        <v>14:22:48.039</v>
      </c>
      <c r="U1947" t="str">
        <f t="shared" si="90"/>
        <v>ad5732</v>
      </c>
      <c r="V1947">
        <v>0</v>
      </c>
      <c r="W1947">
        <v>0</v>
      </c>
      <c r="X1947">
        <v>1</v>
      </c>
      <c r="Z1947">
        <v>0</v>
      </c>
      <c r="AA1947">
        <v>9</v>
      </c>
      <c r="AB1947">
        <v>3</v>
      </c>
      <c r="AC1947">
        <v>0</v>
      </c>
      <c r="AD1947">
        <v>10</v>
      </c>
      <c r="AE1947">
        <v>0</v>
      </c>
      <c r="AF1947">
        <v>3</v>
      </c>
      <c r="AG1947">
        <v>2</v>
      </c>
      <c r="AH1947">
        <v>0</v>
      </c>
      <c r="AI1947" t="s">
        <v>3999</v>
      </c>
      <c r="AJ1947">
        <v>39.817286000000003</v>
      </c>
      <c r="AK1947" t="s">
        <v>4000</v>
      </c>
      <c r="AL1947">
        <v>-75.921492999999998</v>
      </c>
      <c r="AM1947">
        <v>100</v>
      </c>
      <c r="AN1947">
        <v>4700</v>
      </c>
      <c r="AO1947" t="s">
        <v>115</v>
      </c>
      <c r="AP1947">
        <v>160</v>
      </c>
      <c r="AQ1947">
        <v>79</v>
      </c>
      <c r="AR1947">
        <v>-64</v>
      </c>
      <c r="AZ1947">
        <v>3614</v>
      </c>
      <c r="BA1947">
        <v>1</v>
      </c>
      <c r="BB1947" t="str">
        <f t="shared" si="92"/>
        <v xml:space="preserve">N959MJ  </v>
      </c>
      <c r="BC1947">
        <v>1</v>
      </c>
      <c r="BE1947">
        <v>0</v>
      </c>
      <c r="BF1947">
        <v>0</v>
      </c>
      <c r="BG1947">
        <v>0</v>
      </c>
      <c r="BH1947">
        <v>4900</v>
      </c>
      <c r="BI1947">
        <v>200</v>
      </c>
      <c r="BJ1947">
        <v>1</v>
      </c>
      <c r="BK1947">
        <v>1</v>
      </c>
      <c r="BL1947">
        <v>1</v>
      </c>
      <c r="BM1947">
        <v>0</v>
      </c>
      <c r="BP1947">
        <v>0</v>
      </c>
      <c r="BQ1947">
        <v>0</v>
      </c>
      <c r="BX1947" t="str">
        <f>"14:22:48.539"</f>
        <v>14:22:48.539</v>
      </c>
      <c r="BY1947" t="str">
        <f>"542041882"</f>
        <v>542041882</v>
      </c>
      <c r="CL1947">
        <v>0</v>
      </c>
      <c r="CM1947">
        <v>2</v>
      </c>
      <c r="CN1947">
        <v>0</v>
      </c>
      <c r="CO1947">
        <v>2</v>
      </c>
      <c r="CP1947">
        <v>0</v>
      </c>
      <c r="CQ1947">
        <v>7</v>
      </c>
      <c r="CR1947" t="s">
        <v>116</v>
      </c>
      <c r="CS1947">
        <v>39</v>
      </c>
      <c r="CT1947">
        <v>2</v>
      </c>
      <c r="CU1947" t="s">
        <v>2259</v>
      </c>
      <c r="CV1947" t="s">
        <v>2260</v>
      </c>
      <c r="CY1947">
        <v>16408342</v>
      </c>
      <c r="CZ1947" t="s">
        <v>119</v>
      </c>
    </row>
    <row r="1948" spans="1:104" x14ac:dyDescent="0.25">
      <c r="A1948" t="str">
        <f>"14:22:49.688"</f>
        <v>14:22:49.688</v>
      </c>
      <c r="B1948" t="s">
        <v>108</v>
      </c>
      <c r="C1948" t="str">
        <f t="shared" si="91"/>
        <v>ffdfd3c0</v>
      </c>
      <c r="D1948" t="s">
        <v>109</v>
      </c>
      <c r="E1948">
        <v>4</v>
      </c>
      <c r="F1948">
        <v>1004</v>
      </c>
      <c r="G1948" t="s">
        <v>110</v>
      </c>
      <c r="J1948" t="s">
        <v>111</v>
      </c>
      <c r="K1948">
        <v>0</v>
      </c>
      <c r="L1948">
        <v>3</v>
      </c>
      <c r="M1948">
        <v>0</v>
      </c>
      <c r="N1948">
        <v>2</v>
      </c>
      <c r="O1948">
        <v>1</v>
      </c>
      <c r="P1948">
        <v>0</v>
      </c>
      <c r="Q1948">
        <v>0</v>
      </c>
      <c r="R1948" t="s">
        <v>112</v>
      </c>
      <c r="S1948" t="str">
        <f>"14:22:49.500"</f>
        <v>14:22:49.500</v>
      </c>
      <c r="T1948" t="str">
        <f>"14:22:49.000"</f>
        <v>14:22:49.000</v>
      </c>
      <c r="U1948" t="str">
        <f t="shared" si="90"/>
        <v>ad5732</v>
      </c>
      <c r="V1948">
        <v>0</v>
      </c>
      <c r="W1948">
        <v>0</v>
      </c>
      <c r="X1948">
        <v>1</v>
      </c>
      <c r="Z1948">
        <v>0</v>
      </c>
      <c r="AA1948">
        <v>9</v>
      </c>
      <c r="AB1948">
        <v>3</v>
      </c>
      <c r="AC1948">
        <v>0</v>
      </c>
      <c r="AD1948">
        <v>10</v>
      </c>
      <c r="AE1948">
        <v>0</v>
      </c>
      <c r="AF1948">
        <v>3</v>
      </c>
      <c r="AG1948">
        <v>2</v>
      </c>
      <c r="AH1948">
        <v>0</v>
      </c>
      <c r="AI1948" t="s">
        <v>4001</v>
      </c>
      <c r="AJ1948">
        <v>39.81765</v>
      </c>
      <c r="AK1948" t="s">
        <v>4002</v>
      </c>
      <c r="AL1948">
        <v>-75.920547999999997</v>
      </c>
      <c r="AM1948">
        <v>100</v>
      </c>
      <c r="AN1948">
        <v>4700</v>
      </c>
      <c r="AO1948" t="s">
        <v>115</v>
      </c>
      <c r="AP1948">
        <v>160</v>
      </c>
      <c r="AQ1948">
        <v>79</v>
      </c>
      <c r="AR1948">
        <v>-64</v>
      </c>
      <c r="AZ1948">
        <v>3614</v>
      </c>
      <c r="BA1948">
        <v>1</v>
      </c>
      <c r="BB1948" t="str">
        <f t="shared" si="92"/>
        <v xml:space="preserve">N959MJ  </v>
      </c>
      <c r="BC1948">
        <v>1</v>
      </c>
      <c r="BE1948">
        <v>0</v>
      </c>
      <c r="BF1948">
        <v>0</v>
      </c>
      <c r="BG1948">
        <v>0</v>
      </c>
      <c r="BH1948">
        <v>4900</v>
      </c>
      <c r="BI1948">
        <v>200</v>
      </c>
      <c r="BJ1948">
        <v>1</v>
      </c>
      <c r="BK1948">
        <v>1</v>
      </c>
      <c r="BL1948">
        <v>1</v>
      </c>
      <c r="BM1948">
        <v>0</v>
      </c>
      <c r="BP1948">
        <v>0</v>
      </c>
      <c r="BQ1948">
        <v>0</v>
      </c>
      <c r="BX1948" t="str">
        <f>"14:22:49.508"</f>
        <v>14:22:49.508</v>
      </c>
      <c r="BY1948" t="str">
        <f>"507075591"</f>
        <v>507075591</v>
      </c>
      <c r="CL1948">
        <v>0</v>
      </c>
      <c r="CM1948">
        <v>2</v>
      </c>
      <c r="CN1948">
        <v>0</v>
      </c>
      <c r="CO1948">
        <v>2</v>
      </c>
      <c r="CP1948">
        <v>0</v>
      </c>
      <c r="CQ1948">
        <v>7</v>
      </c>
      <c r="CR1948" t="s">
        <v>116</v>
      </c>
      <c r="CS1948">
        <v>39</v>
      </c>
      <c r="CT1948">
        <v>2</v>
      </c>
      <c r="CU1948" t="s">
        <v>2259</v>
      </c>
      <c r="CV1948" t="s">
        <v>2260</v>
      </c>
      <c r="CY1948">
        <v>16409918</v>
      </c>
      <c r="CZ1948" t="s">
        <v>119</v>
      </c>
    </row>
    <row r="1949" spans="1:104" x14ac:dyDescent="0.25">
      <c r="A1949" t="str">
        <f>"14:22:50.641"</f>
        <v>14:22:50.641</v>
      </c>
      <c r="B1949" t="s">
        <v>108</v>
      </c>
      <c r="C1949" t="str">
        <f t="shared" si="91"/>
        <v>ffdfd3c0</v>
      </c>
      <c r="D1949" t="s">
        <v>109</v>
      </c>
      <c r="E1949">
        <v>4</v>
      </c>
      <c r="F1949">
        <v>1004</v>
      </c>
      <c r="G1949" t="s">
        <v>110</v>
      </c>
      <c r="J1949" t="s">
        <v>111</v>
      </c>
      <c r="K1949">
        <v>0</v>
      </c>
      <c r="L1949">
        <v>3</v>
      </c>
      <c r="M1949">
        <v>0</v>
      </c>
      <c r="N1949">
        <v>2</v>
      </c>
      <c r="O1949">
        <v>1</v>
      </c>
      <c r="P1949">
        <v>0</v>
      </c>
      <c r="Q1949">
        <v>0</v>
      </c>
      <c r="R1949" t="s">
        <v>112</v>
      </c>
      <c r="S1949" t="str">
        <f>"14:22:50.469"</f>
        <v>14:22:50.469</v>
      </c>
      <c r="T1949" t="str">
        <f>"14:22:50.070"</f>
        <v>14:22:50.070</v>
      </c>
      <c r="U1949" t="str">
        <f t="shared" si="90"/>
        <v>ad5732</v>
      </c>
      <c r="V1949">
        <v>0</v>
      </c>
      <c r="W1949">
        <v>0</v>
      </c>
      <c r="X1949">
        <v>1</v>
      </c>
      <c r="Z1949">
        <v>0</v>
      </c>
      <c r="AA1949">
        <v>9</v>
      </c>
      <c r="AB1949">
        <v>3</v>
      </c>
      <c r="AC1949">
        <v>0</v>
      </c>
      <c r="AD1949">
        <v>10</v>
      </c>
      <c r="AE1949">
        <v>0</v>
      </c>
      <c r="AF1949">
        <v>3</v>
      </c>
      <c r="AG1949">
        <v>2</v>
      </c>
      <c r="AH1949">
        <v>0</v>
      </c>
      <c r="AI1949" t="s">
        <v>4003</v>
      </c>
      <c r="AJ1949">
        <v>39.817993999999999</v>
      </c>
      <c r="AK1949" t="s">
        <v>4004</v>
      </c>
      <c r="AL1949">
        <v>-75.919668999999999</v>
      </c>
      <c r="AM1949">
        <v>100</v>
      </c>
      <c r="AN1949">
        <v>4700</v>
      </c>
      <c r="AO1949" t="s">
        <v>115</v>
      </c>
      <c r="AP1949">
        <v>161</v>
      </c>
      <c r="AQ1949">
        <v>79</v>
      </c>
      <c r="AR1949">
        <v>-64</v>
      </c>
      <c r="AZ1949">
        <v>3614</v>
      </c>
      <c r="BA1949">
        <v>1</v>
      </c>
      <c r="BB1949" t="str">
        <f t="shared" si="92"/>
        <v xml:space="preserve">N959MJ  </v>
      </c>
      <c r="BC1949">
        <v>1</v>
      </c>
      <c r="BE1949">
        <v>0</v>
      </c>
      <c r="BF1949">
        <v>0</v>
      </c>
      <c r="BG1949">
        <v>0</v>
      </c>
      <c r="BH1949">
        <v>4900</v>
      </c>
      <c r="BI1949">
        <v>200</v>
      </c>
      <c r="BJ1949">
        <v>1</v>
      </c>
      <c r="BK1949">
        <v>1</v>
      </c>
      <c r="BL1949">
        <v>1</v>
      </c>
      <c r="BM1949">
        <v>0</v>
      </c>
      <c r="BP1949">
        <v>0</v>
      </c>
      <c r="BQ1949">
        <v>0</v>
      </c>
      <c r="BX1949" t="str">
        <f>"14:22:50.469"</f>
        <v>14:22:50.469</v>
      </c>
      <c r="BY1949" t="str">
        <f>"472109375"</f>
        <v>472109375</v>
      </c>
      <c r="CL1949">
        <v>0</v>
      </c>
      <c r="CM1949">
        <v>2</v>
      </c>
      <c r="CN1949">
        <v>0</v>
      </c>
      <c r="CO1949">
        <v>2</v>
      </c>
      <c r="CP1949">
        <v>0</v>
      </c>
      <c r="CQ1949">
        <v>7</v>
      </c>
      <c r="CR1949" t="s">
        <v>116</v>
      </c>
      <c r="CS1949">
        <v>39</v>
      </c>
      <c r="CT1949">
        <v>2</v>
      </c>
      <c r="CU1949" t="s">
        <v>2259</v>
      </c>
      <c r="CV1949" t="s">
        <v>2260</v>
      </c>
      <c r="CY1949">
        <v>16411390</v>
      </c>
      <c r="CZ1949" t="s">
        <v>119</v>
      </c>
    </row>
    <row r="1950" spans="1:104" x14ac:dyDescent="0.25">
      <c r="A1950" t="str">
        <f>"14:22:51.656"</f>
        <v>14:22:51.656</v>
      </c>
      <c r="B1950" t="s">
        <v>108</v>
      </c>
      <c r="C1950" t="str">
        <f t="shared" si="91"/>
        <v>ffdfd3c0</v>
      </c>
      <c r="D1950" t="s">
        <v>109</v>
      </c>
      <c r="E1950">
        <v>4</v>
      </c>
      <c r="F1950">
        <v>1004</v>
      </c>
      <c r="G1950" t="s">
        <v>110</v>
      </c>
      <c r="J1950" t="s">
        <v>111</v>
      </c>
      <c r="K1950">
        <v>0</v>
      </c>
      <c r="L1950">
        <v>3</v>
      </c>
      <c r="M1950">
        <v>0</v>
      </c>
      <c r="N1950">
        <v>2</v>
      </c>
      <c r="O1950">
        <v>1</v>
      </c>
      <c r="P1950">
        <v>0</v>
      </c>
      <c r="Q1950">
        <v>0</v>
      </c>
      <c r="R1950" t="s">
        <v>112</v>
      </c>
      <c r="S1950" t="str">
        <f>"14:22:51.422"</f>
        <v>14:22:51.422</v>
      </c>
      <c r="T1950" t="str">
        <f>"14:22:50.922"</f>
        <v>14:22:50.922</v>
      </c>
      <c r="U1950" t="str">
        <f t="shared" si="90"/>
        <v>ad5732</v>
      </c>
      <c r="V1950">
        <v>0</v>
      </c>
      <c r="W1950">
        <v>0</v>
      </c>
      <c r="X1950">
        <v>1</v>
      </c>
      <c r="Z1950">
        <v>0</v>
      </c>
      <c r="AA1950">
        <v>9</v>
      </c>
      <c r="AB1950">
        <v>3</v>
      </c>
      <c r="AC1950">
        <v>0</v>
      </c>
      <c r="AD1950">
        <v>10</v>
      </c>
      <c r="AE1950">
        <v>0</v>
      </c>
      <c r="AF1950">
        <v>3</v>
      </c>
      <c r="AG1950">
        <v>2</v>
      </c>
      <c r="AH1950">
        <v>0</v>
      </c>
      <c r="AI1950" t="s">
        <v>4005</v>
      </c>
      <c r="AJ1950">
        <v>39.818358000000003</v>
      </c>
      <c r="AK1950" t="s">
        <v>4006</v>
      </c>
      <c r="AL1950">
        <v>-75.918702999999994</v>
      </c>
      <c r="AM1950">
        <v>100</v>
      </c>
      <c r="AN1950">
        <v>4700</v>
      </c>
      <c r="AO1950" t="s">
        <v>115</v>
      </c>
      <c r="AP1950">
        <v>161</v>
      </c>
      <c r="AQ1950">
        <v>79</v>
      </c>
      <c r="AR1950">
        <v>-64</v>
      </c>
      <c r="AZ1950">
        <v>3614</v>
      </c>
      <c r="BA1950">
        <v>1</v>
      </c>
      <c r="BB1950" t="str">
        <f t="shared" si="92"/>
        <v xml:space="preserve">N959MJ  </v>
      </c>
      <c r="BC1950">
        <v>1</v>
      </c>
      <c r="BE1950">
        <v>0</v>
      </c>
      <c r="BF1950">
        <v>0</v>
      </c>
      <c r="BG1950">
        <v>0</v>
      </c>
      <c r="BH1950">
        <v>4900</v>
      </c>
      <c r="BI1950">
        <v>200</v>
      </c>
      <c r="BJ1950">
        <v>1</v>
      </c>
      <c r="BK1950">
        <v>1</v>
      </c>
      <c r="BL1950">
        <v>1</v>
      </c>
      <c r="BM1950">
        <v>0</v>
      </c>
      <c r="BP1950">
        <v>0</v>
      </c>
      <c r="BQ1950">
        <v>0</v>
      </c>
      <c r="BX1950" t="str">
        <f>"14:22:51.422"</f>
        <v>14:22:51.422</v>
      </c>
      <c r="BY1950" t="str">
        <f>"425674084"</f>
        <v>425674084</v>
      </c>
      <c r="CL1950">
        <v>0</v>
      </c>
      <c r="CM1950">
        <v>2</v>
      </c>
      <c r="CN1950">
        <v>0</v>
      </c>
      <c r="CO1950">
        <v>2</v>
      </c>
      <c r="CP1950">
        <v>0</v>
      </c>
      <c r="CQ1950">
        <v>7</v>
      </c>
      <c r="CR1950" t="s">
        <v>116</v>
      </c>
      <c r="CS1950">
        <v>39</v>
      </c>
      <c r="CT1950">
        <v>2</v>
      </c>
      <c r="CU1950" t="s">
        <v>2259</v>
      </c>
      <c r="CV1950" t="s">
        <v>2260</v>
      </c>
      <c r="CY1950">
        <v>16412930</v>
      </c>
      <c r="CZ1950" t="s">
        <v>119</v>
      </c>
    </row>
    <row r="1951" spans="1:104" x14ac:dyDescent="0.25">
      <c r="A1951" t="str">
        <f>"14:22:52.563"</f>
        <v>14:22:52.563</v>
      </c>
      <c r="B1951" t="s">
        <v>108</v>
      </c>
      <c r="C1951" t="str">
        <f t="shared" si="91"/>
        <v>ffdfd3c0</v>
      </c>
      <c r="D1951" t="s">
        <v>109</v>
      </c>
      <c r="E1951">
        <v>4</v>
      </c>
      <c r="F1951">
        <v>1004</v>
      </c>
      <c r="G1951" t="s">
        <v>110</v>
      </c>
      <c r="J1951" t="s">
        <v>111</v>
      </c>
      <c r="K1951">
        <v>0</v>
      </c>
      <c r="L1951">
        <v>3</v>
      </c>
      <c r="M1951">
        <v>0</v>
      </c>
      <c r="N1951">
        <v>2</v>
      </c>
      <c r="O1951">
        <v>1</v>
      </c>
      <c r="P1951">
        <v>0</v>
      </c>
      <c r="Q1951">
        <v>0</v>
      </c>
      <c r="R1951" t="s">
        <v>112</v>
      </c>
      <c r="S1951" t="str">
        <f>"14:22:52.406"</f>
        <v>14:22:52.406</v>
      </c>
      <c r="T1951" t="str">
        <f>"14:22:52.008"</f>
        <v>14:22:52.008</v>
      </c>
      <c r="U1951" t="str">
        <f t="shared" si="90"/>
        <v>ad5732</v>
      </c>
      <c r="V1951">
        <v>0</v>
      </c>
      <c r="W1951">
        <v>0</v>
      </c>
      <c r="X1951">
        <v>1</v>
      </c>
      <c r="Z1951">
        <v>0</v>
      </c>
      <c r="AA1951">
        <v>9</v>
      </c>
      <c r="AB1951">
        <v>3</v>
      </c>
      <c r="AC1951">
        <v>0</v>
      </c>
      <c r="AD1951">
        <v>10</v>
      </c>
      <c r="AE1951">
        <v>0</v>
      </c>
      <c r="AF1951">
        <v>3</v>
      </c>
      <c r="AG1951">
        <v>2</v>
      </c>
      <c r="AH1951">
        <v>0</v>
      </c>
      <c r="AI1951" t="s">
        <v>4007</v>
      </c>
      <c r="AJ1951">
        <v>39.818745</v>
      </c>
      <c r="AK1951" t="s">
        <v>4008</v>
      </c>
      <c r="AL1951">
        <v>-75.917715999999999</v>
      </c>
      <c r="AM1951">
        <v>100</v>
      </c>
      <c r="AN1951">
        <v>4700</v>
      </c>
      <c r="AO1951" t="s">
        <v>115</v>
      </c>
      <c r="AP1951">
        <v>161</v>
      </c>
      <c r="AQ1951">
        <v>79</v>
      </c>
      <c r="AR1951">
        <v>-64</v>
      </c>
      <c r="AZ1951">
        <v>3614</v>
      </c>
      <c r="BA1951">
        <v>1</v>
      </c>
      <c r="BB1951" t="str">
        <f t="shared" si="92"/>
        <v xml:space="preserve">N959MJ  </v>
      </c>
      <c r="BC1951">
        <v>1</v>
      </c>
      <c r="BE1951">
        <v>0</v>
      </c>
      <c r="BF1951">
        <v>0</v>
      </c>
      <c r="BG1951">
        <v>0</v>
      </c>
      <c r="BH1951">
        <v>4900</v>
      </c>
      <c r="BI1951">
        <v>200</v>
      </c>
      <c r="BJ1951">
        <v>1</v>
      </c>
      <c r="BK1951">
        <v>1</v>
      </c>
      <c r="BL1951">
        <v>1</v>
      </c>
      <c r="BM1951">
        <v>0</v>
      </c>
      <c r="BP1951">
        <v>0</v>
      </c>
      <c r="BQ1951">
        <v>0</v>
      </c>
      <c r="BX1951" t="str">
        <f>"14:22:52.406"</f>
        <v>14:22:52.406</v>
      </c>
      <c r="BY1951" t="str">
        <f>"407092102"</f>
        <v>407092102</v>
      </c>
      <c r="CL1951">
        <v>0</v>
      </c>
      <c r="CM1951">
        <v>2</v>
      </c>
      <c r="CN1951">
        <v>0</v>
      </c>
      <c r="CO1951">
        <v>2</v>
      </c>
      <c r="CP1951">
        <v>0</v>
      </c>
      <c r="CQ1951">
        <v>7</v>
      </c>
      <c r="CR1951" t="s">
        <v>116</v>
      </c>
      <c r="CS1951">
        <v>39</v>
      </c>
      <c r="CT1951">
        <v>2</v>
      </c>
      <c r="CU1951" t="s">
        <v>2259</v>
      </c>
      <c r="CV1951" t="s">
        <v>2260</v>
      </c>
      <c r="CY1951">
        <v>16414630</v>
      </c>
      <c r="CZ1951" t="s">
        <v>119</v>
      </c>
    </row>
    <row r="1952" spans="1:104" x14ac:dyDescent="0.25">
      <c r="A1952" t="str">
        <f>"14:22:53.578"</f>
        <v>14:22:53.578</v>
      </c>
      <c r="B1952" t="s">
        <v>108</v>
      </c>
      <c r="C1952" t="str">
        <f t="shared" si="91"/>
        <v>ffdfd3c0</v>
      </c>
      <c r="D1952" t="s">
        <v>109</v>
      </c>
      <c r="E1952">
        <v>4</v>
      </c>
      <c r="F1952">
        <v>1004</v>
      </c>
      <c r="G1952" t="s">
        <v>110</v>
      </c>
      <c r="J1952" t="s">
        <v>111</v>
      </c>
      <c r="K1952">
        <v>0</v>
      </c>
      <c r="L1952">
        <v>3</v>
      </c>
      <c r="M1952">
        <v>0</v>
      </c>
      <c r="N1952">
        <v>2</v>
      </c>
      <c r="O1952">
        <v>1</v>
      </c>
      <c r="P1952">
        <v>0</v>
      </c>
      <c r="Q1952">
        <v>0</v>
      </c>
      <c r="R1952" t="s">
        <v>112</v>
      </c>
      <c r="S1952" t="str">
        <f>"14:22:53.391"</f>
        <v>14:22:53.391</v>
      </c>
      <c r="T1952" t="str">
        <f>"14:22:52.891"</f>
        <v>14:22:52.891</v>
      </c>
      <c r="U1952" t="str">
        <f t="shared" si="90"/>
        <v>ad5732</v>
      </c>
      <c r="V1952">
        <v>0</v>
      </c>
      <c r="W1952">
        <v>0</v>
      </c>
      <c r="X1952">
        <v>1</v>
      </c>
      <c r="Z1952">
        <v>0</v>
      </c>
      <c r="AA1952">
        <v>9</v>
      </c>
      <c r="AB1952">
        <v>3</v>
      </c>
      <c r="AC1952">
        <v>0</v>
      </c>
      <c r="AD1952">
        <v>10</v>
      </c>
      <c r="AE1952">
        <v>0</v>
      </c>
      <c r="AF1952">
        <v>3</v>
      </c>
      <c r="AG1952">
        <v>2</v>
      </c>
      <c r="AH1952">
        <v>0</v>
      </c>
      <c r="AI1952" t="s">
        <v>4009</v>
      </c>
      <c r="AJ1952">
        <v>39.819108999999997</v>
      </c>
      <c r="AK1952" t="s">
        <v>4010</v>
      </c>
      <c r="AL1952">
        <v>-75.916749999999993</v>
      </c>
      <c r="AM1952">
        <v>100</v>
      </c>
      <c r="AN1952">
        <v>4700</v>
      </c>
      <c r="AO1952" t="s">
        <v>115</v>
      </c>
      <c r="AP1952">
        <v>161</v>
      </c>
      <c r="AQ1952">
        <v>79</v>
      </c>
      <c r="AR1952">
        <v>-64</v>
      </c>
      <c r="AZ1952">
        <v>3614</v>
      </c>
      <c r="BA1952">
        <v>1</v>
      </c>
      <c r="BB1952" t="str">
        <f t="shared" si="92"/>
        <v xml:space="preserve">N959MJ  </v>
      </c>
      <c r="BC1952">
        <v>1</v>
      </c>
      <c r="BE1952">
        <v>0</v>
      </c>
      <c r="BF1952">
        <v>0</v>
      </c>
      <c r="BG1952">
        <v>0</v>
      </c>
      <c r="BH1952">
        <v>4900</v>
      </c>
      <c r="BI1952">
        <v>200</v>
      </c>
      <c r="BJ1952">
        <v>1</v>
      </c>
      <c r="BK1952">
        <v>1</v>
      </c>
      <c r="BL1952">
        <v>1</v>
      </c>
      <c r="BM1952">
        <v>0</v>
      </c>
      <c r="BP1952">
        <v>0</v>
      </c>
      <c r="BQ1952">
        <v>0</v>
      </c>
      <c r="BX1952" t="str">
        <f>"14:22:53.398"</f>
        <v>14:22:53.398</v>
      </c>
      <c r="BY1952" t="str">
        <f>"398340790"</f>
        <v>398340790</v>
      </c>
      <c r="CL1952">
        <v>0</v>
      </c>
      <c r="CM1952">
        <v>2</v>
      </c>
      <c r="CN1952">
        <v>0</v>
      </c>
      <c r="CO1952">
        <v>2</v>
      </c>
      <c r="CP1952">
        <v>0</v>
      </c>
      <c r="CQ1952">
        <v>7</v>
      </c>
      <c r="CR1952" t="s">
        <v>116</v>
      </c>
      <c r="CS1952">
        <v>39</v>
      </c>
      <c r="CT1952">
        <v>2</v>
      </c>
      <c r="CU1952" t="s">
        <v>2259</v>
      </c>
      <c r="CV1952" t="s">
        <v>2260</v>
      </c>
      <c r="CY1952">
        <v>16416259</v>
      </c>
      <c r="CZ1952" t="s">
        <v>119</v>
      </c>
    </row>
    <row r="1953" spans="1:104" x14ac:dyDescent="0.25">
      <c r="A1953" t="str">
        <f>"14:22:54.477"</f>
        <v>14:22:54.477</v>
      </c>
      <c r="B1953" t="s">
        <v>108</v>
      </c>
      <c r="C1953" t="str">
        <f t="shared" si="91"/>
        <v>ffdfd3c0</v>
      </c>
      <c r="D1953" t="s">
        <v>109</v>
      </c>
      <c r="E1953">
        <v>4</v>
      </c>
      <c r="F1953">
        <v>1004</v>
      </c>
      <c r="G1953" t="s">
        <v>110</v>
      </c>
      <c r="J1953" t="s">
        <v>111</v>
      </c>
      <c r="K1953">
        <v>0</v>
      </c>
      <c r="L1953">
        <v>3</v>
      </c>
      <c r="M1953">
        <v>0</v>
      </c>
      <c r="N1953">
        <v>2</v>
      </c>
      <c r="O1953">
        <v>1</v>
      </c>
      <c r="P1953">
        <v>0</v>
      </c>
      <c r="Q1953">
        <v>0</v>
      </c>
      <c r="R1953" t="s">
        <v>112</v>
      </c>
      <c r="S1953" t="str">
        <f>"14:22:54.305"</f>
        <v>14:22:54.305</v>
      </c>
      <c r="T1953" t="str">
        <f>"14:22:53.906"</f>
        <v>14:22:53.906</v>
      </c>
      <c r="U1953" t="str">
        <f t="shared" si="90"/>
        <v>ad5732</v>
      </c>
      <c r="V1953">
        <v>0</v>
      </c>
      <c r="W1953">
        <v>0</v>
      </c>
      <c r="X1953">
        <v>1</v>
      </c>
      <c r="Z1953">
        <v>0</v>
      </c>
      <c r="AA1953">
        <v>9</v>
      </c>
      <c r="AB1953">
        <v>3</v>
      </c>
      <c r="AC1953">
        <v>0</v>
      </c>
      <c r="AD1953">
        <v>10</v>
      </c>
      <c r="AE1953">
        <v>0</v>
      </c>
      <c r="AF1953">
        <v>3</v>
      </c>
      <c r="AG1953">
        <v>2</v>
      </c>
      <c r="AH1953">
        <v>0</v>
      </c>
      <c r="AI1953" t="s">
        <v>4011</v>
      </c>
      <c r="AJ1953">
        <v>39.819453000000003</v>
      </c>
      <c r="AK1953" t="s">
        <v>4012</v>
      </c>
      <c r="AL1953">
        <v>-75.915891999999999</v>
      </c>
      <c r="AM1953">
        <v>100</v>
      </c>
      <c r="AN1953">
        <v>4700</v>
      </c>
      <c r="AO1953" t="s">
        <v>115</v>
      </c>
      <c r="AP1953">
        <v>161</v>
      </c>
      <c r="AQ1953">
        <v>79</v>
      </c>
      <c r="AR1953">
        <v>0</v>
      </c>
      <c r="AZ1953">
        <v>3614</v>
      </c>
      <c r="BA1953">
        <v>1</v>
      </c>
      <c r="BB1953" t="str">
        <f t="shared" si="92"/>
        <v xml:space="preserve">N959MJ  </v>
      </c>
      <c r="BC1953">
        <v>1</v>
      </c>
      <c r="BE1953">
        <v>0</v>
      </c>
      <c r="BF1953">
        <v>0</v>
      </c>
      <c r="BG1953">
        <v>0</v>
      </c>
      <c r="BH1953">
        <v>4900</v>
      </c>
      <c r="BI1953">
        <v>200</v>
      </c>
      <c r="BJ1953">
        <v>1</v>
      </c>
      <c r="BK1953">
        <v>1</v>
      </c>
      <c r="BL1953">
        <v>1</v>
      </c>
      <c r="BM1953">
        <v>0</v>
      </c>
      <c r="BP1953">
        <v>0</v>
      </c>
      <c r="BQ1953">
        <v>0</v>
      </c>
      <c r="BX1953" t="str">
        <f>"14:22:54.313"</f>
        <v>14:22:54.313</v>
      </c>
      <c r="BY1953" t="str">
        <f>"309306329"</f>
        <v>309306329</v>
      </c>
      <c r="CL1953">
        <v>0</v>
      </c>
      <c r="CM1953">
        <v>2</v>
      </c>
      <c r="CN1953">
        <v>0</v>
      </c>
      <c r="CO1953">
        <v>2</v>
      </c>
      <c r="CP1953">
        <v>0</v>
      </c>
      <c r="CQ1953">
        <v>7</v>
      </c>
      <c r="CR1953" t="s">
        <v>116</v>
      </c>
      <c r="CS1953">
        <v>39</v>
      </c>
      <c r="CT1953">
        <v>2</v>
      </c>
      <c r="CU1953" t="s">
        <v>2259</v>
      </c>
      <c r="CV1953" t="s">
        <v>2260</v>
      </c>
      <c r="CY1953">
        <v>16417656</v>
      </c>
      <c r="CZ1953" t="s">
        <v>119</v>
      </c>
    </row>
    <row r="1954" spans="1:104" x14ac:dyDescent="0.25">
      <c r="A1954" t="str">
        <f>"14:22:55.641"</f>
        <v>14:22:55.641</v>
      </c>
      <c r="B1954" t="s">
        <v>108</v>
      </c>
      <c r="C1954" t="str">
        <f t="shared" si="91"/>
        <v>ffdfd3c0</v>
      </c>
      <c r="D1954" t="s">
        <v>109</v>
      </c>
      <c r="E1954">
        <v>4</v>
      </c>
      <c r="F1954">
        <v>1004</v>
      </c>
      <c r="G1954" t="s">
        <v>110</v>
      </c>
      <c r="J1954" t="s">
        <v>111</v>
      </c>
      <c r="K1954">
        <v>0</v>
      </c>
      <c r="L1954">
        <v>3</v>
      </c>
      <c r="M1954">
        <v>0</v>
      </c>
      <c r="N1954">
        <v>2</v>
      </c>
      <c r="O1954">
        <v>1</v>
      </c>
      <c r="P1954">
        <v>0</v>
      </c>
      <c r="Q1954">
        <v>0</v>
      </c>
      <c r="R1954" t="s">
        <v>112</v>
      </c>
      <c r="S1954" t="str">
        <f>"14:22:55.430"</f>
        <v>14:22:55.430</v>
      </c>
      <c r="T1954" t="str">
        <f>"14:22:54.930"</f>
        <v>14:22:54.930</v>
      </c>
      <c r="U1954" t="str">
        <f t="shared" si="90"/>
        <v>ad5732</v>
      </c>
      <c r="V1954">
        <v>0</v>
      </c>
      <c r="W1954">
        <v>0</v>
      </c>
      <c r="X1954">
        <v>1</v>
      </c>
      <c r="Z1954">
        <v>0</v>
      </c>
      <c r="AA1954">
        <v>9</v>
      </c>
      <c r="AB1954">
        <v>3</v>
      </c>
      <c r="AC1954">
        <v>0</v>
      </c>
      <c r="AD1954">
        <v>10</v>
      </c>
      <c r="AE1954">
        <v>0</v>
      </c>
      <c r="AF1954">
        <v>3</v>
      </c>
      <c r="AG1954">
        <v>2</v>
      </c>
      <c r="AH1954">
        <v>0</v>
      </c>
      <c r="AI1954" t="s">
        <v>4013</v>
      </c>
      <c r="AJ1954">
        <v>39.819859999999998</v>
      </c>
      <c r="AK1954" t="s">
        <v>4014</v>
      </c>
      <c r="AL1954">
        <v>-75.914798000000005</v>
      </c>
      <c r="AM1954">
        <v>100</v>
      </c>
      <c r="AN1954">
        <v>4700</v>
      </c>
      <c r="AO1954" t="s">
        <v>115</v>
      </c>
      <c r="AP1954">
        <v>161</v>
      </c>
      <c r="AQ1954">
        <v>80</v>
      </c>
      <c r="AR1954">
        <v>0</v>
      </c>
      <c r="AZ1954">
        <v>3614</v>
      </c>
      <c r="BA1954">
        <v>1</v>
      </c>
      <c r="BB1954" t="str">
        <f t="shared" si="92"/>
        <v xml:space="preserve">N959MJ  </v>
      </c>
      <c r="BC1954">
        <v>1</v>
      </c>
      <c r="BE1954">
        <v>0</v>
      </c>
      <c r="BF1954">
        <v>0</v>
      </c>
      <c r="BG1954">
        <v>0</v>
      </c>
      <c r="BH1954">
        <v>4900</v>
      </c>
      <c r="BI1954">
        <v>200</v>
      </c>
      <c r="BJ1954">
        <v>1</v>
      </c>
      <c r="BK1954">
        <v>1</v>
      </c>
      <c r="BL1954">
        <v>1</v>
      </c>
      <c r="BM1954">
        <v>0</v>
      </c>
      <c r="BP1954">
        <v>0</v>
      </c>
      <c r="BQ1954">
        <v>0</v>
      </c>
      <c r="BX1954" t="str">
        <f>"14:22:55.430"</f>
        <v>14:22:55.430</v>
      </c>
      <c r="BY1954" t="str">
        <f>"430082174"</f>
        <v>430082174</v>
      </c>
      <c r="CL1954">
        <v>0</v>
      </c>
      <c r="CM1954">
        <v>2</v>
      </c>
      <c r="CN1954">
        <v>0</v>
      </c>
      <c r="CO1954">
        <v>2</v>
      </c>
      <c r="CP1954">
        <v>0</v>
      </c>
      <c r="CQ1954">
        <v>5</v>
      </c>
      <c r="CR1954" t="s">
        <v>116</v>
      </c>
      <c r="CS1954">
        <v>396</v>
      </c>
      <c r="CT1954">
        <v>1</v>
      </c>
      <c r="CU1954" t="s">
        <v>939</v>
      </c>
      <c r="CV1954" t="s">
        <v>940</v>
      </c>
      <c r="CY1954">
        <v>9791444</v>
      </c>
      <c r="CZ1954" t="s">
        <v>119</v>
      </c>
    </row>
    <row r="1955" spans="1:104" x14ac:dyDescent="0.25">
      <c r="A1955" t="str">
        <f>"14:22:56.547"</f>
        <v>14:22:56.547</v>
      </c>
      <c r="B1955" t="s">
        <v>108</v>
      </c>
      <c r="C1955" t="str">
        <f t="shared" si="91"/>
        <v>ffdfd3c0</v>
      </c>
      <c r="D1955" t="s">
        <v>109</v>
      </c>
      <c r="E1955">
        <v>4</v>
      </c>
      <c r="F1955">
        <v>1004</v>
      </c>
      <c r="G1955" t="s">
        <v>110</v>
      </c>
      <c r="J1955" t="s">
        <v>111</v>
      </c>
      <c r="K1955">
        <v>0</v>
      </c>
      <c r="L1955">
        <v>3</v>
      </c>
      <c r="M1955">
        <v>0</v>
      </c>
      <c r="N1955">
        <v>2</v>
      </c>
      <c r="O1955">
        <v>1</v>
      </c>
      <c r="P1955">
        <v>0</v>
      </c>
      <c r="Q1955">
        <v>0</v>
      </c>
      <c r="R1955" t="s">
        <v>112</v>
      </c>
      <c r="S1955" t="str">
        <f>"14:22:56.367"</f>
        <v>14:22:56.367</v>
      </c>
      <c r="T1955" t="str">
        <f>"14:22:55.969"</f>
        <v>14:22:55.969</v>
      </c>
      <c r="U1955" t="str">
        <f t="shared" si="90"/>
        <v>ad5732</v>
      </c>
      <c r="V1955">
        <v>0</v>
      </c>
      <c r="W1955">
        <v>0</v>
      </c>
      <c r="X1955">
        <v>1</v>
      </c>
      <c r="Z1955">
        <v>0</v>
      </c>
      <c r="AA1955">
        <v>9</v>
      </c>
      <c r="AB1955">
        <v>3</v>
      </c>
      <c r="AC1955">
        <v>0</v>
      </c>
      <c r="AD1955">
        <v>10</v>
      </c>
      <c r="AE1955">
        <v>0</v>
      </c>
      <c r="AF1955">
        <v>3</v>
      </c>
      <c r="AG1955">
        <v>2</v>
      </c>
      <c r="AH1955">
        <v>0</v>
      </c>
      <c r="AI1955" t="s">
        <v>4015</v>
      </c>
      <c r="AJ1955">
        <v>39.820182000000003</v>
      </c>
      <c r="AK1955" t="s">
        <v>4016</v>
      </c>
      <c r="AL1955">
        <v>-75.913917999999995</v>
      </c>
      <c r="AM1955">
        <v>100</v>
      </c>
      <c r="AN1955">
        <v>4700</v>
      </c>
      <c r="AO1955" t="s">
        <v>115</v>
      </c>
      <c r="AP1955">
        <v>161</v>
      </c>
      <c r="AQ1955">
        <v>80</v>
      </c>
      <c r="AR1955">
        <v>0</v>
      </c>
      <c r="AZ1955">
        <v>3614</v>
      </c>
      <c r="BA1955">
        <v>1</v>
      </c>
      <c r="BB1955" t="str">
        <f t="shared" si="92"/>
        <v xml:space="preserve">N959MJ  </v>
      </c>
      <c r="BC1955">
        <v>1</v>
      </c>
      <c r="BE1955">
        <v>0</v>
      </c>
      <c r="BF1955">
        <v>0</v>
      </c>
      <c r="BG1955">
        <v>0</v>
      </c>
      <c r="BH1955">
        <v>4900</v>
      </c>
      <c r="BI1955">
        <v>200</v>
      </c>
      <c r="BJ1955">
        <v>1</v>
      </c>
      <c r="BK1955">
        <v>1</v>
      </c>
      <c r="BL1955">
        <v>1</v>
      </c>
      <c r="BM1955">
        <v>0</v>
      </c>
      <c r="BP1955">
        <v>0</v>
      </c>
      <c r="BQ1955">
        <v>0</v>
      </c>
      <c r="BX1955" t="str">
        <f>"14:22:56.367"</f>
        <v>14:22:56.367</v>
      </c>
      <c r="BY1955" t="str">
        <f>"368809587"</f>
        <v>368809587</v>
      </c>
      <c r="CL1955">
        <v>0</v>
      </c>
      <c r="CM1955">
        <v>2</v>
      </c>
      <c r="CN1955">
        <v>0</v>
      </c>
      <c r="CO1955">
        <v>2</v>
      </c>
      <c r="CP1955">
        <v>0</v>
      </c>
      <c r="CQ1955">
        <v>7</v>
      </c>
      <c r="CR1955" t="s">
        <v>116</v>
      </c>
      <c r="CS1955">
        <v>39</v>
      </c>
      <c r="CT1955">
        <v>2</v>
      </c>
      <c r="CU1955" t="s">
        <v>2259</v>
      </c>
      <c r="CV1955" t="s">
        <v>2260</v>
      </c>
      <c r="CY1955">
        <v>16420841</v>
      </c>
      <c r="CZ1955" t="s">
        <v>119</v>
      </c>
    </row>
    <row r="1956" spans="1:104" x14ac:dyDescent="0.25">
      <c r="A1956" t="str">
        <f>"14:22:57.563"</f>
        <v>14:22:57.563</v>
      </c>
      <c r="B1956" t="s">
        <v>108</v>
      </c>
      <c r="C1956" t="str">
        <f t="shared" si="91"/>
        <v>ffdfd3c0</v>
      </c>
      <c r="D1956" t="s">
        <v>109</v>
      </c>
      <c r="E1956">
        <v>4</v>
      </c>
      <c r="F1956">
        <v>1004</v>
      </c>
      <c r="G1956" t="s">
        <v>110</v>
      </c>
      <c r="J1956" t="s">
        <v>111</v>
      </c>
      <c r="K1956">
        <v>0</v>
      </c>
      <c r="L1956">
        <v>3</v>
      </c>
      <c r="M1956">
        <v>0</v>
      </c>
      <c r="N1956">
        <v>2</v>
      </c>
      <c r="O1956">
        <v>1</v>
      </c>
      <c r="P1956">
        <v>0</v>
      </c>
      <c r="Q1956">
        <v>0</v>
      </c>
      <c r="R1956" t="s">
        <v>112</v>
      </c>
      <c r="S1956" t="str">
        <f>"14:22:57.383"</f>
        <v>14:22:57.383</v>
      </c>
      <c r="T1956" t="str">
        <f>"14:22:56.883"</f>
        <v>14:22:56.883</v>
      </c>
      <c r="U1956" t="str">
        <f t="shared" si="90"/>
        <v>ad5732</v>
      </c>
      <c r="V1956">
        <v>0</v>
      </c>
      <c r="W1956">
        <v>0</v>
      </c>
      <c r="X1956">
        <v>1</v>
      </c>
      <c r="Z1956">
        <v>0</v>
      </c>
      <c r="AA1956">
        <v>9</v>
      </c>
      <c r="AB1956">
        <v>3</v>
      </c>
      <c r="AC1956">
        <v>0</v>
      </c>
      <c r="AD1956">
        <v>10</v>
      </c>
      <c r="AE1956">
        <v>0</v>
      </c>
      <c r="AF1956">
        <v>3</v>
      </c>
      <c r="AG1956">
        <v>2</v>
      </c>
      <c r="AH1956">
        <v>0</v>
      </c>
      <c r="AI1956" t="s">
        <v>4017</v>
      </c>
      <c r="AJ1956">
        <v>39.820546999999998</v>
      </c>
      <c r="AK1956" t="s">
        <v>4018</v>
      </c>
      <c r="AL1956">
        <v>-75.912952000000004</v>
      </c>
      <c r="AM1956">
        <v>100</v>
      </c>
      <c r="AN1956">
        <v>4700</v>
      </c>
      <c r="AO1956" t="s">
        <v>115</v>
      </c>
      <c r="AP1956">
        <v>161</v>
      </c>
      <c r="AQ1956">
        <v>80</v>
      </c>
      <c r="AR1956">
        <v>0</v>
      </c>
      <c r="AZ1956">
        <v>3614</v>
      </c>
      <c r="BA1956">
        <v>1</v>
      </c>
      <c r="BB1956" t="str">
        <f t="shared" si="92"/>
        <v xml:space="preserve">N959MJ  </v>
      </c>
      <c r="BC1956">
        <v>1</v>
      </c>
      <c r="BE1956">
        <v>0</v>
      </c>
      <c r="BF1956">
        <v>0</v>
      </c>
      <c r="BG1956">
        <v>0</v>
      </c>
      <c r="BH1956">
        <v>4900</v>
      </c>
      <c r="BI1956">
        <v>200</v>
      </c>
      <c r="BJ1956">
        <v>1</v>
      </c>
      <c r="BK1956">
        <v>1</v>
      </c>
      <c r="BL1956">
        <v>1</v>
      </c>
      <c r="BM1956">
        <v>0</v>
      </c>
      <c r="BP1956">
        <v>0</v>
      </c>
      <c r="BQ1956">
        <v>0</v>
      </c>
      <c r="BX1956" t="str">
        <f>"14:22:57.383"</f>
        <v>14:22:57.383</v>
      </c>
      <c r="BY1956" t="str">
        <f>"384634638"</f>
        <v>384634638</v>
      </c>
      <c r="CL1956">
        <v>0</v>
      </c>
      <c r="CM1956">
        <v>2</v>
      </c>
      <c r="CN1956">
        <v>0</v>
      </c>
      <c r="CO1956">
        <v>2</v>
      </c>
      <c r="CP1956">
        <v>0</v>
      </c>
      <c r="CQ1956">
        <v>7</v>
      </c>
      <c r="CR1956" t="s">
        <v>116</v>
      </c>
      <c r="CS1956">
        <v>39</v>
      </c>
      <c r="CT1956">
        <v>2</v>
      </c>
      <c r="CU1956" t="s">
        <v>2259</v>
      </c>
      <c r="CV1956" t="s">
        <v>2260</v>
      </c>
      <c r="CY1956">
        <v>16422501</v>
      </c>
      <c r="CZ1956" t="s">
        <v>119</v>
      </c>
    </row>
    <row r="1957" spans="1:104" x14ac:dyDescent="0.25">
      <c r="A1957" t="str">
        <f>"14:22:58.469"</f>
        <v>14:22:58.469</v>
      </c>
      <c r="B1957" t="s">
        <v>108</v>
      </c>
      <c r="C1957" t="str">
        <f t="shared" si="91"/>
        <v>ffdfd3c0</v>
      </c>
      <c r="D1957" t="s">
        <v>109</v>
      </c>
      <c r="E1957">
        <v>4</v>
      </c>
      <c r="F1957">
        <v>1004</v>
      </c>
      <c r="G1957" t="s">
        <v>110</v>
      </c>
      <c r="J1957" t="s">
        <v>111</v>
      </c>
      <c r="K1957">
        <v>0</v>
      </c>
      <c r="L1957">
        <v>3</v>
      </c>
      <c r="M1957">
        <v>0</v>
      </c>
      <c r="N1957">
        <v>2</v>
      </c>
      <c r="O1957">
        <v>1</v>
      </c>
      <c r="P1957">
        <v>0</v>
      </c>
      <c r="Q1957">
        <v>0</v>
      </c>
      <c r="R1957" t="s">
        <v>112</v>
      </c>
      <c r="S1957" t="str">
        <f>"14:22:58.281"</f>
        <v>14:22:58.281</v>
      </c>
      <c r="T1957" t="str">
        <f>"14:22:57.883"</f>
        <v>14:22:57.883</v>
      </c>
      <c r="U1957" t="str">
        <f t="shared" si="90"/>
        <v>ad5732</v>
      </c>
      <c r="V1957">
        <v>0</v>
      </c>
      <c r="W1957">
        <v>0</v>
      </c>
      <c r="X1957">
        <v>1</v>
      </c>
      <c r="Z1957">
        <v>0</v>
      </c>
      <c r="AA1957">
        <v>9</v>
      </c>
      <c r="AB1957">
        <v>3</v>
      </c>
      <c r="AC1957">
        <v>0</v>
      </c>
      <c r="AD1957">
        <v>10</v>
      </c>
      <c r="AE1957">
        <v>0</v>
      </c>
      <c r="AF1957">
        <v>3</v>
      </c>
      <c r="AG1957">
        <v>2</v>
      </c>
      <c r="AH1957">
        <v>0</v>
      </c>
      <c r="AI1957" t="s">
        <v>4019</v>
      </c>
      <c r="AJ1957">
        <v>39.820869000000002</v>
      </c>
      <c r="AK1957" t="s">
        <v>4020</v>
      </c>
      <c r="AL1957">
        <v>-75.912115999999997</v>
      </c>
      <c r="AM1957">
        <v>100</v>
      </c>
      <c r="AN1957">
        <v>4700</v>
      </c>
      <c r="AO1957" t="s">
        <v>115</v>
      </c>
      <c r="AP1957">
        <v>161</v>
      </c>
      <c r="AQ1957">
        <v>80</v>
      </c>
      <c r="AR1957">
        <v>0</v>
      </c>
      <c r="AZ1957">
        <v>3614</v>
      </c>
      <c r="BA1957">
        <v>1</v>
      </c>
      <c r="BB1957" t="str">
        <f t="shared" si="92"/>
        <v xml:space="preserve">N959MJ  </v>
      </c>
      <c r="BC1957">
        <v>1</v>
      </c>
      <c r="BE1957">
        <v>0</v>
      </c>
      <c r="BF1957">
        <v>0</v>
      </c>
      <c r="BG1957">
        <v>0</v>
      </c>
      <c r="BH1957">
        <v>4900</v>
      </c>
      <c r="BI1957">
        <v>200</v>
      </c>
      <c r="BJ1957">
        <v>1</v>
      </c>
      <c r="BK1957">
        <v>1</v>
      </c>
      <c r="BL1957">
        <v>1</v>
      </c>
      <c r="BM1957">
        <v>0</v>
      </c>
      <c r="BP1957">
        <v>0</v>
      </c>
      <c r="BQ1957">
        <v>0</v>
      </c>
      <c r="BX1957" t="str">
        <f>"14:22:58.289"</f>
        <v>14:22:58.289</v>
      </c>
      <c r="BY1957" t="str">
        <f>"289046522"</f>
        <v>289046522</v>
      </c>
      <c r="CL1957">
        <v>0</v>
      </c>
      <c r="CM1957">
        <v>2</v>
      </c>
      <c r="CN1957">
        <v>0</v>
      </c>
      <c r="CO1957">
        <v>2</v>
      </c>
      <c r="CP1957">
        <v>0</v>
      </c>
      <c r="CQ1957">
        <v>7</v>
      </c>
      <c r="CR1957" t="s">
        <v>116</v>
      </c>
      <c r="CS1957">
        <v>39</v>
      </c>
      <c r="CT1957">
        <v>2</v>
      </c>
      <c r="CU1957" t="s">
        <v>2259</v>
      </c>
      <c r="CV1957" t="s">
        <v>2260</v>
      </c>
      <c r="CY1957">
        <v>16424021</v>
      </c>
      <c r="CZ1957" t="s">
        <v>119</v>
      </c>
    </row>
    <row r="1958" spans="1:104" x14ac:dyDescent="0.25">
      <c r="A1958" t="str">
        <f>"14:22:59.328"</f>
        <v>14:22:59.328</v>
      </c>
      <c r="B1958" t="s">
        <v>108</v>
      </c>
      <c r="C1958" t="str">
        <f t="shared" si="91"/>
        <v>ffdfd3c0</v>
      </c>
      <c r="D1958" t="s">
        <v>109</v>
      </c>
      <c r="E1958">
        <v>4</v>
      </c>
      <c r="F1958">
        <v>1004</v>
      </c>
      <c r="G1958" t="s">
        <v>110</v>
      </c>
      <c r="J1958" t="s">
        <v>111</v>
      </c>
      <c r="K1958">
        <v>0</v>
      </c>
      <c r="L1958">
        <v>3</v>
      </c>
      <c r="M1958">
        <v>0</v>
      </c>
      <c r="N1958">
        <v>2</v>
      </c>
      <c r="O1958">
        <v>1</v>
      </c>
      <c r="P1958">
        <v>0</v>
      </c>
      <c r="Q1958">
        <v>0</v>
      </c>
      <c r="R1958" t="s">
        <v>112</v>
      </c>
      <c r="S1958" t="str">
        <f>"14:22:59.133"</f>
        <v>14:22:59.133</v>
      </c>
      <c r="T1958" t="str">
        <f>"14:22:58.734"</f>
        <v>14:22:58.734</v>
      </c>
      <c r="U1958" t="str">
        <f t="shared" si="90"/>
        <v>ad5732</v>
      </c>
      <c r="V1958">
        <v>0</v>
      </c>
      <c r="W1958">
        <v>0</v>
      </c>
      <c r="X1958">
        <v>1</v>
      </c>
      <c r="Z1958">
        <v>0</v>
      </c>
      <c r="AA1958">
        <v>9</v>
      </c>
      <c r="AB1958">
        <v>3</v>
      </c>
      <c r="AC1958">
        <v>0</v>
      </c>
      <c r="AD1958">
        <v>10</v>
      </c>
      <c r="AE1958">
        <v>0</v>
      </c>
      <c r="AF1958">
        <v>3</v>
      </c>
      <c r="AG1958">
        <v>2</v>
      </c>
      <c r="AH1958">
        <v>0</v>
      </c>
      <c r="AI1958" t="s">
        <v>4021</v>
      </c>
      <c r="AJ1958">
        <v>39.821190999999999</v>
      </c>
      <c r="AK1958" t="s">
        <v>4022</v>
      </c>
      <c r="AL1958">
        <v>-75.911236000000002</v>
      </c>
      <c r="AM1958">
        <v>100</v>
      </c>
      <c r="AN1958">
        <v>4700</v>
      </c>
      <c r="AO1958" t="s">
        <v>115</v>
      </c>
      <c r="AP1958">
        <v>161</v>
      </c>
      <c r="AQ1958">
        <v>80</v>
      </c>
      <c r="AR1958">
        <v>0</v>
      </c>
      <c r="AZ1958">
        <v>3614</v>
      </c>
      <c r="BA1958">
        <v>1</v>
      </c>
      <c r="BB1958" t="str">
        <f t="shared" si="92"/>
        <v xml:space="preserve">N959MJ  </v>
      </c>
      <c r="BC1958">
        <v>1</v>
      </c>
      <c r="BE1958">
        <v>0</v>
      </c>
      <c r="BF1958">
        <v>0</v>
      </c>
      <c r="BG1958">
        <v>0</v>
      </c>
      <c r="BH1958">
        <v>4900</v>
      </c>
      <c r="BI1958">
        <v>200</v>
      </c>
      <c r="BJ1958">
        <v>1</v>
      </c>
      <c r="BK1958">
        <v>1</v>
      </c>
      <c r="BL1958">
        <v>1</v>
      </c>
      <c r="BM1958">
        <v>0</v>
      </c>
      <c r="BP1958">
        <v>0</v>
      </c>
      <c r="BQ1958">
        <v>0</v>
      </c>
      <c r="BX1958" t="str">
        <f>"14:22:59.133"</f>
        <v>14:22:59.133</v>
      </c>
      <c r="BY1958" t="str">
        <f>"132836641"</f>
        <v>132836641</v>
      </c>
      <c r="CL1958">
        <v>0</v>
      </c>
      <c r="CM1958">
        <v>2</v>
      </c>
      <c r="CN1958">
        <v>0</v>
      </c>
      <c r="CO1958">
        <v>2</v>
      </c>
      <c r="CP1958">
        <v>0</v>
      </c>
      <c r="CQ1958">
        <v>7</v>
      </c>
      <c r="CR1958" t="s">
        <v>116</v>
      </c>
      <c r="CS1958">
        <v>39</v>
      </c>
      <c r="CT1958">
        <v>2</v>
      </c>
      <c r="CU1958" t="s">
        <v>2259</v>
      </c>
      <c r="CV1958" t="s">
        <v>2260</v>
      </c>
      <c r="CY1958">
        <v>16425373</v>
      </c>
      <c r="CZ1958" t="s">
        <v>119</v>
      </c>
    </row>
    <row r="1959" spans="1:104" x14ac:dyDescent="0.25">
      <c r="A1959" t="str">
        <f>"14:23:00.383"</f>
        <v>14:23:00.383</v>
      </c>
      <c r="B1959" t="s">
        <v>108</v>
      </c>
      <c r="C1959" t="str">
        <f t="shared" si="91"/>
        <v>ffdfd3c0</v>
      </c>
      <c r="D1959" t="s">
        <v>109</v>
      </c>
      <c r="E1959">
        <v>4</v>
      </c>
      <c r="F1959">
        <v>1004</v>
      </c>
      <c r="G1959" t="s">
        <v>110</v>
      </c>
      <c r="J1959" t="s">
        <v>111</v>
      </c>
      <c r="K1959">
        <v>0</v>
      </c>
      <c r="L1959">
        <v>3</v>
      </c>
      <c r="M1959">
        <v>0</v>
      </c>
      <c r="N1959">
        <v>2</v>
      </c>
      <c r="O1959">
        <v>1</v>
      </c>
      <c r="P1959">
        <v>0</v>
      </c>
      <c r="Q1959">
        <v>0</v>
      </c>
      <c r="R1959" t="s">
        <v>112</v>
      </c>
      <c r="S1959" t="str">
        <f>"14:23:00.203"</f>
        <v>14:23:00.203</v>
      </c>
      <c r="T1959" t="str">
        <f>"14:22:59.805"</f>
        <v>14:22:59.805</v>
      </c>
      <c r="U1959" t="str">
        <f t="shared" si="90"/>
        <v>ad5732</v>
      </c>
      <c r="V1959">
        <v>0</v>
      </c>
      <c r="W1959">
        <v>0</v>
      </c>
      <c r="X1959">
        <v>1</v>
      </c>
      <c r="Z1959">
        <v>0</v>
      </c>
      <c r="AA1959">
        <v>9</v>
      </c>
      <c r="AB1959">
        <v>3</v>
      </c>
      <c r="AC1959">
        <v>0</v>
      </c>
      <c r="AD1959">
        <v>10</v>
      </c>
      <c r="AE1959">
        <v>0</v>
      </c>
      <c r="AF1959">
        <v>3</v>
      </c>
      <c r="AG1959">
        <v>2</v>
      </c>
      <c r="AH1959">
        <v>0</v>
      </c>
      <c r="AI1959" t="s">
        <v>4023</v>
      </c>
      <c r="AJ1959">
        <v>39.821620000000003</v>
      </c>
      <c r="AK1959" t="s">
        <v>4024</v>
      </c>
      <c r="AL1959">
        <v>-75.910162999999997</v>
      </c>
      <c r="AM1959">
        <v>100</v>
      </c>
      <c r="AN1959">
        <v>4700</v>
      </c>
      <c r="AO1959" t="s">
        <v>115</v>
      </c>
      <c r="AP1959">
        <v>161</v>
      </c>
      <c r="AQ1959">
        <v>80</v>
      </c>
      <c r="AR1959">
        <v>0</v>
      </c>
      <c r="AZ1959">
        <v>3614</v>
      </c>
      <c r="BA1959">
        <v>1</v>
      </c>
      <c r="BB1959" t="str">
        <f t="shared" si="92"/>
        <v xml:space="preserve">N959MJ  </v>
      </c>
      <c r="BC1959">
        <v>1</v>
      </c>
      <c r="BE1959">
        <v>0</v>
      </c>
      <c r="BF1959">
        <v>0</v>
      </c>
      <c r="BG1959">
        <v>0</v>
      </c>
      <c r="BH1959">
        <v>4900</v>
      </c>
      <c r="BI1959">
        <v>200</v>
      </c>
      <c r="BJ1959">
        <v>1</v>
      </c>
      <c r="BK1959">
        <v>1</v>
      </c>
      <c r="BL1959">
        <v>1</v>
      </c>
      <c r="BM1959">
        <v>0</v>
      </c>
      <c r="BP1959">
        <v>0</v>
      </c>
      <c r="BQ1959">
        <v>0</v>
      </c>
      <c r="BX1959" t="str">
        <f>"14:23:00.211"</f>
        <v>14:23:00.211</v>
      </c>
      <c r="BY1959" t="str">
        <f>"209283502"</f>
        <v>209283502</v>
      </c>
      <c r="CL1959">
        <v>0</v>
      </c>
      <c r="CM1959">
        <v>2</v>
      </c>
      <c r="CN1959">
        <v>0</v>
      </c>
      <c r="CO1959">
        <v>2</v>
      </c>
      <c r="CP1959">
        <v>0</v>
      </c>
      <c r="CQ1959">
        <v>7</v>
      </c>
      <c r="CR1959" t="s">
        <v>116</v>
      </c>
      <c r="CS1959">
        <v>39</v>
      </c>
      <c r="CT1959">
        <v>2</v>
      </c>
      <c r="CU1959" t="s">
        <v>2259</v>
      </c>
      <c r="CV1959" t="s">
        <v>2260</v>
      </c>
      <c r="CY1959">
        <v>16426911</v>
      </c>
      <c r="CZ1959" t="s">
        <v>119</v>
      </c>
    </row>
    <row r="1960" spans="1:104" x14ac:dyDescent="0.25">
      <c r="A1960" t="str">
        <f>"14:23:01.344"</f>
        <v>14:23:01.344</v>
      </c>
      <c r="B1960" t="s">
        <v>108</v>
      </c>
      <c r="C1960" t="str">
        <f t="shared" si="91"/>
        <v>ffdfd3c0</v>
      </c>
      <c r="D1960" t="s">
        <v>109</v>
      </c>
      <c r="E1960">
        <v>4</v>
      </c>
      <c r="F1960">
        <v>1004</v>
      </c>
      <c r="G1960" t="s">
        <v>110</v>
      </c>
      <c r="J1960" t="s">
        <v>111</v>
      </c>
      <c r="K1960">
        <v>0</v>
      </c>
      <c r="L1960">
        <v>3</v>
      </c>
      <c r="M1960">
        <v>0</v>
      </c>
      <c r="N1960">
        <v>2</v>
      </c>
      <c r="O1960">
        <v>1</v>
      </c>
      <c r="P1960">
        <v>0</v>
      </c>
      <c r="Q1960">
        <v>0</v>
      </c>
      <c r="R1960" t="s">
        <v>112</v>
      </c>
      <c r="S1960" t="str">
        <f>"14:23:01.148"</f>
        <v>14:23:01.148</v>
      </c>
      <c r="T1960" t="str">
        <f>"14:23:00.750"</f>
        <v>14:23:00.750</v>
      </c>
      <c r="U1960" t="str">
        <f t="shared" si="90"/>
        <v>ad5732</v>
      </c>
      <c r="V1960">
        <v>0</v>
      </c>
      <c r="W1960">
        <v>0</v>
      </c>
      <c r="X1960">
        <v>1</v>
      </c>
      <c r="Z1960">
        <v>0</v>
      </c>
      <c r="AA1960">
        <v>9</v>
      </c>
      <c r="AB1960">
        <v>3</v>
      </c>
      <c r="AC1960">
        <v>0</v>
      </c>
      <c r="AD1960">
        <v>10</v>
      </c>
      <c r="AE1960">
        <v>0</v>
      </c>
      <c r="AF1960">
        <v>3</v>
      </c>
      <c r="AG1960">
        <v>2</v>
      </c>
      <c r="AH1960">
        <v>0</v>
      </c>
      <c r="AI1960" t="s">
        <v>4025</v>
      </c>
      <c r="AJ1960">
        <v>39.821919999999999</v>
      </c>
      <c r="AK1960" t="s">
        <v>4026</v>
      </c>
      <c r="AL1960">
        <v>-75.909325999999993</v>
      </c>
      <c r="AM1960">
        <v>100</v>
      </c>
      <c r="AN1960">
        <v>4700</v>
      </c>
      <c r="AO1960" t="s">
        <v>115</v>
      </c>
      <c r="AP1960">
        <v>161</v>
      </c>
      <c r="AQ1960">
        <v>80</v>
      </c>
      <c r="AR1960">
        <v>0</v>
      </c>
      <c r="AZ1960">
        <v>3614</v>
      </c>
      <c r="BA1960">
        <v>1</v>
      </c>
      <c r="BB1960" t="str">
        <f t="shared" si="92"/>
        <v xml:space="preserve">N959MJ  </v>
      </c>
      <c r="BC1960">
        <v>1</v>
      </c>
      <c r="BE1960">
        <v>0</v>
      </c>
      <c r="BF1960">
        <v>0</v>
      </c>
      <c r="BG1960">
        <v>0</v>
      </c>
      <c r="BH1960">
        <v>4900</v>
      </c>
      <c r="BI1960">
        <v>200</v>
      </c>
      <c r="BJ1960">
        <v>1</v>
      </c>
      <c r="BK1960">
        <v>1</v>
      </c>
      <c r="BL1960">
        <v>1</v>
      </c>
      <c r="BM1960">
        <v>0</v>
      </c>
      <c r="BP1960">
        <v>0</v>
      </c>
      <c r="BQ1960">
        <v>0</v>
      </c>
      <c r="BX1960" t="str">
        <f>"14:23:01.156"</f>
        <v>14:23:01.156</v>
      </c>
      <c r="BY1960" t="str">
        <f>"154656128"</f>
        <v>154656128</v>
      </c>
      <c r="CL1960">
        <v>0</v>
      </c>
      <c r="CM1960">
        <v>2</v>
      </c>
      <c r="CN1960">
        <v>0</v>
      </c>
      <c r="CO1960">
        <v>2</v>
      </c>
      <c r="CP1960">
        <v>0</v>
      </c>
      <c r="CQ1960">
        <v>7</v>
      </c>
      <c r="CR1960" t="s">
        <v>116</v>
      </c>
      <c r="CS1960">
        <v>39</v>
      </c>
      <c r="CT1960">
        <v>2</v>
      </c>
      <c r="CU1960" t="s">
        <v>2259</v>
      </c>
      <c r="CV1960" t="s">
        <v>2260</v>
      </c>
      <c r="CY1960">
        <v>16428466</v>
      </c>
      <c r="CZ1960" t="s">
        <v>119</v>
      </c>
    </row>
    <row r="1961" spans="1:104" x14ac:dyDescent="0.25">
      <c r="A1961" t="str">
        <f>"14:23:02.203"</f>
        <v>14:23:02.203</v>
      </c>
      <c r="B1961" t="s">
        <v>108</v>
      </c>
      <c r="C1961" t="str">
        <f t="shared" si="91"/>
        <v>ffdfd3c0</v>
      </c>
      <c r="D1961" t="s">
        <v>109</v>
      </c>
      <c r="E1961">
        <v>4</v>
      </c>
      <c r="F1961">
        <v>1004</v>
      </c>
      <c r="G1961" t="s">
        <v>110</v>
      </c>
      <c r="J1961" t="s">
        <v>111</v>
      </c>
      <c r="K1961">
        <v>0</v>
      </c>
      <c r="L1961">
        <v>3</v>
      </c>
      <c r="M1961">
        <v>0</v>
      </c>
      <c r="N1961">
        <v>2</v>
      </c>
      <c r="O1961">
        <v>1</v>
      </c>
      <c r="P1961">
        <v>0</v>
      </c>
      <c r="Q1961">
        <v>0</v>
      </c>
      <c r="R1961" t="s">
        <v>112</v>
      </c>
      <c r="S1961" t="str">
        <f>"14:23:02.039"</f>
        <v>14:23:02.039</v>
      </c>
      <c r="T1961" t="str">
        <f>"14:23:01.641"</f>
        <v>14:23:01.641</v>
      </c>
      <c r="U1961" t="str">
        <f t="shared" si="90"/>
        <v>ad5732</v>
      </c>
      <c r="V1961">
        <v>0</v>
      </c>
      <c r="W1961">
        <v>0</v>
      </c>
      <c r="X1961">
        <v>1</v>
      </c>
      <c r="Z1961">
        <v>0</v>
      </c>
      <c r="AA1961">
        <v>9</v>
      </c>
      <c r="AB1961">
        <v>3</v>
      </c>
      <c r="AC1961">
        <v>0</v>
      </c>
      <c r="AD1961">
        <v>10</v>
      </c>
      <c r="AE1961">
        <v>0</v>
      </c>
      <c r="AF1961">
        <v>3</v>
      </c>
      <c r="AG1961">
        <v>2</v>
      </c>
      <c r="AH1961">
        <v>0</v>
      </c>
      <c r="AI1961" t="s">
        <v>4027</v>
      </c>
      <c r="AJ1961">
        <v>39.822263999999997</v>
      </c>
      <c r="AK1961" t="s">
        <v>4028</v>
      </c>
      <c r="AL1961">
        <v>-75.908445999999998</v>
      </c>
      <c r="AM1961">
        <v>100</v>
      </c>
      <c r="AN1961">
        <v>4700</v>
      </c>
      <c r="AO1961" t="s">
        <v>115</v>
      </c>
      <c r="AP1961">
        <v>161</v>
      </c>
      <c r="AQ1961">
        <v>80</v>
      </c>
      <c r="AR1961">
        <v>0</v>
      </c>
      <c r="AZ1961">
        <v>3614</v>
      </c>
      <c r="BA1961">
        <v>1</v>
      </c>
      <c r="BB1961" t="str">
        <f t="shared" si="92"/>
        <v xml:space="preserve">N959MJ  </v>
      </c>
      <c r="BC1961">
        <v>1</v>
      </c>
      <c r="BE1961">
        <v>0</v>
      </c>
      <c r="BF1961">
        <v>0</v>
      </c>
      <c r="BG1961">
        <v>0</v>
      </c>
      <c r="BH1961">
        <v>4900</v>
      </c>
      <c r="BI1961">
        <v>200</v>
      </c>
      <c r="BJ1961">
        <v>1</v>
      </c>
      <c r="BK1961">
        <v>1</v>
      </c>
      <c r="BL1961">
        <v>1</v>
      </c>
      <c r="BM1961">
        <v>0</v>
      </c>
      <c r="BP1961">
        <v>0</v>
      </c>
      <c r="BQ1961">
        <v>0</v>
      </c>
      <c r="BX1961" t="str">
        <f>"14:23:02.039"</f>
        <v>14:23:02.039</v>
      </c>
      <c r="BY1961" t="str">
        <f>"041045310"</f>
        <v>041045310</v>
      </c>
      <c r="CL1961">
        <v>0</v>
      </c>
      <c r="CM1961">
        <v>2</v>
      </c>
      <c r="CN1961">
        <v>0</v>
      </c>
      <c r="CO1961">
        <v>2</v>
      </c>
      <c r="CP1961">
        <v>0</v>
      </c>
      <c r="CQ1961">
        <v>7</v>
      </c>
      <c r="CR1961" t="s">
        <v>116</v>
      </c>
      <c r="CS1961">
        <v>39</v>
      </c>
      <c r="CT1961">
        <v>2</v>
      </c>
      <c r="CU1961" t="s">
        <v>2259</v>
      </c>
      <c r="CV1961" t="s">
        <v>2260</v>
      </c>
      <c r="CY1961">
        <v>16430013</v>
      </c>
      <c r="CZ1961" t="s">
        <v>119</v>
      </c>
    </row>
    <row r="1962" spans="1:104" x14ac:dyDescent="0.25">
      <c r="A1962" t="str">
        <f>"14:23:03.063"</f>
        <v>14:23:03.063</v>
      </c>
      <c r="B1962" t="s">
        <v>108</v>
      </c>
      <c r="C1962" t="str">
        <f t="shared" si="91"/>
        <v>ffdfd3c0</v>
      </c>
      <c r="D1962" t="s">
        <v>109</v>
      </c>
      <c r="E1962">
        <v>4</v>
      </c>
      <c r="F1962">
        <v>1004</v>
      </c>
      <c r="G1962" t="s">
        <v>110</v>
      </c>
      <c r="J1962" t="s">
        <v>111</v>
      </c>
      <c r="K1962">
        <v>0</v>
      </c>
      <c r="L1962">
        <v>3</v>
      </c>
      <c r="M1962">
        <v>0</v>
      </c>
      <c r="N1962">
        <v>2</v>
      </c>
      <c r="O1962">
        <v>1</v>
      </c>
      <c r="P1962">
        <v>0</v>
      </c>
      <c r="Q1962">
        <v>0</v>
      </c>
      <c r="R1962" t="s">
        <v>112</v>
      </c>
      <c r="S1962" t="str">
        <f>"14:23:02.898"</f>
        <v>14:23:02.898</v>
      </c>
      <c r="T1962" t="str">
        <f>"14:23:02.500"</f>
        <v>14:23:02.500</v>
      </c>
      <c r="U1962" t="str">
        <f t="shared" si="90"/>
        <v>ad5732</v>
      </c>
      <c r="V1962">
        <v>0</v>
      </c>
      <c r="W1962">
        <v>0</v>
      </c>
      <c r="X1962">
        <v>1</v>
      </c>
      <c r="Z1962">
        <v>0</v>
      </c>
      <c r="AA1962">
        <v>9</v>
      </c>
      <c r="AB1962">
        <v>3</v>
      </c>
      <c r="AC1962">
        <v>0</v>
      </c>
      <c r="AD1962">
        <v>10</v>
      </c>
      <c r="AE1962">
        <v>0</v>
      </c>
      <c r="AF1962">
        <v>3</v>
      </c>
      <c r="AG1962">
        <v>2</v>
      </c>
      <c r="AH1962">
        <v>0</v>
      </c>
      <c r="AI1962" t="s">
        <v>4029</v>
      </c>
      <c r="AJ1962">
        <v>39.822606999999998</v>
      </c>
      <c r="AK1962" t="s">
        <v>4030</v>
      </c>
      <c r="AL1962">
        <v>-75.907588000000004</v>
      </c>
      <c r="AM1962">
        <v>100</v>
      </c>
      <c r="AN1962">
        <v>4700</v>
      </c>
      <c r="AO1962" t="s">
        <v>115</v>
      </c>
      <c r="AP1962">
        <v>161</v>
      </c>
      <c r="AQ1962">
        <v>80</v>
      </c>
      <c r="AR1962">
        <v>0</v>
      </c>
      <c r="AZ1962">
        <v>3614</v>
      </c>
      <c r="BA1962">
        <v>1</v>
      </c>
      <c r="BB1962" t="str">
        <f t="shared" si="92"/>
        <v xml:space="preserve">N959MJ  </v>
      </c>
      <c r="BC1962">
        <v>1</v>
      </c>
      <c r="BE1962">
        <v>0</v>
      </c>
      <c r="BF1962">
        <v>0</v>
      </c>
      <c r="BG1962">
        <v>0</v>
      </c>
      <c r="BH1962">
        <v>4900</v>
      </c>
      <c r="BI1962">
        <v>200</v>
      </c>
      <c r="BJ1962">
        <v>1</v>
      </c>
      <c r="BK1962">
        <v>1</v>
      </c>
      <c r="BL1962">
        <v>1</v>
      </c>
      <c r="BM1962">
        <v>0</v>
      </c>
      <c r="BP1962">
        <v>0</v>
      </c>
      <c r="BQ1962">
        <v>0</v>
      </c>
      <c r="BX1962" t="str">
        <f>"14:23:02.906"</f>
        <v>14:23:02.906</v>
      </c>
      <c r="BY1962" t="str">
        <f>"904496661"</f>
        <v>904496661</v>
      </c>
      <c r="CL1962">
        <v>0</v>
      </c>
      <c r="CM1962">
        <v>2</v>
      </c>
      <c r="CN1962">
        <v>0</v>
      </c>
      <c r="CO1962">
        <v>2</v>
      </c>
      <c r="CP1962">
        <v>0</v>
      </c>
      <c r="CQ1962">
        <v>7</v>
      </c>
      <c r="CR1962" t="s">
        <v>116</v>
      </c>
      <c r="CS1962">
        <v>39</v>
      </c>
      <c r="CT1962">
        <v>2</v>
      </c>
      <c r="CU1962" t="s">
        <v>2259</v>
      </c>
      <c r="CV1962" t="s">
        <v>2260</v>
      </c>
      <c r="CY1962">
        <v>16431470</v>
      </c>
      <c r="CZ1962" t="s">
        <v>119</v>
      </c>
    </row>
    <row r="1963" spans="1:104" x14ac:dyDescent="0.25">
      <c r="A1963" t="str">
        <f>"14:23:03.969"</f>
        <v>14:23:03.969</v>
      </c>
      <c r="B1963" t="s">
        <v>108</v>
      </c>
      <c r="C1963" t="str">
        <f t="shared" si="91"/>
        <v>ffdfd3c0</v>
      </c>
      <c r="D1963" t="s">
        <v>109</v>
      </c>
      <c r="E1963">
        <v>4</v>
      </c>
      <c r="F1963">
        <v>1004</v>
      </c>
      <c r="G1963" t="s">
        <v>110</v>
      </c>
      <c r="J1963" t="s">
        <v>111</v>
      </c>
      <c r="K1963">
        <v>0</v>
      </c>
      <c r="L1963">
        <v>3</v>
      </c>
      <c r="M1963">
        <v>0</v>
      </c>
      <c r="N1963">
        <v>2</v>
      </c>
      <c r="O1963">
        <v>1</v>
      </c>
      <c r="P1963">
        <v>0</v>
      </c>
      <c r="Q1963">
        <v>0</v>
      </c>
      <c r="R1963" t="s">
        <v>112</v>
      </c>
      <c r="S1963" t="str">
        <f>"14:23:03.789"</f>
        <v>14:23:03.789</v>
      </c>
      <c r="T1963" t="str">
        <f>"14:23:03.391"</f>
        <v>14:23:03.391</v>
      </c>
      <c r="U1963" t="str">
        <f t="shared" si="90"/>
        <v>ad5732</v>
      </c>
      <c r="V1963">
        <v>0</v>
      </c>
      <c r="W1963">
        <v>0</v>
      </c>
      <c r="X1963">
        <v>1</v>
      </c>
      <c r="Z1963">
        <v>0</v>
      </c>
      <c r="AA1963">
        <v>9</v>
      </c>
      <c r="AB1963">
        <v>3</v>
      </c>
      <c r="AC1963">
        <v>0</v>
      </c>
      <c r="AD1963">
        <v>10</v>
      </c>
      <c r="AE1963">
        <v>0</v>
      </c>
      <c r="AF1963">
        <v>3</v>
      </c>
      <c r="AG1963">
        <v>2</v>
      </c>
      <c r="AH1963">
        <v>0</v>
      </c>
      <c r="AI1963" t="s">
        <v>4031</v>
      </c>
      <c r="AJ1963">
        <v>39.822885999999997</v>
      </c>
      <c r="AK1963" t="s">
        <v>4032</v>
      </c>
      <c r="AL1963">
        <v>-75.906816000000006</v>
      </c>
      <c r="AM1963">
        <v>100</v>
      </c>
      <c r="AN1963">
        <v>4700</v>
      </c>
      <c r="AO1963" t="s">
        <v>115</v>
      </c>
      <c r="AP1963">
        <v>161</v>
      </c>
      <c r="AQ1963">
        <v>80</v>
      </c>
      <c r="AR1963">
        <v>0</v>
      </c>
      <c r="AZ1963">
        <v>3614</v>
      </c>
      <c r="BA1963">
        <v>1</v>
      </c>
      <c r="BB1963" t="str">
        <f t="shared" si="92"/>
        <v xml:space="preserve">N959MJ  </v>
      </c>
      <c r="BC1963">
        <v>1</v>
      </c>
      <c r="BE1963">
        <v>0</v>
      </c>
      <c r="BF1963">
        <v>0</v>
      </c>
      <c r="BG1963">
        <v>0</v>
      </c>
      <c r="BH1963">
        <v>4900</v>
      </c>
      <c r="BI1963">
        <v>200</v>
      </c>
      <c r="BJ1963">
        <v>1</v>
      </c>
      <c r="BK1963">
        <v>1</v>
      </c>
      <c r="BL1963">
        <v>1</v>
      </c>
      <c r="BM1963">
        <v>0</v>
      </c>
      <c r="BP1963">
        <v>0</v>
      </c>
      <c r="BQ1963">
        <v>0</v>
      </c>
      <c r="BX1963" t="str">
        <f>"14:23:03.789"</f>
        <v>14:23:03.789</v>
      </c>
      <c r="BY1963" t="str">
        <f>"792524219"</f>
        <v>792524219</v>
      </c>
      <c r="CL1963">
        <v>0</v>
      </c>
      <c r="CM1963">
        <v>2</v>
      </c>
      <c r="CN1963">
        <v>0</v>
      </c>
      <c r="CO1963">
        <v>2</v>
      </c>
      <c r="CP1963">
        <v>0</v>
      </c>
      <c r="CQ1963">
        <v>7</v>
      </c>
      <c r="CR1963" t="s">
        <v>116</v>
      </c>
      <c r="CS1963">
        <v>39</v>
      </c>
      <c r="CT1963">
        <v>2</v>
      </c>
      <c r="CU1963" t="s">
        <v>2259</v>
      </c>
      <c r="CV1963" t="s">
        <v>2260</v>
      </c>
      <c r="CY1963">
        <v>16432908</v>
      </c>
      <c r="CZ1963" t="s">
        <v>119</v>
      </c>
    </row>
    <row r="1964" spans="1:104" x14ac:dyDescent="0.25">
      <c r="A1964" t="str">
        <f>"14:23:04.977"</f>
        <v>14:23:04.977</v>
      </c>
      <c r="B1964" t="s">
        <v>108</v>
      </c>
      <c r="C1964" t="str">
        <f t="shared" si="91"/>
        <v>ffdfd3c0</v>
      </c>
      <c r="D1964" t="s">
        <v>109</v>
      </c>
      <c r="E1964">
        <v>4</v>
      </c>
      <c r="F1964">
        <v>1004</v>
      </c>
      <c r="G1964" t="s">
        <v>110</v>
      </c>
      <c r="J1964" t="s">
        <v>111</v>
      </c>
      <c r="K1964">
        <v>0</v>
      </c>
      <c r="L1964">
        <v>3</v>
      </c>
      <c r="M1964">
        <v>0</v>
      </c>
      <c r="N1964">
        <v>2</v>
      </c>
      <c r="O1964">
        <v>1</v>
      </c>
      <c r="P1964">
        <v>0</v>
      </c>
      <c r="Q1964">
        <v>0</v>
      </c>
      <c r="R1964" t="s">
        <v>112</v>
      </c>
      <c r="S1964" t="str">
        <f>"14:23:04.781"</f>
        <v>14:23:04.781</v>
      </c>
      <c r="T1964" t="str">
        <f>"14:23:04.383"</f>
        <v>14:23:04.383</v>
      </c>
      <c r="U1964" t="str">
        <f t="shared" si="90"/>
        <v>ad5732</v>
      </c>
      <c r="V1964">
        <v>0</v>
      </c>
      <c r="W1964">
        <v>0</v>
      </c>
      <c r="X1964">
        <v>1</v>
      </c>
      <c r="Z1964">
        <v>0</v>
      </c>
      <c r="AA1964">
        <v>9</v>
      </c>
      <c r="AB1964">
        <v>3</v>
      </c>
      <c r="AC1964">
        <v>0</v>
      </c>
      <c r="AD1964">
        <v>10</v>
      </c>
      <c r="AE1964">
        <v>0</v>
      </c>
      <c r="AF1964">
        <v>3</v>
      </c>
      <c r="AG1964">
        <v>2</v>
      </c>
      <c r="AH1964">
        <v>0</v>
      </c>
      <c r="AI1964" t="s">
        <v>4033</v>
      </c>
      <c r="AJ1964">
        <v>39.823293999999997</v>
      </c>
      <c r="AK1964" t="s">
        <v>4034</v>
      </c>
      <c r="AL1964">
        <v>-75.905850000000001</v>
      </c>
      <c r="AM1964">
        <v>100</v>
      </c>
      <c r="AN1964">
        <v>4700</v>
      </c>
      <c r="AO1964" t="s">
        <v>115</v>
      </c>
      <c r="AP1964">
        <v>161</v>
      </c>
      <c r="AQ1964">
        <v>81</v>
      </c>
      <c r="AR1964">
        <v>0</v>
      </c>
      <c r="AZ1964">
        <v>3614</v>
      </c>
      <c r="BA1964">
        <v>1</v>
      </c>
      <c r="BB1964" t="str">
        <f t="shared" si="92"/>
        <v xml:space="preserve">N959MJ  </v>
      </c>
      <c r="BC1964">
        <v>1</v>
      </c>
      <c r="BE1964">
        <v>0</v>
      </c>
      <c r="BF1964">
        <v>0</v>
      </c>
      <c r="BG1964">
        <v>0</v>
      </c>
      <c r="BH1964">
        <v>4900</v>
      </c>
      <c r="BI1964">
        <v>200</v>
      </c>
      <c r="BJ1964">
        <v>1</v>
      </c>
      <c r="BK1964">
        <v>1</v>
      </c>
      <c r="BL1964">
        <v>1</v>
      </c>
      <c r="BM1964">
        <v>0</v>
      </c>
      <c r="BP1964">
        <v>0</v>
      </c>
      <c r="BQ1964">
        <v>0</v>
      </c>
      <c r="BX1964" t="str">
        <f>"14:23:04.789"</f>
        <v>14:23:04.789</v>
      </c>
      <c r="BY1964" t="str">
        <f>"787049722"</f>
        <v>787049722</v>
      </c>
      <c r="CL1964">
        <v>0</v>
      </c>
      <c r="CM1964">
        <v>2</v>
      </c>
      <c r="CN1964">
        <v>0</v>
      </c>
      <c r="CO1964">
        <v>2</v>
      </c>
      <c r="CP1964">
        <v>0</v>
      </c>
      <c r="CQ1964">
        <v>7</v>
      </c>
      <c r="CR1964" t="s">
        <v>116</v>
      </c>
      <c r="CS1964">
        <v>39</v>
      </c>
      <c r="CT1964">
        <v>2</v>
      </c>
      <c r="CU1964" t="s">
        <v>2259</v>
      </c>
      <c r="CV1964" t="s">
        <v>2260</v>
      </c>
      <c r="CY1964">
        <v>16434354</v>
      </c>
      <c r="CZ1964" t="s">
        <v>119</v>
      </c>
    </row>
    <row r="1965" spans="1:104" x14ac:dyDescent="0.25">
      <c r="A1965" t="str">
        <f>"14:23:05.992"</f>
        <v>14:23:05.992</v>
      </c>
      <c r="B1965" t="s">
        <v>108</v>
      </c>
      <c r="C1965" t="str">
        <f t="shared" si="91"/>
        <v>ffdfd3c0</v>
      </c>
      <c r="D1965" t="s">
        <v>109</v>
      </c>
      <c r="E1965">
        <v>4</v>
      </c>
      <c r="F1965">
        <v>1004</v>
      </c>
      <c r="G1965" t="s">
        <v>110</v>
      </c>
      <c r="J1965" t="s">
        <v>111</v>
      </c>
      <c r="K1965">
        <v>0</v>
      </c>
      <c r="L1965">
        <v>3</v>
      </c>
      <c r="M1965">
        <v>0</v>
      </c>
      <c r="N1965">
        <v>2</v>
      </c>
      <c r="O1965">
        <v>1</v>
      </c>
      <c r="P1965">
        <v>0</v>
      </c>
      <c r="Q1965">
        <v>0</v>
      </c>
      <c r="R1965" t="s">
        <v>112</v>
      </c>
      <c r="S1965" t="str">
        <f>"14:23:05.813"</f>
        <v>14:23:05.813</v>
      </c>
      <c r="T1965" t="str">
        <f>"14:23:05.414"</f>
        <v>14:23:05.414</v>
      </c>
      <c r="U1965" t="str">
        <f t="shared" si="90"/>
        <v>ad5732</v>
      </c>
      <c r="V1965">
        <v>0</v>
      </c>
      <c r="W1965">
        <v>0</v>
      </c>
      <c r="X1965">
        <v>1</v>
      </c>
      <c r="Z1965">
        <v>0</v>
      </c>
      <c r="AA1965">
        <v>9</v>
      </c>
      <c r="AB1965">
        <v>3</v>
      </c>
      <c r="AC1965">
        <v>0</v>
      </c>
      <c r="AD1965">
        <v>10</v>
      </c>
      <c r="AE1965">
        <v>0</v>
      </c>
      <c r="AF1965">
        <v>3</v>
      </c>
      <c r="AG1965">
        <v>2</v>
      </c>
      <c r="AH1965">
        <v>0</v>
      </c>
      <c r="AI1965" t="s">
        <v>4035</v>
      </c>
      <c r="AJ1965">
        <v>39.823680000000003</v>
      </c>
      <c r="AK1965" t="s">
        <v>4036</v>
      </c>
      <c r="AL1965">
        <v>-75.904776999999996</v>
      </c>
      <c r="AM1965">
        <v>100</v>
      </c>
      <c r="AN1965">
        <v>4700</v>
      </c>
      <c r="AO1965" t="s">
        <v>115</v>
      </c>
      <c r="AP1965">
        <v>161</v>
      </c>
      <c r="AQ1965">
        <v>81</v>
      </c>
      <c r="AR1965">
        <v>0</v>
      </c>
      <c r="AZ1965">
        <v>3614</v>
      </c>
      <c r="BA1965">
        <v>1</v>
      </c>
      <c r="BB1965" t="str">
        <f t="shared" si="92"/>
        <v xml:space="preserve">N959MJ  </v>
      </c>
      <c r="BC1965">
        <v>1</v>
      </c>
      <c r="BE1965">
        <v>0</v>
      </c>
      <c r="BF1965">
        <v>0</v>
      </c>
      <c r="BG1965">
        <v>0</v>
      </c>
      <c r="BH1965">
        <v>4900</v>
      </c>
      <c r="BI1965">
        <v>200</v>
      </c>
      <c r="BJ1965">
        <v>1</v>
      </c>
      <c r="BK1965">
        <v>1</v>
      </c>
      <c r="BL1965">
        <v>1</v>
      </c>
      <c r="BM1965">
        <v>0</v>
      </c>
      <c r="BP1965">
        <v>0</v>
      </c>
      <c r="BQ1965">
        <v>0</v>
      </c>
      <c r="BX1965" t="str">
        <f>"14:23:05.813"</f>
        <v>14:23:05.813</v>
      </c>
      <c r="BY1965" t="str">
        <f>"814343666"</f>
        <v>814343666</v>
      </c>
      <c r="CL1965">
        <v>0</v>
      </c>
      <c r="CM1965">
        <v>2</v>
      </c>
      <c r="CN1965">
        <v>0</v>
      </c>
      <c r="CO1965">
        <v>2</v>
      </c>
      <c r="CP1965">
        <v>0</v>
      </c>
      <c r="CQ1965">
        <v>7</v>
      </c>
      <c r="CR1965" t="s">
        <v>116</v>
      </c>
      <c r="CS1965">
        <v>39</v>
      </c>
      <c r="CT1965">
        <v>2</v>
      </c>
      <c r="CU1965" t="s">
        <v>2259</v>
      </c>
      <c r="CV1965" t="s">
        <v>2260</v>
      </c>
      <c r="CY1965">
        <v>16435869</v>
      </c>
      <c r="CZ1965" t="s">
        <v>119</v>
      </c>
    </row>
    <row r="1966" spans="1:104" x14ac:dyDescent="0.25">
      <c r="A1966" t="str">
        <f>"14:23:06.945"</f>
        <v>14:23:06.945</v>
      </c>
      <c r="B1966" t="s">
        <v>108</v>
      </c>
      <c r="C1966" t="str">
        <f t="shared" si="91"/>
        <v>ffdfd3c0</v>
      </c>
      <c r="D1966" t="s">
        <v>109</v>
      </c>
      <c r="E1966">
        <v>4</v>
      </c>
      <c r="F1966">
        <v>1004</v>
      </c>
      <c r="G1966" t="s">
        <v>110</v>
      </c>
      <c r="J1966" t="s">
        <v>111</v>
      </c>
      <c r="K1966">
        <v>0</v>
      </c>
      <c r="L1966">
        <v>3</v>
      </c>
      <c r="M1966">
        <v>0</v>
      </c>
      <c r="N1966">
        <v>2</v>
      </c>
      <c r="O1966">
        <v>1</v>
      </c>
      <c r="P1966">
        <v>0</v>
      </c>
      <c r="Q1966">
        <v>0</v>
      </c>
      <c r="R1966" t="s">
        <v>112</v>
      </c>
      <c r="S1966" t="str">
        <f>"14:23:06.758"</f>
        <v>14:23:06.758</v>
      </c>
      <c r="T1966" t="str">
        <f>"14:23:06.359"</f>
        <v>14:23:06.359</v>
      </c>
      <c r="U1966" t="str">
        <f t="shared" si="90"/>
        <v>ad5732</v>
      </c>
      <c r="V1966">
        <v>0</v>
      </c>
      <c r="W1966">
        <v>0</v>
      </c>
      <c r="X1966">
        <v>1</v>
      </c>
      <c r="Z1966">
        <v>0</v>
      </c>
      <c r="AA1966">
        <v>9</v>
      </c>
      <c r="AB1966">
        <v>3</v>
      </c>
      <c r="AC1966">
        <v>0</v>
      </c>
      <c r="AD1966">
        <v>10</v>
      </c>
      <c r="AE1966">
        <v>0</v>
      </c>
      <c r="AF1966">
        <v>3</v>
      </c>
      <c r="AG1966">
        <v>2</v>
      </c>
      <c r="AH1966">
        <v>0</v>
      </c>
      <c r="AI1966" t="s">
        <v>4037</v>
      </c>
      <c r="AJ1966">
        <v>39.824022999999997</v>
      </c>
      <c r="AK1966" t="s">
        <v>4038</v>
      </c>
      <c r="AL1966">
        <v>-75.903875999999997</v>
      </c>
      <c r="AM1966">
        <v>100</v>
      </c>
      <c r="AN1966">
        <v>4700</v>
      </c>
      <c r="AO1966" t="s">
        <v>115</v>
      </c>
      <c r="AP1966">
        <v>161</v>
      </c>
      <c r="AQ1966">
        <v>81</v>
      </c>
      <c r="AR1966">
        <v>0</v>
      </c>
      <c r="AZ1966">
        <v>3614</v>
      </c>
      <c r="BA1966">
        <v>1</v>
      </c>
      <c r="BB1966" t="str">
        <f t="shared" si="92"/>
        <v xml:space="preserve">N959MJ  </v>
      </c>
      <c r="BC1966">
        <v>1</v>
      </c>
      <c r="BE1966">
        <v>0</v>
      </c>
      <c r="BF1966">
        <v>0</v>
      </c>
      <c r="BG1966">
        <v>0</v>
      </c>
      <c r="BH1966">
        <v>4900</v>
      </c>
      <c r="BI1966">
        <v>200</v>
      </c>
      <c r="BJ1966">
        <v>1</v>
      </c>
      <c r="BK1966">
        <v>1</v>
      </c>
      <c r="BL1966">
        <v>1</v>
      </c>
      <c r="BM1966">
        <v>0</v>
      </c>
      <c r="BP1966">
        <v>0</v>
      </c>
      <c r="BQ1966">
        <v>0</v>
      </c>
      <c r="BX1966" t="str">
        <f>"14:23:06.766"</f>
        <v>14:23:06.766</v>
      </c>
      <c r="BY1966" t="str">
        <f>"762993145"</f>
        <v>762993145</v>
      </c>
      <c r="CL1966">
        <v>0</v>
      </c>
      <c r="CM1966">
        <v>2</v>
      </c>
      <c r="CN1966">
        <v>0</v>
      </c>
      <c r="CO1966">
        <v>2</v>
      </c>
      <c r="CP1966">
        <v>0</v>
      </c>
      <c r="CQ1966">
        <v>7</v>
      </c>
      <c r="CR1966" t="s">
        <v>116</v>
      </c>
      <c r="CS1966">
        <v>39</v>
      </c>
      <c r="CT1966">
        <v>2</v>
      </c>
      <c r="CU1966" t="s">
        <v>2259</v>
      </c>
      <c r="CV1966" t="s">
        <v>2260</v>
      </c>
      <c r="CY1966">
        <v>16437500</v>
      </c>
      <c r="CZ1966" t="s">
        <v>119</v>
      </c>
    </row>
    <row r="1967" spans="1:104" x14ac:dyDescent="0.25">
      <c r="A1967" t="str">
        <f>"14:23:07.859"</f>
        <v>14:23:07.859</v>
      </c>
      <c r="B1967" t="s">
        <v>108</v>
      </c>
      <c r="C1967" t="str">
        <f t="shared" si="91"/>
        <v>ffdfd3c0</v>
      </c>
      <c r="D1967" t="s">
        <v>109</v>
      </c>
      <c r="E1967">
        <v>4</v>
      </c>
      <c r="F1967">
        <v>1004</v>
      </c>
      <c r="G1967" t="s">
        <v>110</v>
      </c>
      <c r="J1967" t="s">
        <v>111</v>
      </c>
      <c r="K1967">
        <v>0</v>
      </c>
      <c r="L1967">
        <v>3</v>
      </c>
      <c r="M1967">
        <v>0</v>
      </c>
      <c r="N1967">
        <v>2</v>
      </c>
      <c r="O1967">
        <v>1</v>
      </c>
      <c r="P1967">
        <v>0</v>
      </c>
      <c r="Q1967">
        <v>0</v>
      </c>
      <c r="R1967" t="s">
        <v>112</v>
      </c>
      <c r="S1967" t="str">
        <f>"14:23:07.680"</f>
        <v>14:23:07.680</v>
      </c>
      <c r="T1967" t="str">
        <f>"14:23:07.281"</f>
        <v>14:23:07.281</v>
      </c>
      <c r="U1967" t="str">
        <f t="shared" si="90"/>
        <v>ad5732</v>
      </c>
      <c r="V1967">
        <v>0</v>
      </c>
      <c r="W1967">
        <v>0</v>
      </c>
      <c r="X1967">
        <v>1</v>
      </c>
      <c r="Z1967">
        <v>0</v>
      </c>
      <c r="AA1967">
        <v>9</v>
      </c>
      <c r="AB1967">
        <v>3</v>
      </c>
      <c r="AC1967">
        <v>0</v>
      </c>
      <c r="AD1967">
        <v>10</v>
      </c>
      <c r="AE1967">
        <v>0</v>
      </c>
      <c r="AF1967">
        <v>3</v>
      </c>
      <c r="AG1967">
        <v>2</v>
      </c>
      <c r="AH1967">
        <v>0</v>
      </c>
      <c r="AI1967" t="s">
        <v>4039</v>
      </c>
      <c r="AJ1967">
        <v>39.824367000000002</v>
      </c>
      <c r="AK1967" t="s">
        <v>4040</v>
      </c>
      <c r="AL1967">
        <v>-75.903018000000003</v>
      </c>
      <c r="AM1967">
        <v>100</v>
      </c>
      <c r="AN1967">
        <v>4700</v>
      </c>
      <c r="AO1967" t="s">
        <v>115</v>
      </c>
      <c r="AP1967">
        <v>161</v>
      </c>
      <c r="AQ1967">
        <v>81</v>
      </c>
      <c r="AR1967">
        <v>0</v>
      </c>
      <c r="AZ1967">
        <v>3614</v>
      </c>
      <c r="BA1967">
        <v>1</v>
      </c>
      <c r="BB1967" t="str">
        <f t="shared" si="92"/>
        <v xml:space="preserve">N959MJ  </v>
      </c>
      <c r="BC1967">
        <v>1</v>
      </c>
      <c r="BE1967">
        <v>0</v>
      </c>
      <c r="BF1967">
        <v>0</v>
      </c>
      <c r="BG1967">
        <v>0</v>
      </c>
      <c r="BH1967">
        <v>4900</v>
      </c>
      <c r="BI1967">
        <v>200</v>
      </c>
      <c r="BJ1967">
        <v>1</v>
      </c>
      <c r="BK1967">
        <v>1</v>
      </c>
      <c r="BL1967">
        <v>1</v>
      </c>
      <c r="BM1967">
        <v>0</v>
      </c>
      <c r="BP1967">
        <v>0</v>
      </c>
      <c r="BQ1967">
        <v>0</v>
      </c>
      <c r="BX1967" t="str">
        <f>"14:23:07.680"</f>
        <v>14:23:07.680</v>
      </c>
      <c r="BY1967" t="str">
        <f>"682150930"</f>
        <v>682150930</v>
      </c>
      <c r="CL1967">
        <v>0</v>
      </c>
      <c r="CM1967">
        <v>2</v>
      </c>
      <c r="CN1967">
        <v>0</v>
      </c>
      <c r="CO1967">
        <v>2</v>
      </c>
      <c r="CP1967">
        <v>0</v>
      </c>
      <c r="CQ1967">
        <v>7</v>
      </c>
      <c r="CR1967" t="s">
        <v>116</v>
      </c>
      <c r="CS1967">
        <v>39</v>
      </c>
      <c r="CT1967">
        <v>2</v>
      </c>
      <c r="CU1967" t="s">
        <v>2259</v>
      </c>
      <c r="CV1967" t="s">
        <v>2260</v>
      </c>
      <c r="CY1967">
        <v>16438973</v>
      </c>
      <c r="CZ1967" t="s">
        <v>119</v>
      </c>
    </row>
    <row r="1968" spans="1:104" x14ac:dyDescent="0.25">
      <c r="A1968" t="str">
        <f>"14:23:08.914"</f>
        <v>14:23:08.914</v>
      </c>
      <c r="B1968" t="s">
        <v>108</v>
      </c>
      <c r="C1968" t="str">
        <f t="shared" si="91"/>
        <v>ffdfd3c0</v>
      </c>
      <c r="D1968" t="s">
        <v>109</v>
      </c>
      <c r="E1968">
        <v>4</v>
      </c>
      <c r="F1968">
        <v>1004</v>
      </c>
      <c r="G1968" t="s">
        <v>110</v>
      </c>
      <c r="J1968" t="s">
        <v>111</v>
      </c>
      <c r="K1968">
        <v>0</v>
      </c>
      <c r="L1968">
        <v>3</v>
      </c>
      <c r="M1968">
        <v>0</v>
      </c>
      <c r="N1968">
        <v>2</v>
      </c>
      <c r="O1968">
        <v>1</v>
      </c>
      <c r="P1968">
        <v>0</v>
      </c>
      <c r="Q1968">
        <v>0</v>
      </c>
      <c r="R1968" t="s">
        <v>112</v>
      </c>
      <c r="S1968" t="str">
        <f>"14:23:08.742"</f>
        <v>14:23:08.742</v>
      </c>
      <c r="T1968" t="str">
        <f>"14:23:08.344"</f>
        <v>14:23:08.344</v>
      </c>
      <c r="U1968" t="str">
        <f t="shared" si="90"/>
        <v>ad5732</v>
      </c>
      <c r="V1968">
        <v>0</v>
      </c>
      <c r="W1968">
        <v>0</v>
      </c>
      <c r="X1968">
        <v>1</v>
      </c>
      <c r="Z1968">
        <v>0</v>
      </c>
      <c r="AA1968">
        <v>9</v>
      </c>
      <c r="AB1968">
        <v>3</v>
      </c>
      <c r="AC1968">
        <v>0</v>
      </c>
      <c r="AD1968">
        <v>10</v>
      </c>
      <c r="AE1968">
        <v>0</v>
      </c>
      <c r="AF1968">
        <v>3</v>
      </c>
      <c r="AG1968">
        <v>2</v>
      </c>
      <c r="AH1968">
        <v>0</v>
      </c>
      <c r="AI1968" t="s">
        <v>4041</v>
      </c>
      <c r="AJ1968">
        <v>39.824753000000001</v>
      </c>
      <c r="AK1968" t="s">
        <v>4042</v>
      </c>
      <c r="AL1968">
        <v>-75.901966000000002</v>
      </c>
      <c r="AM1968">
        <v>100</v>
      </c>
      <c r="AN1968">
        <v>4700</v>
      </c>
      <c r="AO1968" t="s">
        <v>115</v>
      </c>
      <c r="AP1968">
        <v>160</v>
      </c>
      <c r="AQ1968">
        <v>81</v>
      </c>
      <c r="AR1968">
        <v>0</v>
      </c>
      <c r="AZ1968">
        <v>3614</v>
      </c>
      <c r="BA1968">
        <v>1</v>
      </c>
      <c r="BB1968" t="str">
        <f t="shared" si="92"/>
        <v xml:space="preserve">N959MJ  </v>
      </c>
      <c r="BC1968">
        <v>1</v>
      </c>
      <c r="BE1968">
        <v>0</v>
      </c>
      <c r="BF1968">
        <v>0</v>
      </c>
      <c r="BG1968">
        <v>0</v>
      </c>
      <c r="BH1968">
        <v>4900</v>
      </c>
      <c r="BI1968">
        <v>200</v>
      </c>
      <c r="BJ1968">
        <v>1</v>
      </c>
      <c r="BK1968">
        <v>1</v>
      </c>
      <c r="BL1968">
        <v>1</v>
      </c>
      <c r="BM1968">
        <v>0</v>
      </c>
      <c r="BP1968">
        <v>0</v>
      </c>
      <c r="BQ1968">
        <v>0</v>
      </c>
      <c r="BX1968" t="str">
        <f>"14:23:08.750"</f>
        <v>14:23:08.750</v>
      </c>
      <c r="BY1968" t="str">
        <f>"748767188"</f>
        <v>748767188</v>
      </c>
      <c r="CL1968">
        <v>0</v>
      </c>
      <c r="CM1968">
        <v>2</v>
      </c>
      <c r="CN1968">
        <v>0</v>
      </c>
      <c r="CO1968">
        <v>2</v>
      </c>
      <c r="CP1968">
        <v>0</v>
      </c>
      <c r="CQ1968">
        <v>7</v>
      </c>
      <c r="CR1968" t="s">
        <v>116</v>
      </c>
      <c r="CS1968">
        <v>39</v>
      </c>
      <c r="CT1968">
        <v>2</v>
      </c>
      <c r="CU1968" t="s">
        <v>2259</v>
      </c>
      <c r="CV1968" t="s">
        <v>2260</v>
      </c>
      <c r="CY1968">
        <v>16440674</v>
      </c>
      <c r="CZ1968" t="s">
        <v>119</v>
      </c>
    </row>
    <row r="1969" spans="1:104" x14ac:dyDescent="0.25">
      <c r="A1969" t="str">
        <f>"14:23:09.773"</f>
        <v>14:23:09.773</v>
      </c>
      <c r="B1969" t="s">
        <v>108</v>
      </c>
      <c r="C1969" t="str">
        <f t="shared" si="91"/>
        <v>ffdfd3c0</v>
      </c>
      <c r="D1969" t="s">
        <v>109</v>
      </c>
      <c r="E1969">
        <v>4</v>
      </c>
      <c r="F1969">
        <v>1004</v>
      </c>
      <c r="G1969" t="s">
        <v>110</v>
      </c>
      <c r="J1969" t="s">
        <v>111</v>
      </c>
      <c r="K1969">
        <v>0</v>
      </c>
      <c r="L1969">
        <v>3</v>
      </c>
      <c r="M1969">
        <v>0</v>
      </c>
      <c r="N1969">
        <v>2</v>
      </c>
      <c r="O1969">
        <v>1</v>
      </c>
      <c r="P1969">
        <v>0</v>
      </c>
      <c r="Q1969">
        <v>0</v>
      </c>
      <c r="R1969" t="s">
        <v>112</v>
      </c>
      <c r="S1969" t="str">
        <f>"14:23:09.586"</f>
        <v>14:23:09.586</v>
      </c>
      <c r="T1969" t="str">
        <f>"14:23:09.188"</f>
        <v>14:23:09.188</v>
      </c>
      <c r="U1969" t="str">
        <f t="shared" si="90"/>
        <v>ad5732</v>
      </c>
      <c r="V1969">
        <v>0</v>
      </c>
      <c r="W1969">
        <v>0</v>
      </c>
      <c r="X1969">
        <v>1</v>
      </c>
      <c r="Z1969">
        <v>0</v>
      </c>
      <c r="AA1969">
        <v>9</v>
      </c>
      <c r="AB1969">
        <v>3</v>
      </c>
      <c r="AC1969">
        <v>0</v>
      </c>
      <c r="AD1969">
        <v>10</v>
      </c>
      <c r="AE1969">
        <v>0</v>
      </c>
      <c r="AF1969">
        <v>3</v>
      </c>
      <c r="AG1969">
        <v>2</v>
      </c>
      <c r="AH1969">
        <v>0</v>
      </c>
      <c r="AI1969" t="s">
        <v>4043</v>
      </c>
      <c r="AJ1969">
        <v>39.825074999999998</v>
      </c>
      <c r="AK1969" t="s">
        <v>4044</v>
      </c>
      <c r="AL1969">
        <v>-75.901194000000004</v>
      </c>
      <c r="AM1969">
        <v>100</v>
      </c>
      <c r="AN1969">
        <v>4700</v>
      </c>
      <c r="AO1969" t="s">
        <v>115</v>
      </c>
      <c r="AP1969">
        <v>160</v>
      </c>
      <c r="AQ1969">
        <v>81</v>
      </c>
      <c r="AR1969">
        <v>0</v>
      </c>
      <c r="AZ1969">
        <v>3614</v>
      </c>
      <c r="BA1969">
        <v>1</v>
      </c>
      <c r="BB1969" t="str">
        <f t="shared" si="92"/>
        <v xml:space="preserve">N959MJ  </v>
      </c>
      <c r="BC1969">
        <v>1</v>
      </c>
      <c r="BE1969">
        <v>0</v>
      </c>
      <c r="BF1969">
        <v>0</v>
      </c>
      <c r="BG1969">
        <v>0</v>
      </c>
      <c r="BH1969">
        <v>4900</v>
      </c>
      <c r="BI1969">
        <v>200</v>
      </c>
      <c r="BJ1969">
        <v>1</v>
      </c>
      <c r="BK1969">
        <v>1</v>
      </c>
      <c r="BL1969">
        <v>1</v>
      </c>
      <c r="BM1969">
        <v>0</v>
      </c>
      <c r="BP1969">
        <v>0</v>
      </c>
      <c r="BQ1969">
        <v>0</v>
      </c>
      <c r="BX1969" t="str">
        <f>"14:23:09.586"</f>
        <v>14:23:09.586</v>
      </c>
      <c r="BY1969" t="str">
        <f>"586003599"</f>
        <v>586003599</v>
      </c>
      <c r="CL1969">
        <v>0</v>
      </c>
      <c r="CM1969">
        <v>2</v>
      </c>
      <c r="CN1969">
        <v>0</v>
      </c>
      <c r="CO1969">
        <v>2</v>
      </c>
      <c r="CP1969">
        <v>0</v>
      </c>
      <c r="CQ1969">
        <v>7</v>
      </c>
      <c r="CR1969" t="s">
        <v>116</v>
      </c>
      <c r="CS1969">
        <v>39</v>
      </c>
      <c r="CT1969">
        <v>2</v>
      </c>
      <c r="CU1969" t="s">
        <v>2259</v>
      </c>
      <c r="CV1969" t="s">
        <v>2260</v>
      </c>
      <c r="CY1969">
        <v>16441890</v>
      </c>
      <c r="CZ1969" t="s">
        <v>119</v>
      </c>
    </row>
    <row r="1970" spans="1:104" x14ac:dyDescent="0.25">
      <c r="A1970" t="str">
        <f>"14:23:10.633"</f>
        <v>14:23:10.633</v>
      </c>
      <c r="B1970" t="s">
        <v>108</v>
      </c>
      <c r="C1970" t="str">
        <f t="shared" si="91"/>
        <v>ffdfd3c0</v>
      </c>
      <c r="D1970" t="s">
        <v>109</v>
      </c>
      <c r="E1970">
        <v>4</v>
      </c>
      <c r="F1970">
        <v>1004</v>
      </c>
      <c r="G1970" t="s">
        <v>110</v>
      </c>
      <c r="J1970" t="s">
        <v>111</v>
      </c>
      <c r="K1970">
        <v>0</v>
      </c>
      <c r="L1970">
        <v>3</v>
      </c>
      <c r="M1970">
        <v>0</v>
      </c>
      <c r="N1970">
        <v>2</v>
      </c>
      <c r="O1970">
        <v>1</v>
      </c>
      <c r="P1970">
        <v>0</v>
      </c>
      <c r="Q1970">
        <v>0</v>
      </c>
      <c r="R1970" t="s">
        <v>112</v>
      </c>
      <c r="S1970" t="str">
        <f>"14:23:10.422"</f>
        <v>14:23:10.422</v>
      </c>
      <c r="T1970" t="str">
        <f>"14:23:10.023"</f>
        <v>14:23:10.023</v>
      </c>
      <c r="U1970" t="str">
        <f t="shared" si="90"/>
        <v>ad5732</v>
      </c>
      <c r="V1970">
        <v>0</v>
      </c>
      <c r="W1970">
        <v>0</v>
      </c>
      <c r="X1970">
        <v>1</v>
      </c>
      <c r="Z1970">
        <v>0</v>
      </c>
      <c r="AA1970">
        <v>9</v>
      </c>
      <c r="AB1970">
        <v>3</v>
      </c>
      <c r="AC1970">
        <v>0</v>
      </c>
      <c r="AD1970">
        <v>10</v>
      </c>
      <c r="AE1970">
        <v>0</v>
      </c>
      <c r="AF1970">
        <v>3</v>
      </c>
      <c r="AG1970">
        <v>2</v>
      </c>
      <c r="AH1970">
        <v>0</v>
      </c>
      <c r="AI1970" t="s">
        <v>4045</v>
      </c>
      <c r="AJ1970">
        <v>39.825439000000003</v>
      </c>
      <c r="AK1970" t="s">
        <v>4046</v>
      </c>
      <c r="AL1970">
        <v>-75.900334999999998</v>
      </c>
      <c r="AM1970">
        <v>100</v>
      </c>
      <c r="AN1970">
        <v>4700</v>
      </c>
      <c r="AO1970" t="s">
        <v>115</v>
      </c>
      <c r="AP1970">
        <v>160</v>
      </c>
      <c r="AQ1970">
        <v>82</v>
      </c>
      <c r="AR1970">
        <v>0</v>
      </c>
      <c r="AZ1970">
        <v>3614</v>
      </c>
      <c r="BA1970">
        <v>1</v>
      </c>
      <c r="BB1970" t="str">
        <f t="shared" si="92"/>
        <v xml:space="preserve">N959MJ  </v>
      </c>
      <c r="BC1970">
        <v>1</v>
      </c>
      <c r="BE1970">
        <v>0</v>
      </c>
      <c r="BF1970">
        <v>0</v>
      </c>
      <c r="BG1970">
        <v>0</v>
      </c>
      <c r="BH1970">
        <v>4900</v>
      </c>
      <c r="BI1970">
        <v>200</v>
      </c>
      <c r="BJ1970">
        <v>1</v>
      </c>
      <c r="BK1970">
        <v>1</v>
      </c>
      <c r="BL1970">
        <v>1</v>
      </c>
      <c r="BM1970">
        <v>0</v>
      </c>
      <c r="BP1970">
        <v>0</v>
      </c>
      <c r="BQ1970">
        <v>0</v>
      </c>
      <c r="BX1970" t="str">
        <f>"14:23:10.430"</f>
        <v>14:23:10.430</v>
      </c>
      <c r="BY1970" t="str">
        <f>"428155358"</f>
        <v>428155358</v>
      </c>
      <c r="CL1970">
        <v>0</v>
      </c>
      <c r="CM1970">
        <v>2</v>
      </c>
      <c r="CN1970">
        <v>0</v>
      </c>
      <c r="CO1970">
        <v>2</v>
      </c>
      <c r="CP1970">
        <v>0</v>
      </c>
      <c r="CQ1970">
        <v>5</v>
      </c>
      <c r="CR1970" t="s">
        <v>116</v>
      </c>
      <c r="CS1970">
        <v>39</v>
      </c>
      <c r="CT1970">
        <v>1</v>
      </c>
      <c r="CU1970" t="s">
        <v>2259</v>
      </c>
      <c r="CV1970" t="s">
        <v>2260</v>
      </c>
      <c r="CY1970">
        <v>8457538</v>
      </c>
      <c r="CZ1970" t="s">
        <v>119</v>
      </c>
    </row>
    <row r="1971" spans="1:104" x14ac:dyDescent="0.25">
      <c r="A1971" t="str">
        <f>"14:23:11.742"</f>
        <v>14:23:11.742</v>
      </c>
      <c r="B1971" t="s">
        <v>108</v>
      </c>
      <c r="C1971" t="str">
        <f t="shared" si="91"/>
        <v>ffdfd3c0</v>
      </c>
      <c r="D1971" t="s">
        <v>109</v>
      </c>
      <c r="E1971">
        <v>4</v>
      </c>
      <c r="F1971">
        <v>1004</v>
      </c>
      <c r="G1971" t="s">
        <v>110</v>
      </c>
      <c r="J1971" t="s">
        <v>111</v>
      </c>
      <c r="K1971">
        <v>0</v>
      </c>
      <c r="L1971">
        <v>3</v>
      </c>
      <c r="M1971">
        <v>0</v>
      </c>
      <c r="N1971">
        <v>2</v>
      </c>
      <c r="O1971">
        <v>1</v>
      </c>
      <c r="P1971">
        <v>0</v>
      </c>
      <c r="Q1971">
        <v>0</v>
      </c>
      <c r="R1971" t="s">
        <v>112</v>
      </c>
      <c r="S1971" t="str">
        <f>"14:23:11.531"</f>
        <v>14:23:11.531</v>
      </c>
      <c r="T1971" t="str">
        <f>"14:23:10.430"</f>
        <v>14:23:10.430</v>
      </c>
      <c r="U1971" t="str">
        <f t="shared" si="90"/>
        <v>ad5732</v>
      </c>
      <c r="V1971">
        <v>0</v>
      </c>
      <c r="W1971">
        <v>0</v>
      </c>
      <c r="X1971">
        <v>1</v>
      </c>
      <c r="Z1971">
        <v>0</v>
      </c>
      <c r="AA1971">
        <v>9</v>
      </c>
      <c r="AB1971">
        <v>3</v>
      </c>
      <c r="AC1971">
        <v>0</v>
      </c>
      <c r="AD1971">
        <v>10</v>
      </c>
      <c r="AE1971">
        <v>0</v>
      </c>
      <c r="AF1971">
        <v>3</v>
      </c>
      <c r="AG1971">
        <v>2</v>
      </c>
      <c r="AH1971">
        <v>0</v>
      </c>
      <c r="AI1971" t="s">
        <v>4047</v>
      </c>
      <c r="AJ1971">
        <v>39.825847000000003</v>
      </c>
      <c r="AK1971" t="s">
        <v>4048</v>
      </c>
      <c r="AL1971">
        <v>-75.899283999999994</v>
      </c>
      <c r="AM1971">
        <v>100</v>
      </c>
      <c r="AN1971">
        <v>4700</v>
      </c>
      <c r="AO1971" t="s">
        <v>115</v>
      </c>
      <c r="AP1971">
        <v>160</v>
      </c>
      <c r="AQ1971">
        <v>82</v>
      </c>
      <c r="AR1971">
        <v>0</v>
      </c>
      <c r="AZ1971">
        <v>3614</v>
      </c>
      <c r="BA1971">
        <v>1</v>
      </c>
      <c r="BB1971" t="str">
        <f t="shared" si="92"/>
        <v xml:space="preserve">N959MJ  </v>
      </c>
      <c r="BC1971">
        <v>1</v>
      </c>
      <c r="BE1971">
        <v>0</v>
      </c>
      <c r="BF1971">
        <v>0</v>
      </c>
      <c r="BG1971">
        <v>0</v>
      </c>
      <c r="BH1971">
        <v>4900</v>
      </c>
      <c r="BI1971">
        <v>200</v>
      </c>
      <c r="BJ1971">
        <v>1</v>
      </c>
      <c r="BK1971">
        <v>1</v>
      </c>
      <c r="BL1971">
        <v>1</v>
      </c>
      <c r="BM1971">
        <v>0</v>
      </c>
      <c r="BP1971">
        <v>0</v>
      </c>
      <c r="BQ1971">
        <v>0</v>
      </c>
      <c r="BX1971" t="str">
        <f>"14:23:11.531"</f>
        <v>14:23:11.531</v>
      </c>
      <c r="BY1971" t="str">
        <f>"534093877"</f>
        <v>534093877</v>
      </c>
      <c r="CL1971">
        <v>0</v>
      </c>
      <c r="CM1971">
        <v>2</v>
      </c>
      <c r="CN1971">
        <v>0</v>
      </c>
      <c r="CO1971">
        <v>2</v>
      </c>
      <c r="CP1971">
        <v>0</v>
      </c>
      <c r="CQ1971">
        <v>7</v>
      </c>
      <c r="CR1971" t="s">
        <v>116</v>
      </c>
      <c r="CS1971">
        <v>39</v>
      </c>
      <c r="CT1971">
        <v>2</v>
      </c>
      <c r="CU1971" t="s">
        <v>2259</v>
      </c>
      <c r="CV1971" t="s">
        <v>2260</v>
      </c>
      <c r="CY1971">
        <v>16445014</v>
      </c>
      <c r="CZ1971" t="s">
        <v>119</v>
      </c>
    </row>
    <row r="1972" spans="1:104" x14ac:dyDescent="0.25">
      <c r="A1972" t="str">
        <f>"14:23:12.805"</f>
        <v>14:23:12.805</v>
      </c>
      <c r="B1972" t="s">
        <v>108</v>
      </c>
      <c r="C1972" t="str">
        <f t="shared" si="91"/>
        <v>ffdfd3c0</v>
      </c>
      <c r="D1972" t="s">
        <v>109</v>
      </c>
      <c r="E1972">
        <v>4</v>
      </c>
      <c r="F1972">
        <v>1004</v>
      </c>
      <c r="G1972" t="s">
        <v>110</v>
      </c>
      <c r="J1972" t="s">
        <v>111</v>
      </c>
      <c r="K1972">
        <v>0</v>
      </c>
      <c r="L1972">
        <v>3</v>
      </c>
      <c r="M1972">
        <v>0</v>
      </c>
      <c r="N1972">
        <v>2</v>
      </c>
      <c r="O1972">
        <v>1</v>
      </c>
      <c r="P1972">
        <v>0</v>
      </c>
      <c r="Q1972">
        <v>0</v>
      </c>
      <c r="R1972" t="s">
        <v>112</v>
      </c>
      <c r="S1972" t="str">
        <f>"14:23:12.648"</f>
        <v>14:23:12.648</v>
      </c>
      <c r="T1972" t="str">
        <f>"14:23:12.148"</f>
        <v>14:23:12.148</v>
      </c>
      <c r="U1972" t="str">
        <f t="shared" si="90"/>
        <v>ad5732</v>
      </c>
      <c r="V1972">
        <v>0</v>
      </c>
      <c r="W1972">
        <v>0</v>
      </c>
      <c r="X1972">
        <v>1</v>
      </c>
      <c r="Z1972">
        <v>0</v>
      </c>
      <c r="AA1972">
        <v>9</v>
      </c>
      <c r="AB1972">
        <v>3</v>
      </c>
      <c r="AC1972">
        <v>0</v>
      </c>
      <c r="AD1972">
        <v>10</v>
      </c>
      <c r="AE1972">
        <v>0</v>
      </c>
      <c r="AF1972">
        <v>3</v>
      </c>
      <c r="AG1972">
        <v>2</v>
      </c>
      <c r="AH1972">
        <v>0</v>
      </c>
      <c r="AI1972" t="s">
        <v>4049</v>
      </c>
      <c r="AJ1972">
        <v>39.826276</v>
      </c>
      <c r="AK1972" t="s">
        <v>4050</v>
      </c>
      <c r="AL1972">
        <v>-75.89819</v>
      </c>
      <c r="AM1972">
        <v>100</v>
      </c>
      <c r="AN1972">
        <v>4700</v>
      </c>
      <c r="AO1972" t="s">
        <v>115</v>
      </c>
      <c r="AP1972">
        <v>160</v>
      </c>
      <c r="AQ1972">
        <v>82</v>
      </c>
      <c r="AR1972">
        <v>0</v>
      </c>
      <c r="AZ1972">
        <v>3614</v>
      </c>
      <c r="BA1972">
        <v>1</v>
      </c>
      <c r="BB1972" t="str">
        <f t="shared" si="92"/>
        <v xml:space="preserve">N959MJ  </v>
      </c>
      <c r="BC1972">
        <v>1</v>
      </c>
      <c r="BE1972">
        <v>0</v>
      </c>
      <c r="BF1972">
        <v>0</v>
      </c>
      <c r="BG1972">
        <v>0</v>
      </c>
      <c r="BH1972">
        <v>4900</v>
      </c>
      <c r="BI1972">
        <v>200</v>
      </c>
      <c r="BJ1972">
        <v>1</v>
      </c>
      <c r="BK1972">
        <v>1</v>
      </c>
      <c r="BL1972">
        <v>1</v>
      </c>
      <c r="BM1972">
        <v>0</v>
      </c>
      <c r="BP1972">
        <v>0</v>
      </c>
      <c r="BQ1972">
        <v>0</v>
      </c>
      <c r="BX1972" t="str">
        <f>"14:23:12.648"</f>
        <v>14:23:12.648</v>
      </c>
      <c r="BY1972" t="str">
        <f>"651501316"</f>
        <v>651501316</v>
      </c>
      <c r="CL1972">
        <v>0</v>
      </c>
      <c r="CM1972">
        <v>2</v>
      </c>
      <c r="CN1972">
        <v>0</v>
      </c>
      <c r="CO1972">
        <v>2</v>
      </c>
      <c r="CP1972">
        <v>0</v>
      </c>
      <c r="CQ1972">
        <v>7</v>
      </c>
      <c r="CR1972" t="s">
        <v>116</v>
      </c>
      <c r="CS1972">
        <v>39</v>
      </c>
      <c r="CT1972">
        <v>2</v>
      </c>
      <c r="CU1972" t="s">
        <v>2259</v>
      </c>
      <c r="CV1972" t="s">
        <v>2260</v>
      </c>
      <c r="CY1972">
        <v>16446839</v>
      </c>
      <c r="CZ1972" t="s">
        <v>119</v>
      </c>
    </row>
    <row r="1973" spans="1:104" x14ac:dyDescent="0.25">
      <c r="A1973" t="str">
        <f>"14:23:13.867"</f>
        <v>14:23:13.867</v>
      </c>
      <c r="B1973" t="s">
        <v>108</v>
      </c>
      <c r="C1973" t="str">
        <f t="shared" si="91"/>
        <v>ffdfd3c0</v>
      </c>
      <c r="D1973" t="s">
        <v>109</v>
      </c>
      <c r="E1973">
        <v>4</v>
      </c>
      <c r="F1973">
        <v>1004</v>
      </c>
      <c r="G1973" t="s">
        <v>110</v>
      </c>
      <c r="J1973" t="s">
        <v>111</v>
      </c>
      <c r="K1973">
        <v>0</v>
      </c>
      <c r="L1973">
        <v>3</v>
      </c>
      <c r="M1973">
        <v>0</v>
      </c>
      <c r="N1973">
        <v>2</v>
      </c>
      <c r="O1973">
        <v>1</v>
      </c>
      <c r="P1973">
        <v>0</v>
      </c>
      <c r="Q1973">
        <v>0</v>
      </c>
      <c r="R1973" t="s">
        <v>112</v>
      </c>
      <c r="S1973" t="str">
        <f>"14:23:13.672"</f>
        <v>14:23:13.672</v>
      </c>
      <c r="T1973" t="str">
        <f>"14:23:13.172"</f>
        <v>14:23:13.172</v>
      </c>
      <c r="U1973" t="str">
        <f t="shared" si="90"/>
        <v>ad5732</v>
      </c>
      <c r="V1973">
        <v>0</v>
      </c>
      <c r="W1973">
        <v>0</v>
      </c>
      <c r="X1973">
        <v>1</v>
      </c>
      <c r="Z1973">
        <v>0</v>
      </c>
      <c r="AA1973">
        <v>9</v>
      </c>
      <c r="AB1973">
        <v>3</v>
      </c>
      <c r="AC1973">
        <v>0</v>
      </c>
      <c r="AD1973">
        <v>10</v>
      </c>
      <c r="AE1973">
        <v>0</v>
      </c>
      <c r="AF1973">
        <v>3</v>
      </c>
      <c r="AG1973">
        <v>2</v>
      </c>
      <c r="AH1973">
        <v>0</v>
      </c>
      <c r="AI1973" t="s">
        <v>4051</v>
      </c>
      <c r="AJ1973">
        <v>39.826641000000002</v>
      </c>
      <c r="AK1973" t="s">
        <v>4052</v>
      </c>
      <c r="AL1973">
        <v>-75.897223999999994</v>
      </c>
      <c r="AM1973">
        <v>100</v>
      </c>
      <c r="AN1973">
        <v>4700</v>
      </c>
      <c r="AO1973" t="s">
        <v>115</v>
      </c>
      <c r="AP1973">
        <v>160</v>
      </c>
      <c r="AQ1973">
        <v>82</v>
      </c>
      <c r="AR1973">
        <v>0</v>
      </c>
      <c r="AZ1973">
        <v>3614</v>
      </c>
      <c r="BA1973">
        <v>1</v>
      </c>
      <c r="BB1973" t="str">
        <f t="shared" si="92"/>
        <v xml:space="preserve">N959MJ  </v>
      </c>
      <c r="BC1973">
        <v>1</v>
      </c>
      <c r="BE1973">
        <v>0</v>
      </c>
      <c r="BF1973">
        <v>0</v>
      </c>
      <c r="BG1973">
        <v>0</v>
      </c>
      <c r="BH1973">
        <v>4900</v>
      </c>
      <c r="BI1973">
        <v>200</v>
      </c>
      <c r="BJ1973">
        <v>1</v>
      </c>
      <c r="BK1973">
        <v>1</v>
      </c>
      <c r="BL1973">
        <v>1</v>
      </c>
      <c r="BM1973">
        <v>0</v>
      </c>
      <c r="BP1973">
        <v>0</v>
      </c>
      <c r="BQ1973">
        <v>0</v>
      </c>
      <c r="BX1973" t="str">
        <f>"14:23:13.680"</f>
        <v>14:23:13.680</v>
      </c>
      <c r="BY1973" t="str">
        <f>"677156893"</f>
        <v>677156893</v>
      </c>
      <c r="CL1973">
        <v>0</v>
      </c>
      <c r="CM1973">
        <v>2</v>
      </c>
      <c r="CN1973">
        <v>0</v>
      </c>
      <c r="CO1973">
        <v>2</v>
      </c>
      <c r="CP1973">
        <v>0</v>
      </c>
      <c r="CQ1973">
        <v>7</v>
      </c>
      <c r="CR1973" t="s">
        <v>116</v>
      </c>
      <c r="CS1973">
        <v>39</v>
      </c>
      <c r="CT1973">
        <v>2</v>
      </c>
      <c r="CU1973" t="s">
        <v>2259</v>
      </c>
      <c r="CV1973" t="s">
        <v>2260</v>
      </c>
      <c r="CY1973">
        <v>16448430</v>
      </c>
      <c r="CZ1973" t="s">
        <v>119</v>
      </c>
    </row>
    <row r="1974" spans="1:104" x14ac:dyDescent="0.25">
      <c r="A1974" t="str">
        <f>"14:23:14.922"</f>
        <v>14:23:14.922</v>
      </c>
      <c r="B1974" t="s">
        <v>108</v>
      </c>
      <c r="C1974" t="str">
        <f t="shared" si="91"/>
        <v>ffdfd3c0</v>
      </c>
      <c r="D1974" t="s">
        <v>109</v>
      </c>
      <c r="E1974">
        <v>4</v>
      </c>
      <c r="F1974">
        <v>1004</v>
      </c>
      <c r="G1974" t="s">
        <v>110</v>
      </c>
      <c r="J1974" t="s">
        <v>111</v>
      </c>
      <c r="K1974">
        <v>0</v>
      </c>
      <c r="L1974">
        <v>3</v>
      </c>
      <c r="M1974">
        <v>0</v>
      </c>
      <c r="N1974">
        <v>2</v>
      </c>
      <c r="O1974">
        <v>1</v>
      </c>
      <c r="P1974">
        <v>0</v>
      </c>
      <c r="Q1974">
        <v>0</v>
      </c>
      <c r="R1974" t="s">
        <v>112</v>
      </c>
      <c r="S1974" t="str">
        <f>"14:23:14.727"</f>
        <v>14:23:14.727</v>
      </c>
      <c r="T1974" t="str">
        <f>"14:23:14.227"</f>
        <v>14:23:14.227</v>
      </c>
      <c r="U1974" t="str">
        <f t="shared" si="90"/>
        <v>ad5732</v>
      </c>
      <c r="V1974">
        <v>0</v>
      </c>
      <c r="W1974">
        <v>0</v>
      </c>
      <c r="X1974">
        <v>1</v>
      </c>
      <c r="Z1974">
        <v>0</v>
      </c>
      <c r="AA1974">
        <v>9</v>
      </c>
      <c r="AB1974">
        <v>3</v>
      </c>
      <c r="AC1974">
        <v>0</v>
      </c>
      <c r="AD1974">
        <v>10</v>
      </c>
      <c r="AE1974">
        <v>0</v>
      </c>
      <c r="AF1974">
        <v>3</v>
      </c>
      <c r="AG1974">
        <v>2</v>
      </c>
      <c r="AH1974">
        <v>0</v>
      </c>
      <c r="AI1974" t="s">
        <v>4053</v>
      </c>
      <c r="AJ1974">
        <v>39.827049000000002</v>
      </c>
      <c r="AK1974" t="s">
        <v>4054</v>
      </c>
      <c r="AL1974">
        <v>-75.896173000000005</v>
      </c>
      <c r="AM1974">
        <v>100</v>
      </c>
      <c r="AN1974">
        <v>4700</v>
      </c>
      <c r="AO1974" t="s">
        <v>115</v>
      </c>
      <c r="AP1974">
        <v>160</v>
      </c>
      <c r="AQ1974">
        <v>82</v>
      </c>
      <c r="AR1974">
        <v>0</v>
      </c>
      <c r="AZ1974">
        <v>3614</v>
      </c>
      <c r="BA1974">
        <v>1</v>
      </c>
      <c r="BB1974" t="str">
        <f t="shared" si="92"/>
        <v xml:space="preserve">N959MJ  </v>
      </c>
      <c r="BC1974">
        <v>1</v>
      </c>
      <c r="BE1974">
        <v>0</v>
      </c>
      <c r="BF1974">
        <v>0</v>
      </c>
      <c r="BG1974">
        <v>0</v>
      </c>
      <c r="BH1974">
        <v>4900</v>
      </c>
      <c r="BI1974">
        <v>200</v>
      </c>
      <c r="BJ1974">
        <v>1</v>
      </c>
      <c r="BK1974">
        <v>1</v>
      </c>
      <c r="BL1974">
        <v>1</v>
      </c>
      <c r="BM1974">
        <v>0</v>
      </c>
      <c r="BP1974">
        <v>0</v>
      </c>
      <c r="BQ1974">
        <v>0</v>
      </c>
      <c r="BX1974" t="str">
        <f>"14:23:14.734"</f>
        <v>14:23:14.734</v>
      </c>
      <c r="BY1974" t="str">
        <f>"733942574"</f>
        <v>733942574</v>
      </c>
      <c r="CL1974">
        <v>0</v>
      </c>
      <c r="CM1974">
        <v>2</v>
      </c>
      <c r="CN1974">
        <v>0</v>
      </c>
      <c r="CO1974">
        <v>2</v>
      </c>
      <c r="CP1974">
        <v>0</v>
      </c>
      <c r="CQ1974">
        <v>7</v>
      </c>
      <c r="CR1974" t="s">
        <v>116</v>
      </c>
      <c r="CS1974">
        <v>39</v>
      </c>
      <c r="CT1974">
        <v>2</v>
      </c>
      <c r="CU1974" t="s">
        <v>2259</v>
      </c>
      <c r="CV1974" t="s">
        <v>2260</v>
      </c>
      <c r="CY1974">
        <v>16449899</v>
      </c>
      <c r="CZ1974" t="s">
        <v>119</v>
      </c>
    </row>
    <row r="1975" spans="1:104" x14ac:dyDescent="0.25">
      <c r="A1975" t="str">
        <f>"14:23:15.828"</f>
        <v>14:23:15.828</v>
      </c>
      <c r="B1975" t="s">
        <v>108</v>
      </c>
      <c r="C1975" t="str">
        <f t="shared" si="91"/>
        <v>ffdfd3c0</v>
      </c>
      <c r="D1975" t="s">
        <v>109</v>
      </c>
      <c r="E1975">
        <v>4</v>
      </c>
      <c r="F1975">
        <v>1004</v>
      </c>
      <c r="G1975" t="s">
        <v>110</v>
      </c>
      <c r="J1975" t="s">
        <v>111</v>
      </c>
      <c r="K1975">
        <v>0</v>
      </c>
      <c r="L1975">
        <v>3</v>
      </c>
      <c r="M1975">
        <v>0</v>
      </c>
      <c r="N1975">
        <v>2</v>
      </c>
      <c r="O1975">
        <v>1</v>
      </c>
      <c r="P1975">
        <v>0</v>
      </c>
      <c r="Q1975">
        <v>0</v>
      </c>
      <c r="R1975" t="s">
        <v>112</v>
      </c>
      <c r="S1975" t="str">
        <f>"14:23:15.672"</f>
        <v>14:23:15.672</v>
      </c>
      <c r="T1975" t="str">
        <f>"14:23:15.273"</f>
        <v>14:23:15.273</v>
      </c>
      <c r="U1975" t="str">
        <f t="shared" si="90"/>
        <v>ad5732</v>
      </c>
      <c r="V1975">
        <v>0</v>
      </c>
      <c r="W1975">
        <v>0</v>
      </c>
      <c r="X1975">
        <v>1</v>
      </c>
      <c r="Z1975">
        <v>0</v>
      </c>
      <c r="AA1975">
        <v>9</v>
      </c>
      <c r="AB1975">
        <v>3</v>
      </c>
      <c r="AC1975">
        <v>0</v>
      </c>
      <c r="AD1975">
        <v>10</v>
      </c>
      <c r="AE1975">
        <v>0</v>
      </c>
      <c r="AF1975">
        <v>3</v>
      </c>
      <c r="AG1975">
        <v>2</v>
      </c>
      <c r="AH1975">
        <v>0</v>
      </c>
      <c r="AI1975" t="s">
        <v>4055</v>
      </c>
      <c r="AJ1975">
        <v>39.827392000000003</v>
      </c>
      <c r="AK1975" t="s">
        <v>4056</v>
      </c>
      <c r="AL1975">
        <v>-75.895313999999999</v>
      </c>
      <c r="AM1975">
        <v>100</v>
      </c>
      <c r="AN1975">
        <v>4700</v>
      </c>
      <c r="AO1975" t="s">
        <v>115</v>
      </c>
      <c r="AP1975">
        <v>160</v>
      </c>
      <c r="AQ1975">
        <v>82</v>
      </c>
      <c r="AR1975">
        <v>0</v>
      </c>
      <c r="AZ1975">
        <v>3614</v>
      </c>
      <c r="BA1975">
        <v>1</v>
      </c>
      <c r="BB1975" t="str">
        <f t="shared" si="92"/>
        <v xml:space="preserve">N959MJ  </v>
      </c>
      <c r="BC1975">
        <v>1</v>
      </c>
      <c r="BE1975">
        <v>0</v>
      </c>
      <c r="BF1975">
        <v>0</v>
      </c>
      <c r="BG1975">
        <v>0</v>
      </c>
      <c r="BH1975">
        <v>4900</v>
      </c>
      <c r="BI1975">
        <v>200</v>
      </c>
      <c r="BJ1975">
        <v>1</v>
      </c>
      <c r="BK1975">
        <v>1</v>
      </c>
      <c r="BL1975">
        <v>1</v>
      </c>
      <c r="BM1975">
        <v>0</v>
      </c>
      <c r="BP1975">
        <v>0</v>
      </c>
      <c r="BQ1975">
        <v>0</v>
      </c>
      <c r="BX1975" t="str">
        <f>"14:23:15.672"</f>
        <v>14:23:15.672</v>
      </c>
      <c r="BY1975" t="str">
        <f>"674399930"</f>
        <v>674399930</v>
      </c>
      <c r="CL1975">
        <v>0</v>
      </c>
      <c r="CM1975">
        <v>2</v>
      </c>
      <c r="CN1975">
        <v>0</v>
      </c>
      <c r="CO1975">
        <v>2</v>
      </c>
      <c r="CP1975">
        <v>0</v>
      </c>
      <c r="CQ1975">
        <v>7</v>
      </c>
      <c r="CR1975" t="s">
        <v>116</v>
      </c>
      <c r="CS1975">
        <v>39</v>
      </c>
      <c r="CT1975">
        <v>2</v>
      </c>
      <c r="CU1975" t="s">
        <v>2259</v>
      </c>
      <c r="CV1975" t="s">
        <v>2260</v>
      </c>
      <c r="CY1975">
        <v>16451546</v>
      </c>
      <c r="CZ1975" t="s">
        <v>119</v>
      </c>
    </row>
    <row r="1976" spans="1:104" x14ac:dyDescent="0.25">
      <c r="A1976" t="str">
        <f>"14:23:16.844"</f>
        <v>14:23:16.844</v>
      </c>
      <c r="B1976" t="s">
        <v>108</v>
      </c>
      <c r="C1976" t="str">
        <f t="shared" si="91"/>
        <v>ffdfd3c0</v>
      </c>
      <c r="D1976" t="s">
        <v>109</v>
      </c>
      <c r="E1976">
        <v>4</v>
      </c>
      <c r="F1976">
        <v>1004</v>
      </c>
      <c r="G1976" t="s">
        <v>110</v>
      </c>
      <c r="J1976" t="s">
        <v>111</v>
      </c>
      <c r="K1976">
        <v>0</v>
      </c>
      <c r="L1976">
        <v>3</v>
      </c>
      <c r="M1976">
        <v>0</v>
      </c>
      <c r="N1976">
        <v>2</v>
      </c>
      <c r="O1976">
        <v>1</v>
      </c>
      <c r="P1976">
        <v>0</v>
      </c>
      <c r="Q1976">
        <v>0</v>
      </c>
      <c r="R1976" t="s">
        <v>112</v>
      </c>
      <c r="S1976" t="str">
        <f>"14:23:16.648"</f>
        <v>14:23:16.648</v>
      </c>
      <c r="T1976" t="str">
        <f>"14:23:16.148"</f>
        <v>14:23:16.148</v>
      </c>
      <c r="U1976" t="str">
        <f t="shared" si="90"/>
        <v>ad5732</v>
      </c>
      <c r="V1976">
        <v>0</v>
      </c>
      <c r="W1976">
        <v>0</v>
      </c>
      <c r="X1976">
        <v>1</v>
      </c>
      <c r="Z1976">
        <v>0</v>
      </c>
      <c r="AA1976">
        <v>9</v>
      </c>
      <c r="AB1976">
        <v>3</v>
      </c>
      <c r="AC1976">
        <v>0</v>
      </c>
      <c r="AD1976">
        <v>10</v>
      </c>
      <c r="AE1976">
        <v>0</v>
      </c>
      <c r="AF1976">
        <v>3</v>
      </c>
      <c r="AG1976">
        <v>2</v>
      </c>
      <c r="AH1976">
        <v>0</v>
      </c>
      <c r="AI1976" t="s">
        <v>4057</v>
      </c>
      <c r="AJ1976">
        <v>39.827756999999998</v>
      </c>
      <c r="AK1976" t="s">
        <v>4058</v>
      </c>
      <c r="AL1976">
        <v>-75.894349000000005</v>
      </c>
      <c r="AM1976">
        <v>100</v>
      </c>
      <c r="AN1976">
        <v>4700</v>
      </c>
      <c r="AO1976" t="s">
        <v>115</v>
      </c>
      <c r="AP1976">
        <v>160</v>
      </c>
      <c r="AQ1976">
        <v>83</v>
      </c>
      <c r="AR1976">
        <v>0</v>
      </c>
      <c r="AZ1976">
        <v>3614</v>
      </c>
      <c r="BA1976">
        <v>1</v>
      </c>
      <c r="BB1976" t="str">
        <f t="shared" si="92"/>
        <v xml:space="preserve">N959MJ  </v>
      </c>
      <c r="BC1976">
        <v>1</v>
      </c>
      <c r="BE1976">
        <v>0</v>
      </c>
      <c r="BF1976">
        <v>0</v>
      </c>
      <c r="BG1976">
        <v>0</v>
      </c>
      <c r="BH1976">
        <v>4900</v>
      </c>
      <c r="BI1976">
        <v>200</v>
      </c>
      <c r="BJ1976">
        <v>1</v>
      </c>
      <c r="BK1976">
        <v>1</v>
      </c>
      <c r="BL1976">
        <v>1</v>
      </c>
      <c r="BM1976">
        <v>0</v>
      </c>
      <c r="BP1976">
        <v>0</v>
      </c>
      <c r="BQ1976">
        <v>0</v>
      </c>
      <c r="BX1976" t="str">
        <f>"14:23:16.648"</f>
        <v>14:23:16.648</v>
      </c>
      <c r="BY1976" t="str">
        <f>"650902680"</f>
        <v>650902680</v>
      </c>
      <c r="CL1976">
        <v>0</v>
      </c>
      <c r="CM1976">
        <v>2</v>
      </c>
      <c r="CN1976">
        <v>0</v>
      </c>
      <c r="CO1976">
        <v>2</v>
      </c>
      <c r="CP1976">
        <v>0</v>
      </c>
      <c r="CQ1976">
        <v>7</v>
      </c>
      <c r="CR1976" t="s">
        <v>116</v>
      </c>
      <c r="CS1976">
        <v>39</v>
      </c>
      <c r="CT1976">
        <v>2</v>
      </c>
      <c r="CU1976" t="s">
        <v>2259</v>
      </c>
      <c r="CV1976" t="s">
        <v>2260</v>
      </c>
      <c r="CY1976">
        <v>16453168</v>
      </c>
      <c r="CZ1976" t="s">
        <v>119</v>
      </c>
    </row>
    <row r="1977" spans="1:104" x14ac:dyDescent="0.25">
      <c r="A1977" t="str">
        <f>"14:23:17.750"</f>
        <v>14:23:17.750</v>
      </c>
      <c r="B1977" t="s">
        <v>108</v>
      </c>
      <c r="C1977" t="str">
        <f t="shared" si="91"/>
        <v>ffdfd3c0</v>
      </c>
      <c r="D1977" t="s">
        <v>109</v>
      </c>
      <c r="E1977">
        <v>4</v>
      </c>
      <c r="F1977">
        <v>1004</v>
      </c>
      <c r="G1977" t="s">
        <v>110</v>
      </c>
      <c r="J1977" t="s">
        <v>111</v>
      </c>
      <c r="K1977">
        <v>0</v>
      </c>
      <c r="L1977">
        <v>3</v>
      </c>
      <c r="M1977">
        <v>0</v>
      </c>
      <c r="N1977">
        <v>2</v>
      </c>
      <c r="O1977">
        <v>1</v>
      </c>
      <c r="P1977">
        <v>0</v>
      </c>
      <c r="Q1977">
        <v>0</v>
      </c>
      <c r="R1977" t="s">
        <v>112</v>
      </c>
      <c r="S1977" t="str">
        <f>"14:23:17.578"</f>
        <v>14:23:17.578</v>
      </c>
      <c r="T1977" t="str">
        <f>"14:23:17.180"</f>
        <v>14:23:17.180</v>
      </c>
      <c r="U1977" t="str">
        <f t="shared" si="90"/>
        <v>ad5732</v>
      </c>
      <c r="V1977">
        <v>0</v>
      </c>
      <c r="W1977">
        <v>0</v>
      </c>
      <c r="X1977">
        <v>1</v>
      </c>
      <c r="Z1977">
        <v>0</v>
      </c>
      <c r="AA1977">
        <v>9</v>
      </c>
      <c r="AB1977">
        <v>3</v>
      </c>
      <c r="AC1977">
        <v>0</v>
      </c>
      <c r="AD1977">
        <v>10</v>
      </c>
      <c r="AE1977">
        <v>0</v>
      </c>
      <c r="AF1977">
        <v>3</v>
      </c>
      <c r="AG1977">
        <v>2</v>
      </c>
      <c r="AH1977">
        <v>0</v>
      </c>
      <c r="AI1977" t="s">
        <v>4059</v>
      </c>
      <c r="AJ1977">
        <v>39.828142999999997</v>
      </c>
      <c r="AK1977" t="s">
        <v>4060</v>
      </c>
      <c r="AL1977">
        <v>-75.89349</v>
      </c>
      <c r="AM1977">
        <v>100</v>
      </c>
      <c r="AN1977">
        <v>4700</v>
      </c>
      <c r="AO1977" t="s">
        <v>115</v>
      </c>
      <c r="AP1977">
        <v>160</v>
      </c>
      <c r="AQ1977">
        <v>83</v>
      </c>
      <c r="AR1977">
        <v>0</v>
      </c>
      <c r="AZ1977">
        <v>3614</v>
      </c>
      <c r="BA1977">
        <v>1</v>
      </c>
      <c r="BB1977" t="str">
        <f t="shared" si="92"/>
        <v xml:space="preserve">N959MJ  </v>
      </c>
      <c r="BC1977">
        <v>1</v>
      </c>
      <c r="BE1977">
        <v>0</v>
      </c>
      <c r="BF1977">
        <v>0</v>
      </c>
      <c r="BG1977">
        <v>0</v>
      </c>
      <c r="BH1977">
        <v>4900</v>
      </c>
      <c r="BI1977">
        <v>200</v>
      </c>
      <c r="BJ1977">
        <v>1</v>
      </c>
      <c r="BK1977">
        <v>1</v>
      </c>
      <c r="BL1977">
        <v>1</v>
      </c>
      <c r="BM1977">
        <v>0</v>
      </c>
      <c r="BP1977">
        <v>0</v>
      </c>
      <c r="BQ1977">
        <v>0</v>
      </c>
      <c r="BX1977" t="str">
        <f>"14:23:17.578"</f>
        <v>14:23:17.578</v>
      </c>
      <c r="BY1977" t="str">
        <f>"581529464"</f>
        <v>581529464</v>
      </c>
      <c r="CL1977">
        <v>0</v>
      </c>
      <c r="CM1977">
        <v>2</v>
      </c>
      <c r="CN1977">
        <v>0</v>
      </c>
      <c r="CO1977">
        <v>2</v>
      </c>
      <c r="CP1977">
        <v>0</v>
      </c>
      <c r="CQ1977">
        <v>7</v>
      </c>
      <c r="CR1977" t="s">
        <v>116</v>
      </c>
      <c r="CS1977">
        <v>39</v>
      </c>
      <c r="CT1977">
        <v>2</v>
      </c>
      <c r="CU1977" t="s">
        <v>2259</v>
      </c>
      <c r="CV1977" t="s">
        <v>2260</v>
      </c>
      <c r="CY1977">
        <v>16454625</v>
      </c>
      <c r="CZ1977" t="s">
        <v>119</v>
      </c>
    </row>
    <row r="1978" spans="1:104" x14ac:dyDescent="0.25">
      <c r="A1978" t="str">
        <f>"14:23:18.914"</f>
        <v>14:23:18.914</v>
      </c>
      <c r="B1978" t="s">
        <v>108</v>
      </c>
      <c r="C1978" t="str">
        <f t="shared" si="91"/>
        <v>ffdfd3c0</v>
      </c>
      <c r="D1978" t="s">
        <v>109</v>
      </c>
      <c r="E1978">
        <v>4</v>
      </c>
      <c r="F1978">
        <v>1004</v>
      </c>
      <c r="G1978" t="s">
        <v>110</v>
      </c>
      <c r="J1978" t="s">
        <v>111</v>
      </c>
      <c r="K1978">
        <v>0</v>
      </c>
      <c r="L1978">
        <v>3</v>
      </c>
      <c r="M1978">
        <v>0</v>
      </c>
      <c r="N1978">
        <v>2</v>
      </c>
      <c r="O1978">
        <v>1</v>
      </c>
      <c r="P1978">
        <v>0</v>
      </c>
      <c r="Q1978">
        <v>0</v>
      </c>
      <c r="R1978" t="s">
        <v>112</v>
      </c>
      <c r="S1978" t="str">
        <f>"14:23:18.742"</f>
        <v>14:23:18.742</v>
      </c>
      <c r="T1978" t="str">
        <f>"14:23:18.242"</f>
        <v>14:23:18.242</v>
      </c>
      <c r="U1978" t="str">
        <f t="shared" si="90"/>
        <v>ad5732</v>
      </c>
      <c r="V1978">
        <v>0</v>
      </c>
      <c r="W1978">
        <v>0</v>
      </c>
      <c r="X1978">
        <v>1</v>
      </c>
      <c r="Z1978">
        <v>0</v>
      </c>
      <c r="AA1978">
        <v>9</v>
      </c>
      <c r="AB1978">
        <v>3</v>
      </c>
      <c r="AC1978">
        <v>0</v>
      </c>
      <c r="AD1978">
        <v>10</v>
      </c>
      <c r="AE1978">
        <v>0</v>
      </c>
      <c r="AF1978">
        <v>3</v>
      </c>
      <c r="AG1978">
        <v>2</v>
      </c>
      <c r="AH1978">
        <v>0</v>
      </c>
      <c r="AI1978" t="s">
        <v>4061</v>
      </c>
      <c r="AJ1978">
        <v>39.828594000000002</v>
      </c>
      <c r="AK1978" t="s">
        <v>4062</v>
      </c>
      <c r="AL1978">
        <v>-75.892353</v>
      </c>
      <c r="AM1978">
        <v>100</v>
      </c>
      <c r="AN1978">
        <v>4700</v>
      </c>
      <c r="AO1978" t="s">
        <v>115</v>
      </c>
      <c r="AP1978">
        <v>160</v>
      </c>
      <c r="AQ1978">
        <v>83</v>
      </c>
      <c r="AR1978">
        <v>0</v>
      </c>
      <c r="AZ1978">
        <v>3614</v>
      </c>
      <c r="BA1978">
        <v>1</v>
      </c>
      <c r="BB1978" t="str">
        <f t="shared" si="92"/>
        <v xml:space="preserve">N959MJ  </v>
      </c>
      <c r="BC1978">
        <v>1</v>
      </c>
      <c r="BE1978">
        <v>0</v>
      </c>
      <c r="BF1978">
        <v>0</v>
      </c>
      <c r="BG1978">
        <v>0</v>
      </c>
      <c r="BH1978">
        <v>4900</v>
      </c>
      <c r="BI1978">
        <v>200</v>
      </c>
      <c r="BJ1978">
        <v>1</v>
      </c>
      <c r="BK1978">
        <v>1</v>
      </c>
      <c r="BL1978">
        <v>1</v>
      </c>
      <c r="BM1978">
        <v>0</v>
      </c>
      <c r="BP1978">
        <v>0</v>
      </c>
      <c r="BQ1978">
        <v>0</v>
      </c>
      <c r="BX1978" t="str">
        <f>"14:23:18.750"</f>
        <v>14:23:18.750</v>
      </c>
      <c r="BY1978" t="str">
        <f>"748089796"</f>
        <v>748089796</v>
      </c>
      <c r="CL1978">
        <v>0</v>
      </c>
      <c r="CM1978">
        <v>2</v>
      </c>
      <c r="CN1978">
        <v>0</v>
      </c>
      <c r="CO1978">
        <v>2</v>
      </c>
      <c r="CP1978">
        <v>0</v>
      </c>
      <c r="CQ1978">
        <v>7</v>
      </c>
      <c r="CR1978" t="s">
        <v>116</v>
      </c>
      <c r="CS1978">
        <v>39</v>
      </c>
      <c r="CT1978">
        <v>2</v>
      </c>
      <c r="CU1978" t="s">
        <v>2259</v>
      </c>
      <c r="CV1978" t="s">
        <v>2260</v>
      </c>
      <c r="CY1978">
        <v>16456355</v>
      </c>
      <c r="CZ1978" t="s">
        <v>119</v>
      </c>
    </row>
    <row r="1979" spans="1:104" x14ac:dyDescent="0.25">
      <c r="A1979" t="str">
        <f>"14:23:19.922"</f>
        <v>14:23:19.922</v>
      </c>
      <c r="B1979" t="s">
        <v>108</v>
      </c>
      <c r="C1979" t="str">
        <f t="shared" si="91"/>
        <v>ffdfd3c0</v>
      </c>
      <c r="D1979" t="s">
        <v>109</v>
      </c>
      <c r="E1979">
        <v>4</v>
      </c>
      <c r="F1979">
        <v>1004</v>
      </c>
      <c r="G1979" t="s">
        <v>110</v>
      </c>
      <c r="J1979" t="s">
        <v>111</v>
      </c>
      <c r="K1979">
        <v>0</v>
      </c>
      <c r="L1979">
        <v>3</v>
      </c>
      <c r="M1979">
        <v>0</v>
      </c>
      <c r="N1979">
        <v>2</v>
      </c>
      <c r="O1979">
        <v>1</v>
      </c>
      <c r="P1979">
        <v>0</v>
      </c>
      <c r="Q1979">
        <v>0</v>
      </c>
      <c r="R1979" t="s">
        <v>112</v>
      </c>
      <c r="S1979" t="str">
        <f>"14:23:19.734"</f>
        <v>14:23:19.734</v>
      </c>
      <c r="T1979" t="str">
        <f>"14:23:19.336"</f>
        <v>14:23:19.336</v>
      </c>
      <c r="U1979" t="str">
        <f t="shared" si="90"/>
        <v>ad5732</v>
      </c>
      <c r="V1979">
        <v>0</v>
      </c>
      <c r="W1979">
        <v>0</v>
      </c>
      <c r="X1979">
        <v>1</v>
      </c>
      <c r="Z1979">
        <v>0</v>
      </c>
      <c r="AA1979">
        <v>9</v>
      </c>
      <c r="AB1979">
        <v>3</v>
      </c>
      <c r="AC1979">
        <v>0</v>
      </c>
      <c r="AD1979">
        <v>10</v>
      </c>
      <c r="AE1979">
        <v>0</v>
      </c>
      <c r="AF1979">
        <v>3</v>
      </c>
      <c r="AG1979">
        <v>2</v>
      </c>
      <c r="AH1979">
        <v>0</v>
      </c>
      <c r="AI1979" t="s">
        <v>4063</v>
      </c>
      <c r="AJ1979">
        <v>39.828958999999998</v>
      </c>
      <c r="AK1979" t="s">
        <v>4064</v>
      </c>
      <c r="AL1979">
        <v>-75.891345000000001</v>
      </c>
      <c r="AM1979">
        <v>100</v>
      </c>
      <c r="AN1979">
        <v>4700</v>
      </c>
      <c r="AO1979" t="s">
        <v>115</v>
      </c>
      <c r="AP1979">
        <v>160</v>
      </c>
      <c r="AQ1979">
        <v>83</v>
      </c>
      <c r="AR1979">
        <v>0</v>
      </c>
      <c r="AZ1979">
        <v>3614</v>
      </c>
      <c r="BA1979">
        <v>1</v>
      </c>
      <c r="BB1979" t="str">
        <f t="shared" si="92"/>
        <v xml:space="preserve">N959MJ  </v>
      </c>
      <c r="BC1979">
        <v>1</v>
      </c>
      <c r="BE1979">
        <v>0</v>
      </c>
      <c r="BF1979">
        <v>0</v>
      </c>
      <c r="BG1979">
        <v>0</v>
      </c>
      <c r="BH1979">
        <v>4900</v>
      </c>
      <c r="BI1979">
        <v>200</v>
      </c>
      <c r="BJ1979">
        <v>1</v>
      </c>
      <c r="BK1979">
        <v>1</v>
      </c>
      <c r="BL1979">
        <v>1</v>
      </c>
      <c r="BM1979">
        <v>0</v>
      </c>
      <c r="BP1979">
        <v>0</v>
      </c>
      <c r="BQ1979">
        <v>0</v>
      </c>
      <c r="BX1979" t="str">
        <f>"14:23:19.742"</f>
        <v>14:23:19.742</v>
      </c>
      <c r="BY1979" t="str">
        <f>"740976871"</f>
        <v>740976871</v>
      </c>
      <c r="CL1979">
        <v>0</v>
      </c>
      <c r="CM1979">
        <v>2</v>
      </c>
      <c r="CN1979">
        <v>0</v>
      </c>
      <c r="CO1979">
        <v>2</v>
      </c>
      <c r="CP1979">
        <v>0</v>
      </c>
      <c r="CQ1979">
        <v>7</v>
      </c>
      <c r="CR1979" t="s">
        <v>116</v>
      </c>
      <c r="CS1979">
        <v>39</v>
      </c>
      <c r="CT1979">
        <v>2</v>
      </c>
      <c r="CU1979" t="s">
        <v>2259</v>
      </c>
      <c r="CV1979" t="s">
        <v>2260</v>
      </c>
      <c r="CY1979">
        <v>16457897</v>
      </c>
      <c r="CZ1979" t="s">
        <v>119</v>
      </c>
    </row>
    <row r="1980" spans="1:104" x14ac:dyDescent="0.25">
      <c r="A1980" t="str">
        <f>"14:23:20.883"</f>
        <v>14:23:20.883</v>
      </c>
      <c r="B1980" t="s">
        <v>108</v>
      </c>
      <c r="C1980" t="str">
        <f t="shared" si="91"/>
        <v>ffdfd3c0</v>
      </c>
      <c r="D1980" t="s">
        <v>109</v>
      </c>
      <c r="E1980">
        <v>4</v>
      </c>
      <c r="F1980">
        <v>1004</v>
      </c>
      <c r="G1980" t="s">
        <v>110</v>
      </c>
      <c r="J1980" t="s">
        <v>111</v>
      </c>
      <c r="K1980">
        <v>0</v>
      </c>
      <c r="L1980">
        <v>3</v>
      </c>
      <c r="M1980">
        <v>0</v>
      </c>
      <c r="N1980">
        <v>2</v>
      </c>
      <c r="O1980">
        <v>1</v>
      </c>
      <c r="P1980">
        <v>0</v>
      </c>
      <c r="Q1980">
        <v>0</v>
      </c>
      <c r="R1980" t="s">
        <v>112</v>
      </c>
      <c r="S1980" t="str">
        <f>"14:23:20.703"</f>
        <v>14:23:20.703</v>
      </c>
      <c r="T1980" t="str">
        <f>"14:23:20.203"</f>
        <v>14:23:20.203</v>
      </c>
      <c r="U1980" t="str">
        <f t="shared" si="90"/>
        <v>ad5732</v>
      </c>
      <c r="V1980">
        <v>0</v>
      </c>
      <c r="W1980">
        <v>0</v>
      </c>
      <c r="X1980">
        <v>1</v>
      </c>
      <c r="Z1980">
        <v>0</v>
      </c>
      <c r="AA1980">
        <v>9</v>
      </c>
      <c r="AB1980">
        <v>3</v>
      </c>
      <c r="AC1980">
        <v>0</v>
      </c>
      <c r="AD1980">
        <v>10</v>
      </c>
      <c r="AE1980">
        <v>0</v>
      </c>
      <c r="AF1980">
        <v>3</v>
      </c>
      <c r="AG1980">
        <v>2</v>
      </c>
      <c r="AH1980">
        <v>0</v>
      </c>
      <c r="AI1980" t="s">
        <v>4065</v>
      </c>
      <c r="AJ1980">
        <v>39.829366</v>
      </c>
      <c r="AK1980" t="s">
        <v>4066</v>
      </c>
      <c r="AL1980">
        <v>-75.8904</v>
      </c>
      <c r="AM1980">
        <v>100</v>
      </c>
      <c r="AN1980">
        <v>4700</v>
      </c>
      <c r="AO1980" t="s">
        <v>115</v>
      </c>
      <c r="AP1980">
        <v>160</v>
      </c>
      <c r="AQ1980">
        <v>83</v>
      </c>
      <c r="AR1980">
        <v>0</v>
      </c>
      <c r="AZ1980">
        <v>3614</v>
      </c>
      <c r="BA1980">
        <v>1</v>
      </c>
      <c r="BB1980" t="str">
        <f t="shared" si="92"/>
        <v xml:space="preserve">N959MJ  </v>
      </c>
      <c r="BC1980">
        <v>1</v>
      </c>
      <c r="BE1980">
        <v>0</v>
      </c>
      <c r="BF1980">
        <v>0</v>
      </c>
      <c r="BG1980">
        <v>0</v>
      </c>
      <c r="BH1980">
        <v>4900</v>
      </c>
      <c r="BI1980">
        <v>200</v>
      </c>
      <c r="BJ1980">
        <v>1</v>
      </c>
      <c r="BK1980">
        <v>1</v>
      </c>
      <c r="BL1980">
        <v>1</v>
      </c>
      <c r="BM1980">
        <v>0</v>
      </c>
      <c r="BP1980">
        <v>0</v>
      </c>
      <c r="BQ1980">
        <v>0</v>
      </c>
      <c r="BX1980" t="str">
        <f>"14:23:20.711"</f>
        <v>14:23:20.711</v>
      </c>
      <c r="BY1980" t="str">
        <f>"710925914"</f>
        <v>710925914</v>
      </c>
      <c r="CL1980">
        <v>0</v>
      </c>
      <c r="CM1980">
        <v>2</v>
      </c>
      <c r="CN1980">
        <v>0</v>
      </c>
      <c r="CO1980">
        <v>2</v>
      </c>
      <c r="CP1980">
        <v>0</v>
      </c>
      <c r="CQ1980">
        <v>7</v>
      </c>
      <c r="CR1980" t="s">
        <v>116</v>
      </c>
      <c r="CS1980">
        <v>39</v>
      </c>
      <c r="CT1980">
        <v>2</v>
      </c>
      <c r="CU1980" t="s">
        <v>2259</v>
      </c>
      <c r="CV1980" t="s">
        <v>2260</v>
      </c>
      <c r="CY1980">
        <v>16459514</v>
      </c>
      <c r="CZ1980" t="s">
        <v>119</v>
      </c>
    </row>
    <row r="1981" spans="1:104" x14ac:dyDescent="0.25">
      <c r="A1981" t="str">
        <f>"14:23:21.938"</f>
        <v>14:23:21.938</v>
      </c>
      <c r="B1981" t="s">
        <v>108</v>
      </c>
      <c r="C1981" t="str">
        <f t="shared" si="91"/>
        <v>ffdfd3c0</v>
      </c>
      <c r="D1981" t="s">
        <v>109</v>
      </c>
      <c r="E1981">
        <v>4</v>
      </c>
      <c r="F1981">
        <v>1004</v>
      </c>
      <c r="G1981" t="s">
        <v>110</v>
      </c>
      <c r="J1981" t="s">
        <v>111</v>
      </c>
      <c r="K1981">
        <v>0</v>
      </c>
      <c r="L1981">
        <v>3</v>
      </c>
      <c r="M1981">
        <v>0</v>
      </c>
      <c r="N1981">
        <v>2</v>
      </c>
      <c r="O1981">
        <v>1</v>
      </c>
      <c r="P1981">
        <v>0</v>
      </c>
      <c r="Q1981">
        <v>0</v>
      </c>
      <c r="R1981" t="s">
        <v>112</v>
      </c>
      <c r="S1981" t="str">
        <f>"14:23:21.781"</f>
        <v>14:23:21.781</v>
      </c>
      <c r="T1981" t="str">
        <f>"14:23:21.281"</f>
        <v>14:23:21.281</v>
      </c>
      <c r="U1981" t="str">
        <f t="shared" si="90"/>
        <v>ad5732</v>
      </c>
      <c r="V1981">
        <v>0</v>
      </c>
      <c r="W1981">
        <v>0</v>
      </c>
      <c r="X1981">
        <v>1</v>
      </c>
      <c r="Z1981">
        <v>0</v>
      </c>
      <c r="AA1981">
        <v>9</v>
      </c>
      <c r="AB1981">
        <v>3</v>
      </c>
      <c r="AC1981">
        <v>0</v>
      </c>
      <c r="AD1981">
        <v>10</v>
      </c>
      <c r="AE1981">
        <v>0</v>
      </c>
      <c r="AF1981">
        <v>3</v>
      </c>
      <c r="AG1981">
        <v>2</v>
      </c>
      <c r="AH1981">
        <v>0</v>
      </c>
      <c r="AI1981" t="s">
        <v>4067</v>
      </c>
      <c r="AJ1981">
        <v>39.829751999999999</v>
      </c>
      <c r="AK1981" t="s">
        <v>4068</v>
      </c>
      <c r="AL1981">
        <v>-75.889435000000006</v>
      </c>
      <c r="AM1981">
        <v>100</v>
      </c>
      <c r="AN1981">
        <v>4700</v>
      </c>
      <c r="AO1981" t="s">
        <v>115</v>
      </c>
      <c r="AP1981">
        <v>160</v>
      </c>
      <c r="AQ1981">
        <v>83</v>
      </c>
      <c r="AR1981">
        <v>0</v>
      </c>
      <c r="AZ1981">
        <v>3614</v>
      </c>
      <c r="BA1981">
        <v>1</v>
      </c>
      <c r="BB1981" t="str">
        <f t="shared" si="92"/>
        <v xml:space="preserve">N959MJ  </v>
      </c>
      <c r="BC1981">
        <v>1</v>
      </c>
      <c r="BE1981">
        <v>0</v>
      </c>
      <c r="BF1981">
        <v>0</v>
      </c>
      <c r="BG1981">
        <v>0</v>
      </c>
      <c r="BH1981">
        <v>4900</v>
      </c>
      <c r="BI1981">
        <v>200</v>
      </c>
      <c r="BJ1981">
        <v>1</v>
      </c>
      <c r="BK1981">
        <v>1</v>
      </c>
      <c r="BL1981">
        <v>1</v>
      </c>
      <c r="BM1981">
        <v>0</v>
      </c>
      <c r="BP1981">
        <v>0</v>
      </c>
      <c r="BQ1981">
        <v>0</v>
      </c>
      <c r="BX1981" t="str">
        <f>"14:23:21.781"</f>
        <v>14:23:21.781</v>
      </c>
      <c r="BY1981" t="str">
        <f>"782457407"</f>
        <v>782457407</v>
      </c>
      <c r="CL1981">
        <v>0</v>
      </c>
      <c r="CM1981">
        <v>2</v>
      </c>
      <c r="CN1981">
        <v>0</v>
      </c>
      <c r="CO1981">
        <v>2</v>
      </c>
      <c r="CP1981">
        <v>0</v>
      </c>
      <c r="CQ1981">
        <v>7</v>
      </c>
      <c r="CR1981" t="s">
        <v>116</v>
      </c>
      <c r="CS1981">
        <v>39</v>
      </c>
      <c r="CT1981">
        <v>2</v>
      </c>
      <c r="CU1981" t="s">
        <v>2259</v>
      </c>
      <c r="CV1981" t="s">
        <v>2260</v>
      </c>
      <c r="CY1981">
        <v>16461314</v>
      </c>
      <c r="CZ1981" t="s">
        <v>119</v>
      </c>
    </row>
    <row r="1982" spans="1:104" x14ac:dyDescent="0.25">
      <c r="A1982" t="str">
        <f>"14:23:23.055"</f>
        <v>14:23:23.055</v>
      </c>
      <c r="B1982" t="s">
        <v>108</v>
      </c>
      <c r="C1982" t="str">
        <f t="shared" si="91"/>
        <v>ffdfd3c0</v>
      </c>
      <c r="D1982" t="s">
        <v>109</v>
      </c>
      <c r="E1982">
        <v>4</v>
      </c>
      <c r="F1982">
        <v>1004</v>
      </c>
      <c r="G1982" t="s">
        <v>110</v>
      </c>
      <c r="J1982" t="s">
        <v>111</v>
      </c>
      <c r="K1982">
        <v>0</v>
      </c>
      <c r="L1982">
        <v>3</v>
      </c>
      <c r="M1982">
        <v>0</v>
      </c>
      <c r="N1982">
        <v>2</v>
      </c>
      <c r="O1982">
        <v>1</v>
      </c>
      <c r="P1982">
        <v>0</v>
      </c>
      <c r="Q1982">
        <v>0</v>
      </c>
      <c r="R1982" t="s">
        <v>112</v>
      </c>
      <c r="S1982" t="str">
        <f>"14:23:22.844"</f>
        <v>14:23:22.844</v>
      </c>
      <c r="T1982" t="str">
        <f>"14:23:22.344"</f>
        <v>14:23:22.344</v>
      </c>
      <c r="U1982" t="str">
        <f t="shared" si="90"/>
        <v>ad5732</v>
      </c>
      <c r="V1982">
        <v>0</v>
      </c>
      <c r="W1982">
        <v>0</v>
      </c>
      <c r="X1982">
        <v>1</v>
      </c>
      <c r="Z1982">
        <v>0</v>
      </c>
      <c r="AA1982">
        <v>9</v>
      </c>
      <c r="AB1982">
        <v>3</v>
      </c>
      <c r="AC1982">
        <v>0</v>
      </c>
      <c r="AD1982">
        <v>10</v>
      </c>
      <c r="AE1982">
        <v>0</v>
      </c>
      <c r="AF1982">
        <v>3</v>
      </c>
      <c r="AG1982">
        <v>2</v>
      </c>
      <c r="AH1982">
        <v>0</v>
      </c>
      <c r="AI1982" t="s">
        <v>4069</v>
      </c>
      <c r="AJ1982">
        <v>39.830182000000001</v>
      </c>
      <c r="AK1982" t="s">
        <v>4070</v>
      </c>
      <c r="AL1982">
        <v>-75.888362000000001</v>
      </c>
      <c r="AM1982">
        <v>100</v>
      </c>
      <c r="AN1982">
        <v>4700</v>
      </c>
      <c r="AO1982" t="s">
        <v>115</v>
      </c>
      <c r="AP1982">
        <v>160</v>
      </c>
      <c r="AQ1982">
        <v>84</v>
      </c>
      <c r="AR1982">
        <v>0</v>
      </c>
      <c r="AZ1982">
        <v>3614</v>
      </c>
      <c r="BA1982">
        <v>1</v>
      </c>
      <c r="BB1982" t="str">
        <f t="shared" si="92"/>
        <v xml:space="preserve">N959MJ  </v>
      </c>
      <c r="BC1982">
        <v>1</v>
      </c>
      <c r="BE1982">
        <v>0</v>
      </c>
      <c r="BF1982">
        <v>0</v>
      </c>
      <c r="BG1982">
        <v>0</v>
      </c>
      <c r="BH1982">
        <v>4900</v>
      </c>
      <c r="BI1982">
        <v>200</v>
      </c>
      <c r="BJ1982">
        <v>1</v>
      </c>
      <c r="BK1982">
        <v>1</v>
      </c>
      <c r="BL1982">
        <v>1</v>
      </c>
      <c r="BM1982">
        <v>0</v>
      </c>
      <c r="BP1982">
        <v>0</v>
      </c>
      <c r="BQ1982">
        <v>0</v>
      </c>
      <c r="BX1982" t="str">
        <f>"14:23:22.844"</f>
        <v>14:23:22.844</v>
      </c>
      <c r="BY1982" t="str">
        <f>"847435248"</f>
        <v>847435248</v>
      </c>
      <c r="CL1982">
        <v>0</v>
      </c>
      <c r="CM1982">
        <v>2</v>
      </c>
      <c r="CN1982">
        <v>0</v>
      </c>
      <c r="CO1982">
        <v>2</v>
      </c>
      <c r="CP1982">
        <v>0</v>
      </c>
      <c r="CQ1982">
        <v>7</v>
      </c>
      <c r="CR1982" t="s">
        <v>116</v>
      </c>
      <c r="CS1982">
        <v>39</v>
      </c>
      <c r="CT1982">
        <v>2</v>
      </c>
      <c r="CU1982" t="s">
        <v>2259</v>
      </c>
      <c r="CV1982" t="s">
        <v>2260</v>
      </c>
      <c r="CY1982">
        <v>16463031</v>
      </c>
      <c r="CZ1982" t="s">
        <v>119</v>
      </c>
    </row>
    <row r="1983" spans="1:104" x14ac:dyDescent="0.25">
      <c r="A1983" t="str">
        <f>"14:23:24.063"</f>
        <v>14:23:24.063</v>
      </c>
      <c r="B1983" t="s">
        <v>108</v>
      </c>
      <c r="C1983" t="str">
        <f t="shared" si="91"/>
        <v>ffdfd3c0</v>
      </c>
      <c r="D1983" t="s">
        <v>109</v>
      </c>
      <c r="E1983">
        <v>4</v>
      </c>
      <c r="F1983">
        <v>1004</v>
      </c>
      <c r="G1983" t="s">
        <v>110</v>
      </c>
      <c r="J1983" t="s">
        <v>111</v>
      </c>
      <c r="K1983">
        <v>0</v>
      </c>
      <c r="L1983">
        <v>3</v>
      </c>
      <c r="M1983">
        <v>0</v>
      </c>
      <c r="N1983">
        <v>2</v>
      </c>
      <c r="O1983">
        <v>1</v>
      </c>
      <c r="P1983">
        <v>0</v>
      </c>
      <c r="Q1983">
        <v>0</v>
      </c>
      <c r="R1983" t="s">
        <v>112</v>
      </c>
      <c r="S1983" t="str">
        <f>"14:23:23.883"</f>
        <v>14:23:23.883</v>
      </c>
      <c r="T1983" t="str">
        <f>"14:23:23.484"</f>
        <v>14:23:23.484</v>
      </c>
      <c r="U1983" t="str">
        <f t="shared" si="90"/>
        <v>ad5732</v>
      </c>
      <c r="V1983">
        <v>0</v>
      </c>
      <c r="W1983">
        <v>0</v>
      </c>
      <c r="X1983">
        <v>1</v>
      </c>
      <c r="Z1983">
        <v>0</v>
      </c>
      <c r="AA1983">
        <v>9</v>
      </c>
      <c r="AB1983">
        <v>3</v>
      </c>
      <c r="AC1983">
        <v>0</v>
      </c>
      <c r="AD1983">
        <v>10</v>
      </c>
      <c r="AE1983">
        <v>0</v>
      </c>
      <c r="AF1983">
        <v>3</v>
      </c>
      <c r="AG1983">
        <v>2</v>
      </c>
      <c r="AH1983">
        <v>0</v>
      </c>
      <c r="AI1983" t="s">
        <v>4071</v>
      </c>
      <c r="AJ1983">
        <v>39.830568</v>
      </c>
      <c r="AK1983" t="s">
        <v>4072</v>
      </c>
      <c r="AL1983">
        <v>-75.887461000000002</v>
      </c>
      <c r="AM1983">
        <v>100</v>
      </c>
      <c r="AN1983">
        <v>4700</v>
      </c>
      <c r="AO1983" t="s">
        <v>115</v>
      </c>
      <c r="AP1983">
        <v>160</v>
      </c>
      <c r="AQ1983">
        <v>84</v>
      </c>
      <c r="AR1983">
        <v>0</v>
      </c>
      <c r="AZ1983">
        <v>3614</v>
      </c>
      <c r="BA1983">
        <v>1</v>
      </c>
      <c r="BB1983" t="str">
        <f t="shared" si="92"/>
        <v xml:space="preserve">N959MJ  </v>
      </c>
      <c r="BC1983">
        <v>1</v>
      </c>
      <c r="BE1983">
        <v>0</v>
      </c>
      <c r="BF1983">
        <v>0</v>
      </c>
      <c r="BG1983">
        <v>0</v>
      </c>
      <c r="BH1983">
        <v>4900</v>
      </c>
      <c r="BI1983">
        <v>200</v>
      </c>
      <c r="BJ1983">
        <v>1</v>
      </c>
      <c r="BK1983">
        <v>1</v>
      </c>
      <c r="BL1983">
        <v>1</v>
      </c>
      <c r="BM1983">
        <v>0</v>
      </c>
      <c r="BP1983">
        <v>0</v>
      </c>
      <c r="BQ1983">
        <v>0</v>
      </c>
      <c r="BX1983" t="str">
        <f>"14:23:23.891"</f>
        <v>14:23:23.891</v>
      </c>
      <c r="BY1983" t="str">
        <f>"889475091"</f>
        <v>889475091</v>
      </c>
      <c r="CL1983">
        <v>0</v>
      </c>
      <c r="CM1983">
        <v>2</v>
      </c>
      <c r="CN1983">
        <v>0</v>
      </c>
      <c r="CO1983">
        <v>2</v>
      </c>
      <c r="CP1983">
        <v>0</v>
      </c>
      <c r="CQ1983">
        <v>7</v>
      </c>
      <c r="CR1983" t="s">
        <v>116</v>
      </c>
      <c r="CS1983">
        <v>39</v>
      </c>
      <c r="CT1983">
        <v>2</v>
      </c>
      <c r="CU1983" t="s">
        <v>2259</v>
      </c>
      <c r="CV1983" t="s">
        <v>2260</v>
      </c>
      <c r="CY1983">
        <v>16464581</v>
      </c>
      <c r="CZ1983" t="s">
        <v>119</v>
      </c>
    </row>
    <row r="1984" spans="1:104" x14ac:dyDescent="0.25">
      <c r="A1984" t="str">
        <f>"14:23:25.172"</f>
        <v>14:23:25.172</v>
      </c>
      <c r="B1984" t="s">
        <v>108</v>
      </c>
      <c r="C1984" t="str">
        <f t="shared" si="91"/>
        <v>ffdfd3c0</v>
      </c>
      <c r="D1984" t="s">
        <v>109</v>
      </c>
      <c r="E1984">
        <v>4</v>
      </c>
      <c r="F1984">
        <v>1004</v>
      </c>
      <c r="G1984" t="s">
        <v>110</v>
      </c>
      <c r="J1984" t="s">
        <v>111</v>
      </c>
      <c r="K1984">
        <v>0</v>
      </c>
      <c r="L1984">
        <v>3</v>
      </c>
      <c r="M1984">
        <v>0</v>
      </c>
      <c r="N1984">
        <v>2</v>
      </c>
      <c r="O1984">
        <v>1</v>
      </c>
      <c r="P1984">
        <v>0</v>
      </c>
      <c r="Q1984">
        <v>0</v>
      </c>
      <c r="R1984" t="s">
        <v>112</v>
      </c>
      <c r="S1984" t="str">
        <f>"14:23:25.016"</f>
        <v>14:23:25.016</v>
      </c>
      <c r="T1984" t="str">
        <f>"14:23:24.516"</f>
        <v>14:23:24.516</v>
      </c>
      <c r="U1984" t="str">
        <f t="shared" si="90"/>
        <v>ad5732</v>
      </c>
      <c r="V1984">
        <v>0</v>
      </c>
      <c r="W1984">
        <v>0</v>
      </c>
      <c r="X1984">
        <v>1</v>
      </c>
      <c r="Z1984">
        <v>0</v>
      </c>
      <c r="AA1984">
        <v>9</v>
      </c>
      <c r="AB1984">
        <v>3</v>
      </c>
      <c r="AC1984">
        <v>0</v>
      </c>
      <c r="AD1984">
        <v>10</v>
      </c>
      <c r="AE1984">
        <v>0</v>
      </c>
      <c r="AF1984">
        <v>3</v>
      </c>
      <c r="AG1984">
        <v>2</v>
      </c>
      <c r="AH1984">
        <v>0</v>
      </c>
      <c r="AI1984" t="s">
        <v>4073</v>
      </c>
      <c r="AJ1984">
        <v>39.831018</v>
      </c>
      <c r="AK1984" t="s">
        <v>4074</v>
      </c>
      <c r="AL1984">
        <v>-75.886302000000001</v>
      </c>
      <c r="AM1984">
        <v>100</v>
      </c>
      <c r="AN1984">
        <v>4700</v>
      </c>
      <c r="AO1984" t="s">
        <v>115</v>
      </c>
      <c r="AP1984">
        <v>160</v>
      </c>
      <c r="AQ1984">
        <v>84</v>
      </c>
      <c r="AR1984">
        <v>0</v>
      </c>
      <c r="AZ1984">
        <v>3614</v>
      </c>
      <c r="BA1984">
        <v>1</v>
      </c>
      <c r="BB1984" t="str">
        <f t="shared" si="92"/>
        <v xml:space="preserve">N959MJ  </v>
      </c>
      <c r="BC1984">
        <v>1</v>
      </c>
      <c r="BE1984">
        <v>0</v>
      </c>
      <c r="BF1984">
        <v>0</v>
      </c>
      <c r="BG1984">
        <v>0</v>
      </c>
      <c r="BH1984">
        <v>4900</v>
      </c>
      <c r="BI1984">
        <v>200</v>
      </c>
      <c r="BJ1984">
        <v>1</v>
      </c>
      <c r="BK1984">
        <v>1</v>
      </c>
      <c r="BL1984">
        <v>1</v>
      </c>
      <c r="BM1984">
        <v>0</v>
      </c>
      <c r="BP1984">
        <v>0</v>
      </c>
      <c r="BQ1984">
        <v>0</v>
      </c>
      <c r="BX1984" t="str">
        <f>"14:23:25.023"</f>
        <v>14:23:25.023</v>
      </c>
      <c r="BY1984" t="str">
        <f>"021628464"</f>
        <v>021628464</v>
      </c>
      <c r="CL1984">
        <v>0</v>
      </c>
      <c r="CM1984">
        <v>2</v>
      </c>
      <c r="CN1984">
        <v>0</v>
      </c>
      <c r="CO1984">
        <v>2</v>
      </c>
      <c r="CP1984">
        <v>0</v>
      </c>
      <c r="CQ1984">
        <v>7</v>
      </c>
      <c r="CR1984" t="s">
        <v>116</v>
      </c>
      <c r="CS1984">
        <v>39</v>
      </c>
      <c r="CT1984">
        <v>2</v>
      </c>
      <c r="CU1984" t="s">
        <v>2259</v>
      </c>
      <c r="CV1984" t="s">
        <v>2260</v>
      </c>
      <c r="CY1984">
        <v>16466484</v>
      </c>
      <c r="CZ1984" t="s">
        <v>119</v>
      </c>
    </row>
    <row r="1985" spans="1:104" x14ac:dyDescent="0.25">
      <c r="A1985" t="str">
        <f>"14:23:26.336"</f>
        <v>14:23:26.336</v>
      </c>
      <c r="B1985" t="s">
        <v>108</v>
      </c>
      <c r="C1985" t="str">
        <f t="shared" si="91"/>
        <v>ffdfd3c0</v>
      </c>
      <c r="D1985" t="s">
        <v>109</v>
      </c>
      <c r="E1985">
        <v>4</v>
      </c>
      <c r="F1985">
        <v>1004</v>
      </c>
      <c r="G1985" t="s">
        <v>110</v>
      </c>
      <c r="J1985" t="s">
        <v>111</v>
      </c>
      <c r="K1985">
        <v>0</v>
      </c>
      <c r="L1985">
        <v>3</v>
      </c>
      <c r="M1985">
        <v>0</v>
      </c>
      <c r="N1985">
        <v>2</v>
      </c>
      <c r="O1985">
        <v>1</v>
      </c>
      <c r="P1985">
        <v>0</v>
      </c>
      <c r="Q1985">
        <v>0</v>
      </c>
      <c r="R1985" t="s">
        <v>112</v>
      </c>
      <c r="S1985" t="str">
        <f>"14:23:26.133"</f>
        <v>14:23:26.133</v>
      </c>
      <c r="T1985" t="str">
        <f>"14:23:25.633"</f>
        <v>14:23:25.633</v>
      </c>
      <c r="U1985" t="str">
        <f t="shared" si="90"/>
        <v>ad5732</v>
      </c>
      <c r="V1985">
        <v>0</v>
      </c>
      <c r="W1985">
        <v>0</v>
      </c>
      <c r="X1985">
        <v>1</v>
      </c>
      <c r="Z1985">
        <v>0</v>
      </c>
      <c r="AA1985">
        <v>9</v>
      </c>
      <c r="AB1985">
        <v>3</v>
      </c>
      <c r="AC1985">
        <v>0</v>
      </c>
      <c r="AD1985">
        <v>10</v>
      </c>
      <c r="AE1985">
        <v>0</v>
      </c>
      <c r="AF1985">
        <v>3</v>
      </c>
      <c r="AG1985">
        <v>2</v>
      </c>
      <c r="AH1985">
        <v>0</v>
      </c>
      <c r="AI1985" t="s">
        <v>4075</v>
      </c>
      <c r="AJ1985">
        <v>39.831426</v>
      </c>
      <c r="AK1985" t="s">
        <v>4076</v>
      </c>
      <c r="AL1985">
        <v>-75.885250999999997</v>
      </c>
      <c r="AM1985">
        <v>100</v>
      </c>
      <c r="AN1985">
        <v>4700</v>
      </c>
      <c r="AO1985" t="s">
        <v>115</v>
      </c>
      <c r="AP1985">
        <v>160</v>
      </c>
      <c r="AQ1985">
        <v>84</v>
      </c>
      <c r="AR1985">
        <v>0</v>
      </c>
      <c r="AZ1985">
        <v>3614</v>
      </c>
      <c r="BA1985">
        <v>1</v>
      </c>
      <c r="BB1985" t="str">
        <f t="shared" si="92"/>
        <v xml:space="preserve">N959MJ  </v>
      </c>
      <c r="BC1985">
        <v>1</v>
      </c>
      <c r="BE1985">
        <v>0</v>
      </c>
      <c r="BF1985">
        <v>0</v>
      </c>
      <c r="BG1985">
        <v>0</v>
      </c>
      <c r="BH1985">
        <v>4900</v>
      </c>
      <c r="BI1985">
        <v>200</v>
      </c>
      <c r="BJ1985">
        <v>1</v>
      </c>
      <c r="BK1985">
        <v>1</v>
      </c>
      <c r="BL1985">
        <v>1</v>
      </c>
      <c r="BM1985">
        <v>0</v>
      </c>
      <c r="BP1985">
        <v>0</v>
      </c>
      <c r="BQ1985">
        <v>0</v>
      </c>
      <c r="BX1985" t="str">
        <f>"14:23:26.141"</f>
        <v>14:23:26.141</v>
      </c>
      <c r="BY1985" t="str">
        <f>"137397543"</f>
        <v>137397543</v>
      </c>
      <c r="CL1985">
        <v>0</v>
      </c>
      <c r="CM1985">
        <v>2</v>
      </c>
      <c r="CN1985">
        <v>0</v>
      </c>
      <c r="CO1985">
        <v>2</v>
      </c>
      <c r="CP1985">
        <v>0</v>
      </c>
      <c r="CQ1985">
        <v>7</v>
      </c>
      <c r="CR1985" t="s">
        <v>116</v>
      </c>
      <c r="CS1985">
        <v>39</v>
      </c>
      <c r="CT1985">
        <v>2</v>
      </c>
      <c r="CU1985" t="s">
        <v>2259</v>
      </c>
      <c r="CV1985" t="s">
        <v>2260</v>
      </c>
      <c r="CY1985">
        <v>16468270</v>
      </c>
      <c r="CZ1985" t="s">
        <v>119</v>
      </c>
    </row>
    <row r="1986" spans="1:104" x14ac:dyDescent="0.25">
      <c r="A1986" t="str">
        <f>"14:23:27.344"</f>
        <v>14:23:27.344</v>
      </c>
      <c r="B1986" t="s">
        <v>108</v>
      </c>
      <c r="C1986" t="str">
        <f t="shared" si="91"/>
        <v>ffdfd3c0</v>
      </c>
      <c r="D1986" t="s">
        <v>109</v>
      </c>
      <c r="E1986">
        <v>4</v>
      </c>
      <c r="F1986">
        <v>1004</v>
      </c>
      <c r="G1986" t="s">
        <v>110</v>
      </c>
      <c r="J1986" t="s">
        <v>111</v>
      </c>
      <c r="K1986">
        <v>0</v>
      </c>
      <c r="L1986">
        <v>3</v>
      </c>
      <c r="M1986">
        <v>0</v>
      </c>
      <c r="N1986">
        <v>2</v>
      </c>
      <c r="O1986">
        <v>1</v>
      </c>
      <c r="P1986">
        <v>0</v>
      </c>
      <c r="Q1986">
        <v>0</v>
      </c>
      <c r="R1986" t="s">
        <v>112</v>
      </c>
      <c r="S1986" t="str">
        <f>"14:23:27.164"</f>
        <v>14:23:27.164</v>
      </c>
      <c r="T1986" t="str">
        <f>"14:23:26.766"</f>
        <v>14:23:26.766</v>
      </c>
      <c r="U1986" t="str">
        <f t="shared" ref="U1986:U2049" si="93">"ad5732"</f>
        <v>ad5732</v>
      </c>
      <c r="V1986">
        <v>0</v>
      </c>
      <c r="W1986">
        <v>0</v>
      </c>
      <c r="X1986">
        <v>1</v>
      </c>
      <c r="Z1986">
        <v>0</v>
      </c>
      <c r="AA1986">
        <v>9</v>
      </c>
      <c r="AB1986">
        <v>3</v>
      </c>
      <c r="AC1986">
        <v>0</v>
      </c>
      <c r="AD1986">
        <v>10</v>
      </c>
      <c r="AE1986">
        <v>0</v>
      </c>
      <c r="AF1986">
        <v>3</v>
      </c>
      <c r="AG1986">
        <v>2</v>
      </c>
      <c r="AH1986">
        <v>0</v>
      </c>
      <c r="AI1986" t="s">
        <v>4077</v>
      </c>
      <c r="AJ1986">
        <v>39.831854999999997</v>
      </c>
      <c r="AK1986" t="s">
        <v>4078</v>
      </c>
      <c r="AL1986">
        <v>-75.884305999999995</v>
      </c>
      <c r="AM1986">
        <v>100</v>
      </c>
      <c r="AN1986">
        <v>4700</v>
      </c>
      <c r="AO1986" t="s">
        <v>115</v>
      </c>
      <c r="AP1986">
        <v>160</v>
      </c>
      <c r="AQ1986">
        <v>84</v>
      </c>
      <c r="AR1986">
        <v>0</v>
      </c>
      <c r="AZ1986">
        <v>3614</v>
      </c>
      <c r="BA1986">
        <v>1</v>
      </c>
      <c r="BB1986" t="str">
        <f t="shared" si="92"/>
        <v xml:space="preserve">N959MJ  </v>
      </c>
      <c r="BC1986">
        <v>1</v>
      </c>
      <c r="BE1986">
        <v>0</v>
      </c>
      <c r="BF1986">
        <v>0</v>
      </c>
      <c r="BG1986">
        <v>0</v>
      </c>
      <c r="BH1986">
        <v>4900</v>
      </c>
      <c r="BI1986">
        <v>200</v>
      </c>
      <c r="BJ1986">
        <v>1</v>
      </c>
      <c r="BK1986">
        <v>1</v>
      </c>
      <c r="BL1986">
        <v>1</v>
      </c>
      <c r="BM1986">
        <v>0</v>
      </c>
      <c r="BP1986">
        <v>0</v>
      </c>
      <c r="BQ1986">
        <v>0</v>
      </c>
      <c r="BX1986" t="str">
        <f>"14:23:27.164"</f>
        <v>14:23:27.164</v>
      </c>
      <c r="BY1986" t="str">
        <f>"167968472"</f>
        <v>167968472</v>
      </c>
      <c r="CL1986">
        <v>0</v>
      </c>
      <c r="CM1986">
        <v>2</v>
      </c>
      <c r="CN1986">
        <v>0</v>
      </c>
      <c r="CO1986">
        <v>2</v>
      </c>
      <c r="CP1986">
        <v>0</v>
      </c>
      <c r="CQ1986">
        <v>7</v>
      </c>
      <c r="CR1986" t="s">
        <v>116</v>
      </c>
      <c r="CS1986">
        <v>39</v>
      </c>
      <c r="CT1986">
        <v>2</v>
      </c>
      <c r="CU1986" t="s">
        <v>2259</v>
      </c>
      <c r="CV1986" t="s">
        <v>2260</v>
      </c>
      <c r="CY1986">
        <v>16469823</v>
      </c>
      <c r="CZ1986" t="s">
        <v>119</v>
      </c>
    </row>
    <row r="1987" spans="1:104" x14ac:dyDescent="0.25">
      <c r="A1987" t="str">
        <f>"14:23:28.305"</f>
        <v>14:23:28.305</v>
      </c>
      <c r="B1987" t="s">
        <v>108</v>
      </c>
      <c r="C1987" t="str">
        <f t="shared" si="91"/>
        <v>ffdfd3c0</v>
      </c>
      <c r="D1987" t="s">
        <v>109</v>
      </c>
      <c r="E1987">
        <v>4</v>
      </c>
      <c r="F1987">
        <v>1004</v>
      </c>
      <c r="G1987" t="s">
        <v>110</v>
      </c>
      <c r="J1987" t="s">
        <v>111</v>
      </c>
      <c r="K1987">
        <v>0</v>
      </c>
      <c r="L1987">
        <v>3</v>
      </c>
      <c r="M1987">
        <v>0</v>
      </c>
      <c r="N1987">
        <v>2</v>
      </c>
      <c r="O1987">
        <v>1</v>
      </c>
      <c r="P1987">
        <v>0</v>
      </c>
      <c r="Q1987">
        <v>0</v>
      </c>
      <c r="R1987" t="s">
        <v>112</v>
      </c>
      <c r="S1987" t="str">
        <f>"14:23:28.086"</f>
        <v>14:23:28.086</v>
      </c>
      <c r="T1987" t="str">
        <f>"14:23:27.688"</f>
        <v>14:23:27.688</v>
      </c>
      <c r="U1987" t="str">
        <f t="shared" si="93"/>
        <v>ad5732</v>
      </c>
      <c r="V1987">
        <v>0</v>
      </c>
      <c r="W1987">
        <v>0</v>
      </c>
      <c r="X1987">
        <v>1</v>
      </c>
      <c r="Z1987">
        <v>0</v>
      </c>
      <c r="AA1987">
        <v>9</v>
      </c>
      <c r="AB1987">
        <v>3</v>
      </c>
      <c r="AC1987">
        <v>0</v>
      </c>
      <c r="AD1987">
        <v>10</v>
      </c>
      <c r="AE1987">
        <v>0</v>
      </c>
      <c r="AF1987">
        <v>3</v>
      </c>
      <c r="AG1987">
        <v>2</v>
      </c>
      <c r="AH1987">
        <v>0</v>
      </c>
      <c r="AI1987" t="s">
        <v>4079</v>
      </c>
      <c r="AJ1987">
        <v>39.832199000000003</v>
      </c>
      <c r="AK1987" t="s">
        <v>4080</v>
      </c>
      <c r="AL1987">
        <v>-75.883426999999998</v>
      </c>
      <c r="AM1987">
        <v>100</v>
      </c>
      <c r="AN1987">
        <v>4700</v>
      </c>
      <c r="AO1987" t="s">
        <v>115</v>
      </c>
      <c r="AP1987">
        <v>160</v>
      </c>
      <c r="AQ1987">
        <v>84</v>
      </c>
      <c r="AR1987">
        <v>0</v>
      </c>
      <c r="AZ1987">
        <v>3614</v>
      </c>
      <c r="BA1987">
        <v>1</v>
      </c>
      <c r="BB1987" t="str">
        <f t="shared" si="92"/>
        <v xml:space="preserve">N959MJ  </v>
      </c>
      <c r="BC1987">
        <v>1</v>
      </c>
      <c r="BE1987">
        <v>0</v>
      </c>
      <c r="BF1987">
        <v>0</v>
      </c>
      <c r="BG1987">
        <v>0</v>
      </c>
      <c r="BH1987">
        <v>4900</v>
      </c>
      <c r="BI1987">
        <v>200</v>
      </c>
      <c r="BJ1987">
        <v>1</v>
      </c>
      <c r="BK1987">
        <v>1</v>
      </c>
      <c r="BL1987">
        <v>1</v>
      </c>
      <c r="BM1987">
        <v>0</v>
      </c>
      <c r="BP1987">
        <v>0</v>
      </c>
      <c r="BQ1987">
        <v>0</v>
      </c>
      <c r="BX1987" t="str">
        <f>"14:23:28.094"</f>
        <v>14:23:28.094</v>
      </c>
      <c r="BY1987" t="str">
        <f>"092041551"</f>
        <v>092041551</v>
      </c>
      <c r="CL1987">
        <v>0</v>
      </c>
      <c r="CM1987">
        <v>2</v>
      </c>
      <c r="CN1987">
        <v>0</v>
      </c>
      <c r="CO1987">
        <v>2</v>
      </c>
      <c r="CP1987">
        <v>0</v>
      </c>
      <c r="CQ1987">
        <v>7</v>
      </c>
      <c r="CR1987" t="s">
        <v>116</v>
      </c>
      <c r="CS1987">
        <v>39</v>
      </c>
      <c r="CT1987">
        <v>2</v>
      </c>
      <c r="CU1987" t="s">
        <v>2259</v>
      </c>
      <c r="CV1987" t="s">
        <v>2260</v>
      </c>
      <c r="CY1987">
        <v>16471252</v>
      </c>
      <c r="CZ1987" t="s">
        <v>119</v>
      </c>
    </row>
    <row r="1988" spans="1:104" x14ac:dyDescent="0.25">
      <c r="A1988" t="str">
        <f>"14:23:29.211"</f>
        <v>14:23:29.211</v>
      </c>
      <c r="B1988" t="s">
        <v>108</v>
      </c>
      <c r="C1988" t="str">
        <f t="shared" si="91"/>
        <v>ffdfd3c0</v>
      </c>
      <c r="D1988" t="s">
        <v>109</v>
      </c>
      <c r="E1988">
        <v>4</v>
      </c>
      <c r="F1988">
        <v>1004</v>
      </c>
      <c r="G1988" t="s">
        <v>110</v>
      </c>
      <c r="J1988" t="s">
        <v>111</v>
      </c>
      <c r="K1988">
        <v>0</v>
      </c>
      <c r="L1988">
        <v>3</v>
      </c>
      <c r="M1988">
        <v>0</v>
      </c>
      <c r="N1988">
        <v>2</v>
      </c>
      <c r="O1988">
        <v>1</v>
      </c>
      <c r="P1988">
        <v>0</v>
      </c>
      <c r="Q1988">
        <v>0</v>
      </c>
      <c r="R1988" t="s">
        <v>112</v>
      </c>
      <c r="S1988" t="str">
        <f>"14:23:29.039"</f>
        <v>14:23:29.039</v>
      </c>
      <c r="T1988" t="str">
        <f>"14:23:28.641"</f>
        <v>14:23:28.641</v>
      </c>
      <c r="U1988" t="str">
        <f t="shared" si="93"/>
        <v>ad5732</v>
      </c>
      <c r="V1988">
        <v>0</v>
      </c>
      <c r="W1988">
        <v>0</v>
      </c>
      <c r="X1988">
        <v>1</v>
      </c>
      <c r="Z1988">
        <v>0</v>
      </c>
      <c r="AA1988">
        <v>9</v>
      </c>
      <c r="AB1988">
        <v>3</v>
      </c>
      <c r="AC1988">
        <v>0</v>
      </c>
      <c r="AD1988">
        <v>10</v>
      </c>
      <c r="AE1988">
        <v>0</v>
      </c>
      <c r="AF1988">
        <v>3</v>
      </c>
      <c r="AG1988">
        <v>2</v>
      </c>
      <c r="AH1988">
        <v>0</v>
      </c>
      <c r="AI1988" t="s">
        <v>4081</v>
      </c>
      <c r="AJ1988">
        <v>39.832605999999998</v>
      </c>
      <c r="AK1988" t="s">
        <v>4082</v>
      </c>
      <c r="AL1988">
        <v>-75.882440000000003</v>
      </c>
      <c r="AM1988">
        <v>100</v>
      </c>
      <c r="AN1988">
        <v>4700</v>
      </c>
      <c r="AO1988" t="s">
        <v>115</v>
      </c>
      <c r="AP1988">
        <v>159</v>
      </c>
      <c r="AQ1988">
        <v>84</v>
      </c>
      <c r="AR1988">
        <v>64</v>
      </c>
      <c r="AZ1988">
        <v>3614</v>
      </c>
      <c r="BA1988">
        <v>1</v>
      </c>
      <c r="BB1988" t="str">
        <f t="shared" si="92"/>
        <v xml:space="preserve">N959MJ  </v>
      </c>
      <c r="BC1988">
        <v>1</v>
      </c>
      <c r="BE1988">
        <v>0</v>
      </c>
      <c r="BF1988">
        <v>0</v>
      </c>
      <c r="BG1988">
        <v>0</v>
      </c>
      <c r="BH1988">
        <v>4900</v>
      </c>
      <c r="BI1988">
        <v>200</v>
      </c>
      <c r="BJ1988">
        <v>1</v>
      </c>
      <c r="BK1988">
        <v>1</v>
      </c>
      <c r="BL1988">
        <v>1</v>
      </c>
      <c r="BM1988">
        <v>0</v>
      </c>
      <c r="BP1988">
        <v>0</v>
      </c>
      <c r="BQ1988">
        <v>0</v>
      </c>
      <c r="BX1988" t="str">
        <f>"14:23:29.047"</f>
        <v>14:23:29.047</v>
      </c>
      <c r="BY1988" t="str">
        <f>"043967823"</f>
        <v>043967823</v>
      </c>
      <c r="CL1988">
        <v>0</v>
      </c>
      <c r="CM1988">
        <v>2</v>
      </c>
      <c r="CN1988">
        <v>0</v>
      </c>
      <c r="CO1988">
        <v>2</v>
      </c>
      <c r="CP1988">
        <v>0</v>
      </c>
      <c r="CQ1988">
        <v>7</v>
      </c>
      <c r="CR1988" t="s">
        <v>116</v>
      </c>
      <c r="CS1988">
        <v>39</v>
      </c>
      <c r="CT1988">
        <v>2</v>
      </c>
      <c r="CU1988" t="s">
        <v>2259</v>
      </c>
      <c r="CV1988" t="s">
        <v>2260</v>
      </c>
      <c r="CY1988">
        <v>16472770</v>
      </c>
      <c r="CZ1988" t="s">
        <v>119</v>
      </c>
    </row>
    <row r="1989" spans="1:104" x14ac:dyDescent="0.25">
      <c r="A1989" t="str">
        <f>"14:23:30.117"</f>
        <v>14:23:30.117</v>
      </c>
      <c r="B1989" t="s">
        <v>108</v>
      </c>
      <c r="C1989" t="str">
        <f t="shared" si="91"/>
        <v>ffdfd3c0</v>
      </c>
      <c r="D1989" t="s">
        <v>109</v>
      </c>
      <c r="E1989">
        <v>4</v>
      </c>
      <c r="F1989">
        <v>1004</v>
      </c>
      <c r="G1989" t="s">
        <v>110</v>
      </c>
      <c r="J1989" t="s">
        <v>111</v>
      </c>
      <c r="K1989">
        <v>0</v>
      </c>
      <c r="L1989">
        <v>3</v>
      </c>
      <c r="M1989">
        <v>0</v>
      </c>
      <c r="N1989">
        <v>2</v>
      </c>
      <c r="O1989">
        <v>1</v>
      </c>
      <c r="P1989">
        <v>0</v>
      </c>
      <c r="Q1989">
        <v>0</v>
      </c>
      <c r="R1989" t="s">
        <v>112</v>
      </c>
      <c r="S1989" t="str">
        <f>"14:23:29.922"</f>
        <v>14:23:29.922</v>
      </c>
      <c r="T1989" t="str">
        <f>"14:23:29.523"</f>
        <v>14:23:29.523</v>
      </c>
      <c r="U1989" t="str">
        <f t="shared" si="93"/>
        <v>ad5732</v>
      </c>
      <c r="V1989">
        <v>0</v>
      </c>
      <c r="W1989">
        <v>0</v>
      </c>
      <c r="X1989">
        <v>1</v>
      </c>
      <c r="Z1989">
        <v>0</v>
      </c>
      <c r="AA1989">
        <v>9</v>
      </c>
      <c r="AB1989">
        <v>3</v>
      </c>
      <c r="AC1989">
        <v>0</v>
      </c>
      <c r="AD1989">
        <v>10</v>
      </c>
      <c r="AE1989">
        <v>0</v>
      </c>
      <c r="AF1989">
        <v>3</v>
      </c>
      <c r="AG1989">
        <v>2</v>
      </c>
      <c r="AH1989">
        <v>0</v>
      </c>
      <c r="AI1989" t="s">
        <v>4083</v>
      </c>
      <c r="AJ1989">
        <v>39.832949999999997</v>
      </c>
      <c r="AK1989" t="s">
        <v>4084</v>
      </c>
      <c r="AL1989">
        <v>-75.881602999999998</v>
      </c>
      <c r="AM1989">
        <v>100</v>
      </c>
      <c r="AN1989">
        <v>4700</v>
      </c>
      <c r="AO1989" t="s">
        <v>115</v>
      </c>
      <c r="AP1989">
        <v>159</v>
      </c>
      <c r="AQ1989">
        <v>84</v>
      </c>
      <c r="AR1989">
        <v>64</v>
      </c>
      <c r="AZ1989">
        <v>3614</v>
      </c>
      <c r="BA1989">
        <v>1</v>
      </c>
      <c r="BB1989" t="str">
        <f t="shared" si="92"/>
        <v xml:space="preserve">N959MJ  </v>
      </c>
      <c r="BC1989">
        <v>1</v>
      </c>
      <c r="BE1989">
        <v>0</v>
      </c>
      <c r="BF1989">
        <v>0</v>
      </c>
      <c r="BG1989">
        <v>0</v>
      </c>
      <c r="BH1989">
        <v>4900</v>
      </c>
      <c r="BI1989">
        <v>200</v>
      </c>
      <c r="BJ1989">
        <v>1</v>
      </c>
      <c r="BK1989">
        <v>1</v>
      </c>
      <c r="BL1989">
        <v>1</v>
      </c>
      <c r="BM1989">
        <v>0</v>
      </c>
      <c r="BP1989">
        <v>0</v>
      </c>
      <c r="BQ1989">
        <v>0</v>
      </c>
      <c r="BX1989" t="str">
        <f>"14:23:29.922"</f>
        <v>14:23:29.922</v>
      </c>
      <c r="BY1989" t="str">
        <f>"923803368"</f>
        <v>923803368</v>
      </c>
      <c r="CL1989">
        <v>0</v>
      </c>
      <c r="CM1989">
        <v>2</v>
      </c>
      <c r="CN1989">
        <v>0</v>
      </c>
      <c r="CO1989">
        <v>2</v>
      </c>
      <c r="CP1989">
        <v>0</v>
      </c>
      <c r="CQ1989">
        <v>7</v>
      </c>
      <c r="CR1989" t="s">
        <v>116</v>
      </c>
      <c r="CS1989">
        <v>39</v>
      </c>
      <c r="CT1989">
        <v>2</v>
      </c>
      <c r="CU1989" t="s">
        <v>2259</v>
      </c>
      <c r="CV1989" t="s">
        <v>2260</v>
      </c>
      <c r="CY1989">
        <v>16474187</v>
      </c>
      <c r="CZ1989" t="s">
        <v>119</v>
      </c>
    </row>
    <row r="1990" spans="1:104" x14ac:dyDescent="0.25">
      <c r="A1990" t="str">
        <f>"14:23:31.180"</f>
        <v>14:23:31.180</v>
      </c>
      <c r="B1990" t="s">
        <v>108</v>
      </c>
      <c r="C1990" t="str">
        <f t="shared" si="91"/>
        <v>ffdfd3c0</v>
      </c>
      <c r="D1990" t="s">
        <v>109</v>
      </c>
      <c r="E1990">
        <v>4</v>
      </c>
      <c r="F1990">
        <v>1004</v>
      </c>
      <c r="G1990" t="s">
        <v>110</v>
      </c>
      <c r="J1990" t="s">
        <v>111</v>
      </c>
      <c r="K1990">
        <v>0</v>
      </c>
      <c r="L1990">
        <v>3</v>
      </c>
      <c r="M1990">
        <v>0</v>
      </c>
      <c r="N1990">
        <v>2</v>
      </c>
      <c r="O1990">
        <v>1</v>
      </c>
      <c r="P1990">
        <v>0</v>
      </c>
      <c r="Q1990">
        <v>0</v>
      </c>
      <c r="R1990" t="s">
        <v>112</v>
      </c>
      <c r="S1990" t="str">
        <f>"14:23:31.008"</f>
        <v>14:23:31.008</v>
      </c>
      <c r="T1990" t="str">
        <f>"14:23:30.508"</f>
        <v>14:23:30.508</v>
      </c>
      <c r="U1990" t="str">
        <f t="shared" si="93"/>
        <v>ad5732</v>
      </c>
      <c r="V1990">
        <v>0</v>
      </c>
      <c r="W1990">
        <v>0</v>
      </c>
      <c r="X1990">
        <v>1</v>
      </c>
      <c r="Z1990">
        <v>0</v>
      </c>
      <c r="AA1990">
        <v>9</v>
      </c>
      <c r="AB1990">
        <v>3</v>
      </c>
      <c r="AC1990">
        <v>0</v>
      </c>
      <c r="AD1990">
        <v>10</v>
      </c>
      <c r="AE1990">
        <v>0</v>
      </c>
      <c r="AF1990">
        <v>3</v>
      </c>
      <c r="AG1990">
        <v>2</v>
      </c>
      <c r="AH1990">
        <v>0</v>
      </c>
      <c r="AI1990" t="s">
        <v>4085</v>
      </c>
      <c r="AJ1990">
        <v>39.833356999999999</v>
      </c>
      <c r="AK1990" t="s">
        <v>4086</v>
      </c>
      <c r="AL1990">
        <v>-75.880550999999997</v>
      </c>
      <c r="AM1990">
        <v>100</v>
      </c>
      <c r="AN1990">
        <v>4700</v>
      </c>
      <c r="AO1990" t="s">
        <v>115</v>
      </c>
      <c r="AP1990">
        <v>159</v>
      </c>
      <c r="AQ1990">
        <v>84</v>
      </c>
      <c r="AR1990">
        <v>64</v>
      </c>
      <c r="AZ1990">
        <v>3614</v>
      </c>
      <c r="BA1990">
        <v>1</v>
      </c>
      <c r="BB1990" t="str">
        <f t="shared" si="92"/>
        <v xml:space="preserve">N959MJ  </v>
      </c>
      <c r="BC1990">
        <v>1</v>
      </c>
      <c r="BE1990">
        <v>0</v>
      </c>
      <c r="BF1990">
        <v>0</v>
      </c>
      <c r="BG1990">
        <v>0</v>
      </c>
      <c r="BH1990">
        <v>4900</v>
      </c>
      <c r="BI1990">
        <v>200</v>
      </c>
      <c r="BJ1990">
        <v>1</v>
      </c>
      <c r="BK1990">
        <v>1</v>
      </c>
      <c r="BL1990">
        <v>1</v>
      </c>
      <c r="BM1990">
        <v>0</v>
      </c>
      <c r="BP1990">
        <v>0</v>
      </c>
      <c r="BQ1990">
        <v>0</v>
      </c>
      <c r="BX1990" t="str">
        <f>"14:23:31.016"</f>
        <v>14:23:31.016</v>
      </c>
      <c r="BY1990" t="str">
        <f>"014996034"</f>
        <v>014996034</v>
      </c>
      <c r="CL1990">
        <v>0</v>
      </c>
      <c r="CM1990">
        <v>2</v>
      </c>
      <c r="CN1990">
        <v>0</v>
      </c>
      <c r="CO1990">
        <v>2</v>
      </c>
      <c r="CP1990">
        <v>0</v>
      </c>
      <c r="CQ1990">
        <v>7</v>
      </c>
      <c r="CR1990" t="s">
        <v>116</v>
      </c>
      <c r="CS1990">
        <v>39</v>
      </c>
      <c r="CT1990">
        <v>2</v>
      </c>
      <c r="CU1990" t="s">
        <v>2259</v>
      </c>
      <c r="CV1990" t="s">
        <v>2260</v>
      </c>
      <c r="CY1990">
        <v>16475993</v>
      </c>
      <c r="CZ1990" t="s">
        <v>119</v>
      </c>
    </row>
    <row r="1991" spans="1:104" x14ac:dyDescent="0.25">
      <c r="A1991" t="str">
        <f>"14:23:32.242"</f>
        <v>14:23:32.242</v>
      </c>
      <c r="B1991" t="s">
        <v>108</v>
      </c>
      <c r="C1991" t="str">
        <f t="shared" si="91"/>
        <v>ffdfd3c0</v>
      </c>
      <c r="D1991" t="s">
        <v>109</v>
      </c>
      <c r="E1991">
        <v>4</v>
      </c>
      <c r="F1991">
        <v>1004</v>
      </c>
      <c r="G1991" t="s">
        <v>110</v>
      </c>
      <c r="J1991" t="s">
        <v>111</v>
      </c>
      <c r="K1991">
        <v>0</v>
      </c>
      <c r="L1991">
        <v>3</v>
      </c>
      <c r="M1991">
        <v>0</v>
      </c>
      <c r="N1991">
        <v>2</v>
      </c>
      <c r="O1991">
        <v>1</v>
      </c>
      <c r="P1991">
        <v>0</v>
      </c>
      <c r="Q1991">
        <v>0</v>
      </c>
      <c r="R1991" t="s">
        <v>112</v>
      </c>
      <c r="S1991" t="str">
        <f>"14:23:32.023"</f>
        <v>14:23:32.023</v>
      </c>
      <c r="T1991" t="str">
        <f>"14:23:31.523"</f>
        <v>14:23:31.523</v>
      </c>
      <c r="U1991" t="str">
        <f t="shared" si="93"/>
        <v>ad5732</v>
      </c>
      <c r="V1991">
        <v>0</v>
      </c>
      <c r="W1991">
        <v>0</v>
      </c>
      <c r="X1991">
        <v>1</v>
      </c>
      <c r="Z1991">
        <v>0</v>
      </c>
      <c r="AA1991">
        <v>9</v>
      </c>
      <c r="AB1991">
        <v>3</v>
      </c>
      <c r="AC1991">
        <v>0</v>
      </c>
      <c r="AD1991">
        <v>10</v>
      </c>
      <c r="AE1991">
        <v>0</v>
      </c>
      <c r="AF1991">
        <v>3</v>
      </c>
      <c r="AG1991">
        <v>2</v>
      </c>
      <c r="AH1991">
        <v>0</v>
      </c>
      <c r="AI1991" t="s">
        <v>4087</v>
      </c>
      <c r="AJ1991">
        <v>39.833765</v>
      </c>
      <c r="AK1991" t="s">
        <v>4088</v>
      </c>
      <c r="AL1991">
        <v>-75.879586000000003</v>
      </c>
      <c r="AM1991">
        <v>100</v>
      </c>
      <c r="AN1991">
        <v>4700</v>
      </c>
      <c r="AO1991" t="s">
        <v>115</v>
      </c>
      <c r="AP1991">
        <v>159</v>
      </c>
      <c r="AQ1991">
        <v>84</v>
      </c>
      <c r="AR1991">
        <v>64</v>
      </c>
      <c r="AZ1991">
        <v>3614</v>
      </c>
      <c r="BA1991">
        <v>1</v>
      </c>
      <c r="BB1991" t="str">
        <f t="shared" si="92"/>
        <v xml:space="preserve">N959MJ  </v>
      </c>
      <c r="BC1991">
        <v>1</v>
      </c>
      <c r="BE1991">
        <v>0</v>
      </c>
      <c r="BF1991">
        <v>0</v>
      </c>
      <c r="BG1991">
        <v>0</v>
      </c>
      <c r="BH1991">
        <v>4900</v>
      </c>
      <c r="BI1991">
        <v>200</v>
      </c>
      <c r="BJ1991">
        <v>1</v>
      </c>
      <c r="BK1991">
        <v>1</v>
      </c>
      <c r="BL1991">
        <v>1</v>
      </c>
      <c r="BM1991">
        <v>0</v>
      </c>
      <c r="BP1991">
        <v>0</v>
      </c>
      <c r="BQ1991">
        <v>0</v>
      </c>
      <c r="BX1991" t="str">
        <f>"14:23:32.031"</f>
        <v>14:23:32.031</v>
      </c>
      <c r="BY1991" t="str">
        <f>"029182636"</f>
        <v>029182636</v>
      </c>
      <c r="CL1991">
        <v>0</v>
      </c>
      <c r="CM1991">
        <v>2</v>
      </c>
      <c r="CN1991">
        <v>0</v>
      </c>
      <c r="CO1991">
        <v>2</v>
      </c>
      <c r="CP1991">
        <v>0</v>
      </c>
      <c r="CQ1991">
        <v>7</v>
      </c>
      <c r="CR1991" t="s">
        <v>116</v>
      </c>
      <c r="CS1991">
        <v>39</v>
      </c>
      <c r="CT1991">
        <v>2</v>
      </c>
      <c r="CU1991" t="s">
        <v>2259</v>
      </c>
      <c r="CV1991" t="s">
        <v>2260</v>
      </c>
      <c r="CY1991">
        <v>16477567</v>
      </c>
      <c r="CZ1991" t="s">
        <v>119</v>
      </c>
    </row>
    <row r="1992" spans="1:104" x14ac:dyDescent="0.25">
      <c r="A1992" t="str">
        <f>"14:23:33.195"</f>
        <v>14:23:33.195</v>
      </c>
      <c r="B1992" t="s">
        <v>108</v>
      </c>
      <c r="C1992" t="str">
        <f t="shared" si="91"/>
        <v>ffdfd3c0</v>
      </c>
      <c r="D1992" t="s">
        <v>109</v>
      </c>
      <c r="E1992">
        <v>4</v>
      </c>
      <c r="F1992">
        <v>1004</v>
      </c>
      <c r="G1992" t="s">
        <v>110</v>
      </c>
      <c r="J1992" t="s">
        <v>111</v>
      </c>
      <c r="K1992">
        <v>0</v>
      </c>
      <c r="L1992">
        <v>3</v>
      </c>
      <c r="M1992">
        <v>0</v>
      </c>
      <c r="N1992">
        <v>2</v>
      </c>
      <c r="O1992">
        <v>1</v>
      </c>
      <c r="P1992">
        <v>0</v>
      </c>
      <c r="Q1992">
        <v>0</v>
      </c>
      <c r="R1992" t="s">
        <v>112</v>
      </c>
      <c r="S1992" t="str">
        <f>"14:23:33.008"</f>
        <v>14:23:33.008</v>
      </c>
      <c r="T1992" t="str">
        <f>"14:23:32.508"</f>
        <v>14:23:32.508</v>
      </c>
      <c r="U1992" t="str">
        <f t="shared" si="93"/>
        <v>ad5732</v>
      </c>
      <c r="V1992">
        <v>0</v>
      </c>
      <c r="W1992">
        <v>0</v>
      </c>
      <c r="X1992">
        <v>1</v>
      </c>
      <c r="Z1992">
        <v>0</v>
      </c>
      <c r="AA1992">
        <v>9</v>
      </c>
      <c r="AB1992">
        <v>3</v>
      </c>
      <c r="AC1992">
        <v>0</v>
      </c>
      <c r="AD1992">
        <v>10</v>
      </c>
      <c r="AE1992">
        <v>0</v>
      </c>
      <c r="AF1992">
        <v>3</v>
      </c>
      <c r="AG1992">
        <v>2</v>
      </c>
      <c r="AH1992">
        <v>0</v>
      </c>
      <c r="AI1992" t="s">
        <v>4089</v>
      </c>
      <c r="AJ1992">
        <v>39.834150999999999</v>
      </c>
      <c r="AK1992" t="s">
        <v>4090</v>
      </c>
      <c r="AL1992">
        <v>-75.878598999999994</v>
      </c>
      <c r="AM1992">
        <v>100</v>
      </c>
      <c r="AN1992">
        <v>4700</v>
      </c>
      <c r="AO1992" t="s">
        <v>115</v>
      </c>
      <c r="AP1992">
        <v>160</v>
      </c>
      <c r="AQ1992">
        <v>84</v>
      </c>
      <c r="AR1992">
        <v>0</v>
      </c>
      <c r="AZ1992">
        <v>3614</v>
      </c>
      <c r="BA1992">
        <v>1</v>
      </c>
      <c r="BB1992" t="str">
        <f t="shared" si="92"/>
        <v xml:space="preserve">N959MJ  </v>
      </c>
      <c r="BC1992">
        <v>1</v>
      </c>
      <c r="BE1992">
        <v>0</v>
      </c>
      <c r="BF1992">
        <v>0</v>
      </c>
      <c r="BG1992">
        <v>0</v>
      </c>
      <c r="BH1992">
        <v>4900</v>
      </c>
      <c r="BI1992">
        <v>200</v>
      </c>
      <c r="BJ1992">
        <v>1</v>
      </c>
      <c r="BK1992">
        <v>1</v>
      </c>
      <c r="BL1992">
        <v>1</v>
      </c>
      <c r="BM1992">
        <v>0</v>
      </c>
      <c r="BP1992">
        <v>0</v>
      </c>
      <c r="BQ1992">
        <v>0</v>
      </c>
      <c r="BX1992" t="str">
        <f>"14:23:33.016"</f>
        <v>14:23:33.016</v>
      </c>
      <c r="BY1992" t="str">
        <f>"012239105"</f>
        <v>012239105</v>
      </c>
      <c r="CL1992">
        <v>0</v>
      </c>
      <c r="CM1992">
        <v>2</v>
      </c>
      <c r="CN1992">
        <v>0</v>
      </c>
      <c r="CO1992">
        <v>2</v>
      </c>
      <c r="CP1992">
        <v>0</v>
      </c>
      <c r="CQ1992">
        <v>7</v>
      </c>
      <c r="CR1992" t="s">
        <v>116</v>
      </c>
      <c r="CS1992">
        <v>39</v>
      </c>
      <c r="CT1992">
        <v>2</v>
      </c>
      <c r="CU1992" t="s">
        <v>2259</v>
      </c>
      <c r="CV1992" t="s">
        <v>2260</v>
      </c>
      <c r="CY1992">
        <v>16479013</v>
      </c>
      <c r="CZ1992" t="s">
        <v>119</v>
      </c>
    </row>
    <row r="1993" spans="1:104" x14ac:dyDescent="0.25">
      <c r="A1993" t="str">
        <f>"14:23:34.305"</f>
        <v>14:23:34.305</v>
      </c>
      <c r="B1993" t="s">
        <v>108</v>
      </c>
      <c r="C1993" t="str">
        <f t="shared" si="91"/>
        <v>ffdfd3c0</v>
      </c>
      <c r="D1993" t="s">
        <v>109</v>
      </c>
      <c r="E1993">
        <v>4</v>
      </c>
      <c r="F1993">
        <v>1004</v>
      </c>
      <c r="G1993" t="s">
        <v>110</v>
      </c>
      <c r="J1993" t="s">
        <v>111</v>
      </c>
      <c r="K1993">
        <v>0</v>
      </c>
      <c r="L1993">
        <v>3</v>
      </c>
      <c r="M1993">
        <v>0</v>
      </c>
      <c r="N1993">
        <v>2</v>
      </c>
      <c r="O1993">
        <v>1</v>
      </c>
      <c r="P1993">
        <v>0</v>
      </c>
      <c r="Q1993">
        <v>0</v>
      </c>
      <c r="R1993" t="s">
        <v>112</v>
      </c>
      <c r="S1993" t="str">
        <f>"14:23:34.141"</f>
        <v>14:23:34.141</v>
      </c>
      <c r="T1993" t="str">
        <f>"14:23:33.641"</f>
        <v>14:23:33.641</v>
      </c>
      <c r="U1993" t="str">
        <f t="shared" si="93"/>
        <v>ad5732</v>
      </c>
      <c r="V1993">
        <v>0</v>
      </c>
      <c r="W1993">
        <v>0</v>
      </c>
      <c r="X1993">
        <v>1</v>
      </c>
      <c r="Z1993">
        <v>0</v>
      </c>
      <c r="AA1993">
        <v>9</v>
      </c>
      <c r="AB1993">
        <v>3</v>
      </c>
      <c r="AC1993">
        <v>0</v>
      </c>
      <c r="AD1993">
        <v>10</v>
      </c>
      <c r="AE1993">
        <v>0</v>
      </c>
      <c r="AF1993">
        <v>3</v>
      </c>
      <c r="AG1993">
        <v>2</v>
      </c>
      <c r="AH1993">
        <v>0</v>
      </c>
      <c r="AI1993" t="s">
        <v>4091</v>
      </c>
      <c r="AJ1993">
        <v>39.834601999999997</v>
      </c>
      <c r="AK1993" t="s">
        <v>4092</v>
      </c>
      <c r="AL1993">
        <v>-75.877547000000007</v>
      </c>
      <c r="AM1993">
        <v>100</v>
      </c>
      <c r="AN1993">
        <v>4700</v>
      </c>
      <c r="AO1993" t="s">
        <v>115</v>
      </c>
      <c r="AP1993">
        <v>160</v>
      </c>
      <c r="AQ1993">
        <v>84</v>
      </c>
      <c r="AR1993">
        <v>0</v>
      </c>
      <c r="AZ1993">
        <v>3614</v>
      </c>
      <c r="BA1993">
        <v>1</v>
      </c>
      <c r="BB1993" t="str">
        <f t="shared" si="92"/>
        <v xml:space="preserve">N959MJ  </v>
      </c>
      <c r="BC1993">
        <v>1</v>
      </c>
      <c r="BE1993">
        <v>0</v>
      </c>
      <c r="BF1993">
        <v>0</v>
      </c>
      <c r="BG1993">
        <v>0</v>
      </c>
      <c r="BH1993">
        <v>4900</v>
      </c>
      <c r="BI1993">
        <v>200</v>
      </c>
      <c r="BJ1993">
        <v>1</v>
      </c>
      <c r="BK1993">
        <v>1</v>
      </c>
      <c r="BL1993">
        <v>1</v>
      </c>
      <c r="BM1993">
        <v>0</v>
      </c>
      <c r="BP1993">
        <v>0</v>
      </c>
      <c r="BQ1993">
        <v>0</v>
      </c>
      <c r="BX1993" t="str">
        <f>"14:23:34.141"</f>
        <v>14:23:34.141</v>
      </c>
      <c r="BY1993" t="str">
        <f>"141115664"</f>
        <v>141115664</v>
      </c>
      <c r="CL1993">
        <v>0</v>
      </c>
      <c r="CM1993">
        <v>2</v>
      </c>
      <c r="CN1993">
        <v>0</v>
      </c>
      <c r="CO1993">
        <v>2</v>
      </c>
      <c r="CP1993">
        <v>0</v>
      </c>
      <c r="CQ1993">
        <v>7</v>
      </c>
      <c r="CR1993" t="s">
        <v>116</v>
      </c>
      <c r="CS1993">
        <v>39</v>
      </c>
      <c r="CT1993">
        <v>2</v>
      </c>
      <c r="CU1993" t="s">
        <v>2259</v>
      </c>
      <c r="CV1993" t="s">
        <v>2260</v>
      </c>
      <c r="CY1993">
        <v>16480825</v>
      </c>
      <c r="CZ1993" t="s">
        <v>119</v>
      </c>
    </row>
    <row r="1994" spans="1:104" x14ac:dyDescent="0.25">
      <c r="A1994" t="str">
        <f>"14:23:35.164"</f>
        <v>14:23:35.164</v>
      </c>
      <c r="B1994" t="s">
        <v>108</v>
      </c>
      <c r="C1994" t="str">
        <f t="shared" ref="C1994:C2057" si="94">"ffdfd3c0"</f>
        <v>ffdfd3c0</v>
      </c>
      <c r="D1994" t="s">
        <v>109</v>
      </c>
      <c r="E1994">
        <v>4</v>
      </c>
      <c r="F1994">
        <v>1004</v>
      </c>
      <c r="G1994" t="s">
        <v>110</v>
      </c>
      <c r="J1994" t="s">
        <v>111</v>
      </c>
      <c r="K1994">
        <v>0</v>
      </c>
      <c r="L1994">
        <v>3</v>
      </c>
      <c r="M1994">
        <v>0</v>
      </c>
      <c r="N1994">
        <v>2</v>
      </c>
      <c r="O1994">
        <v>1</v>
      </c>
      <c r="P1994">
        <v>0</v>
      </c>
      <c r="Q1994">
        <v>0</v>
      </c>
      <c r="R1994" t="s">
        <v>112</v>
      </c>
      <c r="S1994" t="str">
        <f>"14:23:34.984"</f>
        <v>14:23:34.984</v>
      </c>
      <c r="T1994" t="str">
        <f>"14:23:34.586"</f>
        <v>14:23:34.586</v>
      </c>
      <c r="U1994" t="str">
        <f t="shared" si="93"/>
        <v>ad5732</v>
      </c>
      <c r="V1994">
        <v>0</v>
      </c>
      <c r="W1994">
        <v>0</v>
      </c>
      <c r="X1994">
        <v>1</v>
      </c>
      <c r="Z1994">
        <v>0</v>
      </c>
      <c r="AA1994">
        <v>9</v>
      </c>
      <c r="AB1994">
        <v>3</v>
      </c>
      <c r="AC1994">
        <v>0</v>
      </c>
      <c r="AD1994">
        <v>10</v>
      </c>
      <c r="AE1994">
        <v>0</v>
      </c>
      <c r="AF1994">
        <v>3</v>
      </c>
      <c r="AG1994">
        <v>2</v>
      </c>
      <c r="AH1994">
        <v>0</v>
      </c>
      <c r="AI1994" t="s">
        <v>4093</v>
      </c>
      <c r="AJ1994">
        <v>39.834924000000001</v>
      </c>
      <c r="AK1994" t="s">
        <v>4094</v>
      </c>
      <c r="AL1994">
        <v>-75.876774999999995</v>
      </c>
      <c r="AM1994">
        <v>100</v>
      </c>
      <c r="AN1994">
        <v>4700</v>
      </c>
      <c r="AO1994" t="s">
        <v>115</v>
      </c>
      <c r="AP1994">
        <v>160</v>
      </c>
      <c r="AQ1994">
        <v>84</v>
      </c>
      <c r="AR1994">
        <v>0</v>
      </c>
      <c r="AZ1994">
        <v>3614</v>
      </c>
      <c r="BA1994">
        <v>1</v>
      </c>
      <c r="BB1994" t="str">
        <f t="shared" ref="BB1994:BB2057" si="95">"N959MJ  "</f>
        <v xml:space="preserve">N959MJ  </v>
      </c>
      <c r="BC1994">
        <v>1</v>
      </c>
      <c r="BE1994">
        <v>0</v>
      </c>
      <c r="BF1994">
        <v>0</v>
      </c>
      <c r="BG1994">
        <v>0</v>
      </c>
      <c r="BH1994">
        <v>4900</v>
      </c>
      <c r="BI1994">
        <v>200</v>
      </c>
      <c r="BJ1994">
        <v>1</v>
      </c>
      <c r="BK1994">
        <v>1</v>
      </c>
      <c r="BL1994">
        <v>1</v>
      </c>
      <c r="BM1994">
        <v>0</v>
      </c>
      <c r="BP1994">
        <v>0</v>
      </c>
      <c r="BQ1994">
        <v>0</v>
      </c>
      <c r="BX1994" t="str">
        <f>"14:23:34.984"</f>
        <v>14:23:34.984</v>
      </c>
      <c r="BY1994" t="str">
        <f>"988182614"</f>
        <v>988182614</v>
      </c>
      <c r="CL1994">
        <v>0</v>
      </c>
      <c r="CM1994">
        <v>2</v>
      </c>
      <c r="CN1994">
        <v>0</v>
      </c>
      <c r="CO1994">
        <v>2</v>
      </c>
      <c r="CP1994">
        <v>0</v>
      </c>
      <c r="CQ1994">
        <v>7</v>
      </c>
      <c r="CR1994" t="s">
        <v>116</v>
      </c>
      <c r="CS1994">
        <v>39</v>
      </c>
      <c r="CT1994">
        <v>2</v>
      </c>
      <c r="CU1994" t="s">
        <v>2259</v>
      </c>
      <c r="CV1994" t="s">
        <v>2260</v>
      </c>
      <c r="CY1994">
        <v>16482184</v>
      </c>
      <c r="CZ1994" t="s">
        <v>119</v>
      </c>
    </row>
    <row r="1995" spans="1:104" x14ac:dyDescent="0.25">
      <c r="A1995" t="str">
        <f>"14:23:36.273"</f>
        <v>14:23:36.273</v>
      </c>
      <c r="B1995" t="s">
        <v>108</v>
      </c>
      <c r="C1995" t="str">
        <f t="shared" si="94"/>
        <v>ffdfd3c0</v>
      </c>
      <c r="D1995" t="s">
        <v>109</v>
      </c>
      <c r="E1995">
        <v>4</v>
      </c>
      <c r="F1995">
        <v>1004</v>
      </c>
      <c r="G1995" t="s">
        <v>110</v>
      </c>
      <c r="J1995" t="s">
        <v>111</v>
      </c>
      <c r="K1995">
        <v>0</v>
      </c>
      <c r="L1995">
        <v>3</v>
      </c>
      <c r="M1995">
        <v>0</v>
      </c>
      <c r="N1995">
        <v>2</v>
      </c>
      <c r="O1995">
        <v>1</v>
      </c>
      <c r="P1995">
        <v>0</v>
      </c>
      <c r="Q1995">
        <v>0</v>
      </c>
      <c r="R1995" t="s">
        <v>112</v>
      </c>
      <c r="S1995" t="str">
        <f>"14:23:36.078"</f>
        <v>14:23:36.078</v>
      </c>
      <c r="T1995" t="str">
        <f>"14:23:35.578"</f>
        <v>14:23:35.578</v>
      </c>
      <c r="U1995" t="str">
        <f t="shared" si="93"/>
        <v>ad5732</v>
      </c>
      <c r="V1995">
        <v>0</v>
      </c>
      <c r="W1995">
        <v>0</v>
      </c>
      <c r="X1995">
        <v>1</v>
      </c>
      <c r="Z1995">
        <v>0</v>
      </c>
      <c r="AA1995">
        <v>9</v>
      </c>
      <c r="AB1995">
        <v>3</v>
      </c>
      <c r="AC1995">
        <v>0</v>
      </c>
      <c r="AD1995">
        <v>10</v>
      </c>
      <c r="AE1995">
        <v>0</v>
      </c>
      <c r="AF1995">
        <v>3</v>
      </c>
      <c r="AG1995">
        <v>2</v>
      </c>
      <c r="AH1995">
        <v>0</v>
      </c>
      <c r="AI1995" t="s">
        <v>4095</v>
      </c>
      <c r="AJ1995">
        <v>39.83531</v>
      </c>
      <c r="AK1995" t="s">
        <v>4096</v>
      </c>
      <c r="AL1995">
        <v>-75.875722999999994</v>
      </c>
      <c r="AM1995">
        <v>100</v>
      </c>
      <c r="AN1995">
        <v>4700</v>
      </c>
      <c r="AO1995" t="s">
        <v>115</v>
      </c>
      <c r="AP1995">
        <v>160</v>
      </c>
      <c r="AQ1995">
        <v>84</v>
      </c>
      <c r="AR1995">
        <v>0</v>
      </c>
      <c r="AZ1995">
        <v>3614</v>
      </c>
      <c r="BA1995">
        <v>1</v>
      </c>
      <c r="BB1995" t="str">
        <f t="shared" si="95"/>
        <v xml:space="preserve">N959MJ  </v>
      </c>
      <c r="BC1995">
        <v>1</v>
      </c>
      <c r="BE1995">
        <v>0</v>
      </c>
      <c r="BF1995">
        <v>0</v>
      </c>
      <c r="BG1995">
        <v>0</v>
      </c>
      <c r="BH1995">
        <v>4900</v>
      </c>
      <c r="BI1995">
        <v>200</v>
      </c>
      <c r="BJ1995">
        <v>1</v>
      </c>
      <c r="BK1995">
        <v>1</v>
      </c>
      <c r="BL1995">
        <v>1</v>
      </c>
      <c r="BM1995">
        <v>0</v>
      </c>
      <c r="BP1995">
        <v>0</v>
      </c>
      <c r="BQ1995">
        <v>0</v>
      </c>
      <c r="BX1995" t="str">
        <f>"14:23:36.086"</f>
        <v>14:23:36.086</v>
      </c>
      <c r="BY1995" t="str">
        <f>"084290669"</f>
        <v>084290669</v>
      </c>
      <c r="CL1995">
        <v>0</v>
      </c>
      <c r="CM1995">
        <v>2</v>
      </c>
      <c r="CN1995">
        <v>0</v>
      </c>
      <c r="CO1995">
        <v>2</v>
      </c>
      <c r="CP1995">
        <v>0</v>
      </c>
      <c r="CQ1995">
        <v>7</v>
      </c>
      <c r="CR1995" t="s">
        <v>116</v>
      </c>
      <c r="CS1995">
        <v>39</v>
      </c>
      <c r="CT1995">
        <v>2</v>
      </c>
      <c r="CU1995" t="s">
        <v>2259</v>
      </c>
      <c r="CV1995" t="s">
        <v>2260</v>
      </c>
      <c r="CY1995">
        <v>16483954</v>
      </c>
      <c r="CZ1995" t="s">
        <v>119</v>
      </c>
    </row>
    <row r="1996" spans="1:104" x14ac:dyDescent="0.25">
      <c r="A1996" t="str">
        <f>"14:23:37.336"</f>
        <v>14:23:37.336</v>
      </c>
      <c r="B1996" t="s">
        <v>108</v>
      </c>
      <c r="C1996" t="str">
        <f t="shared" si="94"/>
        <v>ffdfd3c0</v>
      </c>
      <c r="D1996" t="s">
        <v>109</v>
      </c>
      <c r="E1996">
        <v>4</v>
      </c>
      <c r="F1996">
        <v>1004</v>
      </c>
      <c r="G1996" t="s">
        <v>110</v>
      </c>
      <c r="J1996" t="s">
        <v>111</v>
      </c>
      <c r="K1996">
        <v>0</v>
      </c>
      <c r="L1996">
        <v>3</v>
      </c>
      <c r="M1996">
        <v>0</v>
      </c>
      <c r="N1996">
        <v>2</v>
      </c>
      <c r="O1996">
        <v>1</v>
      </c>
      <c r="P1996">
        <v>0</v>
      </c>
      <c r="Q1996">
        <v>0</v>
      </c>
      <c r="R1996" t="s">
        <v>112</v>
      </c>
      <c r="S1996" t="str">
        <f>"14:23:37.156"</f>
        <v>14:23:37.156</v>
      </c>
      <c r="T1996" t="str">
        <f>"14:23:36.656"</f>
        <v>14:23:36.656</v>
      </c>
      <c r="U1996" t="str">
        <f t="shared" si="93"/>
        <v>ad5732</v>
      </c>
      <c r="V1996">
        <v>0</v>
      </c>
      <c r="W1996">
        <v>0</v>
      </c>
      <c r="X1996">
        <v>1</v>
      </c>
      <c r="Z1996">
        <v>0</v>
      </c>
      <c r="AA1996">
        <v>9</v>
      </c>
      <c r="AB1996">
        <v>3</v>
      </c>
      <c r="AC1996">
        <v>0</v>
      </c>
      <c r="AD1996">
        <v>10</v>
      </c>
      <c r="AE1996">
        <v>0</v>
      </c>
      <c r="AF1996">
        <v>3</v>
      </c>
      <c r="AG1996">
        <v>2</v>
      </c>
      <c r="AH1996">
        <v>0</v>
      </c>
      <c r="AI1996" t="s">
        <v>4097</v>
      </c>
      <c r="AJ1996">
        <v>39.835738999999997</v>
      </c>
      <c r="AK1996" t="s">
        <v>4098</v>
      </c>
      <c r="AL1996">
        <v>-75.874692999999994</v>
      </c>
      <c r="AM1996">
        <v>100</v>
      </c>
      <c r="AN1996">
        <v>4700</v>
      </c>
      <c r="AO1996" t="s">
        <v>115</v>
      </c>
      <c r="AP1996">
        <v>160</v>
      </c>
      <c r="AQ1996">
        <v>84</v>
      </c>
      <c r="AR1996">
        <v>-64</v>
      </c>
      <c r="AZ1996">
        <v>3614</v>
      </c>
      <c r="BA1996">
        <v>1</v>
      </c>
      <c r="BB1996" t="str">
        <f t="shared" si="95"/>
        <v xml:space="preserve">N959MJ  </v>
      </c>
      <c r="BC1996">
        <v>1</v>
      </c>
      <c r="BE1996">
        <v>0</v>
      </c>
      <c r="BF1996">
        <v>0</v>
      </c>
      <c r="BG1996">
        <v>0</v>
      </c>
      <c r="BH1996">
        <v>4900</v>
      </c>
      <c r="BI1996">
        <v>200</v>
      </c>
      <c r="BJ1996">
        <v>1</v>
      </c>
      <c r="BK1996">
        <v>1</v>
      </c>
      <c r="BL1996">
        <v>1</v>
      </c>
      <c r="BM1996">
        <v>0</v>
      </c>
      <c r="BP1996">
        <v>0</v>
      </c>
      <c r="BQ1996">
        <v>0</v>
      </c>
      <c r="BX1996" t="str">
        <f>"14:23:37.156"</f>
        <v>14:23:37.156</v>
      </c>
      <c r="BY1996" t="str">
        <f>"159099085"</f>
        <v>159099085</v>
      </c>
      <c r="CL1996">
        <v>0</v>
      </c>
      <c r="CM1996">
        <v>2</v>
      </c>
      <c r="CN1996">
        <v>0</v>
      </c>
      <c r="CO1996">
        <v>2</v>
      </c>
      <c r="CP1996">
        <v>0</v>
      </c>
      <c r="CQ1996">
        <v>5</v>
      </c>
      <c r="CR1996" t="s">
        <v>116</v>
      </c>
      <c r="CS1996">
        <v>39</v>
      </c>
      <c r="CT1996">
        <v>3</v>
      </c>
      <c r="CU1996" t="s">
        <v>2259</v>
      </c>
      <c r="CV1996" t="s">
        <v>2260</v>
      </c>
      <c r="CY1996">
        <v>10452163</v>
      </c>
      <c r="CZ1996" t="s">
        <v>119</v>
      </c>
    </row>
    <row r="1997" spans="1:104" x14ac:dyDescent="0.25">
      <c r="A1997" t="str">
        <f>"14:23:38.398"</f>
        <v>14:23:38.398</v>
      </c>
      <c r="B1997" t="s">
        <v>108</v>
      </c>
      <c r="C1997" t="str">
        <f t="shared" si="94"/>
        <v>ffdfd3c0</v>
      </c>
      <c r="D1997" t="s">
        <v>109</v>
      </c>
      <c r="E1997">
        <v>4</v>
      </c>
      <c r="F1997">
        <v>1004</v>
      </c>
      <c r="G1997" t="s">
        <v>110</v>
      </c>
      <c r="J1997" t="s">
        <v>111</v>
      </c>
      <c r="K1997">
        <v>0</v>
      </c>
      <c r="L1997">
        <v>3</v>
      </c>
      <c r="M1997">
        <v>0</v>
      </c>
      <c r="N1997">
        <v>2</v>
      </c>
      <c r="O1997">
        <v>1</v>
      </c>
      <c r="P1997">
        <v>0</v>
      </c>
      <c r="Q1997">
        <v>0</v>
      </c>
      <c r="R1997" t="s">
        <v>112</v>
      </c>
      <c r="S1997" t="str">
        <f>"14:23:38.195"</f>
        <v>14:23:38.195</v>
      </c>
      <c r="T1997" t="str">
        <f>"14:23:37.797"</f>
        <v>14:23:37.797</v>
      </c>
      <c r="U1997" t="str">
        <f t="shared" si="93"/>
        <v>ad5732</v>
      </c>
      <c r="V1997">
        <v>0</v>
      </c>
      <c r="W1997">
        <v>0</v>
      </c>
      <c r="X1997">
        <v>1</v>
      </c>
      <c r="Z1997">
        <v>0</v>
      </c>
      <c r="AA1997">
        <v>9</v>
      </c>
      <c r="AB1997">
        <v>3</v>
      </c>
      <c r="AC1997">
        <v>0</v>
      </c>
      <c r="AD1997">
        <v>10</v>
      </c>
      <c r="AE1997">
        <v>0</v>
      </c>
      <c r="AF1997">
        <v>3</v>
      </c>
      <c r="AG1997">
        <v>2</v>
      </c>
      <c r="AH1997">
        <v>0</v>
      </c>
      <c r="AI1997" t="s">
        <v>4099</v>
      </c>
      <c r="AJ1997">
        <v>39.836190000000002</v>
      </c>
      <c r="AK1997" t="s">
        <v>4100</v>
      </c>
      <c r="AL1997">
        <v>-75.873598999999999</v>
      </c>
      <c r="AM1997">
        <v>100</v>
      </c>
      <c r="AN1997">
        <v>4700</v>
      </c>
      <c r="AO1997" t="s">
        <v>115</v>
      </c>
      <c r="AP1997">
        <v>160</v>
      </c>
      <c r="AQ1997">
        <v>84</v>
      </c>
      <c r="AR1997">
        <v>-64</v>
      </c>
      <c r="AZ1997">
        <v>3614</v>
      </c>
      <c r="BA1997">
        <v>1</v>
      </c>
      <c r="BB1997" t="str">
        <f t="shared" si="95"/>
        <v xml:space="preserve">N959MJ  </v>
      </c>
      <c r="BC1997">
        <v>1</v>
      </c>
      <c r="BE1997">
        <v>0</v>
      </c>
      <c r="BF1997">
        <v>0</v>
      </c>
      <c r="BG1997">
        <v>0</v>
      </c>
      <c r="BH1997">
        <v>4900</v>
      </c>
      <c r="BI1997">
        <v>200</v>
      </c>
      <c r="BJ1997">
        <v>1</v>
      </c>
      <c r="BK1997">
        <v>1</v>
      </c>
      <c r="BL1997">
        <v>1</v>
      </c>
      <c r="BM1997">
        <v>0</v>
      </c>
      <c r="BP1997">
        <v>0</v>
      </c>
      <c r="BQ1997">
        <v>0</v>
      </c>
      <c r="BX1997" t="str">
        <f>"14:23:38.203"</f>
        <v>14:23:38.203</v>
      </c>
      <c r="BY1997" t="str">
        <f>"202777267"</f>
        <v>202777267</v>
      </c>
      <c r="CL1997">
        <v>0</v>
      </c>
      <c r="CM1997">
        <v>2</v>
      </c>
      <c r="CN1997">
        <v>0</v>
      </c>
      <c r="CO1997">
        <v>2</v>
      </c>
      <c r="CP1997">
        <v>0</v>
      </c>
      <c r="CQ1997">
        <v>7</v>
      </c>
      <c r="CR1997" t="s">
        <v>116</v>
      </c>
      <c r="CS1997">
        <v>39</v>
      </c>
      <c r="CT1997">
        <v>2</v>
      </c>
      <c r="CU1997" t="s">
        <v>2259</v>
      </c>
      <c r="CV1997" t="s">
        <v>2260</v>
      </c>
      <c r="CY1997">
        <v>16487205</v>
      </c>
      <c r="CZ1997" t="s">
        <v>119</v>
      </c>
    </row>
    <row r="1998" spans="1:104" x14ac:dyDescent="0.25">
      <c r="A1998" t="str">
        <f>"14:23:39.453"</f>
        <v>14:23:39.453</v>
      </c>
      <c r="B1998" t="s">
        <v>108</v>
      </c>
      <c r="C1998" t="str">
        <f t="shared" si="94"/>
        <v>ffdfd3c0</v>
      </c>
      <c r="D1998" t="s">
        <v>109</v>
      </c>
      <c r="E1998">
        <v>4</v>
      </c>
      <c r="F1998">
        <v>1004</v>
      </c>
      <c r="G1998" t="s">
        <v>110</v>
      </c>
      <c r="J1998" t="s">
        <v>111</v>
      </c>
      <c r="K1998">
        <v>0</v>
      </c>
      <c r="L1998">
        <v>3</v>
      </c>
      <c r="M1998">
        <v>0</v>
      </c>
      <c r="N1998">
        <v>2</v>
      </c>
      <c r="O1998">
        <v>1</v>
      </c>
      <c r="P1998">
        <v>0</v>
      </c>
      <c r="Q1998">
        <v>0</v>
      </c>
      <c r="R1998" t="s">
        <v>112</v>
      </c>
      <c r="S1998" t="str">
        <f>"14:23:39.289"</f>
        <v>14:23:39.289</v>
      </c>
      <c r="T1998" t="str">
        <f>"14:23:38.789"</f>
        <v>14:23:38.789</v>
      </c>
      <c r="U1998" t="str">
        <f t="shared" si="93"/>
        <v>ad5732</v>
      </c>
      <c r="V1998">
        <v>0</v>
      </c>
      <c r="W1998">
        <v>0</v>
      </c>
      <c r="X1998">
        <v>1</v>
      </c>
      <c r="Z1998">
        <v>0</v>
      </c>
      <c r="AA1998">
        <v>9</v>
      </c>
      <c r="AB1998">
        <v>3</v>
      </c>
      <c r="AC1998">
        <v>0</v>
      </c>
      <c r="AD1998">
        <v>10</v>
      </c>
      <c r="AE1998">
        <v>0</v>
      </c>
      <c r="AF1998">
        <v>3</v>
      </c>
      <c r="AG1998">
        <v>2</v>
      </c>
      <c r="AH1998">
        <v>0</v>
      </c>
      <c r="AI1998" t="s">
        <v>4101</v>
      </c>
      <c r="AJ1998">
        <v>39.836576000000001</v>
      </c>
      <c r="AK1998" t="s">
        <v>4102</v>
      </c>
      <c r="AL1998">
        <v>-75.872612000000004</v>
      </c>
      <c r="AM1998">
        <v>100</v>
      </c>
      <c r="AN1998">
        <v>4700</v>
      </c>
      <c r="AO1998" t="s">
        <v>115</v>
      </c>
      <c r="AP1998">
        <v>160</v>
      </c>
      <c r="AQ1998">
        <v>84</v>
      </c>
      <c r="AR1998">
        <v>-64</v>
      </c>
      <c r="AZ1998">
        <v>3614</v>
      </c>
      <c r="BA1998">
        <v>1</v>
      </c>
      <c r="BB1998" t="str">
        <f t="shared" si="95"/>
        <v xml:space="preserve">N959MJ  </v>
      </c>
      <c r="BC1998">
        <v>1</v>
      </c>
      <c r="BE1998">
        <v>0</v>
      </c>
      <c r="BF1998">
        <v>0</v>
      </c>
      <c r="BG1998">
        <v>0</v>
      </c>
      <c r="BH1998">
        <v>4900</v>
      </c>
      <c r="BI1998">
        <v>200</v>
      </c>
      <c r="BJ1998">
        <v>1</v>
      </c>
      <c r="BK1998">
        <v>1</v>
      </c>
      <c r="BL1998">
        <v>1</v>
      </c>
      <c r="BM1998">
        <v>0</v>
      </c>
      <c r="BP1998">
        <v>0</v>
      </c>
      <c r="BQ1998">
        <v>0</v>
      </c>
      <c r="BX1998" t="str">
        <f>"14:23:39.297"</f>
        <v>14:23:39.297</v>
      </c>
      <c r="BY1998" t="str">
        <f>"295608381"</f>
        <v>295608381</v>
      </c>
      <c r="CL1998">
        <v>0</v>
      </c>
      <c r="CM1998">
        <v>2</v>
      </c>
      <c r="CN1998">
        <v>0</v>
      </c>
      <c r="CO1998">
        <v>2</v>
      </c>
      <c r="CP1998">
        <v>0</v>
      </c>
      <c r="CQ1998">
        <v>7</v>
      </c>
      <c r="CR1998" t="s">
        <v>116</v>
      </c>
      <c r="CS1998">
        <v>39</v>
      </c>
      <c r="CT1998">
        <v>2</v>
      </c>
      <c r="CU1998" t="s">
        <v>2259</v>
      </c>
      <c r="CV1998" t="s">
        <v>2260</v>
      </c>
      <c r="CY1998">
        <v>16488969</v>
      </c>
      <c r="CZ1998" t="s">
        <v>119</v>
      </c>
    </row>
    <row r="1999" spans="1:104" x14ac:dyDescent="0.25">
      <c r="A1999" t="str">
        <f>"14:23:40.516"</f>
        <v>14:23:40.516</v>
      </c>
      <c r="B1999" t="s">
        <v>108</v>
      </c>
      <c r="C1999" t="str">
        <f t="shared" si="94"/>
        <v>ffdfd3c0</v>
      </c>
      <c r="D1999" t="s">
        <v>109</v>
      </c>
      <c r="E1999">
        <v>4</v>
      </c>
      <c r="F1999">
        <v>1004</v>
      </c>
      <c r="G1999" t="s">
        <v>110</v>
      </c>
      <c r="J1999" t="s">
        <v>111</v>
      </c>
      <c r="K1999">
        <v>0</v>
      </c>
      <c r="L1999">
        <v>3</v>
      </c>
      <c r="M1999">
        <v>0</v>
      </c>
      <c r="N1999">
        <v>2</v>
      </c>
      <c r="O1999">
        <v>1</v>
      </c>
      <c r="P1999">
        <v>0</v>
      </c>
      <c r="Q1999">
        <v>0</v>
      </c>
      <c r="R1999" t="s">
        <v>112</v>
      </c>
      <c r="S1999" t="str">
        <f>"14:23:40.328"</f>
        <v>14:23:40.328</v>
      </c>
      <c r="T1999" t="str">
        <f>"14:23:39.930"</f>
        <v>14:23:39.930</v>
      </c>
      <c r="U1999" t="str">
        <f t="shared" si="93"/>
        <v>ad5732</v>
      </c>
      <c r="V1999">
        <v>0</v>
      </c>
      <c r="W1999">
        <v>0</v>
      </c>
      <c r="X1999">
        <v>1</v>
      </c>
      <c r="Z1999">
        <v>0</v>
      </c>
      <c r="AA1999">
        <v>9</v>
      </c>
      <c r="AB1999">
        <v>3</v>
      </c>
      <c r="AC1999">
        <v>0</v>
      </c>
      <c r="AD1999">
        <v>10</v>
      </c>
      <c r="AE1999">
        <v>0</v>
      </c>
      <c r="AF1999">
        <v>3</v>
      </c>
      <c r="AG1999">
        <v>2</v>
      </c>
      <c r="AH1999">
        <v>0</v>
      </c>
      <c r="AI1999" t="s">
        <v>4103</v>
      </c>
      <c r="AJ1999">
        <v>39.836984000000001</v>
      </c>
      <c r="AK1999" t="s">
        <v>4104</v>
      </c>
      <c r="AL1999">
        <v>-75.871582000000004</v>
      </c>
      <c r="AM1999">
        <v>100</v>
      </c>
      <c r="AN1999">
        <v>4700</v>
      </c>
      <c r="AO1999" t="s">
        <v>115</v>
      </c>
      <c r="AP1999">
        <v>160</v>
      </c>
      <c r="AQ1999">
        <v>84</v>
      </c>
      <c r="AR1999">
        <v>-64</v>
      </c>
      <c r="AZ1999">
        <v>3614</v>
      </c>
      <c r="BA1999">
        <v>1</v>
      </c>
      <c r="BB1999" t="str">
        <f t="shared" si="95"/>
        <v xml:space="preserve">N959MJ  </v>
      </c>
      <c r="BC1999">
        <v>1</v>
      </c>
      <c r="BE1999">
        <v>0</v>
      </c>
      <c r="BF1999">
        <v>0</v>
      </c>
      <c r="BG1999">
        <v>0</v>
      </c>
      <c r="BH1999">
        <v>4900</v>
      </c>
      <c r="BI1999">
        <v>200</v>
      </c>
      <c r="BJ1999">
        <v>1</v>
      </c>
      <c r="BK1999">
        <v>1</v>
      </c>
      <c r="BL1999">
        <v>1</v>
      </c>
      <c r="BM1999">
        <v>0</v>
      </c>
      <c r="BP1999">
        <v>0</v>
      </c>
      <c r="BQ1999">
        <v>0</v>
      </c>
      <c r="BX1999" t="str">
        <f>"14:23:40.328"</f>
        <v>14:23:40.328</v>
      </c>
      <c r="BY1999" t="str">
        <f>"329456104"</f>
        <v>329456104</v>
      </c>
      <c r="CL1999">
        <v>0</v>
      </c>
      <c r="CM1999">
        <v>2</v>
      </c>
      <c r="CN1999">
        <v>0</v>
      </c>
      <c r="CO1999">
        <v>2</v>
      </c>
      <c r="CP1999">
        <v>0</v>
      </c>
      <c r="CQ1999">
        <v>7</v>
      </c>
      <c r="CR1999" t="s">
        <v>116</v>
      </c>
      <c r="CS1999">
        <v>39</v>
      </c>
      <c r="CT1999">
        <v>2</v>
      </c>
      <c r="CU1999" t="s">
        <v>2259</v>
      </c>
      <c r="CV1999" t="s">
        <v>2260</v>
      </c>
      <c r="CY1999">
        <v>16490616</v>
      </c>
      <c r="CZ1999" t="s">
        <v>119</v>
      </c>
    </row>
    <row r="2000" spans="1:104" x14ac:dyDescent="0.25">
      <c r="A2000" t="str">
        <f>"14:23:41.375"</f>
        <v>14:23:41.375</v>
      </c>
      <c r="B2000" t="s">
        <v>108</v>
      </c>
      <c r="C2000" t="str">
        <f t="shared" si="94"/>
        <v>ffdfd3c0</v>
      </c>
      <c r="D2000" t="s">
        <v>109</v>
      </c>
      <c r="E2000">
        <v>4</v>
      </c>
      <c r="F2000">
        <v>1004</v>
      </c>
      <c r="G2000" t="s">
        <v>110</v>
      </c>
      <c r="J2000" t="s">
        <v>111</v>
      </c>
      <c r="K2000">
        <v>0</v>
      </c>
      <c r="L2000">
        <v>3</v>
      </c>
      <c r="M2000">
        <v>0</v>
      </c>
      <c r="N2000">
        <v>2</v>
      </c>
      <c r="O2000">
        <v>1</v>
      </c>
      <c r="P2000">
        <v>0</v>
      </c>
      <c r="Q2000">
        <v>0</v>
      </c>
      <c r="R2000" t="s">
        <v>112</v>
      </c>
      <c r="S2000" t="str">
        <f>"14:23:41.219"</f>
        <v>14:23:41.219</v>
      </c>
      <c r="T2000" t="str">
        <f>"14:23:40.820"</f>
        <v>14:23:40.820</v>
      </c>
      <c r="U2000" t="str">
        <f t="shared" si="93"/>
        <v>ad5732</v>
      </c>
      <c r="V2000">
        <v>0</v>
      </c>
      <c r="W2000">
        <v>0</v>
      </c>
      <c r="X2000">
        <v>1</v>
      </c>
      <c r="Z2000">
        <v>0</v>
      </c>
      <c r="AA2000">
        <v>9</v>
      </c>
      <c r="AB2000">
        <v>3</v>
      </c>
      <c r="AC2000">
        <v>0</v>
      </c>
      <c r="AD2000">
        <v>10</v>
      </c>
      <c r="AE2000">
        <v>0</v>
      </c>
      <c r="AF2000">
        <v>3</v>
      </c>
      <c r="AG2000">
        <v>2</v>
      </c>
      <c r="AH2000">
        <v>0</v>
      </c>
      <c r="AI2000" t="s">
        <v>4105</v>
      </c>
      <c r="AJ2000">
        <v>39.837347999999999</v>
      </c>
      <c r="AK2000" t="s">
        <v>4106</v>
      </c>
      <c r="AL2000">
        <v>-75.870723999999996</v>
      </c>
      <c r="AM2000">
        <v>100</v>
      </c>
      <c r="AN2000">
        <v>4700</v>
      </c>
      <c r="AO2000" t="s">
        <v>115</v>
      </c>
      <c r="AP2000">
        <v>160</v>
      </c>
      <c r="AQ2000">
        <v>84</v>
      </c>
      <c r="AR2000">
        <v>-64</v>
      </c>
      <c r="AZ2000">
        <v>3614</v>
      </c>
      <c r="BA2000">
        <v>1</v>
      </c>
      <c r="BB2000" t="str">
        <f t="shared" si="95"/>
        <v xml:space="preserve">N959MJ  </v>
      </c>
      <c r="BC2000">
        <v>1</v>
      </c>
      <c r="BE2000">
        <v>0</v>
      </c>
      <c r="BF2000">
        <v>0</v>
      </c>
      <c r="BG2000">
        <v>0</v>
      </c>
      <c r="BH2000">
        <v>4900</v>
      </c>
      <c r="BI2000">
        <v>200</v>
      </c>
      <c r="BJ2000">
        <v>1</v>
      </c>
      <c r="BK2000">
        <v>1</v>
      </c>
      <c r="BL2000">
        <v>1</v>
      </c>
      <c r="BM2000">
        <v>0</v>
      </c>
      <c r="BP2000">
        <v>0</v>
      </c>
      <c r="BQ2000">
        <v>0</v>
      </c>
      <c r="BX2000" t="str">
        <f>"14:23:41.219"</f>
        <v>14:23:41.219</v>
      </c>
      <c r="BY2000" t="str">
        <f>"222399474"</f>
        <v>222399474</v>
      </c>
      <c r="CL2000">
        <v>0</v>
      </c>
      <c r="CM2000">
        <v>2</v>
      </c>
      <c r="CN2000">
        <v>0</v>
      </c>
      <c r="CO2000">
        <v>2</v>
      </c>
      <c r="CP2000">
        <v>0</v>
      </c>
      <c r="CQ2000">
        <v>7</v>
      </c>
      <c r="CR2000" t="s">
        <v>116</v>
      </c>
      <c r="CS2000">
        <v>39</v>
      </c>
      <c r="CT2000">
        <v>2</v>
      </c>
      <c r="CU2000" t="s">
        <v>2259</v>
      </c>
      <c r="CV2000" t="s">
        <v>2260</v>
      </c>
      <c r="CY2000">
        <v>16492023</v>
      </c>
      <c r="CZ2000" t="s">
        <v>119</v>
      </c>
    </row>
    <row r="2001" spans="1:104" x14ac:dyDescent="0.25">
      <c r="A2001" t="str">
        <f>"14:23:42.383"</f>
        <v>14:23:42.383</v>
      </c>
      <c r="B2001" t="s">
        <v>108</v>
      </c>
      <c r="C2001" t="str">
        <f t="shared" si="94"/>
        <v>ffdfd3c0</v>
      </c>
      <c r="D2001" t="s">
        <v>109</v>
      </c>
      <c r="E2001">
        <v>4</v>
      </c>
      <c r="F2001">
        <v>1004</v>
      </c>
      <c r="G2001" t="s">
        <v>110</v>
      </c>
      <c r="J2001" t="s">
        <v>111</v>
      </c>
      <c r="K2001">
        <v>0</v>
      </c>
      <c r="L2001">
        <v>3</v>
      </c>
      <c r="M2001">
        <v>0</v>
      </c>
      <c r="N2001">
        <v>2</v>
      </c>
      <c r="O2001">
        <v>1</v>
      </c>
      <c r="P2001">
        <v>0</v>
      </c>
      <c r="Q2001">
        <v>0</v>
      </c>
      <c r="R2001" t="s">
        <v>112</v>
      </c>
      <c r="S2001" t="str">
        <f>"14:23:42.227"</f>
        <v>14:23:42.227</v>
      </c>
      <c r="T2001" t="str">
        <f>"14:23:41.727"</f>
        <v>14:23:41.727</v>
      </c>
      <c r="U2001" t="str">
        <f t="shared" si="93"/>
        <v>ad5732</v>
      </c>
      <c r="V2001">
        <v>0</v>
      </c>
      <c r="W2001">
        <v>0</v>
      </c>
      <c r="X2001">
        <v>1</v>
      </c>
      <c r="Z2001">
        <v>0</v>
      </c>
      <c r="AA2001">
        <v>9</v>
      </c>
      <c r="AB2001">
        <v>3</v>
      </c>
      <c r="AC2001">
        <v>0</v>
      </c>
      <c r="AD2001">
        <v>10</v>
      </c>
      <c r="AE2001">
        <v>0</v>
      </c>
      <c r="AF2001">
        <v>3</v>
      </c>
      <c r="AG2001">
        <v>2</v>
      </c>
      <c r="AH2001">
        <v>0</v>
      </c>
      <c r="AI2001" t="s">
        <v>4107</v>
      </c>
      <c r="AJ2001">
        <v>39.837735000000002</v>
      </c>
      <c r="AK2001" t="s">
        <v>4108</v>
      </c>
      <c r="AL2001">
        <v>-75.869758000000004</v>
      </c>
      <c r="AM2001">
        <v>100</v>
      </c>
      <c r="AN2001">
        <v>4700</v>
      </c>
      <c r="AO2001" t="s">
        <v>115</v>
      </c>
      <c r="AP2001">
        <v>161</v>
      </c>
      <c r="AQ2001">
        <v>84</v>
      </c>
      <c r="AR2001">
        <v>-64</v>
      </c>
      <c r="AZ2001">
        <v>3614</v>
      </c>
      <c r="BA2001">
        <v>1</v>
      </c>
      <c r="BB2001" t="str">
        <f t="shared" si="95"/>
        <v xml:space="preserve">N959MJ  </v>
      </c>
      <c r="BC2001">
        <v>1</v>
      </c>
      <c r="BE2001">
        <v>0</v>
      </c>
      <c r="BF2001">
        <v>0</v>
      </c>
      <c r="BG2001">
        <v>0</v>
      </c>
      <c r="BH2001">
        <v>4900</v>
      </c>
      <c r="BI2001">
        <v>200</v>
      </c>
      <c r="BJ2001">
        <v>1</v>
      </c>
      <c r="BK2001">
        <v>1</v>
      </c>
      <c r="BL2001">
        <v>1</v>
      </c>
      <c r="BM2001">
        <v>0</v>
      </c>
      <c r="BP2001">
        <v>0</v>
      </c>
      <c r="BQ2001">
        <v>0</v>
      </c>
      <c r="BX2001" t="str">
        <f>"14:23:42.227"</f>
        <v>14:23:42.227</v>
      </c>
      <c r="BY2001" t="str">
        <f>"228393526"</f>
        <v>228393526</v>
      </c>
      <c r="CL2001">
        <v>0</v>
      </c>
      <c r="CM2001">
        <v>2</v>
      </c>
      <c r="CN2001">
        <v>0</v>
      </c>
      <c r="CO2001">
        <v>2</v>
      </c>
      <c r="CP2001">
        <v>0</v>
      </c>
      <c r="CQ2001">
        <v>7</v>
      </c>
      <c r="CR2001" t="s">
        <v>116</v>
      </c>
      <c r="CS2001">
        <v>39</v>
      </c>
      <c r="CT2001">
        <v>2</v>
      </c>
      <c r="CU2001" t="s">
        <v>2259</v>
      </c>
      <c r="CV2001" t="s">
        <v>2260</v>
      </c>
      <c r="CY2001">
        <v>16493571</v>
      </c>
      <c r="CZ2001" t="s">
        <v>119</v>
      </c>
    </row>
    <row r="2002" spans="1:104" x14ac:dyDescent="0.25">
      <c r="A2002" t="str">
        <f>"14:23:43.344"</f>
        <v>14:23:43.344</v>
      </c>
      <c r="B2002" t="s">
        <v>108</v>
      </c>
      <c r="C2002" t="str">
        <f t="shared" si="94"/>
        <v>ffdfd3c0</v>
      </c>
      <c r="D2002" t="s">
        <v>109</v>
      </c>
      <c r="E2002">
        <v>4</v>
      </c>
      <c r="F2002">
        <v>1004</v>
      </c>
      <c r="G2002" t="s">
        <v>110</v>
      </c>
      <c r="J2002" t="s">
        <v>111</v>
      </c>
      <c r="K2002">
        <v>0</v>
      </c>
      <c r="L2002">
        <v>3</v>
      </c>
      <c r="M2002">
        <v>0</v>
      </c>
      <c r="N2002">
        <v>2</v>
      </c>
      <c r="O2002">
        <v>1</v>
      </c>
      <c r="P2002">
        <v>0</v>
      </c>
      <c r="Q2002">
        <v>0</v>
      </c>
      <c r="R2002" t="s">
        <v>112</v>
      </c>
      <c r="S2002" t="str">
        <f>"14:23:43.156"</f>
        <v>14:23:43.156</v>
      </c>
      <c r="T2002" t="str">
        <f>"14:23:42.758"</f>
        <v>14:23:42.758</v>
      </c>
      <c r="U2002" t="str">
        <f t="shared" si="93"/>
        <v>ad5732</v>
      </c>
      <c r="V2002">
        <v>0</v>
      </c>
      <c r="W2002">
        <v>0</v>
      </c>
      <c r="X2002">
        <v>1</v>
      </c>
      <c r="Z2002">
        <v>0</v>
      </c>
      <c r="AA2002">
        <v>9</v>
      </c>
      <c r="AB2002">
        <v>3</v>
      </c>
      <c r="AC2002">
        <v>0</v>
      </c>
      <c r="AD2002">
        <v>10</v>
      </c>
      <c r="AE2002">
        <v>0</v>
      </c>
      <c r="AF2002">
        <v>3</v>
      </c>
      <c r="AG2002">
        <v>2</v>
      </c>
      <c r="AH2002">
        <v>0</v>
      </c>
      <c r="AI2002" t="s">
        <v>4109</v>
      </c>
      <c r="AJ2002">
        <v>39.838078000000003</v>
      </c>
      <c r="AK2002" t="s">
        <v>4110</v>
      </c>
      <c r="AL2002">
        <v>-75.868899999999996</v>
      </c>
      <c r="AM2002">
        <v>100</v>
      </c>
      <c r="AN2002">
        <v>4700</v>
      </c>
      <c r="AO2002" t="s">
        <v>115</v>
      </c>
      <c r="AP2002">
        <v>161</v>
      </c>
      <c r="AQ2002">
        <v>84</v>
      </c>
      <c r="AR2002">
        <v>-64</v>
      </c>
      <c r="AZ2002">
        <v>3614</v>
      </c>
      <c r="BA2002">
        <v>1</v>
      </c>
      <c r="BB2002" t="str">
        <f t="shared" si="95"/>
        <v xml:space="preserve">N959MJ  </v>
      </c>
      <c r="BC2002">
        <v>1</v>
      </c>
      <c r="BE2002">
        <v>0</v>
      </c>
      <c r="BF2002">
        <v>0</v>
      </c>
      <c r="BG2002">
        <v>0</v>
      </c>
      <c r="BH2002">
        <v>4900</v>
      </c>
      <c r="BI2002">
        <v>200</v>
      </c>
      <c r="BJ2002">
        <v>1</v>
      </c>
      <c r="BK2002">
        <v>1</v>
      </c>
      <c r="BL2002">
        <v>1</v>
      </c>
      <c r="BM2002">
        <v>0</v>
      </c>
      <c r="BP2002">
        <v>0</v>
      </c>
      <c r="BQ2002">
        <v>0</v>
      </c>
      <c r="BX2002" t="str">
        <f>"14:23:43.156"</f>
        <v>14:23:43.156</v>
      </c>
      <c r="BY2002" t="str">
        <f>"157381897"</f>
        <v>157381897</v>
      </c>
      <c r="CL2002">
        <v>0</v>
      </c>
      <c r="CM2002">
        <v>2</v>
      </c>
      <c r="CN2002">
        <v>0</v>
      </c>
      <c r="CO2002">
        <v>2</v>
      </c>
      <c r="CP2002">
        <v>0</v>
      </c>
      <c r="CQ2002">
        <v>7</v>
      </c>
      <c r="CR2002" t="s">
        <v>116</v>
      </c>
      <c r="CS2002">
        <v>39</v>
      </c>
      <c r="CT2002">
        <v>2</v>
      </c>
      <c r="CU2002" t="s">
        <v>2259</v>
      </c>
      <c r="CV2002" t="s">
        <v>2260</v>
      </c>
      <c r="CY2002">
        <v>16495131</v>
      </c>
      <c r="CZ2002" t="s">
        <v>119</v>
      </c>
    </row>
    <row r="2003" spans="1:104" x14ac:dyDescent="0.25">
      <c r="A2003" t="str">
        <f>"14:23:44.406"</f>
        <v>14:23:44.406</v>
      </c>
      <c r="B2003" t="s">
        <v>108</v>
      </c>
      <c r="C2003" t="str">
        <f t="shared" si="94"/>
        <v>ffdfd3c0</v>
      </c>
      <c r="D2003" t="s">
        <v>109</v>
      </c>
      <c r="E2003">
        <v>4</v>
      </c>
      <c r="F2003">
        <v>1004</v>
      </c>
      <c r="G2003" t="s">
        <v>110</v>
      </c>
      <c r="J2003" t="s">
        <v>111</v>
      </c>
      <c r="K2003">
        <v>0</v>
      </c>
      <c r="L2003">
        <v>3</v>
      </c>
      <c r="M2003">
        <v>0</v>
      </c>
      <c r="N2003">
        <v>2</v>
      </c>
      <c r="O2003">
        <v>1</v>
      </c>
      <c r="P2003">
        <v>0</v>
      </c>
      <c r="Q2003">
        <v>0</v>
      </c>
      <c r="R2003" t="s">
        <v>112</v>
      </c>
      <c r="S2003" t="str">
        <f>"14:23:44.203"</f>
        <v>14:23:44.203</v>
      </c>
      <c r="T2003" t="str">
        <f>"14:23:43.703"</f>
        <v>14:23:43.703</v>
      </c>
      <c r="U2003" t="str">
        <f t="shared" si="93"/>
        <v>ad5732</v>
      </c>
      <c r="V2003">
        <v>0</v>
      </c>
      <c r="W2003">
        <v>0</v>
      </c>
      <c r="X2003">
        <v>1</v>
      </c>
      <c r="Z2003">
        <v>0</v>
      </c>
      <c r="AA2003">
        <v>9</v>
      </c>
      <c r="AB2003">
        <v>3</v>
      </c>
      <c r="AC2003">
        <v>0</v>
      </c>
      <c r="AD2003">
        <v>10</v>
      </c>
      <c r="AE2003">
        <v>0</v>
      </c>
      <c r="AF2003">
        <v>3</v>
      </c>
      <c r="AG2003">
        <v>2</v>
      </c>
      <c r="AH2003">
        <v>0</v>
      </c>
      <c r="AI2003" t="s">
        <v>4111</v>
      </c>
      <c r="AJ2003">
        <v>39.838529000000001</v>
      </c>
      <c r="AK2003" t="s">
        <v>4112</v>
      </c>
      <c r="AL2003">
        <v>-75.867847999999995</v>
      </c>
      <c r="AM2003">
        <v>100</v>
      </c>
      <c r="AN2003">
        <v>4700</v>
      </c>
      <c r="AO2003" t="s">
        <v>115</v>
      </c>
      <c r="AP2003">
        <v>161</v>
      </c>
      <c r="AQ2003">
        <v>84</v>
      </c>
      <c r="AR2003">
        <v>-64</v>
      </c>
      <c r="AZ2003">
        <v>3614</v>
      </c>
      <c r="BA2003">
        <v>1</v>
      </c>
      <c r="BB2003" t="str">
        <f t="shared" si="95"/>
        <v xml:space="preserve">N959MJ  </v>
      </c>
      <c r="BC2003">
        <v>1</v>
      </c>
      <c r="BE2003">
        <v>0</v>
      </c>
      <c r="BF2003">
        <v>0</v>
      </c>
      <c r="BG2003">
        <v>0</v>
      </c>
      <c r="BH2003">
        <v>4900</v>
      </c>
      <c r="BI2003">
        <v>200</v>
      </c>
      <c r="BJ2003">
        <v>1</v>
      </c>
      <c r="BK2003">
        <v>1</v>
      </c>
      <c r="BL2003">
        <v>1</v>
      </c>
      <c r="BM2003">
        <v>0</v>
      </c>
      <c r="BP2003">
        <v>0</v>
      </c>
      <c r="BQ2003">
        <v>0</v>
      </c>
      <c r="BX2003" t="str">
        <f>"14:23:44.211"</f>
        <v>14:23:44.211</v>
      </c>
      <c r="BY2003" t="str">
        <f>"209252422"</f>
        <v>209252422</v>
      </c>
      <c r="CL2003">
        <v>0</v>
      </c>
      <c r="CM2003">
        <v>2</v>
      </c>
      <c r="CN2003">
        <v>0</v>
      </c>
      <c r="CO2003">
        <v>2</v>
      </c>
      <c r="CP2003">
        <v>0</v>
      </c>
      <c r="CQ2003">
        <v>7</v>
      </c>
      <c r="CR2003" t="s">
        <v>116</v>
      </c>
      <c r="CS2003">
        <v>39</v>
      </c>
      <c r="CT2003">
        <v>2</v>
      </c>
      <c r="CU2003" t="s">
        <v>2259</v>
      </c>
      <c r="CV2003" t="s">
        <v>2260</v>
      </c>
      <c r="CY2003">
        <v>16496752</v>
      </c>
      <c r="CZ2003" t="s">
        <v>119</v>
      </c>
    </row>
    <row r="2004" spans="1:104" x14ac:dyDescent="0.25">
      <c r="A2004" t="str">
        <f>"14:23:45.359"</f>
        <v>14:23:45.359</v>
      </c>
      <c r="B2004" t="s">
        <v>108</v>
      </c>
      <c r="C2004" t="str">
        <f t="shared" si="94"/>
        <v>ffdfd3c0</v>
      </c>
      <c r="D2004" t="s">
        <v>109</v>
      </c>
      <c r="E2004">
        <v>4</v>
      </c>
      <c r="F2004">
        <v>1004</v>
      </c>
      <c r="G2004" t="s">
        <v>110</v>
      </c>
      <c r="J2004" t="s">
        <v>111</v>
      </c>
      <c r="K2004">
        <v>0</v>
      </c>
      <c r="L2004">
        <v>3</v>
      </c>
      <c r="M2004">
        <v>0</v>
      </c>
      <c r="N2004">
        <v>2</v>
      </c>
      <c r="O2004">
        <v>1</v>
      </c>
      <c r="P2004">
        <v>0</v>
      </c>
      <c r="Q2004">
        <v>0</v>
      </c>
      <c r="R2004" t="s">
        <v>112</v>
      </c>
      <c r="S2004" t="str">
        <f>"14:23:45.203"</f>
        <v>14:23:45.203</v>
      </c>
      <c r="T2004" t="str">
        <f>"14:23:44.703"</f>
        <v>14:23:44.703</v>
      </c>
      <c r="U2004" t="str">
        <f t="shared" si="93"/>
        <v>ad5732</v>
      </c>
      <c r="V2004">
        <v>0</v>
      </c>
      <c r="W2004">
        <v>0</v>
      </c>
      <c r="X2004">
        <v>1</v>
      </c>
      <c r="Z2004">
        <v>0</v>
      </c>
      <c r="AA2004">
        <v>9</v>
      </c>
      <c r="AB2004">
        <v>3</v>
      </c>
      <c r="AC2004">
        <v>0</v>
      </c>
      <c r="AD2004">
        <v>10</v>
      </c>
      <c r="AE2004">
        <v>0</v>
      </c>
      <c r="AF2004">
        <v>3</v>
      </c>
      <c r="AG2004">
        <v>2</v>
      </c>
      <c r="AH2004">
        <v>0</v>
      </c>
      <c r="AI2004" t="s">
        <v>4113</v>
      </c>
      <c r="AJ2004">
        <v>39.838892999999999</v>
      </c>
      <c r="AK2004" t="s">
        <v>4114</v>
      </c>
      <c r="AL2004">
        <v>-75.866817999999995</v>
      </c>
      <c r="AM2004">
        <v>100</v>
      </c>
      <c r="AN2004">
        <v>4700</v>
      </c>
      <c r="AO2004" t="s">
        <v>115</v>
      </c>
      <c r="AP2004">
        <v>161</v>
      </c>
      <c r="AQ2004">
        <v>84</v>
      </c>
      <c r="AR2004">
        <v>-64</v>
      </c>
      <c r="AZ2004">
        <v>3614</v>
      </c>
      <c r="BA2004">
        <v>1</v>
      </c>
      <c r="BB2004" t="str">
        <f t="shared" si="95"/>
        <v xml:space="preserve">N959MJ  </v>
      </c>
      <c r="BC2004">
        <v>1</v>
      </c>
      <c r="BE2004">
        <v>0</v>
      </c>
      <c r="BF2004">
        <v>0</v>
      </c>
      <c r="BG2004">
        <v>0</v>
      </c>
      <c r="BH2004">
        <v>4900</v>
      </c>
      <c r="BI2004">
        <v>200</v>
      </c>
      <c r="BJ2004">
        <v>1</v>
      </c>
      <c r="BK2004">
        <v>1</v>
      </c>
      <c r="BL2004">
        <v>1</v>
      </c>
      <c r="BM2004">
        <v>0</v>
      </c>
      <c r="BP2004">
        <v>0</v>
      </c>
      <c r="BQ2004">
        <v>0</v>
      </c>
      <c r="BX2004" t="str">
        <f>"14:23:45.211"</f>
        <v>14:23:45.211</v>
      </c>
      <c r="BY2004" t="str">
        <f>"207054701"</f>
        <v>207054701</v>
      </c>
      <c r="CL2004">
        <v>0</v>
      </c>
      <c r="CM2004">
        <v>2</v>
      </c>
      <c r="CN2004">
        <v>0</v>
      </c>
      <c r="CO2004">
        <v>2</v>
      </c>
      <c r="CP2004">
        <v>0</v>
      </c>
      <c r="CQ2004">
        <v>7</v>
      </c>
      <c r="CR2004" t="s">
        <v>116</v>
      </c>
      <c r="CS2004">
        <v>39</v>
      </c>
      <c r="CT2004">
        <v>2</v>
      </c>
      <c r="CU2004" t="s">
        <v>2259</v>
      </c>
      <c r="CV2004" t="s">
        <v>2260</v>
      </c>
      <c r="CY2004">
        <v>16498368</v>
      </c>
      <c r="CZ2004" t="s">
        <v>119</v>
      </c>
    </row>
    <row r="2005" spans="1:104" x14ac:dyDescent="0.25">
      <c r="A2005" t="str">
        <f>"14:23:46.273"</f>
        <v>14:23:46.273</v>
      </c>
      <c r="B2005" t="s">
        <v>108</v>
      </c>
      <c r="C2005" t="str">
        <f t="shared" si="94"/>
        <v>ffdfd3c0</v>
      </c>
      <c r="D2005" t="s">
        <v>109</v>
      </c>
      <c r="E2005">
        <v>4</v>
      </c>
      <c r="F2005">
        <v>1004</v>
      </c>
      <c r="G2005" t="s">
        <v>110</v>
      </c>
      <c r="J2005" t="s">
        <v>111</v>
      </c>
      <c r="K2005">
        <v>0</v>
      </c>
      <c r="L2005">
        <v>3</v>
      </c>
      <c r="M2005">
        <v>0</v>
      </c>
      <c r="N2005">
        <v>2</v>
      </c>
      <c r="O2005">
        <v>1</v>
      </c>
      <c r="P2005">
        <v>0</v>
      </c>
      <c r="Q2005">
        <v>0</v>
      </c>
      <c r="R2005" t="s">
        <v>112</v>
      </c>
      <c r="S2005" t="str">
        <f>"14:23:46.094"</f>
        <v>14:23:46.094</v>
      </c>
      <c r="T2005" t="str">
        <f>"14:23:45.695"</f>
        <v>14:23:45.695</v>
      </c>
      <c r="U2005" t="str">
        <f t="shared" si="93"/>
        <v>ad5732</v>
      </c>
      <c r="V2005">
        <v>0</v>
      </c>
      <c r="W2005">
        <v>0</v>
      </c>
      <c r="X2005">
        <v>1</v>
      </c>
      <c r="Z2005">
        <v>0</v>
      </c>
      <c r="AA2005">
        <v>9</v>
      </c>
      <c r="AB2005">
        <v>3</v>
      </c>
      <c r="AC2005">
        <v>0</v>
      </c>
      <c r="AD2005">
        <v>10</v>
      </c>
      <c r="AE2005">
        <v>0</v>
      </c>
      <c r="AF2005">
        <v>3</v>
      </c>
      <c r="AG2005">
        <v>2</v>
      </c>
      <c r="AH2005">
        <v>0</v>
      </c>
      <c r="AI2005" t="s">
        <v>4115</v>
      </c>
      <c r="AJ2005">
        <v>39.839215000000003</v>
      </c>
      <c r="AK2005" t="s">
        <v>4116</v>
      </c>
      <c r="AL2005">
        <v>-75.866089000000002</v>
      </c>
      <c r="AM2005">
        <v>100</v>
      </c>
      <c r="AN2005">
        <v>4700</v>
      </c>
      <c r="AO2005" t="s">
        <v>115</v>
      </c>
      <c r="AP2005">
        <v>161</v>
      </c>
      <c r="AQ2005">
        <v>84</v>
      </c>
      <c r="AR2005">
        <v>0</v>
      </c>
      <c r="AZ2005">
        <v>3614</v>
      </c>
      <c r="BA2005">
        <v>1</v>
      </c>
      <c r="BB2005" t="str">
        <f t="shared" si="95"/>
        <v xml:space="preserve">N959MJ  </v>
      </c>
      <c r="BC2005">
        <v>1</v>
      </c>
      <c r="BE2005">
        <v>0</v>
      </c>
      <c r="BF2005">
        <v>0</v>
      </c>
      <c r="BG2005">
        <v>0</v>
      </c>
      <c r="BH2005">
        <v>4900</v>
      </c>
      <c r="BI2005">
        <v>200</v>
      </c>
      <c r="BJ2005">
        <v>1</v>
      </c>
      <c r="BK2005">
        <v>1</v>
      </c>
      <c r="BL2005">
        <v>1</v>
      </c>
      <c r="BM2005">
        <v>0</v>
      </c>
      <c r="BP2005">
        <v>0</v>
      </c>
      <c r="BQ2005">
        <v>0</v>
      </c>
      <c r="BX2005" t="str">
        <f>"14:23:46.094"</f>
        <v>14:23:46.094</v>
      </c>
      <c r="BY2005" t="str">
        <f>"095201810"</f>
        <v>095201810</v>
      </c>
      <c r="CL2005">
        <v>0</v>
      </c>
      <c r="CM2005">
        <v>2</v>
      </c>
      <c r="CN2005">
        <v>0</v>
      </c>
      <c r="CO2005">
        <v>2</v>
      </c>
      <c r="CP2005">
        <v>0</v>
      </c>
      <c r="CQ2005">
        <v>5</v>
      </c>
      <c r="CR2005" t="s">
        <v>116</v>
      </c>
      <c r="CS2005">
        <v>396</v>
      </c>
      <c r="CT2005">
        <v>1</v>
      </c>
      <c r="CU2005" t="s">
        <v>939</v>
      </c>
      <c r="CV2005" t="s">
        <v>940</v>
      </c>
      <c r="CY2005">
        <v>9882129</v>
      </c>
      <c r="CZ2005" t="s">
        <v>119</v>
      </c>
    </row>
    <row r="2006" spans="1:104" x14ac:dyDescent="0.25">
      <c r="A2006" t="str">
        <f>"14:23:47.383"</f>
        <v>14:23:47.383</v>
      </c>
      <c r="B2006" t="s">
        <v>108</v>
      </c>
      <c r="C2006" t="str">
        <f t="shared" si="94"/>
        <v>ffdfd3c0</v>
      </c>
      <c r="D2006" t="s">
        <v>109</v>
      </c>
      <c r="E2006">
        <v>4</v>
      </c>
      <c r="F2006">
        <v>1004</v>
      </c>
      <c r="G2006" t="s">
        <v>110</v>
      </c>
      <c r="J2006" t="s">
        <v>111</v>
      </c>
      <c r="K2006">
        <v>0</v>
      </c>
      <c r="L2006">
        <v>3</v>
      </c>
      <c r="M2006">
        <v>0</v>
      </c>
      <c r="N2006">
        <v>2</v>
      </c>
      <c r="O2006">
        <v>1</v>
      </c>
      <c r="P2006">
        <v>0</v>
      </c>
      <c r="Q2006">
        <v>0</v>
      </c>
      <c r="R2006" t="s">
        <v>112</v>
      </c>
      <c r="S2006" t="str">
        <f>"14:23:47.180"</f>
        <v>14:23:47.180</v>
      </c>
      <c r="T2006" t="str">
        <f>"14:23:46.680"</f>
        <v>14:23:46.680</v>
      </c>
      <c r="U2006" t="str">
        <f t="shared" si="93"/>
        <v>ad5732</v>
      </c>
      <c r="V2006">
        <v>0</v>
      </c>
      <c r="W2006">
        <v>0</v>
      </c>
      <c r="X2006">
        <v>1</v>
      </c>
      <c r="Z2006">
        <v>0</v>
      </c>
      <c r="AA2006">
        <v>9</v>
      </c>
      <c r="AB2006">
        <v>3</v>
      </c>
      <c r="AC2006">
        <v>0</v>
      </c>
      <c r="AD2006">
        <v>10</v>
      </c>
      <c r="AE2006">
        <v>0</v>
      </c>
      <c r="AF2006">
        <v>3</v>
      </c>
      <c r="AG2006">
        <v>2</v>
      </c>
      <c r="AH2006">
        <v>0</v>
      </c>
      <c r="AI2006" t="s">
        <v>4117</v>
      </c>
      <c r="AJ2006">
        <v>39.839623000000003</v>
      </c>
      <c r="AK2006" t="s">
        <v>4118</v>
      </c>
      <c r="AL2006">
        <v>-75.865015999999997</v>
      </c>
      <c r="AM2006">
        <v>100</v>
      </c>
      <c r="AN2006">
        <v>4700</v>
      </c>
      <c r="AO2006" t="s">
        <v>115</v>
      </c>
      <c r="AP2006">
        <v>161</v>
      </c>
      <c r="AQ2006">
        <v>83</v>
      </c>
      <c r="AR2006">
        <v>0</v>
      </c>
      <c r="AZ2006">
        <v>3614</v>
      </c>
      <c r="BA2006">
        <v>1</v>
      </c>
      <c r="BB2006" t="str">
        <f t="shared" si="95"/>
        <v xml:space="preserve">N959MJ  </v>
      </c>
      <c r="BC2006">
        <v>1</v>
      </c>
      <c r="BE2006">
        <v>0</v>
      </c>
      <c r="BF2006">
        <v>0</v>
      </c>
      <c r="BG2006">
        <v>0</v>
      </c>
      <c r="BH2006">
        <v>4900</v>
      </c>
      <c r="BI2006">
        <v>200</v>
      </c>
      <c r="BJ2006">
        <v>1</v>
      </c>
      <c r="BK2006">
        <v>1</v>
      </c>
      <c r="BL2006">
        <v>1</v>
      </c>
      <c r="BM2006">
        <v>0</v>
      </c>
      <c r="BP2006">
        <v>0</v>
      </c>
      <c r="BQ2006">
        <v>0</v>
      </c>
      <c r="BX2006" t="str">
        <f>"14:23:47.180"</f>
        <v>14:23:47.180</v>
      </c>
      <c r="BY2006" t="str">
        <f>"179721314"</f>
        <v>179721314</v>
      </c>
      <c r="CL2006">
        <v>0</v>
      </c>
      <c r="CM2006">
        <v>2</v>
      </c>
      <c r="CN2006">
        <v>0</v>
      </c>
      <c r="CO2006">
        <v>2</v>
      </c>
      <c r="CP2006">
        <v>0</v>
      </c>
      <c r="CQ2006">
        <v>7</v>
      </c>
      <c r="CR2006" t="s">
        <v>116</v>
      </c>
      <c r="CS2006">
        <v>39</v>
      </c>
      <c r="CT2006">
        <v>2</v>
      </c>
      <c r="CU2006" t="s">
        <v>2259</v>
      </c>
      <c r="CV2006" t="s">
        <v>2260</v>
      </c>
      <c r="CY2006">
        <v>16501342</v>
      </c>
      <c r="CZ2006" t="s">
        <v>119</v>
      </c>
    </row>
    <row r="2007" spans="1:104" x14ac:dyDescent="0.25">
      <c r="A2007" t="str">
        <f>"14:23:48.344"</f>
        <v>14:23:48.344</v>
      </c>
      <c r="B2007" t="s">
        <v>108</v>
      </c>
      <c r="C2007" t="str">
        <f t="shared" si="94"/>
        <v>ffdfd3c0</v>
      </c>
      <c r="D2007" t="s">
        <v>109</v>
      </c>
      <c r="E2007">
        <v>4</v>
      </c>
      <c r="F2007">
        <v>1004</v>
      </c>
      <c r="G2007" t="s">
        <v>110</v>
      </c>
      <c r="J2007" t="s">
        <v>111</v>
      </c>
      <c r="K2007">
        <v>0</v>
      </c>
      <c r="L2007">
        <v>3</v>
      </c>
      <c r="M2007">
        <v>0</v>
      </c>
      <c r="N2007">
        <v>2</v>
      </c>
      <c r="O2007">
        <v>1</v>
      </c>
      <c r="P2007">
        <v>0</v>
      </c>
      <c r="Q2007">
        <v>0</v>
      </c>
      <c r="R2007" t="s">
        <v>112</v>
      </c>
      <c r="S2007" t="str">
        <f>"14:23:48.164"</f>
        <v>14:23:48.164</v>
      </c>
      <c r="T2007" t="str">
        <f>"14:23:47.766"</f>
        <v>14:23:47.766</v>
      </c>
      <c r="U2007" t="str">
        <f t="shared" si="93"/>
        <v>ad5732</v>
      </c>
      <c r="V2007">
        <v>0</v>
      </c>
      <c r="W2007">
        <v>0</v>
      </c>
      <c r="X2007">
        <v>1</v>
      </c>
      <c r="Z2007">
        <v>0</v>
      </c>
      <c r="AA2007">
        <v>9</v>
      </c>
      <c r="AB2007">
        <v>3</v>
      </c>
      <c r="AC2007">
        <v>0</v>
      </c>
      <c r="AD2007">
        <v>10</v>
      </c>
      <c r="AE2007">
        <v>0</v>
      </c>
      <c r="AF2007">
        <v>3</v>
      </c>
      <c r="AG2007">
        <v>2</v>
      </c>
      <c r="AH2007">
        <v>0</v>
      </c>
      <c r="AI2007" t="s">
        <v>4119</v>
      </c>
      <c r="AJ2007">
        <v>39.839987999999998</v>
      </c>
      <c r="AK2007" t="s">
        <v>4120</v>
      </c>
      <c r="AL2007">
        <v>-75.864050000000006</v>
      </c>
      <c r="AM2007">
        <v>100</v>
      </c>
      <c r="AN2007">
        <v>4700</v>
      </c>
      <c r="AO2007" t="s">
        <v>115</v>
      </c>
      <c r="AP2007">
        <v>161</v>
      </c>
      <c r="AQ2007">
        <v>83</v>
      </c>
      <c r="AR2007">
        <v>0</v>
      </c>
      <c r="AZ2007">
        <v>3614</v>
      </c>
      <c r="BA2007">
        <v>1</v>
      </c>
      <c r="BB2007" t="str">
        <f t="shared" si="95"/>
        <v xml:space="preserve">N959MJ  </v>
      </c>
      <c r="BC2007">
        <v>1</v>
      </c>
      <c r="BE2007">
        <v>0</v>
      </c>
      <c r="BF2007">
        <v>0</v>
      </c>
      <c r="BG2007">
        <v>0</v>
      </c>
      <c r="BH2007">
        <v>4900</v>
      </c>
      <c r="BI2007">
        <v>200</v>
      </c>
      <c r="BJ2007">
        <v>1</v>
      </c>
      <c r="BK2007">
        <v>1</v>
      </c>
      <c r="BL2007">
        <v>1</v>
      </c>
      <c r="BM2007">
        <v>0</v>
      </c>
      <c r="BP2007">
        <v>0</v>
      </c>
      <c r="BQ2007">
        <v>0</v>
      </c>
      <c r="BX2007" t="str">
        <f>"14:23:48.172"</f>
        <v>14:23:48.172</v>
      </c>
      <c r="BY2007" t="str">
        <f>"171090307"</f>
        <v>171090307</v>
      </c>
      <c r="CL2007">
        <v>0</v>
      </c>
      <c r="CM2007">
        <v>2</v>
      </c>
      <c r="CN2007">
        <v>0</v>
      </c>
      <c r="CO2007">
        <v>2</v>
      </c>
      <c r="CP2007">
        <v>0</v>
      </c>
      <c r="CQ2007">
        <v>5</v>
      </c>
      <c r="CR2007" t="s">
        <v>116</v>
      </c>
      <c r="CS2007">
        <v>396</v>
      </c>
      <c r="CT2007">
        <v>1</v>
      </c>
      <c r="CU2007" t="s">
        <v>939</v>
      </c>
      <c r="CV2007" t="s">
        <v>940</v>
      </c>
      <c r="CY2007">
        <v>9885768</v>
      </c>
      <c r="CZ2007" t="s">
        <v>119</v>
      </c>
    </row>
    <row r="2008" spans="1:104" x14ac:dyDescent="0.25">
      <c r="A2008" t="str">
        <f>"14:23:49.297"</f>
        <v>14:23:49.297</v>
      </c>
      <c r="B2008" t="s">
        <v>108</v>
      </c>
      <c r="C2008" t="str">
        <f t="shared" si="94"/>
        <v>ffdfd3c0</v>
      </c>
      <c r="D2008" t="s">
        <v>109</v>
      </c>
      <c r="E2008">
        <v>4</v>
      </c>
      <c r="F2008">
        <v>1004</v>
      </c>
      <c r="G2008" t="s">
        <v>110</v>
      </c>
      <c r="J2008" t="s">
        <v>111</v>
      </c>
      <c r="K2008">
        <v>0</v>
      </c>
      <c r="L2008">
        <v>3</v>
      </c>
      <c r="M2008">
        <v>0</v>
      </c>
      <c r="N2008">
        <v>2</v>
      </c>
      <c r="O2008">
        <v>1</v>
      </c>
      <c r="P2008">
        <v>0</v>
      </c>
      <c r="Q2008">
        <v>0</v>
      </c>
      <c r="R2008" t="s">
        <v>112</v>
      </c>
      <c r="S2008" t="str">
        <f>"14:23:49.125"</f>
        <v>14:23:49.125</v>
      </c>
      <c r="T2008" t="str">
        <f>"14:23:48.625"</f>
        <v>14:23:48.625</v>
      </c>
      <c r="U2008" t="str">
        <f t="shared" si="93"/>
        <v>ad5732</v>
      </c>
      <c r="V2008">
        <v>0</v>
      </c>
      <c r="W2008">
        <v>0</v>
      </c>
      <c r="X2008">
        <v>1</v>
      </c>
      <c r="Z2008">
        <v>0</v>
      </c>
      <c r="AA2008">
        <v>9</v>
      </c>
      <c r="AB2008">
        <v>3</v>
      </c>
      <c r="AC2008">
        <v>0</v>
      </c>
      <c r="AD2008">
        <v>10</v>
      </c>
      <c r="AE2008">
        <v>0</v>
      </c>
      <c r="AF2008">
        <v>3</v>
      </c>
      <c r="AG2008">
        <v>2</v>
      </c>
      <c r="AH2008">
        <v>0</v>
      </c>
      <c r="AI2008" t="s">
        <v>4121</v>
      </c>
      <c r="AJ2008">
        <v>39.840417000000002</v>
      </c>
      <c r="AK2008" t="s">
        <v>4122</v>
      </c>
      <c r="AL2008">
        <v>-75.863106000000002</v>
      </c>
      <c r="AM2008">
        <v>100</v>
      </c>
      <c r="AN2008">
        <v>4700</v>
      </c>
      <c r="AO2008" t="s">
        <v>115</v>
      </c>
      <c r="AP2008">
        <v>161</v>
      </c>
      <c r="AQ2008">
        <v>83</v>
      </c>
      <c r="AR2008">
        <v>0</v>
      </c>
      <c r="AZ2008">
        <v>3614</v>
      </c>
      <c r="BA2008">
        <v>1</v>
      </c>
      <c r="BB2008" t="str">
        <f t="shared" si="95"/>
        <v xml:space="preserve">N959MJ  </v>
      </c>
      <c r="BC2008">
        <v>1</v>
      </c>
      <c r="BE2008">
        <v>0</v>
      </c>
      <c r="BF2008">
        <v>0</v>
      </c>
      <c r="BG2008">
        <v>0</v>
      </c>
      <c r="BH2008">
        <v>4900</v>
      </c>
      <c r="BI2008">
        <v>200</v>
      </c>
      <c r="BJ2008">
        <v>1</v>
      </c>
      <c r="BK2008">
        <v>1</v>
      </c>
      <c r="BL2008">
        <v>1</v>
      </c>
      <c r="BM2008">
        <v>0</v>
      </c>
      <c r="BP2008">
        <v>0</v>
      </c>
      <c r="BQ2008">
        <v>0</v>
      </c>
      <c r="BX2008" t="str">
        <f>"14:23:49.133"</f>
        <v>14:23:49.133</v>
      </c>
      <c r="BY2008" t="str">
        <f>"129449994"</f>
        <v>129449994</v>
      </c>
      <c r="CL2008">
        <v>0</v>
      </c>
      <c r="CM2008">
        <v>2</v>
      </c>
      <c r="CN2008">
        <v>0</v>
      </c>
      <c r="CO2008">
        <v>2</v>
      </c>
      <c r="CP2008">
        <v>0</v>
      </c>
      <c r="CQ2008">
        <v>7</v>
      </c>
      <c r="CR2008" t="s">
        <v>116</v>
      </c>
      <c r="CS2008">
        <v>39</v>
      </c>
      <c r="CT2008">
        <v>2</v>
      </c>
      <c r="CU2008" t="s">
        <v>2259</v>
      </c>
      <c r="CV2008" t="s">
        <v>2260</v>
      </c>
      <c r="CY2008">
        <v>16504570</v>
      </c>
      <c r="CZ2008" t="s">
        <v>119</v>
      </c>
    </row>
    <row r="2009" spans="1:104" x14ac:dyDescent="0.25">
      <c r="A2009" t="str">
        <f>"14:23:50.313"</f>
        <v>14:23:50.313</v>
      </c>
      <c r="B2009" t="s">
        <v>108</v>
      </c>
      <c r="C2009" t="str">
        <f t="shared" si="94"/>
        <v>ffdfd3c0</v>
      </c>
      <c r="D2009" t="s">
        <v>109</v>
      </c>
      <c r="E2009">
        <v>4</v>
      </c>
      <c r="F2009">
        <v>1004</v>
      </c>
      <c r="G2009" t="s">
        <v>110</v>
      </c>
      <c r="J2009" t="s">
        <v>111</v>
      </c>
      <c r="K2009">
        <v>0</v>
      </c>
      <c r="L2009">
        <v>3</v>
      </c>
      <c r="M2009">
        <v>0</v>
      </c>
      <c r="N2009">
        <v>2</v>
      </c>
      <c r="O2009">
        <v>1</v>
      </c>
      <c r="P2009">
        <v>0</v>
      </c>
      <c r="Q2009">
        <v>0</v>
      </c>
      <c r="R2009" t="s">
        <v>112</v>
      </c>
      <c r="S2009" t="str">
        <f>"14:23:50.086"</f>
        <v>14:23:50.086</v>
      </c>
      <c r="T2009" t="str">
        <f>"14:23:49.586"</f>
        <v>14:23:49.586</v>
      </c>
      <c r="U2009" t="str">
        <f t="shared" si="93"/>
        <v>ad5732</v>
      </c>
      <c r="V2009">
        <v>0</v>
      </c>
      <c r="W2009">
        <v>0</v>
      </c>
      <c r="X2009">
        <v>1</v>
      </c>
      <c r="Z2009">
        <v>0</v>
      </c>
      <c r="AA2009">
        <v>9</v>
      </c>
      <c r="AB2009">
        <v>3</v>
      </c>
      <c r="AC2009">
        <v>0</v>
      </c>
      <c r="AD2009">
        <v>10</v>
      </c>
      <c r="AE2009">
        <v>0</v>
      </c>
      <c r="AF2009">
        <v>3</v>
      </c>
      <c r="AG2009">
        <v>2</v>
      </c>
      <c r="AH2009">
        <v>0</v>
      </c>
      <c r="AI2009" t="s">
        <v>4123</v>
      </c>
      <c r="AJ2009">
        <v>39.840760000000003</v>
      </c>
      <c r="AK2009" t="s">
        <v>4124</v>
      </c>
      <c r="AL2009">
        <v>-75.862247999999994</v>
      </c>
      <c r="AM2009">
        <v>100</v>
      </c>
      <c r="AN2009">
        <v>4700</v>
      </c>
      <c r="AO2009" t="s">
        <v>115</v>
      </c>
      <c r="AP2009">
        <v>161</v>
      </c>
      <c r="AQ2009">
        <v>83</v>
      </c>
      <c r="AR2009">
        <v>0</v>
      </c>
      <c r="AZ2009">
        <v>3614</v>
      </c>
      <c r="BA2009">
        <v>1</v>
      </c>
      <c r="BB2009" t="str">
        <f t="shared" si="95"/>
        <v xml:space="preserve">N959MJ  </v>
      </c>
      <c r="BC2009">
        <v>1</v>
      </c>
      <c r="BE2009">
        <v>0</v>
      </c>
      <c r="BF2009">
        <v>0</v>
      </c>
      <c r="BG2009">
        <v>0</v>
      </c>
      <c r="BH2009">
        <v>4900</v>
      </c>
      <c r="BI2009">
        <v>200</v>
      </c>
      <c r="BJ2009">
        <v>1</v>
      </c>
      <c r="BK2009">
        <v>1</v>
      </c>
      <c r="BL2009">
        <v>1</v>
      </c>
      <c r="BM2009">
        <v>0</v>
      </c>
      <c r="BP2009">
        <v>0</v>
      </c>
      <c r="BQ2009">
        <v>0</v>
      </c>
      <c r="BX2009" t="str">
        <f>"14:23:50.094"</f>
        <v>14:23:50.094</v>
      </c>
      <c r="BY2009" t="str">
        <f>"091206912"</f>
        <v>091206912</v>
      </c>
      <c r="CL2009">
        <v>0</v>
      </c>
      <c r="CM2009">
        <v>2</v>
      </c>
      <c r="CN2009">
        <v>0</v>
      </c>
      <c r="CO2009">
        <v>2</v>
      </c>
      <c r="CP2009">
        <v>0</v>
      </c>
      <c r="CQ2009">
        <v>7</v>
      </c>
      <c r="CR2009" t="s">
        <v>116</v>
      </c>
      <c r="CS2009">
        <v>39</v>
      </c>
      <c r="CT2009">
        <v>2</v>
      </c>
      <c r="CU2009" t="s">
        <v>2259</v>
      </c>
      <c r="CV2009" t="s">
        <v>2260</v>
      </c>
      <c r="CY2009">
        <v>16506076</v>
      </c>
      <c r="CZ2009" t="s">
        <v>119</v>
      </c>
    </row>
    <row r="2010" spans="1:104" x14ac:dyDescent="0.25">
      <c r="A2010" t="str">
        <f>"14:23:51.375"</f>
        <v>14:23:51.375</v>
      </c>
      <c r="B2010" t="s">
        <v>108</v>
      </c>
      <c r="C2010" t="str">
        <f t="shared" si="94"/>
        <v>ffdfd3c0</v>
      </c>
      <c r="D2010" t="s">
        <v>109</v>
      </c>
      <c r="E2010">
        <v>4</v>
      </c>
      <c r="F2010">
        <v>1004</v>
      </c>
      <c r="G2010" t="s">
        <v>110</v>
      </c>
      <c r="J2010" t="s">
        <v>111</v>
      </c>
      <c r="K2010">
        <v>0</v>
      </c>
      <c r="L2010">
        <v>3</v>
      </c>
      <c r="M2010">
        <v>0</v>
      </c>
      <c r="N2010">
        <v>2</v>
      </c>
      <c r="O2010">
        <v>1</v>
      </c>
      <c r="P2010">
        <v>0</v>
      </c>
      <c r="Q2010">
        <v>0</v>
      </c>
      <c r="R2010" t="s">
        <v>112</v>
      </c>
      <c r="S2010" t="str">
        <f>"14:23:51.203"</f>
        <v>14:23:51.203</v>
      </c>
      <c r="T2010" t="str">
        <f>"14:23:50.703"</f>
        <v>14:23:50.703</v>
      </c>
      <c r="U2010" t="str">
        <f t="shared" si="93"/>
        <v>ad5732</v>
      </c>
      <c r="V2010">
        <v>0</v>
      </c>
      <c r="W2010">
        <v>0</v>
      </c>
      <c r="X2010">
        <v>1</v>
      </c>
      <c r="Z2010">
        <v>0</v>
      </c>
      <c r="AA2010">
        <v>9</v>
      </c>
      <c r="AB2010">
        <v>3</v>
      </c>
      <c r="AC2010">
        <v>0</v>
      </c>
      <c r="AD2010">
        <v>10</v>
      </c>
      <c r="AE2010">
        <v>0</v>
      </c>
      <c r="AF2010">
        <v>3</v>
      </c>
      <c r="AG2010">
        <v>2</v>
      </c>
      <c r="AH2010">
        <v>0</v>
      </c>
      <c r="AI2010" t="s">
        <v>4125</v>
      </c>
      <c r="AJ2010">
        <v>39.841211000000001</v>
      </c>
      <c r="AK2010" t="s">
        <v>4126</v>
      </c>
      <c r="AL2010">
        <v>-75.861024999999998</v>
      </c>
      <c r="AM2010">
        <v>100</v>
      </c>
      <c r="AN2010">
        <v>4700</v>
      </c>
      <c r="AO2010" t="s">
        <v>115</v>
      </c>
      <c r="AP2010">
        <v>161</v>
      </c>
      <c r="AQ2010">
        <v>83</v>
      </c>
      <c r="AR2010">
        <v>0</v>
      </c>
      <c r="AZ2010">
        <v>3614</v>
      </c>
      <c r="BA2010">
        <v>1</v>
      </c>
      <c r="BB2010" t="str">
        <f t="shared" si="95"/>
        <v xml:space="preserve">N959MJ  </v>
      </c>
      <c r="BC2010">
        <v>1</v>
      </c>
      <c r="BE2010">
        <v>0</v>
      </c>
      <c r="BF2010">
        <v>0</v>
      </c>
      <c r="BG2010">
        <v>0</v>
      </c>
      <c r="BH2010">
        <v>4900</v>
      </c>
      <c r="BI2010">
        <v>200</v>
      </c>
      <c r="BJ2010">
        <v>1</v>
      </c>
      <c r="BK2010">
        <v>1</v>
      </c>
      <c r="BL2010">
        <v>1</v>
      </c>
      <c r="BM2010">
        <v>0</v>
      </c>
      <c r="BP2010">
        <v>0</v>
      </c>
      <c r="BQ2010">
        <v>0</v>
      </c>
      <c r="BX2010" t="str">
        <f>"14:23:51.203"</f>
        <v>14:23:51.203</v>
      </c>
      <c r="BY2010" t="str">
        <f>"205337591"</f>
        <v>205337591</v>
      </c>
      <c r="CL2010">
        <v>0</v>
      </c>
      <c r="CM2010">
        <v>2</v>
      </c>
      <c r="CN2010">
        <v>0</v>
      </c>
      <c r="CO2010">
        <v>2</v>
      </c>
      <c r="CP2010">
        <v>0</v>
      </c>
      <c r="CQ2010">
        <v>7</v>
      </c>
      <c r="CR2010" t="s">
        <v>116</v>
      </c>
      <c r="CS2010">
        <v>39</v>
      </c>
      <c r="CT2010">
        <v>2</v>
      </c>
      <c r="CU2010" t="s">
        <v>2259</v>
      </c>
      <c r="CV2010" t="s">
        <v>2260</v>
      </c>
      <c r="CY2010">
        <v>16507769</v>
      </c>
      <c r="CZ2010" t="s">
        <v>119</v>
      </c>
    </row>
    <row r="2011" spans="1:104" x14ac:dyDescent="0.25">
      <c r="A2011" t="str">
        <f>"14:23:52.477"</f>
        <v>14:23:52.477</v>
      </c>
      <c r="B2011" t="s">
        <v>108</v>
      </c>
      <c r="C2011" t="str">
        <f t="shared" si="94"/>
        <v>ffdfd3c0</v>
      </c>
      <c r="D2011" t="s">
        <v>109</v>
      </c>
      <c r="E2011">
        <v>4</v>
      </c>
      <c r="F2011">
        <v>1004</v>
      </c>
      <c r="G2011" t="s">
        <v>110</v>
      </c>
      <c r="J2011" t="s">
        <v>111</v>
      </c>
      <c r="K2011">
        <v>0</v>
      </c>
      <c r="L2011">
        <v>3</v>
      </c>
      <c r="M2011">
        <v>0</v>
      </c>
      <c r="N2011">
        <v>2</v>
      </c>
      <c r="O2011">
        <v>1</v>
      </c>
      <c r="P2011">
        <v>0</v>
      </c>
      <c r="Q2011">
        <v>0</v>
      </c>
      <c r="R2011" t="s">
        <v>112</v>
      </c>
      <c r="S2011" t="str">
        <f>"14:23:52.320"</f>
        <v>14:23:52.320</v>
      </c>
      <c r="T2011" t="str">
        <f>"14:23:51.820"</f>
        <v>14:23:51.820</v>
      </c>
      <c r="U2011" t="str">
        <f t="shared" si="93"/>
        <v>ad5732</v>
      </c>
      <c r="V2011">
        <v>0</v>
      </c>
      <c r="W2011">
        <v>0</v>
      </c>
      <c r="X2011">
        <v>1</v>
      </c>
      <c r="Z2011">
        <v>0</v>
      </c>
      <c r="AA2011">
        <v>9</v>
      </c>
      <c r="AB2011">
        <v>3</v>
      </c>
      <c r="AC2011">
        <v>0</v>
      </c>
      <c r="AD2011">
        <v>10</v>
      </c>
      <c r="AE2011">
        <v>0</v>
      </c>
      <c r="AF2011">
        <v>3</v>
      </c>
      <c r="AG2011">
        <v>2</v>
      </c>
      <c r="AH2011">
        <v>0</v>
      </c>
      <c r="AI2011" t="s">
        <v>4127</v>
      </c>
      <c r="AJ2011">
        <v>39.841639999999998</v>
      </c>
      <c r="AK2011" t="s">
        <v>4128</v>
      </c>
      <c r="AL2011">
        <v>-75.859994999999998</v>
      </c>
      <c r="AM2011">
        <v>100</v>
      </c>
      <c r="AN2011">
        <v>4700</v>
      </c>
      <c r="AO2011" t="s">
        <v>115</v>
      </c>
      <c r="AP2011">
        <v>161</v>
      </c>
      <c r="AQ2011">
        <v>83</v>
      </c>
      <c r="AR2011">
        <v>0</v>
      </c>
      <c r="AZ2011">
        <v>3614</v>
      </c>
      <c r="BA2011">
        <v>1</v>
      </c>
      <c r="BB2011" t="str">
        <f t="shared" si="95"/>
        <v xml:space="preserve">N959MJ  </v>
      </c>
      <c r="BC2011">
        <v>1</v>
      </c>
      <c r="BE2011">
        <v>0</v>
      </c>
      <c r="BF2011">
        <v>0</v>
      </c>
      <c r="BG2011">
        <v>0</v>
      </c>
      <c r="BH2011">
        <v>4900</v>
      </c>
      <c r="BI2011">
        <v>200</v>
      </c>
      <c r="BJ2011">
        <v>1</v>
      </c>
      <c r="BK2011">
        <v>1</v>
      </c>
      <c r="BL2011">
        <v>1</v>
      </c>
      <c r="BM2011">
        <v>0</v>
      </c>
      <c r="BP2011">
        <v>0</v>
      </c>
      <c r="BQ2011">
        <v>0</v>
      </c>
      <c r="BX2011" t="str">
        <f>"14:23:52.320"</f>
        <v>14:23:52.320</v>
      </c>
      <c r="BY2011" t="str">
        <f>"322745115"</f>
        <v>322745115</v>
      </c>
      <c r="CL2011">
        <v>0</v>
      </c>
      <c r="CM2011">
        <v>2</v>
      </c>
      <c r="CN2011">
        <v>0</v>
      </c>
      <c r="CO2011">
        <v>2</v>
      </c>
      <c r="CP2011">
        <v>0</v>
      </c>
      <c r="CQ2011">
        <v>7</v>
      </c>
      <c r="CR2011" t="s">
        <v>116</v>
      </c>
      <c r="CS2011">
        <v>39</v>
      </c>
      <c r="CT2011">
        <v>2</v>
      </c>
      <c r="CU2011" t="s">
        <v>2259</v>
      </c>
      <c r="CV2011" t="s">
        <v>2260</v>
      </c>
      <c r="CY2011">
        <v>16509625</v>
      </c>
      <c r="CZ2011" t="s">
        <v>119</v>
      </c>
    </row>
    <row r="2012" spans="1:104" x14ac:dyDescent="0.25">
      <c r="A2012" t="str">
        <f>"14:23:53.695"</f>
        <v>14:23:53.695</v>
      </c>
      <c r="B2012" t="s">
        <v>108</v>
      </c>
      <c r="C2012" t="str">
        <f t="shared" si="94"/>
        <v>ffdfd3c0</v>
      </c>
      <c r="D2012" t="s">
        <v>109</v>
      </c>
      <c r="E2012">
        <v>4</v>
      </c>
      <c r="F2012">
        <v>1004</v>
      </c>
      <c r="G2012" t="s">
        <v>110</v>
      </c>
      <c r="J2012" t="s">
        <v>111</v>
      </c>
      <c r="K2012">
        <v>0</v>
      </c>
      <c r="L2012">
        <v>3</v>
      </c>
      <c r="M2012">
        <v>0</v>
      </c>
      <c r="N2012">
        <v>2</v>
      </c>
      <c r="O2012">
        <v>1</v>
      </c>
      <c r="P2012">
        <v>0</v>
      </c>
      <c r="Q2012">
        <v>0</v>
      </c>
      <c r="R2012" t="s">
        <v>112</v>
      </c>
      <c r="S2012" t="str">
        <f>"14:23:53.484"</f>
        <v>14:23:53.484</v>
      </c>
      <c r="T2012" t="str">
        <f>"14:23:52.984"</f>
        <v>14:23:52.984</v>
      </c>
      <c r="U2012" t="str">
        <f t="shared" si="93"/>
        <v>ad5732</v>
      </c>
      <c r="V2012">
        <v>0</v>
      </c>
      <c r="W2012">
        <v>0</v>
      </c>
      <c r="X2012">
        <v>1</v>
      </c>
      <c r="Z2012">
        <v>0</v>
      </c>
      <c r="AA2012">
        <v>9</v>
      </c>
      <c r="AB2012">
        <v>3</v>
      </c>
      <c r="AC2012">
        <v>0</v>
      </c>
      <c r="AD2012">
        <v>10</v>
      </c>
      <c r="AE2012">
        <v>0</v>
      </c>
      <c r="AF2012">
        <v>3</v>
      </c>
      <c r="AG2012">
        <v>2</v>
      </c>
      <c r="AH2012">
        <v>0</v>
      </c>
      <c r="AI2012" t="s">
        <v>4129</v>
      </c>
      <c r="AJ2012">
        <v>39.842069000000002</v>
      </c>
      <c r="AK2012" t="s">
        <v>4130</v>
      </c>
      <c r="AL2012">
        <v>-75.858942999999996</v>
      </c>
      <c r="AM2012">
        <v>100</v>
      </c>
      <c r="AN2012">
        <v>4700</v>
      </c>
      <c r="AO2012" t="s">
        <v>115</v>
      </c>
      <c r="AP2012">
        <v>161</v>
      </c>
      <c r="AQ2012">
        <v>83</v>
      </c>
      <c r="AR2012">
        <v>0</v>
      </c>
      <c r="AZ2012">
        <v>3614</v>
      </c>
      <c r="BA2012">
        <v>1</v>
      </c>
      <c r="BB2012" t="str">
        <f t="shared" si="95"/>
        <v xml:space="preserve">N959MJ  </v>
      </c>
      <c r="BC2012">
        <v>1</v>
      </c>
      <c r="BE2012">
        <v>0</v>
      </c>
      <c r="BF2012">
        <v>0</v>
      </c>
      <c r="BG2012">
        <v>0</v>
      </c>
      <c r="BH2012">
        <v>4900</v>
      </c>
      <c r="BI2012">
        <v>200</v>
      </c>
      <c r="BJ2012">
        <v>1</v>
      </c>
      <c r="BK2012">
        <v>1</v>
      </c>
      <c r="BL2012">
        <v>1</v>
      </c>
      <c r="BM2012">
        <v>0</v>
      </c>
      <c r="BP2012">
        <v>0</v>
      </c>
      <c r="BQ2012">
        <v>0</v>
      </c>
      <c r="BX2012" t="str">
        <f>"14:23:53.484"</f>
        <v>14:23:53.484</v>
      </c>
      <c r="BY2012" t="str">
        <f>"487667043"</f>
        <v>487667043</v>
      </c>
      <c r="CL2012">
        <v>0</v>
      </c>
      <c r="CM2012">
        <v>2</v>
      </c>
      <c r="CN2012">
        <v>0</v>
      </c>
      <c r="CO2012">
        <v>2</v>
      </c>
      <c r="CP2012">
        <v>0</v>
      </c>
      <c r="CQ2012">
        <v>7</v>
      </c>
      <c r="CR2012" t="s">
        <v>116</v>
      </c>
      <c r="CS2012">
        <v>39</v>
      </c>
      <c r="CT2012">
        <v>2</v>
      </c>
      <c r="CU2012" t="s">
        <v>2259</v>
      </c>
      <c r="CV2012" t="s">
        <v>2260</v>
      </c>
      <c r="CY2012">
        <v>16511499</v>
      </c>
      <c r="CZ2012" t="s">
        <v>119</v>
      </c>
    </row>
    <row r="2013" spans="1:104" x14ac:dyDescent="0.25">
      <c r="A2013" t="str">
        <f>"14:23:54.602"</f>
        <v>14:23:54.602</v>
      </c>
      <c r="B2013" t="s">
        <v>108</v>
      </c>
      <c r="C2013" t="str">
        <f t="shared" si="94"/>
        <v>ffdfd3c0</v>
      </c>
      <c r="D2013" t="s">
        <v>109</v>
      </c>
      <c r="E2013">
        <v>4</v>
      </c>
      <c r="F2013">
        <v>1004</v>
      </c>
      <c r="G2013" t="s">
        <v>110</v>
      </c>
      <c r="J2013" t="s">
        <v>111</v>
      </c>
      <c r="K2013">
        <v>0</v>
      </c>
      <c r="L2013">
        <v>3</v>
      </c>
      <c r="M2013">
        <v>0</v>
      </c>
      <c r="N2013">
        <v>2</v>
      </c>
      <c r="O2013">
        <v>1</v>
      </c>
      <c r="P2013">
        <v>0</v>
      </c>
      <c r="Q2013">
        <v>0</v>
      </c>
      <c r="R2013" t="s">
        <v>112</v>
      </c>
      <c r="S2013" t="str">
        <f>"14:23:54.430"</f>
        <v>14:23:54.430</v>
      </c>
      <c r="T2013" t="str">
        <f>"14:23:53.930"</f>
        <v>14:23:53.930</v>
      </c>
      <c r="U2013" t="str">
        <f t="shared" si="93"/>
        <v>ad5732</v>
      </c>
      <c r="V2013">
        <v>0</v>
      </c>
      <c r="W2013">
        <v>0</v>
      </c>
      <c r="X2013">
        <v>1</v>
      </c>
      <c r="Z2013">
        <v>0</v>
      </c>
      <c r="AA2013">
        <v>9</v>
      </c>
      <c r="AB2013">
        <v>3</v>
      </c>
      <c r="AC2013">
        <v>0</v>
      </c>
      <c r="AD2013">
        <v>10</v>
      </c>
      <c r="AE2013">
        <v>0</v>
      </c>
      <c r="AF2013">
        <v>3</v>
      </c>
      <c r="AG2013">
        <v>2</v>
      </c>
      <c r="AH2013">
        <v>0</v>
      </c>
      <c r="AI2013" t="s">
        <v>4131</v>
      </c>
      <c r="AJ2013">
        <v>39.842433999999997</v>
      </c>
      <c r="AK2013" t="s">
        <v>4132</v>
      </c>
      <c r="AL2013">
        <v>-75.857978000000003</v>
      </c>
      <c r="AM2013">
        <v>100</v>
      </c>
      <c r="AN2013">
        <v>4700</v>
      </c>
      <c r="AO2013" t="s">
        <v>115</v>
      </c>
      <c r="AP2013">
        <v>161</v>
      </c>
      <c r="AQ2013">
        <v>82</v>
      </c>
      <c r="AR2013">
        <v>0</v>
      </c>
      <c r="AZ2013">
        <v>3614</v>
      </c>
      <c r="BA2013">
        <v>1</v>
      </c>
      <c r="BB2013" t="str">
        <f t="shared" si="95"/>
        <v xml:space="preserve">N959MJ  </v>
      </c>
      <c r="BC2013">
        <v>1</v>
      </c>
      <c r="BE2013">
        <v>0</v>
      </c>
      <c r="BF2013">
        <v>0</v>
      </c>
      <c r="BG2013">
        <v>0</v>
      </c>
      <c r="BH2013">
        <v>4900</v>
      </c>
      <c r="BI2013">
        <v>200</v>
      </c>
      <c r="BJ2013">
        <v>1</v>
      </c>
      <c r="BK2013">
        <v>1</v>
      </c>
      <c r="BL2013">
        <v>1</v>
      </c>
      <c r="BM2013">
        <v>0</v>
      </c>
      <c r="BP2013">
        <v>0</v>
      </c>
      <c r="BQ2013">
        <v>0</v>
      </c>
      <c r="BX2013" t="str">
        <f>"14:23:54.430"</f>
        <v>14:23:54.430</v>
      </c>
      <c r="BY2013" t="str">
        <f>"429762888"</f>
        <v>429762888</v>
      </c>
      <c r="CL2013">
        <v>0</v>
      </c>
      <c r="CM2013">
        <v>2</v>
      </c>
      <c r="CN2013">
        <v>0</v>
      </c>
      <c r="CO2013">
        <v>2</v>
      </c>
      <c r="CP2013">
        <v>0</v>
      </c>
      <c r="CQ2013">
        <v>7</v>
      </c>
      <c r="CR2013" t="s">
        <v>116</v>
      </c>
      <c r="CS2013">
        <v>39</v>
      </c>
      <c r="CT2013">
        <v>2</v>
      </c>
      <c r="CU2013" t="s">
        <v>2259</v>
      </c>
      <c r="CV2013" t="s">
        <v>2260</v>
      </c>
      <c r="CY2013">
        <v>16512959</v>
      </c>
      <c r="CZ2013" t="s">
        <v>119</v>
      </c>
    </row>
    <row r="2014" spans="1:104" x14ac:dyDescent="0.25">
      <c r="A2014" t="str">
        <f>"14:23:55.711"</f>
        <v>14:23:55.711</v>
      </c>
      <c r="B2014" t="s">
        <v>108</v>
      </c>
      <c r="C2014" t="str">
        <f t="shared" si="94"/>
        <v>ffdfd3c0</v>
      </c>
      <c r="D2014" t="s">
        <v>109</v>
      </c>
      <c r="E2014">
        <v>4</v>
      </c>
      <c r="F2014">
        <v>1004</v>
      </c>
      <c r="G2014" t="s">
        <v>110</v>
      </c>
      <c r="J2014" t="s">
        <v>111</v>
      </c>
      <c r="K2014">
        <v>0</v>
      </c>
      <c r="L2014">
        <v>3</v>
      </c>
      <c r="M2014">
        <v>0</v>
      </c>
      <c r="N2014">
        <v>2</v>
      </c>
      <c r="O2014">
        <v>1</v>
      </c>
      <c r="P2014">
        <v>0</v>
      </c>
      <c r="Q2014">
        <v>0</v>
      </c>
      <c r="R2014" t="s">
        <v>112</v>
      </c>
      <c r="S2014" t="str">
        <f>"14:23:55.508"</f>
        <v>14:23:55.508</v>
      </c>
      <c r="T2014" t="str">
        <f>"14:23:55.008"</f>
        <v>14:23:55.008</v>
      </c>
      <c r="U2014" t="str">
        <f t="shared" si="93"/>
        <v>ad5732</v>
      </c>
      <c r="V2014">
        <v>0</v>
      </c>
      <c r="W2014">
        <v>0</v>
      </c>
      <c r="X2014">
        <v>1</v>
      </c>
      <c r="Z2014">
        <v>0</v>
      </c>
      <c r="AA2014">
        <v>9</v>
      </c>
      <c r="AB2014">
        <v>3</v>
      </c>
      <c r="AC2014">
        <v>0</v>
      </c>
      <c r="AD2014">
        <v>10</v>
      </c>
      <c r="AE2014">
        <v>0</v>
      </c>
      <c r="AF2014">
        <v>3</v>
      </c>
      <c r="AG2014">
        <v>2</v>
      </c>
      <c r="AH2014">
        <v>0</v>
      </c>
      <c r="AI2014" t="s">
        <v>4133</v>
      </c>
      <c r="AJ2014">
        <v>39.842841999999997</v>
      </c>
      <c r="AK2014" t="s">
        <v>4134</v>
      </c>
      <c r="AL2014">
        <v>-75.856883999999994</v>
      </c>
      <c r="AM2014">
        <v>100</v>
      </c>
      <c r="AN2014">
        <v>4700</v>
      </c>
      <c r="AO2014" t="s">
        <v>115</v>
      </c>
      <c r="AP2014">
        <v>162</v>
      </c>
      <c r="AQ2014">
        <v>82</v>
      </c>
      <c r="AR2014">
        <v>0</v>
      </c>
      <c r="AZ2014">
        <v>3614</v>
      </c>
      <c r="BA2014">
        <v>1</v>
      </c>
      <c r="BB2014" t="str">
        <f t="shared" si="95"/>
        <v xml:space="preserve">N959MJ  </v>
      </c>
      <c r="BC2014">
        <v>1</v>
      </c>
      <c r="BE2014">
        <v>0</v>
      </c>
      <c r="BF2014">
        <v>0</v>
      </c>
      <c r="BG2014">
        <v>0</v>
      </c>
      <c r="BH2014">
        <v>4900</v>
      </c>
      <c r="BI2014">
        <v>200</v>
      </c>
      <c r="BJ2014">
        <v>1</v>
      </c>
      <c r="BK2014">
        <v>1</v>
      </c>
      <c r="BL2014">
        <v>1</v>
      </c>
      <c r="BM2014">
        <v>0</v>
      </c>
      <c r="BP2014">
        <v>0</v>
      </c>
      <c r="BQ2014">
        <v>0</v>
      </c>
      <c r="BX2014" t="str">
        <f>"14:23:55.516"</f>
        <v>14:23:55.516</v>
      </c>
      <c r="BY2014" t="str">
        <f>"512763435"</f>
        <v>512763435</v>
      </c>
      <c r="CL2014">
        <v>0</v>
      </c>
      <c r="CM2014">
        <v>2</v>
      </c>
      <c r="CN2014">
        <v>0</v>
      </c>
      <c r="CO2014">
        <v>2</v>
      </c>
      <c r="CP2014">
        <v>0</v>
      </c>
      <c r="CQ2014">
        <v>7</v>
      </c>
      <c r="CR2014" t="s">
        <v>116</v>
      </c>
      <c r="CS2014">
        <v>39</v>
      </c>
      <c r="CT2014">
        <v>2</v>
      </c>
      <c r="CU2014" t="s">
        <v>2259</v>
      </c>
      <c r="CV2014" t="s">
        <v>2260</v>
      </c>
      <c r="CY2014">
        <v>16514618</v>
      </c>
      <c r="CZ2014" t="s">
        <v>119</v>
      </c>
    </row>
    <row r="2015" spans="1:104" x14ac:dyDescent="0.25">
      <c r="A2015" t="str">
        <f>"14:23:56.516"</f>
        <v>14:23:56.516</v>
      </c>
      <c r="B2015" t="s">
        <v>108</v>
      </c>
      <c r="C2015" t="str">
        <f t="shared" si="94"/>
        <v>ffdfd3c0</v>
      </c>
      <c r="D2015" t="s">
        <v>109</v>
      </c>
      <c r="E2015">
        <v>4</v>
      </c>
      <c r="F2015">
        <v>1004</v>
      </c>
      <c r="G2015" t="s">
        <v>110</v>
      </c>
      <c r="J2015" t="s">
        <v>111</v>
      </c>
      <c r="K2015">
        <v>0</v>
      </c>
      <c r="L2015">
        <v>3</v>
      </c>
      <c r="M2015">
        <v>0</v>
      </c>
      <c r="N2015">
        <v>2</v>
      </c>
      <c r="O2015">
        <v>1</v>
      </c>
      <c r="P2015">
        <v>0</v>
      </c>
      <c r="Q2015">
        <v>0</v>
      </c>
      <c r="R2015" t="s">
        <v>112</v>
      </c>
      <c r="S2015" t="str">
        <f>"14:23:56.328"</f>
        <v>14:23:56.328</v>
      </c>
      <c r="T2015" t="str">
        <f>"14:23:55.930"</f>
        <v>14:23:55.930</v>
      </c>
      <c r="U2015" t="str">
        <f t="shared" si="93"/>
        <v>ad5732</v>
      </c>
      <c r="V2015">
        <v>0</v>
      </c>
      <c r="W2015">
        <v>0</v>
      </c>
      <c r="X2015">
        <v>1</v>
      </c>
      <c r="Z2015">
        <v>0</v>
      </c>
      <c r="AA2015">
        <v>9</v>
      </c>
      <c r="AB2015">
        <v>3</v>
      </c>
      <c r="AC2015">
        <v>0</v>
      </c>
      <c r="AD2015">
        <v>10</v>
      </c>
      <c r="AE2015">
        <v>0</v>
      </c>
      <c r="AF2015">
        <v>3</v>
      </c>
      <c r="AG2015">
        <v>2</v>
      </c>
      <c r="AH2015">
        <v>0</v>
      </c>
      <c r="AI2015" t="s">
        <v>4135</v>
      </c>
      <c r="AJ2015">
        <v>39.843162999999997</v>
      </c>
      <c r="AK2015" t="s">
        <v>4136</v>
      </c>
      <c r="AL2015">
        <v>-75.856110999999999</v>
      </c>
      <c r="AM2015">
        <v>100</v>
      </c>
      <c r="AN2015">
        <v>4700</v>
      </c>
      <c r="AO2015" t="s">
        <v>115</v>
      </c>
      <c r="AP2015">
        <v>162</v>
      </c>
      <c r="AQ2015">
        <v>82</v>
      </c>
      <c r="AR2015">
        <v>0</v>
      </c>
      <c r="AZ2015">
        <v>3614</v>
      </c>
      <c r="BA2015">
        <v>1</v>
      </c>
      <c r="BB2015" t="str">
        <f t="shared" si="95"/>
        <v xml:space="preserve">N959MJ  </v>
      </c>
      <c r="BC2015">
        <v>1</v>
      </c>
      <c r="BE2015">
        <v>0</v>
      </c>
      <c r="BF2015">
        <v>0</v>
      </c>
      <c r="BG2015">
        <v>0</v>
      </c>
      <c r="BH2015">
        <v>4900</v>
      </c>
      <c r="BI2015">
        <v>200</v>
      </c>
      <c r="BJ2015">
        <v>1</v>
      </c>
      <c r="BK2015">
        <v>1</v>
      </c>
      <c r="BL2015">
        <v>1</v>
      </c>
      <c r="BM2015">
        <v>0</v>
      </c>
      <c r="BP2015">
        <v>0</v>
      </c>
      <c r="BQ2015">
        <v>0</v>
      </c>
      <c r="BX2015" t="str">
        <f>"14:23:56.336"</f>
        <v>14:23:56.336</v>
      </c>
      <c r="BY2015" t="str">
        <f>"333615604"</f>
        <v>333615604</v>
      </c>
      <c r="CL2015">
        <v>0</v>
      </c>
      <c r="CM2015">
        <v>2</v>
      </c>
      <c r="CN2015">
        <v>0</v>
      </c>
      <c r="CO2015">
        <v>2</v>
      </c>
      <c r="CP2015">
        <v>0</v>
      </c>
      <c r="CQ2015">
        <v>7</v>
      </c>
      <c r="CR2015" t="s">
        <v>116</v>
      </c>
      <c r="CS2015">
        <v>39</v>
      </c>
      <c r="CT2015">
        <v>2</v>
      </c>
      <c r="CU2015" t="s">
        <v>2259</v>
      </c>
      <c r="CV2015" t="s">
        <v>2260</v>
      </c>
      <c r="CY2015">
        <v>16515871</v>
      </c>
      <c r="CZ2015" t="s">
        <v>119</v>
      </c>
    </row>
    <row r="2016" spans="1:104" x14ac:dyDescent="0.25">
      <c r="A2016" t="str">
        <f>"14:23:57.430"</f>
        <v>14:23:57.430</v>
      </c>
      <c r="B2016" t="s">
        <v>108</v>
      </c>
      <c r="C2016" t="str">
        <f t="shared" si="94"/>
        <v>ffdfd3c0</v>
      </c>
      <c r="D2016" t="s">
        <v>109</v>
      </c>
      <c r="E2016">
        <v>4</v>
      </c>
      <c r="F2016">
        <v>1004</v>
      </c>
      <c r="G2016" t="s">
        <v>110</v>
      </c>
      <c r="J2016" t="s">
        <v>111</v>
      </c>
      <c r="K2016">
        <v>0</v>
      </c>
      <c r="L2016">
        <v>3</v>
      </c>
      <c r="M2016">
        <v>0</v>
      </c>
      <c r="N2016">
        <v>2</v>
      </c>
      <c r="O2016">
        <v>1</v>
      </c>
      <c r="P2016">
        <v>0</v>
      </c>
      <c r="Q2016">
        <v>0</v>
      </c>
      <c r="R2016" t="s">
        <v>112</v>
      </c>
      <c r="S2016" t="str">
        <f>"14:23:57.250"</f>
        <v>14:23:57.250</v>
      </c>
      <c r="T2016" t="str">
        <f>"14:23:56.352"</f>
        <v>14:23:56.352</v>
      </c>
      <c r="U2016" t="str">
        <f t="shared" si="93"/>
        <v>ad5732</v>
      </c>
      <c r="V2016">
        <v>0</v>
      </c>
      <c r="W2016">
        <v>0</v>
      </c>
      <c r="X2016">
        <v>1</v>
      </c>
      <c r="Z2016">
        <v>0</v>
      </c>
      <c r="AA2016">
        <v>9</v>
      </c>
      <c r="AB2016">
        <v>3</v>
      </c>
      <c r="AC2016">
        <v>0</v>
      </c>
      <c r="AD2016">
        <v>10</v>
      </c>
      <c r="AE2016">
        <v>0</v>
      </c>
      <c r="AF2016">
        <v>3</v>
      </c>
      <c r="AG2016">
        <v>2</v>
      </c>
      <c r="AH2016">
        <v>0</v>
      </c>
      <c r="AI2016" t="s">
        <v>4137</v>
      </c>
      <c r="AJ2016">
        <v>39.843507000000002</v>
      </c>
      <c r="AK2016" t="s">
        <v>4138</v>
      </c>
      <c r="AL2016">
        <v>-75.855231000000003</v>
      </c>
      <c r="AM2016">
        <v>100</v>
      </c>
      <c r="AN2016">
        <v>4700</v>
      </c>
      <c r="AO2016" t="s">
        <v>115</v>
      </c>
      <c r="AP2016">
        <v>162</v>
      </c>
      <c r="AQ2016">
        <v>82</v>
      </c>
      <c r="AR2016">
        <v>0</v>
      </c>
      <c r="AZ2016">
        <v>3614</v>
      </c>
      <c r="BA2016">
        <v>1</v>
      </c>
      <c r="BB2016" t="str">
        <f t="shared" si="95"/>
        <v xml:space="preserve">N959MJ  </v>
      </c>
      <c r="BC2016">
        <v>1</v>
      </c>
      <c r="BE2016">
        <v>0</v>
      </c>
      <c r="BF2016">
        <v>0</v>
      </c>
      <c r="BG2016">
        <v>0</v>
      </c>
      <c r="BH2016">
        <v>4900</v>
      </c>
      <c r="BI2016">
        <v>200</v>
      </c>
      <c r="BJ2016">
        <v>1</v>
      </c>
      <c r="BK2016">
        <v>1</v>
      </c>
      <c r="BL2016">
        <v>1</v>
      </c>
      <c r="BM2016">
        <v>0</v>
      </c>
      <c r="BP2016">
        <v>0</v>
      </c>
      <c r="BQ2016">
        <v>0</v>
      </c>
      <c r="BX2016" t="str">
        <f>"14:23:57.258"</f>
        <v>14:23:57.258</v>
      </c>
      <c r="BY2016" t="str">
        <f>"256050214"</f>
        <v>256050214</v>
      </c>
      <c r="CL2016">
        <v>0</v>
      </c>
      <c r="CM2016">
        <v>2</v>
      </c>
      <c r="CN2016">
        <v>0</v>
      </c>
      <c r="CO2016">
        <v>2</v>
      </c>
      <c r="CP2016">
        <v>0</v>
      </c>
      <c r="CQ2016">
        <v>7</v>
      </c>
      <c r="CR2016" t="s">
        <v>116</v>
      </c>
      <c r="CS2016">
        <v>39</v>
      </c>
      <c r="CT2016">
        <v>2</v>
      </c>
      <c r="CU2016" t="s">
        <v>2259</v>
      </c>
      <c r="CV2016" t="s">
        <v>2260</v>
      </c>
      <c r="CY2016">
        <v>16517465</v>
      </c>
      <c r="CZ2016" t="s">
        <v>119</v>
      </c>
    </row>
    <row r="2017" spans="1:104" x14ac:dyDescent="0.25">
      <c r="A2017" t="str">
        <f>"14:23:58.438"</f>
        <v>14:23:58.438</v>
      </c>
      <c r="B2017" t="s">
        <v>108</v>
      </c>
      <c r="C2017" t="str">
        <f t="shared" si="94"/>
        <v>ffdfd3c0</v>
      </c>
      <c r="D2017" t="s">
        <v>109</v>
      </c>
      <c r="E2017">
        <v>4</v>
      </c>
      <c r="F2017">
        <v>1004</v>
      </c>
      <c r="G2017" t="s">
        <v>110</v>
      </c>
      <c r="J2017" t="s">
        <v>111</v>
      </c>
      <c r="K2017">
        <v>0</v>
      </c>
      <c r="L2017">
        <v>3</v>
      </c>
      <c r="M2017">
        <v>0</v>
      </c>
      <c r="N2017">
        <v>2</v>
      </c>
      <c r="O2017">
        <v>1</v>
      </c>
      <c r="P2017">
        <v>0</v>
      </c>
      <c r="Q2017">
        <v>0</v>
      </c>
      <c r="R2017" t="s">
        <v>112</v>
      </c>
      <c r="S2017" t="str">
        <f>"14:23:58.281"</f>
        <v>14:23:58.281</v>
      </c>
      <c r="T2017" t="str">
        <f>"14:23:57.781"</f>
        <v>14:23:57.781</v>
      </c>
      <c r="U2017" t="str">
        <f t="shared" si="93"/>
        <v>ad5732</v>
      </c>
      <c r="V2017">
        <v>0</v>
      </c>
      <c r="W2017">
        <v>0</v>
      </c>
      <c r="X2017">
        <v>1</v>
      </c>
      <c r="Z2017">
        <v>0</v>
      </c>
      <c r="AA2017">
        <v>9</v>
      </c>
      <c r="AB2017">
        <v>3</v>
      </c>
      <c r="AC2017">
        <v>0</v>
      </c>
      <c r="AD2017">
        <v>10</v>
      </c>
      <c r="AE2017">
        <v>0</v>
      </c>
      <c r="AF2017">
        <v>3</v>
      </c>
      <c r="AG2017">
        <v>2</v>
      </c>
      <c r="AH2017">
        <v>0</v>
      </c>
      <c r="AI2017" t="s">
        <v>4139</v>
      </c>
      <c r="AJ2017">
        <v>39.843871999999998</v>
      </c>
      <c r="AK2017" t="s">
        <v>4140</v>
      </c>
      <c r="AL2017">
        <v>-75.854243999999994</v>
      </c>
      <c r="AM2017">
        <v>100</v>
      </c>
      <c r="AN2017">
        <v>4700</v>
      </c>
      <c r="AO2017" t="s">
        <v>115</v>
      </c>
      <c r="AP2017">
        <v>162</v>
      </c>
      <c r="AQ2017">
        <v>82</v>
      </c>
      <c r="AR2017">
        <v>0</v>
      </c>
      <c r="AZ2017">
        <v>3614</v>
      </c>
      <c r="BA2017">
        <v>1</v>
      </c>
      <c r="BB2017" t="str">
        <f t="shared" si="95"/>
        <v xml:space="preserve">N959MJ  </v>
      </c>
      <c r="BC2017">
        <v>1</v>
      </c>
      <c r="BE2017">
        <v>0</v>
      </c>
      <c r="BF2017">
        <v>0</v>
      </c>
      <c r="BG2017">
        <v>0</v>
      </c>
      <c r="BH2017">
        <v>4900</v>
      </c>
      <c r="BI2017">
        <v>200</v>
      </c>
      <c r="BJ2017">
        <v>1</v>
      </c>
      <c r="BK2017">
        <v>1</v>
      </c>
      <c r="BL2017">
        <v>1</v>
      </c>
      <c r="BM2017">
        <v>0</v>
      </c>
      <c r="BP2017">
        <v>0</v>
      </c>
      <c r="BQ2017">
        <v>0</v>
      </c>
      <c r="BX2017" t="str">
        <f>"14:23:58.281"</f>
        <v>14:23:58.281</v>
      </c>
      <c r="BY2017" t="str">
        <f>"284982717"</f>
        <v>284982717</v>
      </c>
      <c r="CL2017">
        <v>0</v>
      </c>
      <c r="CM2017">
        <v>2</v>
      </c>
      <c r="CN2017">
        <v>0</v>
      </c>
      <c r="CO2017">
        <v>2</v>
      </c>
      <c r="CP2017">
        <v>0</v>
      </c>
      <c r="CQ2017">
        <v>7</v>
      </c>
      <c r="CR2017" t="s">
        <v>116</v>
      </c>
      <c r="CS2017">
        <v>39</v>
      </c>
      <c r="CT2017">
        <v>2</v>
      </c>
      <c r="CU2017" t="s">
        <v>2259</v>
      </c>
      <c r="CV2017" t="s">
        <v>2260</v>
      </c>
      <c r="CY2017">
        <v>16519070</v>
      </c>
      <c r="CZ2017" t="s">
        <v>119</v>
      </c>
    </row>
    <row r="2018" spans="1:104" x14ac:dyDescent="0.25">
      <c r="A2018" t="str">
        <f>"14:23:59.547"</f>
        <v>14:23:59.547</v>
      </c>
      <c r="B2018" t="s">
        <v>108</v>
      </c>
      <c r="C2018" t="str">
        <f t="shared" si="94"/>
        <v>ffdfd3c0</v>
      </c>
      <c r="D2018" t="s">
        <v>109</v>
      </c>
      <c r="E2018">
        <v>4</v>
      </c>
      <c r="F2018">
        <v>1004</v>
      </c>
      <c r="G2018" t="s">
        <v>110</v>
      </c>
      <c r="J2018" t="s">
        <v>111</v>
      </c>
      <c r="K2018">
        <v>0</v>
      </c>
      <c r="L2018">
        <v>3</v>
      </c>
      <c r="M2018">
        <v>0</v>
      </c>
      <c r="N2018">
        <v>2</v>
      </c>
      <c r="O2018">
        <v>1</v>
      </c>
      <c r="P2018">
        <v>0</v>
      </c>
      <c r="Q2018">
        <v>0</v>
      </c>
      <c r="R2018" t="s">
        <v>112</v>
      </c>
      <c r="S2018" t="str">
        <f>"14:23:59.359"</f>
        <v>14:23:59.359</v>
      </c>
      <c r="T2018" t="str">
        <f>"14:23:58.859"</f>
        <v>14:23:58.859</v>
      </c>
      <c r="U2018" t="str">
        <f t="shared" si="93"/>
        <v>ad5732</v>
      </c>
      <c r="V2018">
        <v>0</v>
      </c>
      <c r="W2018">
        <v>0</v>
      </c>
      <c r="X2018">
        <v>1</v>
      </c>
      <c r="Z2018">
        <v>0</v>
      </c>
      <c r="AA2018">
        <v>9</v>
      </c>
      <c r="AB2018">
        <v>3</v>
      </c>
      <c r="AC2018">
        <v>0</v>
      </c>
      <c r="AD2018">
        <v>10</v>
      </c>
      <c r="AE2018">
        <v>0</v>
      </c>
      <c r="AF2018">
        <v>3</v>
      </c>
      <c r="AG2018">
        <v>2</v>
      </c>
      <c r="AH2018">
        <v>0</v>
      </c>
      <c r="AI2018" t="s">
        <v>4141</v>
      </c>
      <c r="AJ2018">
        <v>39.844301000000002</v>
      </c>
      <c r="AK2018" t="s">
        <v>4142</v>
      </c>
      <c r="AL2018">
        <v>-75.853193000000005</v>
      </c>
      <c r="AM2018">
        <v>100</v>
      </c>
      <c r="AN2018">
        <v>4700</v>
      </c>
      <c r="AO2018" t="s">
        <v>115</v>
      </c>
      <c r="AP2018">
        <v>162</v>
      </c>
      <c r="AQ2018">
        <v>82</v>
      </c>
      <c r="AR2018">
        <v>0</v>
      </c>
      <c r="AZ2018">
        <v>3614</v>
      </c>
      <c r="BA2018">
        <v>1</v>
      </c>
      <c r="BB2018" t="str">
        <f t="shared" si="95"/>
        <v xml:space="preserve">N959MJ  </v>
      </c>
      <c r="BC2018">
        <v>1</v>
      </c>
      <c r="BE2018">
        <v>0</v>
      </c>
      <c r="BF2018">
        <v>0</v>
      </c>
      <c r="BG2018">
        <v>0</v>
      </c>
      <c r="BH2018">
        <v>4900</v>
      </c>
      <c r="BI2018">
        <v>200</v>
      </c>
      <c r="BJ2018">
        <v>1</v>
      </c>
      <c r="BK2018">
        <v>1</v>
      </c>
      <c r="BL2018">
        <v>1</v>
      </c>
      <c r="BM2018">
        <v>0</v>
      </c>
      <c r="BP2018">
        <v>0</v>
      </c>
      <c r="BQ2018">
        <v>0</v>
      </c>
      <c r="BX2018" t="str">
        <f>"14:23:59.367"</f>
        <v>14:23:59.367</v>
      </c>
      <c r="BY2018" t="str">
        <f>"366344846"</f>
        <v>366344846</v>
      </c>
      <c r="CL2018">
        <v>0</v>
      </c>
      <c r="CM2018">
        <v>2</v>
      </c>
      <c r="CN2018">
        <v>0</v>
      </c>
      <c r="CO2018">
        <v>2</v>
      </c>
      <c r="CP2018">
        <v>0</v>
      </c>
      <c r="CQ2018">
        <v>7</v>
      </c>
      <c r="CR2018" t="s">
        <v>116</v>
      </c>
      <c r="CS2018">
        <v>39</v>
      </c>
      <c r="CT2018">
        <v>2</v>
      </c>
      <c r="CU2018" t="s">
        <v>2259</v>
      </c>
      <c r="CV2018" t="s">
        <v>2260</v>
      </c>
      <c r="CY2018">
        <v>16520658</v>
      </c>
      <c r="CZ2018" t="s">
        <v>119</v>
      </c>
    </row>
    <row r="2019" spans="1:104" x14ac:dyDescent="0.25">
      <c r="A2019" t="str">
        <f>"14:24:00.508"</f>
        <v>14:24:00.508</v>
      </c>
      <c r="B2019" t="s">
        <v>108</v>
      </c>
      <c r="C2019" t="str">
        <f t="shared" si="94"/>
        <v>ffdfd3c0</v>
      </c>
      <c r="D2019" t="s">
        <v>109</v>
      </c>
      <c r="E2019">
        <v>4</v>
      </c>
      <c r="F2019">
        <v>1004</v>
      </c>
      <c r="G2019" t="s">
        <v>110</v>
      </c>
      <c r="J2019" t="s">
        <v>111</v>
      </c>
      <c r="K2019">
        <v>0</v>
      </c>
      <c r="L2019">
        <v>3</v>
      </c>
      <c r="M2019">
        <v>0</v>
      </c>
      <c r="N2019">
        <v>2</v>
      </c>
      <c r="O2019">
        <v>1</v>
      </c>
      <c r="P2019">
        <v>0</v>
      </c>
      <c r="Q2019">
        <v>0</v>
      </c>
      <c r="R2019" t="s">
        <v>112</v>
      </c>
      <c r="S2019" t="str">
        <f>"14:24:00.344"</f>
        <v>14:24:00.344</v>
      </c>
      <c r="T2019" t="str">
        <f>"14:23:59.945"</f>
        <v>14:23:59.945</v>
      </c>
      <c r="U2019" t="str">
        <f t="shared" si="93"/>
        <v>ad5732</v>
      </c>
      <c r="V2019">
        <v>0</v>
      </c>
      <c r="W2019">
        <v>0</v>
      </c>
      <c r="X2019">
        <v>1</v>
      </c>
      <c r="Z2019">
        <v>0</v>
      </c>
      <c r="AA2019">
        <v>9</v>
      </c>
      <c r="AB2019">
        <v>3</v>
      </c>
      <c r="AC2019">
        <v>0</v>
      </c>
      <c r="AD2019">
        <v>10</v>
      </c>
      <c r="AE2019">
        <v>0</v>
      </c>
      <c r="AF2019">
        <v>3</v>
      </c>
      <c r="AG2019">
        <v>2</v>
      </c>
      <c r="AH2019">
        <v>0</v>
      </c>
      <c r="AI2019" t="s">
        <v>4143</v>
      </c>
      <c r="AJ2019">
        <v>39.844665999999997</v>
      </c>
      <c r="AK2019" t="s">
        <v>4144</v>
      </c>
      <c r="AL2019">
        <v>-75.852226999999999</v>
      </c>
      <c r="AM2019">
        <v>100</v>
      </c>
      <c r="AN2019">
        <v>4700</v>
      </c>
      <c r="AO2019" t="s">
        <v>115</v>
      </c>
      <c r="AP2019">
        <v>162</v>
      </c>
      <c r="AQ2019">
        <v>82</v>
      </c>
      <c r="AR2019">
        <v>0</v>
      </c>
      <c r="AZ2019">
        <v>3614</v>
      </c>
      <c r="BA2019">
        <v>1</v>
      </c>
      <c r="BB2019" t="str">
        <f t="shared" si="95"/>
        <v xml:space="preserve">N959MJ  </v>
      </c>
      <c r="BC2019">
        <v>1</v>
      </c>
      <c r="BE2019">
        <v>0</v>
      </c>
      <c r="BF2019">
        <v>0</v>
      </c>
      <c r="BG2019">
        <v>0</v>
      </c>
      <c r="BH2019">
        <v>4900</v>
      </c>
      <c r="BI2019">
        <v>200</v>
      </c>
      <c r="BJ2019">
        <v>1</v>
      </c>
      <c r="BK2019">
        <v>1</v>
      </c>
      <c r="BL2019">
        <v>1</v>
      </c>
      <c r="BM2019">
        <v>0</v>
      </c>
      <c r="BP2019">
        <v>0</v>
      </c>
      <c r="BQ2019">
        <v>0</v>
      </c>
      <c r="BX2019" t="str">
        <f>"14:24:00.344"</f>
        <v>14:24:00.344</v>
      </c>
      <c r="BY2019" t="str">
        <f>"344485998"</f>
        <v>344485998</v>
      </c>
      <c r="CL2019">
        <v>0</v>
      </c>
      <c r="CM2019">
        <v>2</v>
      </c>
      <c r="CN2019">
        <v>0</v>
      </c>
      <c r="CO2019">
        <v>2</v>
      </c>
      <c r="CP2019">
        <v>0</v>
      </c>
      <c r="CQ2019">
        <v>7</v>
      </c>
      <c r="CR2019" t="s">
        <v>116</v>
      </c>
      <c r="CS2019">
        <v>39</v>
      </c>
      <c r="CT2019">
        <v>2</v>
      </c>
      <c r="CU2019" t="s">
        <v>2259</v>
      </c>
      <c r="CV2019" t="s">
        <v>2260</v>
      </c>
      <c r="CY2019">
        <v>16522129</v>
      </c>
      <c r="CZ2019" t="s">
        <v>119</v>
      </c>
    </row>
    <row r="2020" spans="1:104" x14ac:dyDescent="0.25">
      <c r="A2020" t="str">
        <f>"14:24:01.672"</f>
        <v>14:24:01.672</v>
      </c>
      <c r="B2020" t="s">
        <v>108</v>
      </c>
      <c r="C2020" t="str">
        <f t="shared" si="94"/>
        <v>ffdfd3c0</v>
      </c>
      <c r="D2020" t="s">
        <v>109</v>
      </c>
      <c r="E2020">
        <v>4</v>
      </c>
      <c r="F2020">
        <v>1004</v>
      </c>
      <c r="G2020" t="s">
        <v>110</v>
      </c>
      <c r="J2020" t="s">
        <v>111</v>
      </c>
      <c r="K2020">
        <v>0</v>
      </c>
      <c r="L2020">
        <v>3</v>
      </c>
      <c r="M2020">
        <v>0</v>
      </c>
      <c r="N2020">
        <v>2</v>
      </c>
      <c r="O2020">
        <v>1</v>
      </c>
      <c r="P2020">
        <v>0</v>
      </c>
      <c r="Q2020">
        <v>0</v>
      </c>
      <c r="R2020" t="s">
        <v>112</v>
      </c>
      <c r="S2020" t="str">
        <f>"14:24:01.445"</f>
        <v>14:24:01.445</v>
      </c>
      <c r="T2020" t="str">
        <f>"14:24:00.945"</f>
        <v>14:24:00.945</v>
      </c>
      <c r="U2020" t="str">
        <f t="shared" si="93"/>
        <v>ad5732</v>
      </c>
      <c r="V2020">
        <v>0</v>
      </c>
      <c r="W2020">
        <v>0</v>
      </c>
      <c r="X2020">
        <v>1</v>
      </c>
      <c r="Z2020">
        <v>0</v>
      </c>
      <c r="AA2020">
        <v>9</v>
      </c>
      <c r="AB2020">
        <v>3</v>
      </c>
      <c r="AC2020">
        <v>0</v>
      </c>
      <c r="AD2020">
        <v>10</v>
      </c>
      <c r="AE2020">
        <v>0</v>
      </c>
      <c r="AF2020">
        <v>3</v>
      </c>
      <c r="AG2020">
        <v>2</v>
      </c>
      <c r="AH2020">
        <v>0</v>
      </c>
      <c r="AI2020" t="s">
        <v>4145</v>
      </c>
      <c r="AJ2020">
        <v>39.845095000000001</v>
      </c>
      <c r="AK2020" t="s">
        <v>4146</v>
      </c>
      <c r="AL2020">
        <v>-75.851133000000004</v>
      </c>
      <c r="AM2020">
        <v>100</v>
      </c>
      <c r="AN2020">
        <v>4700</v>
      </c>
      <c r="AO2020" t="s">
        <v>115</v>
      </c>
      <c r="AP2020">
        <v>162</v>
      </c>
      <c r="AQ2020">
        <v>81</v>
      </c>
      <c r="AR2020">
        <v>0</v>
      </c>
      <c r="AZ2020">
        <v>3614</v>
      </c>
      <c r="BA2020">
        <v>1</v>
      </c>
      <c r="BB2020" t="str">
        <f t="shared" si="95"/>
        <v xml:space="preserve">N959MJ  </v>
      </c>
      <c r="BC2020">
        <v>1</v>
      </c>
      <c r="BE2020">
        <v>0</v>
      </c>
      <c r="BF2020">
        <v>0</v>
      </c>
      <c r="BG2020">
        <v>0</v>
      </c>
      <c r="BH2020">
        <v>4900</v>
      </c>
      <c r="BI2020">
        <v>200</v>
      </c>
      <c r="BJ2020">
        <v>1</v>
      </c>
      <c r="BK2020">
        <v>1</v>
      </c>
      <c r="BL2020">
        <v>1</v>
      </c>
      <c r="BM2020">
        <v>0</v>
      </c>
      <c r="BP2020">
        <v>0</v>
      </c>
      <c r="BQ2020">
        <v>0</v>
      </c>
      <c r="BX2020" t="str">
        <f>"14:24:01.453"</f>
        <v>14:24:01.453</v>
      </c>
      <c r="BY2020" t="str">
        <f>"452062969"</f>
        <v>452062969</v>
      </c>
      <c r="CL2020">
        <v>0</v>
      </c>
      <c r="CM2020">
        <v>2</v>
      </c>
      <c r="CN2020">
        <v>0</v>
      </c>
      <c r="CO2020">
        <v>2</v>
      </c>
      <c r="CP2020">
        <v>0</v>
      </c>
      <c r="CQ2020">
        <v>7</v>
      </c>
      <c r="CR2020" t="s">
        <v>116</v>
      </c>
      <c r="CS2020">
        <v>39</v>
      </c>
      <c r="CT2020">
        <v>2</v>
      </c>
      <c r="CU2020" t="s">
        <v>2259</v>
      </c>
      <c r="CV2020" t="s">
        <v>2260</v>
      </c>
      <c r="CY2020">
        <v>16523885</v>
      </c>
      <c r="CZ2020" t="s">
        <v>119</v>
      </c>
    </row>
    <row r="2021" spans="1:104" x14ac:dyDescent="0.25">
      <c r="A2021" t="str">
        <f>"14:24:02.523"</f>
        <v>14:24:02.523</v>
      </c>
      <c r="B2021" t="s">
        <v>108</v>
      </c>
      <c r="C2021" t="str">
        <f t="shared" si="94"/>
        <v>ffdfd3c0</v>
      </c>
      <c r="D2021" t="s">
        <v>109</v>
      </c>
      <c r="E2021">
        <v>4</v>
      </c>
      <c r="F2021">
        <v>1004</v>
      </c>
      <c r="G2021" t="s">
        <v>110</v>
      </c>
      <c r="J2021" t="s">
        <v>111</v>
      </c>
      <c r="K2021">
        <v>0</v>
      </c>
      <c r="L2021">
        <v>3</v>
      </c>
      <c r="M2021">
        <v>0</v>
      </c>
      <c r="N2021">
        <v>2</v>
      </c>
      <c r="O2021">
        <v>1</v>
      </c>
      <c r="P2021">
        <v>0</v>
      </c>
      <c r="Q2021">
        <v>0</v>
      </c>
      <c r="R2021" t="s">
        <v>112</v>
      </c>
      <c r="S2021" t="str">
        <f>"14:24:02.352"</f>
        <v>14:24:02.352</v>
      </c>
      <c r="T2021" t="str">
        <f>"14:24:01.953"</f>
        <v>14:24:01.953</v>
      </c>
      <c r="U2021" t="str">
        <f t="shared" si="93"/>
        <v>ad5732</v>
      </c>
      <c r="V2021">
        <v>0</v>
      </c>
      <c r="W2021">
        <v>0</v>
      </c>
      <c r="X2021">
        <v>1</v>
      </c>
      <c r="Z2021">
        <v>0</v>
      </c>
      <c r="AA2021">
        <v>9</v>
      </c>
      <c r="AB2021">
        <v>3</v>
      </c>
      <c r="AC2021">
        <v>0</v>
      </c>
      <c r="AD2021">
        <v>10</v>
      </c>
      <c r="AE2021">
        <v>0</v>
      </c>
      <c r="AF2021">
        <v>3</v>
      </c>
      <c r="AG2021">
        <v>2</v>
      </c>
      <c r="AH2021">
        <v>0</v>
      </c>
      <c r="AI2021" t="s">
        <v>4147</v>
      </c>
      <c r="AJ2021">
        <v>39.845438000000001</v>
      </c>
      <c r="AK2021" t="s">
        <v>4148</v>
      </c>
      <c r="AL2021">
        <v>-75.850274999999996</v>
      </c>
      <c r="AM2021">
        <v>100</v>
      </c>
      <c r="AN2021">
        <v>4700</v>
      </c>
      <c r="AO2021" t="s">
        <v>115</v>
      </c>
      <c r="AP2021">
        <v>162</v>
      </c>
      <c r="AQ2021">
        <v>81</v>
      </c>
      <c r="AR2021">
        <v>0</v>
      </c>
      <c r="AZ2021">
        <v>3614</v>
      </c>
      <c r="BA2021">
        <v>1</v>
      </c>
      <c r="BB2021" t="str">
        <f t="shared" si="95"/>
        <v xml:space="preserve">N959MJ  </v>
      </c>
      <c r="BC2021">
        <v>1</v>
      </c>
      <c r="BE2021">
        <v>0</v>
      </c>
      <c r="BF2021">
        <v>0</v>
      </c>
      <c r="BG2021">
        <v>0</v>
      </c>
      <c r="BH2021">
        <v>4900</v>
      </c>
      <c r="BI2021">
        <v>200</v>
      </c>
      <c r="BJ2021">
        <v>1</v>
      </c>
      <c r="BK2021">
        <v>1</v>
      </c>
      <c r="BL2021">
        <v>1</v>
      </c>
      <c r="BM2021">
        <v>0</v>
      </c>
      <c r="BP2021">
        <v>0</v>
      </c>
      <c r="BQ2021">
        <v>0</v>
      </c>
      <c r="BX2021" t="str">
        <f>"14:24:02.352"</f>
        <v>14:24:02.352</v>
      </c>
      <c r="BY2021" t="str">
        <f>"353198077"</f>
        <v>353198077</v>
      </c>
      <c r="CL2021">
        <v>0</v>
      </c>
      <c r="CM2021">
        <v>2</v>
      </c>
      <c r="CN2021">
        <v>0</v>
      </c>
      <c r="CO2021">
        <v>2</v>
      </c>
      <c r="CP2021">
        <v>0</v>
      </c>
      <c r="CQ2021">
        <v>7</v>
      </c>
      <c r="CR2021" t="s">
        <v>116</v>
      </c>
      <c r="CS2021">
        <v>39</v>
      </c>
      <c r="CT2021">
        <v>2</v>
      </c>
      <c r="CU2021" t="s">
        <v>2259</v>
      </c>
      <c r="CV2021" t="s">
        <v>2260</v>
      </c>
      <c r="CY2021">
        <v>16525331</v>
      </c>
      <c r="CZ2021" t="s">
        <v>119</v>
      </c>
    </row>
    <row r="2022" spans="1:104" x14ac:dyDescent="0.25">
      <c r="A2022" t="str">
        <f>"14:24:03.539"</f>
        <v>14:24:03.539</v>
      </c>
      <c r="B2022" t="s">
        <v>108</v>
      </c>
      <c r="C2022" t="str">
        <f t="shared" si="94"/>
        <v>ffdfd3c0</v>
      </c>
      <c r="D2022" t="s">
        <v>109</v>
      </c>
      <c r="E2022">
        <v>4</v>
      </c>
      <c r="F2022">
        <v>1004</v>
      </c>
      <c r="G2022" t="s">
        <v>110</v>
      </c>
      <c r="J2022" t="s">
        <v>111</v>
      </c>
      <c r="K2022">
        <v>0</v>
      </c>
      <c r="L2022">
        <v>3</v>
      </c>
      <c r="M2022">
        <v>0</v>
      </c>
      <c r="N2022">
        <v>2</v>
      </c>
      <c r="O2022">
        <v>1</v>
      </c>
      <c r="P2022">
        <v>0</v>
      </c>
      <c r="Q2022">
        <v>0</v>
      </c>
      <c r="R2022" t="s">
        <v>112</v>
      </c>
      <c r="S2022" t="str">
        <f>"14:24:03.352"</f>
        <v>14:24:03.352</v>
      </c>
      <c r="T2022" t="str">
        <f>"14:24:02.953"</f>
        <v>14:24:02.953</v>
      </c>
      <c r="U2022" t="str">
        <f t="shared" si="93"/>
        <v>ad5732</v>
      </c>
      <c r="V2022">
        <v>0</v>
      </c>
      <c r="W2022">
        <v>0</v>
      </c>
      <c r="X2022">
        <v>1</v>
      </c>
      <c r="Z2022">
        <v>0</v>
      </c>
      <c r="AA2022">
        <v>9</v>
      </c>
      <c r="AB2022">
        <v>3</v>
      </c>
      <c r="AC2022">
        <v>0</v>
      </c>
      <c r="AD2022">
        <v>10</v>
      </c>
      <c r="AE2022">
        <v>0</v>
      </c>
      <c r="AF2022">
        <v>3</v>
      </c>
      <c r="AG2022">
        <v>2</v>
      </c>
      <c r="AH2022">
        <v>0</v>
      </c>
      <c r="AI2022" t="s">
        <v>4149</v>
      </c>
      <c r="AJ2022">
        <v>39.845802999999997</v>
      </c>
      <c r="AK2022" t="s">
        <v>4150</v>
      </c>
      <c r="AL2022">
        <v>-75.849309000000005</v>
      </c>
      <c r="AM2022">
        <v>100</v>
      </c>
      <c r="AN2022">
        <v>4700</v>
      </c>
      <c r="AO2022" t="s">
        <v>115</v>
      </c>
      <c r="AP2022">
        <v>162</v>
      </c>
      <c r="AQ2022">
        <v>81</v>
      </c>
      <c r="AR2022">
        <v>0</v>
      </c>
      <c r="AZ2022">
        <v>3614</v>
      </c>
      <c r="BA2022">
        <v>1</v>
      </c>
      <c r="BB2022" t="str">
        <f t="shared" si="95"/>
        <v xml:space="preserve">N959MJ  </v>
      </c>
      <c r="BC2022">
        <v>1</v>
      </c>
      <c r="BE2022">
        <v>0</v>
      </c>
      <c r="BF2022">
        <v>0</v>
      </c>
      <c r="BG2022">
        <v>0</v>
      </c>
      <c r="BH2022">
        <v>4900</v>
      </c>
      <c r="BI2022">
        <v>200</v>
      </c>
      <c r="BJ2022">
        <v>1</v>
      </c>
      <c r="BK2022">
        <v>1</v>
      </c>
      <c r="BL2022">
        <v>1</v>
      </c>
      <c r="BM2022">
        <v>0</v>
      </c>
      <c r="BP2022">
        <v>0</v>
      </c>
      <c r="BQ2022">
        <v>0</v>
      </c>
      <c r="BX2022" t="str">
        <f>"14:24:03.352"</f>
        <v>14:24:03.352</v>
      </c>
      <c r="BY2022" t="str">
        <f>"352638837"</f>
        <v>352638837</v>
      </c>
      <c r="CL2022">
        <v>0</v>
      </c>
      <c r="CM2022">
        <v>2</v>
      </c>
      <c r="CN2022">
        <v>0</v>
      </c>
      <c r="CO2022">
        <v>2</v>
      </c>
      <c r="CP2022">
        <v>0</v>
      </c>
      <c r="CQ2022">
        <v>7</v>
      </c>
      <c r="CR2022" t="s">
        <v>116</v>
      </c>
      <c r="CS2022">
        <v>39</v>
      </c>
      <c r="CT2022">
        <v>2</v>
      </c>
      <c r="CU2022" t="s">
        <v>2259</v>
      </c>
      <c r="CV2022" t="s">
        <v>2260</v>
      </c>
      <c r="CY2022">
        <v>16526851</v>
      </c>
      <c r="CZ2022" t="s">
        <v>119</v>
      </c>
    </row>
    <row r="2023" spans="1:104" x14ac:dyDescent="0.25">
      <c r="A2023" t="str">
        <f>"14:24:04.547"</f>
        <v>14:24:04.547</v>
      </c>
      <c r="B2023" t="s">
        <v>108</v>
      </c>
      <c r="C2023" t="str">
        <f t="shared" si="94"/>
        <v>ffdfd3c0</v>
      </c>
      <c r="D2023" t="s">
        <v>109</v>
      </c>
      <c r="E2023">
        <v>4</v>
      </c>
      <c r="F2023">
        <v>1004</v>
      </c>
      <c r="G2023" t="s">
        <v>110</v>
      </c>
      <c r="J2023" t="s">
        <v>111</v>
      </c>
      <c r="K2023">
        <v>0</v>
      </c>
      <c r="L2023">
        <v>3</v>
      </c>
      <c r="M2023">
        <v>0</v>
      </c>
      <c r="N2023">
        <v>2</v>
      </c>
      <c r="O2023">
        <v>1</v>
      </c>
      <c r="P2023">
        <v>0</v>
      </c>
      <c r="Q2023">
        <v>0</v>
      </c>
      <c r="R2023" t="s">
        <v>112</v>
      </c>
      <c r="S2023" t="str">
        <f>"14:24:04.367"</f>
        <v>14:24:04.367</v>
      </c>
      <c r="T2023" t="str">
        <f>"14:24:03.867"</f>
        <v>14:24:03.867</v>
      </c>
      <c r="U2023" t="str">
        <f t="shared" si="93"/>
        <v>ad5732</v>
      </c>
      <c r="V2023">
        <v>0</v>
      </c>
      <c r="W2023">
        <v>0</v>
      </c>
      <c r="X2023">
        <v>1</v>
      </c>
      <c r="Z2023">
        <v>0</v>
      </c>
      <c r="AA2023">
        <v>9</v>
      </c>
      <c r="AB2023">
        <v>3</v>
      </c>
      <c r="AC2023">
        <v>0</v>
      </c>
      <c r="AD2023">
        <v>10</v>
      </c>
      <c r="AE2023">
        <v>0</v>
      </c>
      <c r="AF2023">
        <v>3</v>
      </c>
      <c r="AG2023">
        <v>2</v>
      </c>
      <c r="AH2023">
        <v>0</v>
      </c>
      <c r="AI2023" t="s">
        <v>4151</v>
      </c>
      <c r="AJ2023">
        <v>39.846167999999999</v>
      </c>
      <c r="AK2023" t="s">
        <v>4152</v>
      </c>
      <c r="AL2023">
        <v>-75.848365000000001</v>
      </c>
      <c r="AM2023">
        <v>100</v>
      </c>
      <c r="AN2023">
        <v>4700</v>
      </c>
      <c r="AO2023" t="s">
        <v>115</v>
      </c>
      <c r="AP2023">
        <v>162</v>
      </c>
      <c r="AQ2023">
        <v>81</v>
      </c>
      <c r="AR2023">
        <v>0</v>
      </c>
      <c r="AZ2023">
        <v>3614</v>
      </c>
      <c r="BA2023">
        <v>1</v>
      </c>
      <c r="BB2023" t="str">
        <f t="shared" si="95"/>
        <v xml:space="preserve">N959MJ  </v>
      </c>
      <c r="BC2023">
        <v>1</v>
      </c>
      <c r="BE2023">
        <v>0</v>
      </c>
      <c r="BF2023">
        <v>0</v>
      </c>
      <c r="BG2023">
        <v>0</v>
      </c>
      <c r="BH2023">
        <v>4900</v>
      </c>
      <c r="BI2023">
        <v>200</v>
      </c>
      <c r="BJ2023">
        <v>1</v>
      </c>
      <c r="BK2023">
        <v>1</v>
      </c>
      <c r="BL2023">
        <v>1</v>
      </c>
      <c r="BM2023">
        <v>0</v>
      </c>
      <c r="BP2023">
        <v>0</v>
      </c>
      <c r="BQ2023">
        <v>0</v>
      </c>
      <c r="BX2023" t="str">
        <f>"14:24:04.367"</f>
        <v>14:24:04.367</v>
      </c>
      <c r="BY2023" t="str">
        <f>"370102298"</f>
        <v>370102298</v>
      </c>
      <c r="CL2023">
        <v>0</v>
      </c>
      <c r="CM2023">
        <v>2</v>
      </c>
      <c r="CN2023">
        <v>0</v>
      </c>
      <c r="CO2023">
        <v>2</v>
      </c>
      <c r="CP2023">
        <v>0</v>
      </c>
      <c r="CQ2023">
        <v>7</v>
      </c>
      <c r="CR2023" t="s">
        <v>116</v>
      </c>
      <c r="CS2023">
        <v>39</v>
      </c>
      <c r="CT2023">
        <v>2</v>
      </c>
      <c r="CU2023" t="s">
        <v>2259</v>
      </c>
      <c r="CV2023" t="s">
        <v>2260</v>
      </c>
      <c r="CY2023">
        <v>16528419</v>
      </c>
      <c r="CZ2023" t="s">
        <v>119</v>
      </c>
    </row>
    <row r="2024" spans="1:104" x14ac:dyDescent="0.25">
      <c r="A2024" t="str">
        <f>"14:24:05.656"</f>
        <v>14:24:05.656</v>
      </c>
      <c r="B2024" t="s">
        <v>108</v>
      </c>
      <c r="C2024" t="str">
        <f t="shared" si="94"/>
        <v>ffdfd3c0</v>
      </c>
      <c r="D2024" t="s">
        <v>109</v>
      </c>
      <c r="E2024">
        <v>4</v>
      </c>
      <c r="F2024">
        <v>1004</v>
      </c>
      <c r="G2024" t="s">
        <v>110</v>
      </c>
      <c r="J2024" t="s">
        <v>111</v>
      </c>
      <c r="K2024">
        <v>0</v>
      </c>
      <c r="L2024">
        <v>3</v>
      </c>
      <c r="M2024">
        <v>0</v>
      </c>
      <c r="N2024">
        <v>2</v>
      </c>
      <c r="O2024">
        <v>1</v>
      </c>
      <c r="P2024">
        <v>0</v>
      </c>
      <c r="Q2024">
        <v>0</v>
      </c>
      <c r="R2024" t="s">
        <v>112</v>
      </c>
      <c r="S2024" t="str">
        <f>"14:24:05.445"</f>
        <v>14:24:05.445</v>
      </c>
      <c r="T2024" t="str">
        <f>"14:24:05.047"</f>
        <v>14:24:05.047</v>
      </c>
      <c r="U2024" t="str">
        <f t="shared" si="93"/>
        <v>ad5732</v>
      </c>
      <c r="V2024">
        <v>0</v>
      </c>
      <c r="W2024">
        <v>0</v>
      </c>
      <c r="X2024">
        <v>1</v>
      </c>
      <c r="Z2024">
        <v>0</v>
      </c>
      <c r="AA2024">
        <v>9</v>
      </c>
      <c r="AB2024">
        <v>3</v>
      </c>
      <c r="AC2024">
        <v>0</v>
      </c>
      <c r="AD2024">
        <v>10</v>
      </c>
      <c r="AE2024">
        <v>0</v>
      </c>
      <c r="AF2024">
        <v>3</v>
      </c>
      <c r="AG2024">
        <v>2</v>
      </c>
      <c r="AH2024">
        <v>0</v>
      </c>
      <c r="AI2024" t="s">
        <v>4153</v>
      </c>
      <c r="AJ2024">
        <v>39.846575000000001</v>
      </c>
      <c r="AK2024" t="s">
        <v>4154</v>
      </c>
      <c r="AL2024">
        <v>-75.847291999999996</v>
      </c>
      <c r="AM2024">
        <v>100</v>
      </c>
      <c r="AN2024">
        <v>4700</v>
      </c>
      <c r="AO2024" t="s">
        <v>115</v>
      </c>
      <c r="AP2024">
        <v>162</v>
      </c>
      <c r="AQ2024">
        <v>81</v>
      </c>
      <c r="AR2024">
        <v>0</v>
      </c>
      <c r="AZ2024">
        <v>3614</v>
      </c>
      <c r="BA2024">
        <v>1</v>
      </c>
      <c r="BB2024" t="str">
        <f t="shared" si="95"/>
        <v xml:space="preserve">N959MJ  </v>
      </c>
      <c r="BC2024">
        <v>1</v>
      </c>
      <c r="BE2024">
        <v>0</v>
      </c>
      <c r="BF2024">
        <v>0</v>
      </c>
      <c r="BG2024">
        <v>0</v>
      </c>
      <c r="BH2024">
        <v>4900</v>
      </c>
      <c r="BI2024">
        <v>200</v>
      </c>
      <c r="BJ2024">
        <v>1</v>
      </c>
      <c r="BK2024">
        <v>1</v>
      </c>
      <c r="BL2024">
        <v>1</v>
      </c>
      <c r="BM2024">
        <v>0</v>
      </c>
      <c r="BP2024">
        <v>0</v>
      </c>
      <c r="BQ2024">
        <v>0</v>
      </c>
      <c r="BX2024" t="str">
        <f>"14:24:05.453"</f>
        <v>14:24:05.453</v>
      </c>
      <c r="BY2024" t="str">
        <f>"453102860"</f>
        <v>453102860</v>
      </c>
      <c r="CL2024">
        <v>0</v>
      </c>
      <c r="CM2024">
        <v>2</v>
      </c>
      <c r="CN2024">
        <v>0</v>
      </c>
      <c r="CO2024">
        <v>2</v>
      </c>
      <c r="CP2024">
        <v>0</v>
      </c>
      <c r="CQ2024">
        <v>7</v>
      </c>
      <c r="CR2024" t="s">
        <v>116</v>
      </c>
      <c r="CS2024">
        <v>39</v>
      </c>
      <c r="CT2024">
        <v>2</v>
      </c>
      <c r="CU2024" t="s">
        <v>2259</v>
      </c>
      <c r="CV2024" t="s">
        <v>2260</v>
      </c>
      <c r="CY2024">
        <v>16530001</v>
      </c>
      <c r="CZ2024" t="s">
        <v>119</v>
      </c>
    </row>
    <row r="2025" spans="1:104" x14ac:dyDescent="0.25">
      <c r="A2025" t="str">
        <f>"14:24:06.461"</f>
        <v>14:24:06.461</v>
      </c>
      <c r="B2025" t="s">
        <v>108</v>
      </c>
      <c r="C2025" t="str">
        <f t="shared" si="94"/>
        <v>ffdfd3c0</v>
      </c>
      <c r="D2025" t="s">
        <v>109</v>
      </c>
      <c r="E2025">
        <v>4</v>
      </c>
      <c r="F2025">
        <v>1004</v>
      </c>
      <c r="G2025" t="s">
        <v>110</v>
      </c>
      <c r="J2025" t="s">
        <v>111</v>
      </c>
      <c r="K2025">
        <v>0</v>
      </c>
      <c r="L2025">
        <v>3</v>
      </c>
      <c r="M2025">
        <v>0</v>
      </c>
      <c r="N2025">
        <v>2</v>
      </c>
      <c r="O2025">
        <v>1</v>
      </c>
      <c r="P2025">
        <v>0</v>
      </c>
      <c r="Q2025">
        <v>0</v>
      </c>
      <c r="R2025" t="s">
        <v>112</v>
      </c>
      <c r="S2025" t="str">
        <f>"14:24:06.281"</f>
        <v>14:24:06.281</v>
      </c>
      <c r="T2025" t="str">
        <f>"14:24:05.883"</f>
        <v>14:24:05.883</v>
      </c>
      <c r="U2025" t="str">
        <f t="shared" si="93"/>
        <v>ad5732</v>
      </c>
      <c r="V2025">
        <v>0</v>
      </c>
      <c r="W2025">
        <v>0</v>
      </c>
      <c r="X2025">
        <v>1</v>
      </c>
      <c r="Z2025">
        <v>0</v>
      </c>
      <c r="AA2025">
        <v>9</v>
      </c>
      <c r="AB2025">
        <v>3</v>
      </c>
      <c r="AC2025">
        <v>0</v>
      </c>
      <c r="AD2025">
        <v>10</v>
      </c>
      <c r="AE2025">
        <v>0</v>
      </c>
      <c r="AF2025">
        <v>3</v>
      </c>
      <c r="AG2025">
        <v>2</v>
      </c>
      <c r="AH2025">
        <v>0</v>
      </c>
      <c r="AI2025" t="s">
        <v>4155</v>
      </c>
      <c r="AJ2025">
        <v>39.846896999999998</v>
      </c>
      <c r="AK2025" t="s">
        <v>4156</v>
      </c>
      <c r="AL2025">
        <v>-75.846497999999997</v>
      </c>
      <c r="AM2025">
        <v>100</v>
      </c>
      <c r="AN2025">
        <v>4700</v>
      </c>
      <c r="AO2025" t="s">
        <v>115</v>
      </c>
      <c r="AP2025">
        <v>162</v>
      </c>
      <c r="AQ2025">
        <v>81</v>
      </c>
      <c r="AR2025">
        <v>0</v>
      </c>
      <c r="AZ2025">
        <v>3614</v>
      </c>
      <c r="BA2025">
        <v>1</v>
      </c>
      <c r="BB2025" t="str">
        <f t="shared" si="95"/>
        <v xml:space="preserve">N959MJ  </v>
      </c>
      <c r="BC2025">
        <v>1</v>
      </c>
      <c r="BE2025">
        <v>0</v>
      </c>
      <c r="BF2025">
        <v>0</v>
      </c>
      <c r="BG2025">
        <v>0</v>
      </c>
      <c r="BH2025">
        <v>4900</v>
      </c>
      <c r="BI2025">
        <v>200</v>
      </c>
      <c r="BJ2025">
        <v>1</v>
      </c>
      <c r="BK2025">
        <v>1</v>
      </c>
      <c r="BL2025">
        <v>1</v>
      </c>
      <c r="BM2025">
        <v>0</v>
      </c>
      <c r="BP2025">
        <v>0</v>
      </c>
      <c r="BQ2025">
        <v>0</v>
      </c>
      <c r="BX2025" t="str">
        <f>"14:24:06.289"</f>
        <v>14:24:06.289</v>
      </c>
      <c r="BY2025" t="str">
        <f>"288700843"</f>
        <v>288700843</v>
      </c>
      <c r="CL2025">
        <v>0</v>
      </c>
      <c r="CM2025">
        <v>2</v>
      </c>
      <c r="CN2025">
        <v>0</v>
      </c>
      <c r="CO2025">
        <v>2</v>
      </c>
      <c r="CP2025">
        <v>0</v>
      </c>
      <c r="CQ2025">
        <v>7</v>
      </c>
      <c r="CR2025" t="s">
        <v>116</v>
      </c>
      <c r="CS2025">
        <v>39</v>
      </c>
      <c r="CT2025">
        <v>2</v>
      </c>
      <c r="CU2025" t="s">
        <v>2259</v>
      </c>
      <c r="CV2025" t="s">
        <v>2260</v>
      </c>
      <c r="CY2025">
        <v>16531406</v>
      </c>
      <c r="CZ2025" t="s">
        <v>119</v>
      </c>
    </row>
    <row r="2026" spans="1:104" x14ac:dyDescent="0.25">
      <c r="A2026" t="str">
        <f>"14:24:07.375"</f>
        <v>14:24:07.375</v>
      </c>
      <c r="B2026" t="s">
        <v>108</v>
      </c>
      <c r="C2026" t="str">
        <f t="shared" si="94"/>
        <v>ffdfd3c0</v>
      </c>
      <c r="D2026" t="s">
        <v>109</v>
      </c>
      <c r="E2026">
        <v>4</v>
      </c>
      <c r="F2026">
        <v>1004</v>
      </c>
      <c r="G2026" t="s">
        <v>110</v>
      </c>
      <c r="J2026" t="s">
        <v>111</v>
      </c>
      <c r="K2026">
        <v>0</v>
      </c>
      <c r="L2026">
        <v>3</v>
      </c>
      <c r="M2026">
        <v>0</v>
      </c>
      <c r="N2026">
        <v>2</v>
      </c>
      <c r="O2026">
        <v>1</v>
      </c>
      <c r="P2026">
        <v>0</v>
      </c>
      <c r="Q2026">
        <v>0</v>
      </c>
      <c r="R2026" t="s">
        <v>112</v>
      </c>
      <c r="S2026" t="str">
        <f>"14:24:07.188"</f>
        <v>14:24:07.188</v>
      </c>
      <c r="T2026" t="str">
        <f>"14:24:06.789"</f>
        <v>14:24:06.789</v>
      </c>
      <c r="U2026" t="str">
        <f t="shared" si="93"/>
        <v>ad5732</v>
      </c>
      <c r="V2026">
        <v>0</v>
      </c>
      <c r="W2026">
        <v>0</v>
      </c>
      <c r="X2026">
        <v>1</v>
      </c>
      <c r="Z2026">
        <v>0</v>
      </c>
      <c r="AA2026">
        <v>9</v>
      </c>
      <c r="AB2026">
        <v>3</v>
      </c>
      <c r="AC2026">
        <v>0</v>
      </c>
      <c r="AD2026">
        <v>10</v>
      </c>
      <c r="AE2026">
        <v>0</v>
      </c>
      <c r="AF2026">
        <v>3</v>
      </c>
      <c r="AG2026">
        <v>2</v>
      </c>
      <c r="AH2026">
        <v>0</v>
      </c>
      <c r="AI2026" t="s">
        <v>4157</v>
      </c>
      <c r="AJ2026">
        <v>39.847219000000003</v>
      </c>
      <c r="AK2026" t="s">
        <v>4158</v>
      </c>
      <c r="AL2026">
        <v>-75.845618000000002</v>
      </c>
      <c r="AM2026">
        <v>100</v>
      </c>
      <c r="AN2026">
        <v>4700</v>
      </c>
      <c r="AO2026" t="s">
        <v>115</v>
      </c>
      <c r="AP2026">
        <v>162</v>
      </c>
      <c r="AQ2026">
        <v>81</v>
      </c>
      <c r="AR2026">
        <v>0</v>
      </c>
      <c r="AZ2026">
        <v>3614</v>
      </c>
      <c r="BA2026">
        <v>1</v>
      </c>
      <c r="BB2026" t="str">
        <f t="shared" si="95"/>
        <v xml:space="preserve">N959MJ  </v>
      </c>
      <c r="BC2026">
        <v>1</v>
      </c>
      <c r="BE2026">
        <v>0</v>
      </c>
      <c r="BF2026">
        <v>0</v>
      </c>
      <c r="BG2026">
        <v>0</v>
      </c>
      <c r="BH2026">
        <v>4900</v>
      </c>
      <c r="BI2026">
        <v>200</v>
      </c>
      <c r="BJ2026">
        <v>1</v>
      </c>
      <c r="BK2026">
        <v>1</v>
      </c>
      <c r="BL2026">
        <v>1</v>
      </c>
      <c r="BM2026">
        <v>0</v>
      </c>
      <c r="BP2026">
        <v>0</v>
      </c>
      <c r="BQ2026">
        <v>0</v>
      </c>
      <c r="BX2026" t="str">
        <f>"14:24:07.188"</f>
        <v>14:24:07.188</v>
      </c>
      <c r="BY2026" t="str">
        <f>"188197601"</f>
        <v>188197601</v>
      </c>
      <c r="CL2026">
        <v>0</v>
      </c>
      <c r="CM2026">
        <v>2</v>
      </c>
      <c r="CN2026">
        <v>0</v>
      </c>
      <c r="CO2026">
        <v>2</v>
      </c>
      <c r="CP2026">
        <v>0</v>
      </c>
      <c r="CQ2026">
        <v>7</v>
      </c>
      <c r="CR2026" t="s">
        <v>116</v>
      </c>
      <c r="CS2026">
        <v>39</v>
      </c>
      <c r="CT2026">
        <v>2</v>
      </c>
      <c r="CU2026" t="s">
        <v>2259</v>
      </c>
      <c r="CV2026" t="s">
        <v>2260</v>
      </c>
      <c r="CY2026">
        <v>16532864</v>
      </c>
      <c r="CZ2026" t="s">
        <v>119</v>
      </c>
    </row>
    <row r="2027" spans="1:104" x14ac:dyDescent="0.25">
      <c r="A2027" t="str">
        <f>"14:24:08.430"</f>
        <v>14:24:08.430</v>
      </c>
      <c r="B2027" t="s">
        <v>108</v>
      </c>
      <c r="C2027" t="str">
        <f t="shared" si="94"/>
        <v>ffdfd3c0</v>
      </c>
      <c r="D2027" t="s">
        <v>109</v>
      </c>
      <c r="E2027">
        <v>4</v>
      </c>
      <c r="F2027">
        <v>1004</v>
      </c>
      <c r="G2027" t="s">
        <v>110</v>
      </c>
      <c r="J2027" t="s">
        <v>111</v>
      </c>
      <c r="K2027">
        <v>0</v>
      </c>
      <c r="L2027">
        <v>3</v>
      </c>
      <c r="M2027">
        <v>0</v>
      </c>
      <c r="N2027">
        <v>2</v>
      </c>
      <c r="O2027">
        <v>1</v>
      </c>
      <c r="P2027">
        <v>0</v>
      </c>
      <c r="Q2027">
        <v>0</v>
      </c>
      <c r="R2027" t="s">
        <v>112</v>
      </c>
      <c r="S2027" t="str">
        <f>"14:24:08.242"</f>
        <v>14:24:08.242</v>
      </c>
      <c r="T2027" t="str">
        <f>"14:24:07.742"</f>
        <v>14:24:07.742</v>
      </c>
      <c r="U2027" t="str">
        <f t="shared" si="93"/>
        <v>ad5732</v>
      </c>
      <c r="V2027">
        <v>0</v>
      </c>
      <c r="W2027">
        <v>0</v>
      </c>
      <c r="X2027">
        <v>1</v>
      </c>
      <c r="Z2027">
        <v>0</v>
      </c>
      <c r="AA2027">
        <v>9</v>
      </c>
      <c r="AB2027">
        <v>3</v>
      </c>
      <c r="AC2027">
        <v>0</v>
      </c>
      <c r="AD2027">
        <v>10</v>
      </c>
      <c r="AE2027">
        <v>0</v>
      </c>
      <c r="AF2027">
        <v>3</v>
      </c>
      <c r="AG2027">
        <v>2</v>
      </c>
      <c r="AH2027">
        <v>0</v>
      </c>
      <c r="AI2027" t="s">
        <v>4159</v>
      </c>
      <c r="AJ2027">
        <v>39.847648</v>
      </c>
      <c r="AK2027" t="s">
        <v>4160</v>
      </c>
      <c r="AL2027">
        <v>-75.844544999999997</v>
      </c>
      <c r="AM2027">
        <v>100</v>
      </c>
      <c r="AN2027">
        <v>4700</v>
      </c>
      <c r="AO2027" t="s">
        <v>115</v>
      </c>
      <c r="AP2027">
        <v>162</v>
      </c>
      <c r="AQ2027">
        <v>81</v>
      </c>
      <c r="AR2027">
        <v>0</v>
      </c>
      <c r="AZ2027">
        <v>3614</v>
      </c>
      <c r="BA2027">
        <v>1</v>
      </c>
      <c r="BB2027" t="str">
        <f t="shared" si="95"/>
        <v xml:space="preserve">N959MJ  </v>
      </c>
      <c r="BC2027">
        <v>1</v>
      </c>
      <c r="BE2027">
        <v>0</v>
      </c>
      <c r="BF2027">
        <v>0</v>
      </c>
      <c r="BG2027">
        <v>0</v>
      </c>
      <c r="BH2027">
        <v>4900</v>
      </c>
      <c r="BI2027">
        <v>200</v>
      </c>
      <c r="BJ2027">
        <v>1</v>
      </c>
      <c r="BK2027">
        <v>1</v>
      </c>
      <c r="BL2027">
        <v>1</v>
      </c>
      <c r="BM2027">
        <v>0</v>
      </c>
      <c r="BP2027">
        <v>0</v>
      </c>
      <c r="BQ2027">
        <v>0</v>
      </c>
      <c r="BX2027" t="str">
        <f>"14:24:08.250"</f>
        <v>14:24:08.250</v>
      </c>
      <c r="BY2027" t="str">
        <f>"248260132"</f>
        <v>248260132</v>
      </c>
      <c r="CL2027">
        <v>0</v>
      </c>
      <c r="CM2027">
        <v>2</v>
      </c>
      <c r="CN2027">
        <v>0</v>
      </c>
      <c r="CO2027">
        <v>2</v>
      </c>
      <c r="CP2027">
        <v>0</v>
      </c>
      <c r="CQ2027">
        <v>7</v>
      </c>
      <c r="CR2027" t="s">
        <v>116</v>
      </c>
      <c r="CS2027">
        <v>39</v>
      </c>
      <c r="CT2027">
        <v>2</v>
      </c>
      <c r="CU2027" t="s">
        <v>2259</v>
      </c>
      <c r="CV2027" t="s">
        <v>2260</v>
      </c>
      <c r="CY2027">
        <v>16534576</v>
      </c>
      <c r="CZ2027" t="s">
        <v>119</v>
      </c>
    </row>
    <row r="2028" spans="1:104" x14ac:dyDescent="0.25">
      <c r="A2028" t="str">
        <f>"14:24:09.391"</f>
        <v>14:24:09.391</v>
      </c>
      <c r="B2028" t="s">
        <v>108</v>
      </c>
      <c r="C2028" t="str">
        <f t="shared" si="94"/>
        <v>ffdfd3c0</v>
      </c>
      <c r="D2028" t="s">
        <v>109</v>
      </c>
      <c r="E2028">
        <v>4</v>
      </c>
      <c r="F2028">
        <v>1004</v>
      </c>
      <c r="G2028" t="s">
        <v>110</v>
      </c>
      <c r="J2028" t="s">
        <v>111</v>
      </c>
      <c r="K2028">
        <v>0</v>
      </c>
      <c r="L2028">
        <v>3</v>
      </c>
      <c r="M2028">
        <v>0</v>
      </c>
      <c r="N2028">
        <v>2</v>
      </c>
      <c r="O2028">
        <v>1</v>
      </c>
      <c r="P2028">
        <v>0</v>
      </c>
      <c r="Q2028">
        <v>0</v>
      </c>
      <c r="R2028" t="s">
        <v>112</v>
      </c>
      <c r="S2028" t="str">
        <f>"14:24:09.227"</f>
        <v>14:24:09.227</v>
      </c>
      <c r="T2028" t="str">
        <f>"14:24:08.828"</f>
        <v>14:24:08.828</v>
      </c>
      <c r="U2028" t="str">
        <f t="shared" si="93"/>
        <v>ad5732</v>
      </c>
      <c r="V2028">
        <v>0</v>
      </c>
      <c r="W2028">
        <v>0</v>
      </c>
      <c r="X2028">
        <v>1</v>
      </c>
      <c r="Z2028">
        <v>0</v>
      </c>
      <c r="AA2028">
        <v>9</v>
      </c>
      <c r="AB2028">
        <v>3</v>
      </c>
      <c r="AC2028">
        <v>0</v>
      </c>
      <c r="AD2028">
        <v>10</v>
      </c>
      <c r="AE2028">
        <v>0</v>
      </c>
      <c r="AF2028">
        <v>3</v>
      </c>
      <c r="AG2028">
        <v>2</v>
      </c>
      <c r="AH2028">
        <v>0</v>
      </c>
      <c r="AI2028" t="s">
        <v>4161</v>
      </c>
      <c r="AJ2028">
        <v>39.848013000000002</v>
      </c>
      <c r="AK2028" t="s">
        <v>4162</v>
      </c>
      <c r="AL2028">
        <v>-75.843558000000002</v>
      </c>
      <c r="AM2028">
        <v>100</v>
      </c>
      <c r="AN2028">
        <v>4700</v>
      </c>
      <c r="AO2028" t="s">
        <v>115</v>
      </c>
      <c r="AP2028">
        <v>162</v>
      </c>
      <c r="AQ2028">
        <v>81</v>
      </c>
      <c r="AR2028">
        <v>0</v>
      </c>
      <c r="AZ2028">
        <v>3614</v>
      </c>
      <c r="BA2028">
        <v>1</v>
      </c>
      <c r="BB2028" t="str">
        <f t="shared" si="95"/>
        <v xml:space="preserve">N959MJ  </v>
      </c>
      <c r="BC2028">
        <v>1</v>
      </c>
      <c r="BE2028">
        <v>0</v>
      </c>
      <c r="BF2028">
        <v>0</v>
      </c>
      <c r="BG2028">
        <v>0</v>
      </c>
      <c r="BH2028">
        <v>4900</v>
      </c>
      <c r="BI2028">
        <v>200</v>
      </c>
      <c r="BJ2028">
        <v>1</v>
      </c>
      <c r="BK2028">
        <v>1</v>
      </c>
      <c r="BL2028">
        <v>1</v>
      </c>
      <c r="BM2028">
        <v>0</v>
      </c>
      <c r="BP2028">
        <v>0</v>
      </c>
      <c r="BQ2028">
        <v>0</v>
      </c>
      <c r="BX2028" t="str">
        <f>"14:24:09.227"</f>
        <v>14:24:09.227</v>
      </c>
      <c r="BY2028" t="str">
        <f>"228039756"</f>
        <v>228039756</v>
      </c>
      <c r="CL2028">
        <v>0</v>
      </c>
      <c r="CM2028">
        <v>2</v>
      </c>
      <c r="CN2028">
        <v>0</v>
      </c>
      <c r="CO2028">
        <v>2</v>
      </c>
      <c r="CP2028">
        <v>0</v>
      </c>
      <c r="CQ2028">
        <v>7</v>
      </c>
      <c r="CR2028" t="s">
        <v>116</v>
      </c>
      <c r="CS2028">
        <v>39</v>
      </c>
      <c r="CT2028">
        <v>2</v>
      </c>
      <c r="CU2028" t="s">
        <v>2259</v>
      </c>
      <c r="CV2028" t="s">
        <v>2260</v>
      </c>
      <c r="CY2028">
        <v>16536059</v>
      </c>
      <c r="CZ2028" t="s">
        <v>119</v>
      </c>
    </row>
    <row r="2029" spans="1:104" x14ac:dyDescent="0.25">
      <c r="A2029" t="str">
        <f>"14:24:10.352"</f>
        <v>14:24:10.352</v>
      </c>
      <c r="B2029" t="s">
        <v>108</v>
      </c>
      <c r="C2029" t="str">
        <f t="shared" si="94"/>
        <v>ffdfd3c0</v>
      </c>
      <c r="D2029" t="s">
        <v>109</v>
      </c>
      <c r="E2029">
        <v>4</v>
      </c>
      <c r="F2029">
        <v>1004</v>
      </c>
      <c r="G2029" t="s">
        <v>110</v>
      </c>
      <c r="J2029" t="s">
        <v>111</v>
      </c>
      <c r="K2029">
        <v>0</v>
      </c>
      <c r="L2029">
        <v>3</v>
      </c>
      <c r="M2029">
        <v>0</v>
      </c>
      <c r="N2029">
        <v>2</v>
      </c>
      <c r="O2029">
        <v>1</v>
      </c>
      <c r="P2029">
        <v>0</v>
      </c>
      <c r="Q2029">
        <v>0</v>
      </c>
      <c r="R2029" t="s">
        <v>112</v>
      </c>
      <c r="S2029" t="str">
        <f>"14:24:10.180"</f>
        <v>14:24:10.180</v>
      </c>
      <c r="T2029" t="str">
        <f>"14:24:09.680"</f>
        <v>14:24:09.680</v>
      </c>
      <c r="U2029" t="str">
        <f t="shared" si="93"/>
        <v>ad5732</v>
      </c>
      <c r="V2029">
        <v>0</v>
      </c>
      <c r="W2029">
        <v>0</v>
      </c>
      <c r="X2029">
        <v>1</v>
      </c>
      <c r="Z2029">
        <v>0</v>
      </c>
      <c r="AA2029">
        <v>9</v>
      </c>
      <c r="AB2029">
        <v>3</v>
      </c>
      <c r="AC2029">
        <v>0</v>
      </c>
      <c r="AD2029">
        <v>10</v>
      </c>
      <c r="AE2029">
        <v>0</v>
      </c>
      <c r="AF2029">
        <v>3</v>
      </c>
      <c r="AG2029">
        <v>2</v>
      </c>
      <c r="AH2029">
        <v>0</v>
      </c>
      <c r="AI2029" t="s">
        <v>4163</v>
      </c>
      <c r="AJ2029">
        <v>39.848334999999999</v>
      </c>
      <c r="AK2029" t="s">
        <v>4164</v>
      </c>
      <c r="AL2029">
        <v>-75.842679000000004</v>
      </c>
      <c r="AM2029">
        <v>100</v>
      </c>
      <c r="AN2029">
        <v>4700</v>
      </c>
      <c r="AO2029" t="s">
        <v>115</v>
      </c>
      <c r="AP2029">
        <v>162</v>
      </c>
      <c r="AQ2029">
        <v>81</v>
      </c>
      <c r="AR2029">
        <v>-64</v>
      </c>
      <c r="AZ2029">
        <v>3614</v>
      </c>
      <c r="BA2029">
        <v>1</v>
      </c>
      <c r="BB2029" t="str">
        <f t="shared" si="95"/>
        <v xml:space="preserve">N959MJ  </v>
      </c>
      <c r="BC2029">
        <v>1</v>
      </c>
      <c r="BE2029">
        <v>0</v>
      </c>
      <c r="BF2029">
        <v>0</v>
      </c>
      <c r="BG2029">
        <v>0</v>
      </c>
      <c r="BH2029">
        <v>4900</v>
      </c>
      <c r="BI2029">
        <v>200</v>
      </c>
      <c r="BJ2029">
        <v>1</v>
      </c>
      <c r="BK2029">
        <v>1</v>
      </c>
      <c r="BL2029">
        <v>1</v>
      </c>
      <c r="BM2029">
        <v>0</v>
      </c>
      <c r="BP2029">
        <v>0</v>
      </c>
      <c r="BQ2029">
        <v>0</v>
      </c>
      <c r="BX2029" t="str">
        <f>"14:24:10.180"</f>
        <v>14:24:10.180</v>
      </c>
      <c r="BY2029" t="str">
        <f>"179966179"</f>
        <v>179966179</v>
      </c>
      <c r="CL2029">
        <v>0</v>
      </c>
      <c r="CM2029">
        <v>2</v>
      </c>
      <c r="CN2029">
        <v>0</v>
      </c>
      <c r="CO2029">
        <v>2</v>
      </c>
      <c r="CP2029">
        <v>0</v>
      </c>
      <c r="CQ2029">
        <v>7</v>
      </c>
      <c r="CR2029" t="s">
        <v>116</v>
      </c>
      <c r="CS2029">
        <v>39</v>
      </c>
      <c r="CT2029">
        <v>2</v>
      </c>
      <c r="CU2029" t="s">
        <v>2259</v>
      </c>
      <c r="CV2029" t="s">
        <v>2260</v>
      </c>
      <c r="CY2029">
        <v>16537497</v>
      </c>
      <c r="CZ2029" t="s">
        <v>119</v>
      </c>
    </row>
    <row r="2030" spans="1:104" x14ac:dyDescent="0.25">
      <c r="A2030" t="str">
        <f>"14:24:11.406"</f>
        <v>14:24:11.406</v>
      </c>
      <c r="B2030" t="s">
        <v>108</v>
      </c>
      <c r="C2030" t="str">
        <f t="shared" si="94"/>
        <v>ffdfd3c0</v>
      </c>
      <c r="D2030" t="s">
        <v>109</v>
      </c>
      <c r="E2030">
        <v>4</v>
      </c>
      <c r="F2030">
        <v>1004</v>
      </c>
      <c r="G2030" t="s">
        <v>110</v>
      </c>
      <c r="J2030" t="s">
        <v>111</v>
      </c>
      <c r="K2030">
        <v>0</v>
      </c>
      <c r="L2030">
        <v>3</v>
      </c>
      <c r="M2030">
        <v>0</v>
      </c>
      <c r="N2030">
        <v>2</v>
      </c>
      <c r="O2030">
        <v>1</v>
      </c>
      <c r="P2030">
        <v>0</v>
      </c>
      <c r="Q2030">
        <v>0</v>
      </c>
      <c r="R2030" t="s">
        <v>112</v>
      </c>
      <c r="S2030" t="str">
        <f>"14:24:11.234"</f>
        <v>14:24:11.234</v>
      </c>
      <c r="T2030" t="str">
        <f>"14:24:10.734"</f>
        <v>14:24:10.734</v>
      </c>
      <c r="U2030" t="str">
        <f t="shared" si="93"/>
        <v>ad5732</v>
      </c>
      <c r="V2030">
        <v>0</v>
      </c>
      <c r="W2030">
        <v>0</v>
      </c>
      <c r="X2030">
        <v>1</v>
      </c>
      <c r="Z2030">
        <v>0</v>
      </c>
      <c r="AA2030">
        <v>9</v>
      </c>
      <c r="AB2030">
        <v>3</v>
      </c>
      <c r="AC2030">
        <v>0</v>
      </c>
      <c r="AD2030">
        <v>10</v>
      </c>
      <c r="AE2030">
        <v>0</v>
      </c>
      <c r="AF2030">
        <v>3</v>
      </c>
      <c r="AG2030">
        <v>2</v>
      </c>
      <c r="AH2030">
        <v>0</v>
      </c>
      <c r="AI2030" t="s">
        <v>4165</v>
      </c>
      <c r="AJ2030">
        <v>39.848764000000003</v>
      </c>
      <c r="AK2030" t="s">
        <v>4166</v>
      </c>
      <c r="AL2030">
        <v>-75.841605999999999</v>
      </c>
      <c r="AM2030">
        <v>100</v>
      </c>
      <c r="AN2030">
        <v>4700</v>
      </c>
      <c r="AO2030" t="s">
        <v>115</v>
      </c>
      <c r="AP2030">
        <v>163</v>
      </c>
      <c r="AQ2030">
        <v>81</v>
      </c>
      <c r="AR2030">
        <v>-64</v>
      </c>
      <c r="AZ2030">
        <v>3614</v>
      </c>
      <c r="BA2030">
        <v>1</v>
      </c>
      <c r="BB2030" t="str">
        <f t="shared" si="95"/>
        <v xml:space="preserve">N959MJ  </v>
      </c>
      <c r="BC2030">
        <v>1</v>
      </c>
      <c r="BE2030">
        <v>0</v>
      </c>
      <c r="BF2030">
        <v>0</v>
      </c>
      <c r="BG2030">
        <v>0</v>
      </c>
      <c r="BH2030">
        <v>4900</v>
      </c>
      <c r="BI2030">
        <v>200</v>
      </c>
      <c r="BJ2030">
        <v>1</v>
      </c>
      <c r="BK2030">
        <v>1</v>
      </c>
      <c r="BL2030">
        <v>1</v>
      </c>
      <c r="BM2030">
        <v>0</v>
      </c>
      <c r="BP2030">
        <v>0</v>
      </c>
      <c r="BQ2030">
        <v>0</v>
      </c>
      <c r="BX2030" t="str">
        <f>"14:24:11.242"</f>
        <v>14:24:11.242</v>
      </c>
      <c r="BY2030" t="str">
        <f>"240028701"</f>
        <v>240028701</v>
      </c>
      <c r="CL2030">
        <v>0</v>
      </c>
      <c r="CM2030">
        <v>2</v>
      </c>
      <c r="CN2030">
        <v>0</v>
      </c>
      <c r="CO2030">
        <v>2</v>
      </c>
      <c r="CP2030">
        <v>0</v>
      </c>
      <c r="CQ2030">
        <v>7</v>
      </c>
      <c r="CR2030" t="s">
        <v>116</v>
      </c>
      <c r="CS2030">
        <v>39</v>
      </c>
      <c r="CT2030">
        <v>2</v>
      </c>
      <c r="CU2030" t="s">
        <v>2259</v>
      </c>
      <c r="CV2030" t="s">
        <v>2260</v>
      </c>
      <c r="CY2030">
        <v>16539197</v>
      </c>
      <c r="CZ2030" t="s">
        <v>119</v>
      </c>
    </row>
    <row r="2031" spans="1:104" x14ac:dyDescent="0.25">
      <c r="A2031" t="str">
        <f>"14:24:12.367"</f>
        <v>14:24:12.367</v>
      </c>
      <c r="B2031" t="s">
        <v>108</v>
      </c>
      <c r="C2031" t="str">
        <f t="shared" si="94"/>
        <v>ffdfd3c0</v>
      </c>
      <c r="D2031" t="s">
        <v>109</v>
      </c>
      <c r="E2031">
        <v>4</v>
      </c>
      <c r="F2031">
        <v>1004</v>
      </c>
      <c r="G2031" t="s">
        <v>110</v>
      </c>
      <c r="J2031" t="s">
        <v>111</v>
      </c>
      <c r="K2031">
        <v>0</v>
      </c>
      <c r="L2031">
        <v>3</v>
      </c>
      <c r="M2031">
        <v>0</v>
      </c>
      <c r="N2031">
        <v>2</v>
      </c>
      <c r="O2031">
        <v>1</v>
      </c>
      <c r="P2031">
        <v>0</v>
      </c>
      <c r="Q2031">
        <v>0</v>
      </c>
      <c r="R2031" t="s">
        <v>112</v>
      </c>
      <c r="S2031" t="str">
        <f>"14:24:12.180"</f>
        <v>14:24:12.180</v>
      </c>
      <c r="T2031" t="str">
        <f>"14:24:11.781"</f>
        <v>14:24:11.781</v>
      </c>
      <c r="U2031" t="str">
        <f t="shared" si="93"/>
        <v>ad5732</v>
      </c>
      <c r="V2031">
        <v>0</v>
      </c>
      <c r="W2031">
        <v>0</v>
      </c>
      <c r="X2031">
        <v>1</v>
      </c>
      <c r="Z2031">
        <v>0</v>
      </c>
      <c r="AA2031">
        <v>9</v>
      </c>
      <c r="AB2031">
        <v>3</v>
      </c>
      <c r="AC2031">
        <v>0</v>
      </c>
      <c r="AD2031">
        <v>10</v>
      </c>
      <c r="AE2031">
        <v>0</v>
      </c>
      <c r="AF2031">
        <v>3</v>
      </c>
      <c r="AG2031">
        <v>2</v>
      </c>
      <c r="AH2031">
        <v>0</v>
      </c>
      <c r="AI2031" t="s">
        <v>4167</v>
      </c>
      <c r="AJ2031">
        <v>39.849106999999997</v>
      </c>
      <c r="AK2031" t="s">
        <v>4168</v>
      </c>
      <c r="AL2031">
        <v>-75.840704000000002</v>
      </c>
      <c r="AM2031">
        <v>100</v>
      </c>
      <c r="AN2031">
        <v>4700</v>
      </c>
      <c r="AO2031" t="s">
        <v>115</v>
      </c>
      <c r="AP2031">
        <v>163</v>
      </c>
      <c r="AQ2031">
        <v>81</v>
      </c>
      <c r="AR2031">
        <v>-64</v>
      </c>
      <c r="AZ2031">
        <v>3614</v>
      </c>
      <c r="BA2031">
        <v>1</v>
      </c>
      <c r="BB2031" t="str">
        <f t="shared" si="95"/>
        <v xml:space="preserve">N959MJ  </v>
      </c>
      <c r="BC2031">
        <v>1</v>
      </c>
      <c r="BE2031">
        <v>0</v>
      </c>
      <c r="BF2031">
        <v>0</v>
      </c>
      <c r="BG2031">
        <v>0</v>
      </c>
      <c r="BH2031">
        <v>4900</v>
      </c>
      <c r="BI2031">
        <v>200</v>
      </c>
      <c r="BJ2031">
        <v>1</v>
      </c>
      <c r="BK2031">
        <v>1</v>
      </c>
      <c r="BL2031">
        <v>1</v>
      </c>
      <c r="BM2031">
        <v>0</v>
      </c>
      <c r="BP2031">
        <v>0</v>
      </c>
      <c r="BQ2031">
        <v>0</v>
      </c>
      <c r="BX2031" t="str">
        <f>"14:24:12.188"</f>
        <v>14:24:12.188</v>
      </c>
      <c r="BY2031" t="str">
        <f>"183762934"</f>
        <v>183762934</v>
      </c>
      <c r="CL2031">
        <v>0</v>
      </c>
      <c r="CM2031">
        <v>2</v>
      </c>
      <c r="CN2031">
        <v>0</v>
      </c>
      <c r="CO2031">
        <v>2</v>
      </c>
      <c r="CP2031">
        <v>0</v>
      </c>
      <c r="CQ2031">
        <v>7</v>
      </c>
      <c r="CR2031" t="s">
        <v>116</v>
      </c>
      <c r="CS2031">
        <v>39</v>
      </c>
      <c r="CT2031">
        <v>2</v>
      </c>
      <c r="CU2031" t="s">
        <v>2259</v>
      </c>
      <c r="CV2031" t="s">
        <v>2260</v>
      </c>
      <c r="CY2031">
        <v>16540722</v>
      </c>
      <c r="CZ2031" t="s">
        <v>119</v>
      </c>
    </row>
    <row r="2032" spans="1:104" x14ac:dyDescent="0.25">
      <c r="A2032" t="str">
        <f>"14:24:13.273"</f>
        <v>14:24:13.273</v>
      </c>
      <c r="B2032" t="s">
        <v>108</v>
      </c>
      <c r="C2032" t="str">
        <f t="shared" si="94"/>
        <v>ffdfd3c0</v>
      </c>
      <c r="D2032" t="s">
        <v>109</v>
      </c>
      <c r="E2032">
        <v>4</v>
      </c>
      <c r="F2032">
        <v>1004</v>
      </c>
      <c r="G2032" t="s">
        <v>110</v>
      </c>
      <c r="J2032" t="s">
        <v>111</v>
      </c>
      <c r="K2032">
        <v>0</v>
      </c>
      <c r="L2032">
        <v>3</v>
      </c>
      <c r="M2032">
        <v>0</v>
      </c>
      <c r="N2032">
        <v>2</v>
      </c>
      <c r="O2032">
        <v>1</v>
      </c>
      <c r="P2032">
        <v>0</v>
      </c>
      <c r="Q2032">
        <v>0</v>
      </c>
      <c r="R2032" t="s">
        <v>112</v>
      </c>
      <c r="S2032" t="str">
        <f>"14:24:13.117"</f>
        <v>14:24:13.117</v>
      </c>
      <c r="T2032" t="str">
        <f>"14:24:12.617"</f>
        <v>14:24:12.617</v>
      </c>
      <c r="U2032" t="str">
        <f t="shared" si="93"/>
        <v>ad5732</v>
      </c>
      <c r="V2032">
        <v>0</v>
      </c>
      <c r="W2032">
        <v>0</v>
      </c>
      <c r="X2032">
        <v>1</v>
      </c>
      <c r="Z2032">
        <v>0</v>
      </c>
      <c r="AA2032">
        <v>9</v>
      </c>
      <c r="AB2032">
        <v>3</v>
      </c>
      <c r="AC2032">
        <v>0</v>
      </c>
      <c r="AD2032">
        <v>10</v>
      </c>
      <c r="AE2032">
        <v>0</v>
      </c>
      <c r="AF2032">
        <v>3</v>
      </c>
      <c r="AG2032">
        <v>2</v>
      </c>
      <c r="AH2032">
        <v>0</v>
      </c>
      <c r="AI2032" t="s">
        <v>4169</v>
      </c>
      <c r="AJ2032">
        <v>39.849471999999999</v>
      </c>
      <c r="AK2032" t="s">
        <v>4170</v>
      </c>
      <c r="AL2032">
        <v>-75.839759999999998</v>
      </c>
      <c r="AM2032">
        <v>100</v>
      </c>
      <c r="AN2032">
        <v>4700</v>
      </c>
      <c r="AO2032" t="s">
        <v>115</v>
      </c>
      <c r="AP2032">
        <v>162</v>
      </c>
      <c r="AQ2032">
        <v>81</v>
      </c>
      <c r="AR2032">
        <v>-64</v>
      </c>
      <c r="AZ2032">
        <v>3614</v>
      </c>
      <c r="BA2032">
        <v>1</v>
      </c>
      <c r="BB2032" t="str">
        <f t="shared" si="95"/>
        <v xml:space="preserve">N959MJ  </v>
      </c>
      <c r="BC2032">
        <v>1</v>
      </c>
      <c r="BE2032">
        <v>0</v>
      </c>
      <c r="BF2032">
        <v>0</v>
      </c>
      <c r="BG2032">
        <v>0</v>
      </c>
      <c r="BH2032">
        <v>4900</v>
      </c>
      <c r="BI2032">
        <v>200</v>
      </c>
      <c r="BJ2032">
        <v>1</v>
      </c>
      <c r="BK2032">
        <v>1</v>
      </c>
      <c r="BL2032">
        <v>1</v>
      </c>
      <c r="BM2032">
        <v>0</v>
      </c>
      <c r="BP2032">
        <v>0</v>
      </c>
      <c r="BQ2032">
        <v>0</v>
      </c>
      <c r="BX2032" t="str">
        <f>"14:24:13.117"</f>
        <v>14:24:13.117</v>
      </c>
      <c r="BY2032" t="str">
        <f>"120943449"</f>
        <v>120943449</v>
      </c>
      <c r="CL2032">
        <v>0</v>
      </c>
      <c r="CM2032">
        <v>2</v>
      </c>
      <c r="CN2032">
        <v>0</v>
      </c>
      <c r="CO2032">
        <v>2</v>
      </c>
      <c r="CP2032">
        <v>0</v>
      </c>
      <c r="CQ2032">
        <v>7</v>
      </c>
      <c r="CR2032" t="s">
        <v>116</v>
      </c>
      <c r="CS2032">
        <v>39</v>
      </c>
      <c r="CT2032">
        <v>2</v>
      </c>
      <c r="CU2032" t="s">
        <v>2259</v>
      </c>
      <c r="CV2032" t="s">
        <v>2260</v>
      </c>
      <c r="CY2032">
        <v>16542211</v>
      </c>
      <c r="CZ2032" t="s">
        <v>119</v>
      </c>
    </row>
    <row r="2033" spans="1:104" x14ac:dyDescent="0.25">
      <c r="A2033" t="str">
        <f>"14:24:14.336"</f>
        <v>14:24:14.336</v>
      </c>
      <c r="B2033" t="s">
        <v>108</v>
      </c>
      <c r="C2033" t="str">
        <f t="shared" si="94"/>
        <v>ffdfd3c0</v>
      </c>
      <c r="D2033" t="s">
        <v>109</v>
      </c>
      <c r="E2033">
        <v>4</v>
      </c>
      <c r="F2033">
        <v>1004</v>
      </c>
      <c r="G2033" t="s">
        <v>110</v>
      </c>
      <c r="J2033" t="s">
        <v>111</v>
      </c>
      <c r="K2033">
        <v>0</v>
      </c>
      <c r="L2033">
        <v>3</v>
      </c>
      <c r="M2033">
        <v>0</v>
      </c>
      <c r="N2033">
        <v>2</v>
      </c>
      <c r="O2033">
        <v>1</v>
      </c>
      <c r="P2033">
        <v>0</v>
      </c>
      <c r="Q2033">
        <v>0</v>
      </c>
      <c r="R2033" t="s">
        <v>112</v>
      </c>
      <c r="S2033" t="str">
        <f>"14:24:14.141"</f>
        <v>14:24:14.141</v>
      </c>
      <c r="T2033" t="str">
        <f>"14:24:13.742"</f>
        <v>14:24:13.742</v>
      </c>
      <c r="U2033" t="str">
        <f t="shared" si="93"/>
        <v>ad5732</v>
      </c>
      <c r="V2033">
        <v>0</v>
      </c>
      <c r="W2033">
        <v>0</v>
      </c>
      <c r="X2033">
        <v>1</v>
      </c>
      <c r="Z2033">
        <v>0</v>
      </c>
      <c r="AA2033">
        <v>9</v>
      </c>
      <c r="AB2033">
        <v>3</v>
      </c>
      <c r="AC2033">
        <v>0</v>
      </c>
      <c r="AD2033">
        <v>10</v>
      </c>
      <c r="AE2033">
        <v>0</v>
      </c>
      <c r="AF2033">
        <v>3</v>
      </c>
      <c r="AG2033">
        <v>2</v>
      </c>
      <c r="AH2033">
        <v>0</v>
      </c>
      <c r="AI2033" t="s">
        <v>4171</v>
      </c>
      <c r="AJ2033">
        <v>39.849837000000001</v>
      </c>
      <c r="AK2033" t="s">
        <v>4172</v>
      </c>
      <c r="AL2033">
        <v>-75.838795000000005</v>
      </c>
      <c r="AM2033">
        <v>100</v>
      </c>
      <c r="AN2033">
        <v>4700</v>
      </c>
      <c r="AO2033" t="s">
        <v>115</v>
      </c>
      <c r="AP2033">
        <v>162</v>
      </c>
      <c r="AQ2033">
        <v>81</v>
      </c>
      <c r="AR2033">
        <v>0</v>
      </c>
      <c r="AZ2033">
        <v>3614</v>
      </c>
      <c r="BA2033">
        <v>1</v>
      </c>
      <c r="BB2033" t="str">
        <f t="shared" si="95"/>
        <v xml:space="preserve">N959MJ  </v>
      </c>
      <c r="BC2033">
        <v>1</v>
      </c>
      <c r="BE2033">
        <v>0</v>
      </c>
      <c r="BF2033">
        <v>0</v>
      </c>
      <c r="BG2033">
        <v>0</v>
      </c>
      <c r="BH2033">
        <v>4900</v>
      </c>
      <c r="BI2033">
        <v>200</v>
      </c>
      <c r="BJ2033">
        <v>1</v>
      </c>
      <c r="BK2033">
        <v>1</v>
      </c>
      <c r="BL2033">
        <v>1</v>
      </c>
      <c r="BM2033">
        <v>0</v>
      </c>
      <c r="BP2033">
        <v>0</v>
      </c>
      <c r="BQ2033">
        <v>0</v>
      </c>
      <c r="BX2033" t="str">
        <f>"14:24:14.141"</f>
        <v>14:24:14.141</v>
      </c>
      <c r="BY2033" t="str">
        <f>"143322203"</f>
        <v>143322203</v>
      </c>
      <c r="CL2033">
        <v>0</v>
      </c>
      <c r="CM2033">
        <v>2</v>
      </c>
      <c r="CN2033">
        <v>0</v>
      </c>
      <c r="CO2033">
        <v>2</v>
      </c>
      <c r="CP2033">
        <v>0</v>
      </c>
      <c r="CQ2033">
        <v>7</v>
      </c>
      <c r="CR2033" t="s">
        <v>116</v>
      </c>
      <c r="CS2033">
        <v>39</v>
      </c>
      <c r="CT2033">
        <v>2</v>
      </c>
      <c r="CU2033" t="s">
        <v>2259</v>
      </c>
      <c r="CV2033" t="s">
        <v>2260</v>
      </c>
      <c r="CY2033">
        <v>16543687</v>
      </c>
      <c r="CZ2033" t="s">
        <v>119</v>
      </c>
    </row>
    <row r="2034" spans="1:104" x14ac:dyDescent="0.25">
      <c r="A2034" t="str">
        <f>"14:24:15.344"</f>
        <v>14:24:15.344</v>
      </c>
      <c r="B2034" t="s">
        <v>108</v>
      </c>
      <c r="C2034" t="str">
        <f t="shared" si="94"/>
        <v>ffdfd3c0</v>
      </c>
      <c r="D2034" t="s">
        <v>109</v>
      </c>
      <c r="E2034">
        <v>4</v>
      </c>
      <c r="F2034">
        <v>1004</v>
      </c>
      <c r="G2034" t="s">
        <v>110</v>
      </c>
      <c r="J2034" t="s">
        <v>111</v>
      </c>
      <c r="K2034">
        <v>0</v>
      </c>
      <c r="L2034">
        <v>3</v>
      </c>
      <c r="M2034">
        <v>0</v>
      </c>
      <c r="N2034">
        <v>2</v>
      </c>
      <c r="O2034">
        <v>1</v>
      </c>
      <c r="P2034">
        <v>0</v>
      </c>
      <c r="Q2034">
        <v>0</v>
      </c>
      <c r="R2034" t="s">
        <v>112</v>
      </c>
      <c r="S2034" t="str">
        <f>"14:24:15.148"</f>
        <v>14:24:15.148</v>
      </c>
      <c r="T2034" t="str">
        <f>"14:24:14.648"</f>
        <v>14:24:14.648</v>
      </c>
      <c r="U2034" t="str">
        <f t="shared" si="93"/>
        <v>ad5732</v>
      </c>
      <c r="V2034">
        <v>0</v>
      </c>
      <c r="W2034">
        <v>0</v>
      </c>
      <c r="X2034">
        <v>1</v>
      </c>
      <c r="Z2034">
        <v>0</v>
      </c>
      <c r="AA2034">
        <v>9</v>
      </c>
      <c r="AB2034">
        <v>3</v>
      </c>
      <c r="AC2034">
        <v>0</v>
      </c>
      <c r="AD2034">
        <v>10</v>
      </c>
      <c r="AE2034">
        <v>0</v>
      </c>
      <c r="AF2034">
        <v>3</v>
      </c>
      <c r="AG2034">
        <v>2</v>
      </c>
      <c r="AH2034">
        <v>0</v>
      </c>
      <c r="AI2034" t="s">
        <v>4173</v>
      </c>
      <c r="AJ2034">
        <v>39.850202000000003</v>
      </c>
      <c r="AK2034" t="s">
        <v>4174</v>
      </c>
      <c r="AL2034">
        <v>-75.837785999999994</v>
      </c>
      <c r="AM2034">
        <v>100</v>
      </c>
      <c r="AN2034">
        <v>4700</v>
      </c>
      <c r="AO2034" t="s">
        <v>115</v>
      </c>
      <c r="AP2034">
        <v>162</v>
      </c>
      <c r="AQ2034">
        <v>81</v>
      </c>
      <c r="AR2034">
        <v>0</v>
      </c>
      <c r="AZ2034">
        <v>3614</v>
      </c>
      <c r="BA2034">
        <v>1</v>
      </c>
      <c r="BB2034" t="str">
        <f t="shared" si="95"/>
        <v xml:space="preserve">N959MJ  </v>
      </c>
      <c r="BC2034">
        <v>1</v>
      </c>
      <c r="BE2034">
        <v>0</v>
      </c>
      <c r="BF2034">
        <v>0</v>
      </c>
      <c r="BG2034">
        <v>0</v>
      </c>
      <c r="BH2034">
        <v>4900</v>
      </c>
      <c r="BI2034">
        <v>200</v>
      </c>
      <c r="BJ2034">
        <v>1</v>
      </c>
      <c r="BK2034">
        <v>1</v>
      </c>
      <c r="BL2034">
        <v>1</v>
      </c>
      <c r="BM2034">
        <v>0</v>
      </c>
      <c r="BP2034">
        <v>0</v>
      </c>
      <c r="BQ2034">
        <v>0</v>
      </c>
      <c r="BX2034" t="str">
        <f>"14:24:15.156"</f>
        <v>14:24:15.156</v>
      </c>
      <c r="BY2034" t="str">
        <f>"155870386"</f>
        <v>155870386</v>
      </c>
      <c r="CL2034">
        <v>0</v>
      </c>
      <c r="CM2034">
        <v>2</v>
      </c>
      <c r="CN2034">
        <v>0</v>
      </c>
      <c r="CO2034">
        <v>2</v>
      </c>
      <c r="CP2034">
        <v>0</v>
      </c>
      <c r="CQ2034">
        <v>7</v>
      </c>
      <c r="CR2034" t="s">
        <v>116</v>
      </c>
      <c r="CS2034">
        <v>39</v>
      </c>
      <c r="CT2034">
        <v>2</v>
      </c>
      <c r="CU2034" t="s">
        <v>2259</v>
      </c>
      <c r="CV2034" t="s">
        <v>2260</v>
      </c>
      <c r="CY2034">
        <v>16545211</v>
      </c>
      <c r="CZ2034" t="s">
        <v>119</v>
      </c>
    </row>
    <row r="2035" spans="1:104" x14ac:dyDescent="0.25">
      <c r="A2035" t="str">
        <f>"14:24:16.406"</f>
        <v>14:24:16.406</v>
      </c>
      <c r="B2035" t="s">
        <v>108</v>
      </c>
      <c r="C2035" t="str">
        <f t="shared" si="94"/>
        <v>ffdfd3c0</v>
      </c>
      <c r="D2035" t="s">
        <v>109</v>
      </c>
      <c r="E2035">
        <v>4</v>
      </c>
      <c r="F2035">
        <v>1004</v>
      </c>
      <c r="G2035" t="s">
        <v>110</v>
      </c>
      <c r="J2035" t="s">
        <v>111</v>
      </c>
      <c r="K2035">
        <v>0</v>
      </c>
      <c r="L2035">
        <v>3</v>
      </c>
      <c r="M2035">
        <v>0</v>
      </c>
      <c r="N2035">
        <v>2</v>
      </c>
      <c r="O2035">
        <v>1</v>
      </c>
      <c r="P2035">
        <v>0</v>
      </c>
      <c r="Q2035">
        <v>0</v>
      </c>
      <c r="R2035" t="s">
        <v>112</v>
      </c>
      <c r="S2035" t="str">
        <f>"14:24:16.211"</f>
        <v>14:24:16.211</v>
      </c>
      <c r="T2035" t="str">
        <f>"14:24:15.813"</f>
        <v>14:24:15.813</v>
      </c>
      <c r="U2035" t="str">
        <f t="shared" si="93"/>
        <v>ad5732</v>
      </c>
      <c r="V2035">
        <v>0</v>
      </c>
      <c r="W2035">
        <v>0</v>
      </c>
      <c r="X2035">
        <v>1</v>
      </c>
      <c r="Z2035">
        <v>0</v>
      </c>
      <c r="AA2035">
        <v>9</v>
      </c>
      <c r="AB2035">
        <v>3</v>
      </c>
      <c r="AC2035">
        <v>0</v>
      </c>
      <c r="AD2035">
        <v>10</v>
      </c>
      <c r="AE2035">
        <v>0</v>
      </c>
      <c r="AF2035">
        <v>3</v>
      </c>
      <c r="AG2035">
        <v>2</v>
      </c>
      <c r="AH2035">
        <v>0</v>
      </c>
      <c r="AI2035" t="s">
        <v>4175</v>
      </c>
      <c r="AJ2035">
        <v>39.850631</v>
      </c>
      <c r="AK2035" t="s">
        <v>4176</v>
      </c>
      <c r="AL2035">
        <v>-75.836735000000004</v>
      </c>
      <c r="AM2035">
        <v>100</v>
      </c>
      <c r="AN2035">
        <v>4700</v>
      </c>
      <c r="AO2035" t="s">
        <v>115</v>
      </c>
      <c r="AP2035">
        <v>162</v>
      </c>
      <c r="AQ2035">
        <v>81</v>
      </c>
      <c r="AR2035">
        <v>0</v>
      </c>
      <c r="AZ2035">
        <v>3614</v>
      </c>
      <c r="BA2035">
        <v>1</v>
      </c>
      <c r="BB2035" t="str">
        <f t="shared" si="95"/>
        <v xml:space="preserve">N959MJ  </v>
      </c>
      <c r="BC2035">
        <v>1</v>
      </c>
      <c r="BE2035">
        <v>0</v>
      </c>
      <c r="BF2035">
        <v>0</v>
      </c>
      <c r="BG2035">
        <v>0</v>
      </c>
      <c r="BH2035">
        <v>4900</v>
      </c>
      <c r="BI2035">
        <v>200</v>
      </c>
      <c r="BJ2035">
        <v>1</v>
      </c>
      <c r="BK2035">
        <v>1</v>
      </c>
      <c r="BL2035">
        <v>1</v>
      </c>
      <c r="BM2035">
        <v>0</v>
      </c>
      <c r="BP2035">
        <v>0</v>
      </c>
      <c r="BQ2035">
        <v>0</v>
      </c>
      <c r="BX2035" t="str">
        <f>"14:24:16.219"</f>
        <v>14:24:16.219</v>
      </c>
      <c r="BY2035" t="str">
        <f>"217571298"</f>
        <v>217571298</v>
      </c>
      <c r="CL2035">
        <v>0</v>
      </c>
      <c r="CM2035">
        <v>2</v>
      </c>
      <c r="CN2035">
        <v>0</v>
      </c>
      <c r="CO2035">
        <v>2</v>
      </c>
      <c r="CP2035">
        <v>0</v>
      </c>
      <c r="CQ2035">
        <v>7</v>
      </c>
      <c r="CR2035" t="s">
        <v>116</v>
      </c>
      <c r="CS2035">
        <v>39</v>
      </c>
      <c r="CT2035">
        <v>2</v>
      </c>
      <c r="CU2035" t="s">
        <v>2259</v>
      </c>
      <c r="CV2035" t="s">
        <v>2260</v>
      </c>
      <c r="CY2035">
        <v>16546941</v>
      </c>
      <c r="CZ2035" t="s">
        <v>119</v>
      </c>
    </row>
    <row r="2036" spans="1:104" x14ac:dyDescent="0.25">
      <c r="A2036" t="str">
        <f>"14:24:17.469"</f>
        <v>14:24:17.469</v>
      </c>
      <c r="B2036" t="s">
        <v>108</v>
      </c>
      <c r="C2036" t="str">
        <f t="shared" si="94"/>
        <v>ffdfd3c0</v>
      </c>
      <c r="D2036" t="s">
        <v>109</v>
      </c>
      <c r="E2036">
        <v>4</v>
      </c>
      <c r="F2036">
        <v>1004</v>
      </c>
      <c r="G2036" t="s">
        <v>110</v>
      </c>
      <c r="J2036" t="s">
        <v>111</v>
      </c>
      <c r="K2036">
        <v>0</v>
      </c>
      <c r="L2036">
        <v>3</v>
      </c>
      <c r="M2036">
        <v>0</v>
      </c>
      <c r="N2036">
        <v>2</v>
      </c>
      <c r="O2036">
        <v>1</v>
      </c>
      <c r="P2036">
        <v>0</v>
      </c>
      <c r="Q2036">
        <v>0</v>
      </c>
      <c r="R2036" t="s">
        <v>112</v>
      </c>
      <c r="S2036" t="str">
        <f>"14:24:17.281"</f>
        <v>14:24:17.281</v>
      </c>
      <c r="T2036" t="str">
        <f>"14:24:16.781"</f>
        <v>14:24:16.781</v>
      </c>
      <c r="U2036" t="str">
        <f t="shared" si="93"/>
        <v>ad5732</v>
      </c>
      <c r="V2036">
        <v>0</v>
      </c>
      <c r="W2036">
        <v>0</v>
      </c>
      <c r="X2036">
        <v>1</v>
      </c>
      <c r="Z2036">
        <v>0</v>
      </c>
      <c r="AA2036">
        <v>9</v>
      </c>
      <c r="AB2036">
        <v>3</v>
      </c>
      <c r="AC2036">
        <v>0</v>
      </c>
      <c r="AD2036">
        <v>10</v>
      </c>
      <c r="AE2036">
        <v>0</v>
      </c>
      <c r="AF2036">
        <v>3</v>
      </c>
      <c r="AG2036">
        <v>2</v>
      </c>
      <c r="AH2036">
        <v>0</v>
      </c>
      <c r="AI2036" t="s">
        <v>4177</v>
      </c>
      <c r="AJ2036">
        <v>39.850996000000002</v>
      </c>
      <c r="AK2036" t="s">
        <v>4178</v>
      </c>
      <c r="AL2036">
        <v>-75.835747999999995</v>
      </c>
      <c r="AM2036">
        <v>100</v>
      </c>
      <c r="AN2036">
        <v>4700</v>
      </c>
      <c r="AO2036" t="s">
        <v>115</v>
      </c>
      <c r="AP2036">
        <v>162</v>
      </c>
      <c r="AQ2036">
        <v>81</v>
      </c>
      <c r="AR2036">
        <v>0</v>
      </c>
      <c r="AZ2036">
        <v>3614</v>
      </c>
      <c r="BA2036">
        <v>1</v>
      </c>
      <c r="BB2036" t="str">
        <f t="shared" si="95"/>
        <v xml:space="preserve">N959MJ  </v>
      </c>
      <c r="BC2036">
        <v>1</v>
      </c>
      <c r="BE2036">
        <v>0</v>
      </c>
      <c r="BF2036">
        <v>0</v>
      </c>
      <c r="BG2036">
        <v>0</v>
      </c>
      <c r="BH2036">
        <v>4900</v>
      </c>
      <c r="BI2036">
        <v>200</v>
      </c>
      <c r="BJ2036">
        <v>1</v>
      </c>
      <c r="BK2036">
        <v>1</v>
      </c>
      <c r="BL2036">
        <v>1</v>
      </c>
      <c r="BM2036">
        <v>0</v>
      </c>
      <c r="BP2036">
        <v>0</v>
      </c>
      <c r="BQ2036">
        <v>0</v>
      </c>
      <c r="BX2036" t="str">
        <f>"14:24:17.281"</f>
        <v>14:24:17.281</v>
      </c>
      <c r="BY2036" t="str">
        <f>"282549313"</f>
        <v>282549313</v>
      </c>
      <c r="CL2036">
        <v>0</v>
      </c>
      <c r="CM2036">
        <v>2</v>
      </c>
      <c r="CN2036">
        <v>0</v>
      </c>
      <c r="CO2036">
        <v>2</v>
      </c>
      <c r="CP2036">
        <v>0</v>
      </c>
      <c r="CQ2036">
        <v>7</v>
      </c>
      <c r="CR2036" t="s">
        <v>116</v>
      </c>
      <c r="CS2036">
        <v>39</v>
      </c>
      <c r="CT2036">
        <v>2</v>
      </c>
      <c r="CU2036" t="s">
        <v>2259</v>
      </c>
      <c r="CV2036" t="s">
        <v>2260</v>
      </c>
      <c r="CY2036">
        <v>16548585</v>
      </c>
      <c r="CZ2036" t="s">
        <v>119</v>
      </c>
    </row>
    <row r="2037" spans="1:104" x14ac:dyDescent="0.25">
      <c r="A2037" t="str">
        <f>"14:24:18.477"</f>
        <v>14:24:18.477</v>
      </c>
      <c r="B2037" t="s">
        <v>108</v>
      </c>
      <c r="C2037" t="str">
        <f t="shared" si="94"/>
        <v>ffdfd3c0</v>
      </c>
      <c r="D2037" t="s">
        <v>109</v>
      </c>
      <c r="E2037">
        <v>4</v>
      </c>
      <c r="F2037">
        <v>1004</v>
      </c>
      <c r="G2037" t="s">
        <v>110</v>
      </c>
      <c r="J2037" t="s">
        <v>111</v>
      </c>
      <c r="K2037">
        <v>0</v>
      </c>
      <c r="L2037">
        <v>3</v>
      </c>
      <c r="M2037">
        <v>0</v>
      </c>
      <c r="N2037">
        <v>2</v>
      </c>
      <c r="O2037">
        <v>1</v>
      </c>
      <c r="P2037">
        <v>0</v>
      </c>
      <c r="Q2037">
        <v>0</v>
      </c>
      <c r="R2037" t="s">
        <v>112</v>
      </c>
      <c r="S2037" t="str">
        <f>"14:24:18.266"</f>
        <v>14:24:18.266</v>
      </c>
      <c r="T2037" t="str">
        <f>"14:24:17.867"</f>
        <v>14:24:17.867</v>
      </c>
      <c r="U2037" t="str">
        <f t="shared" si="93"/>
        <v>ad5732</v>
      </c>
      <c r="V2037">
        <v>0</v>
      </c>
      <c r="W2037">
        <v>0</v>
      </c>
      <c r="X2037">
        <v>1</v>
      </c>
      <c r="Z2037">
        <v>0</v>
      </c>
      <c r="AA2037">
        <v>9</v>
      </c>
      <c r="AB2037">
        <v>3</v>
      </c>
      <c r="AC2037">
        <v>0</v>
      </c>
      <c r="AD2037">
        <v>10</v>
      </c>
      <c r="AE2037">
        <v>0</v>
      </c>
      <c r="AF2037">
        <v>3</v>
      </c>
      <c r="AG2037">
        <v>2</v>
      </c>
      <c r="AH2037">
        <v>0</v>
      </c>
      <c r="AI2037" t="s">
        <v>4179</v>
      </c>
      <c r="AJ2037">
        <v>39.85136</v>
      </c>
      <c r="AK2037" t="s">
        <v>4180</v>
      </c>
      <c r="AL2037">
        <v>-75.834782000000004</v>
      </c>
      <c r="AM2037">
        <v>100</v>
      </c>
      <c r="AN2037">
        <v>4700</v>
      </c>
      <c r="AO2037" t="s">
        <v>115</v>
      </c>
      <c r="AP2037">
        <v>162</v>
      </c>
      <c r="AQ2037">
        <v>81</v>
      </c>
      <c r="AR2037">
        <v>64</v>
      </c>
      <c r="AZ2037">
        <v>3614</v>
      </c>
      <c r="BA2037">
        <v>1</v>
      </c>
      <c r="BB2037" t="str">
        <f t="shared" si="95"/>
        <v xml:space="preserve">N959MJ  </v>
      </c>
      <c r="BC2037">
        <v>1</v>
      </c>
      <c r="BE2037">
        <v>0</v>
      </c>
      <c r="BF2037">
        <v>0</v>
      </c>
      <c r="BG2037">
        <v>0</v>
      </c>
      <c r="BH2037">
        <v>4900</v>
      </c>
      <c r="BI2037">
        <v>200</v>
      </c>
      <c r="BJ2037">
        <v>1</v>
      </c>
      <c r="BK2037">
        <v>1</v>
      </c>
      <c r="BL2037">
        <v>1</v>
      </c>
      <c r="BM2037">
        <v>0</v>
      </c>
      <c r="BP2037">
        <v>0</v>
      </c>
      <c r="BQ2037">
        <v>0</v>
      </c>
      <c r="BX2037" t="str">
        <f>"14:24:18.266"</f>
        <v>14:24:18.266</v>
      </c>
      <c r="BY2037" t="str">
        <f>"268882605"</f>
        <v>268882605</v>
      </c>
      <c r="CL2037">
        <v>0</v>
      </c>
      <c r="CM2037">
        <v>2</v>
      </c>
      <c r="CN2037">
        <v>0</v>
      </c>
      <c r="CO2037">
        <v>2</v>
      </c>
      <c r="CP2037">
        <v>0</v>
      </c>
      <c r="CQ2037">
        <v>7</v>
      </c>
      <c r="CR2037" t="s">
        <v>116</v>
      </c>
      <c r="CS2037">
        <v>39</v>
      </c>
      <c r="CT2037">
        <v>2</v>
      </c>
      <c r="CU2037" t="s">
        <v>2259</v>
      </c>
      <c r="CV2037" t="s">
        <v>2260</v>
      </c>
      <c r="CY2037">
        <v>16550124</v>
      </c>
      <c r="CZ2037" t="s">
        <v>119</v>
      </c>
    </row>
    <row r="2038" spans="1:104" x14ac:dyDescent="0.25">
      <c r="A2038" t="str">
        <f>"14:24:19.438"</f>
        <v>14:24:19.438</v>
      </c>
      <c r="B2038" t="s">
        <v>108</v>
      </c>
      <c r="C2038" t="str">
        <f t="shared" si="94"/>
        <v>ffdfd3c0</v>
      </c>
      <c r="D2038" t="s">
        <v>109</v>
      </c>
      <c r="E2038">
        <v>4</v>
      </c>
      <c r="F2038">
        <v>1004</v>
      </c>
      <c r="G2038" t="s">
        <v>110</v>
      </c>
      <c r="J2038" t="s">
        <v>111</v>
      </c>
      <c r="K2038">
        <v>0</v>
      </c>
      <c r="L2038">
        <v>3</v>
      </c>
      <c r="M2038">
        <v>0</v>
      </c>
      <c r="N2038">
        <v>2</v>
      </c>
      <c r="O2038">
        <v>1</v>
      </c>
      <c r="P2038">
        <v>0</v>
      </c>
      <c r="Q2038">
        <v>0</v>
      </c>
      <c r="R2038" t="s">
        <v>112</v>
      </c>
      <c r="S2038" t="str">
        <f>"14:24:19.234"</f>
        <v>14:24:19.234</v>
      </c>
      <c r="T2038" t="str">
        <f>"14:24:18.836"</f>
        <v>14:24:18.836</v>
      </c>
      <c r="U2038" t="str">
        <f t="shared" si="93"/>
        <v>ad5732</v>
      </c>
      <c r="V2038">
        <v>0</v>
      </c>
      <c r="W2038">
        <v>0</v>
      </c>
      <c r="X2038">
        <v>1</v>
      </c>
      <c r="Z2038">
        <v>0</v>
      </c>
      <c r="AA2038">
        <v>9</v>
      </c>
      <c r="AB2038">
        <v>3</v>
      </c>
      <c r="AC2038">
        <v>0</v>
      </c>
      <c r="AD2038">
        <v>10</v>
      </c>
      <c r="AE2038">
        <v>0</v>
      </c>
      <c r="AF2038">
        <v>3</v>
      </c>
      <c r="AG2038">
        <v>2</v>
      </c>
      <c r="AH2038">
        <v>0</v>
      </c>
      <c r="AI2038" t="s">
        <v>4181</v>
      </c>
      <c r="AJ2038">
        <v>39.851747000000003</v>
      </c>
      <c r="AK2038" t="s">
        <v>4182</v>
      </c>
      <c r="AL2038">
        <v>-75.833794999999995</v>
      </c>
      <c r="AM2038">
        <v>100</v>
      </c>
      <c r="AN2038">
        <v>4700</v>
      </c>
      <c r="AO2038" t="s">
        <v>115</v>
      </c>
      <c r="AP2038">
        <v>162</v>
      </c>
      <c r="AQ2038">
        <v>81</v>
      </c>
      <c r="AR2038">
        <v>0</v>
      </c>
      <c r="AZ2038">
        <v>3614</v>
      </c>
      <c r="BA2038">
        <v>1</v>
      </c>
      <c r="BB2038" t="str">
        <f t="shared" si="95"/>
        <v xml:space="preserve">N959MJ  </v>
      </c>
      <c r="BC2038">
        <v>1</v>
      </c>
      <c r="BE2038">
        <v>0</v>
      </c>
      <c r="BF2038">
        <v>0</v>
      </c>
      <c r="BG2038">
        <v>0</v>
      </c>
      <c r="BH2038">
        <v>4900</v>
      </c>
      <c r="BI2038">
        <v>200</v>
      </c>
      <c r="BJ2038">
        <v>1</v>
      </c>
      <c r="BK2038">
        <v>1</v>
      </c>
      <c r="BL2038">
        <v>1</v>
      </c>
      <c r="BM2038">
        <v>0</v>
      </c>
      <c r="BP2038">
        <v>0</v>
      </c>
      <c r="BQ2038">
        <v>0</v>
      </c>
      <c r="BX2038" t="str">
        <f>"14:24:19.242"</f>
        <v>14:24:19.242</v>
      </c>
      <c r="BY2038" t="str">
        <f>"242108630"</f>
        <v>242108630</v>
      </c>
      <c r="CL2038">
        <v>0</v>
      </c>
      <c r="CM2038">
        <v>2</v>
      </c>
      <c r="CN2038">
        <v>0</v>
      </c>
      <c r="CO2038">
        <v>2</v>
      </c>
      <c r="CP2038">
        <v>0</v>
      </c>
      <c r="CQ2038">
        <v>7</v>
      </c>
      <c r="CR2038" t="s">
        <v>116</v>
      </c>
      <c r="CS2038">
        <v>39</v>
      </c>
      <c r="CT2038">
        <v>2</v>
      </c>
      <c r="CU2038" t="s">
        <v>2259</v>
      </c>
      <c r="CV2038" t="s">
        <v>2260</v>
      </c>
      <c r="CY2038">
        <v>16551581</v>
      </c>
      <c r="CZ2038" t="s">
        <v>119</v>
      </c>
    </row>
    <row r="2039" spans="1:104" x14ac:dyDescent="0.25">
      <c r="A2039" t="str">
        <f>"14:24:20.492"</f>
        <v>14:24:20.492</v>
      </c>
      <c r="B2039" t="s">
        <v>108</v>
      </c>
      <c r="C2039" t="str">
        <f t="shared" si="94"/>
        <v>ffdfd3c0</v>
      </c>
      <c r="D2039" t="s">
        <v>109</v>
      </c>
      <c r="E2039">
        <v>4</v>
      </c>
      <c r="F2039">
        <v>1004</v>
      </c>
      <c r="G2039" t="s">
        <v>110</v>
      </c>
      <c r="J2039" t="s">
        <v>111</v>
      </c>
      <c r="K2039">
        <v>0</v>
      </c>
      <c r="L2039">
        <v>3</v>
      </c>
      <c r="M2039">
        <v>0</v>
      </c>
      <c r="N2039">
        <v>2</v>
      </c>
      <c r="O2039">
        <v>1</v>
      </c>
      <c r="P2039">
        <v>0</v>
      </c>
      <c r="Q2039">
        <v>0</v>
      </c>
      <c r="R2039" t="s">
        <v>112</v>
      </c>
      <c r="S2039" t="str">
        <f>"14:24:20.313"</f>
        <v>14:24:20.313</v>
      </c>
      <c r="T2039" t="str">
        <f>"14:24:19.813"</f>
        <v>14:24:19.813</v>
      </c>
      <c r="U2039" t="str">
        <f t="shared" si="93"/>
        <v>ad5732</v>
      </c>
      <c r="V2039">
        <v>0</v>
      </c>
      <c r="W2039">
        <v>0</v>
      </c>
      <c r="X2039">
        <v>1</v>
      </c>
      <c r="Z2039">
        <v>0</v>
      </c>
      <c r="AA2039">
        <v>9</v>
      </c>
      <c r="AB2039">
        <v>3</v>
      </c>
      <c r="AC2039">
        <v>0</v>
      </c>
      <c r="AD2039">
        <v>10</v>
      </c>
      <c r="AE2039">
        <v>0</v>
      </c>
      <c r="AF2039">
        <v>3</v>
      </c>
      <c r="AG2039">
        <v>2</v>
      </c>
      <c r="AH2039">
        <v>0</v>
      </c>
      <c r="AI2039" t="s">
        <v>4183</v>
      </c>
      <c r="AJ2039">
        <v>39.852176</v>
      </c>
      <c r="AK2039" t="s">
        <v>4184</v>
      </c>
      <c r="AL2039">
        <v>-75.832722000000004</v>
      </c>
      <c r="AM2039">
        <v>100</v>
      </c>
      <c r="AN2039">
        <v>4700</v>
      </c>
      <c r="AO2039" t="s">
        <v>115</v>
      </c>
      <c r="AP2039">
        <v>162</v>
      </c>
      <c r="AQ2039">
        <v>81</v>
      </c>
      <c r="AR2039">
        <v>0</v>
      </c>
      <c r="AZ2039">
        <v>3614</v>
      </c>
      <c r="BA2039">
        <v>1</v>
      </c>
      <c r="BB2039" t="str">
        <f t="shared" si="95"/>
        <v xml:space="preserve">N959MJ  </v>
      </c>
      <c r="BC2039">
        <v>1</v>
      </c>
      <c r="BE2039">
        <v>0</v>
      </c>
      <c r="BF2039">
        <v>0</v>
      </c>
      <c r="BG2039">
        <v>0</v>
      </c>
      <c r="BH2039">
        <v>4900</v>
      </c>
      <c r="BI2039">
        <v>200</v>
      </c>
      <c r="BJ2039">
        <v>1</v>
      </c>
      <c r="BK2039">
        <v>1</v>
      </c>
      <c r="BL2039">
        <v>1</v>
      </c>
      <c r="BM2039">
        <v>0</v>
      </c>
      <c r="BP2039">
        <v>0</v>
      </c>
      <c r="BQ2039">
        <v>0</v>
      </c>
      <c r="BX2039" t="str">
        <f>"14:24:20.313"</f>
        <v>14:24:20.313</v>
      </c>
      <c r="BY2039" t="str">
        <f>"313640110"</f>
        <v>313640110</v>
      </c>
      <c r="CL2039">
        <v>0</v>
      </c>
      <c r="CM2039">
        <v>2</v>
      </c>
      <c r="CN2039">
        <v>0</v>
      </c>
      <c r="CO2039">
        <v>2</v>
      </c>
      <c r="CP2039">
        <v>0</v>
      </c>
      <c r="CQ2039">
        <v>7</v>
      </c>
      <c r="CR2039" t="s">
        <v>116</v>
      </c>
      <c r="CS2039">
        <v>39</v>
      </c>
      <c r="CT2039">
        <v>2</v>
      </c>
      <c r="CU2039" t="s">
        <v>2259</v>
      </c>
      <c r="CV2039" t="s">
        <v>2260</v>
      </c>
      <c r="CY2039">
        <v>16553295</v>
      </c>
      <c r="CZ2039" t="s">
        <v>119</v>
      </c>
    </row>
    <row r="2040" spans="1:104" x14ac:dyDescent="0.25">
      <c r="A2040" t="str">
        <f>"14:24:21.453"</f>
        <v>14:24:21.453</v>
      </c>
      <c r="B2040" t="s">
        <v>108</v>
      </c>
      <c r="C2040" t="str">
        <f t="shared" si="94"/>
        <v>ffdfd3c0</v>
      </c>
      <c r="D2040" t="s">
        <v>109</v>
      </c>
      <c r="E2040">
        <v>4</v>
      </c>
      <c r="F2040">
        <v>1004</v>
      </c>
      <c r="G2040" t="s">
        <v>110</v>
      </c>
      <c r="J2040" t="s">
        <v>111</v>
      </c>
      <c r="K2040">
        <v>0</v>
      </c>
      <c r="L2040">
        <v>3</v>
      </c>
      <c r="M2040">
        <v>0</v>
      </c>
      <c r="N2040">
        <v>2</v>
      </c>
      <c r="O2040">
        <v>1</v>
      </c>
      <c r="P2040">
        <v>0</v>
      </c>
      <c r="Q2040">
        <v>0</v>
      </c>
      <c r="R2040" t="s">
        <v>112</v>
      </c>
      <c r="S2040" t="str">
        <f>"14:24:21.281"</f>
        <v>14:24:21.281</v>
      </c>
      <c r="T2040" t="str">
        <f>"14:24:20.781"</f>
        <v>14:24:20.781</v>
      </c>
      <c r="U2040" t="str">
        <f t="shared" si="93"/>
        <v>ad5732</v>
      </c>
      <c r="V2040">
        <v>0</v>
      </c>
      <c r="W2040">
        <v>0</v>
      </c>
      <c r="X2040">
        <v>1</v>
      </c>
      <c r="Z2040">
        <v>0</v>
      </c>
      <c r="AA2040">
        <v>9</v>
      </c>
      <c r="AB2040">
        <v>3</v>
      </c>
      <c r="AC2040">
        <v>0</v>
      </c>
      <c r="AD2040">
        <v>10</v>
      </c>
      <c r="AE2040">
        <v>0</v>
      </c>
      <c r="AF2040">
        <v>3</v>
      </c>
      <c r="AG2040">
        <v>2</v>
      </c>
      <c r="AH2040">
        <v>0</v>
      </c>
      <c r="AI2040" t="s">
        <v>4185</v>
      </c>
      <c r="AJ2040">
        <v>39.852476000000003</v>
      </c>
      <c r="AK2040" t="s">
        <v>4186</v>
      </c>
      <c r="AL2040">
        <v>-75.831841999999995</v>
      </c>
      <c r="AM2040">
        <v>100</v>
      </c>
      <c r="AN2040">
        <v>4700</v>
      </c>
      <c r="AO2040" t="s">
        <v>115</v>
      </c>
      <c r="AP2040">
        <v>162</v>
      </c>
      <c r="AQ2040">
        <v>81</v>
      </c>
      <c r="AR2040">
        <v>0</v>
      </c>
      <c r="AZ2040">
        <v>3614</v>
      </c>
      <c r="BA2040">
        <v>1</v>
      </c>
      <c r="BB2040" t="str">
        <f t="shared" si="95"/>
        <v xml:space="preserve">N959MJ  </v>
      </c>
      <c r="BC2040">
        <v>1</v>
      </c>
      <c r="BE2040">
        <v>0</v>
      </c>
      <c r="BF2040">
        <v>0</v>
      </c>
      <c r="BG2040">
        <v>0</v>
      </c>
      <c r="BH2040">
        <v>4900</v>
      </c>
      <c r="BI2040">
        <v>200</v>
      </c>
      <c r="BJ2040">
        <v>1</v>
      </c>
      <c r="BK2040">
        <v>1</v>
      </c>
      <c r="BL2040">
        <v>1</v>
      </c>
      <c r="BM2040">
        <v>0</v>
      </c>
      <c r="BP2040">
        <v>0</v>
      </c>
      <c r="BQ2040">
        <v>0</v>
      </c>
      <c r="BX2040" t="str">
        <f>"14:24:21.289"</f>
        <v>14:24:21.289</v>
      </c>
      <c r="BY2040" t="str">
        <f>"285227662"</f>
        <v>285227662</v>
      </c>
      <c r="CL2040">
        <v>0</v>
      </c>
      <c r="CM2040">
        <v>2</v>
      </c>
      <c r="CN2040">
        <v>0</v>
      </c>
      <c r="CO2040">
        <v>2</v>
      </c>
      <c r="CP2040">
        <v>0</v>
      </c>
      <c r="CQ2040">
        <v>7</v>
      </c>
      <c r="CR2040" t="s">
        <v>116</v>
      </c>
      <c r="CS2040">
        <v>39</v>
      </c>
      <c r="CT2040">
        <v>2</v>
      </c>
      <c r="CU2040" t="s">
        <v>2259</v>
      </c>
      <c r="CV2040" t="s">
        <v>2260</v>
      </c>
      <c r="CY2040">
        <v>16554929</v>
      </c>
      <c r="CZ2040" t="s">
        <v>119</v>
      </c>
    </row>
    <row r="2041" spans="1:104" x14ac:dyDescent="0.25">
      <c r="A2041" t="str">
        <f>"14:24:22.414"</f>
        <v>14:24:22.414</v>
      </c>
      <c r="B2041" t="s">
        <v>108</v>
      </c>
      <c r="C2041" t="str">
        <f t="shared" si="94"/>
        <v>ffdfd3c0</v>
      </c>
      <c r="D2041" t="s">
        <v>109</v>
      </c>
      <c r="E2041">
        <v>4</v>
      </c>
      <c r="F2041">
        <v>1004</v>
      </c>
      <c r="G2041" t="s">
        <v>110</v>
      </c>
      <c r="J2041" t="s">
        <v>111</v>
      </c>
      <c r="K2041">
        <v>0</v>
      </c>
      <c r="L2041">
        <v>3</v>
      </c>
      <c r="M2041">
        <v>0</v>
      </c>
      <c r="N2041">
        <v>2</v>
      </c>
      <c r="O2041">
        <v>1</v>
      </c>
      <c r="P2041">
        <v>0</v>
      </c>
      <c r="Q2041">
        <v>0</v>
      </c>
      <c r="R2041" t="s">
        <v>112</v>
      </c>
      <c r="S2041" t="str">
        <f>"14:24:22.219"</f>
        <v>14:24:22.219</v>
      </c>
      <c r="T2041" t="str">
        <f>"14:24:21.820"</f>
        <v>14:24:21.820</v>
      </c>
      <c r="U2041" t="str">
        <f t="shared" si="93"/>
        <v>ad5732</v>
      </c>
      <c r="V2041">
        <v>0</v>
      </c>
      <c r="W2041">
        <v>0</v>
      </c>
      <c r="X2041">
        <v>1</v>
      </c>
      <c r="Z2041">
        <v>0</v>
      </c>
      <c r="AA2041">
        <v>9</v>
      </c>
      <c r="AB2041">
        <v>3</v>
      </c>
      <c r="AC2041">
        <v>0</v>
      </c>
      <c r="AD2041">
        <v>10</v>
      </c>
      <c r="AE2041">
        <v>0</v>
      </c>
      <c r="AF2041">
        <v>3</v>
      </c>
      <c r="AG2041">
        <v>2</v>
      </c>
      <c r="AH2041">
        <v>0</v>
      </c>
      <c r="AI2041" t="s">
        <v>4187</v>
      </c>
      <c r="AJ2041">
        <v>39.852862000000002</v>
      </c>
      <c r="AK2041" t="s">
        <v>4188</v>
      </c>
      <c r="AL2041">
        <v>-75.830877000000001</v>
      </c>
      <c r="AM2041">
        <v>100</v>
      </c>
      <c r="AN2041">
        <v>4700</v>
      </c>
      <c r="AO2041" t="s">
        <v>115</v>
      </c>
      <c r="AP2041">
        <v>162</v>
      </c>
      <c r="AQ2041">
        <v>81</v>
      </c>
      <c r="AR2041">
        <v>0</v>
      </c>
      <c r="AZ2041">
        <v>3614</v>
      </c>
      <c r="BA2041">
        <v>1</v>
      </c>
      <c r="BB2041" t="str">
        <f t="shared" si="95"/>
        <v xml:space="preserve">N959MJ  </v>
      </c>
      <c r="BC2041">
        <v>1</v>
      </c>
      <c r="BE2041">
        <v>0</v>
      </c>
      <c r="BF2041">
        <v>0</v>
      </c>
      <c r="BG2041">
        <v>0</v>
      </c>
      <c r="BH2041">
        <v>4900</v>
      </c>
      <c r="BI2041">
        <v>200</v>
      </c>
      <c r="BJ2041">
        <v>1</v>
      </c>
      <c r="BK2041">
        <v>1</v>
      </c>
      <c r="BL2041">
        <v>1</v>
      </c>
      <c r="BM2041">
        <v>0</v>
      </c>
      <c r="BP2041">
        <v>0</v>
      </c>
      <c r="BQ2041">
        <v>0</v>
      </c>
      <c r="BX2041" t="str">
        <f>"14:24:22.227"</f>
        <v>14:24:22.227</v>
      </c>
      <c r="BY2041" t="str">
        <f>"224046560"</f>
        <v>224046560</v>
      </c>
      <c r="CL2041">
        <v>0</v>
      </c>
      <c r="CM2041">
        <v>2</v>
      </c>
      <c r="CN2041">
        <v>0</v>
      </c>
      <c r="CO2041">
        <v>2</v>
      </c>
      <c r="CP2041">
        <v>0</v>
      </c>
      <c r="CQ2041">
        <v>7</v>
      </c>
      <c r="CR2041" t="s">
        <v>116</v>
      </c>
      <c r="CS2041">
        <v>39</v>
      </c>
      <c r="CT2041">
        <v>2</v>
      </c>
      <c r="CU2041" t="s">
        <v>2259</v>
      </c>
      <c r="CV2041" t="s">
        <v>2260</v>
      </c>
      <c r="CY2041">
        <v>16556406</v>
      </c>
      <c r="CZ2041" t="s">
        <v>119</v>
      </c>
    </row>
    <row r="2042" spans="1:104" x14ac:dyDescent="0.25">
      <c r="A2042" t="str">
        <f>"14:24:23.477"</f>
        <v>14:24:23.477</v>
      </c>
      <c r="B2042" t="s">
        <v>108</v>
      </c>
      <c r="C2042" t="str">
        <f t="shared" si="94"/>
        <v>ffdfd3c0</v>
      </c>
      <c r="D2042" t="s">
        <v>109</v>
      </c>
      <c r="E2042">
        <v>4</v>
      </c>
      <c r="F2042">
        <v>1004</v>
      </c>
      <c r="G2042" t="s">
        <v>110</v>
      </c>
      <c r="J2042" t="s">
        <v>111</v>
      </c>
      <c r="K2042">
        <v>0</v>
      </c>
      <c r="L2042">
        <v>3</v>
      </c>
      <c r="M2042">
        <v>0</v>
      </c>
      <c r="N2042">
        <v>2</v>
      </c>
      <c r="O2042">
        <v>1</v>
      </c>
      <c r="P2042">
        <v>0</v>
      </c>
      <c r="Q2042">
        <v>0</v>
      </c>
      <c r="R2042" t="s">
        <v>112</v>
      </c>
      <c r="S2042" t="str">
        <f>"14:24:23.313"</f>
        <v>14:24:23.313</v>
      </c>
      <c r="T2042" t="str">
        <f>"14:24:22.813"</f>
        <v>14:24:22.813</v>
      </c>
      <c r="U2042" t="str">
        <f t="shared" si="93"/>
        <v>ad5732</v>
      </c>
      <c r="V2042">
        <v>0</v>
      </c>
      <c r="W2042">
        <v>0</v>
      </c>
      <c r="X2042">
        <v>1</v>
      </c>
      <c r="Z2042">
        <v>0</v>
      </c>
      <c r="AA2042">
        <v>9</v>
      </c>
      <c r="AB2042">
        <v>3</v>
      </c>
      <c r="AC2042">
        <v>0</v>
      </c>
      <c r="AD2042">
        <v>10</v>
      </c>
      <c r="AE2042">
        <v>0</v>
      </c>
      <c r="AF2042">
        <v>3</v>
      </c>
      <c r="AG2042">
        <v>2</v>
      </c>
      <c r="AH2042">
        <v>0</v>
      </c>
      <c r="AI2042" t="s">
        <v>4189</v>
      </c>
      <c r="AJ2042">
        <v>39.853270000000002</v>
      </c>
      <c r="AK2042" t="s">
        <v>4190</v>
      </c>
      <c r="AL2042">
        <v>-75.829781999999994</v>
      </c>
      <c r="AM2042">
        <v>100</v>
      </c>
      <c r="AN2042">
        <v>4700</v>
      </c>
      <c r="AO2042" t="s">
        <v>115</v>
      </c>
      <c r="AP2042">
        <v>162</v>
      </c>
      <c r="AQ2042">
        <v>81</v>
      </c>
      <c r="AR2042">
        <v>0</v>
      </c>
      <c r="AZ2042">
        <v>3614</v>
      </c>
      <c r="BA2042">
        <v>1</v>
      </c>
      <c r="BB2042" t="str">
        <f t="shared" si="95"/>
        <v xml:space="preserve">N959MJ  </v>
      </c>
      <c r="BC2042">
        <v>1</v>
      </c>
      <c r="BE2042">
        <v>0</v>
      </c>
      <c r="BF2042">
        <v>0</v>
      </c>
      <c r="BG2042">
        <v>0</v>
      </c>
      <c r="BH2042">
        <v>4900</v>
      </c>
      <c r="BI2042">
        <v>200</v>
      </c>
      <c r="BJ2042">
        <v>1</v>
      </c>
      <c r="BK2042">
        <v>1</v>
      </c>
      <c r="BL2042">
        <v>1</v>
      </c>
      <c r="BM2042">
        <v>0</v>
      </c>
      <c r="BP2042">
        <v>0</v>
      </c>
      <c r="BQ2042">
        <v>0</v>
      </c>
      <c r="BX2042" t="str">
        <f>"14:24:23.320"</f>
        <v>14:24:23.320</v>
      </c>
      <c r="BY2042" t="str">
        <f>"316877744"</f>
        <v>316877744</v>
      </c>
      <c r="CL2042">
        <v>0</v>
      </c>
      <c r="CM2042">
        <v>2</v>
      </c>
      <c r="CN2042">
        <v>0</v>
      </c>
      <c r="CO2042">
        <v>2</v>
      </c>
      <c r="CP2042">
        <v>0</v>
      </c>
      <c r="CQ2042">
        <v>7</v>
      </c>
      <c r="CR2042" t="s">
        <v>116</v>
      </c>
      <c r="CS2042">
        <v>39</v>
      </c>
      <c r="CT2042">
        <v>2</v>
      </c>
      <c r="CU2042" t="s">
        <v>2259</v>
      </c>
      <c r="CV2042" t="s">
        <v>2260</v>
      </c>
      <c r="CY2042">
        <v>16558019</v>
      </c>
      <c r="CZ2042" t="s">
        <v>119</v>
      </c>
    </row>
    <row r="2043" spans="1:104" x14ac:dyDescent="0.25">
      <c r="A2043" t="str">
        <f>"14:24:24.531"</f>
        <v>14:24:24.531</v>
      </c>
      <c r="B2043" t="s">
        <v>108</v>
      </c>
      <c r="C2043" t="str">
        <f t="shared" si="94"/>
        <v>ffdfd3c0</v>
      </c>
      <c r="D2043" t="s">
        <v>109</v>
      </c>
      <c r="E2043">
        <v>4</v>
      </c>
      <c r="F2043">
        <v>1004</v>
      </c>
      <c r="G2043" t="s">
        <v>110</v>
      </c>
      <c r="J2043" t="s">
        <v>111</v>
      </c>
      <c r="K2043">
        <v>0</v>
      </c>
      <c r="L2043">
        <v>3</v>
      </c>
      <c r="M2043">
        <v>0</v>
      </c>
      <c r="N2043">
        <v>2</v>
      </c>
      <c r="O2043">
        <v>1</v>
      </c>
      <c r="P2043">
        <v>0</v>
      </c>
      <c r="Q2043">
        <v>0</v>
      </c>
      <c r="R2043" t="s">
        <v>112</v>
      </c>
      <c r="S2043" t="str">
        <f>"14:24:24.367"</f>
        <v>14:24:24.367</v>
      </c>
      <c r="T2043" t="str">
        <f>"14:24:23.969"</f>
        <v>14:24:23.969</v>
      </c>
      <c r="U2043" t="str">
        <f t="shared" si="93"/>
        <v>ad5732</v>
      </c>
      <c r="V2043">
        <v>0</v>
      </c>
      <c r="W2043">
        <v>0</v>
      </c>
      <c r="X2043">
        <v>1</v>
      </c>
      <c r="Z2043">
        <v>0</v>
      </c>
      <c r="AA2043">
        <v>9</v>
      </c>
      <c r="AB2043">
        <v>3</v>
      </c>
      <c r="AC2043">
        <v>0</v>
      </c>
      <c r="AD2043">
        <v>10</v>
      </c>
      <c r="AE2043">
        <v>0</v>
      </c>
      <c r="AF2043">
        <v>3</v>
      </c>
      <c r="AG2043">
        <v>2</v>
      </c>
      <c r="AH2043">
        <v>0</v>
      </c>
      <c r="AI2043" t="s">
        <v>4191</v>
      </c>
      <c r="AJ2043">
        <v>39.853678000000002</v>
      </c>
      <c r="AK2043" t="s">
        <v>4192</v>
      </c>
      <c r="AL2043">
        <v>-75.828838000000005</v>
      </c>
      <c r="AM2043">
        <v>100</v>
      </c>
      <c r="AN2043">
        <v>4700</v>
      </c>
      <c r="AO2043" t="s">
        <v>115</v>
      </c>
      <c r="AP2043">
        <v>162</v>
      </c>
      <c r="AQ2043">
        <v>81</v>
      </c>
      <c r="AR2043">
        <v>0</v>
      </c>
      <c r="AZ2043">
        <v>3614</v>
      </c>
      <c r="BA2043">
        <v>1</v>
      </c>
      <c r="BB2043" t="str">
        <f t="shared" si="95"/>
        <v xml:space="preserve">N959MJ  </v>
      </c>
      <c r="BC2043">
        <v>1</v>
      </c>
      <c r="BE2043">
        <v>0</v>
      </c>
      <c r="BF2043">
        <v>0</v>
      </c>
      <c r="BG2043">
        <v>0</v>
      </c>
      <c r="BH2043">
        <v>4900</v>
      </c>
      <c r="BI2043">
        <v>200</v>
      </c>
      <c r="BJ2043">
        <v>1</v>
      </c>
      <c r="BK2043">
        <v>1</v>
      </c>
      <c r="BL2043">
        <v>1</v>
      </c>
      <c r="BM2043">
        <v>0</v>
      </c>
      <c r="BP2043">
        <v>0</v>
      </c>
      <c r="BQ2043">
        <v>0</v>
      </c>
      <c r="BX2043" t="str">
        <f>"14:24:24.367"</f>
        <v>14:24:24.367</v>
      </c>
      <c r="BY2043" t="str">
        <f>"370386573"</f>
        <v>370386573</v>
      </c>
      <c r="CL2043">
        <v>0</v>
      </c>
      <c r="CM2043">
        <v>2</v>
      </c>
      <c r="CN2043">
        <v>0</v>
      </c>
      <c r="CO2043">
        <v>2</v>
      </c>
      <c r="CP2043">
        <v>0</v>
      </c>
      <c r="CQ2043">
        <v>7</v>
      </c>
      <c r="CR2043" t="s">
        <v>116</v>
      </c>
      <c r="CS2043">
        <v>39</v>
      </c>
      <c r="CT2043">
        <v>2</v>
      </c>
      <c r="CU2043" t="s">
        <v>2259</v>
      </c>
      <c r="CV2043" t="s">
        <v>2260</v>
      </c>
      <c r="CY2043">
        <v>16559648</v>
      </c>
      <c r="CZ2043" t="s">
        <v>119</v>
      </c>
    </row>
    <row r="2044" spans="1:104" x14ac:dyDescent="0.25">
      <c r="A2044" t="str">
        <f>"14:24:25.492"</f>
        <v>14:24:25.492</v>
      </c>
      <c r="B2044" t="s">
        <v>108</v>
      </c>
      <c r="C2044" t="str">
        <f t="shared" si="94"/>
        <v>ffdfd3c0</v>
      </c>
      <c r="D2044" t="s">
        <v>109</v>
      </c>
      <c r="E2044">
        <v>4</v>
      </c>
      <c r="F2044">
        <v>1004</v>
      </c>
      <c r="G2044" t="s">
        <v>110</v>
      </c>
      <c r="J2044" t="s">
        <v>111</v>
      </c>
      <c r="K2044">
        <v>0</v>
      </c>
      <c r="L2044">
        <v>3</v>
      </c>
      <c r="M2044">
        <v>0</v>
      </c>
      <c r="N2044">
        <v>2</v>
      </c>
      <c r="O2044">
        <v>1</v>
      </c>
      <c r="P2044">
        <v>0</v>
      </c>
      <c r="Q2044">
        <v>0</v>
      </c>
      <c r="R2044" t="s">
        <v>112</v>
      </c>
      <c r="S2044" t="str">
        <f>"14:24:25.328"</f>
        <v>14:24:25.328</v>
      </c>
      <c r="T2044" t="str">
        <f>"14:24:24.930"</f>
        <v>14:24:24.930</v>
      </c>
      <c r="U2044" t="str">
        <f t="shared" si="93"/>
        <v>ad5732</v>
      </c>
      <c r="V2044">
        <v>0</v>
      </c>
      <c r="W2044">
        <v>0</v>
      </c>
      <c r="X2044">
        <v>1</v>
      </c>
      <c r="Z2044">
        <v>0</v>
      </c>
      <c r="AA2044">
        <v>9</v>
      </c>
      <c r="AB2044">
        <v>3</v>
      </c>
      <c r="AC2044">
        <v>0</v>
      </c>
      <c r="AD2044">
        <v>10</v>
      </c>
      <c r="AE2044">
        <v>0</v>
      </c>
      <c r="AF2044">
        <v>3</v>
      </c>
      <c r="AG2044">
        <v>2</v>
      </c>
      <c r="AH2044">
        <v>0</v>
      </c>
      <c r="AI2044" t="s">
        <v>4193</v>
      </c>
      <c r="AJ2044">
        <v>39.854042999999997</v>
      </c>
      <c r="AK2044" t="s">
        <v>4194</v>
      </c>
      <c r="AL2044">
        <v>-75.827872999999997</v>
      </c>
      <c r="AM2044">
        <v>100</v>
      </c>
      <c r="AN2044">
        <v>4700</v>
      </c>
      <c r="AO2044" t="s">
        <v>115</v>
      </c>
      <c r="AP2044">
        <v>162</v>
      </c>
      <c r="AQ2044">
        <v>81</v>
      </c>
      <c r="AR2044">
        <v>0</v>
      </c>
      <c r="AZ2044">
        <v>3614</v>
      </c>
      <c r="BA2044">
        <v>1</v>
      </c>
      <c r="BB2044" t="str">
        <f t="shared" si="95"/>
        <v xml:space="preserve">N959MJ  </v>
      </c>
      <c r="BC2044">
        <v>1</v>
      </c>
      <c r="BE2044">
        <v>0</v>
      </c>
      <c r="BF2044">
        <v>0</v>
      </c>
      <c r="BG2044">
        <v>0</v>
      </c>
      <c r="BH2044">
        <v>4900</v>
      </c>
      <c r="BI2044">
        <v>200</v>
      </c>
      <c r="BJ2044">
        <v>1</v>
      </c>
      <c r="BK2044">
        <v>1</v>
      </c>
      <c r="BL2044">
        <v>1</v>
      </c>
      <c r="BM2044">
        <v>0</v>
      </c>
      <c r="BP2044">
        <v>0</v>
      </c>
      <c r="BQ2044">
        <v>0</v>
      </c>
      <c r="BX2044" t="str">
        <f>"14:24:25.328"</f>
        <v>14:24:25.328</v>
      </c>
      <c r="BY2044" t="str">
        <f>"330505077"</f>
        <v>330505077</v>
      </c>
      <c r="CL2044">
        <v>0</v>
      </c>
      <c r="CM2044">
        <v>2</v>
      </c>
      <c r="CN2044">
        <v>0</v>
      </c>
      <c r="CO2044">
        <v>2</v>
      </c>
      <c r="CP2044">
        <v>0</v>
      </c>
      <c r="CQ2044">
        <v>7</v>
      </c>
      <c r="CR2044" t="s">
        <v>116</v>
      </c>
      <c r="CS2044">
        <v>39</v>
      </c>
      <c r="CT2044">
        <v>2</v>
      </c>
      <c r="CU2044" t="s">
        <v>2259</v>
      </c>
      <c r="CV2044" t="s">
        <v>2260</v>
      </c>
      <c r="CY2044">
        <v>16561240</v>
      </c>
      <c r="CZ2044" t="s">
        <v>119</v>
      </c>
    </row>
    <row r="2045" spans="1:104" x14ac:dyDescent="0.25">
      <c r="A2045" t="str">
        <f>"14:24:26.602"</f>
        <v>14:24:26.602</v>
      </c>
      <c r="B2045" t="s">
        <v>108</v>
      </c>
      <c r="C2045" t="str">
        <f t="shared" si="94"/>
        <v>ffdfd3c0</v>
      </c>
      <c r="D2045" t="s">
        <v>109</v>
      </c>
      <c r="E2045">
        <v>4</v>
      </c>
      <c r="F2045">
        <v>1004</v>
      </c>
      <c r="G2045" t="s">
        <v>110</v>
      </c>
      <c r="J2045" t="s">
        <v>111</v>
      </c>
      <c r="K2045">
        <v>0</v>
      </c>
      <c r="L2045">
        <v>3</v>
      </c>
      <c r="M2045">
        <v>0</v>
      </c>
      <c r="N2045">
        <v>2</v>
      </c>
      <c r="O2045">
        <v>1</v>
      </c>
      <c r="P2045">
        <v>0</v>
      </c>
      <c r="Q2045">
        <v>0</v>
      </c>
      <c r="R2045" t="s">
        <v>112</v>
      </c>
      <c r="S2045" t="str">
        <f>"14:24:26.367"</f>
        <v>14:24:26.367</v>
      </c>
      <c r="T2045" t="str">
        <f>"14:24:25.867"</f>
        <v>14:24:25.867</v>
      </c>
      <c r="U2045" t="str">
        <f t="shared" si="93"/>
        <v>ad5732</v>
      </c>
      <c r="V2045">
        <v>0</v>
      </c>
      <c r="W2045">
        <v>0</v>
      </c>
      <c r="X2045">
        <v>1</v>
      </c>
      <c r="Z2045">
        <v>0</v>
      </c>
      <c r="AA2045">
        <v>9</v>
      </c>
      <c r="AB2045">
        <v>3</v>
      </c>
      <c r="AC2045">
        <v>0</v>
      </c>
      <c r="AD2045">
        <v>10</v>
      </c>
      <c r="AE2045">
        <v>0</v>
      </c>
      <c r="AF2045">
        <v>3</v>
      </c>
      <c r="AG2045">
        <v>2</v>
      </c>
      <c r="AH2045">
        <v>0</v>
      </c>
      <c r="AI2045" t="s">
        <v>4195</v>
      </c>
      <c r="AJ2045">
        <v>39.854407000000002</v>
      </c>
      <c r="AK2045" t="s">
        <v>4196</v>
      </c>
      <c r="AL2045">
        <v>-75.826864</v>
      </c>
      <c r="AM2045">
        <v>100</v>
      </c>
      <c r="AN2045">
        <v>4700</v>
      </c>
      <c r="AO2045" t="s">
        <v>115</v>
      </c>
      <c r="AP2045">
        <v>162</v>
      </c>
      <c r="AQ2045">
        <v>82</v>
      </c>
      <c r="AR2045">
        <v>0</v>
      </c>
      <c r="AZ2045">
        <v>3614</v>
      </c>
      <c r="BA2045">
        <v>1</v>
      </c>
      <c r="BB2045" t="str">
        <f t="shared" si="95"/>
        <v xml:space="preserve">N959MJ  </v>
      </c>
      <c r="BC2045">
        <v>1</v>
      </c>
      <c r="BE2045">
        <v>0</v>
      </c>
      <c r="BF2045">
        <v>0</v>
      </c>
      <c r="BG2045">
        <v>0</v>
      </c>
      <c r="BH2045">
        <v>4900</v>
      </c>
      <c r="BI2045">
        <v>200</v>
      </c>
      <c r="BJ2045">
        <v>1</v>
      </c>
      <c r="BK2045">
        <v>1</v>
      </c>
      <c r="BL2045">
        <v>1</v>
      </c>
      <c r="BM2045">
        <v>0</v>
      </c>
      <c r="BP2045">
        <v>0</v>
      </c>
      <c r="BQ2045">
        <v>0</v>
      </c>
      <c r="BX2045" t="str">
        <f>"14:24:26.375"</f>
        <v>14:24:26.375</v>
      </c>
      <c r="BY2045" t="str">
        <f>"372544962"</f>
        <v>372544962</v>
      </c>
      <c r="CL2045">
        <v>0</v>
      </c>
      <c r="CM2045">
        <v>2</v>
      </c>
      <c r="CN2045">
        <v>0</v>
      </c>
      <c r="CO2045">
        <v>2</v>
      </c>
      <c r="CP2045">
        <v>0</v>
      </c>
      <c r="CQ2045">
        <v>7</v>
      </c>
      <c r="CR2045" t="s">
        <v>116</v>
      </c>
      <c r="CS2045">
        <v>39</v>
      </c>
      <c r="CT2045">
        <v>2</v>
      </c>
      <c r="CU2045" t="s">
        <v>2259</v>
      </c>
      <c r="CV2045" t="s">
        <v>2260</v>
      </c>
      <c r="CY2045">
        <v>16563017</v>
      </c>
      <c r="CZ2045" t="s">
        <v>119</v>
      </c>
    </row>
    <row r="2046" spans="1:104" x14ac:dyDescent="0.25">
      <c r="A2046" t="str">
        <f>"14:24:27.461"</f>
        <v>14:24:27.461</v>
      </c>
      <c r="B2046" t="s">
        <v>108</v>
      </c>
      <c r="C2046" t="str">
        <f t="shared" si="94"/>
        <v>ffdfd3c0</v>
      </c>
      <c r="D2046" t="s">
        <v>109</v>
      </c>
      <c r="E2046">
        <v>4</v>
      </c>
      <c r="F2046">
        <v>1004</v>
      </c>
      <c r="G2046" t="s">
        <v>110</v>
      </c>
      <c r="J2046" t="s">
        <v>111</v>
      </c>
      <c r="K2046">
        <v>0</v>
      </c>
      <c r="L2046">
        <v>3</v>
      </c>
      <c r="M2046">
        <v>0</v>
      </c>
      <c r="N2046">
        <v>2</v>
      </c>
      <c r="O2046">
        <v>1</v>
      </c>
      <c r="P2046">
        <v>0</v>
      </c>
      <c r="Q2046">
        <v>0</v>
      </c>
      <c r="R2046" t="s">
        <v>112</v>
      </c>
      <c r="S2046" t="str">
        <f>"14:24:27.281"</f>
        <v>14:24:27.281</v>
      </c>
      <c r="T2046" t="str">
        <f>"14:24:26.883"</f>
        <v>14:24:26.883</v>
      </c>
      <c r="U2046" t="str">
        <f t="shared" si="93"/>
        <v>ad5732</v>
      </c>
      <c r="V2046">
        <v>0</v>
      </c>
      <c r="W2046">
        <v>0</v>
      </c>
      <c r="X2046">
        <v>1</v>
      </c>
      <c r="Z2046">
        <v>0</v>
      </c>
      <c r="AA2046">
        <v>9</v>
      </c>
      <c r="AB2046">
        <v>3</v>
      </c>
      <c r="AC2046">
        <v>0</v>
      </c>
      <c r="AD2046">
        <v>10</v>
      </c>
      <c r="AE2046">
        <v>0</v>
      </c>
      <c r="AF2046">
        <v>3</v>
      </c>
      <c r="AG2046">
        <v>2</v>
      </c>
      <c r="AH2046">
        <v>0</v>
      </c>
      <c r="AI2046" t="s">
        <v>4197</v>
      </c>
      <c r="AJ2046">
        <v>39.854771999999997</v>
      </c>
      <c r="AK2046" t="s">
        <v>4198</v>
      </c>
      <c r="AL2046">
        <v>-75.825984000000005</v>
      </c>
      <c r="AM2046">
        <v>100</v>
      </c>
      <c r="AN2046">
        <v>4700</v>
      </c>
      <c r="AO2046" t="s">
        <v>115</v>
      </c>
      <c r="AP2046">
        <v>162</v>
      </c>
      <c r="AQ2046">
        <v>82</v>
      </c>
      <c r="AR2046">
        <v>0</v>
      </c>
      <c r="AZ2046">
        <v>3614</v>
      </c>
      <c r="BA2046">
        <v>1</v>
      </c>
      <c r="BB2046" t="str">
        <f t="shared" si="95"/>
        <v xml:space="preserve">N959MJ  </v>
      </c>
      <c r="BC2046">
        <v>1</v>
      </c>
      <c r="BE2046">
        <v>0</v>
      </c>
      <c r="BF2046">
        <v>0</v>
      </c>
      <c r="BG2046">
        <v>0</v>
      </c>
      <c r="BH2046">
        <v>4900</v>
      </c>
      <c r="BI2046">
        <v>200</v>
      </c>
      <c r="BJ2046">
        <v>1</v>
      </c>
      <c r="BK2046">
        <v>1</v>
      </c>
      <c r="BL2046">
        <v>1</v>
      </c>
      <c r="BM2046">
        <v>0</v>
      </c>
      <c r="BP2046">
        <v>0</v>
      </c>
      <c r="BQ2046">
        <v>0</v>
      </c>
      <c r="BX2046" t="str">
        <f>"14:24:27.289"</f>
        <v>14:24:27.289</v>
      </c>
      <c r="BY2046" t="str">
        <f>"288425932"</f>
        <v>288425932</v>
      </c>
      <c r="CL2046">
        <v>0</v>
      </c>
      <c r="CM2046">
        <v>2</v>
      </c>
      <c r="CN2046">
        <v>0</v>
      </c>
      <c r="CO2046">
        <v>2</v>
      </c>
      <c r="CP2046">
        <v>0</v>
      </c>
      <c r="CQ2046">
        <v>7</v>
      </c>
      <c r="CR2046" t="s">
        <v>116</v>
      </c>
      <c r="CS2046">
        <v>39</v>
      </c>
      <c r="CT2046">
        <v>2</v>
      </c>
      <c r="CU2046" t="s">
        <v>2259</v>
      </c>
      <c r="CV2046" t="s">
        <v>2260</v>
      </c>
      <c r="CY2046">
        <v>16564464</v>
      </c>
      <c r="CZ2046" t="s">
        <v>119</v>
      </c>
    </row>
    <row r="2047" spans="1:104" x14ac:dyDescent="0.25">
      <c r="A2047" t="str">
        <f>"14:24:28.422"</f>
        <v>14:24:28.422</v>
      </c>
      <c r="B2047" t="s">
        <v>108</v>
      </c>
      <c r="C2047" t="str">
        <f t="shared" si="94"/>
        <v>ffdfd3c0</v>
      </c>
      <c r="D2047" t="s">
        <v>109</v>
      </c>
      <c r="E2047">
        <v>4</v>
      </c>
      <c r="F2047">
        <v>1004</v>
      </c>
      <c r="G2047" t="s">
        <v>110</v>
      </c>
      <c r="J2047" t="s">
        <v>111</v>
      </c>
      <c r="K2047">
        <v>0</v>
      </c>
      <c r="L2047">
        <v>3</v>
      </c>
      <c r="M2047">
        <v>0</v>
      </c>
      <c r="N2047">
        <v>2</v>
      </c>
      <c r="O2047">
        <v>1</v>
      </c>
      <c r="P2047">
        <v>0</v>
      </c>
      <c r="Q2047">
        <v>0</v>
      </c>
      <c r="R2047" t="s">
        <v>112</v>
      </c>
      <c r="S2047" t="str">
        <f>"14:24:28.250"</f>
        <v>14:24:28.250</v>
      </c>
      <c r="T2047" t="str">
        <f>"14:24:27.750"</f>
        <v>14:24:27.750</v>
      </c>
      <c r="U2047" t="str">
        <f t="shared" si="93"/>
        <v>ad5732</v>
      </c>
      <c r="V2047">
        <v>0</v>
      </c>
      <c r="W2047">
        <v>0</v>
      </c>
      <c r="X2047">
        <v>1</v>
      </c>
      <c r="Z2047">
        <v>0</v>
      </c>
      <c r="AA2047">
        <v>9</v>
      </c>
      <c r="AB2047">
        <v>3</v>
      </c>
      <c r="AC2047">
        <v>0</v>
      </c>
      <c r="AD2047">
        <v>10</v>
      </c>
      <c r="AE2047">
        <v>0</v>
      </c>
      <c r="AF2047">
        <v>3</v>
      </c>
      <c r="AG2047">
        <v>2</v>
      </c>
      <c r="AH2047">
        <v>0</v>
      </c>
      <c r="AI2047" t="s">
        <v>4199</v>
      </c>
      <c r="AJ2047">
        <v>39.855136999999999</v>
      </c>
      <c r="AK2047" t="s">
        <v>4200</v>
      </c>
      <c r="AL2047">
        <v>-75.825083000000006</v>
      </c>
      <c r="AM2047">
        <v>100</v>
      </c>
      <c r="AN2047">
        <v>4700</v>
      </c>
      <c r="AO2047" t="s">
        <v>115</v>
      </c>
      <c r="AP2047">
        <v>162</v>
      </c>
      <c r="AQ2047">
        <v>82</v>
      </c>
      <c r="AR2047">
        <v>0</v>
      </c>
      <c r="AZ2047">
        <v>3614</v>
      </c>
      <c r="BA2047">
        <v>1</v>
      </c>
      <c r="BB2047" t="str">
        <f t="shared" si="95"/>
        <v xml:space="preserve">N959MJ  </v>
      </c>
      <c r="BC2047">
        <v>1</v>
      </c>
      <c r="BE2047">
        <v>0</v>
      </c>
      <c r="BF2047">
        <v>0</v>
      </c>
      <c r="BG2047">
        <v>0</v>
      </c>
      <c r="BH2047">
        <v>4900</v>
      </c>
      <c r="BI2047">
        <v>200</v>
      </c>
      <c r="BJ2047">
        <v>1</v>
      </c>
      <c r="BK2047">
        <v>1</v>
      </c>
      <c r="BL2047">
        <v>1</v>
      </c>
      <c r="BM2047">
        <v>0</v>
      </c>
      <c r="BP2047">
        <v>0</v>
      </c>
      <c r="BQ2047">
        <v>0</v>
      </c>
      <c r="BX2047" t="str">
        <f>"14:24:28.250"</f>
        <v>14:24:28.250</v>
      </c>
      <c r="BY2047" t="str">
        <f>"253459725"</f>
        <v>253459725</v>
      </c>
      <c r="CL2047">
        <v>0</v>
      </c>
      <c r="CM2047">
        <v>2</v>
      </c>
      <c r="CN2047">
        <v>0</v>
      </c>
      <c r="CO2047">
        <v>2</v>
      </c>
      <c r="CP2047">
        <v>0</v>
      </c>
      <c r="CQ2047">
        <v>7</v>
      </c>
      <c r="CR2047" t="s">
        <v>116</v>
      </c>
      <c r="CS2047">
        <v>39</v>
      </c>
      <c r="CT2047">
        <v>2</v>
      </c>
      <c r="CU2047" t="s">
        <v>2259</v>
      </c>
      <c r="CV2047" t="s">
        <v>2260</v>
      </c>
      <c r="CY2047">
        <v>16565936</v>
      </c>
      <c r="CZ2047" t="s">
        <v>119</v>
      </c>
    </row>
    <row r="2048" spans="1:104" x14ac:dyDescent="0.25">
      <c r="A2048" t="str">
        <f>"14:24:29.484"</f>
        <v>14:24:29.484</v>
      </c>
      <c r="B2048" t="s">
        <v>108</v>
      </c>
      <c r="C2048" t="str">
        <f t="shared" si="94"/>
        <v>ffdfd3c0</v>
      </c>
      <c r="D2048" t="s">
        <v>109</v>
      </c>
      <c r="E2048">
        <v>4</v>
      </c>
      <c r="F2048">
        <v>1004</v>
      </c>
      <c r="G2048" t="s">
        <v>110</v>
      </c>
      <c r="J2048" t="s">
        <v>111</v>
      </c>
      <c r="K2048">
        <v>0</v>
      </c>
      <c r="L2048">
        <v>3</v>
      </c>
      <c r="M2048">
        <v>0</v>
      </c>
      <c r="N2048">
        <v>2</v>
      </c>
      <c r="O2048">
        <v>1</v>
      </c>
      <c r="P2048">
        <v>0</v>
      </c>
      <c r="Q2048">
        <v>0</v>
      </c>
      <c r="R2048" t="s">
        <v>112</v>
      </c>
      <c r="S2048" t="str">
        <f>"14:24:29.313"</f>
        <v>14:24:29.313</v>
      </c>
      <c r="T2048" t="str">
        <f>"14:24:28.813"</f>
        <v>14:24:28.813</v>
      </c>
      <c r="U2048" t="str">
        <f t="shared" si="93"/>
        <v>ad5732</v>
      </c>
      <c r="V2048">
        <v>0</v>
      </c>
      <c r="W2048">
        <v>0</v>
      </c>
      <c r="X2048">
        <v>1</v>
      </c>
      <c r="Z2048">
        <v>0</v>
      </c>
      <c r="AA2048">
        <v>9</v>
      </c>
      <c r="AB2048">
        <v>3</v>
      </c>
      <c r="AC2048">
        <v>0</v>
      </c>
      <c r="AD2048">
        <v>10</v>
      </c>
      <c r="AE2048">
        <v>0</v>
      </c>
      <c r="AF2048">
        <v>3</v>
      </c>
      <c r="AG2048">
        <v>2</v>
      </c>
      <c r="AH2048">
        <v>0</v>
      </c>
      <c r="AI2048" t="s">
        <v>4201</v>
      </c>
      <c r="AJ2048">
        <v>39.855566000000003</v>
      </c>
      <c r="AK2048" t="s">
        <v>4202</v>
      </c>
      <c r="AL2048">
        <v>-75.823988999999997</v>
      </c>
      <c r="AM2048">
        <v>100</v>
      </c>
      <c r="AN2048">
        <v>4700</v>
      </c>
      <c r="AO2048" t="s">
        <v>115</v>
      </c>
      <c r="AP2048">
        <v>161</v>
      </c>
      <c r="AQ2048">
        <v>82</v>
      </c>
      <c r="AR2048">
        <v>0</v>
      </c>
      <c r="AZ2048">
        <v>3614</v>
      </c>
      <c r="BA2048">
        <v>1</v>
      </c>
      <c r="BB2048" t="str">
        <f t="shared" si="95"/>
        <v xml:space="preserve">N959MJ  </v>
      </c>
      <c r="BC2048">
        <v>1</v>
      </c>
      <c r="BE2048">
        <v>0</v>
      </c>
      <c r="BF2048">
        <v>0</v>
      </c>
      <c r="BG2048">
        <v>0</v>
      </c>
      <c r="BH2048">
        <v>4900</v>
      </c>
      <c r="BI2048">
        <v>200</v>
      </c>
      <c r="BJ2048">
        <v>1</v>
      </c>
      <c r="BK2048">
        <v>1</v>
      </c>
      <c r="BL2048">
        <v>1</v>
      </c>
      <c r="BM2048">
        <v>0</v>
      </c>
      <c r="BP2048">
        <v>0</v>
      </c>
      <c r="BQ2048">
        <v>0</v>
      </c>
      <c r="BX2048" t="str">
        <f>"14:24:29.320"</f>
        <v>14:24:29.320</v>
      </c>
      <c r="BY2048" t="str">
        <f>"316799214"</f>
        <v>316799214</v>
      </c>
      <c r="CL2048">
        <v>0</v>
      </c>
      <c r="CM2048">
        <v>2</v>
      </c>
      <c r="CN2048">
        <v>0</v>
      </c>
      <c r="CO2048">
        <v>2</v>
      </c>
      <c r="CP2048">
        <v>0</v>
      </c>
      <c r="CQ2048">
        <v>7</v>
      </c>
      <c r="CR2048" t="s">
        <v>116</v>
      </c>
      <c r="CS2048">
        <v>39</v>
      </c>
      <c r="CT2048">
        <v>2</v>
      </c>
      <c r="CU2048" t="s">
        <v>2259</v>
      </c>
      <c r="CV2048" t="s">
        <v>2260</v>
      </c>
      <c r="CY2048">
        <v>16567632</v>
      </c>
      <c r="CZ2048" t="s">
        <v>119</v>
      </c>
    </row>
    <row r="2049" spans="1:104" x14ac:dyDescent="0.25">
      <c r="A2049" t="str">
        <f>"14:24:30.438"</f>
        <v>14:24:30.438</v>
      </c>
      <c r="B2049" t="s">
        <v>108</v>
      </c>
      <c r="C2049" t="str">
        <f t="shared" si="94"/>
        <v>ffdfd3c0</v>
      </c>
      <c r="D2049" t="s">
        <v>109</v>
      </c>
      <c r="E2049">
        <v>4</v>
      </c>
      <c r="F2049">
        <v>1004</v>
      </c>
      <c r="G2049" t="s">
        <v>110</v>
      </c>
      <c r="J2049" t="s">
        <v>111</v>
      </c>
      <c r="K2049">
        <v>0</v>
      </c>
      <c r="L2049">
        <v>3</v>
      </c>
      <c r="M2049">
        <v>0</v>
      </c>
      <c r="N2049">
        <v>2</v>
      </c>
      <c r="O2049">
        <v>1</v>
      </c>
      <c r="P2049">
        <v>0</v>
      </c>
      <c r="Q2049">
        <v>0</v>
      </c>
      <c r="R2049" t="s">
        <v>112</v>
      </c>
      <c r="S2049" t="str">
        <f>"14:24:30.297"</f>
        <v>14:24:30.297</v>
      </c>
      <c r="T2049" t="str">
        <f>"14:24:29.797"</f>
        <v>14:24:29.797</v>
      </c>
      <c r="U2049" t="str">
        <f t="shared" si="93"/>
        <v>ad5732</v>
      </c>
      <c r="V2049">
        <v>0</v>
      </c>
      <c r="W2049">
        <v>0</v>
      </c>
      <c r="X2049">
        <v>1</v>
      </c>
      <c r="Z2049">
        <v>0</v>
      </c>
      <c r="AA2049">
        <v>9</v>
      </c>
      <c r="AB2049">
        <v>3</v>
      </c>
      <c r="AC2049">
        <v>0</v>
      </c>
      <c r="AD2049">
        <v>10</v>
      </c>
      <c r="AE2049">
        <v>0</v>
      </c>
      <c r="AF2049">
        <v>3</v>
      </c>
      <c r="AG2049">
        <v>2</v>
      </c>
      <c r="AH2049">
        <v>0</v>
      </c>
      <c r="AI2049" t="s">
        <v>4203</v>
      </c>
      <c r="AJ2049">
        <v>39.855888</v>
      </c>
      <c r="AK2049" t="s">
        <v>4204</v>
      </c>
      <c r="AL2049">
        <v>-75.823131000000004</v>
      </c>
      <c r="AM2049">
        <v>100</v>
      </c>
      <c r="AN2049">
        <v>4700</v>
      </c>
      <c r="AO2049" t="s">
        <v>115</v>
      </c>
      <c r="AP2049">
        <v>161</v>
      </c>
      <c r="AQ2049">
        <v>82</v>
      </c>
      <c r="AR2049">
        <v>0</v>
      </c>
      <c r="AZ2049">
        <v>3614</v>
      </c>
      <c r="BA2049">
        <v>1</v>
      </c>
      <c r="BB2049" t="str">
        <f t="shared" si="95"/>
        <v xml:space="preserve">N959MJ  </v>
      </c>
      <c r="BC2049">
        <v>1</v>
      </c>
      <c r="BE2049">
        <v>0</v>
      </c>
      <c r="BF2049">
        <v>0</v>
      </c>
      <c r="BG2049">
        <v>0</v>
      </c>
      <c r="BH2049">
        <v>4900</v>
      </c>
      <c r="BI2049">
        <v>200</v>
      </c>
      <c r="BJ2049">
        <v>1</v>
      </c>
      <c r="BK2049">
        <v>1</v>
      </c>
      <c r="BL2049">
        <v>1</v>
      </c>
      <c r="BM2049">
        <v>0</v>
      </c>
      <c r="BP2049">
        <v>0</v>
      </c>
      <c r="BQ2049">
        <v>0</v>
      </c>
      <c r="BX2049" t="str">
        <f>"14:24:30.297"</f>
        <v>14:24:30.297</v>
      </c>
      <c r="BY2049" t="str">
        <f>"298217238"</f>
        <v>298217238</v>
      </c>
      <c r="CL2049">
        <v>0</v>
      </c>
      <c r="CM2049">
        <v>2</v>
      </c>
      <c r="CN2049">
        <v>0</v>
      </c>
      <c r="CO2049">
        <v>2</v>
      </c>
      <c r="CP2049">
        <v>0</v>
      </c>
      <c r="CQ2049">
        <v>7</v>
      </c>
      <c r="CR2049" t="s">
        <v>116</v>
      </c>
      <c r="CS2049">
        <v>39</v>
      </c>
      <c r="CT2049">
        <v>2</v>
      </c>
      <c r="CU2049" t="s">
        <v>2259</v>
      </c>
      <c r="CV2049" t="s">
        <v>2260</v>
      </c>
      <c r="CY2049">
        <v>16569275</v>
      </c>
      <c r="CZ2049" t="s">
        <v>119</v>
      </c>
    </row>
    <row r="2050" spans="1:104" x14ac:dyDescent="0.25">
      <c r="A2050" t="str">
        <f>"14:24:31.555"</f>
        <v>14:24:31.555</v>
      </c>
      <c r="B2050" t="s">
        <v>108</v>
      </c>
      <c r="C2050" t="str">
        <f t="shared" si="94"/>
        <v>ffdfd3c0</v>
      </c>
      <c r="D2050" t="s">
        <v>109</v>
      </c>
      <c r="E2050">
        <v>4</v>
      </c>
      <c r="F2050">
        <v>1004</v>
      </c>
      <c r="G2050" t="s">
        <v>110</v>
      </c>
      <c r="J2050" t="s">
        <v>111</v>
      </c>
      <c r="K2050">
        <v>0</v>
      </c>
      <c r="L2050">
        <v>3</v>
      </c>
      <c r="M2050">
        <v>0</v>
      </c>
      <c r="N2050">
        <v>2</v>
      </c>
      <c r="O2050">
        <v>1</v>
      </c>
      <c r="P2050">
        <v>0</v>
      </c>
      <c r="Q2050">
        <v>0</v>
      </c>
      <c r="R2050" t="s">
        <v>112</v>
      </c>
      <c r="S2050" t="str">
        <f>"14:24:31.367"</f>
        <v>14:24:31.367</v>
      </c>
      <c r="T2050" t="str">
        <f>"14:24:30.969"</f>
        <v>14:24:30.969</v>
      </c>
      <c r="U2050" t="str">
        <f t="shared" ref="U2050:U2113" si="96">"ad5732"</f>
        <v>ad5732</v>
      </c>
      <c r="V2050">
        <v>0</v>
      </c>
      <c r="W2050">
        <v>0</v>
      </c>
      <c r="X2050">
        <v>1</v>
      </c>
      <c r="Z2050">
        <v>0</v>
      </c>
      <c r="AA2050">
        <v>9</v>
      </c>
      <c r="AB2050">
        <v>3</v>
      </c>
      <c r="AC2050">
        <v>0</v>
      </c>
      <c r="AD2050">
        <v>10</v>
      </c>
      <c r="AE2050">
        <v>0</v>
      </c>
      <c r="AF2050">
        <v>3</v>
      </c>
      <c r="AG2050">
        <v>2</v>
      </c>
      <c r="AH2050">
        <v>0</v>
      </c>
      <c r="AI2050" t="s">
        <v>4205</v>
      </c>
      <c r="AJ2050">
        <v>39.856338999999998</v>
      </c>
      <c r="AK2050" t="s">
        <v>4206</v>
      </c>
      <c r="AL2050">
        <v>-75.822014999999993</v>
      </c>
      <c r="AM2050">
        <v>100</v>
      </c>
      <c r="AN2050">
        <v>4700</v>
      </c>
      <c r="AO2050" t="s">
        <v>115</v>
      </c>
      <c r="AP2050">
        <v>161</v>
      </c>
      <c r="AQ2050">
        <v>82</v>
      </c>
      <c r="AR2050">
        <v>0</v>
      </c>
      <c r="AZ2050">
        <v>3614</v>
      </c>
      <c r="BA2050">
        <v>1</v>
      </c>
      <c r="BB2050" t="str">
        <f t="shared" si="95"/>
        <v xml:space="preserve">N959MJ  </v>
      </c>
      <c r="BC2050">
        <v>1</v>
      </c>
      <c r="BE2050">
        <v>0</v>
      </c>
      <c r="BF2050">
        <v>0</v>
      </c>
      <c r="BG2050">
        <v>0</v>
      </c>
      <c r="BH2050">
        <v>4900</v>
      </c>
      <c r="BI2050">
        <v>200</v>
      </c>
      <c r="BJ2050">
        <v>1</v>
      </c>
      <c r="BK2050">
        <v>1</v>
      </c>
      <c r="BL2050">
        <v>1</v>
      </c>
      <c r="BM2050">
        <v>0</v>
      </c>
      <c r="BP2050">
        <v>0</v>
      </c>
      <c r="BQ2050">
        <v>0</v>
      </c>
      <c r="BX2050" t="str">
        <f>"14:24:31.375"</f>
        <v>14:24:31.375</v>
      </c>
      <c r="BY2050" t="str">
        <f>"374664153"</f>
        <v>374664153</v>
      </c>
      <c r="CL2050">
        <v>0</v>
      </c>
      <c r="CM2050">
        <v>2</v>
      </c>
      <c r="CN2050">
        <v>0</v>
      </c>
      <c r="CO2050">
        <v>2</v>
      </c>
      <c r="CP2050">
        <v>0</v>
      </c>
      <c r="CQ2050">
        <v>7</v>
      </c>
      <c r="CR2050" t="s">
        <v>116</v>
      </c>
      <c r="CS2050">
        <v>39</v>
      </c>
      <c r="CT2050">
        <v>2</v>
      </c>
      <c r="CU2050" t="s">
        <v>2259</v>
      </c>
      <c r="CV2050" t="s">
        <v>2260</v>
      </c>
      <c r="CY2050">
        <v>16571046</v>
      </c>
      <c r="CZ2050" t="s">
        <v>119</v>
      </c>
    </row>
    <row r="2051" spans="1:104" x14ac:dyDescent="0.25">
      <c r="A2051" t="str">
        <f>"14:24:32.508"</f>
        <v>14:24:32.508</v>
      </c>
      <c r="B2051" t="s">
        <v>108</v>
      </c>
      <c r="C2051" t="str">
        <f t="shared" si="94"/>
        <v>ffdfd3c0</v>
      </c>
      <c r="D2051" t="s">
        <v>109</v>
      </c>
      <c r="E2051">
        <v>4</v>
      </c>
      <c r="F2051">
        <v>1004</v>
      </c>
      <c r="G2051" t="s">
        <v>110</v>
      </c>
      <c r="J2051" t="s">
        <v>111</v>
      </c>
      <c r="K2051">
        <v>0</v>
      </c>
      <c r="L2051">
        <v>3</v>
      </c>
      <c r="M2051">
        <v>0</v>
      </c>
      <c r="N2051">
        <v>2</v>
      </c>
      <c r="O2051">
        <v>1</v>
      </c>
      <c r="P2051">
        <v>0</v>
      </c>
      <c r="Q2051">
        <v>0</v>
      </c>
      <c r="R2051" t="s">
        <v>112</v>
      </c>
      <c r="S2051" t="str">
        <f>"14:24:32.336"</f>
        <v>14:24:32.336</v>
      </c>
      <c r="T2051" t="str">
        <f>"14:24:31.938"</f>
        <v>14:24:31.938</v>
      </c>
      <c r="U2051" t="str">
        <f t="shared" si="96"/>
        <v>ad5732</v>
      </c>
      <c r="V2051">
        <v>0</v>
      </c>
      <c r="W2051">
        <v>0</v>
      </c>
      <c r="X2051">
        <v>1</v>
      </c>
      <c r="Z2051">
        <v>0</v>
      </c>
      <c r="AA2051">
        <v>9</v>
      </c>
      <c r="AB2051">
        <v>3</v>
      </c>
      <c r="AC2051">
        <v>0</v>
      </c>
      <c r="AD2051">
        <v>10</v>
      </c>
      <c r="AE2051">
        <v>0</v>
      </c>
      <c r="AF2051">
        <v>3</v>
      </c>
      <c r="AG2051">
        <v>2</v>
      </c>
      <c r="AH2051">
        <v>0</v>
      </c>
      <c r="AI2051" t="s">
        <v>4207</v>
      </c>
      <c r="AJ2051">
        <v>39.856703000000003</v>
      </c>
      <c r="AK2051" t="s">
        <v>4208</v>
      </c>
      <c r="AL2051">
        <v>-75.821071000000003</v>
      </c>
      <c r="AM2051">
        <v>100</v>
      </c>
      <c r="AN2051">
        <v>4700</v>
      </c>
      <c r="AO2051" t="s">
        <v>115</v>
      </c>
      <c r="AP2051">
        <v>161</v>
      </c>
      <c r="AQ2051">
        <v>82</v>
      </c>
      <c r="AR2051">
        <v>0</v>
      </c>
      <c r="AZ2051">
        <v>3614</v>
      </c>
      <c r="BA2051">
        <v>1</v>
      </c>
      <c r="BB2051" t="str">
        <f t="shared" si="95"/>
        <v xml:space="preserve">N959MJ  </v>
      </c>
      <c r="BC2051">
        <v>1</v>
      </c>
      <c r="BE2051">
        <v>0</v>
      </c>
      <c r="BF2051">
        <v>0</v>
      </c>
      <c r="BG2051">
        <v>0</v>
      </c>
      <c r="BH2051">
        <v>4900</v>
      </c>
      <c r="BI2051">
        <v>200</v>
      </c>
      <c r="BJ2051">
        <v>1</v>
      </c>
      <c r="BK2051">
        <v>1</v>
      </c>
      <c r="BL2051">
        <v>1</v>
      </c>
      <c r="BM2051">
        <v>0</v>
      </c>
      <c r="BP2051">
        <v>0</v>
      </c>
      <c r="BQ2051">
        <v>0</v>
      </c>
      <c r="BX2051" t="str">
        <f>"14:24:32.336"</f>
        <v>14:24:32.336</v>
      </c>
      <c r="BY2051" t="str">
        <f>"336421040"</f>
        <v>336421040</v>
      </c>
      <c r="CL2051">
        <v>0</v>
      </c>
      <c r="CM2051">
        <v>2</v>
      </c>
      <c r="CN2051">
        <v>0</v>
      </c>
      <c r="CO2051">
        <v>2</v>
      </c>
      <c r="CP2051">
        <v>0</v>
      </c>
      <c r="CQ2051">
        <v>7</v>
      </c>
      <c r="CR2051" t="s">
        <v>116</v>
      </c>
      <c r="CS2051">
        <v>39</v>
      </c>
      <c r="CT2051">
        <v>2</v>
      </c>
      <c r="CU2051" t="s">
        <v>2259</v>
      </c>
      <c r="CV2051" t="s">
        <v>2260</v>
      </c>
      <c r="CY2051">
        <v>16572533</v>
      </c>
      <c r="CZ2051" t="s">
        <v>119</v>
      </c>
    </row>
    <row r="2052" spans="1:104" x14ac:dyDescent="0.25">
      <c r="A2052" t="str">
        <f>"14:24:33.422"</f>
        <v>14:24:33.422</v>
      </c>
      <c r="B2052" t="s">
        <v>108</v>
      </c>
      <c r="C2052" t="str">
        <f t="shared" si="94"/>
        <v>ffdfd3c0</v>
      </c>
      <c r="D2052" t="s">
        <v>109</v>
      </c>
      <c r="E2052">
        <v>4</v>
      </c>
      <c r="F2052">
        <v>1004</v>
      </c>
      <c r="G2052" t="s">
        <v>110</v>
      </c>
      <c r="J2052" t="s">
        <v>111</v>
      </c>
      <c r="K2052">
        <v>0</v>
      </c>
      <c r="L2052">
        <v>3</v>
      </c>
      <c r="M2052">
        <v>0</v>
      </c>
      <c r="N2052">
        <v>2</v>
      </c>
      <c r="O2052">
        <v>1</v>
      </c>
      <c r="P2052">
        <v>0</v>
      </c>
      <c r="Q2052">
        <v>0</v>
      </c>
      <c r="R2052" t="s">
        <v>112</v>
      </c>
      <c r="S2052" t="str">
        <f>"14:24:33.258"</f>
        <v>14:24:33.258</v>
      </c>
      <c r="T2052" t="str">
        <f>"14:24:32.859"</f>
        <v>14:24:32.859</v>
      </c>
      <c r="U2052" t="str">
        <f t="shared" si="96"/>
        <v>ad5732</v>
      </c>
      <c r="V2052">
        <v>0</v>
      </c>
      <c r="W2052">
        <v>0</v>
      </c>
      <c r="X2052">
        <v>1</v>
      </c>
      <c r="Z2052">
        <v>0</v>
      </c>
      <c r="AA2052">
        <v>9</v>
      </c>
      <c r="AB2052">
        <v>3</v>
      </c>
      <c r="AC2052">
        <v>0</v>
      </c>
      <c r="AD2052">
        <v>10</v>
      </c>
      <c r="AE2052">
        <v>0</v>
      </c>
      <c r="AF2052">
        <v>3</v>
      </c>
      <c r="AG2052">
        <v>2</v>
      </c>
      <c r="AH2052">
        <v>0</v>
      </c>
      <c r="AI2052" t="s">
        <v>4209</v>
      </c>
      <c r="AJ2052">
        <v>39.857047000000001</v>
      </c>
      <c r="AK2052" t="s">
        <v>4210</v>
      </c>
      <c r="AL2052">
        <v>-75.820190999999994</v>
      </c>
      <c r="AM2052">
        <v>100</v>
      </c>
      <c r="AN2052">
        <v>4700</v>
      </c>
      <c r="AO2052" t="s">
        <v>115</v>
      </c>
      <c r="AP2052">
        <v>161</v>
      </c>
      <c r="AQ2052">
        <v>83</v>
      </c>
      <c r="AR2052">
        <v>0</v>
      </c>
      <c r="AZ2052">
        <v>3614</v>
      </c>
      <c r="BA2052">
        <v>1</v>
      </c>
      <c r="BB2052" t="str">
        <f t="shared" si="95"/>
        <v xml:space="preserve">N959MJ  </v>
      </c>
      <c r="BC2052">
        <v>1</v>
      </c>
      <c r="BE2052">
        <v>0</v>
      </c>
      <c r="BF2052">
        <v>0</v>
      </c>
      <c r="BG2052">
        <v>0</v>
      </c>
      <c r="BH2052">
        <v>4900</v>
      </c>
      <c r="BI2052">
        <v>200</v>
      </c>
      <c r="BJ2052">
        <v>1</v>
      </c>
      <c r="BK2052">
        <v>1</v>
      </c>
      <c r="BL2052">
        <v>1</v>
      </c>
      <c r="BM2052">
        <v>0</v>
      </c>
      <c r="BP2052">
        <v>0</v>
      </c>
      <c r="BQ2052">
        <v>0</v>
      </c>
      <c r="BX2052" t="str">
        <f>"14:24:33.258"</f>
        <v>14:24:33.258</v>
      </c>
      <c r="BY2052" t="str">
        <f>"260494204"</f>
        <v>260494204</v>
      </c>
      <c r="CL2052">
        <v>0</v>
      </c>
      <c r="CM2052">
        <v>2</v>
      </c>
      <c r="CN2052">
        <v>0</v>
      </c>
      <c r="CO2052">
        <v>2</v>
      </c>
      <c r="CP2052">
        <v>0</v>
      </c>
      <c r="CQ2052">
        <v>7</v>
      </c>
      <c r="CR2052" t="s">
        <v>116</v>
      </c>
      <c r="CS2052">
        <v>39</v>
      </c>
      <c r="CT2052">
        <v>2</v>
      </c>
      <c r="CU2052" t="s">
        <v>2259</v>
      </c>
      <c r="CV2052" t="s">
        <v>2260</v>
      </c>
      <c r="CY2052">
        <v>16573979</v>
      </c>
      <c r="CZ2052" t="s">
        <v>119</v>
      </c>
    </row>
    <row r="2053" spans="1:104" x14ac:dyDescent="0.25">
      <c r="A2053" t="str">
        <f>"14:24:34.477"</f>
        <v>14:24:34.477</v>
      </c>
      <c r="B2053" t="s">
        <v>108</v>
      </c>
      <c r="C2053" t="str">
        <f t="shared" si="94"/>
        <v>ffdfd3c0</v>
      </c>
      <c r="D2053" t="s">
        <v>109</v>
      </c>
      <c r="E2053">
        <v>4</v>
      </c>
      <c r="F2053">
        <v>1004</v>
      </c>
      <c r="G2053" t="s">
        <v>110</v>
      </c>
      <c r="J2053" t="s">
        <v>111</v>
      </c>
      <c r="K2053">
        <v>0</v>
      </c>
      <c r="L2053">
        <v>3</v>
      </c>
      <c r="M2053">
        <v>0</v>
      </c>
      <c r="N2053">
        <v>2</v>
      </c>
      <c r="O2053">
        <v>1</v>
      </c>
      <c r="P2053">
        <v>0</v>
      </c>
      <c r="Q2053">
        <v>0</v>
      </c>
      <c r="R2053" t="s">
        <v>112</v>
      </c>
      <c r="S2053" t="str">
        <f>"14:24:34.305"</f>
        <v>14:24:34.305</v>
      </c>
      <c r="T2053" t="str">
        <f>"14:24:33.805"</f>
        <v>14:24:33.805</v>
      </c>
      <c r="U2053" t="str">
        <f t="shared" si="96"/>
        <v>ad5732</v>
      </c>
      <c r="V2053">
        <v>0</v>
      </c>
      <c r="W2053">
        <v>0</v>
      </c>
      <c r="X2053">
        <v>1</v>
      </c>
      <c r="Z2053">
        <v>0</v>
      </c>
      <c r="AA2053">
        <v>9</v>
      </c>
      <c r="AB2053">
        <v>3</v>
      </c>
      <c r="AC2053">
        <v>0</v>
      </c>
      <c r="AD2053">
        <v>10</v>
      </c>
      <c r="AE2053">
        <v>0</v>
      </c>
      <c r="AF2053">
        <v>3</v>
      </c>
      <c r="AG2053">
        <v>2</v>
      </c>
      <c r="AH2053">
        <v>0</v>
      </c>
      <c r="AI2053" t="s">
        <v>4211</v>
      </c>
      <c r="AJ2053">
        <v>39.857475999999998</v>
      </c>
      <c r="AK2053" t="s">
        <v>4212</v>
      </c>
      <c r="AL2053">
        <v>-75.819160999999994</v>
      </c>
      <c r="AM2053">
        <v>100</v>
      </c>
      <c r="AN2053">
        <v>4700</v>
      </c>
      <c r="AO2053" t="s">
        <v>115</v>
      </c>
      <c r="AP2053">
        <v>161</v>
      </c>
      <c r="AQ2053">
        <v>83</v>
      </c>
      <c r="AR2053">
        <v>0</v>
      </c>
      <c r="AZ2053">
        <v>3614</v>
      </c>
      <c r="BA2053">
        <v>1</v>
      </c>
      <c r="BB2053" t="str">
        <f t="shared" si="95"/>
        <v xml:space="preserve">N959MJ  </v>
      </c>
      <c r="BC2053">
        <v>1</v>
      </c>
      <c r="BE2053">
        <v>0</v>
      </c>
      <c r="BF2053">
        <v>0</v>
      </c>
      <c r="BG2053">
        <v>0</v>
      </c>
      <c r="BH2053">
        <v>4900</v>
      </c>
      <c r="BI2053">
        <v>200</v>
      </c>
      <c r="BJ2053">
        <v>1</v>
      </c>
      <c r="BK2053">
        <v>1</v>
      </c>
      <c r="BL2053">
        <v>1</v>
      </c>
      <c r="BM2053">
        <v>0</v>
      </c>
      <c r="BP2053">
        <v>0</v>
      </c>
      <c r="BQ2053">
        <v>0</v>
      </c>
      <c r="BX2053" t="str">
        <f>"14:24:34.305"</f>
        <v>14:24:34.305</v>
      </c>
      <c r="BY2053" t="str">
        <f>"305811000"</f>
        <v>305811000</v>
      </c>
      <c r="CL2053">
        <v>0</v>
      </c>
      <c r="CM2053">
        <v>2</v>
      </c>
      <c r="CN2053">
        <v>0</v>
      </c>
      <c r="CO2053">
        <v>2</v>
      </c>
      <c r="CP2053">
        <v>0</v>
      </c>
      <c r="CQ2053">
        <v>7</v>
      </c>
      <c r="CR2053" t="s">
        <v>116</v>
      </c>
      <c r="CS2053">
        <v>39</v>
      </c>
      <c r="CT2053">
        <v>2</v>
      </c>
      <c r="CU2053" t="s">
        <v>2259</v>
      </c>
      <c r="CV2053" t="s">
        <v>2260</v>
      </c>
      <c r="CY2053">
        <v>16575777</v>
      </c>
      <c r="CZ2053" t="s">
        <v>119</v>
      </c>
    </row>
    <row r="2054" spans="1:104" x14ac:dyDescent="0.25">
      <c r="A2054" t="str">
        <f>"14:24:35.641"</f>
        <v>14:24:35.641</v>
      </c>
      <c r="B2054" t="s">
        <v>108</v>
      </c>
      <c r="C2054" t="str">
        <f t="shared" si="94"/>
        <v>ffdfd3c0</v>
      </c>
      <c r="D2054" t="s">
        <v>109</v>
      </c>
      <c r="E2054">
        <v>4</v>
      </c>
      <c r="F2054">
        <v>1004</v>
      </c>
      <c r="G2054" t="s">
        <v>110</v>
      </c>
      <c r="J2054" t="s">
        <v>111</v>
      </c>
      <c r="K2054">
        <v>0</v>
      </c>
      <c r="L2054">
        <v>3</v>
      </c>
      <c r="M2054">
        <v>0</v>
      </c>
      <c r="N2054">
        <v>2</v>
      </c>
      <c r="O2054">
        <v>1</v>
      </c>
      <c r="P2054">
        <v>0</v>
      </c>
      <c r="Q2054">
        <v>0</v>
      </c>
      <c r="R2054" t="s">
        <v>112</v>
      </c>
      <c r="S2054" t="str">
        <f>"14:24:35.461"</f>
        <v>14:24:35.461</v>
      </c>
      <c r="T2054" t="str">
        <f>"14:24:34.961"</f>
        <v>14:24:34.961</v>
      </c>
      <c r="U2054" t="str">
        <f t="shared" si="96"/>
        <v>ad5732</v>
      </c>
      <c r="V2054">
        <v>0</v>
      </c>
      <c r="W2054">
        <v>0</v>
      </c>
      <c r="X2054">
        <v>1</v>
      </c>
      <c r="Z2054">
        <v>0</v>
      </c>
      <c r="AA2054">
        <v>9</v>
      </c>
      <c r="AB2054">
        <v>3</v>
      </c>
      <c r="AC2054">
        <v>0</v>
      </c>
      <c r="AD2054">
        <v>10</v>
      </c>
      <c r="AE2054">
        <v>0</v>
      </c>
      <c r="AF2054">
        <v>3</v>
      </c>
      <c r="AG2054">
        <v>2</v>
      </c>
      <c r="AH2054">
        <v>0</v>
      </c>
      <c r="AI2054" t="s">
        <v>4213</v>
      </c>
      <c r="AJ2054">
        <v>39.857883000000001</v>
      </c>
      <c r="AK2054" t="s">
        <v>4214</v>
      </c>
      <c r="AL2054">
        <v>-75.818044999999998</v>
      </c>
      <c r="AM2054">
        <v>100</v>
      </c>
      <c r="AN2054">
        <v>4700</v>
      </c>
      <c r="AO2054" t="s">
        <v>115</v>
      </c>
      <c r="AP2054">
        <v>161</v>
      </c>
      <c r="AQ2054">
        <v>83</v>
      </c>
      <c r="AR2054">
        <v>0</v>
      </c>
      <c r="AZ2054">
        <v>3614</v>
      </c>
      <c r="BA2054">
        <v>1</v>
      </c>
      <c r="BB2054" t="str">
        <f t="shared" si="95"/>
        <v xml:space="preserve">N959MJ  </v>
      </c>
      <c r="BC2054">
        <v>1</v>
      </c>
      <c r="BE2054">
        <v>0</v>
      </c>
      <c r="BF2054">
        <v>0</v>
      </c>
      <c r="BG2054">
        <v>0</v>
      </c>
      <c r="BH2054">
        <v>4900</v>
      </c>
      <c r="BI2054">
        <v>200</v>
      </c>
      <c r="BJ2054">
        <v>1</v>
      </c>
      <c r="BK2054">
        <v>1</v>
      </c>
      <c r="BL2054">
        <v>1</v>
      </c>
      <c r="BM2054">
        <v>0</v>
      </c>
      <c r="BP2054">
        <v>0</v>
      </c>
      <c r="BQ2054">
        <v>0</v>
      </c>
      <c r="BX2054" t="str">
        <f>"14:24:35.469"</f>
        <v>14:24:35.469</v>
      </c>
      <c r="BY2054" t="str">
        <f>"467455991"</f>
        <v>467455991</v>
      </c>
      <c r="CL2054">
        <v>0</v>
      </c>
      <c r="CM2054">
        <v>2</v>
      </c>
      <c r="CN2054">
        <v>0</v>
      </c>
      <c r="CO2054">
        <v>2</v>
      </c>
      <c r="CP2054">
        <v>0</v>
      </c>
      <c r="CQ2054">
        <v>7</v>
      </c>
      <c r="CR2054" t="s">
        <v>116</v>
      </c>
      <c r="CS2054">
        <v>39</v>
      </c>
      <c r="CT2054">
        <v>2</v>
      </c>
      <c r="CU2054" t="s">
        <v>2259</v>
      </c>
      <c r="CV2054" t="s">
        <v>2260</v>
      </c>
      <c r="CY2054">
        <v>16577765</v>
      </c>
      <c r="CZ2054" t="s">
        <v>119</v>
      </c>
    </row>
    <row r="2055" spans="1:104" x14ac:dyDescent="0.25">
      <c r="A2055" t="str">
        <f>"14:24:36.750"</f>
        <v>14:24:36.750</v>
      </c>
      <c r="B2055" t="s">
        <v>108</v>
      </c>
      <c r="C2055" t="str">
        <f t="shared" si="94"/>
        <v>ffdfd3c0</v>
      </c>
      <c r="D2055" t="s">
        <v>109</v>
      </c>
      <c r="E2055">
        <v>4</v>
      </c>
      <c r="F2055">
        <v>1004</v>
      </c>
      <c r="G2055" t="s">
        <v>110</v>
      </c>
      <c r="J2055" t="s">
        <v>111</v>
      </c>
      <c r="K2055">
        <v>0</v>
      </c>
      <c r="L2055">
        <v>3</v>
      </c>
      <c r="M2055">
        <v>0</v>
      </c>
      <c r="N2055">
        <v>2</v>
      </c>
      <c r="O2055">
        <v>1</v>
      </c>
      <c r="P2055">
        <v>0</v>
      </c>
      <c r="Q2055">
        <v>0</v>
      </c>
      <c r="R2055" t="s">
        <v>112</v>
      </c>
      <c r="S2055" t="str">
        <f>"14:24:36.563"</f>
        <v>14:24:36.563</v>
      </c>
      <c r="T2055" t="str">
        <f>"14:24:36.063"</f>
        <v>14:24:36.063</v>
      </c>
      <c r="U2055" t="str">
        <f t="shared" si="96"/>
        <v>ad5732</v>
      </c>
      <c r="V2055">
        <v>0</v>
      </c>
      <c r="W2055">
        <v>0</v>
      </c>
      <c r="X2055">
        <v>1</v>
      </c>
      <c r="Z2055">
        <v>0</v>
      </c>
      <c r="AA2055">
        <v>9</v>
      </c>
      <c r="AB2055">
        <v>3</v>
      </c>
      <c r="AC2055">
        <v>0</v>
      </c>
      <c r="AD2055">
        <v>10</v>
      </c>
      <c r="AE2055">
        <v>0</v>
      </c>
      <c r="AF2055">
        <v>3</v>
      </c>
      <c r="AG2055">
        <v>2</v>
      </c>
      <c r="AH2055">
        <v>0</v>
      </c>
      <c r="AI2055" t="s">
        <v>4215</v>
      </c>
      <c r="AJ2055">
        <v>39.858313000000003</v>
      </c>
      <c r="AK2055" t="s">
        <v>4216</v>
      </c>
      <c r="AL2055">
        <v>-75.817014999999998</v>
      </c>
      <c r="AM2055">
        <v>100</v>
      </c>
      <c r="AN2055">
        <v>4700</v>
      </c>
      <c r="AO2055" t="s">
        <v>115</v>
      </c>
      <c r="AP2055">
        <v>161</v>
      </c>
      <c r="AQ2055">
        <v>83</v>
      </c>
      <c r="AR2055">
        <v>0</v>
      </c>
      <c r="AZ2055">
        <v>3614</v>
      </c>
      <c r="BA2055">
        <v>1</v>
      </c>
      <c r="BB2055" t="str">
        <f t="shared" si="95"/>
        <v xml:space="preserve">N959MJ  </v>
      </c>
      <c r="BC2055">
        <v>1</v>
      </c>
      <c r="BE2055">
        <v>0</v>
      </c>
      <c r="BF2055">
        <v>0</v>
      </c>
      <c r="BG2055">
        <v>0</v>
      </c>
      <c r="BH2055">
        <v>4900</v>
      </c>
      <c r="BI2055">
        <v>200</v>
      </c>
      <c r="BJ2055">
        <v>1</v>
      </c>
      <c r="BK2055">
        <v>1</v>
      </c>
      <c r="BL2055">
        <v>1</v>
      </c>
      <c r="BM2055">
        <v>0</v>
      </c>
      <c r="BP2055">
        <v>0</v>
      </c>
      <c r="BQ2055">
        <v>0</v>
      </c>
      <c r="BX2055" t="str">
        <f>"14:24:36.570"</f>
        <v>14:24:36.570</v>
      </c>
      <c r="BY2055" t="str">
        <f>"566840868"</f>
        <v>566840868</v>
      </c>
      <c r="CL2055">
        <v>0</v>
      </c>
      <c r="CM2055">
        <v>2</v>
      </c>
      <c r="CN2055">
        <v>0</v>
      </c>
      <c r="CO2055">
        <v>2</v>
      </c>
      <c r="CP2055">
        <v>0</v>
      </c>
      <c r="CQ2055">
        <v>7</v>
      </c>
      <c r="CR2055" t="s">
        <v>116</v>
      </c>
      <c r="CS2055">
        <v>39</v>
      </c>
      <c r="CT2055">
        <v>2</v>
      </c>
      <c r="CU2055" t="s">
        <v>2259</v>
      </c>
      <c r="CV2055" t="s">
        <v>2260</v>
      </c>
      <c r="CY2055">
        <v>16579505</v>
      </c>
      <c r="CZ2055" t="s">
        <v>119</v>
      </c>
    </row>
    <row r="2056" spans="1:104" x14ac:dyDescent="0.25">
      <c r="A2056" t="str">
        <f>"14:24:37.711"</f>
        <v>14:24:37.711</v>
      </c>
      <c r="B2056" t="s">
        <v>108</v>
      </c>
      <c r="C2056" t="str">
        <f t="shared" si="94"/>
        <v>ffdfd3c0</v>
      </c>
      <c r="D2056" t="s">
        <v>109</v>
      </c>
      <c r="E2056">
        <v>4</v>
      </c>
      <c r="F2056">
        <v>1004</v>
      </c>
      <c r="G2056" t="s">
        <v>110</v>
      </c>
      <c r="J2056" t="s">
        <v>111</v>
      </c>
      <c r="K2056">
        <v>0</v>
      </c>
      <c r="L2056">
        <v>3</v>
      </c>
      <c r="M2056">
        <v>0</v>
      </c>
      <c r="N2056">
        <v>2</v>
      </c>
      <c r="O2056">
        <v>1</v>
      </c>
      <c r="P2056">
        <v>0</v>
      </c>
      <c r="Q2056">
        <v>0</v>
      </c>
      <c r="R2056" t="s">
        <v>112</v>
      </c>
      <c r="S2056" t="str">
        <f>"14:24:37.523"</f>
        <v>14:24:37.523</v>
      </c>
      <c r="T2056" t="str">
        <f>"14:24:37.023"</f>
        <v>14:24:37.023</v>
      </c>
      <c r="U2056" t="str">
        <f t="shared" si="96"/>
        <v>ad5732</v>
      </c>
      <c r="V2056">
        <v>0</v>
      </c>
      <c r="W2056">
        <v>0</v>
      </c>
      <c r="X2056">
        <v>1</v>
      </c>
      <c r="Z2056">
        <v>0</v>
      </c>
      <c r="AA2056">
        <v>9</v>
      </c>
      <c r="AB2056">
        <v>3</v>
      </c>
      <c r="AC2056">
        <v>0</v>
      </c>
      <c r="AD2056">
        <v>10</v>
      </c>
      <c r="AE2056">
        <v>0</v>
      </c>
      <c r="AF2056">
        <v>3</v>
      </c>
      <c r="AG2056">
        <v>2</v>
      </c>
      <c r="AH2056">
        <v>0</v>
      </c>
      <c r="AI2056" t="s">
        <v>4217</v>
      </c>
      <c r="AJ2056">
        <v>39.858719999999998</v>
      </c>
      <c r="AK2056" t="s">
        <v>4218</v>
      </c>
      <c r="AL2056">
        <v>-75.816050000000004</v>
      </c>
      <c r="AM2056">
        <v>100</v>
      </c>
      <c r="AN2056">
        <v>4700</v>
      </c>
      <c r="AO2056" t="s">
        <v>115</v>
      </c>
      <c r="AP2056">
        <v>161</v>
      </c>
      <c r="AQ2056">
        <v>83</v>
      </c>
      <c r="AR2056">
        <v>0</v>
      </c>
      <c r="AZ2056">
        <v>3614</v>
      </c>
      <c r="BA2056">
        <v>1</v>
      </c>
      <c r="BB2056" t="str">
        <f t="shared" si="95"/>
        <v xml:space="preserve">N959MJ  </v>
      </c>
      <c r="BC2056">
        <v>1</v>
      </c>
      <c r="BE2056">
        <v>0</v>
      </c>
      <c r="BF2056">
        <v>0</v>
      </c>
      <c r="BG2056">
        <v>0</v>
      </c>
      <c r="BH2056">
        <v>4900</v>
      </c>
      <c r="BI2056">
        <v>200</v>
      </c>
      <c r="BJ2056">
        <v>1</v>
      </c>
      <c r="BK2056">
        <v>1</v>
      </c>
      <c r="BL2056">
        <v>1</v>
      </c>
      <c r="BM2056">
        <v>0</v>
      </c>
      <c r="BP2056">
        <v>0</v>
      </c>
      <c r="BQ2056">
        <v>0</v>
      </c>
      <c r="BX2056" t="str">
        <f>"14:24:37.523"</f>
        <v>14:24:37.523</v>
      </c>
      <c r="BY2056" t="str">
        <f>"523682500"</f>
        <v>523682500</v>
      </c>
      <c r="CL2056">
        <v>0</v>
      </c>
      <c r="CM2056">
        <v>2</v>
      </c>
      <c r="CN2056">
        <v>0</v>
      </c>
      <c r="CO2056">
        <v>2</v>
      </c>
      <c r="CP2056">
        <v>0</v>
      </c>
      <c r="CQ2056">
        <v>7</v>
      </c>
      <c r="CR2056" t="s">
        <v>116</v>
      </c>
      <c r="CS2056">
        <v>39</v>
      </c>
      <c r="CT2056">
        <v>2</v>
      </c>
      <c r="CU2056" t="s">
        <v>2259</v>
      </c>
      <c r="CV2056" t="s">
        <v>2260</v>
      </c>
      <c r="CY2056">
        <v>16580959</v>
      </c>
      <c r="CZ2056" t="s">
        <v>119</v>
      </c>
    </row>
    <row r="2057" spans="1:104" x14ac:dyDescent="0.25">
      <c r="A2057" t="str">
        <f>"14:24:38.773"</f>
        <v>14:24:38.773</v>
      </c>
      <c r="B2057" t="s">
        <v>108</v>
      </c>
      <c r="C2057" t="str">
        <f t="shared" si="94"/>
        <v>ffdfd3c0</v>
      </c>
      <c r="D2057" t="s">
        <v>109</v>
      </c>
      <c r="E2057">
        <v>4</v>
      </c>
      <c r="F2057">
        <v>1004</v>
      </c>
      <c r="G2057" t="s">
        <v>110</v>
      </c>
      <c r="J2057" t="s">
        <v>111</v>
      </c>
      <c r="K2057">
        <v>0</v>
      </c>
      <c r="L2057">
        <v>3</v>
      </c>
      <c r="M2057">
        <v>0</v>
      </c>
      <c r="N2057">
        <v>2</v>
      </c>
      <c r="O2057">
        <v>1</v>
      </c>
      <c r="P2057">
        <v>0</v>
      </c>
      <c r="Q2057">
        <v>0</v>
      </c>
      <c r="R2057" t="s">
        <v>112</v>
      </c>
      <c r="S2057" t="str">
        <f>"14:24:38.609"</f>
        <v>14:24:38.609</v>
      </c>
      <c r="T2057" t="str">
        <f>"14:24:38.109"</f>
        <v>14:24:38.109</v>
      </c>
      <c r="U2057" t="str">
        <f t="shared" si="96"/>
        <v>ad5732</v>
      </c>
      <c r="V2057">
        <v>0</v>
      </c>
      <c r="W2057">
        <v>0</v>
      </c>
      <c r="X2057">
        <v>1</v>
      </c>
      <c r="Z2057">
        <v>0</v>
      </c>
      <c r="AA2057">
        <v>9</v>
      </c>
      <c r="AB2057">
        <v>3</v>
      </c>
      <c r="AC2057">
        <v>0</v>
      </c>
      <c r="AD2057">
        <v>10</v>
      </c>
      <c r="AE2057">
        <v>0</v>
      </c>
      <c r="AF2057">
        <v>3</v>
      </c>
      <c r="AG2057">
        <v>2</v>
      </c>
      <c r="AH2057">
        <v>0</v>
      </c>
      <c r="AI2057" t="s">
        <v>4219</v>
      </c>
      <c r="AJ2057">
        <v>39.859149000000002</v>
      </c>
      <c r="AK2057" t="s">
        <v>4220</v>
      </c>
      <c r="AL2057">
        <v>-75.814998000000003</v>
      </c>
      <c r="AM2057">
        <v>100</v>
      </c>
      <c r="AN2057">
        <v>4700</v>
      </c>
      <c r="AO2057" t="s">
        <v>115</v>
      </c>
      <c r="AP2057">
        <v>161</v>
      </c>
      <c r="AQ2057">
        <v>83</v>
      </c>
      <c r="AR2057">
        <v>0</v>
      </c>
      <c r="AZ2057">
        <v>3614</v>
      </c>
      <c r="BA2057">
        <v>1</v>
      </c>
      <c r="BB2057" t="str">
        <f t="shared" si="95"/>
        <v xml:space="preserve">N959MJ  </v>
      </c>
      <c r="BC2057">
        <v>1</v>
      </c>
      <c r="BE2057">
        <v>0</v>
      </c>
      <c r="BF2057">
        <v>0</v>
      </c>
      <c r="BG2057">
        <v>0</v>
      </c>
      <c r="BH2057">
        <v>4900</v>
      </c>
      <c r="BI2057">
        <v>200</v>
      </c>
      <c r="BJ2057">
        <v>1</v>
      </c>
      <c r="BK2057">
        <v>1</v>
      </c>
      <c r="BL2057">
        <v>1</v>
      </c>
      <c r="BM2057">
        <v>0</v>
      </c>
      <c r="BP2057">
        <v>0</v>
      </c>
      <c r="BQ2057">
        <v>0</v>
      </c>
      <c r="BX2057" t="str">
        <f>"14:24:38.609"</f>
        <v>14:24:38.609</v>
      </c>
      <c r="BY2057" t="str">
        <f>"609959972"</f>
        <v>609959972</v>
      </c>
      <c r="CL2057">
        <v>0</v>
      </c>
      <c r="CM2057">
        <v>2</v>
      </c>
      <c r="CN2057">
        <v>0</v>
      </c>
      <c r="CO2057">
        <v>2</v>
      </c>
      <c r="CP2057">
        <v>0</v>
      </c>
      <c r="CQ2057">
        <v>7</v>
      </c>
      <c r="CR2057" t="s">
        <v>116</v>
      </c>
      <c r="CS2057">
        <v>39</v>
      </c>
      <c r="CT2057">
        <v>2</v>
      </c>
      <c r="CU2057" t="s">
        <v>2259</v>
      </c>
      <c r="CV2057" t="s">
        <v>2260</v>
      </c>
      <c r="CY2057">
        <v>16582804</v>
      </c>
      <c r="CZ2057" t="s">
        <v>119</v>
      </c>
    </row>
    <row r="2058" spans="1:104" x14ac:dyDescent="0.25">
      <c r="A2058" t="str">
        <f>"14:24:39.883"</f>
        <v>14:24:39.883</v>
      </c>
      <c r="B2058" t="s">
        <v>108</v>
      </c>
      <c r="C2058" t="str">
        <f t="shared" ref="C2058:C2121" si="97">"ffdfd3c0"</f>
        <v>ffdfd3c0</v>
      </c>
      <c r="D2058" t="s">
        <v>109</v>
      </c>
      <c r="E2058">
        <v>4</v>
      </c>
      <c r="F2058">
        <v>1004</v>
      </c>
      <c r="G2058" t="s">
        <v>110</v>
      </c>
      <c r="J2058" t="s">
        <v>111</v>
      </c>
      <c r="K2058">
        <v>0</v>
      </c>
      <c r="L2058">
        <v>3</v>
      </c>
      <c r="M2058">
        <v>0</v>
      </c>
      <c r="N2058">
        <v>2</v>
      </c>
      <c r="O2058">
        <v>1</v>
      </c>
      <c r="P2058">
        <v>0</v>
      </c>
      <c r="Q2058">
        <v>0</v>
      </c>
      <c r="R2058" t="s">
        <v>112</v>
      </c>
      <c r="S2058" t="str">
        <f>"14:24:39.680"</f>
        <v>14:24:39.680</v>
      </c>
      <c r="T2058" t="str">
        <f>"14:24:39.180"</f>
        <v>14:24:39.180</v>
      </c>
      <c r="U2058" t="str">
        <f t="shared" si="96"/>
        <v>ad5732</v>
      </c>
      <c r="V2058">
        <v>0</v>
      </c>
      <c r="W2058">
        <v>0</v>
      </c>
      <c r="X2058">
        <v>1</v>
      </c>
      <c r="Z2058">
        <v>0</v>
      </c>
      <c r="AA2058">
        <v>9</v>
      </c>
      <c r="AB2058">
        <v>3</v>
      </c>
      <c r="AC2058">
        <v>0</v>
      </c>
      <c r="AD2058">
        <v>10</v>
      </c>
      <c r="AE2058">
        <v>0</v>
      </c>
      <c r="AF2058">
        <v>3</v>
      </c>
      <c r="AG2058">
        <v>2</v>
      </c>
      <c r="AH2058">
        <v>0</v>
      </c>
      <c r="AI2058" t="s">
        <v>4221</v>
      </c>
      <c r="AJ2058">
        <v>39.859513999999997</v>
      </c>
      <c r="AK2058" t="s">
        <v>4222</v>
      </c>
      <c r="AL2058">
        <v>-75.814032999999995</v>
      </c>
      <c r="AM2058">
        <v>100</v>
      </c>
      <c r="AN2058">
        <v>4700</v>
      </c>
      <c r="AO2058" t="s">
        <v>115</v>
      </c>
      <c r="AP2058">
        <v>161</v>
      </c>
      <c r="AQ2058">
        <v>83</v>
      </c>
      <c r="AR2058">
        <v>0</v>
      </c>
      <c r="AZ2058">
        <v>3614</v>
      </c>
      <c r="BA2058">
        <v>1</v>
      </c>
      <c r="BB2058" t="str">
        <f t="shared" ref="BB2058:BB2121" si="98">"N959MJ  "</f>
        <v xml:space="preserve">N959MJ  </v>
      </c>
      <c r="BC2058">
        <v>1</v>
      </c>
      <c r="BE2058">
        <v>0</v>
      </c>
      <c r="BF2058">
        <v>0</v>
      </c>
      <c r="BG2058">
        <v>0</v>
      </c>
      <c r="BH2058">
        <v>4900</v>
      </c>
      <c r="BI2058">
        <v>200</v>
      </c>
      <c r="BJ2058">
        <v>1</v>
      </c>
      <c r="BK2058">
        <v>1</v>
      </c>
      <c r="BL2058">
        <v>1</v>
      </c>
      <c r="BM2058">
        <v>0</v>
      </c>
      <c r="BP2058">
        <v>0</v>
      </c>
      <c r="BQ2058">
        <v>0</v>
      </c>
      <c r="BX2058" t="str">
        <f>"14:24:39.688"</f>
        <v>14:24:39.688</v>
      </c>
      <c r="BY2058" t="str">
        <f>"684778325"</f>
        <v>684778325</v>
      </c>
      <c r="CL2058">
        <v>0</v>
      </c>
      <c r="CM2058">
        <v>2</v>
      </c>
      <c r="CN2058">
        <v>0</v>
      </c>
      <c r="CO2058">
        <v>2</v>
      </c>
      <c r="CP2058">
        <v>0</v>
      </c>
      <c r="CQ2058">
        <v>7</v>
      </c>
      <c r="CR2058" t="s">
        <v>116</v>
      </c>
      <c r="CS2058">
        <v>39</v>
      </c>
      <c r="CT2058">
        <v>2</v>
      </c>
      <c r="CU2058" t="s">
        <v>2259</v>
      </c>
      <c r="CV2058" t="s">
        <v>2260</v>
      </c>
      <c r="CY2058">
        <v>16584620</v>
      </c>
      <c r="CZ2058" t="s">
        <v>119</v>
      </c>
    </row>
    <row r="2059" spans="1:104" x14ac:dyDescent="0.25">
      <c r="A2059" t="str">
        <f>"14:24:40.992"</f>
        <v>14:24:40.992</v>
      </c>
      <c r="B2059" t="s">
        <v>108</v>
      </c>
      <c r="C2059" t="str">
        <f t="shared" si="97"/>
        <v>ffdfd3c0</v>
      </c>
      <c r="D2059" t="s">
        <v>109</v>
      </c>
      <c r="E2059">
        <v>4</v>
      </c>
      <c r="F2059">
        <v>1004</v>
      </c>
      <c r="G2059" t="s">
        <v>110</v>
      </c>
      <c r="J2059" t="s">
        <v>111</v>
      </c>
      <c r="K2059">
        <v>0</v>
      </c>
      <c r="L2059">
        <v>3</v>
      </c>
      <c r="M2059">
        <v>0</v>
      </c>
      <c r="N2059">
        <v>2</v>
      </c>
      <c r="O2059">
        <v>1</v>
      </c>
      <c r="P2059">
        <v>0</v>
      </c>
      <c r="Q2059">
        <v>0</v>
      </c>
      <c r="R2059" t="s">
        <v>112</v>
      </c>
      <c r="S2059" t="str">
        <f>"14:24:40.805"</f>
        <v>14:24:40.805</v>
      </c>
      <c r="T2059" t="str">
        <f>"14:24:40.305"</f>
        <v>14:24:40.305</v>
      </c>
      <c r="U2059" t="str">
        <f t="shared" si="96"/>
        <v>ad5732</v>
      </c>
      <c r="V2059">
        <v>0</v>
      </c>
      <c r="W2059">
        <v>0</v>
      </c>
      <c r="X2059">
        <v>1</v>
      </c>
      <c r="Z2059">
        <v>0</v>
      </c>
      <c r="AA2059">
        <v>9</v>
      </c>
      <c r="AB2059">
        <v>3</v>
      </c>
      <c r="AC2059">
        <v>0</v>
      </c>
      <c r="AD2059">
        <v>10</v>
      </c>
      <c r="AE2059">
        <v>0</v>
      </c>
      <c r="AF2059">
        <v>3</v>
      </c>
      <c r="AG2059">
        <v>2</v>
      </c>
      <c r="AH2059">
        <v>0</v>
      </c>
      <c r="AI2059" t="s">
        <v>4223</v>
      </c>
      <c r="AJ2059">
        <v>39.859985999999999</v>
      </c>
      <c r="AK2059" t="s">
        <v>4224</v>
      </c>
      <c r="AL2059">
        <v>-75.812873999999994</v>
      </c>
      <c r="AM2059">
        <v>100</v>
      </c>
      <c r="AN2059">
        <v>4700</v>
      </c>
      <c r="AO2059" t="s">
        <v>115</v>
      </c>
      <c r="AP2059">
        <v>160</v>
      </c>
      <c r="AQ2059">
        <v>83</v>
      </c>
      <c r="AR2059">
        <v>0</v>
      </c>
      <c r="AZ2059">
        <v>3614</v>
      </c>
      <c r="BA2059">
        <v>1</v>
      </c>
      <c r="BB2059" t="str">
        <f t="shared" si="98"/>
        <v xml:space="preserve">N959MJ  </v>
      </c>
      <c r="BC2059">
        <v>1</v>
      </c>
      <c r="BE2059">
        <v>0</v>
      </c>
      <c r="BF2059">
        <v>0</v>
      </c>
      <c r="BG2059">
        <v>0</v>
      </c>
      <c r="BH2059">
        <v>4900</v>
      </c>
      <c r="BI2059">
        <v>200</v>
      </c>
      <c r="BJ2059">
        <v>1</v>
      </c>
      <c r="BK2059">
        <v>1</v>
      </c>
      <c r="BL2059">
        <v>1</v>
      </c>
      <c r="BM2059">
        <v>0</v>
      </c>
      <c r="BP2059">
        <v>0</v>
      </c>
      <c r="BQ2059">
        <v>0</v>
      </c>
      <c r="BX2059" t="str">
        <f>"14:24:40.813"</f>
        <v>14:24:40.813</v>
      </c>
      <c r="BY2059" t="str">
        <f>"810368072"</f>
        <v>810368072</v>
      </c>
      <c r="CL2059">
        <v>0</v>
      </c>
      <c r="CM2059">
        <v>2</v>
      </c>
      <c r="CN2059">
        <v>0</v>
      </c>
      <c r="CO2059">
        <v>2</v>
      </c>
      <c r="CP2059">
        <v>0</v>
      </c>
      <c r="CQ2059">
        <v>7</v>
      </c>
      <c r="CR2059" t="s">
        <v>116</v>
      </c>
      <c r="CS2059">
        <v>39</v>
      </c>
      <c r="CT2059">
        <v>2</v>
      </c>
      <c r="CU2059" t="s">
        <v>2259</v>
      </c>
      <c r="CV2059" t="s">
        <v>2260</v>
      </c>
      <c r="CY2059">
        <v>16586419</v>
      </c>
      <c r="CZ2059" t="s">
        <v>119</v>
      </c>
    </row>
    <row r="2060" spans="1:104" x14ac:dyDescent="0.25">
      <c r="A2060" t="str">
        <f>"14:24:41.953"</f>
        <v>14:24:41.953</v>
      </c>
      <c r="B2060" t="s">
        <v>108</v>
      </c>
      <c r="C2060" t="str">
        <f t="shared" si="97"/>
        <v>ffdfd3c0</v>
      </c>
      <c r="D2060" t="s">
        <v>109</v>
      </c>
      <c r="E2060">
        <v>4</v>
      </c>
      <c r="F2060">
        <v>1004</v>
      </c>
      <c r="G2060" t="s">
        <v>110</v>
      </c>
      <c r="J2060" t="s">
        <v>111</v>
      </c>
      <c r="K2060">
        <v>0</v>
      </c>
      <c r="L2060">
        <v>3</v>
      </c>
      <c r="M2060">
        <v>0</v>
      </c>
      <c r="N2060">
        <v>2</v>
      </c>
      <c r="O2060">
        <v>1</v>
      </c>
      <c r="P2060">
        <v>0</v>
      </c>
      <c r="Q2060">
        <v>0</v>
      </c>
      <c r="R2060" t="s">
        <v>112</v>
      </c>
      <c r="S2060" t="str">
        <f>"14:24:41.773"</f>
        <v>14:24:41.773</v>
      </c>
      <c r="T2060" t="str">
        <f>"14:24:41.375"</f>
        <v>14:24:41.375</v>
      </c>
      <c r="U2060" t="str">
        <f t="shared" si="96"/>
        <v>ad5732</v>
      </c>
      <c r="V2060">
        <v>0</v>
      </c>
      <c r="W2060">
        <v>0</v>
      </c>
      <c r="X2060">
        <v>1</v>
      </c>
      <c r="Z2060">
        <v>0</v>
      </c>
      <c r="AA2060">
        <v>9</v>
      </c>
      <c r="AB2060">
        <v>3</v>
      </c>
      <c r="AC2060">
        <v>0</v>
      </c>
      <c r="AD2060">
        <v>10</v>
      </c>
      <c r="AE2060">
        <v>0</v>
      </c>
      <c r="AF2060">
        <v>3</v>
      </c>
      <c r="AG2060">
        <v>2</v>
      </c>
      <c r="AH2060">
        <v>0</v>
      </c>
      <c r="AI2060" t="s">
        <v>4225</v>
      </c>
      <c r="AJ2060">
        <v>39.860329999999998</v>
      </c>
      <c r="AK2060" t="s">
        <v>4226</v>
      </c>
      <c r="AL2060">
        <v>-75.811993999999999</v>
      </c>
      <c r="AM2060">
        <v>100</v>
      </c>
      <c r="AN2060">
        <v>4700</v>
      </c>
      <c r="AO2060" t="s">
        <v>115</v>
      </c>
      <c r="AP2060">
        <v>160</v>
      </c>
      <c r="AQ2060">
        <v>83</v>
      </c>
      <c r="AR2060">
        <v>0</v>
      </c>
      <c r="AZ2060">
        <v>3614</v>
      </c>
      <c r="BA2060">
        <v>1</v>
      </c>
      <c r="BB2060" t="str">
        <f t="shared" si="98"/>
        <v xml:space="preserve">N959MJ  </v>
      </c>
      <c r="BC2060">
        <v>1</v>
      </c>
      <c r="BE2060">
        <v>0</v>
      </c>
      <c r="BF2060">
        <v>0</v>
      </c>
      <c r="BG2060">
        <v>0</v>
      </c>
      <c r="BH2060">
        <v>4900</v>
      </c>
      <c r="BI2060">
        <v>200</v>
      </c>
      <c r="BJ2060">
        <v>1</v>
      </c>
      <c r="BK2060">
        <v>1</v>
      </c>
      <c r="BL2060">
        <v>1</v>
      </c>
      <c r="BM2060">
        <v>0</v>
      </c>
      <c r="BP2060">
        <v>0</v>
      </c>
      <c r="BQ2060">
        <v>0</v>
      </c>
      <c r="BX2060" t="str">
        <f>"14:24:41.781"</f>
        <v>14:24:41.781</v>
      </c>
      <c r="BY2060" t="str">
        <f>"778678716"</f>
        <v>778678716</v>
      </c>
      <c r="CL2060">
        <v>0</v>
      </c>
      <c r="CM2060">
        <v>2</v>
      </c>
      <c r="CN2060">
        <v>0</v>
      </c>
      <c r="CO2060">
        <v>2</v>
      </c>
      <c r="CP2060">
        <v>0</v>
      </c>
      <c r="CQ2060">
        <v>7</v>
      </c>
      <c r="CR2060" t="s">
        <v>116</v>
      </c>
      <c r="CS2060">
        <v>39</v>
      </c>
      <c r="CT2060">
        <v>2</v>
      </c>
      <c r="CU2060" t="s">
        <v>2259</v>
      </c>
      <c r="CV2060" t="s">
        <v>2260</v>
      </c>
      <c r="CY2060">
        <v>16587911</v>
      </c>
      <c r="CZ2060" t="s">
        <v>119</v>
      </c>
    </row>
    <row r="2061" spans="1:104" x14ac:dyDescent="0.25">
      <c r="A2061" t="str">
        <f>"14:24:42.961"</f>
        <v>14:24:42.961</v>
      </c>
      <c r="B2061" t="s">
        <v>108</v>
      </c>
      <c r="C2061" t="str">
        <f t="shared" si="97"/>
        <v>ffdfd3c0</v>
      </c>
      <c r="D2061" t="s">
        <v>109</v>
      </c>
      <c r="E2061">
        <v>4</v>
      </c>
      <c r="F2061">
        <v>1004</v>
      </c>
      <c r="G2061" t="s">
        <v>110</v>
      </c>
      <c r="J2061" t="s">
        <v>111</v>
      </c>
      <c r="K2061">
        <v>0</v>
      </c>
      <c r="L2061">
        <v>3</v>
      </c>
      <c r="M2061">
        <v>0</v>
      </c>
      <c r="N2061">
        <v>2</v>
      </c>
      <c r="O2061">
        <v>1</v>
      </c>
      <c r="P2061">
        <v>0</v>
      </c>
      <c r="Q2061">
        <v>0</v>
      </c>
      <c r="R2061" t="s">
        <v>112</v>
      </c>
      <c r="S2061" t="str">
        <f>"14:24:42.758"</f>
        <v>14:24:42.758</v>
      </c>
      <c r="T2061" t="str">
        <f>"14:24:42.359"</f>
        <v>14:24:42.359</v>
      </c>
      <c r="U2061" t="str">
        <f t="shared" si="96"/>
        <v>ad5732</v>
      </c>
      <c r="V2061">
        <v>0</v>
      </c>
      <c r="W2061">
        <v>0</v>
      </c>
      <c r="X2061">
        <v>1</v>
      </c>
      <c r="Z2061">
        <v>0</v>
      </c>
      <c r="AA2061">
        <v>9</v>
      </c>
      <c r="AB2061">
        <v>3</v>
      </c>
      <c r="AC2061">
        <v>0</v>
      </c>
      <c r="AD2061">
        <v>10</v>
      </c>
      <c r="AE2061">
        <v>0</v>
      </c>
      <c r="AF2061">
        <v>3</v>
      </c>
      <c r="AG2061">
        <v>2</v>
      </c>
      <c r="AH2061">
        <v>0</v>
      </c>
      <c r="AI2061" t="s">
        <v>4227</v>
      </c>
      <c r="AJ2061">
        <v>39.860737</v>
      </c>
      <c r="AK2061" t="s">
        <v>4228</v>
      </c>
      <c r="AL2061">
        <v>-75.811027999999993</v>
      </c>
      <c r="AM2061">
        <v>100</v>
      </c>
      <c r="AN2061">
        <v>4700</v>
      </c>
      <c r="AO2061" t="s">
        <v>115</v>
      </c>
      <c r="AP2061">
        <v>160</v>
      </c>
      <c r="AQ2061">
        <v>84</v>
      </c>
      <c r="AR2061">
        <v>64</v>
      </c>
      <c r="AZ2061">
        <v>3614</v>
      </c>
      <c r="BA2061">
        <v>1</v>
      </c>
      <c r="BB2061" t="str">
        <f t="shared" si="98"/>
        <v xml:space="preserve">N959MJ  </v>
      </c>
      <c r="BC2061">
        <v>1</v>
      </c>
      <c r="BE2061">
        <v>0</v>
      </c>
      <c r="BF2061">
        <v>0</v>
      </c>
      <c r="BG2061">
        <v>0</v>
      </c>
      <c r="BH2061">
        <v>4900</v>
      </c>
      <c r="BI2061">
        <v>200</v>
      </c>
      <c r="BJ2061">
        <v>1</v>
      </c>
      <c r="BK2061">
        <v>1</v>
      </c>
      <c r="BL2061">
        <v>1</v>
      </c>
      <c r="BM2061">
        <v>0</v>
      </c>
      <c r="BP2061">
        <v>0</v>
      </c>
      <c r="BQ2061">
        <v>0</v>
      </c>
      <c r="BX2061" t="str">
        <f>"14:24:42.766"</f>
        <v>14:24:42.766</v>
      </c>
      <c r="BY2061" t="str">
        <f>"763373667"</f>
        <v>763373667</v>
      </c>
      <c r="CL2061">
        <v>0</v>
      </c>
      <c r="CM2061">
        <v>2</v>
      </c>
      <c r="CN2061">
        <v>0</v>
      </c>
      <c r="CO2061">
        <v>2</v>
      </c>
      <c r="CP2061">
        <v>0</v>
      </c>
      <c r="CQ2061">
        <v>7</v>
      </c>
      <c r="CR2061" t="s">
        <v>116</v>
      </c>
      <c r="CS2061">
        <v>39</v>
      </c>
      <c r="CT2061">
        <v>2</v>
      </c>
      <c r="CU2061" t="s">
        <v>2259</v>
      </c>
      <c r="CV2061" t="s">
        <v>2260</v>
      </c>
      <c r="CY2061">
        <v>16589534</v>
      </c>
      <c r="CZ2061" t="s">
        <v>119</v>
      </c>
    </row>
    <row r="2062" spans="1:104" x14ac:dyDescent="0.25">
      <c r="A2062" t="str">
        <f>"14:24:43.969"</f>
        <v>14:24:43.969</v>
      </c>
      <c r="B2062" t="s">
        <v>108</v>
      </c>
      <c r="C2062" t="str">
        <f t="shared" si="97"/>
        <v>ffdfd3c0</v>
      </c>
      <c r="D2062" t="s">
        <v>109</v>
      </c>
      <c r="E2062">
        <v>4</v>
      </c>
      <c r="F2062">
        <v>1004</v>
      </c>
      <c r="G2062" t="s">
        <v>110</v>
      </c>
      <c r="J2062" t="s">
        <v>111</v>
      </c>
      <c r="K2062">
        <v>0</v>
      </c>
      <c r="L2062">
        <v>3</v>
      </c>
      <c r="M2062">
        <v>0</v>
      </c>
      <c r="N2062">
        <v>2</v>
      </c>
      <c r="O2062">
        <v>1</v>
      </c>
      <c r="P2062">
        <v>0</v>
      </c>
      <c r="Q2062">
        <v>0</v>
      </c>
      <c r="R2062" t="s">
        <v>112</v>
      </c>
      <c r="S2062" t="str">
        <f>"14:24:43.813"</f>
        <v>14:24:43.813</v>
      </c>
      <c r="T2062" t="str">
        <f>"14:24:43.313"</f>
        <v>14:24:43.313</v>
      </c>
      <c r="U2062" t="str">
        <f t="shared" si="96"/>
        <v>ad5732</v>
      </c>
      <c r="V2062">
        <v>0</v>
      </c>
      <c r="W2062">
        <v>0</v>
      </c>
      <c r="X2062">
        <v>1</v>
      </c>
      <c r="Z2062">
        <v>0</v>
      </c>
      <c r="AA2062">
        <v>9</v>
      </c>
      <c r="AB2062">
        <v>3</v>
      </c>
      <c r="AC2062">
        <v>0</v>
      </c>
      <c r="AD2062">
        <v>10</v>
      </c>
      <c r="AE2062">
        <v>0</v>
      </c>
      <c r="AF2062">
        <v>3</v>
      </c>
      <c r="AG2062">
        <v>2</v>
      </c>
      <c r="AH2062">
        <v>0</v>
      </c>
      <c r="AI2062" t="s">
        <v>4229</v>
      </c>
      <c r="AJ2062">
        <v>39.861145</v>
      </c>
      <c r="AK2062" t="s">
        <v>4230</v>
      </c>
      <c r="AL2062">
        <v>-75.809933999999998</v>
      </c>
      <c r="AM2062">
        <v>100</v>
      </c>
      <c r="AN2062">
        <v>4700</v>
      </c>
      <c r="AO2062" t="s">
        <v>115</v>
      </c>
      <c r="AP2062">
        <v>160</v>
      </c>
      <c r="AQ2062">
        <v>84</v>
      </c>
      <c r="AR2062">
        <v>64</v>
      </c>
      <c r="AZ2062">
        <v>3614</v>
      </c>
      <c r="BA2062">
        <v>1</v>
      </c>
      <c r="BB2062" t="str">
        <f t="shared" si="98"/>
        <v xml:space="preserve">N959MJ  </v>
      </c>
      <c r="BC2062">
        <v>1</v>
      </c>
      <c r="BE2062">
        <v>0</v>
      </c>
      <c r="BF2062">
        <v>0</v>
      </c>
      <c r="BG2062">
        <v>0</v>
      </c>
      <c r="BH2062">
        <v>4900</v>
      </c>
      <c r="BI2062">
        <v>200</v>
      </c>
      <c r="BJ2062">
        <v>1</v>
      </c>
      <c r="BK2062">
        <v>1</v>
      </c>
      <c r="BL2062">
        <v>1</v>
      </c>
      <c r="BM2062">
        <v>0</v>
      </c>
      <c r="BP2062">
        <v>0</v>
      </c>
      <c r="BQ2062">
        <v>0</v>
      </c>
      <c r="BX2062" t="str">
        <f>"14:24:43.813"</f>
        <v>14:24:43.813</v>
      </c>
      <c r="BY2062" t="str">
        <f>"815244118"</f>
        <v>815244118</v>
      </c>
      <c r="CL2062">
        <v>0</v>
      </c>
      <c r="CM2062">
        <v>2</v>
      </c>
      <c r="CN2062">
        <v>0</v>
      </c>
      <c r="CO2062">
        <v>2</v>
      </c>
      <c r="CP2062">
        <v>0</v>
      </c>
      <c r="CQ2062">
        <v>7</v>
      </c>
      <c r="CR2062" t="s">
        <v>116</v>
      </c>
      <c r="CS2062">
        <v>39</v>
      </c>
      <c r="CT2062">
        <v>2</v>
      </c>
      <c r="CU2062" t="s">
        <v>2259</v>
      </c>
      <c r="CV2062" t="s">
        <v>2260</v>
      </c>
      <c r="CY2062">
        <v>16591332</v>
      </c>
      <c r="CZ2062" t="s">
        <v>119</v>
      </c>
    </row>
    <row r="2063" spans="1:104" x14ac:dyDescent="0.25">
      <c r="A2063" t="str">
        <f>"14:24:45.031"</f>
        <v>14:24:45.031</v>
      </c>
      <c r="B2063" t="s">
        <v>108</v>
      </c>
      <c r="C2063" t="str">
        <f t="shared" si="97"/>
        <v>ffdfd3c0</v>
      </c>
      <c r="D2063" t="s">
        <v>109</v>
      </c>
      <c r="E2063">
        <v>4</v>
      </c>
      <c r="F2063">
        <v>1004</v>
      </c>
      <c r="G2063" t="s">
        <v>110</v>
      </c>
      <c r="J2063" t="s">
        <v>111</v>
      </c>
      <c r="K2063">
        <v>0</v>
      </c>
      <c r="L2063">
        <v>3</v>
      </c>
      <c r="M2063">
        <v>0</v>
      </c>
      <c r="N2063">
        <v>2</v>
      </c>
      <c r="O2063">
        <v>1</v>
      </c>
      <c r="P2063">
        <v>0</v>
      </c>
      <c r="Q2063">
        <v>0</v>
      </c>
      <c r="R2063" t="s">
        <v>112</v>
      </c>
      <c r="S2063" t="str">
        <f>"14:24:44.852"</f>
        <v>14:24:44.852</v>
      </c>
      <c r="T2063" t="str">
        <f>"14:24:44.352"</f>
        <v>14:24:44.352</v>
      </c>
      <c r="U2063" t="str">
        <f t="shared" si="96"/>
        <v>ad5732</v>
      </c>
      <c r="V2063">
        <v>0</v>
      </c>
      <c r="W2063">
        <v>0</v>
      </c>
      <c r="X2063">
        <v>1</v>
      </c>
      <c r="Z2063">
        <v>0</v>
      </c>
      <c r="AA2063">
        <v>9</v>
      </c>
      <c r="AB2063">
        <v>3</v>
      </c>
      <c r="AC2063">
        <v>0</v>
      </c>
      <c r="AD2063">
        <v>10</v>
      </c>
      <c r="AE2063">
        <v>0</v>
      </c>
      <c r="AF2063">
        <v>3</v>
      </c>
      <c r="AG2063">
        <v>2</v>
      </c>
      <c r="AH2063">
        <v>0</v>
      </c>
      <c r="AI2063" t="s">
        <v>4231</v>
      </c>
      <c r="AJ2063">
        <v>39.861510000000003</v>
      </c>
      <c r="AK2063" t="s">
        <v>4232</v>
      </c>
      <c r="AL2063">
        <v>-75.809010999999998</v>
      </c>
      <c r="AM2063">
        <v>100</v>
      </c>
      <c r="AN2063">
        <v>4700</v>
      </c>
      <c r="AO2063" t="s">
        <v>115</v>
      </c>
      <c r="AP2063">
        <v>160</v>
      </c>
      <c r="AQ2063">
        <v>84</v>
      </c>
      <c r="AR2063">
        <v>64</v>
      </c>
      <c r="AZ2063">
        <v>3614</v>
      </c>
      <c r="BA2063">
        <v>1</v>
      </c>
      <c r="BB2063" t="str">
        <f t="shared" si="98"/>
        <v xml:space="preserve">N959MJ  </v>
      </c>
      <c r="BC2063">
        <v>1</v>
      </c>
      <c r="BE2063">
        <v>0</v>
      </c>
      <c r="BF2063">
        <v>0</v>
      </c>
      <c r="BG2063">
        <v>0</v>
      </c>
      <c r="BH2063">
        <v>4900</v>
      </c>
      <c r="BI2063">
        <v>200</v>
      </c>
      <c r="BJ2063">
        <v>1</v>
      </c>
      <c r="BK2063">
        <v>1</v>
      </c>
      <c r="BL2063">
        <v>1</v>
      </c>
      <c r="BM2063">
        <v>0</v>
      </c>
      <c r="BP2063">
        <v>0</v>
      </c>
      <c r="BQ2063">
        <v>0</v>
      </c>
      <c r="BX2063" t="str">
        <f>"14:24:44.852"</f>
        <v>14:24:44.852</v>
      </c>
      <c r="BY2063" t="str">
        <f>"852368781"</f>
        <v>852368781</v>
      </c>
      <c r="CL2063">
        <v>0</v>
      </c>
      <c r="CM2063">
        <v>2</v>
      </c>
      <c r="CN2063">
        <v>0</v>
      </c>
      <c r="CO2063">
        <v>2</v>
      </c>
      <c r="CP2063">
        <v>0</v>
      </c>
      <c r="CQ2063">
        <v>7</v>
      </c>
      <c r="CR2063" t="s">
        <v>116</v>
      </c>
      <c r="CS2063">
        <v>39</v>
      </c>
      <c r="CT2063">
        <v>2</v>
      </c>
      <c r="CU2063" t="s">
        <v>2259</v>
      </c>
      <c r="CV2063" t="s">
        <v>2260</v>
      </c>
      <c r="CY2063">
        <v>16593075</v>
      </c>
      <c r="CZ2063" t="s">
        <v>119</v>
      </c>
    </row>
    <row r="2064" spans="1:104" x14ac:dyDescent="0.25">
      <c r="A2064" t="str">
        <f>"14:24:46.039"</f>
        <v>14:24:46.039</v>
      </c>
      <c r="B2064" t="s">
        <v>108</v>
      </c>
      <c r="C2064" t="str">
        <f t="shared" si="97"/>
        <v>ffdfd3c0</v>
      </c>
      <c r="D2064" t="s">
        <v>109</v>
      </c>
      <c r="E2064">
        <v>4</v>
      </c>
      <c r="F2064">
        <v>1004</v>
      </c>
      <c r="G2064" t="s">
        <v>110</v>
      </c>
      <c r="J2064" t="s">
        <v>111</v>
      </c>
      <c r="K2064">
        <v>0</v>
      </c>
      <c r="L2064">
        <v>3</v>
      </c>
      <c r="M2064">
        <v>0</v>
      </c>
      <c r="N2064">
        <v>2</v>
      </c>
      <c r="O2064">
        <v>1</v>
      </c>
      <c r="P2064">
        <v>0</v>
      </c>
      <c r="Q2064">
        <v>0</v>
      </c>
      <c r="R2064" t="s">
        <v>112</v>
      </c>
      <c r="S2064" t="str">
        <f>"14:24:45.844"</f>
        <v>14:24:45.844</v>
      </c>
      <c r="T2064" t="str">
        <f>"14:24:45.344"</f>
        <v>14:24:45.344</v>
      </c>
      <c r="U2064" t="str">
        <f t="shared" si="96"/>
        <v>ad5732</v>
      </c>
      <c r="V2064">
        <v>0</v>
      </c>
      <c r="W2064">
        <v>0</v>
      </c>
      <c r="X2064">
        <v>1</v>
      </c>
      <c r="Z2064">
        <v>0</v>
      </c>
      <c r="AA2064">
        <v>9</v>
      </c>
      <c r="AB2064">
        <v>3</v>
      </c>
      <c r="AC2064">
        <v>0</v>
      </c>
      <c r="AD2064">
        <v>10</v>
      </c>
      <c r="AE2064">
        <v>0</v>
      </c>
      <c r="AF2064">
        <v>3</v>
      </c>
      <c r="AG2064">
        <v>2</v>
      </c>
      <c r="AH2064">
        <v>0</v>
      </c>
      <c r="AI2064" t="s">
        <v>4233</v>
      </c>
      <c r="AJ2064">
        <v>39.861939</v>
      </c>
      <c r="AK2064" t="s">
        <v>4234</v>
      </c>
      <c r="AL2064">
        <v>-75.808046000000004</v>
      </c>
      <c r="AM2064">
        <v>100</v>
      </c>
      <c r="AN2064">
        <v>4700</v>
      </c>
      <c r="AO2064" t="s">
        <v>115</v>
      </c>
      <c r="AP2064">
        <v>160</v>
      </c>
      <c r="AQ2064">
        <v>84</v>
      </c>
      <c r="AR2064">
        <v>64</v>
      </c>
      <c r="AZ2064">
        <v>3614</v>
      </c>
      <c r="BA2064">
        <v>1</v>
      </c>
      <c r="BB2064" t="str">
        <f t="shared" si="98"/>
        <v xml:space="preserve">N959MJ  </v>
      </c>
      <c r="BC2064">
        <v>1</v>
      </c>
      <c r="BE2064">
        <v>0</v>
      </c>
      <c r="BF2064">
        <v>0</v>
      </c>
      <c r="BG2064">
        <v>0</v>
      </c>
      <c r="BH2064">
        <v>4900</v>
      </c>
      <c r="BI2064">
        <v>200</v>
      </c>
      <c r="BJ2064">
        <v>1</v>
      </c>
      <c r="BK2064">
        <v>1</v>
      </c>
      <c r="BL2064">
        <v>1</v>
      </c>
      <c r="BM2064">
        <v>0</v>
      </c>
      <c r="BP2064">
        <v>0</v>
      </c>
      <c r="BQ2064">
        <v>0</v>
      </c>
      <c r="BX2064" t="str">
        <f>"14:24:45.844"</f>
        <v>14:24:45.844</v>
      </c>
      <c r="BY2064" t="str">
        <f>"845255797"</f>
        <v>845255797</v>
      </c>
      <c r="CL2064">
        <v>0</v>
      </c>
      <c r="CM2064">
        <v>2</v>
      </c>
      <c r="CN2064">
        <v>0</v>
      </c>
      <c r="CO2064">
        <v>2</v>
      </c>
      <c r="CP2064">
        <v>0</v>
      </c>
      <c r="CQ2064">
        <v>7</v>
      </c>
      <c r="CR2064" t="s">
        <v>116</v>
      </c>
      <c r="CS2064">
        <v>39</v>
      </c>
      <c r="CT2064">
        <v>2</v>
      </c>
      <c r="CU2064" t="s">
        <v>2259</v>
      </c>
      <c r="CV2064" t="s">
        <v>2260</v>
      </c>
      <c r="CY2064">
        <v>16594751</v>
      </c>
      <c r="CZ2064" t="s">
        <v>119</v>
      </c>
    </row>
    <row r="2065" spans="1:104" x14ac:dyDescent="0.25">
      <c r="A2065" t="str">
        <f>"14:24:46.953"</f>
        <v>14:24:46.953</v>
      </c>
      <c r="B2065" t="s">
        <v>108</v>
      </c>
      <c r="C2065" t="str">
        <f t="shared" si="97"/>
        <v>ffdfd3c0</v>
      </c>
      <c r="D2065" t="s">
        <v>109</v>
      </c>
      <c r="E2065">
        <v>4</v>
      </c>
      <c r="F2065">
        <v>1004</v>
      </c>
      <c r="G2065" t="s">
        <v>110</v>
      </c>
      <c r="J2065" t="s">
        <v>111</v>
      </c>
      <c r="K2065">
        <v>0</v>
      </c>
      <c r="L2065">
        <v>3</v>
      </c>
      <c r="M2065">
        <v>0</v>
      </c>
      <c r="N2065">
        <v>2</v>
      </c>
      <c r="O2065">
        <v>1</v>
      </c>
      <c r="P2065">
        <v>0</v>
      </c>
      <c r="Q2065">
        <v>0</v>
      </c>
      <c r="R2065" t="s">
        <v>112</v>
      </c>
      <c r="S2065" t="str">
        <f>"14:24:46.797"</f>
        <v>14:24:46.797</v>
      </c>
      <c r="T2065" t="str">
        <f>"14:24:46.398"</f>
        <v>14:24:46.398</v>
      </c>
      <c r="U2065" t="str">
        <f t="shared" si="96"/>
        <v>ad5732</v>
      </c>
      <c r="V2065">
        <v>0</v>
      </c>
      <c r="W2065">
        <v>0</v>
      </c>
      <c r="X2065">
        <v>1</v>
      </c>
      <c r="Z2065">
        <v>0</v>
      </c>
      <c r="AA2065">
        <v>9</v>
      </c>
      <c r="AB2065">
        <v>3</v>
      </c>
      <c r="AC2065">
        <v>0</v>
      </c>
      <c r="AD2065">
        <v>10</v>
      </c>
      <c r="AE2065">
        <v>0</v>
      </c>
      <c r="AF2065">
        <v>3</v>
      </c>
      <c r="AG2065">
        <v>2</v>
      </c>
      <c r="AH2065">
        <v>0</v>
      </c>
      <c r="AI2065" t="s">
        <v>4235</v>
      </c>
      <c r="AJ2065">
        <v>39.862304000000002</v>
      </c>
      <c r="AK2065" t="s">
        <v>4236</v>
      </c>
      <c r="AL2065">
        <v>-75.807058999999995</v>
      </c>
      <c r="AM2065">
        <v>100</v>
      </c>
      <c r="AN2065">
        <v>4700</v>
      </c>
      <c r="AO2065" t="s">
        <v>115</v>
      </c>
      <c r="AP2065">
        <v>160</v>
      </c>
      <c r="AQ2065">
        <v>84</v>
      </c>
      <c r="AR2065">
        <v>0</v>
      </c>
      <c r="AZ2065">
        <v>3614</v>
      </c>
      <c r="BA2065">
        <v>1</v>
      </c>
      <c r="BB2065" t="str">
        <f t="shared" si="98"/>
        <v xml:space="preserve">N959MJ  </v>
      </c>
      <c r="BC2065">
        <v>1</v>
      </c>
      <c r="BE2065">
        <v>0</v>
      </c>
      <c r="BF2065">
        <v>0</v>
      </c>
      <c r="BG2065">
        <v>0</v>
      </c>
      <c r="BH2065">
        <v>4900</v>
      </c>
      <c r="BI2065">
        <v>200</v>
      </c>
      <c r="BJ2065">
        <v>1</v>
      </c>
      <c r="BK2065">
        <v>1</v>
      </c>
      <c r="BL2065">
        <v>1</v>
      </c>
      <c r="BM2065">
        <v>0</v>
      </c>
      <c r="BP2065">
        <v>0</v>
      </c>
      <c r="BQ2065">
        <v>0</v>
      </c>
      <c r="BX2065" t="str">
        <f>"14:24:46.797"</f>
        <v>14:24:46.797</v>
      </c>
      <c r="BY2065" t="str">
        <f>"800459035"</f>
        <v>800459035</v>
      </c>
      <c r="CL2065">
        <v>0</v>
      </c>
      <c r="CM2065">
        <v>2</v>
      </c>
      <c r="CN2065">
        <v>0</v>
      </c>
      <c r="CO2065">
        <v>2</v>
      </c>
      <c r="CP2065">
        <v>0</v>
      </c>
      <c r="CQ2065">
        <v>7</v>
      </c>
      <c r="CR2065" t="s">
        <v>116</v>
      </c>
      <c r="CS2065">
        <v>39</v>
      </c>
      <c r="CT2065">
        <v>2</v>
      </c>
      <c r="CU2065" t="s">
        <v>2259</v>
      </c>
      <c r="CV2065" t="s">
        <v>2260</v>
      </c>
      <c r="CY2065">
        <v>16596288</v>
      </c>
      <c r="CZ2065" t="s">
        <v>119</v>
      </c>
    </row>
    <row r="2066" spans="1:104" x14ac:dyDescent="0.25">
      <c r="A2066" t="str">
        <f>"14:24:48.109"</f>
        <v>14:24:48.109</v>
      </c>
      <c r="B2066" t="s">
        <v>108</v>
      </c>
      <c r="C2066" t="str">
        <f t="shared" si="97"/>
        <v>ffdfd3c0</v>
      </c>
      <c r="D2066" t="s">
        <v>109</v>
      </c>
      <c r="E2066">
        <v>4</v>
      </c>
      <c r="F2066">
        <v>1004</v>
      </c>
      <c r="G2066" t="s">
        <v>110</v>
      </c>
      <c r="J2066" t="s">
        <v>111</v>
      </c>
      <c r="K2066">
        <v>0</v>
      </c>
      <c r="L2066">
        <v>3</v>
      </c>
      <c r="M2066">
        <v>0</v>
      </c>
      <c r="N2066">
        <v>2</v>
      </c>
      <c r="O2066">
        <v>1</v>
      </c>
      <c r="P2066">
        <v>0</v>
      </c>
      <c r="Q2066">
        <v>0</v>
      </c>
      <c r="R2066" t="s">
        <v>112</v>
      </c>
      <c r="S2066" t="str">
        <f>"14:24:47.922"</f>
        <v>14:24:47.922</v>
      </c>
      <c r="T2066" t="str">
        <f>"14:24:47.422"</f>
        <v>14:24:47.422</v>
      </c>
      <c r="U2066" t="str">
        <f t="shared" si="96"/>
        <v>ad5732</v>
      </c>
      <c r="V2066">
        <v>0</v>
      </c>
      <c r="W2066">
        <v>0</v>
      </c>
      <c r="X2066">
        <v>1</v>
      </c>
      <c r="Z2066">
        <v>0</v>
      </c>
      <c r="AA2066">
        <v>9</v>
      </c>
      <c r="AB2066">
        <v>3</v>
      </c>
      <c r="AC2066">
        <v>0</v>
      </c>
      <c r="AD2066">
        <v>10</v>
      </c>
      <c r="AE2066">
        <v>0</v>
      </c>
      <c r="AF2066">
        <v>3</v>
      </c>
      <c r="AG2066">
        <v>2</v>
      </c>
      <c r="AH2066">
        <v>0</v>
      </c>
      <c r="AI2066" t="s">
        <v>4237</v>
      </c>
      <c r="AJ2066">
        <v>39.862754000000002</v>
      </c>
      <c r="AK2066" t="s">
        <v>4238</v>
      </c>
      <c r="AL2066">
        <v>-75.806028999999995</v>
      </c>
      <c r="AM2066">
        <v>100</v>
      </c>
      <c r="AN2066">
        <v>4700</v>
      </c>
      <c r="AO2066" t="s">
        <v>115</v>
      </c>
      <c r="AP2066">
        <v>160</v>
      </c>
      <c r="AQ2066">
        <v>84</v>
      </c>
      <c r="AR2066">
        <v>0</v>
      </c>
      <c r="AZ2066">
        <v>3614</v>
      </c>
      <c r="BA2066">
        <v>1</v>
      </c>
      <c r="BB2066" t="str">
        <f t="shared" si="98"/>
        <v xml:space="preserve">N959MJ  </v>
      </c>
      <c r="BC2066">
        <v>1</v>
      </c>
      <c r="BE2066">
        <v>0</v>
      </c>
      <c r="BF2066">
        <v>0</v>
      </c>
      <c r="BG2066">
        <v>0</v>
      </c>
      <c r="BH2066">
        <v>4900</v>
      </c>
      <c r="BI2066">
        <v>200</v>
      </c>
      <c r="BJ2066">
        <v>1</v>
      </c>
      <c r="BK2066">
        <v>1</v>
      </c>
      <c r="BL2066">
        <v>1</v>
      </c>
      <c r="BM2066">
        <v>0</v>
      </c>
      <c r="BP2066">
        <v>0</v>
      </c>
      <c r="BQ2066">
        <v>0</v>
      </c>
      <c r="BX2066" t="str">
        <f>"14:24:47.922"</f>
        <v>14:24:47.922</v>
      </c>
      <c r="BY2066" t="str">
        <f>"922781877"</f>
        <v>922781877</v>
      </c>
      <c r="CL2066">
        <v>0</v>
      </c>
      <c r="CM2066">
        <v>2</v>
      </c>
      <c r="CN2066">
        <v>0</v>
      </c>
      <c r="CO2066">
        <v>2</v>
      </c>
      <c r="CP2066">
        <v>0</v>
      </c>
      <c r="CQ2066">
        <v>7</v>
      </c>
      <c r="CR2066" t="s">
        <v>116</v>
      </c>
      <c r="CS2066">
        <v>39</v>
      </c>
      <c r="CT2066">
        <v>2</v>
      </c>
      <c r="CU2066" t="s">
        <v>2259</v>
      </c>
      <c r="CV2066" t="s">
        <v>2260</v>
      </c>
      <c r="CY2066">
        <v>16598217</v>
      </c>
      <c r="CZ2066" t="s">
        <v>119</v>
      </c>
    </row>
    <row r="2067" spans="1:104" x14ac:dyDescent="0.25">
      <c r="A2067" t="str">
        <f>"14:24:49.070"</f>
        <v>14:24:49.070</v>
      </c>
      <c r="B2067" t="s">
        <v>108</v>
      </c>
      <c r="C2067" t="str">
        <f t="shared" si="97"/>
        <v>ffdfd3c0</v>
      </c>
      <c r="D2067" t="s">
        <v>109</v>
      </c>
      <c r="E2067">
        <v>4</v>
      </c>
      <c r="F2067">
        <v>1004</v>
      </c>
      <c r="G2067" t="s">
        <v>110</v>
      </c>
      <c r="J2067" t="s">
        <v>111</v>
      </c>
      <c r="K2067">
        <v>0</v>
      </c>
      <c r="L2067">
        <v>3</v>
      </c>
      <c r="M2067">
        <v>0</v>
      </c>
      <c r="N2067">
        <v>2</v>
      </c>
      <c r="O2067">
        <v>1</v>
      </c>
      <c r="P2067">
        <v>0</v>
      </c>
      <c r="Q2067">
        <v>0</v>
      </c>
      <c r="R2067" t="s">
        <v>112</v>
      </c>
      <c r="S2067" t="str">
        <f>"14:24:48.883"</f>
        <v>14:24:48.883</v>
      </c>
      <c r="T2067" t="str">
        <f>"14:24:48.383"</f>
        <v>14:24:48.383</v>
      </c>
      <c r="U2067" t="str">
        <f t="shared" si="96"/>
        <v>ad5732</v>
      </c>
      <c r="V2067">
        <v>0</v>
      </c>
      <c r="W2067">
        <v>0</v>
      </c>
      <c r="X2067">
        <v>1</v>
      </c>
      <c r="Z2067">
        <v>0</v>
      </c>
      <c r="AA2067">
        <v>9</v>
      </c>
      <c r="AB2067">
        <v>3</v>
      </c>
      <c r="AC2067">
        <v>0</v>
      </c>
      <c r="AD2067">
        <v>10</v>
      </c>
      <c r="AE2067">
        <v>0</v>
      </c>
      <c r="AF2067">
        <v>3</v>
      </c>
      <c r="AG2067">
        <v>2</v>
      </c>
      <c r="AH2067">
        <v>0</v>
      </c>
      <c r="AI2067" t="s">
        <v>4239</v>
      </c>
      <c r="AJ2067">
        <v>39.863098000000001</v>
      </c>
      <c r="AK2067" t="s">
        <v>4240</v>
      </c>
      <c r="AL2067">
        <v>-75.805171000000001</v>
      </c>
      <c r="AM2067">
        <v>100</v>
      </c>
      <c r="AN2067">
        <v>4700</v>
      </c>
      <c r="AO2067" t="s">
        <v>115</v>
      </c>
      <c r="AP2067">
        <v>160</v>
      </c>
      <c r="AQ2067">
        <v>84</v>
      </c>
      <c r="AR2067">
        <v>0</v>
      </c>
      <c r="AZ2067">
        <v>3614</v>
      </c>
      <c r="BA2067">
        <v>1</v>
      </c>
      <c r="BB2067" t="str">
        <f t="shared" si="98"/>
        <v xml:space="preserve">N959MJ  </v>
      </c>
      <c r="BC2067">
        <v>1</v>
      </c>
      <c r="BE2067">
        <v>0</v>
      </c>
      <c r="BF2067">
        <v>0</v>
      </c>
      <c r="BG2067">
        <v>0</v>
      </c>
      <c r="BH2067">
        <v>4900</v>
      </c>
      <c r="BI2067">
        <v>200</v>
      </c>
      <c r="BJ2067">
        <v>1</v>
      </c>
      <c r="BK2067">
        <v>1</v>
      </c>
      <c r="BL2067">
        <v>1</v>
      </c>
      <c r="BM2067">
        <v>0</v>
      </c>
      <c r="BP2067">
        <v>0</v>
      </c>
      <c r="BQ2067">
        <v>0</v>
      </c>
      <c r="BX2067" t="str">
        <f>"14:24:48.891"</f>
        <v>14:24:48.891</v>
      </c>
      <c r="BY2067" t="str">
        <f>"889454113"</f>
        <v>889454113</v>
      </c>
      <c r="CL2067">
        <v>0</v>
      </c>
      <c r="CM2067">
        <v>2</v>
      </c>
      <c r="CN2067">
        <v>0</v>
      </c>
      <c r="CO2067">
        <v>2</v>
      </c>
      <c r="CP2067">
        <v>0</v>
      </c>
      <c r="CQ2067">
        <v>7</v>
      </c>
      <c r="CR2067" t="s">
        <v>116</v>
      </c>
      <c r="CS2067">
        <v>39</v>
      </c>
      <c r="CT2067">
        <v>2</v>
      </c>
      <c r="CU2067" t="s">
        <v>2259</v>
      </c>
      <c r="CV2067" t="s">
        <v>2260</v>
      </c>
      <c r="CY2067">
        <v>16599762</v>
      </c>
      <c r="CZ2067" t="s">
        <v>119</v>
      </c>
    </row>
    <row r="2068" spans="1:104" x14ac:dyDescent="0.25">
      <c r="A2068" t="str">
        <f>"14:24:50.086"</f>
        <v>14:24:50.086</v>
      </c>
      <c r="B2068" t="s">
        <v>108</v>
      </c>
      <c r="C2068" t="str">
        <f t="shared" si="97"/>
        <v>ffdfd3c0</v>
      </c>
      <c r="D2068" t="s">
        <v>109</v>
      </c>
      <c r="E2068">
        <v>4</v>
      </c>
      <c r="F2068">
        <v>1004</v>
      </c>
      <c r="G2068" t="s">
        <v>110</v>
      </c>
      <c r="J2068" t="s">
        <v>111</v>
      </c>
      <c r="K2068">
        <v>0</v>
      </c>
      <c r="L2068">
        <v>3</v>
      </c>
      <c r="M2068">
        <v>0</v>
      </c>
      <c r="N2068">
        <v>2</v>
      </c>
      <c r="O2068">
        <v>1</v>
      </c>
      <c r="P2068">
        <v>0</v>
      </c>
      <c r="Q2068">
        <v>0</v>
      </c>
      <c r="R2068" t="s">
        <v>112</v>
      </c>
      <c r="S2068" t="str">
        <f>"14:24:49.922"</f>
        <v>14:24:49.922</v>
      </c>
      <c r="T2068" t="str">
        <f>"14:24:49.422"</f>
        <v>14:24:49.422</v>
      </c>
      <c r="U2068" t="str">
        <f t="shared" si="96"/>
        <v>ad5732</v>
      </c>
      <c r="V2068">
        <v>0</v>
      </c>
      <c r="W2068">
        <v>0</v>
      </c>
      <c r="X2068">
        <v>1</v>
      </c>
      <c r="Z2068">
        <v>0</v>
      </c>
      <c r="AA2068">
        <v>9</v>
      </c>
      <c r="AB2068">
        <v>3</v>
      </c>
      <c r="AC2068">
        <v>0</v>
      </c>
      <c r="AD2068">
        <v>10</v>
      </c>
      <c r="AE2068">
        <v>0</v>
      </c>
      <c r="AF2068">
        <v>3</v>
      </c>
      <c r="AG2068">
        <v>2</v>
      </c>
      <c r="AH2068">
        <v>0</v>
      </c>
      <c r="AI2068" t="s">
        <v>4241</v>
      </c>
      <c r="AJ2068">
        <v>39.863526999999998</v>
      </c>
      <c r="AK2068" t="s">
        <v>4242</v>
      </c>
      <c r="AL2068">
        <v>-75.804119</v>
      </c>
      <c r="AM2068">
        <v>100</v>
      </c>
      <c r="AN2068">
        <v>4700</v>
      </c>
      <c r="AO2068" t="s">
        <v>115</v>
      </c>
      <c r="AP2068">
        <v>160</v>
      </c>
      <c r="AQ2068">
        <v>84</v>
      </c>
      <c r="AR2068">
        <v>64</v>
      </c>
      <c r="AZ2068">
        <v>3614</v>
      </c>
      <c r="BA2068">
        <v>1</v>
      </c>
      <c r="BB2068" t="str">
        <f t="shared" si="98"/>
        <v xml:space="preserve">N959MJ  </v>
      </c>
      <c r="BC2068">
        <v>1</v>
      </c>
      <c r="BE2068">
        <v>0</v>
      </c>
      <c r="BF2068">
        <v>0</v>
      </c>
      <c r="BG2068">
        <v>0</v>
      </c>
      <c r="BH2068">
        <v>4900</v>
      </c>
      <c r="BI2068">
        <v>200</v>
      </c>
      <c r="BJ2068">
        <v>1</v>
      </c>
      <c r="BK2068">
        <v>1</v>
      </c>
      <c r="BL2068">
        <v>1</v>
      </c>
      <c r="BM2068">
        <v>0</v>
      </c>
      <c r="BP2068">
        <v>0</v>
      </c>
      <c r="BQ2068">
        <v>0</v>
      </c>
      <c r="BX2068" t="str">
        <f>"14:24:49.930"</f>
        <v>14:24:49.930</v>
      </c>
      <c r="BY2068" t="str">
        <f>"926578725"</f>
        <v>926578725</v>
      </c>
      <c r="CL2068">
        <v>0</v>
      </c>
      <c r="CM2068">
        <v>2</v>
      </c>
      <c r="CN2068">
        <v>0</v>
      </c>
      <c r="CO2068">
        <v>2</v>
      </c>
      <c r="CP2068">
        <v>0</v>
      </c>
      <c r="CQ2068">
        <v>7</v>
      </c>
      <c r="CR2068" t="s">
        <v>116</v>
      </c>
      <c r="CS2068">
        <v>39</v>
      </c>
      <c r="CT2068">
        <v>2</v>
      </c>
      <c r="CU2068" t="s">
        <v>2259</v>
      </c>
      <c r="CV2068" t="s">
        <v>2260</v>
      </c>
      <c r="CY2068">
        <v>16601505</v>
      </c>
      <c r="CZ2068" t="s">
        <v>119</v>
      </c>
    </row>
    <row r="2069" spans="1:104" x14ac:dyDescent="0.25">
      <c r="A2069" t="str">
        <f>"14:24:51.141"</f>
        <v>14:24:51.141</v>
      </c>
      <c r="B2069" t="s">
        <v>108</v>
      </c>
      <c r="C2069" t="str">
        <f t="shared" si="97"/>
        <v>ffdfd3c0</v>
      </c>
      <c r="D2069" t="s">
        <v>109</v>
      </c>
      <c r="E2069">
        <v>4</v>
      </c>
      <c r="F2069">
        <v>1004</v>
      </c>
      <c r="G2069" t="s">
        <v>110</v>
      </c>
      <c r="J2069" t="s">
        <v>111</v>
      </c>
      <c r="K2069">
        <v>0</v>
      </c>
      <c r="L2069">
        <v>3</v>
      </c>
      <c r="M2069">
        <v>0</v>
      </c>
      <c r="N2069">
        <v>2</v>
      </c>
      <c r="O2069">
        <v>1</v>
      </c>
      <c r="P2069">
        <v>0</v>
      </c>
      <c r="Q2069">
        <v>0</v>
      </c>
      <c r="R2069" t="s">
        <v>112</v>
      </c>
      <c r="S2069" t="str">
        <f>"14:24:50.953"</f>
        <v>14:24:50.953</v>
      </c>
      <c r="T2069" t="str">
        <f>"14:24:50.555"</f>
        <v>14:24:50.555</v>
      </c>
      <c r="U2069" t="str">
        <f t="shared" si="96"/>
        <v>ad5732</v>
      </c>
      <c r="V2069">
        <v>0</v>
      </c>
      <c r="W2069">
        <v>0</v>
      </c>
      <c r="X2069">
        <v>1</v>
      </c>
      <c r="Z2069">
        <v>0</v>
      </c>
      <c r="AA2069">
        <v>9</v>
      </c>
      <c r="AB2069">
        <v>3</v>
      </c>
      <c r="AC2069">
        <v>0</v>
      </c>
      <c r="AD2069">
        <v>10</v>
      </c>
      <c r="AE2069">
        <v>0</v>
      </c>
      <c r="AF2069">
        <v>3</v>
      </c>
      <c r="AG2069">
        <v>2</v>
      </c>
      <c r="AH2069">
        <v>0</v>
      </c>
      <c r="AI2069" t="s">
        <v>4243</v>
      </c>
      <c r="AJ2069">
        <v>39.863892</v>
      </c>
      <c r="AK2069" t="s">
        <v>4244</v>
      </c>
      <c r="AL2069">
        <v>-75.803154000000006</v>
      </c>
      <c r="AM2069">
        <v>100</v>
      </c>
      <c r="AN2069">
        <v>4700</v>
      </c>
      <c r="AO2069" t="s">
        <v>115</v>
      </c>
      <c r="AP2069">
        <v>160</v>
      </c>
      <c r="AQ2069">
        <v>84</v>
      </c>
      <c r="AR2069">
        <v>64</v>
      </c>
      <c r="AZ2069">
        <v>3614</v>
      </c>
      <c r="BA2069">
        <v>1</v>
      </c>
      <c r="BB2069" t="str">
        <f t="shared" si="98"/>
        <v xml:space="preserve">N959MJ  </v>
      </c>
      <c r="BC2069">
        <v>1</v>
      </c>
      <c r="BE2069">
        <v>0</v>
      </c>
      <c r="BF2069">
        <v>0</v>
      </c>
      <c r="BG2069">
        <v>0</v>
      </c>
      <c r="BH2069">
        <v>4900</v>
      </c>
      <c r="BI2069">
        <v>200</v>
      </c>
      <c r="BJ2069">
        <v>1</v>
      </c>
      <c r="BK2069">
        <v>1</v>
      </c>
      <c r="BL2069">
        <v>1</v>
      </c>
      <c r="BM2069">
        <v>0</v>
      </c>
      <c r="BP2069">
        <v>0</v>
      </c>
      <c r="BQ2069">
        <v>0</v>
      </c>
      <c r="BX2069" t="str">
        <f>"14:24:50.961"</f>
        <v>14:24:50.961</v>
      </c>
      <c r="BY2069" t="str">
        <f>"958788055"</f>
        <v>958788055</v>
      </c>
      <c r="CL2069">
        <v>0</v>
      </c>
      <c r="CM2069">
        <v>2</v>
      </c>
      <c r="CN2069">
        <v>0</v>
      </c>
      <c r="CO2069">
        <v>2</v>
      </c>
      <c r="CP2069">
        <v>0</v>
      </c>
      <c r="CQ2069">
        <v>7</v>
      </c>
      <c r="CR2069" t="s">
        <v>116</v>
      </c>
      <c r="CS2069">
        <v>39</v>
      </c>
      <c r="CT2069">
        <v>2</v>
      </c>
      <c r="CU2069" t="s">
        <v>2259</v>
      </c>
      <c r="CV2069" t="s">
        <v>2260</v>
      </c>
      <c r="CY2069">
        <v>16603075</v>
      </c>
      <c r="CZ2069" t="s">
        <v>119</v>
      </c>
    </row>
    <row r="2070" spans="1:104" x14ac:dyDescent="0.25">
      <c r="A2070" t="str">
        <f>"14:24:52.148"</f>
        <v>14:24:52.148</v>
      </c>
      <c r="B2070" t="s">
        <v>108</v>
      </c>
      <c r="C2070" t="str">
        <f t="shared" si="97"/>
        <v>ffdfd3c0</v>
      </c>
      <c r="D2070" t="s">
        <v>109</v>
      </c>
      <c r="E2070">
        <v>4</v>
      </c>
      <c r="F2070">
        <v>1004</v>
      </c>
      <c r="G2070" t="s">
        <v>110</v>
      </c>
      <c r="J2070" t="s">
        <v>111</v>
      </c>
      <c r="K2070">
        <v>0</v>
      </c>
      <c r="L2070">
        <v>3</v>
      </c>
      <c r="M2070">
        <v>0</v>
      </c>
      <c r="N2070">
        <v>2</v>
      </c>
      <c r="O2070">
        <v>1</v>
      </c>
      <c r="P2070">
        <v>0</v>
      </c>
      <c r="Q2070">
        <v>0</v>
      </c>
      <c r="R2070" t="s">
        <v>112</v>
      </c>
      <c r="S2070" t="str">
        <f>"14:24:51.969"</f>
        <v>14:24:51.969</v>
      </c>
      <c r="T2070" t="str">
        <f>"14:24:51.570"</f>
        <v>14:24:51.570</v>
      </c>
      <c r="U2070" t="str">
        <f t="shared" si="96"/>
        <v>ad5732</v>
      </c>
      <c r="V2070">
        <v>0</v>
      </c>
      <c r="W2070">
        <v>0</v>
      </c>
      <c r="X2070">
        <v>1</v>
      </c>
      <c r="Z2070">
        <v>0</v>
      </c>
      <c r="AA2070">
        <v>9</v>
      </c>
      <c r="AB2070">
        <v>3</v>
      </c>
      <c r="AC2070">
        <v>0</v>
      </c>
      <c r="AD2070">
        <v>10</v>
      </c>
      <c r="AE2070">
        <v>0</v>
      </c>
      <c r="AF2070">
        <v>3</v>
      </c>
      <c r="AG2070">
        <v>2</v>
      </c>
      <c r="AH2070">
        <v>0</v>
      </c>
      <c r="AI2070" t="s">
        <v>4245</v>
      </c>
      <c r="AJ2070">
        <v>39.864299000000003</v>
      </c>
      <c r="AK2070" t="s">
        <v>4246</v>
      </c>
      <c r="AL2070">
        <v>-75.802144999999996</v>
      </c>
      <c r="AM2070">
        <v>100</v>
      </c>
      <c r="AN2070">
        <v>4700</v>
      </c>
      <c r="AO2070" t="s">
        <v>115</v>
      </c>
      <c r="AP2070">
        <v>160</v>
      </c>
      <c r="AQ2070">
        <v>84</v>
      </c>
      <c r="AR2070">
        <v>64</v>
      </c>
      <c r="AZ2070">
        <v>3614</v>
      </c>
      <c r="BA2070">
        <v>1</v>
      </c>
      <c r="BB2070" t="str">
        <f t="shared" si="98"/>
        <v xml:space="preserve">N959MJ  </v>
      </c>
      <c r="BC2070">
        <v>1</v>
      </c>
      <c r="BE2070">
        <v>0</v>
      </c>
      <c r="BF2070">
        <v>0</v>
      </c>
      <c r="BG2070">
        <v>0</v>
      </c>
      <c r="BH2070">
        <v>4900</v>
      </c>
      <c r="BI2070">
        <v>200</v>
      </c>
      <c r="BJ2070">
        <v>1</v>
      </c>
      <c r="BK2070">
        <v>1</v>
      </c>
      <c r="BL2070">
        <v>1</v>
      </c>
      <c r="BM2070">
        <v>0</v>
      </c>
      <c r="BP2070">
        <v>0</v>
      </c>
      <c r="BQ2070">
        <v>0</v>
      </c>
      <c r="BX2070" t="str">
        <f>"14:24:51.969"</f>
        <v>14:24:51.969</v>
      </c>
      <c r="BY2070" t="str">
        <f>"969697871"</f>
        <v>969697871</v>
      </c>
      <c r="CL2070">
        <v>0</v>
      </c>
      <c r="CM2070">
        <v>2</v>
      </c>
      <c r="CN2070">
        <v>0</v>
      </c>
      <c r="CO2070">
        <v>2</v>
      </c>
      <c r="CP2070">
        <v>0</v>
      </c>
      <c r="CQ2070">
        <v>7</v>
      </c>
      <c r="CR2070" t="s">
        <v>116</v>
      </c>
      <c r="CS2070">
        <v>39</v>
      </c>
      <c r="CT2070">
        <v>2</v>
      </c>
      <c r="CU2070" t="s">
        <v>2259</v>
      </c>
      <c r="CV2070" t="s">
        <v>2260</v>
      </c>
      <c r="CY2070">
        <v>16604689</v>
      </c>
      <c r="CZ2070" t="s">
        <v>119</v>
      </c>
    </row>
    <row r="2071" spans="1:104" x14ac:dyDescent="0.25">
      <c r="A2071" t="str">
        <f>"14:24:53.164"</f>
        <v>14:24:53.164</v>
      </c>
      <c r="B2071" t="s">
        <v>108</v>
      </c>
      <c r="C2071" t="str">
        <f t="shared" si="97"/>
        <v>ffdfd3c0</v>
      </c>
      <c r="D2071" t="s">
        <v>109</v>
      </c>
      <c r="E2071">
        <v>4</v>
      </c>
      <c r="F2071">
        <v>1004</v>
      </c>
      <c r="G2071" t="s">
        <v>110</v>
      </c>
      <c r="J2071" t="s">
        <v>111</v>
      </c>
      <c r="K2071">
        <v>0</v>
      </c>
      <c r="L2071">
        <v>3</v>
      </c>
      <c r="M2071">
        <v>0</v>
      </c>
      <c r="N2071">
        <v>2</v>
      </c>
      <c r="O2071">
        <v>1</v>
      </c>
      <c r="P2071">
        <v>0</v>
      </c>
      <c r="Q2071">
        <v>0</v>
      </c>
      <c r="R2071" t="s">
        <v>112</v>
      </c>
      <c r="S2071" t="str">
        <f>"14:24:52.945"</f>
        <v>14:24:52.945</v>
      </c>
      <c r="T2071" t="str">
        <f>"14:24:52.445"</f>
        <v>14:24:52.445</v>
      </c>
      <c r="U2071" t="str">
        <f t="shared" si="96"/>
        <v>ad5732</v>
      </c>
      <c r="V2071">
        <v>0</v>
      </c>
      <c r="W2071">
        <v>0</v>
      </c>
      <c r="X2071">
        <v>1</v>
      </c>
      <c r="Z2071">
        <v>0</v>
      </c>
      <c r="AA2071">
        <v>9</v>
      </c>
      <c r="AB2071">
        <v>3</v>
      </c>
      <c r="AC2071">
        <v>0</v>
      </c>
      <c r="AD2071">
        <v>10</v>
      </c>
      <c r="AE2071">
        <v>0</v>
      </c>
      <c r="AF2071">
        <v>3</v>
      </c>
      <c r="AG2071">
        <v>2</v>
      </c>
      <c r="AH2071">
        <v>0</v>
      </c>
      <c r="AI2071" t="s">
        <v>4247</v>
      </c>
      <c r="AJ2071">
        <v>39.864663999999998</v>
      </c>
      <c r="AK2071" t="s">
        <v>4248</v>
      </c>
      <c r="AL2071">
        <v>-75.801179000000005</v>
      </c>
      <c r="AM2071">
        <v>100</v>
      </c>
      <c r="AN2071">
        <v>4700</v>
      </c>
      <c r="AO2071" t="s">
        <v>115</v>
      </c>
      <c r="AP2071">
        <v>160</v>
      </c>
      <c r="AQ2071">
        <v>84</v>
      </c>
      <c r="AR2071">
        <v>64</v>
      </c>
      <c r="AZ2071">
        <v>3614</v>
      </c>
      <c r="BA2071">
        <v>1</v>
      </c>
      <c r="BB2071" t="str">
        <f t="shared" si="98"/>
        <v xml:space="preserve">N959MJ  </v>
      </c>
      <c r="BC2071">
        <v>1</v>
      </c>
      <c r="BE2071">
        <v>0</v>
      </c>
      <c r="BF2071">
        <v>0</v>
      </c>
      <c r="BG2071">
        <v>0</v>
      </c>
      <c r="BH2071">
        <v>4900</v>
      </c>
      <c r="BI2071">
        <v>200</v>
      </c>
      <c r="BJ2071">
        <v>1</v>
      </c>
      <c r="BK2071">
        <v>1</v>
      </c>
      <c r="BL2071">
        <v>1</v>
      </c>
      <c r="BM2071">
        <v>0</v>
      </c>
      <c r="BP2071">
        <v>0</v>
      </c>
      <c r="BQ2071">
        <v>0</v>
      </c>
      <c r="BX2071" t="str">
        <f>"14:24:52.945"</f>
        <v>14:24:52.945</v>
      </c>
      <c r="BY2071" t="str">
        <f>"947839062"</f>
        <v>947839062</v>
      </c>
      <c r="CL2071">
        <v>0</v>
      </c>
      <c r="CM2071">
        <v>2</v>
      </c>
      <c r="CN2071">
        <v>0</v>
      </c>
      <c r="CO2071">
        <v>2</v>
      </c>
      <c r="CP2071">
        <v>0</v>
      </c>
      <c r="CQ2071">
        <v>7</v>
      </c>
      <c r="CR2071" t="s">
        <v>116</v>
      </c>
      <c r="CS2071">
        <v>39</v>
      </c>
      <c r="CT2071">
        <v>2</v>
      </c>
      <c r="CU2071" t="s">
        <v>2259</v>
      </c>
      <c r="CV2071" t="s">
        <v>2260</v>
      </c>
      <c r="CY2071">
        <v>16606320</v>
      </c>
      <c r="CZ2071" t="s">
        <v>119</v>
      </c>
    </row>
    <row r="2072" spans="1:104" x14ac:dyDescent="0.25">
      <c r="A2072" t="str">
        <f>"14:24:54.023"</f>
        <v>14:24:54.023</v>
      </c>
      <c r="B2072" t="s">
        <v>108</v>
      </c>
      <c r="C2072" t="str">
        <f t="shared" si="97"/>
        <v>ffdfd3c0</v>
      </c>
      <c r="D2072" t="s">
        <v>109</v>
      </c>
      <c r="E2072">
        <v>4</v>
      </c>
      <c r="F2072">
        <v>1004</v>
      </c>
      <c r="G2072" t="s">
        <v>110</v>
      </c>
      <c r="J2072" t="s">
        <v>111</v>
      </c>
      <c r="K2072">
        <v>0</v>
      </c>
      <c r="L2072">
        <v>3</v>
      </c>
      <c r="M2072">
        <v>0</v>
      </c>
      <c r="N2072">
        <v>2</v>
      </c>
      <c r="O2072">
        <v>1</v>
      </c>
      <c r="P2072">
        <v>0</v>
      </c>
      <c r="Q2072">
        <v>0</v>
      </c>
      <c r="R2072" t="s">
        <v>112</v>
      </c>
      <c r="S2072" t="str">
        <f>"14:24:53.820"</f>
        <v>14:24:53.820</v>
      </c>
      <c r="T2072" t="str">
        <f>"14:24:53.422"</f>
        <v>14:24:53.422</v>
      </c>
      <c r="U2072" t="str">
        <f t="shared" si="96"/>
        <v>ad5732</v>
      </c>
      <c r="V2072">
        <v>0</v>
      </c>
      <c r="W2072">
        <v>0</v>
      </c>
      <c r="X2072">
        <v>1</v>
      </c>
      <c r="Z2072">
        <v>0</v>
      </c>
      <c r="AA2072">
        <v>9</v>
      </c>
      <c r="AB2072">
        <v>3</v>
      </c>
      <c r="AC2072">
        <v>0</v>
      </c>
      <c r="AD2072">
        <v>10</v>
      </c>
      <c r="AE2072">
        <v>0</v>
      </c>
      <c r="AF2072">
        <v>3</v>
      </c>
      <c r="AG2072">
        <v>2</v>
      </c>
      <c r="AH2072">
        <v>0</v>
      </c>
      <c r="AI2072" t="s">
        <v>4249</v>
      </c>
      <c r="AJ2072">
        <v>39.865006999999999</v>
      </c>
      <c r="AK2072" t="s">
        <v>4250</v>
      </c>
      <c r="AL2072">
        <v>-75.800364000000002</v>
      </c>
      <c r="AM2072">
        <v>100</v>
      </c>
      <c r="AN2072">
        <v>4700</v>
      </c>
      <c r="AO2072" t="s">
        <v>115</v>
      </c>
      <c r="AP2072">
        <v>160</v>
      </c>
      <c r="AQ2072">
        <v>83</v>
      </c>
      <c r="AR2072">
        <v>0</v>
      </c>
      <c r="AZ2072">
        <v>3614</v>
      </c>
      <c r="BA2072">
        <v>1</v>
      </c>
      <c r="BB2072" t="str">
        <f t="shared" si="98"/>
        <v xml:space="preserve">N959MJ  </v>
      </c>
      <c r="BC2072">
        <v>1</v>
      </c>
      <c r="BE2072">
        <v>0</v>
      </c>
      <c r="BF2072">
        <v>0</v>
      </c>
      <c r="BG2072">
        <v>0</v>
      </c>
      <c r="BH2072">
        <v>4900</v>
      </c>
      <c r="BI2072">
        <v>200</v>
      </c>
      <c r="BJ2072">
        <v>1</v>
      </c>
      <c r="BK2072">
        <v>1</v>
      </c>
      <c r="BL2072">
        <v>1</v>
      </c>
      <c r="BM2072">
        <v>0</v>
      </c>
      <c r="BP2072">
        <v>0</v>
      </c>
      <c r="BQ2072">
        <v>0</v>
      </c>
      <c r="BX2072" t="str">
        <f>"14:24:53.820"</f>
        <v>14:24:53.820</v>
      </c>
      <c r="BY2072" t="str">
        <f>"822759452"</f>
        <v>822759452</v>
      </c>
      <c r="CL2072">
        <v>0</v>
      </c>
      <c r="CM2072">
        <v>2</v>
      </c>
      <c r="CN2072">
        <v>0</v>
      </c>
      <c r="CO2072">
        <v>2</v>
      </c>
      <c r="CP2072">
        <v>0</v>
      </c>
      <c r="CQ2072">
        <v>7</v>
      </c>
      <c r="CR2072" t="s">
        <v>116</v>
      </c>
      <c r="CS2072">
        <v>39</v>
      </c>
      <c r="CT2072">
        <v>2</v>
      </c>
      <c r="CU2072" t="s">
        <v>2259</v>
      </c>
      <c r="CV2072" t="s">
        <v>2260</v>
      </c>
      <c r="CY2072">
        <v>16607792</v>
      </c>
      <c r="CZ2072" t="s">
        <v>119</v>
      </c>
    </row>
    <row r="2073" spans="1:104" x14ac:dyDescent="0.25">
      <c r="A2073" t="str">
        <f>"14:24:55.031"</f>
        <v>14:24:55.031</v>
      </c>
      <c r="B2073" t="s">
        <v>108</v>
      </c>
      <c r="C2073" t="str">
        <f t="shared" si="97"/>
        <v>ffdfd3c0</v>
      </c>
      <c r="D2073" t="s">
        <v>109</v>
      </c>
      <c r="E2073">
        <v>4</v>
      </c>
      <c r="F2073">
        <v>1004</v>
      </c>
      <c r="G2073" t="s">
        <v>110</v>
      </c>
      <c r="J2073" t="s">
        <v>111</v>
      </c>
      <c r="K2073">
        <v>0</v>
      </c>
      <c r="L2073">
        <v>3</v>
      </c>
      <c r="M2073">
        <v>0</v>
      </c>
      <c r="N2073">
        <v>2</v>
      </c>
      <c r="O2073">
        <v>1</v>
      </c>
      <c r="P2073">
        <v>0</v>
      </c>
      <c r="Q2073">
        <v>0</v>
      </c>
      <c r="R2073" t="s">
        <v>112</v>
      </c>
      <c r="S2073" t="str">
        <f>"14:24:54.859"</f>
        <v>14:24:54.859</v>
      </c>
      <c r="T2073" t="str">
        <f>"14:24:54.359"</f>
        <v>14:24:54.359</v>
      </c>
      <c r="U2073" t="str">
        <f t="shared" si="96"/>
        <v>ad5732</v>
      </c>
      <c r="V2073">
        <v>0</v>
      </c>
      <c r="W2073">
        <v>0</v>
      </c>
      <c r="X2073">
        <v>1</v>
      </c>
      <c r="Z2073">
        <v>0</v>
      </c>
      <c r="AA2073">
        <v>9</v>
      </c>
      <c r="AB2073">
        <v>3</v>
      </c>
      <c r="AC2073">
        <v>0</v>
      </c>
      <c r="AD2073">
        <v>10</v>
      </c>
      <c r="AE2073">
        <v>0</v>
      </c>
      <c r="AF2073">
        <v>3</v>
      </c>
      <c r="AG2073">
        <v>2</v>
      </c>
      <c r="AH2073">
        <v>0</v>
      </c>
      <c r="AI2073" t="s">
        <v>4251</v>
      </c>
      <c r="AJ2073">
        <v>39.865437</v>
      </c>
      <c r="AK2073" t="s">
        <v>4252</v>
      </c>
      <c r="AL2073">
        <v>-75.799377000000007</v>
      </c>
      <c r="AM2073">
        <v>100</v>
      </c>
      <c r="AN2073">
        <v>4700</v>
      </c>
      <c r="AO2073" t="s">
        <v>115</v>
      </c>
      <c r="AP2073">
        <v>160</v>
      </c>
      <c r="AQ2073">
        <v>83</v>
      </c>
      <c r="AR2073">
        <v>0</v>
      </c>
      <c r="AZ2073">
        <v>3614</v>
      </c>
      <c r="BA2073">
        <v>1</v>
      </c>
      <c r="BB2073" t="str">
        <f t="shared" si="98"/>
        <v xml:space="preserve">N959MJ  </v>
      </c>
      <c r="BC2073">
        <v>1</v>
      </c>
      <c r="BE2073">
        <v>0</v>
      </c>
      <c r="BF2073">
        <v>0</v>
      </c>
      <c r="BG2073">
        <v>0</v>
      </c>
      <c r="BH2073">
        <v>4900</v>
      </c>
      <c r="BI2073">
        <v>200</v>
      </c>
      <c r="BJ2073">
        <v>1</v>
      </c>
      <c r="BK2073">
        <v>1</v>
      </c>
      <c r="BL2073">
        <v>1</v>
      </c>
      <c r="BM2073">
        <v>0</v>
      </c>
      <c r="BP2073">
        <v>0</v>
      </c>
      <c r="BQ2073">
        <v>0</v>
      </c>
      <c r="BX2073" t="str">
        <f>"14:24:54.867"</f>
        <v>14:24:54.867</v>
      </c>
      <c r="BY2073" t="str">
        <f>"866437671"</f>
        <v>866437671</v>
      </c>
      <c r="CL2073">
        <v>0</v>
      </c>
      <c r="CM2073">
        <v>2</v>
      </c>
      <c r="CN2073">
        <v>0</v>
      </c>
      <c r="CO2073">
        <v>2</v>
      </c>
      <c r="CP2073">
        <v>0</v>
      </c>
      <c r="CQ2073">
        <v>7</v>
      </c>
      <c r="CR2073" t="s">
        <v>116</v>
      </c>
      <c r="CS2073">
        <v>39</v>
      </c>
      <c r="CT2073">
        <v>2</v>
      </c>
      <c r="CU2073" t="s">
        <v>2259</v>
      </c>
      <c r="CV2073" t="s">
        <v>2260</v>
      </c>
      <c r="CY2073">
        <v>16609530</v>
      </c>
      <c r="CZ2073" t="s">
        <v>119</v>
      </c>
    </row>
    <row r="2074" spans="1:104" x14ac:dyDescent="0.25">
      <c r="A2074" t="str">
        <f>"14:24:56.039"</f>
        <v>14:24:56.039</v>
      </c>
      <c r="B2074" t="s">
        <v>108</v>
      </c>
      <c r="C2074" t="str">
        <f t="shared" si="97"/>
        <v>ffdfd3c0</v>
      </c>
      <c r="D2074" t="s">
        <v>109</v>
      </c>
      <c r="E2074">
        <v>4</v>
      </c>
      <c r="F2074">
        <v>1004</v>
      </c>
      <c r="G2074" t="s">
        <v>110</v>
      </c>
      <c r="J2074" t="s">
        <v>111</v>
      </c>
      <c r="K2074">
        <v>0</v>
      </c>
      <c r="L2074">
        <v>3</v>
      </c>
      <c r="M2074">
        <v>0</v>
      </c>
      <c r="N2074">
        <v>2</v>
      </c>
      <c r="O2074">
        <v>1</v>
      </c>
      <c r="P2074">
        <v>0</v>
      </c>
      <c r="Q2074">
        <v>0</v>
      </c>
      <c r="R2074" t="s">
        <v>112</v>
      </c>
      <c r="S2074" t="str">
        <f>"14:24:55.875"</f>
        <v>14:24:55.875</v>
      </c>
      <c r="T2074" t="str">
        <f>"14:24:55.375"</f>
        <v>14:24:55.375</v>
      </c>
      <c r="U2074" t="str">
        <f t="shared" si="96"/>
        <v>ad5732</v>
      </c>
      <c r="V2074">
        <v>0</v>
      </c>
      <c r="W2074">
        <v>0</v>
      </c>
      <c r="X2074">
        <v>1</v>
      </c>
      <c r="Z2074">
        <v>0</v>
      </c>
      <c r="AA2074">
        <v>9</v>
      </c>
      <c r="AB2074">
        <v>3</v>
      </c>
      <c r="AC2074">
        <v>0</v>
      </c>
      <c r="AD2074">
        <v>10</v>
      </c>
      <c r="AE2074">
        <v>0</v>
      </c>
      <c r="AF2074">
        <v>3</v>
      </c>
      <c r="AG2074">
        <v>2</v>
      </c>
      <c r="AH2074">
        <v>0</v>
      </c>
      <c r="AI2074" t="s">
        <v>4253</v>
      </c>
      <c r="AJ2074">
        <v>39.865800999999998</v>
      </c>
      <c r="AK2074" t="s">
        <v>4254</v>
      </c>
      <c r="AL2074">
        <v>-75.798411000000002</v>
      </c>
      <c r="AM2074">
        <v>100</v>
      </c>
      <c r="AN2074">
        <v>4700</v>
      </c>
      <c r="AO2074" t="s">
        <v>115</v>
      </c>
      <c r="AP2074">
        <v>161</v>
      </c>
      <c r="AQ2074">
        <v>83</v>
      </c>
      <c r="AR2074">
        <v>0</v>
      </c>
      <c r="AZ2074">
        <v>3614</v>
      </c>
      <c r="BA2074">
        <v>1</v>
      </c>
      <c r="BB2074" t="str">
        <f t="shared" si="98"/>
        <v xml:space="preserve">N959MJ  </v>
      </c>
      <c r="BC2074">
        <v>1</v>
      </c>
      <c r="BE2074">
        <v>0</v>
      </c>
      <c r="BF2074">
        <v>0</v>
      </c>
      <c r="BG2074">
        <v>0</v>
      </c>
      <c r="BH2074">
        <v>4900</v>
      </c>
      <c r="BI2074">
        <v>200</v>
      </c>
      <c r="BJ2074">
        <v>1</v>
      </c>
      <c r="BK2074">
        <v>1</v>
      </c>
      <c r="BL2074">
        <v>1</v>
      </c>
      <c r="BM2074">
        <v>0</v>
      </c>
      <c r="BP2074">
        <v>0</v>
      </c>
      <c r="BQ2074">
        <v>0</v>
      </c>
      <c r="BX2074" t="str">
        <f>"14:24:55.875"</f>
        <v>14:24:55.875</v>
      </c>
      <c r="BY2074" t="str">
        <f>"877347608"</f>
        <v>877347608</v>
      </c>
      <c r="CL2074">
        <v>0</v>
      </c>
      <c r="CM2074">
        <v>2</v>
      </c>
      <c r="CN2074">
        <v>0</v>
      </c>
      <c r="CO2074">
        <v>2</v>
      </c>
      <c r="CP2074">
        <v>0</v>
      </c>
      <c r="CQ2074">
        <v>7</v>
      </c>
      <c r="CR2074" t="s">
        <v>116</v>
      </c>
      <c r="CS2074">
        <v>39</v>
      </c>
      <c r="CT2074">
        <v>2</v>
      </c>
      <c r="CU2074" t="s">
        <v>2259</v>
      </c>
      <c r="CV2074" t="s">
        <v>2260</v>
      </c>
      <c r="CY2074">
        <v>16611057</v>
      </c>
      <c r="CZ2074" t="s">
        <v>119</v>
      </c>
    </row>
    <row r="2075" spans="1:104" x14ac:dyDescent="0.25">
      <c r="A2075" t="str">
        <f>"14:24:57.047"</f>
        <v>14:24:57.047</v>
      </c>
      <c r="B2075" t="s">
        <v>108</v>
      </c>
      <c r="C2075" t="str">
        <f t="shared" si="97"/>
        <v>ffdfd3c0</v>
      </c>
      <c r="D2075" t="s">
        <v>109</v>
      </c>
      <c r="E2075">
        <v>4</v>
      </c>
      <c r="F2075">
        <v>1004</v>
      </c>
      <c r="G2075" t="s">
        <v>110</v>
      </c>
      <c r="J2075" t="s">
        <v>111</v>
      </c>
      <c r="K2075">
        <v>0</v>
      </c>
      <c r="L2075">
        <v>3</v>
      </c>
      <c r="M2075">
        <v>0</v>
      </c>
      <c r="N2075">
        <v>2</v>
      </c>
      <c r="O2075">
        <v>1</v>
      </c>
      <c r="P2075">
        <v>0</v>
      </c>
      <c r="Q2075">
        <v>0</v>
      </c>
      <c r="R2075" t="s">
        <v>112</v>
      </c>
      <c r="S2075" t="str">
        <f>"14:24:56.859"</f>
        <v>14:24:56.859</v>
      </c>
      <c r="T2075" t="str">
        <f>"14:24:56.461"</f>
        <v>14:24:56.461</v>
      </c>
      <c r="U2075" t="str">
        <f t="shared" si="96"/>
        <v>ad5732</v>
      </c>
      <c r="V2075">
        <v>0</v>
      </c>
      <c r="W2075">
        <v>0</v>
      </c>
      <c r="X2075">
        <v>1</v>
      </c>
      <c r="Z2075">
        <v>0</v>
      </c>
      <c r="AA2075">
        <v>9</v>
      </c>
      <c r="AB2075">
        <v>3</v>
      </c>
      <c r="AC2075">
        <v>0</v>
      </c>
      <c r="AD2075">
        <v>10</v>
      </c>
      <c r="AE2075">
        <v>0</v>
      </c>
      <c r="AF2075">
        <v>3</v>
      </c>
      <c r="AG2075">
        <v>2</v>
      </c>
      <c r="AH2075">
        <v>0</v>
      </c>
      <c r="AI2075" t="s">
        <v>4255</v>
      </c>
      <c r="AJ2075">
        <v>39.866166</v>
      </c>
      <c r="AK2075" t="s">
        <v>4256</v>
      </c>
      <c r="AL2075">
        <v>-75.797424000000007</v>
      </c>
      <c r="AM2075">
        <v>100</v>
      </c>
      <c r="AN2075">
        <v>4700</v>
      </c>
      <c r="AO2075" t="s">
        <v>115</v>
      </c>
      <c r="AP2075">
        <v>161</v>
      </c>
      <c r="AQ2075">
        <v>83</v>
      </c>
      <c r="AR2075">
        <v>0</v>
      </c>
      <c r="AZ2075">
        <v>3614</v>
      </c>
      <c r="BA2075">
        <v>1</v>
      </c>
      <c r="BB2075" t="str">
        <f t="shared" si="98"/>
        <v xml:space="preserve">N959MJ  </v>
      </c>
      <c r="BC2075">
        <v>1</v>
      </c>
      <c r="BE2075">
        <v>0</v>
      </c>
      <c r="BF2075">
        <v>0</v>
      </c>
      <c r="BG2075">
        <v>0</v>
      </c>
      <c r="BH2075">
        <v>4900</v>
      </c>
      <c r="BI2075">
        <v>200</v>
      </c>
      <c r="BJ2075">
        <v>1</v>
      </c>
      <c r="BK2075">
        <v>1</v>
      </c>
      <c r="BL2075">
        <v>1</v>
      </c>
      <c r="BM2075">
        <v>0</v>
      </c>
      <c r="BP2075">
        <v>0</v>
      </c>
      <c r="BQ2075">
        <v>0</v>
      </c>
      <c r="BX2075" t="str">
        <f>"14:24:56.867"</f>
        <v>14:24:56.867</v>
      </c>
      <c r="BY2075" t="str">
        <f>"866957677"</f>
        <v>866957677</v>
      </c>
      <c r="CL2075">
        <v>0</v>
      </c>
      <c r="CM2075">
        <v>2</v>
      </c>
      <c r="CN2075">
        <v>0</v>
      </c>
      <c r="CO2075">
        <v>2</v>
      </c>
      <c r="CP2075">
        <v>0</v>
      </c>
      <c r="CQ2075">
        <v>7</v>
      </c>
      <c r="CR2075" t="s">
        <v>116</v>
      </c>
      <c r="CS2075">
        <v>39</v>
      </c>
      <c r="CT2075">
        <v>2</v>
      </c>
      <c r="CU2075" t="s">
        <v>2259</v>
      </c>
      <c r="CV2075" t="s">
        <v>2260</v>
      </c>
      <c r="CY2075">
        <v>16612579</v>
      </c>
      <c r="CZ2075" t="s">
        <v>119</v>
      </c>
    </row>
    <row r="2076" spans="1:104" x14ac:dyDescent="0.25">
      <c r="A2076" t="str">
        <f>"14:24:57.961"</f>
        <v>14:24:57.961</v>
      </c>
      <c r="B2076" t="s">
        <v>108</v>
      </c>
      <c r="C2076" t="str">
        <f t="shared" si="97"/>
        <v>ffdfd3c0</v>
      </c>
      <c r="D2076" t="s">
        <v>109</v>
      </c>
      <c r="E2076">
        <v>4</v>
      </c>
      <c r="F2076">
        <v>1004</v>
      </c>
      <c r="G2076" t="s">
        <v>110</v>
      </c>
      <c r="J2076" t="s">
        <v>111</v>
      </c>
      <c r="K2076">
        <v>0</v>
      </c>
      <c r="L2076">
        <v>3</v>
      </c>
      <c r="M2076">
        <v>0</v>
      </c>
      <c r="N2076">
        <v>2</v>
      </c>
      <c r="O2076">
        <v>1</v>
      </c>
      <c r="P2076">
        <v>0</v>
      </c>
      <c r="Q2076">
        <v>0</v>
      </c>
      <c r="R2076" t="s">
        <v>112</v>
      </c>
      <c r="S2076" t="str">
        <f>"14:24:57.797"</f>
        <v>14:24:57.797</v>
      </c>
      <c r="T2076" t="str">
        <f>"14:24:57.398"</f>
        <v>14:24:57.398</v>
      </c>
      <c r="U2076" t="str">
        <f t="shared" si="96"/>
        <v>ad5732</v>
      </c>
      <c r="V2076">
        <v>0</v>
      </c>
      <c r="W2076">
        <v>0</v>
      </c>
      <c r="X2076">
        <v>1</v>
      </c>
      <c r="Z2076">
        <v>0</v>
      </c>
      <c r="AA2076">
        <v>9</v>
      </c>
      <c r="AB2076">
        <v>3</v>
      </c>
      <c r="AC2076">
        <v>0</v>
      </c>
      <c r="AD2076">
        <v>10</v>
      </c>
      <c r="AE2076">
        <v>0</v>
      </c>
      <c r="AF2076">
        <v>3</v>
      </c>
      <c r="AG2076">
        <v>2</v>
      </c>
      <c r="AH2076">
        <v>0</v>
      </c>
      <c r="AI2076" t="s">
        <v>4257</v>
      </c>
      <c r="AJ2076">
        <v>39.866551999999999</v>
      </c>
      <c r="AK2076" t="s">
        <v>4258</v>
      </c>
      <c r="AL2076">
        <v>-75.796436999999997</v>
      </c>
      <c r="AM2076">
        <v>100</v>
      </c>
      <c r="AN2076">
        <v>4700</v>
      </c>
      <c r="AO2076" t="s">
        <v>115</v>
      </c>
      <c r="AP2076">
        <v>161</v>
      </c>
      <c r="AQ2076">
        <v>83</v>
      </c>
      <c r="AR2076">
        <v>-64</v>
      </c>
      <c r="AZ2076">
        <v>3614</v>
      </c>
      <c r="BA2076">
        <v>1</v>
      </c>
      <c r="BB2076" t="str">
        <f t="shared" si="98"/>
        <v xml:space="preserve">N959MJ  </v>
      </c>
      <c r="BC2076">
        <v>1</v>
      </c>
      <c r="BE2076">
        <v>0</v>
      </c>
      <c r="BF2076">
        <v>0</v>
      </c>
      <c r="BG2076">
        <v>0</v>
      </c>
      <c r="BH2076">
        <v>4900</v>
      </c>
      <c r="BI2076">
        <v>200</v>
      </c>
      <c r="BJ2076">
        <v>1</v>
      </c>
      <c r="BK2076">
        <v>1</v>
      </c>
      <c r="BL2076">
        <v>1</v>
      </c>
      <c r="BM2076">
        <v>0</v>
      </c>
      <c r="BP2076">
        <v>0</v>
      </c>
      <c r="BQ2076">
        <v>0</v>
      </c>
      <c r="BX2076" t="str">
        <f>"14:24:57.805"</f>
        <v>14:24:57.805</v>
      </c>
      <c r="BY2076" t="str">
        <f>"800861411"</f>
        <v>800861411</v>
      </c>
      <c r="CL2076">
        <v>0</v>
      </c>
      <c r="CM2076">
        <v>2</v>
      </c>
      <c r="CN2076">
        <v>0</v>
      </c>
      <c r="CO2076">
        <v>2</v>
      </c>
      <c r="CP2076">
        <v>0</v>
      </c>
      <c r="CQ2076">
        <v>7</v>
      </c>
      <c r="CR2076" t="s">
        <v>116</v>
      </c>
      <c r="CS2076">
        <v>39</v>
      </c>
      <c r="CT2076">
        <v>2</v>
      </c>
      <c r="CU2076" t="s">
        <v>2259</v>
      </c>
      <c r="CV2076" t="s">
        <v>2260</v>
      </c>
      <c r="CY2076">
        <v>16614161</v>
      </c>
      <c r="CZ2076" t="s">
        <v>119</v>
      </c>
    </row>
    <row r="2077" spans="1:104" x14ac:dyDescent="0.25">
      <c r="A2077" t="str">
        <f>"14:24:59.070"</f>
        <v>14:24:59.070</v>
      </c>
      <c r="B2077" t="s">
        <v>108</v>
      </c>
      <c r="C2077" t="str">
        <f t="shared" si="97"/>
        <v>ffdfd3c0</v>
      </c>
      <c r="D2077" t="s">
        <v>109</v>
      </c>
      <c r="E2077">
        <v>4</v>
      </c>
      <c r="F2077">
        <v>1004</v>
      </c>
      <c r="G2077" t="s">
        <v>110</v>
      </c>
      <c r="J2077" t="s">
        <v>111</v>
      </c>
      <c r="K2077">
        <v>0</v>
      </c>
      <c r="L2077">
        <v>3</v>
      </c>
      <c r="M2077">
        <v>0</v>
      </c>
      <c r="N2077">
        <v>2</v>
      </c>
      <c r="O2077">
        <v>1</v>
      </c>
      <c r="P2077">
        <v>0</v>
      </c>
      <c r="Q2077">
        <v>0</v>
      </c>
      <c r="R2077" t="s">
        <v>112</v>
      </c>
      <c r="S2077" t="str">
        <f>"14:24:58.875"</f>
        <v>14:24:58.875</v>
      </c>
      <c r="T2077" t="str">
        <f>"14:24:58.477"</f>
        <v>14:24:58.477</v>
      </c>
      <c r="U2077" t="str">
        <f t="shared" si="96"/>
        <v>ad5732</v>
      </c>
      <c r="V2077">
        <v>0</v>
      </c>
      <c r="W2077">
        <v>0</v>
      </c>
      <c r="X2077">
        <v>1</v>
      </c>
      <c r="Z2077">
        <v>0</v>
      </c>
      <c r="AA2077">
        <v>9</v>
      </c>
      <c r="AB2077">
        <v>3</v>
      </c>
      <c r="AC2077">
        <v>0</v>
      </c>
      <c r="AD2077">
        <v>10</v>
      </c>
      <c r="AE2077">
        <v>0</v>
      </c>
      <c r="AF2077">
        <v>3</v>
      </c>
      <c r="AG2077">
        <v>2</v>
      </c>
      <c r="AH2077">
        <v>0</v>
      </c>
      <c r="AI2077" t="s">
        <v>4259</v>
      </c>
      <c r="AJ2077">
        <v>39.866959999999999</v>
      </c>
      <c r="AK2077" t="s">
        <v>4260</v>
      </c>
      <c r="AL2077">
        <v>-75.795535999999998</v>
      </c>
      <c r="AM2077">
        <v>100</v>
      </c>
      <c r="AN2077">
        <v>4700</v>
      </c>
      <c r="AO2077" t="s">
        <v>115</v>
      </c>
      <c r="AP2077">
        <v>161</v>
      </c>
      <c r="AQ2077">
        <v>83</v>
      </c>
      <c r="AR2077">
        <v>-64</v>
      </c>
      <c r="AZ2077">
        <v>3614</v>
      </c>
      <c r="BA2077">
        <v>1</v>
      </c>
      <c r="BB2077" t="str">
        <f t="shared" si="98"/>
        <v xml:space="preserve">N959MJ  </v>
      </c>
      <c r="BC2077">
        <v>1</v>
      </c>
      <c r="BE2077">
        <v>0</v>
      </c>
      <c r="BF2077">
        <v>0</v>
      </c>
      <c r="BG2077">
        <v>0</v>
      </c>
      <c r="BH2077">
        <v>4900</v>
      </c>
      <c r="BI2077">
        <v>200</v>
      </c>
      <c r="BJ2077">
        <v>1</v>
      </c>
      <c r="BK2077">
        <v>1</v>
      </c>
      <c r="BL2077">
        <v>1</v>
      </c>
      <c r="BM2077">
        <v>0</v>
      </c>
      <c r="BP2077">
        <v>0</v>
      </c>
      <c r="BQ2077">
        <v>0</v>
      </c>
      <c r="BX2077" t="str">
        <f>"14:24:58.883"</f>
        <v>14:24:58.883</v>
      </c>
      <c r="BY2077" t="str">
        <f>"880585092"</f>
        <v>880585092</v>
      </c>
      <c r="CL2077">
        <v>0</v>
      </c>
      <c r="CM2077">
        <v>2</v>
      </c>
      <c r="CN2077">
        <v>0</v>
      </c>
      <c r="CO2077">
        <v>2</v>
      </c>
      <c r="CP2077">
        <v>0</v>
      </c>
      <c r="CQ2077">
        <v>7</v>
      </c>
      <c r="CR2077" t="s">
        <v>116</v>
      </c>
      <c r="CS2077">
        <v>39</v>
      </c>
      <c r="CT2077">
        <v>2</v>
      </c>
      <c r="CU2077" t="s">
        <v>2259</v>
      </c>
      <c r="CV2077" t="s">
        <v>2260</v>
      </c>
      <c r="CY2077">
        <v>16615860</v>
      </c>
      <c r="CZ2077" t="s">
        <v>119</v>
      </c>
    </row>
    <row r="2078" spans="1:104" x14ac:dyDescent="0.25">
      <c r="A2078" t="str">
        <f>"14:25:00.031"</f>
        <v>14:25:00.031</v>
      </c>
      <c r="B2078" t="s">
        <v>108</v>
      </c>
      <c r="C2078" t="str">
        <f t="shared" si="97"/>
        <v>ffdfd3c0</v>
      </c>
      <c r="D2078" t="s">
        <v>109</v>
      </c>
      <c r="E2078">
        <v>4</v>
      </c>
      <c r="F2078">
        <v>1004</v>
      </c>
      <c r="G2078" t="s">
        <v>110</v>
      </c>
      <c r="J2078" t="s">
        <v>111</v>
      </c>
      <c r="K2078">
        <v>0</v>
      </c>
      <c r="L2078">
        <v>3</v>
      </c>
      <c r="M2078">
        <v>0</v>
      </c>
      <c r="N2078">
        <v>2</v>
      </c>
      <c r="O2078">
        <v>1</v>
      </c>
      <c r="P2078">
        <v>0</v>
      </c>
      <c r="Q2078">
        <v>0</v>
      </c>
      <c r="R2078" t="s">
        <v>112</v>
      </c>
      <c r="S2078" t="str">
        <f>"14:24:59.844"</f>
        <v>14:24:59.844</v>
      </c>
      <c r="T2078" t="str">
        <f>"14:24:59.445"</f>
        <v>14:24:59.445</v>
      </c>
      <c r="U2078" t="str">
        <f t="shared" si="96"/>
        <v>ad5732</v>
      </c>
      <c r="V2078">
        <v>0</v>
      </c>
      <c r="W2078">
        <v>0</v>
      </c>
      <c r="X2078">
        <v>1</v>
      </c>
      <c r="Z2078">
        <v>0</v>
      </c>
      <c r="AA2078">
        <v>9</v>
      </c>
      <c r="AB2078">
        <v>3</v>
      </c>
      <c r="AC2078">
        <v>0</v>
      </c>
      <c r="AD2078">
        <v>10</v>
      </c>
      <c r="AE2078">
        <v>0</v>
      </c>
      <c r="AF2078">
        <v>3</v>
      </c>
      <c r="AG2078">
        <v>2</v>
      </c>
      <c r="AH2078">
        <v>0</v>
      </c>
      <c r="AI2078" t="s">
        <v>4261</v>
      </c>
      <c r="AJ2078">
        <v>39.867345999999998</v>
      </c>
      <c r="AK2078" t="s">
        <v>4262</v>
      </c>
      <c r="AL2078">
        <v>-75.794549000000004</v>
      </c>
      <c r="AM2078">
        <v>100</v>
      </c>
      <c r="AN2078">
        <v>4700</v>
      </c>
      <c r="AO2078" t="s">
        <v>115</v>
      </c>
      <c r="AP2078">
        <v>161</v>
      </c>
      <c r="AQ2078">
        <v>83</v>
      </c>
      <c r="AR2078">
        <v>-64</v>
      </c>
      <c r="AZ2078">
        <v>3614</v>
      </c>
      <c r="BA2078">
        <v>1</v>
      </c>
      <c r="BB2078" t="str">
        <f t="shared" si="98"/>
        <v xml:space="preserve">N959MJ  </v>
      </c>
      <c r="BC2078">
        <v>1</v>
      </c>
      <c r="BE2078">
        <v>0</v>
      </c>
      <c r="BF2078">
        <v>0</v>
      </c>
      <c r="BG2078">
        <v>0</v>
      </c>
      <c r="BH2078">
        <v>4900</v>
      </c>
      <c r="BI2078">
        <v>200</v>
      </c>
      <c r="BJ2078">
        <v>1</v>
      </c>
      <c r="BK2078">
        <v>1</v>
      </c>
      <c r="BL2078">
        <v>1</v>
      </c>
      <c r="BM2078">
        <v>0</v>
      </c>
      <c r="BP2078">
        <v>0</v>
      </c>
      <c r="BQ2078">
        <v>0</v>
      </c>
      <c r="BX2078" t="str">
        <f>"14:24:59.852"</f>
        <v>14:24:59.852</v>
      </c>
      <c r="BY2078" t="str">
        <f>"850534186"</f>
        <v>850534186</v>
      </c>
      <c r="CL2078">
        <v>0</v>
      </c>
      <c r="CM2078">
        <v>2</v>
      </c>
      <c r="CN2078">
        <v>0</v>
      </c>
      <c r="CO2078">
        <v>2</v>
      </c>
      <c r="CP2078">
        <v>0</v>
      </c>
      <c r="CQ2078">
        <v>7</v>
      </c>
      <c r="CR2078" t="s">
        <v>116</v>
      </c>
      <c r="CS2078">
        <v>39</v>
      </c>
      <c r="CT2078">
        <v>2</v>
      </c>
      <c r="CU2078" t="s">
        <v>2259</v>
      </c>
      <c r="CV2078" t="s">
        <v>2260</v>
      </c>
      <c r="CY2078">
        <v>16617401</v>
      </c>
      <c r="CZ2078" t="s">
        <v>119</v>
      </c>
    </row>
    <row r="2079" spans="1:104" x14ac:dyDescent="0.25">
      <c r="A2079" t="str">
        <f>"14:25:00.938"</f>
        <v>14:25:00.938</v>
      </c>
      <c r="B2079" t="s">
        <v>108</v>
      </c>
      <c r="C2079" t="str">
        <f t="shared" si="97"/>
        <v>ffdfd3c0</v>
      </c>
      <c r="D2079" t="s">
        <v>109</v>
      </c>
      <c r="E2079">
        <v>4</v>
      </c>
      <c r="F2079">
        <v>1004</v>
      </c>
      <c r="G2079" t="s">
        <v>110</v>
      </c>
      <c r="J2079" t="s">
        <v>111</v>
      </c>
      <c r="K2079">
        <v>0</v>
      </c>
      <c r="L2079">
        <v>3</v>
      </c>
      <c r="M2079">
        <v>0</v>
      </c>
      <c r="N2079">
        <v>2</v>
      </c>
      <c r="O2079">
        <v>1</v>
      </c>
      <c r="P2079">
        <v>0</v>
      </c>
      <c r="Q2079">
        <v>0</v>
      </c>
      <c r="R2079" t="s">
        <v>112</v>
      </c>
      <c r="S2079" t="str">
        <f>"14:25:00.781"</f>
        <v>14:25:00.781</v>
      </c>
      <c r="T2079" t="str">
        <f>"14:25:00.383"</f>
        <v>14:25:00.383</v>
      </c>
      <c r="U2079" t="str">
        <f t="shared" si="96"/>
        <v>ad5732</v>
      </c>
      <c r="V2079">
        <v>0</v>
      </c>
      <c r="W2079">
        <v>0</v>
      </c>
      <c r="X2079">
        <v>1</v>
      </c>
      <c r="Z2079">
        <v>0</v>
      </c>
      <c r="AA2079">
        <v>9</v>
      </c>
      <c r="AB2079">
        <v>3</v>
      </c>
      <c r="AC2079">
        <v>0</v>
      </c>
      <c r="AD2079">
        <v>10</v>
      </c>
      <c r="AE2079">
        <v>0</v>
      </c>
      <c r="AF2079">
        <v>3</v>
      </c>
      <c r="AG2079">
        <v>2</v>
      </c>
      <c r="AH2079">
        <v>0</v>
      </c>
      <c r="AI2079" t="s">
        <v>4263</v>
      </c>
      <c r="AJ2079">
        <v>39.867690000000003</v>
      </c>
      <c r="AK2079" t="s">
        <v>4264</v>
      </c>
      <c r="AL2079">
        <v>-75.793668999999994</v>
      </c>
      <c r="AM2079">
        <v>100</v>
      </c>
      <c r="AN2079">
        <v>4700</v>
      </c>
      <c r="AO2079" t="s">
        <v>115</v>
      </c>
      <c r="AP2079">
        <v>161</v>
      </c>
      <c r="AQ2079">
        <v>83</v>
      </c>
      <c r="AR2079">
        <v>-64</v>
      </c>
      <c r="AZ2079">
        <v>3614</v>
      </c>
      <c r="BA2079">
        <v>1</v>
      </c>
      <c r="BB2079" t="str">
        <f t="shared" si="98"/>
        <v xml:space="preserve">N959MJ  </v>
      </c>
      <c r="BC2079">
        <v>1</v>
      </c>
      <c r="BE2079">
        <v>0</v>
      </c>
      <c r="BF2079">
        <v>0</v>
      </c>
      <c r="BG2079">
        <v>0</v>
      </c>
      <c r="BH2079">
        <v>4900</v>
      </c>
      <c r="BI2079">
        <v>200</v>
      </c>
      <c r="BJ2079">
        <v>1</v>
      </c>
      <c r="BK2079">
        <v>1</v>
      </c>
      <c r="BL2079">
        <v>1</v>
      </c>
      <c r="BM2079">
        <v>0</v>
      </c>
      <c r="BP2079">
        <v>0</v>
      </c>
      <c r="BQ2079">
        <v>0</v>
      </c>
      <c r="BX2079" t="str">
        <f>"14:25:00.781"</f>
        <v>14:25:00.781</v>
      </c>
      <c r="BY2079" t="str">
        <f>"782799500"</f>
        <v>782799500</v>
      </c>
      <c r="CL2079">
        <v>0</v>
      </c>
      <c r="CM2079">
        <v>2</v>
      </c>
      <c r="CN2079">
        <v>0</v>
      </c>
      <c r="CO2079">
        <v>2</v>
      </c>
      <c r="CP2079">
        <v>0</v>
      </c>
      <c r="CQ2079">
        <v>7</v>
      </c>
      <c r="CR2079" t="s">
        <v>116</v>
      </c>
      <c r="CS2079">
        <v>39</v>
      </c>
      <c r="CT2079">
        <v>2</v>
      </c>
      <c r="CU2079" t="s">
        <v>2259</v>
      </c>
      <c r="CV2079" t="s">
        <v>2260</v>
      </c>
      <c r="CY2079">
        <v>16618784</v>
      </c>
      <c r="CZ2079" t="s">
        <v>119</v>
      </c>
    </row>
    <row r="2080" spans="1:104" x14ac:dyDescent="0.25">
      <c r="A2080" t="str">
        <f>"14:25:01.898"</f>
        <v>14:25:01.898</v>
      </c>
      <c r="B2080" t="s">
        <v>108</v>
      </c>
      <c r="C2080" t="str">
        <f t="shared" si="97"/>
        <v>ffdfd3c0</v>
      </c>
      <c r="D2080" t="s">
        <v>109</v>
      </c>
      <c r="E2080">
        <v>4</v>
      </c>
      <c r="F2080">
        <v>1004</v>
      </c>
      <c r="G2080" t="s">
        <v>110</v>
      </c>
      <c r="J2080" t="s">
        <v>111</v>
      </c>
      <c r="K2080">
        <v>0</v>
      </c>
      <c r="L2080">
        <v>3</v>
      </c>
      <c r="M2080">
        <v>0</v>
      </c>
      <c r="N2080">
        <v>2</v>
      </c>
      <c r="O2080">
        <v>1</v>
      </c>
      <c r="P2080">
        <v>0</v>
      </c>
      <c r="Q2080">
        <v>0</v>
      </c>
      <c r="R2080" t="s">
        <v>112</v>
      </c>
      <c r="S2080" t="str">
        <f>"14:25:01.703"</f>
        <v>14:25:01.703</v>
      </c>
      <c r="T2080" t="str">
        <f>"14:25:01.305"</f>
        <v>14:25:01.305</v>
      </c>
      <c r="U2080" t="str">
        <f t="shared" si="96"/>
        <v>ad5732</v>
      </c>
      <c r="V2080">
        <v>0</v>
      </c>
      <c r="W2080">
        <v>0</v>
      </c>
      <c r="X2080">
        <v>1</v>
      </c>
      <c r="Z2080">
        <v>0</v>
      </c>
      <c r="AA2080">
        <v>9</v>
      </c>
      <c r="AB2080">
        <v>3</v>
      </c>
      <c r="AC2080">
        <v>0</v>
      </c>
      <c r="AD2080">
        <v>10</v>
      </c>
      <c r="AE2080">
        <v>0</v>
      </c>
      <c r="AF2080">
        <v>3</v>
      </c>
      <c r="AG2080">
        <v>2</v>
      </c>
      <c r="AH2080">
        <v>0</v>
      </c>
      <c r="AI2080" t="s">
        <v>4265</v>
      </c>
      <c r="AJ2080">
        <v>39.868054000000001</v>
      </c>
      <c r="AK2080" t="s">
        <v>4266</v>
      </c>
      <c r="AL2080">
        <v>-75.792704000000001</v>
      </c>
      <c r="AM2080">
        <v>100</v>
      </c>
      <c r="AN2080">
        <v>4700</v>
      </c>
      <c r="AO2080" t="s">
        <v>115</v>
      </c>
      <c r="AP2080">
        <v>161</v>
      </c>
      <c r="AQ2080">
        <v>83</v>
      </c>
      <c r="AR2080">
        <v>-64</v>
      </c>
      <c r="AZ2080">
        <v>3614</v>
      </c>
      <c r="BA2080">
        <v>1</v>
      </c>
      <c r="BB2080" t="str">
        <f t="shared" si="98"/>
        <v xml:space="preserve">N959MJ  </v>
      </c>
      <c r="BC2080">
        <v>1</v>
      </c>
      <c r="BE2080">
        <v>0</v>
      </c>
      <c r="BF2080">
        <v>0</v>
      </c>
      <c r="BG2080">
        <v>0</v>
      </c>
      <c r="BH2080">
        <v>4900</v>
      </c>
      <c r="BI2080">
        <v>200</v>
      </c>
      <c r="BJ2080">
        <v>1</v>
      </c>
      <c r="BK2080">
        <v>1</v>
      </c>
      <c r="BL2080">
        <v>1</v>
      </c>
      <c r="BM2080">
        <v>0</v>
      </c>
      <c r="BP2080">
        <v>0</v>
      </c>
      <c r="BQ2080">
        <v>0</v>
      </c>
      <c r="BX2080" t="str">
        <f>"14:25:01.711"</f>
        <v>14:25:01.711</v>
      </c>
      <c r="BY2080" t="str">
        <f>"710149472"</f>
        <v>710149472</v>
      </c>
      <c r="CL2080">
        <v>0</v>
      </c>
      <c r="CM2080">
        <v>2</v>
      </c>
      <c r="CN2080">
        <v>0</v>
      </c>
      <c r="CO2080">
        <v>2</v>
      </c>
      <c r="CP2080">
        <v>0</v>
      </c>
      <c r="CQ2080">
        <v>7</v>
      </c>
      <c r="CR2080" t="s">
        <v>116</v>
      </c>
      <c r="CS2080">
        <v>39</v>
      </c>
      <c r="CT2080">
        <v>2</v>
      </c>
      <c r="CU2080" t="s">
        <v>2259</v>
      </c>
      <c r="CV2080" t="s">
        <v>2260</v>
      </c>
      <c r="CY2080">
        <v>16620320</v>
      </c>
      <c r="CZ2080" t="s">
        <v>119</v>
      </c>
    </row>
    <row r="2081" spans="1:104" x14ac:dyDescent="0.25">
      <c r="A2081" t="str">
        <f>"14:25:02.906"</f>
        <v>14:25:02.906</v>
      </c>
      <c r="B2081" t="s">
        <v>108</v>
      </c>
      <c r="C2081" t="str">
        <f t="shared" si="97"/>
        <v>ffdfd3c0</v>
      </c>
      <c r="D2081" t="s">
        <v>109</v>
      </c>
      <c r="E2081">
        <v>4</v>
      </c>
      <c r="F2081">
        <v>1004</v>
      </c>
      <c r="G2081" t="s">
        <v>110</v>
      </c>
      <c r="J2081" t="s">
        <v>111</v>
      </c>
      <c r="K2081">
        <v>0</v>
      </c>
      <c r="L2081">
        <v>3</v>
      </c>
      <c r="M2081">
        <v>0</v>
      </c>
      <c r="N2081">
        <v>2</v>
      </c>
      <c r="O2081">
        <v>1</v>
      </c>
      <c r="P2081">
        <v>0</v>
      </c>
      <c r="Q2081">
        <v>0</v>
      </c>
      <c r="R2081" t="s">
        <v>112</v>
      </c>
      <c r="S2081" t="str">
        <f>"14:25:02.719"</f>
        <v>14:25:02.719</v>
      </c>
      <c r="T2081" t="str">
        <f>"14:25:02.320"</f>
        <v>14:25:02.320</v>
      </c>
      <c r="U2081" t="str">
        <f t="shared" si="96"/>
        <v>ad5732</v>
      </c>
      <c r="V2081">
        <v>0</v>
      </c>
      <c r="W2081">
        <v>0</v>
      </c>
      <c r="X2081">
        <v>1</v>
      </c>
      <c r="Z2081">
        <v>0</v>
      </c>
      <c r="AA2081">
        <v>9</v>
      </c>
      <c r="AB2081">
        <v>3</v>
      </c>
      <c r="AC2081">
        <v>0</v>
      </c>
      <c r="AD2081">
        <v>10</v>
      </c>
      <c r="AE2081">
        <v>0</v>
      </c>
      <c r="AF2081">
        <v>3</v>
      </c>
      <c r="AG2081">
        <v>2</v>
      </c>
      <c r="AH2081">
        <v>0</v>
      </c>
      <c r="AI2081" t="s">
        <v>4267</v>
      </c>
      <c r="AJ2081">
        <v>39.868419000000003</v>
      </c>
      <c r="AK2081" t="s">
        <v>4268</v>
      </c>
      <c r="AL2081">
        <v>-75.791758999999999</v>
      </c>
      <c r="AM2081">
        <v>100</v>
      </c>
      <c r="AN2081">
        <v>4700</v>
      </c>
      <c r="AO2081" t="s">
        <v>115</v>
      </c>
      <c r="AP2081">
        <v>161</v>
      </c>
      <c r="AQ2081">
        <v>83</v>
      </c>
      <c r="AR2081">
        <v>-64</v>
      </c>
      <c r="AZ2081">
        <v>3614</v>
      </c>
      <c r="BA2081">
        <v>1</v>
      </c>
      <c r="BB2081" t="str">
        <f t="shared" si="98"/>
        <v xml:space="preserve">N959MJ  </v>
      </c>
      <c r="BC2081">
        <v>1</v>
      </c>
      <c r="BE2081">
        <v>0</v>
      </c>
      <c r="BF2081">
        <v>0</v>
      </c>
      <c r="BG2081">
        <v>0</v>
      </c>
      <c r="BH2081">
        <v>4900</v>
      </c>
      <c r="BI2081">
        <v>200</v>
      </c>
      <c r="BJ2081">
        <v>1</v>
      </c>
      <c r="BK2081">
        <v>1</v>
      </c>
      <c r="BL2081">
        <v>1</v>
      </c>
      <c r="BM2081">
        <v>0</v>
      </c>
      <c r="BP2081">
        <v>0</v>
      </c>
      <c r="BQ2081">
        <v>0</v>
      </c>
      <c r="BX2081" t="str">
        <f>"14:25:02.719"</f>
        <v>14:25:02.719</v>
      </c>
      <c r="BY2081" t="str">
        <f>"719420771"</f>
        <v>719420771</v>
      </c>
      <c r="CL2081">
        <v>0</v>
      </c>
      <c r="CM2081">
        <v>2</v>
      </c>
      <c r="CN2081">
        <v>0</v>
      </c>
      <c r="CO2081">
        <v>2</v>
      </c>
      <c r="CP2081">
        <v>0</v>
      </c>
      <c r="CQ2081">
        <v>7</v>
      </c>
      <c r="CR2081" t="s">
        <v>116</v>
      </c>
      <c r="CS2081">
        <v>39</v>
      </c>
      <c r="CT2081">
        <v>2</v>
      </c>
      <c r="CU2081" t="s">
        <v>2259</v>
      </c>
      <c r="CV2081" t="s">
        <v>2260</v>
      </c>
      <c r="CY2081">
        <v>16622011</v>
      </c>
      <c r="CZ2081" t="s">
        <v>119</v>
      </c>
    </row>
    <row r="2082" spans="1:104" x14ac:dyDescent="0.25">
      <c r="A2082" t="str">
        <f>"14:25:03.766"</f>
        <v>14:25:03.766</v>
      </c>
      <c r="B2082" t="s">
        <v>108</v>
      </c>
      <c r="C2082" t="str">
        <f t="shared" si="97"/>
        <v>ffdfd3c0</v>
      </c>
      <c r="D2082" t="s">
        <v>109</v>
      </c>
      <c r="E2082">
        <v>4</v>
      </c>
      <c r="F2082">
        <v>1004</v>
      </c>
      <c r="G2082" t="s">
        <v>110</v>
      </c>
      <c r="J2082" t="s">
        <v>111</v>
      </c>
      <c r="K2082">
        <v>0</v>
      </c>
      <c r="L2082">
        <v>3</v>
      </c>
      <c r="M2082">
        <v>0</v>
      </c>
      <c r="N2082">
        <v>2</v>
      </c>
      <c r="O2082">
        <v>1</v>
      </c>
      <c r="P2082">
        <v>0</v>
      </c>
      <c r="Q2082">
        <v>0</v>
      </c>
      <c r="R2082" t="s">
        <v>112</v>
      </c>
      <c r="S2082" t="str">
        <f>"14:25:03.602"</f>
        <v>14:25:03.602</v>
      </c>
      <c r="T2082" t="str">
        <f>"14:25:03.203"</f>
        <v>14:25:03.203</v>
      </c>
      <c r="U2082" t="str">
        <f t="shared" si="96"/>
        <v>ad5732</v>
      </c>
      <c r="V2082">
        <v>0</v>
      </c>
      <c r="W2082">
        <v>0</v>
      </c>
      <c r="X2082">
        <v>1</v>
      </c>
      <c r="Z2082">
        <v>0</v>
      </c>
      <c r="AA2082">
        <v>9</v>
      </c>
      <c r="AB2082">
        <v>3</v>
      </c>
      <c r="AC2082">
        <v>0</v>
      </c>
      <c r="AD2082">
        <v>10</v>
      </c>
      <c r="AE2082">
        <v>0</v>
      </c>
      <c r="AF2082">
        <v>3</v>
      </c>
      <c r="AG2082">
        <v>2</v>
      </c>
      <c r="AH2082">
        <v>0</v>
      </c>
      <c r="AI2082" t="s">
        <v>4269</v>
      </c>
      <c r="AJ2082">
        <v>39.868783999999998</v>
      </c>
      <c r="AK2082" t="s">
        <v>4270</v>
      </c>
      <c r="AL2082">
        <v>-75.790836999999996</v>
      </c>
      <c r="AM2082">
        <v>100</v>
      </c>
      <c r="AN2082">
        <v>4700</v>
      </c>
      <c r="AO2082" t="s">
        <v>115</v>
      </c>
      <c r="AP2082">
        <v>161</v>
      </c>
      <c r="AQ2082">
        <v>83</v>
      </c>
      <c r="AR2082">
        <v>-64</v>
      </c>
      <c r="AZ2082">
        <v>3614</v>
      </c>
      <c r="BA2082">
        <v>1</v>
      </c>
      <c r="BB2082" t="str">
        <f t="shared" si="98"/>
        <v xml:space="preserve">N959MJ  </v>
      </c>
      <c r="BC2082">
        <v>1</v>
      </c>
      <c r="BE2082">
        <v>0</v>
      </c>
      <c r="BF2082">
        <v>0</v>
      </c>
      <c r="BG2082">
        <v>0</v>
      </c>
      <c r="BH2082">
        <v>4900</v>
      </c>
      <c r="BI2082">
        <v>200</v>
      </c>
      <c r="BJ2082">
        <v>1</v>
      </c>
      <c r="BK2082">
        <v>1</v>
      </c>
      <c r="BL2082">
        <v>1</v>
      </c>
      <c r="BM2082">
        <v>0</v>
      </c>
      <c r="BP2082">
        <v>0</v>
      </c>
      <c r="BQ2082">
        <v>0</v>
      </c>
      <c r="BX2082" t="str">
        <f>"14:25:03.602"</f>
        <v>14:25:03.602</v>
      </c>
      <c r="BY2082" t="str">
        <f>"602533205"</f>
        <v>602533205</v>
      </c>
      <c r="CL2082">
        <v>0</v>
      </c>
      <c r="CM2082">
        <v>2</v>
      </c>
      <c r="CN2082">
        <v>0</v>
      </c>
      <c r="CO2082">
        <v>2</v>
      </c>
      <c r="CP2082">
        <v>0</v>
      </c>
      <c r="CQ2082">
        <v>7</v>
      </c>
      <c r="CR2082" t="s">
        <v>116</v>
      </c>
      <c r="CS2082">
        <v>39</v>
      </c>
      <c r="CT2082">
        <v>2</v>
      </c>
      <c r="CU2082" t="s">
        <v>2259</v>
      </c>
      <c r="CV2082" t="s">
        <v>2260</v>
      </c>
      <c r="CY2082">
        <v>16623382</v>
      </c>
      <c r="CZ2082" t="s">
        <v>119</v>
      </c>
    </row>
    <row r="2083" spans="1:104" x14ac:dyDescent="0.25">
      <c r="A2083" t="str">
        <f>"14:25:04.727"</f>
        <v>14:25:04.727</v>
      </c>
      <c r="B2083" t="s">
        <v>108</v>
      </c>
      <c r="C2083" t="str">
        <f t="shared" si="97"/>
        <v>ffdfd3c0</v>
      </c>
      <c r="D2083" t="s">
        <v>109</v>
      </c>
      <c r="E2083">
        <v>4</v>
      </c>
      <c r="F2083">
        <v>1004</v>
      </c>
      <c r="G2083" t="s">
        <v>110</v>
      </c>
      <c r="J2083" t="s">
        <v>111</v>
      </c>
      <c r="K2083">
        <v>0</v>
      </c>
      <c r="L2083">
        <v>3</v>
      </c>
      <c r="M2083">
        <v>0</v>
      </c>
      <c r="N2083">
        <v>2</v>
      </c>
      <c r="O2083">
        <v>1</v>
      </c>
      <c r="P2083">
        <v>0</v>
      </c>
      <c r="Q2083">
        <v>0</v>
      </c>
      <c r="R2083" t="s">
        <v>112</v>
      </c>
      <c r="S2083" t="str">
        <f>"14:25:04.531"</f>
        <v>14:25:04.531</v>
      </c>
      <c r="T2083" t="str">
        <f>"14:25:04.133"</f>
        <v>14:25:04.133</v>
      </c>
      <c r="U2083" t="str">
        <f t="shared" si="96"/>
        <v>ad5732</v>
      </c>
      <c r="V2083">
        <v>0</v>
      </c>
      <c r="W2083">
        <v>0</v>
      </c>
      <c r="X2083">
        <v>1</v>
      </c>
      <c r="Z2083">
        <v>0</v>
      </c>
      <c r="AA2083">
        <v>9</v>
      </c>
      <c r="AB2083">
        <v>3</v>
      </c>
      <c r="AC2083">
        <v>0</v>
      </c>
      <c r="AD2083">
        <v>10</v>
      </c>
      <c r="AE2083">
        <v>0</v>
      </c>
      <c r="AF2083">
        <v>3</v>
      </c>
      <c r="AG2083">
        <v>2</v>
      </c>
      <c r="AH2083">
        <v>0</v>
      </c>
      <c r="AI2083" t="s">
        <v>4271</v>
      </c>
      <c r="AJ2083">
        <v>39.869106000000002</v>
      </c>
      <c r="AK2083" t="s">
        <v>4272</v>
      </c>
      <c r="AL2083">
        <v>-75.789957000000001</v>
      </c>
      <c r="AM2083">
        <v>100</v>
      </c>
      <c r="AN2083">
        <v>4700</v>
      </c>
      <c r="AO2083" t="s">
        <v>115</v>
      </c>
      <c r="AP2083">
        <v>162</v>
      </c>
      <c r="AQ2083">
        <v>82</v>
      </c>
      <c r="AR2083">
        <v>-64</v>
      </c>
      <c r="AZ2083">
        <v>3614</v>
      </c>
      <c r="BA2083">
        <v>1</v>
      </c>
      <c r="BB2083" t="str">
        <f t="shared" si="98"/>
        <v xml:space="preserve">N959MJ  </v>
      </c>
      <c r="BC2083">
        <v>1</v>
      </c>
      <c r="BE2083">
        <v>0</v>
      </c>
      <c r="BF2083">
        <v>0</v>
      </c>
      <c r="BG2083">
        <v>0</v>
      </c>
      <c r="BH2083">
        <v>4900</v>
      </c>
      <c r="BI2083">
        <v>200</v>
      </c>
      <c r="BJ2083">
        <v>1</v>
      </c>
      <c r="BK2083">
        <v>1</v>
      </c>
      <c r="BL2083">
        <v>1</v>
      </c>
      <c r="BM2083">
        <v>0</v>
      </c>
      <c r="BP2083">
        <v>0</v>
      </c>
      <c r="BQ2083">
        <v>0</v>
      </c>
      <c r="BX2083" t="str">
        <f>"14:25:04.539"</f>
        <v>14:25:04.539</v>
      </c>
      <c r="BY2083" t="str">
        <f>"536436993"</f>
        <v>536436993</v>
      </c>
      <c r="CL2083">
        <v>0</v>
      </c>
      <c r="CM2083">
        <v>2</v>
      </c>
      <c r="CN2083">
        <v>0</v>
      </c>
      <c r="CO2083">
        <v>2</v>
      </c>
      <c r="CP2083">
        <v>0</v>
      </c>
      <c r="CQ2083">
        <v>7</v>
      </c>
      <c r="CR2083" t="s">
        <v>116</v>
      </c>
      <c r="CS2083">
        <v>39</v>
      </c>
      <c r="CT2083">
        <v>2</v>
      </c>
      <c r="CU2083" t="s">
        <v>2259</v>
      </c>
      <c r="CV2083" t="s">
        <v>2260</v>
      </c>
      <c r="CY2083">
        <v>16624881</v>
      </c>
      <c r="CZ2083" t="s">
        <v>119</v>
      </c>
    </row>
    <row r="2084" spans="1:104" x14ac:dyDescent="0.25">
      <c r="A2084" t="str">
        <f>"14:25:05.734"</f>
        <v>14:25:05.734</v>
      </c>
      <c r="B2084" t="s">
        <v>108</v>
      </c>
      <c r="C2084" t="str">
        <f t="shared" si="97"/>
        <v>ffdfd3c0</v>
      </c>
      <c r="D2084" t="s">
        <v>109</v>
      </c>
      <c r="E2084">
        <v>4</v>
      </c>
      <c r="F2084">
        <v>1004</v>
      </c>
      <c r="G2084" t="s">
        <v>110</v>
      </c>
      <c r="J2084" t="s">
        <v>111</v>
      </c>
      <c r="K2084">
        <v>0</v>
      </c>
      <c r="L2084">
        <v>3</v>
      </c>
      <c r="M2084">
        <v>0</v>
      </c>
      <c r="N2084">
        <v>2</v>
      </c>
      <c r="O2084">
        <v>1</v>
      </c>
      <c r="P2084">
        <v>0</v>
      </c>
      <c r="Q2084">
        <v>0</v>
      </c>
      <c r="R2084" t="s">
        <v>112</v>
      </c>
      <c r="S2084" t="str">
        <f>"14:25:05.563"</f>
        <v>14:25:05.563</v>
      </c>
      <c r="T2084" t="str">
        <f>"14:25:05.063"</f>
        <v>14:25:05.063</v>
      </c>
      <c r="U2084" t="str">
        <f t="shared" si="96"/>
        <v>ad5732</v>
      </c>
      <c r="V2084">
        <v>0</v>
      </c>
      <c r="W2084">
        <v>0</v>
      </c>
      <c r="X2084">
        <v>1</v>
      </c>
      <c r="Z2084">
        <v>0</v>
      </c>
      <c r="AA2084">
        <v>9</v>
      </c>
      <c r="AB2084">
        <v>3</v>
      </c>
      <c r="AC2084">
        <v>0</v>
      </c>
      <c r="AD2084">
        <v>10</v>
      </c>
      <c r="AE2084">
        <v>0</v>
      </c>
      <c r="AF2084">
        <v>3</v>
      </c>
      <c r="AG2084">
        <v>2</v>
      </c>
      <c r="AH2084">
        <v>0</v>
      </c>
      <c r="AI2084" t="s">
        <v>4273</v>
      </c>
      <c r="AJ2084">
        <v>39.869514000000002</v>
      </c>
      <c r="AK2084" t="s">
        <v>4274</v>
      </c>
      <c r="AL2084">
        <v>-75.789012999999997</v>
      </c>
      <c r="AM2084">
        <v>100</v>
      </c>
      <c r="AN2084">
        <v>4700</v>
      </c>
      <c r="AO2084" t="s">
        <v>115</v>
      </c>
      <c r="AP2084">
        <v>162</v>
      </c>
      <c r="AQ2084">
        <v>82</v>
      </c>
      <c r="AR2084">
        <v>-64</v>
      </c>
      <c r="AZ2084">
        <v>3614</v>
      </c>
      <c r="BA2084">
        <v>1</v>
      </c>
      <c r="BB2084" t="str">
        <f t="shared" si="98"/>
        <v xml:space="preserve">N959MJ  </v>
      </c>
      <c r="BC2084">
        <v>1</v>
      </c>
      <c r="BE2084">
        <v>0</v>
      </c>
      <c r="BF2084">
        <v>0</v>
      </c>
      <c r="BG2084">
        <v>0</v>
      </c>
      <c r="BH2084">
        <v>4900</v>
      </c>
      <c r="BI2084">
        <v>200</v>
      </c>
      <c r="BJ2084">
        <v>1</v>
      </c>
      <c r="BK2084">
        <v>1</v>
      </c>
      <c r="BL2084">
        <v>1</v>
      </c>
      <c r="BM2084">
        <v>0</v>
      </c>
      <c r="BP2084">
        <v>0</v>
      </c>
      <c r="BQ2084">
        <v>0</v>
      </c>
      <c r="BX2084" t="str">
        <f>"14:25:05.570"</f>
        <v>14:25:05.570</v>
      </c>
      <c r="BY2084" t="str">
        <f>"567007803"</f>
        <v>567007803</v>
      </c>
      <c r="CL2084">
        <v>0</v>
      </c>
      <c r="CM2084">
        <v>2</v>
      </c>
      <c r="CN2084">
        <v>0</v>
      </c>
      <c r="CO2084">
        <v>2</v>
      </c>
      <c r="CP2084">
        <v>0</v>
      </c>
      <c r="CQ2084">
        <v>7</v>
      </c>
      <c r="CR2084" t="s">
        <v>116</v>
      </c>
      <c r="CS2084">
        <v>39</v>
      </c>
      <c r="CT2084">
        <v>2</v>
      </c>
      <c r="CU2084" t="s">
        <v>2259</v>
      </c>
      <c r="CV2084" t="s">
        <v>2260</v>
      </c>
      <c r="CY2084">
        <v>16626417</v>
      </c>
      <c r="CZ2084" t="s">
        <v>119</v>
      </c>
    </row>
    <row r="2085" spans="1:104" x14ac:dyDescent="0.25">
      <c r="A2085" t="str">
        <f>"14:25:06.797"</f>
        <v>14:25:06.797</v>
      </c>
      <c r="B2085" t="s">
        <v>108</v>
      </c>
      <c r="C2085" t="str">
        <f t="shared" si="97"/>
        <v>ffdfd3c0</v>
      </c>
      <c r="D2085" t="s">
        <v>109</v>
      </c>
      <c r="E2085">
        <v>4</v>
      </c>
      <c r="F2085">
        <v>1004</v>
      </c>
      <c r="G2085" t="s">
        <v>110</v>
      </c>
      <c r="J2085" t="s">
        <v>111</v>
      </c>
      <c r="K2085">
        <v>0</v>
      </c>
      <c r="L2085">
        <v>3</v>
      </c>
      <c r="M2085">
        <v>0</v>
      </c>
      <c r="N2085">
        <v>2</v>
      </c>
      <c r="O2085">
        <v>1</v>
      </c>
      <c r="P2085">
        <v>0</v>
      </c>
      <c r="Q2085">
        <v>0</v>
      </c>
      <c r="R2085" t="s">
        <v>112</v>
      </c>
      <c r="S2085" t="str">
        <f>"14:25:06.617"</f>
        <v>14:25:06.617</v>
      </c>
      <c r="T2085" t="str">
        <f>"14:25:06.117"</f>
        <v>14:25:06.117</v>
      </c>
      <c r="U2085" t="str">
        <f t="shared" si="96"/>
        <v>ad5732</v>
      </c>
      <c r="V2085">
        <v>0</v>
      </c>
      <c r="W2085">
        <v>0</v>
      </c>
      <c r="X2085">
        <v>1</v>
      </c>
      <c r="Z2085">
        <v>0</v>
      </c>
      <c r="AA2085">
        <v>9</v>
      </c>
      <c r="AB2085">
        <v>3</v>
      </c>
      <c r="AC2085">
        <v>0</v>
      </c>
      <c r="AD2085">
        <v>10</v>
      </c>
      <c r="AE2085">
        <v>0</v>
      </c>
      <c r="AF2085">
        <v>3</v>
      </c>
      <c r="AG2085">
        <v>2</v>
      </c>
      <c r="AH2085">
        <v>0</v>
      </c>
      <c r="AI2085" t="s">
        <v>4275</v>
      </c>
      <c r="AJ2085">
        <v>39.869942999999999</v>
      </c>
      <c r="AK2085" t="s">
        <v>4276</v>
      </c>
      <c r="AL2085">
        <v>-75.787960999999996</v>
      </c>
      <c r="AM2085">
        <v>100</v>
      </c>
      <c r="AN2085">
        <v>4700</v>
      </c>
      <c r="AO2085" t="s">
        <v>115</v>
      </c>
      <c r="AP2085">
        <v>162</v>
      </c>
      <c r="AQ2085">
        <v>82</v>
      </c>
      <c r="AR2085">
        <v>-64</v>
      </c>
      <c r="AZ2085">
        <v>3614</v>
      </c>
      <c r="BA2085">
        <v>1</v>
      </c>
      <c r="BB2085" t="str">
        <f t="shared" si="98"/>
        <v xml:space="preserve">N959MJ  </v>
      </c>
      <c r="BC2085">
        <v>1</v>
      </c>
      <c r="BE2085">
        <v>0</v>
      </c>
      <c r="BF2085">
        <v>0</v>
      </c>
      <c r="BG2085">
        <v>0</v>
      </c>
      <c r="BH2085">
        <v>4900</v>
      </c>
      <c r="BI2085">
        <v>200</v>
      </c>
      <c r="BJ2085">
        <v>1</v>
      </c>
      <c r="BK2085">
        <v>1</v>
      </c>
      <c r="BL2085">
        <v>1</v>
      </c>
      <c r="BM2085">
        <v>0</v>
      </c>
      <c r="BP2085">
        <v>0</v>
      </c>
      <c r="BQ2085">
        <v>0</v>
      </c>
      <c r="BX2085" t="str">
        <f>"14:25:06.617"</f>
        <v>14:25:06.617</v>
      </c>
      <c r="BY2085" t="str">
        <f>"617239849"</f>
        <v>617239849</v>
      </c>
      <c r="CL2085">
        <v>0</v>
      </c>
      <c r="CM2085">
        <v>2</v>
      </c>
      <c r="CN2085">
        <v>0</v>
      </c>
      <c r="CO2085">
        <v>2</v>
      </c>
      <c r="CP2085">
        <v>0</v>
      </c>
      <c r="CQ2085">
        <v>7</v>
      </c>
      <c r="CR2085" t="s">
        <v>116</v>
      </c>
      <c r="CS2085">
        <v>39</v>
      </c>
      <c r="CT2085">
        <v>2</v>
      </c>
      <c r="CU2085" t="s">
        <v>2259</v>
      </c>
      <c r="CV2085" t="s">
        <v>2260</v>
      </c>
      <c r="CY2085">
        <v>16628206</v>
      </c>
      <c r="CZ2085" t="s">
        <v>119</v>
      </c>
    </row>
    <row r="2086" spans="1:104" x14ac:dyDescent="0.25">
      <c r="A2086" t="str">
        <f>"14:25:07.750"</f>
        <v>14:25:07.750</v>
      </c>
      <c r="B2086" t="s">
        <v>108</v>
      </c>
      <c r="C2086" t="str">
        <f t="shared" si="97"/>
        <v>ffdfd3c0</v>
      </c>
      <c r="D2086" t="s">
        <v>109</v>
      </c>
      <c r="E2086">
        <v>4</v>
      </c>
      <c r="F2086">
        <v>1004</v>
      </c>
      <c r="G2086" t="s">
        <v>110</v>
      </c>
      <c r="J2086" t="s">
        <v>111</v>
      </c>
      <c r="K2086">
        <v>0</v>
      </c>
      <c r="L2086">
        <v>3</v>
      </c>
      <c r="M2086">
        <v>0</v>
      </c>
      <c r="N2086">
        <v>2</v>
      </c>
      <c r="O2086">
        <v>1</v>
      </c>
      <c r="P2086">
        <v>0</v>
      </c>
      <c r="Q2086">
        <v>0</v>
      </c>
      <c r="R2086" t="s">
        <v>112</v>
      </c>
      <c r="S2086" t="str">
        <f>"14:25:07.594"</f>
        <v>14:25:07.594</v>
      </c>
      <c r="T2086" t="str">
        <f>"14:25:07.195"</f>
        <v>14:25:07.195</v>
      </c>
      <c r="U2086" t="str">
        <f t="shared" si="96"/>
        <v>ad5732</v>
      </c>
      <c r="V2086">
        <v>0</v>
      </c>
      <c r="W2086">
        <v>0</v>
      </c>
      <c r="X2086">
        <v>1</v>
      </c>
      <c r="Z2086">
        <v>0</v>
      </c>
      <c r="AA2086">
        <v>9</v>
      </c>
      <c r="AB2086">
        <v>3</v>
      </c>
      <c r="AC2086">
        <v>0</v>
      </c>
      <c r="AD2086">
        <v>10</v>
      </c>
      <c r="AE2086">
        <v>0</v>
      </c>
      <c r="AF2086">
        <v>3</v>
      </c>
      <c r="AG2086">
        <v>2</v>
      </c>
      <c r="AH2086">
        <v>0</v>
      </c>
      <c r="AI2086" t="s">
        <v>4277</v>
      </c>
      <c r="AJ2086">
        <v>39.870265000000003</v>
      </c>
      <c r="AK2086" t="s">
        <v>4278</v>
      </c>
      <c r="AL2086">
        <v>-75.787103000000002</v>
      </c>
      <c r="AM2086">
        <v>100</v>
      </c>
      <c r="AN2086">
        <v>4700</v>
      </c>
      <c r="AO2086" t="s">
        <v>115</v>
      </c>
      <c r="AP2086">
        <v>162</v>
      </c>
      <c r="AQ2086">
        <v>82</v>
      </c>
      <c r="AR2086">
        <v>0</v>
      </c>
      <c r="AZ2086">
        <v>3614</v>
      </c>
      <c r="BA2086">
        <v>1</v>
      </c>
      <c r="BB2086" t="str">
        <f t="shared" si="98"/>
        <v xml:space="preserve">N959MJ  </v>
      </c>
      <c r="BC2086">
        <v>1</v>
      </c>
      <c r="BE2086">
        <v>0</v>
      </c>
      <c r="BF2086">
        <v>0</v>
      </c>
      <c r="BG2086">
        <v>0</v>
      </c>
      <c r="BH2086">
        <v>4900</v>
      </c>
      <c r="BI2086">
        <v>200</v>
      </c>
      <c r="BJ2086">
        <v>1</v>
      </c>
      <c r="BK2086">
        <v>1</v>
      </c>
      <c r="BL2086">
        <v>1</v>
      </c>
      <c r="BM2086">
        <v>0</v>
      </c>
      <c r="BP2086">
        <v>0</v>
      </c>
      <c r="BQ2086">
        <v>0</v>
      </c>
      <c r="BX2086" t="str">
        <f>"14:25:07.602"</f>
        <v>14:25:07.602</v>
      </c>
      <c r="BY2086" t="str">
        <f>"598657983"</f>
        <v>598657983</v>
      </c>
      <c r="CL2086">
        <v>0</v>
      </c>
      <c r="CM2086">
        <v>2</v>
      </c>
      <c r="CN2086">
        <v>0</v>
      </c>
      <c r="CO2086">
        <v>2</v>
      </c>
      <c r="CP2086">
        <v>0</v>
      </c>
      <c r="CQ2086">
        <v>7</v>
      </c>
      <c r="CR2086" t="s">
        <v>116</v>
      </c>
      <c r="CS2086">
        <v>39</v>
      </c>
      <c r="CT2086">
        <v>2</v>
      </c>
      <c r="CU2086" t="s">
        <v>2259</v>
      </c>
      <c r="CV2086" t="s">
        <v>2260</v>
      </c>
      <c r="CY2086">
        <v>16629853</v>
      </c>
      <c r="CZ2086" t="s">
        <v>119</v>
      </c>
    </row>
    <row r="2087" spans="1:104" x14ac:dyDescent="0.25">
      <c r="A2087" t="str">
        <f>"14:25:08.914"</f>
        <v>14:25:08.914</v>
      </c>
      <c r="B2087" t="s">
        <v>108</v>
      </c>
      <c r="C2087" t="str">
        <f t="shared" si="97"/>
        <v>ffdfd3c0</v>
      </c>
      <c r="D2087" t="s">
        <v>109</v>
      </c>
      <c r="E2087">
        <v>4</v>
      </c>
      <c r="F2087">
        <v>1004</v>
      </c>
      <c r="G2087" t="s">
        <v>110</v>
      </c>
      <c r="J2087" t="s">
        <v>111</v>
      </c>
      <c r="K2087">
        <v>0</v>
      </c>
      <c r="L2087">
        <v>3</v>
      </c>
      <c r="M2087">
        <v>0</v>
      </c>
      <c r="N2087">
        <v>2</v>
      </c>
      <c r="O2087">
        <v>1</v>
      </c>
      <c r="P2087">
        <v>0</v>
      </c>
      <c r="Q2087">
        <v>0</v>
      </c>
      <c r="R2087" t="s">
        <v>112</v>
      </c>
      <c r="S2087" t="str">
        <f>"14:25:08.727"</f>
        <v>14:25:08.727</v>
      </c>
      <c r="T2087" t="str">
        <f>"14:25:08.227"</f>
        <v>14:25:08.227</v>
      </c>
      <c r="U2087" t="str">
        <f t="shared" si="96"/>
        <v>ad5732</v>
      </c>
      <c r="V2087">
        <v>0</v>
      </c>
      <c r="W2087">
        <v>0</v>
      </c>
      <c r="X2087">
        <v>1</v>
      </c>
      <c r="Z2087">
        <v>0</v>
      </c>
      <c r="AA2087">
        <v>9</v>
      </c>
      <c r="AB2087">
        <v>3</v>
      </c>
      <c r="AC2087">
        <v>0</v>
      </c>
      <c r="AD2087">
        <v>10</v>
      </c>
      <c r="AE2087">
        <v>0</v>
      </c>
      <c r="AF2087">
        <v>3</v>
      </c>
      <c r="AG2087">
        <v>2</v>
      </c>
      <c r="AH2087">
        <v>0</v>
      </c>
      <c r="AI2087" t="s">
        <v>4279</v>
      </c>
      <c r="AJ2087">
        <v>39.870714999999997</v>
      </c>
      <c r="AK2087" t="s">
        <v>4280</v>
      </c>
      <c r="AL2087">
        <v>-75.785901999999993</v>
      </c>
      <c r="AM2087">
        <v>100</v>
      </c>
      <c r="AN2087">
        <v>4700</v>
      </c>
      <c r="AO2087" t="s">
        <v>115</v>
      </c>
      <c r="AP2087">
        <v>162</v>
      </c>
      <c r="AQ2087">
        <v>82</v>
      </c>
      <c r="AR2087">
        <v>0</v>
      </c>
      <c r="AZ2087">
        <v>3614</v>
      </c>
      <c r="BA2087">
        <v>1</v>
      </c>
      <c r="BB2087" t="str">
        <f t="shared" si="98"/>
        <v xml:space="preserve">N959MJ  </v>
      </c>
      <c r="BC2087">
        <v>1</v>
      </c>
      <c r="BE2087">
        <v>0</v>
      </c>
      <c r="BF2087">
        <v>0</v>
      </c>
      <c r="BG2087">
        <v>0</v>
      </c>
      <c r="BH2087">
        <v>4900</v>
      </c>
      <c r="BI2087">
        <v>200</v>
      </c>
      <c r="BJ2087">
        <v>1</v>
      </c>
      <c r="BK2087">
        <v>1</v>
      </c>
      <c r="BL2087">
        <v>1</v>
      </c>
      <c r="BM2087">
        <v>0</v>
      </c>
      <c r="BP2087">
        <v>0</v>
      </c>
      <c r="BQ2087">
        <v>0</v>
      </c>
      <c r="BX2087" t="str">
        <f>"14:25:08.734"</f>
        <v>14:25:08.734</v>
      </c>
      <c r="BY2087" t="str">
        <f>"734088208"</f>
        <v>734088208</v>
      </c>
      <c r="CL2087">
        <v>0</v>
      </c>
      <c r="CM2087">
        <v>2</v>
      </c>
      <c r="CN2087">
        <v>0</v>
      </c>
      <c r="CO2087">
        <v>2</v>
      </c>
      <c r="CP2087">
        <v>0</v>
      </c>
      <c r="CQ2087">
        <v>7</v>
      </c>
      <c r="CR2087" t="s">
        <v>116</v>
      </c>
      <c r="CS2087">
        <v>39</v>
      </c>
      <c r="CT2087">
        <v>2</v>
      </c>
      <c r="CU2087" t="s">
        <v>2259</v>
      </c>
      <c r="CV2087" t="s">
        <v>2260</v>
      </c>
      <c r="CY2087">
        <v>16631616</v>
      </c>
      <c r="CZ2087" t="s">
        <v>119</v>
      </c>
    </row>
    <row r="2088" spans="1:104" x14ac:dyDescent="0.25">
      <c r="A2088" t="str">
        <f>"14:25:10.023"</f>
        <v>14:25:10.023</v>
      </c>
      <c r="B2088" t="s">
        <v>108</v>
      </c>
      <c r="C2088" t="str">
        <f t="shared" si="97"/>
        <v>ffdfd3c0</v>
      </c>
      <c r="D2088" t="s">
        <v>109</v>
      </c>
      <c r="E2088">
        <v>4</v>
      </c>
      <c r="F2088">
        <v>1004</v>
      </c>
      <c r="G2088" t="s">
        <v>110</v>
      </c>
      <c r="J2088" t="s">
        <v>111</v>
      </c>
      <c r="K2088">
        <v>0</v>
      </c>
      <c r="L2088">
        <v>3</v>
      </c>
      <c r="M2088">
        <v>0</v>
      </c>
      <c r="N2088">
        <v>2</v>
      </c>
      <c r="O2088">
        <v>1</v>
      </c>
      <c r="P2088">
        <v>0</v>
      </c>
      <c r="Q2088">
        <v>0</v>
      </c>
      <c r="R2088" t="s">
        <v>112</v>
      </c>
      <c r="S2088" t="str">
        <f>"14:25:09.820"</f>
        <v>14:25:09.820</v>
      </c>
      <c r="T2088" t="str">
        <f>"14:25:09.320"</f>
        <v>14:25:09.320</v>
      </c>
      <c r="U2088" t="str">
        <f t="shared" si="96"/>
        <v>ad5732</v>
      </c>
      <c r="V2088">
        <v>0</v>
      </c>
      <c r="W2088">
        <v>0</v>
      </c>
      <c r="X2088">
        <v>1</v>
      </c>
      <c r="Z2088">
        <v>0</v>
      </c>
      <c r="AA2088">
        <v>9</v>
      </c>
      <c r="AB2088">
        <v>3</v>
      </c>
      <c r="AC2088">
        <v>0</v>
      </c>
      <c r="AD2088">
        <v>10</v>
      </c>
      <c r="AE2088">
        <v>0</v>
      </c>
      <c r="AF2088">
        <v>3</v>
      </c>
      <c r="AG2088">
        <v>2</v>
      </c>
      <c r="AH2088">
        <v>0</v>
      </c>
      <c r="AI2088" t="s">
        <v>4281</v>
      </c>
      <c r="AJ2088">
        <v>39.871144000000001</v>
      </c>
      <c r="AK2088" t="s">
        <v>4282</v>
      </c>
      <c r="AL2088">
        <v>-75.784850000000006</v>
      </c>
      <c r="AM2088">
        <v>100</v>
      </c>
      <c r="AN2088">
        <v>4700</v>
      </c>
      <c r="AO2088" t="s">
        <v>115</v>
      </c>
      <c r="AP2088">
        <v>162</v>
      </c>
      <c r="AQ2088">
        <v>82</v>
      </c>
      <c r="AR2088">
        <v>0</v>
      </c>
      <c r="AZ2088">
        <v>3614</v>
      </c>
      <c r="BA2088">
        <v>1</v>
      </c>
      <c r="BB2088" t="str">
        <f t="shared" si="98"/>
        <v xml:space="preserve">N959MJ  </v>
      </c>
      <c r="BC2088">
        <v>1</v>
      </c>
      <c r="BE2088">
        <v>0</v>
      </c>
      <c r="BF2088">
        <v>0</v>
      </c>
      <c r="BG2088">
        <v>0</v>
      </c>
      <c r="BH2088">
        <v>4900</v>
      </c>
      <c r="BI2088">
        <v>200</v>
      </c>
      <c r="BJ2088">
        <v>1</v>
      </c>
      <c r="BK2088">
        <v>1</v>
      </c>
      <c r="BL2088">
        <v>1</v>
      </c>
      <c r="BM2088">
        <v>0</v>
      </c>
      <c r="BP2088">
        <v>0</v>
      </c>
      <c r="BQ2088">
        <v>0</v>
      </c>
      <c r="BX2088" t="str">
        <f>"14:25:09.820"</f>
        <v>14:25:09.820</v>
      </c>
      <c r="BY2088" t="str">
        <f>"823642809"</f>
        <v>823642809</v>
      </c>
      <c r="CL2088">
        <v>0</v>
      </c>
      <c r="CM2088">
        <v>2</v>
      </c>
      <c r="CN2088">
        <v>0</v>
      </c>
      <c r="CO2088">
        <v>2</v>
      </c>
      <c r="CP2088">
        <v>0</v>
      </c>
      <c r="CQ2088">
        <v>7</v>
      </c>
      <c r="CR2088" t="s">
        <v>116</v>
      </c>
      <c r="CS2088">
        <v>39</v>
      </c>
      <c r="CT2088">
        <v>2</v>
      </c>
      <c r="CU2088" t="s">
        <v>2259</v>
      </c>
      <c r="CV2088" t="s">
        <v>2260</v>
      </c>
      <c r="CY2088">
        <v>16633341</v>
      </c>
      <c r="CZ2088" t="s">
        <v>119</v>
      </c>
    </row>
    <row r="2089" spans="1:104" x14ac:dyDescent="0.25">
      <c r="A2089" t="str">
        <f>"14:25:11.031"</f>
        <v>14:25:11.031</v>
      </c>
      <c r="B2089" t="s">
        <v>108</v>
      </c>
      <c r="C2089" t="str">
        <f t="shared" si="97"/>
        <v>ffdfd3c0</v>
      </c>
      <c r="D2089" t="s">
        <v>109</v>
      </c>
      <c r="E2089">
        <v>4</v>
      </c>
      <c r="F2089">
        <v>1004</v>
      </c>
      <c r="G2089" t="s">
        <v>110</v>
      </c>
      <c r="J2089" t="s">
        <v>111</v>
      </c>
      <c r="K2089">
        <v>0</v>
      </c>
      <c r="L2089">
        <v>3</v>
      </c>
      <c r="M2089">
        <v>0</v>
      </c>
      <c r="N2089">
        <v>2</v>
      </c>
      <c r="O2089">
        <v>1</v>
      </c>
      <c r="P2089">
        <v>0</v>
      </c>
      <c r="Q2089">
        <v>0</v>
      </c>
      <c r="R2089" t="s">
        <v>112</v>
      </c>
      <c r="S2089" t="str">
        <f>"14:25:10.828"</f>
        <v>14:25:10.828</v>
      </c>
      <c r="T2089" t="str">
        <f>"14:25:10.328"</f>
        <v>14:25:10.328</v>
      </c>
      <c r="U2089" t="str">
        <f t="shared" si="96"/>
        <v>ad5732</v>
      </c>
      <c r="V2089">
        <v>0</v>
      </c>
      <c r="W2089">
        <v>0</v>
      </c>
      <c r="X2089">
        <v>1</v>
      </c>
      <c r="Z2089">
        <v>0</v>
      </c>
      <c r="AA2089">
        <v>9</v>
      </c>
      <c r="AB2089">
        <v>3</v>
      </c>
      <c r="AC2089">
        <v>0</v>
      </c>
      <c r="AD2089">
        <v>10</v>
      </c>
      <c r="AE2089">
        <v>0</v>
      </c>
      <c r="AF2089">
        <v>3</v>
      </c>
      <c r="AG2089">
        <v>2</v>
      </c>
      <c r="AH2089">
        <v>0</v>
      </c>
      <c r="AI2089" t="s">
        <v>4283</v>
      </c>
      <c r="AJ2089">
        <v>39.871530999999997</v>
      </c>
      <c r="AK2089" t="s">
        <v>4284</v>
      </c>
      <c r="AL2089">
        <v>-75.783884999999998</v>
      </c>
      <c r="AM2089">
        <v>100</v>
      </c>
      <c r="AN2089">
        <v>4700</v>
      </c>
      <c r="AO2089" t="s">
        <v>115</v>
      </c>
      <c r="AP2089">
        <v>162</v>
      </c>
      <c r="AQ2089">
        <v>82</v>
      </c>
      <c r="AR2089">
        <v>64</v>
      </c>
      <c r="AZ2089">
        <v>3614</v>
      </c>
      <c r="BA2089">
        <v>1</v>
      </c>
      <c r="BB2089" t="str">
        <f t="shared" si="98"/>
        <v xml:space="preserve">N959MJ  </v>
      </c>
      <c r="BC2089">
        <v>1</v>
      </c>
      <c r="BE2089">
        <v>0</v>
      </c>
      <c r="BF2089">
        <v>0</v>
      </c>
      <c r="BG2089">
        <v>0</v>
      </c>
      <c r="BH2089">
        <v>4900</v>
      </c>
      <c r="BI2089">
        <v>200</v>
      </c>
      <c r="BJ2089">
        <v>1</v>
      </c>
      <c r="BK2089">
        <v>1</v>
      </c>
      <c r="BL2089">
        <v>1</v>
      </c>
      <c r="BM2089">
        <v>0</v>
      </c>
      <c r="BP2089">
        <v>0</v>
      </c>
      <c r="BQ2089">
        <v>0</v>
      </c>
      <c r="BX2089" t="str">
        <f>"14:25:10.828"</f>
        <v>14:25:10.828</v>
      </c>
      <c r="BY2089" t="str">
        <f>"829637014"</f>
        <v>829637014</v>
      </c>
      <c r="CL2089">
        <v>0</v>
      </c>
      <c r="CM2089">
        <v>2</v>
      </c>
      <c r="CN2089">
        <v>0</v>
      </c>
      <c r="CO2089">
        <v>2</v>
      </c>
      <c r="CP2089">
        <v>0</v>
      </c>
      <c r="CQ2089">
        <v>7</v>
      </c>
      <c r="CR2089" t="s">
        <v>116</v>
      </c>
      <c r="CS2089">
        <v>39</v>
      </c>
      <c r="CT2089">
        <v>2</v>
      </c>
      <c r="CU2089" t="s">
        <v>2259</v>
      </c>
      <c r="CV2089" t="s">
        <v>2260</v>
      </c>
      <c r="CY2089">
        <v>16634985</v>
      </c>
      <c r="CZ2089" t="s">
        <v>119</v>
      </c>
    </row>
    <row r="2090" spans="1:104" x14ac:dyDescent="0.25">
      <c r="A2090" t="str">
        <f>"14:25:12.047"</f>
        <v>14:25:12.047</v>
      </c>
      <c r="B2090" t="s">
        <v>108</v>
      </c>
      <c r="C2090" t="str">
        <f t="shared" si="97"/>
        <v>ffdfd3c0</v>
      </c>
      <c r="D2090" t="s">
        <v>109</v>
      </c>
      <c r="E2090">
        <v>4</v>
      </c>
      <c r="F2090">
        <v>1004</v>
      </c>
      <c r="G2090" t="s">
        <v>110</v>
      </c>
      <c r="J2090" t="s">
        <v>111</v>
      </c>
      <c r="K2090">
        <v>0</v>
      </c>
      <c r="L2090">
        <v>3</v>
      </c>
      <c r="M2090">
        <v>0</v>
      </c>
      <c r="N2090">
        <v>2</v>
      </c>
      <c r="O2090">
        <v>1</v>
      </c>
      <c r="P2090">
        <v>0</v>
      </c>
      <c r="Q2090">
        <v>0</v>
      </c>
      <c r="R2090" t="s">
        <v>112</v>
      </c>
      <c r="S2090" t="str">
        <f>"14:25:11.852"</f>
        <v>14:25:11.852</v>
      </c>
      <c r="T2090" t="str">
        <f>"14:25:11.352"</f>
        <v>14:25:11.352</v>
      </c>
      <c r="U2090" t="str">
        <f t="shared" si="96"/>
        <v>ad5732</v>
      </c>
      <c r="V2090">
        <v>0</v>
      </c>
      <c r="W2090">
        <v>0</v>
      </c>
      <c r="X2090">
        <v>1</v>
      </c>
      <c r="Z2090">
        <v>0</v>
      </c>
      <c r="AA2090">
        <v>9</v>
      </c>
      <c r="AB2090">
        <v>3</v>
      </c>
      <c r="AC2090">
        <v>0</v>
      </c>
      <c r="AD2090">
        <v>10</v>
      </c>
      <c r="AE2090">
        <v>0</v>
      </c>
      <c r="AF2090">
        <v>3</v>
      </c>
      <c r="AG2090">
        <v>2</v>
      </c>
      <c r="AH2090">
        <v>0</v>
      </c>
      <c r="AI2090" t="s">
        <v>4285</v>
      </c>
      <c r="AJ2090">
        <v>39.871895000000002</v>
      </c>
      <c r="AK2090" t="s">
        <v>4286</v>
      </c>
      <c r="AL2090">
        <v>-75.782897000000006</v>
      </c>
      <c r="AM2090">
        <v>100</v>
      </c>
      <c r="AN2090">
        <v>4700</v>
      </c>
      <c r="AO2090" t="s">
        <v>115</v>
      </c>
      <c r="AP2090">
        <v>162</v>
      </c>
      <c r="AQ2090">
        <v>82</v>
      </c>
      <c r="AR2090">
        <v>64</v>
      </c>
      <c r="AZ2090">
        <v>3614</v>
      </c>
      <c r="BA2090">
        <v>1</v>
      </c>
      <c r="BB2090" t="str">
        <f t="shared" si="98"/>
        <v xml:space="preserve">N959MJ  </v>
      </c>
      <c r="BC2090">
        <v>1</v>
      </c>
      <c r="BE2090">
        <v>0</v>
      </c>
      <c r="BF2090">
        <v>0</v>
      </c>
      <c r="BG2090">
        <v>0</v>
      </c>
      <c r="BH2090">
        <v>4900</v>
      </c>
      <c r="BI2090">
        <v>200</v>
      </c>
      <c r="BJ2090">
        <v>1</v>
      </c>
      <c r="BK2090">
        <v>1</v>
      </c>
      <c r="BL2090">
        <v>1</v>
      </c>
      <c r="BM2090">
        <v>0</v>
      </c>
      <c r="BP2090">
        <v>0</v>
      </c>
      <c r="BQ2090">
        <v>0</v>
      </c>
      <c r="BX2090" t="str">
        <f>"14:25:11.852"</f>
        <v>14:25:11.852</v>
      </c>
      <c r="BY2090" t="str">
        <f>"855292645"</f>
        <v>855292645</v>
      </c>
      <c r="CL2090">
        <v>0</v>
      </c>
      <c r="CM2090">
        <v>2</v>
      </c>
      <c r="CN2090">
        <v>0</v>
      </c>
      <c r="CO2090">
        <v>2</v>
      </c>
      <c r="CP2090">
        <v>0</v>
      </c>
      <c r="CQ2090">
        <v>7</v>
      </c>
      <c r="CR2090" t="s">
        <v>116</v>
      </c>
      <c r="CS2090">
        <v>39</v>
      </c>
      <c r="CT2090">
        <v>2</v>
      </c>
      <c r="CU2090" t="s">
        <v>2259</v>
      </c>
      <c r="CV2090" t="s">
        <v>2260</v>
      </c>
      <c r="CY2090">
        <v>16636703</v>
      </c>
      <c r="CZ2090" t="s">
        <v>119</v>
      </c>
    </row>
    <row r="2091" spans="1:104" x14ac:dyDescent="0.25">
      <c r="A2091" t="str">
        <f>"14:25:12.852"</f>
        <v>14:25:12.852</v>
      </c>
      <c r="B2091" t="s">
        <v>108</v>
      </c>
      <c r="C2091" t="str">
        <f t="shared" si="97"/>
        <v>ffdfd3c0</v>
      </c>
      <c r="D2091" t="s">
        <v>109</v>
      </c>
      <c r="E2091">
        <v>4</v>
      </c>
      <c r="F2091">
        <v>1004</v>
      </c>
      <c r="G2091" t="s">
        <v>110</v>
      </c>
      <c r="J2091" t="s">
        <v>111</v>
      </c>
      <c r="K2091">
        <v>0</v>
      </c>
      <c r="L2091">
        <v>3</v>
      </c>
      <c r="M2091">
        <v>0</v>
      </c>
      <c r="N2091">
        <v>2</v>
      </c>
      <c r="O2091">
        <v>1</v>
      </c>
      <c r="P2091">
        <v>0</v>
      </c>
      <c r="Q2091">
        <v>0</v>
      </c>
      <c r="R2091" t="s">
        <v>112</v>
      </c>
      <c r="S2091" t="str">
        <f>"14:25:12.664"</f>
        <v>14:25:12.664</v>
      </c>
      <c r="T2091" t="str">
        <f>"14:25:12.266"</f>
        <v>14:25:12.266</v>
      </c>
      <c r="U2091" t="str">
        <f t="shared" si="96"/>
        <v>ad5732</v>
      </c>
      <c r="V2091">
        <v>0</v>
      </c>
      <c r="W2091">
        <v>0</v>
      </c>
      <c r="X2091">
        <v>1</v>
      </c>
      <c r="Z2091">
        <v>0</v>
      </c>
      <c r="AA2091">
        <v>9</v>
      </c>
      <c r="AB2091">
        <v>3</v>
      </c>
      <c r="AC2091">
        <v>0</v>
      </c>
      <c r="AD2091">
        <v>10</v>
      </c>
      <c r="AE2091">
        <v>0</v>
      </c>
      <c r="AF2091">
        <v>3</v>
      </c>
      <c r="AG2091">
        <v>2</v>
      </c>
      <c r="AH2091">
        <v>0</v>
      </c>
      <c r="AI2091" t="s">
        <v>4287</v>
      </c>
      <c r="AJ2091">
        <v>39.872216999999999</v>
      </c>
      <c r="AK2091" t="s">
        <v>4288</v>
      </c>
      <c r="AL2091">
        <v>-75.782104000000004</v>
      </c>
      <c r="AM2091">
        <v>100</v>
      </c>
      <c r="AN2091">
        <v>4700</v>
      </c>
      <c r="AO2091" t="s">
        <v>115</v>
      </c>
      <c r="AP2091">
        <v>162</v>
      </c>
      <c r="AQ2091">
        <v>82</v>
      </c>
      <c r="AR2091">
        <v>64</v>
      </c>
      <c r="AZ2091">
        <v>3614</v>
      </c>
      <c r="BA2091">
        <v>1</v>
      </c>
      <c r="BB2091" t="str">
        <f t="shared" si="98"/>
        <v xml:space="preserve">N959MJ  </v>
      </c>
      <c r="BC2091">
        <v>1</v>
      </c>
      <c r="BE2091">
        <v>0</v>
      </c>
      <c r="BF2091">
        <v>0</v>
      </c>
      <c r="BG2091">
        <v>0</v>
      </c>
      <c r="BH2091">
        <v>4900</v>
      </c>
      <c r="BI2091">
        <v>200</v>
      </c>
      <c r="BJ2091">
        <v>1</v>
      </c>
      <c r="BK2091">
        <v>1</v>
      </c>
      <c r="BL2091">
        <v>1</v>
      </c>
      <c r="BM2091">
        <v>0</v>
      </c>
      <c r="BP2091">
        <v>0</v>
      </c>
      <c r="BQ2091">
        <v>0</v>
      </c>
      <c r="BX2091" t="str">
        <f>"14:25:12.664"</f>
        <v>14:25:12.664</v>
      </c>
      <c r="BY2091" t="str">
        <f>"666314270"</f>
        <v>666314270</v>
      </c>
      <c r="CL2091">
        <v>0</v>
      </c>
      <c r="CM2091">
        <v>2</v>
      </c>
      <c r="CN2091">
        <v>0</v>
      </c>
      <c r="CO2091">
        <v>2</v>
      </c>
      <c r="CP2091">
        <v>0</v>
      </c>
      <c r="CQ2091">
        <v>7</v>
      </c>
      <c r="CR2091" t="s">
        <v>116</v>
      </c>
      <c r="CS2091">
        <v>39</v>
      </c>
      <c r="CT2091">
        <v>2</v>
      </c>
      <c r="CU2091" t="s">
        <v>2259</v>
      </c>
      <c r="CV2091" t="s">
        <v>2260</v>
      </c>
      <c r="CY2091">
        <v>16637976</v>
      </c>
      <c r="CZ2091" t="s">
        <v>119</v>
      </c>
    </row>
    <row r="2092" spans="1:104" x14ac:dyDescent="0.25">
      <c r="A2092" t="str">
        <f>"14:25:13.813"</f>
        <v>14:25:13.813</v>
      </c>
      <c r="B2092" t="s">
        <v>108</v>
      </c>
      <c r="C2092" t="str">
        <f t="shared" si="97"/>
        <v>ffdfd3c0</v>
      </c>
      <c r="D2092" t="s">
        <v>109</v>
      </c>
      <c r="E2092">
        <v>4</v>
      </c>
      <c r="F2092">
        <v>1004</v>
      </c>
      <c r="G2092" t="s">
        <v>110</v>
      </c>
      <c r="J2092" t="s">
        <v>111</v>
      </c>
      <c r="K2092">
        <v>0</v>
      </c>
      <c r="L2092">
        <v>3</v>
      </c>
      <c r="M2092">
        <v>0</v>
      </c>
      <c r="N2092">
        <v>2</v>
      </c>
      <c r="O2092">
        <v>1</v>
      </c>
      <c r="P2092">
        <v>0</v>
      </c>
      <c r="Q2092">
        <v>0</v>
      </c>
      <c r="R2092" t="s">
        <v>112</v>
      </c>
      <c r="S2092" t="str">
        <f>"14:25:13.625"</f>
        <v>14:25:13.625</v>
      </c>
      <c r="T2092" t="str">
        <f>"14:25:13.227"</f>
        <v>14:25:13.227</v>
      </c>
      <c r="U2092" t="str">
        <f t="shared" si="96"/>
        <v>ad5732</v>
      </c>
      <c r="V2092">
        <v>0</v>
      </c>
      <c r="W2092">
        <v>0</v>
      </c>
      <c r="X2092">
        <v>1</v>
      </c>
      <c r="Z2092">
        <v>0</v>
      </c>
      <c r="AA2092">
        <v>9</v>
      </c>
      <c r="AB2092">
        <v>3</v>
      </c>
      <c r="AC2092">
        <v>0</v>
      </c>
      <c r="AD2092">
        <v>10</v>
      </c>
      <c r="AE2092">
        <v>0</v>
      </c>
      <c r="AF2092">
        <v>3</v>
      </c>
      <c r="AG2092">
        <v>2</v>
      </c>
      <c r="AH2092">
        <v>0</v>
      </c>
      <c r="AI2092" t="s">
        <v>4289</v>
      </c>
      <c r="AJ2092">
        <v>39.872602999999998</v>
      </c>
      <c r="AK2092" t="s">
        <v>4290</v>
      </c>
      <c r="AL2092">
        <v>-75.781137999999999</v>
      </c>
      <c r="AM2092">
        <v>100</v>
      </c>
      <c r="AN2092">
        <v>4700</v>
      </c>
      <c r="AO2092" t="s">
        <v>115</v>
      </c>
      <c r="AP2092">
        <v>162</v>
      </c>
      <c r="AQ2092">
        <v>82</v>
      </c>
      <c r="AR2092">
        <v>64</v>
      </c>
      <c r="AZ2092">
        <v>3614</v>
      </c>
      <c r="BA2092">
        <v>1</v>
      </c>
      <c r="BB2092" t="str">
        <f t="shared" si="98"/>
        <v xml:space="preserve">N959MJ  </v>
      </c>
      <c r="BC2092">
        <v>1</v>
      </c>
      <c r="BE2092">
        <v>0</v>
      </c>
      <c r="BF2092">
        <v>0</v>
      </c>
      <c r="BG2092">
        <v>0</v>
      </c>
      <c r="BH2092">
        <v>4900</v>
      </c>
      <c r="BI2092">
        <v>200</v>
      </c>
      <c r="BJ2092">
        <v>1</v>
      </c>
      <c r="BK2092">
        <v>1</v>
      </c>
      <c r="BL2092">
        <v>1</v>
      </c>
      <c r="BM2092">
        <v>0</v>
      </c>
      <c r="BP2092">
        <v>0</v>
      </c>
      <c r="BQ2092">
        <v>0</v>
      </c>
      <c r="BX2092" t="str">
        <f>"14:25:13.633"</f>
        <v>14:25:13.633</v>
      </c>
      <c r="BY2092" t="str">
        <f>"629709658"</f>
        <v>629709658</v>
      </c>
      <c r="CL2092">
        <v>0</v>
      </c>
      <c r="CM2092">
        <v>2</v>
      </c>
      <c r="CN2092">
        <v>0</v>
      </c>
      <c r="CO2092">
        <v>2</v>
      </c>
      <c r="CP2092">
        <v>0</v>
      </c>
      <c r="CQ2092">
        <v>7</v>
      </c>
      <c r="CR2092" t="s">
        <v>116</v>
      </c>
      <c r="CS2092">
        <v>39</v>
      </c>
      <c r="CT2092">
        <v>2</v>
      </c>
      <c r="CU2092" t="s">
        <v>2259</v>
      </c>
      <c r="CV2092" t="s">
        <v>2260</v>
      </c>
      <c r="CY2092">
        <v>16639512</v>
      </c>
      <c r="CZ2092" t="s">
        <v>119</v>
      </c>
    </row>
    <row r="2093" spans="1:104" x14ac:dyDescent="0.25">
      <c r="A2093" t="str">
        <f>"14:25:14.922"</f>
        <v>14:25:14.922</v>
      </c>
      <c r="B2093" t="s">
        <v>108</v>
      </c>
      <c r="C2093" t="str">
        <f t="shared" si="97"/>
        <v>ffdfd3c0</v>
      </c>
      <c r="D2093" t="s">
        <v>109</v>
      </c>
      <c r="E2093">
        <v>4</v>
      </c>
      <c r="F2093">
        <v>1004</v>
      </c>
      <c r="G2093" t="s">
        <v>110</v>
      </c>
      <c r="J2093" t="s">
        <v>111</v>
      </c>
      <c r="K2093">
        <v>0</v>
      </c>
      <c r="L2093">
        <v>3</v>
      </c>
      <c r="M2093">
        <v>0</v>
      </c>
      <c r="N2093">
        <v>2</v>
      </c>
      <c r="O2093">
        <v>1</v>
      </c>
      <c r="P2093">
        <v>0</v>
      </c>
      <c r="Q2093">
        <v>0</v>
      </c>
      <c r="R2093" t="s">
        <v>112</v>
      </c>
      <c r="S2093" t="str">
        <f>"14:25:14.727"</f>
        <v>14:25:14.727</v>
      </c>
      <c r="T2093" t="str">
        <f>"14:25:14.227"</f>
        <v>14:25:14.227</v>
      </c>
      <c r="U2093" t="str">
        <f t="shared" si="96"/>
        <v>ad5732</v>
      </c>
      <c r="V2093">
        <v>0</v>
      </c>
      <c r="W2093">
        <v>0</v>
      </c>
      <c r="X2093">
        <v>1</v>
      </c>
      <c r="Z2093">
        <v>0</v>
      </c>
      <c r="AA2093">
        <v>9</v>
      </c>
      <c r="AB2093">
        <v>3</v>
      </c>
      <c r="AC2093">
        <v>0</v>
      </c>
      <c r="AD2093">
        <v>10</v>
      </c>
      <c r="AE2093">
        <v>0</v>
      </c>
      <c r="AF2093">
        <v>3</v>
      </c>
      <c r="AG2093">
        <v>2</v>
      </c>
      <c r="AH2093">
        <v>0</v>
      </c>
      <c r="AI2093" t="s">
        <v>4291</v>
      </c>
      <c r="AJ2093">
        <v>39.873010999999998</v>
      </c>
      <c r="AK2093" t="s">
        <v>4292</v>
      </c>
      <c r="AL2093">
        <v>-75.780044000000004</v>
      </c>
      <c r="AM2093">
        <v>100</v>
      </c>
      <c r="AN2093">
        <v>4700</v>
      </c>
      <c r="AO2093" t="s">
        <v>115</v>
      </c>
      <c r="AP2093">
        <v>162</v>
      </c>
      <c r="AQ2093">
        <v>82</v>
      </c>
      <c r="AR2093">
        <v>64</v>
      </c>
      <c r="AZ2093">
        <v>3614</v>
      </c>
      <c r="BA2093">
        <v>1</v>
      </c>
      <c r="BB2093" t="str">
        <f t="shared" si="98"/>
        <v xml:space="preserve">N959MJ  </v>
      </c>
      <c r="BC2093">
        <v>1</v>
      </c>
      <c r="BE2093">
        <v>0</v>
      </c>
      <c r="BF2093">
        <v>0</v>
      </c>
      <c r="BG2093">
        <v>0</v>
      </c>
      <c r="BH2093">
        <v>4900</v>
      </c>
      <c r="BI2093">
        <v>200</v>
      </c>
      <c r="BJ2093">
        <v>1</v>
      </c>
      <c r="BK2093">
        <v>1</v>
      </c>
      <c r="BL2093">
        <v>1</v>
      </c>
      <c r="BM2093">
        <v>0</v>
      </c>
      <c r="BP2093">
        <v>0</v>
      </c>
      <c r="BQ2093">
        <v>0</v>
      </c>
      <c r="BX2093" t="str">
        <f>"14:25:14.734"</f>
        <v>14:25:14.734</v>
      </c>
      <c r="BY2093" t="str">
        <f>"732371435"</f>
        <v>732371435</v>
      </c>
      <c r="CL2093">
        <v>0</v>
      </c>
      <c r="CM2093">
        <v>2</v>
      </c>
      <c r="CN2093">
        <v>0</v>
      </c>
      <c r="CO2093">
        <v>2</v>
      </c>
      <c r="CP2093">
        <v>0</v>
      </c>
      <c r="CQ2093">
        <v>7</v>
      </c>
      <c r="CR2093" t="s">
        <v>116</v>
      </c>
      <c r="CS2093">
        <v>39</v>
      </c>
      <c r="CT2093">
        <v>2</v>
      </c>
      <c r="CU2093" t="s">
        <v>2259</v>
      </c>
      <c r="CV2093" t="s">
        <v>2260</v>
      </c>
      <c r="CY2093">
        <v>16641313</v>
      </c>
      <c r="CZ2093" t="s">
        <v>119</v>
      </c>
    </row>
    <row r="2094" spans="1:104" x14ac:dyDescent="0.25">
      <c r="A2094" t="str">
        <f>"14:25:15.836"</f>
        <v>14:25:15.836</v>
      </c>
      <c r="B2094" t="s">
        <v>108</v>
      </c>
      <c r="C2094" t="str">
        <f t="shared" si="97"/>
        <v>ffdfd3c0</v>
      </c>
      <c r="D2094" t="s">
        <v>109</v>
      </c>
      <c r="E2094">
        <v>4</v>
      </c>
      <c r="F2094">
        <v>1004</v>
      </c>
      <c r="G2094" t="s">
        <v>110</v>
      </c>
      <c r="J2094" t="s">
        <v>111</v>
      </c>
      <c r="K2094">
        <v>0</v>
      </c>
      <c r="L2094">
        <v>3</v>
      </c>
      <c r="M2094">
        <v>0</v>
      </c>
      <c r="N2094">
        <v>2</v>
      </c>
      <c r="O2094">
        <v>1</v>
      </c>
      <c r="P2094">
        <v>0</v>
      </c>
      <c r="Q2094">
        <v>0</v>
      </c>
      <c r="R2094" t="s">
        <v>112</v>
      </c>
      <c r="S2094" t="str">
        <f>"14:25:15.609"</f>
        <v>14:25:15.609</v>
      </c>
      <c r="T2094" t="str">
        <f>"14:25:15.211"</f>
        <v>14:25:15.211</v>
      </c>
      <c r="U2094" t="str">
        <f t="shared" si="96"/>
        <v>ad5732</v>
      </c>
      <c r="V2094">
        <v>0</v>
      </c>
      <c r="W2094">
        <v>0</v>
      </c>
      <c r="X2094">
        <v>1</v>
      </c>
      <c r="Z2094">
        <v>0</v>
      </c>
      <c r="AA2094">
        <v>9</v>
      </c>
      <c r="AB2094">
        <v>3</v>
      </c>
      <c r="AC2094">
        <v>0</v>
      </c>
      <c r="AD2094">
        <v>10</v>
      </c>
      <c r="AE2094">
        <v>0</v>
      </c>
      <c r="AF2094">
        <v>3</v>
      </c>
      <c r="AG2094">
        <v>2</v>
      </c>
      <c r="AH2094">
        <v>0</v>
      </c>
      <c r="AI2094" t="s">
        <v>4293</v>
      </c>
      <c r="AJ2094">
        <v>39.873333000000002</v>
      </c>
      <c r="AK2094" t="s">
        <v>4294</v>
      </c>
      <c r="AL2094">
        <v>-75.779184999999998</v>
      </c>
      <c r="AM2094">
        <v>100</v>
      </c>
      <c r="AN2094">
        <v>4700</v>
      </c>
      <c r="AO2094" t="s">
        <v>115</v>
      </c>
      <c r="AP2094">
        <v>162</v>
      </c>
      <c r="AQ2094">
        <v>82</v>
      </c>
      <c r="AR2094">
        <v>64</v>
      </c>
      <c r="AZ2094">
        <v>3614</v>
      </c>
      <c r="BA2094">
        <v>1</v>
      </c>
      <c r="BB2094" t="str">
        <f t="shared" si="98"/>
        <v xml:space="preserve">N959MJ  </v>
      </c>
      <c r="BC2094">
        <v>1</v>
      </c>
      <c r="BE2094">
        <v>0</v>
      </c>
      <c r="BF2094">
        <v>0</v>
      </c>
      <c r="BG2094">
        <v>0</v>
      </c>
      <c r="BH2094">
        <v>4900</v>
      </c>
      <c r="BI2094">
        <v>200</v>
      </c>
      <c r="BJ2094">
        <v>1</v>
      </c>
      <c r="BK2094">
        <v>1</v>
      </c>
      <c r="BL2094">
        <v>1</v>
      </c>
      <c r="BM2094">
        <v>0</v>
      </c>
      <c r="BP2094">
        <v>0</v>
      </c>
      <c r="BQ2094">
        <v>0</v>
      </c>
      <c r="BX2094" t="str">
        <f>"14:25:15.617"</f>
        <v>14:25:15.617</v>
      </c>
      <c r="BY2094" t="str">
        <f>"613845398"</f>
        <v>613845398</v>
      </c>
      <c r="CL2094">
        <v>0</v>
      </c>
      <c r="CM2094">
        <v>2</v>
      </c>
      <c r="CN2094">
        <v>0</v>
      </c>
      <c r="CO2094">
        <v>2</v>
      </c>
      <c r="CP2094">
        <v>0</v>
      </c>
      <c r="CQ2094">
        <v>7</v>
      </c>
      <c r="CR2094" t="s">
        <v>116</v>
      </c>
      <c r="CS2094">
        <v>39</v>
      </c>
      <c r="CT2094">
        <v>2</v>
      </c>
      <c r="CU2094" t="s">
        <v>2259</v>
      </c>
      <c r="CV2094" t="s">
        <v>2260</v>
      </c>
      <c r="CY2094">
        <v>16642850</v>
      </c>
      <c r="CZ2094" t="s">
        <v>119</v>
      </c>
    </row>
    <row r="2095" spans="1:104" x14ac:dyDescent="0.25">
      <c r="A2095" t="str">
        <f>"14:25:16.742"</f>
        <v>14:25:16.742</v>
      </c>
      <c r="B2095" t="s">
        <v>108</v>
      </c>
      <c r="C2095" t="str">
        <f t="shared" si="97"/>
        <v>ffdfd3c0</v>
      </c>
      <c r="D2095" t="s">
        <v>109</v>
      </c>
      <c r="E2095">
        <v>4</v>
      </c>
      <c r="F2095">
        <v>1004</v>
      </c>
      <c r="G2095" t="s">
        <v>110</v>
      </c>
      <c r="J2095" t="s">
        <v>111</v>
      </c>
      <c r="K2095">
        <v>0</v>
      </c>
      <c r="L2095">
        <v>3</v>
      </c>
      <c r="M2095">
        <v>0</v>
      </c>
      <c r="N2095">
        <v>2</v>
      </c>
      <c r="O2095">
        <v>1</v>
      </c>
      <c r="P2095">
        <v>0</v>
      </c>
      <c r="Q2095">
        <v>0</v>
      </c>
      <c r="R2095" t="s">
        <v>112</v>
      </c>
      <c r="S2095" t="str">
        <f>"14:25:16.516"</f>
        <v>14:25:16.516</v>
      </c>
      <c r="T2095" t="str">
        <f>"14:25:16.117"</f>
        <v>14:25:16.117</v>
      </c>
      <c r="U2095" t="str">
        <f t="shared" si="96"/>
        <v>ad5732</v>
      </c>
      <c r="V2095">
        <v>0</v>
      </c>
      <c r="W2095">
        <v>0</v>
      </c>
      <c r="X2095">
        <v>1</v>
      </c>
      <c r="Z2095">
        <v>0</v>
      </c>
      <c r="AA2095">
        <v>9</v>
      </c>
      <c r="AB2095">
        <v>3</v>
      </c>
      <c r="AC2095">
        <v>0</v>
      </c>
      <c r="AD2095">
        <v>10</v>
      </c>
      <c r="AE2095">
        <v>0</v>
      </c>
      <c r="AF2095">
        <v>3</v>
      </c>
      <c r="AG2095">
        <v>2</v>
      </c>
      <c r="AH2095">
        <v>0</v>
      </c>
      <c r="AI2095" t="s">
        <v>4295</v>
      </c>
      <c r="AJ2095">
        <v>39.873697999999997</v>
      </c>
      <c r="AK2095" t="s">
        <v>4296</v>
      </c>
      <c r="AL2095">
        <v>-75.778327000000004</v>
      </c>
      <c r="AM2095">
        <v>100</v>
      </c>
      <c r="AN2095">
        <v>4700</v>
      </c>
      <c r="AO2095" t="s">
        <v>115</v>
      </c>
      <c r="AP2095">
        <v>162</v>
      </c>
      <c r="AQ2095">
        <v>82</v>
      </c>
      <c r="AR2095">
        <v>64</v>
      </c>
      <c r="AZ2095">
        <v>3614</v>
      </c>
      <c r="BA2095">
        <v>1</v>
      </c>
      <c r="BB2095" t="str">
        <f t="shared" si="98"/>
        <v xml:space="preserve">N959MJ  </v>
      </c>
      <c r="BC2095">
        <v>1</v>
      </c>
      <c r="BE2095">
        <v>0</v>
      </c>
      <c r="BF2095">
        <v>0</v>
      </c>
      <c r="BG2095">
        <v>0</v>
      </c>
      <c r="BH2095">
        <v>4900</v>
      </c>
      <c r="BI2095">
        <v>200</v>
      </c>
      <c r="BJ2095">
        <v>1</v>
      </c>
      <c r="BK2095">
        <v>1</v>
      </c>
      <c r="BL2095">
        <v>1</v>
      </c>
      <c r="BM2095">
        <v>0</v>
      </c>
      <c r="BP2095">
        <v>0</v>
      </c>
      <c r="BQ2095">
        <v>0</v>
      </c>
      <c r="BX2095" t="str">
        <f>"14:25:16.523"</f>
        <v>14:25:16.523</v>
      </c>
      <c r="BY2095" t="str">
        <f>"521534337"</f>
        <v>521534337</v>
      </c>
      <c r="CL2095">
        <v>0</v>
      </c>
      <c r="CM2095">
        <v>2</v>
      </c>
      <c r="CN2095">
        <v>0</v>
      </c>
      <c r="CO2095">
        <v>2</v>
      </c>
      <c r="CP2095">
        <v>0</v>
      </c>
      <c r="CQ2095">
        <v>7</v>
      </c>
      <c r="CR2095" t="s">
        <v>116</v>
      </c>
      <c r="CS2095">
        <v>39</v>
      </c>
      <c r="CT2095">
        <v>2</v>
      </c>
      <c r="CU2095" t="s">
        <v>2259</v>
      </c>
      <c r="CV2095" t="s">
        <v>2260</v>
      </c>
      <c r="CY2095">
        <v>16644361</v>
      </c>
      <c r="CZ2095" t="s">
        <v>119</v>
      </c>
    </row>
    <row r="2096" spans="1:104" x14ac:dyDescent="0.25">
      <c r="A2096" t="str">
        <f>"14:25:17.594"</f>
        <v>14:25:17.594</v>
      </c>
      <c r="B2096" t="s">
        <v>108</v>
      </c>
      <c r="C2096" t="str">
        <f t="shared" si="97"/>
        <v>ffdfd3c0</v>
      </c>
      <c r="D2096" t="s">
        <v>109</v>
      </c>
      <c r="E2096">
        <v>4</v>
      </c>
      <c r="F2096">
        <v>1004</v>
      </c>
      <c r="G2096" t="s">
        <v>110</v>
      </c>
      <c r="J2096" t="s">
        <v>111</v>
      </c>
      <c r="K2096">
        <v>0</v>
      </c>
      <c r="L2096">
        <v>3</v>
      </c>
      <c r="M2096">
        <v>0</v>
      </c>
      <c r="N2096">
        <v>2</v>
      </c>
      <c r="O2096">
        <v>1</v>
      </c>
      <c r="P2096">
        <v>0</v>
      </c>
      <c r="Q2096">
        <v>0</v>
      </c>
      <c r="R2096" t="s">
        <v>112</v>
      </c>
      <c r="S2096" t="str">
        <f>"14:25:17.430"</f>
        <v>14:25:17.430</v>
      </c>
      <c r="T2096" t="str">
        <f>"14:25:17.031"</f>
        <v>14:25:17.031</v>
      </c>
      <c r="U2096" t="str">
        <f t="shared" si="96"/>
        <v>ad5732</v>
      </c>
      <c r="V2096">
        <v>0</v>
      </c>
      <c r="W2096">
        <v>0</v>
      </c>
      <c r="X2096">
        <v>1</v>
      </c>
      <c r="Z2096">
        <v>0</v>
      </c>
      <c r="AA2096">
        <v>9</v>
      </c>
      <c r="AB2096">
        <v>3</v>
      </c>
      <c r="AC2096">
        <v>0</v>
      </c>
      <c r="AD2096">
        <v>10</v>
      </c>
      <c r="AE2096">
        <v>0</v>
      </c>
      <c r="AF2096">
        <v>3</v>
      </c>
      <c r="AG2096">
        <v>2</v>
      </c>
      <c r="AH2096">
        <v>0</v>
      </c>
      <c r="AI2096" t="s">
        <v>4297</v>
      </c>
      <c r="AJ2096">
        <v>39.874040999999998</v>
      </c>
      <c r="AK2096" t="s">
        <v>4298</v>
      </c>
      <c r="AL2096">
        <v>-75.777468999999996</v>
      </c>
      <c r="AM2096">
        <v>100</v>
      </c>
      <c r="AN2096">
        <v>4700</v>
      </c>
      <c r="AO2096" t="s">
        <v>115</v>
      </c>
      <c r="AP2096">
        <v>162</v>
      </c>
      <c r="AQ2096">
        <v>81</v>
      </c>
      <c r="AR2096">
        <v>64</v>
      </c>
      <c r="AZ2096">
        <v>3614</v>
      </c>
      <c r="BA2096">
        <v>1</v>
      </c>
      <c r="BB2096" t="str">
        <f t="shared" si="98"/>
        <v xml:space="preserve">N959MJ  </v>
      </c>
      <c r="BC2096">
        <v>1</v>
      </c>
      <c r="BE2096">
        <v>0</v>
      </c>
      <c r="BF2096">
        <v>0</v>
      </c>
      <c r="BG2096">
        <v>0</v>
      </c>
      <c r="BH2096">
        <v>4900</v>
      </c>
      <c r="BI2096">
        <v>200</v>
      </c>
      <c r="BJ2096">
        <v>1</v>
      </c>
      <c r="BK2096">
        <v>1</v>
      </c>
      <c r="BL2096">
        <v>1</v>
      </c>
      <c r="BM2096">
        <v>0</v>
      </c>
      <c r="BP2096">
        <v>0</v>
      </c>
      <c r="BQ2096">
        <v>0</v>
      </c>
      <c r="BX2096" t="str">
        <f>"14:25:17.430"</f>
        <v>14:25:17.430</v>
      </c>
      <c r="BY2096" t="str">
        <f>"432499956"</f>
        <v>432499956</v>
      </c>
      <c r="CL2096">
        <v>0</v>
      </c>
      <c r="CM2096">
        <v>2</v>
      </c>
      <c r="CN2096">
        <v>0</v>
      </c>
      <c r="CO2096">
        <v>2</v>
      </c>
      <c r="CP2096">
        <v>0</v>
      </c>
      <c r="CQ2096">
        <v>7</v>
      </c>
      <c r="CR2096" t="s">
        <v>116</v>
      </c>
      <c r="CS2096">
        <v>39</v>
      </c>
      <c r="CT2096">
        <v>2</v>
      </c>
      <c r="CU2096" t="s">
        <v>2259</v>
      </c>
      <c r="CV2096" t="s">
        <v>2260</v>
      </c>
      <c r="CY2096">
        <v>16645802</v>
      </c>
      <c r="CZ2096" t="s">
        <v>119</v>
      </c>
    </row>
    <row r="2097" spans="1:104" x14ac:dyDescent="0.25">
      <c r="A2097" t="str">
        <f>"14:25:18.711"</f>
        <v>14:25:18.711</v>
      </c>
      <c r="B2097" t="s">
        <v>108</v>
      </c>
      <c r="C2097" t="str">
        <f t="shared" si="97"/>
        <v>ffdfd3c0</v>
      </c>
      <c r="D2097" t="s">
        <v>109</v>
      </c>
      <c r="E2097">
        <v>4</v>
      </c>
      <c r="F2097">
        <v>1004</v>
      </c>
      <c r="G2097" t="s">
        <v>110</v>
      </c>
      <c r="J2097" t="s">
        <v>111</v>
      </c>
      <c r="K2097">
        <v>0</v>
      </c>
      <c r="L2097">
        <v>3</v>
      </c>
      <c r="M2097">
        <v>0</v>
      </c>
      <c r="N2097">
        <v>2</v>
      </c>
      <c r="O2097">
        <v>1</v>
      </c>
      <c r="P2097">
        <v>0</v>
      </c>
      <c r="Q2097">
        <v>0</v>
      </c>
      <c r="R2097" t="s">
        <v>112</v>
      </c>
      <c r="S2097" t="str">
        <f>"14:25:18.508"</f>
        <v>14:25:18.508</v>
      </c>
      <c r="T2097" t="str">
        <f>"14:25:18.008"</f>
        <v>14:25:18.008</v>
      </c>
      <c r="U2097" t="str">
        <f t="shared" si="96"/>
        <v>ad5732</v>
      </c>
      <c r="V2097">
        <v>0</v>
      </c>
      <c r="W2097">
        <v>0</v>
      </c>
      <c r="X2097">
        <v>1</v>
      </c>
      <c r="Z2097">
        <v>0</v>
      </c>
      <c r="AA2097">
        <v>9</v>
      </c>
      <c r="AB2097">
        <v>3</v>
      </c>
      <c r="AC2097">
        <v>0</v>
      </c>
      <c r="AD2097">
        <v>10</v>
      </c>
      <c r="AE2097">
        <v>0</v>
      </c>
      <c r="AF2097">
        <v>3</v>
      </c>
      <c r="AG2097">
        <v>2</v>
      </c>
      <c r="AH2097">
        <v>0</v>
      </c>
      <c r="AI2097" t="s">
        <v>4299</v>
      </c>
      <c r="AJ2097">
        <v>39.874426999999997</v>
      </c>
      <c r="AK2097" t="s">
        <v>4300</v>
      </c>
      <c r="AL2097">
        <v>-75.776353</v>
      </c>
      <c r="AM2097">
        <v>100</v>
      </c>
      <c r="AN2097">
        <v>4700</v>
      </c>
      <c r="AO2097" t="s">
        <v>115</v>
      </c>
      <c r="AP2097">
        <v>162</v>
      </c>
      <c r="AQ2097">
        <v>81</v>
      </c>
      <c r="AR2097">
        <v>64</v>
      </c>
      <c r="AZ2097">
        <v>3614</v>
      </c>
      <c r="BA2097">
        <v>1</v>
      </c>
      <c r="BB2097" t="str">
        <f t="shared" si="98"/>
        <v xml:space="preserve">N959MJ  </v>
      </c>
      <c r="BC2097">
        <v>1</v>
      </c>
      <c r="BE2097">
        <v>0</v>
      </c>
      <c r="BF2097">
        <v>0</v>
      </c>
      <c r="BG2097">
        <v>0</v>
      </c>
      <c r="BH2097">
        <v>4900</v>
      </c>
      <c r="BI2097">
        <v>200</v>
      </c>
      <c r="BJ2097">
        <v>1</v>
      </c>
      <c r="BK2097">
        <v>1</v>
      </c>
      <c r="BL2097">
        <v>1</v>
      </c>
      <c r="BM2097">
        <v>0</v>
      </c>
      <c r="BP2097">
        <v>0</v>
      </c>
      <c r="BQ2097">
        <v>0</v>
      </c>
      <c r="BX2097" t="str">
        <f>"14:25:18.516"</f>
        <v>14:25:18.516</v>
      </c>
      <c r="BY2097" t="str">
        <f>"513862184"</f>
        <v>513862184</v>
      </c>
      <c r="CL2097">
        <v>0</v>
      </c>
      <c r="CM2097">
        <v>2</v>
      </c>
      <c r="CN2097">
        <v>0</v>
      </c>
      <c r="CO2097">
        <v>2</v>
      </c>
      <c r="CP2097">
        <v>0</v>
      </c>
      <c r="CQ2097">
        <v>7</v>
      </c>
      <c r="CR2097" t="s">
        <v>116</v>
      </c>
      <c r="CS2097">
        <v>39</v>
      </c>
      <c r="CT2097">
        <v>2</v>
      </c>
      <c r="CU2097" t="s">
        <v>2259</v>
      </c>
      <c r="CV2097" t="s">
        <v>2260</v>
      </c>
      <c r="CY2097">
        <v>16647471</v>
      </c>
      <c r="CZ2097" t="s">
        <v>119</v>
      </c>
    </row>
    <row r="2098" spans="1:104" x14ac:dyDescent="0.25">
      <c r="A2098" t="str">
        <f>"14:25:19.719"</f>
        <v>14:25:19.719</v>
      </c>
      <c r="B2098" t="s">
        <v>108</v>
      </c>
      <c r="C2098" t="str">
        <f t="shared" si="97"/>
        <v>ffdfd3c0</v>
      </c>
      <c r="D2098" t="s">
        <v>109</v>
      </c>
      <c r="E2098">
        <v>4</v>
      </c>
      <c r="F2098">
        <v>1004</v>
      </c>
      <c r="G2098" t="s">
        <v>110</v>
      </c>
      <c r="J2098" t="s">
        <v>111</v>
      </c>
      <c r="K2098">
        <v>0</v>
      </c>
      <c r="L2098">
        <v>3</v>
      </c>
      <c r="M2098">
        <v>0</v>
      </c>
      <c r="N2098">
        <v>2</v>
      </c>
      <c r="O2098">
        <v>1</v>
      </c>
      <c r="P2098">
        <v>0</v>
      </c>
      <c r="Q2098">
        <v>0</v>
      </c>
      <c r="R2098" t="s">
        <v>112</v>
      </c>
      <c r="S2098" t="str">
        <f>"14:25:19.531"</f>
        <v>14:25:19.531</v>
      </c>
      <c r="T2098" t="str">
        <f>"14:25:19.031"</f>
        <v>14:25:19.031</v>
      </c>
      <c r="U2098" t="str">
        <f t="shared" si="96"/>
        <v>ad5732</v>
      </c>
      <c r="V2098">
        <v>0</v>
      </c>
      <c r="W2098">
        <v>0</v>
      </c>
      <c r="X2098">
        <v>1</v>
      </c>
      <c r="Z2098">
        <v>0</v>
      </c>
      <c r="AA2098">
        <v>9</v>
      </c>
      <c r="AB2098">
        <v>3</v>
      </c>
      <c r="AC2098">
        <v>0</v>
      </c>
      <c r="AD2098">
        <v>10</v>
      </c>
      <c r="AE2098">
        <v>0</v>
      </c>
      <c r="AF2098">
        <v>3</v>
      </c>
      <c r="AG2098">
        <v>2</v>
      </c>
      <c r="AH2098">
        <v>0</v>
      </c>
      <c r="AI2098" t="s">
        <v>4301</v>
      </c>
      <c r="AJ2098">
        <v>39.874834999999997</v>
      </c>
      <c r="AK2098" t="s">
        <v>4302</v>
      </c>
      <c r="AL2098">
        <v>-75.775386999999995</v>
      </c>
      <c r="AM2098">
        <v>100</v>
      </c>
      <c r="AN2098">
        <v>4700</v>
      </c>
      <c r="AO2098" t="s">
        <v>115</v>
      </c>
      <c r="AP2098">
        <v>162</v>
      </c>
      <c r="AQ2098">
        <v>81</v>
      </c>
      <c r="AR2098">
        <v>64</v>
      </c>
      <c r="AZ2098">
        <v>3614</v>
      </c>
      <c r="BA2098">
        <v>1</v>
      </c>
      <c r="BB2098" t="str">
        <f t="shared" si="98"/>
        <v xml:space="preserve">N959MJ  </v>
      </c>
      <c r="BC2098">
        <v>1</v>
      </c>
      <c r="BE2098">
        <v>0</v>
      </c>
      <c r="BF2098">
        <v>0</v>
      </c>
      <c r="BG2098">
        <v>0</v>
      </c>
      <c r="BH2098">
        <v>4900</v>
      </c>
      <c r="BI2098">
        <v>200</v>
      </c>
      <c r="BJ2098">
        <v>1</v>
      </c>
      <c r="BK2098">
        <v>1</v>
      </c>
      <c r="BL2098">
        <v>1</v>
      </c>
      <c r="BM2098">
        <v>0</v>
      </c>
      <c r="BP2098">
        <v>0</v>
      </c>
      <c r="BQ2098">
        <v>0</v>
      </c>
      <c r="BX2098" t="str">
        <f>"14:25:19.531"</f>
        <v>14:25:19.531</v>
      </c>
      <c r="BY2098" t="str">
        <f>"534602492"</f>
        <v>534602492</v>
      </c>
      <c r="CL2098">
        <v>0</v>
      </c>
      <c r="CM2098">
        <v>2</v>
      </c>
      <c r="CN2098">
        <v>0</v>
      </c>
      <c r="CO2098">
        <v>2</v>
      </c>
      <c r="CP2098">
        <v>0</v>
      </c>
      <c r="CQ2098">
        <v>7</v>
      </c>
      <c r="CR2098" t="s">
        <v>116</v>
      </c>
      <c r="CS2098">
        <v>39</v>
      </c>
      <c r="CT2098">
        <v>2</v>
      </c>
      <c r="CU2098" t="s">
        <v>2259</v>
      </c>
      <c r="CV2098" t="s">
        <v>2260</v>
      </c>
      <c r="CY2098">
        <v>16649145</v>
      </c>
      <c r="CZ2098" t="s">
        <v>119</v>
      </c>
    </row>
    <row r="2099" spans="1:104" x14ac:dyDescent="0.25">
      <c r="A2099" t="str">
        <f>"14:25:20.727"</f>
        <v>14:25:20.727</v>
      </c>
      <c r="B2099" t="s">
        <v>108</v>
      </c>
      <c r="C2099" t="str">
        <f t="shared" si="97"/>
        <v>ffdfd3c0</v>
      </c>
      <c r="D2099" t="s">
        <v>109</v>
      </c>
      <c r="E2099">
        <v>4</v>
      </c>
      <c r="F2099">
        <v>1004</v>
      </c>
      <c r="G2099" t="s">
        <v>110</v>
      </c>
      <c r="J2099" t="s">
        <v>111</v>
      </c>
      <c r="K2099">
        <v>0</v>
      </c>
      <c r="L2099">
        <v>3</v>
      </c>
      <c r="M2099">
        <v>0</v>
      </c>
      <c r="N2099">
        <v>2</v>
      </c>
      <c r="O2099">
        <v>1</v>
      </c>
      <c r="P2099">
        <v>0</v>
      </c>
      <c r="Q2099">
        <v>0</v>
      </c>
      <c r="R2099" t="s">
        <v>112</v>
      </c>
      <c r="S2099" t="str">
        <f>"14:25:20.539"</f>
        <v>14:25:20.539</v>
      </c>
      <c r="T2099" t="str">
        <f>"14:25:20.141"</f>
        <v>14:25:20.141</v>
      </c>
      <c r="U2099" t="str">
        <f t="shared" si="96"/>
        <v>ad5732</v>
      </c>
      <c r="V2099">
        <v>0</v>
      </c>
      <c r="W2099">
        <v>0</v>
      </c>
      <c r="X2099">
        <v>1</v>
      </c>
      <c r="Z2099">
        <v>0</v>
      </c>
      <c r="AA2099">
        <v>9</v>
      </c>
      <c r="AB2099">
        <v>3</v>
      </c>
      <c r="AC2099">
        <v>0</v>
      </c>
      <c r="AD2099">
        <v>10</v>
      </c>
      <c r="AE2099">
        <v>0</v>
      </c>
      <c r="AF2099">
        <v>3</v>
      </c>
      <c r="AG2099">
        <v>2</v>
      </c>
      <c r="AH2099">
        <v>0</v>
      </c>
      <c r="AI2099" t="s">
        <v>4303</v>
      </c>
      <c r="AJ2099">
        <v>39.8752</v>
      </c>
      <c r="AK2099" t="s">
        <v>4304</v>
      </c>
      <c r="AL2099">
        <v>-75.774443000000005</v>
      </c>
      <c r="AM2099">
        <v>100</v>
      </c>
      <c r="AN2099">
        <v>4700</v>
      </c>
      <c r="AO2099" t="s">
        <v>115</v>
      </c>
      <c r="AP2099">
        <v>162</v>
      </c>
      <c r="AQ2099">
        <v>81</v>
      </c>
      <c r="AR2099">
        <v>0</v>
      </c>
      <c r="AZ2099">
        <v>3614</v>
      </c>
      <c r="BA2099">
        <v>1</v>
      </c>
      <c r="BB2099" t="str">
        <f t="shared" si="98"/>
        <v xml:space="preserve">N959MJ  </v>
      </c>
      <c r="BC2099">
        <v>1</v>
      </c>
      <c r="BE2099">
        <v>0</v>
      </c>
      <c r="BF2099">
        <v>0</v>
      </c>
      <c r="BG2099">
        <v>0</v>
      </c>
      <c r="BH2099">
        <v>4900</v>
      </c>
      <c r="BI2099">
        <v>200</v>
      </c>
      <c r="BJ2099">
        <v>1</v>
      </c>
      <c r="BK2099">
        <v>1</v>
      </c>
      <c r="BL2099">
        <v>1</v>
      </c>
      <c r="BM2099">
        <v>0</v>
      </c>
      <c r="BP2099">
        <v>0</v>
      </c>
      <c r="BQ2099">
        <v>0</v>
      </c>
      <c r="BX2099" t="str">
        <f>"14:25:20.539"</f>
        <v>14:25:20.539</v>
      </c>
      <c r="BY2099" t="str">
        <f>"540597000"</f>
        <v>540597000</v>
      </c>
      <c r="CL2099">
        <v>0</v>
      </c>
      <c r="CM2099">
        <v>2</v>
      </c>
      <c r="CN2099">
        <v>0</v>
      </c>
      <c r="CO2099">
        <v>2</v>
      </c>
      <c r="CP2099">
        <v>0</v>
      </c>
      <c r="CQ2099">
        <v>7</v>
      </c>
      <c r="CR2099" t="s">
        <v>116</v>
      </c>
      <c r="CS2099">
        <v>39</v>
      </c>
      <c r="CT2099">
        <v>2</v>
      </c>
      <c r="CU2099" t="s">
        <v>2259</v>
      </c>
      <c r="CV2099" t="s">
        <v>2260</v>
      </c>
      <c r="CY2099">
        <v>16650752</v>
      </c>
      <c r="CZ2099" t="s">
        <v>119</v>
      </c>
    </row>
    <row r="2100" spans="1:104" x14ac:dyDescent="0.25">
      <c r="A2100" t="str">
        <f>"14:25:21.734"</f>
        <v>14:25:21.734</v>
      </c>
      <c r="B2100" t="s">
        <v>108</v>
      </c>
      <c r="C2100" t="str">
        <f t="shared" si="97"/>
        <v>ffdfd3c0</v>
      </c>
      <c r="D2100" t="s">
        <v>109</v>
      </c>
      <c r="E2100">
        <v>4</v>
      </c>
      <c r="F2100">
        <v>1004</v>
      </c>
      <c r="G2100" t="s">
        <v>110</v>
      </c>
      <c r="J2100" t="s">
        <v>111</v>
      </c>
      <c r="K2100">
        <v>0</v>
      </c>
      <c r="L2100">
        <v>3</v>
      </c>
      <c r="M2100">
        <v>0</v>
      </c>
      <c r="N2100">
        <v>2</v>
      </c>
      <c r="O2100">
        <v>1</v>
      </c>
      <c r="P2100">
        <v>0</v>
      </c>
      <c r="Q2100">
        <v>0</v>
      </c>
      <c r="R2100" t="s">
        <v>112</v>
      </c>
      <c r="S2100" t="str">
        <f>"14:25:21.578"</f>
        <v>14:25:21.578</v>
      </c>
      <c r="T2100" t="str">
        <f>"14:25:21.180"</f>
        <v>14:25:21.180</v>
      </c>
      <c r="U2100" t="str">
        <f t="shared" si="96"/>
        <v>ad5732</v>
      </c>
      <c r="V2100">
        <v>0</v>
      </c>
      <c r="W2100">
        <v>0</v>
      </c>
      <c r="X2100">
        <v>1</v>
      </c>
      <c r="Z2100">
        <v>0</v>
      </c>
      <c r="AA2100">
        <v>9</v>
      </c>
      <c r="AB2100">
        <v>3</v>
      </c>
      <c r="AC2100">
        <v>0</v>
      </c>
      <c r="AD2100">
        <v>10</v>
      </c>
      <c r="AE2100">
        <v>0</v>
      </c>
      <c r="AF2100">
        <v>3</v>
      </c>
      <c r="AG2100">
        <v>2</v>
      </c>
      <c r="AH2100">
        <v>0</v>
      </c>
      <c r="AI2100" t="s">
        <v>4305</v>
      </c>
      <c r="AJ2100">
        <v>39.875565000000002</v>
      </c>
      <c r="AK2100" t="s">
        <v>4306</v>
      </c>
      <c r="AL2100">
        <v>-75.773413000000005</v>
      </c>
      <c r="AM2100">
        <v>100</v>
      </c>
      <c r="AN2100">
        <v>4700</v>
      </c>
      <c r="AO2100" t="s">
        <v>115</v>
      </c>
      <c r="AP2100">
        <v>162</v>
      </c>
      <c r="AQ2100">
        <v>81</v>
      </c>
      <c r="AR2100">
        <v>0</v>
      </c>
      <c r="AZ2100">
        <v>3614</v>
      </c>
      <c r="BA2100">
        <v>1</v>
      </c>
      <c r="BB2100" t="str">
        <f t="shared" si="98"/>
        <v xml:space="preserve">N959MJ  </v>
      </c>
      <c r="BC2100">
        <v>1</v>
      </c>
      <c r="BE2100">
        <v>0</v>
      </c>
      <c r="BF2100">
        <v>0</v>
      </c>
      <c r="BG2100">
        <v>0</v>
      </c>
      <c r="BH2100">
        <v>4900</v>
      </c>
      <c r="BI2100">
        <v>200</v>
      </c>
      <c r="BJ2100">
        <v>1</v>
      </c>
      <c r="BK2100">
        <v>1</v>
      </c>
      <c r="BL2100">
        <v>1</v>
      </c>
      <c r="BM2100">
        <v>0</v>
      </c>
      <c r="BP2100">
        <v>0</v>
      </c>
      <c r="BQ2100">
        <v>0</v>
      </c>
      <c r="BX2100" t="str">
        <f>"14:25:21.578"</f>
        <v>14:25:21.578</v>
      </c>
      <c r="BY2100" t="str">
        <f>"579360199"</f>
        <v>579360199</v>
      </c>
      <c r="CL2100">
        <v>0</v>
      </c>
      <c r="CM2100">
        <v>2</v>
      </c>
      <c r="CN2100">
        <v>0</v>
      </c>
      <c r="CO2100">
        <v>2</v>
      </c>
      <c r="CP2100">
        <v>0</v>
      </c>
      <c r="CQ2100">
        <v>6</v>
      </c>
      <c r="CR2100" t="s">
        <v>116</v>
      </c>
      <c r="CS2100">
        <v>39</v>
      </c>
      <c r="CT2100">
        <v>1</v>
      </c>
      <c r="CU2100" t="s">
        <v>2259</v>
      </c>
      <c r="CV2100" t="s">
        <v>2260</v>
      </c>
      <c r="CY2100">
        <v>8650745</v>
      </c>
      <c r="CZ2100" t="s">
        <v>119</v>
      </c>
    </row>
    <row r="2101" spans="1:104" x14ac:dyDescent="0.25">
      <c r="A2101" t="str">
        <f>"14:25:22.742"</f>
        <v>14:25:22.742</v>
      </c>
      <c r="B2101" t="s">
        <v>108</v>
      </c>
      <c r="C2101" t="str">
        <f t="shared" si="97"/>
        <v>ffdfd3c0</v>
      </c>
      <c r="D2101" t="s">
        <v>109</v>
      </c>
      <c r="E2101">
        <v>4</v>
      </c>
      <c r="F2101">
        <v>1004</v>
      </c>
      <c r="G2101" t="s">
        <v>110</v>
      </c>
      <c r="J2101" t="s">
        <v>111</v>
      </c>
      <c r="K2101">
        <v>0</v>
      </c>
      <c r="L2101">
        <v>3</v>
      </c>
      <c r="M2101">
        <v>0</v>
      </c>
      <c r="N2101">
        <v>2</v>
      </c>
      <c r="O2101">
        <v>1</v>
      </c>
      <c r="P2101">
        <v>0</v>
      </c>
      <c r="Q2101">
        <v>0</v>
      </c>
      <c r="R2101" t="s">
        <v>112</v>
      </c>
      <c r="S2101" t="str">
        <f>"14:25:22.570"</f>
        <v>14:25:22.570</v>
      </c>
      <c r="T2101" t="str">
        <f>"14:25:22.070"</f>
        <v>14:25:22.070</v>
      </c>
      <c r="U2101" t="str">
        <f t="shared" si="96"/>
        <v>ad5732</v>
      </c>
      <c r="V2101">
        <v>0</v>
      </c>
      <c r="W2101">
        <v>0</v>
      </c>
      <c r="X2101">
        <v>1</v>
      </c>
      <c r="Z2101">
        <v>0</v>
      </c>
      <c r="AA2101">
        <v>9</v>
      </c>
      <c r="AB2101">
        <v>3</v>
      </c>
      <c r="AC2101">
        <v>0</v>
      </c>
      <c r="AD2101">
        <v>10</v>
      </c>
      <c r="AE2101">
        <v>0</v>
      </c>
      <c r="AF2101">
        <v>3</v>
      </c>
      <c r="AG2101">
        <v>2</v>
      </c>
      <c r="AH2101">
        <v>0</v>
      </c>
      <c r="AI2101" t="s">
        <v>4307</v>
      </c>
      <c r="AJ2101">
        <v>39.875928999999999</v>
      </c>
      <c r="AK2101" t="s">
        <v>4308</v>
      </c>
      <c r="AL2101">
        <v>-75.772469000000001</v>
      </c>
      <c r="AM2101">
        <v>100</v>
      </c>
      <c r="AN2101">
        <v>4700</v>
      </c>
      <c r="AO2101" t="s">
        <v>115</v>
      </c>
      <c r="AP2101">
        <v>162</v>
      </c>
      <c r="AQ2101">
        <v>81</v>
      </c>
      <c r="AR2101">
        <v>0</v>
      </c>
      <c r="AZ2101">
        <v>3614</v>
      </c>
      <c r="BA2101">
        <v>1</v>
      </c>
      <c r="BB2101" t="str">
        <f t="shared" si="98"/>
        <v xml:space="preserve">N959MJ  </v>
      </c>
      <c r="BC2101">
        <v>1</v>
      </c>
      <c r="BE2101">
        <v>0</v>
      </c>
      <c r="BF2101">
        <v>0</v>
      </c>
      <c r="BG2101">
        <v>0</v>
      </c>
      <c r="BH2101">
        <v>4900</v>
      </c>
      <c r="BI2101">
        <v>200</v>
      </c>
      <c r="BJ2101">
        <v>1</v>
      </c>
      <c r="BK2101">
        <v>1</v>
      </c>
      <c r="BL2101">
        <v>1</v>
      </c>
      <c r="BM2101">
        <v>0</v>
      </c>
      <c r="BP2101">
        <v>0</v>
      </c>
      <c r="BQ2101">
        <v>0</v>
      </c>
      <c r="BX2101" t="str">
        <f>"14:25:22.570"</f>
        <v>14:25:22.570</v>
      </c>
      <c r="BY2101" t="str">
        <f>"573885628"</f>
        <v>573885628</v>
      </c>
      <c r="CL2101">
        <v>0</v>
      </c>
      <c r="CM2101">
        <v>2</v>
      </c>
      <c r="CN2101">
        <v>0</v>
      </c>
      <c r="CO2101">
        <v>2</v>
      </c>
      <c r="CP2101">
        <v>0</v>
      </c>
      <c r="CQ2101">
        <v>7</v>
      </c>
      <c r="CR2101" t="s">
        <v>116</v>
      </c>
      <c r="CS2101">
        <v>39</v>
      </c>
      <c r="CT2101">
        <v>2</v>
      </c>
      <c r="CU2101" t="s">
        <v>2259</v>
      </c>
      <c r="CV2101" t="s">
        <v>2260</v>
      </c>
      <c r="CY2101">
        <v>16654112</v>
      </c>
      <c r="CZ2101" t="s">
        <v>119</v>
      </c>
    </row>
    <row r="2102" spans="1:104" x14ac:dyDescent="0.25">
      <c r="A2102" t="str">
        <f>"14:25:23.656"</f>
        <v>14:25:23.656</v>
      </c>
      <c r="B2102" t="s">
        <v>108</v>
      </c>
      <c r="C2102" t="str">
        <f t="shared" si="97"/>
        <v>ffdfd3c0</v>
      </c>
      <c r="D2102" t="s">
        <v>109</v>
      </c>
      <c r="E2102">
        <v>4</v>
      </c>
      <c r="F2102">
        <v>1004</v>
      </c>
      <c r="G2102" t="s">
        <v>110</v>
      </c>
      <c r="J2102" t="s">
        <v>111</v>
      </c>
      <c r="K2102">
        <v>0</v>
      </c>
      <c r="L2102">
        <v>3</v>
      </c>
      <c r="M2102">
        <v>0</v>
      </c>
      <c r="N2102">
        <v>2</v>
      </c>
      <c r="O2102">
        <v>1</v>
      </c>
      <c r="P2102">
        <v>0</v>
      </c>
      <c r="Q2102">
        <v>0</v>
      </c>
      <c r="R2102" t="s">
        <v>112</v>
      </c>
      <c r="S2102" t="str">
        <f>"14:25:23.484"</f>
        <v>14:25:23.484</v>
      </c>
      <c r="T2102" t="str">
        <f>"14:25:23.086"</f>
        <v>14:25:23.086</v>
      </c>
      <c r="U2102" t="str">
        <f t="shared" si="96"/>
        <v>ad5732</v>
      </c>
      <c r="V2102">
        <v>0</v>
      </c>
      <c r="W2102">
        <v>0</v>
      </c>
      <c r="X2102">
        <v>1</v>
      </c>
      <c r="Z2102">
        <v>0</v>
      </c>
      <c r="AA2102">
        <v>9</v>
      </c>
      <c r="AB2102">
        <v>3</v>
      </c>
      <c r="AC2102">
        <v>0</v>
      </c>
      <c r="AD2102">
        <v>10</v>
      </c>
      <c r="AE2102">
        <v>0</v>
      </c>
      <c r="AF2102">
        <v>3</v>
      </c>
      <c r="AG2102">
        <v>2</v>
      </c>
      <c r="AH2102">
        <v>0</v>
      </c>
      <c r="AI2102" t="s">
        <v>4309</v>
      </c>
      <c r="AJ2102">
        <v>39.876272999999998</v>
      </c>
      <c r="AK2102" t="s">
        <v>4310</v>
      </c>
      <c r="AL2102">
        <v>-75.771610999999993</v>
      </c>
      <c r="AM2102">
        <v>100</v>
      </c>
      <c r="AN2102">
        <v>4700</v>
      </c>
      <c r="AO2102" t="s">
        <v>115</v>
      </c>
      <c r="AP2102">
        <v>162</v>
      </c>
      <c r="AQ2102">
        <v>81</v>
      </c>
      <c r="AR2102">
        <v>0</v>
      </c>
      <c r="AZ2102">
        <v>3614</v>
      </c>
      <c r="BA2102">
        <v>1</v>
      </c>
      <c r="BB2102" t="str">
        <f t="shared" si="98"/>
        <v xml:space="preserve">N959MJ  </v>
      </c>
      <c r="BC2102">
        <v>1</v>
      </c>
      <c r="BE2102">
        <v>0</v>
      </c>
      <c r="BF2102">
        <v>0</v>
      </c>
      <c r="BG2102">
        <v>0</v>
      </c>
      <c r="BH2102">
        <v>4900</v>
      </c>
      <c r="BI2102">
        <v>200</v>
      </c>
      <c r="BJ2102">
        <v>1</v>
      </c>
      <c r="BK2102">
        <v>1</v>
      </c>
      <c r="BL2102">
        <v>1</v>
      </c>
      <c r="BM2102">
        <v>0</v>
      </c>
      <c r="BP2102">
        <v>0</v>
      </c>
      <c r="BQ2102">
        <v>0</v>
      </c>
      <c r="BX2102" t="str">
        <f>"14:25:23.492"</f>
        <v>14:25:23.492</v>
      </c>
      <c r="BY2102" t="str">
        <f>"491404997"</f>
        <v>491404997</v>
      </c>
      <c r="CL2102">
        <v>0</v>
      </c>
      <c r="CM2102">
        <v>2</v>
      </c>
      <c r="CN2102">
        <v>0</v>
      </c>
      <c r="CO2102">
        <v>2</v>
      </c>
      <c r="CP2102">
        <v>0</v>
      </c>
      <c r="CQ2102">
        <v>7</v>
      </c>
      <c r="CR2102" t="s">
        <v>116</v>
      </c>
      <c r="CS2102">
        <v>39</v>
      </c>
      <c r="CT2102">
        <v>2</v>
      </c>
      <c r="CU2102" t="s">
        <v>2259</v>
      </c>
      <c r="CV2102" t="s">
        <v>2260</v>
      </c>
      <c r="CY2102">
        <v>16655583</v>
      </c>
      <c r="CZ2102" t="s">
        <v>119</v>
      </c>
    </row>
    <row r="2103" spans="1:104" x14ac:dyDescent="0.25">
      <c r="A2103" t="str">
        <f>"14:25:24.813"</f>
        <v>14:25:24.813</v>
      </c>
      <c r="B2103" t="s">
        <v>108</v>
      </c>
      <c r="C2103" t="str">
        <f t="shared" si="97"/>
        <v>ffdfd3c0</v>
      </c>
      <c r="D2103" t="s">
        <v>109</v>
      </c>
      <c r="E2103">
        <v>4</v>
      </c>
      <c r="F2103">
        <v>1004</v>
      </c>
      <c r="G2103" t="s">
        <v>110</v>
      </c>
      <c r="J2103" t="s">
        <v>111</v>
      </c>
      <c r="K2103">
        <v>0</v>
      </c>
      <c r="L2103">
        <v>3</v>
      </c>
      <c r="M2103">
        <v>0</v>
      </c>
      <c r="N2103">
        <v>2</v>
      </c>
      <c r="O2103">
        <v>1</v>
      </c>
      <c r="P2103">
        <v>0</v>
      </c>
      <c r="Q2103">
        <v>0</v>
      </c>
      <c r="R2103" t="s">
        <v>112</v>
      </c>
      <c r="S2103" t="str">
        <f>"14:25:24.633"</f>
        <v>14:25:24.633</v>
      </c>
      <c r="T2103" t="str">
        <f>"14:25:24.133"</f>
        <v>14:25:24.133</v>
      </c>
      <c r="U2103" t="str">
        <f t="shared" si="96"/>
        <v>ad5732</v>
      </c>
      <c r="V2103">
        <v>0</v>
      </c>
      <c r="W2103">
        <v>0</v>
      </c>
      <c r="X2103">
        <v>1</v>
      </c>
      <c r="Z2103">
        <v>0</v>
      </c>
      <c r="AA2103">
        <v>9</v>
      </c>
      <c r="AB2103">
        <v>3</v>
      </c>
      <c r="AC2103">
        <v>0</v>
      </c>
      <c r="AD2103">
        <v>10</v>
      </c>
      <c r="AE2103">
        <v>0</v>
      </c>
      <c r="AF2103">
        <v>3</v>
      </c>
      <c r="AG2103">
        <v>2</v>
      </c>
      <c r="AH2103">
        <v>0</v>
      </c>
      <c r="AI2103" t="s">
        <v>4311</v>
      </c>
      <c r="AJ2103">
        <v>39.876745</v>
      </c>
      <c r="AK2103" t="s">
        <v>4312</v>
      </c>
      <c r="AL2103">
        <v>-75.770452000000006</v>
      </c>
      <c r="AM2103">
        <v>100</v>
      </c>
      <c r="AN2103">
        <v>4700</v>
      </c>
      <c r="AO2103" t="s">
        <v>115</v>
      </c>
      <c r="AP2103">
        <v>162</v>
      </c>
      <c r="AQ2103">
        <v>81</v>
      </c>
      <c r="AR2103">
        <v>0</v>
      </c>
      <c r="AZ2103">
        <v>3614</v>
      </c>
      <c r="BA2103">
        <v>1</v>
      </c>
      <c r="BB2103" t="str">
        <f t="shared" si="98"/>
        <v xml:space="preserve">N959MJ  </v>
      </c>
      <c r="BC2103">
        <v>1</v>
      </c>
      <c r="BE2103">
        <v>0</v>
      </c>
      <c r="BF2103">
        <v>0</v>
      </c>
      <c r="BG2103">
        <v>0</v>
      </c>
      <c r="BH2103">
        <v>4900</v>
      </c>
      <c r="BI2103">
        <v>200</v>
      </c>
      <c r="BJ2103">
        <v>1</v>
      </c>
      <c r="BK2103">
        <v>1</v>
      </c>
      <c r="BL2103">
        <v>1</v>
      </c>
      <c r="BM2103">
        <v>0</v>
      </c>
      <c r="BP2103">
        <v>0</v>
      </c>
      <c r="BQ2103">
        <v>0</v>
      </c>
      <c r="BX2103" t="str">
        <f>"14:25:24.633"</f>
        <v>14:25:24.633</v>
      </c>
      <c r="BY2103" t="str">
        <f>"635027474"</f>
        <v>635027474</v>
      </c>
      <c r="CL2103">
        <v>0</v>
      </c>
      <c r="CM2103">
        <v>2</v>
      </c>
      <c r="CN2103">
        <v>0</v>
      </c>
      <c r="CO2103">
        <v>2</v>
      </c>
      <c r="CP2103">
        <v>0</v>
      </c>
      <c r="CQ2103">
        <v>7</v>
      </c>
      <c r="CR2103" t="s">
        <v>116</v>
      </c>
      <c r="CS2103">
        <v>39</v>
      </c>
      <c r="CT2103">
        <v>2</v>
      </c>
      <c r="CU2103" t="s">
        <v>2259</v>
      </c>
      <c r="CV2103" t="s">
        <v>2260</v>
      </c>
      <c r="CY2103">
        <v>16657381</v>
      </c>
      <c r="CZ2103" t="s">
        <v>119</v>
      </c>
    </row>
    <row r="2104" spans="1:104" x14ac:dyDescent="0.25">
      <c r="A2104" t="str">
        <f>"14:25:25.828"</f>
        <v>14:25:25.828</v>
      </c>
      <c r="B2104" t="s">
        <v>108</v>
      </c>
      <c r="C2104" t="str">
        <f t="shared" si="97"/>
        <v>ffdfd3c0</v>
      </c>
      <c r="D2104" t="s">
        <v>109</v>
      </c>
      <c r="E2104">
        <v>4</v>
      </c>
      <c r="F2104">
        <v>1004</v>
      </c>
      <c r="G2104" t="s">
        <v>110</v>
      </c>
      <c r="J2104" t="s">
        <v>111</v>
      </c>
      <c r="K2104">
        <v>0</v>
      </c>
      <c r="L2104">
        <v>3</v>
      </c>
      <c r="M2104">
        <v>0</v>
      </c>
      <c r="N2104">
        <v>2</v>
      </c>
      <c r="O2104">
        <v>1</v>
      </c>
      <c r="P2104">
        <v>0</v>
      </c>
      <c r="Q2104">
        <v>0</v>
      </c>
      <c r="R2104" t="s">
        <v>112</v>
      </c>
      <c r="S2104" t="str">
        <f>"14:25:25.664"</f>
        <v>14:25:25.664</v>
      </c>
      <c r="T2104" t="str">
        <f>"14:25:25.164"</f>
        <v>14:25:25.164</v>
      </c>
      <c r="U2104" t="str">
        <f t="shared" si="96"/>
        <v>ad5732</v>
      </c>
      <c r="V2104">
        <v>0</v>
      </c>
      <c r="W2104">
        <v>0</v>
      </c>
      <c r="X2104">
        <v>1</v>
      </c>
      <c r="Z2104">
        <v>0</v>
      </c>
      <c r="AA2104">
        <v>9</v>
      </c>
      <c r="AB2104">
        <v>3</v>
      </c>
      <c r="AC2104">
        <v>0</v>
      </c>
      <c r="AD2104">
        <v>10</v>
      </c>
      <c r="AE2104">
        <v>0</v>
      </c>
      <c r="AF2104">
        <v>3</v>
      </c>
      <c r="AG2104">
        <v>2</v>
      </c>
      <c r="AH2104">
        <v>0</v>
      </c>
      <c r="AI2104" t="s">
        <v>4313</v>
      </c>
      <c r="AJ2104">
        <v>39.877110000000002</v>
      </c>
      <c r="AK2104" t="s">
        <v>4314</v>
      </c>
      <c r="AL2104">
        <v>-75.769464999999997</v>
      </c>
      <c r="AM2104">
        <v>100</v>
      </c>
      <c r="AN2104">
        <v>4700</v>
      </c>
      <c r="AO2104" t="s">
        <v>115</v>
      </c>
      <c r="AP2104">
        <v>162</v>
      </c>
      <c r="AQ2104">
        <v>81</v>
      </c>
      <c r="AR2104">
        <v>-64</v>
      </c>
      <c r="AZ2104">
        <v>3614</v>
      </c>
      <c r="BA2104">
        <v>1</v>
      </c>
      <c r="BB2104" t="str">
        <f t="shared" si="98"/>
        <v xml:space="preserve">N959MJ  </v>
      </c>
      <c r="BC2104">
        <v>1</v>
      </c>
      <c r="BE2104">
        <v>0</v>
      </c>
      <c r="BF2104">
        <v>0</v>
      </c>
      <c r="BG2104">
        <v>0</v>
      </c>
      <c r="BH2104">
        <v>4900</v>
      </c>
      <c r="BI2104">
        <v>200</v>
      </c>
      <c r="BJ2104">
        <v>1</v>
      </c>
      <c r="BK2104">
        <v>1</v>
      </c>
      <c r="BL2104">
        <v>1</v>
      </c>
      <c r="BM2104">
        <v>0</v>
      </c>
      <c r="BP2104">
        <v>0</v>
      </c>
      <c r="BQ2104">
        <v>0</v>
      </c>
      <c r="BX2104" t="str">
        <f>"14:25:25.664"</f>
        <v>14:25:25.664</v>
      </c>
      <c r="BY2104" t="str">
        <f>"667236766"</f>
        <v>667236766</v>
      </c>
      <c r="CL2104">
        <v>0</v>
      </c>
      <c r="CM2104">
        <v>2</v>
      </c>
      <c r="CN2104">
        <v>0</v>
      </c>
      <c r="CO2104">
        <v>2</v>
      </c>
      <c r="CP2104">
        <v>0</v>
      </c>
      <c r="CQ2104">
        <v>7</v>
      </c>
      <c r="CR2104" t="s">
        <v>116</v>
      </c>
      <c r="CS2104">
        <v>39</v>
      </c>
      <c r="CT2104">
        <v>2</v>
      </c>
      <c r="CU2104" t="s">
        <v>2259</v>
      </c>
      <c r="CV2104" t="s">
        <v>2260</v>
      </c>
      <c r="CY2104">
        <v>16659060</v>
      </c>
      <c r="CZ2104" t="s">
        <v>119</v>
      </c>
    </row>
    <row r="2105" spans="1:104" x14ac:dyDescent="0.25">
      <c r="A2105" t="str">
        <f>"14:25:26.836"</f>
        <v>14:25:26.836</v>
      </c>
      <c r="B2105" t="s">
        <v>108</v>
      </c>
      <c r="C2105" t="str">
        <f t="shared" si="97"/>
        <v>ffdfd3c0</v>
      </c>
      <c r="D2105" t="s">
        <v>109</v>
      </c>
      <c r="E2105">
        <v>4</v>
      </c>
      <c r="F2105">
        <v>1004</v>
      </c>
      <c r="G2105" t="s">
        <v>110</v>
      </c>
      <c r="J2105" t="s">
        <v>111</v>
      </c>
      <c r="K2105">
        <v>0</v>
      </c>
      <c r="L2105">
        <v>3</v>
      </c>
      <c r="M2105">
        <v>0</v>
      </c>
      <c r="N2105">
        <v>2</v>
      </c>
      <c r="O2105">
        <v>1</v>
      </c>
      <c r="P2105">
        <v>0</v>
      </c>
      <c r="Q2105">
        <v>0</v>
      </c>
      <c r="R2105" t="s">
        <v>112</v>
      </c>
      <c r="S2105" t="str">
        <f>"14:25:26.633"</f>
        <v>14:25:26.633</v>
      </c>
      <c r="T2105" t="str">
        <f>"14:25:26.234"</f>
        <v>14:25:26.234</v>
      </c>
      <c r="U2105" t="str">
        <f t="shared" si="96"/>
        <v>ad5732</v>
      </c>
      <c r="V2105">
        <v>0</v>
      </c>
      <c r="W2105">
        <v>0</v>
      </c>
      <c r="X2105">
        <v>1</v>
      </c>
      <c r="Z2105">
        <v>0</v>
      </c>
      <c r="AA2105">
        <v>9</v>
      </c>
      <c r="AB2105">
        <v>3</v>
      </c>
      <c r="AC2105">
        <v>0</v>
      </c>
      <c r="AD2105">
        <v>10</v>
      </c>
      <c r="AE2105">
        <v>0</v>
      </c>
      <c r="AF2105">
        <v>3</v>
      </c>
      <c r="AG2105">
        <v>2</v>
      </c>
      <c r="AH2105">
        <v>0</v>
      </c>
      <c r="AI2105" t="s">
        <v>4315</v>
      </c>
      <c r="AJ2105">
        <v>39.877473999999999</v>
      </c>
      <c r="AK2105" t="s">
        <v>4316</v>
      </c>
      <c r="AL2105">
        <v>-75.768499000000006</v>
      </c>
      <c r="AM2105">
        <v>100</v>
      </c>
      <c r="AN2105">
        <v>4700</v>
      </c>
      <c r="AO2105" t="s">
        <v>115</v>
      </c>
      <c r="AP2105">
        <v>163</v>
      </c>
      <c r="AQ2105">
        <v>81</v>
      </c>
      <c r="AR2105">
        <v>-64</v>
      </c>
      <c r="AZ2105">
        <v>3614</v>
      </c>
      <c r="BA2105">
        <v>1</v>
      </c>
      <c r="BB2105" t="str">
        <f t="shared" si="98"/>
        <v xml:space="preserve">N959MJ  </v>
      </c>
      <c r="BC2105">
        <v>1</v>
      </c>
      <c r="BE2105">
        <v>0</v>
      </c>
      <c r="BF2105">
        <v>0</v>
      </c>
      <c r="BG2105">
        <v>0</v>
      </c>
      <c r="BH2105">
        <v>4900</v>
      </c>
      <c r="BI2105">
        <v>200</v>
      </c>
      <c r="BJ2105">
        <v>1</v>
      </c>
      <c r="BK2105">
        <v>1</v>
      </c>
      <c r="BL2105">
        <v>1</v>
      </c>
      <c r="BM2105">
        <v>0</v>
      </c>
      <c r="BP2105">
        <v>0</v>
      </c>
      <c r="BQ2105">
        <v>0</v>
      </c>
      <c r="BX2105" t="str">
        <f>"14:25:26.641"</f>
        <v>14:25:26.641</v>
      </c>
      <c r="BY2105" t="str">
        <f>"638824349"</f>
        <v>638824349</v>
      </c>
      <c r="CL2105">
        <v>0</v>
      </c>
      <c r="CM2105">
        <v>2</v>
      </c>
      <c r="CN2105">
        <v>0</v>
      </c>
      <c r="CO2105">
        <v>2</v>
      </c>
      <c r="CP2105">
        <v>0</v>
      </c>
      <c r="CQ2105">
        <v>7</v>
      </c>
      <c r="CR2105" t="s">
        <v>116</v>
      </c>
      <c r="CS2105">
        <v>39</v>
      </c>
      <c r="CT2105">
        <v>2</v>
      </c>
      <c r="CU2105" t="s">
        <v>2259</v>
      </c>
      <c r="CV2105" t="s">
        <v>2260</v>
      </c>
      <c r="CY2105">
        <v>16660571</v>
      </c>
      <c r="CZ2105" t="s">
        <v>119</v>
      </c>
    </row>
    <row r="2106" spans="1:104" x14ac:dyDescent="0.25">
      <c r="A2106" t="str">
        <f>"14:25:27.695"</f>
        <v>14:25:27.695</v>
      </c>
      <c r="B2106" t="s">
        <v>108</v>
      </c>
      <c r="C2106" t="str">
        <f t="shared" si="97"/>
        <v>ffdfd3c0</v>
      </c>
      <c r="D2106" t="s">
        <v>109</v>
      </c>
      <c r="E2106">
        <v>4</v>
      </c>
      <c r="F2106">
        <v>1004</v>
      </c>
      <c r="G2106" t="s">
        <v>110</v>
      </c>
      <c r="J2106" t="s">
        <v>111</v>
      </c>
      <c r="K2106">
        <v>0</v>
      </c>
      <c r="L2106">
        <v>3</v>
      </c>
      <c r="M2106">
        <v>0</v>
      </c>
      <c r="N2106">
        <v>2</v>
      </c>
      <c r="O2106">
        <v>1</v>
      </c>
      <c r="P2106">
        <v>0</v>
      </c>
      <c r="Q2106">
        <v>0</v>
      </c>
      <c r="R2106" t="s">
        <v>112</v>
      </c>
      <c r="S2106" t="str">
        <f>"14:25:27.508"</f>
        <v>14:25:27.508</v>
      </c>
      <c r="T2106" t="str">
        <f>"14:25:27.109"</f>
        <v>14:25:27.109</v>
      </c>
      <c r="U2106" t="str">
        <f t="shared" si="96"/>
        <v>ad5732</v>
      </c>
      <c r="V2106">
        <v>0</v>
      </c>
      <c r="W2106">
        <v>0</v>
      </c>
      <c r="X2106">
        <v>1</v>
      </c>
      <c r="Z2106">
        <v>0</v>
      </c>
      <c r="AA2106">
        <v>9</v>
      </c>
      <c r="AB2106">
        <v>3</v>
      </c>
      <c r="AC2106">
        <v>0</v>
      </c>
      <c r="AD2106">
        <v>10</v>
      </c>
      <c r="AE2106">
        <v>0</v>
      </c>
      <c r="AF2106">
        <v>3</v>
      </c>
      <c r="AG2106">
        <v>2</v>
      </c>
      <c r="AH2106">
        <v>0</v>
      </c>
      <c r="AI2106" t="s">
        <v>4317</v>
      </c>
      <c r="AJ2106">
        <v>39.877861000000003</v>
      </c>
      <c r="AK2106" t="s">
        <v>4318</v>
      </c>
      <c r="AL2106">
        <v>-75.767577000000003</v>
      </c>
      <c r="AM2106">
        <v>100</v>
      </c>
      <c r="AN2106">
        <v>4700</v>
      </c>
      <c r="AO2106" t="s">
        <v>115</v>
      </c>
      <c r="AP2106">
        <v>163</v>
      </c>
      <c r="AQ2106">
        <v>81</v>
      </c>
      <c r="AR2106">
        <v>-64</v>
      </c>
      <c r="AZ2106">
        <v>3614</v>
      </c>
      <c r="BA2106">
        <v>1</v>
      </c>
      <c r="BB2106" t="str">
        <f t="shared" si="98"/>
        <v xml:space="preserve">N959MJ  </v>
      </c>
      <c r="BC2106">
        <v>1</v>
      </c>
      <c r="BE2106">
        <v>0</v>
      </c>
      <c r="BF2106">
        <v>0</v>
      </c>
      <c r="BG2106">
        <v>0</v>
      </c>
      <c r="BH2106">
        <v>4900</v>
      </c>
      <c r="BI2106">
        <v>200</v>
      </c>
      <c r="BJ2106">
        <v>1</v>
      </c>
      <c r="BK2106">
        <v>1</v>
      </c>
      <c r="BL2106">
        <v>1</v>
      </c>
      <c r="BM2106">
        <v>0</v>
      </c>
      <c r="BP2106">
        <v>0</v>
      </c>
      <c r="BQ2106">
        <v>0</v>
      </c>
      <c r="BX2106" t="str">
        <f>"14:25:27.508"</f>
        <v>14:25:27.508</v>
      </c>
      <c r="BY2106" t="str">
        <f>"510467750"</f>
        <v>510467750</v>
      </c>
      <c r="CL2106">
        <v>0</v>
      </c>
      <c r="CM2106">
        <v>2</v>
      </c>
      <c r="CN2106">
        <v>0</v>
      </c>
      <c r="CO2106">
        <v>2</v>
      </c>
      <c r="CP2106">
        <v>0</v>
      </c>
      <c r="CQ2106">
        <v>7</v>
      </c>
      <c r="CR2106" t="s">
        <v>116</v>
      </c>
      <c r="CS2106">
        <v>39</v>
      </c>
      <c r="CT2106">
        <v>2</v>
      </c>
      <c r="CU2106" t="s">
        <v>2259</v>
      </c>
      <c r="CV2106" t="s">
        <v>2260</v>
      </c>
      <c r="CY2106">
        <v>16661954</v>
      </c>
      <c r="CZ2106" t="s">
        <v>119</v>
      </c>
    </row>
    <row r="2107" spans="1:104" x14ac:dyDescent="0.25">
      <c r="A2107" t="str">
        <f>"14:25:28.805"</f>
        <v>14:25:28.805</v>
      </c>
      <c r="B2107" t="s">
        <v>108</v>
      </c>
      <c r="C2107" t="str">
        <f t="shared" si="97"/>
        <v>ffdfd3c0</v>
      </c>
      <c r="D2107" t="s">
        <v>109</v>
      </c>
      <c r="E2107">
        <v>4</v>
      </c>
      <c r="F2107">
        <v>1004</v>
      </c>
      <c r="G2107" t="s">
        <v>110</v>
      </c>
      <c r="J2107" t="s">
        <v>111</v>
      </c>
      <c r="K2107">
        <v>0</v>
      </c>
      <c r="L2107">
        <v>3</v>
      </c>
      <c r="M2107">
        <v>0</v>
      </c>
      <c r="N2107">
        <v>2</v>
      </c>
      <c r="O2107">
        <v>1</v>
      </c>
      <c r="P2107">
        <v>0</v>
      </c>
      <c r="Q2107">
        <v>0</v>
      </c>
      <c r="R2107" t="s">
        <v>112</v>
      </c>
      <c r="S2107" t="str">
        <f>"14:25:28.609"</f>
        <v>14:25:28.609</v>
      </c>
      <c r="T2107" t="str">
        <f>"14:25:28.109"</f>
        <v>14:25:28.109</v>
      </c>
      <c r="U2107" t="str">
        <f t="shared" si="96"/>
        <v>ad5732</v>
      </c>
      <c r="V2107">
        <v>0</v>
      </c>
      <c r="W2107">
        <v>0</v>
      </c>
      <c r="X2107">
        <v>1</v>
      </c>
      <c r="Z2107">
        <v>0</v>
      </c>
      <c r="AA2107">
        <v>9</v>
      </c>
      <c r="AB2107">
        <v>3</v>
      </c>
      <c r="AC2107">
        <v>0</v>
      </c>
      <c r="AD2107">
        <v>10</v>
      </c>
      <c r="AE2107">
        <v>0</v>
      </c>
      <c r="AF2107">
        <v>3</v>
      </c>
      <c r="AG2107">
        <v>2</v>
      </c>
      <c r="AH2107">
        <v>0</v>
      </c>
      <c r="AI2107" t="s">
        <v>4319</v>
      </c>
      <c r="AJ2107">
        <v>39.878225</v>
      </c>
      <c r="AK2107" t="s">
        <v>4320</v>
      </c>
      <c r="AL2107">
        <v>-75.766547000000003</v>
      </c>
      <c r="AM2107">
        <v>100</v>
      </c>
      <c r="AN2107">
        <v>4700</v>
      </c>
      <c r="AO2107" t="s">
        <v>115</v>
      </c>
      <c r="AP2107">
        <v>163</v>
      </c>
      <c r="AQ2107">
        <v>81</v>
      </c>
      <c r="AR2107">
        <v>-64</v>
      </c>
      <c r="AZ2107">
        <v>3614</v>
      </c>
      <c r="BA2107">
        <v>1</v>
      </c>
      <c r="BB2107" t="str">
        <f t="shared" si="98"/>
        <v xml:space="preserve">N959MJ  </v>
      </c>
      <c r="BC2107">
        <v>1</v>
      </c>
      <c r="BE2107">
        <v>0</v>
      </c>
      <c r="BF2107">
        <v>0</v>
      </c>
      <c r="BG2107">
        <v>0</v>
      </c>
      <c r="BH2107">
        <v>4900</v>
      </c>
      <c r="BI2107">
        <v>200</v>
      </c>
      <c r="BJ2107">
        <v>1</v>
      </c>
      <c r="BK2107">
        <v>1</v>
      </c>
      <c r="BL2107">
        <v>1</v>
      </c>
      <c r="BM2107">
        <v>0</v>
      </c>
      <c r="BP2107">
        <v>0</v>
      </c>
      <c r="BQ2107">
        <v>0</v>
      </c>
      <c r="BX2107" t="str">
        <f>"14:25:28.617"</f>
        <v>14:25:28.617</v>
      </c>
      <c r="BY2107" t="str">
        <f>"616406354"</f>
        <v>616406354</v>
      </c>
      <c r="CL2107">
        <v>0</v>
      </c>
      <c r="CM2107">
        <v>2</v>
      </c>
      <c r="CN2107">
        <v>0</v>
      </c>
      <c r="CO2107">
        <v>2</v>
      </c>
      <c r="CP2107">
        <v>0</v>
      </c>
      <c r="CQ2107">
        <v>7</v>
      </c>
      <c r="CR2107" t="s">
        <v>116</v>
      </c>
      <c r="CS2107">
        <v>39</v>
      </c>
      <c r="CT2107">
        <v>2</v>
      </c>
      <c r="CU2107" t="s">
        <v>2259</v>
      </c>
      <c r="CV2107" t="s">
        <v>2260</v>
      </c>
      <c r="CY2107">
        <v>16663625</v>
      </c>
      <c r="CZ2107" t="s">
        <v>119</v>
      </c>
    </row>
    <row r="2108" spans="1:104" x14ac:dyDescent="0.25">
      <c r="A2108" t="str">
        <f>"14:25:29.711"</f>
        <v>14:25:29.711</v>
      </c>
      <c r="B2108" t="s">
        <v>108</v>
      </c>
      <c r="C2108" t="str">
        <f t="shared" si="97"/>
        <v>ffdfd3c0</v>
      </c>
      <c r="D2108" t="s">
        <v>109</v>
      </c>
      <c r="E2108">
        <v>4</v>
      </c>
      <c r="F2108">
        <v>1004</v>
      </c>
      <c r="G2108" t="s">
        <v>110</v>
      </c>
      <c r="J2108" t="s">
        <v>111</v>
      </c>
      <c r="K2108">
        <v>0</v>
      </c>
      <c r="L2108">
        <v>3</v>
      </c>
      <c r="M2108">
        <v>0</v>
      </c>
      <c r="N2108">
        <v>2</v>
      </c>
      <c r="O2108">
        <v>1</v>
      </c>
      <c r="P2108">
        <v>0</v>
      </c>
      <c r="Q2108">
        <v>0</v>
      </c>
      <c r="R2108" t="s">
        <v>112</v>
      </c>
      <c r="S2108" t="str">
        <f>"14:25:29.555"</f>
        <v>14:25:29.555</v>
      </c>
      <c r="T2108" t="str">
        <f>"14:25:29.156"</f>
        <v>14:25:29.156</v>
      </c>
      <c r="U2108" t="str">
        <f t="shared" si="96"/>
        <v>ad5732</v>
      </c>
      <c r="V2108">
        <v>0</v>
      </c>
      <c r="W2108">
        <v>0</v>
      </c>
      <c r="X2108">
        <v>1</v>
      </c>
      <c r="Z2108">
        <v>0</v>
      </c>
      <c r="AA2108">
        <v>9</v>
      </c>
      <c r="AB2108">
        <v>3</v>
      </c>
      <c r="AC2108">
        <v>0</v>
      </c>
      <c r="AD2108">
        <v>10</v>
      </c>
      <c r="AE2108">
        <v>0</v>
      </c>
      <c r="AF2108">
        <v>3</v>
      </c>
      <c r="AG2108">
        <v>2</v>
      </c>
      <c r="AH2108">
        <v>0</v>
      </c>
      <c r="AI2108" t="s">
        <v>4321</v>
      </c>
      <c r="AJ2108">
        <v>39.878590000000003</v>
      </c>
      <c r="AK2108" t="s">
        <v>4322</v>
      </c>
      <c r="AL2108">
        <v>-75.765602999999999</v>
      </c>
      <c r="AM2108">
        <v>100</v>
      </c>
      <c r="AN2108">
        <v>4700</v>
      </c>
      <c r="AO2108" t="s">
        <v>115</v>
      </c>
      <c r="AP2108">
        <v>163</v>
      </c>
      <c r="AQ2108">
        <v>81</v>
      </c>
      <c r="AR2108">
        <v>-64</v>
      </c>
      <c r="AZ2108">
        <v>3614</v>
      </c>
      <c r="BA2108">
        <v>1</v>
      </c>
      <c r="BB2108" t="str">
        <f t="shared" si="98"/>
        <v xml:space="preserve">N959MJ  </v>
      </c>
      <c r="BC2108">
        <v>1</v>
      </c>
      <c r="BE2108">
        <v>0</v>
      </c>
      <c r="BF2108">
        <v>0</v>
      </c>
      <c r="BG2108">
        <v>0</v>
      </c>
      <c r="BH2108">
        <v>4900</v>
      </c>
      <c r="BI2108">
        <v>200</v>
      </c>
      <c r="BJ2108">
        <v>1</v>
      </c>
      <c r="BK2108">
        <v>1</v>
      </c>
      <c r="BL2108">
        <v>1</v>
      </c>
      <c r="BM2108">
        <v>0</v>
      </c>
      <c r="BP2108">
        <v>0</v>
      </c>
      <c r="BQ2108">
        <v>0</v>
      </c>
      <c r="BX2108" t="str">
        <f>"14:25:29.555"</f>
        <v>14:25:29.555</v>
      </c>
      <c r="BY2108" t="str">
        <f>"556863750"</f>
        <v>556863750</v>
      </c>
      <c r="CL2108">
        <v>0</v>
      </c>
      <c r="CM2108">
        <v>2</v>
      </c>
      <c r="CN2108">
        <v>0</v>
      </c>
      <c r="CO2108">
        <v>2</v>
      </c>
      <c r="CP2108">
        <v>0</v>
      </c>
      <c r="CQ2108">
        <v>7</v>
      </c>
      <c r="CR2108" t="s">
        <v>116</v>
      </c>
      <c r="CS2108">
        <v>39</v>
      </c>
      <c r="CT2108">
        <v>2</v>
      </c>
      <c r="CU2108" t="s">
        <v>2259</v>
      </c>
      <c r="CV2108" t="s">
        <v>2260</v>
      </c>
      <c r="CY2108">
        <v>16665184</v>
      </c>
      <c r="CZ2108" t="s">
        <v>119</v>
      </c>
    </row>
    <row r="2109" spans="1:104" x14ac:dyDescent="0.25">
      <c r="A2109" t="str">
        <f>"14:25:30.719"</f>
        <v>14:25:30.719</v>
      </c>
      <c r="B2109" t="s">
        <v>108</v>
      </c>
      <c r="C2109" t="str">
        <f t="shared" si="97"/>
        <v>ffdfd3c0</v>
      </c>
      <c r="D2109" t="s">
        <v>109</v>
      </c>
      <c r="E2109">
        <v>4</v>
      </c>
      <c r="F2109">
        <v>1004</v>
      </c>
      <c r="G2109" t="s">
        <v>110</v>
      </c>
      <c r="J2109" t="s">
        <v>111</v>
      </c>
      <c r="K2109">
        <v>0</v>
      </c>
      <c r="L2109">
        <v>3</v>
      </c>
      <c r="M2109">
        <v>0</v>
      </c>
      <c r="N2109">
        <v>2</v>
      </c>
      <c r="O2109">
        <v>1</v>
      </c>
      <c r="P2109">
        <v>0</v>
      </c>
      <c r="Q2109">
        <v>0</v>
      </c>
      <c r="R2109" t="s">
        <v>112</v>
      </c>
      <c r="S2109" t="str">
        <f>"14:25:30.570"</f>
        <v>14:25:30.570</v>
      </c>
      <c r="T2109" t="str">
        <f>"14:25:30.172"</f>
        <v>14:25:30.172</v>
      </c>
      <c r="U2109" t="str">
        <f t="shared" si="96"/>
        <v>ad5732</v>
      </c>
      <c r="V2109">
        <v>0</v>
      </c>
      <c r="W2109">
        <v>0</v>
      </c>
      <c r="X2109">
        <v>1</v>
      </c>
      <c r="Z2109">
        <v>0</v>
      </c>
      <c r="AA2109">
        <v>9</v>
      </c>
      <c r="AB2109">
        <v>3</v>
      </c>
      <c r="AC2109">
        <v>0</v>
      </c>
      <c r="AD2109">
        <v>10</v>
      </c>
      <c r="AE2109">
        <v>0</v>
      </c>
      <c r="AF2109">
        <v>3</v>
      </c>
      <c r="AG2109">
        <v>2</v>
      </c>
      <c r="AH2109">
        <v>0</v>
      </c>
      <c r="AI2109" t="s">
        <v>4323</v>
      </c>
      <c r="AJ2109">
        <v>39.878954999999998</v>
      </c>
      <c r="AK2109" t="s">
        <v>4324</v>
      </c>
      <c r="AL2109">
        <v>-75.764636999999993</v>
      </c>
      <c r="AM2109">
        <v>100</v>
      </c>
      <c r="AN2109">
        <v>4700</v>
      </c>
      <c r="AO2109" t="s">
        <v>115</v>
      </c>
      <c r="AP2109">
        <v>163</v>
      </c>
      <c r="AQ2109">
        <v>81</v>
      </c>
      <c r="AR2109">
        <v>-128</v>
      </c>
      <c r="AZ2109">
        <v>3614</v>
      </c>
      <c r="BA2109">
        <v>1</v>
      </c>
      <c r="BB2109" t="str">
        <f t="shared" si="98"/>
        <v xml:space="preserve">N959MJ  </v>
      </c>
      <c r="BC2109">
        <v>1</v>
      </c>
      <c r="BE2109">
        <v>0</v>
      </c>
      <c r="BF2109">
        <v>0</v>
      </c>
      <c r="BG2109">
        <v>0</v>
      </c>
      <c r="BH2109">
        <v>4900</v>
      </c>
      <c r="BI2109">
        <v>200</v>
      </c>
      <c r="BJ2109">
        <v>1</v>
      </c>
      <c r="BK2109">
        <v>1</v>
      </c>
      <c r="BL2109">
        <v>1</v>
      </c>
      <c r="BM2109">
        <v>0</v>
      </c>
      <c r="BP2109">
        <v>0</v>
      </c>
      <c r="BQ2109">
        <v>0</v>
      </c>
      <c r="BX2109" t="str">
        <f>"14:25:30.570"</f>
        <v>14:25:30.570</v>
      </c>
      <c r="BY2109" t="str">
        <f>"571050406"</f>
        <v>571050406</v>
      </c>
      <c r="CL2109">
        <v>0</v>
      </c>
      <c r="CM2109">
        <v>2</v>
      </c>
      <c r="CN2109">
        <v>0</v>
      </c>
      <c r="CO2109">
        <v>2</v>
      </c>
      <c r="CP2109">
        <v>0</v>
      </c>
      <c r="CQ2109">
        <v>7</v>
      </c>
      <c r="CR2109" t="s">
        <v>116</v>
      </c>
      <c r="CS2109">
        <v>39</v>
      </c>
      <c r="CT2109">
        <v>2</v>
      </c>
      <c r="CU2109" t="s">
        <v>2259</v>
      </c>
      <c r="CV2109" t="s">
        <v>2260</v>
      </c>
      <c r="CY2109">
        <v>16666790</v>
      </c>
      <c r="CZ2109" t="s">
        <v>119</v>
      </c>
    </row>
    <row r="2110" spans="1:104" x14ac:dyDescent="0.25">
      <c r="A2110" t="str">
        <f>"14:25:31.680"</f>
        <v>14:25:31.680</v>
      </c>
      <c r="B2110" t="s">
        <v>108</v>
      </c>
      <c r="C2110" t="str">
        <f t="shared" si="97"/>
        <v>ffdfd3c0</v>
      </c>
      <c r="D2110" t="s">
        <v>109</v>
      </c>
      <c r="E2110">
        <v>4</v>
      </c>
      <c r="F2110">
        <v>1004</v>
      </c>
      <c r="G2110" t="s">
        <v>110</v>
      </c>
      <c r="J2110" t="s">
        <v>111</v>
      </c>
      <c r="K2110">
        <v>0</v>
      </c>
      <c r="L2110">
        <v>3</v>
      </c>
      <c r="M2110">
        <v>0</v>
      </c>
      <c r="N2110">
        <v>2</v>
      </c>
      <c r="O2110">
        <v>1</v>
      </c>
      <c r="P2110">
        <v>0</v>
      </c>
      <c r="Q2110">
        <v>0</v>
      </c>
      <c r="R2110" t="s">
        <v>112</v>
      </c>
      <c r="S2110" t="str">
        <f>"14:25:31.516"</f>
        <v>14:25:31.516</v>
      </c>
      <c r="T2110" t="str">
        <f>"14:25:31.117"</f>
        <v>14:25:31.117</v>
      </c>
      <c r="U2110" t="str">
        <f t="shared" si="96"/>
        <v>ad5732</v>
      </c>
      <c r="V2110">
        <v>0</v>
      </c>
      <c r="W2110">
        <v>0</v>
      </c>
      <c r="X2110">
        <v>1</v>
      </c>
      <c r="Z2110">
        <v>0</v>
      </c>
      <c r="AA2110">
        <v>9</v>
      </c>
      <c r="AB2110">
        <v>3</v>
      </c>
      <c r="AC2110">
        <v>0</v>
      </c>
      <c r="AD2110">
        <v>10</v>
      </c>
      <c r="AE2110">
        <v>0</v>
      </c>
      <c r="AF2110">
        <v>3</v>
      </c>
      <c r="AG2110">
        <v>2</v>
      </c>
      <c r="AH2110">
        <v>0</v>
      </c>
      <c r="AI2110" t="s">
        <v>4325</v>
      </c>
      <c r="AJ2110">
        <v>39.87932</v>
      </c>
      <c r="AK2110" t="s">
        <v>4326</v>
      </c>
      <c r="AL2110">
        <v>-75.763693000000004</v>
      </c>
      <c r="AM2110">
        <v>100</v>
      </c>
      <c r="AN2110">
        <v>4700</v>
      </c>
      <c r="AO2110" t="s">
        <v>115</v>
      </c>
      <c r="AP2110">
        <v>163</v>
      </c>
      <c r="AQ2110">
        <v>81</v>
      </c>
      <c r="AR2110">
        <v>-128</v>
      </c>
      <c r="AZ2110">
        <v>3614</v>
      </c>
      <c r="BA2110">
        <v>1</v>
      </c>
      <c r="BB2110" t="str">
        <f t="shared" si="98"/>
        <v xml:space="preserve">N959MJ  </v>
      </c>
      <c r="BC2110">
        <v>1</v>
      </c>
      <c r="BE2110">
        <v>0</v>
      </c>
      <c r="BF2110">
        <v>0</v>
      </c>
      <c r="BG2110">
        <v>0</v>
      </c>
      <c r="BH2110">
        <v>4900</v>
      </c>
      <c r="BI2110">
        <v>200</v>
      </c>
      <c r="BJ2110">
        <v>1</v>
      </c>
      <c r="BK2110">
        <v>1</v>
      </c>
      <c r="BL2110">
        <v>1</v>
      </c>
      <c r="BM2110">
        <v>0</v>
      </c>
      <c r="BP2110">
        <v>0</v>
      </c>
      <c r="BQ2110">
        <v>0</v>
      </c>
      <c r="BX2110" t="str">
        <f>"14:25:31.516"</f>
        <v>14:25:31.516</v>
      </c>
      <c r="BY2110" t="str">
        <f>"516423087"</f>
        <v>516423087</v>
      </c>
      <c r="CL2110">
        <v>0</v>
      </c>
      <c r="CM2110">
        <v>2</v>
      </c>
      <c r="CN2110">
        <v>0</v>
      </c>
      <c r="CO2110">
        <v>2</v>
      </c>
      <c r="CP2110">
        <v>0</v>
      </c>
      <c r="CQ2110">
        <v>7</v>
      </c>
      <c r="CR2110" t="s">
        <v>116</v>
      </c>
      <c r="CS2110">
        <v>39</v>
      </c>
      <c r="CT2110">
        <v>2</v>
      </c>
      <c r="CU2110" t="s">
        <v>2259</v>
      </c>
      <c r="CV2110" t="s">
        <v>2260</v>
      </c>
      <c r="CY2110">
        <v>16668352</v>
      </c>
      <c r="CZ2110" t="s">
        <v>119</v>
      </c>
    </row>
    <row r="2111" spans="1:104" x14ac:dyDescent="0.25">
      <c r="A2111" t="str">
        <f>"14:25:32.539"</f>
        <v>14:25:32.539</v>
      </c>
      <c r="B2111" t="s">
        <v>108</v>
      </c>
      <c r="C2111" t="str">
        <f t="shared" si="97"/>
        <v>ffdfd3c0</v>
      </c>
      <c r="D2111" t="s">
        <v>109</v>
      </c>
      <c r="E2111">
        <v>4</v>
      </c>
      <c r="F2111">
        <v>1004</v>
      </c>
      <c r="G2111" t="s">
        <v>110</v>
      </c>
      <c r="J2111" t="s">
        <v>111</v>
      </c>
      <c r="K2111">
        <v>0</v>
      </c>
      <c r="L2111">
        <v>3</v>
      </c>
      <c r="M2111">
        <v>0</v>
      </c>
      <c r="N2111">
        <v>2</v>
      </c>
      <c r="O2111">
        <v>1</v>
      </c>
      <c r="P2111">
        <v>0</v>
      </c>
      <c r="Q2111">
        <v>0</v>
      </c>
      <c r="R2111" t="s">
        <v>112</v>
      </c>
      <c r="S2111" t="str">
        <f>"14:25:32.367"</f>
        <v>14:25:32.367</v>
      </c>
      <c r="T2111" t="str">
        <f>"14:25:31.969"</f>
        <v>14:25:31.969</v>
      </c>
      <c r="U2111" t="str">
        <f t="shared" si="96"/>
        <v>ad5732</v>
      </c>
      <c r="V2111">
        <v>0</v>
      </c>
      <c r="W2111">
        <v>0</v>
      </c>
      <c r="X2111">
        <v>1</v>
      </c>
      <c r="Z2111">
        <v>0</v>
      </c>
      <c r="AA2111">
        <v>9</v>
      </c>
      <c r="AB2111">
        <v>3</v>
      </c>
      <c r="AC2111">
        <v>0</v>
      </c>
      <c r="AD2111">
        <v>10</v>
      </c>
      <c r="AE2111">
        <v>0</v>
      </c>
      <c r="AF2111">
        <v>3</v>
      </c>
      <c r="AG2111">
        <v>2</v>
      </c>
      <c r="AH2111">
        <v>0</v>
      </c>
      <c r="AI2111" t="s">
        <v>4327</v>
      </c>
      <c r="AJ2111">
        <v>39.879641999999997</v>
      </c>
      <c r="AK2111" t="s">
        <v>4328</v>
      </c>
      <c r="AL2111">
        <v>-75.762919999999994</v>
      </c>
      <c r="AM2111">
        <v>100</v>
      </c>
      <c r="AN2111">
        <v>4700</v>
      </c>
      <c r="AO2111" t="s">
        <v>115</v>
      </c>
      <c r="AP2111">
        <v>163</v>
      </c>
      <c r="AQ2111">
        <v>82</v>
      </c>
      <c r="AR2111">
        <v>-128</v>
      </c>
      <c r="AZ2111">
        <v>3614</v>
      </c>
      <c r="BA2111">
        <v>1</v>
      </c>
      <c r="BB2111" t="str">
        <f t="shared" si="98"/>
        <v xml:space="preserve">N959MJ  </v>
      </c>
      <c r="BC2111">
        <v>1</v>
      </c>
      <c r="BE2111">
        <v>0</v>
      </c>
      <c r="BF2111">
        <v>0</v>
      </c>
      <c r="BG2111">
        <v>0</v>
      </c>
      <c r="BH2111">
        <v>4900</v>
      </c>
      <c r="BI2111">
        <v>200</v>
      </c>
      <c r="BJ2111">
        <v>1</v>
      </c>
      <c r="BK2111">
        <v>1</v>
      </c>
      <c r="BL2111">
        <v>1</v>
      </c>
      <c r="BM2111">
        <v>0</v>
      </c>
      <c r="BP2111">
        <v>0</v>
      </c>
      <c r="BQ2111">
        <v>0</v>
      </c>
      <c r="BX2111" t="str">
        <f>"14:25:32.375"</f>
        <v>14:25:32.375</v>
      </c>
      <c r="BY2111" t="str">
        <f>"374959125"</f>
        <v>374959125</v>
      </c>
      <c r="CL2111">
        <v>0</v>
      </c>
      <c r="CM2111">
        <v>2</v>
      </c>
      <c r="CN2111">
        <v>0</v>
      </c>
      <c r="CO2111">
        <v>2</v>
      </c>
      <c r="CP2111">
        <v>0</v>
      </c>
      <c r="CQ2111">
        <v>7</v>
      </c>
      <c r="CR2111" t="s">
        <v>116</v>
      </c>
      <c r="CS2111">
        <v>39</v>
      </c>
      <c r="CT2111">
        <v>2</v>
      </c>
      <c r="CU2111" t="s">
        <v>2259</v>
      </c>
      <c r="CV2111" t="s">
        <v>2260</v>
      </c>
      <c r="CY2111">
        <v>16669694</v>
      </c>
      <c r="CZ2111" t="s">
        <v>119</v>
      </c>
    </row>
    <row r="2112" spans="1:104" x14ac:dyDescent="0.25">
      <c r="A2112" t="str">
        <f>"14:25:33.453"</f>
        <v>14:25:33.453</v>
      </c>
      <c r="B2112" t="s">
        <v>108</v>
      </c>
      <c r="C2112" t="str">
        <f t="shared" si="97"/>
        <v>ffdfd3c0</v>
      </c>
      <c r="D2112" t="s">
        <v>109</v>
      </c>
      <c r="E2112">
        <v>4</v>
      </c>
      <c r="F2112">
        <v>1004</v>
      </c>
      <c r="G2112" t="s">
        <v>110</v>
      </c>
      <c r="J2112" t="s">
        <v>111</v>
      </c>
      <c r="K2112">
        <v>0</v>
      </c>
      <c r="L2112">
        <v>3</v>
      </c>
      <c r="M2112">
        <v>0</v>
      </c>
      <c r="N2112">
        <v>2</v>
      </c>
      <c r="O2112">
        <v>1</v>
      </c>
      <c r="P2112">
        <v>0</v>
      </c>
      <c r="Q2112">
        <v>0</v>
      </c>
      <c r="R2112" t="s">
        <v>112</v>
      </c>
      <c r="S2112" t="str">
        <f>"14:25:33.258"</f>
        <v>14:25:33.258</v>
      </c>
      <c r="T2112" t="str">
        <f>"14:25:32.859"</f>
        <v>14:25:32.859</v>
      </c>
      <c r="U2112" t="str">
        <f t="shared" si="96"/>
        <v>ad5732</v>
      </c>
      <c r="V2112">
        <v>0</v>
      </c>
      <c r="W2112">
        <v>0</v>
      </c>
      <c r="X2112">
        <v>1</v>
      </c>
      <c r="Z2112">
        <v>0</v>
      </c>
      <c r="AA2112">
        <v>9</v>
      </c>
      <c r="AB2112">
        <v>3</v>
      </c>
      <c r="AC2112">
        <v>0</v>
      </c>
      <c r="AD2112">
        <v>10</v>
      </c>
      <c r="AE2112">
        <v>0</v>
      </c>
      <c r="AF2112">
        <v>3</v>
      </c>
      <c r="AG2112">
        <v>2</v>
      </c>
      <c r="AH2112">
        <v>0</v>
      </c>
      <c r="AI2112" t="s">
        <v>4329</v>
      </c>
      <c r="AJ2112">
        <v>39.880006000000002</v>
      </c>
      <c r="AK2112" t="s">
        <v>4330</v>
      </c>
      <c r="AL2112">
        <v>-75.762018999999995</v>
      </c>
      <c r="AM2112">
        <v>100</v>
      </c>
      <c r="AN2112">
        <v>4700</v>
      </c>
      <c r="AO2112" t="s">
        <v>115</v>
      </c>
      <c r="AP2112">
        <v>163</v>
      </c>
      <c r="AQ2112">
        <v>82</v>
      </c>
      <c r="AR2112">
        <v>-128</v>
      </c>
      <c r="AZ2112">
        <v>3614</v>
      </c>
      <c r="BA2112">
        <v>1</v>
      </c>
      <c r="BB2112" t="str">
        <f t="shared" si="98"/>
        <v xml:space="preserve">N959MJ  </v>
      </c>
      <c r="BC2112">
        <v>1</v>
      </c>
      <c r="BE2112">
        <v>0</v>
      </c>
      <c r="BF2112">
        <v>0</v>
      </c>
      <c r="BG2112">
        <v>0</v>
      </c>
      <c r="BH2112">
        <v>4900</v>
      </c>
      <c r="BI2112">
        <v>200</v>
      </c>
      <c r="BJ2112">
        <v>1</v>
      </c>
      <c r="BK2112">
        <v>1</v>
      </c>
      <c r="BL2112">
        <v>1</v>
      </c>
      <c r="BM2112">
        <v>0</v>
      </c>
      <c r="BP2112">
        <v>0</v>
      </c>
      <c r="BQ2112">
        <v>0</v>
      </c>
      <c r="BX2112" t="str">
        <f>"14:25:33.258"</f>
        <v>14:25:33.258</v>
      </c>
      <c r="BY2112" t="str">
        <f>"259709999"</f>
        <v>259709999</v>
      </c>
      <c r="CL2112">
        <v>0</v>
      </c>
      <c r="CM2112">
        <v>2</v>
      </c>
      <c r="CN2112">
        <v>0</v>
      </c>
      <c r="CO2112">
        <v>2</v>
      </c>
      <c r="CP2112">
        <v>0</v>
      </c>
      <c r="CQ2112">
        <v>7</v>
      </c>
      <c r="CR2112" t="s">
        <v>116</v>
      </c>
      <c r="CS2112">
        <v>39</v>
      </c>
      <c r="CT2112">
        <v>2</v>
      </c>
      <c r="CU2112" t="s">
        <v>2259</v>
      </c>
      <c r="CV2112" t="s">
        <v>2260</v>
      </c>
      <c r="CY2112">
        <v>16671130</v>
      </c>
      <c r="CZ2112" t="s">
        <v>119</v>
      </c>
    </row>
    <row r="2113" spans="1:104" x14ac:dyDescent="0.25">
      <c r="A2113" t="str">
        <f>"14:25:34.305"</f>
        <v>14:25:34.305</v>
      </c>
      <c r="B2113" t="s">
        <v>108</v>
      </c>
      <c r="C2113" t="str">
        <f t="shared" si="97"/>
        <v>ffdfd3c0</v>
      </c>
      <c r="D2113" t="s">
        <v>109</v>
      </c>
      <c r="E2113">
        <v>4</v>
      </c>
      <c r="F2113">
        <v>1004</v>
      </c>
      <c r="G2113" t="s">
        <v>110</v>
      </c>
      <c r="J2113" t="s">
        <v>111</v>
      </c>
      <c r="K2113">
        <v>0</v>
      </c>
      <c r="L2113">
        <v>3</v>
      </c>
      <c r="M2113">
        <v>0</v>
      </c>
      <c r="N2113">
        <v>2</v>
      </c>
      <c r="O2113">
        <v>1</v>
      </c>
      <c r="P2113">
        <v>0</v>
      </c>
      <c r="Q2113">
        <v>0</v>
      </c>
      <c r="R2113" t="s">
        <v>112</v>
      </c>
      <c r="S2113" t="str">
        <f>"14:25:34.148"</f>
        <v>14:25:34.148</v>
      </c>
      <c r="T2113" t="str">
        <f>"14:25:33.750"</f>
        <v>14:25:33.750</v>
      </c>
      <c r="U2113" t="str">
        <f t="shared" si="96"/>
        <v>ad5732</v>
      </c>
      <c r="V2113">
        <v>0</v>
      </c>
      <c r="W2113">
        <v>0</v>
      </c>
      <c r="X2113">
        <v>1</v>
      </c>
      <c r="Z2113">
        <v>0</v>
      </c>
      <c r="AA2113">
        <v>9</v>
      </c>
      <c r="AB2113">
        <v>3</v>
      </c>
      <c r="AC2113">
        <v>0</v>
      </c>
      <c r="AD2113">
        <v>10</v>
      </c>
      <c r="AE2113">
        <v>0</v>
      </c>
      <c r="AF2113">
        <v>3</v>
      </c>
      <c r="AG2113">
        <v>2</v>
      </c>
      <c r="AH2113">
        <v>0</v>
      </c>
      <c r="AI2113" t="s">
        <v>4331</v>
      </c>
      <c r="AJ2113">
        <v>39.880327999999999</v>
      </c>
      <c r="AK2113" t="s">
        <v>4332</v>
      </c>
      <c r="AL2113">
        <v>-75.761117999999996</v>
      </c>
      <c r="AM2113">
        <v>100</v>
      </c>
      <c r="AN2113">
        <v>4700</v>
      </c>
      <c r="AO2113" t="s">
        <v>115</v>
      </c>
      <c r="AP2113">
        <v>163</v>
      </c>
      <c r="AQ2113">
        <v>82</v>
      </c>
      <c r="AR2113">
        <v>-128</v>
      </c>
      <c r="AZ2113">
        <v>3614</v>
      </c>
      <c r="BA2113">
        <v>1</v>
      </c>
      <c r="BB2113" t="str">
        <f t="shared" si="98"/>
        <v xml:space="preserve">N959MJ  </v>
      </c>
      <c r="BC2113">
        <v>1</v>
      </c>
      <c r="BE2113">
        <v>0</v>
      </c>
      <c r="BF2113">
        <v>0</v>
      </c>
      <c r="BG2113">
        <v>0</v>
      </c>
      <c r="BH2113">
        <v>4900</v>
      </c>
      <c r="BI2113">
        <v>200</v>
      </c>
      <c r="BJ2113">
        <v>1</v>
      </c>
      <c r="BK2113">
        <v>1</v>
      </c>
      <c r="BL2113">
        <v>1</v>
      </c>
      <c r="BM2113">
        <v>0</v>
      </c>
      <c r="BP2113">
        <v>0</v>
      </c>
      <c r="BQ2113">
        <v>0</v>
      </c>
      <c r="BX2113" t="str">
        <f>"14:25:34.156"</f>
        <v>14:25:34.156</v>
      </c>
      <c r="BY2113" t="str">
        <f>"154291442"</f>
        <v>154291442</v>
      </c>
      <c r="CL2113">
        <v>0</v>
      </c>
      <c r="CM2113">
        <v>2</v>
      </c>
      <c r="CN2113">
        <v>0</v>
      </c>
      <c r="CO2113">
        <v>2</v>
      </c>
      <c r="CP2113">
        <v>0</v>
      </c>
      <c r="CQ2113">
        <v>7</v>
      </c>
      <c r="CR2113" t="s">
        <v>116</v>
      </c>
      <c r="CS2113">
        <v>39</v>
      </c>
      <c r="CT2113">
        <v>2</v>
      </c>
      <c r="CU2113" t="s">
        <v>2259</v>
      </c>
      <c r="CV2113" t="s">
        <v>2260</v>
      </c>
      <c r="CY2113">
        <v>16672645</v>
      </c>
      <c r="CZ2113" t="s">
        <v>119</v>
      </c>
    </row>
    <row r="2114" spans="1:104" x14ac:dyDescent="0.25">
      <c r="A2114" t="str">
        <f>"14:25:35.367"</f>
        <v>14:25:35.367</v>
      </c>
      <c r="B2114" t="s">
        <v>108</v>
      </c>
      <c r="C2114" t="str">
        <f t="shared" si="97"/>
        <v>ffdfd3c0</v>
      </c>
      <c r="D2114" t="s">
        <v>109</v>
      </c>
      <c r="E2114">
        <v>4</v>
      </c>
      <c r="F2114">
        <v>1004</v>
      </c>
      <c r="G2114" t="s">
        <v>110</v>
      </c>
      <c r="J2114" t="s">
        <v>111</v>
      </c>
      <c r="K2114">
        <v>0</v>
      </c>
      <c r="L2114">
        <v>3</v>
      </c>
      <c r="M2114">
        <v>0</v>
      </c>
      <c r="N2114">
        <v>2</v>
      </c>
      <c r="O2114">
        <v>1</v>
      </c>
      <c r="P2114">
        <v>0</v>
      </c>
      <c r="Q2114">
        <v>0</v>
      </c>
      <c r="R2114" t="s">
        <v>112</v>
      </c>
      <c r="S2114" t="str">
        <f>"14:25:35.164"</f>
        <v>14:25:35.164</v>
      </c>
      <c r="T2114" t="str">
        <f>"14:25:34.664"</f>
        <v>14:25:34.664</v>
      </c>
      <c r="U2114" t="str">
        <f t="shared" ref="U2114:U2177" si="99">"ad5732"</f>
        <v>ad5732</v>
      </c>
      <c r="V2114">
        <v>0</v>
      </c>
      <c r="W2114">
        <v>0</v>
      </c>
      <c r="X2114">
        <v>1</v>
      </c>
      <c r="Z2114">
        <v>0</v>
      </c>
      <c r="AA2114">
        <v>9</v>
      </c>
      <c r="AB2114">
        <v>3</v>
      </c>
      <c r="AC2114">
        <v>0</v>
      </c>
      <c r="AD2114">
        <v>10</v>
      </c>
      <c r="AE2114">
        <v>0</v>
      </c>
      <c r="AF2114">
        <v>3</v>
      </c>
      <c r="AG2114">
        <v>2</v>
      </c>
      <c r="AH2114">
        <v>0</v>
      </c>
      <c r="AI2114" t="s">
        <v>4333</v>
      </c>
      <c r="AJ2114">
        <v>39.880693000000001</v>
      </c>
      <c r="AK2114" t="s">
        <v>4334</v>
      </c>
      <c r="AL2114">
        <v>-75.760174000000006</v>
      </c>
      <c r="AM2114">
        <v>100</v>
      </c>
      <c r="AN2114">
        <v>4700</v>
      </c>
      <c r="AO2114" t="s">
        <v>115</v>
      </c>
      <c r="AP2114">
        <v>163</v>
      </c>
      <c r="AQ2114">
        <v>82</v>
      </c>
      <c r="AR2114">
        <v>-64</v>
      </c>
      <c r="AZ2114">
        <v>3614</v>
      </c>
      <c r="BA2114">
        <v>1</v>
      </c>
      <c r="BB2114" t="str">
        <f t="shared" si="98"/>
        <v xml:space="preserve">N959MJ  </v>
      </c>
      <c r="BC2114">
        <v>1</v>
      </c>
      <c r="BE2114">
        <v>0</v>
      </c>
      <c r="BF2114">
        <v>0</v>
      </c>
      <c r="BG2114">
        <v>0</v>
      </c>
      <c r="BH2114">
        <v>4875</v>
      </c>
      <c r="BI2114">
        <v>175</v>
      </c>
      <c r="BJ2114">
        <v>1</v>
      </c>
      <c r="BK2114">
        <v>1</v>
      </c>
      <c r="BL2114">
        <v>1</v>
      </c>
      <c r="BM2114">
        <v>0</v>
      </c>
      <c r="BP2114">
        <v>0</v>
      </c>
      <c r="BQ2114">
        <v>0</v>
      </c>
      <c r="BX2114" t="str">
        <f>"14:25:35.172"</f>
        <v>14:25:35.172</v>
      </c>
      <c r="BY2114" t="str">
        <f>"170116565"</f>
        <v>170116565</v>
      </c>
      <c r="CL2114">
        <v>0</v>
      </c>
      <c r="CM2114">
        <v>2</v>
      </c>
      <c r="CN2114">
        <v>0</v>
      </c>
      <c r="CO2114">
        <v>2</v>
      </c>
      <c r="CP2114">
        <v>0</v>
      </c>
      <c r="CQ2114">
        <v>7</v>
      </c>
      <c r="CR2114" t="s">
        <v>116</v>
      </c>
      <c r="CS2114">
        <v>39</v>
      </c>
      <c r="CT2114">
        <v>2</v>
      </c>
      <c r="CU2114" t="s">
        <v>2259</v>
      </c>
      <c r="CV2114" t="s">
        <v>2260</v>
      </c>
      <c r="CY2114">
        <v>16674266</v>
      </c>
      <c r="CZ2114" t="s">
        <v>119</v>
      </c>
    </row>
    <row r="2115" spans="1:104" x14ac:dyDescent="0.25">
      <c r="A2115" t="str">
        <f>"14:25:36.273"</f>
        <v>14:25:36.273</v>
      </c>
      <c r="B2115" t="s">
        <v>108</v>
      </c>
      <c r="C2115" t="str">
        <f t="shared" si="97"/>
        <v>ffdfd3c0</v>
      </c>
      <c r="D2115" t="s">
        <v>109</v>
      </c>
      <c r="E2115">
        <v>4</v>
      </c>
      <c r="F2115">
        <v>1004</v>
      </c>
      <c r="G2115" t="s">
        <v>110</v>
      </c>
      <c r="J2115" t="s">
        <v>111</v>
      </c>
      <c r="K2115">
        <v>0</v>
      </c>
      <c r="L2115">
        <v>3</v>
      </c>
      <c r="M2115">
        <v>0</v>
      </c>
      <c r="N2115">
        <v>2</v>
      </c>
      <c r="O2115">
        <v>1</v>
      </c>
      <c r="P2115">
        <v>0</v>
      </c>
      <c r="Q2115">
        <v>0</v>
      </c>
      <c r="R2115" t="s">
        <v>112</v>
      </c>
      <c r="S2115" t="str">
        <f>"14:25:36.063"</f>
        <v>14:25:36.063</v>
      </c>
      <c r="T2115" t="str">
        <f>"14:25:35.664"</f>
        <v>14:25:35.664</v>
      </c>
      <c r="U2115" t="str">
        <f t="shared" si="99"/>
        <v>ad5732</v>
      </c>
      <c r="V2115">
        <v>0</v>
      </c>
      <c r="W2115">
        <v>0</v>
      </c>
      <c r="X2115">
        <v>1</v>
      </c>
      <c r="Z2115">
        <v>0</v>
      </c>
      <c r="AA2115">
        <v>9</v>
      </c>
      <c r="AB2115">
        <v>3</v>
      </c>
      <c r="AC2115">
        <v>0</v>
      </c>
      <c r="AD2115">
        <v>10</v>
      </c>
      <c r="AE2115">
        <v>0</v>
      </c>
      <c r="AF2115">
        <v>3</v>
      </c>
      <c r="AG2115">
        <v>2</v>
      </c>
      <c r="AH2115">
        <v>0</v>
      </c>
      <c r="AI2115" t="s">
        <v>4335</v>
      </c>
      <c r="AJ2115">
        <v>39.881014999999998</v>
      </c>
      <c r="AK2115" t="s">
        <v>4336</v>
      </c>
      <c r="AL2115">
        <v>-75.759272999999993</v>
      </c>
      <c r="AM2115">
        <v>100</v>
      </c>
      <c r="AN2115">
        <v>4700</v>
      </c>
      <c r="AO2115" t="s">
        <v>115</v>
      </c>
      <c r="AP2115">
        <v>163</v>
      </c>
      <c r="AQ2115">
        <v>82</v>
      </c>
      <c r="AR2115">
        <v>-64</v>
      </c>
      <c r="AZ2115">
        <v>3614</v>
      </c>
      <c r="BA2115">
        <v>1</v>
      </c>
      <c r="BB2115" t="str">
        <f t="shared" si="98"/>
        <v xml:space="preserve">N959MJ  </v>
      </c>
      <c r="BC2115">
        <v>1</v>
      </c>
      <c r="BE2115">
        <v>0</v>
      </c>
      <c r="BF2115">
        <v>0</v>
      </c>
      <c r="BG2115">
        <v>0</v>
      </c>
      <c r="BH2115">
        <v>4875</v>
      </c>
      <c r="BI2115">
        <v>175</v>
      </c>
      <c r="BJ2115">
        <v>1</v>
      </c>
      <c r="BK2115">
        <v>1</v>
      </c>
      <c r="BL2115">
        <v>1</v>
      </c>
      <c r="BM2115">
        <v>0</v>
      </c>
      <c r="BP2115">
        <v>0</v>
      </c>
      <c r="BQ2115">
        <v>0</v>
      </c>
      <c r="BX2115" t="str">
        <f>"14:25:36.063"</f>
        <v>14:25:36.063</v>
      </c>
      <c r="BY2115" t="str">
        <f>"066336376"</f>
        <v>066336376</v>
      </c>
      <c r="CL2115">
        <v>0</v>
      </c>
      <c r="CM2115">
        <v>2</v>
      </c>
      <c r="CN2115">
        <v>0</v>
      </c>
      <c r="CO2115">
        <v>2</v>
      </c>
      <c r="CP2115">
        <v>0</v>
      </c>
      <c r="CQ2115">
        <v>7</v>
      </c>
      <c r="CR2115" t="s">
        <v>116</v>
      </c>
      <c r="CS2115">
        <v>39</v>
      </c>
      <c r="CT2115">
        <v>2</v>
      </c>
      <c r="CU2115" t="s">
        <v>2259</v>
      </c>
      <c r="CV2115" t="s">
        <v>2260</v>
      </c>
      <c r="CY2115">
        <v>16675697</v>
      </c>
      <c r="CZ2115" t="s">
        <v>119</v>
      </c>
    </row>
    <row r="2116" spans="1:104" x14ac:dyDescent="0.25">
      <c r="A2116" t="str">
        <f>"14:25:37.133"</f>
        <v>14:25:37.133</v>
      </c>
      <c r="B2116" t="s">
        <v>108</v>
      </c>
      <c r="C2116" t="str">
        <f t="shared" si="97"/>
        <v>ffdfd3c0</v>
      </c>
      <c r="D2116" t="s">
        <v>109</v>
      </c>
      <c r="E2116">
        <v>4</v>
      </c>
      <c r="F2116">
        <v>1004</v>
      </c>
      <c r="G2116" t="s">
        <v>110</v>
      </c>
      <c r="J2116" t="s">
        <v>111</v>
      </c>
      <c r="K2116">
        <v>0</v>
      </c>
      <c r="L2116">
        <v>3</v>
      </c>
      <c r="M2116">
        <v>0</v>
      </c>
      <c r="N2116">
        <v>2</v>
      </c>
      <c r="O2116">
        <v>1</v>
      </c>
      <c r="P2116">
        <v>0</v>
      </c>
      <c r="Q2116">
        <v>0</v>
      </c>
      <c r="R2116" t="s">
        <v>112</v>
      </c>
      <c r="S2116" t="str">
        <f>"14:25:36.961"</f>
        <v>14:25:36.961</v>
      </c>
      <c r="T2116" t="str">
        <f>"14:25:36.563"</f>
        <v>14:25:36.563</v>
      </c>
      <c r="U2116" t="str">
        <f t="shared" si="99"/>
        <v>ad5732</v>
      </c>
      <c r="V2116">
        <v>0</v>
      </c>
      <c r="W2116">
        <v>0</v>
      </c>
      <c r="X2116">
        <v>1</v>
      </c>
      <c r="Z2116">
        <v>0</v>
      </c>
      <c r="AA2116">
        <v>9</v>
      </c>
      <c r="AB2116">
        <v>3</v>
      </c>
      <c r="AC2116">
        <v>0</v>
      </c>
      <c r="AD2116">
        <v>10</v>
      </c>
      <c r="AE2116">
        <v>0</v>
      </c>
      <c r="AF2116">
        <v>3</v>
      </c>
      <c r="AG2116">
        <v>2</v>
      </c>
      <c r="AH2116">
        <v>0</v>
      </c>
      <c r="AI2116" t="s">
        <v>4337</v>
      </c>
      <c r="AJ2116">
        <v>39.88138</v>
      </c>
      <c r="AK2116" t="s">
        <v>4338</v>
      </c>
      <c r="AL2116">
        <v>-75.758370999999997</v>
      </c>
      <c r="AM2116">
        <v>100</v>
      </c>
      <c r="AN2116">
        <v>4700</v>
      </c>
      <c r="AO2116" t="s">
        <v>115</v>
      </c>
      <c r="AP2116">
        <v>163</v>
      </c>
      <c r="AQ2116">
        <v>82</v>
      </c>
      <c r="AR2116">
        <v>-64</v>
      </c>
      <c r="AZ2116">
        <v>3614</v>
      </c>
      <c r="BA2116">
        <v>1</v>
      </c>
      <c r="BB2116" t="str">
        <f t="shared" si="98"/>
        <v xml:space="preserve">N959MJ  </v>
      </c>
      <c r="BC2116">
        <v>1</v>
      </c>
      <c r="BE2116">
        <v>0</v>
      </c>
      <c r="BF2116">
        <v>0</v>
      </c>
      <c r="BG2116">
        <v>0</v>
      </c>
      <c r="BH2116">
        <v>4875</v>
      </c>
      <c r="BI2116">
        <v>175</v>
      </c>
      <c r="BJ2116">
        <v>1</v>
      </c>
      <c r="BK2116">
        <v>1</v>
      </c>
      <c r="BL2116">
        <v>1</v>
      </c>
      <c r="BM2116">
        <v>0</v>
      </c>
      <c r="BP2116">
        <v>0</v>
      </c>
      <c r="BQ2116">
        <v>0</v>
      </c>
      <c r="BX2116" t="str">
        <f>"14:25:36.969"</f>
        <v>14:25:36.969</v>
      </c>
      <c r="BY2116" t="str">
        <f>"965833101"</f>
        <v>965833101</v>
      </c>
      <c r="CL2116">
        <v>0</v>
      </c>
      <c r="CM2116">
        <v>2</v>
      </c>
      <c r="CN2116">
        <v>0</v>
      </c>
      <c r="CO2116">
        <v>2</v>
      </c>
      <c r="CP2116">
        <v>0</v>
      </c>
      <c r="CQ2116">
        <v>7</v>
      </c>
      <c r="CR2116" t="s">
        <v>116</v>
      </c>
      <c r="CS2116">
        <v>39</v>
      </c>
      <c r="CT2116">
        <v>2</v>
      </c>
      <c r="CU2116" t="s">
        <v>2259</v>
      </c>
      <c r="CV2116" t="s">
        <v>2260</v>
      </c>
      <c r="CY2116">
        <v>16677094</v>
      </c>
      <c r="CZ2116" t="s">
        <v>119</v>
      </c>
    </row>
    <row r="2117" spans="1:104" x14ac:dyDescent="0.25">
      <c r="A2117" t="str">
        <f>"14:25:38.195"</f>
        <v>14:25:38.195</v>
      </c>
      <c r="B2117" t="s">
        <v>108</v>
      </c>
      <c r="C2117" t="str">
        <f t="shared" si="97"/>
        <v>ffdfd3c0</v>
      </c>
      <c r="D2117" t="s">
        <v>109</v>
      </c>
      <c r="E2117">
        <v>4</v>
      </c>
      <c r="F2117">
        <v>1004</v>
      </c>
      <c r="G2117" t="s">
        <v>110</v>
      </c>
      <c r="J2117" t="s">
        <v>111</v>
      </c>
      <c r="K2117">
        <v>0</v>
      </c>
      <c r="L2117">
        <v>3</v>
      </c>
      <c r="M2117">
        <v>0</v>
      </c>
      <c r="N2117">
        <v>2</v>
      </c>
      <c r="O2117">
        <v>1</v>
      </c>
      <c r="P2117">
        <v>0</v>
      </c>
      <c r="Q2117">
        <v>0</v>
      </c>
      <c r="R2117" t="s">
        <v>112</v>
      </c>
      <c r="S2117" t="str">
        <f>"14:25:38.039"</f>
        <v>14:25:38.039</v>
      </c>
      <c r="T2117" t="str">
        <f>"14:25:37.539"</f>
        <v>14:25:37.539</v>
      </c>
      <c r="U2117" t="str">
        <f t="shared" si="99"/>
        <v>ad5732</v>
      </c>
      <c r="V2117">
        <v>0</v>
      </c>
      <c r="W2117">
        <v>0</v>
      </c>
      <c r="X2117">
        <v>1</v>
      </c>
      <c r="Z2117">
        <v>0</v>
      </c>
      <c r="AA2117">
        <v>9</v>
      </c>
      <c r="AB2117">
        <v>3</v>
      </c>
      <c r="AC2117">
        <v>0</v>
      </c>
      <c r="AD2117">
        <v>10</v>
      </c>
      <c r="AE2117">
        <v>0</v>
      </c>
      <c r="AF2117">
        <v>3</v>
      </c>
      <c r="AG2117">
        <v>2</v>
      </c>
      <c r="AH2117">
        <v>0</v>
      </c>
      <c r="AI2117" t="s">
        <v>4339</v>
      </c>
      <c r="AJ2117">
        <v>39.881808999999997</v>
      </c>
      <c r="AK2117" t="s">
        <v>4340</v>
      </c>
      <c r="AL2117">
        <v>-75.757320000000007</v>
      </c>
      <c r="AM2117">
        <v>100</v>
      </c>
      <c r="AN2117">
        <v>4700</v>
      </c>
      <c r="AO2117" t="s">
        <v>115</v>
      </c>
      <c r="AP2117">
        <v>163</v>
      </c>
      <c r="AQ2117">
        <v>82</v>
      </c>
      <c r="AR2117">
        <v>0</v>
      </c>
      <c r="AZ2117">
        <v>3614</v>
      </c>
      <c r="BA2117">
        <v>1</v>
      </c>
      <c r="BB2117" t="str">
        <f t="shared" si="98"/>
        <v xml:space="preserve">N959MJ  </v>
      </c>
      <c r="BC2117">
        <v>1</v>
      </c>
      <c r="BE2117">
        <v>0</v>
      </c>
      <c r="BF2117">
        <v>0</v>
      </c>
      <c r="BG2117">
        <v>0</v>
      </c>
      <c r="BH2117">
        <v>4875</v>
      </c>
      <c r="BI2117">
        <v>175</v>
      </c>
      <c r="BJ2117">
        <v>1</v>
      </c>
      <c r="BK2117">
        <v>1</v>
      </c>
      <c r="BL2117">
        <v>1</v>
      </c>
      <c r="BM2117">
        <v>0</v>
      </c>
      <c r="BP2117">
        <v>0</v>
      </c>
      <c r="BQ2117">
        <v>0</v>
      </c>
      <c r="BX2117" t="str">
        <f>"14:25:38.039"</f>
        <v>14:25:38.039</v>
      </c>
      <c r="BY2117" t="str">
        <f>"042279999"</f>
        <v>042279999</v>
      </c>
      <c r="CL2117">
        <v>0</v>
      </c>
      <c r="CM2117">
        <v>2</v>
      </c>
      <c r="CN2117">
        <v>0</v>
      </c>
      <c r="CO2117">
        <v>2</v>
      </c>
      <c r="CP2117">
        <v>0</v>
      </c>
      <c r="CQ2117">
        <v>7</v>
      </c>
      <c r="CR2117" t="s">
        <v>116</v>
      </c>
      <c r="CS2117">
        <v>39</v>
      </c>
      <c r="CT2117">
        <v>2</v>
      </c>
      <c r="CU2117" t="s">
        <v>2259</v>
      </c>
      <c r="CV2117" t="s">
        <v>2260</v>
      </c>
      <c r="CY2117">
        <v>16678796</v>
      </c>
      <c r="CZ2117" t="s">
        <v>119</v>
      </c>
    </row>
    <row r="2118" spans="1:104" x14ac:dyDescent="0.25">
      <c r="A2118" t="str">
        <f>"14:25:39.250"</f>
        <v>14:25:39.250</v>
      </c>
      <c r="B2118" t="s">
        <v>108</v>
      </c>
      <c r="C2118" t="str">
        <f t="shared" si="97"/>
        <v>ffdfd3c0</v>
      </c>
      <c r="D2118" t="s">
        <v>109</v>
      </c>
      <c r="E2118">
        <v>4</v>
      </c>
      <c r="F2118">
        <v>1004</v>
      </c>
      <c r="G2118" t="s">
        <v>110</v>
      </c>
      <c r="J2118" t="s">
        <v>111</v>
      </c>
      <c r="K2118">
        <v>0</v>
      </c>
      <c r="L2118">
        <v>3</v>
      </c>
      <c r="M2118">
        <v>0</v>
      </c>
      <c r="N2118">
        <v>2</v>
      </c>
      <c r="O2118">
        <v>1</v>
      </c>
      <c r="P2118">
        <v>0</v>
      </c>
      <c r="Q2118">
        <v>0</v>
      </c>
      <c r="R2118" t="s">
        <v>112</v>
      </c>
      <c r="S2118" t="str">
        <f>"14:25:39.086"</f>
        <v>14:25:39.086</v>
      </c>
      <c r="T2118" t="str">
        <f>"14:25:38.688"</f>
        <v>14:25:38.688</v>
      </c>
      <c r="U2118" t="str">
        <f t="shared" si="99"/>
        <v>ad5732</v>
      </c>
      <c r="V2118">
        <v>0</v>
      </c>
      <c r="W2118">
        <v>0</v>
      </c>
      <c r="X2118">
        <v>1</v>
      </c>
      <c r="Z2118">
        <v>0</v>
      </c>
      <c r="AA2118">
        <v>9</v>
      </c>
      <c r="AB2118">
        <v>3</v>
      </c>
      <c r="AC2118">
        <v>0</v>
      </c>
      <c r="AD2118">
        <v>10</v>
      </c>
      <c r="AE2118">
        <v>0</v>
      </c>
      <c r="AF2118">
        <v>3</v>
      </c>
      <c r="AG2118">
        <v>2</v>
      </c>
      <c r="AH2118">
        <v>0</v>
      </c>
      <c r="AI2118" t="s">
        <v>4341</v>
      </c>
      <c r="AJ2118">
        <v>39.882195000000003</v>
      </c>
      <c r="AK2118" t="s">
        <v>4342</v>
      </c>
      <c r="AL2118">
        <v>-75.756354000000002</v>
      </c>
      <c r="AM2118">
        <v>100</v>
      </c>
      <c r="AN2118">
        <v>4700</v>
      </c>
      <c r="AO2118" t="s">
        <v>115</v>
      </c>
      <c r="AP2118">
        <v>163</v>
      </c>
      <c r="AQ2118">
        <v>82</v>
      </c>
      <c r="AR2118">
        <v>0</v>
      </c>
      <c r="AZ2118">
        <v>3614</v>
      </c>
      <c r="BA2118">
        <v>1</v>
      </c>
      <c r="BB2118" t="str">
        <f t="shared" si="98"/>
        <v xml:space="preserve">N959MJ  </v>
      </c>
      <c r="BC2118">
        <v>1</v>
      </c>
      <c r="BE2118">
        <v>0</v>
      </c>
      <c r="BF2118">
        <v>0</v>
      </c>
      <c r="BG2118">
        <v>0</v>
      </c>
      <c r="BH2118">
        <v>4875</v>
      </c>
      <c r="BI2118">
        <v>175</v>
      </c>
      <c r="BJ2118">
        <v>1</v>
      </c>
      <c r="BK2118">
        <v>1</v>
      </c>
      <c r="BL2118">
        <v>1</v>
      </c>
      <c r="BM2118">
        <v>0</v>
      </c>
      <c r="BP2118">
        <v>0</v>
      </c>
      <c r="BQ2118">
        <v>0</v>
      </c>
      <c r="BX2118" t="str">
        <f>"14:25:39.086"</f>
        <v>14:25:39.086</v>
      </c>
      <c r="BY2118" t="str">
        <f>"089235273"</f>
        <v>089235273</v>
      </c>
      <c r="CL2118">
        <v>0</v>
      </c>
      <c r="CM2118">
        <v>2</v>
      </c>
      <c r="CN2118">
        <v>0</v>
      </c>
      <c r="CO2118">
        <v>2</v>
      </c>
      <c r="CP2118">
        <v>0</v>
      </c>
      <c r="CQ2118">
        <v>7</v>
      </c>
      <c r="CR2118" t="s">
        <v>116</v>
      </c>
      <c r="CS2118">
        <v>39</v>
      </c>
      <c r="CT2118">
        <v>2</v>
      </c>
      <c r="CU2118" t="s">
        <v>2259</v>
      </c>
      <c r="CV2118" t="s">
        <v>2260</v>
      </c>
      <c r="CY2118">
        <v>16680531</v>
      </c>
      <c r="CZ2118" t="s">
        <v>119</v>
      </c>
    </row>
    <row r="2119" spans="1:104" x14ac:dyDescent="0.25">
      <c r="A2119" t="str">
        <f>"14:25:40.313"</f>
        <v>14:25:40.313</v>
      </c>
      <c r="B2119" t="s">
        <v>108</v>
      </c>
      <c r="C2119" t="str">
        <f t="shared" si="97"/>
        <v>ffdfd3c0</v>
      </c>
      <c r="D2119" t="s">
        <v>109</v>
      </c>
      <c r="E2119">
        <v>4</v>
      </c>
      <c r="F2119">
        <v>1004</v>
      </c>
      <c r="G2119" t="s">
        <v>110</v>
      </c>
      <c r="J2119" t="s">
        <v>111</v>
      </c>
      <c r="K2119">
        <v>0</v>
      </c>
      <c r="L2119">
        <v>3</v>
      </c>
      <c r="M2119">
        <v>0</v>
      </c>
      <c r="N2119">
        <v>2</v>
      </c>
      <c r="O2119">
        <v>1</v>
      </c>
      <c r="P2119">
        <v>0</v>
      </c>
      <c r="Q2119">
        <v>0</v>
      </c>
      <c r="R2119" t="s">
        <v>112</v>
      </c>
      <c r="S2119" t="str">
        <f>"14:25:40.117"</f>
        <v>14:25:40.117</v>
      </c>
      <c r="T2119" t="str">
        <f>"14:25:39.719"</f>
        <v>14:25:39.719</v>
      </c>
      <c r="U2119" t="str">
        <f t="shared" si="99"/>
        <v>ad5732</v>
      </c>
      <c r="V2119">
        <v>0</v>
      </c>
      <c r="W2119">
        <v>0</v>
      </c>
      <c r="X2119">
        <v>1</v>
      </c>
      <c r="Z2119">
        <v>0</v>
      </c>
      <c r="AA2119">
        <v>9</v>
      </c>
      <c r="AB2119">
        <v>3</v>
      </c>
      <c r="AC2119">
        <v>0</v>
      </c>
      <c r="AD2119">
        <v>10</v>
      </c>
      <c r="AE2119">
        <v>0</v>
      </c>
      <c r="AF2119">
        <v>3</v>
      </c>
      <c r="AG2119">
        <v>2</v>
      </c>
      <c r="AH2119">
        <v>0</v>
      </c>
      <c r="AI2119" t="s">
        <v>4343</v>
      </c>
      <c r="AJ2119">
        <v>39.882559999999998</v>
      </c>
      <c r="AK2119" t="s">
        <v>4344</v>
      </c>
      <c r="AL2119">
        <v>-75.755260000000007</v>
      </c>
      <c r="AM2119">
        <v>100</v>
      </c>
      <c r="AN2119">
        <v>4700</v>
      </c>
      <c r="AO2119" t="s">
        <v>115</v>
      </c>
      <c r="AP2119">
        <v>163</v>
      </c>
      <c r="AQ2119">
        <v>81</v>
      </c>
      <c r="AR2119">
        <v>64</v>
      </c>
      <c r="AZ2119">
        <v>3614</v>
      </c>
      <c r="BA2119">
        <v>1</v>
      </c>
      <c r="BB2119" t="str">
        <f t="shared" si="98"/>
        <v xml:space="preserve">N959MJ  </v>
      </c>
      <c r="BC2119">
        <v>1</v>
      </c>
      <c r="BE2119">
        <v>0</v>
      </c>
      <c r="BF2119">
        <v>0</v>
      </c>
      <c r="BG2119">
        <v>0</v>
      </c>
      <c r="BH2119">
        <v>4875</v>
      </c>
      <c r="BI2119">
        <v>175</v>
      </c>
      <c r="BJ2119">
        <v>1</v>
      </c>
      <c r="BK2119">
        <v>1</v>
      </c>
      <c r="BL2119">
        <v>1</v>
      </c>
      <c r="BM2119">
        <v>0</v>
      </c>
      <c r="BP2119">
        <v>0</v>
      </c>
      <c r="BQ2119">
        <v>0</v>
      </c>
      <c r="BX2119" t="str">
        <f>"14:25:40.117"</f>
        <v>14:25:40.117</v>
      </c>
      <c r="BY2119" t="str">
        <f>"118167710"</f>
        <v>118167710</v>
      </c>
      <c r="CL2119">
        <v>0</v>
      </c>
      <c r="CM2119">
        <v>2</v>
      </c>
      <c r="CN2119">
        <v>0</v>
      </c>
      <c r="CO2119">
        <v>2</v>
      </c>
      <c r="CP2119">
        <v>0</v>
      </c>
      <c r="CQ2119">
        <v>7</v>
      </c>
      <c r="CR2119" t="s">
        <v>116</v>
      </c>
      <c r="CS2119">
        <v>39</v>
      </c>
      <c r="CT2119">
        <v>2</v>
      </c>
      <c r="CU2119" t="s">
        <v>2259</v>
      </c>
      <c r="CV2119" t="s">
        <v>2260</v>
      </c>
      <c r="CY2119">
        <v>16682153</v>
      </c>
      <c r="CZ2119" t="s">
        <v>119</v>
      </c>
    </row>
    <row r="2120" spans="1:104" x14ac:dyDescent="0.25">
      <c r="A2120" t="str">
        <f>"14:25:41.219"</f>
        <v>14:25:41.219</v>
      </c>
      <c r="B2120" t="s">
        <v>108</v>
      </c>
      <c r="C2120" t="str">
        <f t="shared" si="97"/>
        <v>ffdfd3c0</v>
      </c>
      <c r="D2120" t="s">
        <v>109</v>
      </c>
      <c r="E2120">
        <v>4</v>
      </c>
      <c r="F2120">
        <v>1004</v>
      </c>
      <c r="G2120" t="s">
        <v>110</v>
      </c>
      <c r="J2120" t="s">
        <v>111</v>
      </c>
      <c r="K2120">
        <v>0</v>
      </c>
      <c r="L2120">
        <v>3</v>
      </c>
      <c r="M2120">
        <v>0</v>
      </c>
      <c r="N2120">
        <v>2</v>
      </c>
      <c r="O2120">
        <v>1</v>
      </c>
      <c r="P2120">
        <v>0</v>
      </c>
      <c r="Q2120">
        <v>0</v>
      </c>
      <c r="R2120" t="s">
        <v>112</v>
      </c>
      <c r="S2120" t="str">
        <f>"14:25:41.023"</f>
        <v>14:25:41.023</v>
      </c>
      <c r="T2120" t="str">
        <f>"14:25:40.625"</f>
        <v>14:25:40.625</v>
      </c>
      <c r="U2120" t="str">
        <f t="shared" si="99"/>
        <v>ad5732</v>
      </c>
      <c r="V2120">
        <v>0</v>
      </c>
      <c r="W2120">
        <v>0</v>
      </c>
      <c r="X2120">
        <v>1</v>
      </c>
      <c r="Z2120">
        <v>0</v>
      </c>
      <c r="AA2120">
        <v>9</v>
      </c>
      <c r="AB2120">
        <v>3</v>
      </c>
      <c r="AC2120">
        <v>0</v>
      </c>
      <c r="AD2120">
        <v>10</v>
      </c>
      <c r="AE2120">
        <v>0</v>
      </c>
      <c r="AF2120">
        <v>3</v>
      </c>
      <c r="AG2120">
        <v>2</v>
      </c>
      <c r="AH2120">
        <v>0</v>
      </c>
      <c r="AI2120" t="s">
        <v>4345</v>
      </c>
      <c r="AJ2120">
        <v>39.882925</v>
      </c>
      <c r="AK2120" t="s">
        <v>4346</v>
      </c>
      <c r="AL2120">
        <v>-75.754337000000007</v>
      </c>
      <c r="AM2120">
        <v>100</v>
      </c>
      <c r="AN2120">
        <v>4700</v>
      </c>
      <c r="AO2120" t="s">
        <v>115</v>
      </c>
      <c r="AP2120">
        <v>163</v>
      </c>
      <c r="AQ2120">
        <v>81</v>
      </c>
      <c r="AR2120">
        <v>64</v>
      </c>
      <c r="AZ2120">
        <v>3614</v>
      </c>
      <c r="BA2120">
        <v>1</v>
      </c>
      <c r="BB2120" t="str">
        <f t="shared" si="98"/>
        <v xml:space="preserve">N959MJ  </v>
      </c>
      <c r="BC2120">
        <v>1</v>
      </c>
      <c r="BE2120">
        <v>0</v>
      </c>
      <c r="BF2120">
        <v>0</v>
      </c>
      <c r="BG2120">
        <v>0</v>
      </c>
      <c r="BH2120">
        <v>4875</v>
      </c>
      <c r="BI2120">
        <v>175</v>
      </c>
      <c r="BJ2120">
        <v>1</v>
      </c>
      <c r="BK2120">
        <v>1</v>
      </c>
      <c r="BL2120">
        <v>1</v>
      </c>
      <c r="BM2120">
        <v>0</v>
      </c>
      <c r="BP2120">
        <v>0</v>
      </c>
      <c r="BQ2120">
        <v>0</v>
      </c>
      <c r="BX2120" t="str">
        <f>"14:25:41.031"</f>
        <v>14:25:41.031</v>
      </c>
      <c r="BY2120" t="str">
        <f>"027495004"</f>
        <v>027495004</v>
      </c>
      <c r="CL2120">
        <v>0</v>
      </c>
      <c r="CM2120">
        <v>2</v>
      </c>
      <c r="CN2120">
        <v>0</v>
      </c>
      <c r="CO2120">
        <v>2</v>
      </c>
      <c r="CP2120">
        <v>0</v>
      </c>
      <c r="CQ2120">
        <v>7</v>
      </c>
      <c r="CR2120" t="s">
        <v>116</v>
      </c>
      <c r="CS2120">
        <v>39</v>
      </c>
      <c r="CT2120">
        <v>2</v>
      </c>
      <c r="CU2120" t="s">
        <v>2259</v>
      </c>
      <c r="CV2120" t="s">
        <v>2260</v>
      </c>
      <c r="CY2120">
        <v>16683658</v>
      </c>
      <c r="CZ2120" t="s">
        <v>119</v>
      </c>
    </row>
    <row r="2121" spans="1:104" x14ac:dyDescent="0.25">
      <c r="A2121" t="str">
        <f>"14:25:42.133"</f>
        <v>14:25:42.133</v>
      </c>
      <c r="B2121" t="s">
        <v>108</v>
      </c>
      <c r="C2121" t="str">
        <f t="shared" si="97"/>
        <v>ffdfd3c0</v>
      </c>
      <c r="D2121" t="s">
        <v>109</v>
      </c>
      <c r="E2121">
        <v>4</v>
      </c>
      <c r="F2121">
        <v>1004</v>
      </c>
      <c r="G2121" t="s">
        <v>110</v>
      </c>
      <c r="J2121" t="s">
        <v>111</v>
      </c>
      <c r="K2121">
        <v>0</v>
      </c>
      <c r="L2121">
        <v>3</v>
      </c>
      <c r="M2121">
        <v>0</v>
      </c>
      <c r="N2121">
        <v>2</v>
      </c>
      <c r="O2121">
        <v>1</v>
      </c>
      <c r="P2121">
        <v>0</v>
      </c>
      <c r="Q2121">
        <v>0</v>
      </c>
      <c r="R2121" t="s">
        <v>112</v>
      </c>
      <c r="S2121" t="str">
        <f>"14:25:41.930"</f>
        <v>14:25:41.930</v>
      </c>
      <c r="T2121" t="str">
        <f>"14:25:41.531"</f>
        <v>14:25:41.531</v>
      </c>
      <c r="U2121" t="str">
        <f t="shared" si="99"/>
        <v>ad5732</v>
      </c>
      <c r="V2121">
        <v>0</v>
      </c>
      <c r="W2121">
        <v>0</v>
      </c>
      <c r="X2121">
        <v>1</v>
      </c>
      <c r="Z2121">
        <v>0</v>
      </c>
      <c r="AA2121">
        <v>9</v>
      </c>
      <c r="AB2121">
        <v>3</v>
      </c>
      <c r="AC2121">
        <v>0</v>
      </c>
      <c r="AD2121">
        <v>10</v>
      </c>
      <c r="AE2121">
        <v>0</v>
      </c>
      <c r="AF2121">
        <v>3</v>
      </c>
      <c r="AG2121">
        <v>2</v>
      </c>
      <c r="AH2121">
        <v>0</v>
      </c>
      <c r="AI2121" t="s">
        <v>4347</v>
      </c>
      <c r="AJ2121">
        <v>39.883246</v>
      </c>
      <c r="AK2121" t="s">
        <v>4348</v>
      </c>
      <c r="AL2121">
        <v>-75.753478999999999</v>
      </c>
      <c r="AM2121">
        <v>100</v>
      </c>
      <c r="AN2121">
        <v>4700</v>
      </c>
      <c r="AO2121" t="s">
        <v>115</v>
      </c>
      <c r="AP2121">
        <v>162</v>
      </c>
      <c r="AQ2121">
        <v>81</v>
      </c>
      <c r="AR2121">
        <v>64</v>
      </c>
      <c r="AZ2121">
        <v>3614</v>
      </c>
      <c r="BA2121">
        <v>1</v>
      </c>
      <c r="BB2121" t="str">
        <f t="shared" si="98"/>
        <v xml:space="preserve">N959MJ  </v>
      </c>
      <c r="BC2121">
        <v>1</v>
      </c>
      <c r="BE2121">
        <v>0</v>
      </c>
      <c r="BF2121">
        <v>0</v>
      </c>
      <c r="BG2121">
        <v>0</v>
      </c>
      <c r="BH2121">
        <v>4875</v>
      </c>
      <c r="BI2121">
        <v>175</v>
      </c>
      <c r="BJ2121">
        <v>1</v>
      </c>
      <c r="BK2121">
        <v>1</v>
      </c>
      <c r="BL2121">
        <v>1</v>
      </c>
      <c r="BM2121">
        <v>0</v>
      </c>
      <c r="BP2121">
        <v>0</v>
      </c>
      <c r="BQ2121">
        <v>0</v>
      </c>
      <c r="BX2121" t="str">
        <f>"14:25:41.930"</f>
        <v>14:25:41.930</v>
      </c>
      <c r="BY2121" t="str">
        <f>"931907011"</f>
        <v>931907011</v>
      </c>
      <c r="CL2121">
        <v>0</v>
      </c>
      <c r="CM2121">
        <v>2</v>
      </c>
      <c r="CN2121">
        <v>0</v>
      </c>
      <c r="CO2121">
        <v>2</v>
      </c>
      <c r="CP2121">
        <v>0</v>
      </c>
      <c r="CQ2121">
        <v>7</v>
      </c>
      <c r="CR2121" t="s">
        <v>116</v>
      </c>
      <c r="CS2121">
        <v>39</v>
      </c>
      <c r="CT2121">
        <v>2</v>
      </c>
      <c r="CU2121" t="s">
        <v>2259</v>
      </c>
      <c r="CV2121" t="s">
        <v>2260</v>
      </c>
      <c r="CY2121">
        <v>16685111</v>
      </c>
      <c r="CZ2121" t="s">
        <v>119</v>
      </c>
    </row>
    <row r="2122" spans="1:104" x14ac:dyDescent="0.25">
      <c r="A2122" t="str">
        <f>"14:25:42.992"</f>
        <v>14:25:42.992</v>
      </c>
      <c r="B2122" t="s">
        <v>108</v>
      </c>
      <c r="C2122" t="str">
        <f t="shared" ref="C2122:C2185" si="100">"ffdfd3c0"</f>
        <v>ffdfd3c0</v>
      </c>
      <c r="D2122" t="s">
        <v>109</v>
      </c>
      <c r="E2122">
        <v>4</v>
      </c>
      <c r="F2122">
        <v>1004</v>
      </c>
      <c r="G2122" t="s">
        <v>110</v>
      </c>
      <c r="J2122" t="s">
        <v>111</v>
      </c>
      <c r="K2122">
        <v>0</v>
      </c>
      <c r="L2122">
        <v>3</v>
      </c>
      <c r="M2122">
        <v>0</v>
      </c>
      <c r="N2122">
        <v>2</v>
      </c>
      <c r="O2122">
        <v>1</v>
      </c>
      <c r="P2122">
        <v>0</v>
      </c>
      <c r="Q2122">
        <v>0</v>
      </c>
      <c r="R2122" t="s">
        <v>112</v>
      </c>
      <c r="S2122" t="str">
        <f>"14:25:42.813"</f>
        <v>14:25:42.813</v>
      </c>
      <c r="T2122" t="str">
        <f>"14:25:42.414"</f>
        <v>14:25:42.414</v>
      </c>
      <c r="U2122" t="str">
        <f t="shared" si="99"/>
        <v>ad5732</v>
      </c>
      <c r="V2122">
        <v>0</v>
      </c>
      <c r="W2122">
        <v>0</v>
      </c>
      <c r="X2122">
        <v>1</v>
      </c>
      <c r="Z2122">
        <v>0</v>
      </c>
      <c r="AA2122">
        <v>9</v>
      </c>
      <c r="AB2122">
        <v>3</v>
      </c>
      <c r="AC2122">
        <v>0</v>
      </c>
      <c r="AD2122">
        <v>10</v>
      </c>
      <c r="AE2122">
        <v>0</v>
      </c>
      <c r="AF2122">
        <v>3</v>
      </c>
      <c r="AG2122">
        <v>2</v>
      </c>
      <c r="AH2122">
        <v>0</v>
      </c>
      <c r="AI2122" t="s">
        <v>4349</v>
      </c>
      <c r="AJ2122">
        <v>39.883589999999998</v>
      </c>
      <c r="AK2122" t="s">
        <v>4350</v>
      </c>
      <c r="AL2122">
        <v>-75.752621000000005</v>
      </c>
      <c r="AM2122">
        <v>100</v>
      </c>
      <c r="AN2122">
        <v>4700</v>
      </c>
      <c r="AO2122" t="s">
        <v>115</v>
      </c>
      <c r="AP2122">
        <v>162</v>
      </c>
      <c r="AQ2122">
        <v>81</v>
      </c>
      <c r="AR2122">
        <v>64</v>
      </c>
      <c r="AZ2122">
        <v>3614</v>
      </c>
      <c r="BA2122">
        <v>1</v>
      </c>
      <c r="BB2122" t="str">
        <f t="shared" ref="BB2122:BB2185" si="101">"N959MJ  "</f>
        <v xml:space="preserve">N959MJ  </v>
      </c>
      <c r="BC2122">
        <v>1</v>
      </c>
      <c r="BE2122">
        <v>0</v>
      </c>
      <c r="BF2122">
        <v>0</v>
      </c>
      <c r="BG2122">
        <v>0</v>
      </c>
      <c r="BH2122">
        <v>4900</v>
      </c>
      <c r="BI2122">
        <v>200</v>
      </c>
      <c r="BJ2122">
        <v>1</v>
      </c>
      <c r="BK2122">
        <v>1</v>
      </c>
      <c r="BL2122">
        <v>1</v>
      </c>
      <c r="BM2122">
        <v>0</v>
      </c>
      <c r="BP2122">
        <v>0</v>
      </c>
      <c r="BQ2122">
        <v>0</v>
      </c>
      <c r="BX2122" t="str">
        <f>"14:25:42.813"</f>
        <v>14:25:42.813</v>
      </c>
      <c r="BY2122" t="str">
        <f>"813381039"</f>
        <v>813381039</v>
      </c>
      <c r="CL2122">
        <v>0</v>
      </c>
      <c r="CM2122">
        <v>2</v>
      </c>
      <c r="CN2122">
        <v>0</v>
      </c>
      <c r="CO2122">
        <v>2</v>
      </c>
      <c r="CP2122">
        <v>0</v>
      </c>
      <c r="CQ2122">
        <v>7</v>
      </c>
      <c r="CR2122" t="s">
        <v>116</v>
      </c>
      <c r="CS2122">
        <v>39</v>
      </c>
      <c r="CT2122">
        <v>2</v>
      </c>
      <c r="CU2122" t="s">
        <v>2259</v>
      </c>
      <c r="CV2122" t="s">
        <v>2260</v>
      </c>
      <c r="CY2122">
        <v>16686543</v>
      </c>
      <c r="CZ2122" t="s">
        <v>119</v>
      </c>
    </row>
    <row r="2123" spans="1:104" x14ac:dyDescent="0.25">
      <c r="A2123" t="str">
        <f>"14:25:44.047"</f>
        <v>14:25:44.047</v>
      </c>
      <c r="B2123" t="s">
        <v>108</v>
      </c>
      <c r="C2123" t="str">
        <f t="shared" si="100"/>
        <v>ffdfd3c0</v>
      </c>
      <c r="D2123" t="s">
        <v>109</v>
      </c>
      <c r="E2123">
        <v>4</v>
      </c>
      <c r="F2123">
        <v>1004</v>
      </c>
      <c r="G2123" t="s">
        <v>110</v>
      </c>
      <c r="J2123" t="s">
        <v>111</v>
      </c>
      <c r="K2123">
        <v>0</v>
      </c>
      <c r="L2123">
        <v>3</v>
      </c>
      <c r="M2123">
        <v>0</v>
      </c>
      <c r="N2123">
        <v>2</v>
      </c>
      <c r="O2123">
        <v>1</v>
      </c>
      <c r="P2123">
        <v>0</v>
      </c>
      <c r="Q2123">
        <v>0</v>
      </c>
      <c r="R2123" t="s">
        <v>112</v>
      </c>
      <c r="S2123" t="str">
        <f>"14:25:43.836"</f>
        <v>14:25:43.836</v>
      </c>
      <c r="T2123" t="str">
        <f>"14:25:43.438"</f>
        <v>14:25:43.438</v>
      </c>
      <c r="U2123" t="str">
        <f t="shared" si="99"/>
        <v>ad5732</v>
      </c>
      <c r="V2123">
        <v>0</v>
      </c>
      <c r="W2123">
        <v>0</v>
      </c>
      <c r="X2123">
        <v>1</v>
      </c>
      <c r="Z2123">
        <v>0</v>
      </c>
      <c r="AA2123">
        <v>9</v>
      </c>
      <c r="AB2123">
        <v>3</v>
      </c>
      <c r="AC2123">
        <v>0</v>
      </c>
      <c r="AD2123">
        <v>10</v>
      </c>
      <c r="AE2123">
        <v>0</v>
      </c>
      <c r="AF2123">
        <v>3</v>
      </c>
      <c r="AG2123">
        <v>2</v>
      </c>
      <c r="AH2123">
        <v>0</v>
      </c>
      <c r="AI2123" t="s">
        <v>4351</v>
      </c>
      <c r="AJ2123">
        <v>39.883997000000001</v>
      </c>
      <c r="AK2123" t="s">
        <v>4352</v>
      </c>
      <c r="AL2123">
        <v>-75.751655</v>
      </c>
      <c r="AM2123">
        <v>100</v>
      </c>
      <c r="AN2123">
        <v>4700</v>
      </c>
      <c r="AO2123" t="s">
        <v>115</v>
      </c>
      <c r="AP2123">
        <v>162</v>
      </c>
      <c r="AQ2123">
        <v>81</v>
      </c>
      <c r="AR2123">
        <v>128</v>
      </c>
      <c r="AZ2123">
        <v>3614</v>
      </c>
      <c r="BA2123">
        <v>1</v>
      </c>
      <c r="BB2123" t="str">
        <f t="shared" si="101"/>
        <v xml:space="preserve">N959MJ  </v>
      </c>
      <c r="BC2123">
        <v>1</v>
      </c>
      <c r="BE2123">
        <v>0</v>
      </c>
      <c r="BF2123">
        <v>0</v>
      </c>
      <c r="BG2123">
        <v>0</v>
      </c>
      <c r="BH2123">
        <v>4900</v>
      </c>
      <c r="BI2123">
        <v>200</v>
      </c>
      <c r="BJ2123">
        <v>1</v>
      </c>
      <c r="BK2123">
        <v>1</v>
      </c>
      <c r="BL2123">
        <v>1</v>
      </c>
      <c r="BM2123">
        <v>0</v>
      </c>
      <c r="BP2123">
        <v>0</v>
      </c>
      <c r="BQ2123">
        <v>0</v>
      </c>
      <c r="BX2123" t="str">
        <f>"14:25:43.844"</f>
        <v>14:25:43.844</v>
      </c>
      <c r="BY2123" t="str">
        <f>"842313524"</f>
        <v>842313524</v>
      </c>
      <c r="CL2123">
        <v>0</v>
      </c>
      <c r="CM2123">
        <v>2</v>
      </c>
      <c r="CN2123">
        <v>0</v>
      </c>
      <c r="CO2123">
        <v>2</v>
      </c>
      <c r="CP2123">
        <v>0</v>
      </c>
      <c r="CQ2123">
        <v>7</v>
      </c>
      <c r="CR2123" t="s">
        <v>116</v>
      </c>
      <c r="CS2123">
        <v>39</v>
      </c>
      <c r="CT2123">
        <v>2</v>
      </c>
      <c r="CU2123" t="s">
        <v>2259</v>
      </c>
      <c r="CV2123" t="s">
        <v>2260</v>
      </c>
      <c r="CY2123">
        <v>16688276</v>
      </c>
      <c r="CZ2123" t="s">
        <v>119</v>
      </c>
    </row>
    <row r="2124" spans="1:104" x14ac:dyDescent="0.25">
      <c r="A2124" t="str">
        <f>"14:25:45.211"</f>
        <v>14:25:45.211</v>
      </c>
      <c r="B2124" t="s">
        <v>108</v>
      </c>
      <c r="C2124" t="str">
        <f t="shared" si="100"/>
        <v>ffdfd3c0</v>
      </c>
      <c r="D2124" t="s">
        <v>109</v>
      </c>
      <c r="E2124">
        <v>4</v>
      </c>
      <c r="F2124">
        <v>1004</v>
      </c>
      <c r="G2124" t="s">
        <v>110</v>
      </c>
      <c r="J2124" t="s">
        <v>111</v>
      </c>
      <c r="K2124">
        <v>0</v>
      </c>
      <c r="L2124">
        <v>3</v>
      </c>
      <c r="M2124">
        <v>0</v>
      </c>
      <c r="N2124">
        <v>2</v>
      </c>
      <c r="O2124">
        <v>1</v>
      </c>
      <c r="P2124">
        <v>0</v>
      </c>
      <c r="Q2124">
        <v>0</v>
      </c>
      <c r="R2124" t="s">
        <v>112</v>
      </c>
      <c r="S2124" t="str">
        <f>"14:25:44.992"</f>
        <v>14:25:44.992</v>
      </c>
      <c r="T2124" t="str">
        <f>"14:25:44.492"</f>
        <v>14:25:44.492</v>
      </c>
      <c r="U2124" t="str">
        <f t="shared" si="99"/>
        <v>ad5732</v>
      </c>
      <c r="V2124">
        <v>0</v>
      </c>
      <c r="W2124">
        <v>0</v>
      </c>
      <c r="X2124">
        <v>1</v>
      </c>
      <c r="Z2124">
        <v>0</v>
      </c>
      <c r="AA2124">
        <v>9</v>
      </c>
      <c r="AB2124">
        <v>3</v>
      </c>
      <c r="AC2124">
        <v>0</v>
      </c>
      <c r="AD2124">
        <v>10</v>
      </c>
      <c r="AE2124">
        <v>0</v>
      </c>
      <c r="AF2124">
        <v>3</v>
      </c>
      <c r="AG2124">
        <v>2</v>
      </c>
      <c r="AH2124">
        <v>0</v>
      </c>
      <c r="AI2124" t="s">
        <v>4353</v>
      </c>
      <c r="AJ2124">
        <v>39.884405000000001</v>
      </c>
      <c r="AK2124" t="s">
        <v>4354</v>
      </c>
      <c r="AL2124">
        <v>-75.750561000000005</v>
      </c>
      <c r="AM2124">
        <v>100</v>
      </c>
      <c r="AN2124">
        <v>4700</v>
      </c>
      <c r="AO2124" t="s">
        <v>115</v>
      </c>
      <c r="AP2124">
        <v>162</v>
      </c>
      <c r="AQ2124">
        <v>81</v>
      </c>
      <c r="AR2124">
        <v>128</v>
      </c>
      <c r="AZ2124">
        <v>3614</v>
      </c>
      <c r="BA2124">
        <v>1</v>
      </c>
      <c r="BB2124" t="str">
        <f t="shared" si="101"/>
        <v xml:space="preserve">N959MJ  </v>
      </c>
      <c r="BC2124">
        <v>1</v>
      </c>
      <c r="BE2124">
        <v>0</v>
      </c>
      <c r="BF2124">
        <v>0</v>
      </c>
      <c r="BG2124">
        <v>0</v>
      </c>
      <c r="BH2124">
        <v>4900</v>
      </c>
      <c r="BI2124">
        <v>200</v>
      </c>
      <c r="BJ2124">
        <v>1</v>
      </c>
      <c r="BK2124">
        <v>1</v>
      </c>
      <c r="BL2124">
        <v>1</v>
      </c>
      <c r="BM2124">
        <v>0</v>
      </c>
      <c r="BP2124">
        <v>0</v>
      </c>
      <c r="BQ2124">
        <v>0</v>
      </c>
      <c r="BX2124" t="str">
        <f>"14:25:45.000"</f>
        <v>14:25:45.000</v>
      </c>
      <c r="BY2124" t="str">
        <f>"999043378"</f>
        <v>999043378</v>
      </c>
      <c r="CL2124">
        <v>0</v>
      </c>
      <c r="CM2124">
        <v>2</v>
      </c>
      <c r="CN2124">
        <v>0</v>
      </c>
      <c r="CO2124">
        <v>2</v>
      </c>
      <c r="CP2124">
        <v>0</v>
      </c>
      <c r="CQ2124">
        <v>7</v>
      </c>
      <c r="CR2124" t="s">
        <v>116</v>
      </c>
      <c r="CS2124">
        <v>39</v>
      </c>
      <c r="CT2124">
        <v>2</v>
      </c>
      <c r="CU2124" t="s">
        <v>2259</v>
      </c>
      <c r="CV2124" t="s">
        <v>2260</v>
      </c>
      <c r="CY2124">
        <v>16690074</v>
      </c>
      <c r="CZ2124" t="s">
        <v>119</v>
      </c>
    </row>
    <row r="2125" spans="1:104" x14ac:dyDescent="0.25">
      <c r="A2125" t="str">
        <f>"14:25:46.172"</f>
        <v>14:25:46.172</v>
      </c>
      <c r="B2125" t="s">
        <v>108</v>
      </c>
      <c r="C2125" t="str">
        <f t="shared" si="100"/>
        <v>ffdfd3c0</v>
      </c>
      <c r="D2125" t="s">
        <v>109</v>
      </c>
      <c r="E2125">
        <v>4</v>
      </c>
      <c r="F2125">
        <v>1004</v>
      </c>
      <c r="G2125" t="s">
        <v>110</v>
      </c>
      <c r="J2125" t="s">
        <v>111</v>
      </c>
      <c r="K2125">
        <v>0</v>
      </c>
      <c r="L2125">
        <v>3</v>
      </c>
      <c r="M2125">
        <v>0</v>
      </c>
      <c r="N2125">
        <v>2</v>
      </c>
      <c r="O2125">
        <v>1</v>
      </c>
      <c r="P2125">
        <v>0</v>
      </c>
      <c r="Q2125">
        <v>0</v>
      </c>
      <c r="R2125" t="s">
        <v>112</v>
      </c>
      <c r="S2125" t="str">
        <f>"14:25:45.992"</f>
        <v>14:25:45.992</v>
      </c>
      <c r="T2125" t="str">
        <f>"14:25:45.492"</f>
        <v>14:25:45.492</v>
      </c>
      <c r="U2125" t="str">
        <f t="shared" si="99"/>
        <v>ad5732</v>
      </c>
      <c r="V2125">
        <v>0</v>
      </c>
      <c r="W2125">
        <v>0</v>
      </c>
      <c r="X2125">
        <v>1</v>
      </c>
      <c r="Z2125">
        <v>0</v>
      </c>
      <c r="AA2125">
        <v>9</v>
      </c>
      <c r="AB2125">
        <v>3</v>
      </c>
      <c r="AC2125">
        <v>0</v>
      </c>
      <c r="AD2125">
        <v>10</v>
      </c>
      <c r="AE2125">
        <v>0</v>
      </c>
      <c r="AF2125">
        <v>3</v>
      </c>
      <c r="AG2125">
        <v>2</v>
      </c>
      <c r="AH2125">
        <v>0</v>
      </c>
      <c r="AI2125" t="s">
        <v>4355</v>
      </c>
      <c r="AJ2125">
        <v>39.884770000000003</v>
      </c>
      <c r="AK2125" t="s">
        <v>4356</v>
      </c>
      <c r="AL2125">
        <v>-75.749594999999999</v>
      </c>
      <c r="AM2125">
        <v>100</v>
      </c>
      <c r="AN2125">
        <v>4700</v>
      </c>
      <c r="AO2125" t="s">
        <v>115</v>
      </c>
      <c r="AP2125">
        <v>162</v>
      </c>
      <c r="AQ2125">
        <v>81</v>
      </c>
      <c r="AR2125">
        <v>128</v>
      </c>
      <c r="AZ2125">
        <v>3614</v>
      </c>
      <c r="BA2125">
        <v>1</v>
      </c>
      <c r="BB2125" t="str">
        <f t="shared" si="101"/>
        <v xml:space="preserve">N959MJ  </v>
      </c>
      <c r="BC2125">
        <v>1</v>
      </c>
      <c r="BE2125">
        <v>0</v>
      </c>
      <c r="BF2125">
        <v>0</v>
      </c>
      <c r="BG2125">
        <v>0</v>
      </c>
      <c r="BH2125">
        <v>4900</v>
      </c>
      <c r="BI2125">
        <v>200</v>
      </c>
      <c r="BJ2125">
        <v>1</v>
      </c>
      <c r="BK2125">
        <v>1</v>
      </c>
      <c r="BL2125">
        <v>1</v>
      </c>
      <c r="BM2125">
        <v>0</v>
      </c>
      <c r="BP2125">
        <v>0</v>
      </c>
      <c r="BQ2125">
        <v>0</v>
      </c>
      <c r="BX2125" t="str">
        <f>"14:25:46.000"</f>
        <v>14:25:46.000</v>
      </c>
      <c r="BY2125" t="str">
        <f>"998484195"</f>
        <v>998484195</v>
      </c>
      <c r="CL2125">
        <v>0</v>
      </c>
      <c r="CM2125">
        <v>2</v>
      </c>
      <c r="CN2125">
        <v>0</v>
      </c>
      <c r="CO2125">
        <v>2</v>
      </c>
      <c r="CP2125">
        <v>0</v>
      </c>
      <c r="CQ2125">
        <v>7</v>
      </c>
      <c r="CR2125" t="s">
        <v>116</v>
      </c>
      <c r="CS2125">
        <v>39</v>
      </c>
      <c r="CT2125">
        <v>2</v>
      </c>
      <c r="CU2125" t="s">
        <v>2259</v>
      </c>
      <c r="CV2125" t="s">
        <v>2260</v>
      </c>
      <c r="CY2125">
        <v>16691697</v>
      </c>
      <c r="CZ2125" t="s">
        <v>119</v>
      </c>
    </row>
    <row r="2126" spans="1:104" x14ac:dyDescent="0.25">
      <c r="A2126" t="str">
        <f>"14:25:47.227"</f>
        <v>14:25:47.227</v>
      </c>
      <c r="B2126" t="s">
        <v>108</v>
      </c>
      <c r="C2126" t="str">
        <f t="shared" si="100"/>
        <v>ffdfd3c0</v>
      </c>
      <c r="D2126" t="s">
        <v>109</v>
      </c>
      <c r="E2126">
        <v>4</v>
      </c>
      <c r="F2126">
        <v>1004</v>
      </c>
      <c r="G2126" t="s">
        <v>110</v>
      </c>
      <c r="J2126" t="s">
        <v>111</v>
      </c>
      <c r="K2126">
        <v>0</v>
      </c>
      <c r="L2126">
        <v>3</v>
      </c>
      <c r="M2126">
        <v>0</v>
      </c>
      <c r="N2126">
        <v>2</v>
      </c>
      <c r="O2126">
        <v>1</v>
      </c>
      <c r="P2126">
        <v>0</v>
      </c>
      <c r="Q2126">
        <v>0</v>
      </c>
      <c r="R2126" t="s">
        <v>112</v>
      </c>
      <c r="S2126" t="str">
        <f>"14:25:47.016"</f>
        <v>14:25:47.016</v>
      </c>
      <c r="T2126" t="str">
        <f>"14:25:46.617"</f>
        <v>14:25:46.617</v>
      </c>
      <c r="U2126" t="str">
        <f t="shared" si="99"/>
        <v>ad5732</v>
      </c>
      <c r="V2126">
        <v>0</v>
      </c>
      <c r="W2126">
        <v>0</v>
      </c>
      <c r="X2126">
        <v>1</v>
      </c>
      <c r="Z2126">
        <v>0</v>
      </c>
      <c r="AA2126">
        <v>9</v>
      </c>
      <c r="AB2126">
        <v>3</v>
      </c>
      <c r="AC2126">
        <v>0</v>
      </c>
      <c r="AD2126">
        <v>10</v>
      </c>
      <c r="AE2126">
        <v>0</v>
      </c>
      <c r="AF2126">
        <v>3</v>
      </c>
      <c r="AG2126">
        <v>2</v>
      </c>
      <c r="AH2126">
        <v>0</v>
      </c>
      <c r="AI2126" t="s">
        <v>4357</v>
      </c>
      <c r="AJ2126">
        <v>39.885221000000001</v>
      </c>
      <c r="AK2126" t="s">
        <v>4358</v>
      </c>
      <c r="AL2126">
        <v>-75.748543999999995</v>
      </c>
      <c r="AM2126">
        <v>100</v>
      </c>
      <c r="AN2126">
        <v>4700</v>
      </c>
      <c r="AO2126" t="s">
        <v>115</v>
      </c>
      <c r="AP2126">
        <v>162</v>
      </c>
      <c r="AQ2126">
        <v>82</v>
      </c>
      <c r="AR2126">
        <v>64</v>
      </c>
      <c r="AZ2126">
        <v>3614</v>
      </c>
      <c r="BA2126">
        <v>1</v>
      </c>
      <c r="BB2126" t="str">
        <f t="shared" si="101"/>
        <v xml:space="preserve">N959MJ  </v>
      </c>
      <c r="BC2126">
        <v>1</v>
      </c>
      <c r="BE2126">
        <v>0</v>
      </c>
      <c r="BF2126">
        <v>0</v>
      </c>
      <c r="BG2126">
        <v>0</v>
      </c>
      <c r="BH2126">
        <v>4900</v>
      </c>
      <c r="BI2126">
        <v>200</v>
      </c>
      <c r="BJ2126">
        <v>1</v>
      </c>
      <c r="BK2126">
        <v>1</v>
      </c>
      <c r="BL2126">
        <v>1</v>
      </c>
      <c r="BM2126">
        <v>0</v>
      </c>
      <c r="BP2126">
        <v>0</v>
      </c>
      <c r="BQ2126">
        <v>0</v>
      </c>
      <c r="BX2126" t="str">
        <f>"14:25:47.016"</f>
        <v>14:25:47.016</v>
      </c>
      <c r="BY2126" t="str">
        <f>"015947705"</f>
        <v>015947705</v>
      </c>
      <c r="CL2126">
        <v>0</v>
      </c>
      <c r="CM2126">
        <v>2</v>
      </c>
      <c r="CN2126">
        <v>0</v>
      </c>
      <c r="CO2126">
        <v>2</v>
      </c>
      <c r="CP2126">
        <v>0</v>
      </c>
      <c r="CQ2126">
        <v>7</v>
      </c>
      <c r="CR2126" t="s">
        <v>116</v>
      </c>
      <c r="CS2126">
        <v>39</v>
      </c>
      <c r="CT2126">
        <v>2</v>
      </c>
      <c r="CU2126" t="s">
        <v>2259</v>
      </c>
      <c r="CV2126" t="s">
        <v>2260</v>
      </c>
      <c r="CY2126">
        <v>16693307</v>
      </c>
      <c r="CZ2126" t="s">
        <v>119</v>
      </c>
    </row>
    <row r="2127" spans="1:104" x14ac:dyDescent="0.25">
      <c r="A2127" t="str">
        <f>"14:25:48.188"</f>
        <v>14:25:48.188</v>
      </c>
      <c r="B2127" t="s">
        <v>108</v>
      </c>
      <c r="C2127" t="str">
        <f t="shared" si="100"/>
        <v>ffdfd3c0</v>
      </c>
      <c r="D2127" t="s">
        <v>109</v>
      </c>
      <c r="E2127">
        <v>4</v>
      </c>
      <c r="F2127">
        <v>1004</v>
      </c>
      <c r="G2127" t="s">
        <v>110</v>
      </c>
      <c r="J2127" t="s">
        <v>111</v>
      </c>
      <c r="K2127">
        <v>0</v>
      </c>
      <c r="L2127">
        <v>3</v>
      </c>
      <c r="M2127">
        <v>0</v>
      </c>
      <c r="N2127">
        <v>2</v>
      </c>
      <c r="O2127">
        <v>1</v>
      </c>
      <c r="P2127">
        <v>0</v>
      </c>
      <c r="Q2127">
        <v>0</v>
      </c>
      <c r="R2127" t="s">
        <v>112</v>
      </c>
      <c r="S2127" t="str">
        <f>"14:25:48.023"</f>
        <v>14:25:48.023</v>
      </c>
      <c r="T2127" t="str">
        <f>"14:25:47.523"</f>
        <v>14:25:47.523</v>
      </c>
      <c r="U2127" t="str">
        <f t="shared" si="99"/>
        <v>ad5732</v>
      </c>
      <c r="V2127">
        <v>0</v>
      </c>
      <c r="W2127">
        <v>0</v>
      </c>
      <c r="X2127">
        <v>1</v>
      </c>
      <c r="Z2127">
        <v>0</v>
      </c>
      <c r="AA2127">
        <v>9</v>
      </c>
      <c r="AB2127">
        <v>3</v>
      </c>
      <c r="AC2127">
        <v>0</v>
      </c>
      <c r="AD2127">
        <v>10</v>
      </c>
      <c r="AE2127">
        <v>0</v>
      </c>
      <c r="AF2127">
        <v>3</v>
      </c>
      <c r="AG2127">
        <v>2</v>
      </c>
      <c r="AH2127">
        <v>0</v>
      </c>
      <c r="AI2127" t="s">
        <v>4359</v>
      </c>
      <c r="AJ2127">
        <v>39.885584999999999</v>
      </c>
      <c r="AK2127" t="s">
        <v>4360</v>
      </c>
      <c r="AL2127">
        <v>-75.747557</v>
      </c>
      <c r="AM2127">
        <v>100</v>
      </c>
      <c r="AN2127">
        <v>4700</v>
      </c>
      <c r="AO2127" t="s">
        <v>115</v>
      </c>
      <c r="AP2127">
        <v>162</v>
      </c>
      <c r="AQ2127">
        <v>82</v>
      </c>
      <c r="AR2127">
        <v>64</v>
      </c>
      <c r="AZ2127">
        <v>3614</v>
      </c>
      <c r="BA2127">
        <v>1</v>
      </c>
      <c r="BB2127" t="str">
        <f t="shared" si="101"/>
        <v xml:space="preserve">N959MJ  </v>
      </c>
      <c r="BC2127">
        <v>1</v>
      </c>
      <c r="BE2127">
        <v>0</v>
      </c>
      <c r="BF2127">
        <v>0</v>
      </c>
      <c r="BG2127">
        <v>0</v>
      </c>
      <c r="BH2127">
        <v>4900</v>
      </c>
      <c r="BI2127">
        <v>200</v>
      </c>
      <c r="BJ2127">
        <v>1</v>
      </c>
      <c r="BK2127">
        <v>1</v>
      </c>
      <c r="BL2127">
        <v>1</v>
      </c>
      <c r="BM2127">
        <v>0</v>
      </c>
      <c r="BP2127">
        <v>0</v>
      </c>
      <c r="BQ2127">
        <v>0</v>
      </c>
      <c r="BX2127" t="str">
        <f>"14:25:48.031"</f>
        <v>14:25:48.031</v>
      </c>
      <c r="BY2127" t="str">
        <f>"028495938"</f>
        <v>028495938</v>
      </c>
      <c r="CL2127">
        <v>0</v>
      </c>
      <c r="CM2127">
        <v>2</v>
      </c>
      <c r="CN2127">
        <v>0</v>
      </c>
      <c r="CO2127">
        <v>2</v>
      </c>
      <c r="CP2127">
        <v>0</v>
      </c>
      <c r="CQ2127">
        <v>7</v>
      </c>
      <c r="CR2127" t="s">
        <v>116</v>
      </c>
      <c r="CS2127">
        <v>39</v>
      </c>
      <c r="CT2127">
        <v>2</v>
      </c>
      <c r="CU2127" t="s">
        <v>2259</v>
      </c>
      <c r="CV2127" t="s">
        <v>2260</v>
      </c>
      <c r="CY2127">
        <v>16695054</v>
      </c>
      <c r="CZ2127" t="s">
        <v>119</v>
      </c>
    </row>
    <row r="2128" spans="1:104" x14ac:dyDescent="0.25">
      <c r="A2128" t="str">
        <f>"14:25:49.250"</f>
        <v>14:25:49.250</v>
      </c>
      <c r="B2128" t="s">
        <v>108</v>
      </c>
      <c r="C2128" t="str">
        <f t="shared" si="100"/>
        <v>ffdfd3c0</v>
      </c>
      <c r="D2128" t="s">
        <v>109</v>
      </c>
      <c r="E2128">
        <v>4</v>
      </c>
      <c r="F2128">
        <v>1004</v>
      </c>
      <c r="G2128" t="s">
        <v>110</v>
      </c>
      <c r="J2128" t="s">
        <v>111</v>
      </c>
      <c r="K2128">
        <v>0</v>
      </c>
      <c r="L2128">
        <v>3</v>
      </c>
      <c r="M2128">
        <v>0</v>
      </c>
      <c r="N2128">
        <v>2</v>
      </c>
      <c r="O2128">
        <v>1</v>
      </c>
      <c r="P2128">
        <v>0</v>
      </c>
      <c r="Q2128">
        <v>0</v>
      </c>
      <c r="R2128" t="s">
        <v>112</v>
      </c>
      <c r="S2128" t="str">
        <f>"14:25:49.070"</f>
        <v>14:25:49.070</v>
      </c>
      <c r="T2128" t="str">
        <f>"14:25:48.570"</f>
        <v>14:25:48.570</v>
      </c>
      <c r="U2128" t="str">
        <f t="shared" si="99"/>
        <v>ad5732</v>
      </c>
      <c r="V2128">
        <v>0</v>
      </c>
      <c r="W2128">
        <v>0</v>
      </c>
      <c r="X2128">
        <v>1</v>
      </c>
      <c r="Z2128">
        <v>0</v>
      </c>
      <c r="AA2128">
        <v>9</v>
      </c>
      <c r="AB2128">
        <v>3</v>
      </c>
      <c r="AC2128">
        <v>0</v>
      </c>
      <c r="AD2128">
        <v>10</v>
      </c>
      <c r="AE2128">
        <v>0</v>
      </c>
      <c r="AF2128">
        <v>3</v>
      </c>
      <c r="AG2128">
        <v>2</v>
      </c>
      <c r="AH2128">
        <v>0</v>
      </c>
      <c r="AI2128" t="s">
        <v>4361</v>
      </c>
      <c r="AJ2128">
        <v>39.885950000000001</v>
      </c>
      <c r="AK2128" t="s">
        <v>4362</v>
      </c>
      <c r="AL2128">
        <v>-75.746590999999995</v>
      </c>
      <c r="AM2128">
        <v>100</v>
      </c>
      <c r="AN2128">
        <v>4700</v>
      </c>
      <c r="AO2128" t="s">
        <v>115</v>
      </c>
      <c r="AP2128">
        <v>162</v>
      </c>
      <c r="AQ2128">
        <v>82</v>
      </c>
      <c r="AR2128">
        <v>0</v>
      </c>
      <c r="AZ2128">
        <v>3614</v>
      </c>
      <c r="BA2128">
        <v>1</v>
      </c>
      <c r="BB2128" t="str">
        <f t="shared" si="101"/>
        <v xml:space="preserve">N959MJ  </v>
      </c>
      <c r="BC2128">
        <v>1</v>
      </c>
      <c r="BE2128">
        <v>0</v>
      </c>
      <c r="BF2128">
        <v>0</v>
      </c>
      <c r="BG2128">
        <v>0</v>
      </c>
      <c r="BH2128">
        <v>4900</v>
      </c>
      <c r="BI2128">
        <v>200</v>
      </c>
      <c r="BJ2128">
        <v>1</v>
      </c>
      <c r="BK2128">
        <v>1</v>
      </c>
      <c r="BL2128">
        <v>1</v>
      </c>
      <c r="BM2128">
        <v>0</v>
      </c>
      <c r="BP2128">
        <v>0</v>
      </c>
      <c r="BQ2128">
        <v>0</v>
      </c>
      <c r="BX2128" t="str">
        <f>"14:25:49.078"</f>
        <v>14:25:49.078</v>
      </c>
      <c r="BY2128" t="str">
        <f>"077089565"</f>
        <v>077089565</v>
      </c>
      <c r="CL2128">
        <v>0</v>
      </c>
      <c r="CM2128">
        <v>2</v>
      </c>
      <c r="CN2128">
        <v>0</v>
      </c>
      <c r="CO2128">
        <v>2</v>
      </c>
      <c r="CP2128">
        <v>0</v>
      </c>
      <c r="CQ2128">
        <v>7</v>
      </c>
      <c r="CR2128" t="s">
        <v>116</v>
      </c>
      <c r="CS2128">
        <v>39</v>
      </c>
      <c r="CT2128">
        <v>2</v>
      </c>
      <c r="CU2128" t="s">
        <v>2259</v>
      </c>
      <c r="CV2128" t="s">
        <v>2260</v>
      </c>
      <c r="CY2128">
        <v>16696735</v>
      </c>
      <c r="CZ2128" t="s">
        <v>119</v>
      </c>
    </row>
    <row r="2129" spans="1:104" x14ac:dyDescent="0.25">
      <c r="A2129" t="str">
        <f>"14:25:50.406"</f>
        <v>14:25:50.406</v>
      </c>
      <c r="B2129" t="s">
        <v>108</v>
      </c>
      <c r="C2129" t="str">
        <f t="shared" si="100"/>
        <v>ffdfd3c0</v>
      </c>
      <c r="D2129" t="s">
        <v>109</v>
      </c>
      <c r="E2129">
        <v>4</v>
      </c>
      <c r="F2129">
        <v>1004</v>
      </c>
      <c r="G2129" t="s">
        <v>110</v>
      </c>
      <c r="J2129" t="s">
        <v>111</v>
      </c>
      <c r="K2129">
        <v>0</v>
      </c>
      <c r="L2129">
        <v>3</v>
      </c>
      <c r="M2129">
        <v>0</v>
      </c>
      <c r="N2129">
        <v>2</v>
      </c>
      <c r="O2129">
        <v>1</v>
      </c>
      <c r="P2129">
        <v>0</v>
      </c>
      <c r="Q2129">
        <v>0</v>
      </c>
      <c r="R2129" t="s">
        <v>112</v>
      </c>
      <c r="S2129" t="str">
        <f>"14:25:50.227"</f>
        <v>14:25:50.227</v>
      </c>
      <c r="T2129" t="str">
        <f>"14:25:49.727"</f>
        <v>14:25:49.727</v>
      </c>
      <c r="U2129" t="str">
        <f t="shared" si="99"/>
        <v>ad5732</v>
      </c>
      <c r="V2129">
        <v>0</v>
      </c>
      <c r="W2129">
        <v>0</v>
      </c>
      <c r="X2129">
        <v>1</v>
      </c>
      <c r="Z2129">
        <v>0</v>
      </c>
      <c r="AA2129">
        <v>9</v>
      </c>
      <c r="AB2129">
        <v>3</v>
      </c>
      <c r="AC2129">
        <v>0</v>
      </c>
      <c r="AD2129">
        <v>10</v>
      </c>
      <c r="AE2129">
        <v>0</v>
      </c>
      <c r="AF2129">
        <v>3</v>
      </c>
      <c r="AG2129">
        <v>2</v>
      </c>
      <c r="AH2129">
        <v>0</v>
      </c>
      <c r="AI2129" t="s">
        <v>4363</v>
      </c>
      <c r="AJ2129">
        <v>39.886422000000003</v>
      </c>
      <c r="AK2129" t="s">
        <v>4364</v>
      </c>
      <c r="AL2129">
        <v>-75.745431999999994</v>
      </c>
      <c r="AM2129">
        <v>100</v>
      </c>
      <c r="AN2129">
        <v>4700</v>
      </c>
      <c r="AO2129" t="s">
        <v>115</v>
      </c>
      <c r="AP2129">
        <v>162</v>
      </c>
      <c r="AQ2129">
        <v>82</v>
      </c>
      <c r="AR2129">
        <v>-64</v>
      </c>
      <c r="AZ2129">
        <v>3614</v>
      </c>
      <c r="BA2129">
        <v>1</v>
      </c>
      <c r="BB2129" t="str">
        <f t="shared" si="101"/>
        <v xml:space="preserve">N959MJ  </v>
      </c>
      <c r="BC2129">
        <v>1</v>
      </c>
      <c r="BE2129">
        <v>0</v>
      </c>
      <c r="BF2129">
        <v>0</v>
      </c>
      <c r="BG2129">
        <v>0</v>
      </c>
      <c r="BH2129">
        <v>4900</v>
      </c>
      <c r="BI2129">
        <v>200</v>
      </c>
      <c r="BJ2129">
        <v>1</v>
      </c>
      <c r="BK2129">
        <v>1</v>
      </c>
      <c r="BL2129">
        <v>1</v>
      </c>
      <c r="BM2129">
        <v>0</v>
      </c>
      <c r="BP2129">
        <v>0</v>
      </c>
      <c r="BQ2129">
        <v>0</v>
      </c>
      <c r="BX2129" t="str">
        <f>"14:25:50.234"</f>
        <v>14:25:50.234</v>
      </c>
      <c r="BY2129" t="str">
        <f>"232180990"</f>
        <v>232180990</v>
      </c>
      <c r="CL2129">
        <v>0</v>
      </c>
      <c r="CM2129">
        <v>2</v>
      </c>
      <c r="CN2129">
        <v>0</v>
      </c>
      <c r="CO2129">
        <v>2</v>
      </c>
      <c r="CP2129">
        <v>0</v>
      </c>
      <c r="CQ2129">
        <v>7</v>
      </c>
      <c r="CR2129" t="s">
        <v>116</v>
      </c>
      <c r="CS2129">
        <v>39</v>
      </c>
      <c r="CT2129">
        <v>2</v>
      </c>
      <c r="CU2129" t="s">
        <v>2259</v>
      </c>
      <c r="CV2129" t="s">
        <v>2260</v>
      </c>
      <c r="CY2129">
        <v>16698521</v>
      </c>
      <c r="CZ2129" t="s">
        <v>119</v>
      </c>
    </row>
    <row r="2130" spans="1:104" x14ac:dyDescent="0.25">
      <c r="A2130" t="str">
        <f>"14:25:51.266"</f>
        <v>14:25:51.266</v>
      </c>
      <c r="B2130" t="s">
        <v>108</v>
      </c>
      <c r="C2130" t="str">
        <f t="shared" si="100"/>
        <v>ffdfd3c0</v>
      </c>
      <c r="D2130" t="s">
        <v>109</v>
      </c>
      <c r="E2130">
        <v>4</v>
      </c>
      <c r="F2130">
        <v>1004</v>
      </c>
      <c r="G2130" t="s">
        <v>110</v>
      </c>
      <c r="J2130" t="s">
        <v>111</v>
      </c>
      <c r="K2130">
        <v>0</v>
      </c>
      <c r="L2130">
        <v>3</v>
      </c>
      <c r="M2130">
        <v>0</v>
      </c>
      <c r="N2130">
        <v>2</v>
      </c>
      <c r="O2130">
        <v>1</v>
      </c>
      <c r="P2130">
        <v>0</v>
      </c>
      <c r="Q2130">
        <v>0</v>
      </c>
      <c r="R2130" t="s">
        <v>112</v>
      </c>
      <c r="S2130" t="str">
        <f>"14:25:51.117"</f>
        <v>14:25:51.117</v>
      </c>
      <c r="T2130" t="str">
        <f>"14:25:50.719"</f>
        <v>14:25:50.719</v>
      </c>
      <c r="U2130" t="str">
        <f t="shared" si="99"/>
        <v>ad5732</v>
      </c>
      <c r="V2130">
        <v>0</v>
      </c>
      <c r="W2130">
        <v>0</v>
      </c>
      <c r="X2130">
        <v>1</v>
      </c>
      <c r="Z2130">
        <v>0</v>
      </c>
      <c r="AA2130">
        <v>9</v>
      </c>
      <c r="AB2130">
        <v>3</v>
      </c>
      <c r="AC2130">
        <v>0</v>
      </c>
      <c r="AD2130">
        <v>10</v>
      </c>
      <c r="AE2130">
        <v>0</v>
      </c>
      <c r="AF2130">
        <v>3</v>
      </c>
      <c r="AG2130">
        <v>2</v>
      </c>
      <c r="AH2130">
        <v>0</v>
      </c>
      <c r="AI2130" t="s">
        <v>4365</v>
      </c>
      <c r="AJ2130">
        <v>39.886744</v>
      </c>
      <c r="AK2130" t="s">
        <v>4366</v>
      </c>
      <c r="AL2130">
        <v>-75.744530999999995</v>
      </c>
      <c r="AM2130">
        <v>100</v>
      </c>
      <c r="AN2130">
        <v>4700</v>
      </c>
      <c r="AO2130" t="s">
        <v>115</v>
      </c>
      <c r="AP2130">
        <v>162</v>
      </c>
      <c r="AQ2130">
        <v>82</v>
      </c>
      <c r="AR2130">
        <v>-64</v>
      </c>
      <c r="AZ2130">
        <v>3614</v>
      </c>
      <c r="BA2130">
        <v>1</v>
      </c>
      <c r="BB2130" t="str">
        <f t="shared" si="101"/>
        <v xml:space="preserve">N959MJ  </v>
      </c>
      <c r="BC2130">
        <v>1</v>
      </c>
      <c r="BE2130">
        <v>0</v>
      </c>
      <c r="BF2130">
        <v>0</v>
      </c>
      <c r="BG2130">
        <v>0</v>
      </c>
      <c r="BH2130">
        <v>4900</v>
      </c>
      <c r="BI2130">
        <v>200</v>
      </c>
      <c r="BJ2130">
        <v>1</v>
      </c>
      <c r="BK2130">
        <v>1</v>
      </c>
      <c r="BL2130">
        <v>1</v>
      </c>
      <c r="BM2130">
        <v>0</v>
      </c>
      <c r="BP2130">
        <v>0</v>
      </c>
      <c r="BQ2130">
        <v>0</v>
      </c>
      <c r="BX2130" t="str">
        <f>"14:25:51.117"</f>
        <v>14:25:51.117</v>
      </c>
      <c r="BY2130" t="str">
        <f>"118570346"</f>
        <v>118570346</v>
      </c>
      <c r="CL2130">
        <v>0</v>
      </c>
      <c r="CM2130">
        <v>2</v>
      </c>
      <c r="CN2130">
        <v>0</v>
      </c>
      <c r="CO2130">
        <v>2</v>
      </c>
      <c r="CP2130">
        <v>0</v>
      </c>
      <c r="CQ2130">
        <v>7</v>
      </c>
      <c r="CR2130" t="s">
        <v>116</v>
      </c>
      <c r="CS2130">
        <v>39</v>
      </c>
      <c r="CT2130">
        <v>2</v>
      </c>
      <c r="CU2130" t="s">
        <v>2259</v>
      </c>
      <c r="CV2130" t="s">
        <v>2260</v>
      </c>
      <c r="CY2130">
        <v>16700002</v>
      </c>
      <c r="CZ2130" t="s">
        <v>119</v>
      </c>
    </row>
    <row r="2131" spans="1:104" x14ac:dyDescent="0.25">
      <c r="A2131" t="str">
        <f>"14:25:52.430"</f>
        <v>14:25:52.430</v>
      </c>
      <c r="B2131" t="s">
        <v>108</v>
      </c>
      <c r="C2131" t="str">
        <f t="shared" si="100"/>
        <v>ffdfd3c0</v>
      </c>
      <c r="D2131" t="s">
        <v>109</v>
      </c>
      <c r="E2131">
        <v>4</v>
      </c>
      <c r="F2131">
        <v>1004</v>
      </c>
      <c r="G2131" t="s">
        <v>110</v>
      </c>
      <c r="J2131" t="s">
        <v>111</v>
      </c>
      <c r="K2131">
        <v>0</v>
      </c>
      <c r="L2131">
        <v>3</v>
      </c>
      <c r="M2131">
        <v>0</v>
      </c>
      <c r="N2131">
        <v>2</v>
      </c>
      <c r="O2131">
        <v>1</v>
      </c>
      <c r="P2131">
        <v>0</v>
      </c>
      <c r="Q2131">
        <v>0</v>
      </c>
      <c r="R2131" t="s">
        <v>112</v>
      </c>
      <c r="S2131" t="str">
        <f>"14:25:52.234"</f>
        <v>14:25:52.234</v>
      </c>
      <c r="T2131" t="str">
        <f>"14:25:51.734"</f>
        <v>14:25:51.734</v>
      </c>
      <c r="U2131" t="str">
        <f t="shared" si="99"/>
        <v>ad5732</v>
      </c>
      <c r="V2131">
        <v>0</v>
      </c>
      <c r="W2131">
        <v>0</v>
      </c>
      <c r="X2131">
        <v>1</v>
      </c>
      <c r="Z2131">
        <v>0</v>
      </c>
      <c r="AA2131">
        <v>9</v>
      </c>
      <c r="AB2131">
        <v>3</v>
      </c>
      <c r="AC2131">
        <v>0</v>
      </c>
      <c r="AD2131">
        <v>10</v>
      </c>
      <c r="AE2131">
        <v>0</v>
      </c>
      <c r="AF2131">
        <v>3</v>
      </c>
      <c r="AG2131">
        <v>2</v>
      </c>
      <c r="AH2131">
        <v>0</v>
      </c>
      <c r="AI2131" t="s">
        <v>4367</v>
      </c>
      <c r="AJ2131">
        <v>39.887172999999997</v>
      </c>
      <c r="AK2131" t="s">
        <v>4368</v>
      </c>
      <c r="AL2131">
        <v>-75.743480000000005</v>
      </c>
      <c r="AM2131">
        <v>100</v>
      </c>
      <c r="AN2131">
        <v>4700</v>
      </c>
      <c r="AO2131" t="s">
        <v>115</v>
      </c>
      <c r="AP2131">
        <v>162</v>
      </c>
      <c r="AQ2131">
        <v>82</v>
      </c>
      <c r="AR2131">
        <v>-64</v>
      </c>
      <c r="AZ2131">
        <v>3614</v>
      </c>
      <c r="BA2131">
        <v>1</v>
      </c>
      <c r="BB2131" t="str">
        <f t="shared" si="101"/>
        <v xml:space="preserve">N959MJ  </v>
      </c>
      <c r="BC2131">
        <v>1</v>
      </c>
      <c r="BE2131">
        <v>0</v>
      </c>
      <c r="BF2131">
        <v>0</v>
      </c>
      <c r="BG2131">
        <v>0</v>
      </c>
      <c r="BH2131">
        <v>4900</v>
      </c>
      <c r="BI2131">
        <v>200</v>
      </c>
      <c r="BJ2131">
        <v>1</v>
      </c>
      <c r="BK2131">
        <v>1</v>
      </c>
      <c r="BL2131">
        <v>1</v>
      </c>
      <c r="BM2131">
        <v>0</v>
      </c>
      <c r="BP2131">
        <v>0</v>
      </c>
      <c r="BQ2131">
        <v>0</v>
      </c>
      <c r="BX2131" t="str">
        <f>"14:25:52.242"</f>
        <v>14:25:52.242</v>
      </c>
      <c r="BY2131" t="str">
        <f>"239254749"</f>
        <v>239254749</v>
      </c>
      <c r="CL2131">
        <v>0</v>
      </c>
      <c r="CM2131">
        <v>2</v>
      </c>
      <c r="CN2131">
        <v>0</v>
      </c>
      <c r="CO2131">
        <v>2</v>
      </c>
      <c r="CP2131">
        <v>0</v>
      </c>
      <c r="CQ2131">
        <v>7</v>
      </c>
      <c r="CR2131" t="s">
        <v>116</v>
      </c>
      <c r="CS2131">
        <v>39</v>
      </c>
      <c r="CT2131">
        <v>2</v>
      </c>
      <c r="CU2131" t="s">
        <v>2259</v>
      </c>
      <c r="CV2131" t="s">
        <v>2260</v>
      </c>
      <c r="CY2131">
        <v>16701957</v>
      </c>
      <c r="CZ2131" t="s">
        <v>119</v>
      </c>
    </row>
    <row r="2132" spans="1:104" x14ac:dyDescent="0.25">
      <c r="A2132" t="str">
        <f>"14:25:53.336"</f>
        <v>14:25:53.336</v>
      </c>
      <c r="B2132" t="s">
        <v>108</v>
      </c>
      <c r="C2132" t="str">
        <f t="shared" si="100"/>
        <v>ffdfd3c0</v>
      </c>
      <c r="D2132" t="s">
        <v>109</v>
      </c>
      <c r="E2132">
        <v>4</v>
      </c>
      <c r="F2132">
        <v>1004</v>
      </c>
      <c r="G2132" t="s">
        <v>110</v>
      </c>
      <c r="J2132" t="s">
        <v>111</v>
      </c>
      <c r="K2132">
        <v>0</v>
      </c>
      <c r="L2132">
        <v>3</v>
      </c>
      <c r="M2132">
        <v>0</v>
      </c>
      <c r="N2132">
        <v>2</v>
      </c>
      <c r="O2132">
        <v>1</v>
      </c>
      <c r="P2132">
        <v>0</v>
      </c>
      <c r="Q2132">
        <v>0</v>
      </c>
      <c r="R2132" t="s">
        <v>112</v>
      </c>
      <c r="S2132" t="str">
        <f>"14:25:53.141"</f>
        <v>14:25:53.141</v>
      </c>
      <c r="T2132" t="str">
        <f>"14:25:52.742"</f>
        <v>14:25:52.742</v>
      </c>
      <c r="U2132" t="str">
        <f t="shared" si="99"/>
        <v>ad5732</v>
      </c>
      <c r="V2132">
        <v>0</v>
      </c>
      <c r="W2132">
        <v>0</v>
      </c>
      <c r="X2132">
        <v>1</v>
      </c>
      <c r="Z2132">
        <v>0</v>
      </c>
      <c r="AA2132">
        <v>9</v>
      </c>
      <c r="AB2132">
        <v>3</v>
      </c>
      <c r="AC2132">
        <v>0</v>
      </c>
      <c r="AD2132">
        <v>10</v>
      </c>
      <c r="AE2132">
        <v>0</v>
      </c>
      <c r="AF2132">
        <v>3</v>
      </c>
      <c r="AG2132">
        <v>2</v>
      </c>
      <c r="AH2132">
        <v>0</v>
      </c>
      <c r="AI2132" t="s">
        <v>4369</v>
      </c>
      <c r="AJ2132">
        <v>39.887515999999998</v>
      </c>
      <c r="AK2132" t="s">
        <v>4370</v>
      </c>
      <c r="AL2132">
        <v>-75.742621</v>
      </c>
      <c r="AM2132">
        <v>100</v>
      </c>
      <c r="AN2132">
        <v>4700</v>
      </c>
      <c r="AO2132" t="s">
        <v>115</v>
      </c>
      <c r="AP2132">
        <v>161</v>
      </c>
      <c r="AQ2132">
        <v>82</v>
      </c>
      <c r="AR2132">
        <v>-64</v>
      </c>
      <c r="AZ2132">
        <v>3614</v>
      </c>
      <c r="BA2132">
        <v>1</v>
      </c>
      <c r="BB2132" t="str">
        <f t="shared" si="101"/>
        <v xml:space="preserve">N959MJ  </v>
      </c>
      <c r="BC2132">
        <v>1</v>
      </c>
      <c r="BE2132">
        <v>0</v>
      </c>
      <c r="BF2132">
        <v>0</v>
      </c>
      <c r="BG2132">
        <v>0</v>
      </c>
      <c r="BH2132">
        <v>4900</v>
      </c>
      <c r="BI2132">
        <v>200</v>
      </c>
      <c r="BJ2132">
        <v>1</v>
      </c>
      <c r="BK2132">
        <v>1</v>
      </c>
      <c r="BL2132">
        <v>1</v>
      </c>
      <c r="BM2132">
        <v>0</v>
      </c>
      <c r="BP2132">
        <v>0</v>
      </c>
      <c r="BQ2132">
        <v>0</v>
      </c>
      <c r="BX2132" t="str">
        <f>"14:25:53.148"</f>
        <v>14:25:53.148</v>
      </c>
      <c r="BY2132" t="str">
        <f>"145305248"</f>
        <v>145305248</v>
      </c>
      <c r="CL2132">
        <v>0</v>
      </c>
      <c r="CM2132">
        <v>2</v>
      </c>
      <c r="CN2132">
        <v>0</v>
      </c>
      <c r="CO2132">
        <v>2</v>
      </c>
      <c r="CP2132">
        <v>0</v>
      </c>
      <c r="CQ2132">
        <v>7</v>
      </c>
      <c r="CR2132" t="s">
        <v>116</v>
      </c>
      <c r="CS2132">
        <v>39</v>
      </c>
      <c r="CT2132">
        <v>2</v>
      </c>
      <c r="CU2132" t="s">
        <v>2259</v>
      </c>
      <c r="CV2132" t="s">
        <v>2260</v>
      </c>
      <c r="CY2132">
        <v>16703450</v>
      </c>
      <c r="CZ2132" t="s">
        <v>119</v>
      </c>
    </row>
    <row r="2133" spans="1:104" x14ac:dyDescent="0.25">
      <c r="A2133" t="str">
        <f>"14:25:54.344"</f>
        <v>14:25:54.344</v>
      </c>
      <c r="B2133" t="s">
        <v>108</v>
      </c>
      <c r="C2133" t="str">
        <f t="shared" si="100"/>
        <v>ffdfd3c0</v>
      </c>
      <c r="D2133" t="s">
        <v>109</v>
      </c>
      <c r="E2133">
        <v>4</v>
      </c>
      <c r="F2133">
        <v>1004</v>
      </c>
      <c r="G2133" t="s">
        <v>110</v>
      </c>
      <c r="J2133" t="s">
        <v>111</v>
      </c>
      <c r="K2133">
        <v>0</v>
      </c>
      <c r="L2133">
        <v>3</v>
      </c>
      <c r="M2133">
        <v>0</v>
      </c>
      <c r="N2133">
        <v>2</v>
      </c>
      <c r="O2133">
        <v>1</v>
      </c>
      <c r="P2133">
        <v>0</v>
      </c>
      <c r="Q2133">
        <v>0</v>
      </c>
      <c r="R2133" t="s">
        <v>112</v>
      </c>
      <c r="S2133" t="str">
        <f>"14:25:54.180"</f>
        <v>14:25:54.180</v>
      </c>
      <c r="T2133" t="str">
        <f>"14:25:53.680"</f>
        <v>14:25:53.680</v>
      </c>
      <c r="U2133" t="str">
        <f t="shared" si="99"/>
        <v>ad5732</v>
      </c>
      <c r="V2133">
        <v>0</v>
      </c>
      <c r="W2133">
        <v>0</v>
      </c>
      <c r="X2133">
        <v>1</v>
      </c>
      <c r="Z2133">
        <v>0</v>
      </c>
      <c r="AA2133">
        <v>9</v>
      </c>
      <c r="AB2133">
        <v>3</v>
      </c>
      <c r="AC2133">
        <v>0</v>
      </c>
      <c r="AD2133">
        <v>10</v>
      </c>
      <c r="AE2133">
        <v>0</v>
      </c>
      <c r="AF2133">
        <v>3</v>
      </c>
      <c r="AG2133">
        <v>2</v>
      </c>
      <c r="AH2133">
        <v>0</v>
      </c>
      <c r="AI2133" t="s">
        <v>4371</v>
      </c>
      <c r="AJ2133">
        <v>39.887881</v>
      </c>
      <c r="AK2133" t="s">
        <v>4372</v>
      </c>
      <c r="AL2133">
        <v>-75.741591</v>
      </c>
      <c r="AM2133">
        <v>100</v>
      </c>
      <c r="AN2133">
        <v>4700</v>
      </c>
      <c r="AO2133" t="s">
        <v>115</v>
      </c>
      <c r="AP2133">
        <v>161</v>
      </c>
      <c r="AQ2133">
        <v>82</v>
      </c>
      <c r="AR2133">
        <v>-64</v>
      </c>
      <c r="AZ2133">
        <v>3614</v>
      </c>
      <c r="BA2133">
        <v>1</v>
      </c>
      <c r="BB2133" t="str">
        <f t="shared" si="101"/>
        <v xml:space="preserve">N959MJ  </v>
      </c>
      <c r="BC2133">
        <v>1</v>
      </c>
      <c r="BE2133">
        <v>0</v>
      </c>
      <c r="BF2133">
        <v>0</v>
      </c>
      <c r="BG2133">
        <v>0</v>
      </c>
      <c r="BH2133">
        <v>4900</v>
      </c>
      <c r="BI2133">
        <v>200</v>
      </c>
      <c r="BJ2133">
        <v>1</v>
      </c>
      <c r="BK2133">
        <v>1</v>
      </c>
      <c r="BL2133">
        <v>1</v>
      </c>
      <c r="BM2133">
        <v>0</v>
      </c>
      <c r="BP2133">
        <v>0</v>
      </c>
      <c r="BQ2133">
        <v>0</v>
      </c>
      <c r="BX2133" t="str">
        <f>"14:25:54.180"</f>
        <v>14:25:54.180</v>
      </c>
      <c r="BY2133" t="str">
        <f>"180791424"</f>
        <v>180791424</v>
      </c>
      <c r="CL2133">
        <v>0</v>
      </c>
      <c r="CM2133">
        <v>2</v>
      </c>
      <c r="CN2133">
        <v>0</v>
      </c>
      <c r="CO2133">
        <v>2</v>
      </c>
      <c r="CP2133">
        <v>0</v>
      </c>
      <c r="CQ2133">
        <v>7</v>
      </c>
      <c r="CR2133" t="s">
        <v>116</v>
      </c>
      <c r="CS2133">
        <v>39</v>
      </c>
      <c r="CT2133">
        <v>1</v>
      </c>
      <c r="CU2133" t="s">
        <v>2259</v>
      </c>
      <c r="CV2133" t="s">
        <v>2260</v>
      </c>
      <c r="CY2133">
        <v>8698093</v>
      </c>
      <c r="CZ2133" t="s">
        <v>119</v>
      </c>
    </row>
    <row r="2134" spans="1:104" x14ac:dyDescent="0.25">
      <c r="A2134" t="str">
        <f>"14:25:55.305"</f>
        <v>14:25:55.305</v>
      </c>
      <c r="B2134" t="s">
        <v>108</v>
      </c>
      <c r="C2134" t="str">
        <f t="shared" si="100"/>
        <v>ffdfd3c0</v>
      </c>
      <c r="D2134" t="s">
        <v>109</v>
      </c>
      <c r="E2134">
        <v>4</v>
      </c>
      <c r="F2134">
        <v>1004</v>
      </c>
      <c r="G2134" t="s">
        <v>110</v>
      </c>
      <c r="J2134" t="s">
        <v>111</v>
      </c>
      <c r="K2134">
        <v>0</v>
      </c>
      <c r="L2134">
        <v>3</v>
      </c>
      <c r="M2134">
        <v>0</v>
      </c>
      <c r="N2134">
        <v>2</v>
      </c>
      <c r="O2134">
        <v>1</v>
      </c>
      <c r="P2134">
        <v>0</v>
      </c>
      <c r="Q2134">
        <v>0</v>
      </c>
      <c r="R2134" t="s">
        <v>112</v>
      </c>
      <c r="S2134" t="str">
        <f>"14:25:55.117"</f>
        <v>14:25:55.117</v>
      </c>
      <c r="T2134" t="str">
        <f>"14:25:54.820"</f>
        <v>14:25:54.820</v>
      </c>
      <c r="U2134" t="str">
        <f t="shared" si="99"/>
        <v>ad5732</v>
      </c>
      <c r="V2134">
        <v>0</v>
      </c>
      <c r="W2134">
        <v>0</v>
      </c>
      <c r="X2134">
        <v>1</v>
      </c>
      <c r="Z2134">
        <v>0</v>
      </c>
      <c r="AA2134">
        <v>9</v>
      </c>
      <c r="AB2134">
        <v>3</v>
      </c>
      <c r="AC2134">
        <v>0</v>
      </c>
      <c r="AD2134">
        <v>10</v>
      </c>
      <c r="AE2134">
        <v>0</v>
      </c>
      <c r="AF2134">
        <v>3</v>
      </c>
      <c r="AG2134">
        <v>2</v>
      </c>
      <c r="AH2134">
        <v>0</v>
      </c>
      <c r="AI2134" t="s">
        <v>4373</v>
      </c>
      <c r="AJ2134">
        <v>39.888246000000002</v>
      </c>
      <c r="AK2134" t="s">
        <v>4374</v>
      </c>
      <c r="AL2134">
        <v>-75.740646999999996</v>
      </c>
      <c r="AM2134">
        <v>100</v>
      </c>
      <c r="AN2134">
        <v>4700</v>
      </c>
      <c r="AO2134" t="s">
        <v>115</v>
      </c>
      <c r="AP2134">
        <v>161</v>
      </c>
      <c r="AQ2134">
        <v>83</v>
      </c>
      <c r="AR2134">
        <v>-64</v>
      </c>
      <c r="AZ2134">
        <v>3614</v>
      </c>
      <c r="BA2134">
        <v>1</v>
      </c>
      <c r="BB2134" t="str">
        <f t="shared" si="101"/>
        <v xml:space="preserve">N959MJ  </v>
      </c>
      <c r="BC2134">
        <v>1</v>
      </c>
      <c r="BE2134">
        <v>0</v>
      </c>
      <c r="BF2134">
        <v>0</v>
      </c>
      <c r="BG2134">
        <v>0</v>
      </c>
      <c r="BH2134">
        <v>4900</v>
      </c>
      <c r="BI2134">
        <v>200</v>
      </c>
      <c r="BJ2134">
        <v>1</v>
      </c>
      <c r="BK2134">
        <v>1</v>
      </c>
      <c r="BL2134">
        <v>1</v>
      </c>
      <c r="BM2134">
        <v>0</v>
      </c>
      <c r="BP2134">
        <v>0</v>
      </c>
      <c r="BQ2134">
        <v>0</v>
      </c>
      <c r="BX2134" t="str">
        <f>"14:25:55.117"</f>
        <v>14:25:55.117</v>
      </c>
      <c r="BY2134" t="str">
        <f>"117971979"</f>
        <v>117971979</v>
      </c>
      <c r="CL2134">
        <v>0</v>
      </c>
      <c r="CM2134">
        <v>2</v>
      </c>
      <c r="CN2134">
        <v>0</v>
      </c>
      <c r="CO2134">
        <v>2</v>
      </c>
      <c r="CP2134">
        <v>0</v>
      </c>
      <c r="CQ2134">
        <v>7</v>
      </c>
      <c r="CR2134" t="s">
        <v>116</v>
      </c>
      <c r="CS2134">
        <v>39</v>
      </c>
      <c r="CT2134">
        <v>2</v>
      </c>
      <c r="CU2134" t="s">
        <v>2259</v>
      </c>
      <c r="CV2134" t="s">
        <v>2260</v>
      </c>
      <c r="CY2134">
        <v>16706693</v>
      </c>
      <c r="CZ2134" t="s">
        <v>119</v>
      </c>
    </row>
    <row r="2135" spans="1:104" x14ac:dyDescent="0.25">
      <c r="A2135" t="str">
        <f>"14:25:56.266"</f>
        <v>14:25:56.266</v>
      </c>
      <c r="B2135" t="s">
        <v>108</v>
      </c>
      <c r="C2135" t="str">
        <f t="shared" si="100"/>
        <v>ffdfd3c0</v>
      </c>
      <c r="D2135" t="s">
        <v>109</v>
      </c>
      <c r="E2135">
        <v>4</v>
      </c>
      <c r="F2135">
        <v>1004</v>
      </c>
      <c r="G2135" t="s">
        <v>110</v>
      </c>
      <c r="J2135" t="s">
        <v>111</v>
      </c>
      <c r="K2135">
        <v>0</v>
      </c>
      <c r="L2135">
        <v>3</v>
      </c>
      <c r="M2135">
        <v>0</v>
      </c>
      <c r="N2135">
        <v>2</v>
      </c>
      <c r="O2135">
        <v>1</v>
      </c>
      <c r="P2135">
        <v>0</v>
      </c>
      <c r="Q2135">
        <v>0</v>
      </c>
      <c r="R2135" t="s">
        <v>112</v>
      </c>
      <c r="S2135" t="str">
        <f>"14:25:56.078"</f>
        <v>14:25:56.078</v>
      </c>
      <c r="T2135" t="str">
        <f>"14:25:55.680"</f>
        <v>14:25:55.680</v>
      </c>
      <c r="U2135" t="str">
        <f t="shared" si="99"/>
        <v>ad5732</v>
      </c>
      <c r="V2135">
        <v>0</v>
      </c>
      <c r="W2135">
        <v>0</v>
      </c>
      <c r="X2135">
        <v>1</v>
      </c>
      <c r="Z2135">
        <v>0</v>
      </c>
      <c r="AA2135">
        <v>9</v>
      </c>
      <c r="AB2135">
        <v>3</v>
      </c>
      <c r="AC2135">
        <v>0</v>
      </c>
      <c r="AD2135">
        <v>10</v>
      </c>
      <c r="AE2135">
        <v>0</v>
      </c>
      <c r="AF2135">
        <v>3</v>
      </c>
      <c r="AG2135">
        <v>2</v>
      </c>
      <c r="AH2135">
        <v>0</v>
      </c>
      <c r="AI2135" t="s">
        <v>4375</v>
      </c>
      <c r="AJ2135">
        <v>39.888610999999997</v>
      </c>
      <c r="AK2135" t="s">
        <v>4376</v>
      </c>
      <c r="AL2135">
        <v>-75.739745999999997</v>
      </c>
      <c r="AM2135">
        <v>100</v>
      </c>
      <c r="AN2135">
        <v>4700</v>
      </c>
      <c r="AO2135" t="s">
        <v>115</v>
      </c>
      <c r="AP2135">
        <v>161</v>
      </c>
      <c r="AQ2135">
        <v>83</v>
      </c>
      <c r="AR2135">
        <v>-64</v>
      </c>
      <c r="AZ2135">
        <v>3614</v>
      </c>
      <c r="BA2135">
        <v>1</v>
      </c>
      <c r="BB2135" t="str">
        <f t="shared" si="101"/>
        <v xml:space="preserve">N959MJ  </v>
      </c>
      <c r="BC2135">
        <v>1</v>
      </c>
      <c r="BE2135">
        <v>0</v>
      </c>
      <c r="BF2135">
        <v>0</v>
      </c>
      <c r="BG2135">
        <v>0</v>
      </c>
      <c r="BH2135">
        <v>4900</v>
      </c>
      <c r="BI2135">
        <v>200</v>
      </c>
      <c r="BJ2135">
        <v>1</v>
      </c>
      <c r="BK2135">
        <v>1</v>
      </c>
      <c r="BL2135">
        <v>1</v>
      </c>
      <c r="BM2135">
        <v>0</v>
      </c>
      <c r="BP2135">
        <v>0</v>
      </c>
      <c r="BQ2135">
        <v>0</v>
      </c>
      <c r="BX2135" t="str">
        <f>"14:25:56.078"</f>
        <v>14:25:56.078</v>
      </c>
      <c r="BY2135" t="str">
        <f>"081367523"</f>
        <v>081367523</v>
      </c>
      <c r="CL2135">
        <v>0</v>
      </c>
      <c r="CM2135">
        <v>2</v>
      </c>
      <c r="CN2135">
        <v>0</v>
      </c>
      <c r="CO2135">
        <v>2</v>
      </c>
      <c r="CP2135">
        <v>0</v>
      </c>
      <c r="CQ2135">
        <v>7</v>
      </c>
      <c r="CR2135" t="s">
        <v>116</v>
      </c>
      <c r="CS2135">
        <v>39</v>
      </c>
      <c r="CT2135">
        <v>1</v>
      </c>
      <c r="CU2135" t="s">
        <v>2259</v>
      </c>
      <c r="CV2135" t="s">
        <v>2260</v>
      </c>
      <c r="CY2135">
        <v>8700885</v>
      </c>
      <c r="CZ2135" t="s">
        <v>119</v>
      </c>
    </row>
    <row r="2136" spans="1:104" x14ac:dyDescent="0.25">
      <c r="A2136" t="str">
        <f>"14:25:57.172"</f>
        <v>14:25:57.172</v>
      </c>
      <c r="B2136" t="s">
        <v>108</v>
      </c>
      <c r="C2136" t="str">
        <f t="shared" si="100"/>
        <v>ffdfd3c0</v>
      </c>
      <c r="D2136" t="s">
        <v>109</v>
      </c>
      <c r="E2136">
        <v>4</v>
      </c>
      <c r="F2136">
        <v>1004</v>
      </c>
      <c r="G2136" t="s">
        <v>110</v>
      </c>
      <c r="J2136" t="s">
        <v>111</v>
      </c>
      <c r="K2136">
        <v>0</v>
      </c>
      <c r="L2136">
        <v>3</v>
      </c>
      <c r="M2136">
        <v>0</v>
      </c>
      <c r="N2136">
        <v>2</v>
      </c>
      <c r="O2136">
        <v>1</v>
      </c>
      <c r="P2136">
        <v>0</v>
      </c>
      <c r="Q2136">
        <v>0</v>
      </c>
      <c r="R2136" t="s">
        <v>112</v>
      </c>
      <c r="S2136" t="str">
        <f>"14:25:57.000"</f>
        <v>14:25:57.000</v>
      </c>
      <c r="T2136" t="str">
        <f>"14:25:56.602"</f>
        <v>14:25:56.602</v>
      </c>
      <c r="U2136" t="str">
        <f t="shared" si="99"/>
        <v>ad5732</v>
      </c>
      <c r="V2136">
        <v>0</v>
      </c>
      <c r="W2136">
        <v>0</v>
      </c>
      <c r="X2136">
        <v>1</v>
      </c>
      <c r="Z2136">
        <v>0</v>
      </c>
      <c r="AA2136">
        <v>9</v>
      </c>
      <c r="AB2136">
        <v>3</v>
      </c>
      <c r="AC2136">
        <v>0</v>
      </c>
      <c r="AD2136">
        <v>10</v>
      </c>
      <c r="AE2136">
        <v>0</v>
      </c>
      <c r="AF2136">
        <v>3</v>
      </c>
      <c r="AG2136">
        <v>2</v>
      </c>
      <c r="AH2136">
        <v>0</v>
      </c>
      <c r="AI2136" t="s">
        <v>4377</v>
      </c>
      <c r="AJ2136">
        <v>39.888976</v>
      </c>
      <c r="AK2136" t="s">
        <v>4378</v>
      </c>
      <c r="AL2136">
        <v>-75.738822999999996</v>
      </c>
      <c r="AM2136">
        <v>100</v>
      </c>
      <c r="AN2136">
        <v>4700</v>
      </c>
      <c r="AO2136" t="s">
        <v>115</v>
      </c>
      <c r="AP2136">
        <v>161</v>
      </c>
      <c r="AQ2136">
        <v>83</v>
      </c>
      <c r="AR2136">
        <v>0</v>
      </c>
      <c r="AZ2136">
        <v>3614</v>
      </c>
      <c r="BA2136">
        <v>1</v>
      </c>
      <c r="BB2136" t="str">
        <f t="shared" si="101"/>
        <v xml:space="preserve">N959MJ  </v>
      </c>
      <c r="BC2136">
        <v>1</v>
      </c>
      <c r="BE2136">
        <v>0</v>
      </c>
      <c r="BF2136">
        <v>0</v>
      </c>
      <c r="BG2136">
        <v>0</v>
      </c>
      <c r="BH2136">
        <v>4900</v>
      </c>
      <c r="BI2136">
        <v>200</v>
      </c>
      <c r="BJ2136">
        <v>1</v>
      </c>
      <c r="BK2136">
        <v>1</v>
      </c>
      <c r="BL2136">
        <v>1</v>
      </c>
      <c r="BM2136">
        <v>0</v>
      </c>
      <c r="BP2136">
        <v>0</v>
      </c>
      <c r="BQ2136">
        <v>0</v>
      </c>
      <c r="BX2136" t="str">
        <f>"14:25:57.000"</f>
        <v>14:25:57.000</v>
      </c>
      <c r="BY2136" t="str">
        <f>"003886588"</f>
        <v>003886588</v>
      </c>
      <c r="CL2136">
        <v>0</v>
      </c>
      <c r="CM2136">
        <v>2</v>
      </c>
      <c r="CN2136">
        <v>0</v>
      </c>
      <c r="CO2136">
        <v>2</v>
      </c>
      <c r="CP2136">
        <v>0</v>
      </c>
      <c r="CQ2136">
        <v>7</v>
      </c>
      <c r="CR2136" t="s">
        <v>116</v>
      </c>
      <c r="CS2136">
        <v>39</v>
      </c>
      <c r="CT2136">
        <v>1</v>
      </c>
      <c r="CU2136" t="s">
        <v>2259</v>
      </c>
      <c r="CV2136" t="s">
        <v>2260</v>
      </c>
      <c r="CY2136">
        <v>8702300</v>
      </c>
      <c r="CZ2136" t="s">
        <v>119</v>
      </c>
    </row>
    <row r="2137" spans="1:104" x14ac:dyDescent="0.25">
      <c r="A2137" t="str">
        <f>"14:25:58.133"</f>
        <v>14:25:58.133</v>
      </c>
      <c r="B2137" t="s">
        <v>108</v>
      </c>
      <c r="C2137" t="str">
        <f t="shared" si="100"/>
        <v>ffdfd3c0</v>
      </c>
      <c r="D2137" t="s">
        <v>109</v>
      </c>
      <c r="E2137">
        <v>4</v>
      </c>
      <c r="F2137">
        <v>1004</v>
      </c>
      <c r="G2137" t="s">
        <v>110</v>
      </c>
      <c r="J2137" t="s">
        <v>111</v>
      </c>
      <c r="K2137">
        <v>0</v>
      </c>
      <c r="L2137">
        <v>3</v>
      </c>
      <c r="M2137">
        <v>0</v>
      </c>
      <c r="N2137">
        <v>2</v>
      </c>
      <c r="O2137">
        <v>1</v>
      </c>
      <c r="P2137">
        <v>0</v>
      </c>
      <c r="Q2137">
        <v>0</v>
      </c>
      <c r="R2137" t="s">
        <v>112</v>
      </c>
      <c r="S2137" t="str">
        <f>"14:25:57.945"</f>
        <v>14:25:57.945</v>
      </c>
      <c r="T2137" t="str">
        <f>"14:25:57.547"</f>
        <v>14:25:57.547</v>
      </c>
      <c r="U2137" t="str">
        <f t="shared" si="99"/>
        <v>ad5732</v>
      </c>
      <c r="V2137">
        <v>0</v>
      </c>
      <c r="W2137">
        <v>0</v>
      </c>
      <c r="X2137">
        <v>1</v>
      </c>
      <c r="Z2137">
        <v>0</v>
      </c>
      <c r="AA2137">
        <v>9</v>
      </c>
      <c r="AB2137">
        <v>3</v>
      </c>
      <c r="AC2137">
        <v>0</v>
      </c>
      <c r="AD2137">
        <v>10</v>
      </c>
      <c r="AE2137">
        <v>0</v>
      </c>
      <c r="AF2137">
        <v>3</v>
      </c>
      <c r="AG2137">
        <v>2</v>
      </c>
      <c r="AH2137">
        <v>0</v>
      </c>
      <c r="AI2137" t="s">
        <v>4379</v>
      </c>
      <c r="AJ2137">
        <v>39.889339999999997</v>
      </c>
      <c r="AK2137" t="s">
        <v>4380</v>
      </c>
      <c r="AL2137">
        <v>-75.737965000000003</v>
      </c>
      <c r="AM2137">
        <v>100</v>
      </c>
      <c r="AN2137">
        <v>4700</v>
      </c>
      <c r="AO2137" t="s">
        <v>115</v>
      </c>
      <c r="AP2137">
        <v>161</v>
      </c>
      <c r="AQ2137">
        <v>83</v>
      </c>
      <c r="AR2137">
        <v>0</v>
      </c>
      <c r="AZ2137">
        <v>3614</v>
      </c>
      <c r="BA2137">
        <v>1</v>
      </c>
      <c r="BB2137" t="str">
        <f t="shared" si="101"/>
        <v xml:space="preserve">N959MJ  </v>
      </c>
      <c r="BC2137">
        <v>1</v>
      </c>
      <c r="BE2137">
        <v>0</v>
      </c>
      <c r="BF2137">
        <v>0</v>
      </c>
      <c r="BG2137">
        <v>0</v>
      </c>
      <c r="BH2137">
        <v>4900</v>
      </c>
      <c r="BI2137">
        <v>200</v>
      </c>
      <c r="BJ2137">
        <v>1</v>
      </c>
      <c r="BK2137">
        <v>1</v>
      </c>
      <c r="BL2137">
        <v>1</v>
      </c>
      <c r="BM2137">
        <v>0</v>
      </c>
      <c r="BP2137">
        <v>0</v>
      </c>
      <c r="BQ2137">
        <v>0</v>
      </c>
      <c r="BX2137" t="str">
        <f>"14:25:57.953"</f>
        <v>14:25:57.953</v>
      </c>
      <c r="BY2137" t="str">
        <f>"952451658"</f>
        <v>952451658</v>
      </c>
      <c r="CL2137">
        <v>0</v>
      </c>
      <c r="CM2137">
        <v>2</v>
      </c>
      <c r="CN2137">
        <v>0</v>
      </c>
      <c r="CO2137">
        <v>2</v>
      </c>
      <c r="CP2137">
        <v>0</v>
      </c>
      <c r="CQ2137">
        <v>7</v>
      </c>
      <c r="CR2137" t="s">
        <v>116</v>
      </c>
      <c r="CS2137">
        <v>39</v>
      </c>
      <c r="CT2137">
        <v>2</v>
      </c>
      <c r="CU2137" t="s">
        <v>2259</v>
      </c>
      <c r="CV2137" t="s">
        <v>2260</v>
      </c>
      <c r="CY2137">
        <v>16711435</v>
      </c>
      <c r="CZ2137" t="s">
        <v>119</v>
      </c>
    </row>
    <row r="2138" spans="1:104" x14ac:dyDescent="0.25">
      <c r="A2138" t="str">
        <f>"14:25:59.094"</f>
        <v>14:25:59.094</v>
      </c>
      <c r="B2138" t="s">
        <v>108</v>
      </c>
      <c r="C2138" t="str">
        <f t="shared" si="100"/>
        <v>ffdfd3c0</v>
      </c>
      <c r="D2138" t="s">
        <v>109</v>
      </c>
      <c r="E2138">
        <v>4</v>
      </c>
      <c r="F2138">
        <v>1004</v>
      </c>
      <c r="G2138" t="s">
        <v>110</v>
      </c>
      <c r="J2138" t="s">
        <v>111</v>
      </c>
      <c r="K2138">
        <v>0</v>
      </c>
      <c r="L2138">
        <v>3</v>
      </c>
      <c r="M2138">
        <v>0</v>
      </c>
      <c r="N2138">
        <v>2</v>
      </c>
      <c r="O2138">
        <v>1</v>
      </c>
      <c r="P2138">
        <v>0</v>
      </c>
      <c r="Q2138">
        <v>0</v>
      </c>
      <c r="R2138" t="s">
        <v>112</v>
      </c>
      <c r="S2138" t="str">
        <f>"14:25:58.906"</f>
        <v>14:25:58.906</v>
      </c>
      <c r="T2138" t="str">
        <f>"14:25:58.508"</f>
        <v>14:25:58.508</v>
      </c>
      <c r="U2138" t="str">
        <f t="shared" si="99"/>
        <v>ad5732</v>
      </c>
      <c r="V2138">
        <v>0</v>
      </c>
      <c r="W2138">
        <v>0</v>
      </c>
      <c r="X2138">
        <v>1</v>
      </c>
      <c r="Z2138">
        <v>0</v>
      </c>
      <c r="AA2138">
        <v>9</v>
      </c>
      <c r="AB2138">
        <v>3</v>
      </c>
      <c r="AC2138">
        <v>0</v>
      </c>
      <c r="AD2138">
        <v>10</v>
      </c>
      <c r="AE2138">
        <v>0</v>
      </c>
      <c r="AF2138">
        <v>3</v>
      </c>
      <c r="AG2138">
        <v>2</v>
      </c>
      <c r="AH2138">
        <v>0</v>
      </c>
      <c r="AI2138" t="s">
        <v>4381</v>
      </c>
      <c r="AJ2138">
        <v>39.889747999999997</v>
      </c>
      <c r="AK2138" t="s">
        <v>4382</v>
      </c>
      <c r="AL2138">
        <v>-75.736935000000003</v>
      </c>
      <c r="AM2138">
        <v>100</v>
      </c>
      <c r="AN2138">
        <v>4700</v>
      </c>
      <c r="AO2138" t="s">
        <v>115</v>
      </c>
      <c r="AP2138">
        <v>161</v>
      </c>
      <c r="AQ2138">
        <v>83</v>
      </c>
      <c r="AR2138">
        <v>0</v>
      </c>
      <c r="AZ2138">
        <v>3614</v>
      </c>
      <c r="BA2138">
        <v>1</v>
      </c>
      <c r="BB2138" t="str">
        <f t="shared" si="101"/>
        <v xml:space="preserve">N959MJ  </v>
      </c>
      <c r="BC2138">
        <v>1</v>
      </c>
      <c r="BE2138">
        <v>0</v>
      </c>
      <c r="BF2138">
        <v>0</v>
      </c>
      <c r="BG2138">
        <v>0</v>
      </c>
      <c r="BH2138">
        <v>4900</v>
      </c>
      <c r="BI2138">
        <v>200</v>
      </c>
      <c r="BJ2138">
        <v>1</v>
      </c>
      <c r="BK2138">
        <v>1</v>
      </c>
      <c r="BL2138">
        <v>1</v>
      </c>
      <c r="BM2138">
        <v>0</v>
      </c>
      <c r="BP2138">
        <v>0</v>
      </c>
      <c r="BQ2138">
        <v>0</v>
      </c>
      <c r="BX2138" t="str">
        <f>"14:25:58.914"</f>
        <v>14:25:58.914</v>
      </c>
      <c r="BY2138" t="str">
        <f>"910931796"</f>
        <v>910931796</v>
      </c>
      <c r="CL2138">
        <v>0</v>
      </c>
      <c r="CM2138">
        <v>2</v>
      </c>
      <c r="CN2138">
        <v>0</v>
      </c>
      <c r="CO2138">
        <v>2</v>
      </c>
      <c r="CP2138">
        <v>0</v>
      </c>
      <c r="CQ2138">
        <v>7</v>
      </c>
      <c r="CR2138" t="s">
        <v>116</v>
      </c>
      <c r="CS2138">
        <v>39</v>
      </c>
      <c r="CT2138">
        <v>2</v>
      </c>
      <c r="CU2138" t="s">
        <v>2259</v>
      </c>
      <c r="CV2138" t="s">
        <v>2260</v>
      </c>
      <c r="CY2138">
        <v>16712946</v>
      </c>
      <c r="CZ2138" t="s">
        <v>119</v>
      </c>
    </row>
    <row r="2139" spans="1:104" x14ac:dyDescent="0.25">
      <c r="A2139" t="str">
        <f>"14:26:00.203"</f>
        <v>14:26:00.203</v>
      </c>
      <c r="B2139" t="s">
        <v>108</v>
      </c>
      <c r="C2139" t="str">
        <f t="shared" si="100"/>
        <v>ffdfd3c0</v>
      </c>
      <c r="D2139" t="s">
        <v>109</v>
      </c>
      <c r="E2139">
        <v>4</v>
      </c>
      <c r="F2139">
        <v>1004</v>
      </c>
      <c r="G2139" t="s">
        <v>110</v>
      </c>
      <c r="J2139" t="s">
        <v>111</v>
      </c>
      <c r="K2139">
        <v>0</v>
      </c>
      <c r="L2139">
        <v>3</v>
      </c>
      <c r="M2139">
        <v>0</v>
      </c>
      <c r="N2139">
        <v>2</v>
      </c>
      <c r="O2139">
        <v>1</v>
      </c>
      <c r="P2139">
        <v>0</v>
      </c>
      <c r="Q2139">
        <v>0</v>
      </c>
      <c r="R2139" t="s">
        <v>112</v>
      </c>
      <c r="S2139" t="str">
        <f>"14:25:59.992"</f>
        <v>14:25:59.992</v>
      </c>
      <c r="T2139" t="str">
        <f>"14:25:59.492"</f>
        <v>14:25:59.492</v>
      </c>
      <c r="U2139" t="str">
        <f t="shared" si="99"/>
        <v>ad5732</v>
      </c>
      <c r="V2139">
        <v>0</v>
      </c>
      <c r="W2139">
        <v>0</v>
      </c>
      <c r="X2139">
        <v>1</v>
      </c>
      <c r="Z2139">
        <v>0</v>
      </c>
      <c r="AA2139">
        <v>9</v>
      </c>
      <c r="AB2139">
        <v>3</v>
      </c>
      <c r="AC2139">
        <v>0</v>
      </c>
      <c r="AD2139">
        <v>10</v>
      </c>
      <c r="AE2139">
        <v>0</v>
      </c>
      <c r="AF2139">
        <v>3</v>
      </c>
      <c r="AG2139">
        <v>2</v>
      </c>
      <c r="AH2139">
        <v>0</v>
      </c>
      <c r="AI2139" t="s">
        <v>4383</v>
      </c>
      <c r="AJ2139">
        <v>39.890112999999999</v>
      </c>
      <c r="AK2139" t="s">
        <v>4384</v>
      </c>
      <c r="AL2139">
        <v>-75.735990999999999</v>
      </c>
      <c r="AM2139">
        <v>100</v>
      </c>
      <c r="AN2139">
        <v>4700</v>
      </c>
      <c r="AO2139" t="s">
        <v>115</v>
      </c>
      <c r="AP2139">
        <v>161</v>
      </c>
      <c r="AQ2139">
        <v>84</v>
      </c>
      <c r="AR2139">
        <v>0</v>
      </c>
      <c r="AZ2139">
        <v>3614</v>
      </c>
      <c r="BA2139">
        <v>1</v>
      </c>
      <c r="BB2139" t="str">
        <f t="shared" si="101"/>
        <v xml:space="preserve">N959MJ  </v>
      </c>
      <c r="BC2139">
        <v>1</v>
      </c>
      <c r="BE2139">
        <v>0</v>
      </c>
      <c r="BF2139">
        <v>0</v>
      </c>
      <c r="BG2139">
        <v>0</v>
      </c>
      <c r="BH2139">
        <v>4900</v>
      </c>
      <c r="BI2139">
        <v>200</v>
      </c>
      <c r="BJ2139">
        <v>1</v>
      </c>
      <c r="BK2139">
        <v>1</v>
      </c>
      <c r="BL2139">
        <v>1</v>
      </c>
      <c r="BM2139">
        <v>0</v>
      </c>
      <c r="BP2139">
        <v>0</v>
      </c>
      <c r="BQ2139">
        <v>0</v>
      </c>
      <c r="BX2139" t="str">
        <f>"14:25:59.992"</f>
        <v>14:25:59.992</v>
      </c>
      <c r="BY2139" t="str">
        <f>"992293983"</f>
        <v>992293983</v>
      </c>
      <c r="CL2139">
        <v>0</v>
      </c>
      <c r="CM2139">
        <v>2</v>
      </c>
      <c r="CN2139">
        <v>0</v>
      </c>
      <c r="CO2139">
        <v>2</v>
      </c>
      <c r="CP2139">
        <v>0</v>
      </c>
      <c r="CQ2139">
        <v>7</v>
      </c>
      <c r="CR2139" t="s">
        <v>116</v>
      </c>
      <c r="CS2139">
        <v>39</v>
      </c>
      <c r="CT2139">
        <v>2</v>
      </c>
      <c r="CU2139" t="s">
        <v>2259</v>
      </c>
      <c r="CV2139" t="s">
        <v>2260</v>
      </c>
      <c r="CY2139">
        <v>16714723</v>
      </c>
      <c r="CZ2139" t="s">
        <v>119</v>
      </c>
    </row>
    <row r="2140" spans="1:104" x14ac:dyDescent="0.25">
      <c r="A2140" t="str">
        <f>"14:26:01.109"</f>
        <v>14:26:01.109</v>
      </c>
      <c r="B2140" t="s">
        <v>108</v>
      </c>
      <c r="C2140" t="str">
        <f t="shared" si="100"/>
        <v>ffdfd3c0</v>
      </c>
      <c r="D2140" t="s">
        <v>109</v>
      </c>
      <c r="E2140">
        <v>4</v>
      </c>
      <c r="F2140">
        <v>1004</v>
      </c>
      <c r="G2140" t="s">
        <v>110</v>
      </c>
      <c r="J2140" t="s">
        <v>111</v>
      </c>
      <c r="K2140">
        <v>0</v>
      </c>
      <c r="L2140">
        <v>3</v>
      </c>
      <c r="M2140">
        <v>0</v>
      </c>
      <c r="N2140">
        <v>2</v>
      </c>
      <c r="O2140">
        <v>1</v>
      </c>
      <c r="P2140">
        <v>0</v>
      </c>
      <c r="Q2140">
        <v>0</v>
      </c>
      <c r="R2140" t="s">
        <v>112</v>
      </c>
      <c r="S2140" t="str">
        <f>"14:26:00.922"</f>
        <v>14:26:00.922</v>
      </c>
      <c r="T2140" t="str">
        <f>"14:26:00.523"</f>
        <v>14:26:00.523</v>
      </c>
      <c r="U2140" t="str">
        <f t="shared" si="99"/>
        <v>ad5732</v>
      </c>
      <c r="V2140">
        <v>0</v>
      </c>
      <c r="W2140">
        <v>0</v>
      </c>
      <c r="X2140">
        <v>1</v>
      </c>
      <c r="Z2140">
        <v>0</v>
      </c>
      <c r="AA2140">
        <v>9</v>
      </c>
      <c r="AB2140">
        <v>3</v>
      </c>
      <c r="AC2140">
        <v>0</v>
      </c>
      <c r="AD2140">
        <v>10</v>
      </c>
      <c r="AE2140">
        <v>0</v>
      </c>
      <c r="AF2140">
        <v>3</v>
      </c>
      <c r="AG2140">
        <v>2</v>
      </c>
      <c r="AH2140">
        <v>0</v>
      </c>
      <c r="AI2140" t="s">
        <v>4385</v>
      </c>
      <c r="AJ2140">
        <v>39.890478000000002</v>
      </c>
      <c r="AK2140" t="s">
        <v>4386</v>
      </c>
      <c r="AL2140">
        <v>-75.735024999999993</v>
      </c>
      <c r="AM2140">
        <v>100</v>
      </c>
      <c r="AN2140">
        <v>4700</v>
      </c>
      <c r="AO2140" t="s">
        <v>115</v>
      </c>
      <c r="AP2140">
        <v>161</v>
      </c>
      <c r="AQ2140">
        <v>84</v>
      </c>
      <c r="AR2140">
        <v>0</v>
      </c>
      <c r="AZ2140">
        <v>3614</v>
      </c>
      <c r="BA2140">
        <v>1</v>
      </c>
      <c r="BB2140" t="str">
        <f t="shared" si="101"/>
        <v xml:space="preserve">N959MJ  </v>
      </c>
      <c r="BC2140">
        <v>1</v>
      </c>
      <c r="BE2140">
        <v>0</v>
      </c>
      <c r="BF2140">
        <v>0</v>
      </c>
      <c r="BG2140">
        <v>0</v>
      </c>
      <c r="BH2140">
        <v>4900</v>
      </c>
      <c r="BI2140">
        <v>200</v>
      </c>
      <c r="BJ2140">
        <v>1</v>
      </c>
      <c r="BK2140">
        <v>1</v>
      </c>
      <c r="BL2140">
        <v>1</v>
      </c>
      <c r="BM2140">
        <v>0</v>
      </c>
      <c r="BP2140">
        <v>0</v>
      </c>
      <c r="BQ2140">
        <v>0</v>
      </c>
      <c r="BX2140" t="str">
        <f>"14:26:00.922"</f>
        <v>14:26:00.922</v>
      </c>
      <c r="BY2140" t="str">
        <f>"922920837"</f>
        <v>922920837</v>
      </c>
      <c r="CL2140">
        <v>0</v>
      </c>
      <c r="CM2140">
        <v>2</v>
      </c>
      <c r="CN2140">
        <v>0</v>
      </c>
      <c r="CO2140">
        <v>2</v>
      </c>
      <c r="CP2140">
        <v>0</v>
      </c>
      <c r="CQ2140">
        <v>7</v>
      </c>
      <c r="CR2140" t="s">
        <v>116</v>
      </c>
      <c r="CS2140">
        <v>39</v>
      </c>
      <c r="CT2140">
        <v>2</v>
      </c>
      <c r="CU2140" t="s">
        <v>2259</v>
      </c>
      <c r="CV2140" t="s">
        <v>2260</v>
      </c>
      <c r="CY2140">
        <v>16716270</v>
      </c>
      <c r="CZ2140" t="s">
        <v>119</v>
      </c>
    </row>
    <row r="2141" spans="1:104" x14ac:dyDescent="0.25">
      <c r="A2141" t="str">
        <f>"14:26:02.219"</f>
        <v>14:26:02.219</v>
      </c>
      <c r="B2141" t="s">
        <v>108</v>
      </c>
      <c r="C2141" t="str">
        <f t="shared" si="100"/>
        <v>ffdfd3c0</v>
      </c>
      <c r="D2141" t="s">
        <v>109</v>
      </c>
      <c r="E2141">
        <v>4</v>
      </c>
      <c r="F2141">
        <v>1004</v>
      </c>
      <c r="G2141" t="s">
        <v>110</v>
      </c>
      <c r="J2141" t="s">
        <v>111</v>
      </c>
      <c r="K2141">
        <v>0</v>
      </c>
      <c r="L2141">
        <v>3</v>
      </c>
      <c r="M2141">
        <v>0</v>
      </c>
      <c r="N2141">
        <v>2</v>
      </c>
      <c r="O2141">
        <v>1</v>
      </c>
      <c r="P2141">
        <v>0</v>
      </c>
      <c r="Q2141">
        <v>0</v>
      </c>
      <c r="R2141" t="s">
        <v>112</v>
      </c>
      <c r="S2141" t="str">
        <f>"14:26:02.031"</f>
        <v>14:26:02.031</v>
      </c>
      <c r="T2141" t="str">
        <f>"14:26:01.531"</f>
        <v>14:26:01.531</v>
      </c>
      <c r="U2141" t="str">
        <f t="shared" si="99"/>
        <v>ad5732</v>
      </c>
      <c r="V2141">
        <v>0</v>
      </c>
      <c r="W2141">
        <v>0</v>
      </c>
      <c r="X2141">
        <v>1</v>
      </c>
      <c r="Z2141">
        <v>0</v>
      </c>
      <c r="AA2141">
        <v>9</v>
      </c>
      <c r="AB2141">
        <v>3</v>
      </c>
      <c r="AC2141">
        <v>0</v>
      </c>
      <c r="AD2141">
        <v>10</v>
      </c>
      <c r="AE2141">
        <v>0</v>
      </c>
      <c r="AF2141">
        <v>3</v>
      </c>
      <c r="AG2141">
        <v>2</v>
      </c>
      <c r="AH2141">
        <v>0</v>
      </c>
      <c r="AI2141" t="s">
        <v>4387</v>
      </c>
      <c r="AJ2141">
        <v>39.890928000000002</v>
      </c>
      <c r="AK2141" t="s">
        <v>4388</v>
      </c>
      <c r="AL2141">
        <v>-75.733953</v>
      </c>
      <c r="AM2141">
        <v>100</v>
      </c>
      <c r="AN2141">
        <v>4700</v>
      </c>
      <c r="AO2141" t="s">
        <v>115</v>
      </c>
      <c r="AP2141">
        <v>161</v>
      </c>
      <c r="AQ2141">
        <v>84</v>
      </c>
      <c r="AR2141">
        <v>0</v>
      </c>
      <c r="AZ2141">
        <v>3614</v>
      </c>
      <c r="BA2141">
        <v>1</v>
      </c>
      <c r="BB2141" t="str">
        <f t="shared" si="101"/>
        <v xml:space="preserve">N959MJ  </v>
      </c>
      <c r="BC2141">
        <v>1</v>
      </c>
      <c r="BE2141">
        <v>0</v>
      </c>
      <c r="BF2141">
        <v>0</v>
      </c>
      <c r="BG2141">
        <v>0</v>
      </c>
      <c r="BH2141">
        <v>4900</v>
      </c>
      <c r="BI2141">
        <v>200</v>
      </c>
      <c r="BJ2141">
        <v>1</v>
      </c>
      <c r="BK2141">
        <v>1</v>
      </c>
      <c r="BL2141">
        <v>1</v>
      </c>
      <c r="BM2141">
        <v>0</v>
      </c>
      <c r="BP2141">
        <v>0</v>
      </c>
      <c r="BQ2141">
        <v>0</v>
      </c>
      <c r="BX2141" t="str">
        <f>"14:26:02.031"</f>
        <v>14:26:02.031</v>
      </c>
      <c r="BY2141" t="str">
        <f>"032136309"</f>
        <v>032136309</v>
      </c>
      <c r="CL2141">
        <v>0</v>
      </c>
      <c r="CM2141">
        <v>2</v>
      </c>
      <c r="CN2141">
        <v>0</v>
      </c>
      <c r="CO2141">
        <v>2</v>
      </c>
      <c r="CP2141">
        <v>0</v>
      </c>
      <c r="CQ2141">
        <v>7</v>
      </c>
      <c r="CR2141" t="s">
        <v>116</v>
      </c>
      <c r="CS2141">
        <v>39</v>
      </c>
      <c r="CT2141">
        <v>3</v>
      </c>
      <c r="CU2141" t="s">
        <v>2259</v>
      </c>
      <c r="CV2141" t="s">
        <v>2260</v>
      </c>
      <c r="CY2141">
        <v>10698324</v>
      </c>
      <c r="CZ2141" t="s">
        <v>119</v>
      </c>
    </row>
    <row r="2142" spans="1:104" x14ac:dyDescent="0.25">
      <c r="A2142" t="str">
        <f>"14:26:03.234"</f>
        <v>14:26:03.234</v>
      </c>
      <c r="B2142" t="s">
        <v>108</v>
      </c>
      <c r="C2142" t="str">
        <f t="shared" si="100"/>
        <v>ffdfd3c0</v>
      </c>
      <c r="D2142" t="s">
        <v>109</v>
      </c>
      <c r="E2142">
        <v>4</v>
      </c>
      <c r="F2142">
        <v>1004</v>
      </c>
      <c r="G2142" t="s">
        <v>110</v>
      </c>
      <c r="J2142" t="s">
        <v>111</v>
      </c>
      <c r="K2142">
        <v>0</v>
      </c>
      <c r="L2142">
        <v>3</v>
      </c>
      <c r="M2142">
        <v>0</v>
      </c>
      <c r="N2142">
        <v>2</v>
      </c>
      <c r="O2142">
        <v>1</v>
      </c>
      <c r="P2142">
        <v>0</v>
      </c>
      <c r="Q2142">
        <v>0</v>
      </c>
      <c r="R2142" t="s">
        <v>112</v>
      </c>
      <c r="S2142" t="str">
        <f>"14:26:03.047"</f>
        <v>14:26:03.047</v>
      </c>
      <c r="T2142" t="str">
        <f>"14:26:02.547"</f>
        <v>14:26:02.547</v>
      </c>
      <c r="U2142" t="str">
        <f t="shared" si="99"/>
        <v>ad5732</v>
      </c>
      <c r="V2142">
        <v>0</v>
      </c>
      <c r="W2142">
        <v>0</v>
      </c>
      <c r="X2142">
        <v>1</v>
      </c>
      <c r="Z2142">
        <v>0</v>
      </c>
      <c r="AA2142">
        <v>9</v>
      </c>
      <c r="AB2142">
        <v>3</v>
      </c>
      <c r="AC2142">
        <v>0</v>
      </c>
      <c r="AD2142">
        <v>10</v>
      </c>
      <c r="AE2142">
        <v>0</v>
      </c>
      <c r="AF2142">
        <v>3</v>
      </c>
      <c r="AG2142">
        <v>2</v>
      </c>
      <c r="AH2142">
        <v>0</v>
      </c>
      <c r="AI2142" t="s">
        <v>4389</v>
      </c>
      <c r="AJ2142">
        <v>39.891314999999999</v>
      </c>
      <c r="AK2142" t="s">
        <v>4390</v>
      </c>
      <c r="AL2142">
        <v>-75.732964999999993</v>
      </c>
      <c r="AM2142">
        <v>100</v>
      </c>
      <c r="AN2142">
        <v>4700</v>
      </c>
      <c r="AO2142" t="s">
        <v>115</v>
      </c>
      <c r="AP2142">
        <v>161</v>
      </c>
      <c r="AQ2142">
        <v>84</v>
      </c>
      <c r="AR2142">
        <v>0</v>
      </c>
      <c r="AZ2142">
        <v>3614</v>
      </c>
      <c r="BA2142">
        <v>1</v>
      </c>
      <c r="BB2142" t="str">
        <f t="shared" si="101"/>
        <v xml:space="preserve">N959MJ  </v>
      </c>
      <c r="BC2142">
        <v>1</v>
      </c>
      <c r="BE2142">
        <v>0</v>
      </c>
      <c r="BF2142">
        <v>0</v>
      </c>
      <c r="BG2142">
        <v>0</v>
      </c>
      <c r="BH2142">
        <v>4900</v>
      </c>
      <c r="BI2142">
        <v>200</v>
      </c>
      <c r="BJ2142">
        <v>1</v>
      </c>
      <c r="BK2142">
        <v>1</v>
      </c>
      <c r="BL2142">
        <v>1</v>
      </c>
      <c r="BM2142">
        <v>0</v>
      </c>
      <c r="BP2142">
        <v>0</v>
      </c>
      <c r="BQ2142">
        <v>0</v>
      </c>
      <c r="BX2142" t="str">
        <f>"14:26:03.055"</f>
        <v>14:26:03.055</v>
      </c>
      <c r="BY2142" t="str">
        <f>"051238253"</f>
        <v>051238253</v>
      </c>
      <c r="CL2142">
        <v>0</v>
      </c>
      <c r="CM2142">
        <v>2</v>
      </c>
      <c r="CN2142">
        <v>0</v>
      </c>
      <c r="CO2142">
        <v>2</v>
      </c>
      <c r="CP2142">
        <v>0</v>
      </c>
      <c r="CQ2142">
        <v>7</v>
      </c>
      <c r="CR2142" t="s">
        <v>116</v>
      </c>
      <c r="CS2142">
        <v>39</v>
      </c>
      <c r="CT2142">
        <v>2</v>
      </c>
      <c r="CU2142" t="s">
        <v>2259</v>
      </c>
      <c r="CV2142" t="s">
        <v>2260</v>
      </c>
      <c r="CY2142">
        <v>16719861</v>
      </c>
      <c r="CZ2142" t="s">
        <v>119</v>
      </c>
    </row>
    <row r="2143" spans="1:104" x14ac:dyDescent="0.25">
      <c r="A2143" t="str">
        <f>"14:26:04.242"</f>
        <v>14:26:04.242</v>
      </c>
      <c r="B2143" t="s">
        <v>108</v>
      </c>
      <c r="C2143" t="str">
        <f t="shared" si="100"/>
        <v>ffdfd3c0</v>
      </c>
      <c r="D2143" t="s">
        <v>109</v>
      </c>
      <c r="E2143">
        <v>4</v>
      </c>
      <c r="F2143">
        <v>1004</v>
      </c>
      <c r="G2143" t="s">
        <v>110</v>
      </c>
      <c r="J2143" t="s">
        <v>111</v>
      </c>
      <c r="K2143">
        <v>0</v>
      </c>
      <c r="L2143">
        <v>3</v>
      </c>
      <c r="M2143">
        <v>0</v>
      </c>
      <c r="N2143">
        <v>2</v>
      </c>
      <c r="O2143">
        <v>1</v>
      </c>
      <c r="P2143">
        <v>0</v>
      </c>
      <c r="Q2143">
        <v>0</v>
      </c>
      <c r="R2143" t="s">
        <v>112</v>
      </c>
      <c r="S2143" t="str">
        <f>"14:26:04.047"</f>
        <v>14:26:04.047</v>
      </c>
      <c r="T2143" t="str">
        <f>"14:26:03.648"</f>
        <v>14:26:03.648</v>
      </c>
      <c r="U2143" t="str">
        <f t="shared" si="99"/>
        <v>ad5732</v>
      </c>
      <c r="V2143">
        <v>0</v>
      </c>
      <c r="W2143">
        <v>0</v>
      </c>
      <c r="X2143">
        <v>1</v>
      </c>
      <c r="Z2143">
        <v>0</v>
      </c>
      <c r="AA2143">
        <v>9</v>
      </c>
      <c r="AB2143">
        <v>3</v>
      </c>
      <c r="AC2143">
        <v>0</v>
      </c>
      <c r="AD2143">
        <v>10</v>
      </c>
      <c r="AE2143">
        <v>0</v>
      </c>
      <c r="AF2143">
        <v>3</v>
      </c>
      <c r="AG2143">
        <v>2</v>
      </c>
      <c r="AH2143">
        <v>0</v>
      </c>
      <c r="AI2143" t="s">
        <v>4391</v>
      </c>
      <c r="AJ2143">
        <v>39.891722000000001</v>
      </c>
      <c r="AK2143" t="s">
        <v>4392</v>
      </c>
      <c r="AL2143">
        <v>-75.732063999999994</v>
      </c>
      <c r="AM2143">
        <v>100</v>
      </c>
      <c r="AN2143">
        <v>4700</v>
      </c>
      <c r="AO2143" t="s">
        <v>115</v>
      </c>
      <c r="AP2143">
        <v>161</v>
      </c>
      <c r="AQ2143">
        <v>84</v>
      </c>
      <c r="AR2143">
        <v>0</v>
      </c>
      <c r="AZ2143">
        <v>3614</v>
      </c>
      <c r="BA2143">
        <v>1</v>
      </c>
      <c r="BB2143" t="str">
        <f t="shared" si="101"/>
        <v xml:space="preserve">N959MJ  </v>
      </c>
      <c r="BC2143">
        <v>1</v>
      </c>
      <c r="BE2143">
        <v>0</v>
      </c>
      <c r="BF2143">
        <v>0</v>
      </c>
      <c r="BG2143">
        <v>0</v>
      </c>
      <c r="BH2143">
        <v>4900</v>
      </c>
      <c r="BI2143">
        <v>200</v>
      </c>
      <c r="BJ2143">
        <v>1</v>
      </c>
      <c r="BK2143">
        <v>1</v>
      </c>
      <c r="BL2143">
        <v>1</v>
      </c>
      <c r="BM2143">
        <v>0</v>
      </c>
      <c r="BP2143">
        <v>0</v>
      </c>
      <c r="BQ2143">
        <v>0</v>
      </c>
      <c r="BX2143" t="str">
        <f>"14:26:04.047"</f>
        <v>14:26:04.047</v>
      </c>
      <c r="BY2143" t="str">
        <f>"050679085"</f>
        <v>050679085</v>
      </c>
      <c r="CL2143">
        <v>0</v>
      </c>
      <c r="CM2143">
        <v>2</v>
      </c>
      <c r="CN2143">
        <v>0</v>
      </c>
      <c r="CO2143">
        <v>2</v>
      </c>
      <c r="CP2143">
        <v>0</v>
      </c>
      <c r="CQ2143">
        <v>7</v>
      </c>
      <c r="CR2143" t="s">
        <v>116</v>
      </c>
      <c r="CS2143">
        <v>39</v>
      </c>
      <c r="CT2143">
        <v>3</v>
      </c>
      <c r="CU2143" t="s">
        <v>2259</v>
      </c>
      <c r="CV2143" t="s">
        <v>2260</v>
      </c>
      <c r="CY2143">
        <v>10701738</v>
      </c>
      <c r="CZ2143" t="s">
        <v>119</v>
      </c>
    </row>
    <row r="2144" spans="1:104" x14ac:dyDescent="0.25">
      <c r="A2144" t="str">
        <f>"14:26:05.203"</f>
        <v>14:26:05.203</v>
      </c>
      <c r="B2144" t="s">
        <v>108</v>
      </c>
      <c r="C2144" t="str">
        <f t="shared" si="100"/>
        <v>ffdfd3c0</v>
      </c>
      <c r="D2144" t="s">
        <v>109</v>
      </c>
      <c r="E2144">
        <v>4</v>
      </c>
      <c r="F2144">
        <v>1004</v>
      </c>
      <c r="G2144" t="s">
        <v>110</v>
      </c>
      <c r="J2144" t="s">
        <v>111</v>
      </c>
      <c r="K2144">
        <v>0</v>
      </c>
      <c r="L2144">
        <v>3</v>
      </c>
      <c r="M2144">
        <v>0</v>
      </c>
      <c r="N2144">
        <v>2</v>
      </c>
      <c r="O2144">
        <v>1</v>
      </c>
      <c r="P2144">
        <v>0</v>
      </c>
      <c r="Q2144">
        <v>0</v>
      </c>
      <c r="R2144" t="s">
        <v>112</v>
      </c>
      <c r="S2144" t="str">
        <f>"14:26:04.984"</f>
        <v>14:26:04.984</v>
      </c>
      <c r="T2144" t="str">
        <f>"14:26:04.484"</f>
        <v>14:26:04.484</v>
      </c>
      <c r="U2144" t="str">
        <f t="shared" si="99"/>
        <v>ad5732</v>
      </c>
      <c r="V2144">
        <v>0</v>
      </c>
      <c r="W2144">
        <v>0</v>
      </c>
      <c r="X2144">
        <v>1</v>
      </c>
      <c r="Z2144">
        <v>0</v>
      </c>
      <c r="AA2144">
        <v>9</v>
      </c>
      <c r="AB2144">
        <v>3</v>
      </c>
      <c r="AC2144">
        <v>0</v>
      </c>
      <c r="AD2144">
        <v>10</v>
      </c>
      <c r="AE2144">
        <v>0</v>
      </c>
      <c r="AF2144">
        <v>3</v>
      </c>
      <c r="AG2144">
        <v>2</v>
      </c>
      <c r="AH2144">
        <v>0</v>
      </c>
      <c r="AI2144" t="s">
        <v>4393</v>
      </c>
      <c r="AJ2144">
        <v>39.892043999999999</v>
      </c>
      <c r="AK2144" t="s">
        <v>4394</v>
      </c>
      <c r="AL2144">
        <v>-75.731142000000006</v>
      </c>
      <c r="AM2144">
        <v>100</v>
      </c>
      <c r="AN2144">
        <v>4700</v>
      </c>
      <c r="AO2144" t="s">
        <v>115</v>
      </c>
      <c r="AP2144">
        <v>161</v>
      </c>
      <c r="AQ2144">
        <v>84</v>
      </c>
      <c r="AR2144">
        <v>0</v>
      </c>
      <c r="AZ2144">
        <v>3614</v>
      </c>
      <c r="BA2144">
        <v>1</v>
      </c>
      <c r="BB2144" t="str">
        <f t="shared" si="101"/>
        <v xml:space="preserve">N959MJ  </v>
      </c>
      <c r="BC2144">
        <v>1</v>
      </c>
      <c r="BE2144">
        <v>0</v>
      </c>
      <c r="BF2144">
        <v>0</v>
      </c>
      <c r="BG2144">
        <v>0</v>
      </c>
      <c r="BH2144">
        <v>4900</v>
      </c>
      <c r="BI2144">
        <v>200</v>
      </c>
      <c r="BJ2144">
        <v>1</v>
      </c>
      <c r="BK2144">
        <v>1</v>
      </c>
      <c r="BL2144">
        <v>1</v>
      </c>
      <c r="BM2144">
        <v>0</v>
      </c>
      <c r="BP2144">
        <v>0</v>
      </c>
      <c r="BQ2144">
        <v>0</v>
      </c>
      <c r="BX2144" t="str">
        <f>"14:26:04.992"</f>
        <v>14:26:04.992</v>
      </c>
      <c r="BY2144" t="str">
        <f>"989498071"</f>
        <v>989498071</v>
      </c>
      <c r="CL2144">
        <v>0</v>
      </c>
      <c r="CM2144">
        <v>2</v>
      </c>
      <c r="CN2144">
        <v>0</v>
      </c>
      <c r="CO2144">
        <v>2</v>
      </c>
      <c r="CP2144">
        <v>0</v>
      </c>
      <c r="CQ2144">
        <v>7</v>
      </c>
      <c r="CR2144" t="s">
        <v>116</v>
      </c>
      <c r="CS2144">
        <v>39</v>
      </c>
      <c r="CT2144">
        <v>2</v>
      </c>
      <c r="CU2144" t="s">
        <v>2259</v>
      </c>
      <c r="CV2144" t="s">
        <v>2260</v>
      </c>
      <c r="CY2144">
        <v>16722860</v>
      </c>
      <c r="CZ2144" t="s">
        <v>119</v>
      </c>
    </row>
    <row r="2145" spans="1:104" x14ac:dyDescent="0.25">
      <c r="A2145" t="str">
        <f>"14:26:06.211"</f>
        <v>14:26:06.211</v>
      </c>
      <c r="B2145" t="s">
        <v>108</v>
      </c>
      <c r="C2145" t="str">
        <f t="shared" si="100"/>
        <v>ffdfd3c0</v>
      </c>
      <c r="D2145" t="s">
        <v>109</v>
      </c>
      <c r="E2145">
        <v>4</v>
      </c>
      <c r="F2145">
        <v>1004</v>
      </c>
      <c r="G2145" t="s">
        <v>110</v>
      </c>
      <c r="J2145" t="s">
        <v>111</v>
      </c>
      <c r="K2145">
        <v>0</v>
      </c>
      <c r="L2145">
        <v>3</v>
      </c>
      <c r="M2145">
        <v>0</v>
      </c>
      <c r="N2145">
        <v>2</v>
      </c>
      <c r="O2145">
        <v>1</v>
      </c>
      <c r="P2145">
        <v>0</v>
      </c>
      <c r="Q2145">
        <v>0</v>
      </c>
      <c r="R2145" t="s">
        <v>112</v>
      </c>
      <c r="S2145" t="str">
        <f>"14:26:06.039"</f>
        <v>14:26:06.039</v>
      </c>
      <c r="T2145" t="str">
        <f>"14:26:05.539"</f>
        <v>14:26:05.539</v>
      </c>
      <c r="U2145" t="str">
        <f t="shared" si="99"/>
        <v>ad5732</v>
      </c>
      <c r="V2145">
        <v>0</v>
      </c>
      <c r="W2145">
        <v>0</v>
      </c>
      <c r="X2145">
        <v>1</v>
      </c>
      <c r="Z2145">
        <v>0</v>
      </c>
      <c r="AA2145">
        <v>9</v>
      </c>
      <c r="AB2145">
        <v>3</v>
      </c>
      <c r="AC2145">
        <v>0</v>
      </c>
      <c r="AD2145">
        <v>10</v>
      </c>
      <c r="AE2145">
        <v>0</v>
      </c>
      <c r="AF2145">
        <v>3</v>
      </c>
      <c r="AG2145">
        <v>2</v>
      </c>
      <c r="AH2145">
        <v>0</v>
      </c>
      <c r="AI2145" t="s">
        <v>4395</v>
      </c>
      <c r="AJ2145">
        <v>39.892473000000003</v>
      </c>
      <c r="AK2145" t="s">
        <v>4396</v>
      </c>
      <c r="AL2145">
        <v>-75.730112000000005</v>
      </c>
      <c r="AM2145">
        <v>100</v>
      </c>
      <c r="AN2145">
        <v>4700</v>
      </c>
      <c r="AO2145" t="s">
        <v>115</v>
      </c>
      <c r="AP2145">
        <v>161</v>
      </c>
      <c r="AQ2145">
        <v>84</v>
      </c>
      <c r="AR2145">
        <v>64</v>
      </c>
      <c r="AZ2145">
        <v>3614</v>
      </c>
      <c r="BA2145">
        <v>1</v>
      </c>
      <c r="BB2145" t="str">
        <f t="shared" si="101"/>
        <v xml:space="preserve">N959MJ  </v>
      </c>
      <c r="BC2145">
        <v>1</v>
      </c>
      <c r="BE2145">
        <v>0</v>
      </c>
      <c r="BF2145">
        <v>0</v>
      </c>
      <c r="BG2145">
        <v>0</v>
      </c>
      <c r="BH2145">
        <v>4900</v>
      </c>
      <c r="BI2145">
        <v>200</v>
      </c>
      <c r="BJ2145">
        <v>1</v>
      </c>
      <c r="BK2145">
        <v>1</v>
      </c>
      <c r="BL2145">
        <v>1</v>
      </c>
      <c r="BM2145">
        <v>0</v>
      </c>
      <c r="BP2145">
        <v>0</v>
      </c>
      <c r="BQ2145">
        <v>0</v>
      </c>
      <c r="BX2145" t="str">
        <f>"14:26:06.047"</f>
        <v>14:26:06.047</v>
      </c>
      <c r="BY2145" t="str">
        <f>"043007057"</f>
        <v>043007057</v>
      </c>
      <c r="CL2145">
        <v>0</v>
      </c>
      <c r="CM2145">
        <v>2</v>
      </c>
      <c r="CN2145">
        <v>0</v>
      </c>
      <c r="CO2145">
        <v>2</v>
      </c>
      <c r="CP2145">
        <v>0</v>
      </c>
      <c r="CQ2145">
        <v>7</v>
      </c>
      <c r="CR2145" t="s">
        <v>116</v>
      </c>
      <c r="CS2145">
        <v>39</v>
      </c>
      <c r="CT2145">
        <v>2</v>
      </c>
      <c r="CU2145" t="s">
        <v>2259</v>
      </c>
      <c r="CV2145" t="s">
        <v>2260</v>
      </c>
      <c r="CY2145">
        <v>16724603</v>
      </c>
      <c r="CZ2145" t="s">
        <v>119</v>
      </c>
    </row>
    <row r="2146" spans="1:104" x14ac:dyDescent="0.25">
      <c r="A2146" t="str">
        <f>"14:26:07.219"</f>
        <v>14:26:07.219</v>
      </c>
      <c r="B2146" t="s">
        <v>108</v>
      </c>
      <c r="C2146" t="str">
        <f t="shared" si="100"/>
        <v>ffdfd3c0</v>
      </c>
      <c r="D2146" t="s">
        <v>109</v>
      </c>
      <c r="E2146">
        <v>4</v>
      </c>
      <c r="F2146">
        <v>1004</v>
      </c>
      <c r="G2146" t="s">
        <v>110</v>
      </c>
      <c r="J2146" t="s">
        <v>111</v>
      </c>
      <c r="K2146">
        <v>0</v>
      </c>
      <c r="L2146">
        <v>3</v>
      </c>
      <c r="M2146">
        <v>0</v>
      </c>
      <c r="N2146">
        <v>2</v>
      </c>
      <c r="O2146">
        <v>1</v>
      </c>
      <c r="P2146">
        <v>0</v>
      </c>
      <c r="Q2146">
        <v>0</v>
      </c>
      <c r="R2146" t="s">
        <v>112</v>
      </c>
      <c r="S2146" t="str">
        <f>"14:26:07.031"</f>
        <v>14:26:07.031</v>
      </c>
      <c r="T2146" t="str">
        <f>"14:26:06.633"</f>
        <v>14:26:06.633</v>
      </c>
      <c r="U2146" t="str">
        <f t="shared" si="99"/>
        <v>ad5732</v>
      </c>
      <c r="V2146">
        <v>0</v>
      </c>
      <c r="W2146">
        <v>0</v>
      </c>
      <c r="X2146">
        <v>1</v>
      </c>
      <c r="Z2146">
        <v>0</v>
      </c>
      <c r="AA2146">
        <v>9</v>
      </c>
      <c r="AB2146">
        <v>3</v>
      </c>
      <c r="AC2146">
        <v>0</v>
      </c>
      <c r="AD2146">
        <v>10</v>
      </c>
      <c r="AE2146">
        <v>0</v>
      </c>
      <c r="AF2146">
        <v>3</v>
      </c>
      <c r="AG2146">
        <v>2</v>
      </c>
      <c r="AH2146">
        <v>0</v>
      </c>
      <c r="AI2146" t="s">
        <v>4397</v>
      </c>
      <c r="AJ2146">
        <v>39.892901999999999</v>
      </c>
      <c r="AK2146" t="s">
        <v>4398</v>
      </c>
      <c r="AL2146">
        <v>-75.729124999999996</v>
      </c>
      <c r="AM2146">
        <v>100</v>
      </c>
      <c r="AN2146">
        <v>4700</v>
      </c>
      <c r="AO2146" t="s">
        <v>115</v>
      </c>
      <c r="AP2146">
        <v>160</v>
      </c>
      <c r="AQ2146">
        <v>84</v>
      </c>
      <c r="AR2146">
        <v>64</v>
      </c>
      <c r="AZ2146">
        <v>3614</v>
      </c>
      <c r="BA2146">
        <v>1</v>
      </c>
      <c r="BB2146" t="str">
        <f t="shared" si="101"/>
        <v xml:space="preserve">N959MJ  </v>
      </c>
      <c r="BC2146">
        <v>1</v>
      </c>
      <c r="BE2146">
        <v>0</v>
      </c>
      <c r="BF2146">
        <v>0</v>
      </c>
      <c r="BG2146">
        <v>0</v>
      </c>
      <c r="BH2146">
        <v>4900</v>
      </c>
      <c r="BI2146">
        <v>200</v>
      </c>
      <c r="BJ2146">
        <v>1</v>
      </c>
      <c r="BK2146">
        <v>1</v>
      </c>
      <c r="BL2146">
        <v>1</v>
      </c>
      <c r="BM2146">
        <v>0</v>
      </c>
      <c r="BP2146">
        <v>0</v>
      </c>
      <c r="BQ2146">
        <v>0</v>
      </c>
      <c r="BX2146" t="str">
        <f>"14:26:07.031"</f>
        <v>14:26:07.031</v>
      </c>
      <c r="BY2146" t="str">
        <f>"034255733"</f>
        <v>034255733</v>
      </c>
      <c r="CL2146">
        <v>0</v>
      </c>
      <c r="CM2146">
        <v>2</v>
      </c>
      <c r="CN2146">
        <v>0</v>
      </c>
      <c r="CO2146">
        <v>2</v>
      </c>
      <c r="CP2146">
        <v>0</v>
      </c>
      <c r="CQ2146">
        <v>7</v>
      </c>
      <c r="CR2146" t="s">
        <v>116</v>
      </c>
      <c r="CS2146">
        <v>39</v>
      </c>
      <c r="CT2146">
        <v>2</v>
      </c>
      <c r="CU2146" t="s">
        <v>2259</v>
      </c>
      <c r="CV2146" t="s">
        <v>2260</v>
      </c>
      <c r="CY2146">
        <v>16726412</v>
      </c>
      <c r="CZ2146" t="s">
        <v>119</v>
      </c>
    </row>
    <row r="2147" spans="1:104" x14ac:dyDescent="0.25">
      <c r="A2147" t="str">
        <f>"14:26:08.328"</f>
        <v>14:26:08.328</v>
      </c>
      <c r="B2147" t="s">
        <v>108</v>
      </c>
      <c r="C2147" t="str">
        <f t="shared" si="100"/>
        <v>ffdfd3c0</v>
      </c>
      <c r="D2147" t="s">
        <v>109</v>
      </c>
      <c r="E2147">
        <v>4</v>
      </c>
      <c r="F2147">
        <v>1004</v>
      </c>
      <c r="G2147" t="s">
        <v>110</v>
      </c>
      <c r="J2147" t="s">
        <v>111</v>
      </c>
      <c r="K2147">
        <v>0</v>
      </c>
      <c r="L2147">
        <v>3</v>
      </c>
      <c r="M2147">
        <v>0</v>
      </c>
      <c r="N2147">
        <v>2</v>
      </c>
      <c r="O2147">
        <v>1</v>
      </c>
      <c r="P2147">
        <v>0</v>
      </c>
      <c r="Q2147">
        <v>0</v>
      </c>
      <c r="R2147" t="s">
        <v>112</v>
      </c>
      <c r="S2147" t="str">
        <f>"14:26:08.141"</f>
        <v>14:26:08.141</v>
      </c>
      <c r="T2147" t="str">
        <f>"14:26:07.641"</f>
        <v>14:26:07.641</v>
      </c>
      <c r="U2147" t="str">
        <f t="shared" si="99"/>
        <v>ad5732</v>
      </c>
      <c r="V2147">
        <v>0</v>
      </c>
      <c r="W2147">
        <v>0</v>
      </c>
      <c r="X2147">
        <v>1</v>
      </c>
      <c r="Z2147">
        <v>0</v>
      </c>
      <c r="AA2147">
        <v>9</v>
      </c>
      <c r="AB2147">
        <v>3</v>
      </c>
      <c r="AC2147">
        <v>0</v>
      </c>
      <c r="AD2147">
        <v>10</v>
      </c>
      <c r="AE2147">
        <v>0</v>
      </c>
      <c r="AF2147">
        <v>3</v>
      </c>
      <c r="AG2147">
        <v>2</v>
      </c>
      <c r="AH2147">
        <v>0</v>
      </c>
      <c r="AI2147" t="s">
        <v>4399</v>
      </c>
      <c r="AJ2147">
        <v>39.893332000000001</v>
      </c>
      <c r="AK2147" t="s">
        <v>4400</v>
      </c>
      <c r="AL2147">
        <v>-75.728052000000005</v>
      </c>
      <c r="AM2147">
        <v>100</v>
      </c>
      <c r="AN2147">
        <v>4700</v>
      </c>
      <c r="AO2147" t="s">
        <v>115</v>
      </c>
      <c r="AP2147">
        <v>160</v>
      </c>
      <c r="AQ2147">
        <v>84</v>
      </c>
      <c r="AR2147">
        <v>0</v>
      </c>
      <c r="AZ2147">
        <v>3614</v>
      </c>
      <c r="BA2147">
        <v>1</v>
      </c>
      <c r="BB2147" t="str">
        <f t="shared" si="101"/>
        <v xml:space="preserve">N959MJ  </v>
      </c>
      <c r="BC2147">
        <v>1</v>
      </c>
      <c r="BE2147">
        <v>0</v>
      </c>
      <c r="BF2147">
        <v>0</v>
      </c>
      <c r="BG2147">
        <v>0</v>
      </c>
      <c r="BH2147">
        <v>4900</v>
      </c>
      <c r="BI2147">
        <v>200</v>
      </c>
      <c r="BJ2147">
        <v>1</v>
      </c>
      <c r="BK2147">
        <v>1</v>
      </c>
      <c r="BL2147">
        <v>1</v>
      </c>
      <c r="BM2147">
        <v>0</v>
      </c>
      <c r="BP2147">
        <v>0</v>
      </c>
      <c r="BQ2147">
        <v>0</v>
      </c>
      <c r="BX2147" t="str">
        <f>"14:26:08.148"</f>
        <v>14:26:08.148</v>
      </c>
      <c r="BY2147" t="str">
        <f>"145109594"</f>
        <v>145109594</v>
      </c>
      <c r="CL2147">
        <v>0</v>
      </c>
      <c r="CM2147">
        <v>2</v>
      </c>
      <c r="CN2147">
        <v>0</v>
      </c>
      <c r="CO2147">
        <v>2</v>
      </c>
      <c r="CP2147">
        <v>0</v>
      </c>
      <c r="CQ2147">
        <v>7</v>
      </c>
      <c r="CR2147" t="s">
        <v>116</v>
      </c>
      <c r="CS2147">
        <v>39</v>
      </c>
      <c r="CT2147">
        <v>3</v>
      </c>
      <c r="CU2147" t="s">
        <v>2259</v>
      </c>
      <c r="CV2147" t="s">
        <v>2260</v>
      </c>
      <c r="CY2147">
        <v>10708734</v>
      </c>
      <c r="CZ2147" t="s">
        <v>119</v>
      </c>
    </row>
    <row r="2148" spans="1:104" x14ac:dyDescent="0.25">
      <c r="A2148" t="str">
        <f>"14:26:09.141"</f>
        <v>14:26:09.141</v>
      </c>
      <c r="B2148" t="s">
        <v>108</v>
      </c>
      <c r="C2148" t="str">
        <f t="shared" si="100"/>
        <v>ffdfd3c0</v>
      </c>
      <c r="D2148" t="s">
        <v>109</v>
      </c>
      <c r="E2148">
        <v>4</v>
      </c>
      <c r="F2148">
        <v>1004</v>
      </c>
      <c r="G2148" t="s">
        <v>110</v>
      </c>
      <c r="J2148" t="s">
        <v>111</v>
      </c>
      <c r="K2148">
        <v>0</v>
      </c>
      <c r="L2148">
        <v>3</v>
      </c>
      <c r="M2148">
        <v>0</v>
      </c>
      <c r="N2148">
        <v>2</v>
      </c>
      <c r="O2148">
        <v>1</v>
      </c>
      <c r="P2148">
        <v>0</v>
      </c>
      <c r="Q2148">
        <v>0</v>
      </c>
      <c r="R2148" t="s">
        <v>112</v>
      </c>
      <c r="S2148" t="str">
        <f>"14:26:08.977"</f>
        <v>14:26:08.977</v>
      </c>
      <c r="T2148" t="str">
        <f>"14:26:08.578"</f>
        <v>14:26:08.578</v>
      </c>
      <c r="U2148" t="str">
        <f t="shared" si="99"/>
        <v>ad5732</v>
      </c>
      <c r="V2148">
        <v>0</v>
      </c>
      <c r="W2148">
        <v>0</v>
      </c>
      <c r="X2148">
        <v>1</v>
      </c>
      <c r="Z2148">
        <v>0</v>
      </c>
      <c r="AA2148">
        <v>9</v>
      </c>
      <c r="AB2148">
        <v>3</v>
      </c>
      <c r="AC2148">
        <v>0</v>
      </c>
      <c r="AD2148">
        <v>10</v>
      </c>
      <c r="AE2148">
        <v>0</v>
      </c>
      <c r="AF2148">
        <v>3</v>
      </c>
      <c r="AG2148">
        <v>2</v>
      </c>
      <c r="AH2148">
        <v>0</v>
      </c>
      <c r="AI2148" t="s">
        <v>4401</v>
      </c>
      <c r="AJ2148">
        <v>39.893653</v>
      </c>
      <c r="AK2148" t="s">
        <v>4402</v>
      </c>
      <c r="AL2148">
        <v>-75.727322000000001</v>
      </c>
      <c r="AM2148">
        <v>100</v>
      </c>
      <c r="AN2148">
        <v>4700</v>
      </c>
      <c r="AO2148" t="s">
        <v>115</v>
      </c>
      <c r="AP2148">
        <v>160</v>
      </c>
      <c r="AQ2148">
        <v>84</v>
      </c>
      <c r="AR2148">
        <v>64</v>
      </c>
      <c r="AZ2148">
        <v>3614</v>
      </c>
      <c r="BA2148">
        <v>1</v>
      </c>
      <c r="BB2148" t="str">
        <f t="shared" si="101"/>
        <v xml:space="preserve">N959MJ  </v>
      </c>
      <c r="BC2148">
        <v>1</v>
      </c>
      <c r="BE2148">
        <v>0</v>
      </c>
      <c r="BF2148">
        <v>0</v>
      </c>
      <c r="BG2148">
        <v>0</v>
      </c>
      <c r="BH2148">
        <v>4900</v>
      </c>
      <c r="BI2148">
        <v>200</v>
      </c>
      <c r="BJ2148">
        <v>1</v>
      </c>
      <c r="BK2148">
        <v>1</v>
      </c>
      <c r="BL2148">
        <v>1</v>
      </c>
      <c r="BM2148">
        <v>0</v>
      </c>
      <c r="BP2148">
        <v>0</v>
      </c>
      <c r="BQ2148">
        <v>0</v>
      </c>
      <c r="BX2148" t="str">
        <f>"14:26:08.977"</f>
        <v>14:26:08.977</v>
      </c>
      <c r="BY2148" t="str">
        <f>"977430779"</f>
        <v>977430779</v>
      </c>
      <c r="CL2148">
        <v>0</v>
      </c>
      <c r="CM2148">
        <v>2</v>
      </c>
      <c r="CN2148">
        <v>0</v>
      </c>
      <c r="CO2148">
        <v>2</v>
      </c>
      <c r="CP2148">
        <v>0</v>
      </c>
      <c r="CQ2148">
        <v>7</v>
      </c>
      <c r="CR2148" t="s">
        <v>116</v>
      </c>
      <c r="CS2148">
        <v>39</v>
      </c>
      <c r="CT2148">
        <v>2</v>
      </c>
      <c r="CU2148" t="s">
        <v>2259</v>
      </c>
      <c r="CV2148" t="s">
        <v>2260</v>
      </c>
      <c r="CY2148">
        <v>16729423</v>
      </c>
      <c r="CZ2148" t="s">
        <v>119</v>
      </c>
    </row>
    <row r="2149" spans="1:104" x14ac:dyDescent="0.25">
      <c r="A2149" t="str">
        <f>"14:26:10.250"</f>
        <v>14:26:10.250</v>
      </c>
      <c r="B2149" t="s">
        <v>108</v>
      </c>
      <c r="C2149" t="str">
        <f t="shared" si="100"/>
        <v>ffdfd3c0</v>
      </c>
      <c r="D2149" t="s">
        <v>109</v>
      </c>
      <c r="E2149">
        <v>4</v>
      </c>
      <c r="F2149">
        <v>1004</v>
      </c>
      <c r="G2149" t="s">
        <v>110</v>
      </c>
      <c r="J2149" t="s">
        <v>111</v>
      </c>
      <c r="K2149">
        <v>0</v>
      </c>
      <c r="L2149">
        <v>3</v>
      </c>
      <c r="M2149">
        <v>0</v>
      </c>
      <c r="N2149">
        <v>2</v>
      </c>
      <c r="O2149">
        <v>1</v>
      </c>
      <c r="P2149">
        <v>0</v>
      </c>
      <c r="Q2149">
        <v>0</v>
      </c>
      <c r="R2149" t="s">
        <v>112</v>
      </c>
      <c r="S2149" t="str">
        <f>"14:26:10.055"</f>
        <v>14:26:10.055</v>
      </c>
      <c r="T2149" t="str">
        <f>"14:26:09.555"</f>
        <v>14:26:09.555</v>
      </c>
      <c r="U2149" t="str">
        <f t="shared" si="99"/>
        <v>ad5732</v>
      </c>
      <c r="V2149">
        <v>0</v>
      </c>
      <c r="W2149">
        <v>0</v>
      </c>
      <c r="X2149">
        <v>1</v>
      </c>
      <c r="Z2149">
        <v>0</v>
      </c>
      <c r="AA2149">
        <v>9</v>
      </c>
      <c r="AB2149">
        <v>3</v>
      </c>
      <c r="AC2149">
        <v>0</v>
      </c>
      <c r="AD2149">
        <v>10</v>
      </c>
      <c r="AE2149">
        <v>0</v>
      </c>
      <c r="AF2149">
        <v>3</v>
      </c>
      <c r="AG2149">
        <v>2</v>
      </c>
      <c r="AH2149">
        <v>0</v>
      </c>
      <c r="AI2149" t="s">
        <v>4403</v>
      </c>
      <c r="AJ2149">
        <v>39.894061000000001</v>
      </c>
      <c r="AK2149" t="s">
        <v>4404</v>
      </c>
      <c r="AL2149">
        <v>-75.726248999999996</v>
      </c>
      <c r="AM2149">
        <v>100</v>
      </c>
      <c r="AN2149">
        <v>4700</v>
      </c>
      <c r="AO2149" t="s">
        <v>115</v>
      </c>
      <c r="AP2149">
        <v>160</v>
      </c>
      <c r="AQ2149">
        <v>84</v>
      </c>
      <c r="AR2149">
        <v>0</v>
      </c>
      <c r="AZ2149">
        <v>3614</v>
      </c>
      <c r="BA2149">
        <v>1</v>
      </c>
      <c r="BB2149" t="str">
        <f t="shared" si="101"/>
        <v xml:space="preserve">N959MJ  </v>
      </c>
      <c r="BC2149">
        <v>1</v>
      </c>
      <c r="BE2149">
        <v>0</v>
      </c>
      <c r="BF2149">
        <v>0</v>
      </c>
      <c r="BG2149">
        <v>0</v>
      </c>
      <c r="BH2149">
        <v>4900</v>
      </c>
      <c r="BI2149">
        <v>200</v>
      </c>
      <c r="BJ2149">
        <v>1</v>
      </c>
      <c r="BK2149">
        <v>1</v>
      </c>
      <c r="BL2149">
        <v>1</v>
      </c>
      <c r="BM2149">
        <v>0</v>
      </c>
      <c r="BP2149">
        <v>0</v>
      </c>
      <c r="BQ2149">
        <v>0</v>
      </c>
      <c r="BX2149" t="str">
        <f>"14:26:10.063"</f>
        <v>14:26:10.063</v>
      </c>
      <c r="BY2149" t="str">
        <f>"058792989"</f>
        <v>058792989</v>
      </c>
      <c r="CL2149">
        <v>0</v>
      </c>
      <c r="CM2149">
        <v>2</v>
      </c>
      <c r="CN2149">
        <v>0</v>
      </c>
      <c r="CO2149">
        <v>2</v>
      </c>
      <c r="CP2149">
        <v>0</v>
      </c>
      <c r="CQ2149">
        <v>7</v>
      </c>
      <c r="CR2149" t="s">
        <v>116</v>
      </c>
      <c r="CS2149">
        <v>39</v>
      </c>
      <c r="CT2149">
        <v>2</v>
      </c>
      <c r="CU2149" t="s">
        <v>2259</v>
      </c>
      <c r="CV2149" t="s">
        <v>2260</v>
      </c>
      <c r="CY2149">
        <v>16731083</v>
      </c>
      <c r="CZ2149" t="s">
        <v>119</v>
      </c>
    </row>
    <row r="2150" spans="1:104" x14ac:dyDescent="0.25">
      <c r="A2150" t="str">
        <f>"14:26:11.109"</f>
        <v>14:26:11.109</v>
      </c>
      <c r="B2150" t="s">
        <v>108</v>
      </c>
      <c r="C2150" t="str">
        <f t="shared" si="100"/>
        <v>ffdfd3c0</v>
      </c>
      <c r="D2150" t="s">
        <v>109</v>
      </c>
      <c r="E2150">
        <v>4</v>
      </c>
      <c r="F2150">
        <v>1004</v>
      </c>
      <c r="G2150" t="s">
        <v>110</v>
      </c>
      <c r="J2150" t="s">
        <v>111</v>
      </c>
      <c r="K2150">
        <v>0</v>
      </c>
      <c r="L2150">
        <v>3</v>
      </c>
      <c r="M2150">
        <v>0</v>
      </c>
      <c r="N2150">
        <v>2</v>
      </c>
      <c r="O2150">
        <v>1</v>
      </c>
      <c r="P2150">
        <v>0</v>
      </c>
      <c r="Q2150">
        <v>0</v>
      </c>
      <c r="R2150" t="s">
        <v>112</v>
      </c>
      <c r="S2150" t="str">
        <f>"14:26:10.945"</f>
        <v>14:26:10.945</v>
      </c>
      <c r="T2150" t="str">
        <f>"14:26:10.547"</f>
        <v>14:26:10.547</v>
      </c>
      <c r="U2150" t="str">
        <f t="shared" si="99"/>
        <v>ad5732</v>
      </c>
      <c r="V2150">
        <v>0</v>
      </c>
      <c r="W2150">
        <v>0</v>
      </c>
      <c r="X2150">
        <v>1</v>
      </c>
      <c r="Z2150">
        <v>0</v>
      </c>
      <c r="AA2150">
        <v>9</v>
      </c>
      <c r="AB2150">
        <v>3</v>
      </c>
      <c r="AC2150">
        <v>0</v>
      </c>
      <c r="AD2150">
        <v>10</v>
      </c>
      <c r="AE2150">
        <v>0</v>
      </c>
      <c r="AF2150">
        <v>3</v>
      </c>
      <c r="AG2150">
        <v>2</v>
      </c>
      <c r="AH2150">
        <v>0</v>
      </c>
      <c r="AI2150" t="s">
        <v>4405</v>
      </c>
      <c r="AJ2150">
        <v>39.894426000000003</v>
      </c>
      <c r="AK2150" t="s">
        <v>4406</v>
      </c>
      <c r="AL2150">
        <v>-75.725347999999997</v>
      </c>
      <c r="AM2150">
        <v>100</v>
      </c>
      <c r="AN2150">
        <v>4700</v>
      </c>
      <c r="AO2150" t="s">
        <v>115</v>
      </c>
      <c r="AP2150">
        <v>160</v>
      </c>
      <c r="AQ2150">
        <v>84</v>
      </c>
      <c r="AR2150">
        <v>0</v>
      </c>
      <c r="AZ2150">
        <v>3614</v>
      </c>
      <c r="BA2150">
        <v>1</v>
      </c>
      <c r="BB2150" t="str">
        <f t="shared" si="101"/>
        <v xml:space="preserve">N959MJ  </v>
      </c>
      <c r="BC2150">
        <v>1</v>
      </c>
      <c r="BE2150">
        <v>0</v>
      </c>
      <c r="BF2150">
        <v>0</v>
      </c>
      <c r="BG2150">
        <v>0</v>
      </c>
      <c r="BH2150">
        <v>4900</v>
      </c>
      <c r="BI2150">
        <v>200</v>
      </c>
      <c r="BJ2150">
        <v>1</v>
      </c>
      <c r="BK2150">
        <v>1</v>
      </c>
      <c r="BL2150">
        <v>1</v>
      </c>
      <c r="BM2150">
        <v>0</v>
      </c>
      <c r="BP2150">
        <v>0</v>
      </c>
      <c r="BQ2150">
        <v>0</v>
      </c>
      <c r="BX2150" t="str">
        <f>"14:26:10.953"</f>
        <v>14:26:10.953</v>
      </c>
      <c r="BY2150" t="str">
        <f>"951736023"</f>
        <v>951736023</v>
      </c>
      <c r="CL2150">
        <v>0</v>
      </c>
      <c r="CM2150">
        <v>2</v>
      </c>
      <c r="CN2150">
        <v>0</v>
      </c>
      <c r="CO2150">
        <v>2</v>
      </c>
      <c r="CP2150">
        <v>0</v>
      </c>
      <c r="CQ2150">
        <v>7</v>
      </c>
      <c r="CR2150" t="s">
        <v>116</v>
      </c>
      <c r="CS2150">
        <v>39</v>
      </c>
      <c r="CT2150">
        <v>2</v>
      </c>
      <c r="CU2150" t="s">
        <v>2259</v>
      </c>
      <c r="CV2150" t="s">
        <v>2260</v>
      </c>
      <c r="CY2150">
        <v>16732720</v>
      </c>
      <c r="CZ2150" t="s">
        <v>119</v>
      </c>
    </row>
    <row r="2151" spans="1:104" x14ac:dyDescent="0.25">
      <c r="A2151" t="str">
        <f>"14:26:12.164"</f>
        <v>14:26:12.164</v>
      </c>
      <c r="B2151" t="s">
        <v>108</v>
      </c>
      <c r="C2151" t="str">
        <f t="shared" si="100"/>
        <v>ffdfd3c0</v>
      </c>
      <c r="D2151" t="s">
        <v>109</v>
      </c>
      <c r="E2151">
        <v>4</v>
      </c>
      <c r="F2151">
        <v>1004</v>
      </c>
      <c r="G2151" t="s">
        <v>110</v>
      </c>
      <c r="J2151" t="s">
        <v>111</v>
      </c>
      <c r="K2151">
        <v>0</v>
      </c>
      <c r="L2151">
        <v>3</v>
      </c>
      <c r="M2151">
        <v>0</v>
      </c>
      <c r="N2151">
        <v>2</v>
      </c>
      <c r="O2151">
        <v>1</v>
      </c>
      <c r="P2151">
        <v>0</v>
      </c>
      <c r="Q2151">
        <v>0</v>
      </c>
      <c r="R2151" t="s">
        <v>112</v>
      </c>
      <c r="S2151" t="str">
        <f>"14:26:11.977"</f>
        <v>14:26:11.977</v>
      </c>
      <c r="T2151" t="str">
        <f>"14:26:11.477"</f>
        <v>14:26:11.477</v>
      </c>
      <c r="U2151" t="str">
        <f t="shared" si="99"/>
        <v>ad5732</v>
      </c>
      <c r="V2151">
        <v>0</v>
      </c>
      <c r="W2151">
        <v>0</v>
      </c>
      <c r="X2151">
        <v>1</v>
      </c>
      <c r="Z2151">
        <v>0</v>
      </c>
      <c r="AA2151">
        <v>9</v>
      </c>
      <c r="AB2151">
        <v>3</v>
      </c>
      <c r="AC2151">
        <v>0</v>
      </c>
      <c r="AD2151">
        <v>10</v>
      </c>
      <c r="AE2151">
        <v>0</v>
      </c>
      <c r="AF2151">
        <v>3</v>
      </c>
      <c r="AG2151">
        <v>2</v>
      </c>
      <c r="AH2151">
        <v>0</v>
      </c>
      <c r="AI2151" t="s">
        <v>4407</v>
      </c>
      <c r="AJ2151">
        <v>39.894790999999998</v>
      </c>
      <c r="AK2151" t="s">
        <v>4408</v>
      </c>
      <c r="AL2151">
        <v>-75.724404000000007</v>
      </c>
      <c r="AM2151">
        <v>100</v>
      </c>
      <c r="AN2151">
        <v>4700</v>
      </c>
      <c r="AO2151" t="s">
        <v>115</v>
      </c>
      <c r="AP2151">
        <v>160</v>
      </c>
      <c r="AQ2151">
        <v>84</v>
      </c>
      <c r="AR2151">
        <v>64</v>
      </c>
      <c r="AZ2151">
        <v>3614</v>
      </c>
      <c r="BA2151">
        <v>1</v>
      </c>
      <c r="BB2151" t="str">
        <f t="shared" si="101"/>
        <v xml:space="preserve">N959MJ  </v>
      </c>
      <c r="BC2151">
        <v>1</v>
      </c>
      <c r="BE2151">
        <v>0</v>
      </c>
      <c r="BF2151">
        <v>0</v>
      </c>
      <c r="BG2151">
        <v>0</v>
      </c>
      <c r="BH2151">
        <v>4900</v>
      </c>
      <c r="BI2151">
        <v>200</v>
      </c>
      <c r="BJ2151">
        <v>1</v>
      </c>
      <c r="BK2151">
        <v>1</v>
      </c>
      <c r="BL2151">
        <v>1</v>
      </c>
      <c r="BM2151">
        <v>0</v>
      </c>
      <c r="BP2151">
        <v>0</v>
      </c>
      <c r="BQ2151">
        <v>0</v>
      </c>
      <c r="BX2151" t="str">
        <f>"14:26:11.977"</f>
        <v>14:26:11.977</v>
      </c>
      <c r="BY2151" t="str">
        <f>"979030118"</f>
        <v>979030118</v>
      </c>
      <c r="CL2151">
        <v>0</v>
      </c>
      <c r="CM2151">
        <v>2</v>
      </c>
      <c r="CN2151">
        <v>0</v>
      </c>
      <c r="CO2151">
        <v>2</v>
      </c>
      <c r="CP2151">
        <v>0</v>
      </c>
      <c r="CQ2151">
        <v>7</v>
      </c>
      <c r="CR2151" t="s">
        <v>116</v>
      </c>
      <c r="CS2151">
        <v>39</v>
      </c>
      <c r="CT2151">
        <v>2</v>
      </c>
      <c r="CU2151" t="s">
        <v>2259</v>
      </c>
      <c r="CV2151" t="s">
        <v>2260</v>
      </c>
      <c r="CY2151">
        <v>16734496</v>
      </c>
      <c r="CZ2151" t="s">
        <v>119</v>
      </c>
    </row>
    <row r="2152" spans="1:104" x14ac:dyDescent="0.25">
      <c r="A2152" t="str">
        <f>"14:26:13.125"</f>
        <v>14:26:13.125</v>
      </c>
      <c r="B2152" t="s">
        <v>108</v>
      </c>
      <c r="C2152" t="str">
        <f t="shared" si="100"/>
        <v>ffdfd3c0</v>
      </c>
      <c r="D2152" t="s">
        <v>109</v>
      </c>
      <c r="E2152">
        <v>4</v>
      </c>
      <c r="F2152">
        <v>1004</v>
      </c>
      <c r="G2152" t="s">
        <v>110</v>
      </c>
      <c r="J2152" t="s">
        <v>111</v>
      </c>
      <c r="K2152">
        <v>0</v>
      </c>
      <c r="L2152">
        <v>3</v>
      </c>
      <c r="M2152">
        <v>0</v>
      </c>
      <c r="N2152">
        <v>2</v>
      </c>
      <c r="O2152">
        <v>1</v>
      </c>
      <c r="P2152">
        <v>0</v>
      </c>
      <c r="Q2152">
        <v>0</v>
      </c>
      <c r="R2152" t="s">
        <v>112</v>
      </c>
      <c r="S2152" t="str">
        <f>"14:26:12.938"</f>
        <v>14:26:12.938</v>
      </c>
      <c r="T2152" t="str">
        <f>"14:26:12.438"</f>
        <v>14:26:12.438</v>
      </c>
      <c r="U2152" t="str">
        <f t="shared" si="99"/>
        <v>ad5732</v>
      </c>
      <c r="V2152">
        <v>0</v>
      </c>
      <c r="W2152">
        <v>0</v>
      </c>
      <c r="X2152">
        <v>1</v>
      </c>
      <c r="Z2152">
        <v>0</v>
      </c>
      <c r="AA2152">
        <v>9</v>
      </c>
      <c r="AB2152">
        <v>3</v>
      </c>
      <c r="AC2152">
        <v>0</v>
      </c>
      <c r="AD2152">
        <v>10</v>
      </c>
      <c r="AE2152">
        <v>0</v>
      </c>
      <c r="AF2152">
        <v>3</v>
      </c>
      <c r="AG2152">
        <v>2</v>
      </c>
      <c r="AH2152">
        <v>0</v>
      </c>
      <c r="AI2152" t="s">
        <v>4409</v>
      </c>
      <c r="AJ2152">
        <v>39.895198000000001</v>
      </c>
      <c r="AK2152" t="s">
        <v>4410</v>
      </c>
      <c r="AL2152">
        <v>-75.723438000000002</v>
      </c>
      <c r="AM2152">
        <v>100</v>
      </c>
      <c r="AN2152">
        <v>4700</v>
      </c>
      <c r="AO2152" t="s">
        <v>115</v>
      </c>
      <c r="AP2152">
        <v>160</v>
      </c>
      <c r="AQ2152">
        <v>84</v>
      </c>
      <c r="AR2152">
        <v>64</v>
      </c>
      <c r="AZ2152">
        <v>3614</v>
      </c>
      <c r="BA2152">
        <v>1</v>
      </c>
      <c r="BB2152" t="str">
        <f t="shared" si="101"/>
        <v xml:space="preserve">N959MJ  </v>
      </c>
      <c r="BC2152">
        <v>1</v>
      </c>
      <c r="BE2152">
        <v>0</v>
      </c>
      <c r="BF2152">
        <v>0</v>
      </c>
      <c r="BG2152">
        <v>0</v>
      </c>
      <c r="BH2152">
        <v>4900</v>
      </c>
      <c r="BI2152">
        <v>200</v>
      </c>
      <c r="BJ2152">
        <v>1</v>
      </c>
      <c r="BK2152">
        <v>1</v>
      </c>
      <c r="BL2152">
        <v>1</v>
      </c>
      <c r="BM2152">
        <v>0</v>
      </c>
      <c r="BP2152">
        <v>0</v>
      </c>
      <c r="BQ2152">
        <v>0</v>
      </c>
      <c r="BX2152" t="str">
        <f>"14:26:12.938"</f>
        <v>14:26:12.938</v>
      </c>
      <c r="BY2152" t="str">
        <f>"940787108"</f>
        <v>940787108</v>
      </c>
      <c r="CL2152">
        <v>0</v>
      </c>
      <c r="CM2152">
        <v>2</v>
      </c>
      <c r="CN2152">
        <v>0</v>
      </c>
      <c r="CO2152">
        <v>2</v>
      </c>
      <c r="CP2152">
        <v>0</v>
      </c>
      <c r="CQ2152">
        <v>7</v>
      </c>
      <c r="CR2152" t="s">
        <v>116</v>
      </c>
      <c r="CS2152">
        <v>39</v>
      </c>
      <c r="CT2152">
        <v>2</v>
      </c>
      <c r="CU2152" t="s">
        <v>2259</v>
      </c>
      <c r="CV2152" t="s">
        <v>2260</v>
      </c>
      <c r="CY2152">
        <v>16735917</v>
      </c>
      <c r="CZ2152" t="s">
        <v>119</v>
      </c>
    </row>
    <row r="2153" spans="1:104" x14ac:dyDescent="0.25">
      <c r="A2153" t="str">
        <f>"14:26:14.188"</f>
        <v>14:26:14.188</v>
      </c>
      <c r="B2153" t="s">
        <v>108</v>
      </c>
      <c r="C2153" t="str">
        <f t="shared" si="100"/>
        <v>ffdfd3c0</v>
      </c>
      <c r="D2153" t="s">
        <v>109</v>
      </c>
      <c r="E2153">
        <v>4</v>
      </c>
      <c r="F2153">
        <v>1004</v>
      </c>
      <c r="G2153" t="s">
        <v>110</v>
      </c>
      <c r="J2153" t="s">
        <v>111</v>
      </c>
      <c r="K2153">
        <v>0</v>
      </c>
      <c r="L2153">
        <v>3</v>
      </c>
      <c r="M2153">
        <v>0</v>
      </c>
      <c r="N2153">
        <v>2</v>
      </c>
      <c r="O2153">
        <v>1</v>
      </c>
      <c r="P2153">
        <v>0</v>
      </c>
      <c r="Q2153">
        <v>0</v>
      </c>
      <c r="R2153" t="s">
        <v>112</v>
      </c>
      <c r="S2153" t="str">
        <f>"14:26:14.016"</f>
        <v>14:26:14.016</v>
      </c>
      <c r="T2153" t="str">
        <f>"14:26:13.516"</f>
        <v>14:26:13.516</v>
      </c>
      <c r="U2153" t="str">
        <f t="shared" si="99"/>
        <v>ad5732</v>
      </c>
      <c r="V2153">
        <v>0</v>
      </c>
      <c r="W2153">
        <v>0</v>
      </c>
      <c r="X2153">
        <v>1</v>
      </c>
      <c r="Z2153">
        <v>0</v>
      </c>
      <c r="AA2153">
        <v>9</v>
      </c>
      <c r="AB2153">
        <v>3</v>
      </c>
      <c r="AC2153">
        <v>0</v>
      </c>
      <c r="AD2153">
        <v>10</v>
      </c>
      <c r="AE2153">
        <v>0</v>
      </c>
      <c r="AF2153">
        <v>3</v>
      </c>
      <c r="AG2153">
        <v>2</v>
      </c>
      <c r="AH2153">
        <v>0</v>
      </c>
      <c r="AI2153" t="s">
        <v>4411</v>
      </c>
      <c r="AJ2153">
        <v>39.895648999999999</v>
      </c>
      <c r="AK2153" t="s">
        <v>4412</v>
      </c>
      <c r="AL2153">
        <v>-75.722408000000001</v>
      </c>
      <c r="AM2153">
        <v>100</v>
      </c>
      <c r="AN2153">
        <v>4700</v>
      </c>
      <c r="AO2153" t="s">
        <v>115</v>
      </c>
      <c r="AP2153">
        <v>160</v>
      </c>
      <c r="AQ2153">
        <v>84</v>
      </c>
      <c r="AR2153">
        <v>0</v>
      </c>
      <c r="AZ2153">
        <v>3614</v>
      </c>
      <c r="BA2153">
        <v>1</v>
      </c>
      <c r="BB2153" t="str">
        <f t="shared" si="101"/>
        <v xml:space="preserve">N959MJ  </v>
      </c>
      <c r="BC2153">
        <v>1</v>
      </c>
      <c r="BE2153">
        <v>0</v>
      </c>
      <c r="BF2153">
        <v>0</v>
      </c>
      <c r="BG2153">
        <v>0</v>
      </c>
      <c r="BH2153">
        <v>4900</v>
      </c>
      <c r="BI2153">
        <v>200</v>
      </c>
      <c r="BJ2153">
        <v>1</v>
      </c>
      <c r="BK2153">
        <v>1</v>
      </c>
      <c r="BL2153">
        <v>1</v>
      </c>
      <c r="BM2153">
        <v>0</v>
      </c>
      <c r="BP2153">
        <v>0</v>
      </c>
      <c r="BQ2153">
        <v>0</v>
      </c>
      <c r="BX2153" t="str">
        <f>"14:26:14.016"</f>
        <v>14:26:14.016</v>
      </c>
      <c r="BY2153" t="str">
        <f>"017234091"</f>
        <v>017234091</v>
      </c>
      <c r="CL2153">
        <v>0</v>
      </c>
      <c r="CM2153">
        <v>2</v>
      </c>
      <c r="CN2153">
        <v>0</v>
      </c>
      <c r="CO2153">
        <v>2</v>
      </c>
      <c r="CP2153">
        <v>0</v>
      </c>
      <c r="CQ2153">
        <v>7</v>
      </c>
      <c r="CR2153" t="s">
        <v>116</v>
      </c>
      <c r="CS2153">
        <v>39</v>
      </c>
      <c r="CT2153">
        <v>2</v>
      </c>
      <c r="CU2153" t="s">
        <v>2259</v>
      </c>
      <c r="CV2153" t="s">
        <v>2260</v>
      </c>
      <c r="CY2153">
        <v>16737527</v>
      </c>
      <c r="CZ2153" t="s">
        <v>119</v>
      </c>
    </row>
    <row r="2154" spans="1:104" x14ac:dyDescent="0.25">
      <c r="A2154" t="str">
        <f>"14:26:15.148"</f>
        <v>14:26:15.148</v>
      </c>
      <c r="B2154" t="s">
        <v>108</v>
      </c>
      <c r="C2154" t="str">
        <f t="shared" si="100"/>
        <v>ffdfd3c0</v>
      </c>
      <c r="D2154" t="s">
        <v>109</v>
      </c>
      <c r="E2154">
        <v>4</v>
      </c>
      <c r="F2154">
        <v>1004</v>
      </c>
      <c r="G2154" t="s">
        <v>110</v>
      </c>
      <c r="J2154" t="s">
        <v>111</v>
      </c>
      <c r="K2154">
        <v>0</v>
      </c>
      <c r="L2154">
        <v>3</v>
      </c>
      <c r="M2154">
        <v>0</v>
      </c>
      <c r="N2154">
        <v>2</v>
      </c>
      <c r="O2154">
        <v>1</v>
      </c>
      <c r="P2154">
        <v>0</v>
      </c>
      <c r="Q2154">
        <v>0</v>
      </c>
      <c r="R2154" t="s">
        <v>112</v>
      </c>
      <c r="S2154" t="str">
        <f>"14:26:14.945"</f>
        <v>14:26:14.945</v>
      </c>
      <c r="T2154" t="str">
        <f>"14:26:14.547"</f>
        <v>14:26:14.547</v>
      </c>
      <c r="U2154" t="str">
        <f t="shared" si="99"/>
        <v>ad5732</v>
      </c>
      <c r="V2154">
        <v>0</v>
      </c>
      <c r="W2154">
        <v>0</v>
      </c>
      <c r="X2154">
        <v>1</v>
      </c>
      <c r="Z2154">
        <v>0</v>
      </c>
      <c r="AA2154">
        <v>9</v>
      </c>
      <c r="AB2154">
        <v>3</v>
      </c>
      <c r="AC2154">
        <v>0</v>
      </c>
      <c r="AD2154">
        <v>10</v>
      </c>
      <c r="AE2154">
        <v>0</v>
      </c>
      <c r="AF2154">
        <v>3</v>
      </c>
      <c r="AG2154">
        <v>2</v>
      </c>
      <c r="AH2154">
        <v>0</v>
      </c>
      <c r="AI2154" t="s">
        <v>4413</v>
      </c>
      <c r="AJ2154">
        <v>39.895971000000003</v>
      </c>
      <c r="AK2154" t="s">
        <v>4414</v>
      </c>
      <c r="AL2154">
        <v>-75.721529000000004</v>
      </c>
      <c r="AM2154">
        <v>100</v>
      </c>
      <c r="AN2154">
        <v>4700</v>
      </c>
      <c r="AO2154" t="s">
        <v>115</v>
      </c>
      <c r="AP2154">
        <v>160</v>
      </c>
      <c r="AQ2154">
        <v>84</v>
      </c>
      <c r="AR2154">
        <v>0</v>
      </c>
      <c r="AZ2154">
        <v>3614</v>
      </c>
      <c r="BA2154">
        <v>1</v>
      </c>
      <c r="BB2154" t="str">
        <f t="shared" si="101"/>
        <v xml:space="preserve">N959MJ  </v>
      </c>
      <c r="BC2154">
        <v>1</v>
      </c>
      <c r="BE2154">
        <v>0</v>
      </c>
      <c r="BF2154">
        <v>0</v>
      </c>
      <c r="BG2154">
        <v>0</v>
      </c>
      <c r="BH2154">
        <v>4900</v>
      </c>
      <c r="BI2154">
        <v>200</v>
      </c>
      <c r="BJ2154">
        <v>1</v>
      </c>
      <c r="BK2154">
        <v>1</v>
      </c>
      <c r="BL2154">
        <v>1</v>
      </c>
      <c r="BM2154">
        <v>0</v>
      </c>
      <c r="BP2154">
        <v>0</v>
      </c>
      <c r="BQ2154">
        <v>0</v>
      </c>
      <c r="BX2154" t="str">
        <f>"14:26:14.945"</f>
        <v>14:26:14.945</v>
      </c>
      <c r="BY2154" t="str">
        <f>"946222484"</f>
        <v>946222484</v>
      </c>
      <c r="CL2154">
        <v>0</v>
      </c>
      <c r="CM2154">
        <v>2</v>
      </c>
      <c r="CN2154">
        <v>0</v>
      </c>
      <c r="CO2154">
        <v>2</v>
      </c>
      <c r="CP2154">
        <v>0</v>
      </c>
      <c r="CQ2154">
        <v>7</v>
      </c>
      <c r="CR2154" t="s">
        <v>116</v>
      </c>
      <c r="CS2154">
        <v>39</v>
      </c>
      <c r="CT2154">
        <v>3</v>
      </c>
      <c r="CU2154" t="s">
        <v>2259</v>
      </c>
      <c r="CV2154" t="s">
        <v>2260</v>
      </c>
      <c r="CY2154">
        <v>10720307</v>
      </c>
      <c r="CZ2154" t="s">
        <v>119</v>
      </c>
    </row>
    <row r="2155" spans="1:104" x14ac:dyDescent="0.25">
      <c r="A2155" t="str">
        <f>"14:26:16.102"</f>
        <v>14:26:16.102</v>
      </c>
      <c r="B2155" t="s">
        <v>108</v>
      </c>
      <c r="C2155" t="str">
        <f t="shared" si="100"/>
        <v>ffdfd3c0</v>
      </c>
      <c r="D2155" t="s">
        <v>109</v>
      </c>
      <c r="E2155">
        <v>4</v>
      </c>
      <c r="F2155">
        <v>1004</v>
      </c>
      <c r="G2155" t="s">
        <v>110</v>
      </c>
      <c r="J2155" t="s">
        <v>111</v>
      </c>
      <c r="K2155">
        <v>0</v>
      </c>
      <c r="L2155">
        <v>3</v>
      </c>
      <c r="M2155">
        <v>0</v>
      </c>
      <c r="N2155">
        <v>2</v>
      </c>
      <c r="O2155">
        <v>1</v>
      </c>
      <c r="P2155">
        <v>0</v>
      </c>
      <c r="Q2155">
        <v>0</v>
      </c>
      <c r="R2155" t="s">
        <v>112</v>
      </c>
      <c r="S2155" t="str">
        <f>"14:26:15.914"</f>
        <v>14:26:15.914</v>
      </c>
      <c r="T2155" t="str">
        <f>"14:26:15.516"</f>
        <v>14:26:15.516</v>
      </c>
      <c r="U2155" t="str">
        <f t="shared" si="99"/>
        <v>ad5732</v>
      </c>
      <c r="V2155">
        <v>0</v>
      </c>
      <c r="W2155">
        <v>0</v>
      </c>
      <c r="X2155">
        <v>1</v>
      </c>
      <c r="Z2155">
        <v>0</v>
      </c>
      <c r="AA2155">
        <v>9</v>
      </c>
      <c r="AB2155">
        <v>3</v>
      </c>
      <c r="AC2155">
        <v>0</v>
      </c>
      <c r="AD2155">
        <v>10</v>
      </c>
      <c r="AE2155">
        <v>0</v>
      </c>
      <c r="AF2155">
        <v>3</v>
      </c>
      <c r="AG2155">
        <v>2</v>
      </c>
      <c r="AH2155">
        <v>0</v>
      </c>
      <c r="AI2155" t="s">
        <v>4415</v>
      </c>
      <c r="AJ2155">
        <v>39.896357000000002</v>
      </c>
      <c r="AK2155" t="s">
        <v>4416</v>
      </c>
      <c r="AL2155">
        <v>-75.720584000000002</v>
      </c>
      <c r="AM2155">
        <v>100</v>
      </c>
      <c r="AN2155">
        <v>4700</v>
      </c>
      <c r="AO2155" t="s">
        <v>115</v>
      </c>
      <c r="AP2155">
        <v>160</v>
      </c>
      <c r="AQ2155">
        <v>84</v>
      </c>
      <c r="AR2155">
        <v>0</v>
      </c>
      <c r="AZ2155">
        <v>3614</v>
      </c>
      <c r="BA2155">
        <v>1</v>
      </c>
      <c r="BB2155" t="str">
        <f t="shared" si="101"/>
        <v xml:space="preserve">N959MJ  </v>
      </c>
      <c r="BC2155">
        <v>1</v>
      </c>
      <c r="BE2155">
        <v>0</v>
      </c>
      <c r="BF2155">
        <v>0</v>
      </c>
      <c r="BG2155">
        <v>0</v>
      </c>
      <c r="BH2155">
        <v>4900</v>
      </c>
      <c r="BI2155">
        <v>200</v>
      </c>
      <c r="BJ2155">
        <v>1</v>
      </c>
      <c r="BK2155">
        <v>1</v>
      </c>
      <c r="BL2155">
        <v>1</v>
      </c>
      <c r="BM2155">
        <v>0</v>
      </c>
      <c r="BP2155">
        <v>0</v>
      </c>
      <c r="BQ2155">
        <v>0</v>
      </c>
      <c r="BX2155" t="str">
        <f>"14:26:15.914"</f>
        <v>14:26:15.914</v>
      </c>
      <c r="BY2155" t="str">
        <f>"916171605"</f>
        <v>916171605</v>
      </c>
      <c r="CL2155">
        <v>0</v>
      </c>
      <c r="CM2155">
        <v>2</v>
      </c>
      <c r="CN2155">
        <v>0</v>
      </c>
      <c r="CO2155">
        <v>2</v>
      </c>
      <c r="CP2155">
        <v>0</v>
      </c>
      <c r="CQ2155">
        <v>7</v>
      </c>
      <c r="CR2155" t="s">
        <v>116</v>
      </c>
      <c r="CS2155">
        <v>39</v>
      </c>
      <c r="CT2155">
        <v>2</v>
      </c>
      <c r="CU2155" t="s">
        <v>2259</v>
      </c>
      <c r="CV2155" t="s">
        <v>2260</v>
      </c>
      <c r="CY2155">
        <v>16740798</v>
      </c>
      <c r="CZ2155" t="s">
        <v>119</v>
      </c>
    </row>
    <row r="2156" spans="1:104" x14ac:dyDescent="0.25">
      <c r="A2156" t="str">
        <f>"14:26:16.961"</f>
        <v>14:26:16.961</v>
      </c>
      <c r="B2156" t="s">
        <v>108</v>
      </c>
      <c r="C2156" t="str">
        <f t="shared" si="100"/>
        <v>ffdfd3c0</v>
      </c>
      <c r="D2156" t="s">
        <v>109</v>
      </c>
      <c r="E2156">
        <v>4</v>
      </c>
      <c r="F2156">
        <v>1004</v>
      </c>
      <c r="G2156" t="s">
        <v>110</v>
      </c>
      <c r="J2156" t="s">
        <v>111</v>
      </c>
      <c r="K2156">
        <v>0</v>
      </c>
      <c r="L2156">
        <v>3</v>
      </c>
      <c r="M2156">
        <v>0</v>
      </c>
      <c r="N2156">
        <v>2</v>
      </c>
      <c r="O2156">
        <v>1</v>
      </c>
      <c r="P2156">
        <v>0</v>
      </c>
      <c r="Q2156">
        <v>0</v>
      </c>
      <c r="R2156" t="s">
        <v>112</v>
      </c>
      <c r="S2156" t="str">
        <f>"14:26:16.781"</f>
        <v>14:26:16.781</v>
      </c>
      <c r="T2156" t="str">
        <f>"14:26:16.383"</f>
        <v>14:26:16.383</v>
      </c>
      <c r="U2156" t="str">
        <f t="shared" si="99"/>
        <v>ad5732</v>
      </c>
      <c r="V2156">
        <v>0</v>
      </c>
      <c r="W2156">
        <v>0</v>
      </c>
      <c r="X2156">
        <v>1</v>
      </c>
      <c r="Z2156">
        <v>0</v>
      </c>
      <c r="AA2156">
        <v>9</v>
      </c>
      <c r="AB2156">
        <v>3</v>
      </c>
      <c r="AC2156">
        <v>0</v>
      </c>
      <c r="AD2156">
        <v>10</v>
      </c>
      <c r="AE2156">
        <v>0</v>
      </c>
      <c r="AF2156">
        <v>3</v>
      </c>
      <c r="AG2156">
        <v>2</v>
      </c>
      <c r="AH2156">
        <v>0</v>
      </c>
      <c r="AI2156" t="s">
        <v>4417</v>
      </c>
      <c r="AJ2156">
        <v>39.896656999999998</v>
      </c>
      <c r="AK2156" t="s">
        <v>4418</v>
      </c>
      <c r="AL2156">
        <v>-75.719812000000005</v>
      </c>
      <c r="AM2156">
        <v>100</v>
      </c>
      <c r="AN2156">
        <v>4700</v>
      </c>
      <c r="AO2156" t="s">
        <v>115</v>
      </c>
      <c r="AP2156">
        <v>160</v>
      </c>
      <c r="AQ2156">
        <v>84</v>
      </c>
      <c r="AR2156">
        <v>0</v>
      </c>
      <c r="AZ2156">
        <v>3614</v>
      </c>
      <c r="BA2156">
        <v>1</v>
      </c>
      <c r="BB2156" t="str">
        <f t="shared" si="101"/>
        <v xml:space="preserve">N959MJ  </v>
      </c>
      <c r="BC2156">
        <v>1</v>
      </c>
      <c r="BE2156">
        <v>0</v>
      </c>
      <c r="BF2156">
        <v>0</v>
      </c>
      <c r="BG2156">
        <v>0</v>
      </c>
      <c r="BH2156">
        <v>4900</v>
      </c>
      <c r="BI2156">
        <v>200</v>
      </c>
      <c r="BJ2156">
        <v>1</v>
      </c>
      <c r="BK2156">
        <v>1</v>
      </c>
      <c r="BL2156">
        <v>1</v>
      </c>
      <c r="BM2156">
        <v>0</v>
      </c>
      <c r="BP2156">
        <v>0</v>
      </c>
      <c r="BQ2156">
        <v>0</v>
      </c>
      <c r="BX2156" t="str">
        <f>"14:26:16.781"</f>
        <v>14:26:16.781</v>
      </c>
      <c r="BY2156" t="str">
        <f>"784538230"</f>
        <v>784538230</v>
      </c>
      <c r="CL2156">
        <v>0</v>
      </c>
      <c r="CM2156">
        <v>2</v>
      </c>
      <c r="CN2156">
        <v>0</v>
      </c>
      <c r="CO2156">
        <v>2</v>
      </c>
      <c r="CP2156">
        <v>0</v>
      </c>
      <c r="CQ2156">
        <v>7</v>
      </c>
      <c r="CR2156" t="s">
        <v>116</v>
      </c>
      <c r="CS2156">
        <v>39</v>
      </c>
      <c r="CT2156">
        <v>3</v>
      </c>
      <c r="CU2156" t="s">
        <v>2259</v>
      </c>
      <c r="CV2156" t="s">
        <v>2260</v>
      </c>
      <c r="CY2156">
        <v>10723619</v>
      </c>
      <c r="CZ2156" t="s">
        <v>119</v>
      </c>
    </row>
    <row r="2157" spans="1:104" x14ac:dyDescent="0.25">
      <c r="A2157" t="str">
        <f>"14:26:17.977"</f>
        <v>14:26:17.977</v>
      </c>
      <c r="B2157" t="s">
        <v>108</v>
      </c>
      <c r="C2157" t="str">
        <f t="shared" si="100"/>
        <v>ffdfd3c0</v>
      </c>
      <c r="D2157" t="s">
        <v>109</v>
      </c>
      <c r="E2157">
        <v>4</v>
      </c>
      <c r="F2157">
        <v>1004</v>
      </c>
      <c r="G2157" t="s">
        <v>110</v>
      </c>
      <c r="J2157" t="s">
        <v>111</v>
      </c>
      <c r="K2157">
        <v>0</v>
      </c>
      <c r="L2157">
        <v>3</v>
      </c>
      <c r="M2157">
        <v>0</v>
      </c>
      <c r="N2157">
        <v>2</v>
      </c>
      <c r="O2157">
        <v>1</v>
      </c>
      <c r="P2157">
        <v>0</v>
      </c>
      <c r="Q2157">
        <v>0</v>
      </c>
      <c r="R2157" t="s">
        <v>112</v>
      </c>
      <c r="S2157" t="str">
        <f>"14:26:17.789"</f>
        <v>14:26:17.789</v>
      </c>
      <c r="T2157" t="str">
        <f>"14:26:17.289"</f>
        <v>14:26:17.289</v>
      </c>
      <c r="U2157" t="str">
        <f t="shared" si="99"/>
        <v>ad5732</v>
      </c>
      <c r="V2157">
        <v>0</v>
      </c>
      <c r="W2157">
        <v>0</v>
      </c>
      <c r="X2157">
        <v>1</v>
      </c>
      <c r="Z2157">
        <v>0</v>
      </c>
      <c r="AA2157">
        <v>9</v>
      </c>
      <c r="AB2157">
        <v>3</v>
      </c>
      <c r="AC2157">
        <v>0</v>
      </c>
      <c r="AD2157">
        <v>10</v>
      </c>
      <c r="AE2157">
        <v>0</v>
      </c>
      <c r="AF2157">
        <v>3</v>
      </c>
      <c r="AG2157">
        <v>2</v>
      </c>
      <c r="AH2157">
        <v>0</v>
      </c>
      <c r="AI2157" t="s">
        <v>4419</v>
      </c>
      <c r="AJ2157">
        <v>39.897044000000001</v>
      </c>
      <c r="AK2157" t="s">
        <v>4420</v>
      </c>
      <c r="AL2157">
        <v>-75.718782000000004</v>
      </c>
      <c r="AM2157">
        <v>100</v>
      </c>
      <c r="AN2157">
        <v>4700</v>
      </c>
      <c r="AO2157" t="s">
        <v>115</v>
      </c>
      <c r="AP2157">
        <v>160</v>
      </c>
      <c r="AQ2157">
        <v>84</v>
      </c>
      <c r="AR2157">
        <v>-64</v>
      </c>
      <c r="AZ2157">
        <v>3614</v>
      </c>
      <c r="BA2157">
        <v>1</v>
      </c>
      <c r="BB2157" t="str">
        <f t="shared" si="101"/>
        <v xml:space="preserve">N959MJ  </v>
      </c>
      <c r="BC2157">
        <v>1</v>
      </c>
      <c r="BE2157">
        <v>0</v>
      </c>
      <c r="BF2157">
        <v>0</v>
      </c>
      <c r="BG2157">
        <v>0</v>
      </c>
      <c r="BH2157">
        <v>4900</v>
      </c>
      <c r="BI2157">
        <v>200</v>
      </c>
      <c r="BJ2157">
        <v>1</v>
      </c>
      <c r="BK2157">
        <v>1</v>
      </c>
      <c r="BL2157">
        <v>1</v>
      </c>
      <c r="BM2157">
        <v>0</v>
      </c>
      <c r="BP2157">
        <v>0</v>
      </c>
      <c r="BQ2157">
        <v>0</v>
      </c>
      <c r="BX2157" t="str">
        <f>"14:26:17.789"</f>
        <v>14:26:17.789</v>
      </c>
      <c r="BY2157" t="str">
        <f>"790532844"</f>
        <v>790532844</v>
      </c>
      <c r="CL2157">
        <v>0</v>
      </c>
      <c r="CM2157">
        <v>2</v>
      </c>
      <c r="CN2157">
        <v>0</v>
      </c>
      <c r="CO2157">
        <v>2</v>
      </c>
      <c r="CP2157">
        <v>0</v>
      </c>
      <c r="CQ2157">
        <v>7</v>
      </c>
      <c r="CR2157" t="s">
        <v>116</v>
      </c>
      <c r="CS2157">
        <v>39</v>
      </c>
      <c r="CT2157">
        <v>3</v>
      </c>
      <c r="CU2157" t="s">
        <v>2259</v>
      </c>
      <c r="CV2157" t="s">
        <v>2260</v>
      </c>
      <c r="CY2157">
        <v>10725217</v>
      </c>
      <c r="CZ2157" t="s">
        <v>119</v>
      </c>
    </row>
    <row r="2158" spans="1:104" x14ac:dyDescent="0.25">
      <c r="A2158" t="str">
        <f>"14:26:18.984"</f>
        <v>14:26:18.984</v>
      </c>
      <c r="B2158" t="s">
        <v>108</v>
      </c>
      <c r="C2158" t="str">
        <f t="shared" si="100"/>
        <v>ffdfd3c0</v>
      </c>
      <c r="D2158" t="s">
        <v>109</v>
      </c>
      <c r="E2158">
        <v>4</v>
      </c>
      <c r="F2158">
        <v>1004</v>
      </c>
      <c r="G2158" t="s">
        <v>110</v>
      </c>
      <c r="J2158" t="s">
        <v>111</v>
      </c>
      <c r="K2158">
        <v>0</v>
      </c>
      <c r="L2158">
        <v>3</v>
      </c>
      <c r="M2158">
        <v>0</v>
      </c>
      <c r="N2158">
        <v>2</v>
      </c>
      <c r="O2158">
        <v>1</v>
      </c>
      <c r="P2158">
        <v>0</v>
      </c>
      <c r="Q2158">
        <v>0</v>
      </c>
      <c r="R2158" t="s">
        <v>112</v>
      </c>
      <c r="S2158" t="str">
        <f>"14:26:18.766"</f>
        <v>14:26:18.766</v>
      </c>
      <c r="T2158" t="str">
        <f>"14:26:18.367"</f>
        <v>14:26:18.367</v>
      </c>
      <c r="U2158" t="str">
        <f t="shared" si="99"/>
        <v>ad5732</v>
      </c>
      <c r="V2158">
        <v>0</v>
      </c>
      <c r="W2158">
        <v>0</v>
      </c>
      <c r="X2158">
        <v>1</v>
      </c>
      <c r="Z2158">
        <v>0</v>
      </c>
      <c r="AA2158">
        <v>9</v>
      </c>
      <c r="AB2158">
        <v>3</v>
      </c>
      <c r="AC2158">
        <v>0</v>
      </c>
      <c r="AD2158">
        <v>10</v>
      </c>
      <c r="AE2158">
        <v>0</v>
      </c>
      <c r="AF2158">
        <v>3</v>
      </c>
      <c r="AG2158">
        <v>2</v>
      </c>
      <c r="AH2158">
        <v>0</v>
      </c>
      <c r="AI2158" t="s">
        <v>4421</v>
      </c>
      <c r="AJ2158">
        <v>39.897450999999997</v>
      </c>
      <c r="AK2158" t="s">
        <v>4422</v>
      </c>
      <c r="AL2158">
        <v>-75.717838</v>
      </c>
      <c r="AM2158">
        <v>100</v>
      </c>
      <c r="AN2158">
        <v>4700</v>
      </c>
      <c r="AO2158" t="s">
        <v>115</v>
      </c>
      <c r="AP2158">
        <v>161</v>
      </c>
      <c r="AQ2158">
        <v>84</v>
      </c>
      <c r="AR2158">
        <v>-64</v>
      </c>
      <c r="AZ2158">
        <v>3614</v>
      </c>
      <c r="BA2158">
        <v>1</v>
      </c>
      <c r="BB2158" t="str">
        <f t="shared" si="101"/>
        <v xml:space="preserve">N959MJ  </v>
      </c>
      <c r="BC2158">
        <v>1</v>
      </c>
      <c r="BE2158">
        <v>0</v>
      </c>
      <c r="BF2158">
        <v>0</v>
      </c>
      <c r="BG2158">
        <v>0</v>
      </c>
      <c r="BH2158">
        <v>4900</v>
      </c>
      <c r="BI2158">
        <v>200</v>
      </c>
      <c r="BJ2158">
        <v>1</v>
      </c>
      <c r="BK2158">
        <v>1</v>
      </c>
      <c r="BL2158">
        <v>1</v>
      </c>
      <c r="BM2158">
        <v>0</v>
      </c>
      <c r="BP2158">
        <v>0</v>
      </c>
      <c r="BQ2158">
        <v>0</v>
      </c>
      <c r="BX2158" t="str">
        <f>"14:26:18.766"</f>
        <v>14:26:18.766</v>
      </c>
      <c r="BY2158" t="str">
        <f>"768674043"</f>
        <v>768674043</v>
      </c>
      <c r="CL2158">
        <v>0</v>
      </c>
      <c r="CM2158">
        <v>2</v>
      </c>
      <c r="CN2158">
        <v>0</v>
      </c>
      <c r="CO2158">
        <v>2</v>
      </c>
      <c r="CP2158">
        <v>0</v>
      </c>
      <c r="CQ2158">
        <v>7</v>
      </c>
      <c r="CR2158" t="s">
        <v>116</v>
      </c>
      <c r="CS2158">
        <v>39</v>
      </c>
      <c r="CT2158">
        <v>2</v>
      </c>
      <c r="CU2158" t="s">
        <v>2259</v>
      </c>
      <c r="CV2158" t="s">
        <v>2260</v>
      </c>
      <c r="CY2158">
        <v>16745318</v>
      </c>
      <c r="CZ2158" t="s">
        <v>119</v>
      </c>
    </row>
    <row r="2159" spans="1:104" x14ac:dyDescent="0.25">
      <c r="A2159" t="str">
        <f>"14:26:19.891"</f>
        <v>14:26:19.891</v>
      </c>
      <c r="B2159" t="s">
        <v>108</v>
      </c>
      <c r="C2159" t="str">
        <f t="shared" si="100"/>
        <v>ffdfd3c0</v>
      </c>
      <c r="D2159" t="s">
        <v>109</v>
      </c>
      <c r="E2159">
        <v>4</v>
      </c>
      <c r="F2159">
        <v>1004</v>
      </c>
      <c r="G2159" t="s">
        <v>110</v>
      </c>
      <c r="J2159" t="s">
        <v>111</v>
      </c>
      <c r="K2159">
        <v>0</v>
      </c>
      <c r="L2159">
        <v>3</v>
      </c>
      <c r="M2159">
        <v>0</v>
      </c>
      <c r="N2159">
        <v>2</v>
      </c>
      <c r="O2159">
        <v>1</v>
      </c>
      <c r="P2159">
        <v>0</v>
      </c>
      <c r="Q2159">
        <v>0</v>
      </c>
      <c r="R2159" t="s">
        <v>112</v>
      </c>
      <c r="S2159" t="str">
        <f>"14:26:19.695"</f>
        <v>14:26:19.695</v>
      </c>
      <c r="T2159" t="str">
        <f>"14:26:19.297"</f>
        <v>14:26:19.297</v>
      </c>
      <c r="U2159" t="str">
        <f t="shared" si="99"/>
        <v>ad5732</v>
      </c>
      <c r="V2159">
        <v>0</v>
      </c>
      <c r="W2159">
        <v>0</v>
      </c>
      <c r="X2159">
        <v>1</v>
      </c>
      <c r="Z2159">
        <v>0</v>
      </c>
      <c r="AA2159">
        <v>9</v>
      </c>
      <c r="AB2159">
        <v>3</v>
      </c>
      <c r="AC2159">
        <v>0</v>
      </c>
      <c r="AD2159">
        <v>10</v>
      </c>
      <c r="AE2159">
        <v>0</v>
      </c>
      <c r="AF2159">
        <v>3</v>
      </c>
      <c r="AG2159">
        <v>2</v>
      </c>
      <c r="AH2159">
        <v>0</v>
      </c>
      <c r="AI2159" t="s">
        <v>4423</v>
      </c>
      <c r="AJ2159">
        <v>39.897815999999999</v>
      </c>
      <c r="AK2159" t="s">
        <v>4424</v>
      </c>
      <c r="AL2159">
        <v>-75.716871999999995</v>
      </c>
      <c r="AM2159">
        <v>100</v>
      </c>
      <c r="AN2159">
        <v>4700</v>
      </c>
      <c r="AO2159" t="s">
        <v>115</v>
      </c>
      <c r="AP2159">
        <v>161</v>
      </c>
      <c r="AQ2159">
        <v>83</v>
      </c>
      <c r="AR2159">
        <v>-64</v>
      </c>
      <c r="AZ2159">
        <v>3614</v>
      </c>
      <c r="BA2159">
        <v>1</v>
      </c>
      <c r="BB2159" t="str">
        <f t="shared" si="101"/>
        <v xml:space="preserve">N959MJ  </v>
      </c>
      <c r="BC2159">
        <v>1</v>
      </c>
      <c r="BE2159">
        <v>0</v>
      </c>
      <c r="BF2159">
        <v>0</v>
      </c>
      <c r="BG2159">
        <v>0</v>
      </c>
      <c r="BH2159">
        <v>4900</v>
      </c>
      <c r="BI2159">
        <v>200</v>
      </c>
      <c r="BJ2159">
        <v>1</v>
      </c>
      <c r="BK2159">
        <v>1</v>
      </c>
      <c r="BL2159">
        <v>1</v>
      </c>
      <c r="BM2159">
        <v>0</v>
      </c>
      <c r="BP2159">
        <v>0</v>
      </c>
      <c r="BQ2159">
        <v>0</v>
      </c>
      <c r="BX2159" t="str">
        <f>"14:26:19.703"</f>
        <v>14:26:19.703</v>
      </c>
      <c r="BY2159" t="str">
        <f>"702577762"</f>
        <v>702577762</v>
      </c>
      <c r="CL2159">
        <v>0</v>
      </c>
      <c r="CM2159">
        <v>2</v>
      </c>
      <c r="CN2159">
        <v>0</v>
      </c>
      <c r="CO2159">
        <v>2</v>
      </c>
      <c r="CP2159">
        <v>0</v>
      </c>
      <c r="CQ2159">
        <v>7</v>
      </c>
      <c r="CR2159" t="s">
        <v>116</v>
      </c>
      <c r="CS2159">
        <v>39</v>
      </c>
      <c r="CT2159">
        <v>3</v>
      </c>
      <c r="CU2159" t="s">
        <v>2259</v>
      </c>
      <c r="CV2159" t="s">
        <v>2260</v>
      </c>
      <c r="CY2159">
        <v>10728457</v>
      </c>
      <c r="CZ2159" t="s">
        <v>119</v>
      </c>
    </row>
    <row r="2160" spans="1:104" x14ac:dyDescent="0.25">
      <c r="A2160" t="str">
        <f>"14:26:20.797"</f>
        <v>14:26:20.797</v>
      </c>
      <c r="B2160" t="s">
        <v>108</v>
      </c>
      <c r="C2160" t="str">
        <f t="shared" si="100"/>
        <v>ffdfd3c0</v>
      </c>
      <c r="D2160" t="s">
        <v>109</v>
      </c>
      <c r="E2160">
        <v>4</v>
      </c>
      <c r="F2160">
        <v>1004</v>
      </c>
      <c r="G2160" t="s">
        <v>110</v>
      </c>
      <c r="J2160" t="s">
        <v>111</v>
      </c>
      <c r="K2160">
        <v>0</v>
      </c>
      <c r="L2160">
        <v>3</v>
      </c>
      <c r="M2160">
        <v>0</v>
      </c>
      <c r="N2160">
        <v>2</v>
      </c>
      <c r="O2160">
        <v>1</v>
      </c>
      <c r="P2160">
        <v>0</v>
      </c>
      <c r="Q2160">
        <v>0</v>
      </c>
      <c r="R2160" t="s">
        <v>112</v>
      </c>
      <c r="S2160" t="str">
        <f>"14:26:20.570"</f>
        <v>14:26:20.570</v>
      </c>
      <c r="T2160" t="str">
        <f>"14:26:20.172"</f>
        <v>14:26:20.172</v>
      </c>
      <c r="U2160" t="str">
        <f t="shared" si="99"/>
        <v>ad5732</v>
      </c>
      <c r="V2160">
        <v>0</v>
      </c>
      <c r="W2160">
        <v>0</v>
      </c>
      <c r="X2160">
        <v>1</v>
      </c>
      <c r="Z2160">
        <v>0</v>
      </c>
      <c r="AA2160">
        <v>9</v>
      </c>
      <c r="AB2160">
        <v>3</v>
      </c>
      <c r="AC2160">
        <v>0</v>
      </c>
      <c r="AD2160">
        <v>10</v>
      </c>
      <c r="AE2160">
        <v>0</v>
      </c>
      <c r="AF2160">
        <v>3</v>
      </c>
      <c r="AG2160">
        <v>2</v>
      </c>
      <c r="AH2160">
        <v>0</v>
      </c>
      <c r="AI2160" t="s">
        <v>4425</v>
      </c>
      <c r="AJ2160">
        <v>39.898138000000003</v>
      </c>
      <c r="AK2160" t="s">
        <v>4426</v>
      </c>
      <c r="AL2160">
        <v>-75.716099999999997</v>
      </c>
      <c r="AM2160">
        <v>100</v>
      </c>
      <c r="AN2160">
        <v>4700</v>
      </c>
      <c r="AO2160" t="s">
        <v>115</v>
      </c>
      <c r="AP2160">
        <v>161</v>
      </c>
      <c r="AQ2160">
        <v>83</v>
      </c>
      <c r="AR2160">
        <v>-64</v>
      </c>
      <c r="AZ2160">
        <v>3614</v>
      </c>
      <c r="BA2160">
        <v>1</v>
      </c>
      <c r="BB2160" t="str">
        <f t="shared" si="101"/>
        <v xml:space="preserve">N959MJ  </v>
      </c>
      <c r="BC2160">
        <v>1</v>
      </c>
      <c r="BE2160">
        <v>0</v>
      </c>
      <c r="BF2160">
        <v>0</v>
      </c>
      <c r="BG2160">
        <v>0</v>
      </c>
      <c r="BH2160">
        <v>4900</v>
      </c>
      <c r="BI2160">
        <v>200</v>
      </c>
      <c r="BJ2160">
        <v>1</v>
      </c>
      <c r="BK2160">
        <v>1</v>
      </c>
      <c r="BL2160">
        <v>1</v>
      </c>
      <c r="BM2160">
        <v>0</v>
      </c>
      <c r="BP2160">
        <v>0</v>
      </c>
      <c r="BQ2160">
        <v>0</v>
      </c>
      <c r="BX2160" t="str">
        <f>"14:26:20.570"</f>
        <v>14:26:20.570</v>
      </c>
      <c r="BY2160" t="str">
        <f>"572583050"</f>
        <v>572583050</v>
      </c>
      <c r="CL2160">
        <v>0</v>
      </c>
      <c r="CM2160">
        <v>2</v>
      </c>
      <c r="CN2160">
        <v>0</v>
      </c>
      <c r="CO2160">
        <v>2</v>
      </c>
      <c r="CP2160">
        <v>0</v>
      </c>
      <c r="CQ2160">
        <v>7</v>
      </c>
      <c r="CR2160" t="s">
        <v>116</v>
      </c>
      <c r="CS2160">
        <v>39</v>
      </c>
      <c r="CT2160">
        <v>3</v>
      </c>
      <c r="CU2160" t="s">
        <v>2259</v>
      </c>
      <c r="CV2160" t="s">
        <v>2260</v>
      </c>
      <c r="CY2160">
        <v>10730172</v>
      </c>
      <c r="CZ2160" t="s">
        <v>119</v>
      </c>
    </row>
    <row r="2161" spans="1:104" x14ac:dyDescent="0.25">
      <c r="A2161" t="str">
        <f>"14:26:21.555"</f>
        <v>14:26:21.555</v>
      </c>
      <c r="B2161" t="s">
        <v>108</v>
      </c>
      <c r="C2161" t="str">
        <f t="shared" si="100"/>
        <v>ffdfd3c0</v>
      </c>
      <c r="D2161" t="s">
        <v>109</v>
      </c>
      <c r="E2161">
        <v>4</v>
      </c>
      <c r="F2161">
        <v>1004</v>
      </c>
      <c r="G2161" t="s">
        <v>110</v>
      </c>
      <c r="J2161" t="s">
        <v>111</v>
      </c>
      <c r="K2161">
        <v>0</v>
      </c>
      <c r="L2161">
        <v>3</v>
      </c>
      <c r="M2161">
        <v>0</v>
      </c>
      <c r="N2161">
        <v>2</v>
      </c>
      <c r="O2161">
        <v>1</v>
      </c>
      <c r="P2161">
        <v>0</v>
      </c>
      <c r="Q2161">
        <v>0</v>
      </c>
      <c r="R2161" t="s">
        <v>112</v>
      </c>
      <c r="S2161" t="str">
        <f>"14:26:21.383"</f>
        <v>14:26:21.383</v>
      </c>
      <c r="T2161" t="str">
        <f>"14:26:20.984"</f>
        <v>14:26:20.984</v>
      </c>
      <c r="U2161" t="str">
        <f t="shared" si="99"/>
        <v>ad5732</v>
      </c>
      <c r="V2161">
        <v>0</v>
      </c>
      <c r="W2161">
        <v>0</v>
      </c>
      <c r="X2161">
        <v>1</v>
      </c>
      <c r="Z2161">
        <v>0</v>
      </c>
      <c r="AA2161">
        <v>9</v>
      </c>
      <c r="AB2161">
        <v>3</v>
      </c>
      <c r="AC2161">
        <v>0</v>
      </c>
      <c r="AD2161">
        <v>10</v>
      </c>
      <c r="AE2161">
        <v>0</v>
      </c>
      <c r="AF2161">
        <v>3</v>
      </c>
      <c r="AG2161">
        <v>2</v>
      </c>
      <c r="AH2161">
        <v>0</v>
      </c>
      <c r="AI2161" t="s">
        <v>4427</v>
      </c>
      <c r="AJ2161">
        <v>39.89846</v>
      </c>
      <c r="AK2161" t="s">
        <v>4428</v>
      </c>
      <c r="AL2161">
        <v>-75.715327000000002</v>
      </c>
      <c r="AM2161">
        <v>100</v>
      </c>
      <c r="AN2161">
        <v>4700</v>
      </c>
      <c r="AO2161" t="s">
        <v>115</v>
      </c>
      <c r="AP2161">
        <v>161</v>
      </c>
      <c r="AQ2161">
        <v>83</v>
      </c>
      <c r="AR2161">
        <v>-64</v>
      </c>
      <c r="AZ2161">
        <v>3614</v>
      </c>
      <c r="BA2161">
        <v>1</v>
      </c>
      <c r="BB2161" t="str">
        <f t="shared" si="101"/>
        <v xml:space="preserve">N959MJ  </v>
      </c>
      <c r="BC2161">
        <v>1</v>
      </c>
      <c r="BE2161">
        <v>0</v>
      </c>
      <c r="BF2161">
        <v>0</v>
      </c>
      <c r="BG2161">
        <v>0</v>
      </c>
      <c r="BH2161">
        <v>4900</v>
      </c>
      <c r="BI2161">
        <v>200</v>
      </c>
      <c r="BJ2161">
        <v>1</v>
      </c>
      <c r="BK2161">
        <v>1</v>
      </c>
      <c r="BL2161">
        <v>1</v>
      </c>
      <c r="BM2161">
        <v>0</v>
      </c>
      <c r="BP2161">
        <v>0</v>
      </c>
      <c r="BQ2161">
        <v>0</v>
      </c>
      <c r="BX2161" t="str">
        <f>"14:26:21.383"</f>
        <v>14:26:21.383</v>
      </c>
      <c r="BY2161" t="str">
        <f>"383604472"</f>
        <v>383604472</v>
      </c>
      <c r="CL2161">
        <v>0</v>
      </c>
      <c r="CM2161">
        <v>2</v>
      </c>
      <c r="CN2161">
        <v>0</v>
      </c>
      <c r="CO2161">
        <v>2</v>
      </c>
      <c r="CP2161">
        <v>0</v>
      </c>
      <c r="CQ2161">
        <v>7</v>
      </c>
      <c r="CR2161" t="s">
        <v>116</v>
      </c>
      <c r="CS2161">
        <v>39</v>
      </c>
      <c r="CT2161">
        <v>2</v>
      </c>
      <c r="CU2161" t="s">
        <v>2259</v>
      </c>
      <c r="CV2161" t="s">
        <v>2260</v>
      </c>
      <c r="CY2161">
        <v>16749897</v>
      </c>
      <c r="CZ2161" t="s">
        <v>119</v>
      </c>
    </row>
    <row r="2162" spans="1:104" x14ac:dyDescent="0.25">
      <c r="A2162" t="str">
        <f>"14:26:22.617"</f>
        <v>14:26:22.617</v>
      </c>
      <c r="B2162" t="s">
        <v>108</v>
      </c>
      <c r="C2162" t="str">
        <f t="shared" si="100"/>
        <v>ffdfd3c0</v>
      </c>
      <c r="D2162" t="s">
        <v>109</v>
      </c>
      <c r="E2162">
        <v>4</v>
      </c>
      <c r="F2162">
        <v>1004</v>
      </c>
      <c r="G2162" t="s">
        <v>110</v>
      </c>
      <c r="J2162" t="s">
        <v>111</v>
      </c>
      <c r="K2162">
        <v>0</v>
      </c>
      <c r="L2162">
        <v>3</v>
      </c>
      <c r="M2162">
        <v>0</v>
      </c>
      <c r="N2162">
        <v>2</v>
      </c>
      <c r="O2162">
        <v>1</v>
      </c>
      <c r="P2162">
        <v>0</v>
      </c>
      <c r="Q2162">
        <v>0</v>
      </c>
      <c r="R2162" t="s">
        <v>112</v>
      </c>
      <c r="S2162" t="str">
        <f>"14:26:22.453"</f>
        <v>14:26:22.453</v>
      </c>
      <c r="T2162" t="str">
        <f>"14:26:21.953"</f>
        <v>14:26:21.953</v>
      </c>
      <c r="U2162" t="str">
        <f t="shared" si="99"/>
        <v>ad5732</v>
      </c>
      <c r="V2162">
        <v>0</v>
      </c>
      <c r="W2162">
        <v>0</v>
      </c>
      <c r="X2162">
        <v>1</v>
      </c>
      <c r="Z2162">
        <v>0</v>
      </c>
      <c r="AA2162">
        <v>9</v>
      </c>
      <c r="AB2162">
        <v>3</v>
      </c>
      <c r="AC2162">
        <v>0</v>
      </c>
      <c r="AD2162">
        <v>10</v>
      </c>
      <c r="AE2162">
        <v>0</v>
      </c>
      <c r="AF2162">
        <v>3</v>
      </c>
      <c r="AG2162">
        <v>2</v>
      </c>
      <c r="AH2162">
        <v>0</v>
      </c>
      <c r="AI2162" t="s">
        <v>4429</v>
      </c>
      <c r="AJ2162">
        <v>39.898845999999999</v>
      </c>
      <c r="AK2162" t="s">
        <v>4430</v>
      </c>
      <c r="AL2162">
        <v>-75.714297000000002</v>
      </c>
      <c r="AM2162">
        <v>100</v>
      </c>
      <c r="AN2162">
        <v>4700</v>
      </c>
      <c r="AO2162" t="s">
        <v>115</v>
      </c>
      <c r="AP2162">
        <v>161</v>
      </c>
      <c r="AQ2162">
        <v>83</v>
      </c>
      <c r="AR2162">
        <v>-64</v>
      </c>
      <c r="AZ2162">
        <v>3614</v>
      </c>
      <c r="BA2162">
        <v>1</v>
      </c>
      <c r="BB2162" t="str">
        <f t="shared" si="101"/>
        <v xml:space="preserve">N959MJ  </v>
      </c>
      <c r="BC2162">
        <v>1</v>
      </c>
      <c r="BE2162">
        <v>0</v>
      </c>
      <c r="BF2162">
        <v>0</v>
      </c>
      <c r="BG2162">
        <v>0</v>
      </c>
      <c r="BH2162">
        <v>4900</v>
      </c>
      <c r="BI2162">
        <v>200</v>
      </c>
      <c r="BJ2162">
        <v>1</v>
      </c>
      <c r="BK2162">
        <v>1</v>
      </c>
      <c r="BL2162">
        <v>1</v>
      </c>
      <c r="BM2162">
        <v>0</v>
      </c>
      <c r="BP2162">
        <v>0</v>
      </c>
      <c r="BQ2162">
        <v>0</v>
      </c>
      <c r="BX2162" t="str">
        <f>"14:26:22.453"</f>
        <v>14:26:22.453</v>
      </c>
      <c r="BY2162" t="str">
        <f>"455136117"</f>
        <v>455136117</v>
      </c>
      <c r="CL2162">
        <v>0</v>
      </c>
      <c r="CM2162">
        <v>2</v>
      </c>
      <c r="CN2162">
        <v>0</v>
      </c>
      <c r="CO2162">
        <v>2</v>
      </c>
      <c r="CP2162">
        <v>0</v>
      </c>
      <c r="CQ2162">
        <v>7</v>
      </c>
      <c r="CR2162" t="s">
        <v>116</v>
      </c>
      <c r="CS2162">
        <v>39</v>
      </c>
      <c r="CT2162">
        <v>2</v>
      </c>
      <c r="CU2162" t="s">
        <v>2259</v>
      </c>
      <c r="CV2162" t="s">
        <v>2260</v>
      </c>
      <c r="CY2162">
        <v>16751522</v>
      </c>
      <c r="CZ2162" t="s">
        <v>119</v>
      </c>
    </row>
    <row r="2163" spans="1:104" x14ac:dyDescent="0.25">
      <c r="A2163" t="str">
        <f>"14:26:23.625"</f>
        <v>14:26:23.625</v>
      </c>
      <c r="B2163" t="s">
        <v>108</v>
      </c>
      <c r="C2163" t="str">
        <f t="shared" si="100"/>
        <v>ffdfd3c0</v>
      </c>
      <c r="D2163" t="s">
        <v>109</v>
      </c>
      <c r="E2163">
        <v>4</v>
      </c>
      <c r="F2163">
        <v>1004</v>
      </c>
      <c r="G2163" t="s">
        <v>110</v>
      </c>
      <c r="J2163" t="s">
        <v>111</v>
      </c>
      <c r="K2163">
        <v>0</v>
      </c>
      <c r="L2163">
        <v>3</v>
      </c>
      <c r="M2163">
        <v>0</v>
      </c>
      <c r="N2163">
        <v>2</v>
      </c>
      <c r="O2163">
        <v>1</v>
      </c>
      <c r="P2163">
        <v>0</v>
      </c>
      <c r="Q2163">
        <v>0</v>
      </c>
      <c r="R2163" t="s">
        <v>112</v>
      </c>
      <c r="S2163" t="str">
        <f>"14:26:23.461"</f>
        <v>14:26:23.461</v>
      </c>
      <c r="T2163" t="str">
        <f>"14:26:22.961"</f>
        <v>14:26:22.961</v>
      </c>
      <c r="U2163" t="str">
        <f t="shared" si="99"/>
        <v>ad5732</v>
      </c>
      <c r="V2163">
        <v>0</v>
      </c>
      <c r="W2163">
        <v>0</v>
      </c>
      <c r="X2163">
        <v>1</v>
      </c>
      <c r="Z2163">
        <v>0</v>
      </c>
      <c r="AA2163">
        <v>9</v>
      </c>
      <c r="AB2163">
        <v>3</v>
      </c>
      <c r="AC2163">
        <v>0</v>
      </c>
      <c r="AD2163">
        <v>10</v>
      </c>
      <c r="AE2163">
        <v>0</v>
      </c>
      <c r="AF2163">
        <v>3</v>
      </c>
      <c r="AG2163">
        <v>2</v>
      </c>
      <c r="AH2163">
        <v>0</v>
      </c>
      <c r="AI2163" t="s">
        <v>4431</v>
      </c>
      <c r="AJ2163">
        <v>39.899275000000003</v>
      </c>
      <c r="AK2163" t="s">
        <v>4432</v>
      </c>
      <c r="AL2163">
        <v>-75.713310000000007</v>
      </c>
      <c r="AM2163">
        <v>100</v>
      </c>
      <c r="AN2163">
        <v>4700</v>
      </c>
      <c r="AO2163" t="s">
        <v>115</v>
      </c>
      <c r="AP2163">
        <v>161</v>
      </c>
      <c r="AQ2163">
        <v>83</v>
      </c>
      <c r="AR2163">
        <v>-64</v>
      </c>
      <c r="AZ2163">
        <v>3614</v>
      </c>
      <c r="BA2163">
        <v>1</v>
      </c>
      <c r="BB2163" t="str">
        <f t="shared" si="101"/>
        <v xml:space="preserve">N959MJ  </v>
      </c>
      <c r="BC2163">
        <v>1</v>
      </c>
      <c r="BE2163">
        <v>0</v>
      </c>
      <c r="BF2163">
        <v>0</v>
      </c>
      <c r="BG2163">
        <v>0</v>
      </c>
      <c r="BH2163">
        <v>4900</v>
      </c>
      <c r="BI2163">
        <v>200</v>
      </c>
      <c r="BJ2163">
        <v>1</v>
      </c>
      <c r="BK2163">
        <v>1</v>
      </c>
      <c r="BL2163">
        <v>1</v>
      </c>
      <c r="BM2163">
        <v>0</v>
      </c>
      <c r="BP2163">
        <v>0</v>
      </c>
      <c r="BQ2163">
        <v>0</v>
      </c>
      <c r="BX2163" t="str">
        <f>"14:26:23.461"</f>
        <v>14:26:23.461</v>
      </c>
      <c r="BY2163" t="str">
        <f>"461130706"</f>
        <v>461130706</v>
      </c>
      <c r="CL2163">
        <v>0</v>
      </c>
      <c r="CM2163">
        <v>2</v>
      </c>
      <c r="CN2163">
        <v>0</v>
      </c>
      <c r="CO2163">
        <v>2</v>
      </c>
      <c r="CP2163">
        <v>0</v>
      </c>
      <c r="CQ2163">
        <v>7</v>
      </c>
      <c r="CR2163" t="s">
        <v>116</v>
      </c>
      <c r="CS2163">
        <v>39</v>
      </c>
      <c r="CT2163">
        <v>2</v>
      </c>
      <c r="CU2163" t="s">
        <v>2259</v>
      </c>
      <c r="CV2163" t="s">
        <v>2260</v>
      </c>
      <c r="CY2163">
        <v>16752972</v>
      </c>
      <c r="CZ2163" t="s">
        <v>119</v>
      </c>
    </row>
    <row r="2164" spans="1:104" x14ac:dyDescent="0.25">
      <c r="A2164" t="str">
        <f>"14:26:24.586"</f>
        <v>14:26:24.586</v>
      </c>
      <c r="B2164" t="s">
        <v>108</v>
      </c>
      <c r="C2164" t="str">
        <f t="shared" si="100"/>
        <v>ffdfd3c0</v>
      </c>
      <c r="D2164" t="s">
        <v>109</v>
      </c>
      <c r="E2164">
        <v>4</v>
      </c>
      <c r="F2164">
        <v>1004</v>
      </c>
      <c r="G2164" t="s">
        <v>110</v>
      </c>
      <c r="J2164" t="s">
        <v>111</v>
      </c>
      <c r="K2164">
        <v>0</v>
      </c>
      <c r="L2164">
        <v>3</v>
      </c>
      <c r="M2164">
        <v>0</v>
      </c>
      <c r="N2164">
        <v>2</v>
      </c>
      <c r="O2164">
        <v>1</v>
      </c>
      <c r="P2164">
        <v>0</v>
      </c>
      <c r="Q2164">
        <v>0</v>
      </c>
      <c r="R2164" t="s">
        <v>112</v>
      </c>
      <c r="S2164" t="str">
        <f>"14:26:24.359"</f>
        <v>14:26:24.359</v>
      </c>
      <c r="T2164" t="str">
        <f>"14:26:23.961"</f>
        <v>14:26:23.961</v>
      </c>
      <c r="U2164" t="str">
        <f t="shared" si="99"/>
        <v>ad5732</v>
      </c>
      <c r="V2164">
        <v>0</v>
      </c>
      <c r="W2164">
        <v>0</v>
      </c>
      <c r="X2164">
        <v>1</v>
      </c>
      <c r="Z2164">
        <v>0</v>
      </c>
      <c r="AA2164">
        <v>9</v>
      </c>
      <c r="AB2164">
        <v>3</v>
      </c>
      <c r="AC2164">
        <v>0</v>
      </c>
      <c r="AD2164">
        <v>10</v>
      </c>
      <c r="AE2164">
        <v>0</v>
      </c>
      <c r="AF2164">
        <v>3</v>
      </c>
      <c r="AG2164">
        <v>2</v>
      </c>
      <c r="AH2164">
        <v>0</v>
      </c>
      <c r="AI2164" t="s">
        <v>4433</v>
      </c>
      <c r="AJ2164">
        <v>39.899597</v>
      </c>
      <c r="AK2164" t="s">
        <v>4434</v>
      </c>
      <c r="AL2164">
        <v>-75.712408999999994</v>
      </c>
      <c r="AM2164">
        <v>100</v>
      </c>
      <c r="AN2164">
        <v>4700</v>
      </c>
      <c r="AO2164" t="s">
        <v>115</v>
      </c>
      <c r="AP2164">
        <v>161</v>
      </c>
      <c r="AQ2164">
        <v>83</v>
      </c>
      <c r="AR2164">
        <v>0</v>
      </c>
      <c r="AZ2164">
        <v>3614</v>
      </c>
      <c r="BA2164">
        <v>1</v>
      </c>
      <c r="BB2164" t="str">
        <f t="shared" si="101"/>
        <v xml:space="preserve">N959MJ  </v>
      </c>
      <c r="BC2164">
        <v>1</v>
      </c>
      <c r="BE2164">
        <v>0</v>
      </c>
      <c r="BF2164">
        <v>0</v>
      </c>
      <c r="BG2164">
        <v>0</v>
      </c>
      <c r="BH2164">
        <v>4900</v>
      </c>
      <c r="BI2164">
        <v>200</v>
      </c>
      <c r="BJ2164">
        <v>1</v>
      </c>
      <c r="BK2164">
        <v>1</v>
      </c>
      <c r="BL2164">
        <v>1</v>
      </c>
      <c r="BM2164">
        <v>0</v>
      </c>
      <c r="BP2164">
        <v>0</v>
      </c>
      <c r="BQ2164">
        <v>0</v>
      </c>
      <c r="BX2164" t="str">
        <f>"14:26:24.367"</f>
        <v>14:26:24.367</v>
      </c>
      <c r="BY2164" t="str">
        <f>"363904253"</f>
        <v>363904253</v>
      </c>
      <c r="CL2164">
        <v>0</v>
      </c>
      <c r="CM2164">
        <v>2</v>
      </c>
      <c r="CN2164">
        <v>0</v>
      </c>
      <c r="CO2164">
        <v>2</v>
      </c>
      <c r="CP2164">
        <v>0</v>
      </c>
      <c r="CQ2164">
        <v>7</v>
      </c>
      <c r="CR2164" t="s">
        <v>116</v>
      </c>
      <c r="CS2164">
        <v>39</v>
      </c>
      <c r="CT2164">
        <v>3</v>
      </c>
      <c r="CU2164" t="s">
        <v>2259</v>
      </c>
      <c r="CV2164" t="s">
        <v>2260</v>
      </c>
      <c r="CY2164">
        <v>10736466</v>
      </c>
      <c r="CZ2164" t="s">
        <v>119</v>
      </c>
    </row>
    <row r="2165" spans="1:104" x14ac:dyDescent="0.25">
      <c r="A2165" t="str">
        <f>"14:26:25.492"</f>
        <v>14:26:25.492</v>
      </c>
      <c r="B2165" t="s">
        <v>108</v>
      </c>
      <c r="C2165" t="str">
        <f t="shared" si="100"/>
        <v>ffdfd3c0</v>
      </c>
      <c r="D2165" t="s">
        <v>109</v>
      </c>
      <c r="E2165">
        <v>4</v>
      </c>
      <c r="F2165">
        <v>1004</v>
      </c>
      <c r="G2165" t="s">
        <v>110</v>
      </c>
      <c r="J2165" t="s">
        <v>111</v>
      </c>
      <c r="K2165">
        <v>0</v>
      </c>
      <c r="L2165">
        <v>3</v>
      </c>
      <c r="M2165">
        <v>0</v>
      </c>
      <c r="N2165">
        <v>2</v>
      </c>
      <c r="O2165">
        <v>1</v>
      </c>
      <c r="P2165">
        <v>0</v>
      </c>
      <c r="Q2165">
        <v>0</v>
      </c>
      <c r="R2165" t="s">
        <v>112</v>
      </c>
      <c r="S2165" t="str">
        <f>"14:26:25.320"</f>
        <v>14:26:25.320</v>
      </c>
      <c r="T2165" t="str">
        <f>"14:26:24.922"</f>
        <v>14:26:24.922</v>
      </c>
      <c r="U2165" t="str">
        <f t="shared" si="99"/>
        <v>ad5732</v>
      </c>
      <c r="V2165">
        <v>0</v>
      </c>
      <c r="W2165">
        <v>0</v>
      </c>
      <c r="X2165">
        <v>1</v>
      </c>
      <c r="Z2165">
        <v>0</v>
      </c>
      <c r="AA2165">
        <v>9</v>
      </c>
      <c r="AB2165">
        <v>3</v>
      </c>
      <c r="AC2165">
        <v>0</v>
      </c>
      <c r="AD2165">
        <v>10</v>
      </c>
      <c r="AE2165">
        <v>0</v>
      </c>
      <c r="AF2165">
        <v>3</v>
      </c>
      <c r="AG2165">
        <v>2</v>
      </c>
      <c r="AH2165">
        <v>0</v>
      </c>
      <c r="AI2165" t="s">
        <v>4435</v>
      </c>
      <c r="AJ2165">
        <v>39.899962000000002</v>
      </c>
      <c r="AK2165" t="s">
        <v>4436</v>
      </c>
      <c r="AL2165">
        <v>-75.711443000000003</v>
      </c>
      <c r="AM2165">
        <v>100</v>
      </c>
      <c r="AN2165">
        <v>4700</v>
      </c>
      <c r="AO2165" t="s">
        <v>115</v>
      </c>
      <c r="AP2165">
        <v>161</v>
      </c>
      <c r="AQ2165">
        <v>83</v>
      </c>
      <c r="AR2165">
        <v>0</v>
      </c>
      <c r="AZ2165">
        <v>3614</v>
      </c>
      <c r="BA2165">
        <v>1</v>
      </c>
      <c r="BB2165" t="str">
        <f t="shared" si="101"/>
        <v xml:space="preserve">N959MJ  </v>
      </c>
      <c r="BC2165">
        <v>1</v>
      </c>
      <c r="BE2165">
        <v>0</v>
      </c>
      <c r="BF2165">
        <v>0</v>
      </c>
      <c r="BG2165">
        <v>0</v>
      </c>
      <c r="BH2165">
        <v>4900</v>
      </c>
      <c r="BI2165">
        <v>200</v>
      </c>
      <c r="BJ2165">
        <v>1</v>
      </c>
      <c r="BK2165">
        <v>1</v>
      </c>
      <c r="BL2165">
        <v>1</v>
      </c>
      <c r="BM2165">
        <v>0</v>
      </c>
      <c r="BP2165">
        <v>0</v>
      </c>
      <c r="BQ2165">
        <v>0</v>
      </c>
      <c r="BX2165" t="str">
        <f>"14:26:25.320"</f>
        <v>14:26:25.320</v>
      </c>
      <c r="BY2165" t="str">
        <f>"324022822"</f>
        <v>324022822</v>
      </c>
      <c r="CL2165">
        <v>0</v>
      </c>
      <c r="CM2165">
        <v>2</v>
      </c>
      <c r="CN2165">
        <v>0</v>
      </c>
      <c r="CO2165">
        <v>2</v>
      </c>
      <c r="CP2165">
        <v>0</v>
      </c>
      <c r="CQ2165">
        <v>7</v>
      </c>
      <c r="CR2165" t="s">
        <v>116</v>
      </c>
      <c r="CS2165">
        <v>39</v>
      </c>
      <c r="CT2165">
        <v>2</v>
      </c>
      <c r="CU2165" t="s">
        <v>2259</v>
      </c>
      <c r="CV2165" t="s">
        <v>2260</v>
      </c>
      <c r="CY2165">
        <v>16756288</v>
      </c>
      <c r="CZ2165" t="s">
        <v>119</v>
      </c>
    </row>
    <row r="2166" spans="1:104" x14ac:dyDescent="0.25">
      <c r="A2166" t="str">
        <f>"14:26:26.508"</f>
        <v>14:26:26.508</v>
      </c>
      <c r="B2166" t="s">
        <v>108</v>
      </c>
      <c r="C2166" t="str">
        <f t="shared" si="100"/>
        <v>ffdfd3c0</v>
      </c>
      <c r="D2166" t="s">
        <v>109</v>
      </c>
      <c r="E2166">
        <v>4</v>
      </c>
      <c r="F2166">
        <v>1004</v>
      </c>
      <c r="G2166" t="s">
        <v>110</v>
      </c>
      <c r="J2166" t="s">
        <v>111</v>
      </c>
      <c r="K2166">
        <v>0</v>
      </c>
      <c r="L2166">
        <v>3</v>
      </c>
      <c r="M2166">
        <v>0</v>
      </c>
      <c r="N2166">
        <v>2</v>
      </c>
      <c r="O2166">
        <v>1</v>
      </c>
      <c r="P2166">
        <v>0</v>
      </c>
      <c r="Q2166">
        <v>0</v>
      </c>
      <c r="R2166" t="s">
        <v>112</v>
      </c>
      <c r="S2166" t="str">
        <f>"14:26:26.320"</f>
        <v>14:26:26.320</v>
      </c>
      <c r="T2166" t="str">
        <f>"14:26:25.820"</f>
        <v>14:26:25.820</v>
      </c>
      <c r="U2166" t="str">
        <f t="shared" si="99"/>
        <v>ad5732</v>
      </c>
      <c r="V2166">
        <v>0</v>
      </c>
      <c r="W2166">
        <v>0</v>
      </c>
      <c r="X2166">
        <v>1</v>
      </c>
      <c r="Z2166">
        <v>0</v>
      </c>
      <c r="AA2166">
        <v>9</v>
      </c>
      <c r="AB2166">
        <v>3</v>
      </c>
      <c r="AC2166">
        <v>0</v>
      </c>
      <c r="AD2166">
        <v>10</v>
      </c>
      <c r="AE2166">
        <v>0</v>
      </c>
      <c r="AF2166">
        <v>3</v>
      </c>
      <c r="AG2166">
        <v>2</v>
      </c>
      <c r="AH2166">
        <v>0</v>
      </c>
      <c r="AI2166" t="s">
        <v>4437</v>
      </c>
      <c r="AJ2166">
        <v>39.900370000000002</v>
      </c>
      <c r="AK2166" t="s">
        <v>4438</v>
      </c>
      <c r="AL2166">
        <v>-75.710498999999999</v>
      </c>
      <c r="AM2166">
        <v>100</v>
      </c>
      <c r="AN2166">
        <v>4700</v>
      </c>
      <c r="AO2166" t="s">
        <v>115</v>
      </c>
      <c r="AP2166">
        <v>161</v>
      </c>
      <c r="AQ2166">
        <v>83</v>
      </c>
      <c r="AR2166">
        <v>0</v>
      </c>
      <c r="AZ2166">
        <v>3614</v>
      </c>
      <c r="BA2166">
        <v>1</v>
      </c>
      <c r="BB2166" t="str">
        <f t="shared" si="101"/>
        <v xml:space="preserve">N959MJ  </v>
      </c>
      <c r="BC2166">
        <v>1</v>
      </c>
      <c r="BE2166">
        <v>0</v>
      </c>
      <c r="BF2166">
        <v>0</v>
      </c>
      <c r="BG2166">
        <v>0</v>
      </c>
      <c r="BH2166">
        <v>4900</v>
      </c>
      <c r="BI2166">
        <v>200</v>
      </c>
      <c r="BJ2166">
        <v>1</v>
      </c>
      <c r="BK2166">
        <v>1</v>
      </c>
      <c r="BL2166">
        <v>1</v>
      </c>
      <c r="BM2166">
        <v>0</v>
      </c>
      <c r="BP2166">
        <v>0</v>
      </c>
      <c r="BQ2166">
        <v>0</v>
      </c>
      <c r="BX2166" t="str">
        <f>"14:26:26.328"</f>
        <v>14:26:26.328</v>
      </c>
      <c r="BY2166" t="str">
        <f>"326740503"</f>
        <v>326740503</v>
      </c>
      <c r="CL2166">
        <v>0</v>
      </c>
      <c r="CM2166">
        <v>2</v>
      </c>
      <c r="CN2166">
        <v>0</v>
      </c>
      <c r="CO2166">
        <v>2</v>
      </c>
      <c r="CP2166">
        <v>0</v>
      </c>
      <c r="CQ2166">
        <v>7</v>
      </c>
      <c r="CR2166" t="s">
        <v>116</v>
      </c>
      <c r="CS2166">
        <v>39</v>
      </c>
      <c r="CT2166">
        <v>3</v>
      </c>
      <c r="CU2166" t="s">
        <v>2259</v>
      </c>
      <c r="CV2166" t="s">
        <v>2260</v>
      </c>
      <c r="CY2166">
        <v>10740085</v>
      </c>
      <c r="CZ2166" t="s">
        <v>119</v>
      </c>
    </row>
    <row r="2167" spans="1:104" x14ac:dyDescent="0.25">
      <c r="A2167" t="str">
        <f>"14:26:27.414"</f>
        <v>14:26:27.414</v>
      </c>
      <c r="B2167" t="s">
        <v>108</v>
      </c>
      <c r="C2167" t="str">
        <f t="shared" si="100"/>
        <v>ffdfd3c0</v>
      </c>
      <c r="D2167" t="s">
        <v>109</v>
      </c>
      <c r="E2167">
        <v>4</v>
      </c>
      <c r="F2167">
        <v>1004</v>
      </c>
      <c r="G2167" t="s">
        <v>110</v>
      </c>
      <c r="J2167" t="s">
        <v>111</v>
      </c>
      <c r="K2167">
        <v>0</v>
      </c>
      <c r="L2167">
        <v>3</v>
      </c>
      <c r="M2167">
        <v>0</v>
      </c>
      <c r="N2167">
        <v>2</v>
      </c>
      <c r="O2167">
        <v>1</v>
      </c>
      <c r="P2167">
        <v>0</v>
      </c>
      <c r="Q2167">
        <v>0</v>
      </c>
      <c r="R2167" t="s">
        <v>112</v>
      </c>
      <c r="S2167" t="str">
        <f>"14:26:27.227"</f>
        <v>14:26:27.227</v>
      </c>
      <c r="T2167" t="str">
        <f>"14:26:26.828"</f>
        <v>14:26:26.828</v>
      </c>
      <c r="U2167" t="str">
        <f t="shared" si="99"/>
        <v>ad5732</v>
      </c>
      <c r="V2167">
        <v>0</v>
      </c>
      <c r="W2167">
        <v>0</v>
      </c>
      <c r="X2167">
        <v>1</v>
      </c>
      <c r="Z2167">
        <v>0</v>
      </c>
      <c r="AA2167">
        <v>9</v>
      </c>
      <c r="AB2167">
        <v>3</v>
      </c>
      <c r="AC2167">
        <v>0</v>
      </c>
      <c r="AD2167">
        <v>10</v>
      </c>
      <c r="AE2167">
        <v>0</v>
      </c>
      <c r="AF2167">
        <v>3</v>
      </c>
      <c r="AG2167">
        <v>2</v>
      </c>
      <c r="AH2167">
        <v>0</v>
      </c>
      <c r="AI2167" t="s">
        <v>4439</v>
      </c>
      <c r="AJ2167">
        <v>39.900713000000003</v>
      </c>
      <c r="AK2167" t="s">
        <v>4440</v>
      </c>
      <c r="AL2167">
        <v>-75.709598</v>
      </c>
      <c r="AM2167">
        <v>100</v>
      </c>
      <c r="AN2167">
        <v>4700</v>
      </c>
      <c r="AO2167" t="s">
        <v>115</v>
      </c>
      <c r="AP2167">
        <v>161</v>
      </c>
      <c r="AQ2167">
        <v>83</v>
      </c>
      <c r="AR2167">
        <v>0</v>
      </c>
      <c r="AZ2167">
        <v>3614</v>
      </c>
      <c r="BA2167">
        <v>1</v>
      </c>
      <c r="BB2167" t="str">
        <f t="shared" si="101"/>
        <v xml:space="preserve">N959MJ  </v>
      </c>
      <c r="BC2167">
        <v>1</v>
      </c>
      <c r="BE2167">
        <v>0</v>
      </c>
      <c r="BF2167">
        <v>0</v>
      </c>
      <c r="BG2167">
        <v>0</v>
      </c>
      <c r="BH2167">
        <v>4900</v>
      </c>
      <c r="BI2167">
        <v>200</v>
      </c>
      <c r="BJ2167">
        <v>1</v>
      </c>
      <c r="BK2167">
        <v>1</v>
      </c>
      <c r="BL2167">
        <v>1</v>
      </c>
      <c r="BM2167">
        <v>0</v>
      </c>
      <c r="BP2167">
        <v>0</v>
      </c>
      <c r="BQ2167">
        <v>0</v>
      </c>
      <c r="BX2167" t="str">
        <f>"14:26:27.227"</f>
        <v>14:26:27.227</v>
      </c>
      <c r="BY2167" t="str">
        <f>"227875737"</f>
        <v>227875737</v>
      </c>
      <c r="CL2167">
        <v>0</v>
      </c>
      <c r="CM2167">
        <v>2</v>
      </c>
      <c r="CN2167">
        <v>0</v>
      </c>
      <c r="CO2167">
        <v>2</v>
      </c>
      <c r="CP2167">
        <v>0</v>
      </c>
      <c r="CQ2167">
        <v>7</v>
      </c>
      <c r="CR2167" t="s">
        <v>116</v>
      </c>
      <c r="CS2167">
        <v>39</v>
      </c>
      <c r="CT2167">
        <v>2</v>
      </c>
      <c r="CU2167" t="s">
        <v>2259</v>
      </c>
      <c r="CV2167" t="s">
        <v>2260</v>
      </c>
      <c r="CY2167">
        <v>16759380</v>
      </c>
      <c r="CZ2167" t="s">
        <v>119</v>
      </c>
    </row>
    <row r="2168" spans="1:104" x14ac:dyDescent="0.25">
      <c r="A2168" t="str">
        <f>"14:26:28.273"</f>
        <v>14:26:28.273</v>
      </c>
      <c r="B2168" t="s">
        <v>108</v>
      </c>
      <c r="C2168" t="str">
        <f t="shared" si="100"/>
        <v>ffdfd3c0</v>
      </c>
      <c r="D2168" t="s">
        <v>109</v>
      </c>
      <c r="E2168">
        <v>4</v>
      </c>
      <c r="F2168">
        <v>1004</v>
      </c>
      <c r="G2168" t="s">
        <v>110</v>
      </c>
      <c r="J2168" t="s">
        <v>111</v>
      </c>
      <c r="K2168">
        <v>0</v>
      </c>
      <c r="L2168">
        <v>3</v>
      </c>
      <c r="M2168">
        <v>0</v>
      </c>
      <c r="N2168">
        <v>2</v>
      </c>
      <c r="O2168">
        <v>1</v>
      </c>
      <c r="P2168">
        <v>0</v>
      </c>
      <c r="Q2168">
        <v>0</v>
      </c>
      <c r="R2168" t="s">
        <v>112</v>
      </c>
      <c r="S2168" t="str">
        <f>"14:26:28.086"</f>
        <v>14:26:28.086</v>
      </c>
      <c r="T2168" t="str">
        <f>"14:26:27.688"</f>
        <v>14:26:27.688</v>
      </c>
      <c r="U2168" t="str">
        <f t="shared" si="99"/>
        <v>ad5732</v>
      </c>
      <c r="V2168">
        <v>0</v>
      </c>
      <c r="W2168">
        <v>0</v>
      </c>
      <c r="X2168">
        <v>1</v>
      </c>
      <c r="Z2168">
        <v>0</v>
      </c>
      <c r="AA2168">
        <v>9</v>
      </c>
      <c r="AB2168">
        <v>3</v>
      </c>
      <c r="AC2168">
        <v>0</v>
      </c>
      <c r="AD2168">
        <v>10</v>
      </c>
      <c r="AE2168">
        <v>0</v>
      </c>
      <c r="AF2168">
        <v>3</v>
      </c>
      <c r="AG2168">
        <v>2</v>
      </c>
      <c r="AH2168">
        <v>0</v>
      </c>
      <c r="AI2168" t="s">
        <v>4441</v>
      </c>
      <c r="AJ2168">
        <v>39.900992000000002</v>
      </c>
      <c r="AK2168" t="s">
        <v>4442</v>
      </c>
      <c r="AL2168">
        <v>-75.708869000000007</v>
      </c>
      <c r="AM2168">
        <v>100</v>
      </c>
      <c r="AN2168">
        <v>4700</v>
      </c>
      <c r="AO2168" t="s">
        <v>115</v>
      </c>
      <c r="AP2168">
        <v>161</v>
      </c>
      <c r="AQ2168">
        <v>83</v>
      </c>
      <c r="AR2168">
        <v>0</v>
      </c>
      <c r="AZ2168">
        <v>3614</v>
      </c>
      <c r="BA2168">
        <v>1</v>
      </c>
      <c r="BB2168" t="str">
        <f t="shared" si="101"/>
        <v xml:space="preserve">N959MJ  </v>
      </c>
      <c r="BC2168">
        <v>1</v>
      </c>
      <c r="BE2168">
        <v>0</v>
      </c>
      <c r="BF2168">
        <v>0</v>
      </c>
      <c r="BG2168">
        <v>0</v>
      </c>
      <c r="BH2168">
        <v>4900</v>
      </c>
      <c r="BI2168">
        <v>200</v>
      </c>
      <c r="BJ2168">
        <v>1</v>
      </c>
      <c r="BK2168">
        <v>1</v>
      </c>
      <c r="BL2168">
        <v>1</v>
      </c>
      <c r="BM2168">
        <v>0</v>
      </c>
      <c r="BP2168">
        <v>0</v>
      </c>
      <c r="BQ2168">
        <v>0</v>
      </c>
      <c r="BX2168" t="str">
        <f>"14:26:28.086"</f>
        <v>14:26:28.086</v>
      </c>
      <c r="BY2168" t="str">
        <f>"089688645"</f>
        <v>089688645</v>
      </c>
      <c r="CL2168">
        <v>0</v>
      </c>
      <c r="CM2168">
        <v>2</v>
      </c>
      <c r="CN2168">
        <v>0</v>
      </c>
      <c r="CO2168">
        <v>2</v>
      </c>
      <c r="CP2168">
        <v>0</v>
      </c>
      <c r="CQ2168">
        <v>7</v>
      </c>
      <c r="CR2168" t="s">
        <v>116</v>
      </c>
      <c r="CS2168">
        <v>39</v>
      </c>
      <c r="CT2168">
        <v>2</v>
      </c>
      <c r="CU2168" t="s">
        <v>2259</v>
      </c>
      <c r="CV2168" t="s">
        <v>2260</v>
      </c>
      <c r="CY2168">
        <v>16760689</v>
      </c>
      <c r="CZ2168" t="s">
        <v>119</v>
      </c>
    </row>
    <row r="2169" spans="1:104" x14ac:dyDescent="0.25">
      <c r="A2169" t="str">
        <f>"14:26:29.281"</f>
        <v>14:26:29.281</v>
      </c>
      <c r="B2169" t="s">
        <v>108</v>
      </c>
      <c r="C2169" t="str">
        <f t="shared" si="100"/>
        <v>ffdfd3c0</v>
      </c>
      <c r="D2169" t="s">
        <v>109</v>
      </c>
      <c r="E2169">
        <v>4</v>
      </c>
      <c r="F2169">
        <v>1004</v>
      </c>
      <c r="G2169" t="s">
        <v>110</v>
      </c>
      <c r="J2169" t="s">
        <v>111</v>
      </c>
      <c r="K2169">
        <v>0</v>
      </c>
      <c r="L2169">
        <v>3</v>
      </c>
      <c r="M2169">
        <v>0</v>
      </c>
      <c r="N2169">
        <v>2</v>
      </c>
      <c r="O2169">
        <v>1</v>
      </c>
      <c r="P2169">
        <v>0</v>
      </c>
      <c r="Q2169">
        <v>0</v>
      </c>
      <c r="R2169" t="s">
        <v>112</v>
      </c>
      <c r="S2169" t="str">
        <f>"14:26:29.094"</f>
        <v>14:26:29.094</v>
      </c>
      <c r="T2169" t="str">
        <f>"14:26:28.594"</f>
        <v>14:26:28.594</v>
      </c>
      <c r="U2169" t="str">
        <f t="shared" si="99"/>
        <v>ad5732</v>
      </c>
      <c r="V2169">
        <v>0</v>
      </c>
      <c r="W2169">
        <v>0</v>
      </c>
      <c r="X2169">
        <v>1</v>
      </c>
      <c r="Z2169">
        <v>0</v>
      </c>
      <c r="AA2169">
        <v>9</v>
      </c>
      <c r="AB2169">
        <v>3</v>
      </c>
      <c r="AC2169">
        <v>0</v>
      </c>
      <c r="AD2169">
        <v>10</v>
      </c>
      <c r="AE2169">
        <v>0</v>
      </c>
      <c r="AF2169">
        <v>3</v>
      </c>
      <c r="AG2169">
        <v>2</v>
      </c>
      <c r="AH2169">
        <v>0</v>
      </c>
      <c r="AI2169" t="s">
        <v>4443</v>
      </c>
      <c r="AJ2169">
        <v>39.901420999999999</v>
      </c>
      <c r="AK2169" t="s">
        <v>4444</v>
      </c>
      <c r="AL2169">
        <v>-75.707881</v>
      </c>
      <c r="AM2169">
        <v>100</v>
      </c>
      <c r="AN2169">
        <v>4700</v>
      </c>
      <c r="AO2169" t="s">
        <v>115</v>
      </c>
      <c r="AP2169">
        <v>161</v>
      </c>
      <c r="AQ2169">
        <v>83</v>
      </c>
      <c r="AR2169">
        <v>0</v>
      </c>
      <c r="AZ2169">
        <v>3614</v>
      </c>
      <c r="BA2169">
        <v>1</v>
      </c>
      <c r="BB2169" t="str">
        <f t="shared" si="101"/>
        <v xml:space="preserve">N959MJ  </v>
      </c>
      <c r="BC2169">
        <v>1</v>
      </c>
      <c r="BE2169">
        <v>0</v>
      </c>
      <c r="BF2169">
        <v>0</v>
      </c>
      <c r="BG2169">
        <v>0</v>
      </c>
      <c r="BH2169">
        <v>4900</v>
      </c>
      <c r="BI2169">
        <v>200</v>
      </c>
      <c r="BJ2169">
        <v>1</v>
      </c>
      <c r="BK2169">
        <v>1</v>
      </c>
      <c r="BL2169">
        <v>1</v>
      </c>
      <c r="BM2169">
        <v>0</v>
      </c>
      <c r="BP2169">
        <v>0</v>
      </c>
      <c r="BQ2169">
        <v>0</v>
      </c>
      <c r="BX2169" t="str">
        <f>"14:26:29.102"</f>
        <v>14:26:29.102</v>
      </c>
      <c r="BY2169" t="str">
        <f>"100598411"</f>
        <v>100598411</v>
      </c>
      <c r="CL2169">
        <v>0</v>
      </c>
      <c r="CM2169">
        <v>2</v>
      </c>
      <c r="CN2169">
        <v>0</v>
      </c>
      <c r="CO2169">
        <v>2</v>
      </c>
      <c r="CP2169">
        <v>0</v>
      </c>
      <c r="CQ2169">
        <v>7</v>
      </c>
      <c r="CR2169" t="s">
        <v>116</v>
      </c>
      <c r="CS2169">
        <v>39</v>
      </c>
      <c r="CT2169">
        <v>3</v>
      </c>
      <c r="CU2169" t="s">
        <v>2259</v>
      </c>
      <c r="CV2169" t="s">
        <v>2260</v>
      </c>
      <c r="CY2169">
        <v>10744571</v>
      </c>
      <c r="CZ2169" t="s">
        <v>119</v>
      </c>
    </row>
    <row r="2170" spans="1:104" x14ac:dyDescent="0.25">
      <c r="A2170" t="str">
        <f>"14:26:30.391"</f>
        <v>14:26:30.391</v>
      </c>
      <c r="B2170" t="s">
        <v>108</v>
      </c>
      <c r="C2170" t="str">
        <f t="shared" si="100"/>
        <v>ffdfd3c0</v>
      </c>
      <c r="D2170" t="s">
        <v>109</v>
      </c>
      <c r="E2170">
        <v>4</v>
      </c>
      <c r="F2170">
        <v>1004</v>
      </c>
      <c r="G2170" t="s">
        <v>110</v>
      </c>
      <c r="J2170" t="s">
        <v>111</v>
      </c>
      <c r="K2170">
        <v>0</v>
      </c>
      <c r="L2170">
        <v>3</v>
      </c>
      <c r="M2170">
        <v>0</v>
      </c>
      <c r="N2170">
        <v>2</v>
      </c>
      <c r="O2170">
        <v>1</v>
      </c>
      <c r="P2170">
        <v>0</v>
      </c>
      <c r="Q2170">
        <v>0</v>
      </c>
      <c r="R2170" t="s">
        <v>112</v>
      </c>
      <c r="S2170" t="str">
        <f>"14:26:30.195"</f>
        <v>14:26:30.195</v>
      </c>
      <c r="T2170" t="str">
        <f>"14:26:29.094"</f>
        <v>14:26:29.094</v>
      </c>
      <c r="U2170" t="str">
        <f t="shared" si="99"/>
        <v>ad5732</v>
      </c>
      <c r="V2170">
        <v>0</v>
      </c>
      <c r="W2170">
        <v>0</v>
      </c>
      <c r="X2170">
        <v>1</v>
      </c>
      <c r="Z2170">
        <v>0</v>
      </c>
      <c r="AA2170">
        <v>9</v>
      </c>
      <c r="AB2170">
        <v>3</v>
      </c>
      <c r="AC2170">
        <v>0</v>
      </c>
      <c r="AD2170">
        <v>10</v>
      </c>
      <c r="AE2170">
        <v>0</v>
      </c>
      <c r="AF2170">
        <v>3</v>
      </c>
      <c r="AG2170">
        <v>2</v>
      </c>
      <c r="AH2170">
        <v>0</v>
      </c>
      <c r="AI2170" t="s">
        <v>4445</v>
      </c>
      <c r="AJ2170">
        <v>39.901786000000001</v>
      </c>
      <c r="AK2170" t="s">
        <v>4446</v>
      </c>
      <c r="AL2170">
        <v>-75.706787000000006</v>
      </c>
      <c r="AM2170">
        <v>100</v>
      </c>
      <c r="AN2170">
        <v>4700</v>
      </c>
      <c r="AO2170" t="s">
        <v>115</v>
      </c>
      <c r="AP2170">
        <v>161</v>
      </c>
      <c r="AQ2170">
        <v>83</v>
      </c>
      <c r="AR2170">
        <v>0</v>
      </c>
      <c r="AZ2170">
        <v>3614</v>
      </c>
      <c r="BA2170">
        <v>1</v>
      </c>
      <c r="BB2170" t="str">
        <f t="shared" si="101"/>
        <v xml:space="preserve">N959MJ  </v>
      </c>
      <c r="BC2170">
        <v>1</v>
      </c>
      <c r="BE2170">
        <v>0</v>
      </c>
      <c r="BF2170">
        <v>0</v>
      </c>
      <c r="BG2170">
        <v>0</v>
      </c>
      <c r="BH2170">
        <v>4900</v>
      </c>
      <c r="BI2170">
        <v>200</v>
      </c>
      <c r="BJ2170">
        <v>1</v>
      </c>
      <c r="BK2170">
        <v>1</v>
      </c>
      <c r="BL2170">
        <v>1</v>
      </c>
      <c r="BM2170">
        <v>0</v>
      </c>
      <c r="BP2170">
        <v>0</v>
      </c>
      <c r="BQ2170">
        <v>0</v>
      </c>
      <c r="BX2170" t="str">
        <f>"14:26:30.203"</f>
        <v>14:26:30.203</v>
      </c>
      <c r="BY2170" t="str">
        <f>"201621881"</f>
        <v>201621881</v>
      </c>
      <c r="CL2170">
        <v>0</v>
      </c>
      <c r="CM2170">
        <v>2</v>
      </c>
      <c r="CN2170">
        <v>0</v>
      </c>
      <c r="CO2170">
        <v>2</v>
      </c>
      <c r="CP2170">
        <v>0</v>
      </c>
      <c r="CQ2170">
        <v>7</v>
      </c>
      <c r="CR2170" t="s">
        <v>116</v>
      </c>
      <c r="CS2170">
        <v>39</v>
      </c>
      <c r="CT2170">
        <v>1</v>
      </c>
      <c r="CU2170" t="s">
        <v>2259</v>
      </c>
      <c r="CV2170" t="s">
        <v>2260</v>
      </c>
      <c r="CY2170">
        <v>8751763</v>
      </c>
      <c r="CZ2170" t="s">
        <v>119</v>
      </c>
    </row>
    <row r="2171" spans="1:104" x14ac:dyDescent="0.25">
      <c r="A2171" t="str">
        <f>"14:26:31.398"</f>
        <v>14:26:31.398</v>
      </c>
      <c r="B2171" t="s">
        <v>108</v>
      </c>
      <c r="C2171" t="str">
        <f t="shared" si="100"/>
        <v>ffdfd3c0</v>
      </c>
      <c r="D2171" t="s">
        <v>109</v>
      </c>
      <c r="E2171">
        <v>4</v>
      </c>
      <c r="F2171">
        <v>1004</v>
      </c>
      <c r="G2171" t="s">
        <v>110</v>
      </c>
      <c r="J2171" t="s">
        <v>111</v>
      </c>
      <c r="K2171">
        <v>0</v>
      </c>
      <c r="L2171">
        <v>3</v>
      </c>
      <c r="M2171">
        <v>0</v>
      </c>
      <c r="N2171">
        <v>2</v>
      </c>
      <c r="O2171">
        <v>1</v>
      </c>
      <c r="P2171">
        <v>0</v>
      </c>
      <c r="Q2171">
        <v>0</v>
      </c>
      <c r="R2171" t="s">
        <v>112</v>
      </c>
      <c r="S2171" t="str">
        <f>"14:26:31.227"</f>
        <v>14:26:31.227</v>
      </c>
      <c r="T2171" t="str">
        <f>"14:26:30.727"</f>
        <v>14:26:30.727</v>
      </c>
      <c r="U2171" t="str">
        <f t="shared" si="99"/>
        <v>ad5732</v>
      </c>
      <c r="V2171">
        <v>0</v>
      </c>
      <c r="W2171">
        <v>0</v>
      </c>
      <c r="X2171">
        <v>1</v>
      </c>
      <c r="Z2171">
        <v>0</v>
      </c>
      <c r="AA2171">
        <v>9</v>
      </c>
      <c r="AB2171">
        <v>3</v>
      </c>
      <c r="AC2171">
        <v>0</v>
      </c>
      <c r="AD2171">
        <v>10</v>
      </c>
      <c r="AE2171">
        <v>0</v>
      </c>
      <c r="AF2171">
        <v>3</v>
      </c>
      <c r="AG2171">
        <v>2</v>
      </c>
      <c r="AH2171">
        <v>0</v>
      </c>
      <c r="AI2171" t="s">
        <v>4447</v>
      </c>
      <c r="AJ2171">
        <v>39.902258000000003</v>
      </c>
      <c r="AK2171" t="s">
        <v>4448</v>
      </c>
      <c r="AL2171">
        <v>-75.705757000000006</v>
      </c>
      <c r="AM2171">
        <v>100</v>
      </c>
      <c r="AN2171">
        <v>4700</v>
      </c>
      <c r="AO2171" t="s">
        <v>115</v>
      </c>
      <c r="AP2171">
        <v>161</v>
      </c>
      <c r="AQ2171">
        <v>83</v>
      </c>
      <c r="AR2171">
        <v>0</v>
      </c>
      <c r="AZ2171">
        <v>3614</v>
      </c>
      <c r="BA2171">
        <v>1</v>
      </c>
      <c r="BB2171" t="str">
        <f t="shared" si="101"/>
        <v xml:space="preserve">N959MJ  </v>
      </c>
      <c r="BC2171">
        <v>1</v>
      </c>
      <c r="BE2171">
        <v>0</v>
      </c>
      <c r="BF2171">
        <v>0</v>
      </c>
      <c r="BG2171">
        <v>0</v>
      </c>
      <c r="BH2171">
        <v>4900</v>
      </c>
      <c r="BI2171">
        <v>200</v>
      </c>
      <c r="BJ2171">
        <v>1</v>
      </c>
      <c r="BK2171">
        <v>1</v>
      </c>
      <c r="BL2171">
        <v>1</v>
      </c>
      <c r="BM2171">
        <v>0</v>
      </c>
      <c r="BP2171">
        <v>0</v>
      </c>
      <c r="BQ2171">
        <v>0</v>
      </c>
      <c r="BX2171" t="str">
        <f>"14:26:31.234"</f>
        <v>14:26:31.234</v>
      </c>
      <c r="BY2171" t="str">
        <f>"230554318"</f>
        <v>230554318</v>
      </c>
      <c r="CL2171">
        <v>0</v>
      </c>
      <c r="CM2171">
        <v>2</v>
      </c>
      <c r="CN2171">
        <v>0</v>
      </c>
      <c r="CO2171">
        <v>2</v>
      </c>
      <c r="CP2171">
        <v>0</v>
      </c>
      <c r="CQ2171">
        <v>7</v>
      </c>
      <c r="CR2171" t="s">
        <v>116</v>
      </c>
      <c r="CS2171">
        <v>39</v>
      </c>
      <c r="CT2171">
        <v>3</v>
      </c>
      <c r="CU2171" t="s">
        <v>2259</v>
      </c>
      <c r="CV2171" t="s">
        <v>2260</v>
      </c>
      <c r="CY2171">
        <v>10748385</v>
      </c>
      <c r="CZ2171" t="s">
        <v>119</v>
      </c>
    </row>
    <row r="2172" spans="1:104" x14ac:dyDescent="0.25">
      <c r="A2172" t="str">
        <f>"14:26:32.406"</f>
        <v>14:26:32.406</v>
      </c>
      <c r="B2172" t="s">
        <v>108</v>
      </c>
      <c r="C2172" t="str">
        <f t="shared" si="100"/>
        <v>ffdfd3c0</v>
      </c>
      <c r="D2172" t="s">
        <v>109</v>
      </c>
      <c r="E2172">
        <v>4</v>
      </c>
      <c r="F2172">
        <v>1004</v>
      </c>
      <c r="G2172" t="s">
        <v>110</v>
      </c>
      <c r="J2172" t="s">
        <v>111</v>
      </c>
      <c r="K2172">
        <v>0</v>
      </c>
      <c r="L2172">
        <v>3</v>
      </c>
      <c r="M2172">
        <v>0</v>
      </c>
      <c r="N2172">
        <v>2</v>
      </c>
      <c r="O2172">
        <v>1</v>
      </c>
      <c r="P2172">
        <v>0</v>
      </c>
      <c r="Q2172">
        <v>0</v>
      </c>
      <c r="R2172" t="s">
        <v>112</v>
      </c>
      <c r="S2172" t="str">
        <f>"14:26:32.242"</f>
        <v>14:26:32.242</v>
      </c>
      <c r="T2172" t="str">
        <f>"14:26:31.844"</f>
        <v>14:26:31.844</v>
      </c>
      <c r="U2172" t="str">
        <f t="shared" si="99"/>
        <v>ad5732</v>
      </c>
      <c r="V2172">
        <v>0</v>
      </c>
      <c r="W2172">
        <v>0</v>
      </c>
      <c r="X2172">
        <v>1</v>
      </c>
      <c r="Z2172">
        <v>0</v>
      </c>
      <c r="AA2172">
        <v>9</v>
      </c>
      <c r="AB2172">
        <v>3</v>
      </c>
      <c r="AC2172">
        <v>0</v>
      </c>
      <c r="AD2172">
        <v>10</v>
      </c>
      <c r="AE2172">
        <v>0</v>
      </c>
      <c r="AF2172">
        <v>3</v>
      </c>
      <c r="AG2172">
        <v>2</v>
      </c>
      <c r="AH2172">
        <v>0</v>
      </c>
      <c r="AI2172" t="s">
        <v>4449</v>
      </c>
      <c r="AJ2172">
        <v>39.902622999999998</v>
      </c>
      <c r="AK2172" t="s">
        <v>4450</v>
      </c>
      <c r="AL2172">
        <v>-75.704769999999996</v>
      </c>
      <c r="AM2172">
        <v>100</v>
      </c>
      <c r="AN2172">
        <v>4700</v>
      </c>
      <c r="AO2172" t="s">
        <v>115</v>
      </c>
      <c r="AP2172">
        <v>161</v>
      </c>
      <c r="AQ2172">
        <v>83</v>
      </c>
      <c r="AR2172">
        <v>0</v>
      </c>
      <c r="AZ2172">
        <v>3614</v>
      </c>
      <c r="BA2172">
        <v>1</v>
      </c>
      <c r="BB2172" t="str">
        <f t="shared" si="101"/>
        <v xml:space="preserve">N959MJ  </v>
      </c>
      <c r="BC2172">
        <v>1</v>
      </c>
      <c r="BE2172">
        <v>0</v>
      </c>
      <c r="BF2172">
        <v>0</v>
      </c>
      <c r="BG2172">
        <v>0</v>
      </c>
      <c r="BH2172">
        <v>4900</v>
      </c>
      <c r="BI2172">
        <v>200</v>
      </c>
      <c r="BJ2172">
        <v>1</v>
      </c>
      <c r="BK2172">
        <v>1</v>
      </c>
      <c r="BL2172">
        <v>1</v>
      </c>
      <c r="BM2172">
        <v>0</v>
      </c>
      <c r="BP2172">
        <v>0</v>
      </c>
      <c r="BQ2172">
        <v>0</v>
      </c>
      <c r="BX2172" t="str">
        <f>"14:26:32.250"</f>
        <v>14:26:32.250</v>
      </c>
      <c r="BY2172" t="str">
        <f>"249869791"</f>
        <v>249869791</v>
      </c>
      <c r="CL2172">
        <v>0</v>
      </c>
      <c r="CM2172">
        <v>2</v>
      </c>
      <c r="CN2172">
        <v>0</v>
      </c>
      <c r="CO2172">
        <v>2</v>
      </c>
      <c r="CP2172">
        <v>0</v>
      </c>
      <c r="CQ2172">
        <v>5</v>
      </c>
      <c r="CR2172" t="s">
        <v>116</v>
      </c>
      <c r="CS2172">
        <v>396</v>
      </c>
      <c r="CT2172">
        <v>1</v>
      </c>
      <c r="CU2172" t="s">
        <v>939</v>
      </c>
      <c r="CV2172" t="s">
        <v>940</v>
      </c>
      <c r="CY2172">
        <v>10178592</v>
      </c>
      <c r="CZ2172" t="s">
        <v>119</v>
      </c>
    </row>
    <row r="2173" spans="1:104" x14ac:dyDescent="0.25">
      <c r="A2173" t="str">
        <f>"14:26:33.469"</f>
        <v>14:26:33.469</v>
      </c>
      <c r="B2173" t="s">
        <v>108</v>
      </c>
      <c r="C2173" t="str">
        <f t="shared" si="100"/>
        <v>ffdfd3c0</v>
      </c>
      <c r="D2173" t="s">
        <v>109</v>
      </c>
      <c r="E2173">
        <v>4</v>
      </c>
      <c r="F2173">
        <v>1004</v>
      </c>
      <c r="G2173" t="s">
        <v>110</v>
      </c>
      <c r="J2173" t="s">
        <v>111</v>
      </c>
      <c r="K2173">
        <v>0</v>
      </c>
      <c r="L2173">
        <v>3</v>
      </c>
      <c r="M2173">
        <v>0</v>
      </c>
      <c r="N2173">
        <v>2</v>
      </c>
      <c r="O2173">
        <v>1</v>
      </c>
      <c r="P2173">
        <v>0</v>
      </c>
      <c r="Q2173">
        <v>0</v>
      </c>
      <c r="R2173" t="s">
        <v>112</v>
      </c>
      <c r="S2173" t="str">
        <f>"14:26:33.297"</f>
        <v>14:26:33.297</v>
      </c>
      <c r="T2173" t="str">
        <f>"14:26:32.898"</f>
        <v>14:26:32.898</v>
      </c>
      <c r="U2173" t="str">
        <f t="shared" si="99"/>
        <v>ad5732</v>
      </c>
      <c r="V2173">
        <v>0</v>
      </c>
      <c r="W2173">
        <v>0</v>
      </c>
      <c r="X2173">
        <v>1</v>
      </c>
      <c r="Z2173">
        <v>0</v>
      </c>
      <c r="AA2173">
        <v>9</v>
      </c>
      <c r="AB2173">
        <v>3</v>
      </c>
      <c r="AC2173">
        <v>0</v>
      </c>
      <c r="AD2173">
        <v>10</v>
      </c>
      <c r="AE2173">
        <v>0</v>
      </c>
      <c r="AF2173">
        <v>3</v>
      </c>
      <c r="AG2173">
        <v>2</v>
      </c>
      <c r="AH2173">
        <v>0</v>
      </c>
      <c r="AI2173" t="s">
        <v>4451</v>
      </c>
      <c r="AJ2173">
        <v>39.903030000000001</v>
      </c>
      <c r="AK2173" t="s">
        <v>4452</v>
      </c>
      <c r="AL2173">
        <v>-75.703676000000002</v>
      </c>
      <c r="AM2173">
        <v>100</v>
      </c>
      <c r="AN2173">
        <v>4700</v>
      </c>
      <c r="AO2173" t="s">
        <v>115</v>
      </c>
      <c r="AP2173">
        <v>161</v>
      </c>
      <c r="AQ2173">
        <v>83</v>
      </c>
      <c r="AR2173">
        <v>0</v>
      </c>
      <c r="AZ2173">
        <v>3614</v>
      </c>
      <c r="BA2173">
        <v>1</v>
      </c>
      <c r="BB2173" t="str">
        <f t="shared" si="101"/>
        <v xml:space="preserve">N959MJ  </v>
      </c>
      <c r="BC2173">
        <v>1</v>
      </c>
      <c r="BE2173">
        <v>0</v>
      </c>
      <c r="BF2173">
        <v>0</v>
      </c>
      <c r="BG2173">
        <v>0</v>
      </c>
      <c r="BH2173">
        <v>4900</v>
      </c>
      <c r="BI2173">
        <v>200</v>
      </c>
      <c r="BJ2173">
        <v>1</v>
      </c>
      <c r="BK2173">
        <v>1</v>
      </c>
      <c r="BL2173">
        <v>1</v>
      </c>
      <c r="BM2173">
        <v>0</v>
      </c>
      <c r="BP2173">
        <v>0</v>
      </c>
      <c r="BQ2173">
        <v>0</v>
      </c>
      <c r="BX2173" t="str">
        <f>"14:26:33.305"</f>
        <v>14:26:33.305</v>
      </c>
      <c r="BY2173" t="str">
        <f>"303165168"</f>
        <v>303165168</v>
      </c>
      <c r="CL2173">
        <v>0</v>
      </c>
      <c r="CM2173">
        <v>2</v>
      </c>
      <c r="CN2173">
        <v>0</v>
      </c>
      <c r="CO2173">
        <v>2</v>
      </c>
      <c r="CP2173">
        <v>0</v>
      </c>
      <c r="CQ2173">
        <v>7</v>
      </c>
      <c r="CR2173" t="s">
        <v>116</v>
      </c>
      <c r="CS2173">
        <v>39</v>
      </c>
      <c r="CT2173">
        <v>3</v>
      </c>
      <c r="CU2173" t="s">
        <v>2259</v>
      </c>
      <c r="CV2173" t="s">
        <v>2260</v>
      </c>
      <c r="CY2173">
        <v>10751681</v>
      </c>
      <c r="CZ2173" t="s">
        <v>119</v>
      </c>
    </row>
    <row r="2174" spans="1:104" x14ac:dyDescent="0.25">
      <c r="A2174" t="str">
        <f>"14:26:34.383"</f>
        <v>14:26:34.383</v>
      </c>
      <c r="B2174" t="s">
        <v>108</v>
      </c>
      <c r="C2174" t="str">
        <f t="shared" si="100"/>
        <v>ffdfd3c0</v>
      </c>
      <c r="D2174" t="s">
        <v>109</v>
      </c>
      <c r="E2174">
        <v>4</v>
      </c>
      <c r="F2174">
        <v>1004</v>
      </c>
      <c r="G2174" t="s">
        <v>110</v>
      </c>
      <c r="J2174" t="s">
        <v>111</v>
      </c>
      <c r="K2174">
        <v>0</v>
      </c>
      <c r="L2174">
        <v>3</v>
      </c>
      <c r="M2174">
        <v>0</v>
      </c>
      <c r="N2174">
        <v>2</v>
      </c>
      <c r="O2174">
        <v>1</v>
      </c>
      <c r="P2174">
        <v>0</v>
      </c>
      <c r="Q2174">
        <v>0</v>
      </c>
      <c r="R2174" t="s">
        <v>112</v>
      </c>
      <c r="S2174" t="str">
        <f>"14:26:34.219"</f>
        <v>14:26:34.219</v>
      </c>
      <c r="T2174" t="str">
        <f>"14:26:33.820"</f>
        <v>14:26:33.820</v>
      </c>
      <c r="U2174" t="str">
        <f t="shared" si="99"/>
        <v>ad5732</v>
      </c>
      <c r="V2174">
        <v>0</v>
      </c>
      <c r="W2174">
        <v>0</v>
      </c>
      <c r="X2174">
        <v>1</v>
      </c>
      <c r="Z2174">
        <v>0</v>
      </c>
      <c r="AA2174">
        <v>9</v>
      </c>
      <c r="AB2174">
        <v>3</v>
      </c>
      <c r="AC2174">
        <v>0</v>
      </c>
      <c r="AD2174">
        <v>10</v>
      </c>
      <c r="AE2174">
        <v>0</v>
      </c>
      <c r="AF2174">
        <v>3</v>
      </c>
      <c r="AG2174">
        <v>2</v>
      </c>
      <c r="AH2174">
        <v>0</v>
      </c>
      <c r="AI2174" t="s">
        <v>4453</v>
      </c>
      <c r="AJ2174">
        <v>39.903373999999999</v>
      </c>
      <c r="AK2174" t="s">
        <v>4454</v>
      </c>
      <c r="AL2174">
        <v>-75.702816999999996</v>
      </c>
      <c r="AM2174">
        <v>100</v>
      </c>
      <c r="AN2174">
        <v>4700</v>
      </c>
      <c r="AO2174" t="s">
        <v>115</v>
      </c>
      <c r="AP2174">
        <v>161</v>
      </c>
      <c r="AQ2174">
        <v>82</v>
      </c>
      <c r="AR2174">
        <v>64</v>
      </c>
      <c r="AZ2174">
        <v>3614</v>
      </c>
      <c r="BA2174">
        <v>1</v>
      </c>
      <c r="BB2174" t="str">
        <f t="shared" si="101"/>
        <v xml:space="preserve">N959MJ  </v>
      </c>
      <c r="BC2174">
        <v>1</v>
      </c>
      <c r="BE2174">
        <v>0</v>
      </c>
      <c r="BF2174">
        <v>0</v>
      </c>
      <c r="BG2174">
        <v>0</v>
      </c>
      <c r="BH2174">
        <v>4900</v>
      </c>
      <c r="BI2174">
        <v>200</v>
      </c>
      <c r="BJ2174">
        <v>1</v>
      </c>
      <c r="BK2174">
        <v>1</v>
      </c>
      <c r="BL2174">
        <v>1</v>
      </c>
      <c r="BM2174">
        <v>0</v>
      </c>
      <c r="BP2174">
        <v>0</v>
      </c>
      <c r="BQ2174">
        <v>0</v>
      </c>
      <c r="BX2174" t="str">
        <f>"14:26:34.227"</f>
        <v>14:26:34.227</v>
      </c>
      <c r="BY2174" t="str">
        <f>"223961489"</f>
        <v>223961489</v>
      </c>
      <c r="CL2174">
        <v>0</v>
      </c>
      <c r="CM2174">
        <v>2</v>
      </c>
      <c r="CN2174">
        <v>0</v>
      </c>
      <c r="CO2174">
        <v>2</v>
      </c>
      <c r="CP2174">
        <v>0</v>
      </c>
      <c r="CQ2174">
        <v>7</v>
      </c>
      <c r="CR2174" t="s">
        <v>116</v>
      </c>
      <c r="CS2174">
        <v>39</v>
      </c>
      <c r="CT2174">
        <v>2</v>
      </c>
      <c r="CU2174" t="s">
        <v>2259</v>
      </c>
      <c r="CV2174" t="s">
        <v>2260</v>
      </c>
      <c r="CY2174">
        <v>16771189</v>
      </c>
      <c r="CZ2174" t="s">
        <v>119</v>
      </c>
    </row>
    <row r="2175" spans="1:104" x14ac:dyDescent="0.25">
      <c r="A2175" t="str">
        <f>"14:26:35.438"</f>
        <v>14:26:35.438</v>
      </c>
      <c r="B2175" t="s">
        <v>108</v>
      </c>
      <c r="C2175" t="str">
        <f t="shared" si="100"/>
        <v>ffdfd3c0</v>
      </c>
      <c r="D2175" t="s">
        <v>109</v>
      </c>
      <c r="E2175">
        <v>4</v>
      </c>
      <c r="F2175">
        <v>1004</v>
      </c>
      <c r="G2175" t="s">
        <v>110</v>
      </c>
      <c r="J2175" t="s">
        <v>111</v>
      </c>
      <c r="K2175">
        <v>0</v>
      </c>
      <c r="L2175">
        <v>3</v>
      </c>
      <c r="M2175">
        <v>0</v>
      </c>
      <c r="N2175">
        <v>2</v>
      </c>
      <c r="O2175">
        <v>1</v>
      </c>
      <c r="P2175">
        <v>0</v>
      </c>
      <c r="Q2175">
        <v>0</v>
      </c>
      <c r="R2175" t="s">
        <v>112</v>
      </c>
      <c r="S2175" t="str">
        <f>"14:26:35.250"</f>
        <v>14:26:35.250</v>
      </c>
      <c r="T2175" t="str">
        <f>"14:26:34.750"</f>
        <v>14:26:34.750</v>
      </c>
      <c r="U2175" t="str">
        <f t="shared" si="99"/>
        <v>ad5732</v>
      </c>
      <c r="V2175">
        <v>0</v>
      </c>
      <c r="W2175">
        <v>0</v>
      </c>
      <c r="X2175">
        <v>1</v>
      </c>
      <c r="Z2175">
        <v>0</v>
      </c>
      <c r="AA2175">
        <v>9</v>
      </c>
      <c r="AB2175">
        <v>3</v>
      </c>
      <c r="AC2175">
        <v>0</v>
      </c>
      <c r="AD2175">
        <v>10</v>
      </c>
      <c r="AE2175">
        <v>0</v>
      </c>
      <c r="AF2175">
        <v>3</v>
      </c>
      <c r="AG2175">
        <v>2</v>
      </c>
      <c r="AH2175">
        <v>0</v>
      </c>
      <c r="AI2175" t="s">
        <v>4455</v>
      </c>
      <c r="AJ2175">
        <v>39.903781000000002</v>
      </c>
      <c r="AK2175" t="s">
        <v>4456</v>
      </c>
      <c r="AL2175">
        <v>-75.701852000000002</v>
      </c>
      <c r="AM2175">
        <v>100</v>
      </c>
      <c r="AN2175">
        <v>4700</v>
      </c>
      <c r="AO2175" t="s">
        <v>115</v>
      </c>
      <c r="AP2175">
        <v>161</v>
      </c>
      <c r="AQ2175">
        <v>83</v>
      </c>
      <c r="AR2175">
        <v>0</v>
      </c>
      <c r="AZ2175">
        <v>3614</v>
      </c>
      <c r="BA2175">
        <v>1</v>
      </c>
      <c r="BB2175" t="str">
        <f t="shared" si="101"/>
        <v xml:space="preserve">N959MJ  </v>
      </c>
      <c r="BC2175">
        <v>1</v>
      </c>
      <c r="BE2175">
        <v>0</v>
      </c>
      <c r="BF2175">
        <v>0</v>
      </c>
      <c r="BG2175">
        <v>0</v>
      </c>
      <c r="BH2175">
        <v>4900</v>
      </c>
      <c r="BI2175">
        <v>200</v>
      </c>
      <c r="BJ2175">
        <v>1</v>
      </c>
      <c r="BK2175">
        <v>1</v>
      </c>
      <c r="BL2175">
        <v>1</v>
      </c>
      <c r="BM2175">
        <v>0</v>
      </c>
      <c r="BP2175">
        <v>0</v>
      </c>
      <c r="BQ2175">
        <v>0</v>
      </c>
      <c r="BX2175" t="str">
        <f>"14:26:35.250"</f>
        <v>14:26:35.250</v>
      </c>
      <c r="BY2175" t="str">
        <f>"251255591"</f>
        <v>251255591</v>
      </c>
      <c r="CL2175">
        <v>0</v>
      </c>
      <c r="CM2175">
        <v>2</v>
      </c>
      <c r="CN2175">
        <v>0</v>
      </c>
      <c r="CO2175">
        <v>2</v>
      </c>
      <c r="CP2175">
        <v>0</v>
      </c>
      <c r="CQ2175">
        <v>7</v>
      </c>
      <c r="CR2175" t="s">
        <v>116</v>
      </c>
      <c r="CS2175">
        <v>39</v>
      </c>
      <c r="CT2175">
        <v>2</v>
      </c>
      <c r="CU2175" t="s">
        <v>2259</v>
      </c>
      <c r="CV2175" t="s">
        <v>2260</v>
      </c>
      <c r="CY2175">
        <v>16772941</v>
      </c>
      <c r="CZ2175" t="s">
        <v>119</v>
      </c>
    </row>
    <row r="2176" spans="1:104" x14ac:dyDescent="0.25">
      <c r="A2176" t="str">
        <f>"14:26:36.398"</f>
        <v>14:26:36.398</v>
      </c>
      <c r="B2176" t="s">
        <v>108</v>
      </c>
      <c r="C2176" t="str">
        <f t="shared" si="100"/>
        <v>ffdfd3c0</v>
      </c>
      <c r="D2176" t="s">
        <v>109</v>
      </c>
      <c r="E2176">
        <v>4</v>
      </c>
      <c r="F2176">
        <v>1004</v>
      </c>
      <c r="G2176" t="s">
        <v>110</v>
      </c>
      <c r="J2176" t="s">
        <v>111</v>
      </c>
      <c r="K2176">
        <v>0</v>
      </c>
      <c r="L2176">
        <v>3</v>
      </c>
      <c r="M2176">
        <v>0</v>
      </c>
      <c r="N2176">
        <v>2</v>
      </c>
      <c r="O2176">
        <v>1</v>
      </c>
      <c r="P2176">
        <v>0</v>
      </c>
      <c r="Q2176">
        <v>0</v>
      </c>
      <c r="R2176" t="s">
        <v>112</v>
      </c>
      <c r="S2176" t="str">
        <f>"14:26:36.234"</f>
        <v>14:26:36.234</v>
      </c>
      <c r="T2176" t="str">
        <f>"14:26:35.734"</f>
        <v>14:26:35.734</v>
      </c>
      <c r="U2176" t="str">
        <f t="shared" si="99"/>
        <v>ad5732</v>
      </c>
      <c r="V2176">
        <v>0</v>
      </c>
      <c r="W2176">
        <v>0</v>
      </c>
      <c r="X2176">
        <v>1</v>
      </c>
      <c r="Z2176">
        <v>0</v>
      </c>
      <c r="AA2176">
        <v>9</v>
      </c>
      <c r="AB2176">
        <v>3</v>
      </c>
      <c r="AC2176">
        <v>0</v>
      </c>
      <c r="AD2176">
        <v>10</v>
      </c>
      <c r="AE2176">
        <v>0</v>
      </c>
      <c r="AF2176">
        <v>3</v>
      </c>
      <c r="AG2176">
        <v>2</v>
      </c>
      <c r="AH2176">
        <v>0</v>
      </c>
      <c r="AI2176" t="s">
        <v>4457</v>
      </c>
      <c r="AJ2176">
        <v>39.904167999999999</v>
      </c>
      <c r="AK2176" t="s">
        <v>4458</v>
      </c>
      <c r="AL2176">
        <v>-75.700864999999993</v>
      </c>
      <c r="AM2176">
        <v>100</v>
      </c>
      <c r="AN2176">
        <v>4700</v>
      </c>
      <c r="AO2176" t="s">
        <v>115</v>
      </c>
      <c r="AP2176">
        <v>161</v>
      </c>
      <c r="AQ2176">
        <v>82</v>
      </c>
      <c r="AR2176">
        <v>0</v>
      </c>
      <c r="AZ2176">
        <v>3614</v>
      </c>
      <c r="BA2176">
        <v>1</v>
      </c>
      <c r="BB2176" t="str">
        <f t="shared" si="101"/>
        <v xml:space="preserve">N959MJ  </v>
      </c>
      <c r="BC2176">
        <v>1</v>
      </c>
      <c r="BE2176">
        <v>0</v>
      </c>
      <c r="BF2176">
        <v>0</v>
      </c>
      <c r="BG2176">
        <v>0</v>
      </c>
      <c r="BH2176">
        <v>4900</v>
      </c>
      <c r="BI2176">
        <v>200</v>
      </c>
      <c r="BJ2176">
        <v>1</v>
      </c>
      <c r="BK2176">
        <v>1</v>
      </c>
      <c r="BL2176">
        <v>1</v>
      </c>
      <c r="BM2176">
        <v>0</v>
      </c>
      <c r="BP2176">
        <v>0</v>
      </c>
      <c r="BQ2176">
        <v>0</v>
      </c>
      <c r="BX2176" t="str">
        <f>"14:26:36.242"</f>
        <v>14:26:36.242</v>
      </c>
      <c r="BY2176" t="str">
        <f>"240865899"</f>
        <v>240865899</v>
      </c>
      <c r="CL2176">
        <v>0</v>
      </c>
      <c r="CM2176">
        <v>2</v>
      </c>
      <c r="CN2176">
        <v>0</v>
      </c>
      <c r="CO2176">
        <v>2</v>
      </c>
      <c r="CP2176">
        <v>0</v>
      </c>
      <c r="CQ2176">
        <v>7</v>
      </c>
      <c r="CR2176" t="s">
        <v>116</v>
      </c>
      <c r="CS2176">
        <v>39</v>
      </c>
      <c r="CT2176">
        <v>2</v>
      </c>
      <c r="CU2176" t="s">
        <v>2259</v>
      </c>
      <c r="CV2176" t="s">
        <v>2260</v>
      </c>
      <c r="CY2176">
        <v>16774626</v>
      </c>
      <c r="CZ2176" t="s">
        <v>119</v>
      </c>
    </row>
    <row r="2177" spans="1:104" x14ac:dyDescent="0.25">
      <c r="A2177" t="str">
        <f>"14:26:37.508"</f>
        <v>14:26:37.508</v>
      </c>
      <c r="B2177" t="s">
        <v>108</v>
      </c>
      <c r="C2177" t="str">
        <f t="shared" si="100"/>
        <v>ffdfd3c0</v>
      </c>
      <c r="D2177" t="s">
        <v>109</v>
      </c>
      <c r="E2177">
        <v>4</v>
      </c>
      <c r="F2177">
        <v>1004</v>
      </c>
      <c r="G2177" t="s">
        <v>110</v>
      </c>
      <c r="J2177" t="s">
        <v>111</v>
      </c>
      <c r="K2177">
        <v>0</v>
      </c>
      <c r="L2177">
        <v>3</v>
      </c>
      <c r="M2177">
        <v>0</v>
      </c>
      <c r="N2177">
        <v>2</v>
      </c>
      <c r="O2177">
        <v>1</v>
      </c>
      <c r="P2177">
        <v>0</v>
      </c>
      <c r="Q2177">
        <v>0</v>
      </c>
      <c r="R2177" t="s">
        <v>112</v>
      </c>
      <c r="S2177" t="str">
        <f>"14:26:37.352"</f>
        <v>14:26:37.352</v>
      </c>
      <c r="T2177" t="str">
        <f>"14:26:36.852"</f>
        <v>14:26:36.852</v>
      </c>
      <c r="U2177" t="str">
        <f t="shared" si="99"/>
        <v>ad5732</v>
      </c>
      <c r="V2177">
        <v>0</v>
      </c>
      <c r="W2177">
        <v>0</v>
      </c>
      <c r="X2177">
        <v>1</v>
      </c>
      <c r="Z2177">
        <v>0</v>
      </c>
      <c r="AA2177">
        <v>9</v>
      </c>
      <c r="AB2177">
        <v>3</v>
      </c>
      <c r="AC2177">
        <v>0</v>
      </c>
      <c r="AD2177">
        <v>10</v>
      </c>
      <c r="AE2177">
        <v>0</v>
      </c>
      <c r="AF2177">
        <v>3</v>
      </c>
      <c r="AG2177">
        <v>2</v>
      </c>
      <c r="AH2177">
        <v>0</v>
      </c>
      <c r="AI2177" t="s">
        <v>4459</v>
      </c>
      <c r="AJ2177">
        <v>39.904597000000003</v>
      </c>
      <c r="AK2177" t="s">
        <v>4460</v>
      </c>
      <c r="AL2177">
        <v>-75.699792000000002</v>
      </c>
      <c r="AM2177">
        <v>100</v>
      </c>
      <c r="AN2177">
        <v>4700</v>
      </c>
      <c r="AO2177" t="s">
        <v>115</v>
      </c>
      <c r="AP2177">
        <v>161</v>
      </c>
      <c r="AQ2177">
        <v>82</v>
      </c>
      <c r="AR2177">
        <v>0</v>
      </c>
      <c r="AZ2177">
        <v>3614</v>
      </c>
      <c r="BA2177">
        <v>1</v>
      </c>
      <c r="BB2177" t="str">
        <f t="shared" si="101"/>
        <v xml:space="preserve">N959MJ  </v>
      </c>
      <c r="BC2177">
        <v>1</v>
      </c>
      <c r="BE2177">
        <v>0</v>
      </c>
      <c r="BF2177">
        <v>0</v>
      </c>
      <c r="BG2177">
        <v>0</v>
      </c>
      <c r="BH2177">
        <v>4900</v>
      </c>
      <c r="BI2177">
        <v>200</v>
      </c>
      <c r="BJ2177">
        <v>1</v>
      </c>
      <c r="BK2177">
        <v>1</v>
      </c>
      <c r="BL2177">
        <v>1</v>
      </c>
      <c r="BM2177">
        <v>0</v>
      </c>
      <c r="BP2177">
        <v>0</v>
      </c>
      <c r="BQ2177">
        <v>0</v>
      </c>
      <c r="BX2177" t="str">
        <f>"14:26:37.352"</f>
        <v>14:26:37.352</v>
      </c>
      <c r="BY2177" t="str">
        <f>"351719763"</f>
        <v>351719763</v>
      </c>
      <c r="CL2177">
        <v>0</v>
      </c>
      <c r="CM2177">
        <v>2</v>
      </c>
      <c r="CN2177">
        <v>0</v>
      </c>
      <c r="CO2177">
        <v>2</v>
      </c>
      <c r="CP2177">
        <v>0</v>
      </c>
      <c r="CQ2177">
        <v>7</v>
      </c>
      <c r="CR2177" t="s">
        <v>116</v>
      </c>
      <c r="CS2177">
        <v>39</v>
      </c>
      <c r="CT2177">
        <v>2</v>
      </c>
      <c r="CU2177" t="s">
        <v>2259</v>
      </c>
      <c r="CV2177" t="s">
        <v>2260</v>
      </c>
      <c r="CY2177">
        <v>16776349</v>
      </c>
      <c r="CZ2177" t="s">
        <v>119</v>
      </c>
    </row>
    <row r="2178" spans="1:104" x14ac:dyDescent="0.25">
      <c r="A2178" t="str">
        <f>"14:26:38.469"</f>
        <v>14:26:38.469</v>
      </c>
      <c r="B2178" t="s">
        <v>108</v>
      </c>
      <c r="C2178" t="str">
        <f t="shared" si="100"/>
        <v>ffdfd3c0</v>
      </c>
      <c r="D2178" t="s">
        <v>109</v>
      </c>
      <c r="E2178">
        <v>4</v>
      </c>
      <c r="F2178">
        <v>1004</v>
      </c>
      <c r="G2178" t="s">
        <v>110</v>
      </c>
      <c r="J2178" t="s">
        <v>111</v>
      </c>
      <c r="K2178">
        <v>0</v>
      </c>
      <c r="L2178">
        <v>3</v>
      </c>
      <c r="M2178">
        <v>0</v>
      </c>
      <c r="N2178">
        <v>2</v>
      </c>
      <c r="O2178">
        <v>1</v>
      </c>
      <c r="P2178">
        <v>0</v>
      </c>
      <c r="Q2178">
        <v>0</v>
      </c>
      <c r="R2178" t="s">
        <v>112</v>
      </c>
      <c r="S2178" t="str">
        <f>"14:26:38.234"</f>
        <v>14:26:38.234</v>
      </c>
      <c r="T2178" t="str">
        <f>"14:26:37.836"</f>
        <v>14:26:37.836</v>
      </c>
      <c r="U2178" t="str">
        <f t="shared" ref="U2178:U2241" si="102">"ad5732"</f>
        <v>ad5732</v>
      </c>
      <c r="V2178">
        <v>0</v>
      </c>
      <c r="W2178">
        <v>0</v>
      </c>
      <c r="X2178">
        <v>1</v>
      </c>
      <c r="Z2178">
        <v>0</v>
      </c>
      <c r="AA2178">
        <v>9</v>
      </c>
      <c r="AB2178">
        <v>3</v>
      </c>
      <c r="AC2178">
        <v>0</v>
      </c>
      <c r="AD2178">
        <v>10</v>
      </c>
      <c r="AE2178">
        <v>0</v>
      </c>
      <c r="AF2178">
        <v>3</v>
      </c>
      <c r="AG2178">
        <v>2</v>
      </c>
      <c r="AH2178">
        <v>0</v>
      </c>
      <c r="AI2178" t="s">
        <v>4461</v>
      </c>
      <c r="AJ2178">
        <v>39.904896999999998</v>
      </c>
      <c r="AK2178" t="s">
        <v>4462</v>
      </c>
      <c r="AL2178">
        <v>-75.698912000000007</v>
      </c>
      <c r="AM2178">
        <v>100</v>
      </c>
      <c r="AN2178">
        <v>4700</v>
      </c>
      <c r="AO2178" t="s">
        <v>115</v>
      </c>
      <c r="AP2178">
        <v>161</v>
      </c>
      <c r="AQ2178">
        <v>82</v>
      </c>
      <c r="AR2178">
        <v>0</v>
      </c>
      <c r="AZ2178">
        <v>3614</v>
      </c>
      <c r="BA2178">
        <v>1</v>
      </c>
      <c r="BB2178" t="str">
        <f t="shared" si="101"/>
        <v xml:space="preserve">N959MJ  </v>
      </c>
      <c r="BC2178">
        <v>1</v>
      </c>
      <c r="BE2178">
        <v>0</v>
      </c>
      <c r="BF2178">
        <v>0</v>
      </c>
      <c r="BG2178">
        <v>0</v>
      </c>
      <c r="BH2178">
        <v>4900</v>
      </c>
      <c r="BI2178">
        <v>200</v>
      </c>
      <c r="BJ2178">
        <v>1</v>
      </c>
      <c r="BK2178">
        <v>1</v>
      </c>
      <c r="BL2178">
        <v>1</v>
      </c>
      <c r="BM2178">
        <v>0</v>
      </c>
      <c r="BP2178">
        <v>0</v>
      </c>
      <c r="BQ2178">
        <v>0</v>
      </c>
      <c r="BX2178" t="str">
        <f>"14:26:38.242"</f>
        <v>14:26:38.242</v>
      </c>
      <c r="BY2178" t="str">
        <f>"241385991"</f>
        <v>241385991</v>
      </c>
      <c r="CL2178">
        <v>0</v>
      </c>
      <c r="CM2178">
        <v>2</v>
      </c>
      <c r="CN2178">
        <v>0</v>
      </c>
      <c r="CO2178">
        <v>2</v>
      </c>
      <c r="CP2178">
        <v>0</v>
      </c>
      <c r="CQ2178">
        <v>7</v>
      </c>
      <c r="CR2178" t="s">
        <v>116</v>
      </c>
      <c r="CS2178">
        <v>39</v>
      </c>
      <c r="CT2178">
        <v>1</v>
      </c>
      <c r="CU2178" t="s">
        <v>2259</v>
      </c>
      <c r="CV2178" t="s">
        <v>2260</v>
      </c>
      <c r="CY2178">
        <v>8763820</v>
      </c>
      <c r="CZ2178" t="s">
        <v>119</v>
      </c>
    </row>
    <row r="2179" spans="1:104" x14ac:dyDescent="0.25">
      <c r="A2179" t="str">
        <f>"14:26:39.477"</f>
        <v>14:26:39.477</v>
      </c>
      <c r="B2179" t="s">
        <v>108</v>
      </c>
      <c r="C2179" t="str">
        <f t="shared" si="100"/>
        <v>ffdfd3c0</v>
      </c>
      <c r="D2179" t="s">
        <v>109</v>
      </c>
      <c r="E2179">
        <v>4</v>
      </c>
      <c r="F2179">
        <v>1004</v>
      </c>
      <c r="G2179" t="s">
        <v>110</v>
      </c>
      <c r="J2179" t="s">
        <v>111</v>
      </c>
      <c r="K2179">
        <v>0</v>
      </c>
      <c r="L2179">
        <v>3</v>
      </c>
      <c r="M2179">
        <v>0</v>
      </c>
      <c r="N2179">
        <v>2</v>
      </c>
      <c r="O2179">
        <v>1</v>
      </c>
      <c r="P2179">
        <v>0</v>
      </c>
      <c r="Q2179">
        <v>0</v>
      </c>
      <c r="R2179" t="s">
        <v>112</v>
      </c>
      <c r="S2179" t="str">
        <f>"14:26:39.305"</f>
        <v>14:26:39.305</v>
      </c>
      <c r="T2179" t="str">
        <f>"14:26:38.805"</f>
        <v>14:26:38.805</v>
      </c>
      <c r="U2179" t="str">
        <f t="shared" si="102"/>
        <v>ad5732</v>
      </c>
      <c r="V2179">
        <v>0</v>
      </c>
      <c r="W2179">
        <v>0</v>
      </c>
      <c r="X2179">
        <v>1</v>
      </c>
      <c r="Z2179">
        <v>0</v>
      </c>
      <c r="AA2179">
        <v>9</v>
      </c>
      <c r="AB2179">
        <v>3</v>
      </c>
      <c r="AC2179">
        <v>0</v>
      </c>
      <c r="AD2179">
        <v>10</v>
      </c>
      <c r="AE2179">
        <v>0</v>
      </c>
      <c r="AF2179">
        <v>3</v>
      </c>
      <c r="AG2179">
        <v>2</v>
      </c>
      <c r="AH2179">
        <v>0</v>
      </c>
      <c r="AI2179" t="s">
        <v>4463</v>
      </c>
      <c r="AJ2179">
        <v>39.905326000000002</v>
      </c>
      <c r="AK2179" t="s">
        <v>4464</v>
      </c>
      <c r="AL2179">
        <v>-75.697882000000007</v>
      </c>
      <c r="AM2179">
        <v>100</v>
      </c>
      <c r="AN2179">
        <v>4700</v>
      </c>
      <c r="AO2179" t="s">
        <v>115</v>
      </c>
      <c r="AP2179">
        <v>161</v>
      </c>
      <c r="AQ2179">
        <v>82</v>
      </c>
      <c r="AR2179">
        <v>0</v>
      </c>
      <c r="AZ2179">
        <v>3614</v>
      </c>
      <c r="BA2179">
        <v>1</v>
      </c>
      <c r="BB2179" t="str">
        <f t="shared" si="101"/>
        <v xml:space="preserve">N959MJ  </v>
      </c>
      <c r="BC2179">
        <v>1</v>
      </c>
      <c r="BE2179">
        <v>0</v>
      </c>
      <c r="BF2179">
        <v>0</v>
      </c>
      <c r="BG2179">
        <v>0</v>
      </c>
      <c r="BH2179">
        <v>4900</v>
      </c>
      <c r="BI2179">
        <v>200</v>
      </c>
      <c r="BJ2179">
        <v>1</v>
      </c>
      <c r="BK2179">
        <v>1</v>
      </c>
      <c r="BL2179">
        <v>1</v>
      </c>
      <c r="BM2179">
        <v>0</v>
      </c>
      <c r="BP2179">
        <v>0</v>
      </c>
      <c r="BQ2179">
        <v>0</v>
      </c>
      <c r="BX2179" t="str">
        <f>"14:26:39.313"</f>
        <v>14:26:39.313</v>
      </c>
      <c r="BY2179" t="str">
        <f>"311279248"</f>
        <v>311279248</v>
      </c>
      <c r="CL2179">
        <v>0</v>
      </c>
      <c r="CM2179">
        <v>2</v>
      </c>
      <c r="CN2179">
        <v>0</v>
      </c>
      <c r="CO2179">
        <v>2</v>
      </c>
      <c r="CP2179">
        <v>0</v>
      </c>
      <c r="CQ2179">
        <v>7</v>
      </c>
      <c r="CR2179" t="s">
        <v>116</v>
      </c>
      <c r="CS2179">
        <v>39</v>
      </c>
      <c r="CT2179">
        <v>1</v>
      </c>
      <c r="CU2179" t="s">
        <v>2259</v>
      </c>
      <c r="CV2179" t="s">
        <v>2260</v>
      </c>
      <c r="CY2179">
        <v>8765485</v>
      </c>
      <c r="CZ2179" t="s">
        <v>119</v>
      </c>
    </row>
    <row r="2180" spans="1:104" x14ac:dyDescent="0.25">
      <c r="A2180" t="str">
        <f>"14:26:40.539"</f>
        <v>14:26:40.539</v>
      </c>
      <c r="B2180" t="s">
        <v>108</v>
      </c>
      <c r="C2180" t="str">
        <f t="shared" si="100"/>
        <v>ffdfd3c0</v>
      </c>
      <c r="D2180" t="s">
        <v>109</v>
      </c>
      <c r="E2180">
        <v>4</v>
      </c>
      <c r="F2180">
        <v>1004</v>
      </c>
      <c r="G2180" t="s">
        <v>110</v>
      </c>
      <c r="J2180" t="s">
        <v>111</v>
      </c>
      <c r="K2180">
        <v>0</v>
      </c>
      <c r="L2180">
        <v>3</v>
      </c>
      <c r="M2180">
        <v>0</v>
      </c>
      <c r="N2180">
        <v>2</v>
      </c>
      <c r="O2180">
        <v>1</v>
      </c>
      <c r="P2180">
        <v>0</v>
      </c>
      <c r="Q2180">
        <v>0</v>
      </c>
      <c r="R2180" t="s">
        <v>112</v>
      </c>
      <c r="S2180" t="str">
        <f>"14:26:40.328"</f>
        <v>14:26:40.328</v>
      </c>
      <c r="T2180" t="str">
        <f>"14:26:39.930"</f>
        <v>14:26:39.930</v>
      </c>
      <c r="U2180" t="str">
        <f t="shared" si="102"/>
        <v>ad5732</v>
      </c>
      <c r="V2180">
        <v>0</v>
      </c>
      <c r="W2180">
        <v>0</v>
      </c>
      <c r="X2180">
        <v>1</v>
      </c>
      <c r="Z2180">
        <v>0</v>
      </c>
      <c r="AA2180">
        <v>9</v>
      </c>
      <c r="AB2180">
        <v>3</v>
      </c>
      <c r="AC2180">
        <v>0</v>
      </c>
      <c r="AD2180">
        <v>10</v>
      </c>
      <c r="AE2180">
        <v>0</v>
      </c>
      <c r="AF2180">
        <v>3</v>
      </c>
      <c r="AG2180">
        <v>2</v>
      </c>
      <c r="AH2180">
        <v>0</v>
      </c>
      <c r="AI2180" t="s">
        <v>4465</v>
      </c>
      <c r="AJ2180">
        <v>39.905734000000002</v>
      </c>
      <c r="AK2180" t="s">
        <v>4466</v>
      </c>
      <c r="AL2180">
        <v>-75.696873999999994</v>
      </c>
      <c r="AM2180">
        <v>100</v>
      </c>
      <c r="AN2180">
        <v>4700</v>
      </c>
      <c r="AO2180" t="s">
        <v>115</v>
      </c>
      <c r="AP2180">
        <v>161</v>
      </c>
      <c r="AQ2180">
        <v>82</v>
      </c>
      <c r="AR2180">
        <v>0</v>
      </c>
      <c r="AZ2180">
        <v>3614</v>
      </c>
      <c r="BA2180">
        <v>1</v>
      </c>
      <c r="BB2180" t="str">
        <f t="shared" si="101"/>
        <v xml:space="preserve">N959MJ  </v>
      </c>
      <c r="BC2180">
        <v>1</v>
      </c>
      <c r="BE2180">
        <v>0</v>
      </c>
      <c r="BF2180">
        <v>0</v>
      </c>
      <c r="BG2180">
        <v>0</v>
      </c>
      <c r="BH2180">
        <v>4900</v>
      </c>
      <c r="BI2180">
        <v>200</v>
      </c>
      <c r="BJ2180">
        <v>1</v>
      </c>
      <c r="BK2180">
        <v>1</v>
      </c>
      <c r="BL2180">
        <v>1</v>
      </c>
      <c r="BM2180">
        <v>0</v>
      </c>
      <c r="BP2180">
        <v>0</v>
      </c>
      <c r="BQ2180">
        <v>0</v>
      </c>
      <c r="BX2180" t="str">
        <f>"14:26:40.336"</f>
        <v>14:26:40.336</v>
      </c>
      <c r="BY2180" t="str">
        <f>"333657993"</f>
        <v>333657993</v>
      </c>
      <c r="CL2180">
        <v>0</v>
      </c>
      <c r="CM2180">
        <v>2</v>
      </c>
      <c r="CN2180">
        <v>0</v>
      </c>
      <c r="CO2180">
        <v>2</v>
      </c>
      <c r="CP2180">
        <v>0</v>
      </c>
      <c r="CQ2180">
        <v>7</v>
      </c>
      <c r="CR2180" t="s">
        <v>116</v>
      </c>
      <c r="CS2180">
        <v>39</v>
      </c>
      <c r="CT2180">
        <v>2</v>
      </c>
      <c r="CU2180" t="s">
        <v>2259</v>
      </c>
      <c r="CV2180" t="s">
        <v>2260</v>
      </c>
      <c r="CY2180">
        <v>4343</v>
      </c>
      <c r="CZ2180" t="s">
        <v>119</v>
      </c>
    </row>
    <row r="2181" spans="1:104" x14ac:dyDescent="0.25">
      <c r="A2181" t="str">
        <f>"14:26:41.750"</f>
        <v>14:26:41.750</v>
      </c>
      <c r="B2181" t="s">
        <v>108</v>
      </c>
      <c r="C2181" t="str">
        <f t="shared" si="100"/>
        <v>ffdfd3c0</v>
      </c>
      <c r="D2181" t="s">
        <v>109</v>
      </c>
      <c r="E2181">
        <v>4</v>
      </c>
      <c r="F2181">
        <v>1004</v>
      </c>
      <c r="G2181" t="s">
        <v>110</v>
      </c>
      <c r="J2181" t="s">
        <v>111</v>
      </c>
      <c r="K2181">
        <v>0</v>
      </c>
      <c r="L2181">
        <v>3</v>
      </c>
      <c r="M2181">
        <v>0</v>
      </c>
      <c r="N2181">
        <v>2</v>
      </c>
      <c r="O2181">
        <v>1</v>
      </c>
      <c r="P2181">
        <v>0</v>
      </c>
      <c r="Q2181">
        <v>0</v>
      </c>
      <c r="R2181" t="s">
        <v>112</v>
      </c>
      <c r="S2181" t="str">
        <f>"14:26:41.516"</f>
        <v>14:26:41.516</v>
      </c>
      <c r="T2181" t="str">
        <f>"14:26:41.016"</f>
        <v>14:26:41.016</v>
      </c>
      <c r="U2181" t="str">
        <f t="shared" si="102"/>
        <v>ad5732</v>
      </c>
      <c r="V2181">
        <v>0</v>
      </c>
      <c r="W2181">
        <v>0</v>
      </c>
      <c r="X2181">
        <v>1</v>
      </c>
      <c r="Z2181">
        <v>0</v>
      </c>
      <c r="AA2181">
        <v>9</v>
      </c>
      <c r="AB2181">
        <v>3</v>
      </c>
      <c r="AC2181">
        <v>0</v>
      </c>
      <c r="AD2181">
        <v>10</v>
      </c>
      <c r="AE2181">
        <v>0</v>
      </c>
      <c r="AF2181">
        <v>3</v>
      </c>
      <c r="AG2181">
        <v>2</v>
      </c>
      <c r="AH2181">
        <v>0</v>
      </c>
      <c r="AI2181" t="s">
        <v>4467</v>
      </c>
      <c r="AJ2181">
        <v>39.906185000000001</v>
      </c>
      <c r="AK2181" t="s">
        <v>4468</v>
      </c>
      <c r="AL2181">
        <v>-75.695735999999997</v>
      </c>
      <c r="AM2181">
        <v>100</v>
      </c>
      <c r="AN2181">
        <v>4700</v>
      </c>
      <c r="AO2181" t="s">
        <v>115</v>
      </c>
      <c r="AP2181">
        <v>162</v>
      </c>
      <c r="AQ2181">
        <v>82</v>
      </c>
      <c r="AR2181">
        <v>0</v>
      </c>
      <c r="AZ2181">
        <v>3614</v>
      </c>
      <c r="BA2181">
        <v>1</v>
      </c>
      <c r="BB2181" t="str">
        <f t="shared" si="101"/>
        <v xml:space="preserve">N959MJ  </v>
      </c>
      <c r="BC2181">
        <v>1</v>
      </c>
      <c r="BE2181">
        <v>0</v>
      </c>
      <c r="BF2181">
        <v>0</v>
      </c>
      <c r="BG2181">
        <v>0</v>
      </c>
      <c r="BH2181">
        <v>4900</v>
      </c>
      <c r="BI2181">
        <v>200</v>
      </c>
      <c r="BJ2181">
        <v>1</v>
      </c>
      <c r="BK2181">
        <v>1</v>
      </c>
      <c r="BL2181">
        <v>1</v>
      </c>
      <c r="BM2181">
        <v>0</v>
      </c>
      <c r="BP2181">
        <v>0</v>
      </c>
      <c r="BQ2181">
        <v>0</v>
      </c>
      <c r="BX2181" t="str">
        <f>"14:26:41.516"</f>
        <v>14:26:41.516</v>
      </c>
      <c r="BY2181" t="str">
        <f>"516602762"</f>
        <v>516602762</v>
      </c>
      <c r="CL2181">
        <v>0</v>
      </c>
      <c r="CM2181">
        <v>2</v>
      </c>
      <c r="CN2181">
        <v>0</v>
      </c>
      <c r="CO2181">
        <v>2</v>
      </c>
      <c r="CP2181">
        <v>0</v>
      </c>
      <c r="CQ2181">
        <v>7</v>
      </c>
      <c r="CR2181" t="s">
        <v>116</v>
      </c>
      <c r="CS2181">
        <v>39</v>
      </c>
      <c r="CT2181">
        <v>1</v>
      </c>
      <c r="CU2181" t="s">
        <v>2259</v>
      </c>
      <c r="CV2181" t="s">
        <v>2260</v>
      </c>
      <c r="CY2181">
        <v>8768792</v>
      </c>
      <c r="CZ2181" t="s">
        <v>119</v>
      </c>
    </row>
    <row r="2182" spans="1:104" x14ac:dyDescent="0.25">
      <c r="A2182" t="str">
        <f>"14:26:42.711"</f>
        <v>14:26:42.711</v>
      </c>
      <c r="B2182" t="s">
        <v>108</v>
      </c>
      <c r="C2182" t="str">
        <f t="shared" si="100"/>
        <v>ffdfd3c0</v>
      </c>
      <c r="D2182" t="s">
        <v>109</v>
      </c>
      <c r="E2182">
        <v>4</v>
      </c>
      <c r="F2182">
        <v>1004</v>
      </c>
      <c r="G2182" t="s">
        <v>110</v>
      </c>
      <c r="J2182" t="s">
        <v>111</v>
      </c>
      <c r="K2182">
        <v>0</v>
      </c>
      <c r="L2182">
        <v>3</v>
      </c>
      <c r="M2182">
        <v>0</v>
      </c>
      <c r="N2182">
        <v>2</v>
      </c>
      <c r="O2182">
        <v>1</v>
      </c>
      <c r="P2182">
        <v>0</v>
      </c>
      <c r="Q2182">
        <v>0</v>
      </c>
      <c r="R2182" t="s">
        <v>112</v>
      </c>
      <c r="S2182" t="str">
        <f>"14:26:42.523"</f>
        <v>14:26:42.523</v>
      </c>
      <c r="T2182" t="str">
        <f>"14:26:42.023"</f>
        <v>14:26:42.023</v>
      </c>
      <c r="U2182" t="str">
        <f t="shared" si="102"/>
        <v>ad5732</v>
      </c>
      <c r="V2182">
        <v>0</v>
      </c>
      <c r="W2182">
        <v>0</v>
      </c>
      <c r="X2182">
        <v>1</v>
      </c>
      <c r="Z2182">
        <v>0</v>
      </c>
      <c r="AA2182">
        <v>9</v>
      </c>
      <c r="AB2182">
        <v>3</v>
      </c>
      <c r="AC2182">
        <v>0</v>
      </c>
      <c r="AD2182">
        <v>10</v>
      </c>
      <c r="AE2182">
        <v>0</v>
      </c>
      <c r="AF2182">
        <v>3</v>
      </c>
      <c r="AG2182">
        <v>2</v>
      </c>
      <c r="AH2182">
        <v>0</v>
      </c>
      <c r="AI2182" t="s">
        <v>4469</v>
      </c>
      <c r="AJ2182">
        <v>39.906548999999998</v>
      </c>
      <c r="AK2182" t="s">
        <v>4470</v>
      </c>
      <c r="AL2182">
        <v>-75.694792000000007</v>
      </c>
      <c r="AM2182">
        <v>100</v>
      </c>
      <c r="AN2182">
        <v>4700</v>
      </c>
      <c r="AO2182" t="s">
        <v>115</v>
      </c>
      <c r="AP2182">
        <v>162</v>
      </c>
      <c r="AQ2182">
        <v>82</v>
      </c>
      <c r="AR2182">
        <v>0</v>
      </c>
      <c r="AZ2182">
        <v>3614</v>
      </c>
      <c r="BA2182">
        <v>1</v>
      </c>
      <c r="BB2182" t="str">
        <f t="shared" si="101"/>
        <v xml:space="preserve">N959MJ  </v>
      </c>
      <c r="BC2182">
        <v>1</v>
      </c>
      <c r="BE2182">
        <v>0</v>
      </c>
      <c r="BF2182">
        <v>0</v>
      </c>
      <c r="BG2182">
        <v>0</v>
      </c>
      <c r="BH2182">
        <v>4900</v>
      </c>
      <c r="BI2182">
        <v>200</v>
      </c>
      <c r="BJ2182">
        <v>1</v>
      </c>
      <c r="BK2182">
        <v>1</v>
      </c>
      <c r="BL2182">
        <v>1</v>
      </c>
      <c r="BM2182">
        <v>0</v>
      </c>
      <c r="BP2182">
        <v>0</v>
      </c>
      <c r="BQ2182">
        <v>0</v>
      </c>
      <c r="BX2182" t="str">
        <f>"14:26:42.523"</f>
        <v>14:26:42.523</v>
      </c>
      <c r="BY2182" t="str">
        <f>"525874163"</f>
        <v>525874163</v>
      </c>
      <c r="CL2182">
        <v>0</v>
      </c>
      <c r="CM2182">
        <v>2</v>
      </c>
      <c r="CN2182">
        <v>0</v>
      </c>
      <c r="CO2182">
        <v>2</v>
      </c>
      <c r="CP2182">
        <v>0</v>
      </c>
      <c r="CQ2182">
        <v>7</v>
      </c>
      <c r="CR2182" t="s">
        <v>116</v>
      </c>
      <c r="CS2182">
        <v>39</v>
      </c>
      <c r="CT2182">
        <v>1</v>
      </c>
      <c r="CU2182" t="s">
        <v>2259</v>
      </c>
      <c r="CV2182" t="s">
        <v>2260</v>
      </c>
      <c r="CY2182">
        <v>8770258</v>
      </c>
      <c r="CZ2182" t="s">
        <v>119</v>
      </c>
    </row>
    <row r="2183" spans="1:104" x14ac:dyDescent="0.25">
      <c r="A2183" t="str">
        <f>"14:26:43.820"</f>
        <v>14:26:43.820</v>
      </c>
      <c r="B2183" t="s">
        <v>108</v>
      </c>
      <c r="C2183" t="str">
        <f t="shared" si="100"/>
        <v>ffdfd3c0</v>
      </c>
      <c r="D2183" t="s">
        <v>109</v>
      </c>
      <c r="E2183">
        <v>4</v>
      </c>
      <c r="F2183">
        <v>1004</v>
      </c>
      <c r="G2183" t="s">
        <v>110</v>
      </c>
      <c r="J2183" t="s">
        <v>111</v>
      </c>
      <c r="K2183">
        <v>0</v>
      </c>
      <c r="L2183">
        <v>3</v>
      </c>
      <c r="M2183">
        <v>0</v>
      </c>
      <c r="N2183">
        <v>2</v>
      </c>
      <c r="O2183">
        <v>1</v>
      </c>
      <c r="P2183">
        <v>0</v>
      </c>
      <c r="Q2183">
        <v>0</v>
      </c>
      <c r="R2183" t="s">
        <v>112</v>
      </c>
      <c r="S2183" t="str">
        <f>"14:26:43.664"</f>
        <v>14:26:43.664</v>
      </c>
      <c r="T2183" t="str">
        <f>"14:26:43.164"</f>
        <v>14:26:43.164</v>
      </c>
      <c r="U2183" t="str">
        <f t="shared" si="102"/>
        <v>ad5732</v>
      </c>
      <c r="V2183">
        <v>0</v>
      </c>
      <c r="W2183">
        <v>0</v>
      </c>
      <c r="X2183">
        <v>1</v>
      </c>
      <c r="Z2183">
        <v>0</v>
      </c>
      <c r="AA2183">
        <v>9</v>
      </c>
      <c r="AB2183">
        <v>3</v>
      </c>
      <c r="AC2183">
        <v>0</v>
      </c>
      <c r="AD2183">
        <v>10</v>
      </c>
      <c r="AE2183">
        <v>0</v>
      </c>
      <c r="AF2183">
        <v>3</v>
      </c>
      <c r="AG2183">
        <v>2</v>
      </c>
      <c r="AH2183">
        <v>0</v>
      </c>
      <c r="AI2183" t="s">
        <v>4471</v>
      </c>
      <c r="AJ2183">
        <v>39.906956999999998</v>
      </c>
      <c r="AK2183" t="s">
        <v>4472</v>
      </c>
      <c r="AL2183">
        <v>-75.693719000000002</v>
      </c>
      <c r="AM2183">
        <v>100</v>
      </c>
      <c r="AN2183">
        <v>4700</v>
      </c>
      <c r="AO2183" t="s">
        <v>115</v>
      </c>
      <c r="AP2183">
        <v>162</v>
      </c>
      <c r="AQ2183">
        <v>82</v>
      </c>
      <c r="AR2183">
        <v>0</v>
      </c>
      <c r="AZ2183">
        <v>3614</v>
      </c>
      <c r="BA2183">
        <v>1</v>
      </c>
      <c r="BB2183" t="str">
        <f t="shared" si="101"/>
        <v xml:space="preserve">N959MJ  </v>
      </c>
      <c r="BC2183">
        <v>1</v>
      </c>
      <c r="BE2183">
        <v>0</v>
      </c>
      <c r="BF2183">
        <v>0</v>
      </c>
      <c r="BG2183">
        <v>0</v>
      </c>
      <c r="BH2183">
        <v>4900</v>
      </c>
      <c r="BI2183">
        <v>200</v>
      </c>
      <c r="BJ2183">
        <v>1</v>
      </c>
      <c r="BK2183">
        <v>1</v>
      </c>
      <c r="BL2183">
        <v>1</v>
      </c>
      <c r="BM2183">
        <v>0</v>
      </c>
      <c r="BP2183">
        <v>0</v>
      </c>
      <c r="BQ2183">
        <v>0</v>
      </c>
      <c r="BX2183" t="str">
        <f>"14:26:43.664"</f>
        <v>14:26:43.664</v>
      </c>
      <c r="BY2183" t="str">
        <f>"666219783"</f>
        <v>666219783</v>
      </c>
      <c r="CL2183">
        <v>0</v>
      </c>
      <c r="CM2183">
        <v>2</v>
      </c>
      <c r="CN2183">
        <v>0</v>
      </c>
      <c r="CO2183">
        <v>2</v>
      </c>
      <c r="CP2183">
        <v>0</v>
      </c>
      <c r="CQ2183">
        <v>7</v>
      </c>
      <c r="CR2183" t="s">
        <v>116</v>
      </c>
      <c r="CS2183">
        <v>39</v>
      </c>
      <c r="CT2183">
        <v>3</v>
      </c>
      <c r="CU2183" t="s">
        <v>2259</v>
      </c>
      <c r="CV2183" t="s">
        <v>2260</v>
      </c>
      <c r="CY2183">
        <v>10769581</v>
      </c>
      <c r="CZ2183" t="s">
        <v>119</v>
      </c>
    </row>
    <row r="2184" spans="1:104" x14ac:dyDescent="0.25">
      <c r="A2184" t="str">
        <f>"14:26:44.977"</f>
        <v>14:26:44.977</v>
      </c>
      <c r="B2184" t="s">
        <v>108</v>
      </c>
      <c r="C2184" t="str">
        <f t="shared" si="100"/>
        <v>ffdfd3c0</v>
      </c>
      <c r="D2184" t="s">
        <v>109</v>
      </c>
      <c r="E2184">
        <v>4</v>
      </c>
      <c r="F2184">
        <v>1004</v>
      </c>
      <c r="G2184" t="s">
        <v>110</v>
      </c>
      <c r="J2184" t="s">
        <v>111</v>
      </c>
      <c r="K2184">
        <v>0</v>
      </c>
      <c r="L2184">
        <v>3</v>
      </c>
      <c r="M2184">
        <v>0</v>
      </c>
      <c r="N2184">
        <v>2</v>
      </c>
      <c r="O2184">
        <v>1</v>
      </c>
      <c r="P2184">
        <v>0</v>
      </c>
      <c r="Q2184">
        <v>0</v>
      </c>
      <c r="R2184" t="s">
        <v>112</v>
      </c>
      <c r="S2184" t="str">
        <f>"14:26:44.797"</f>
        <v>14:26:44.797</v>
      </c>
      <c r="T2184" t="str">
        <f>"14:26:44.297"</f>
        <v>14:26:44.297</v>
      </c>
      <c r="U2184" t="str">
        <f t="shared" si="102"/>
        <v>ad5732</v>
      </c>
      <c r="V2184">
        <v>0</v>
      </c>
      <c r="W2184">
        <v>0</v>
      </c>
      <c r="X2184">
        <v>1</v>
      </c>
      <c r="Z2184">
        <v>0</v>
      </c>
      <c r="AA2184">
        <v>9</v>
      </c>
      <c r="AB2184">
        <v>3</v>
      </c>
      <c r="AC2184">
        <v>0</v>
      </c>
      <c r="AD2184">
        <v>10</v>
      </c>
      <c r="AE2184">
        <v>0</v>
      </c>
      <c r="AF2184">
        <v>3</v>
      </c>
      <c r="AG2184">
        <v>2</v>
      </c>
      <c r="AH2184">
        <v>0</v>
      </c>
      <c r="AI2184" t="s">
        <v>4473</v>
      </c>
      <c r="AJ2184">
        <v>39.907386000000002</v>
      </c>
      <c r="AK2184" t="s">
        <v>4474</v>
      </c>
      <c r="AL2184">
        <v>-75.692646999999994</v>
      </c>
      <c r="AM2184">
        <v>100</v>
      </c>
      <c r="AN2184">
        <v>4700</v>
      </c>
      <c r="AO2184" t="s">
        <v>115</v>
      </c>
      <c r="AP2184">
        <v>162</v>
      </c>
      <c r="AQ2184">
        <v>82</v>
      </c>
      <c r="AR2184">
        <v>0</v>
      </c>
      <c r="AZ2184">
        <v>3614</v>
      </c>
      <c r="BA2184">
        <v>1</v>
      </c>
      <c r="BB2184" t="str">
        <f t="shared" si="101"/>
        <v xml:space="preserve">N959MJ  </v>
      </c>
      <c r="BC2184">
        <v>1</v>
      </c>
      <c r="BE2184">
        <v>0</v>
      </c>
      <c r="BF2184">
        <v>0</v>
      </c>
      <c r="BG2184">
        <v>0</v>
      </c>
      <c r="BH2184">
        <v>4900</v>
      </c>
      <c r="BI2184">
        <v>200</v>
      </c>
      <c r="BJ2184">
        <v>1</v>
      </c>
      <c r="BK2184">
        <v>1</v>
      </c>
      <c r="BL2184">
        <v>1</v>
      </c>
      <c r="BM2184">
        <v>0</v>
      </c>
      <c r="BP2184">
        <v>0</v>
      </c>
      <c r="BQ2184">
        <v>0</v>
      </c>
      <c r="BX2184" t="str">
        <f>"14:26:44.805"</f>
        <v>14:26:44.805</v>
      </c>
      <c r="BY2184" t="str">
        <f>"801650118"</f>
        <v>801650118</v>
      </c>
      <c r="CL2184">
        <v>0</v>
      </c>
      <c r="CM2184">
        <v>2</v>
      </c>
      <c r="CN2184">
        <v>0</v>
      </c>
      <c r="CO2184">
        <v>2</v>
      </c>
      <c r="CP2184">
        <v>0</v>
      </c>
      <c r="CQ2184">
        <v>7</v>
      </c>
      <c r="CR2184" t="s">
        <v>116</v>
      </c>
      <c r="CS2184">
        <v>39</v>
      </c>
      <c r="CT2184">
        <v>3</v>
      </c>
      <c r="CU2184" t="s">
        <v>2259</v>
      </c>
      <c r="CV2184" t="s">
        <v>2260</v>
      </c>
      <c r="CY2184">
        <v>10771597</v>
      </c>
      <c r="CZ2184" t="s">
        <v>119</v>
      </c>
    </row>
    <row r="2185" spans="1:104" x14ac:dyDescent="0.25">
      <c r="A2185" t="str">
        <f>"14:26:45.891"</f>
        <v>14:26:45.891</v>
      </c>
      <c r="B2185" t="s">
        <v>108</v>
      </c>
      <c r="C2185" t="str">
        <f t="shared" si="100"/>
        <v>ffdfd3c0</v>
      </c>
      <c r="D2185" t="s">
        <v>109</v>
      </c>
      <c r="E2185">
        <v>4</v>
      </c>
      <c r="F2185">
        <v>1004</v>
      </c>
      <c r="G2185" t="s">
        <v>110</v>
      </c>
      <c r="J2185" t="s">
        <v>111</v>
      </c>
      <c r="K2185">
        <v>0</v>
      </c>
      <c r="L2185">
        <v>3</v>
      </c>
      <c r="M2185">
        <v>0</v>
      </c>
      <c r="N2185">
        <v>2</v>
      </c>
      <c r="O2185">
        <v>1</v>
      </c>
      <c r="P2185">
        <v>0</v>
      </c>
      <c r="Q2185">
        <v>0</v>
      </c>
      <c r="R2185" t="s">
        <v>112</v>
      </c>
      <c r="S2185" t="str">
        <f>"14:26:45.688"</f>
        <v>14:26:45.688</v>
      </c>
      <c r="T2185" t="str">
        <f>"14:26:45.289"</f>
        <v>14:26:45.289</v>
      </c>
      <c r="U2185" t="str">
        <f t="shared" si="102"/>
        <v>ad5732</v>
      </c>
      <c r="V2185">
        <v>0</v>
      </c>
      <c r="W2185">
        <v>0</v>
      </c>
      <c r="X2185">
        <v>1</v>
      </c>
      <c r="Z2185">
        <v>0</v>
      </c>
      <c r="AA2185">
        <v>9</v>
      </c>
      <c r="AB2185">
        <v>3</v>
      </c>
      <c r="AC2185">
        <v>0</v>
      </c>
      <c r="AD2185">
        <v>10</v>
      </c>
      <c r="AE2185">
        <v>0</v>
      </c>
      <c r="AF2185">
        <v>3</v>
      </c>
      <c r="AG2185">
        <v>2</v>
      </c>
      <c r="AH2185">
        <v>0</v>
      </c>
      <c r="AI2185" t="s">
        <v>4475</v>
      </c>
      <c r="AJ2185">
        <v>39.907750999999998</v>
      </c>
      <c r="AK2185" t="s">
        <v>4476</v>
      </c>
      <c r="AL2185">
        <v>-75.691766999999999</v>
      </c>
      <c r="AM2185">
        <v>100</v>
      </c>
      <c r="AN2185">
        <v>4700</v>
      </c>
      <c r="AO2185" t="s">
        <v>115</v>
      </c>
      <c r="AP2185">
        <v>162</v>
      </c>
      <c r="AQ2185">
        <v>82</v>
      </c>
      <c r="AR2185">
        <v>0</v>
      </c>
      <c r="AZ2185">
        <v>3614</v>
      </c>
      <c r="BA2185">
        <v>1</v>
      </c>
      <c r="BB2185" t="str">
        <f t="shared" si="101"/>
        <v xml:space="preserve">N959MJ  </v>
      </c>
      <c r="BC2185">
        <v>1</v>
      </c>
      <c r="BE2185">
        <v>0</v>
      </c>
      <c r="BF2185">
        <v>0</v>
      </c>
      <c r="BG2185">
        <v>0</v>
      </c>
      <c r="BH2185">
        <v>4900</v>
      </c>
      <c r="BI2185">
        <v>200</v>
      </c>
      <c r="BJ2185">
        <v>1</v>
      </c>
      <c r="BK2185">
        <v>1</v>
      </c>
      <c r="BL2185">
        <v>1</v>
      </c>
      <c r="BM2185">
        <v>0</v>
      </c>
      <c r="BP2185">
        <v>0</v>
      </c>
      <c r="BQ2185">
        <v>0</v>
      </c>
      <c r="BX2185" t="str">
        <f>"14:26:45.688"</f>
        <v>14:26:45.688</v>
      </c>
      <c r="BY2185" t="str">
        <f>"688039553"</f>
        <v>688039553</v>
      </c>
      <c r="CL2185">
        <v>0</v>
      </c>
      <c r="CM2185">
        <v>2</v>
      </c>
      <c r="CN2185">
        <v>0</v>
      </c>
      <c r="CO2185">
        <v>2</v>
      </c>
      <c r="CP2185">
        <v>0</v>
      </c>
      <c r="CQ2185">
        <v>7</v>
      </c>
      <c r="CR2185" t="s">
        <v>116</v>
      </c>
      <c r="CS2185">
        <v>39</v>
      </c>
      <c r="CT2185">
        <v>2</v>
      </c>
      <c r="CU2185" t="s">
        <v>2259</v>
      </c>
      <c r="CV2185" t="s">
        <v>2260</v>
      </c>
      <c r="CY2185">
        <v>13351</v>
      </c>
      <c r="CZ2185" t="s">
        <v>119</v>
      </c>
    </row>
    <row r="2186" spans="1:104" x14ac:dyDescent="0.25">
      <c r="A2186" t="str">
        <f>"14:26:46.852"</f>
        <v>14:26:46.852</v>
      </c>
      <c r="B2186" t="s">
        <v>108</v>
      </c>
      <c r="C2186" t="str">
        <f t="shared" ref="C2186:C2249" si="103">"ffdfd3c0"</f>
        <v>ffdfd3c0</v>
      </c>
      <c r="D2186" t="s">
        <v>109</v>
      </c>
      <c r="E2186">
        <v>4</v>
      </c>
      <c r="F2186">
        <v>1004</v>
      </c>
      <c r="G2186" t="s">
        <v>110</v>
      </c>
      <c r="J2186" t="s">
        <v>111</v>
      </c>
      <c r="K2186">
        <v>0</v>
      </c>
      <c r="L2186">
        <v>3</v>
      </c>
      <c r="M2186">
        <v>0</v>
      </c>
      <c r="N2186">
        <v>2</v>
      </c>
      <c r="O2186">
        <v>1</v>
      </c>
      <c r="P2186">
        <v>0</v>
      </c>
      <c r="Q2186">
        <v>0</v>
      </c>
      <c r="R2186" t="s">
        <v>112</v>
      </c>
      <c r="S2186" t="str">
        <f>"14:26:46.664"</f>
        <v>14:26:46.664</v>
      </c>
      <c r="T2186" t="str">
        <f>"14:26:46.266"</f>
        <v>14:26:46.266</v>
      </c>
      <c r="U2186" t="str">
        <f t="shared" si="102"/>
        <v>ad5732</v>
      </c>
      <c r="V2186">
        <v>0</v>
      </c>
      <c r="W2186">
        <v>0</v>
      </c>
      <c r="X2186">
        <v>1</v>
      </c>
      <c r="Z2186">
        <v>0</v>
      </c>
      <c r="AA2186">
        <v>9</v>
      </c>
      <c r="AB2186">
        <v>3</v>
      </c>
      <c r="AC2186">
        <v>0</v>
      </c>
      <c r="AD2186">
        <v>10</v>
      </c>
      <c r="AE2186">
        <v>0</v>
      </c>
      <c r="AF2186">
        <v>3</v>
      </c>
      <c r="AG2186">
        <v>2</v>
      </c>
      <c r="AH2186">
        <v>0</v>
      </c>
      <c r="AI2186" t="s">
        <v>4477</v>
      </c>
      <c r="AJ2186">
        <v>39.908116</v>
      </c>
      <c r="AK2186" t="s">
        <v>4478</v>
      </c>
      <c r="AL2186">
        <v>-75.690800999999993</v>
      </c>
      <c r="AM2186">
        <v>100</v>
      </c>
      <c r="AN2186">
        <v>4700</v>
      </c>
      <c r="AO2186" t="s">
        <v>115</v>
      </c>
      <c r="AP2186">
        <v>162</v>
      </c>
      <c r="AQ2186">
        <v>82</v>
      </c>
      <c r="AR2186">
        <v>0</v>
      </c>
      <c r="AZ2186">
        <v>3614</v>
      </c>
      <c r="BA2186">
        <v>1</v>
      </c>
      <c r="BB2186" t="str">
        <f t="shared" ref="BB2186:BB2249" si="104">"N959MJ  "</f>
        <v xml:space="preserve">N959MJ  </v>
      </c>
      <c r="BC2186">
        <v>1</v>
      </c>
      <c r="BE2186">
        <v>0</v>
      </c>
      <c r="BF2186">
        <v>0</v>
      </c>
      <c r="BG2186">
        <v>0</v>
      </c>
      <c r="BH2186">
        <v>4900</v>
      </c>
      <c r="BI2186">
        <v>200</v>
      </c>
      <c r="BJ2186">
        <v>1</v>
      </c>
      <c r="BK2186">
        <v>1</v>
      </c>
      <c r="BL2186">
        <v>1</v>
      </c>
      <c r="BM2186">
        <v>0</v>
      </c>
      <c r="BP2186">
        <v>0</v>
      </c>
      <c r="BQ2186">
        <v>0</v>
      </c>
      <c r="BX2186" t="str">
        <f>"14:26:46.664"</f>
        <v>14:26:46.664</v>
      </c>
      <c r="BY2186" t="str">
        <f>"666180685"</f>
        <v>666180685</v>
      </c>
      <c r="CL2186">
        <v>0</v>
      </c>
      <c r="CM2186">
        <v>2</v>
      </c>
      <c r="CN2186">
        <v>0</v>
      </c>
      <c r="CO2186">
        <v>2</v>
      </c>
      <c r="CP2186">
        <v>0</v>
      </c>
      <c r="CQ2186">
        <v>7</v>
      </c>
      <c r="CR2186" t="s">
        <v>116</v>
      </c>
      <c r="CS2186">
        <v>39</v>
      </c>
      <c r="CT2186">
        <v>2</v>
      </c>
      <c r="CU2186" t="s">
        <v>2259</v>
      </c>
      <c r="CV2186" t="s">
        <v>2260</v>
      </c>
      <c r="CY2186">
        <v>14828</v>
      </c>
      <c r="CZ2186" t="s">
        <v>119</v>
      </c>
    </row>
    <row r="2187" spans="1:104" x14ac:dyDescent="0.25">
      <c r="A2187" t="str">
        <f>"14:26:47.703"</f>
        <v>14:26:47.703</v>
      </c>
      <c r="B2187" t="s">
        <v>108</v>
      </c>
      <c r="C2187" t="str">
        <f t="shared" si="103"/>
        <v>ffdfd3c0</v>
      </c>
      <c r="D2187" t="s">
        <v>109</v>
      </c>
      <c r="E2187">
        <v>4</v>
      </c>
      <c r="F2187">
        <v>1004</v>
      </c>
      <c r="G2187" t="s">
        <v>110</v>
      </c>
      <c r="J2187" t="s">
        <v>111</v>
      </c>
      <c r="K2187">
        <v>0</v>
      </c>
      <c r="L2187">
        <v>3</v>
      </c>
      <c r="M2187">
        <v>0</v>
      </c>
      <c r="N2187">
        <v>2</v>
      </c>
      <c r="O2187">
        <v>1</v>
      </c>
      <c r="P2187">
        <v>0</v>
      </c>
      <c r="Q2187">
        <v>0</v>
      </c>
      <c r="R2187" t="s">
        <v>112</v>
      </c>
      <c r="S2187" t="str">
        <f>"14:26:47.539"</f>
        <v>14:26:47.539</v>
      </c>
      <c r="T2187" t="str">
        <f>"14:26:47.141"</f>
        <v>14:26:47.141</v>
      </c>
      <c r="U2187" t="str">
        <f t="shared" si="102"/>
        <v>ad5732</v>
      </c>
      <c r="V2187">
        <v>0</v>
      </c>
      <c r="W2187">
        <v>0</v>
      </c>
      <c r="X2187">
        <v>1</v>
      </c>
      <c r="Z2187">
        <v>0</v>
      </c>
      <c r="AA2187">
        <v>9</v>
      </c>
      <c r="AB2187">
        <v>3</v>
      </c>
      <c r="AC2187">
        <v>0</v>
      </c>
      <c r="AD2187">
        <v>10</v>
      </c>
      <c r="AE2187">
        <v>0</v>
      </c>
      <c r="AF2187">
        <v>3</v>
      </c>
      <c r="AG2187">
        <v>2</v>
      </c>
      <c r="AH2187">
        <v>0</v>
      </c>
      <c r="AI2187" t="s">
        <v>4479</v>
      </c>
      <c r="AJ2187">
        <v>39.908481000000002</v>
      </c>
      <c r="AK2187" t="s">
        <v>4480</v>
      </c>
      <c r="AL2187">
        <v>-75.689899999999994</v>
      </c>
      <c r="AM2187">
        <v>100</v>
      </c>
      <c r="AN2187">
        <v>4700</v>
      </c>
      <c r="AO2187" t="s">
        <v>115</v>
      </c>
      <c r="AP2187">
        <v>162</v>
      </c>
      <c r="AQ2187">
        <v>82</v>
      </c>
      <c r="AR2187">
        <v>0</v>
      </c>
      <c r="AZ2187">
        <v>3614</v>
      </c>
      <c r="BA2187">
        <v>1</v>
      </c>
      <c r="BB2187" t="str">
        <f t="shared" si="104"/>
        <v xml:space="preserve">N959MJ  </v>
      </c>
      <c r="BC2187">
        <v>1</v>
      </c>
      <c r="BE2187">
        <v>0</v>
      </c>
      <c r="BF2187">
        <v>0</v>
      </c>
      <c r="BG2187">
        <v>0</v>
      </c>
      <c r="BH2187">
        <v>4900</v>
      </c>
      <c r="BI2187">
        <v>200</v>
      </c>
      <c r="BJ2187">
        <v>1</v>
      </c>
      <c r="BK2187">
        <v>1</v>
      </c>
      <c r="BL2187">
        <v>1</v>
      </c>
      <c r="BM2187">
        <v>0</v>
      </c>
      <c r="BP2187">
        <v>0</v>
      </c>
      <c r="BQ2187">
        <v>0</v>
      </c>
      <c r="BX2187" t="str">
        <f>"14:26:47.547"</f>
        <v>14:26:47.547</v>
      </c>
      <c r="BY2187" t="str">
        <f>"546016359"</f>
        <v>546016359</v>
      </c>
      <c r="CL2187">
        <v>0</v>
      </c>
      <c r="CM2187">
        <v>2</v>
      </c>
      <c r="CN2187">
        <v>0</v>
      </c>
      <c r="CO2187">
        <v>2</v>
      </c>
      <c r="CP2187">
        <v>0</v>
      </c>
      <c r="CQ2187">
        <v>7</v>
      </c>
      <c r="CR2187" t="s">
        <v>116</v>
      </c>
      <c r="CS2187">
        <v>39</v>
      </c>
      <c r="CT2187">
        <v>2</v>
      </c>
      <c r="CU2187" t="s">
        <v>2259</v>
      </c>
      <c r="CV2187" t="s">
        <v>2260</v>
      </c>
      <c r="CY2187">
        <v>16228</v>
      </c>
      <c r="CZ2187" t="s">
        <v>119</v>
      </c>
    </row>
    <row r="2188" spans="1:104" x14ac:dyDescent="0.25">
      <c r="A2188" t="str">
        <f>"14:26:48.719"</f>
        <v>14:26:48.719</v>
      </c>
      <c r="B2188" t="s">
        <v>108</v>
      </c>
      <c r="C2188" t="str">
        <f t="shared" si="103"/>
        <v>ffdfd3c0</v>
      </c>
      <c r="D2188" t="s">
        <v>109</v>
      </c>
      <c r="E2188">
        <v>4</v>
      </c>
      <c r="F2188">
        <v>1004</v>
      </c>
      <c r="G2188" t="s">
        <v>110</v>
      </c>
      <c r="J2188" t="s">
        <v>111</v>
      </c>
      <c r="K2188">
        <v>0</v>
      </c>
      <c r="L2188">
        <v>3</v>
      </c>
      <c r="M2188">
        <v>0</v>
      </c>
      <c r="N2188">
        <v>2</v>
      </c>
      <c r="O2188">
        <v>1</v>
      </c>
      <c r="P2188">
        <v>0</v>
      </c>
      <c r="Q2188">
        <v>0</v>
      </c>
      <c r="R2188" t="s">
        <v>112</v>
      </c>
      <c r="S2188" t="str">
        <f>"14:26:48.563"</f>
        <v>14:26:48.563</v>
      </c>
      <c r="T2188" t="str">
        <f>"14:26:48.063"</f>
        <v>14:26:48.063</v>
      </c>
      <c r="U2188" t="str">
        <f t="shared" si="102"/>
        <v>ad5732</v>
      </c>
      <c r="V2188">
        <v>0</v>
      </c>
      <c r="W2188">
        <v>0</v>
      </c>
      <c r="X2188">
        <v>1</v>
      </c>
      <c r="Z2188">
        <v>0</v>
      </c>
      <c r="AA2188">
        <v>9</v>
      </c>
      <c r="AB2188">
        <v>3</v>
      </c>
      <c r="AC2188">
        <v>0</v>
      </c>
      <c r="AD2188">
        <v>10</v>
      </c>
      <c r="AE2188">
        <v>0</v>
      </c>
      <c r="AF2188">
        <v>3</v>
      </c>
      <c r="AG2188">
        <v>2</v>
      </c>
      <c r="AH2188">
        <v>0</v>
      </c>
      <c r="AI2188" t="s">
        <v>4481</v>
      </c>
      <c r="AJ2188">
        <v>39.908844999999999</v>
      </c>
      <c r="AK2188" t="s">
        <v>4482</v>
      </c>
      <c r="AL2188">
        <v>-75.688934000000003</v>
      </c>
      <c r="AM2188">
        <v>100</v>
      </c>
      <c r="AN2188">
        <v>4700</v>
      </c>
      <c r="AO2188" t="s">
        <v>115</v>
      </c>
      <c r="AP2188">
        <v>162</v>
      </c>
      <c r="AQ2188">
        <v>82</v>
      </c>
      <c r="AR2188">
        <v>0</v>
      </c>
      <c r="AZ2188">
        <v>3614</v>
      </c>
      <c r="BA2188">
        <v>1</v>
      </c>
      <c r="BB2188" t="str">
        <f t="shared" si="104"/>
        <v xml:space="preserve">N959MJ  </v>
      </c>
      <c r="BC2188">
        <v>1</v>
      </c>
      <c r="BE2188">
        <v>0</v>
      </c>
      <c r="BF2188">
        <v>0</v>
      </c>
      <c r="BG2188">
        <v>0</v>
      </c>
      <c r="BH2188">
        <v>4900</v>
      </c>
      <c r="BI2188">
        <v>200</v>
      </c>
      <c r="BJ2188">
        <v>1</v>
      </c>
      <c r="BK2188">
        <v>1</v>
      </c>
      <c r="BL2188">
        <v>1</v>
      </c>
      <c r="BM2188">
        <v>0</v>
      </c>
      <c r="BP2188">
        <v>0</v>
      </c>
      <c r="BQ2188">
        <v>0</v>
      </c>
      <c r="BX2188" t="str">
        <f>"14:26:48.570"</f>
        <v>14:26:48.570</v>
      </c>
      <c r="BY2188" t="str">
        <f>"566756707"</f>
        <v>566756707</v>
      </c>
      <c r="CL2188">
        <v>0</v>
      </c>
      <c r="CM2188">
        <v>2</v>
      </c>
      <c r="CN2188">
        <v>0</v>
      </c>
      <c r="CO2188">
        <v>2</v>
      </c>
      <c r="CP2188">
        <v>0</v>
      </c>
      <c r="CQ2188">
        <v>7</v>
      </c>
      <c r="CR2188" t="s">
        <v>116</v>
      </c>
      <c r="CS2188">
        <v>39</v>
      </c>
      <c r="CT2188">
        <v>2</v>
      </c>
      <c r="CU2188" t="s">
        <v>2259</v>
      </c>
      <c r="CV2188" t="s">
        <v>2260</v>
      </c>
      <c r="CY2188">
        <v>18127</v>
      </c>
      <c r="CZ2188" t="s">
        <v>119</v>
      </c>
    </row>
    <row r="2189" spans="1:104" x14ac:dyDescent="0.25">
      <c r="A2189" t="str">
        <f>"14:26:49.727"</f>
        <v>14:26:49.727</v>
      </c>
      <c r="B2189" t="s">
        <v>108</v>
      </c>
      <c r="C2189" t="str">
        <f t="shared" si="103"/>
        <v>ffdfd3c0</v>
      </c>
      <c r="D2189" t="s">
        <v>109</v>
      </c>
      <c r="E2189">
        <v>4</v>
      </c>
      <c r="F2189">
        <v>1004</v>
      </c>
      <c r="G2189" t="s">
        <v>110</v>
      </c>
      <c r="J2189" t="s">
        <v>111</v>
      </c>
      <c r="K2189">
        <v>0</v>
      </c>
      <c r="L2189">
        <v>3</v>
      </c>
      <c r="M2189">
        <v>0</v>
      </c>
      <c r="N2189">
        <v>2</v>
      </c>
      <c r="O2189">
        <v>1</v>
      </c>
      <c r="P2189">
        <v>0</v>
      </c>
      <c r="Q2189">
        <v>0</v>
      </c>
      <c r="R2189" t="s">
        <v>112</v>
      </c>
      <c r="S2189" t="str">
        <f>"14:26:49.531"</f>
        <v>14:26:49.531</v>
      </c>
      <c r="T2189" t="str">
        <f>"14:26:49.133"</f>
        <v>14:26:49.133</v>
      </c>
      <c r="U2189" t="str">
        <f t="shared" si="102"/>
        <v>ad5732</v>
      </c>
      <c r="V2189">
        <v>0</v>
      </c>
      <c r="W2189">
        <v>0</v>
      </c>
      <c r="X2189">
        <v>1</v>
      </c>
      <c r="Z2189">
        <v>0</v>
      </c>
      <c r="AA2189">
        <v>9</v>
      </c>
      <c r="AB2189">
        <v>3</v>
      </c>
      <c r="AC2189">
        <v>0</v>
      </c>
      <c r="AD2189">
        <v>10</v>
      </c>
      <c r="AE2189">
        <v>0</v>
      </c>
      <c r="AF2189">
        <v>3</v>
      </c>
      <c r="AG2189">
        <v>2</v>
      </c>
      <c r="AH2189">
        <v>0</v>
      </c>
      <c r="AI2189" t="s">
        <v>4483</v>
      </c>
      <c r="AJ2189">
        <v>39.909210000000002</v>
      </c>
      <c r="AK2189" t="s">
        <v>4484</v>
      </c>
      <c r="AL2189">
        <v>-75.687968999999995</v>
      </c>
      <c r="AM2189">
        <v>100</v>
      </c>
      <c r="AN2189">
        <v>4700</v>
      </c>
      <c r="AO2189" t="s">
        <v>115</v>
      </c>
      <c r="AP2189">
        <v>162</v>
      </c>
      <c r="AQ2189">
        <v>83</v>
      </c>
      <c r="AR2189">
        <v>0</v>
      </c>
      <c r="AZ2189">
        <v>3614</v>
      </c>
      <c r="BA2189">
        <v>1</v>
      </c>
      <c r="BB2189" t="str">
        <f t="shared" si="104"/>
        <v xml:space="preserve">N959MJ  </v>
      </c>
      <c r="BC2189">
        <v>1</v>
      </c>
      <c r="BE2189">
        <v>0</v>
      </c>
      <c r="BF2189">
        <v>0</v>
      </c>
      <c r="BG2189">
        <v>0</v>
      </c>
      <c r="BH2189">
        <v>4900</v>
      </c>
      <c r="BI2189">
        <v>200</v>
      </c>
      <c r="BJ2189">
        <v>1</v>
      </c>
      <c r="BK2189">
        <v>1</v>
      </c>
      <c r="BL2189">
        <v>1</v>
      </c>
      <c r="BM2189">
        <v>0</v>
      </c>
      <c r="BP2189">
        <v>0</v>
      </c>
      <c r="BQ2189">
        <v>0</v>
      </c>
      <c r="BX2189" t="str">
        <f>"14:26:49.531"</f>
        <v>14:26:49.531</v>
      </c>
      <c r="BY2189" t="str">
        <f>"533428998"</f>
        <v>533428998</v>
      </c>
      <c r="CL2189">
        <v>0</v>
      </c>
      <c r="CM2189">
        <v>2</v>
      </c>
      <c r="CN2189">
        <v>0</v>
      </c>
      <c r="CO2189">
        <v>2</v>
      </c>
      <c r="CP2189">
        <v>0</v>
      </c>
      <c r="CQ2189">
        <v>7</v>
      </c>
      <c r="CR2189" t="s">
        <v>116</v>
      </c>
      <c r="CS2189">
        <v>39</v>
      </c>
      <c r="CT2189">
        <v>2</v>
      </c>
      <c r="CU2189" t="s">
        <v>2259</v>
      </c>
      <c r="CV2189" t="s">
        <v>2260</v>
      </c>
      <c r="CY2189">
        <v>19808</v>
      </c>
      <c r="CZ2189" t="s">
        <v>119</v>
      </c>
    </row>
    <row r="2190" spans="1:104" x14ac:dyDescent="0.25">
      <c r="A2190" t="str">
        <f>"14:26:50.734"</f>
        <v>14:26:50.734</v>
      </c>
      <c r="B2190" t="s">
        <v>108</v>
      </c>
      <c r="C2190" t="str">
        <f t="shared" si="103"/>
        <v>ffdfd3c0</v>
      </c>
      <c r="D2190" t="s">
        <v>109</v>
      </c>
      <c r="E2190">
        <v>4</v>
      </c>
      <c r="F2190">
        <v>1004</v>
      </c>
      <c r="G2190" t="s">
        <v>110</v>
      </c>
      <c r="J2190" t="s">
        <v>111</v>
      </c>
      <c r="K2190">
        <v>0</v>
      </c>
      <c r="L2190">
        <v>3</v>
      </c>
      <c r="M2190">
        <v>0</v>
      </c>
      <c r="N2190">
        <v>2</v>
      </c>
      <c r="O2190">
        <v>1</v>
      </c>
      <c r="P2190">
        <v>0</v>
      </c>
      <c r="Q2190">
        <v>0</v>
      </c>
      <c r="R2190" t="s">
        <v>112</v>
      </c>
      <c r="S2190" t="str">
        <f>"14:26:50.555"</f>
        <v>14:26:50.555</v>
      </c>
      <c r="T2190" t="str">
        <f>"14:26:50.156"</f>
        <v>14:26:50.156</v>
      </c>
      <c r="U2190" t="str">
        <f t="shared" si="102"/>
        <v>ad5732</v>
      </c>
      <c r="V2190">
        <v>0</v>
      </c>
      <c r="W2190">
        <v>0</v>
      </c>
      <c r="X2190">
        <v>1</v>
      </c>
      <c r="Z2190">
        <v>0</v>
      </c>
      <c r="AA2190">
        <v>9</v>
      </c>
      <c r="AB2190">
        <v>3</v>
      </c>
      <c r="AC2190">
        <v>0</v>
      </c>
      <c r="AD2190">
        <v>10</v>
      </c>
      <c r="AE2190">
        <v>0</v>
      </c>
      <c r="AF2190">
        <v>3</v>
      </c>
      <c r="AG2190">
        <v>2</v>
      </c>
      <c r="AH2190">
        <v>0</v>
      </c>
      <c r="AI2190" t="s">
        <v>4485</v>
      </c>
      <c r="AJ2190">
        <v>39.909618000000002</v>
      </c>
      <c r="AK2190" t="s">
        <v>4486</v>
      </c>
      <c r="AL2190">
        <v>-75.686959999999999</v>
      </c>
      <c r="AM2190">
        <v>100</v>
      </c>
      <c r="AN2190">
        <v>4700</v>
      </c>
      <c r="AO2190" t="s">
        <v>115</v>
      </c>
      <c r="AP2190">
        <v>162</v>
      </c>
      <c r="AQ2190">
        <v>83</v>
      </c>
      <c r="AR2190">
        <v>0</v>
      </c>
      <c r="AZ2190">
        <v>3614</v>
      </c>
      <c r="BA2190">
        <v>1</v>
      </c>
      <c r="BB2190" t="str">
        <f t="shared" si="104"/>
        <v xml:space="preserve">N959MJ  </v>
      </c>
      <c r="BC2190">
        <v>1</v>
      </c>
      <c r="BE2190">
        <v>0</v>
      </c>
      <c r="BF2190">
        <v>0</v>
      </c>
      <c r="BG2190">
        <v>0</v>
      </c>
      <c r="BH2190">
        <v>4900</v>
      </c>
      <c r="BI2190">
        <v>200</v>
      </c>
      <c r="BJ2190">
        <v>1</v>
      </c>
      <c r="BK2190">
        <v>1</v>
      </c>
      <c r="BL2190">
        <v>1</v>
      </c>
      <c r="BM2190">
        <v>0</v>
      </c>
      <c r="BP2190">
        <v>0</v>
      </c>
      <c r="BQ2190">
        <v>0</v>
      </c>
      <c r="BX2190" t="str">
        <f>"14:26:50.555"</f>
        <v>14:26:50.555</v>
      </c>
      <c r="BY2190" t="str">
        <f>"557446256"</f>
        <v>557446256</v>
      </c>
      <c r="CL2190">
        <v>0</v>
      </c>
      <c r="CM2190">
        <v>2</v>
      </c>
      <c r="CN2190">
        <v>0</v>
      </c>
      <c r="CO2190">
        <v>2</v>
      </c>
      <c r="CP2190">
        <v>0</v>
      </c>
      <c r="CQ2190">
        <v>7</v>
      </c>
      <c r="CR2190" t="s">
        <v>116</v>
      </c>
      <c r="CS2190">
        <v>39</v>
      </c>
      <c r="CT2190">
        <v>2</v>
      </c>
      <c r="CU2190" t="s">
        <v>2259</v>
      </c>
      <c r="CV2190" t="s">
        <v>2260</v>
      </c>
      <c r="CY2190">
        <v>21438</v>
      </c>
      <c r="CZ2190" t="s">
        <v>119</v>
      </c>
    </row>
    <row r="2191" spans="1:104" x14ac:dyDescent="0.25">
      <c r="A2191" t="str">
        <f>"14:26:51.797"</f>
        <v>14:26:51.797</v>
      </c>
      <c r="B2191" t="s">
        <v>108</v>
      </c>
      <c r="C2191" t="str">
        <f t="shared" si="103"/>
        <v>ffdfd3c0</v>
      </c>
      <c r="D2191" t="s">
        <v>109</v>
      </c>
      <c r="E2191">
        <v>4</v>
      </c>
      <c r="F2191">
        <v>1004</v>
      </c>
      <c r="G2191" t="s">
        <v>110</v>
      </c>
      <c r="J2191" t="s">
        <v>111</v>
      </c>
      <c r="K2191">
        <v>0</v>
      </c>
      <c r="L2191">
        <v>3</v>
      </c>
      <c r="M2191">
        <v>0</v>
      </c>
      <c r="N2191">
        <v>2</v>
      </c>
      <c r="O2191">
        <v>1</v>
      </c>
      <c r="P2191">
        <v>0</v>
      </c>
      <c r="Q2191">
        <v>0</v>
      </c>
      <c r="R2191" t="s">
        <v>112</v>
      </c>
      <c r="S2191" t="str">
        <f>"14:26:51.617"</f>
        <v>14:26:51.617</v>
      </c>
      <c r="T2191" t="str">
        <f>"14:26:51.117"</f>
        <v>14:26:51.117</v>
      </c>
      <c r="U2191" t="str">
        <f t="shared" si="102"/>
        <v>ad5732</v>
      </c>
      <c r="V2191">
        <v>0</v>
      </c>
      <c r="W2191">
        <v>0</v>
      </c>
      <c r="X2191">
        <v>1</v>
      </c>
      <c r="Z2191">
        <v>0</v>
      </c>
      <c r="AA2191">
        <v>9</v>
      </c>
      <c r="AB2191">
        <v>3</v>
      </c>
      <c r="AC2191">
        <v>0</v>
      </c>
      <c r="AD2191">
        <v>10</v>
      </c>
      <c r="AE2191">
        <v>0</v>
      </c>
      <c r="AF2191">
        <v>3</v>
      </c>
      <c r="AG2191">
        <v>2</v>
      </c>
      <c r="AH2191">
        <v>0</v>
      </c>
      <c r="AI2191" t="s">
        <v>4487</v>
      </c>
      <c r="AJ2191">
        <v>39.910026000000002</v>
      </c>
      <c r="AK2191" t="s">
        <v>4488</v>
      </c>
      <c r="AL2191">
        <v>-75.685908999999995</v>
      </c>
      <c r="AM2191">
        <v>100</v>
      </c>
      <c r="AN2191">
        <v>4700</v>
      </c>
      <c r="AO2191" t="s">
        <v>115</v>
      </c>
      <c r="AP2191">
        <v>161</v>
      </c>
      <c r="AQ2191">
        <v>83</v>
      </c>
      <c r="AR2191">
        <v>0</v>
      </c>
      <c r="AZ2191">
        <v>3614</v>
      </c>
      <c r="BA2191">
        <v>1</v>
      </c>
      <c r="BB2191" t="str">
        <f t="shared" si="104"/>
        <v xml:space="preserve">N959MJ  </v>
      </c>
      <c r="BC2191">
        <v>1</v>
      </c>
      <c r="BE2191">
        <v>0</v>
      </c>
      <c r="BF2191">
        <v>0</v>
      </c>
      <c r="BG2191">
        <v>0</v>
      </c>
      <c r="BH2191">
        <v>4900</v>
      </c>
      <c r="BI2191">
        <v>200</v>
      </c>
      <c r="BJ2191">
        <v>1</v>
      </c>
      <c r="BK2191">
        <v>1</v>
      </c>
      <c r="BL2191">
        <v>1</v>
      </c>
      <c r="BM2191">
        <v>0</v>
      </c>
      <c r="BP2191">
        <v>0</v>
      </c>
      <c r="BQ2191">
        <v>0</v>
      </c>
      <c r="BX2191" t="str">
        <f>"14:26:51.625"</f>
        <v>14:26:51.625</v>
      </c>
      <c r="BY2191" t="str">
        <f>"624062622"</f>
        <v>624062622</v>
      </c>
      <c r="CL2191">
        <v>0</v>
      </c>
      <c r="CM2191">
        <v>2</v>
      </c>
      <c r="CN2191">
        <v>0</v>
      </c>
      <c r="CO2191">
        <v>2</v>
      </c>
      <c r="CP2191">
        <v>0</v>
      </c>
      <c r="CQ2191">
        <v>7</v>
      </c>
      <c r="CR2191" t="s">
        <v>116</v>
      </c>
      <c r="CS2191">
        <v>39</v>
      </c>
      <c r="CT2191">
        <v>2</v>
      </c>
      <c r="CU2191" t="s">
        <v>2259</v>
      </c>
      <c r="CV2191" t="s">
        <v>2260</v>
      </c>
      <c r="CY2191">
        <v>23094</v>
      </c>
      <c r="CZ2191" t="s">
        <v>119</v>
      </c>
    </row>
    <row r="2192" spans="1:104" x14ac:dyDescent="0.25">
      <c r="A2192" t="str">
        <f>"14:26:52.852"</f>
        <v>14:26:52.852</v>
      </c>
      <c r="B2192" t="s">
        <v>108</v>
      </c>
      <c r="C2192" t="str">
        <f t="shared" si="103"/>
        <v>ffdfd3c0</v>
      </c>
      <c r="D2192" t="s">
        <v>109</v>
      </c>
      <c r="E2192">
        <v>4</v>
      </c>
      <c r="F2192">
        <v>1004</v>
      </c>
      <c r="G2192" t="s">
        <v>110</v>
      </c>
      <c r="J2192" t="s">
        <v>111</v>
      </c>
      <c r="K2192">
        <v>0</v>
      </c>
      <c r="L2192">
        <v>3</v>
      </c>
      <c r="M2192">
        <v>0</v>
      </c>
      <c r="N2192">
        <v>2</v>
      </c>
      <c r="O2192">
        <v>1</v>
      </c>
      <c r="P2192">
        <v>0</v>
      </c>
      <c r="Q2192">
        <v>0</v>
      </c>
      <c r="R2192" t="s">
        <v>112</v>
      </c>
      <c r="S2192" t="str">
        <f>"14:26:52.656"</f>
        <v>14:26:52.656</v>
      </c>
      <c r="T2192" t="str">
        <f>"14:26:52.258"</f>
        <v>14:26:52.258</v>
      </c>
      <c r="U2192" t="str">
        <f t="shared" si="102"/>
        <v>ad5732</v>
      </c>
      <c r="V2192">
        <v>0</v>
      </c>
      <c r="W2192">
        <v>0</v>
      </c>
      <c r="X2192">
        <v>1</v>
      </c>
      <c r="Z2192">
        <v>0</v>
      </c>
      <c r="AA2192">
        <v>9</v>
      </c>
      <c r="AB2192">
        <v>3</v>
      </c>
      <c r="AC2192">
        <v>0</v>
      </c>
      <c r="AD2192">
        <v>10</v>
      </c>
      <c r="AE2192">
        <v>0</v>
      </c>
      <c r="AF2192">
        <v>3</v>
      </c>
      <c r="AG2192">
        <v>2</v>
      </c>
      <c r="AH2192">
        <v>0</v>
      </c>
      <c r="AI2192" t="s">
        <v>4489</v>
      </c>
      <c r="AJ2192">
        <v>39.91039</v>
      </c>
      <c r="AK2192" t="s">
        <v>4490</v>
      </c>
      <c r="AL2192">
        <v>-75.684943000000004</v>
      </c>
      <c r="AM2192">
        <v>100</v>
      </c>
      <c r="AN2192">
        <v>4700</v>
      </c>
      <c r="AO2192" t="s">
        <v>115</v>
      </c>
      <c r="AP2192">
        <v>161</v>
      </c>
      <c r="AQ2192">
        <v>83</v>
      </c>
      <c r="AR2192">
        <v>64</v>
      </c>
      <c r="AZ2192">
        <v>3614</v>
      </c>
      <c r="BA2192">
        <v>1</v>
      </c>
      <c r="BB2192" t="str">
        <f t="shared" si="104"/>
        <v xml:space="preserve">N959MJ  </v>
      </c>
      <c r="BC2192">
        <v>1</v>
      </c>
      <c r="BE2192">
        <v>0</v>
      </c>
      <c r="BF2192">
        <v>0</v>
      </c>
      <c r="BG2192">
        <v>0</v>
      </c>
      <c r="BH2192">
        <v>4900</v>
      </c>
      <c r="BI2192">
        <v>200</v>
      </c>
      <c r="BJ2192">
        <v>1</v>
      </c>
      <c r="BK2192">
        <v>1</v>
      </c>
      <c r="BL2192">
        <v>1</v>
      </c>
      <c r="BM2192">
        <v>0</v>
      </c>
      <c r="BP2192">
        <v>0</v>
      </c>
      <c r="BQ2192">
        <v>0</v>
      </c>
      <c r="BX2192" t="str">
        <f>"14:26:52.664"</f>
        <v>14:26:52.664</v>
      </c>
      <c r="BY2192" t="str">
        <f>"661187290"</f>
        <v>661187290</v>
      </c>
      <c r="CL2192">
        <v>0</v>
      </c>
      <c r="CM2192">
        <v>2</v>
      </c>
      <c r="CN2192">
        <v>0</v>
      </c>
      <c r="CO2192">
        <v>2</v>
      </c>
      <c r="CP2192">
        <v>0</v>
      </c>
      <c r="CQ2192">
        <v>7</v>
      </c>
      <c r="CR2192" t="s">
        <v>116</v>
      </c>
      <c r="CS2192">
        <v>39</v>
      </c>
      <c r="CT2192">
        <v>3</v>
      </c>
      <c r="CU2192" t="s">
        <v>2259</v>
      </c>
      <c r="CV2192" t="s">
        <v>2260</v>
      </c>
      <c r="CY2192">
        <v>10784796</v>
      </c>
      <c r="CZ2192" t="s">
        <v>119</v>
      </c>
    </row>
    <row r="2193" spans="1:104" x14ac:dyDescent="0.25">
      <c r="A2193" t="str">
        <f>"14:26:53.766"</f>
        <v>14:26:53.766</v>
      </c>
      <c r="B2193" t="s">
        <v>108</v>
      </c>
      <c r="C2193" t="str">
        <f t="shared" si="103"/>
        <v>ffdfd3c0</v>
      </c>
      <c r="D2193" t="s">
        <v>109</v>
      </c>
      <c r="E2193">
        <v>4</v>
      </c>
      <c r="F2193">
        <v>1004</v>
      </c>
      <c r="G2193" t="s">
        <v>110</v>
      </c>
      <c r="J2193" t="s">
        <v>111</v>
      </c>
      <c r="K2193">
        <v>0</v>
      </c>
      <c r="L2193">
        <v>3</v>
      </c>
      <c r="M2193">
        <v>0</v>
      </c>
      <c r="N2193">
        <v>2</v>
      </c>
      <c r="O2193">
        <v>1</v>
      </c>
      <c r="P2193">
        <v>0</v>
      </c>
      <c r="Q2193">
        <v>0</v>
      </c>
      <c r="R2193" t="s">
        <v>112</v>
      </c>
      <c r="S2193" t="str">
        <f>"14:26:53.586"</f>
        <v>14:26:53.586</v>
      </c>
      <c r="T2193" t="str">
        <f>"14:26:53.086"</f>
        <v>14:26:53.086</v>
      </c>
      <c r="U2193" t="str">
        <f t="shared" si="102"/>
        <v>ad5732</v>
      </c>
      <c r="V2193">
        <v>0</v>
      </c>
      <c r="W2193">
        <v>0</v>
      </c>
      <c r="X2193">
        <v>1</v>
      </c>
      <c r="Z2193">
        <v>0</v>
      </c>
      <c r="AA2193">
        <v>9</v>
      </c>
      <c r="AB2193">
        <v>3</v>
      </c>
      <c r="AC2193">
        <v>0</v>
      </c>
      <c r="AD2193">
        <v>10</v>
      </c>
      <c r="AE2193">
        <v>0</v>
      </c>
      <c r="AF2193">
        <v>3</v>
      </c>
      <c r="AG2193">
        <v>2</v>
      </c>
      <c r="AH2193">
        <v>0</v>
      </c>
      <c r="AI2193" t="s">
        <v>4491</v>
      </c>
      <c r="AJ2193">
        <v>39.910777000000003</v>
      </c>
      <c r="AK2193" t="s">
        <v>4492</v>
      </c>
      <c r="AL2193">
        <v>-75.684106</v>
      </c>
      <c r="AM2193">
        <v>100</v>
      </c>
      <c r="AN2193">
        <v>4700</v>
      </c>
      <c r="AO2193" t="s">
        <v>115</v>
      </c>
      <c r="AP2193">
        <v>161</v>
      </c>
      <c r="AQ2193">
        <v>83</v>
      </c>
      <c r="AR2193">
        <v>0</v>
      </c>
      <c r="AZ2193">
        <v>3614</v>
      </c>
      <c r="BA2193">
        <v>1</v>
      </c>
      <c r="BB2193" t="str">
        <f t="shared" si="104"/>
        <v xml:space="preserve">N959MJ  </v>
      </c>
      <c r="BC2193">
        <v>1</v>
      </c>
      <c r="BE2193">
        <v>0</v>
      </c>
      <c r="BF2193">
        <v>0</v>
      </c>
      <c r="BG2193">
        <v>0</v>
      </c>
      <c r="BH2193">
        <v>4900</v>
      </c>
      <c r="BI2193">
        <v>200</v>
      </c>
      <c r="BJ2193">
        <v>1</v>
      </c>
      <c r="BK2193">
        <v>1</v>
      </c>
      <c r="BL2193">
        <v>1</v>
      </c>
      <c r="BM2193">
        <v>0</v>
      </c>
      <c r="BP2193">
        <v>0</v>
      </c>
      <c r="BQ2193">
        <v>0</v>
      </c>
      <c r="BX2193" t="str">
        <f>"14:26:53.586"</f>
        <v>14:26:53.586</v>
      </c>
      <c r="BY2193" t="str">
        <f>"586898913"</f>
        <v>586898913</v>
      </c>
      <c r="CL2193">
        <v>0</v>
      </c>
      <c r="CM2193">
        <v>2</v>
      </c>
      <c r="CN2193">
        <v>0</v>
      </c>
      <c r="CO2193">
        <v>2</v>
      </c>
      <c r="CP2193">
        <v>0</v>
      </c>
      <c r="CQ2193">
        <v>7</v>
      </c>
      <c r="CR2193" t="s">
        <v>116</v>
      </c>
      <c r="CS2193">
        <v>39</v>
      </c>
      <c r="CT2193">
        <v>3</v>
      </c>
      <c r="CU2193" t="s">
        <v>2259</v>
      </c>
      <c r="CV2193" t="s">
        <v>2260</v>
      </c>
      <c r="CY2193">
        <v>10786607</v>
      </c>
      <c r="CZ2193" t="s">
        <v>119</v>
      </c>
    </row>
    <row r="2194" spans="1:104" x14ac:dyDescent="0.25">
      <c r="A2194" t="str">
        <f>"14:26:54.820"</f>
        <v>14:26:54.820</v>
      </c>
      <c r="B2194" t="s">
        <v>108</v>
      </c>
      <c r="C2194" t="str">
        <f t="shared" si="103"/>
        <v>ffdfd3c0</v>
      </c>
      <c r="D2194" t="s">
        <v>109</v>
      </c>
      <c r="E2194">
        <v>4</v>
      </c>
      <c r="F2194">
        <v>1004</v>
      </c>
      <c r="G2194" t="s">
        <v>110</v>
      </c>
      <c r="J2194" t="s">
        <v>111</v>
      </c>
      <c r="K2194">
        <v>0</v>
      </c>
      <c r="L2194">
        <v>3</v>
      </c>
      <c r="M2194">
        <v>0</v>
      </c>
      <c r="N2194">
        <v>2</v>
      </c>
      <c r="O2194">
        <v>1</v>
      </c>
      <c r="P2194">
        <v>0</v>
      </c>
      <c r="Q2194">
        <v>0</v>
      </c>
      <c r="R2194" t="s">
        <v>112</v>
      </c>
      <c r="S2194" t="str">
        <f>"14:26:54.672"</f>
        <v>14:26:54.672</v>
      </c>
      <c r="T2194" t="str">
        <f>"14:26:54.172"</f>
        <v>14:26:54.172</v>
      </c>
      <c r="U2194" t="str">
        <f t="shared" si="102"/>
        <v>ad5732</v>
      </c>
      <c r="V2194">
        <v>0</v>
      </c>
      <c r="W2194">
        <v>0</v>
      </c>
      <c r="X2194">
        <v>1</v>
      </c>
      <c r="Z2194">
        <v>0</v>
      </c>
      <c r="AA2194">
        <v>9</v>
      </c>
      <c r="AB2194">
        <v>3</v>
      </c>
      <c r="AC2194">
        <v>0</v>
      </c>
      <c r="AD2194">
        <v>10</v>
      </c>
      <c r="AE2194">
        <v>0</v>
      </c>
      <c r="AF2194">
        <v>3</v>
      </c>
      <c r="AG2194">
        <v>2</v>
      </c>
      <c r="AH2194">
        <v>0</v>
      </c>
      <c r="AI2194" t="s">
        <v>4493</v>
      </c>
      <c r="AJ2194">
        <v>39.911183999999999</v>
      </c>
      <c r="AK2194" t="s">
        <v>4494</v>
      </c>
      <c r="AL2194">
        <v>-75.682991000000001</v>
      </c>
      <c r="AM2194">
        <v>100</v>
      </c>
      <c r="AN2194">
        <v>4700</v>
      </c>
      <c r="AO2194" t="s">
        <v>115</v>
      </c>
      <c r="AP2194">
        <v>161</v>
      </c>
      <c r="AQ2194">
        <v>83</v>
      </c>
      <c r="AR2194">
        <v>64</v>
      </c>
      <c r="AZ2194">
        <v>3614</v>
      </c>
      <c r="BA2194">
        <v>1</v>
      </c>
      <c r="BB2194" t="str">
        <f t="shared" si="104"/>
        <v xml:space="preserve">N959MJ  </v>
      </c>
      <c r="BC2194">
        <v>1</v>
      </c>
      <c r="BE2194">
        <v>0</v>
      </c>
      <c r="BF2194">
        <v>0</v>
      </c>
      <c r="BG2194">
        <v>0</v>
      </c>
      <c r="BH2194">
        <v>4900</v>
      </c>
      <c r="BI2194">
        <v>200</v>
      </c>
      <c r="BJ2194">
        <v>1</v>
      </c>
      <c r="BK2194">
        <v>1</v>
      </c>
      <c r="BL2194">
        <v>1</v>
      </c>
      <c r="BM2194">
        <v>0</v>
      </c>
      <c r="BP2194">
        <v>0</v>
      </c>
      <c r="BQ2194">
        <v>0</v>
      </c>
      <c r="BX2194" t="str">
        <f>"14:26:54.672"</f>
        <v>14:26:54.672</v>
      </c>
      <c r="BY2194" t="str">
        <f>"674814841"</f>
        <v>674814841</v>
      </c>
      <c r="CL2194">
        <v>0</v>
      </c>
      <c r="CM2194">
        <v>2</v>
      </c>
      <c r="CN2194">
        <v>0</v>
      </c>
      <c r="CO2194">
        <v>2</v>
      </c>
      <c r="CP2194">
        <v>0</v>
      </c>
      <c r="CQ2194">
        <v>7</v>
      </c>
      <c r="CR2194" t="s">
        <v>116</v>
      </c>
      <c r="CS2194">
        <v>39</v>
      </c>
      <c r="CT2194">
        <v>2</v>
      </c>
      <c r="CU2194" t="s">
        <v>2259</v>
      </c>
      <c r="CV2194" t="s">
        <v>2260</v>
      </c>
      <c r="CY2194">
        <v>28324</v>
      </c>
      <c r="CZ2194" t="s">
        <v>119</v>
      </c>
    </row>
    <row r="2195" spans="1:104" x14ac:dyDescent="0.25">
      <c r="A2195" t="str">
        <f>"14:26:55.984"</f>
        <v>14:26:55.984</v>
      </c>
      <c r="B2195" t="s">
        <v>108</v>
      </c>
      <c r="C2195" t="str">
        <f t="shared" si="103"/>
        <v>ffdfd3c0</v>
      </c>
      <c r="D2195" t="s">
        <v>109</v>
      </c>
      <c r="E2195">
        <v>4</v>
      </c>
      <c r="F2195">
        <v>1004</v>
      </c>
      <c r="G2195" t="s">
        <v>110</v>
      </c>
      <c r="J2195" t="s">
        <v>111</v>
      </c>
      <c r="K2195">
        <v>0</v>
      </c>
      <c r="L2195">
        <v>3</v>
      </c>
      <c r="M2195">
        <v>0</v>
      </c>
      <c r="N2195">
        <v>2</v>
      </c>
      <c r="O2195">
        <v>1</v>
      </c>
      <c r="P2195">
        <v>0</v>
      </c>
      <c r="Q2195">
        <v>0</v>
      </c>
      <c r="R2195" t="s">
        <v>112</v>
      </c>
      <c r="S2195" t="str">
        <f>"14:26:55.789"</f>
        <v>14:26:55.789</v>
      </c>
      <c r="T2195" t="str">
        <f>"14:26:55.289"</f>
        <v>14:26:55.289</v>
      </c>
      <c r="U2195" t="str">
        <f t="shared" si="102"/>
        <v>ad5732</v>
      </c>
      <c r="V2195">
        <v>0</v>
      </c>
      <c r="W2195">
        <v>0</v>
      </c>
      <c r="X2195">
        <v>1</v>
      </c>
      <c r="Z2195">
        <v>0</v>
      </c>
      <c r="AA2195">
        <v>9</v>
      </c>
      <c r="AB2195">
        <v>3</v>
      </c>
      <c r="AC2195">
        <v>0</v>
      </c>
      <c r="AD2195">
        <v>10</v>
      </c>
      <c r="AE2195">
        <v>0</v>
      </c>
      <c r="AF2195">
        <v>3</v>
      </c>
      <c r="AG2195">
        <v>2</v>
      </c>
      <c r="AH2195">
        <v>0</v>
      </c>
      <c r="AI2195" t="s">
        <v>4495</v>
      </c>
      <c r="AJ2195">
        <v>39.911591999999999</v>
      </c>
      <c r="AK2195" t="s">
        <v>4496</v>
      </c>
      <c r="AL2195">
        <v>-75.681939</v>
      </c>
      <c r="AM2195">
        <v>100</v>
      </c>
      <c r="AN2195">
        <v>4700</v>
      </c>
      <c r="AO2195" t="s">
        <v>115</v>
      </c>
      <c r="AP2195">
        <v>161</v>
      </c>
      <c r="AQ2195">
        <v>83</v>
      </c>
      <c r="AR2195">
        <v>64</v>
      </c>
      <c r="AZ2195">
        <v>3614</v>
      </c>
      <c r="BA2195">
        <v>1</v>
      </c>
      <c r="BB2195" t="str">
        <f t="shared" si="104"/>
        <v xml:space="preserve">N959MJ  </v>
      </c>
      <c r="BC2195">
        <v>1</v>
      </c>
      <c r="BE2195">
        <v>0</v>
      </c>
      <c r="BF2195">
        <v>0</v>
      </c>
      <c r="BG2195">
        <v>0</v>
      </c>
      <c r="BH2195">
        <v>4900</v>
      </c>
      <c r="BI2195">
        <v>200</v>
      </c>
      <c r="BJ2195">
        <v>1</v>
      </c>
      <c r="BK2195">
        <v>1</v>
      </c>
      <c r="BL2195">
        <v>1</v>
      </c>
      <c r="BM2195">
        <v>0</v>
      </c>
      <c r="BP2195">
        <v>0</v>
      </c>
      <c r="BQ2195">
        <v>0</v>
      </c>
      <c r="BX2195" t="str">
        <f>"14:26:55.797"</f>
        <v>14:26:55.797</v>
      </c>
      <c r="BY2195" t="str">
        <f>"793860909"</f>
        <v>793860909</v>
      </c>
      <c r="CL2195">
        <v>0</v>
      </c>
      <c r="CM2195">
        <v>2</v>
      </c>
      <c r="CN2195">
        <v>0</v>
      </c>
      <c r="CO2195">
        <v>2</v>
      </c>
      <c r="CP2195">
        <v>0</v>
      </c>
      <c r="CQ2195">
        <v>7</v>
      </c>
      <c r="CR2195" t="s">
        <v>116</v>
      </c>
      <c r="CS2195">
        <v>39</v>
      </c>
      <c r="CT2195">
        <v>3</v>
      </c>
      <c r="CU2195" t="s">
        <v>2259</v>
      </c>
      <c r="CV2195" t="s">
        <v>2260</v>
      </c>
      <c r="CY2195">
        <v>10790282</v>
      </c>
      <c r="CZ2195" t="s">
        <v>119</v>
      </c>
    </row>
    <row r="2196" spans="1:104" x14ac:dyDescent="0.25">
      <c r="A2196" t="str">
        <f>"14:26:56.945"</f>
        <v>14:26:56.945</v>
      </c>
      <c r="B2196" t="s">
        <v>108</v>
      </c>
      <c r="C2196" t="str">
        <f t="shared" si="103"/>
        <v>ffdfd3c0</v>
      </c>
      <c r="D2196" t="s">
        <v>109</v>
      </c>
      <c r="E2196">
        <v>4</v>
      </c>
      <c r="F2196">
        <v>1004</v>
      </c>
      <c r="G2196" t="s">
        <v>110</v>
      </c>
      <c r="J2196" t="s">
        <v>111</v>
      </c>
      <c r="K2196">
        <v>0</v>
      </c>
      <c r="L2196">
        <v>3</v>
      </c>
      <c r="M2196">
        <v>0</v>
      </c>
      <c r="N2196">
        <v>2</v>
      </c>
      <c r="O2196">
        <v>1</v>
      </c>
      <c r="P2196">
        <v>0</v>
      </c>
      <c r="Q2196">
        <v>0</v>
      </c>
      <c r="R2196" t="s">
        <v>112</v>
      </c>
      <c r="S2196" t="str">
        <f>"14:26:56.773"</f>
        <v>14:26:56.773</v>
      </c>
      <c r="T2196" t="str">
        <f>"14:26:56.375"</f>
        <v>14:26:56.375</v>
      </c>
      <c r="U2196" t="str">
        <f t="shared" si="102"/>
        <v>ad5732</v>
      </c>
      <c r="V2196">
        <v>0</v>
      </c>
      <c r="W2196">
        <v>0</v>
      </c>
      <c r="X2196">
        <v>1</v>
      </c>
      <c r="Z2196">
        <v>0</v>
      </c>
      <c r="AA2196">
        <v>9</v>
      </c>
      <c r="AB2196">
        <v>3</v>
      </c>
      <c r="AC2196">
        <v>0</v>
      </c>
      <c r="AD2196">
        <v>10</v>
      </c>
      <c r="AE2196">
        <v>0</v>
      </c>
      <c r="AF2196">
        <v>3</v>
      </c>
      <c r="AG2196">
        <v>2</v>
      </c>
      <c r="AH2196">
        <v>0</v>
      </c>
      <c r="AI2196" t="s">
        <v>4497</v>
      </c>
      <c r="AJ2196">
        <v>39.911999999999999</v>
      </c>
      <c r="AK2196" t="s">
        <v>4498</v>
      </c>
      <c r="AL2196">
        <v>-75.680994999999996</v>
      </c>
      <c r="AM2196">
        <v>100</v>
      </c>
      <c r="AN2196">
        <v>4700</v>
      </c>
      <c r="AO2196" t="s">
        <v>115</v>
      </c>
      <c r="AP2196">
        <v>161</v>
      </c>
      <c r="AQ2196">
        <v>83</v>
      </c>
      <c r="AR2196">
        <v>0</v>
      </c>
      <c r="AZ2196">
        <v>3614</v>
      </c>
      <c r="BA2196">
        <v>1</v>
      </c>
      <c r="BB2196" t="str">
        <f t="shared" si="104"/>
        <v xml:space="preserve">N959MJ  </v>
      </c>
      <c r="BC2196">
        <v>1</v>
      </c>
      <c r="BE2196">
        <v>0</v>
      </c>
      <c r="BF2196">
        <v>0</v>
      </c>
      <c r="BG2196">
        <v>0</v>
      </c>
      <c r="BH2196">
        <v>4900</v>
      </c>
      <c r="BI2196">
        <v>200</v>
      </c>
      <c r="BJ2196">
        <v>1</v>
      </c>
      <c r="BK2196">
        <v>1</v>
      </c>
      <c r="BL2196">
        <v>1</v>
      </c>
      <c r="BM2196">
        <v>0</v>
      </c>
      <c r="BP2196">
        <v>0</v>
      </c>
      <c r="BQ2196">
        <v>0</v>
      </c>
      <c r="BX2196" t="str">
        <f>"14:26:56.773"</f>
        <v>14:26:56.773</v>
      </c>
      <c r="BY2196" t="str">
        <f>"776917453"</f>
        <v>776917453</v>
      </c>
      <c r="CL2196">
        <v>0</v>
      </c>
      <c r="CM2196">
        <v>2</v>
      </c>
      <c r="CN2196">
        <v>0</v>
      </c>
      <c r="CO2196">
        <v>2</v>
      </c>
      <c r="CP2196">
        <v>0</v>
      </c>
      <c r="CQ2196">
        <v>7</v>
      </c>
      <c r="CR2196" t="s">
        <v>116</v>
      </c>
      <c r="CS2196">
        <v>39</v>
      </c>
      <c r="CT2196">
        <v>2</v>
      </c>
      <c r="CU2196" t="s">
        <v>2259</v>
      </c>
      <c r="CV2196" t="s">
        <v>2260</v>
      </c>
      <c r="CY2196">
        <v>31789</v>
      </c>
      <c r="CZ2196" t="s">
        <v>119</v>
      </c>
    </row>
    <row r="2197" spans="1:104" x14ac:dyDescent="0.25">
      <c r="A2197" t="str">
        <f>"14:26:58.109"</f>
        <v>14:26:58.109</v>
      </c>
      <c r="B2197" t="s">
        <v>108</v>
      </c>
      <c r="C2197" t="str">
        <f t="shared" si="103"/>
        <v>ffdfd3c0</v>
      </c>
      <c r="D2197" t="s">
        <v>109</v>
      </c>
      <c r="E2197">
        <v>4</v>
      </c>
      <c r="F2197">
        <v>1004</v>
      </c>
      <c r="G2197" t="s">
        <v>110</v>
      </c>
      <c r="J2197" t="s">
        <v>111</v>
      </c>
      <c r="K2197">
        <v>0</v>
      </c>
      <c r="L2197">
        <v>3</v>
      </c>
      <c r="M2197">
        <v>0</v>
      </c>
      <c r="N2197">
        <v>2</v>
      </c>
      <c r="O2197">
        <v>1</v>
      </c>
      <c r="P2197">
        <v>0</v>
      </c>
      <c r="Q2197">
        <v>0</v>
      </c>
      <c r="R2197" t="s">
        <v>112</v>
      </c>
      <c r="S2197" t="str">
        <f>"14:26:57.938"</f>
        <v>14:26:57.938</v>
      </c>
      <c r="T2197" t="str">
        <f>"14:26:57.438"</f>
        <v>14:26:57.438</v>
      </c>
      <c r="U2197" t="str">
        <f t="shared" si="102"/>
        <v>ad5732</v>
      </c>
      <c r="V2197">
        <v>0</v>
      </c>
      <c r="W2197">
        <v>0</v>
      </c>
      <c r="X2197">
        <v>1</v>
      </c>
      <c r="Z2197">
        <v>0</v>
      </c>
      <c r="AA2197">
        <v>9</v>
      </c>
      <c r="AB2197">
        <v>3</v>
      </c>
      <c r="AC2197">
        <v>0</v>
      </c>
      <c r="AD2197">
        <v>10</v>
      </c>
      <c r="AE2197">
        <v>0</v>
      </c>
      <c r="AF2197">
        <v>3</v>
      </c>
      <c r="AG2197">
        <v>2</v>
      </c>
      <c r="AH2197">
        <v>0</v>
      </c>
      <c r="AI2197" t="s">
        <v>4499</v>
      </c>
      <c r="AJ2197">
        <v>39.91245</v>
      </c>
      <c r="AK2197" t="s">
        <v>4500</v>
      </c>
      <c r="AL2197">
        <v>-75.679793000000004</v>
      </c>
      <c r="AM2197">
        <v>100</v>
      </c>
      <c r="AN2197">
        <v>4700</v>
      </c>
      <c r="AO2197" t="s">
        <v>115</v>
      </c>
      <c r="AP2197">
        <v>161</v>
      </c>
      <c r="AQ2197">
        <v>83</v>
      </c>
      <c r="AR2197">
        <v>0</v>
      </c>
      <c r="AZ2197">
        <v>3614</v>
      </c>
      <c r="BA2197">
        <v>1</v>
      </c>
      <c r="BB2197" t="str">
        <f t="shared" si="104"/>
        <v xml:space="preserve">N959MJ  </v>
      </c>
      <c r="BC2197">
        <v>1</v>
      </c>
      <c r="BE2197">
        <v>0</v>
      </c>
      <c r="BF2197">
        <v>0</v>
      </c>
      <c r="BG2197">
        <v>0</v>
      </c>
      <c r="BH2197">
        <v>4900</v>
      </c>
      <c r="BI2197">
        <v>200</v>
      </c>
      <c r="BJ2197">
        <v>1</v>
      </c>
      <c r="BK2197">
        <v>1</v>
      </c>
      <c r="BL2197">
        <v>1</v>
      </c>
      <c r="BM2197">
        <v>0</v>
      </c>
      <c r="BP2197">
        <v>0</v>
      </c>
      <c r="BQ2197">
        <v>0</v>
      </c>
      <c r="BX2197" t="str">
        <f>"14:26:57.945"</f>
        <v>14:26:57.945</v>
      </c>
      <c r="BY2197" t="str">
        <f>"945116401"</f>
        <v>945116401</v>
      </c>
      <c r="CL2197">
        <v>0</v>
      </c>
      <c r="CM2197">
        <v>2</v>
      </c>
      <c r="CN2197">
        <v>0</v>
      </c>
      <c r="CO2197">
        <v>2</v>
      </c>
      <c r="CP2197">
        <v>0</v>
      </c>
      <c r="CQ2197">
        <v>7</v>
      </c>
      <c r="CR2197" t="s">
        <v>116</v>
      </c>
      <c r="CS2197">
        <v>39</v>
      </c>
      <c r="CT2197">
        <v>2</v>
      </c>
      <c r="CU2197" t="s">
        <v>2259</v>
      </c>
      <c r="CV2197" t="s">
        <v>2260</v>
      </c>
      <c r="CY2197">
        <v>33880</v>
      </c>
      <c r="CZ2197" t="s">
        <v>119</v>
      </c>
    </row>
    <row r="2198" spans="1:104" x14ac:dyDescent="0.25">
      <c r="A2198" t="str">
        <f>"14:26:59.063"</f>
        <v>14:26:59.063</v>
      </c>
      <c r="B2198" t="s">
        <v>108</v>
      </c>
      <c r="C2198" t="str">
        <f t="shared" si="103"/>
        <v>ffdfd3c0</v>
      </c>
      <c r="D2198" t="s">
        <v>109</v>
      </c>
      <c r="E2198">
        <v>4</v>
      </c>
      <c r="F2198">
        <v>1004</v>
      </c>
      <c r="G2198" t="s">
        <v>110</v>
      </c>
      <c r="J2198" t="s">
        <v>111</v>
      </c>
      <c r="K2198">
        <v>0</v>
      </c>
      <c r="L2198">
        <v>3</v>
      </c>
      <c r="M2198">
        <v>0</v>
      </c>
      <c r="N2198">
        <v>2</v>
      </c>
      <c r="O2198">
        <v>1</v>
      </c>
      <c r="P2198">
        <v>0</v>
      </c>
      <c r="Q2198">
        <v>0</v>
      </c>
      <c r="R2198" t="s">
        <v>112</v>
      </c>
      <c r="S2198" t="str">
        <f>"14:26:58.898"</f>
        <v>14:26:58.898</v>
      </c>
      <c r="T2198" t="str">
        <f>"14:26:58.500"</f>
        <v>14:26:58.500</v>
      </c>
      <c r="U2198" t="str">
        <f t="shared" si="102"/>
        <v>ad5732</v>
      </c>
      <c r="V2198">
        <v>0</v>
      </c>
      <c r="W2198">
        <v>0</v>
      </c>
      <c r="X2198">
        <v>1</v>
      </c>
      <c r="Z2198">
        <v>0</v>
      </c>
      <c r="AA2198">
        <v>9</v>
      </c>
      <c r="AB2198">
        <v>3</v>
      </c>
      <c r="AC2198">
        <v>0</v>
      </c>
      <c r="AD2198">
        <v>10</v>
      </c>
      <c r="AE2198">
        <v>0</v>
      </c>
      <c r="AF2198">
        <v>3</v>
      </c>
      <c r="AG2198">
        <v>2</v>
      </c>
      <c r="AH2198">
        <v>0</v>
      </c>
      <c r="AI2198" t="s">
        <v>4501</v>
      </c>
      <c r="AJ2198">
        <v>39.912771999999997</v>
      </c>
      <c r="AK2198" t="s">
        <v>4502</v>
      </c>
      <c r="AL2198">
        <v>-75.678956999999997</v>
      </c>
      <c r="AM2198">
        <v>100</v>
      </c>
      <c r="AN2198">
        <v>4700</v>
      </c>
      <c r="AO2198" t="s">
        <v>115</v>
      </c>
      <c r="AP2198">
        <v>161</v>
      </c>
      <c r="AQ2198">
        <v>83</v>
      </c>
      <c r="AR2198">
        <v>0</v>
      </c>
      <c r="AZ2198">
        <v>3614</v>
      </c>
      <c r="BA2198">
        <v>1</v>
      </c>
      <c r="BB2198" t="str">
        <f t="shared" si="104"/>
        <v xml:space="preserve">N959MJ  </v>
      </c>
      <c r="BC2198">
        <v>1</v>
      </c>
      <c r="BE2198">
        <v>0</v>
      </c>
      <c r="BF2198">
        <v>0</v>
      </c>
      <c r="BG2198">
        <v>0</v>
      </c>
      <c r="BH2198">
        <v>4900</v>
      </c>
      <c r="BI2198">
        <v>200</v>
      </c>
      <c r="BJ2198">
        <v>1</v>
      </c>
      <c r="BK2198">
        <v>1</v>
      </c>
      <c r="BL2198">
        <v>1</v>
      </c>
      <c r="BM2198">
        <v>0</v>
      </c>
      <c r="BP2198">
        <v>0</v>
      </c>
      <c r="BQ2198">
        <v>0</v>
      </c>
      <c r="BX2198" t="str">
        <f>"14:26:58.898"</f>
        <v>14:26:58.898</v>
      </c>
      <c r="BY2198" t="str">
        <f>"898681283"</f>
        <v>898681283</v>
      </c>
      <c r="CL2198">
        <v>0</v>
      </c>
      <c r="CM2198">
        <v>2</v>
      </c>
      <c r="CN2198">
        <v>0</v>
      </c>
      <c r="CO2198">
        <v>2</v>
      </c>
      <c r="CP2198">
        <v>0</v>
      </c>
      <c r="CQ2198">
        <v>7</v>
      </c>
      <c r="CR2198" t="s">
        <v>116</v>
      </c>
      <c r="CS2198">
        <v>39</v>
      </c>
      <c r="CT2198">
        <v>2</v>
      </c>
      <c r="CU2198" t="s">
        <v>2259</v>
      </c>
      <c r="CV2198" t="s">
        <v>2260</v>
      </c>
      <c r="CY2198">
        <v>35482</v>
      </c>
      <c r="CZ2198" t="s">
        <v>119</v>
      </c>
    </row>
    <row r="2199" spans="1:104" x14ac:dyDescent="0.25">
      <c r="A2199" t="str">
        <f>"14:26:59.922"</f>
        <v>14:26:59.922</v>
      </c>
      <c r="B2199" t="s">
        <v>108</v>
      </c>
      <c r="C2199" t="str">
        <f t="shared" si="103"/>
        <v>ffdfd3c0</v>
      </c>
      <c r="D2199" t="s">
        <v>109</v>
      </c>
      <c r="E2199">
        <v>4</v>
      </c>
      <c r="F2199">
        <v>1004</v>
      </c>
      <c r="G2199" t="s">
        <v>110</v>
      </c>
      <c r="J2199" t="s">
        <v>111</v>
      </c>
      <c r="K2199">
        <v>0</v>
      </c>
      <c r="L2199">
        <v>3</v>
      </c>
      <c r="M2199">
        <v>0</v>
      </c>
      <c r="N2199">
        <v>2</v>
      </c>
      <c r="O2199">
        <v>1</v>
      </c>
      <c r="P2199">
        <v>0</v>
      </c>
      <c r="Q2199">
        <v>0</v>
      </c>
      <c r="R2199" t="s">
        <v>112</v>
      </c>
      <c r="S2199" t="str">
        <f>"14:26:59.758"</f>
        <v>14:26:59.758</v>
      </c>
      <c r="T2199" t="str">
        <f>"14:26:59.359"</f>
        <v>14:26:59.359</v>
      </c>
      <c r="U2199" t="str">
        <f t="shared" si="102"/>
        <v>ad5732</v>
      </c>
      <c r="V2199">
        <v>0</v>
      </c>
      <c r="W2199">
        <v>0</v>
      </c>
      <c r="X2199">
        <v>1</v>
      </c>
      <c r="Z2199">
        <v>0</v>
      </c>
      <c r="AA2199">
        <v>9</v>
      </c>
      <c r="AB2199">
        <v>3</v>
      </c>
      <c r="AC2199">
        <v>0</v>
      </c>
      <c r="AD2199">
        <v>10</v>
      </c>
      <c r="AE2199">
        <v>0</v>
      </c>
      <c r="AF2199">
        <v>3</v>
      </c>
      <c r="AG2199">
        <v>2</v>
      </c>
      <c r="AH2199">
        <v>0</v>
      </c>
      <c r="AI2199" t="s">
        <v>4503</v>
      </c>
      <c r="AJ2199">
        <v>39.913136999999999</v>
      </c>
      <c r="AK2199" t="s">
        <v>4504</v>
      </c>
      <c r="AL2199">
        <v>-75.678077000000002</v>
      </c>
      <c r="AM2199">
        <v>100</v>
      </c>
      <c r="AN2199">
        <v>4700</v>
      </c>
      <c r="AO2199" t="s">
        <v>115</v>
      </c>
      <c r="AP2199">
        <v>161</v>
      </c>
      <c r="AQ2199">
        <v>83</v>
      </c>
      <c r="AR2199">
        <v>0</v>
      </c>
      <c r="AZ2199">
        <v>3614</v>
      </c>
      <c r="BA2199">
        <v>1</v>
      </c>
      <c r="BB2199" t="str">
        <f t="shared" si="104"/>
        <v xml:space="preserve">N959MJ  </v>
      </c>
      <c r="BC2199">
        <v>1</v>
      </c>
      <c r="BE2199">
        <v>0</v>
      </c>
      <c r="BF2199">
        <v>0</v>
      </c>
      <c r="BG2199">
        <v>0</v>
      </c>
      <c r="BH2199">
        <v>4900</v>
      </c>
      <c r="BI2199">
        <v>200</v>
      </c>
      <c r="BJ2199">
        <v>1</v>
      </c>
      <c r="BK2199">
        <v>1</v>
      </c>
      <c r="BL2199">
        <v>1</v>
      </c>
      <c r="BM2199">
        <v>0</v>
      </c>
      <c r="BP2199">
        <v>0</v>
      </c>
      <c r="BQ2199">
        <v>0</v>
      </c>
      <c r="BX2199" t="str">
        <f>"14:26:59.758"</f>
        <v>14:26:59.758</v>
      </c>
      <c r="BY2199" t="str">
        <f>"760494165"</f>
        <v>760494165</v>
      </c>
      <c r="CL2199">
        <v>0</v>
      </c>
      <c r="CM2199">
        <v>2</v>
      </c>
      <c r="CN2199">
        <v>0</v>
      </c>
      <c r="CO2199">
        <v>2</v>
      </c>
      <c r="CP2199">
        <v>0</v>
      </c>
      <c r="CQ2199">
        <v>7</v>
      </c>
      <c r="CR2199" t="s">
        <v>116</v>
      </c>
      <c r="CS2199">
        <v>39</v>
      </c>
      <c r="CT2199">
        <v>3</v>
      </c>
      <c r="CU2199" t="s">
        <v>2259</v>
      </c>
      <c r="CV2199" t="s">
        <v>2260</v>
      </c>
      <c r="CY2199">
        <v>10797171</v>
      </c>
      <c r="CZ2199" t="s">
        <v>119</v>
      </c>
    </row>
    <row r="2200" spans="1:104" x14ac:dyDescent="0.25">
      <c r="A2200" t="str">
        <f>"14:27:00.930"</f>
        <v>14:27:00.930</v>
      </c>
      <c r="B2200" t="s">
        <v>108</v>
      </c>
      <c r="C2200" t="str">
        <f t="shared" si="103"/>
        <v>ffdfd3c0</v>
      </c>
      <c r="D2200" t="s">
        <v>109</v>
      </c>
      <c r="E2200">
        <v>4</v>
      </c>
      <c r="F2200">
        <v>1004</v>
      </c>
      <c r="G2200" t="s">
        <v>110</v>
      </c>
      <c r="J2200" t="s">
        <v>111</v>
      </c>
      <c r="K2200">
        <v>0</v>
      </c>
      <c r="L2200">
        <v>3</v>
      </c>
      <c r="M2200">
        <v>0</v>
      </c>
      <c r="N2200">
        <v>2</v>
      </c>
      <c r="O2200">
        <v>1</v>
      </c>
      <c r="P2200">
        <v>0</v>
      </c>
      <c r="Q2200">
        <v>0</v>
      </c>
      <c r="R2200" t="s">
        <v>112</v>
      </c>
      <c r="S2200" t="str">
        <f>"14:27:00.742"</f>
        <v>14:27:00.742</v>
      </c>
      <c r="T2200" t="str">
        <f>"14:27:00.344"</f>
        <v>14:27:00.344</v>
      </c>
      <c r="U2200" t="str">
        <f t="shared" si="102"/>
        <v>ad5732</v>
      </c>
      <c r="V2200">
        <v>0</v>
      </c>
      <c r="W2200">
        <v>0</v>
      </c>
      <c r="X2200">
        <v>1</v>
      </c>
      <c r="Z2200">
        <v>0</v>
      </c>
      <c r="AA2200">
        <v>9</v>
      </c>
      <c r="AB2200">
        <v>3</v>
      </c>
      <c r="AC2200">
        <v>0</v>
      </c>
      <c r="AD2200">
        <v>10</v>
      </c>
      <c r="AE2200">
        <v>0</v>
      </c>
      <c r="AF2200">
        <v>3</v>
      </c>
      <c r="AG2200">
        <v>2</v>
      </c>
      <c r="AH2200">
        <v>0</v>
      </c>
      <c r="AI2200" t="s">
        <v>4505</v>
      </c>
      <c r="AJ2200">
        <v>39.913522999999998</v>
      </c>
      <c r="AK2200" t="s">
        <v>4506</v>
      </c>
      <c r="AL2200">
        <v>-75.677110999999996</v>
      </c>
      <c r="AM2200">
        <v>100</v>
      </c>
      <c r="AN2200">
        <v>4700</v>
      </c>
      <c r="AO2200" t="s">
        <v>115</v>
      </c>
      <c r="AP2200">
        <v>161</v>
      </c>
      <c r="AQ2200">
        <v>83</v>
      </c>
      <c r="AR2200">
        <v>0</v>
      </c>
      <c r="AZ2200">
        <v>3614</v>
      </c>
      <c r="BA2200">
        <v>1</v>
      </c>
      <c r="BB2200" t="str">
        <f t="shared" si="104"/>
        <v xml:space="preserve">N959MJ  </v>
      </c>
      <c r="BC2200">
        <v>1</v>
      </c>
      <c r="BE2200">
        <v>0</v>
      </c>
      <c r="BF2200">
        <v>0</v>
      </c>
      <c r="BG2200">
        <v>0</v>
      </c>
      <c r="BH2200">
        <v>4900</v>
      </c>
      <c r="BI2200">
        <v>200</v>
      </c>
      <c r="BJ2200">
        <v>1</v>
      </c>
      <c r="BK2200">
        <v>1</v>
      </c>
      <c r="BL2200">
        <v>1</v>
      </c>
      <c r="BM2200">
        <v>0</v>
      </c>
      <c r="BP2200">
        <v>0</v>
      </c>
      <c r="BQ2200">
        <v>0</v>
      </c>
      <c r="BX2200" t="str">
        <f>"14:27:00.742"</f>
        <v>14:27:00.742</v>
      </c>
      <c r="BY2200" t="str">
        <f>"745189211"</f>
        <v>745189211</v>
      </c>
      <c r="CL2200">
        <v>0</v>
      </c>
      <c r="CM2200">
        <v>2</v>
      </c>
      <c r="CN2200">
        <v>0</v>
      </c>
      <c r="CO2200">
        <v>2</v>
      </c>
      <c r="CP2200">
        <v>0</v>
      </c>
      <c r="CQ2200">
        <v>7</v>
      </c>
      <c r="CR2200" t="s">
        <v>116</v>
      </c>
      <c r="CS2200">
        <v>39</v>
      </c>
      <c r="CT2200">
        <v>2</v>
      </c>
      <c r="CU2200" t="s">
        <v>2259</v>
      </c>
      <c r="CV2200" t="s">
        <v>2260</v>
      </c>
      <c r="CY2200">
        <v>38630</v>
      </c>
      <c r="CZ2200" t="s">
        <v>119</v>
      </c>
    </row>
    <row r="2201" spans="1:104" x14ac:dyDescent="0.25">
      <c r="A2201" t="str">
        <f>"14:27:01.945"</f>
        <v>14:27:01.945</v>
      </c>
      <c r="B2201" t="s">
        <v>108</v>
      </c>
      <c r="C2201" t="str">
        <f t="shared" si="103"/>
        <v>ffdfd3c0</v>
      </c>
      <c r="D2201" t="s">
        <v>109</v>
      </c>
      <c r="E2201">
        <v>4</v>
      </c>
      <c r="F2201">
        <v>1004</v>
      </c>
      <c r="G2201" t="s">
        <v>110</v>
      </c>
      <c r="J2201" t="s">
        <v>111</v>
      </c>
      <c r="K2201">
        <v>0</v>
      </c>
      <c r="L2201">
        <v>3</v>
      </c>
      <c r="M2201">
        <v>0</v>
      </c>
      <c r="N2201">
        <v>2</v>
      </c>
      <c r="O2201">
        <v>1</v>
      </c>
      <c r="P2201">
        <v>0</v>
      </c>
      <c r="Q2201">
        <v>0</v>
      </c>
      <c r="R2201" t="s">
        <v>112</v>
      </c>
      <c r="S2201" t="str">
        <f>"14:27:01.734"</f>
        <v>14:27:01.734</v>
      </c>
      <c r="T2201" t="str">
        <f>"14:27:01.234"</f>
        <v>14:27:01.234</v>
      </c>
      <c r="U2201" t="str">
        <f t="shared" si="102"/>
        <v>ad5732</v>
      </c>
      <c r="V2201">
        <v>0</v>
      </c>
      <c r="W2201">
        <v>0</v>
      </c>
      <c r="X2201">
        <v>1</v>
      </c>
      <c r="Z2201">
        <v>0</v>
      </c>
      <c r="AA2201">
        <v>9</v>
      </c>
      <c r="AB2201">
        <v>3</v>
      </c>
      <c r="AC2201">
        <v>0</v>
      </c>
      <c r="AD2201">
        <v>10</v>
      </c>
      <c r="AE2201">
        <v>0</v>
      </c>
      <c r="AF2201">
        <v>3</v>
      </c>
      <c r="AG2201">
        <v>2</v>
      </c>
      <c r="AH2201">
        <v>0</v>
      </c>
      <c r="AI2201" t="s">
        <v>4507</v>
      </c>
      <c r="AJ2201">
        <v>39.913930999999998</v>
      </c>
      <c r="AK2201" t="s">
        <v>4508</v>
      </c>
      <c r="AL2201">
        <v>-75.676167000000007</v>
      </c>
      <c r="AM2201">
        <v>100</v>
      </c>
      <c r="AN2201">
        <v>4700</v>
      </c>
      <c r="AO2201" t="s">
        <v>115</v>
      </c>
      <c r="AP2201">
        <v>161</v>
      </c>
      <c r="AQ2201">
        <v>83</v>
      </c>
      <c r="AR2201">
        <v>0</v>
      </c>
      <c r="AZ2201">
        <v>3614</v>
      </c>
      <c r="BA2201">
        <v>1</v>
      </c>
      <c r="BB2201" t="str">
        <f t="shared" si="104"/>
        <v xml:space="preserve">N959MJ  </v>
      </c>
      <c r="BC2201">
        <v>1</v>
      </c>
      <c r="BE2201">
        <v>0</v>
      </c>
      <c r="BF2201">
        <v>0</v>
      </c>
      <c r="BG2201">
        <v>0</v>
      </c>
      <c r="BH2201">
        <v>4900</v>
      </c>
      <c r="BI2201">
        <v>200</v>
      </c>
      <c r="BJ2201">
        <v>1</v>
      </c>
      <c r="BK2201">
        <v>1</v>
      </c>
      <c r="BL2201">
        <v>1</v>
      </c>
      <c r="BM2201">
        <v>0</v>
      </c>
      <c r="BP2201">
        <v>0</v>
      </c>
      <c r="BQ2201">
        <v>0</v>
      </c>
      <c r="BX2201" t="str">
        <f>"14:27:01.734"</f>
        <v>14:27:01.734</v>
      </c>
      <c r="BY2201" t="str">
        <f>"738076353"</f>
        <v>738076353</v>
      </c>
      <c r="CL2201">
        <v>0</v>
      </c>
      <c r="CM2201">
        <v>2</v>
      </c>
      <c r="CN2201">
        <v>0</v>
      </c>
      <c r="CO2201">
        <v>2</v>
      </c>
      <c r="CP2201">
        <v>0</v>
      </c>
      <c r="CQ2201">
        <v>7</v>
      </c>
      <c r="CR2201" t="s">
        <v>116</v>
      </c>
      <c r="CS2201">
        <v>39</v>
      </c>
      <c r="CT2201">
        <v>2</v>
      </c>
      <c r="CU2201" t="s">
        <v>2259</v>
      </c>
      <c r="CV2201" t="s">
        <v>2260</v>
      </c>
      <c r="CY2201">
        <v>40450</v>
      </c>
      <c r="CZ2201" t="s">
        <v>119</v>
      </c>
    </row>
    <row r="2202" spans="1:104" x14ac:dyDescent="0.25">
      <c r="A2202" t="str">
        <f>"14:27:02.898"</f>
        <v>14:27:02.898</v>
      </c>
      <c r="B2202" t="s">
        <v>108</v>
      </c>
      <c r="C2202" t="str">
        <f t="shared" si="103"/>
        <v>ffdfd3c0</v>
      </c>
      <c r="D2202" t="s">
        <v>109</v>
      </c>
      <c r="E2202">
        <v>4</v>
      </c>
      <c r="F2202">
        <v>1004</v>
      </c>
      <c r="G2202" t="s">
        <v>110</v>
      </c>
      <c r="J2202" t="s">
        <v>111</v>
      </c>
      <c r="K2202">
        <v>0</v>
      </c>
      <c r="L2202">
        <v>3</v>
      </c>
      <c r="M2202">
        <v>0</v>
      </c>
      <c r="N2202">
        <v>2</v>
      </c>
      <c r="O2202">
        <v>1</v>
      </c>
      <c r="P2202">
        <v>0</v>
      </c>
      <c r="Q2202">
        <v>0</v>
      </c>
      <c r="R2202" t="s">
        <v>112</v>
      </c>
      <c r="S2202" t="str">
        <f>"14:27:02.727"</f>
        <v>14:27:02.727</v>
      </c>
      <c r="T2202" t="str">
        <f>"14:27:02.328"</f>
        <v>14:27:02.328</v>
      </c>
      <c r="U2202" t="str">
        <f t="shared" si="102"/>
        <v>ad5732</v>
      </c>
      <c r="V2202">
        <v>0</v>
      </c>
      <c r="W2202">
        <v>0</v>
      </c>
      <c r="X2202">
        <v>1</v>
      </c>
      <c r="Z2202">
        <v>0</v>
      </c>
      <c r="AA2202">
        <v>9</v>
      </c>
      <c r="AB2202">
        <v>3</v>
      </c>
      <c r="AC2202">
        <v>0</v>
      </c>
      <c r="AD2202">
        <v>10</v>
      </c>
      <c r="AE2202">
        <v>0</v>
      </c>
      <c r="AF2202">
        <v>3</v>
      </c>
      <c r="AG2202">
        <v>2</v>
      </c>
      <c r="AH2202">
        <v>0</v>
      </c>
      <c r="AI2202" t="s">
        <v>4509</v>
      </c>
      <c r="AJ2202">
        <v>39.914296</v>
      </c>
      <c r="AK2202" t="s">
        <v>4510</v>
      </c>
      <c r="AL2202">
        <v>-75.675137000000007</v>
      </c>
      <c r="AM2202">
        <v>100</v>
      </c>
      <c r="AN2202">
        <v>4700</v>
      </c>
      <c r="AO2202" t="s">
        <v>115</v>
      </c>
      <c r="AP2202">
        <v>161</v>
      </c>
      <c r="AQ2202">
        <v>84</v>
      </c>
      <c r="AR2202">
        <v>0</v>
      </c>
      <c r="AZ2202">
        <v>3614</v>
      </c>
      <c r="BA2202">
        <v>1</v>
      </c>
      <c r="BB2202" t="str">
        <f t="shared" si="104"/>
        <v xml:space="preserve">N959MJ  </v>
      </c>
      <c r="BC2202">
        <v>1</v>
      </c>
      <c r="BE2202">
        <v>0</v>
      </c>
      <c r="BF2202">
        <v>0</v>
      </c>
      <c r="BG2202">
        <v>0</v>
      </c>
      <c r="BH2202">
        <v>4900</v>
      </c>
      <c r="BI2202">
        <v>200</v>
      </c>
      <c r="BJ2202">
        <v>1</v>
      </c>
      <c r="BK2202">
        <v>1</v>
      </c>
      <c r="BL2202">
        <v>1</v>
      </c>
      <c r="BM2202">
        <v>0</v>
      </c>
      <c r="BP2202">
        <v>0</v>
      </c>
      <c r="BQ2202">
        <v>0</v>
      </c>
      <c r="BX2202" t="str">
        <f>"14:27:02.734"</f>
        <v>14:27:02.734</v>
      </c>
      <c r="BY2202" t="str">
        <f>"732601861"</f>
        <v>732601861</v>
      </c>
      <c r="CL2202">
        <v>0</v>
      </c>
      <c r="CM2202">
        <v>2</v>
      </c>
      <c r="CN2202">
        <v>0</v>
      </c>
      <c r="CO2202">
        <v>2</v>
      </c>
      <c r="CP2202">
        <v>0</v>
      </c>
      <c r="CQ2202">
        <v>7</v>
      </c>
      <c r="CR2202" t="s">
        <v>116</v>
      </c>
      <c r="CS2202">
        <v>39</v>
      </c>
      <c r="CT2202">
        <v>2</v>
      </c>
      <c r="CU2202" t="s">
        <v>2259</v>
      </c>
      <c r="CV2202" t="s">
        <v>2260</v>
      </c>
      <c r="CY2202">
        <v>42230</v>
      </c>
      <c r="CZ2202" t="s">
        <v>119</v>
      </c>
    </row>
    <row r="2203" spans="1:104" x14ac:dyDescent="0.25">
      <c r="A2203" t="str">
        <f>"14:27:03.914"</f>
        <v>14:27:03.914</v>
      </c>
      <c r="B2203" t="s">
        <v>108</v>
      </c>
      <c r="C2203" t="str">
        <f t="shared" si="103"/>
        <v>ffdfd3c0</v>
      </c>
      <c r="D2203" t="s">
        <v>109</v>
      </c>
      <c r="E2203">
        <v>4</v>
      </c>
      <c r="F2203">
        <v>1004</v>
      </c>
      <c r="G2203" t="s">
        <v>110</v>
      </c>
      <c r="J2203" t="s">
        <v>111</v>
      </c>
      <c r="K2203">
        <v>0</v>
      </c>
      <c r="L2203">
        <v>3</v>
      </c>
      <c r="M2203">
        <v>0</v>
      </c>
      <c r="N2203">
        <v>2</v>
      </c>
      <c r="O2203">
        <v>1</v>
      </c>
      <c r="P2203">
        <v>0</v>
      </c>
      <c r="Q2203">
        <v>0</v>
      </c>
      <c r="R2203" t="s">
        <v>112</v>
      </c>
      <c r="S2203" t="str">
        <f>"14:27:03.719"</f>
        <v>14:27:03.719</v>
      </c>
      <c r="T2203" t="str">
        <f>"14:27:03.320"</f>
        <v>14:27:03.320</v>
      </c>
      <c r="U2203" t="str">
        <f t="shared" si="102"/>
        <v>ad5732</v>
      </c>
      <c r="V2203">
        <v>0</v>
      </c>
      <c r="W2203">
        <v>0</v>
      </c>
      <c r="X2203">
        <v>1</v>
      </c>
      <c r="Z2203">
        <v>0</v>
      </c>
      <c r="AA2203">
        <v>9</v>
      </c>
      <c r="AB2203">
        <v>3</v>
      </c>
      <c r="AC2203">
        <v>0</v>
      </c>
      <c r="AD2203">
        <v>10</v>
      </c>
      <c r="AE2203">
        <v>0</v>
      </c>
      <c r="AF2203">
        <v>3</v>
      </c>
      <c r="AG2203">
        <v>2</v>
      </c>
      <c r="AH2203">
        <v>0</v>
      </c>
      <c r="AI2203" t="s">
        <v>4511</v>
      </c>
      <c r="AJ2203">
        <v>39.914703000000003</v>
      </c>
      <c r="AK2203" t="s">
        <v>4512</v>
      </c>
      <c r="AL2203">
        <v>-75.674193000000002</v>
      </c>
      <c r="AM2203">
        <v>100</v>
      </c>
      <c r="AN2203">
        <v>4700</v>
      </c>
      <c r="AO2203" t="s">
        <v>115</v>
      </c>
      <c r="AP2203">
        <v>160</v>
      </c>
      <c r="AQ2203">
        <v>85</v>
      </c>
      <c r="AR2203">
        <v>-64</v>
      </c>
      <c r="AZ2203">
        <v>3614</v>
      </c>
      <c r="BA2203">
        <v>1</v>
      </c>
      <c r="BB2203" t="str">
        <f t="shared" si="104"/>
        <v xml:space="preserve">N959MJ  </v>
      </c>
      <c r="BC2203">
        <v>1</v>
      </c>
      <c r="BE2203">
        <v>0</v>
      </c>
      <c r="BF2203">
        <v>0</v>
      </c>
      <c r="BG2203">
        <v>0</v>
      </c>
      <c r="BH2203">
        <v>4900</v>
      </c>
      <c r="BI2203">
        <v>200</v>
      </c>
      <c r="BJ2203">
        <v>1</v>
      </c>
      <c r="BK2203">
        <v>1</v>
      </c>
      <c r="BL2203">
        <v>1</v>
      </c>
      <c r="BM2203">
        <v>0</v>
      </c>
      <c r="BP2203">
        <v>0</v>
      </c>
      <c r="BQ2203">
        <v>0</v>
      </c>
      <c r="BX2203" t="str">
        <f>"14:27:03.719"</f>
        <v>14:27:03.719</v>
      </c>
      <c r="BY2203" t="str">
        <f>"720573745"</f>
        <v>720573745</v>
      </c>
      <c r="CL2203">
        <v>0</v>
      </c>
      <c r="CM2203">
        <v>2</v>
      </c>
      <c r="CN2203">
        <v>0</v>
      </c>
      <c r="CO2203">
        <v>2</v>
      </c>
      <c r="CP2203">
        <v>0</v>
      </c>
      <c r="CQ2203">
        <v>7</v>
      </c>
      <c r="CR2203" t="s">
        <v>116</v>
      </c>
      <c r="CS2203">
        <v>39</v>
      </c>
      <c r="CT2203">
        <v>1</v>
      </c>
      <c r="CU2203" t="s">
        <v>2259</v>
      </c>
      <c r="CV2203" t="s">
        <v>2260</v>
      </c>
      <c r="CY2203">
        <v>8801759</v>
      </c>
      <c r="CZ2203" t="s">
        <v>119</v>
      </c>
    </row>
    <row r="2204" spans="1:104" x14ac:dyDescent="0.25">
      <c r="A2204" t="str">
        <f>"14:27:04.867"</f>
        <v>14:27:04.867</v>
      </c>
      <c r="B2204" t="s">
        <v>108</v>
      </c>
      <c r="C2204" t="str">
        <f t="shared" si="103"/>
        <v>ffdfd3c0</v>
      </c>
      <c r="D2204" t="s">
        <v>109</v>
      </c>
      <c r="E2204">
        <v>4</v>
      </c>
      <c r="F2204">
        <v>1004</v>
      </c>
      <c r="G2204" t="s">
        <v>110</v>
      </c>
      <c r="J2204" t="s">
        <v>111</v>
      </c>
      <c r="K2204">
        <v>0</v>
      </c>
      <c r="L2204">
        <v>3</v>
      </c>
      <c r="M2204">
        <v>0</v>
      </c>
      <c r="N2204">
        <v>2</v>
      </c>
      <c r="O2204">
        <v>1</v>
      </c>
      <c r="P2204">
        <v>0</v>
      </c>
      <c r="Q2204">
        <v>0</v>
      </c>
      <c r="R2204" t="s">
        <v>112</v>
      </c>
      <c r="S2204" t="str">
        <f>"14:27:04.688"</f>
        <v>14:27:04.688</v>
      </c>
      <c r="T2204" t="str">
        <f>"14:27:04.188"</f>
        <v>14:27:04.188</v>
      </c>
      <c r="U2204" t="str">
        <f t="shared" si="102"/>
        <v>ad5732</v>
      </c>
      <c r="V2204">
        <v>0</v>
      </c>
      <c r="W2204">
        <v>0</v>
      </c>
      <c r="X2204">
        <v>1</v>
      </c>
      <c r="Z2204">
        <v>0</v>
      </c>
      <c r="AA2204">
        <v>9</v>
      </c>
      <c r="AB2204">
        <v>3</v>
      </c>
      <c r="AC2204">
        <v>0</v>
      </c>
      <c r="AD2204">
        <v>10</v>
      </c>
      <c r="AE2204">
        <v>0</v>
      </c>
      <c r="AF2204">
        <v>3</v>
      </c>
      <c r="AG2204">
        <v>2</v>
      </c>
      <c r="AH2204">
        <v>0</v>
      </c>
      <c r="AI2204" t="s">
        <v>4513</v>
      </c>
      <c r="AJ2204">
        <v>39.915047000000001</v>
      </c>
      <c r="AK2204" t="s">
        <v>4514</v>
      </c>
      <c r="AL2204">
        <v>-75.673334999999994</v>
      </c>
      <c r="AM2204">
        <v>100</v>
      </c>
      <c r="AN2204">
        <v>4700</v>
      </c>
      <c r="AO2204" t="s">
        <v>115</v>
      </c>
      <c r="AP2204">
        <v>159</v>
      </c>
      <c r="AQ2204">
        <v>86</v>
      </c>
      <c r="AR2204">
        <v>-64</v>
      </c>
      <c r="AZ2204">
        <v>3614</v>
      </c>
      <c r="BA2204">
        <v>1</v>
      </c>
      <c r="BB2204" t="str">
        <f t="shared" si="104"/>
        <v xml:space="preserve">N959MJ  </v>
      </c>
      <c r="BC2204">
        <v>1</v>
      </c>
      <c r="BE2204">
        <v>0</v>
      </c>
      <c r="BF2204">
        <v>0</v>
      </c>
      <c r="BG2204">
        <v>0</v>
      </c>
      <c r="BH2204">
        <v>4900</v>
      </c>
      <c r="BI2204">
        <v>200</v>
      </c>
      <c r="BJ2204">
        <v>1</v>
      </c>
      <c r="BK2204">
        <v>1</v>
      </c>
      <c r="BL2204">
        <v>1</v>
      </c>
      <c r="BM2204">
        <v>0</v>
      </c>
      <c r="BP2204">
        <v>0</v>
      </c>
      <c r="BQ2204">
        <v>0</v>
      </c>
      <c r="BX2204" t="str">
        <f>"14:27:04.688"</f>
        <v>14:27:04.688</v>
      </c>
      <c r="BY2204" t="str">
        <f>"688884493"</f>
        <v>688884493</v>
      </c>
      <c r="CL2204">
        <v>0</v>
      </c>
      <c r="CM2204">
        <v>2</v>
      </c>
      <c r="CN2204">
        <v>0</v>
      </c>
      <c r="CO2204">
        <v>2</v>
      </c>
      <c r="CP2204">
        <v>0</v>
      </c>
      <c r="CQ2204">
        <v>7</v>
      </c>
      <c r="CR2204" t="s">
        <v>116</v>
      </c>
      <c r="CS2204">
        <v>39</v>
      </c>
      <c r="CT2204">
        <v>2</v>
      </c>
      <c r="CU2204" t="s">
        <v>2259</v>
      </c>
      <c r="CV2204" t="s">
        <v>2260</v>
      </c>
      <c r="CY2204">
        <v>45570</v>
      </c>
      <c r="CZ2204" t="s">
        <v>119</v>
      </c>
    </row>
    <row r="2205" spans="1:104" x14ac:dyDescent="0.25">
      <c r="A2205" t="str">
        <f>"14:27:05.984"</f>
        <v>14:27:05.984</v>
      </c>
      <c r="B2205" t="s">
        <v>108</v>
      </c>
      <c r="C2205" t="str">
        <f t="shared" si="103"/>
        <v>ffdfd3c0</v>
      </c>
      <c r="D2205" t="s">
        <v>109</v>
      </c>
      <c r="E2205">
        <v>4</v>
      </c>
      <c r="F2205">
        <v>1004</v>
      </c>
      <c r="G2205" t="s">
        <v>110</v>
      </c>
      <c r="J2205" t="s">
        <v>111</v>
      </c>
      <c r="K2205">
        <v>0</v>
      </c>
      <c r="L2205">
        <v>3</v>
      </c>
      <c r="M2205">
        <v>0</v>
      </c>
      <c r="N2205">
        <v>2</v>
      </c>
      <c r="O2205">
        <v>1</v>
      </c>
      <c r="P2205">
        <v>0</v>
      </c>
      <c r="Q2205">
        <v>0</v>
      </c>
      <c r="R2205" t="s">
        <v>112</v>
      </c>
      <c r="S2205" t="str">
        <f>"14:27:05.813"</f>
        <v>14:27:05.813</v>
      </c>
      <c r="T2205" t="str">
        <f>"14:27:05.313"</f>
        <v>14:27:05.313</v>
      </c>
      <c r="U2205" t="str">
        <f t="shared" si="102"/>
        <v>ad5732</v>
      </c>
      <c r="V2205">
        <v>0</v>
      </c>
      <c r="W2205">
        <v>0</v>
      </c>
      <c r="X2205">
        <v>1</v>
      </c>
      <c r="Z2205">
        <v>0</v>
      </c>
      <c r="AA2205">
        <v>9</v>
      </c>
      <c r="AB2205">
        <v>3</v>
      </c>
      <c r="AC2205">
        <v>0</v>
      </c>
      <c r="AD2205">
        <v>10</v>
      </c>
      <c r="AE2205">
        <v>0</v>
      </c>
      <c r="AF2205">
        <v>3</v>
      </c>
      <c r="AG2205">
        <v>2</v>
      </c>
      <c r="AH2205">
        <v>0</v>
      </c>
      <c r="AI2205" t="s">
        <v>4515</v>
      </c>
      <c r="AJ2205">
        <v>39.915562000000001</v>
      </c>
      <c r="AK2205" t="s">
        <v>4516</v>
      </c>
      <c r="AL2205">
        <v>-75.672240000000002</v>
      </c>
      <c r="AM2205">
        <v>100</v>
      </c>
      <c r="AN2205">
        <v>4700</v>
      </c>
      <c r="AO2205" t="s">
        <v>115</v>
      </c>
      <c r="AP2205">
        <v>157</v>
      </c>
      <c r="AQ2205">
        <v>90</v>
      </c>
      <c r="AR2205">
        <v>-128</v>
      </c>
      <c r="AZ2205">
        <v>3614</v>
      </c>
      <c r="BA2205">
        <v>1</v>
      </c>
      <c r="BB2205" t="str">
        <f t="shared" si="104"/>
        <v xml:space="preserve">N959MJ  </v>
      </c>
      <c r="BC2205">
        <v>1</v>
      </c>
      <c r="BE2205">
        <v>0</v>
      </c>
      <c r="BF2205">
        <v>0</v>
      </c>
      <c r="BG2205">
        <v>0</v>
      </c>
      <c r="BH2205">
        <v>4900</v>
      </c>
      <c r="BI2205">
        <v>200</v>
      </c>
      <c r="BJ2205">
        <v>1</v>
      </c>
      <c r="BK2205">
        <v>1</v>
      </c>
      <c r="BL2205">
        <v>1</v>
      </c>
      <c r="BM2205">
        <v>0</v>
      </c>
      <c r="BP2205">
        <v>0</v>
      </c>
      <c r="BQ2205">
        <v>0</v>
      </c>
      <c r="BX2205" t="str">
        <f>"14:27:05.813"</f>
        <v>14:27:05.813</v>
      </c>
      <c r="BY2205" t="str">
        <f>"816122647"</f>
        <v>816122647</v>
      </c>
      <c r="CL2205">
        <v>0</v>
      </c>
      <c r="CM2205">
        <v>2</v>
      </c>
      <c r="CN2205">
        <v>0</v>
      </c>
      <c r="CO2205">
        <v>2</v>
      </c>
      <c r="CP2205">
        <v>0</v>
      </c>
      <c r="CQ2205">
        <v>7</v>
      </c>
      <c r="CR2205" t="s">
        <v>116</v>
      </c>
      <c r="CS2205">
        <v>39</v>
      </c>
      <c r="CT2205">
        <v>2</v>
      </c>
      <c r="CU2205" t="s">
        <v>2259</v>
      </c>
      <c r="CV2205" t="s">
        <v>2260</v>
      </c>
      <c r="CY2205">
        <v>47473</v>
      </c>
      <c r="CZ2205" t="s">
        <v>119</v>
      </c>
    </row>
    <row r="2206" spans="1:104" x14ac:dyDescent="0.25">
      <c r="A2206" t="str">
        <f>"14:27:06.836"</f>
        <v>14:27:06.836</v>
      </c>
      <c r="B2206" t="s">
        <v>108</v>
      </c>
      <c r="C2206" t="str">
        <f t="shared" si="103"/>
        <v>ffdfd3c0</v>
      </c>
      <c r="D2206" t="s">
        <v>109</v>
      </c>
      <c r="E2206">
        <v>4</v>
      </c>
      <c r="F2206">
        <v>1004</v>
      </c>
      <c r="G2206" t="s">
        <v>110</v>
      </c>
      <c r="J2206" t="s">
        <v>111</v>
      </c>
      <c r="K2206">
        <v>0</v>
      </c>
      <c r="L2206">
        <v>3</v>
      </c>
      <c r="M2206">
        <v>0</v>
      </c>
      <c r="N2206">
        <v>2</v>
      </c>
      <c r="O2206">
        <v>1</v>
      </c>
      <c r="P2206">
        <v>0</v>
      </c>
      <c r="Q2206">
        <v>0</v>
      </c>
      <c r="R2206" t="s">
        <v>112</v>
      </c>
      <c r="S2206" t="str">
        <f>"14:27:06.664"</f>
        <v>14:27:06.664</v>
      </c>
      <c r="T2206" t="str">
        <f>"14:27:06.266"</f>
        <v>14:27:06.266</v>
      </c>
      <c r="U2206" t="str">
        <f t="shared" si="102"/>
        <v>ad5732</v>
      </c>
      <c r="V2206">
        <v>0</v>
      </c>
      <c r="W2206">
        <v>0</v>
      </c>
      <c r="X2206">
        <v>1</v>
      </c>
      <c r="Z2206">
        <v>0</v>
      </c>
      <c r="AA2206">
        <v>9</v>
      </c>
      <c r="AB2206">
        <v>3</v>
      </c>
      <c r="AC2206">
        <v>0</v>
      </c>
      <c r="AD2206">
        <v>10</v>
      </c>
      <c r="AE2206">
        <v>0</v>
      </c>
      <c r="AF2206">
        <v>3</v>
      </c>
      <c r="AG2206">
        <v>2</v>
      </c>
      <c r="AH2206">
        <v>0</v>
      </c>
      <c r="AI2206" t="s">
        <v>4517</v>
      </c>
      <c r="AJ2206">
        <v>39.915883999999998</v>
      </c>
      <c r="AK2206" t="s">
        <v>4518</v>
      </c>
      <c r="AL2206">
        <v>-75.671446000000003</v>
      </c>
      <c r="AM2206">
        <v>100</v>
      </c>
      <c r="AN2206">
        <v>4700</v>
      </c>
      <c r="AO2206" t="s">
        <v>115</v>
      </c>
      <c r="AP2206">
        <v>155</v>
      </c>
      <c r="AQ2206">
        <v>94</v>
      </c>
      <c r="AR2206">
        <v>-192</v>
      </c>
      <c r="AZ2206">
        <v>3614</v>
      </c>
      <c r="BA2206">
        <v>1</v>
      </c>
      <c r="BB2206" t="str">
        <f t="shared" si="104"/>
        <v xml:space="preserve">N959MJ  </v>
      </c>
      <c r="BC2206">
        <v>1</v>
      </c>
      <c r="BE2206">
        <v>0</v>
      </c>
      <c r="BF2206">
        <v>0</v>
      </c>
      <c r="BG2206">
        <v>0</v>
      </c>
      <c r="BH2206">
        <v>4900</v>
      </c>
      <c r="BI2206">
        <v>200</v>
      </c>
      <c r="BJ2206">
        <v>1</v>
      </c>
      <c r="BK2206">
        <v>1</v>
      </c>
      <c r="BL2206">
        <v>1</v>
      </c>
      <c r="BM2206">
        <v>0</v>
      </c>
      <c r="BP2206">
        <v>0</v>
      </c>
      <c r="BQ2206">
        <v>0</v>
      </c>
      <c r="BX2206" t="str">
        <f>"14:27:06.664"</f>
        <v>14:27:06.664</v>
      </c>
      <c r="BY2206" t="str">
        <f>"666466639"</f>
        <v>666466639</v>
      </c>
      <c r="CL2206">
        <v>0</v>
      </c>
      <c r="CM2206">
        <v>2</v>
      </c>
      <c r="CN2206">
        <v>0</v>
      </c>
      <c r="CO2206">
        <v>2</v>
      </c>
      <c r="CP2206">
        <v>0</v>
      </c>
      <c r="CQ2206">
        <v>7</v>
      </c>
      <c r="CR2206" t="s">
        <v>116</v>
      </c>
      <c r="CS2206">
        <v>39</v>
      </c>
      <c r="CT2206">
        <v>2</v>
      </c>
      <c r="CU2206" t="s">
        <v>2259</v>
      </c>
      <c r="CV2206" t="s">
        <v>2260</v>
      </c>
      <c r="CY2206">
        <v>49013</v>
      </c>
      <c r="CZ2206" t="s">
        <v>119</v>
      </c>
    </row>
    <row r="2207" spans="1:104" x14ac:dyDescent="0.25">
      <c r="A2207" t="str">
        <f>"14:27:07.797"</f>
        <v>14:27:07.797</v>
      </c>
      <c r="B2207" t="s">
        <v>108</v>
      </c>
      <c r="C2207" t="str">
        <f t="shared" si="103"/>
        <v>ffdfd3c0</v>
      </c>
      <c r="D2207" t="s">
        <v>109</v>
      </c>
      <c r="E2207">
        <v>4</v>
      </c>
      <c r="F2207">
        <v>1004</v>
      </c>
      <c r="G2207" t="s">
        <v>110</v>
      </c>
      <c r="J2207" t="s">
        <v>111</v>
      </c>
      <c r="K2207">
        <v>0</v>
      </c>
      <c r="L2207">
        <v>3</v>
      </c>
      <c r="M2207">
        <v>0</v>
      </c>
      <c r="N2207">
        <v>2</v>
      </c>
      <c r="O2207">
        <v>1</v>
      </c>
      <c r="P2207">
        <v>0</v>
      </c>
      <c r="Q2207">
        <v>0</v>
      </c>
      <c r="R2207" t="s">
        <v>112</v>
      </c>
      <c r="S2207" t="str">
        <f>"14:27:07.609"</f>
        <v>14:27:07.609</v>
      </c>
      <c r="T2207" t="str">
        <f>"14:27:07.211"</f>
        <v>14:27:07.211</v>
      </c>
      <c r="U2207" t="str">
        <f t="shared" si="102"/>
        <v>ad5732</v>
      </c>
      <c r="V2207">
        <v>0</v>
      </c>
      <c r="W2207">
        <v>0</v>
      </c>
      <c r="X2207">
        <v>1</v>
      </c>
      <c r="Z2207">
        <v>0</v>
      </c>
      <c r="AA2207">
        <v>9</v>
      </c>
      <c r="AB2207">
        <v>3</v>
      </c>
      <c r="AC2207">
        <v>0</v>
      </c>
      <c r="AD2207">
        <v>10</v>
      </c>
      <c r="AE2207">
        <v>0</v>
      </c>
      <c r="AF2207">
        <v>3</v>
      </c>
      <c r="AG2207">
        <v>2</v>
      </c>
      <c r="AH2207">
        <v>0</v>
      </c>
      <c r="AI2207" t="s">
        <v>4519</v>
      </c>
      <c r="AJ2207">
        <v>39.916356</v>
      </c>
      <c r="AK2207" t="s">
        <v>4520</v>
      </c>
      <c r="AL2207">
        <v>-75.670524</v>
      </c>
      <c r="AM2207">
        <v>100</v>
      </c>
      <c r="AN2207">
        <v>4700</v>
      </c>
      <c r="AO2207" t="s">
        <v>115</v>
      </c>
      <c r="AP2207">
        <v>152</v>
      </c>
      <c r="AQ2207">
        <v>98</v>
      </c>
      <c r="AR2207">
        <v>-192</v>
      </c>
      <c r="AZ2207">
        <v>3614</v>
      </c>
      <c r="BA2207">
        <v>1</v>
      </c>
      <c r="BB2207" t="str">
        <f t="shared" si="104"/>
        <v xml:space="preserve">N959MJ  </v>
      </c>
      <c r="BC2207">
        <v>1</v>
      </c>
      <c r="BE2207">
        <v>0</v>
      </c>
      <c r="BF2207">
        <v>0</v>
      </c>
      <c r="BG2207">
        <v>0</v>
      </c>
      <c r="BH2207">
        <v>4900</v>
      </c>
      <c r="BI2207">
        <v>200</v>
      </c>
      <c r="BJ2207">
        <v>1</v>
      </c>
      <c r="BK2207">
        <v>1</v>
      </c>
      <c r="BL2207">
        <v>1</v>
      </c>
      <c r="BM2207">
        <v>0</v>
      </c>
      <c r="BP2207">
        <v>0</v>
      </c>
      <c r="BQ2207">
        <v>0</v>
      </c>
      <c r="BX2207" t="str">
        <f>"14:27:07.617"</f>
        <v>14:27:07.617</v>
      </c>
      <c r="BY2207" t="str">
        <f>"613477924"</f>
        <v>613477924</v>
      </c>
      <c r="CL2207">
        <v>0</v>
      </c>
      <c r="CM2207">
        <v>2</v>
      </c>
      <c r="CN2207">
        <v>0</v>
      </c>
      <c r="CO2207">
        <v>2</v>
      </c>
      <c r="CP2207">
        <v>0</v>
      </c>
      <c r="CQ2207">
        <v>7</v>
      </c>
      <c r="CR2207" t="s">
        <v>116</v>
      </c>
      <c r="CS2207">
        <v>39</v>
      </c>
      <c r="CT2207">
        <v>3</v>
      </c>
      <c r="CU2207" t="s">
        <v>2259</v>
      </c>
      <c r="CV2207" t="s">
        <v>2260</v>
      </c>
      <c r="CY2207">
        <v>10810636</v>
      </c>
      <c r="CZ2207" t="s">
        <v>119</v>
      </c>
    </row>
    <row r="2208" spans="1:104" x14ac:dyDescent="0.25">
      <c r="A2208" t="str">
        <f>"14:27:08.906"</f>
        <v>14:27:08.906</v>
      </c>
      <c r="B2208" t="s">
        <v>108</v>
      </c>
      <c r="C2208" t="str">
        <f t="shared" si="103"/>
        <v>ffdfd3c0</v>
      </c>
      <c r="D2208" t="s">
        <v>109</v>
      </c>
      <c r="E2208">
        <v>4</v>
      </c>
      <c r="F2208">
        <v>1004</v>
      </c>
      <c r="G2208" t="s">
        <v>110</v>
      </c>
      <c r="J2208" t="s">
        <v>111</v>
      </c>
      <c r="K2208">
        <v>0</v>
      </c>
      <c r="L2208">
        <v>3</v>
      </c>
      <c r="M2208">
        <v>0</v>
      </c>
      <c r="N2208">
        <v>2</v>
      </c>
      <c r="O2208">
        <v>1</v>
      </c>
      <c r="P2208">
        <v>0</v>
      </c>
      <c r="Q2208">
        <v>0</v>
      </c>
      <c r="R2208" t="s">
        <v>112</v>
      </c>
      <c r="S2208" t="str">
        <f>"14:27:08.703"</f>
        <v>14:27:08.703</v>
      </c>
      <c r="T2208" t="str">
        <f>"14:27:08.203"</f>
        <v>14:27:08.203</v>
      </c>
      <c r="U2208" t="str">
        <f t="shared" si="102"/>
        <v>ad5732</v>
      </c>
      <c r="V2208">
        <v>0</v>
      </c>
      <c r="W2208">
        <v>0</v>
      </c>
      <c r="X2208">
        <v>1</v>
      </c>
      <c r="Z2208">
        <v>0</v>
      </c>
      <c r="AA2208">
        <v>9</v>
      </c>
      <c r="AB2208">
        <v>3</v>
      </c>
      <c r="AC2208">
        <v>0</v>
      </c>
      <c r="AD2208">
        <v>10</v>
      </c>
      <c r="AE2208">
        <v>0</v>
      </c>
      <c r="AF2208">
        <v>3</v>
      </c>
      <c r="AG2208">
        <v>2</v>
      </c>
      <c r="AH2208">
        <v>0</v>
      </c>
      <c r="AI2208" t="s">
        <v>4521</v>
      </c>
      <c r="AJ2208">
        <v>39.916891999999997</v>
      </c>
      <c r="AK2208" t="s">
        <v>4522</v>
      </c>
      <c r="AL2208">
        <v>-75.669579999999996</v>
      </c>
      <c r="AM2208">
        <v>100</v>
      </c>
      <c r="AN2208">
        <v>4700</v>
      </c>
      <c r="AO2208" t="s">
        <v>115</v>
      </c>
      <c r="AP2208">
        <v>150</v>
      </c>
      <c r="AQ2208">
        <v>102</v>
      </c>
      <c r="AR2208">
        <v>-192</v>
      </c>
      <c r="AZ2208">
        <v>3614</v>
      </c>
      <c r="BA2208">
        <v>1</v>
      </c>
      <c r="BB2208" t="str">
        <f t="shared" si="104"/>
        <v xml:space="preserve">N959MJ  </v>
      </c>
      <c r="BC2208">
        <v>1</v>
      </c>
      <c r="BE2208">
        <v>0</v>
      </c>
      <c r="BF2208">
        <v>0</v>
      </c>
      <c r="BG2208">
        <v>0</v>
      </c>
      <c r="BH2208">
        <v>4875</v>
      </c>
      <c r="BI2208">
        <v>175</v>
      </c>
      <c r="BJ2208">
        <v>1</v>
      </c>
      <c r="BK2208">
        <v>1</v>
      </c>
      <c r="BL2208">
        <v>1</v>
      </c>
      <c r="BM2208">
        <v>0</v>
      </c>
      <c r="BP2208">
        <v>0</v>
      </c>
      <c r="BQ2208">
        <v>0</v>
      </c>
      <c r="BX2208" t="str">
        <f>"14:27:08.711"</f>
        <v>14:27:08.711</v>
      </c>
      <c r="BY2208" t="str">
        <f>"709585841"</f>
        <v>709585841</v>
      </c>
      <c r="CL2208">
        <v>0</v>
      </c>
      <c r="CM2208">
        <v>2</v>
      </c>
      <c r="CN2208">
        <v>0</v>
      </c>
      <c r="CO2208">
        <v>2</v>
      </c>
      <c r="CP2208">
        <v>0</v>
      </c>
      <c r="CQ2208">
        <v>7</v>
      </c>
      <c r="CR2208" t="s">
        <v>116</v>
      </c>
      <c r="CS2208">
        <v>39</v>
      </c>
      <c r="CT2208">
        <v>2</v>
      </c>
      <c r="CU2208" t="s">
        <v>2259</v>
      </c>
      <c r="CV2208" t="s">
        <v>2260</v>
      </c>
      <c r="CY2208">
        <v>52556</v>
      </c>
      <c r="CZ2208" t="s">
        <v>119</v>
      </c>
    </row>
    <row r="2209" spans="1:104" x14ac:dyDescent="0.25">
      <c r="A2209" t="str">
        <f>"14:27:10.023"</f>
        <v>14:27:10.023</v>
      </c>
      <c r="B2209" t="s">
        <v>108</v>
      </c>
      <c r="C2209" t="str">
        <f t="shared" si="103"/>
        <v>ffdfd3c0</v>
      </c>
      <c r="D2209" t="s">
        <v>109</v>
      </c>
      <c r="E2209">
        <v>4</v>
      </c>
      <c r="F2209">
        <v>1004</v>
      </c>
      <c r="G2209" t="s">
        <v>110</v>
      </c>
      <c r="J2209" t="s">
        <v>111</v>
      </c>
      <c r="K2209">
        <v>0</v>
      </c>
      <c r="L2209">
        <v>3</v>
      </c>
      <c r="M2209">
        <v>0</v>
      </c>
      <c r="N2209">
        <v>2</v>
      </c>
      <c r="O2209">
        <v>1</v>
      </c>
      <c r="P2209">
        <v>0</v>
      </c>
      <c r="Q2209">
        <v>0</v>
      </c>
      <c r="R2209" t="s">
        <v>112</v>
      </c>
      <c r="S2209" t="str">
        <f>"14:27:09.820"</f>
        <v>14:27:09.820</v>
      </c>
      <c r="T2209" t="str">
        <f>"14:27:09.320"</f>
        <v>14:27:09.320</v>
      </c>
      <c r="U2209" t="str">
        <f t="shared" si="102"/>
        <v>ad5732</v>
      </c>
      <c r="V2209">
        <v>0</v>
      </c>
      <c r="W2209">
        <v>0</v>
      </c>
      <c r="X2209">
        <v>1</v>
      </c>
      <c r="Z2209">
        <v>0</v>
      </c>
      <c r="AA2209">
        <v>9</v>
      </c>
      <c r="AB2209">
        <v>3</v>
      </c>
      <c r="AC2209">
        <v>0</v>
      </c>
      <c r="AD2209">
        <v>10</v>
      </c>
      <c r="AE2209">
        <v>0</v>
      </c>
      <c r="AF2209">
        <v>3</v>
      </c>
      <c r="AG2209">
        <v>2</v>
      </c>
      <c r="AH2209">
        <v>0</v>
      </c>
      <c r="AI2209" t="s">
        <v>4523</v>
      </c>
      <c r="AJ2209">
        <v>39.917428000000001</v>
      </c>
      <c r="AK2209" t="s">
        <v>4524</v>
      </c>
      <c r="AL2209">
        <v>-75.668634999999995</v>
      </c>
      <c r="AM2209">
        <v>100</v>
      </c>
      <c r="AN2209">
        <v>4700</v>
      </c>
      <c r="AO2209" t="s">
        <v>115</v>
      </c>
      <c r="AP2209">
        <v>146</v>
      </c>
      <c r="AQ2209">
        <v>108</v>
      </c>
      <c r="AR2209">
        <v>-128</v>
      </c>
      <c r="AZ2209">
        <v>3614</v>
      </c>
      <c r="BA2209">
        <v>1</v>
      </c>
      <c r="BB2209" t="str">
        <f t="shared" si="104"/>
        <v xml:space="preserve">N959MJ  </v>
      </c>
      <c r="BC2209">
        <v>1</v>
      </c>
      <c r="BE2209">
        <v>0</v>
      </c>
      <c r="BF2209">
        <v>0</v>
      </c>
      <c r="BG2209">
        <v>0</v>
      </c>
      <c r="BH2209">
        <v>4875</v>
      </c>
      <c r="BI2209">
        <v>175</v>
      </c>
      <c r="BJ2209">
        <v>1</v>
      </c>
      <c r="BK2209">
        <v>1</v>
      </c>
      <c r="BL2209">
        <v>1</v>
      </c>
      <c r="BM2209">
        <v>0</v>
      </c>
      <c r="BP2209">
        <v>0</v>
      </c>
      <c r="BQ2209">
        <v>0</v>
      </c>
      <c r="BX2209" t="str">
        <f>"14:27:09.820"</f>
        <v>14:27:09.820</v>
      </c>
      <c r="BY2209" t="str">
        <f>"822447609"</f>
        <v>822447609</v>
      </c>
      <c r="CL2209">
        <v>0</v>
      </c>
      <c r="CM2209">
        <v>2</v>
      </c>
      <c r="CN2209">
        <v>0</v>
      </c>
      <c r="CO2209">
        <v>2</v>
      </c>
      <c r="CP2209">
        <v>0</v>
      </c>
      <c r="CQ2209">
        <v>6</v>
      </c>
      <c r="CR2209" t="s">
        <v>116</v>
      </c>
      <c r="CS2209">
        <v>41</v>
      </c>
      <c r="CT2209">
        <v>3</v>
      </c>
      <c r="CU2209" t="s">
        <v>4525</v>
      </c>
      <c r="CV2209" t="s">
        <v>4526</v>
      </c>
      <c r="CY2209">
        <v>13718854</v>
      </c>
      <c r="CZ2209" t="s">
        <v>119</v>
      </c>
    </row>
    <row r="2210" spans="1:104" x14ac:dyDescent="0.25">
      <c r="A2210" t="str">
        <f>"14:27:11.133"</f>
        <v>14:27:11.133</v>
      </c>
      <c r="B2210" t="s">
        <v>108</v>
      </c>
      <c r="C2210" t="str">
        <f t="shared" si="103"/>
        <v>ffdfd3c0</v>
      </c>
      <c r="D2210" t="s">
        <v>109</v>
      </c>
      <c r="E2210">
        <v>4</v>
      </c>
      <c r="F2210">
        <v>1004</v>
      </c>
      <c r="G2210" t="s">
        <v>110</v>
      </c>
      <c r="J2210" t="s">
        <v>111</v>
      </c>
      <c r="K2210">
        <v>0</v>
      </c>
      <c r="L2210">
        <v>3</v>
      </c>
      <c r="M2210">
        <v>0</v>
      </c>
      <c r="N2210">
        <v>2</v>
      </c>
      <c r="O2210">
        <v>1</v>
      </c>
      <c r="P2210">
        <v>0</v>
      </c>
      <c r="Q2210">
        <v>0</v>
      </c>
      <c r="R2210" t="s">
        <v>112</v>
      </c>
      <c r="S2210" t="str">
        <f>"14:27:10.969"</f>
        <v>14:27:10.969</v>
      </c>
      <c r="T2210" t="str">
        <f>"14:27:10.469"</f>
        <v>14:27:10.469</v>
      </c>
      <c r="U2210" t="str">
        <f t="shared" si="102"/>
        <v>ad5732</v>
      </c>
      <c r="V2210">
        <v>0</v>
      </c>
      <c r="W2210">
        <v>0</v>
      </c>
      <c r="X2210">
        <v>1</v>
      </c>
      <c r="Z2210">
        <v>0</v>
      </c>
      <c r="AA2210">
        <v>9</v>
      </c>
      <c r="AB2210">
        <v>3</v>
      </c>
      <c r="AC2210">
        <v>0</v>
      </c>
      <c r="AD2210">
        <v>10</v>
      </c>
      <c r="AE2210">
        <v>0</v>
      </c>
      <c r="AF2210">
        <v>3</v>
      </c>
      <c r="AG2210">
        <v>2</v>
      </c>
      <c r="AH2210">
        <v>0</v>
      </c>
      <c r="AI2210" t="s">
        <v>4527</v>
      </c>
      <c r="AJ2210">
        <v>39.918050999999998</v>
      </c>
      <c r="AK2210" t="s">
        <v>4528</v>
      </c>
      <c r="AL2210">
        <v>-75.667670000000001</v>
      </c>
      <c r="AM2210">
        <v>100</v>
      </c>
      <c r="AN2210">
        <v>4700</v>
      </c>
      <c r="AO2210" t="s">
        <v>115</v>
      </c>
      <c r="AP2210">
        <v>142</v>
      </c>
      <c r="AQ2210">
        <v>112</v>
      </c>
      <c r="AR2210">
        <v>-64</v>
      </c>
      <c r="AZ2210">
        <v>3614</v>
      </c>
      <c r="BA2210">
        <v>1</v>
      </c>
      <c r="BB2210" t="str">
        <f t="shared" si="104"/>
        <v xml:space="preserve">N959MJ  </v>
      </c>
      <c r="BC2210">
        <v>1</v>
      </c>
      <c r="BE2210">
        <v>0</v>
      </c>
      <c r="BF2210">
        <v>0</v>
      </c>
      <c r="BG2210">
        <v>0</v>
      </c>
      <c r="BH2210">
        <v>4875</v>
      </c>
      <c r="BI2210">
        <v>175</v>
      </c>
      <c r="BJ2210">
        <v>1</v>
      </c>
      <c r="BK2210">
        <v>1</v>
      </c>
      <c r="BL2210">
        <v>1</v>
      </c>
      <c r="BM2210">
        <v>0</v>
      </c>
      <c r="BP2210">
        <v>0</v>
      </c>
      <c r="BQ2210">
        <v>0</v>
      </c>
      <c r="BX2210" t="str">
        <f>"14:27:10.969"</f>
        <v>14:27:10.969</v>
      </c>
      <c r="BY2210" t="str">
        <f>"972254421"</f>
        <v>972254421</v>
      </c>
      <c r="CL2210">
        <v>0</v>
      </c>
      <c r="CM2210">
        <v>2</v>
      </c>
      <c r="CN2210">
        <v>0</v>
      </c>
      <c r="CO2210">
        <v>2</v>
      </c>
      <c r="CP2210">
        <v>0</v>
      </c>
      <c r="CQ2210">
        <v>7</v>
      </c>
      <c r="CR2210" t="s">
        <v>116</v>
      </c>
      <c r="CS2210">
        <v>39</v>
      </c>
      <c r="CT2210">
        <v>2</v>
      </c>
      <c r="CU2210" t="s">
        <v>2259</v>
      </c>
      <c r="CV2210" t="s">
        <v>2260</v>
      </c>
      <c r="CY2210">
        <v>56372</v>
      </c>
      <c r="CZ2210" t="s">
        <v>119</v>
      </c>
    </row>
    <row r="2211" spans="1:104" x14ac:dyDescent="0.25">
      <c r="A2211" t="str">
        <f>"14:27:12.188"</f>
        <v>14:27:12.188</v>
      </c>
      <c r="B2211" t="s">
        <v>108</v>
      </c>
      <c r="C2211" t="str">
        <f t="shared" si="103"/>
        <v>ffdfd3c0</v>
      </c>
      <c r="D2211" t="s">
        <v>109</v>
      </c>
      <c r="E2211">
        <v>4</v>
      </c>
      <c r="F2211">
        <v>1004</v>
      </c>
      <c r="G2211" t="s">
        <v>110</v>
      </c>
      <c r="J2211" t="s">
        <v>111</v>
      </c>
      <c r="K2211">
        <v>0</v>
      </c>
      <c r="L2211">
        <v>3</v>
      </c>
      <c r="M2211">
        <v>0</v>
      </c>
      <c r="N2211">
        <v>2</v>
      </c>
      <c r="O2211">
        <v>1</v>
      </c>
      <c r="P2211">
        <v>0</v>
      </c>
      <c r="Q2211">
        <v>0</v>
      </c>
      <c r="R2211" t="s">
        <v>112</v>
      </c>
      <c r="S2211" t="str">
        <f>"14:27:11.984"</f>
        <v>14:27:11.984</v>
      </c>
      <c r="T2211" t="str">
        <f>"14:27:11.586"</f>
        <v>14:27:11.586</v>
      </c>
      <c r="U2211" t="str">
        <f t="shared" si="102"/>
        <v>ad5732</v>
      </c>
      <c r="V2211">
        <v>0</v>
      </c>
      <c r="W2211">
        <v>0</v>
      </c>
      <c r="X2211">
        <v>1</v>
      </c>
      <c r="Z2211">
        <v>0</v>
      </c>
      <c r="AA2211">
        <v>9</v>
      </c>
      <c r="AB2211">
        <v>3</v>
      </c>
      <c r="AC2211">
        <v>0</v>
      </c>
      <c r="AD2211">
        <v>10</v>
      </c>
      <c r="AE2211">
        <v>0</v>
      </c>
      <c r="AF2211">
        <v>3</v>
      </c>
      <c r="AG2211">
        <v>2</v>
      </c>
      <c r="AH2211">
        <v>0</v>
      </c>
      <c r="AI2211" t="s">
        <v>4529</v>
      </c>
      <c r="AJ2211">
        <v>39.918587000000002</v>
      </c>
      <c r="AK2211" t="s">
        <v>4530</v>
      </c>
      <c r="AL2211">
        <v>-75.666897000000006</v>
      </c>
      <c r="AM2211">
        <v>100</v>
      </c>
      <c r="AN2211">
        <v>4700</v>
      </c>
      <c r="AO2211" t="s">
        <v>115</v>
      </c>
      <c r="AP2211">
        <v>136</v>
      </c>
      <c r="AQ2211">
        <v>118</v>
      </c>
      <c r="AR2211">
        <v>64</v>
      </c>
      <c r="AZ2211">
        <v>3614</v>
      </c>
      <c r="BA2211">
        <v>1</v>
      </c>
      <c r="BB2211" t="str">
        <f t="shared" si="104"/>
        <v xml:space="preserve">N959MJ  </v>
      </c>
      <c r="BC2211">
        <v>1</v>
      </c>
      <c r="BE2211">
        <v>0</v>
      </c>
      <c r="BF2211">
        <v>0</v>
      </c>
      <c r="BG2211">
        <v>0</v>
      </c>
      <c r="BH2211">
        <v>4875</v>
      </c>
      <c r="BI2211">
        <v>175</v>
      </c>
      <c r="BJ2211">
        <v>1</v>
      </c>
      <c r="BK2211">
        <v>1</v>
      </c>
      <c r="BL2211">
        <v>1</v>
      </c>
      <c r="BM2211">
        <v>0</v>
      </c>
      <c r="BP2211">
        <v>0</v>
      </c>
      <c r="BQ2211">
        <v>0</v>
      </c>
      <c r="BX2211" t="str">
        <f>"14:27:11.984"</f>
        <v>14:27:11.984</v>
      </c>
      <c r="BY2211" t="str">
        <f>"988079567"</f>
        <v>988079567</v>
      </c>
      <c r="CL2211">
        <v>0</v>
      </c>
      <c r="CM2211">
        <v>2</v>
      </c>
      <c r="CN2211">
        <v>0</v>
      </c>
      <c r="CO2211">
        <v>2</v>
      </c>
      <c r="CP2211">
        <v>0</v>
      </c>
      <c r="CQ2211">
        <v>7</v>
      </c>
      <c r="CR2211" t="s">
        <v>116</v>
      </c>
      <c r="CS2211">
        <v>39</v>
      </c>
      <c r="CT2211">
        <v>2</v>
      </c>
      <c r="CU2211" t="s">
        <v>2259</v>
      </c>
      <c r="CV2211" t="s">
        <v>2260</v>
      </c>
      <c r="CY2211">
        <v>58154</v>
      </c>
      <c r="CZ2211" t="s">
        <v>119</v>
      </c>
    </row>
    <row r="2212" spans="1:104" x14ac:dyDescent="0.25">
      <c r="A2212" t="str">
        <f>"14:27:13.250"</f>
        <v>14:27:13.250</v>
      </c>
      <c r="B2212" t="s">
        <v>108</v>
      </c>
      <c r="C2212" t="str">
        <f t="shared" si="103"/>
        <v>ffdfd3c0</v>
      </c>
      <c r="D2212" t="s">
        <v>109</v>
      </c>
      <c r="E2212">
        <v>4</v>
      </c>
      <c r="F2212">
        <v>1004</v>
      </c>
      <c r="G2212" t="s">
        <v>110</v>
      </c>
      <c r="J2212" t="s">
        <v>111</v>
      </c>
      <c r="K2212">
        <v>0</v>
      </c>
      <c r="L2212">
        <v>3</v>
      </c>
      <c r="M2212">
        <v>0</v>
      </c>
      <c r="N2212">
        <v>2</v>
      </c>
      <c r="O2212">
        <v>1</v>
      </c>
      <c r="P2212">
        <v>0</v>
      </c>
      <c r="Q2212">
        <v>0</v>
      </c>
      <c r="R2212" t="s">
        <v>112</v>
      </c>
      <c r="S2212" t="str">
        <f>"14:27:13.055"</f>
        <v>14:27:13.055</v>
      </c>
      <c r="T2212" t="str">
        <f>"14:27:12.555"</f>
        <v>14:27:12.555</v>
      </c>
      <c r="U2212" t="str">
        <f t="shared" si="102"/>
        <v>ad5732</v>
      </c>
      <c r="V2212">
        <v>0</v>
      </c>
      <c r="W2212">
        <v>0</v>
      </c>
      <c r="X2212">
        <v>1</v>
      </c>
      <c r="Z2212">
        <v>0</v>
      </c>
      <c r="AA2212">
        <v>9</v>
      </c>
      <c r="AB2212">
        <v>3</v>
      </c>
      <c r="AC2212">
        <v>0</v>
      </c>
      <c r="AD2212">
        <v>10</v>
      </c>
      <c r="AE2212">
        <v>0</v>
      </c>
      <c r="AF2212">
        <v>3</v>
      </c>
      <c r="AG2212">
        <v>2</v>
      </c>
      <c r="AH2212">
        <v>0</v>
      </c>
      <c r="AI2212" t="s">
        <v>4531</v>
      </c>
      <c r="AJ2212">
        <v>39.919187999999998</v>
      </c>
      <c r="AK2212" t="s">
        <v>4532</v>
      </c>
      <c r="AL2212">
        <v>-75.666017999999994</v>
      </c>
      <c r="AM2212">
        <v>100</v>
      </c>
      <c r="AN2212">
        <v>4700</v>
      </c>
      <c r="AO2212" t="s">
        <v>115</v>
      </c>
      <c r="AP2212">
        <v>132</v>
      </c>
      <c r="AQ2212">
        <v>122</v>
      </c>
      <c r="AR2212">
        <v>128</v>
      </c>
      <c r="AZ2212">
        <v>3614</v>
      </c>
      <c r="BA2212">
        <v>1</v>
      </c>
      <c r="BB2212" t="str">
        <f t="shared" si="104"/>
        <v xml:space="preserve">N959MJ  </v>
      </c>
      <c r="BC2212">
        <v>1</v>
      </c>
      <c r="BE2212">
        <v>0</v>
      </c>
      <c r="BF2212">
        <v>0</v>
      </c>
      <c r="BG2212">
        <v>0</v>
      </c>
      <c r="BH2212">
        <v>4875</v>
      </c>
      <c r="BI2212">
        <v>175</v>
      </c>
      <c r="BJ2212">
        <v>1</v>
      </c>
      <c r="BK2212">
        <v>1</v>
      </c>
      <c r="BL2212">
        <v>1</v>
      </c>
      <c r="BM2212">
        <v>0</v>
      </c>
      <c r="BP2212">
        <v>0</v>
      </c>
      <c r="BQ2212">
        <v>0</v>
      </c>
      <c r="BX2212" t="str">
        <f>"14:27:13.055"</f>
        <v>14:27:13.055</v>
      </c>
      <c r="BY2212" t="str">
        <f>"057972841"</f>
        <v>057972841</v>
      </c>
      <c r="CL2212">
        <v>0</v>
      </c>
      <c r="CM2212">
        <v>2</v>
      </c>
      <c r="CN2212">
        <v>0</v>
      </c>
      <c r="CO2212">
        <v>2</v>
      </c>
      <c r="CP2212">
        <v>0</v>
      </c>
      <c r="CQ2212">
        <v>7</v>
      </c>
      <c r="CR2212" t="s">
        <v>116</v>
      </c>
      <c r="CS2212">
        <v>39</v>
      </c>
      <c r="CT2212">
        <v>2</v>
      </c>
      <c r="CU2212" t="s">
        <v>2259</v>
      </c>
      <c r="CV2212" t="s">
        <v>2260</v>
      </c>
      <c r="CY2212">
        <v>59934</v>
      </c>
      <c r="CZ2212" t="s">
        <v>119</v>
      </c>
    </row>
    <row r="2213" spans="1:104" x14ac:dyDescent="0.25">
      <c r="A2213" t="str">
        <f>"14:27:14.156"</f>
        <v>14:27:14.156</v>
      </c>
      <c r="B2213" t="s">
        <v>108</v>
      </c>
      <c r="C2213" t="str">
        <f t="shared" si="103"/>
        <v>ffdfd3c0</v>
      </c>
      <c r="D2213" t="s">
        <v>109</v>
      </c>
      <c r="E2213">
        <v>4</v>
      </c>
      <c r="F2213">
        <v>1004</v>
      </c>
      <c r="G2213" t="s">
        <v>110</v>
      </c>
      <c r="J2213" t="s">
        <v>111</v>
      </c>
      <c r="K2213">
        <v>0</v>
      </c>
      <c r="L2213">
        <v>3</v>
      </c>
      <c r="M2213">
        <v>0</v>
      </c>
      <c r="N2213">
        <v>2</v>
      </c>
      <c r="O2213">
        <v>1</v>
      </c>
      <c r="P2213">
        <v>0</v>
      </c>
      <c r="Q2213">
        <v>0</v>
      </c>
      <c r="R2213" t="s">
        <v>112</v>
      </c>
      <c r="S2213" t="str">
        <f>"14:27:13.992"</f>
        <v>14:27:13.992</v>
      </c>
      <c r="T2213" t="str">
        <f>"14:27:13.594"</f>
        <v>14:27:13.594</v>
      </c>
      <c r="U2213" t="str">
        <f t="shared" si="102"/>
        <v>ad5732</v>
      </c>
      <c r="V2213">
        <v>0</v>
      </c>
      <c r="W2213">
        <v>0</v>
      </c>
      <c r="X2213">
        <v>1</v>
      </c>
      <c r="Z2213">
        <v>0</v>
      </c>
      <c r="AA2213">
        <v>9</v>
      </c>
      <c r="AB2213">
        <v>3</v>
      </c>
      <c r="AC2213">
        <v>0</v>
      </c>
      <c r="AD2213">
        <v>10</v>
      </c>
      <c r="AE2213">
        <v>0</v>
      </c>
      <c r="AF2213">
        <v>3</v>
      </c>
      <c r="AG2213">
        <v>2</v>
      </c>
      <c r="AH2213">
        <v>0</v>
      </c>
      <c r="AI2213" t="s">
        <v>4533</v>
      </c>
      <c r="AJ2213">
        <v>39.919746000000004</v>
      </c>
      <c r="AK2213" t="s">
        <v>4534</v>
      </c>
      <c r="AL2213">
        <v>-75.665351999999999</v>
      </c>
      <c r="AM2213">
        <v>100</v>
      </c>
      <c r="AN2213">
        <v>4700</v>
      </c>
      <c r="AO2213" t="s">
        <v>115</v>
      </c>
      <c r="AP2213">
        <v>128</v>
      </c>
      <c r="AQ2213">
        <v>126</v>
      </c>
      <c r="AR2213">
        <v>192</v>
      </c>
      <c r="AZ2213">
        <v>3614</v>
      </c>
      <c r="BA2213">
        <v>1</v>
      </c>
      <c r="BB2213" t="str">
        <f t="shared" si="104"/>
        <v xml:space="preserve">N959MJ  </v>
      </c>
      <c r="BC2213">
        <v>1</v>
      </c>
      <c r="BE2213">
        <v>0</v>
      </c>
      <c r="BF2213">
        <v>0</v>
      </c>
      <c r="BG2213">
        <v>0</v>
      </c>
      <c r="BH2213">
        <v>4875</v>
      </c>
      <c r="BI2213">
        <v>175</v>
      </c>
      <c r="BJ2213">
        <v>1</v>
      </c>
      <c r="BK2213">
        <v>1</v>
      </c>
      <c r="BL2213">
        <v>1</v>
      </c>
      <c r="BM2213">
        <v>0</v>
      </c>
      <c r="BP2213">
        <v>0</v>
      </c>
      <c r="BQ2213">
        <v>0</v>
      </c>
      <c r="BX2213" t="str">
        <f>"14:27:14.000"</f>
        <v>14:27:14.000</v>
      </c>
      <c r="BY2213" t="str">
        <f>"998430342"</f>
        <v>998430342</v>
      </c>
      <c r="CL2213">
        <v>0</v>
      </c>
      <c r="CM2213">
        <v>2</v>
      </c>
      <c r="CN2213">
        <v>0</v>
      </c>
      <c r="CO2213">
        <v>2</v>
      </c>
      <c r="CP2213">
        <v>0</v>
      </c>
      <c r="CQ2213">
        <v>7</v>
      </c>
      <c r="CR2213" t="s">
        <v>116</v>
      </c>
      <c r="CS2213">
        <v>39</v>
      </c>
      <c r="CT2213">
        <v>3</v>
      </c>
      <c r="CU2213" t="s">
        <v>2259</v>
      </c>
      <c r="CV2213" t="s">
        <v>2260</v>
      </c>
      <c r="CY2213">
        <v>10821414</v>
      </c>
      <c r="CZ2213" t="s">
        <v>119</v>
      </c>
    </row>
    <row r="2214" spans="1:104" x14ac:dyDescent="0.25">
      <c r="A2214" t="str">
        <f>"14:27:15.016"</f>
        <v>14:27:15.016</v>
      </c>
      <c r="B2214" t="s">
        <v>108</v>
      </c>
      <c r="C2214" t="str">
        <f t="shared" si="103"/>
        <v>ffdfd3c0</v>
      </c>
      <c r="D2214" t="s">
        <v>109</v>
      </c>
      <c r="E2214">
        <v>4</v>
      </c>
      <c r="F2214">
        <v>1004</v>
      </c>
      <c r="G2214" t="s">
        <v>110</v>
      </c>
      <c r="J2214" t="s">
        <v>111</v>
      </c>
      <c r="K2214">
        <v>0</v>
      </c>
      <c r="L2214">
        <v>3</v>
      </c>
      <c r="M2214">
        <v>0</v>
      </c>
      <c r="N2214">
        <v>2</v>
      </c>
      <c r="O2214">
        <v>1</v>
      </c>
      <c r="P2214">
        <v>0</v>
      </c>
      <c r="Q2214">
        <v>0</v>
      </c>
      <c r="R2214" t="s">
        <v>112</v>
      </c>
      <c r="S2214" t="str">
        <f>"14:27:14.828"</f>
        <v>14:27:14.828</v>
      </c>
      <c r="T2214" t="str">
        <f>"14:27:14.430"</f>
        <v>14:27:14.430</v>
      </c>
      <c r="U2214" t="str">
        <f t="shared" si="102"/>
        <v>ad5732</v>
      </c>
      <c r="V2214">
        <v>0</v>
      </c>
      <c r="W2214">
        <v>0</v>
      </c>
      <c r="X2214">
        <v>1</v>
      </c>
      <c r="Z2214">
        <v>0</v>
      </c>
      <c r="AA2214">
        <v>9</v>
      </c>
      <c r="AB2214">
        <v>3</v>
      </c>
      <c r="AC2214">
        <v>0</v>
      </c>
      <c r="AD2214">
        <v>10</v>
      </c>
      <c r="AE2214">
        <v>0</v>
      </c>
      <c r="AF2214">
        <v>3</v>
      </c>
      <c r="AG2214">
        <v>2</v>
      </c>
      <c r="AH2214">
        <v>0</v>
      </c>
      <c r="AI2214" t="s">
        <v>4535</v>
      </c>
      <c r="AJ2214">
        <v>39.920261000000004</v>
      </c>
      <c r="AK2214" t="s">
        <v>4536</v>
      </c>
      <c r="AL2214">
        <v>-75.664665999999997</v>
      </c>
      <c r="AM2214">
        <v>100</v>
      </c>
      <c r="AN2214">
        <v>4700</v>
      </c>
      <c r="AO2214" t="s">
        <v>115</v>
      </c>
      <c r="AP2214">
        <v>123</v>
      </c>
      <c r="AQ2214">
        <v>129</v>
      </c>
      <c r="AR2214">
        <v>320</v>
      </c>
      <c r="AZ2214">
        <v>3614</v>
      </c>
      <c r="BA2214">
        <v>1</v>
      </c>
      <c r="BB2214" t="str">
        <f t="shared" si="104"/>
        <v xml:space="preserve">N959MJ  </v>
      </c>
      <c r="BC2214">
        <v>1</v>
      </c>
      <c r="BE2214">
        <v>0</v>
      </c>
      <c r="BF2214">
        <v>0</v>
      </c>
      <c r="BG2214">
        <v>0</v>
      </c>
      <c r="BH2214">
        <v>4900</v>
      </c>
      <c r="BI2214">
        <v>200</v>
      </c>
      <c r="BJ2214">
        <v>1</v>
      </c>
      <c r="BK2214">
        <v>1</v>
      </c>
      <c r="BL2214">
        <v>1</v>
      </c>
      <c r="BM2214">
        <v>0</v>
      </c>
      <c r="BP2214">
        <v>0</v>
      </c>
      <c r="BQ2214">
        <v>0</v>
      </c>
      <c r="BX2214" t="str">
        <f>"14:27:14.828"</f>
        <v>14:27:14.828</v>
      </c>
      <c r="BY2214" t="str">
        <f>"830751652"</f>
        <v>830751652</v>
      </c>
      <c r="CL2214">
        <v>0</v>
      </c>
      <c r="CM2214">
        <v>2</v>
      </c>
      <c r="CN2214">
        <v>0</v>
      </c>
      <c r="CO2214">
        <v>2</v>
      </c>
      <c r="CP2214">
        <v>0</v>
      </c>
      <c r="CQ2214">
        <v>7</v>
      </c>
      <c r="CR2214" t="s">
        <v>116</v>
      </c>
      <c r="CS2214">
        <v>39</v>
      </c>
      <c r="CT2214">
        <v>3</v>
      </c>
      <c r="CU2214" t="s">
        <v>2259</v>
      </c>
      <c r="CV2214" t="s">
        <v>2260</v>
      </c>
      <c r="CY2214">
        <v>10822753</v>
      </c>
      <c r="CZ2214" t="s">
        <v>119</v>
      </c>
    </row>
    <row r="2215" spans="1:104" x14ac:dyDescent="0.25">
      <c r="A2215" t="str">
        <f>"14:27:15.977"</f>
        <v>14:27:15.977</v>
      </c>
      <c r="B2215" t="s">
        <v>108</v>
      </c>
      <c r="C2215" t="str">
        <f t="shared" si="103"/>
        <v>ffdfd3c0</v>
      </c>
      <c r="D2215" t="s">
        <v>109</v>
      </c>
      <c r="E2215">
        <v>4</v>
      </c>
      <c r="F2215">
        <v>1004</v>
      </c>
      <c r="G2215" t="s">
        <v>110</v>
      </c>
      <c r="J2215" t="s">
        <v>111</v>
      </c>
      <c r="K2215">
        <v>0</v>
      </c>
      <c r="L2215">
        <v>3</v>
      </c>
      <c r="M2215">
        <v>0</v>
      </c>
      <c r="N2215">
        <v>2</v>
      </c>
      <c r="O2215">
        <v>1</v>
      </c>
      <c r="P2215">
        <v>0</v>
      </c>
      <c r="Q2215">
        <v>0</v>
      </c>
      <c r="R2215" t="s">
        <v>112</v>
      </c>
      <c r="S2215" t="str">
        <f>"14:27:15.766"</f>
        <v>14:27:15.766</v>
      </c>
      <c r="T2215" t="str">
        <f>"14:27:15.367"</f>
        <v>14:27:15.367</v>
      </c>
      <c r="U2215" t="str">
        <f t="shared" si="102"/>
        <v>ad5732</v>
      </c>
      <c r="V2215">
        <v>0</v>
      </c>
      <c r="W2215">
        <v>0</v>
      </c>
      <c r="X2215">
        <v>1</v>
      </c>
      <c r="Z2215">
        <v>0</v>
      </c>
      <c r="AA2215">
        <v>9</v>
      </c>
      <c r="AB2215">
        <v>3</v>
      </c>
      <c r="AC2215">
        <v>0</v>
      </c>
      <c r="AD2215">
        <v>10</v>
      </c>
      <c r="AE2215">
        <v>0</v>
      </c>
      <c r="AF2215">
        <v>3</v>
      </c>
      <c r="AG2215">
        <v>2</v>
      </c>
      <c r="AH2215">
        <v>0</v>
      </c>
      <c r="AI2215" t="s">
        <v>4537</v>
      </c>
      <c r="AJ2215">
        <v>39.920839999999998</v>
      </c>
      <c r="AK2215" t="s">
        <v>4538</v>
      </c>
      <c r="AL2215">
        <v>-75.664043000000007</v>
      </c>
      <c r="AM2215">
        <v>100</v>
      </c>
      <c r="AN2215">
        <v>4700</v>
      </c>
      <c r="AO2215" t="s">
        <v>115</v>
      </c>
      <c r="AP2215">
        <v>121</v>
      </c>
      <c r="AQ2215">
        <v>131</v>
      </c>
      <c r="AR2215">
        <v>384</v>
      </c>
      <c r="AZ2215">
        <v>3614</v>
      </c>
      <c r="BA2215">
        <v>1</v>
      </c>
      <c r="BB2215" t="str">
        <f t="shared" si="104"/>
        <v xml:space="preserve">N959MJ  </v>
      </c>
      <c r="BC2215">
        <v>1</v>
      </c>
      <c r="BE2215">
        <v>0</v>
      </c>
      <c r="BF2215">
        <v>0</v>
      </c>
      <c r="BG2215">
        <v>0</v>
      </c>
      <c r="BH2215">
        <v>4900</v>
      </c>
      <c r="BI2215">
        <v>200</v>
      </c>
      <c r="BJ2215">
        <v>1</v>
      </c>
      <c r="BK2215">
        <v>1</v>
      </c>
      <c r="BL2215">
        <v>1</v>
      </c>
      <c r="BM2215">
        <v>0</v>
      </c>
      <c r="BP2215">
        <v>0</v>
      </c>
      <c r="BQ2215">
        <v>0</v>
      </c>
      <c r="BX2215" t="str">
        <f>"14:27:15.773"</f>
        <v>14:27:15.773</v>
      </c>
      <c r="BY2215" t="str">
        <f>"769570646"</f>
        <v>769570646</v>
      </c>
      <c r="CL2215">
        <v>0</v>
      </c>
      <c r="CM2215">
        <v>2</v>
      </c>
      <c r="CN2215">
        <v>0</v>
      </c>
      <c r="CO2215">
        <v>2</v>
      </c>
      <c r="CP2215">
        <v>0</v>
      </c>
      <c r="CQ2215">
        <v>7</v>
      </c>
      <c r="CR2215" t="s">
        <v>116</v>
      </c>
      <c r="CS2215">
        <v>39</v>
      </c>
      <c r="CT2215">
        <v>3</v>
      </c>
      <c r="CU2215" t="s">
        <v>2259</v>
      </c>
      <c r="CV2215" t="s">
        <v>2260</v>
      </c>
      <c r="CY2215">
        <v>10824542</v>
      </c>
      <c r="CZ2215" t="s">
        <v>119</v>
      </c>
    </row>
    <row r="2216" spans="1:104" x14ac:dyDescent="0.25">
      <c r="A2216" t="str">
        <f>"14:27:17.086"</f>
        <v>14:27:17.086</v>
      </c>
      <c r="B2216" t="s">
        <v>108</v>
      </c>
      <c r="C2216" t="str">
        <f t="shared" si="103"/>
        <v>ffdfd3c0</v>
      </c>
      <c r="D2216" t="s">
        <v>109</v>
      </c>
      <c r="E2216">
        <v>4</v>
      </c>
      <c r="F2216">
        <v>1004</v>
      </c>
      <c r="G2216" t="s">
        <v>110</v>
      </c>
      <c r="J2216" t="s">
        <v>111</v>
      </c>
      <c r="K2216">
        <v>0</v>
      </c>
      <c r="L2216">
        <v>3</v>
      </c>
      <c r="M2216">
        <v>0</v>
      </c>
      <c r="N2216">
        <v>2</v>
      </c>
      <c r="O2216">
        <v>1</v>
      </c>
      <c r="P2216">
        <v>0</v>
      </c>
      <c r="Q2216">
        <v>0</v>
      </c>
      <c r="R2216" t="s">
        <v>112</v>
      </c>
      <c r="S2216" t="str">
        <f>"14:27:16.898"</f>
        <v>14:27:16.898</v>
      </c>
      <c r="T2216" t="str">
        <f>"14:27:16.398"</f>
        <v>14:27:16.398</v>
      </c>
      <c r="U2216" t="str">
        <f t="shared" si="102"/>
        <v>ad5732</v>
      </c>
      <c r="V2216">
        <v>0</v>
      </c>
      <c r="W2216">
        <v>0</v>
      </c>
      <c r="X2216">
        <v>1</v>
      </c>
      <c r="Z2216">
        <v>0</v>
      </c>
      <c r="AA2216">
        <v>9</v>
      </c>
      <c r="AB2216">
        <v>3</v>
      </c>
      <c r="AC2216">
        <v>0</v>
      </c>
      <c r="AD2216">
        <v>10</v>
      </c>
      <c r="AE2216">
        <v>0</v>
      </c>
      <c r="AF2216">
        <v>3</v>
      </c>
      <c r="AG2216">
        <v>2</v>
      </c>
      <c r="AH2216">
        <v>0</v>
      </c>
      <c r="AI2216" t="s">
        <v>4539</v>
      </c>
      <c r="AJ2216">
        <v>39.921484</v>
      </c>
      <c r="AK2216" t="s">
        <v>4540</v>
      </c>
      <c r="AL2216">
        <v>-75.663207</v>
      </c>
      <c r="AM2216">
        <v>100</v>
      </c>
      <c r="AN2216">
        <v>4700</v>
      </c>
      <c r="AO2216" t="s">
        <v>115</v>
      </c>
      <c r="AP2216">
        <v>119</v>
      </c>
      <c r="AQ2216">
        <v>132</v>
      </c>
      <c r="AR2216">
        <v>384</v>
      </c>
      <c r="AZ2216">
        <v>3614</v>
      </c>
      <c r="BA2216">
        <v>1</v>
      </c>
      <c r="BB2216" t="str">
        <f t="shared" si="104"/>
        <v xml:space="preserve">N959MJ  </v>
      </c>
      <c r="BC2216">
        <v>1</v>
      </c>
      <c r="BE2216">
        <v>0</v>
      </c>
      <c r="BF2216">
        <v>0</v>
      </c>
      <c r="BG2216">
        <v>0</v>
      </c>
      <c r="BH2216">
        <v>4900</v>
      </c>
      <c r="BI2216">
        <v>200</v>
      </c>
      <c r="BJ2216">
        <v>1</v>
      </c>
      <c r="BK2216">
        <v>1</v>
      </c>
      <c r="BL2216">
        <v>1</v>
      </c>
      <c r="BM2216">
        <v>0</v>
      </c>
      <c r="BP2216">
        <v>0</v>
      </c>
      <c r="BQ2216">
        <v>0</v>
      </c>
      <c r="BX2216" t="str">
        <f>"14:27:16.898"</f>
        <v>14:27:16.898</v>
      </c>
      <c r="BY2216" t="str">
        <f>"900085888"</f>
        <v>900085888</v>
      </c>
      <c r="CL2216">
        <v>0</v>
      </c>
      <c r="CM2216">
        <v>2</v>
      </c>
      <c r="CN2216">
        <v>0</v>
      </c>
      <c r="CO2216">
        <v>2</v>
      </c>
      <c r="CP2216">
        <v>0</v>
      </c>
      <c r="CQ2216">
        <v>7</v>
      </c>
      <c r="CR2216" t="s">
        <v>116</v>
      </c>
      <c r="CS2216">
        <v>39</v>
      </c>
      <c r="CT2216">
        <v>1</v>
      </c>
      <c r="CU2216" t="s">
        <v>2259</v>
      </c>
      <c r="CV2216" t="s">
        <v>2260</v>
      </c>
      <c r="CY2216">
        <v>8821729</v>
      </c>
      <c r="CZ2216" t="s">
        <v>119</v>
      </c>
    </row>
    <row r="2217" spans="1:104" x14ac:dyDescent="0.25">
      <c r="A2217" t="str">
        <f>"14:27:18.148"</f>
        <v>14:27:18.148</v>
      </c>
      <c r="B2217" t="s">
        <v>108</v>
      </c>
      <c r="C2217" t="str">
        <f t="shared" si="103"/>
        <v>ffdfd3c0</v>
      </c>
      <c r="D2217" t="s">
        <v>109</v>
      </c>
      <c r="E2217">
        <v>4</v>
      </c>
      <c r="F2217">
        <v>1004</v>
      </c>
      <c r="G2217" t="s">
        <v>110</v>
      </c>
      <c r="J2217" t="s">
        <v>111</v>
      </c>
      <c r="K2217">
        <v>0</v>
      </c>
      <c r="L2217">
        <v>3</v>
      </c>
      <c r="M2217">
        <v>0</v>
      </c>
      <c r="N2217">
        <v>2</v>
      </c>
      <c r="O2217">
        <v>1</v>
      </c>
      <c r="P2217">
        <v>0</v>
      </c>
      <c r="Q2217">
        <v>0</v>
      </c>
      <c r="R2217" t="s">
        <v>112</v>
      </c>
      <c r="S2217" t="str">
        <f>"14:27:17.969"</f>
        <v>14:27:17.969</v>
      </c>
      <c r="T2217" t="str">
        <f>"14:27:17.469"</f>
        <v>14:27:17.469</v>
      </c>
      <c r="U2217" t="str">
        <f t="shared" si="102"/>
        <v>ad5732</v>
      </c>
      <c r="V2217">
        <v>0</v>
      </c>
      <c r="W2217">
        <v>0</v>
      </c>
      <c r="X2217">
        <v>1</v>
      </c>
      <c r="Z2217">
        <v>0</v>
      </c>
      <c r="AA2217">
        <v>9</v>
      </c>
      <c r="AB2217">
        <v>3</v>
      </c>
      <c r="AC2217">
        <v>0</v>
      </c>
      <c r="AD2217">
        <v>10</v>
      </c>
      <c r="AE2217">
        <v>0</v>
      </c>
      <c r="AF2217">
        <v>3</v>
      </c>
      <c r="AG2217">
        <v>2</v>
      </c>
      <c r="AH2217">
        <v>0</v>
      </c>
      <c r="AI2217" t="s">
        <v>4541</v>
      </c>
      <c r="AJ2217">
        <v>39.922170999999999</v>
      </c>
      <c r="AK2217" t="s">
        <v>4542</v>
      </c>
      <c r="AL2217">
        <v>-75.662476999999996</v>
      </c>
      <c r="AM2217">
        <v>100</v>
      </c>
      <c r="AN2217">
        <v>4700</v>
      </c>
      <c r="AO2217" t="s">
        <v>115</v>
      </c>
      <c r="AP2217">
        <v>117</v>
      </c>
      <c r="AQ2217">
        <v>133</v>
      </c>
      <c r="AR2217">
        <v>384</v>
      </c>
      <c r="AZ2217">
        <v>3614</v>
      </c>
      <c r="BA2217">
        <v>1</v>
      </c>
      <c r="BB2217" t="str">
        <f t="shared" si="104"/>
        <v xml:space="preserve">N959MJ  </v>
      </c>
      <c r="BC2217">
        <v>1</v>
      </c>
      <c r="BE2217">
        <v>0</v>
      </c>
      <c r="BF2217">
        <v>0</v>
      </c>
      <c r="BG2217">
        <v>0</v>
      </c>
      <c r="BH2217">
        <v>4900</v>
      </c>
      <c r="BI2217">
        <v>200</v>
      </c>
      <c r="BJ2217">
        <v>1</v>
      </c>
      <c r="BK2217">
        <v>1</v>
      </c>
      <c r="BL2217">
        <v>1</v>
      </c>
      <c r="BM2217">
        <v>0</v>
      </c>
      <c r="BP2217">
        <v>0</v>
      </c>
      <c r="BQ2217">
        <v>0</v>
      </c>
      <c r="BX2217" t="str">
        <f>"14:27:17.977"</f>
        <v>14:27:17.977</v>
      </c>
      <c r="BY2217" t="str">
        <f>"974894341"</f>
        <v>974894341</v>
      </c>
      <c r="CL2217">
        <v>0</v>
      </c>
      <c r="CM2217">
        <v>2</v>
      </c>
      <c r="CN2217">
        <v>0</v>
      </c>
      <c r="CO2217">
        <v>2</v>
      </c>
      <c r="CP2217">
        <v>0</v>
      </c>
      <c r="CQ2217">
        <v>7</v>
      </c>
      <c r="CR2217" t="s">
        <v>116</v>
      </c>
      <c r="CS2217">
        <v>39</v>
      </c>
      <c r="CT2217">
        <v>2</v>
      </c>
      <c r="CU2217" t="s">
        <v>2259</v>
      </c>
      <c r="CV2217" t="s">
        <v>2260</v>
      </c>
      <c r="CY2217">
        <v>68278</v>
      </c>
      <c r="CZ2217" t="s">
        <v>119</v>
      </c>
    </row>
    <row r="2218" spans="1:104" x14ac:dyDescent="0.25">
      <c r="A2218" t="str">
        <f>"14:27:19.156"</f>
        <v>14:27:19.156</v>
      </c>
      <c r="B2218" t="s">
        <v>108</v>
      </c>
      <c r="C2218" t="str">
        <f t="shared" si="103"/>
        <v>ffdfd3c0</v>
      </c>
      <c r="D2218" t="s">
        <v>109</v>
      </c>
      <c r="E2218">
        <v>4</v>
      </c>
      <c r="F2218">
        <v>1004</v>
      </c>
      <c r="G2218" t="s">
        <v>110</v>
      </c>
      <c r="J2218" t="s">
        <v>111</v>
      </c>
      <c r="K2218">
        <v>0</v>
      </c>
      <c r="L2218">
        <v>3</v>
      </c>
      <c r="M2218">
        <v>0</v>
      </c>
      <c r="N2218">
        <v>2</v>
      </c>
      <c r="O2218">
        <v>1</v>
      </c>
      <c r="P2218">
        <v>0</v>
      </c>
      <c r="Q2218">
        <v>0</v>
      </c>
      <c r="R2218" t="s">
        <v>112</v>
      </c>
      <c r="S2218" t="str">
        <f>"14:27:18.945"</f>
        <v>14:27:18.945</v>
      </c>
      <c r="T2218" t="str">
        <f>"14:27:18.445"</f>
        <v>14:27:18.445</v>
      </c>
      <c r="U2218" t="str">
        <f t="shared" si="102"/>
        <v>ad5732</v>
      </c>
      <c r="V2218">
        <v>0</v>
      </c>
      <c r="W2218">
        <v>0</v>
      </c>
      <c r="X2218">
        <v>1</v>
      </c>
      <c r="Z2218">
        <v>0</v>
      </c>
      <c r="AA2218">
        <v>9</v>
      </c>
      <c r="AB2218">
        <v>3</v>
      </c>
      <c r="AC2218">
        <v>0</v>
      </c>
      <c r="AD2218">
        <v>10</v>
      </c>
      <c r="AE2218">
        <v>0</v>
      </c>
      <c r="AF2218">
        <v>3</v>
      </c>
      <c r="AG2218">
        <v>2</v>
      </c>
      <c r="AH2218">
        <v>0</v>
      </c>
      <c r="AI2218" t="s">
        <v>4543</v>
      </c>
      <c r="AJ2218">
        <v>39.922814000000002</v>
      </c>
      <c r="AK2218" t="s">
        <v>4544</v>
      </c>
      <c r="AL2218">
        <v>-75.661747000000005</v>
      </c>
      <c r="AM2218">
        <v>100</v>
      </c>
      <c r="AN2218">
        <v>4700</v>
      </c>
      <c r="AO2218" t="s">
        <v>115</v>
      </c>
      <c r="AP2218">
        <v>117</v>
      </c>
      <c r="AQ2218">
        <v>132</v>
      </c>
      <c r="AR2218">
        <v>256</v>
      </c>
      <c r="AZ2218">
        <v>3614</v>
      </c>
      <c r="BA2218">
        <v>1</v>
      </c>
      <c r="BB2218" t="str">
        <f t="shared" si="104"/>
        <v xml:space="preserve">N959MJ  </v>
      </c>
      <c r="BC2218">
        <v>1</v>
      </c>
      <c r="BE2218">
        <v>0</v>
      </c>
      <c r="BF2218">
        <v>0</v>
      </c>
      <c r="BG2218">
        <v>0</v>
      </c>
      <c r="BH2218">
        <v>4900</v>
      </c>
      <c r="BI2218">
        <v>200</v>
      </c>
      <c r="BJ2218">
        <v>1</v>
      </c>
      <c r="BK2218">
        <v>1</v>
      </c>
      <c r="BL2218">
        <v>1</v>
      </c>
      <c r="BM2218">
        <v>0</v>
      </c>
      <c r="BP2218">
        <v>0</v>
      </c>
      <c r="BQ2218">
        <v>0</v>
      </c>
      <c r="BX2218" t="str">
        <f>"14:27:18.945"</f>
        <v>14:27:18.945</v>
      </c>
      <c r="BY2218" t="str">
        <f>"948120423"</f>
        <v>948120423</v>
      </c>
      <c r="CL2218">
        <v>0</v>
      </c>
      <c r="CM2218">
        <v>2</v>
      </c>
      <c r="CN2218">
        <v>0</v>
      </c>
      <c r="CO2218">
        <v>2</v>
      </c>
      <c r="CP2218">
        <v>0</v>
      </c>
      <c r="CQ2218">
        <v>7</v>
      </c>
      <c r="CR2218" t="s">
        <v>116</v>
      </c>
      <c r="CS2218">
        <v>39</v>
      </c>
      <c r="CT2218">
        <v>1</v>
      </c>
      <c r="CU2218" t="s">
        <v>2259</v>
      </c>
      <c r="CV2218" t="s">
        <v>2260</v>
      </c>
      <c r="CY2218">
        <v>8824677</v>
      </c>
      <c r="CZ2218" t="s">
        <v>119</v>
      </c>
    </row>
    <row r="2219" spans="1:104" x14ac:dyDescent="0.25">
      <c r="A2219" t="str">
        <f>"14:27:20.164"</f>
        <v>14:27:20.164</v>
      </c>
      <c r="B2219" t="s">
        <v>108</v>
      </c>
      <c r="C2219" t="str">
        <f t="shared" si="103"/>
        <v>ffdfd3c0</v>
      </c>
      <c r="D2219" t="s">
        <v>109</v>
      </c>
      <c r="E2219">
        <v>4</v>
      </c>
      <c r="F2219">
        <v>1004</v>
      </c>
      <c r="G2219" t="s">
        <v>110</v>
      </c>
      <c r="J2219" t="s">
        <v>111</v>
      </c>
      <c r="K2219">
        <v>0</v>
      </c>
      <c r="L2219">
        <v>3</v>
      </c>
      <c r="M2219">
        <v>0</v>
      </c>
      <c r="N2219">
        <v>2</v>
      </c>
      <c r="O2219">
        <v>1</v>
      </c>
      <c r="P2219">
        <v>0</v>
      </c>
      <c r="Q2219">
        <v>0</v>
      </c>
      <c r="R2219" t="s">
        <v>112</v>
      </c>
      <c r="S2219" t="str">
        <f>"14:27:19.992"</f>
        <v>14:27:19.992</v>
      </c>
      <c r="T2219" t="str">
        <f>"14:27:19.594"</f>
        <v>14:27:19.594</v>
      </c>
      <c r="U2219" t="str">
        <f t="shared" si="102"/>
        <v>ad5732</v>
      </c>
      <c r="V2219">
        <v>0</v>
      </c>
      <c r="W2219">
        <v>0</v>
      </c>
      <c r="X2219">
        <v>1</v>
      </c>
      <c r="Z2219">
        <v>0</v>
      </c>
      <c r="AA2219">
        <v>9</v>
      </c>
      <c r="AB2219">
        <v>3</v>
      </c>
      <c r="AC2219">
        <v>0</v>
      </c>
      <c r="AD2219">
        <v>10</v>
      </c>
      <c r="AE2219">
        <v>0</v>
      </c>
      <c r="AF2219">
        <v>3</v>
      </c>
      <c r="AG2219">
        <v>2</v>
      </c>
      <c r="AH2219">
        <v>0</v>
      </c>
      <c r="AI2219" t="s">
        <v>4545</v>
      </c>
      <c r="AJ2219">
        <v>39.923394000000002</v>
      </c>
      <c r="AK2219" t="s">
        <v>4546</v>
      </c>
      <c r="AL2219">
        <v>-75.661081999999993</v>
      </c>
      <c r="AM2219">
        <v>100</v>
      </c>
      <c r="AN2219">
        <v>4700</v>
      </c>
      <c r="AO2219" t="s">
        <v>115</v>
      </c>
      <c r="AP2219">
        <v>117</v>
      </c>
      <c r="AQ2219">
        <v>132</v>
      </c>
      <c r="AR2219">
        <v>128</v>
      </c>
      <c r="AZ2219">
        <v>3614</v>
      </c>
      <c r="BA2219">
        <v>1</v>
      </c>
      <c r="BB2219" t="str">
        <f t="shared" si="104"/>
        <v xml:space="preserve">N959MJ  </v>
      </c>
      <c r="BC2219">
        <v>1</v>
      </c>
      <c r="BE2219">
        <v>0</v>
      </c>
      <c r="BF2219">
        <v>0</v>
      </c>
      <c r="BG2219">
        <v>0</v>
      </c>
      <c r="BH2219">
        <v>4925</v>
      </c>
      <c r="BI2219">
        <v>225</v>
      </c>
      <c r="BJ2219">
        <v>1</v>
      </c>
      <c r="BK2219">
        <v>1</v>
      </c>
      <c r="BL2219">
        <v>1</v>
      </c>
      <c r="BM2219">
        <v>0</v>
      </c>
      <c r="BP2219">
        <v>0</v>
      </c>
      <c r="BQ2219">
        <v>0</v>
      </c>
      <c r="BX2219" t="str">
        <f>"14:27:19.992"</f>
        <v>14:27:19.992</v>
      </c>
      <c r="BY2219" t="str">
        <f>"993437269"</f>
        <v>993437269</v>
      </c>
      <c r="CL2219">
        <v>0</v>
      </c>
      <c r="CM2219">
        <v>2</v>
      </c>
      <c r="CN2219">
        <v>0</v>
      </c>
      <c r="CO2219">
        <v>2</v>
      </c>
      <c r="CP2219">
        <v>0</v>
      </c>
      <c r="CQ2219">
        <v>7</v>
      </c>
      <c r="CR2219" t="s">
        <v>116</v>
      </c>
      <c r="CS2219">
        <v>39</v>
      </c>
      <c r="CT2219">
        <v>3</v>
      </c>
      <c r="CU2219" t="s">
        <v>2259</v>
      </c>
      <c r="CV2219" t="s">
        <v>2260</v>
      </c>
      <c r="CY2219">
        <v>10831736</v>
      </c>
      <c r="CZ2219" t="s">
        <v>119</v>
      </c>
    </row>
    <row r="2220" spans="1:104" x14ac:dyDescent="0.25">
      <c r="A2220" t="str">
        <f>"14:27:21.125"</f>
        <v>14:27:21.125</v>
      </c>
      <c r="B2220" t="s">
        <v>108</v>
      </c>
      <c r="C2220" t="str">
        <f t="shared" si="103"/>
        <v>ffdfd3c0</v>
      </c>
      <c r="D2220" t="s">
        <v>109</v>
      </c>
      <c r="E2220">
        <v>4</v>
      </c>
      <c r="F2220">
        <v>1004</v>
      </c>
      <c r="G2220" t="s">
        <v>110</v>
      </c>
      <c r="J2220" t="s">
        <v>111</v>
      </c>
      <c r="K2220">
        <v>0</v>
      </c>
      <c r="L2220">
        <v>3</v>
      </c>
      <c r="M2220">
        <v>0</v>
      </c>
      <c r="N2220">
        <v>2</v>
      </c>
      <c r="O2220">
        <v>1</v>
      </c>
      <c r="P2220">
        <v>0</v>
      </c>
      <c r="Q2220">
        <v>0</v>
      </c>
      <c r="R2220" t="s">
        <v>112</v>
      </c>
      <c r="S2220" t="str">
        <f>"14:27:20.969"</f>
        <v>14:27:20.969</v>
      </c>
      <c r="T2220" t="str">
        <f>"14:27:20.469"</f>
        <v>14:27:20.469</v>
      </c>
      <c r="U2220" t="str">
        <f t="shared" si="102"/>
        <v>ad5732</v>
      </c>
      <c r="V2220">
        <v>0</v>
      </c>
      <c r="W2220">
        <v>0</v>
      </c>
      <c r="X2220">
        <v>1</v>
      </c>
      <c r="Z2220">
        <v>0</v>
      </c>
      <c r="AA2220">
        <v>9</v>
      </c>
      <c r="AB2220">
        <v>3</v>
      </c>
      <c r="AC2220">
        <v>0</v>
      </c>
      <c r="AD2220">
        <v>10</v>
      </c>
      <c r="AE2220">
        <v>0</v>
      </c>
      <c r="AF2220">
        <v>3</v>
      </c>
      <c r="AG2220">
        <v>2</v>
      </c>
      <c r="AH2220">
        <v>0</v>
      </c>
      <c r="AI2220" t="s">
        <v>4547</v>
      </c>
      <c r="AJ2220">
        <v>39.923994999999998</v>
      </c>
      <c r="AK2220" t="s">
        <v>4548</v>
      </c>
      <c r="AL2220">
        <v>-75.660330999999999</v>
      </c>
      <c r="AM2220">
        <v>100</v>
      </c>
      <c r="AN2220">
        <v>4700</v>
      </c>
      <c r="AO2220" t="s">
        <v>115</v>
      </c>
      <c r="AP2220">
        <v>118</v>
      </c>
      <c r="AQ2220">
        <v>131</v>
      </c>
      <c r="AR2220">
        <v>0</v>
      </c>
      <c r="AZ2220">
        <v>3614</v>
      </c>
      <c r="BA2220">
        <v>1</v>
      </c>
      <c r="BB2220" t="str">
        <f t="shared" si="104"/>
        <v xml:space="preserve">N959MJ  </v>
      </c>
      <c r="BC2220">
        <v>1</v>
      </c>
      <c r="BE2220">
        <v>0</v>
      </c>
      <c r="BF2220">
        <v>0</v>
      </c>
      <c r="BG2220">
        <v>0</v>
      </c>
      <c r="BH2220">
        <v>4925</v>
      </c>
      <c r="BI2220">
        <v>225</v>
      </c>
      <c r="BJ2220">
        <v>1</v>
      </c>
      <c r="BK2220">
        <v>1</v>
      </c>
      <c r="BL2220">
        <v>1</v>
      </c>
      <c r="BM2220">
        <v>0</v>
      </c>
      <c r="BP2220">
        <v>0</v>
      </c>
      <c r="BQ2220">
        <v>0</v>
      </c>
      <c r="BX2220" t="str">
        <f>"14:27:20.969"</f>
        <v>14:27:20.969</v>
      </c>
      <c r="BY2220" t="str">
        <f>"970180533"</f>
        <v>970180533</v>
      </c>
      <c r="CL2220">
        <v>0</v>
      </c>
      <c r="CM2220">
        <v>2</v>
      </c>
      <c r="CN2220">
        <v>0</v>
      </c>
      <c r="CO2220">
        <v>2</v>
      </c>
      <c r="CP2220">
        <v>0</v>
      </c>
      <c r="CQ2220">
        <v>5</v>
      </c>
      <c r="CR2220" t="s">
        <v>116</v>
      </c>
      <c r="CS2220">
        <v>396</v>
      </c>
      <c r="CT2220">
        <v>1</v>
      </c>
      <c r="CU2220" t="s">
        <v>939</v>
      </c>
      <c r="CV2220" t="s">
        <v>940</v>
      </c>
      <c r="CY2220">
        <v>10267060</v>
      </c>
      <c r="CZ2220" t="s">
        <v>119</v>
      </c>
    </row>
    <row r="2221" spans="1:104" x14ac:dyDescent="0.25">
      <c r="A2221" t="str">
        <f>"14:27:22.031"</f>
        <v>14:27:22.031</v>
      </c>
      <c r="B2221" t="s">
        <v>108</v>
      </c>
      <c r="C2221" t="str">
        <f t="shared" si="103"/>
        <v>ffdfd3c0</v>
      </c>
      <c r="D2221" t="s">
        <v>109</v>
      </c>
      <c r="E2221">
        <v>4</v>
      </c>
      <c r="F2221">
        <v>1004</v>
      </c>
      <c r="G2221" t="s">
        <v>110</v>
      </c>
      <c r="J2221" t="s">
        <v>111</v>
      </c>
      <c r="K2221">
        <v>0</v>
      </c>
      <c r="L2221">
        <v>3</v>
      </c>
      <c r="M2221">
        <v>0</v>
      </c>
      <c r="N2221">
        <v>2</v>
      </c>
      <c r="O2221">
        <v>1</v>
      </c>
      <c r="P2221">
        <v>0</v>
      </c>
      <c r="Q2221">
        <v>0</v>
      </c>
      <c r="R2221" t="s">
        <v>112</v>
      </c>
      <c r="S2221" t="str">
        <f>"14:27:21.859"</f>
        <v>14:27:21.859</v>
      </c>
      <c r="T2221" t="str">
        <f>"14:27:21.461"</f>
        <v>14:27:21.461</v>
      </c>
      <c r="U2221" t="str">
        <f t="shared" si="102"/>
        <v>ad5732</v>
      </c>
      <c r="V2221">
        <v>0</v>
      </c>
      <c r="W2221">
        <v>0</v>
      </c>
      <c r="X2221">
        <v>1</v>
      </c>
      <c r="Z2221">
        <v>0</v>
      </c>
      <c r="AA2221">
        <v>9</v>
      </c>
      <c r="AB2221">
        <v>3</v>
      </c>
      <c r="AC2221">
        <v>0</v>
      </c>
      <c r="AD2221">
        <v>10</v>
      </c>
      <c r="AE2221">
        <v>0</v>
      </c>
      <c r="AF2221">
        <v>3</v>
      </c>
      <c r="AG2221">
        <v>2</v>
      </c>
      <c r="AH2221">
        <v>0</v>
      </c>
      <c r="AI2221" t="s">
        <v>4549</v>
      </c>
      <c r="AJ2221">
        <v>39.924551999999998</v>
      </c>
      <c r="AK2221" t="s">
        <v>4550</v>
      </c>
      <c r="AL2221">
        <v>-75.659666000000001</v>
      </c>
      <c r="AM2221">
        <v>100</v>
      </c>
      <c r="AN2221">
        <v>4700</v>
      </c>
      <c r="AO2221" t="s">
        <v>115</v>
      </c>
      <c r="AP2221">
        <v>119</v>
      </c>
      <c r="AQ2221">
        <v>130</v>
      </c>
      <c r="AR2221">
        <v>0</v>
      </c>
      <c r="AZ2221">
        <v>3614</v>
      </c>
      <c r="BA2221">
        <v>1</v>
      </c>
      <c r="BB2221" t="str">
        <f t="shared" si="104"/>
        <v xml:space="preserve">N959MJ  </v>
      </c>
      <c r="BC2221">
        <v>1</v>
      </c>
      <c r="BE2221">
        <v>0</v>
      </c>
      <c r="BF2221">
        <v>0</v>
      </c>
      <c r="BG2221">
        <v>0</v>
      </c>
      <c r="BH2221">
        <v>4925</v>
      </c>
      <c r="BI2221">
        <v>225</v>
      </c>
      <c r="BJ2221">
        <v>1</v>
      </c>
      <c r="BK2221">
        <v>1</v>
      </c>
      <c r="BL2221">
        <v>1</v>
      </c>
      <c r="BM2221">
        <v>0</v>
      </c>
      <c r="BP2221">
        <v>0</v>
      </c>
      <c r="BQ2221">
        <v>0</v>
      </c>
      <c r="BX2221" t="str">
        <f>"14:27:21.859"</f>
        <v>14:27:21.859</v>
      </c>
      <c r="BY2221" t="str">
        <f>"861244846"</f>
        <v>861244846</v>
      </c>
      <c r="CL2221">
        <v>0</v>
      </c>
      <c r="CM2221">
        <v>2</v>
      </c>
      <c r="CN2221">
        <v>0</v>
      </c>
      <c r="CO2221">
        <v>2</v>
      </c>
      <c r="CP2221">
        <v>0</v>
      </c>
      <c r="CQ2221">
        <v>7</v>
      </c>
      <c r="CR2221" t="s">
        <v>116</v>
      </c>
      <c r="CS2221">
        <v>39</v>
      </c>
      <c r="CT2221">
        <v>3</v>
      </c>
      <c r="CU2221" t="s">
        <v>2259</v>
      </c>
      <c r="CV2221" t="s">
        <v>2260</v>
      </c>
      <c r="CY2221">
        <v>10835109</v>
      </c>
      <c r="CZ2221" t="s">
        <v>119</v>
      </c>
    </row>
    <row r="2222" spans="1:104" x14ac:dyDescent="0.25">
      <c r="A2222" t="str">
        <f>"14:27:23.195"</f>
        <v>14:27:23.195</v>
      </c>
      <c r="B2222" t="s">
        <v>108</v>
      </c>
      <c r="C2222" t="str">
        <f t="shared" si="103"/>
        <v>ffdfd3c0</v>
      </c>
      <c r="D2222" t="s">
        <v>109</v>
      </c>
      <c r="E2222">
        <v>4</v>
      </c>
      <c r="F2222">
        <v>1004</v>
      </c>
      <c r="G2222" t="s">
        <v>110</v>
      </c>
      <c r="J2222" t="s">
        <v>111</v>
      </c>
      <c r="K2222">
        <v>0</v>
      </c>
      <c r="L2222">
        <v>3</v>
      </c>
      <c r="M2222">
        <v>0</v>
      </c>
      <c r="N2222">
        <v>2</v>
      </c>
      <c r="O2222">
        <v>1</v>
      </c>
      <c r="P2222">
        <v>0</v>
      </c>
      <c r="Q2222">
        <v>0</v>
      </c>
      <c r="R2222" t="s">
        <v>112</v>
      </c>
      <c r="S2222" t="str">
        <f>"14:27:23.031"</f>
        <v>14:27:23.031</v>
      </c>
      <c r="T2222" t="str">
        <f>"14:27:22.531"</f>
        <v>14:27:22.531</v>
      </c>
      <c r="U2222" t="str">
        <f t="shared" si="102"/>
        <v>ad5732</v>
      </c>
      <c r="V2222">
        <v>0</v>
      </c>
      <c r="W2222">
        <v>0</v>
      </c>
      <c r="X2222">
        <v>1</v>
      </c>
      <c r="Z2222">
        <v>0</v>
      </c>
      <c r="AA2222">
        <v>9</v>
      </c>
      <c r="AB2222">
        <v>3</v>
      </c>
      <c r="AC2222">
        <v>0</v>
      </c>
      <c r="AD2222">
        <v>10</v>
      </c>
      <c r="AE2222">
        <v>0</v>
      </c>
      <c r="AF2222">
        <v>3</v>
      </c>
      <c r="AG2222">
        <v>2</v>
      </c>
      <c r="AH2222">
        <v>0</v>
      </c>
      <c r="AI2222" t="s">
        <v>4551</v>
      </c>
      <c r="AJ2222">
        <v>39.925238999999998</v>
      </c>
      <c r="AK2222" t="s">
        <v>4552</v>
      </c>
      <c r="AL2222">
        <v>-75.658786000000006</v>
      </c>
      <c r="AM2222">
        <v>100</v>
      </c>
      <c r="AN2222">
        <v>4700</v>
      </c>
      <c r="AO2222" t="s">
        <v>115</v>
      </c>
      <c r="AP2222">
        <v>121</v>
      </c>
      <c r="AQ2222">
        <v>129</v>
      </c>
      <c r="AR2222">
        <v>-128</v>
      </c>
      <c r="AZ2222">
        <v>3614</v>
      </c>
      <c r="BA2222">
        <v>1</v>
      </c>
      <c r="BB2222" t="str">
        <f t="shared" si="104"/>
        <v xml:space="preserve">N959MJ  </v>
      </c>
      <c r="BC2222">
        <v>1</v>
      </c>
      <c r="BE2222">
        <v>0</v>
      </c>
      <c r="BF2222">
        <v>0</v>
      </c>
      <c r="BG2222">
        <v>0</v>
      </c>
      <c r="BH2222">
        <v>4925</v>
      </c>
      <c r="BI2222">
        <v>225</v>
      </c>
      <c r="BJ2222">
        <v>1</v>
      </c>
      <c r="BK2222">
        <v>1</v>
      </c>
      <c r="BL2222">
        <v>1</v>
      </c>
      <c r="BM2222">
        <v>0</v>
      </c>
      <c r="BP2222">
        <v>0</v>
      </c>
      <c r="BQ2222">
        <v>0</v>
      </c>
      <c r="BX2222" t="str">
        <f>"14:27:23.031"</f>
        <v>14:27:23.031</v>
      </c>
      <c r="BY2222" t="str">
        <f>"032720654"</f>
        <v>032720654</v>
      </c>
      <c r="CL2222">
        <v>0</v>
      </c>
      <c r="CM2222">
        <v>2</v>
      </c>
      <c r="CN2222">
        <v>0</v>
      </c>
      <c r="CO2222">
        <v>2</v>
      </c>
      <c r="CP2222">
        <v>0</v>
      </c>
      <c r="CQ2222">
        <v>7</v>
      </c>
      <c r="CR2222" t="s">
        <v>116</v>
      </c>
      <c r="CS2222">
        <v>39</v>
      </c>
      <c r="CT2222">
        <v>3</v>
      </c>
      <c r="CU2222" t="s">
        <v>2259</v>
      </c>
      <c r="CV2222" t="s">
        <v>2260</v>
      </c>
      <c r="CY2222">
        <v>10837071</v>
      </c>
      <c r="CZ2222" t="s">
        <v>119</v>
      </c>
    </row>
    <row r="2223" spans="1:104" x14ac:dyDescent="0.25">
      <c r="A2223" t="str">
        <f>"14:27:24.156"</f>
        <v>14:27:24.156</v>
      </c>
      <c r="B2223" t="s">
        <v>108</v>
      </c>
      <c r="C2223" t="str">
        <f t="shared" si="103"/>
        <v>ffdfd3c0</v>
      </c>
      <c r="D2223" t="s">
        <v>109</v>
      </c>
      <c r="E2223">
        <v>4</v>
      </c>
      <c r="F2223">
        <v>1004</v>
      </c>
      <c r="G2223" t="s">
        <v>110</v>
      </c>
      <c r="J2223" t="s">
        <v>111</v>
      </c>
      <c r="K2223">
        <v>0</v>
      </c>
      <c r="L2223">
        <v>3</v>
      </c>
      <c r="M2223">
        <v>0</v>
      </c>
      <c r="N2223">
        <v>2</v>
      </c>
      <c r="O2223">
        <v>1</v>
      </c>
      <c r="P2223">
        <v>0</v>
      </c>
      <c r="Q2223">
        <v>0</v>
      </c>
      <c r="R2223" t="s">
        <v>112</v>
      </c>
      <c r="S2223" t="str">
        <f>"14:27:23.953"</f>
        <v>14:27:23.953</v>
      </c>
      <c r="T2223" t="str">
        <f>"14:27:23.555"</f>
        <v>14:27:23.555</v>
      </c>
      <c r="U2223" t="str">
        <f t="shared" si="102"/>
        <v>ad5732</v>
      </c>
      <c r="V2223">
        <v>0</v>
      </c>
      <c r="W2223">
        <v>0</v>
      </c>
      <c r="X2223">
        <v>1</v>
      </c>
      <c r="Z2223">
        <v>0</v>
      </c>
      <c r="AA2223">
        <v>9</v>
      </c>
      <c r="AB2223">
        <v>3</v>
      </c>
      <c r="AC2223">
        <v>0</v>
      </c>
      <c r="AD2223">
        <v>10</v>
      </c>
      <c r="AE2223">
        <v>0</v>
      </c>
      <c r="AF2223">
        <v>3</v>
      </c>
      <c r="AG2223">
        <v>2</v>
      </c>
      <c r="AH2223">
        <v>0</v>
      </c>
      <c r="AI2223" t="s">
        <v>4553</v>
      </c>
      <c r="AJ2223">
        <v>39.925775999999999</v>
      </c>
      <c r="AK2223" t="s">
        <v>4554</v>
      </c>
      <c r="AL2223">
        <v>-75.658142999999995</v>
      </c>
      <c r="AM2223">
        <v>100</v>
      </c>
      <c r="AN2223">
        <v>4700</v>
      </c>
      <c r="AO2223" t="s">
        <v>115</v>
      </c>
      <c r="AP2223">
        <v>122</v>
      </c>
      <c r="AQ2223">
        <v>129</v>
      </c>
      <c r="AR2223">
        <v>-128</v>
      </c>
      <c r="AZ2223">
        <v>3614</v>
      </c>
      <c r="BA2223">
        <v>1</v>
      </c>
      <c r="BB2223" t="str">
        <f t="shared" si="104"/>
        <v xml:space="preserve">N959MJ  </v>
      </c>
      <c r="BC2223">
        <v>1</v>
      </c>
      <c r="BE2223">
        <v>0</v>
      </c>
      <c r="BF2223">
        <v>0</v>
      </c>
      <c r="BG2223">
        <v>0</v>
      </c>
      <c r="BH2223">
        <v>4900</v>
      </c>
      <c r="BI2223">
        <v>200</v>
      </c>
      <c r="BJ2223">
        <v>1</v>
      </c>
      <c r="BK2223">
        <v>1</v>
      </c>
      <c r="BL2223">
        <v>1</v>
      </c>
      <c r="BM2223">
        <v>0</v>
      </c>
      <c r="BP2223">
        <v>0</v>
      </c>
      <c r="BQ2223">
        <v>0</v>
      </c>
      <c r="BX2223" t="str">
        <f>"14:27:23.961"</f>
        <v>14:27:23.961</v>
      </c>
      <c r="BY2223" t="str">
        <f>"958432349"</f>
        <v>958432349</v>
      </c>
      <c r="CL2223">
        <v>0</v>
      </c>
      <c r="CM2223">
        <v>2</v>
      </c>
      <c r="CN2223">
        <v>0</v>
      </c>
      <c r="CO2223">
        <v>2</v>
      </c>
      <c r="CP2223">
        <v>0</v>
      </c>
      <c r="CQ2223">
        <v>7</v>
      </c>
      <c r="CR2223" t="s">
        <v>116</v>
      </c>
      <c r="CS2223">
        <v>39</v>
      </c>
      <c r="CT2223">
        <v>2</v>
      </c>
      <c r="CU2223" t="s">
        <v>2259</v>
      </c>
      <c r="CV2223" t="s">
        <v>2260</v>
      </c>
      <c r="CY2223">
        <v>78395</v>
      </c>
      <c r="CZ2223" t="s">
        <v>119</v>
      </c>
    </row>
    <row r="2224" spans="1:104" x14ac:dyDescent="0.25">
      <c r="A2224" t="str">
        <f>"14:27:24.961"</f>
        <v>14:27:24.961</v>
      </c>
      <c r="B2224" t="s">
        <v>108</v>
      </c>
      <c r="C2224" t="str">
        <f t="shared" si="103"/>
        <v>ffdfd3c0</v>
      </c>
      <c r="D2224" t="s">
        <v>109</v>
      </c>
      <c r="E2224">
        <v>4</v>
      </c>
      <c r="F2224">
        <v>1004</v>
      </c>
      <c r="G2224" t="s">
        <v>110</v>
      </c>
      <c r="J2224" t="s">
        <v>111</v>
      </c>
      <c r="K2224">
        <v>0</v>
      </c>
      <c r="L2224">
        <v>3</v>
      </c>
      <c r="M2224">
        <v>0</v>
      </c>
      <c r="N2224">
        <v>2</v>
      </c>
      <c r="O2224">
        <v>1</v>
      </c>
      <c r="P2224">
        <v>0</v>
      </c>
      <c r="Q2224">
        <v>0</v>
      </c>
      <c r="R2224" t="s">
        <v>112</v>
      </c>
      <c r="S2224" t="str">
        <f>"14:27:24.805"</f>
        <v>14:27:24.805</v>
      </c>
      <c r="T2224" t="str">
        <f>"14:27:24.406"</f>
        <v>14:27:24.406</v>
      </c>
      <c r="U2224" t="str">
        <f t="shared" si="102"/>
        <v>ad5732</v>
      </c>
      <c r="V2224">
        <v>0</v>
      </c>
      <c r="W2224">
        <v>0</v>
      </c>
      <c r="X2224">
        <v>1</v>
      </c>
      <c r="Z2224">
        <v>0</v>
      </c>
      <c r="AA2224">
        <v>9</v>
      </c>
      <c r="AB2224">
        <v>3</v>
      </c>
      <c r="AC2224">
        <v>0</v>
      </c>
      <c r="AD2224">
        <v>10</v>
      </c>
      <c r="AE2224">
        <v>0</v>
      </c>
      <c r="AF2224">
        <v>3</v>
      </c>
      <c r="AG2224">
        <v>2</v>
      </c>
      <c r="AH2224">
        <v>0</v>
      </c>
      <c r="AI2224" t="s">
        <v>4555</v>
      </c>
      <c r="AJ2224">
        <v>39.926312000000003</v>
      </c>
      <c r="AK2224" t="s">
        <v>4556</v>
      </c>
      <c r="AL2224">
        <v>-75.657477</v>
      </c>
      <c r="AM2224">
        <v>100</v>
      </c>
      <c r="AN2224">
        <v>4700</v>
      </c>
      <c r="AO2224" t="s">
        <v>115</v>
      </c>
      <c r="AP2224">
        <v>123</v>
      </c>
      <c r="AQ2224">
        <v>128</v>
      </c>
      <c r="AR2224">
        <v>-192</v>
      </c>
      <c r="AZ2224">
        <v>3614</v>
      </c>
      <c r="BA2224">
        <v>1</v>
      </c>
      <c r="BB2224" t="str">
        <f t="shared" si="104"/>
        <v xml:space="preserve">N959MJ  </v>
      </c>
      <c r="BC2224">
        <v>1</v>
      </c>
      <c r="BE2224">
        <v>0</v>
      </c>
      <c r="BF2224">
        <v>0</v>
      </c>
      <c r="BG2224">
        <v>0</v>
      </c>
      <c r="BH2224">
        <v>4900</v>
      </c>
      <c r="BI2224">
        <v>200</v>
      </c>
      <c r="BJ2224">
        <v>1</v>
      </c>
      <c r="BK2224">
        <v>1</v>
      </c>
      <c r="BL2224">
        <v>1</v>
      </c>
      <c r="BM2224">
        <v>0</v>
      </c>
      <c r="BP2224">
        <v>0</v>
      </c>
      <c r="BQ2224">
        <v>0</v>
      </c>
      <c r="BX2224" t="str">
        <f>"14:27:24.805"</f>
        <v>14:27:24.805</v>
      </c>
      <c r="BY2224" t="str">
        <f>"807137851"</f>
        <v>807137851</v>
      </c>
      <c r="CL2224">
        <v>0</v>
      </c>
      <c r="CM2224">
        <v>2</v>
      </c>
      <c r="CN2224">
        <v>0</v>
      </c>
      <c r="CO2224">
        <v>2</v>
      </c>
      <c r="CP2224">
        <v>0</v>
      </c>
      <c r="CQ2224">
        <v>7</v>
      </c>
      <c r="CR2224" t="s">
        <v>116</v>
      </c>
      <c r="CS2224">
        <v>39</v>
      </c>
      <c r="CT2224">
        <v>2</v>
      </c>
      <c r="CU2224" t="s">
        <v>2259</v>
      </c>
      <c r="CV2224" t="s">
        <v>2260</v>
      </c>
      <c r="CY2224">
        <v>79920</v>
      </c>
      <c r="CZ2224" t="s">
        <v>119</v>
      </c>
    </row>
    <row r="2225" spans="1:104" x14ac:dyDescent="0.25">
      <c r="A2225" t="str">
        <f>"14:27:25.969"</f>
        <v>14:27:25.969</v>
      </c>
      <c r="B2225" t="s">
        <v>108</v>
      </c>
      <c r="C2225" t="str">
        <f t="shared" si="103"/>
        <v>ffdfd3c0</v>
      </c>
      <c r="D2225" t="s">
        <v>109</v>
      </c>
      <c r="E2225">
        <v>4</v>
      </c>
      <c r="F2225">
        <v>1004</v>
      </c>
      <c r="G2225" t="s">
        <v>110</v>
      </c>
      <c r="J2225" t="s">
        <v>111</v>
      </c>
      <c r="K2225">
        <v>0</v>
      </c>
      <c r="L2225">
        <v>3</v>
      </c>
      <c r="M2225">
        <v>0</v>
      </c>
      <c r="N2225">
        <v>2</v>
      </c>
      <c r="O2225">
        <v>1</v>
      </c>
      <c r="P2225">
        <v>0</v>
      </c>
      <c r="Q2225">
        <v>0</v>
      </c>
      <c r="R2225" t="s">
        <v>112</v>
      </c>
      <c r="S2225" t="str">
        <f>"14:27:25.781"</f>
        <v>14:27:25.781</v>
      </c>
      <c r="T2225" t="str">
        <f>"14:27:25.281"</f>
        <v>14:27:25.281</v>
      </c>
      <c r="U2225" t="str">
        <f t="shared" si="102"/>
        <v>ad5732</v>
      </c>
      <c r="V2225">
        <v>0</v>
      </c>
      <c r="W2225">
        <v>0</v>
      </c>
      <c r="X2225">
        <v>1</v>
      </c>
      <c r="Z2225">
        <v>0</v>
      </c>
      <c r="AA2225">
        <v>9</v>
      </c>
      <c r="AB2225">
        <v>3</v>
      </c>
      <c r="AC2225">
        <v>0</v>
      </c>
      <c r="AD2225">
        <v>10</v>
      </c>
      <c r="AE2225">
        <v>0</v>
      </c>
      <c r="AF2225">
        <v>3</v>
      </c>
      <c r="AG2225">
        <v>2</v>
      </c>
      <c r="AH2225">
        <v>0</v>
      </c>
      <c r="AI2225" t="s">
        <v>4557</v>
      </c>
      <c r="AJ2225">
        <v>39.926870000000001</v>
      </c>
      <c r="AK2225" t="s">
        <v>4558</v>
      </c>
      <c r="AL2225">
        <v>-75.656790999999998</v>
      </c>
      <c r="AM2225">
        <v>100</v>
      </c>
      <c r="AN2225">
        <v>4700</v>
      </c>
      <c r="AO2225" t="s">
        <v>115</v>
      </c>
      <c r="AP2225">
        <v>125</v>
      </c>
      <c r="AQ2225">
        <v>127</v>
      </c>
      <c r="AR2225">
        <v>-192</v>
      </c>
      <c r="AZ2225">
        <v>3614</v>
      </c>
      <c r="BA2225">
        <v>1</v>
      </c>
      <c r="BB2225" t="str">
        <f t="shared" si="104"/>
        <v xml:space="preserve">N959MJ  </v>
      </c>
      <c r="BC2225">
        <v>1</v>
      </c>
      <c r="BE2225">
        <v>0</v>
      </c>
      <c r="BF2225">
        <v>0</v>
      </c>
      <c r="BG2225">
        <v>0</v>
      </c>
      <c r="BH2225">
        <v>4900</v>
      </c>
      <c r="BI2225">
        <v>200</v>
      </c>
      <c r="BJ2225">
        <v>1</v>
      </c>
      <c r="BK2225">
        <v>1</v>
      </c>
      <c r="BL2225">
        <v>1</v>
      </c>
      <c r="BM2225">
        <v>0</v>
      </c>
      <c r="BP2225">
        <v>0</v>
      </c>
      <c r="BQ2225">
        <v>0</v>
      </c>
      <c r="BX2225" t="str">
        <f>"14:27:25.781"</f>
        <v>14:27:25.781</v>
      </c>
      <c r="BY2225" t="str">
        <f>"783640780"</f>
        <v>783640780</v>
      </c>
      <c r="CL2225">
        <v>0</v>
      </c>
      <c r="CM2225">
        <v>2</v>
      </c>
      <c r="CN2225">
        <v>0</v>
      </c>
      <c r="CO2225">
        <v>2</v>
      </c>
      <c r="CP2225">
        <v>0</v>
      </c>
      <c r="CQ2225">
        <v>7</v>
      </c>
      <c r="CR2225" t="s">
        <v>116</v>
      </c>
      <c r="CS2225">
        <v>39</v>
      </c>
      <c r="CT2225">
        <v>3</v>
      </c>
      <c r="CU2225" t="s">
        <v>2259</v>
      </c>
      <c r="CV2225" t="s">
        <v>2260</v>
      </c>
      <c r="CY2225">
        <v>10841852</v>
      </c>
      <c r="CZ2225" t="s">
        <v>119</v>
      </c>
    </row>
    <row r="2226" spans="1:104" x14ac:dyDescent="0.25">
      <c r="A2226" t="str">
        <f>"14:27:27.031"</f>
        <v>14:27:27.031</v>
      </c>
      <c r="B2226" t="s">
        <v>108</v>
      </c>
      <c r="C2226" t="str">
        <f t="shared" si="103"/>
        <v>ffdfd3c0</v>
      </c>
      <c r="D2226" t="s">
        <v>109</v>
      </c>
      <c r="E2226">
        <v>4</v>
      </c>
      <c r="F2226">
        <v>1004</v>
      </c>
      <c r="G2226" t="s">
        <v>110</v>
      </c>
      <c r="J2226" t="s">
        <v>111</v>
      </c>
      <c r="K2226">
        <v>0</v>
      </c>
      <c r="L2226">
        <v>3</v>
      </c>
      <c r="M2226">
        <v>0</v>
      </c>
      <c r="N2226">
        <v>2</v>
      </c>
      <c r="O2226">
        <v>1</v>
      </c>
      <c r="P2226">
        <v>0</v>
      </c>
      <c r="Q2226">
        <v>0</v>
      </c>
      <c r="R2226" t="s">
        <v>112</v>
      </c>
      <c r="S2226" t="str">
        <f>"14:27:26.844"</f>
        <v>14:27:26.844</v>
      </c>
      <c r="T2226" t="str">
        <f>"14:27:26.344"</f>
        <v>14:27:26.344</v>
      </c>
      <c r="U2226" t="str">
        <f t="shared" si="102"/>
        <v>ad5732</v>
      </c>
      <c r="V2226">
        <v>0</v>
      </c>
      <c r="W2226">
        <v>0</v>
      </c>
      <c r="X2226">
        <v>1</v>
      </c>
      <c r="Z2226">
        <v>0</v>
      </c>
      <c r="AA2226">
        <v>9</v>
      </c>
      <c r="AB2226">
        <v>3</v>
      </c>
      <c r="AC2226">
        <v>0</v>
      </c>
      <c r="AD2226">
        <v>10</v>
      </c>
      <c r="AE2226">
        <v>0</v>
      </c>
      <c r="AF2226">
        <v>3</v>
      </c>
      <c r="AG2226">
        <v>2</v>
      </c>
      <c r="AH2226">
        <v>0</v>
      </c>
      <c r="AI2226" t="s">
        <v>4559</v>
      </c>
      <c r="AJ2226">
        <v>39.927492000000001</v>
      </c>
      <c r="AK2226" t="s">
        <v>4560</v>
      </c>
      <c r="AL2226">
        <v>-75.655974999999998</v>
      </c>
      <c r="AM2226">
        <v>100</v>
      </c>
      <c r="AN2226">
        <v>4700</v>
      </c>
      <c r="AO2226" t="s">
        <v>115</v>
      </c>
      <c r="AP2226">
        <v>126</v>
      </c>
      <c r="AQ2226">
        <v>126</v>
      </c>
      <c r="AR2226">
        <v>-192</v>
      </c>
      <c r="AZ2226">
        <v>3614</v>
      </c>
      <c r="BA2226">
        <v>1</v>
      </c>
      <c r="BB2226" t="str">
        <f t="shared" si="104"/>
        <v xml:space="preserve">N959MJ  </v>
      </c>
      <c r="BC2226">
        <v>1</v>
      </c>
      <c r="BE2226">
        <v>0</v>
      </c>
      <c r="BF2226">
        <v>0</v>
      </c>
      <c r="BG2226">
        <v>0</v>
      </c>
      <c r="BH2226">
        <v>4900</v>
      </c>
      <c r="BI2226">
        <v>200</v>
      </c>
      <c r="BJ2226">
        <v>1</v>
      </c>
      <c r="BK2226">
        <v>1</v>
      </c>
      <c r="BL2226">
        <v>1</v>
      </c>
      <c r="BM2226">
        <v>0</v>
      </c>
      <c r="BP2226">
        <v>0</v>
      </c>
      <c r="BQ2226">
        <v>0</v>
      </c>
      <c r="BX2226" t="str">
        <f>"14:27:26.844"</f>
        <v>14:27:26.844</v>
      </c>
      <c r="BY2226" t="str">
        <f>"845341906"</f>
        <v>845341906</v>
      </c>
      <c r="CL2226">
        <v>0</v>
      </c>
      <c r="CM2226">
        <v>2</v>
      </c>
      <c r="CN2226">
        <v>0</v>
      </c>
      <c r="CO2226">
        <v>2</v>
      </c>
      <c r="CP2226">
        <v>0</v>
      </c>
      <c r="CQ2226">
        <v>7</v>
      </c>
      <c r="CR2226" t="s">
        <v>116</v>
      </c>
      <c r="CS2226">
        <v>39</v>
      </c>
      <c r="CT2226">
        <v>2</v>
      </c>
      <c r="CU2226" t="s">
        <v>2259</v>
      </c>
      <c r="CV2226" t="s">
        <v>2260</v>
      </c>
      <c r="CY2226">
        <v>83426</v>
      </c>
      <c r="CZ2226" t="s">
        <v>119</v>
      </c>
    </row>
    <row r="2227" spans="1:104" x14ac:dyDescent="0.25">
      <c r="A2227" t="str">
        <f>"14:27:27.891"</f>
        <v>14:27:27.891</v>
      </c>
      <c r="B2227" t="s">
        <v>108</v>
      </c>
      <c r="C2227" t="str">
        <f t="shared" si="103"/>
        <v>ffdfd3c0</v>
      </c>
      <c r="D2227" t="s">
        <v>109</v>
      </c>
      <c r="E2227">
        <v>4</v>
      </c>
      <c r="F2227">
        <v>1004</v>
      </c>
      <c r="G2227" t="s">
        <v>110</v>
      </c>
      <c r="J2227" t="s">
        <v>111</v>
      </c>
      <c r="K2227">
        <v>0</v>
      </c>
      <c r="L2227">
        <v>3</v>
      </c>
      <c r="M2227">
        <v>0</v>
      </c>
      <c r="N2227">
        <v>2</v>
      </c>
      <c r="O2227">
        <v>1</v>
      </c>
      <c r="P2227">
        <v>0</v>
      </c>
      <c r="Q2227">
        <v>0</v>
      </c>
      <c r="R2227" t="s">
        <v>112</v>
      </c>
      <c r="S2227" t="str">
        <f>"14:27:27.703"</f>
        <v>14:27:27.703</v>
      </c>
      <c r="T2227" t="str">
        <f>"14:27:27.305"</f>
        <v>14:27:27.305</v>
      </c>
      <c r="U2227" t="str">
        <f t="shared" si="102"/>
        <v>ad5732</v>
      </c>
      <c r="V2227">
        <v>0</v>
      </c>
      <c r="W2227">
        <v>0</v>
      </c>
      <c r="X2227">
        <v>1</v>
      </c>
      <c r="Z2227">
        <v>0</v>
      </c>
      <c r="AA2227">
        <v>9</v>
      </c>
      <c r="AB2227">
        <v>3</v>
      </c>
      <c r="AC2227">
        <v>0</v>
      </c>
      <c r="AD2227">
        <v>10</v>
      </c>
      <c r="AE2227">
        <v>0</v>
      </c>
      <c r="AF2227">
        <v>3</v>
      </c>
      <c r="AG2227">
        <v>2</v>
      </c>
      <c r="AH2227">
        <v>0</v>
      </c>
      <c r="AI2227" t="s">
        <v>4561</v>
      </c>
      <c r="AJ2227">
        <v>39.928029000000002</v>
      </c>
      <c r="AK2227" t="s">
        <v>4562</v>
      </c>
      <c r="AL2227">
        <v>-75.655266999999995</v>
      </c>
      <c r="AM2227">
        <v>100</v>
      </c>
      <c r="AN2227">
        <v>4700</v>
      </c>
      <c r="AO2227" t="s">
        <v>115</v>
      </c>
      <c r="AP2227">
        <v>127</v>
      </c>
      <c r="AQ2227">
        <v>125</v>
      </c>
      <c r="AR2227">
        <v>-192</v>
      </c>
      <c r="AZ2227">
        <v>3614</v>
      </c>
      <c r="BA2227">
        <v>1</v>
      </c>
      <c r="BB2227" t="str">
        <f t="shared" si="104"/>
        <v xml:space="preserve">N959MJ  </v>
      </c>
      <c r="BC2227">
        <v>1</v>
      </c>
      <c r="BE2227">
        <v>0</v>
      </c>
      <c r="BF2227">
        <v>0</v>
      </c>
      <c r="BG2227">
        <v>0</v>
      </c>
      <c r="BH2227">
        <v>4900</v>
      </c>
      <c r="BI2227">
        <v>200</v>
      </c>
      <c r="BJ2227">
        <v>1</v>
      </c>
      <c r="BK2227">
        <v>1</v>
      </c>
      <c r="BL2227">
        <v>1</v>
      </c>
      <c r="BM2227">
        <v>0</v>
      </c>
      <c r="BP2227">
        <v>0</v>
      </c>
      <c r="BQ2227">
        <v>0</v>
      </c>
      <c r="BX2227" t="str">
        <f>"14:27:27.711"</f>
        <v>14:27:27.711</v>
      </c>
      <c r="BY2227" t="str">
        <f>"708793297"</f>
        <v>708793297</v>
      </c>
      <c r="CL2227">
        <v>0</v>
      </c>
      <c r="CM2227">
        <v>2</v>
      </c>
      <c r="CN2227">
        <v>0</v>
      </c>
      <c r="CO2227">
        <v>2</v>
      </c>
      <c r="CP2227">
        <v>0</v>
      </c>
      <c r="CQ2227">
        <v>7</v>
      </c>
      <c r="CR2227" t="s">
        <v>116</v>
      </c>
      <c r="CS2227">
        <v>39</v>
      </c>
      <c r="CT2227">
        <v>2</v>
      </c>
      <c r="CU2227" t="s">
        <v>2259</v>
      </c>
      <c r="CV2227" t="s">
        <v>2260</v>
      </c>
      <c r="CY2227">
        <v>84786</v>
      </c>
      <c r="CZ2227" t="s">
        <v>119</v>
      </c>
    </row>
    <row r="2228" spans="1:104" x14ac:dyDescent="0.25">
      <c r="A2228" t="str">
        <f>"14:27:28.953"</f>
        <v>14:27:28.953</v>
      </c>
      <c r="B2228" t="s">
        <v>108</v>
      </c>
      <c r="C2228" t="str">
        <f t="shared" si="103"/>
        <v>ffdfd3c0</v>
      </c>
      <c r="D2228" t="s">
        <v>109</v>
      </c>
      <c r="E2228">
        <v>4</v>
      </c>
      <c r="F2228">
        <v>1004</v>
      </c>
      <c r="G2228" t="s">
        <v>110</v>
      </c>
      <c r="J2228" t="s">
        <v>111</v>
      </c>
      <c r="K2228">
        <v>0</v>
      </c>
      <c r="L2228">
        <v>3</v>
      </c>
      <c r="M2228">
        <v>0</v>
      </c>
      <c r="N2228">
        <v>2</v>
      </c>
      <c r="O2228">
        <v>1</v>
      </c>
      <c r="P2228">
        <v>0</v>
      </c>
      <c r="Q2228">
        <v>0</v>
      </c>
      <c r="R2228" t="s">
        <v>112</v>
      </c>
      <c r="S2228" t="str">
        <f>"14:27:28.734"</f>
        <v>14:27:28.734</v>
      </c>
      <c r="T2228" t="str">
        <f>"14:27:28.336"</f>
        <v>14:27:28.336</v>
      </c>
      <c r="U2228" t="str">
        <f t="shared" si="102"/>
        <v>ad5732</v>
      </c>
      <c r="V2228">
        <v>0</v>
      </c>
      <c r="W2228">
        <v>0</v>
      </c>
      <c r="X2228">
        <v>1</v>
      </c>
      <c r="Z2228">
        <v>0</v>
      </c>
      <c r="AA2228">
        <v>9</v>
      </c>
      <c r="AB2228">
        <v>3</v>
      </c>
      <c r="AC2228">
        <v>0</v>
      </c>
      <c r="AD2228">
        <v>10</v>
      </c>
      <c r="AE2228">
        <v>0</v>
      </c>
      <c r="AF2228">
        <v>3</v>
      </c>
      <c r="AG2228">
        <v>2</v>
      </c>
      <c r="AH2228">
        <v>0</v>
      </c>
      <c r="AI2228" t="s">
        <v>4563</v>
      </c>
      <c r="AJ2228">
        <v>39.928564999999999</v>
      </c>
      <c r="AK2228" t="s">
        <v>4564</v>
      </c>
      <c r="AL2228">
        <v>-75.654472999999996</v>
      </c>
      <c r="AM2228">
        <v>100</v>
      </c>
      <c r="AN2228">
        <v>4700</v>
      </c>
      <c r="AO2228" t="s">
        <v>115</v>
      </c>
      <c r="AP2228">
        <v>128</v>
      </c>
      <c r="AQ2228">
        <v>124</v>
      </c>
      <c r="AR2228">
        <v>-128</v>
      </c>
      <c r="AZ2228">
        <v>3614</v>
      </c>
      <c r="BA2228">
        <v>1</v>
      </c>
      <c r="BB2228" t="str">
        <f t="shared" si="104"/>
        <v xml:space="preserve">N959MJ  </v>
      </c>
      <c r="BC2228">
        <v>1</v>
      </c>
      <c r="BE2228">
        <v>0</v>
      </c>
      <c r="BF2228">
        <v>0</v>
      </c>
      <c r="BG2228">
        <v>0</v>
      </c>
      <c r="BH2228">
        <v>4900</v>
      </c>
      <c r="BI2228">
        <v>200</v>
      </c>
      <c r="BJ2228">
        <v>1</v>
      </c>
      <c r="BK2228">
        <v>1</v>
      </c>
      <c r="BL2228">
        <v>1</v>
      </c>
      <c r="BM2228">
        <v>0</v>
      </c>
      <c r="BP2228">
        <v>0</v>
      </c>
      <c r="BQ2228">
        <v>0</v>
      </c>
      <c r="BX2228" t="str">
        <f>"14:27:28.742"</f>
        <v>14:27:28.742</v>
      </c>
      <c r="BY2228" t="str">
        <f>"741002745"</f>
        <v>741002745</v>
      </c>
      <c r="CL2228">
        <v>0</v>
      </c>
      <c r="CM2228">
        <v>2</v>
      </c>
      <c r="CN2228">
        <v>0</v>
      </c>
      <c r="CO2228">
        <v>2</v>
      </c>
      <c r="CP2228">
        <v>0</v>
      </c>
      <c r="CQ2228">
        <v>7</v>
      </c>
      <c r="CR2228" t="s">
        <v>116</v>
      </c>
      <c r="CS2228">
        <v>39</v>
      </c>
      <c r="CT2228">
        <v>3</v>
      </c>
      <c r="CU2228" t="s">
        <v>2259</v>
      </c>
      <c r="CV2228" t="s">
        <v>2260</v>
      </c>
      <c r="CY2228">
        <v>10846673</v>
      </c>
      <c r="CZ2228" t="s">
        <v>119</v>
      </c>
    </row>
    <row r="2229" spans="1:104" x14ac:dyDescent="0.25">
      <c r="A2229" t="str">
        <f>"14:27:29.961"</f>
        <v>14:27:29.961</v>
      </c>
      <c r="B2229" t="s">
        <v>108</v>
      </c>
      <c r="C2229" t="str">
        <f t="shared" si="103"/>
        <v>ffdfd3c0</v>
      </c>
      <c r="D2229" t="s">
        <v>109</v>
      </c>
      <c r="E2229">
        <v>4</v>
      </c>
      <c r="F2229">
        <v>1004</v>
      </c>
      <c r="G2229" t="s">
        <v>110</v>
      </c>
      <c r="J2229" t="s">
        <v>111</v>
      </c>
      <c r="K2229">
        <v>0</v>
      </c>
      <c r="L2229">
        <v>3</v>
      </c>
      <c r="M2229">
        <v>0</v>
      </c>
      <c r="N2229">
        <v>2</v>
      </c>
      <c r="O2229">
        <v>1</v>
      </c>
      <c r="P2229">
        <v>0</v>
      </c>
      <c r="Q2229">
        <v>0</v>
      </c>
      <c r="R2229" t="s">
        <v>112</v>
      </c>
      <c r="S2229" t="str">
        <f>"14:27:29.773"</f>
        <v>14:27:29.773</v>
      </c>
      <c r="T2229" t="str">
        <f>"14:27:29.375"</f>
        <v>14:27:29.375</v>
      </c>
      <c r="U2229" t="str">
        <f t="shared" si="102"/>
        <v>ad5732</v>
      </c>
      <c r="V2229">
        <v>0</v>
      </c>
      <c r="W2229">
        <v>0</v>
      </c>
      <c r="X2229">
        <v>1</v>
      </c>
      <c r="Z2229">
        <v>0</v>
      </c>
      <c r="AA2229">
        <v>9</v>
      </c>
      <c r="AB2229">
        <v>3</v>
      </c>
      <c r="AC2229">
        <v>0</v>
      </c>
      <c r="AD2229">
        <v>10</v>
      </c>
      <c r="AE2229">
        <v>0</v>
      </c>
      <c r="AF2229">
        <v>3</v>
      </c>
      <c r="AG2229">
        <v>2</v>
      </c>
      <c r="AH2229">
        <v>0</v>
      </c>
      <c r="AI2229" t="s">
        <v>4565</v>
      </c>
      <c r="AJ2229">
        <v>39.929166000000002</v>
      </c>
      <c r="AK2229" t="s">
        <v>4566</v>
      </c>
      <c r="AL2229">
        <v>-75.653744000000003</v>
      </c>
      <c r="AM2229">
        <v>100</v>
      </c>
      <c r="AN2229">
        <v>4700</v>
      </c>
      <c r="AO2229" t="s">
        <v>115</v>
      </c>
      <c r="AP2229">
        <v>129</v>
      </c>
      <c r="AQ2229">
        <v>124</v>
      </c>
      <c r="AR2229">
        <v>-64</v>
      </c>
      <c r="AZ2229">
        <v>3614</v>
      </c>
      <c r="BA2229">
        <v>1</v>
      </c>
      <c r="BB2229" t="str">
        <f t="shared" si="104"/>
        <v xml:space="preserve">N959MJ  </v>
      </c>
      <c r="BC2229">
        <v>1</v>
      </c>
      <c r="BE2229">
        <v>0</v>
      </c>
      <c r="BF2229">
        <v>0</v>
      </c>
      <c r="BG2229">
        <v>0</v>
      </c>
      <c r="BH2229">
        <v>4900</v>
      </c>
      <c r="BI2229">
        <v>200</v>
      </c>
      <c r="BJ2229">
        <v>1</v>
      </c>
      <c r="BK2229">
        <v>1</v>
      </c>
      <c r="BL2229">
        <v>1</v>
      </c>
      <c r="BM2229">
        <v>0</v>
      </c>
      <c r="BP2229">
        <v>0</v>
      </c>
      <c r="BQ2229">
        <v>0</v>
      </c>
      <c r="BX2229" t="str">
        <f>"14:27:29.773"</f>
        <v>14:27:29.773</v>
      </c>
      <c r="BY2229" t="str">
        <f>"776489047"</f>
        <v>776489047</v>
      </c>
      <c r="CL2229">
        <v>0</v>
      </c>
      <c r="CM2229">
        <v>2</v>
      </c>
      <c r="CN2229">
        <v>0</v>
      </c>
      <c r="CO2229">
        <v>2</v>
      </c>
      <c r="CP2229">
        <v>0</v>
      </c>
      <c r="CQ2229">
        <v>7</v>
      </c>
      <c r="CR2229" t="s">
        <v>116</v>
      </c>
      <c r="CS2229">
        <v>39</v>
      </c>
      <c r="CT2229">
        <v>2</v>
      </c>
      <c r="CU2229" t="s">
        <v>2259</v>
      </c>
      <c r="CV2229" t="s">
        <v>2260</v>
      </c>
      <c r="CY2229">
        <v>88405</v>
      </c>
      <c r="CZ2229" t="s">
        <v>119</v>
      </c>
    </row>
    <row r="2230" spans="1:104" x14ac:dyDescent="0.25">
      <c r="A2230" t="str">
        <f>"14:27:30.820"</f>
        <v>14:27:30.820</v>
      </c>
      <c r="B2230" t="s">
        <v>108</v>
      </c>
      <c r="C2230" t="str">
        <f t="shared" si="103"/>
        <v>ffdfd3c0</v>
      </c>
      <c r="D2230" t="s">
        <v>109</v>
      </c>
      <c r="E2230">
        <v>4</v>
      </c>
      <c r="F2230">
        <v>1004</v>
      </c>
      <c r="G2230" t="s">
        <v>110</v>
      </c>
      <c r="J2230" t="s">
        <v>111</v>
      </c>
      <c r="K2230">
        <v>0</v>
      </c>
      <c r="L2230">
        <v>3</v>
      </c>
      <c r="M2230">
        <v>0</v>
      </c>
      <c r="N2230">
        <v>2</v>
      </c>
      <c r="O2230">
        <v>1</v>
      </c>
      <c r="P2230">
        <v>0</v>
      </c>
      <c r="Q2230">
        <v>0</v>
      </c>
      <c r="R2230" t="s">
        <v>112</v>
      </c>
      <c r="S2230" t="str">
        <f>"14:27:30.664"</f>
        <v>14:27:30.664</v>
      </c>
      <c r="T2230" t="str">
        <f>"14:27:30.266"</f>
        <v>14:27:30.266</v>
      </c>
      <c r="U2230" t="str">
        <f t="shared" si="102"/>
        <v>ad5732</v>
      </c>
      <c r="V2230">
        <v>0</v>
      </c>
      <c r="W2230">
        <v>0</v>
      </c>
      <c r="X2230">
        <v>1</v>
      </c>
      <c r="Z2230">
        <v>0</v>
      </c>
      <c r="AA2230">
        <v>9</v>
      </c>
      <c r="AB2230">
        <v>3</v>
      </c>
      <c r="AC2230">
        <v>0</v>
      </c>
      <c r="AD2230">
        <v>10</v>
      </c>
      <c r="AE2230">
        <v>0</v>
      </c>
      <c r="AF2230">
        <v>3</v>
      </c>
      <c r="AG2230">
        <v>2</v>
      </c>
      <c r="AH2230">
        <v>0</v>
      </c>
      <c r="AI2230" t="s">
        <v>4567</v>
      </c>
      <c r="AJ2230">
        <v>39.929659000000001</v>
      </c>
      <c r="AK2230" t="s">
        <v>4568</v>
      </c>
      <c r="AL2230">
        <v>-75.653036</v>
      </c>
      <c r="AM2230">
        <v>100</v>
      </c>
      <c r="AN2230">
        <v>4700</v>
      </c>
      <c r="AO2230" t="s">
        <v>115</v>
      </c>
      <c r="AP2230">
        <v>130</v>
      </c>
      <c r="AQ2230">
        <v>123</v>
      </c>
      <c r="AR2230">
        <v>0</v>
      </c>
      <c r="AZ2230">
        <v>3614</v>
      </c>
      <c r="BA2230">
        <v>1</v>
      </c>
      <c r="BB2230" t="str">
        <f t="shared" si="104"/>
        <v xml:space="preserve">N959MJ  </v>
      </c>
      <c r="BC2230">
        <v>1</v>
      </c>
      <c r="BE2230">
        <v>0</v>
      </c>
      <c r="BF2230">
        <v>0</v>
      </c>
      <c r="BG2230">
        <v>0</v>
      </c>
      <c r="BH2230">
        <v>4900</v>
      </c>
      <c r="BI2230">
        <v>200</v>
      </c>
      <c r="BJ2230">
        <v>1</v>
      </c>
      <c r="BK2230">
        <v>1</v>
      </c>
      <c r="BL2230">
        <v>1</v>
      </c>
      <c r="BM2230">
        <v>0</v>
      </c>
      <c r="BP2230">
        <v>0</v>
      </c>
      <c r="BQ2230">
        <v>0</v>
      </c>
      <c r="BX2230" t="str">
        <f>"14:27:30.672"</f>
        <v>14:27:30.672</v>
      </c>
      <c r="BY2230" t="str">
        <f>"671070579"</f>
        <v>671070579</v>
      </c>
      <c r="CL2230">
        <v>0</v>
      </c>
      <c r="CM2230">
        <v>2</v>
      </c>
      <c r="CN2230">
        <v>0</v>
      </c>
      <c r="CO2230">
        <v>2</v>
      </c>
      <c r="CP2230">
        <v>0</v>
      </c>
      <c r="CQ2230">
        <v>7</v>
      </c>
      <c r="CR2230" t="s">
        <v>116</v>
      </c>
      <c r="CS2230">
        <v>39</v>
      </c>
      <c r="CT2230">
        <v>2</v>
      </c>
      <c r="CU2230" t="s">
        <v>2259</v>
      </c>
      <c r="CV2230" t="s">
        <v>2260</v>
      </c>
      <c r="CY2230">
        <v>89952</v>
      </c>
      <c r="CZ2230" t="s">
        <v>119</v>
      </c>
    </row>
    <row r="2231" spans="1:104" x14ac:dyDescent="0.25">
      <c r="A2231" t="str">
        <f>"14:27:31.875"</f>
        <v>14:27:31.875</v>
      </c>
      <c r="B2231" t="s">
        <v>108</v>
      </c>
      <c r="C2231" t="str">
        <f t="shared" si="103"/>
        <v>ffdfd3c0</v>
      </c>
      <c r="D2231" t="s">
        <v>109</v>
      </c>
      <c r="E2231">
        <v>4</v>
      </c>
      <c r="F2231">
        <v>1004</v>
      </c>
      <c r="G2231" t="s">
        <v>110</v>
      </c>
      <c r="J2231" t="s">
        <v>111</v>
      </c>
      <c r="K2231">
        <v>0</v>
      </c>
      <c r="L2231">
        <v>3</v>
      </c>
      <c r="M2231">
        <v>0</v>
      </c>
      <c r="N2231">
        <v>2</v>
      </c>
      <c r="O2231">
        <v>1</v>
      </c>
      <c r="P2231">
        <v>0</v>
      </c>
      <c r="Q2231">
        <v>0</v>
      </c>
      <c r="R2231" t="s">
        <v>112</v>
      </c>
      <c r="S2231" t="str">
        <f>"14:27:31.719"</f>
        <v>14:27:31.719</v>
      </c>
      <c r="T2231" t="str">
        <f>"14:27:31.219"</f>
        <v>14:27:31.219</v>
      </c>
      <c r="U2231" t="str">
        <f t="shared" si="102"/>
        <v>ad5732</v>
      </c>
      <c r="V2231">
        <v>0</v>
      </c>
      <c r="W2231">
        <v>0</v>
      </c>
      <c r="X2231">
        <v>1</v>
      </c>
      <c r="Z2231">
        <v>0</v>
      </c>
      <c r="AA2231">
        <v>9</v>
      </c>
      <c r="AB2231">
        <v>3</v>
      </c>
      <c r="AC2231">
        <v>0</v>
      </c>
      <c r="AD2231">
        <v>10</v>
      </c>
      <c r="AE2231">
        <v>0</v>
      </c>
      <c r="AF2231">
        <v>3</v>
      </c>
      <c r="AG2231">
        <v>2</v>
      </c>
      <c r="AH2231">
        <v>0</v>
      </c>
      <c r="AI2231" t="s">
        <v>4569</v>
      </c>
      <c r="AJ2231">
        <v>39.930303000000002</v>
      </c>
      <c r="AK2231" t="s">
        <v>4570</v>
      </c>
      <c r="AL2231">
        <v>-75.652156000000005</v>
      </c>
      <c r="AM2231">
        <v>100</v>
      </c>
      <c r="AN2231">
        <v>4700</v>
      </c>
      <c r="AO2231" t="s">
        <v>115</v>
      </c>
      <c r="AP2231">
        <v>131</v>
      </c>
      <c r="AQ2231">
        <v>122</v>
      </c>
      <c r="AR2231">
        <v>64</v>
      </c>
      <c r="AZ2231">
        <v>3614</v>
      </c>
      <c r="BA2231">
        <v>1</v>
      </c>
      <c r="BB2231" t="str">
        <f t="shared" si="104"/>
        <v xml:space="preserve">N959MJ  </v>
      </c>
      <c r="BC2231">
        <v>1</v>
      </c>
      <c r="BE2231">
        <v>0</v>
      </c>
      <c r="BF2231">
        <v>0</v>
      </c>
      <c r="BG2231">
        <v>0</v>
      </c>
      <c r="BH2231">
        <v>4900</v>
      </c>
      <c r="BI2231">
        <v>200</v>
      </c>
      <c r="BJ2231">
        <v>1</v>
      </c>
      <c r="BK2231">
        <v>1</v>
      </c>
      <c r="BL2231">
        <v>1</v>
      </c>
      <c r="BM2231">
        <v>0</v>
      </c>
      <c r="BP2231">
        <v>0</v>
      </c>
      <c r="BQ2231">
        <v>0</v>
      </c>
      <c r="BX2231" t="str">
        <f>"14:27:31.727"</f>
        <v>14:27:31.727</v>
      </c>
      <c r="BY2231" t="str">
        <f>"726218664"</f>
        <v>726218664</v>
      </c>
      <c r="CL2231">
        <v>0</v>
      </c>
      <c r="CM2231">
        <v>2</v>
      </c>
      <c r="CN2231">
        <v>0</v>
      </c>
      <c r="CO2231">
        <v>2</v>
      </c>
      <c r="CP2231">
        <v>0</v>
      </c>
      <c r="CQ2231">
        <v>7</v>
      </c>
      <c r="CR2231" t="s">
        <v>116</v>
      </c>
      <c r="CS2231">
        <v>39</v>
      </c>
      <c r="CT2231">
        <v>2</v>
      </c>
      <c r="CU2231" t="s">
        <v>2259</v>
      </c>
      <c r="CV2231" t="s">
        <v>2260</v>
      </c>
      <c r="CY2231">
        <v>91669</v>
      </c>
      <c r="CZ2231" t="s">
        <v>119</v>
      </c>
    </row>
    <row r="2232" spans="1:104" x14ac:dyDescent="0.25">
      <c r="A2232" t="str">
        <f>"14:27:32.891"</f>
        <v>14:27:32.891</v>
      </c>
      <c r="B2232" t="s">
        <v>108</v>
      </c>
      <c r="C2232" t="str">
        <f t="shared" si="103"/>
        <v>ffdfd3c0</v>
      </c>
      <c r="D2232" t="s">
        <v>109</v>
      </c>
      <c r="E2232">
        <v>4</v>
      </c>
      <c r="F2232">
        <v>1004</v>
      </c>
      <c r="G2232" t="s">
        <v>110</v>
      </c>
      <c r="J2232" t="s">
        <v>111</v>
      </c>
      <c r="K2232">
        <v>0</v>
      </c>
      <c r="L2232">
        <v>3</v>
      </c>
      <c r="M2232">
        <v>0</v>
      </c>
      <c r="N2232">
        <v>2</v>
      </c>
      <c r="O2232">
        <v>1</v>
      </c>
      <c r="P2232">
        <v>0</v>
      </c>
      <c r="Q2232">
        <v>0</v>
      </c>
      <c r="R2232" t="s">
        <v>112</v>
      </c>
      <c r="S2232" t="str">
        <f>"14:27:32.727"</f>
        <v>14:27:32.727</v>
      </c>
      <c r="T2232" t="str">
        <f>"14:27:32.227"</f>
        <v>14:27:32.227</v>
      </c>
      <c r="U2232" t="str">
        <f t="shared" si="102"/>
        <v>ad5732</v>
      </c>
      <c r="V2232">
        <v>0</v>
      </c>
      <c r="W2232">
        <v>0</v>
      </c>
      <c r="X2232">
        <v>1</v>
      </c>
      <c r="Z2232">
        <v>0</v>
      </c>
      <c r="AA2232">
        <v>9</v>
      </c>
      <c r="AB2232">
        <v>3</v>
      </c>
      <c r="AC2232">
        <v>0</v>
      </c>
      <c r="AD2232">
        <v>10</v>
      </c>
      <c r="AE2232">
        <v>0</v>
      </c>
      <c r="AF2232">
        <v>3</v>
      </c>
      <c r="AG2232">
        <v>2</v>
      </c>
      <c r="AH2232">
        <v>0</v>
      </c>
      <c r="AI2232" t="s">
        <v>4571</v>
      </c>
      <c r="AJ2232">
        <v>39.930861</v>
      </c>
      <c r="AK2232" t="s">
        <v>4572</v>
      </c>
      <c r="AL2232">
        <v>-75.651362000000006</v>
      </c>
      <c r="AM2232">
        <v>100</v>
      </c>
      <c r="AN2232">
        <v>4700</v>
      </c>
      <c r="AO2232" t="s">
        <v>115</v>
      </c>
      <c r="AP2232">
        <v>131</v>
      </c>
      <c r="AQ2232">
        <v>122</v>
      </c>
      <c r="AR2232">
        <v>64</v>
      </c>
      <c r="AZ2232">
        <v>3614</v>
      </c>
      <c r="BA2232">
        <v>1</v>
      </c>
      <c r="BB2232" t="str">
        <f t="shared" si="104"/>
        <v xml:space="preserve">N959MJ  </v>
      </c>
      <c r="BC2232">
        <v>1</v>
      </c>
      <c r="BE2232">
        <v>0</v>
      </c>
      <c r="BF2232">
        <v>0</v>
      </c>
      <c r="BG2232">
        <v>0</v>
      </c>
      <c r="BH2232">
        <v>4900</v>
      </c>
      <c r="BI2232">
        <v>200</v>
      </c>
      <c r="BJ2232">
        <v>1</v>
      </c>
      <c r="BK2232">
        <v>1</v>
      </c>
      <c r="BL2232">
        <v>1</v>
      </c>
      <c r="BM2232">
        <v>0</v>
      </c>
      <c r="BP2232">
        <v>0</v>
      </c>
      <c r="BQ2232">
        <v>0</v>
      </c>
      <c r="BX2232" t="str">
        <f>"14:27:32.734"</f>
        <v>14:27:32.734</v>
      </c>
      <c r="BY2232" t="str">
        <f>"730574180"</f>
        <v>730574180</v>
      </c>
      <c r="CL2232">
        <v>0</v>
      </c>
      <c r="CM2232">
        <v>2</v>
      </c>
      <c r="CN2232">
        <v>0</v>
      </c>
      <c r="CO2232">
        <v>2</v>
      </c>
      <c r="CP2232">
        <v>0</v>
      </c>
      <c r="CQ2232">
        <v>7</v>
      </c>
      <c r="CR2232" t="s">
        <v>116</v>
      </c>
      <c r="CS2232">
        <v>39</v>
      </c>
      <c r="CT2232">
        <v>3</v>
      </c>
      <c r="CU2232" t="s">
        <v>2259</v>
      </c>
      <c r="CV2232" t="s">
        <v>2260</v>
      </c>
      <c r="CY2232">
        <v>10853600</v>
      </c>
      <c r="CZ2232" t="s">
        <v>119</v>
      </c>
    </row>
    <row r="2233" spans="1:104" x14ac:dyDescent="0.25">
      <c r="A2233" t="str">
        <f>"14:27:34.000"</f>
        <v>14:27:34.000</v>
      </c>
      <c r="B2233" t="s">
        <v>108</v>
      </c>
      <c r="C2233" t="str">
        <f t="shared" si="103"/>
        <v>ffdfd3c0</v>
      </c>
      <c r="D2233" t="s">
        <v>109</v>
      </c>
      <c r="E2233">
        <v>4</v>
      </c>
      <c r="F2233">
        <v>1004</v>
      </c>
      <c r="G2233" t="s">
        <v>110</v>
      </c>
      <c r="J2233" t="s">
        <v>111</v>
      </c>
      <c r="K2233">
        <v>0</v>
      </c>
      <c r="L2233">
        <v>3</v>
      </c>
      <c r="M2233">
        <v>0</v>
      </c>
      <c r="N2233">
        <v>2</v>
      </c>
      <c r="O2233">
        <v>1</v>
      </c>
      <c r="P2233">
        <v>0</v>
      </c>
      <c r="Q2233">
        <v>0</v>
      </c>
      <c r="R2233" t="s">
        <v>112</v>
      </c>
      <c r="S2233" t="str">
        <f>"14:27:33.805"</f>
        <v>14:27:33.805</v>
      </c>
      <c r="T2233" t="str">
        <f>"14:27:33.305"</f>
        <v>14:27:33.305</v>
      </c>
      <c r="U2233" t="str">
        <f t="shared" si="102"/>
        <v>ad5732</v>
      </c>
      <c r="V2233">
        <v>0</v>
      </c>
      <c r="W2233">
        <v>0</v>
      </c>
      <c r="X2233">
        <v>1</v>
      </c>
      <c r="Z2233">
        <v>0</v>
      </c>
      <c r="AA2233">
        <v>9</v>
      </c>
      <c r="AB2233">
        <v>3</v>
      </c>
      <c r="AC2233">
        <v>0</v>
      </c>
      <c r="AD2233">
        <v>10</v>
      </c>
      <c r="AE2233">
        <v>0</v>
      </c>
      <c r="AF2233">
        <v>3</v>
      </c>
      <c r="AG2233">
        <v>2</v>
      </c>
      <c r="AH2233">
        <v>0</v>
      </c>
      <c r="AI2233" t="s">
        <v>4573</v>
      </c>
      <c r="AJ2233">
        <v>39.931483</v>
      </c>
      <c r="AK2233" t="s">
        <v>4574</v>
      </c>
      <c r="AL2233">
        <v>-75.650481999999997</v>
      </c>
      <c r="AM2233">
        <v>100</v>
      </c>
      <c r="AN2233">
        <v>4700</v>
      </c>
      <c r="AO2233" t="s">
        <v>115</v>
      </c>
      <c r="AP2233">
        <v>132</v>
      </c>
      <c r="AQ2233">
        <v>121</v>
      </c>
      <c r="AR2233">
        <v>64</v>
      </c>
      <c r="AZ2233">
        <v>3614</v>
      </c>
      <c r="BA2233">
        <v>1</v>
      </c>
      <c r="BB2233" t="str">
        <f t="shared" si="104"/>
        <v xml:space="preserve">N959MJ  </v>
      </c>
      <c r="BC2233">
        <v>1</v>
      </c>
      <c r="BE2233">
        <v>0</v>
      </c>
      <c r="BF2233">
        <v>0</v>
      </c>
      <c r="BG2233">
        <v>0</v>
      </c>
      <c r="BH2233">
        <v>4900</v>
      </c>
      <c r="BI2233">
        <v>200</v>
      </c>
      <c r="BJ2233">
        <v>1</v>
      </c>
      <c r="BK2233">
        <v>1</v>
      </c>
      <c r="BL2233">
        <v>1</v>
      </c>
      <c r="BM2233">
        <v>0</v>
      </c>
      <c r="BP2233">
        <v>0</v>
      </c>
      <c r="BQ2233">
        <v>0</v>
      </c>
      <c r="BX2233" t="str">
        <f>"14:27:33.813"</f>
        <v>14:27:33.813</v>
      </c>
      <c r="BY2233" t="str">
        <f>"810298121"</f>
        <v>810298121</v>
      </c>
      <c r="CL2233">
        <v>0</v>
      </c>
      <c r="CM2233">
        <v>2</v>
      </c>
      <c r="CN2233">
        <v>0</v>
      </c>
      <c r="CO2233">
        <v>2</v>
      </c>
      <c r="CP2233">
        <v>0</v>
      </c>
      <c r="CQ2233">
        <v>7</v>
      </c>
      <c r="CR2233" t="s">
        <v>116</v>
      </c>
      <c r="CS2233">
        <v>39</v>
      </c>
      <c r="CT2233">
        <v>1</v>
      </c>
      <c r="CU2233" t="s">
        <v>2259</v>
      </c>
      <c r="CV2233" t="s">
        <v>2260</v>
      </c>
      <c r="CY2233">
        <v>8846740</v>
      </c>
      <c r="CZ2233" t="s">
        <v>119</v>
      </c>
    </row>
    <row r="2234" spans="1:104" x14ac:dyDescent="0.25">
      <c r="A2234" t="str">
        <f>"14:27:35.008"</f>
        <v>14:27:35.008</v>
      </c>
      <c r="B2234" t="s">
        <v>108</v>
      </c>
      <c r="C2234" t="str">
        <f t="shared" si="103"/>
        <v>ffdfd3c0</v>
      </c>
      <c r="D2234" t="s">
        <v>109</v>
      </c>
      <c r="E2234">
        <v>4</v>
      </c>
      <c r="F2234">
        <v>1004</v>
      </c>
      <c r="G2234" t="s">
        <v>110</v>
      </c>
      <c r="J2234" t="s">
        <v>111</v>
      </c>
      <c r="K2234">
        <v>0</v>
      </c>
      <c r="L2234">
        <v>3</v>
      </c>
      <c r="M2234">
        <v>0</v>
      </c>
      <c r="N2234">
        <v>2</v>
      </c>
      <c r="O2234">
        <v>1</v>
      </c>
      <c r="P2234">
        <v>0</v>
      </c>
      <c r="Q2234">
        <v>0</v>
      </c>
      <c r="R2234" t="s">
        <v>112</v>
      </c>
      <c r="S2234" t="str">
        <f>"14:27:34.813"</f>
        <v>14:27:34.813</v>
      </c>
      <c r="T2234" t="str">
        <f>"14:27:34.313"</f>
        <v>14:27:34.313</v>
      </c>
      <c r="U2234" t="str">
        <f t="shared" si="102"/>
        <v>ad5732</v>
      </c>
      <c r="V2234">
        <v>0</v>
      </c>
      <c r="W2234">
        <v>0</v>
      </c>
      <c r="X2234">
        <v>1</v>
      </c>
      <c r="Z2234">
        <v>0</v>
      </c>
      <c r="AA2234">
        <v>9</v>
      </c>
      <c r="AB2234">
        <v>3</v>
      </c>
      <c r="AC2234">
        <v>0</v>
      </c>
      <c r="AD2234">
        <v>10</v>
      </c>
      <c r="AE2234">
        <v>0</v>
      </c>
      <c r="AF2234">
        <v>3</v>
      </c>
      <c r="AG2234">
        <v>2</v>
      </c>
      <c r="AH2234">
        <v>0</v>
      </c>
      <c r="AI2234" t="s">
        <v>4575</v>
      </c>
      <c r="AJ2234">
        <v>39.932040999999998</v>
      </c>
      <c r="AK2234" t="s">
        <v>4576</v>
      </c>
      <c r="AL2234">
        <v>-75.649666999999994</v>
      </c>
      <c r="AM2234">
        <v>100</v>
      </c>
      <c r="AN2234">
        <v>4700</v>
      </c>
      <c r="AO2234" t="s">
        <v>115</v>
      </c>
      <c r="AP2234">
        <v>133</v>
      </c>
      <c r="AQ2234">
        <v>120</v>
      </c>
      <c r="AR2234">
        <v>64</v>
      </c>
      <c r="AZ2234">
        <v>3614</v>
      </c>
      <c r="BA2234">
        <v>1</v>
      </c>
      <c r="BB2234" t="str">
        <f t="shared" si="104"/>
        <v xml:space="preserve">N959MJ  </v>
      </c>
      <c r="BC2234">
        <v>1</v>
      </c>
      <c r="BE2234">
        <v>0</v>
      </c>
      <c r="BF2234">
        <v>0</v>
      </c>
      <c r="BG2234">
        <v>0</v>
      </c>
      <c r="BH2234">
        <v>4900</v>
      </c>
      <c r="BI2234">
        <v>200</v>
      </c>
      <c r="BJ2234">
        <v>1</v>
      </c>
      <c r="BK2234">
        <v>1</v>
      </c>
      <c r="BL2234">
        <v>1</v>
      </c>
      <c r="BM2234">
        <v>0</v>
      </c>
      <c r="BP2234">
        <v>0</v>
      </c>
      <c r="BQ2234">
        <v>0</v>
      </c>
      <c r="BX2234" t="str">
        <f>"14:27:34.820"</f>
        <v>14:27:34.820</v>
      </c>
      <c r="BY2234" t="str">
        <f>"817931124"</f>
        <v>817931124</v>
      </c>
      <c r="CL2234">
        <v>0</v>
      </c>
      <c r="CM2234">
        <v>2</v>
      </c>
      <c r="CN2234">
        <v>0</v>
      </c>
      <c r="CO2234">
        <v>2</v>
      </c>
      <c r="CP2234">
        <v>0</v>
      </c>
      <c r="CQ2234">
        <v>7</v>
      </c>
      <c r="CR2234" t="s">
        <v>116</v>
      </c>
      <c r="CS2234">
        <v>39</v>
      </c>
      <c r="CT2234">
        <v>2</v>
      </c>
      <c r="CU2234" t="s">
        <v>2259</v>
      </c>
      <c r="CV2234" t="s">
        <v>2260</v>
      </c>
      <c r="CY2234">
        <v>96940</v>
      </c>
      <c r="CZ2234" t="s">
        <v>119</v>
      </c>
    </row>
    <row r="2235" spans="1:104" x14ac:dyDescent="0.25">
      <c r="A2235" t="str">
        <f>"14:27:36.117"</f>
        <v>14:27:36.117</v>
      </c>
      <c r="B2235" t="s">
        <v>108</v>
      </c>
      <c r="C2235" t="str">
        <f t="shared" si="103"/>
        <v>ffdfd3c0</v>
      </c>
      <c r="D2235" t="s">
        <v>109</v>
      </c>
      <c r="E2235">
        <v>4</v>
      </c>
      <c r="F2235">
        <v>1004</v>
      </c>
      <c r="G2235" t="s">
        <v>110</v>
      </c>
      <c r="J2235" t="s">
        <v>111</v>
      </c>
      <c r="K2235">
        <v>0</v>
      </c>
      <c r="L2235">
        <v>3</v>
      </c>
      <c r="M2235">
        <v>0</v>
      </c>
      <c r="N2235">
        <v>2</v>
      </c>
      <c r="O2235">
        <v>1</v>
      </c>
      <c r="P2235">
        <v>0</v>
      </c>
      <c r="Q2235">
        <v>0</v>
      </c>
      <c r="R2235" t="s">
        <v>112</v>
      </c>
      <c r="S2235" t="str">
        <f>"14:27:35.922"</f>
        <v>14:27:35.922</v>
      </c>
      <c r="T2235" t="str">
        <f>"14:27:35.422"</f>
        <v>14:27:35.422</v>
      </c>
      <c r="U2235" t="str">
        <f t="shared" si="102"/>
        <v>ad5732</v>
      </c>
      <c r="V2235">
        <v>0</v>
      </c>
      <c r="W2235">
        <v>0</v>
      </c>
      <c r="X2235">
        <v>1</v>
      </c>
      <c r="Z2235">
        <v>0</v>
      </c>
      <c r="AA2235">
        <v>9</v>
      </c>
      <c r="AB2235">
        <v>3</v>
      </c>
      <c r="AC2235">
        <v>0</v>
      </c>
      <c r="AD2235">
        <v>10</v>
      </c>
      <c r="AE2235">
        <v>0</v>
      </c>
      <c r="AF2235">
        <v>3</v>
      </c>
      <c r="AG2235">
        <v>2</v>
      </c>
      <c r="AH2235">
        <v>0</v>
      </c>
      <c r="AI2235" t="s">
        <v>4577</v>
      </c>
      <c r="AJ2235">
        <v>39.932642000000001</v>
      </c>
      <c r="AK2235" t="s">
        <v>4578</v>
      </c>
      <c r="AL2235">
        <v>-75.648808000000002</v>
      </c>
      <c r="AM2235">
        <v>100</v>
      </c>
      <c r="AN2235">
        <v>4700</v>
      </c>
      <c r="AO2235" t="s">
        <v>115</v>
      </c>
      <c r="AP2235">
        <v>133</v>
      </c>
      <c r="AQ2235">
        <v>120</v>
      </c>
      <c r="AR2235">
        <v>64</v>
      </c>
      <c r="AZ2235">
        <v>3614</v>
      </c>
      <c r="BA2235">
        <v>1</v>
      </c>
      <c r="BB2235" t="str">
        <f t="shared" si="104"/>
        <v xml:space="preserve">N959MJ  </v>
      </c>
      <c r="BC2235">
        <v>1</v>
      </c>
      <c r="BE2235">
        <v>0</v>
      </c>
      <c r="BF2235">
        <v>0</v>
      </c>
      <c r="BG2235">
        <v>0</v>
      </c>
      <c r="BH2235">
        <v>4900</v>
      </c>
      <c r="BI2235">
        <v>200</v>
      </c>
      <c r="BJ2235">
        <v>1</v>
      </c>
      <c r="BK2235">
        <v>1</v>
      </c>
      <c r="BL2235">
        <v>1</v>
      </c>
      <c r="BM2235">
        <v>0</v>
      </c>
      <c r="BP2235">
        <v>0</v>
      </c>
      <c r="BQ2235">
        <v>0</v>
      </c>
      <c r="BX2235" t="str">
        <f>"14:27:35.930"</f>
        <v>14:27:35.930</v>
      </c>
      <c r="BY2235" t="str">
        <f>"928785029"</f>
        <v>928785029</v>
      </c>
      <c r="CL2235">
        <v>0</v>
      </c>
      <c r="CM2235">
        <v>2</v>
      </c>
      <c r="CN2235">
        <v>0</v>
      </c>
      <c r="CO2235">
        <v>2</v>
      </c>
      <c r="CP2235">
        <v>0</v>
      </c>
      <c r="CQ2235">
        <v>7</v>
      </c>
      <c r="CR2235" t="s">
        <v>116</v>
      </c>
      <c r="CS2235">
        <v>39</v>
      </c>
      <c r="CT2235">
        <v>3</v>
      </c>
      <c r="CU2235" t="s">
        <v>2259</v>
      </c>
      <c r="CV2235" t="s">
        <v>2260</v>
      </c>
      <c r="CY2235">
        <v>10859220</v>
      </c>
      <c r="CZ2235" t="s">
        <v>119</v>
      </c>
    </row>
    <row r="2236" spans="1:104" x14ac:dyDescent="0.25">
      <c r="A2236" t="str">
        <f>"14:27:37.078"</f>
        <v>14:27:37.078</v>
      </c>
      <c r="B2236" t="s">
        <v>108</v>
      </c>
      <c r="C2236" t="str">
        <f t="shared" si="103"/>
        <v>ffdfd3c0</v>
      </c>
      <c r="D2236" t="s">
        <v>109</v>
      </c>
      <c r="E2236">
        <v>4</v>
      </c>
      <c r="F2236">
        <v>1004</v>
      </c>
      <c r="G2236" t="s">
        <v>110</v>
      </c>
      <c r="J2236" t="s">
        <v>111</v>
      </c>
      <c r="K2236">
        <v>0</v>
      </c>
      <c r="L2236">
        <v>3</v>
      </c>
      <c r="M2236">
        <v>0</v>
      </c>
      <c r="N2236">
        <v>2</v>
      </c>
      <c r="O2236">
        <v>1</v>
      </c>
      <c r="P2236">
        <v>0</v>
      </c>
      <c r="Q2236">
        <v>0</v>
      </c>
      <c r="R2236" t="s">
        <v>112</v>
      </c>
      <c r="S2236" t="str">
        <f>"14:27:36.883"</f>
        <v>14:27:36.883</v>
      </c>
      <c r="T2236" t="str">
        <f>"14:27:36.383"</f>
        <v>14:27:36.383</v>
      </c>
      <c r="U2236" t="str">
        <f t="shared" si="102"/>
        <v>ad5732</v>
      </c>
      <c r="V2236">
        <v>0</v>
      </c>
      <c r="W2236">
        <v>0</v>
      </c>
      <c r="X2236">
        <v>1</v>
      </c>
      <c r="Z2236">
        <v>0</v>
      </c>
      <c r="AA2236">
        <v>9</v>
      </c>
      <c r="AB2236">
        <v>3</v>
      </c>
      <c r="AC2236">
        <v>0</v>
      </c>
      <c r="AD2236">
        <v>10</v>
      </c>
      <c r="AE2236">
        <v>0</v>
      </c>
      <c r="AF2236">
        <v>3</v>
      </c>
      <c r="AG2236">
        <v>2</v>
      </c>
      <c r="AH2236">
        <v>0</v>
      </c>
      <c r="AI2236" t="s">
        <v>4579</v>
      </c>
      <c r="AJ2236">
        <v>39.933157000000001</v>
      </c>
      <c r="AK2236" t="s">
        <v>4580</v>
      </c>
      <c r="AL2236">
        <v>-75.648099999999999</v>
      </c>
      <c r="AM2236">
        <v>100</v>
      </c>
      <c r="AN2236">
        <v>4700</v>
      </c>
      <c r="AO2236" t="s">
        <v>115</v>
      </c>
      <c r="AP2236">
        <v>133</v>
      </c>
      <c r="AQ2236">
        <v>119</v>
      </c>
      <c r="AR2236">
        <v>0</v>
      </c>
      <c r="AZ2236">
        <v>3614</v>
      </c>
      <c r="BA2236">
        <v>1</v>
      </c>
      <c r="BB2236" t="str">
        <f t="shared" si="104"/>
        <v xml:space="preserve">N959MJ  </v>
      </c>
      <c r="BC2236">
        <v>1</v>
      </c>
      <c r="BE2236">
        <v>0</v>
      </c>
      <c r="BF2236">
        <v>0</v>
      </c>
      <c r="BG2236">
        <v>0</v>
      </c>
      <c r="BH2236">
        <v>4900</v>
      </c>
      <c r="BI2236">
        <v>200</v>
      </c>
      <c r="BJ2236">
        <v>1</v>
      </c>
      <c r="BK2236">
        <v>1</v>
      </c>
      <c r="BL2236">
        <v>1</v>
      </c>
      <c r="BM2236">
        <v>0</v>
      </c>
      <c r="BP2236">
        <v>0</v>
      </c>
      <c r="BQ2236">
        <v>0</v>
      </c>
      <c r="BX2236" t="str">
        <f>"14:27:36.891"</f>
        <v>14:27:36.891</v>
      </c>
      <c r="BY2236" t="str">
        <f>"887265340"</f>
        <v>887265340</v>
      </c>
      <c r="CL2236">
        <v>0</v>
      </c>
      <c r="CM2236">
        <v>2</v>
      </c>
      <c r="CN2236">
        <v>0</v>
      </c>
      <c r="CO2236">
        <v>2</v>
      </c>
      <c r="CP2236">
        <v>0</v>
      </c>
      <c r="CQ2236">
        <v>7</v>
      </c>
      <c r="CR2236" t="s">
        <v>116</v>
      </c>
      <c r="CS2236">
        <v>39</v>
      </c>
      <c r="CT2236">
        <v>3</v>
      </c>
      <c r="CU2236" t="s">
        <v>2259</v>
      </c>
      <c r="CV2236" t="s">
        <v>2260</v>
      </c>
      <c r="CY2236">
        <v>10860837</v>
      </c>
      <c r="CZ2236" t="s">
        <v>119</v>
      </c>
    </row>
    <row r="2237" spans="1:104" x14ac:dyDescent="0.25">
      <c r="A2237" t="str">
        <f>"14:27:38.039"</f>
        <v>14:27:38.039</v>
      </c>
      <c r="B2237" t="s">
        <v>108</v>
      </c>
      <c r="C2237" t="str">
        <f t="shared" si="103"/>
        <v>ffdfd3c0</v>
      </c>
      <c r="D2237" t="s">
        <v>109</v>
      </c>
      <c r="E2237">
        <v>4</v>
      </c>
      <c r="F2237">
        <v>1004</v>
      </c>
      <c r="G2237" t="s">
        <v>110</v>
      </c>
      <c r="J2237" t="s">
        <v>111</v>
      </c>
      <c r="K2237">
        <v>0</v>
      </c>
      <c r="L2237">
        <v>3</v>
      </c>
      <c r="M2237">
        <v>0</v>
      </c>
      <c r="N2237">
        <v>2</v>
      </c>
      <c r="O2237">
        <v>1</v>
      </c>
      <c r="P2237">
        <v>0</v>
      </c>
      <c r="Q2237">
        <v>0</v>
      </c>
      <c r="R2237" t="s">
        <v>112</v>
      </c>
      <c r="S2237" t="str">
        <f>"14:27:37.883"</f>
        <v>14:27:37.883</v>
      </c>
      <c r="T2237" t="str">
        <f>"14:27:37.383"</f>
        <v>14:27:37.383</v>
      </c>
      <c r="U2237" t="str">
        <f t="shared" si="102"/>
        <v>ad5732</v>
      </c>
      <c r="V2237">
        <v>0</v>
      </c>
      <c r="W2237">
        <v>0</v>
      </c>
      <c r="X2237">
        <v>1</v>
      </c>
      <c r="Z2237">
        <v>0</v>
      </c>
      <c r="AA2237">
        <v>9</v>
      </c>
      <c r="AB2237">
        <v>3</v>
      </c>
      <c r="AC2237">
        <v>0</v>
      </c>
      <c r="AD2237">
        <v>10</v>
      </c>
      <c r="AE2237">
        <v>0</v>
      </c>
      <c r="AF2237">
        <v>3</v>
      </c>
      <c r="AG2237">
        <v>2</v>
      </c>
      <c r="AH2237">
        <v>0</v>
      </c>
      <c r="AI2237" t="s">
        <v>4581</v>
      </c>
      <c r="AJ2237">
        <v>39.933672000000001</v>
      </c>
      <c r="AK2237" t="s">
        <v>4582</v>
      </c>
      <c r="AL2237">
        <v>-75.647306</v>
      </c>
      <c r="AM2237">
        <v>100</v>
      </c>
      <c r="AN2237">
        <v>4700</v>
      </c>
      <c r="AO2237" t="s">
        <v>115</v>
      </c>
      <c r="AP2237">
        <v>134</v>
      </c>
      <c r="AQ2237">
        <v>119</v>
      </c>
      <c r="AR2237">
        <v>0</v>
      </c>
      <c r="AZ2237">
        <v>3614</v>
      </c>
      <c r="BA2237">
        <v>1</v>
      </c>
      <c r="BB2237" t="str">
        <f t="shared" si="104"/>
        <v xml:space="preserve">N959MJ  </v>
      </c>
      <c r="BC2237">
        <v>1</v>
      </c>
      <c r="BE2237">
        <v>0</v>
      </c>
      <c r="BF2237">
        <v>0</v>
      </c>
      <c r="BG2237">
        <v>0</v>
      </c>
      <c r="BH2237">
        <v>4900</v>
      </c>
      <c r="BI2237">
        <v>200</v>
      </c>
      <c r="BJ2237">
        <v>1</v>
      </c>
      <c r="BK2237">
        <v>1</v>
      </c>
      <c r="BL2237">
        <v>1</v>
      </c>
      <c r="BM2237">
        <v>0</v>
      </c>
      <c r="BP2237">
        <v>0</v>
      </c>
      <c r="BQ2237">
        <v>0</v>
      </c>
      <c r="BX2237" t="str">
        <f>"14:27:37.891"</f>
        <v>14:27:37.891</v>
      </c>
      <c r="BY2237" t="str">
        <f>"889983057"</f>
        <v>889983057</v>
      </c>
      <c r="CL2237">
        <v>0</v>
      </c>
      <c r="CM2237">
        <v>2</v>
      </c>
      <c r="CN2237">
        <v>0</v>
      </c>
      <c r="CO2237">
        <v>2</v>
      </c>
      <c r="CP2237">
        <v>0</v>
      </c>
      <c r="CQ2237">
        <v>7</v>
      </c>
      <c r="CR2237" t="s">
        <v>116</v>
      </c>
      <c r="CS2237">
        <v>39</v>
      </c>
      <c r="CT2237">
        <v>3</v>
      </c>
      <c r="CU2237" t="s">
        <v>2259</v>
      </c>
      <c r="CV2237" t="s">
        <v>2260</v>
      </c>
      <c r="CY2237">
        <v>10862353</v>
      </c>
      <c r="CZ2237" t="s">
        <v>119</v>
      </c>
    </row>
    <row r="2238" spans="1:104" x14ac:dyDescent="0.25">
      <c r="A2238" t="str">
        <f>"14:27:39.047"</f>
        <v>14:27:39.047</v>
      </c>
      <c r="B2238" t="s">
        <v>108</v>
      </c>
      <c r="C2238" t="str">
        <f t="shared" si="103"/>
        <v>ffdfd3c0</v>
      </c>
      <c r="D2238" t="s">
        <v>109</v>
      </c>
      <c r="E2238">
        <v>4</v>
      </c>
      <c r="F2238">
        <v>1004</v>
      </c>
      <c r="G2238" t="s">
        <v>110</v>
      </c>
      <c r="J2238" t="s">
        <v>111</v>
      </c>
      <c r="K2238">
        <v>0</v>
      </c>
      <c r="L2238">
        <v>3</v>
      </c>
      <c r="M2238">
        <v>0</v>
      </c>
      <c r="N2238">
        <v>2</v>
      </c>
      <c r="O2238">
        <v>1</v>
      </c>
      <c r="P2238">
        <v>0</v>
      </c>
      <c r="Q2238">
        <v>0</v>
      </c>
      <c r="R2238" t="s">
        <v>112</v>
      </c>
      <c r="S2238" t="str">
        <f>"14:27:38.852"</f>
        <v>14:27:38.852</v>
      </c>
      <c r="T2238" t="str">
        <f>"14:27:38.453"</f>
        <v>14:27:38.453</v>
      </c>
      <c r="U2238" t="str">
        <f t="shared" si="102"/>
        <v>ad5732</v>
      </c>
      <c r="V2238">
        <v>0</v>
      </c>
      <c r="W2238">
        <v>0</v>
      </c>
      <c r="X2238">
        <v>1</v>
      </c>
      <c r="Z2238">
        <v>0</v>
      </c>
      <c r="AA2238">
        <v>9</v>
      </c>
      <c r="AB2238">
        <v>3</v>
      </c>
      <c r="AC2238">
        <v>0</v>
      </c>
      <c r="AD2238">
        <v>10</v>
      </c>
      <c r="AE2238">
        <v>0</v>
      </c>
      <c r="AF2238">
        <v>3</v>
      </c>
      <c r="AG2238">
        <v>2</v>
      </c>
      <c r="AH2238">
        <v>0</v>
      </c>
      <c r="AI2238" t="s">
        <v>4583</v>
      </c>
      <c r="AJ2238">
        <v>39.934229999999999</v>
      </c>
      <c r="AK2238" t="s">
        <v>4584</v>
      </c>
      <c r="AL2238">
        <v>-75.646490999999997</v>
      </c>
      <c r="AM2238">
        <v>100</v>
      </c>
      <c r="AN2238">
        <v>4700</v>
      </c>
      <c r="AO2238" t="s">
        <v>115</v>
      </c>
      <c r="AP2238">
        <v>134</v>
      </c>
      <c r="AQ2238">
        <v>119</v>
      </c>
      <c r="AR2238">
        <v>-64</v>
      </c>
      <c r="AZ2238">
        <v>3614</v>
      </c>
      <c r="BA2238">
        <v>1</v>
      </c>
      <c r="BB2238" t="str">
        <f t="shared" si="104"/>
        <v xml:space="preserve">N959MJ  </v>
      </c>
      <c r="BC2238">
        <v>1</v>
      </c>
      <c r="BE2238">
        <v>0</v>
      </c>
      <c r="BF2238">
        <v>0</v>
      </c>
      <c r="BG2238">
        <v>0</v>
      </c>
      <c r="BH2238">
        <v>4900</v>
      </c>
      <c r="BI2238">
        <v>200</v>
      </c>
      <c r="BJ2238">
        <v>1</v>
      </c>
      <c r="BK2238">
        <v>1</v>
      </c>
      <c r="BL2238">
        <v>1</v>
      </c>
      <c r="BM2238">
        <v>0</v>
      </c>
      <c r="BP2238">
        <v>0</v>
      </c>
      <c r="BQ2238">
        <v>0</v>
      </c>
      <c r="BX2238" t="str">
        <f>"14:27:38.852"</f>
        <v>14:27:38.852</v>
      </c>
      <c r="BY2238" t="str">
        <f>"853378627"</f>
        <v>853378627</v>
      </c>
      <c r="CL2238">
        <v>0</v>
      </c>
      <c r="CM2238">
        <v>2</v>
      </c>
      <c r="CN2238">
        <v>0</v>
      </c>
      <c r="CO2238">
        <v>2</v>
      </c>
      <c r="CP2238">
        <v>0</v>
      </c>
      <c r="CQ2238">
        <v>7</v>
      </c>
      <c r="CR2238" t="s">
        <v>116</v>
      </c>
      <c r="CS2238">
        <v>39</v>
      </c>
      <c r="CT2238">
        <v>1</v>
      </c>
      <c r="CU2238" t="s">
        <v>2259</v>
      </c>
      <c r="CV2238" t="s">
        <v>2260</v>
      </c>
      <c r="CY2238">
        <v>8854205</v>
      </c>
      <c r="CZ2238" t="s">
        <v>119</v>
      </c>
    </row>
    <row r="2239" spans="1:104" x14ac:dyDescent="0.25">
      <c r="A2239" t="str">
        <f>"14:27:40.055"</f>
        <v>14:27:40.055</v>
      </c>
      <c r="B2239" t="s">
        <v>108</v>
      </c>
      <c r="C2239" t="str">
        <f t="shared" si="103"/>
        <v>ffdfd3c0</v>
      </c>
      <c r="D2239" t="s">
        <v>109</v>
      </c>
      <c r="E2239">
        <v>4</v>
      </c>
      <c r="F2239">
        <v>1004</v>
      </c>
      <c r="G2239" t="s">
        <v>110</v>
      </c>
      <c r="J2239" t="s">
        <v>111</v>
      </c>
      <c r="K2239">
        <v>0</v>
      </c>
      <c r="L2239">
        <v>3</v>
      </c>
      <c r="M2239">
        <v>0</v>
      </c>
      <c r="N2239">
        <v>2</v>
      </c>
      <c r="O2239">
        <v>1</v>
      </c>
      <c r="P2239">
        <v>0</v>
      </c>
      <c r="Q2239">
        <v>0</v>
      </c>
      <c r="R2239" t="s">
        <v>112</v>
      </c>
      <c r="S2239" t="str">
        <f>"14:27:39.828"</f>
        <v>14:27:39.828</v>
      </c>
      <c r="T2239" t="str">
        <f>"14:27:39.430"</f>
        <v>14:27:39.430</v>
      </c>
      <c r="U2239" t="str">
        <f t="shared" si="102"/>
        <v>ad5732</v>
      </c>
      <c r="V2239">
        <v>0</v>
      </c>
      <c r="W2239">
        <v>0</v>
      </c>
      <c r="X2239">
        <v>1</v>
      </c>
      <c r="Z2239">
        <v>0</v>
      </c>
      <c r="AA2239">
        <v>9</v>
      </c>
      <c r="AB2239">
        <v>3</v>
      </c>
      <c r="AC2239">
        <v>0</v>
      </c>
      <c r="AD2239">
        <v>10</v>
      </c>
      <c r="AE2239">
        <v>0</v>
      </c>
      <c r="AF2239">
        <v>3</v>
      </c>
      <c r="AG2239">
        <v>2</v>
      </c>
      <c r="AH2239">
        <v>0</v>
      </c>
      <c r="AI2239" t="s">
        <v>4585</v>
      </c>
      <c r="AJ2239">
        <v>39.934787999999998</v>
      </c>
      <c r="AK2239" t="s">
        <v>4586</v>
      </c>
      <c r="AL2239">
        <v>-75.645675999999995</v>
      </c>
      <c r="AM2239">
        <v>100</v>
      </c>
      <c r="AN2239">
        <v>4700</v>
      </c>
      <c r="AO2239" t="s">
        <v>115</v>
      </c>
      <c r="AP2239">
        <v>134</v>
      </c>
      <c r="AQ2239">
        <v>119</v>
      </c>
      <c r="AR2239">
        <v>-64</v>
      </c>
      <c r="AZ2239">
        <v>3614</v>
      </c>
      <c r="BA2239">
        <v>1</v>
      </c>
      <c r="BB2239" t="str">
        <f t="shared" si="104"/>
        <v xml:space="preserve">N959MJ  </v>
      </c>
      <c r="BC2239">
        <v>1</v>
      </c>
      <c r="BE2239">
        <v>0</v>
      </c>
      <c r="BF2239">
        <v>0</v>
      </c>
      <c r="BG2239">
        <v>0</v>
      </c>
      <c r="BH2239">
        <v>4900</v>
      </c>
      <c r="BI2239">
        <v>200</v>
      </c>
      <c r="BJ2239">
        <v>1</v>
      </c>
      <c r="BK2239">
        <v>1</v>
      </c>
      <c r="BL2239">
        <v>1</v>
      </c>
      <c r="BM2239">
        <v>0</v>
      </c>
      <c r="BP2239">
        <v>0</v>
      </c>
      <c r="BQ2239">
        <v>0</v>
      </c>
      <c r="BX2239" t="str">
        <f>"14:27:39.828"</f>
        <v>14:27:39.828</v>
      </c>
      <c r="BY2239" t="str">
        <f>"831519915"</f>
        <v>831519915</v>
      </c>
      <c r="CL2239">
        <v>0</v>
      </c>
      <c r="CM2239">
        <v>2</v>
      </c>
      <c r="CN2239">
        <v>0</v>
      </c>
      <c r="CO2239">
        <v>2</v>
      </c>
      <c r="CP2239">
        <v>0</v>
      </c>
      <c r="CQ2239">
        <v>7</v>
      </c>
      <c r="CR2239" t="s">
        <v>116</v>
      </c>
      <c r="CS2239">
        <v>39</v>
      </c>
      <c r="CT2239">
        <v>1</v>
      </c>
      <c r="CU2239" t="s">
        <v>2259</v>
      </c>
      <c r="CV2239" t="s">
        <v>2260</v>
      </c>
      <c r="CY2239">
        <v>8855678</v>
      </c>
      <c r="CZ2239" t="s">
        <v>119</v>
      </c>
    </row>
    <row r="2240" spans="1:104" x14ac:dyDescent="0.25">
      <c r="A2240" t="str">
        <f>"14:27:41.016"</f>
        <v>14:27:41.016</v>
      </c>
      <c r="B2240" t="s">
        <v>108</v>
      </c>
      <c r="C2240" t="str">
        <f t="shared" si="103"/>
        <v>ffdfd3c0</v>
      </c>
      <c r="D2240" t="s">
        <v>109</v>
      </c>
      <c r="E2240">
        <v>4</v>
      </c>
      <c r="F2240">
        <v>1004</v>
      </c>
      <c r="G2240" t="s">
        <v>110</v>
      </c>
      <c r="J2240" t="s">
        <v>111</v>
      </c>
      <c r="K2240">
        <v>0</v>
      </c>
      <c r="L2240">
        <v>3</v>
      </c>
      <c r="M2240">
        <v>0</v>
      </c>
      <c r="N2240">
        <v>2</v>
      </c>
      <c r="O2240">
        <v>1</v>
      </c>
      <c r="P2240">
        <v>0</v>
      </c>
      <c r="Q2240">
        <v>0</v>
      </c>
      <c r="R2240" t="s">
        <v>112</v>
      </c>
      <c r="S2240" t="str">
        <f>"14:27:40.828"</f>
        <v>14:27:40.828</v>
      </c>
      <c r="T2240" t="str">
        <f>"14:27:40.328"</f>
        <v>14:27:40.328</v>
      </c>
      <c r="U2240" t="str">
        <f t="shared" si="102"/>
        <v>ad5732</v>
      </c>
      <c r="V2240">
        <v>0</v>
      </c>
      <c r="W2240">
        <v>0</v>
      </c>
      <c r="X2240">
        <v>1</v>
      </c>
      <c r="Z2240">
        <v>0</v>
      </c>
      <c r="AA2240">
        <v>9</v>
      </c>
      <c r="AB2240">
        <v>3</v>
      </c>
      <c r="AC2240">
        <v>0</v>
      </c>
      <c r="AD2240">
        <v>10</v>
      </c>
      <c r="AE2240">
        <v>0</v>
      </c>
      <c r="AF2240">
        <v>3</v>
      </c>
      <c r="AG2240">
        <v>2</v>
      </c>
      <c r="AH2240">
        <v>0</v>
      </c>
      <c r="AI2240" t="s">
        <v>4587</v>
      </c>
      <c r="AJ2240">
        <v>39.935346000000003</v>
      </c>
      <c r="AK2240" t="s">
        <v>4588</v>
      </c>
      <c r="AL2240">
        <v>-75.644859999999994</v>
      </c>
      <c r="AM2240">
        <v>100</v>
      </c>
      <c r="AN2240">
        <v>4700</v>
      </c>
      <c r="AO2240" t="s">
        <v>115</v>
      </c>
      <c r="AP2240">
        <v>134</v>
      </c>
      <c r="AQ2240">
        <v>118</v>
      </c>
      <c r="AR2240">
        <v>-64</v>
      </c>
      <c r="AZ2240">
        <v>3614</v>
      </c>
      <c r="BA2240">
        <v>1</v>
      </c>
      <c r="BB2240" t="str">
        <f t="shared" si="104"/>
        <v xml:space="preserve">N959MJ  </v>
      </c>
      <c r="BC2240">
        <v>1</v>
      </c>
      <c r="BE2240">
        <v>0</v>
      </c>
      <c r="BF2240">
        <v>0</v>
      </c>
      <c r="BG2240">
        <v>0</v>
      </c>
      <c r="BH2240">
        <v>4900</v>
      </c>
      <c r="BI2240">
        <v>200</v>
      </c>
      <c r="BJ2240">
        <v>1</v>
      </c>
      <c r="BK2240">
        <v>1</v>
      </c>
      <c r="BL2240">
        <v>1</v>
      </c>
      <c r="BM2240">
        <v>0</v>
      </c>
      <c r="BP2240">
        <v>0</v>
      </c>
      <c r="BQ2240">
        <v>0</v>
      </c>
      <c r="BX2240" t="str">
        <f>"14:27:40.836"</f>
        <v>14:27:40.836</v>
      </c>
      <c r="BY2240" t="str">
        <f>"832599141"</f>
        <v>832599141</v>
      </c>
      <c r="CL2240">
        <v>0</v>
      </c>
      <c r="CM2240">
        <v>2</v>
      </c>
      <c r="CN2240">
        <v>0</v>
      </c>
      <c r="CO2240">
        <v>2</v>
      </c>
      <c r="CP2240">
        <v>0</v>
      </c>
      <c r="CQ2240">
        <v>7</v>
      </c>
      <c r="CR2240" t="s">
        <v>116</v>
      </c>
      <c r="CS2240">
        <v>39</v>
      </c>
      <c r="CT2240">
        <v>3</v>
      </c>
      <c r="CU2240" t="s">
        <v>2259</v>
      </c>
      <c r="CV2240" t="s">
        <v>2260</v>
      </c>
      <c r="CY2240">
        <v>10867682</v>
      </c>
      <c r="CZ2240" t="s">
        <v>119</v>
      </c>
    </row>
    <row r="2241" spans="1:104" x14ac:dyDescent="0.25">
      <c r="A2241" t="str">
        <f>"14:27:42.172"</f>
        <v>14:27:42.172</v>
      </c>
      <c r="B2241" t="s">
        <v>108</v>
      </c>
      <c r="C2241" t="str">
        <f t="shared" si="103"/>
        <v>ffdfd3c0</v>
      </c>
      <c r="D2241" t="s">
        <v>109</v>
      </c>
      <c r="E2241">
        <v>4</v>
      </c>
      <c r="F2241">
        <v>1004</v>
      </c>
      <c r="G2241" t="s">
        <v>110</v>
      </c>
      <c r="J2241" t="s">
        <v>111</v>
      </c>
      <c r="K2241">
        <v>0</v>
      </c>
      <c r="L2241">
        <v>3</v>
      </c>
      <c r="M2241">
        <v>0</v>
      </c>
      <c r="N2241">
        <v>2</v>
      </c>
      <c r="O2241">
        <v>1</v>
      </c>
      <c r="P2241">
        <v>0</v>
      </c>
      <c r="Q2241">
        <v>0</v>
      </c>
      <c r="R2241" t="s">
        <v>112</v>
      </c>
      <c r="S2241" t="str">
        <f>"14:27:41.984"</f>
        <v>14:27:41.984</v>
      </c>
      <c r="T2241" t="str">
        <f>"14:27:41.484"</f>
        <v>14:27:41.484</v>
      </c>
      <c r="U2241" t="str">
        <f t="shared" si="102"/>
        <v>ad5732</v>
      </c>
      <c r="V2241">
        <v>0</v>
      </c>
      <c r="W2241">
        <v>0</v>
      </c>
      <c r="X2241">
        <v>1</v>
      </c>
      <c r="Z2241">
        <v>0</v>
      </c>
      <c r="AA2241">
        <v>9</v>
      </c>
      <c r="AB2241">
        <v>3</v>
      </c>
      <c r="AC2241">
        <v>0</v>
      </c>
      <c r="AD2241">
        <v>10</v>
      </c>
      <c r="AE2241">
        <v>0</v>
      </c>
      <c r="AF2241">
        <v>3</v>
      </c>
      <c r="AG2241">
        <v>2</v>
      </c>
      <c r="AH2241">
        <v>0</v>
      </c>
      <c r="AI2241" t="s">
        <v>4589</v>
      </c>
      <c r="AJ2241">
        <v>39.935946000000001</v>
      </c>
      <c r="AK2241" t="s">
        <v>4590</v>
      </c>
      <c r="AL2241">
        <v>-75.643980999999997</v>
      </c>
      <c r="AM2241">
        <v>100</v>
      </c>
      <c r="AN2241">
        <v>4700</v>
      </c>
      <c r="AO2241" t="s">
        <v>115</v>
      </c>
      <c r="AP2241">
        <v>135</v>
      </c>
      <c r="AQ2241">
        <v>118</v>
      </c>
      <c r="AR2241">
        <v>-64</v>
      </c>
      <c r="AZ2241">
        <v>3614</v>
      </c>
      <c r="BA2241">
        <v>1</v>
      </c>
      <c r="BB2241" t="str">
        <f t="shared" si="104"/>
        <v xml:space="preserve">N959MJ  </v>
      </c>
      <c r="BC2241">
        <v>1</v>
      </c>
      <c r="BE2241">
        <v>0</v>
      </c>
      <c r="BF2241">
        <v>0</v>
      </c>
      <c r="BG2241">
        <v>0</v>
      </c>
      <c r="BH2241">
        <v>4900</v>
      </c>
      <c r="BI2241">
        <v>200</v>
      </c>
      <c r="BJ2241">
        <v>1</v>
      </c>
      <c r="BK2241">
        <v>1</v>
      </c>
      <c r="BL2241">
        <v>1</v>
      </c>
      <c r="BM2241">
        <v>0</v>
      </c>
      <c r="BP2241">
        <v>0</v>
      </c>
      <c r="BQ2241">
        <v>0</v>
      </c>
      <c r="BX2241" t="str">
        <f>"14:27:41.992"</f>
        <v>14:27:41.992</v>
      </c>
      <c r="BY2241" t="str">
        <f>"990967570"</f>
        <v>990967570</v>
      </c>
      <c r="CL2241">
        <v>0</v>
      </c>
      <c r="CM2241">
        <v>2</v>
      </c>
      <c r="CN2241">
        <v>0</v>
      </c>
      <c r="CO2241">
        <v>2</v>
      </c>
      <c r="CP2241">
        <v>0</v>
      </c>
      <c r="CQ2241">
        <v>7</v>
      </c>
      <c r="CR2241" t="s">
        <v>116</v>
      </c>
      <c r="CS2241">
        <v>39</v>
      </c>
      <c r="CT2241">
        <v>2</v>
      </c>
      <c r="CU2241" t="s">
        <v>2259</v>
      </c>
      <c r="CV2241" t="s">
        <v>2260</v>
      </c>
      <c r="CY2241">
        <v>109035</v>
      </c>
      <c r="CZ2241" t="s">
        <v>119</v>
      </c>
    </row>
    <row r="2242" spans="1:104" x14ac:dyDescent="0.25">
      <c r="A2242" t="str">
        <f>"14:27:43.133"</f>
        <v>14:27:43.133</v>
      </c>
      <c r="B2242" t="s">
        <v>108</v>
      </c>
      <c r="C2242" t="str">
        <f t="shared" si="103"/>
        <v>ffdfd3c0</v>
      </c>
      <c r="D2242" t="s">
        <v>109</v>
      </c>
      <c r="E2242">
        <v>4</v>
      </c>
      <c r="F2242">
        <v>1004</v>
      </c>
      <c r="G2242" t="s">
        <v>110</v>
      </c>
      <c r="J2242" t="s">
        <v>111</v>
      </c>
      <c r="K2242">
        <v>0</v>
      </c>
      <c r="L2242">
        <v>3</v>
      </c>
      <c r="M2242">
        <v>0</v>
      </c>
      <c r="N2242">
        <v>2</v>
      </c>
      <c r="O2242">
        <v>1</v>
      </c>
      <c r="P2242">
        <v>0</v>
      </c>
      <c r="Q2242">
        <v>0</v>
      </c>
      <c r="R2242" t="s">
        <v>112</v>
      </c>
      <c r="S2242" t="str">
        <f>"14:27:42.953"</f>
        <v>14:27:42.953</v>
      </c>
      <c r="T2242" t="str">
        <f>"14:27:42.453"</f>
        <v>14:27:42.453</v>
      </c>
      <c r="U2242" t="str">
        <f t="shared" ref="U2242:U2305" si="105">"ad5732"</f>
        <v>ad5732</v>
      </c>
      <c r="V2242">
        <v>0</v>
      </c>
      <c r="W2242">
        <v>0</v>
      </c>
      <c r="X2242">
        <v>1</v>
      </c>
      <c r="Z2242">
        <v>0</v>
      </c>
      <c r="AA2242">
        <v>9</v>
      </c>
      <c r="AB2242">
        <v>3</v>
      </c>
      <c r="AC2242">
        <v>0</v>
      </c>
      <c r="AD2242">
        <v>10</v>
      </c>
      <c r="AE2242">
        <v>0</v>
      </c>
      <c r="AF2242">
        <v>3</v>
      </c>
      <c r="AG2242">
        <v>2</v>
      </c>
      <c r="AH2242">
        <v>0</v>
      </c>
      <c r="AI2242" t="s">
        <v>4591</v>
      </c>
      <c r="AJ2242">
        <v>39.936483000000003</v>
      </c>
      <c r="AK2242" t="s">
        <v>4592</v>
      </c>
      <c r="AL2242">
        <v>-75.643122000000005</v>
      </c>
      <c r="AM2242">
        <v>100</v>
      </c>
      <c r="AN2242">
        <v>4700</v>
      </c>
      <c r="AO2242" t="s">
        <v>115</v>
      </c>
      <c r="AP2242">
        <v>135</v>
      </c>
      <c r="AQ2242">
        <v>118</v>
      </c>
      <c r="AR2242">
        <v>0</v>
      </c>
      <c r="AZ2242">
        <v>3614</v>
      </c>
      <c r="BA2242">
        <v>1</v>
      </c>
      <c r="BB2242" t="str">
        <f t="shared" si="104"/>
        <v xml:space="preserve">N959MJ  </v>
      </c>
      <c r="BC2242">
        <v>1</v>
      </c>
      <c r="BE2242">
        <v>0</v>
      </c>
      <c r="BF2242">
        <v>0</v>
      </c>
      <c r="BG2242">
        <v>0</v>
      </c>
      <c r="BH2242">
        <v>4900</v>
      </c>
      <c r="BI2242">
        <v>200</v>
      </c>
      <c r="BJ2242">
        <v>1</v>
      </c>
      <c r="BK2242">
        <v>1</v>
      </c>
      <c r="BL2242">
        <v>1</v>
      </c>
      <c r="BM2242">
        <v>0</v>
      </c>
      <c r="BP2242">
        <v>0</v>
      </c>
      <c r="BQ2242">
        <v>0</v>
      </c>
      <c r="BX2242" t="str">
        <f>"14:27:42.961"</f>
        <v>14:27:42.961</v>
      </c>
      <c r="BY2242" t="str">
        <f>"959278338"</f>
        <v>959278338</v>
      </c>
      <c r="CL2242">
        <v>0</v>
      </c>
      <c r="CM2242">
        <v>2</v>
      </c>
      <c r="CN2242">
        <v>0</v>
      </c>
      <c r="CO2242">
        <v>2</v>
      </c>
      <c r="CP2242">
        <v>0</v>
      </c>
      <c r="CQ2242">
        <v>7</v>
      </c>
      <c r="CR2242" t="s">
        <v>116</v>
      </c>
      <c r="CS2242">
        <v>39</v>
      </c>
      <c r="CT2242">
        <v>3</v>
      </c>
      <c r="CU2242" t="s">
        <v>2259</v>
      </c>
      <c r="CV2242" t="s">
        <v>2260</v>
      </c>
      <c r="CY2242">
        <v>10871083</v>
      </c>
      <c r="CZ2242" t="s">
        <v>119</v>
      </c>
    </row>
    <row r="2243" spans="1:104" x14ac:dyDescent="0.25">
      <c r="A2243" t="str">
        <f>"14:27:44.094"</f>
        <v>14:27:44.094</v>
      </c>
      <c r="B2243" t="s">
        <v>108</v>
      </c>
      <c r="C2243" t="str">
        <f t="shared" si="103"/>
        <v>ffdfd3c0</v>
      </c>
      <c r="D2243" t="s">
        <v>109</v>
      </c>
      <c r="E2243">
        <v>4</v>
      </c>
      <c r="F2243">
        <v>1004</v>
      </c>
      <c r="G2243" t="s">
        <v>110</v>
      </c>
      <c r="J2243" t="s">
        <v>111</v>
      </c>
      <c r="K2243">
        <v>0</v>
      </c>
      <c r="L2243">
        <v>3</v>
      </c>
      <c r="M2243">
        <v>0</v>
      </c>
      <c r="N2243">
        <v>2</v>
      </c>
      <c r="O2243">
        <v>1</v>
      </c>
      <c r="P2243">
        <v>0</v>
      </c>
      <c r="Q2243">
        <v>0</v>
      </c>
      <c r="R2243" t="s">
        <v>112</v>
      </c>
      <c r="S2243" t="str">
        <f>"14:27:43.906"</f>
        <v>14:27:43.906</v>
      </c>
      <c r="T2243" t="str">
        <f>"14:27:43.508"</f>
        <v>14:27:43.508</v>
      </c>
      <c r="U2243" t="str">
        <f t="shared" si="105"/>
        <v>ad5732</v>
      </c>
      <c r="V2243">
        <v>0</v>
      </c>
      <c r="W2243">
        <v>0</v>
      </c>
      <c r="X2243">
        <v>1</v>
      </c>
      <c r="Z2243">
        <v>0</v>
      </c>
      <c r="AA2243">
        <v>9</v>
      </c>
      <c r="AB2243">
        <v>3</v>
      </c>
      <c r="AC2243">
        <v>0</v>
      </c>
      <c r="AD2243">
        <v>10</v>
      </c>
      <c r="AE2243">
        <v>0</v>
      </c>
      <c r="AF2243">
        <v>3</v>
      </c>
      <c r="AG2243">
        <v>2</v>
      </c>
      <c r="AH2243">
        <v>0</v>
      </c>
      <c r="AI2243" t="s">
        <v>4593</v>
      </c>
      <c r="AJ2243">
        <v>39.937041000000001</v>
      </c>
      <c r="AK2243" t="s">
        <v>4594</v>
      </c>
      <c r="AL2243">
        <v>-75.642328000000006</v>
      </c>
      <c r="AM2243">
        <v>100</v>
      </c>
      <c r="AN2243">
        <v>4700</v>
      </c>
      <c r="AO2243" t="s">
        <v>115</v>
      </c>
      <c r="AP2243">
        <v>135</v>
      </c>
      <c r="AQ2243">
        <v>118</v>
      </c>
      <c r="AR2243">
        <v>0</v>
      </c>
      <c r="AZ2243">
        <v>3614</v>
      </c>
      <c r="BA2243">
        <v>1</v>
      </c>
      <c r="BB2243" t="str">
        <f t="shared" si="104"/>
        <v xml:space="preserve">N959MJ  </v>
      </c>
      <c r="BC2243">
        <v>1</v>
      </c>
      <c r="BE2243">
        <v>0</v>
      </c>
      <c r="BF2243">
        <v>0</v>
      </c>
      <c r="BG2243">
        <v>0</v>
      </c>
      <c r="BH2243">
        <v>4900</v>
      </c>
      <c r="BI2243">
        <v>200</v>
      </c>
      <c r="BJ2243">
        <v>1</v>
      </c>
      <c r="BK2243">
        <v>1</v>
      </c>
      <c r="BL2243">
        <v>1</v>
      </c>
      <c r="BM2243">
        <v>0</v>
      </c>
      <c r="BP2243">
        <v>0</v>
      </c>
      <c r="BQ2243">
        <v>0</v>
      </c>
      <c r="BX2243" t="str">
        <f>"14:27:43.906"</f>
        <v>14:27:43.906</v>
      </c>
      <c r="BY2243" t="str">
        <f>"906289552"</f>
        <v>906289552</v>
      </c>
      <c r="CL2243">
        <v>0</v>
      </c>
      <c r="CM2243">
        <v>2</v>
      </c>
      <c r="CN2243">
        <v>0</v>
      </c>
      <c r="CO2243">
        <v>2</v>
      </c>
      <c r="CP2243">
        <v>0</v>
      </c>
      <c r="CQ2243">
        <v>7</v>
      </c>
      <c r="CR2243" t="s">
        <v>116</v>
      </c>
      <c r="CS2243">
        <v>39</v>
      </c>
      <c r="CT2243">
        <v>3</v>
      </c>
      <c r="CU2243" t="s">
        <v>2259</v>
      </c>
      <c r="CV2243" t="s">
        <v>2260</v>
      </c>
      <c r="CY2243">
        <v>10872961</v>
      </c>
      <c r="CZ2243" t="s">
        <v>119</v>
      </c>
    </row>
    <row r="2244" spans="1:104" x14ac:dyDescent="0.25">
      <c r="A2244" t="str">
        <f>"14:27:45.102"</f>
        <v>14:27:45.102</v>
      </c>
      <c r="B2244" t="s">
        <v>108</v>
      </c>
      <c r="C2244" t="str">
        <f t="shared" si="103"/>
        <v>ffdfd3c0</v>
      </c>
      <c r="D2244" t="s">
        <v>109</v>
      </c>
      <c r="E2244">
        <v>4</v>
      </c>
      <c r="F2244">
        <v>1004</v>
      </c>
      <c r="G2244" t="s">
        <v>110</v>
      </c>
      <c r="J2244" t="s">
        <v>111</v>
      </c>
      <c r="K2244">
        <v>0</v>
      </c>
      <c r="L2244">
        <v>3</v>
      </c>
      <c r="M2244">
        <v>0</v>
      </c>
      <c r="N2244">
        <v>2</v>
      </c>
      <c r="O2244">
        <v>1</v>
      </c>
      <c r="P2244">
        <v>0</v>
      </c>
      <c r="Q2244">
        <v>0</v>
      </c>
      <c r="R2244" t="s">
        <v>112</v>
      </c>
      <c r="S2244" t="str">
        <f>"14:27:44.938"</f>
        <v>14:27:44.938</v>
      </c>
      <c r="T2244" t="str">
        <f>"14:27:44.539"</f>
        <v>14:27:44.539</v>
      </c>
      <c r="U2244" t="str">
        <f t="shared" si="105"/>
        <v>ad5732</v>
      </c>
      <c r="V2244">
        <v>0</v>
      </c>
      <c r="W2244">
        <v>0</v>
      </c>
      <c r="X2244">
        <v>1</v>
      </c>
      <c r="Z2244">
        <v>0</v>
      </c>
      <c r="AA2244">
        <v>9</v>
      </c>
      <c r="AB2244">
        <v>3</v>
      </c>
      <c r="AC2244">
        <v>0</v>
      </c>
      <c r="AD2244">
        <v>10</v>
      </c>
      <c r="AE2244">
        <v>0</v>
      </c>
      <c r="AF2244">
        <v>3</v>
      </c>
      <c r="AG2244">
        <v>2</v>
      </c>
      <c r="AH2244">
        <v>0</v>
      </c>
      <c r="AI2244" t="s">
        <v>4595</v>
      </c>
      <c r="AJ2244">
        <v>39.937598999999999</v>
      </c>
      <c r="AK2244" t="s">
        <v>4596</v>
      </c>
      <c r="AL2244">
        <v>-75.641533999999993</v>
      </c>
      <c r="AM2244">
        <v>100</v>
      </c>
      <c r="AN2244">
        <v>4700</v>
      </c>
      <c r="AO2244" t="s">
        <v>115</v>
      </c>
      <c r="AP2244">
        <v>135</v>
      </c>
      <c r="AQ2244">
        <v>118</v>
      </c>
      <c r="AR2244">
        <v>0</v>
      </c>
      <c r="AZ2244">
        <v>3614</v>
      </c>
      <c r="BA2244">
        <v>1</v>
      </c>
      <c r="BB2244" t="str">
        <f t="shared" si="104"/>
        <v xml:space="preserve">N959MJ  </v>
      </c>
      <c r="BC2244">
        <v>1</v>
      </c>
      <c r="BE2244">
        <v>0</v>
      </c>
      <c r="BF2244">
        <v>0</v>
      </c>
      <c r="BG2244">
        <v>0</v>
      </c>
      <c r="BH2244">
        <v>4900</v>
      </c>
      <c r="BI2244">
        <v>200</v>
      </c>
      <c r="BJ2244">
        <v>1</v>
      </c>
      <c r="BK2244">
        <v>1</v>
      </c>
      <c r="BL2244">
        <v>1</v>
      </c>
      <c r="BM2244">
        <v>0</v>
      </c>
      <c r="BP2244">
        <v>0</v>
      </c>
      <c r="BQ2244">
        <v>0</v>
      </c>
      <c r="BX2244" t="str">
        <f>"14:27:44.945"</f>
        <v>14:27:44.945</v>
      </c>
      <c r="BY2244" t="str">
        <f>"943636743"</f>
        <v>943636743</v>
      </c>
      <c r="CL2244">
        <v>0</v>
      </c>
      <c r="CM2244">
        <v>2</v>
      </c>
      <c r="CN2244">
        <v>0</v>
      </c>
      <c r="CO2244">
        <v>2</v>
      </c>
      <c r="CP2244">
        <v>0</v>
      </c>
      <c r="CQ2244">
        <v>5</v>
      </c>
      <c r="CR2244" t="s">
        <v>116</v>
      </c>
      <c r="CS2244">
        <v>408</v>
      </c>
      <c r="CT2244">
        <v>1</v>
      </c>
      <c r="CU2244" t="s">
        <v>2317</v>
      </c>
      <c r="CV2244" t="s">
        <v>2318</v>
      </c>
      <c r="CY2244">
        <v>12661978</v>
      </c>
      <c r="CZ2244" t="s">
        <v>119</v>
      </c>
    </row>
    <row r="2245" spans="1:104" x14ac:dyDescent="0.25">
      <c r="A2245" t="str">
        <f>"14:27:46.016"</f>
        <v>14:27:46.016</v>
      </c>
      <c r="B2245" t="s">
        <v>108</v>
      </c>
      <c r="C2245" t="str">
        <f t="shared" si="103"/>
        <v>ffdfd3c0</v>
      </c>
      <c r="D2245" t="s">
        <v>109</v>
      </c>
      <c r="E2245">
        <v>4</v>
      </c>
      <c r="F2245">
        <v>1004</v>
      </c>
      <c r="G2245" t="s">
        <v>110</v>
      </c>
      <c r="J2245" t="s">
        <v>111</v>
      </c>
      <c r="K2245">
        <v>0</v>
      </c>
      <c r="L2245">
        <v>3</v>
      </c>
      <c r="M2245">
        <v>0</v>
      </c>
      <c r="N2245">
        <v>2</v>
      </c>
      <c r="O2245">
        <v>1</v>
      </c>
      <c r="P2245">
        <v>0</v>
      </c>
      <c r="Q2245">
        <v>0</v>
      </c>
      <c r="R2245" t="s">
        <v>112</v>
      </c>
      <c r="S2245" t="str">
        <f>"14:27:45.797"</f>
        <v>14:27:45.797</v>
      </c>
      <c r="T2245" t="str">
        <f>"14:27:45.398"</f>
        <v>14:27:45.398</v>
      </c>
      <c r="U2245" t="str">
        <f t="shared" si="105"/>
        <v>ad5732</v>
      </c>
      <c r="V2245">
        <v>0</v>
      </c>
      <c r="W2245">
        <v>0</v>
      </c>
      <c r="X2245">
        <v>1</v>
      </c>
      <c r="Z2245">
        <v>0</v>
      </c>
      <c r="AA2245">
        <v>9</v>
      </c>
      <c r="AB2245">
        <v>3</v>
      </c>
      <c r="AC2245">
        <v>0</v>
      </c>
      <c r="AD2245">
        <v>10</v>
      </c>
      <c r="AE2245">
        <v>0</v>
      </c>
      <c r="AF2245">
        <v>3</v>
      </c>
      <c r="AG2245">
        <v>2</v>
      </c>
      <c r="AH2245">
        <v>0</v>
      </c>
      <c r="AI2245" t="s">
        <v>4597</v>
      </c>
      <c r="AJ2245">
        <v>39.938006000000001</v>
      </c>
      <c r="AK2245" t="s">
        <v>4598</v>
      </c>
      <c r="AL2245">
        <v>-75.640868999999995</v>
      </c>
      <c r="AM2245">
        <v>100</v>
      </c>
      <c r="AN2245">
        <v>4700</v>
      </c>
      <c r="AO2245" t="s">
        <v>115</v>
      </c>
      <c r="AP2245">
        <v>135</v>
      </c>
      <c r="AQ2245">
        <v>118</v>
      </c>
      <c r="AR2245">
        <v>0</v>
      </c>
      <c r="AZ2245">
        <v>3614</v>
      </c>
      <c r="BA2245">
        <v>1</v>
      </c>
      <c r="BB2245" t="str">
        <f t="shared" si="104"/>
        <v xml:space="preserve">N959MJ  </v>
      </c>
      <c r="BC2245">
        <v>1</v>
      </c>
      <c r="BE2245">
        <v>0</v>
      </c>
      <c r="BF2245">
        <v>0</v>
      </c>
      <c r="BG2245">
        <v>0</v>
      </c>
      <c r="BH2245">
        <v>4900</v>
      </c>
      <c r="BI2245">
        <v>200</v>
      </c>
      <c r="BJ2245">
        <v>1</v>
      </c>
      <c r="BK2245">
        <v>1</v>
      </c>
      <c r="BL2245">
        <v>1</v>
      </c>
      <c r="BM2245">
        <v>0</v>
      </c>
      <c r="BP2245">
        <v>0</v>
      </c>
      <c r="BQ2245">
        <v>0</v>
      </c>
      <c r="BX2245" t="str">
        <f>"14:27:45.797"</f>
        <v>14:27:45.797</v>
      </c>
      <c r="BY2245" t="str">
        <f>"798673599"</f>
        <v>798673599</v>
      </c>
      <c r="CL2245">
        <v>0</v>
      </c>
      <c r="CM2245">
        <v>2</v>
      </c>
      <c r="CN2245">
        <v>0</v>
      </c>
      <c r="CO2245">
        <v>2</v>
      </c>
      <c r="CP2245">
        <v>0</v>
      </c>
      <c r="CQ2245">
        <v>7</v>
      </c>
      <c r="CR2245" t="s">
        <v>116</v>
      </c>
      <c r="CS2245">
        <v>39</v>
      </c>
      <c r="CT2245">
        <v>2</v>
      </c>
      <c r="CU2245" t="s">
        <v>2259</v>
      </c>
      <c r="CV2245" t="s">
        <v>2260</v>
      </c>
      <c r="CY2245">
        <v>115676</v>
      </c>
      <c r="CZ2245" t="s">
        <v>119</v>
      </c>
    </row>
    <row r="2246" spans="1:104" x14ac:dyDescent="0.25">
      <c r="A2246" t="str">
        <f>"14:27:47.023"</f>
        <v>14:27:47.023</v>
      </c>
      <c r="B2246" t="s">
        <v>108</v>
      </c>
      <c r="C2246" t="str">
        <f t="shared" si="103"/>
        <v>ffdfd3c0</v>
      </c>
      <c r="D2246" t="s">
        <v>109</v>
      </c>
      <c r="E2246">
        <v>4</v>
      </c>
      <c r="F2246">
        <v>1004</v>
      </c>
      <c r="G2246" t="s">
        <v>110</v>
      </c>
      <c r="J2246" t="s">
        <v>111</v>
      </c>
      <c r="K2246">
        <v>0</v>
      </c>
      <c r="L2246">
        <v>3</v>
      </c>
      <c r="M2246">
        <v>0</v>
      </c>
      <c r="N2246">
        <v>2</v>
      </c>
      <c r="O2246">
        <v>1</v>
      </c>
      <c r="P2246">
        <v>0</v>
      </c>
      <c r="Q2246">
        <v>0</v>
      </c>
      <c r="R2246" t="s">
        <v>112</v>
      </c>
      <c r="S2246" t="str">
        <f>"14:27:46.836"</f>
        <v>14:27:46.836</v>
      </c>
      <c r="T2246" t="str">
        <f>"14:27:46.336"</f>
        <v>14:27:46.336</v>
      </c>
      <c r="U2246" t="str">
        <f t="shared" si="105"/>
        <v>ad5732</v>
      </c>
      <c r="V2246">
        <v>0</v>
      </c>
      <c r="W2246">
        <v>0</v>
      </c>
      <c r="X2246">
        <v>1</v>
      </c>
      <c r="Z2246">
        <v>0</v>
      </c>
      <c r="AA2246">
        <v>9</v>
      </c>
      <c r="AB2246">
        <v>3</v>
      </c>
      <c r="AC2246">
        <v>0</v>
      </c>
      <c r="AD2246">
        <v>10</v>
      </c>
      <c r="AE2246">
        <v>0</v>
      </c>
      <c r="AF2246">
        <v>3</v>
      </c>
      <c r="AG2246">
        <v>2</v>
      </c>
      <c r="AH2246">
        <v>0</v>
      </c>
      <c r="AI2246" t="s">
        <v>4599</v>
      </c>
      <c r="AJ2246">
        <v>39.938606999999998</v>
      </c>
      <c r="AK2246" t="s">
        <v>4600</v>
      </c>
      <c r="AL2246">
        <v>-75.639989</v>
      </c>
      <c r="AM2246">
        <v>100</v>
      </c>
      <c r="AN2246">
        <v>4700</v>
      </c>
      <c r="AO2246" t="s">
        <v>115</v>
      </c>
      <c r="AP2246">
        <v>135</v>
      </c>
      <c r="AQ2246">
        <v>118</v>
      </c>
      <c r="AR2246">
        <v>0</v>
      </c>
      <c r="AZ2246">
        <v>3614</v>
      </c>
      <c r="BA2246">
        <v>1</v>
      </c>
      <c r="BB2246" t="str">
        <f t="shared" si="104"/>
        <v xml:space="preserve">N959MJ  </v>
      </c>
      <c r="BC2246">
        <v>1</v>
      </c>
      <c r="BE2246">
        <v>0</v>
      </c>
      <c r="BF2246">
        <v>0</v>
      </c>
      <c r="BG2246">
        <v>0</v>
      </c>
      <c r="BH2246">
        <v>4900</v>
      </c>
      <c r="BI2246">
        <v>200</v>
      </c>
      <c r="BJ2246">
        <v>1</v>
      </c>
      <c r="BK2246">
        <v>1</v>
      </c>
      <c r="BL2246">
        <v>1</v>
      </c>
      <c r="BM2246">
        <v>0</v>
      </c>
      <c r="BP2246">
        <v>0</v>
      </c>
      <c r="BQ2246">
        <v>0</v>
      </c>
      <c r="BX2246" t="str">
        <f>"14:27:46.836"</f>
        <v>14:27:46.836</v>
      </c>
      <c r="BY2246" t="str">
        <f>"839075260"</f>
        <v>839075260</v>
      </c>
      <c r="CL2246">
        <v>0</v>
      </c>
      <c r="CM2246">
        <v>2</v>
      </c>
      <c r="CN2246">
        <v>0</v>
      </c>
      <c r="CO2246">
        <v>2</v>
      </c>
      <c r="CP2246">
        <v>0</v>
      </c>
      <c r="CQ2246">
        <v>7</v>
      </c>
      <c r="CR2246" t="s">
        <v>116</v>
      </c>
      <c r="CS2246">
        <v>39</v>
      </c>
      <c r="CT2246">
        <v>2</v>
      </c>
      <c r="CU2246" t="s">
        <v>2259</v>
      </c>
      <c r="CV2246" t="s">
        <v>2260</v>
      </c>
      <c r="CY2246">
        <v>117288</v>
      </c>
      <c r="CZ2246" t="s">
        <v>119</v>
      </c>
    </row>
    <row r="2247" spans="1:104" x14ac:dyDescent="0.25">
      <c r="A2247" t="str">
        <f>"14:27:47.984"</f>
        <v>14:27:47.984</v>
      </c>
      <c r="B2247" t="s">
        <v>108</v>
      </c>
      <c r="C2247" t="str">
        <f t="shared" si="103"/>
        <v>ffdfd3c0</v>
      </c>
      <c r="D2247" t="s">
        <v>109</v>
      </c>
      <c r="E2247">
        <v>4</v>
      </c>
      <c r="F2247">
        <v>1004</v>
      </c>
      <c r="G2247" t="s">
        <v>110</v>
      </c>
      <c r="J2247" t="s">
        <v>111</v>
      </c>
      <c r="K2247">
        <v>0</v>
      </c>
      <c r="L2247">
        <v>3</v>
      </c>
      <c r="M2247">
        <v>0</v>
      </c>
      <c r="N2247">
        <v>2</v>
      </c>
      <c r="O2247">
        <v>1</v>
      </c>
      <c r="P2247">
        <v>0</v>
      </c>
      <c r="Q2247">
        <v>0</v>
      </c>
      <c r="R2247" t="s">
        <v>112</v>
      </c>
      <c r="S2247" t="str">
        <f>"14:27:47.820"</f>
        <v>14:27:47.820</v>
      </c>
      <c r="T2247" t="str">
        <f>"14:27:47.422"</f>
        <v>14:27:47.422</v>
      </c>
      <c r="U2247" t="str">
        <f t="shared" si="105"/>
        <v>ad5732</v>
      </c>
      <c r="V2247">
        <v>0</v>
      </c>
      <c r="W2247">
        <v>0</v>
      </c>
      <c r="X2247">
        <v>1</v>
      </c>
      <c r="Z2247">
        <v>0</v>
      </c>
      <c r="AA2247">
        <v>9</v>
      </c>
      <c r="AB2247">
        <v>3</v>
      </c>
      <c r="AC2247">
        <v>0</v>
      </c>
      <c r="AD2247">
        <v>10</v>
      </c>
      <c r="AE2247">
        <v>0</v>
      </c>
      <c r="AF2247">
        <v>3</v>
      </c>
      <c r="AG2247">
        <v>2</v>
      </c>
      <c r="AH2247">
        <v>0</v>
      </c>
      <c r="AI2247" t="s">
        <v>4601</v>
      </c>
      <c r="AJ2247">
        <v>39.939165000000003</v>
      </c>
      <c r="AK2247" t="s">
        <v>4602</v>
      </c>
      <c r="AL2247">
        <v>-75.639173999999997</v>
      </c>
      <c r="AM2247">
        <v>100</v>
      </c>
      <c r="AN2247">
        <v>4700</v>
      </c>
      <c r="AO2247" t="s">
        <v>115</v>
      </c>
      <c r="AP2247">
        <v>135</v>
      </c>
      <c r="AQ2247">
        <v>118</v>
      </c>
      <c r="AR2247">
        <v>0</v>
      </c>
      <c r="AZ2247">
        <v>3614</v>
      </c>
      <c r="BA2247">
        <v>1</v>
      </c>
      <c r="BB2247" t="str">
        <f t="shared" si="104"/>
        <v xml:space="preserve">N959MJ  </v>
      </c>
      <c r="BC2247">
        <v>1</v>
      </c>
      <c r="BE2247">
        <v>0</v>
      </c>
      <c r="BF2247">
        <v>0</v>
      </c>
      <c r="BG2247">
        <v>0</v>
      </c>
      <c r="BH2247">
        <v>4900</v>
      </c>
      <c r="BI2247">
        <v>200</v>
      </c>
      <c r="BJ2247">
        <v>1</v>
      </c>
      <c r="BK2247">
        <v>1</v>
      </c>
      <c r="BL2247">
        <v>1</v>
      </c>
      <c r="BM2247">
        <v>0</v>
      </c>
      <c r="BP2247">
        <v>0</v>
      </c>
      <c r="BQ2247">
        <v>0</v>
      </c>
      <c r="BX2247" t="str">
        <f>"14:27:47.820"</f>
        <v>14:27:47.820</v>
      </c>
      <c r="BY2247" t="str">
        <f>"822131849"</f>
        <v>822131849</v>
      </c>
      <c r="CL2247">
        <v>0</v>
      </c>
      <c r="CM2247">
        <v>2</v>
      </c>
      <c r="CN2247">
        <v>0</v>
      </c>
      <c r="CO2247">
        <v>2</v>
      </c>
      <c r="CP2247">
        <v>0</v>
      </c>
      <c r="CQ2247">
        <v>7</v>
      </c>
      <c r="CR2247" t="s">
        <v>116</v>
      </c>
      <c r="CS2247">
        <v>39</v>
      </c>
      <c r="CT2247">
        <v>2</v>
      </c>
      <c r="CU2247" t="s">
        <v>2259</v>
      </c>
      <c r="CV2247" t="s">
        <v>2260</v>
      </c>
      <c r="CY2247">
        <v>119028</v>
      </c>
      <c r="CZ2247" t="s">
        <v>119</v>
      </c>
    </row>
    <row r="2248" spans="1:104" x14ac:dyDescent="0.25">
      <c r="A2248" t="str">
        <f>"14:27:49.141"</f>
        <v>14:27:49.141</v>
      </c>
      <c r="B2248" t="s">
        <v>108</v>
      </c>
      <c r="C2248" t="str">
        <f t="shared" si="103"/>
        <v>ffdfd3c0</v>
      </c>
      <c r="D2248" t="s">
        <v>109</v>
      </c>
      <c r="E2248">
        <v>4</v>
      </c>
      <c r="F2248">
        <v>1004</v>
      </c>
      <c r="G2248" t="s">
        <v>110</v>
      </c>
      <c r="J2248" t="s">
        <v>111</v>
      </c>
      <c r="K2248">
        <v>0</v>
      </c>
      <c r="L2248">
        <v>3</v>
      </c>
      <c r="M2248">
        <v>0</v>
      </c>
      <c r="N2248">
        <v>2</v>
      </c>
      <c r="O2248">
        <v>1</v>
      </c>
      <c r="P2248">
        <v>0</v>
      </c>
      <c r="Q2248">
        <v>0</v>
      </c>
      <c r="R2248" t="s">
        <v>112</v>
      </c>
      <c r="S2248" t="str">
        <f>"14:27:48.969"</f>
        <v>14:27:48.969</v>
      </c>
      <c r="T2248" t="str">
        <f>"14:27:48.469"</f>
        <v>14:27:48.469</v>
      </c>
      <c r="U2248" t="str">
        <f t="shared" si="105"/>
        <v>ad5732</v>
      </c>
      <c r="V2248">
        <v>0</v>
      </c>
      <c r="W2248">
        <v>0</v>
      </c>
      <c r="X2248">
        <v>1</v>
      </c>
      <c r="Z2248">
        <v>0</v>
      </c>
      <c r="AA2248">
        <v>9</v>
      </c>
      <c r="AB2248">
        <v>3</v>
      </c>
      <c r="AC2248">
        <v>0</v>
      </c>
      <c r="AD2248">
        <v>10</v>
      </c>
      <c r="AE2248">
        <v>0</v>
      </c>
      <c r="AF2248">
        <v>3</v>
      </c>
      <c r="AG2248">
        <v>2</v>
      </c>
      <c r="AH2248">
        <v>0</v>
      </c>
      <c r="AI2248" t="s">
        <v>4603</v>
      </c>
      <c r="AJ2248">
        <v>39.939787000000003</v>
      </c>
      <c r="AK2248" t="s">
        <v>4604</v>
      </c>
      <c r="AL2248">
        <v>-75.638316000000003</v>
      </c>
      <c r="AM2248">
        <v>100</v>
      </c>
      <c r="AN2248">
        <v>4700</v>
      </c>
      <c r="AO2248" t="s">
        <v>115</v>
      </c>
      <c r="AP2248">
        <v>135</v>
      </c>
      <c r="AQ2248">
        <v>118</v>
      </c>
      <c r="AR2248">
        <v>64</v>
      </c>
      <c r="AZ2248">
        <v>3614</v>
      </c>
      <c r="BA2248">
        <v>1</v>
      </c>
      <c r="BB2248" t="str">
        <f t="shared" si="104"/>
        <v xml:space="preserve">N959MJ  </v>
      </c>
      <c r="BC2248">
        <v>1</v>
      </c>
      <c r="BE2248">
        <v>0</v>
      </c>
      <c r="BF2248">
        <v>0</v>
      </c>
      <c r="BG2248">
        <v>0</v>
      </c>
      <c r="BH2248">
        <v>4900</v>
      </c>
      <c r="BI2248">
        <v>200</v>
      </c>
      <c r="BJ2248">
        <v>1</v>
      </c>
      <c r="BK2248">
        <v>1</v>
      </c>
      <c r="BL2248">
        <v>1</v>
      </c>
      <c r="BM2248">
        <v>0</v>
      </c>
      <c r="BP2248">
        <v>0</v>
      </c>
      <c r="BQ2248">
        <v>0</v>
      </c>
      <c r="BX2248" t="str">
        <f>"14:27:48.969"</f>
        <v>14:27:48.969</v>
      </c>
      <c r="BY2248" t="str">
        <f>"970669752"</f>
        <v>970669752</v>
      </c>
      <c r="CL2248">
        <v>0</v>
      </c>
      <c r="CM2248">
        <v>2</v>
      </c>
      <c r="CN2248">
        <v>0</v>
      </c>
      <c r="CO2248">
        <v>2</v>
      </c>
      <c r="CP2248">
        <v>0</v>
      </c>
      <c r="CQ2248">
        <v>7</v>
      </c>
      <c r="CR2248" t="s">
        <v>116</v>
      </c>
      <c r="CS2248">
        <v>39</v>
      </c>
      <c r="CT2248">
        <v>2</v>
      </c>
      <c r="CU2248" t="s">
        <v>2259</v>
      </c>
      <c r="CV2248" t="s">
        <v>2260</v>
      </c>
      <c r="CY2248">
        <v>121184</v>
      </c>
      <c r="CZ2248" t="s">
        <v>119</v>
      </c>
    </row>
    <row r="2249" spans="1:104" x14ac:dyDescent="0.25">
      <c r="A2249" t="str">
        <f>"14:27:50.148"</f>
        <v>14:27:50.148</v>
      </c>
      <c r="B2249" t="s">
        <v>108</v>
      </c>
      <c r="C2249" t="str">
        <f t="shared" si="103"/>
        <v>ffdfd3c0</v>
      </c>
      <c r="D2249" t="s">
        <v>109</v>
      </c>
      <c r="E2249">
        <v>4</v>
      </c>
      <c r="F2249">
        <v>1004</v>
      </c>
      <c r="G2249" t="s">
        <v>110</v>
      </c>
      <c r="J2249" t="s">
        <v>111</v>
      </c>
      <c r="K2249">
        <v>0</v>
      </c>
      <c r="L2249">
        <v>3</v>
      </c>
      <c r="M2249">
        <v>0</v>
      </c>
      <c r="N2249">
        <v>2</v>
      </c>
      <c r="O2249">
        <v>1</v>
      </c>
      <c r="P2249">
        <v>0</v>
      </c>
      <c r="Q2249">
        <v>0</v>
      </c>
      <c r="R2249" t="s">
        <v>112</v>
      </c>
      <c r="S2249" t="str">
        <f>"14:27:49.984"</f>
        <v>14:27:49.984</v>
      </c>
      <c r="T2249" t="str">
        <f>"14:27:49.484"</f>
        <v>14:27:49.484</v>
      </c>
      <c r="U2249" t="str">
        <f t="shared" si="105"/>
        <v>ad5732</v>
      </c>
      <c r="V2249">
        <v>0</v>
      </c>
      <c r="W2249">
        <v>0</v>
      </c>
      <c r="X2249">
        <v>1</v>
      </c>
      <c r="Z2249">
        <v>0</v>
      </c>
      <c r="AA2249">
        <v>9</v>
      </c>
      <c r="AB2249">
        <v>3</v>
      </c>
      <c r="AC2249">
        <v>0</v>
      </c>
      <c r="AD2249">
        <v>10</v>
      </c>
      <c r="AE2249">
        <v>0</v>
      </c>
      <c r="AF2249">
        <v>3</v>
      </c>
      <c r="AG2249">
        <v>2</v>
      </c>
      <c r="AH2249">
        <v>0</v>
      </c>
      <c r="AI2249" t="s">
        <v>4605</v>
      </c>
      <c r="AJ2249">
        <v>39.940345000000001</v>
      </c>
      <c r="AK2249" t="s">
        <v>4606</v>
      </c>
      <c r="AL2249">
        <v>-75.637456999999998</v>
      </c>
      <c r="AM2249">
        <v>100</v>
      </c>
      <c r="AN2249">
        <v>4700</v>
      </c>
      <c r="AO2249" t="s">
        <v>115</v>
      </c>
      <c r="AP2249">
        <v>135</v>
      </c>
      <c r="AQ2249">
        <v>118</v>
      </c>
      <c r="AR2249">
        <v>64</v>
      </c>
      <c r="AZ2249">
        <v>3614</v>
      </c>
      <c r="BA2249">
        <v>1</v>
      </c>
      <c r="BB2249" t="str">
        <f t="shared" si="104"/>
        <v xml:space="preserve">N959MJ  </v>
      </c>
      <c r="BC2249">
        <v>1</v>
      </c>
      <c r="BE2249">
        <v>0</v>
      </c>
      <c r="BF2249">
        <v>0</v>
      </c>
      <c r="BG2249">
        <v>0</v>
      </c>
      <c r="BH2249">
        <v>4900</v>
      </c>
      <c r="BI2249">
        <v>200</v>
      </c>
      <c r="BJ2249">
        <v>1</v>
      </c>
      <c r="BK2249">
        <v>1</v>
      </c>
      <c r="BL2249">
        <v>1</v>
      </c>
      <c r="BM2249">
        <v>0</v>
      </c>
      <c r="BP2249">
        <v>0</v>
      </c>
      <c r="BQ2249">
        <v>0</v>
      </c>
      <c r="BX2249" t="str">
        <f>"14:27:49.984"</f>
        <v>14:27:49.984</v>
      </c>
      <c r="BY2249" t="str">
        <f>"988133384"</f>
        <v>988133384</v>
      </c>
      <c r="CL2249">
        <v>0</v>
      </c>
      <c r="CM2249">
        <v>2</v>
      </c>
      <c r="CN2249">
        <v>0</v>
      </c>
      <c r="CO2249">
        <v>2</v>
      </c>
      <c r="CP2249">
        <v>0</v>
      </c>
      <c r="CQ2249">
        <v>7</v>
      </c>
      <c r="CR2249" t="s">
        <v>116</v>
      </c>
      <c r="CS2249">
        <v>39</v>
      </c>
      <c r="CT2249">
        <v>2</v>
      </c>
      <c r="CU2249" t="s">
        <v>2259</v>
      </c>
      <c r="CV2249" t="s">
        <v>2260</v>
      </c>
      <c r="CY2249">
        <v>122850</v>
      </c>
      <c r="CZ2249" t="s">
        <v>119</v>
      </c>
    </row>
    <row r="2250" spans="1:104" x14ac:dyDescent="0.25">
      <c r="A2250" t="str">
        <f>"14:27:51.063"</f>
        <v>14:27:51.063</v>
      </c>
      <c r="B2250" t="s">
        <v>108</v>
      </c>
      <c r="C2250" t="str">
        <f t="shared" ref="C2250:C2313" si="106">"ffdfd3c0"</f>
        <v>ffdfd3c0</v>
      </c>
      <c r="D2250" t="s">
        <v>109</v>
      </c>
      <c r="E2250">
        <v>4</v>
      </c>
      <c r="F2250">
        <v>1004</v>
      </c>
      <c r="G2250" t="s">
        <v>110</v>
      </c>
      <c r="J2250" t="s">
        <v>111</v>
      </c>
      <c r="K2250">
        <v>0</v>
      </c>
      <c r="L2250">
        <v>3</v>
      </c>
      <c r="M2250">
        <v>0</v>
      </c>
      <c r="N2250">
        <v>2</v>
      </c>
      <c r="O2250">
        <v>1</v>
      </c>
      <c r="P2250">
        <v>0</v>
      </c>
      <c r="Q2250">
        <v>0</v>
      </c>
      <c r="R2250" t="s">
        <v>112</v>
      </c>
      <c r="S2250" t="str">
        <f>"14:27:50.852"</f>
        <v>14:27:50.852</v>
      </c>
      <c r="T2250" t="str">
        <f>"14:27:50.453"</f>
        <v>14:27:50.453</v>
      </c>
      <c r="U2250" t="str">
        <f t="shared" si="105"/>
        <v>ad5732</v>
      </c>
      <c r="V2250">
        <v>0</v>
      </c>
      <c r="W2250">
        <v>0</v>
      </c>
      <c r="X2250">
        <v>1</v>
      </c>
      <c r="Z2250">
        <v>0</v>
      </c>
      <c r="AA2250">
        <v>9</v>
      </c>
      <c r="AB2250">
        <v>3</v>
      </c>
      <c r="AC2250">
        <v>0</v>
      </c>
      <c r="AD2250">
        <v>10</v>
      </c>
      <c r="AE2250">
        <v>0</v>
      </c>
      <c r="AF2250">
        <v>3</v>
      </c>
      <c r="AG2250">
        <v>2</v>
      </c>
      <c r="AH2250">
        <v>0</v>
      </c>
      <c r="AI2250" t="s">
        <v>4607</v>
      </c>
      <c r="AJ2250">
        <v>39.940795999999999</v>
      </c>
      <c r="AK2250" t="s">
        <v>4608</v>
      </c>
      <c r="AL2250">
        <v>-75.636748999999995</v>
      </c>
      <c r="AM2250">
        <v>100</v>
      </c>
      <c r="AN2250">
        <v>4700</v>
      </c>
      <c r="AO2250" t="s">
        <v>115</v>
      </c>
      <c r="AP2250">
        <v>134</v>
      </c>
      <c r="AQ2250">
        <v>118</v>
      </c>
      <c r="AR2250">
        <v>0</v>
      </c>
      <c r="AZ2250">
        <v>3614</v>
      </c>
      <c r="BA2250">
        <v>1</v>
      </c>
      <c r="BB2250" t="str">
        <f t="shared" ref="BB2250:BB2313" si="107">"N959MJ  "</f>
        <v xml:space="preserve">N959MJ  </v>
      </c>
      <c r="BC2250">
        <v>1</v>
      </c>
      <c r="BE2250">
        <v>0</v>
      </c>
      <c r="BF2250">
        <v>0</v>
      </c>
      <c r="BG2250">
        <v>0</v>
      </c>
      <c r="BH2250">
        <v>4900</v>
      </c>
      <c r="BI2250">
        <v>200</v>
      </c>
      <c r="BJ2250">
        <v>1</v>
      </c>
      <c r="BK2250">
        <v>1</v>
      </c>
      <c r="BL2250">
        <v>1</v>
      </c>
      <c r="BM2250">
        <v>0</v>
      </c>
      <c r="BP2250">
        <v>0</v>
      </c>
      <c r="BQ2250">
        <v>0</v>
      </c>
      <c r="BX2250" t="str">
        <f>"14:27:50.852"</f>
        <v>14:27:50.852</v>
      </c>
      <c r="BY2250" t="str">
        <f>"853223189"</f>
        <v>853223189</v>
      </c>
      <c r="CL2250">
        <v>0</v>
      </c>
      <c r="CM2250">
        <v>2</v>
      </c>
      <c r="CN2250">
        <v>0</v>
      </c>
      <c r="CO2250">
        <v>2</v>
      </c>
      <c r="CP2250">
        <v>0</v>
      </c>
      <c r="CQ2250">
        <v>7</v>
      </c>
      <c r="CR2250" t="s">
        <v>116</v>
      </c>
      <c r="CS2250">
        <v>39</v>
      </c>
      <c r="CT2250">
        <v>2</v>
      </c>
      <c r="CU2250" t="s">
        <v>2259</v>
      </c>
      <c r="CV2250" t="s">
        <v>2260</v>
      </c>
      <c r="CY2250">
        <v>124247</v>
      </c>
      <c r="CZ2250" t="s">
        <v>119</v>
      </c>
    </row>
    <row r="2251" spans="1:104" x14ac:dyDescent="0.25">
      <c r="A2251" t="str">
        <f>"14:27:52.016"</f>
        <v>14:27:52.016</v>
      </c>
      <c r="B2251" t="s">
        <v>108</v>
      </c>
      <c r="C2251" t="str">
        <f t="shared" si="106"/>
        <v>ffdfd3c0</v>
      </c>
      <c r="D2251" t="s">
        <v>109</v>
      </c>
      <c r="E2251">
        <v>4</v>
      </c>
      <c r="F2251">
        <v>1004</v>
      </c>
      <c r="G2251" t="s">
        <v>110</v>
      </c>
      <c r="J2251" t="s">
        <v>111</v>
      </c>
      <c r="K2251">
        <v>0</v>
      </c>
      <c r="L2251">
        <v>3</v>
      </c>
      <c r="M2251">
        <v>0</v>
      </c>
      <c r="N2251">
        <v>2</v>
      </c>
      <c r="O2251">
        <v>1</v>
      </c>
      <c r="P2251">
        <v>0</v>
      </c>
      <c r="Q2251">
        <v>0</v>
      </c>
      <c r="R2251" t="s">
        <v>112</v>
      </c>
      <c r="S2251" t="str">
        <f>"14:27:51.820"</f>
        <v>14:27:51.820</v>
      </c>
      <c r="T2251" t="str">
        <f>"14:27:51.422"</f>
        <v>14:27:51.422</v>
      </c>
      <c r="U2251" t="str">
        <f t="shared" si="105"/>
        <v>ad5732</v>
      </c>
      <c r="V2251">
        <v>0</v>
      </c>
      <c r="W2251">
        <v>0</v>
      </c>
      <c r="X2251">
        <v>1</v>
      </c>
      <c r="Z2251">
        <v>0</v>
      </c>
      <c r="AA2251">
        <v>9</v>
      </c>
      <c r="AB2251">
        <v>3</v>
      </c>
      <c r="AC2251">
        <v>0</v>
      </c>
      <c r="AD2251">
        <v>10</v>
      </c>
      <c r="AE2251">
        <v>0</v>
      </c>
      <c r="AF2251">
        <v>3</v>
      </c>
      <c r="AG2251">
        <v>2</v>
      </c>
      <c r="AH2251">
        <v>0</v>
      </c>
      <c r="AI2251" t="s">
        <v>4609</v>
      </c>
      <c r="AJ2251">
        <v>39.941353999999997</v>
      </c>
      <c r="AK2251" t="s">
        <v>4610</v>
      </c>
      <c r="AL2251">
        <v>-75.635934000000006</v>
      </c>
      <c r="AM2251">
        <v>100</v>
      </c>
      <c r="AN2251">
        <v>4700</v>
      </c>
      <c r="AO2251" t="s">
        <v>115</v>
      </c>
      <c r="AP2251">
        <v>134</v>
      </c>
      <c r="AQ2251">
        <v>119</v>
      </c>
      <c r="AR2251">
        <v>64</v>
      </c>
      <c r="AZ2251">
        <v>3614</v>
      </c>
      <c r="BA2251">
        <v>1</v>
      </c>
      <c r="BB2251" t="str">
        <f t="shared" si="107"/>
        <v xml:space="preserve">N959MJ  </v>
      </c>
      <c r="BC2251">
        <v>1</v>
      </c>
      <c r="BE2251">
        <v>0</v>
      </c>
      <c r="BF2251">
        <v>0</v>
      </c>
      <c r="BG2251">
        <v>0</v>
      </c>
      <c r="BH2251">
        <v>4900</v>
      </c>
      <c r="BI2251">
        <v>200</v>
      </c>
      <c r="BJ2251">
        <v>1</v>
      </c>
      <c r="BK2251">
        <v>1</v>
      </c>
      <c r="BL2251">
        <v>1</v>
      </c>
      <c r="BM2251">
        <v>0</v>
      </c>
      <c r="BP2251">
        <v>0</v>
      </c>
      <c r="BQ2251">
        <v>0</v>
      </c>
      <c r="BX2251" t="str">
        <f>"14:27:51.828"</f>
        <v>14:27:51.828</v>
      </c>
      <c r="BY2251" t="str">
        <f>"826449699"</f>
        <v>826449699</v>
      </c>
      <c r="CL2251">
        <v>0</v>
      </c>
      <c r="CM2251">
        <v>2</v>
      </c>
      <c r="CN2251">
        <v>0</v>
      </c>
      <c r="CO2251">
        <v>2</v>
      </c>
      <c r="CP2251">
        <v>0</v>
      </c>
      <c r="CQ2251">
        <v>7</v>
      </c>
      <c r="CR2251" t="s">
        <v>116</v>
      </c>
      <c r="CS2251">
        <v>39</v>
      </c>
      <c r="CT2251">
        <v>2</v>
      </c>
      <c r="CU2251" t="s">
        <v>2259</v>
      </c>
      <c r="CV2251" t="s">
        <v>2260</v>
      </c>
      <c r="CY2251">
        <v>125789</v>
      </c>
      <c r="CZ2251" t="s">
        <v>119</v>
      </c>
    </row>
    <row r="2252" spans="1:104" x14ac:dyDescent="0.25">
      <c r="A2252" t="str">
        <f>"14:27:53.133"</f>
        <v>14:27:53.133</v>
      </c>
      <c r="B2252" t="s">
        <v>108</v>
      </c>
      <c r="C2252" t="str">
        <f t="shared" si="106"/>
        <v>ffdfd3c0</v>
      </c>
      <c r="D2252" t="s">
        <v>109</v>
      </c>
      <c r="E2252">
        <v>4</v>
      </c>
      <c r="F2252">
        <v>1004</v>
      </c>
      <c r="G2252" t="s">
        <v>110</v>
      </c>
      <c r="J2252" t="s">
        <v>111</v>
      </c>
      <c r="K2252">
        <v>0</v>
      </c>
      <c r="L2252">
        <v>3</v>
      </c>
      <c r="M2252">
        <v>0</v>
      </c>
      <c r="N2252">
        <v>2</v>
      </c>
      <c r="O2252">
        <v>1</v>
      </c>
      <c r="P2252">
        <v>0</v>
      </c>
      <c r="Q2252">
        <v>0</v>
      </c>
      <c r="R2252" t="s">
        <v>112</v>
      </c>
      <c r="S2252" t="str">
        <f>"14:27:52.961"</f>
        <v>14:27:52.961</v>
      </c>
      <c r="T2252" t="str">
        <f>"14:27:52.461"</f>
        <v>14:27:52.461</v>
      </c>
      <c r="U2252" t="str">
        <f t="shared" si="105"/>
        <v>ad5732</v>
      </c>
      <c r="V2252">
        <v>0</v>
      </c>
      <c r="W2252">
        <v>0</v>
      </c>
      <c r="X2252">
        <v>1</v>
      </c>
      <c r="Z2252">
        <v>0</v>
      </c>
      <c r="AA2252">
        <v>9</v>
      </c>
      <c r="AB2252">
        <v>3</v>
      </c>
      <c r="AC2252">
        <v>0</v>
      </c>
      <c r="AD2252">
        <v>10</v>
      </c>
      <c r="AE2252">
        <v>0</v>
      </c>
      <c r="AF2252">
        <v>3</v>
      </c>
      <c r="AG2252">
        <v>2</v>
      </c>
      <c r="AH2252">
        <v>0</v>
      </c>
      <c r="AI2252" t="s">
        <v>4611</v>
      </c>
      <c r="AJ2252">
        <v>39.941975999999997</v>
      </c>
      <c r="AK2252" t="s">
        <v>4612</v>
      </c>
      <c r="AL2252">
        <v>-75.635075999999998</v>
      </c>
      <c r="AM2252">
        <v>100</v>
      </c>
      <c r="AN2252">
        <v>4700</v>
      </c>
      <c r="AO2252" t="s">
        <v>115</v>
      </c>
      <c r="AP2252">
        <v>134</v>
      </c>
      <c r="AQ2252">
        <v>119</v>
      </c>
      <c r="AR2252">
        <v>0</v>
      </c>
      <c r="AZ2252">
        <v>3614</v>
      </c>
      <c r="BA2252">
        <v>1</v>
      </c>
      <c r="BB2252" t="str">
        <f t="shared" si="107"/>
        <v xml:space="preserve">N959MJ  </v>
      </c>
      <c r="BC2252">
        <v>1</v>
      </c>
      <c r="BE2252">
        <v>0</v>
      </c>
      <c r="BF2252">
        <v>0</v>
      </c>
      <c r="BG2252">
        <v>0</v>
      </c>
      <c r="BH2252">
        <v>4900</v>
      </c>
      <c r="BI2252">
        <v>200</v>
      </c>
      <c r="BJ2252">
        <v>1</v>
      </c>
      <c r="BK2252">
        <v>1</v>
      </c>
      <c r="BL2252">
        <v>1</v>
      </c>
      <c r="BM2252">
        <v>0</v>
      </c>
      <c r="BP2252">
        <v>0</v>
      </c>
      <c r="BQ2252">
        <v>0</v>
      </c>
      <c r="BX2252" t="str">
        <f>"14:27:52.969"</f>
        <v>14:27:52.969</v>
      </c>
      <c r="BY2252" t="str">
        <f>"965373543"</f>
        <v>965373543</v>
      </c>
      <c r="CL2252">
        <v>0</v>
      </c>
      <c r="CM2252">
        <v>2</v>
      </c>
      <c r="CN2252">
        <v>0</v>
      </c>
      <c r="CO2252">
        <v>2</v>
      </c>
      <c r="CP2252">
        <v>0</v>
      </c>
      <c r="CQ2252">
        <v>5</v>
      </c>
      <c r="CR2252" t="s">
        <v>116</v>
      </c>
      <c r="CS2252">
        <v>40</v>
      </c>
      <c r="CT2252">
        <v>2</v>
      </c>
      <c r="CU2252" t="s">
        <v>2685</v>
      </c>
      <c r="CV2252" t="s">
        <v>2686</v>
      </c>
      <c r="CY2252">
        <v>16699999</v>
      </c>
      <c r="CZ2252" t="s">
        <v>119</v>
      </c>
    </row>
    <row r="2253" spans="1:104" x14ac:dyDescent="0.25">
      <c r="A2253" t="str">
        <f>"14:27:54.289"</f>
        <v>14:27:54.289</v>
      </c>
      <c r="B2253" t="s">
        <v>108</v>
      </c>
      <c r="C2253" t="str">
        <f t="shared" si="106"/>
        <v>ffdfd3c0</v>
      </c>
      <c r="D2253" t="s">
        <v>109</v>
      </c>
      <c r="E2253">
        <v>4</v>
      </c>
      <c r="F2253">
        <v>1004</v>
      </c>
      <c r="G2253" t="s">
        <v>110</v>
      </c>
      <c r="J2253" t="s">
        <v>111</v>
      </c>
      <c r="K2253">
        <v>0</v>
      </c>
      <c r="L2253">
        <v>3</v>
      </c>
      <c r="M2253">
        <v>0</v>
      </c>
      <c r="N2253">
        <v>2</v>
      </c>
      <c r="O2253">
        <v>1</v>
      </c>
      <c r="P2253">
        <v>0</v>
      </c>
      <c r="Q2253">
        <v>0</v>
      </c>
      <c r="R2253" t="s">
        <v>112</v>
      </c>
      <c r="S2253" t="str">
        <f>"14:27:54.086"</f>
        <v>14:27:54.086</v>
      </c>
      <c r="T2253" t="str">
        <f>"14:27:53.586"</f>
        <v>14:27:53.586</v>
      </c>
      <c r="U2253" t="str">
        <f t="shared" si="105"/>
        <v>ad5732</v>
      </c>
      <c r="V2253">
        <v>0</v>
      </c>
      <c r="W2253">
        <v>0</v>
      </c>
      <c r="X2253">
        <v>1</v>
      </c>
      <c r="Z2253">
        <v>0</v>
      </c>
      <c r="AA2253">
        <v>9</v>
      </c>
      <c r="AB2253">
        <v>3</v>
      </c>
      <c r="AC2253">
        <v>0</v>
      </c>
      <c r="AD2253">
        <v>10</v>
      </c>
      <c r="AE2253">
        <v>0</v>
      </c>
      <c r="AF2253">
        <v>3</v>
      </c>
      <c r="AG2253">
        <v>2</v>
      </c>
      <c r="AH2253">
        <v>0</v>
      </c>
      <c r="AI2253" t="s">
        <v>4613</v>
      </c>
      <c r="AJ2253">
        <v>39.942554999999999</v>
      </c>
      <c r="AK2253" t="s">
        <v>4614</v>
      </c>
      <c r="AL2253">
        <v>-75.634196000000003</v>
      </c>
      <c r="AM2253">
        <v>100</v>
      </c>
      <c r="AN2253">
        <v>4700</v>
      </c>
      <c r="AO2253" t="s">
        <v>115</v>
      </c>
      <c r="AP2253">
        <v>134</v>
      </c>
      <c r="AQ2253">
        <v>119</v>
      </c>
      <c r="AR2253">
        <v>0</v>
      </c>
      <c r="AZ2253">
        <v>3614</v>
      </c>
      <c r="BA2253">
        <v>1</v>
      </c>
      <c r="BB2253" t="str">
        <f t="shared" si="107"/>
        <v xml:space="preserve">N959MJ  </v>
      </c>
      <c r="BC2253">
        <v>1</v>
      </c>
      <c r="BE2253">
        <v>0</v>
      </c>
      <c r="BF2253">
        <v>0</v>
      </c>
      <c r="BG2253">
        <v>0</v>
      </c>
      <c r="BH2253">
        <v>4900</v>
      </c>
      <c r="BI2253">
        <v>200</v>
      </c>
      <c r="BJ2253">
        <v>1</v>
      </c>
      <c r="BK2253">
        <v>1</v>
      </c>
      <c r="BL2253">
        <v>1</v>
      </c>
      <c r="BM2253">
        <v>0</v>
      </c>
      <c r="BP2253">
        <v>0</v>
      </c>
      <c r="BQ2253">
        <v>0</v>
      </c>
      <c r="BX2253" t="str">
        <f>"14:27:54.094"</f>
        <v>14:27:54.094</v>
      </c>
      <c r="BY2253" t="str">
        <f>"090756454"</f>
        <v>090756454</v>
      </c>
      <c r="CL2253">
        <v>0</v>
      </c>
      <c r="CM2253">
        <v>2</v>
      </c>
      <c r="CN2253">
        <v>0</v>
      </c>
      <c r="CO2253">
        <v>2</v>
      </c>
      <c r="CP2253">
        <v>0</v>
      </c>
      <c r="CQ2253">
        <v>7</v>
      </c>
      <c r="CR2253" t="s">
        <v>116</v>
      </c>
      <c r="CS2253">
        <v>39</v>
      </c>
      <c r="CT2253">
        <v>2</v>
      </c>
      <c r="CU2253" t="s">
        <v>2259</v>
      </c>
      <c r="CV2253" t="s">
        <v>2260</v>
      </c>
      <c r="CY2253">
        <v>129764</v>
      </c>
      <c r="CZ2253" t="s">
        <v>119</v>
      </c>
    </row>
    <row r="2254" spans="1:104" x14ac:dyDescent="0.25">
      <c r="A2254" t="str">
        <f>"14:27:55.297"</f>
        <v>14:27:55.297</v>
      </c>
      <c r="B2254" t="s">
        <v>108</v>
      </c>
      <c r="C2254" t="str">
        <f t="shared" si="106"/>
        <v>ffdfd3c0</v>
      </c>
      <c r="D2254" t="s">
        <v>109</v>
      </c>
      <c r="E2254">
        <v>4</v>
      </c>
      <c r="F2254">
        <v>1004</v>
      </c>
      <c r="G2254" t="s">
        <v>110</v>
      </c>
      <c r="J2254" t="s">
        <v>111</v>
      </c>
      <c r="K2254">
        <v>0</v>
      </c>
      <c r="L2254">
        <v>3</v>
      </c>
      <c r="M2254">
        <v>0</v>
      </c>
      <c r="N2254">
        <v>2</v>
      </c>
      <c r="O2254">
        <v>1</v>
      </c>
      <c r="P2254">
        <v>0</v>
      </c>
      <c r="Q2254">
        <v>0</v>
      </c>
      <c r="R2254" t="s">
        <v>112</v>
      </c>
      <c r="S2254" t="str">
        <f>"14:27:55.094"</f>
        <v>14:27:55.094</v>
      </c>
      <c r="T2254" t="str">
        <f>"14:27:54.695"</f>
        <v>14:27:54.695</v>
      </c>
      <c r="U2254" t="str">
        <f t="shared" si="105"/>
        <v>ad5732</v>
      </c>
      <c r="V2254">
        <v>0</v>
      </c>
      <c r="W2254">
        <v>0</v>
      </c>
      <c r="X2254">
        <v>1</v>
      </c>
      <c r="Z2254">
        <v>0</v>
      </c>
      <c r="AA2254">
        <v>9</v>
      </c>
      <c r="AB2254">
        <v>3</v>
      </c>
      <c r="AC2254">
        <v>0</v>
      </c>
      <c r="AD2254">
        <v>10</v>
      </c>
      <c r="AE2254">
        <v>0</v>
      </c>
      <c r="AF2254">
        <v>3</v>
      </c>
      <c r="AG2254">
        <v>2</v>
      </c>
      <c r="AH2254">
        <v>0</v>
      </c>
      <c r="AI2254" t="s">
        <v>4615</v>
      </c>
      <c r="AJ2254">
        <v>39.943112999999997</v>
      </c>
      <c r="AK2254" t="s">
        <v>4616</v>
      </c>
      <c r="AL2254">
        <v>-75.633380000000002</v>
      </c>
      <c r="AM2254">
        <v>100</v>
      </c>
      <c r="AN2254">
        <v>4700</v>
      </c>
      <c r="AO2254" t="s">
        <v>115</v>
      </c>
      <c r="AP2254">
        <v>134</v>
      </c>
      <c r="AQ2254">
        <v>120</v>
      </c>
      <c r="AR2254">
        <v>-64</v>
      </c>
      <c r="AZ2254">
        <v>3614</v>
      </c>
      <c r="BA2254">
        <v>1</v>
      </c>
      <c r="BB2254" t="str">
        <f t="shared" si="107"/>
        <v xml:space="preserve">N959MJ  </v>
      </c>
      <c r="BC2254">
        <v>1</v>
      </c>
      <c r="BE2254">
        <v>0</v>
      </c>
      <c r="BF2254">
        <v>0</v>
      </c>
      <c r="BG2254">
        <v>0</v>
      </c>
      <c r="BH2254">
        <v>4900</v>
      </c>
      <c r="BI2254">
        <v>200</v>
      </c>
      <c r="BJ2254">
        <v>1</v>
      </c>
      <c r="BK2254">
        <v>1</v>
      </c>
      <c r="BL2254">
        <v>1</v>
      </c>
      <c r="BM2254">
        <v>0</v>
      </c>
      <c r="BP2254">
        <v>0</v>
      </c>
      <c r="BQ2254">
        <v>0</v>
      </c>
      <c r="BX2254" t="str">
        <f>"14:27:55.094"</f>
        <v>14:27:55.094</v>
      </c>
      <c r="BY2254" t="str">
        <f>"096751091"</f>
        <v>096751091</v>
      </c>
      <c r="CL2254">
        <v>0</v>
      </c>
      <c r="CM2254">
        <v>2</v>
      </c>
      <c r="CN2254">
        <v>0</v>
      </c>
      <c r="CO2254">
        <v>2</v>
      </c>
      <c r="CP2254">
        <v>0</v>
      </c>
      <c r="CQ2254">
        <v>7</v>
      </c>
      <c r="CR2254" t="s">
        <v>116</v>
      </c>
      <c r="CS2254">
        <v>39</v>
      </c>
      <c r="CT2254">
        <v>2</v>
      </c>
      <c r="CU2254" t="s">
        <v>2259</v>
      </c>
      <c r="CV2254" t="s">
        <v>2260</v>
      </c>
      <c r="CY2254">
        <v>131386</v>
      </c>
      <c r="CZ2254" t="s">
        <v>119</v>
      </c>
    </row>
    <row r="2255" spans="1:104" x14ac:dyDescent="0.25">
      <c r="A2255" t="str">
        <f>"14:27:56.258"</f>
        <v>14:27:56.258</v>
      </c>
      <c r="B2255" t="s">
        <v>108</v>
      </c>
      <c r="C2255" t="str">
        <f t="shared" si="106"/>
        <v>ffdfd3c0</v>
      </c>
      <c r="D2255" t="s">
        <v>109</v>
      </c>
      <c r="E2255">
        <v>4</v>
      </c>
      <c r="F2255">
        <v>1004</v>
      </c>
      <c r="G2255" t="s">
        <v>110</v>
      </c>
      <c r="J2255" t="s">
        <v>111</v>
      </c>
      <c r="K2255">
        <v>0</v>
      </c>
      <c r="L2255">
        <v>3</v>
      </c>
      <c r="M2255">
        <v>0</v>
      </c>
      <c r="N2255">
        <v>2</v>
      </c>
      <c r="O2255">
        <v>1</v>
      </c>
      <c r="P2255">
        <v>0</v>
      </c>
      <c r="Q2255">
        <v>0</v>
      </c>
      <c r="R2255" t="s">
        <v>112</v>
      </c>
      <c r="S2255" t="str">
        <f>"14:27:56.094"</f>
        <v>14:27:56.094</v>
      </c>
      <c r="T2255" t="str">
        <f>"14:27:55.695"</f>
        <v>14:27:55.695</v>
      </c>
      <c r="U2255" t="str">
        <f t="shared" si="105"/>
        <v>ad5732</v>
      </c>
      <c r="V2255">
        <v>0</v>
      </c>
      <c r="W2255">
        <v>0</v>
      </c>
      <c r="X2255">
        <v>1</v>
      </c>
      <c r="Z2255">
        <v>0</v>
      </c>
      <c r="AA2255">
        <v>9</v>
      </c>
      <c r="AB2255">
        <v>3</v>
      </c>
      <c r="AC2255">
        <v>0</v>
      </c>
      <c r="AD2255">
        <v>10</v>
      </c>
      <c r="AE2255">
        <v>0</v>
      </c>
      <c r="AF2255">
        <v>3</v>
      </c>
      <c r="AG2255">
        <v>2</v>
      </c>
      <c r="AH2255">
        <v>0</v>
      </c>
      <c r="AI2255" t="s">
        <v>4617</v>
      </c>
      <c r="AJ2255">
        <v>39.943693000000003</v>
      </c>
      <c r="AK2255" t="s">
        <v>4618</v>
      </c>
      <c r="AL2255">
        <v>-75.632565</v>
      </c>
      <c r="AM2255">
        <v>100</v>
      </c>
      <c r="AN2255">
        <v>4700</v>
      </c>
      <c r="AO2255" t="s">
        <v>115</v>
      </c>
      <c r="AP2255">
        <v>133</v>
      </c>
      <c r="AQ2255">
        <v>120</v>
      </c>
      <c r="AR2255">
        <v>-64</v>
      </c>
      <c r="AZ2255">
        <v>3614</v>
      </c>
      <c r="BA2255">
        <v>1</v>
      </c>
      <c r="BB2255" t="str">
        <f t="shared" si="107"/>
        <v xml:space="preserve">N959MJ  </v>
      </c>
      <c r="BC2255">
        <v>1</v>
      </c>
      <c r="BE2255">
        <v>0</v>
      </c>
      <c r="BF2255">
        <v>0</v>
      </c>
      <c r="BG2255">
        <v>0</v>
      </c>
      <c r="BH2255">
        <v>4900</v>
      </c>
      <c r="BI2255">
        <v>200</v>
      </c>
      <c r="BJ2255">
        <v>1</v>
      </c>
      <c r="BK2255">
        <v>1</v>
      </c>
      <c r="BL2255">
        <v>1</v>
      </c>
      <c r="BM2255">
        <v>0</v>
      </c>
      <c r="BP2255">
        <v>0</v>
      </c>
      <c r="BQ2255">
        <v>0</v>
      </c>
      <c r="BX2255" t="str">
        <f>"14:27:56.094"</f>
        <v>14:27:56.094</v>
      </c>
      <c r="BY2255" t="str">
        <f>"096192125"</f>
        <v>096192125</v>
      </c>
      <c r="CL2255">
        <v>0</v>
      </c>
      <c r="CM2255">
        <v>2</v>
      </c>
      <c r="CN2255">
        <v>0</v>
      </c>
      <c r="CO2255">
        <v>2</v>
      </c>
      <c r="CP2255">
        <v>0</v>
      </c>
      <c r="CQ2255">
        <v>7</v>
      </c>
      <c r="CR2255" t="s">
        <v>116</v>
      </c>
      <c r="CS2255">
        <v>39</v>
      </c>
      <c r="CT2255">
        <v>2</v>
      </c>
      <c r="CU2255" t="s">
        <v>2259</v>
      </c>
      <c r="CV2255" t="s">
        <v>2260</v>
      </c>
      <c r="CY2255">
        <v>132941</v>
      </c>
      <c r="CZ2255" t="s">
        <v>119</v>
      </c>
    </row>
    <row r="2256" spans="1:104" x14ac:dyDescent="0.25">
      <c r="A2256" t="str">
        <f>"14:27:57.320"</f>
        <v>14:27:57.320</v>
      </c>
      <c r="B2256" t="s">
        <v>108</v>
      </c>
      <c r="C2256" t="str">
        <f t="shared" si="106"/>
        <v>ffdfd3c0</v>
      </c>
      <c r="D2256" t="s">
        <v>109</v>
      </c>
      <c r="E2256">
        <v>4</v>
      </c>
      <c r="F2256">
        <v>1004</v>
      </c>
      <c r="G2256" t="s">
        <v>110</v>
      </c>
      <c r="J2256" t="s">
        <v>111</v>
      </c>
      <c r="K2256">
        <v>0</v>
      </c>
      <c r="L2256">
        <v>3</v>
      </c>
      <c r="M2256">
        <v>0</v>
      </c>
      <c r="N2256">
        <v>2</v>
      </c>
      <c r="O2256">
        <v>1</v>
      </c>
      <c r="P2256">
        <v>0</v>
      </c>
      <c r="Q2256">
        <v>0</v>
      </c>
      <c r="R2256" t="s">
        <v>112</v>
      </c>
      <c r="S2256" t="str">
        <f>"14:27:57.164"</f>
        <v>14:27:57.164</v>
      </c>
      <c r="T2256" t="str">
        <f>"14:27:56.766"</f>
        <v>14:27:56.766</v>
      </c>
      <c r="U2256" t="str">
        <f t="shared" si="105"/>
        <v>ad5732</v>
      </c>
      <c r="V2256">
        <v>0</v>
      </c>
      <c r="W2256">
        <v>0</v>
      </c>
      <c r="X2256">
        <v>1</v>
      </c>
      <c r="Z2256">
        <v>0</v>
      </c>
      <c r="AA2256">
        <v>9</v>
      </c>
      <c r="AB2256">
        <v>3</v>
      </c>
      <c r="AC2256">
        <v>0</v>
      </c>
      <c r="AD2256">
        <v>10</v>
      </c>
      <c r="AE2256">
        <v>0</v>
      </c>
      <c r="AF2256">
        <v>3</v>
      </c>
      <c r="AG2256">
        <v>2</v>
      </c>
      <c r="AH2256">
        <v>0</v>
      </c>
      <c r="AI2256" t="s">
        <v>4619</v>
      </c>
      <c r="AJ2256">
        <v>39.944271999999998</v>
      </c>
      <c r="AK2256" t="s">
        <v>4620</v>
      </c>
      <c r="AL2256">
        <v>-75.631641999999999</v>
      </c>
      <c r="AM2256">
        <v>100</v>
      </c>
      <c r="AN2256">
        <v>4700</v>
      </c>
      <c r="AO2256" t="s">
        <v>115</v>
      </c>
      <c r="AP2256">
        <v>133</v>
      </c>
      <c r="AQ2256">
        <v>120</v>
      </c>
      <c r="AR2256">
        <v>-64</v>
      </c>
      <c r="AZ2256">
        <v>3614</v>
      </c>
      <c r="BA2256">
        <v>1</v>
      </c>
      <c r="BB2256" t="str">
        <f t="shared" si="107"/>
        <v xml:space="preserve">N959MJ  </v>
      </c>
      <c r="BC2256">
        <v>1</v>
      </c>
      <c r="BE2256">
        <v>0</v>
      </c>
      <c r="BF2256">
        <v>0</v>
      </c>
      <c r="BG2256">
        <v>0</v>
      </c>
      <c r="BH2256">
        <v>4900</v>
      </c>
      <c r="BI2256">
        <v>200</v>
      </c>
      <c r="BJ2256">
        <v>1</v>
      </c>
      <c r="BK2256">
        <v>1</v>
      </c>
      <c r="BL2256">
        <v>1</v>
      </c>
      <c r="BM2256">
        <v>0</v>
      </c>
      <c r="BP2256">
        <v>0</v>
      </c>
      <c r="BQ2256">
        <v>0</v>
      </c>
      <c r="BX2256" t="str">
        <f>"14:27:57.164"</f>
        <v>14:27:57.164</v>
      </c>
      <c r="BY2256" t="str">
        <f>"164447006"</f>
        <v>164447006</v>
      </c>
      <c r="CL2256">
        <v>0</v>
      </c>
      <c r="CM2256">
        <v>2</v>
      </c>
      <c r="CN2256">
        <v>0</v>
      </c>
      <c r="CO2256">
        <v>2</v>
      </c>
      <c r="CP2256">
        <v>0</v>
      </c>
      <c r="CQ2256">
        <v>7</v>
      </c>
      <c r="CR2256" t="s">
        <v>116</v>
      </c>
      <c r="CS2256">
        <v>39</v>
      </c>
      <c r="CT2256">
        <v>2</v>
      </c>
      <c r="CU2256" t="s">
        <v>2259</v>
      </c>
      <c r="CV2256" t="s">
        <v>2260</v>
      </c>
      <c r="CY2256">
        <v>134881</v>
      </c>
      <c r="CZ2256" t="s">
        <v>119</v>
      </c>
    </row>
    <row r="2257" spans="1:104" x14ac:dyDescent="0.25">
      <c r="A2257" t="str">
        <f>"14:27:58.477"</f>
        <v>14:27:58.477</v>
      </c>
      <c r="B2257" t="s">
        <v>108</v>
      </c>
      <c r="C2257" t="str">
        <f t="shared" si="106"/>
        <v>ffdfd3c0</v>
      </c>
      <c r="D2257" t="s">
        <v>109</v>
      </c>
      <c r="E2257">
        <v>4</v>
      </c>
      <c r="F2257">
        <v>1004</v>
      </c>
      <c r="G2257" t="s">
        <v>110</v>
      </c>
      <c r="J2257" t="s">
        <v>111</v>
      </c>
      <c r="K2257">
        <v>0</v>
      </c>
      <c r="L2257">
        <v>3</v>
      </c>
      <c r="M2257">
        <v>0</v>
      </c>
      <c r="N2257">
        <v>2</v>
      </c>
      <c r="O2257">
        <v>1</v>
      </c>
      <c r="P2257">
        <v>0</v>
      </c>
      <c r="Q2257">
        <v>0</v>
      </c>
      <c r="R2257" t="s">
        <v>112</v>
      </c>
      <c r="S2257" t="str">
        <f>"14:27:58.305"</f>
        <v>14:27:58.305</v>
      </c>
      <c r="T2257" t="str">
        <f>"14:27:57.805"</f>
        <v>14:27:57.805</v>
      </c>
      <c r="U2257" t="str">
        <f t="shared" si="105"/>
        <v>ad5732</v>
      </c>
      <c r="V2257">
        <v>0</v>
      </c>
      <c r="W2257">
        <v>0</v>
      </c>
      <c r="X2257">
        <v>1</v>
      </c>
      <c r="Z2257">
        <v>0</v>
      </c>
      <c r="AA2257">
        <v>9</v>
      </c>
      <c r="AB2257">
        <v>3</v>
      </c>
      <c r="AC2257">
        <v>0</v>
      </c>
      <c r="AD2257">
        <v>10</v>
      </c>
      <c r="AE2257">
        <v>0</v>
      </c>
      <c r="AF2257">
        <v>3</v>
      </c>
      <c r="AG2257">
        <v>2</v>
      </c>
      <c r="AH2257">
        <v>0</v>
      </c>
      <c r="AI2257" t="s">
        <v>4621</v>
      </c>
      <c r="AJ2257">
        <v>39.944958999999997</v>
      </c>
      <c r="AK2257" t="s">
        <v>4622</v>
      </c>
      <c r="AL2257">
        <v>-75.630741</v>
      </c>
      <c r="AM2257">
        <v>100</v>
      </c>
      <c r="AN2257">
        <v>4700</v>
      </c>
      <c r="AO2257" t="s">
        <v>115</v>
      </c>
      <c r="AP2257">
        <v>133</v>
      </c>
      <c r="AQ2257">
        <v>120</v>
      </c>
      <c r="AR2257">
        <v>-64</v>
      </c>
      <c r="AZ2257">
        <v>3614</v>
      </c>
      <c r="BA2257">
        <v>1</v>
      </c>
      <c r="BB2257" t="str">
        <f t="shared" si="107"/>
        <v xml:space="preserve">N959MJ  </v>
      </c>
      <c r="BC2257">
        <v>1</v>
      </c>
      <c r="BE2257">
        <v>0</v>
      </c>
      <c r="BF2257">
        <v>0</v>
      </c>
      <c r="BG2257">
        <v>0</v>
      </c>
      <c r="BH2257">
        <v>4900</v>
      </c>
      <c r="BI2257">
        <v>200</v>
      </c>
      <c r="BJ2257">
        <v>1</v>
      </c>
      <c r="BK2257">
        <v>1</v>
      </c>
      <c r="BL2257">
        <v>1</v>
      </c>
      <c r="BM2257">
        <v>0</v>
      </c>
      <c r="BP2257">
        <v>0</v>
      </c>
      <c r="BQ2257">
        <v>0</v>
      </c>
      <c r="BX2257" t="str">
        <f>"14:27:58.305"</f>
        <v>14:27:58.305</v>
      </c>
      <c r="BY2257" t="str">
        <f>"306431128"</f>
        <v>306431128</v>
      </c>
      <c r="CL2257">
        <v>0</v>
      </c>
      <c r="CM2257">
        <v>2</v>
      </c>
      <c r="CN2257">
        <v>0</v>
      </c>
      <c r="CO2257">
        <v>2</v>
      </c>
      <c r="CP2257">
        <v>0</v>
      </c>
      <c r="CQ2257">
        <v>7</v>
      </c>
      <c r="CR2257" t="s">
        <v>116</v>
      </c>
      <c r="CS2257">
        <v>39</v>
      </c>
      <c r="CT2257">
        <v>3</v>
      </c>
      <c r="CU2257" t="s">
        <v>2259</v>
      </c>
      <c r="CV2257" t="s">
        <v>2260</v>
      </c>
      <c r="CY2257">
        <v>10897630</v>
      </c>
      <c r="CZ2257" t="s">
        <v>119</v>
      </c>
    </row>
    <row r="2258" spans="1:104" x14ac:dyDescent="0.25">
      <c r="A2258" t="str">
        <f>"14:27:59.547"</f>
        <v>14:27:59.547</v>
      </c>
      <c r="B2258" t="s">
        <v>108</v>
      </c>
      <c r="C2258" t="str">
        <f t="shared" si="106"/>
        <v>ffdfd3c0</v>
      </c>
      <c r="D2258" t="s">
        <v>109</v>
      </c>
      <c r="E2258">
        <v>4</v>
      </c>
      <c r="F2258">
        <v>1004</v>
      </c>
      <c r="G2258" t="s">
        <v>110</v>
      </c>
      <c r="J2258" t="s">
        <v>111</v>
      </c>
      <c r="K2258">
        <v>0</v>
      </c>
      <c r="L2258">
        <v>3</v>
      </c>
      <c r="M2258">
        <v>0</v>
      </c>
      <c r="N2258">
        <v>2</v>
      </c>
      <c r="O2258">
        <v>1</v>
      </c>
      <c r="P2258">
        <v>0</v>
      </c>
      <c r="Q2258">
        <v>0</v>
      </c>
      <c r="R2258" t="s">
        <v>112</v>
      </c>
      <c r="S2258" t="str">
        <f>"14:27:59.375"</f>
        <v>14:27:59.375</v>
      </c>
      <c r="T2258" t="str">
        <f>"14:27:58.977"</f>
        <v>14:27:58.977</v>
      </c>
      <c r="U2258" t="str">
        <f t="shared" si="105"/>
        <v>ad5732</v>
      </c>
      <c r="V2258">
        <v>0</v>
      </c>
      <c r="W2258">
        <v>0</v>
      </c>
      <c r="X2258">
        <v>1</v>
      </c>
      <c r="Z2258">
        <v>0</v>
      </c>
      <c r="AA2258">
        <v>9</v>
      </c>
      <c r="AB2258">
        <v>3</v>
      </c>
      <c r="AC2258">
        <v>0</v>
      </c>
      <c r="AD2258">
        <v>10</v>
      </c>
      <c r="AE2258">
        <v>0</v>
      </c>
      <c r="AF2258">
        <v>3</v>
      </c>
      <c r="AG2258">
        <v>2</v>
      </c>
      <c r="AH2258">
        <v>0</v>
      </c>
      <c r="AI2258" t="s">
        <v>4623</v>
      </c>
      <c r="AJ2258">
        <v>39.945517000000002</v>
      </c>
      <c r="AK2258" t="s">
        <v>4624</v>
      </c>
      <c r="AL2258">
        <v>-75.629947000000001</v>
      </c>
      <c r="AM2258">
        <v>100</v>
      </c>
      <c r="AN2258">
        <v>4700</v>
      </c>
      <c r="AO2258" t="s">
        <v>115</v>
      </c>
      <c r="AP2258">
        <v>133</v>
      </c>
      <c r="AQ2258">
        <v>121</v>
      </c>
      <c r="AR2258">
        <v>-64</v>
      </c>
      <c r="AZ2258">
        <v>3614</v>
      </c>
      <c r="BA2258">
        <v>1</v>
      </c>
      <c r="BB2258" t="str">
        <f t="shared" si="107"/>
        <v xml:space="preserve">N959MJ  </v>
      </c>
      <c r="BC2258">
        <v>1</v>
      </c>
      <c r="BE2258">
        <v>0</v>
      </c>
      <c r="BF2258">
        <v>0</v>
      </c>
      <c r="BG2258">
        <v>0</v>
      </c>
      <c r="BH2258">
        <v>4900</v>
      </c>
      <c r="BI2258">
        <v>200</v>
      </c>
      <c r="BJ2258">
        <v>1</v>
      </c>
      <c r="BK2258">
        <v>1</v>
      </c>
      <c r="BL2258">
        <v>1</v>
      </c>
      <c r="BM2258">
        <v>0</v>
      </c>
      <c r="BP2258">
        <v>0</v>
      </c>
      <c r="BQ2258">
        <v>0</v>
      </c>
      <c r="BX2258" t="str">
        <f>"14:27:59.383"</f>
        <v>14:27:59.383</v>
      </c>
      <c r="BY2258" t="str">
        <f>"379601317"</f>
        <v>379601317</v>
      </c>
      <c r="CL2258">
        <v>0</v>
      </c>
      <c r="CM2258">
        <v>2</v>
      </c>
      <c r="CN2258">
        <v>0</v>
      </c>
      <c r="CO2258">
        <v>2</v>
      </c>
      <c r="CP2258">
        <v>0</v>
      </c>
      <c r="CQ2258">
        <v>7</v>
      </c>
      <c r="CR2258" t="s">
        <v>116</v>
      </c>
      <c r="CS2258">
        <v>39</v>
      </c>
      <c r="CT2258">
        <v>2</v>
      </c>
      <c r="CU2258" t="s">
        <v>2259</v>
      </c>
      <c r="CV2258" t="s">
        <v>2260</v>
      </c>
      <c r="CY2258">
        <v>138621</v>
      </c>
      <c r="CZ2258" t="s">
        <v>119</v>
      </c>
    </row>
    <row r="2259" spans="1:104" x14ac:dyDescent="0.25">
      <c r="A2259" t="str">
        <f>"14:28:00.547"</f>
        <v>14:28:00.547</v>
      </c>
      <c r="B2259" t="s">
        <v>108</v>
      </c>
      <c r="C2259" t="str">
        <f t="shared" si="106"/>
        <v>ffdfd3c0</v>
      </c>
      <c r="D2259" t="s">
        <v>109</v>
      </c>
      <c r="E2259">
        <v>4</v>
      </c>
      <c r="F2259">
        <v>1004</v>
      </c>
      <c r="G2259" t="s">
        <v>110</v>
      </c>
      <c r="J2259" t="s">
        <v>111</v>
      </c>
      <c r="K2259">
        <v>0</v>
      </c>
      <c r="L2259">
        <v>3</v>
      </c>
      <c r="M2259">
        <v>0</v>
      </c>
      <c r="N2259">
        <v>2</v>
      </c>
      <c r="O2259">
        <v>1</v>
      </c>
      <c r="P2259">
        <v>0</v>
      </c>
      <c r="Q2259">
        <v>0</v>
      </c>
      <c r="R2259" t="s">
        <v>112</v>
      </c>
      <c r="S2259" t="str">
        <f>"14:28:00.359"</f>
        <v>14:28:00.359</v>
      </c>
      <c r="T2259" t="str">
        <f>"14:27:59.859"</f>
        <v>14:27:59.859</v>
      </c>
      <c r="U2259" t="str">
        <f t="shared" si="105"/>
        <v>ad5732</v>
      </c>
      <c r="V2259">
        <v>0</v>
      </c>
      <c r="W2259">
        <v>0</v>
      </c>
      <c r="X2259">
        <v>1</v>
      </c>
      <c r="Z2259">
        <v>0</v>
      </c>
      <c r="AA2259">
        <v>9</v>
      </c>
      <c r="AB2259">
        <v>3</v>
      </c>
      <c r="AC2259">
        <v>0</v>
      </c>
      <c r="AD2259">
        <v>10</v>
      </c>
      <c r="AE2259">
        <v>0</v>
      </c>
      <c r="AF2259">
        <v>3</v>
      </c>
      <c r="AG2259">
        <v>2</v>
      </c>
      <c r="AH2259">
        <v>0</v>
      </c>
      <c r="AI2259" t="s">
        <v>4625</v>
      </c>
      <c r="AJ2259">
        <v>39.946095999999997</v>
      </c>
      <c r="AK2259" t="s">
        <v>4626</v>
      </c>
      <c r="AL2259">
        <v>-75.629153000000002</v>
      </c>
      <c r="AM2259">
        <v>100</v>
      </c>
      <c r="AN2259">
        <v>4700</v>
      </c>
      <c r="AO2259" t="s">
        <v>115</v>
      </c>
      <c r="AP2259">
        <v>133</v>
      </c>
      <c r="AQ2259">
        <v>121</v>
      </c>
      <c r="AR2259">
        <v>-64</v>
      </c>
      <c r="AZ2259">
        <v>3614</v>
      </c>
      <c r="BA2259">
        <v>1</v>
      </c>
      <c r="BB2259" t="str">
        <f t="shared" si="107"/>
        <v xml:space="preserve">N959MJ  </v>
      </c>
      <c r="BC2259">
        <v>1</v>
      </c>
      <c r="BE2259">
        <v>0</v>
      </c>
      <c r="BF2259">
        <v>0</v>
      </c>
      <c r="BG2259">
        <v>0</v>
      </c>
      <c r="BH2259">
        <v>4900</v>
      </c>
      <c r="BI2259">
        <v>200</v>
      </c>
      <c r="BJ2259">
        <v>1</v>
      </c>
      <c r="BK2259">
        <v>1</v>
      </c>
      <c r="BL2259">
        <v>1</v>
      </c>
      <c r="BM2259">
        <v>0</v>
      </c>
      <c r="BP2259">
        <v>0</v>
      </c>
      <c r="BQ2259">
        <v>0</v>
      </c>
      <c r="BX2259" t="str">
        <f>"14:28:00.367"</f>
        <v>14:28:00.367</v>
      </c>
      <c r="BY2259" t="str">
        <f>"365934861"</f>
        <v>365934861</v>
      </c>
      <c r="CL2259">
        <v>0</v>
      </c>
      <c r="CM2259">
        <v>2</v>
      </c>
      <c r="CN2259">
        <v>0</v>
      </c>
      <c r="CO2259">
        <v>2</v>
      </c>
      <c r="CP2259">
        <v>0</v>
      </c>
      <c r="CQ2259">
        <v>7</v>
      </c>
      <c r="CR2259" t="s">
        <v>116</v>
      </c>
      <c r="CS2259">
        <v>39</v>
      </c>
      <c r="CT2259">
        <v>3</v>
      </c>
      <c r="CU2259" t="s">
        <v>2259</v>
      </c>
      <c r="CV2259" t="s">
        <v>2260</v>
      </c>
      <c r="CY2259">
        <v>10901037</v>
      </c>
      <c r="CZ2259" t="s">
        <v>119</v>
      </c>
    </row>
    <row r="2260" spans="1:104" x14ac:dyDescent="0.25">
      <c r="A2260" t="str">
        <f>"14:28:01.563"</f>
        <v>14:28:01.563</v>
      </c>
      <c r="B2260" t="s">
        <v>108</v>
      </c>
      <c r="C2260" t="str">
        <f t="shared" si="106"/>
        <v>ffdfd3c0</v>
      </c>
      <c r="D2260" t="s">
        <v>109</v>
      </c>
      <c r="E2260">
        <v>4</v>
      </c>
      <c r="F2260">
        <v>1004</v>
      </c>
      <c r="G2260" t="s">
        <v>110</v>
      </c>
      <c r="J2260" t="s">
        <v>111</v>
      </c>
      <c r="K2260">
        <v>0</v>
      </c>
      <c r="L2260">
        <v>3</v>
      </c>
      <c r="M2260">
        <v>0</v>
      </c>
      <c r="N2260">
        <v>2</v>
      </c>
      <c r="O2260">
        <v>1</v>
      </c>
      <c r="P2260">
        <v>0</v>
      </c>
      <c r="Q2260">
        <v>0</v>
      </c>
      <c r="R2260" t="s">
        <v>112</v>
      </c>
      <c r="S2260" t="str">
        <f>"14:28:01.375"</f>
        <v>14:28:01.375</v>
      </c>
      <c r="T2260" t="str">
        <f>"14:28:00.875"</f>
        <v>14:28:00.875</v>
      </c>
      <c r="U2260" t="str">
        <f t="shared" si="105"/>
        <v>ad5732</v>
      </c>
      <c r="V2260">
        <v>0</v>
      </c>
      <c r="W2260">
        <v>0</v>
      </c>
      <c r="X2260">
        <v>1</v>
      </c>
      <c r="Z2260">
        <v>0</v>
      </c>
      <c r="AA2260">
        <v>9</v>
      </c>
      <c r="AB2260">
        <v>3</v>
      </c>
      <c r="AC2260">
        <v>0</v>
      </c>
      <c r="AD2260">
        <v>10</v>
      </c>
      <c r="AE2260">
        <v>0</v>
      </c>
      <c r="AF2260">
        <v>3</v>
      </c>
      <c r="AG2260">
        <v>2</v>
      </c>
      <c r="AH2260">
        <v>0</v>
      </c>
      <c r="AI2260" t="s">
        <v>4627</v>
      </c>
      <c r="AJ2260">
        <v>39.946654000000002</v>
      </c>
      <c r="AK2260" t="s">
        <v>4628</v>
      </c>
      <c r="AL2260">
        <v>-75.628359000000003</v>
      </c>
      <c r="AM2260">
        <v>100</v>
      </c>
      <c r="AN2260">
        <v>4700</v>
      </c>
      <c r="AO2260" t="s">
        <v>115</v>
      </c>
      <c r="AP2260">
        <v>132</v>
      </c>
      <c r="AQ2260">
        <v>121</v>
      </c>
      <c r="AR2260">
        <v>-64</v>
      </c>
      <c r="AZ2260">
        <v>3614</v>
      </c>
      <c r="BA2260">
        <v>1</v>
      </c>
      <c r="BB2260" t="str">
        <f t="shared" si="107"/>
        <v xml:space="preserve">N959MJ  </v>
      </c>
      <c r="BC2260">
        <v>1</v>
      </c>
      <c r="BE2260">
        <v>0</v>
      </c>
      <c r="BF2260">
        <v>0</v>
      </c>
      <c r="BG2260">
        <v>0</v>
      </c>
      <c r="BH2260">
        <v>4900</v>
      </c>
      <c r="BI2260">
        <v>200</v>
      </c>
      <c r="BJ2260">
        <v>1</v>
      </c>
      <c r="BK2260">
        <v>1</v>
      </c>
      <c r="BL2260">
        <v>1</v>
      </c>
      <c r="BM2260">
        <v>0</v>
      </c>
      <c r="BP2260">
        <v>0</v>
      </c>
      <c r="BQ2260">
        <v>0</v>
      </c>
      <c r="BX2260" t="str">
        <f>"14:28:01.375"</f>
        <v>14:28:01.375</v>
      </c>
      <c r="BY2260" t="str">
        <f>"378483233"</f>
        <v>378483233</v>
      </c>
      <c r="CL2260">
        <v>0</v>
      </c>
      <c r="CM2260">
        <v>2</v>
      </c>
      <c r="CN2260">
        <v>0</v>
      </c>
      <c r="CO2260">
        <v>2</v>
      </c>
      <c r="CP2260">
        <v>0</v>
      </c>
      <c r="CQ2260">
        <v>7</v>
      </c>
      <c r="CR2260" t="s">
        <v>116</v>
      </c>
      <c r="CS2260">
        <v>39</v>
      </c>
      <c r="CT2260">
        <v>2</v>
      </c>
      <c r="CU2260" t="s">
        <v>2259</v>
      </c>
      <c r="CV2260" t="s">
        <v>2260</v>
      </c>
      <c r="CY2260">
        <v>141873</v>
      </c>
      <c r="CZ2260" t="s">
        <v>119</v>
      </c>
    </row>
    <row r="2261" spans="1:104" x14ac:dyDescent="0.25">
      <c r="A2261" t="str">
        <f>"14:28:02.570"</f>
        <v>14:28:02.570</v>
      </c>
      <c r="B2261" t="s">
        <v>108</v>
      </c>
      <c r="C2261" t="str">
        <f t="shared" si="106"/>
        <v>ffdfd3c0</v>
      </c>
      <c r="D2261" t="s">
        <v>109</v>
      </c>
      <c r="E2261">
        <v>4</v>
      </c>
      <c r="F2261">
        <v>1004</v>
      </c>
      <c r="G2261" t="s">
        <v>110</v>
      </c>
      <c r="J2261" t="s">
        <v>111</v>
      </c>
      <c r="K2261">
        <v>0</v>
      </c>
      <c r="L2261">
        <v>3</v>
      </c>
      <c r="M2261">
        <v>0</v>
      </c>
      <c r="N2261">
        <v>2</v>
      </c>
      <c r="O2261">
        <v>1</v>
      </c>
      <c r="P2261">
        <v>0</v>
      </c>
      <c r="Q2261">
        <v>0</v>
      </c>
      <c r="R2261" t="s">
        <v>112</v>
      </c>
      <c r="S2261" t="str">
        <f>"14:28:02.398"</f>
        <v>14:28:02.398</v>
      </c>
      <c r="T2261" t="str">
        <f>"14:28:01.898"</f>
        <v>14:28:01.898</v>
      </c>
      <c r="U2261" t="str">
        <f t="shared" si="105"/>
        <v>ad5732</v>
      </c>
      <c r="V2261">
        <v>0</v>
      </c>
      <c r="W2261">
        <v>0</v>
      </c>
      <c r="X2261">
        <v>1</v>
      </c>
      <c r="Z2261">
        <v>0</v>
      </c>
      <c r="AA2261">
        <v>9</v>
      </c>
      <c r="AB2261">
        <v>3</v>
      </c>
      <c r="AC2261">
        <v>0</v>
      </c>
      <c r="AD2261">
        <v>10</v>
      </c>
      <c r="AE2261">
        <v>0</v>
      </c>
      <c r="AF2261">
        <v>3</v>
      </c>
      <c r="AG2261">
        <v>2</v>
      </c>
      <c r="AH2261">
        <v>0</v>
      </c>
      <c r="AI2261" t="s">
        <v>4629</v>
      </c>
      <c r="AJ2261">
        <v>39.947212</v>
      </c>
      <c r="AK2261" t="s">
        <v>4630</v>
      </c>
      <c r="AL2261">
        <v>-75.627565000000004</v>
      </c>
      <c r="AM2261">
        <v>100</v>
      </c>
      <c r="AN2261">
        <v>4700</v>
      </c>
      <c r="AO2261" t="s">
        <v>115</v>
      </c>
      <c r="AP2261">
        <v>132</v>
      </c>
      <c r="AQ2261">
        <v>121</v>
      </c>
      <c r="AR2261">
        <v>-64</v>
      </c>
      <c r="AZ2261">
        <v>3614</v>
      </c>
      <c r="BA2261">
        <v>1</v>
      </c>
      <c r="BB2261" t="str">
        <f t="shared" si="107"/>
        <v xml:space="preserve">N959MJ  </v>
      </c>
      <c r="BC2261">
        <v>1</v>
      </c>
      <c r="BE2261">
        <v>0</v>
      </c>
      <c r="BF2261">
        <v>0</v>
      </c>
      <c r="BG2261">
        <v>0</v>
      </c>
      <c r="BH2261">
        <v>4900</v>
      </c>
      <c r="BI2261">
        <v>200</v>
      </c>
      <c r="BJ2261">
        <v>1</v>
      </c>
      <c r="BK2261">
        <v>1</v>
      </c>
      <c r="BL2261">
        <v>1</v>
      </c>
      <c r="BM2261">
        <v>0</v>
      </c>
      <c r="BP2261">
        <v>0</v>
      </c>
      <c r="BQ2261">
        <v>0</v>
      </c>
      <c r="BX2261" t="str">
        <f>"14:28:02.398"</f>
        <v>14:28:02.398</v>
      </c>
      <c r="BY2261" t="str">
        <f>"400862183"</f>
        <v>400862183</v>
      </c>
      <c r="CL2261">
        <v>0</v>
      </c>
      <c r="CM2261">
        <v>2</v>
      </c>
      <c r="CN2261">
        <v>0</v>
      </c>
      <c r="CO2261">
        <v>2</v>
      </c>
      <c r="CP2261">
        <v>0</v>
      </c>
      <c r="CQ2261">
        <v>7</v>
      </c>
      <c r="CR2261" t="s">
        <v>116</v>
      </c>
      <c r="CS2261">
        <v>39</v>
      </c>
      <c r="CT2261">
        <v>3</v>
      </c>
      <c r="CU2261" t="s">
        <v>2259</v>
      </c>
      <c r="CV2261" t="s">
        <v>2260</v>
      </c>
      <c r="CY2261">
        <v>10904620</v>
      </c>
      <c r="CZ2261" t="s">
        <v>119</v>
      </c>
    </row>
    <row r="2262" spans="1:104" x14ac:dyDescent="0.25">
      <c r="A2262" t="str">
        <f>"14:28:03.578"</f>
        <v>14:28:03.578</v>
      </c>
      <c r="B2262" t="s">
        <v>108</v>
      </c>
      <c r="C2262" t="str">
        <f t="shared" si="106"/>
        <v>ffdfd3c0</v>
      </c>
      <c r="D2262" t="s">
        <v>109</v>
      </c>
      <c r="E2262">
        <v>4</v>
      </c>
      <c r="F2262">
        <v>1004</v>
      </c>
      <c r="G2262" t="s">
        <v>110</v>
      </c>
      <c r="J2262" t="s">
        <v>111</v>
      </c>
      <c r="K2262">
        <v>0</v>
      </c>
      <c r="L2262">
        <v>3</v>
      </c>
      <c r="M2262">
        <v>0</v>
      </c>
      <c r="N2262">
        <v>2</v>
      </c>
      <c r="O2262">
        <v>1</v>
      </c>
      <c r="P2262">
        <v>0</v>
      </c>
      <c r="Q2262">
        <v>0</v>
      </c>
      <c r="R2262" t="s">
        <v>112</v>
      </c>
      <c r="S2262" t="str">
        <f>"14:28:03.383"</f>
        <v>14:28:03.383</v>
      </c>
      <c r="T2262" t="str">
        <f>"14:28:02.984"</f>
        <v>14:28:02.984</v>
      </c>
      <c r="U2262" t="str">
        <f t="shared" si="105"/>
        <v>ad5732</v>
      </c>
      <c r="V2262">
        <v>0</v>
      </c>
      <c r="W2262">
        <v>0</v>
      </c>
      <c r="X2262">
        <v>1</v>
      </c>
      <c r="Z2262">
        <v>0</v>
      </c>
      <c r="AA2262">
        <v>9</v>
      </c>
      <c r="AB2262">
        <v>3</v>
      </c>
      <c r="AC2262">
        <v>0</v>
      </c>
      <c r="AD2262">
        <v>10</v>
      </c>
      <c r="AE2262">
        <v>0</v>
      </c>
      <c r="AF2262">
        <v>3</v>
      </c>
      <c r="AG2262">
        <v>2</v>
      </c>
      <c r="AH2262">
        <v>0</v>
      </c>
      <c r="AI2262" t="s">
        <v>4631</v>
      </c>
      <c r="AJ2262">
        <v>39.947747999999997</v>
      </c>
      <c r="AK2262" t="s">
        <v>4632</v>
      </c>
      <c r="AL2262">
        <v>-75.626706999999996</v>
      </c>
      <c r="AM2262">
        <v>100</v>
      </c>
      <c r="AN2262">
        <v>4700</v>
      </c>
      <c r="AO2262" t="s">
        <v>115</v>
      </c>
      <c r="AP2262">
        <v>132</v>
      </c>
      <c r="AQ2262">
        <v>121</v>
      </c>
      <c r="AR2262">
        <v>0</v>
      </c>
      <c r="AZ2262">
        <v>3614</v>
      </c>
      <c r="BA2262">
        <v>1</v>
      </c>
      <c r="BB2262" t="str">
        <f t="shared" si="107"/>
        <v xml:space="preserve">N959MJ  </v>
      </c>
      <c r="BC2262">
        <v>1</v>
      </c>
      <c r="BE2262">
        <v>0</v>
      </c>
      <c r="BF2262">
        <v>0</v>
      </c>
      <c r="BG2262">
        <v>0</v>
      </c>
      <c r="BH2262">
        <v>4900</v>
      </c>
      <c r="BI2262">
        <v>200</v>
      </c>
      <c r="BJ2262">
        <v>1</v>
      </c>
      <c r="BK2262">
        <v>1</v>
      </c>
      <c r="BL2262">
        <v>1</v>
      </c>
      <c r="BM2262">
        <v>0</v>
      </c>
      <c r="BP2262">
        <v>0</v>
      </c>
      <c r="BQ2262">
        <v>0</v>
      </c>
      <c r="BX2262" t="str">
        <f>"14:28:03.383"</f>
        <v>14:28:03.383</v>
      </c>
      <c r="BY2262" t="str">
        <f>"385557306"</f>
        <v>385557306</v>
      </c>
      <c r="CL2262">
        <v>0</v>
      </c>
      <c r="CM2262">
        <v>2</v>
      </c>
      <c r="CN2262">
        <v>0</v>
      </c>
      <c r="CO2262">
        <v>2</v>
      </c>
      <c r="CP2262">
        <v>0</v>
      </c>
      <c r="CQ2262">
        <v>7</v>
      </c>
      <c r="CR2262" t="s">
        <v>116</v>
      </c>
      <c r="CS2262">
        <v>39</v>
      </c>
      <c r="CT2262">
        <v>3</v>
      </c>
      <c r="CU2262" t="s">
        <v>2259</v>
      </c>
      <c r="CV2262" t="s">
        <v>2260</v>
      </c>
      <c r="CY2262">
        <v>10906338</v>
      </c>
      <c r="CZ2262" t="s">
        <v>119</v>
      </c>
    </row>
    <row r="2263" spans="1:104" x14ac:dyDescent="0.25">
      <c r="A2263" t="str">
        <f>"14:28:04.586"</f>
        <v>14:28:04.586</v>
      </c>
      <c r="B2263" t="s">
        <v>108</v>
      </c>
      <c r="C2263" t="str">
        <f t="shared" si="106"/>
        <v>ffdfd3c0</v>
      </c>
      <c r="D2263" t="s">
        <v>109</v>
      </c>
      <c r="E2263">
        <v>4</v>
      </c>
      <c r="F2263">
        <v>1004</v>
      </c>
      <c r="G2263" t="s">
        <v>110</v>
      </c>
      <c r="J2263" t="s">
        <v>111</v>
      </c>
      <c r="K2263">
        <v>0</v>
      </c>
      <c r="L2263">
        <v>3</v>
      </c>
      <c r="M2263">
        <v>0</v>
      </c>
      <c r="N2263">
        <v>2</v>
      </c>
      <c r="O2263">
        <v>1</v>
      </c>
      <c r="P2263">
        <v>0</v>
      </c>
      <c r="Q2263">
        <v>0</v>
      </c>
      <c r="R2263" t="s">
        <v>112</v>
      </c>
      <c r="S2263" t="str">
        <f>"14:28:04.406"</f>
        <v>14:28:04.406</v>
      </c>
      <c r="T2263" t="str">
        <f>"14:28:04.008"</f>
        <v>14:28:04.008</v>
      </c>
      <c r="U2263" t="str">
        <f t="shared" si="105"/>
        <v>ad5732</v>
      </c>
      <c r="V2263">
        <v>0</v>
      </c>
      <c r="W2263">
        <v>0</v>
      </c>
      <c r="X2263">
        <v>1</v>
      </c>
      <c r="Z2263">
        <v>0</v>
      </c>
      <c r="AA2263">
        <v>9</v>
      </c>
      <c r="AB2263">
        <v>3</v>
      </c>
      <c r="AC2263">
        <v>0</v>
      </c>
      <c r="AD2263">
        <v>10</v>
      </c>
      <c r="AE2263">
        <v>0</v>
      </c>
      <c r="AF2263">
        <v>3</v>
      </c>
      <c r="AG2263">
        <v>2</v>
      </c>
      <c r="AH2263">
        <v>0</v>
      </c>
      <c r="AI2263" t="s">
        <v>4633</v>
      </c>
      <c r="AJ2263">
        <v>39.948391999999998</v>
      </c>
      <c r="AK2263" t="s">
        <v>4634</v>
      </c>
      <c r="AL2263">
        <v>-75.625891999999993</v>
      </c>
      <c r="AM2263">
        <v>100</v>
      </c>
      <c r="AN2263">
        <v>4700</v>
      </c>
      <c r="AO2263" t="s">
        <v>115</v>
      </c>
      <c r="AP2263">
        <v>132</v>
      </c>
      <c r="AQ2263">
        <v>121</v>
      </c>
      <c r="AR2263">
        <v>0</v>
      </c>
      <c r="AZ2263">
        <v>3614</v>
      </c>
      <c r="BA2263">
        <v>1</v>
      </c>
      <c r="BB2263" t="str">
        <f t="shared" si="107"/>
        <v xml:space="preserve">N959MJ  </v>
      </c>
      <c r="BC2263">
        <v>1</v>
      </c>
      <c r="BE2263">
        <v>0</v>
      </c>
      <c r="BF2263">
        <v>0</v>
      </c>
      <c r="BG2263">
        <v>0</v>
      </c>
      <c r="BH2263">
        <v>4900</v>
      </c>
      <c r="BI2263">
        <v>200</v>
      </c>
      <c r="BJ2263">
        <v>1</v>
      </c>
      <c r="BK2263">
        <v>1</v>
      </c>
      <c r="BL2263">
        <v>1</v>
      </c>
      <c r="BM2263">
        <v>0</v>
      </c>
      <c r="BP2263">
        <v>0</v>
      </c>
      <c r="BQ2263">
        <v>0</v>
      </c>
      <c r="BX2263" t="str">
        <f>"14:28:04.406"</f>
        <v>14:28:04.406</v>
      </c>
      <c r="BY2263" t="str">
        <f>"409574707"</f>
        <v>409574707</v>
      </c>
      <c r="CL2263">
        <v>0</v>
      </c>
      <c r="CM2263">
        <v>2</v>
      </c>
      <c r="CN2263">
        <v>0</v>
      </c>
      <c r="CO2263">
        <v>2</v>
      </c>
      <c r="CP2263">
        <v>0</v>
      </c>
      <c r="CQ2263">
        <v>7</v>
      </c>
      <c r="CR2263" t="s">
        <v>116</v>
      </c>
      <c r="CS2263">
        <v>39</v>
      </c>
      <c r="CT2263">
        <v>2</v>
      </c>
      <c r="CU2263" t="s">
        <v>2259</v>
      </c>
      <c r="CV2263" t="s">
        <v>2260</v>
      </c>
      <c r="CY2263">
        <v>147073</v>
      </c>
      <c r="CZ2263" t="s">
        <v>119</v>
      </c>
    </row>
    <row r="2264" spans="1:104" x14ac:dyDescent="0.25">
      <c r="A2264" t="str">
        <f>"14:28:05.602"</f>
        <v>14:28:05.602</v>
      </c>
      <c r="B2264" t="s">
        <v>108</v>
      </c>
      <c r="C2264" t="str">
        <f t="shared" si="106"/>
        <v>ffdfd3c0</v>
      </c>
      <c r="D2264" t="s">
        <v>109</v>
      </c>
      <c r="E2264">
        <v>4</v>
      </c>
      <c r="F2264">
        <v>1004</v>
      </c>
      <c r="G2264" t="s">
        <v>110</v>
      </c>
      <c r="J2264" t="s">
        <v>111</v>
      </c>
      <c r="K2264">
        <v>0</v>
      </c>
      <c r="L2264">
        <v>3</v>
      </c>
      <c r="M2264">
        <v>0</v>
      </c>
      <c r="N2264">
        <v>2</v>
      </c>
      <c r="O2264">
        <v>1</v>
      </c>
      <c r="P2264">
        <v>0</v>
      </c>
      <c r="Q2264">
        <v>0</v>
      </c>
      <c r="R2264" t="s">
        <v>112</v>
      </c>
      <c r="S2264" t="str">
        <f>"14:28:05.430"</f>
        <v>14:28:05.430</v>
      </c>
      <c r="T2264" t="str">
        <f>"14:28:04.930"</f>
        <v>14:28:04.930</v>
      </c>
      <c r="U2264" t="str">
        <f t="shared" si="105"/>
        <v>ad5732</v>
      </c>
      <c r="V2264">
        <v>0</v>
      </c>
      <c r="W2264">
        <v>0</v>
      </c>
      <c r="X2264">
        <v>1</v>
      </c>
      <c r="Z2264">
        <v>0</v>
      </c>
      <c r="AA2264">
        <v>9</v>
      </c>
      <c r="AB2264">
        <v>3</v>
      </c>
      <c r="AC2264">
        <v>0</v>
      </c>
      <c r="AD2264">
        <v>10</v>
      </c>
      <c r="AE2264">
        <v>0</v>
      </c>
      <c r="AF2264">
        <v>3</v>
      </c>
      <c r="AG2264">
        <v>2</v>
      </c>
      <c r="AH2264">
        <v>0</v>
      </c>
      <c r="AI2264" t="s">
        <v>4635</v>
      </c>
      <c r="AJ2264">
        <v>39.948950000000004</v>
      </c>
      <c r="AK2264" t="s">
        <v>4636</v>
      </c>
      <c r="AL2264">
        <v>-75.625076000000007</v>
      </c>
      <c r="AM2264">
        <v>100</v>
      </c>
      <c r="AN2264">
        <v>4700</v>
      </c>
      <c r="AO2264" t="s">
        <v>115</v>
      </c>
      <c r="AP2264">
        <v>132</v>
      </c>
      <c r="AQ2264">
        <v>122</v>
      </c>
      <c r="AR2264">
        <v>0</v>
      </c>
      <c r="AZ2264">
        <v>3614</v>
      </c>
      <c r="BA2264">
        <v>1</v>
      </c>
      <c r="BB2264" t="str">
        <f t="shared" si="107"/>
        <v xml:space="preserve">N959MJ  </v>
      </c>
      <c r="BC2264">
        <v>1</v>
      </c>
      <c r="BE2264">
        <v>0</v>
      </c>
      <c r="BF2264">
        <v>0</v>
      </c>
      <c r="BG2264">
        <v>0</v>
      </c>
      <c r="BH2264">
        <v>4900</v>
      </c>
      <c r="BI2264">
        <v>200</v>
      </c>
      <c r="BJ2264">
        <v>1</v>
      </c>
      <c r="BK2264">
        <v>1</v>
      </c>
      <c r="BL2264">
        <v>1</v>
      </c>
      <c r="BM2264">
        <v>0</v>
      </c>
      <c r="BP2264">
        <v>0</v>
      </c>
      <c r="BQ2264">
        <v>0</v>
      </c>
      <c r="BX2264" t="str">
        <f>"14:28:05.438"</f>
        <v>14:28:05.438</v>
      </c>
      <c r="BY2264" t="str">
        <f>"436869083"</f>
        <v>436869083</v>
      </c>
      <c r="CL2264">
        <v>0</v>
      </c>
      <c r="CM2264">
        <v>2</v>
      </c>
      <c r="CN2264">
        <v>0</v>
      </c>
      <c r="CO2264">
        <v>2</v>
      </c>
      <c r="CP2264">
        <v>0</v>
      </c>
      <c r="CQ2264">
        <v>7</v>
      </c>
      <c r="CR2264" t="s">
        <v>116</v>
      </c>
      <c r="CS2264">
        <v>39</v>
      </c>
      <c r="CT2264">
        <v>2</v>
      </c>
      <c r="CU2264" t="s">
        <v>2259</v>
      </c>
      <c r="CV2264" t="s">
        <v>2260</v>
      </c>
      <c r="CY2264">
        <v>148640</v>
      </c>
      <c r="CZ2264" t="s">
        <v>119</v>
      </c>
    </row>
    <row r="2265" spans="1:104" x14ac:dyDescent="0.25">
      <c r="A2265" t="str">
        <f>"14:28:06.609"</f>
        <v>14:28:06.609</v>
      </c>
      <c r="B2265" t="s">
        <v>108</v>
      </c>
      <c r="C2265" t="str">
        <f t="shared" si="106"/>
        <v>ffdfd3c0</v>
      </c>
      <c r="D2265" t="s">
        <v>109</v>
      </c>
      <c r="E2265">
        <v>4</v>
      </c>
      <c r="F2265">
        <v>1004</v>
      </c>
      <c r="G2265" t="s">
        <v>110</v>
      </c>
      <c r="J2265" t="s">
        <v>111</v>
      </c>
      <c r="K2265">
        <v>0</v>
      </c>
      <c r="L2265">
        <v>3</v>
      </c>
      <c r="M2265">
        <v>0</v>
      </c>
      <c r="N2265">
        <v>2</v>
      </c>
      <c r="O2265">
        <v>1</v>
      </c>
      <c r="P2265">
        <v>0</v>
      </c>
      <c r="Q2265">
        <v>0</v>
      </c>
      <c r="R2265" t="s">
        <v>112</v>
      </c>
      <c r="S2265" t="str">
        <f>"14:28:06.438"</f>
        <v>14:28:06.438</v>
      </c>
      <c r="T2265" t="str">
        <f>"14:28:06.039"</f>
        <v>14:28:06.039</v>
      </c>
      <c r="U2265" t="str">
        <f t="shared" si="105"/>
        <v>ad5732</v>
      </c>
      <c r="V2265">
        <v>0</v>
      </c>
      <c r="W2265">
        <v>0</v>
      </c>
      <c r="X2265">
        <v>1</v>
      </c>
      <c r="Z2265">
        <v>0</v>
      </c>
      <c r="AA2265">
        <v>9</v>
      </c>
      <c r="AB2265">
        <v>3</v>
      </c>
      <c r="AC2265">
        <v>0</v>
      </c>
      <c r="AD2265">
        <v>10</v>
      </c>
      <c r="AE2265">
        <v>0</v>
      </c>
      <c r="AF2265">
        <v>3</v>
      </c>
      <c r="AG2265">
        <v>2</v>
      </c>
      <c r="AH2265">
        <v>0</v>
      </c>
      <c r="AI2265" t="s">
        <v>4637</v>
      </c>
      <c r="AJ2265">
        <v>39.949508000000002</v>
      </c>
      <c r="AK2265" t="s">
        <v>4638</v>
      </c>
      <c r="AL2265">
        <v>-75.624261000000004</v>
      </c>
      <c r="AM2265">
        <v>100</v>
      </c>
      <c r="AN2265">
        <v>4700</v>
      </c>
      <c r="AO2265" t="s">
        <v>115</v>
      </c>
      <c r="AP2265">
        <v>132</v>
      </c>
      <c r="AQ2265">
        <v>122</v>
      </c>
      <c r="AR2265">
        <v>0</v>
      </c>
      <c r="AZ2265">
        <v>3614</v>
      </c>
      <c r="BA2265">
        <v>1</v>
      </c>
      <c r="BB2265" t="str">
        <f t="shared" si="107"/>
        <v xml:space="preserve">N959MJ  </v>
      </c>
      <c r="BC2265">
        <v>1</v>
      </c>
      <c r="BE2265">
        <v>0</v>
      </c>
      <c r="BF2265">
        <v>0</v>
      </c>
      <c r="BG2265">
        <v>0</v>
      </c>
      <c r="BH2265">
        <v>4900</v>
      </c>
      <c r="BI2265">
        <v>200</v>
      </c>
      <c r="BJ2265">
        <v>1</v>
      </c>
      <c r="BK2265">
        <v>1</v>
      </c>
      <c r="BL2265">
        <v>1</v>
      </c>
      <c r="BM2265">
        <v>0</v>
      </c>
      <c r="BP2265">
        <v>0</v>
      </c>
      <c r="BQ2265">
        <v>0</v>
      </c>
      <c r="BX2265" t="str">
        <f>"14:28:06.438"</f>
        <v>14:28:06.438</v>
      </c>
      <c r="BY2265" t="str">
        <f>"437948445"</f>
        <v>437948445</v>
      </c>
      <c r="CL2265">
        <v>0</v>
      </c>
      <c r="CM2265">
        <v>2</v>
      </c>
      <c r="CN2265">
        <v>0</v>
      </c>
      <c r="CO2265">
        <v>2</v>
      </c>
      <c r="CP2265">
        <v>0</v>
      </c>
      <c r="CQ2265">
        <v>7</v>
      </c>
      <c r="CR2265" t="s">
        <v>116</v>
      </c>
      <c r="CS2265">
        <v>39</v>
      </c>
      <c r="CT2265">
        <v>3</v>
      </c>
      <c r="CU2265" t="s">
        <v>2259</v>
      </c>
      <c r="CV2265" t="s">
        <v>2260</v>
      </c>
      <c r="CY2265">
        <v>10911325</v>
      </c>
      <c r="CZ2265" t="s">
        <v>119</v>
      </c>
    </row>
    <row r="2266" spans="1:104" x14ac:dyDescent="0.25">
      <c r="A2266" t="str">
        <f>"14:28:07.617"</f>
        <v>14:28:07.617</v>
      </c>
      <c r="B2266" t="s">
        <v>108</v>
      </c>
      <c r="C2266" t="str">
        <f t="shared" si="106"/>
        <v>ffdfd3c0</v>
      </c>
      <c r="D2266" t="s">
        <v>109</v>
      </c>
      <c r="E2266">
        <v>4</v>
      </c>
      <c r="F2266">
        <v>1004</v>
      </c>
      <c r="G2266" t="s">
        <v>110</v>
      </c>
      <c r="J2266" t="s">
        <v>111</v>
      </c>
      <c r="K2266">
        <v>0</v>
      </c>
      <c r="L2266">
        <v>3</v>
      </c>
      <c r="M2266">
        <v>0</v>
      </c>
      <c r="N2266">
        <v>2</v>
      </c>
      <c r="O2266">
        <v>1</v>
      </c>
      <c r="P2266">
        <v>0</v>
      </c>
      <c r="Q2266">
        <v>0</v>
      </c>
      <c r="R2266" t="s">
        <v>112</v>
      </c>
      <c r="S2266" t="str">
        <f>"14:28:07.438"</f>
        <v>14:28:07.438</v>
      </c>
      <c r="T2266" t="str">
        <f>"14:28:07.039"</f>
        <v>14:28:07.039</v>
      </c>
      <c r="U2266" t="str">
        <f t="shared" si="105"/>
        <v>ad5732</v>
      </c>
      <c r="V2266">
        <v>0</v>
      </c>
      <c r="W2266">
        <v>0</v>
      </c>
      <c r="X2266">
        <v>1</v>
      </c>
      <c r="Z2266">
        <v>0</v>
      </c>
      <c r="AA2266">
        <v>9</v>
      </c>
      <c r="AB2266">
        <v>3</v>
      </c>
      <c r="AC2266">
        <v>0</v>
      </c>
      <c r="AD2266">
        <v>10</v>
      </c>
      <c r="AE2266">
        <v>0</v>
      </c>
      <c r="AF2266">
        <v>3</v>
      </c>
      <c r="AG2266">
        <v>2</v>
      </c>
      <c r="AH2266">
        <v>0</v>
      </c>
      <c r="AI2266" t="s">
        <v>4639</v>
      </c>
      <c r="AJ2266">
        <v>39.950066</v>
      </c>
      <c r="AK2266" t="s">
        <v>4640</v>
      </c>
      <c r="AL2266">
        <v>-75.623509999999996</v>
      </c>
      <c r="AM2266">
        <v>100</v>
      </c>
      <c r="AN2266">
        <v>4700</v>
      </c>
      <c r="AO2266" t="s">
        <v>115</v>
      </c>
      <c r="AP2266">
        <v>132</v>
      </c>
      <c r="AQ2266">
        <v>122</v>
      </c>
      <c r="AR2266">
        <v>0</v>
      </c>
      <c r="AZ2266">
        <v>3614</v>
      </c>
      <c r="BA2266">
        <v>1</v>
      </c>
      <c r="BB2266" t="str">
        <f t="shared" si="107"/>
        <v xml:space="preserve">N959MJ  </v>
      </c>
      <c r="BC2266">
        <v>1</v>
      </c>
      <c r="BE2266">
        <v>0</v>
      </c>
      <c r="BF2266">
        <v>0</v>
      </c>
      <c r="BG2266">
        <v>0</v>
      </c>
      <c r="BH2266">
        <v>4900</v>
      </c>
      <c r="BI2266">
        <v>200</v>
      </c>
      <c r="BJ2266">
        <v>1</v>
      </c>
      <c r="BK2266">
        <v>1</v>
      </c>
      <c r="BL2266">
        <v>1</v>
      </c>
      <c r="BM2266">
        <v>0</v>
      </c>
      <c r="BP2266">
        <v>0</v>
      </c>
      <c r="BQ2266">
        <v>0</v>
      </c>
      <c r="BX2266" t="str">
        <f>"14:28:07.438"</f>
        <v>14:28:07.438</v>
      </c>
      <c r="BY2266" t="str">
        <f>"440666183"</f>
        <v>440666183</v>
      </c>
      <c r="CL2266">
        <v>0</v>
      </c>
      <c r="CM2266">
        <v>2</v>
      </c>
      <c r="CN2266">
        <v>0</v>
      </c>
      <c r="CO2266">
        <v>2</v>
      </c>
      <c r="CP2266">
        <v>0</v>
      </c>
      <c r="CQ2266">
        <v>7</v>
      </c>
      <c r="CR2266" t="s">
        <v>116</v>
      </c>
      <c r="CS2266">
        <v>39</v>
      </c>
      <c r="CT2266">
        <v>3</v>
      </c>
      <c r="CU2266" t="s">
        <v>2259</v>
      </c>
      <c r="CV2266" t="s">
        <v>2260</v>
      </c>
      <c r="CY2266">
        <v>10913281</v>
      </c>
      <c r="CZ2266" t="s">
        <v>119</v>
      </c>
    </row>
    <row r="2267" spans="1:104" x14ac:dyDescent="0.25">
      <c r="A2267" t="str">
        <f>"14:28:08.781"</f>
        <v>14:28:08.781</v>
      </c>
      <c r="B2267" t="s">
        <v>108</v>
      </c>
      <c r="C2267" t="str">
        <f t="shared" si="106"/>
        <v>ffdfd3c0</v>
      </c>
      <c r="D2267" t="s">
        <v>109</v>
      </c>
      <c r="E2267">
        <v>4</v>
      </c>
      <c r="F2267">
        <v>1004</v>
      </c>
      <c r="G2267" t="s">
        <v>110</v>
      </c>
      <c r="J2267" t="s">
        <v>111</v>
      </c>
      <c r="K2267">
        <v>0</v>
      </c>
      <c r="L2267">
        <v>3</v>
      </c>
      <c r="M2267">
        <v>0</v>
      </c>
      <c r="N2267">
        <v>2</v>
      </c>
      <c r="O2267">
        <v>1</v>
      </c>
      <c r="P2267">
        <v>0</v>
      </c>
      <c r="Q2267">
        <v>0</v>
      </c>
      <c r="R2267" t="s">
        <v>112</v>
      </c>
      <c r="S2267" t="str">
        <f>"14:28:08.555"</f>
        <v>14:28:08.555</v>
      </c>
      <c r="T2267" t="str">
        <f>"14:28:08.055"</f>
        <v>14:28:08.055</v>
      </c>
      <c r="U2267" t="str">
        <f t="shared" si="105"/>
        <v>ad5732</v>
      </c>
      <c r="V2267">
        <v>0</v>
      </c>
      <c r="W2267">
        <v>0</v>
      </c>
      <c r="X2267">
        <v>1</v>
      </c>
      <c r="Z2267">
        <v>0</v>
      </c>
      <c r="AA2267">
        <v>9</v>
      </c>
      <c r="AB2267">
        <v>3</v>
      </c>
      <c r="AC2267">
        <v>0</v>
      </c>
      <c r="AD2267">
        <v>10</v>
      </c>
      <c r="AE2267">
        <v>0</v>
      </c>
      <c r="AF2267">
        <v>3</v>
      </c>
      <c r="AG2267">
        <v>2</v>
      </c>
      <c r="AH2267">
        <v>0</v>
      </c>
      <c r="AI2267" t="s">
        <v>4641</v>
      </c>
      <c r="AJ2267">
        <v>39.950688</v>
      </c>
      <c r="AK2267" t="s">
        <v>4642</v>
      </c>
      <c r="AL2267">
        <v>-75.622630000000001</v>
      </c>
      <c r="AM2267">
        <v>100</v>
      </c>
      <c r="AN2267">
        <v>4700</v>
      </c>
      <c r="AO2267" t="s">
        <v>115</v>
      </c>
      <c r="AP2267">
        <v>132</v>
      </c>
      <c r="AQ2267">
        <v>122</v>
      </c>
      <c r="AR2267">
        <v>0</v>
      </c>
      <c r="AZ2267">
        <v>3614</v>
      </c>
      <c r="BA2267">
        <v>1</v>
      </c>
      <c r="BB2267" t="str">
        <f t="shared" si="107"/>
        <v xml:space="preserve">N959MJ  </v>
      </c>
      <c r="BC2267">
        <v>1</v>
      </c>
      <c r="BE2267">
        <v>0</v>
      </c>
      <c r="BF2267">
        <v>0</v>
      </c>
      <c r="BG2267">
        <v>0</v>
      </c>
      <c r="BH2267">
        <v>4900</v>
      </c>
      <c r="BI2267">
        <v>200</v>
      </c>
      <c r="BJ2267">
        <v>1</v>
      </c>
      <c r="BK2267">
        <v>1</v>
      </c>
      <c r="BL2267">
        <v>1</v>
      </c>
      <c r="BM2267">
        <v>0</v>
      </c>
      <c r="BP2267">
        <v>0</v>
      </c>
      <c r="BQ2267">
        <v>0</v>
      </c>
      <c r="BX2267" t="str">
        <f>"14:28:08.555"</f>
        <v>14:28:08.555</v>
      </c>
      <c r="BY2267" t="str">
        <f>"558298148"</f>
        <v>558298148</v>
      </c>
      <c r="CL2267">
        <v>0</v>
      </c>
      <c r="CM2267">
        <v>2</v>
      </c>
      <c r="CN2267">
        <v>0</v>
      </c>
      <c r="CO2267">
        <v>2</v>
      </c>
      <c r="CP2267">
        <v>0</v>
      </c>
      <c r="CQ2267">
        <v>5</v>
      </c>
      <c r="CR2267" t="s">
        <v>116</v>
      </c>
      <c r="CS2267">
        <v>408</v>
      </c>
      <c r="CT2267">
        <v>1</v>
      </c>
      <c r="CU2267" t="s">
        <v>2317</v>
      </c>
      <c r="CV2267" t="s">
        <v>2318</v>
      </c>
      <c r="CY2267">
        <v>12706047</v>
      </c>
      <c r="CZ2267" t="s">
        <v>119</v>
      </c>
    </row>
    <row r="2268" spans="1:104" x14ac:dyDescent="0.25">
      <c r="A2268" t="str">
        <f>"14:28:09.789"</f>
        <v>14:28:09.789</v>
      </c>
      <c r="B2268" t="s">
        <v>108</v>
      </c>
      <c r="C2268" t="str">
        <f t="shared" si="106"/>
        <v>ffdfd3c0</v>
      </c>
      <c r="D2268" t="s">
        <v>109</v>
      </c>
      <c r="E2268">
        <v>4</v>
      </c>
      <c r="F2268">
        <v>1004</v>
      </c>
      <c r="G2268" t="s">
        <v>110</v>
      </c>
      <c r="J2268" t="s">
        <v>111</v>
      </c>
      <c r="K2268">
        <v>0</v>
      </c>
      <c r="L2268">
        <v>3</v>
      </c>
      <c r="M2268">
        <v>0</v>
      </c>
      <c r="N2268">
        <v>2</v>
      </c>
      <c r="O2268">
        <v>1</v>
      </c>
      <c r="P2268">
        <v>0</v>
      </c>
      <c r="Q2268">
        <v>0</v>
      </c>
      <c r="R2268" t="s">
        <v>112</v>
      </c>
      <c r="S2268" t="str">
        <f>"14:28:09.578"</f>
        <v>14:28:09.578</v>
      </c>
      <c r="T2268" t="str">
        <f>"14:28:09.078"</f>
        <v>14:28:09.078</v>
      </c>
      <c r="U2268" t="str">
        <f t="shared" si="105"/>
        <v>ad5732</v>
      </c>
      <c r="V2268">
        <v>0</v>
      </c>
      <c r="W2268">
        <v>0</v>
      </c>
      <c r="X2268">
        <v>1</v>
      </c>
      <c r="Z2268">
        <v>0</v>
      </c>
      <c r="AA2268">
        <v>9</v>
      </c>
      <c r="AB2268">
        <v>3</v>
      </c>
      <c r="AC2268">
        <v>0</v>
      </c>
      <c r="AD2268">
        <v>10</v>
      </c>
      <c r="AE2268">
        <v>0</v>
      </c>
      <c r="AF2268">
        <v>3</v>
      </c>
      <c r="AG2268">
        <v>2</v>
      </c>
      <c r="AH2268">
        <v>0</v>
      </c>
      <c r="AI2268" t="s">
        <v>4643</v>
      </c>
      <c r="AJ2268">
        <v>39.951289000000003</v>
      </c>
      <c r="AK2268" t="s">
        <v>4644</v>
      </c>
      <c r="AL2268">
        <v>-75.621836000000002</v>
      </c>
      <c r="AM2268">
        <v>100</v>
      </c>
      <c r="AN2268">
        <v>4700</v>
      </c>
      <c r="AO2268" t="s">
        <v>115</v>
      </c>
      <c r="AP2268">
        <v>132</v>
      </c>
      <c r="AQ2268">
        <v>122</v>
      </c>
      <c r="AR2268">
        <v>0</v>
      </c>
      <c r="AZ2268">
        <v>3614</v>
      </c>
      <c r="BA2268">
        <v>1</v>
      </c>
      <c r="BB2268" t="str">
        <f t="shared" si="107"/>
        <v xml:space="preserve">N959MJ  </v>
      </c>
      <c r="BC2268">
        <v>1</v>
      </c>
      <c r="BE2268">
        <v>0</v>
      </c>
      <c r="BF2268">
        <v>0</v>
      </c>
      <c r="BG2268">
        <v>0</v>
      </c>
      <c r="BH2268">
        <v>4900</v>
      </c>
      <c r="BI2268">
        <v>200</v>
      </c>
      <c r="BJ2268">
        <v>1</v>
      </c>
      <c r="BK2268">
        <v>1</v>
      </c>
      <c r="BL2268">
        <v>1</v>
      </c>
      <c r="BM2268">
        <v>0</v>
      </c>
      <c r="BP2268">
        <v>0</v>
      </c>
      <c r="BQ2268">
        <v>0</v>
      </c>
      <c r="BX2268" t="str">
        <f>"14:28:09.578"</f>
        <v>14:28:09.578</v>
      </c>
      <c r="BY2268" t="str">
        <f>"580452930"</f>
        <v>580452930</v>
      </c>
      <c r="CL2268">
        <v>0</v>
      </c>
      <c r="CM2268">
        <v>2</v>
      </c>
      <c r="CN2268">
        <v>0</v>
      </c>
      <c r="CO2268">
        <v>2</v>
      </c>
      <c r="CP2268">
        <v>0</v>
      </c>
      <c r="CQ2268">
        <v>7</v>
      </c>
      <c r="CR2268" t="s">
        <v>116</v>
      </c>
      <c r="CS2268">
        <v>39</v>
      </c>
      <c r="CT2268">
        <v>3</v>
      </c>
      <c r="CU2268" t="s">
        <v>2259</v>
      </c>
      <c r="CV2268" t="s">
        <v>2260</v>
      </c>
      <c r="CY2268">
        <v>10916852</v>
      </c>
      <c r="CZ2268" t="s">
        <v>119</v>
      </c>
    </row>
    <row r="2269" spans="1:104" x14ac:dyDescent="0.25">
      <c r="A2269" t="str">
        <f>"14:28:10.703"</f>
        <v>14:28:10.703</v>
      </c>
      <c r="B2269" t="s">
        <v>108</v>
      </c>
      <c r="C2269" t="str">
        <f t="shared" si="106"/>
        <v>ffdfd3c0</v>
      </c>
      <c r="D2269" t="s">
        <v>109</v>
      </c>
      <c r="E2269">
        <v>4</v>
      </c>
      <c r="F2269">
        <v>1004</v>
      </c>
      <c r="G2269" t="s">
        <v>110</v>
      </c>
      <c r="J2269" t="s">
        <v>111</v>
      </c>
      <c r="K2269">
        <v>0</v>
      </c>
      <c r="L2269">
        <v>3</v>
      </c>
      <c r="M2269">
        <v>0</v>
      </c>
      <c r="N2269">
        <v>2</v>
      </c>
      <c r="O2269">
        <v>1</v>
      </c>
      <c r="P2269">
        <v>0</v>
      </c>
      <c r="Q2269">
        <v>0</v>
      </c>
      <c r="R2269" t="s">
        <v>112</v>
      </c>
      <c r="S2269" t="str">
        <f>"14:28:10.500"</f>
        <v>14:28:10.500</v>
      </c>
      <c r="T2269" t="str">
        <f>"14:28:10.102"</f>
        <v>14:28:10.102</v>
      </c>
      <c r="U2269" t="str">
        <f t="shared" si="105"/>
        <v>ad5732</v>
      </c>
      <c r="V2269">
        <v>0</v>
      </c>
      <c r="W2269">
        <v>0</v>
      </c>
      <c r="X2269">
        <v>1</v>
      </c>
      <c r="Z2269">
        <v>0</v>
      </c>
      <c r="AA2269">
        <v>9</v>
      </c>
      <c r="AB2269">
        <v>3</v>
      </c>
      <c r="AC2269">
        <v>0</v>
      </c>
      <c r="AD2269">
        <v>10</v>
      </c>
      <c r="AE2269">
        <v>0</v>
      </c>
      <c r="AF2269">
        <v>3</v>
      </c>
      <c r="AG2269">
        <v>2</v>
      </c>
      <c r="AH2269">
        <v>0</v>
      </c>
      <c r="AI2269" t="s">
        <v>4645</v>
      </c>
      <c r="AJ2269">
        <v>39.951824999999999</v>
      </c>
      <c r="AK2269" t="s">
        <v>4646</v>
      </c>
      <c r="AL2269">
        <v>-75.621042000000003</v>
      </c>
      <c r="AM2269">
        <v>100</v>
      </c>
      <c r="AN2269">
        <v>4700</v>
      </c>
      <c r="AO2269" t="s">
        <v>115</v>
      </c>
      <c r="AP2269">
        <v>132</v>
      </c>
      <c r="AQ2269">
        <v>122</v>
      </c>
      <c r="AR2269">
        <v>0</v>
      </c>
      <c r="AZ2269">
        <v>3614</v>
      </c>
      <c r="BA2269">
        <v>1</v>
      </c>
      <c r="BB2269" t="str">
        <f t="shared" si="107"/>
        <v xml:space="preserve">N959MJ  </v>
      </c>
      <c r="BC2269">
        <v>1</v>
      </c>
      <c r="BE2269">
        <v>0</v>
      </c>
      <c r="BF2269">
        <v>0</v>
      </c>
      <c r="BG2269">
        <v>0</v>
      </c>
      <c r="BH2269">
        <v>4900</v>
      </c>
      <c r="BI2269">
        <v>200</v>
      </c>
      <c r="BJ2269">
        <v>1</v>
      </c>
      <c r="BK2269">
        <v>1</v>
      </c>
      <c r="BL2269">
        <v>1</v>
      </c>
      <c r="BM2269">
        <v>0</v>
      </c>
      <c r="BP2269">
        <v>0</v>
      </c>
      <c r="BQ2269">
        <v>0</v>
      </c>
      <c r="BX2269" t="str">
        <f>"14:28:10.508"</f>
        <v>14:28:10.508</v>
      </c>
      <c r="BY2269" t="str">
        <f>"507803112"</f>
        <v>507803112</v>
      </c>
      <c r="CL2269">
        <v>0</v>
      </c>
      <c r="CM2269">
        <v>2</v>
      </c>
      <c r="CN2269">
        <v>0</v>
      </c>
      <c r="CO2269">
        <v>2</v>
      </c>
      <c r="CP2269">
        <v>0</v>
      </c>
      <c r="CQ2269">
        <v>7</v>
      </c>
      <c r="CR2269" t="s">
        <v>116</v>
      </c>
      <c r="CS2269">
        <v>39</v>
      </c>
      <c r="CT2269">
        <v>2</v>
      </c>
      <c r="CU2269" t="s">
        <v>2259</v>
      </c>
      <c r="CV2269" t="s">
        <v>2260</v>
      </c>
      <c r="CY2269">
        <v>157301</v>
      </c>
      <c r="CZ2269" t="s">
        <v>119</v>
      </c>
    </row>
    <row r="2270" spans="1:104" x14ac:dyDescent="0.25">
      <c r="A2270" t="str">
        <f>"14:28:11.609"</f>
        <v>14:28:11.609</v>
      </c>
      <c r="B2270" t="s">
        <v>108</v>
      </c>
      <c r="C2270" t="str">
        <f t="shared" si="106"/>
        <v>ffdfd3c0</v>
      </c>
      <c r="D2270" t="s">
        <v>109</v>
      </c>
      <c r="E2270">
        <v>4</v>
      </c>
      <c r="F2270">
        <v>1004</v>
      </c>
      <c r="G2270" t="s">
        <v>110</v>
      </c>
      <c r="J2270" t="s">
        <v>111</v>
      </c>
      <c r="K2270">
        <v>0</v>
      </c>
      <c r="L2270">
        <v>3</v>
      </c>
      <c r="M2270">
        <v>0</v>
      </c>
      <c r="N2270">
        <v>2</v>
      </c>
      <c r="O2270">
        <v>1</v>
      </c>
      <c r="P2270">
        <v>0</v>
      </c>
      <c r="Q2270">
        <v>0</v>
      </c>
      <c r="R2270" t="s">
        <v>112</v>
      </c>
      <c r="S2270" t="str">
        <f>"14:28:11.422"</f>
        <v>14:28:11.422</v>
      </c>
      <c r="T2270" t="str">
        <f>"14:28:11.125"</f>
        <v>14:28:11.125</v>
      </c>
      <c r="U2270" t="str">
        <f t="shared" si="105"/>
        <v>ad5732</v>
      </c>
      <c r="V2270">
        <v>0</v>
      </c>
      <c r="W2270">
        <v>0</v>
      </c>
      <c r="X2270">
        <v>1</v>
      </c>
      <c r="Z2270">
        <v>0</v>
      </c>
      <c r="AA2270">
        <v>9</v>
      </c>
      <c r="AB2270">
        <v>3</v>
      </c>
      <c r="AC2270">
        <v>0</v>
      </c>
      <c r="AD2270">
        <v>10</v>
      </c>
      <c r="AE2270">
        <v>0</v>
      </c>
      <c r="AF2270">
        <v>3</v>
      </c>
      <c r="AG2270">
        <v>2</v>
      </c>
      <c r="AH2270">
        <v>0</v>
      </c>
      <c r="AI2270" t="s">
        <v>4647</v>
      </c>
      <c r="AJ2270">
        <v>39.95234</v>
      </c>
      <c r="AK2270" t="s">
        <v>4648</v>
      </c>
      <c r="AL2270">
        <v>-75.620334</v>
      </c>
      <c r="AM2270">
        <v>100</v>
      </c>
      <c r="AN2270">
        <v>4700</v>
      </c>
      <c r="AO2270" t="s">
        <v>115</v>
      </c>
      <c r="AP2270">
        <v>131</v>
      </c>
      <c r="AQ2270">
        <v>122</v>
      </c>
      <c r="AR2270">
        <v>0</v>
      </c>
      <c r="AZ2270">
        <v>3614</v>
      </c>
      <c r="BA2270">
        <v>1</v>
      </c>
      <c r="BB2270" t="str">
        <f t="shared" si="107"/>
        <v xml:space="preserve">N959MJ  </v>
      </c>
      <c r="BC2270">
        <v>1</v>
      </c>
      <c r="BE2270">
        <v>0</v>
      </c>
      <c r="BF2270">
        <v>0</v>
      </c>
      <c r="BG2270">
        <v>0</v>
      </c>
      <c r="BH2270">
        <v>4900</v>
      </c>
      <c r="BI2270">
        <v>200</v>
      </c>
      <c r="BJ2270">
        <v>1</v>
      </c>
      <c r="BK2270">
        <v>1</v>
      </c>
      <c r="BL2270">
        <v>1</v>
      </c>
      <c r="BM2270">
        <v>0</v>
      </c>
      <c r="BP2270">
        <v>0</v>
      </c>
      <c r="BQ2270">
        <v>0</v>
      </c>
      <c r="BX2270" t="str">
        <f>"14:28:11.422"</f>
        <v>14:28:11.422</v>
      </c>
      <c r="BY2270" t="str">
        <f>"425322763"</f>
        <v>425322763</v>
      </c>
      <c r="CL2270">
        <v>0</v>
      </c>
      <c r="CM2270">
        <v>2</v>
      </c>
      <c r="CN2270">
        <v>0</v>
      </c>
      <c r="CO2270">
        <v>2</v>
      </c>
      <c r="CP2270">
        <v>0</v>
      </c>
      <c r="CQ2270">
        <v>7</v>
      </c>
      <c r="CR2270" t="s">
        <v>116</v>
      </c>
      <c r="CS2270">
        <v>39</v>
      </c>
      <c r="CT2270">
        <v>3</v>
      </c>
      <c r="CU2270" t="s">
        <v>2259</v>
      </c>
      <c r="CV2270" t="s">
        <v>2260</v>
      </c>
      <c r="CY2270">
        <v>10920100</v>
      </c>
      <c r="CZ2270" t="s">
        <v>119</v>
      </c>
    </row>
    <row r="2271" spans="1:104" x14ac:dyDescent="0.25">
      <c r="A2271" t="str">
        <f>"14:28:12.617"</f>
        <v>14:28:12.617</v>
      </c>
      <c r="B2271" t="s">
        <v>108</v>
      </c>
      <c r="C2271" t="str">
        <f t="shared" si="106"/>
        <v>ffdfd3c0</v>
      </c>
      <c r="D2271" t="s">
        <v>109</v>
      </c>
      <c r="E2271">
        <v>4</v>
      </c>
      <c r="F2271">
        <v>1004</v>
      </c>
      <c r="G2271" t="s">
        <v>110</v>
      </c>
      <c r="J2271" t="s">
        <v>111</v>
      </c>
      <c r="K2271">
        <v>0</v>
      </c>
      <c r="L2271">
        <v>3</v>
      </c>
      <c r="M2271">
        <v>0</v>
      </c>
      <c r="N2271">
        <v>2</v>
      </c>
      <c r="O2271">
        <v>1</v>
      </c>
      <c r="P2271">
        <v>0</v>
      </c>
      <c r="Q2271">
        <v>0</v>
      </c>
      <c r="R2271" t="s">
        <v>112</v>
      </c>
      <c r="S2271" t="str">
        <f>"14:28:12.422"</f>
        <v>14:28:12.422</v>
      </c>
      <c r="T2271" t="str">
        <f>"14:28:11.922"</f>
        <v>14:28:11.922</v>
      </c>
      <c r="U2271" t="str">
        <f t="shared" si="105"/>
        <v>ad5732</v>
      </c>
      <c r="V2271">
        <v>0</v>
      </c>
      <c r="W2271">
        <v>0</v>
      </c>
      <c r="X2271">
        <v>1</v>
      </c>
      <c r="Z2271">
        <v>0</v>
      </c>
      <c r="AA2271">
        <v>9</v>
      </c>
      <c r="AB2271">
        <v>3</v>
      </c>
      <c r="AC2271">
        <v>0</v>
      </c>
      <c r="AD2271">
        <v>10</v>
      </c>
      <c r="AE2271">
        <v>0</v>
      </c>
      <c r="AF2271">
        <v>3</v>
      </c>
      <c r="AG2271">
        <v>2</v>
      </c>
      <c r="AH2271">
        <v>0</v>
      </c>
      <c r="AI2271" t="s">
        <v>4649</v>
      </c>
      <c r="AJ2271">
        <v>39.952897999999998</v>
      </c>
      <c r="AK2271" t="s">
        <v>4650</v>
      </c>
      <c r="AL2271">
        <v>-75.619518999999997</v>
      </c>
      <c r="AM2271">
        <v>100</v>
      </c>
      <c r="AN2271">
        <v>4700</v>
      </c>
      <c r="AO2271" t="s">
        <v>115</v>
      </c>
      <c r="AP2271">
        <v>131</v>
      </c>
      <c r="AQ2271">
        <v>122</v>
      </c>
      <c r="AR2271">
        <v>0</v>
      </c>
      <c r="AZ2271">
        <v>3614</v>
      </c>
      <c r="BA2271">
        <v>1</v>
      </c>
      <c r="BB2271" t="str">
        <f t="shared" si="107"/>
        <v xml:space="preserve">N959MJ  </v>
      </c>
      <c r="BC2271">
        <v>1</v>
      </c>
      <c r="BE2271">
        <v>0</v>
      </c>
      <c r="BF2271">
        <v>0</v>
      </c>
      <c r="BG2271">
        <v>0</v>
      </c>
      <c r="BH2271">
        <v>4900</v>
      </c>
      <c r="BI2271">
        <v>200</v>
      </c>
      <c r="BJ2271">
        <v>1</v>
      </c>
      <c r="BK2271">
        <v>1</v>
      </c>
      <c r="BL2271">
        <v>1</v>
      </c>
      <c r="BM2271">
        <v>0</v>
      </c>
      <c r="BP2271">
        <v>0</v>
      </c>
      <c r="BQ2271">
        <v>0</v>
      </c>
      <c r="BX2271" t="str">
        <f>"14:28:12.422"</f>
        <v>14:28:12.422</v>
      </c>
      <c r="BY2271" t="str">
        <f>"423125277"</f>
        <v>423125277</v>
      </c>
      <c r="CL2271">
        <v>0</v>
      </c>
      <c r="CM2271">
        <v>2</v>
      </c>
      <c r="CN2271">
        <v>0</v>
      </c>
      <c r="CO2271">
        <v>2</v>
      </c>
      <c r="CP2271">
        <v>0</v>
      </c>
      <c r="CQ2271">
        <v>7</v>
      </c>
      <c r="CR2271" t="s">
        <v>116</v>
      </c>
      <c r="CS2271">
        <v>39</v>
      </c>
      <c r="CT2271">
        <v>2</v>
      </c>
      <c r="CU2271" t="s">
        <v>2259</v>
      </c>
      <c r="CV2271" t="s">
        <v>2260</v>
      </c>
      <c r="CY2271">
        <v>160637</v>
      </c>
      <c r="CZ2271" t="s">
        <v>119</v>
      </c>
    </row>
    <row r="2272" spans="1:104" x14ac:dyDescent="0.25">
      <c r="A2272" t="str">
        <f>"14:28:13.578"</f>
        <v>14:28:13.578</v>
      </c>
      <c r="B2272" t="s">
        <v>108</v>
      </c>
      <c r="C2272" t="str">
        <f t="shared" si="106"/>
        <v>ffdfd3c0</v>
      </c>
      <c r="D2272" t="s">
        <v>109</v>
      </c>
      <c r="E2272">
        <v>4</v>
      </c>
      <c r="F2272">
        <v>1004</v>
      </c>
      <c r="G2272" t="s">
        <v>110</v>
      </c>
      <c r="J2272" t="s">
        <v>111</v>
      </c>
      <c r="K2272">
        <v>0</v>
      </c>
      <c r="L2272">
        <v>3</v>
      </c>
      <c r="M2272">
        <v>0</v>
      </c>
      <c r="N2272">
        <v>2</v>
      </c>
      <c r="O2272">
        <v>1</v>
      </c>
      <c r="P2272">
        <v>0</v>
      </c>
      <c r="Q2272">
        <v>0</v>
      </c>
      <c r="R2272" t="s">
        <v>112</v>
      </c>
      <c r="S2272" t="str">
        <f>"14:28:13.375"</f>
        <v>14:28:13.375</v>
      </c>
      <c r="T2272" t="str">
        <f>"14:28:12.977"</f>
        <v>14:28:12.977</v>
      </c>
      <c r="U2272" t="str">
        <f t="shared" si="105"/>
        <v>ad5732</v>
      </c>
      <c r="V2272">
        <v>0</v>
      </c>
      <c r="W2272">
        <v>0</v>
      </c>
      <c r="X2272">
        <v>1</v>
      </c>
      <c r="Z2272">
        <v>0</v>
      </c>
      <c r="AA2272">
        <v>9</v>
      </c>
      <c r="AB2272">
        <v>3</v>
      </c>
      <c r="AC2272">
        <v>0</v>
      </c>
      <c r="AD2272">
        <v>10</v>
      </c>
      <c r="AE2272">
        <v>0</v>
      </c>
      <c r="AF2272">
        <v>3</v>
      </c>
      <c r="AG2272">
        <v>2</v>
      </c>
      <c r="AH2272">
        <v>0</v>
      </c>
      <c r="AI2272" t="s">
        <v>4651</v>
      </c>
      <c r="AJ2272">
        <v>39.953434000000001</v>
      </c>
      <c r="AK2272" t="s">
        <v>4652</v>
      </c>
      <c r="AL2272">
        <v>-75.618831999999998</v>
      </c>
      <c r="AM2272">
        <v>100</v>
      </c>
      <c r="AN2272">
        <v>4700</v>
      </c>
      <c r="AO2272" t="s">
        <v>115</v>
      </c>
      <c r="AP2272">
        <v>131</v>
      </c>
      <c r="AQ2272">
        <v>122</v>
      </c>
      <c r="AR2272">
        <v>0</v>
      </c>
      <c r="AZ2272">
        <v>3614</v>
      </c>
      <c r="BA2272">
        <v>1</v>
      </c>
      <c r="BB2272" t="str">
        <f t="shared" si="107"/>
        <v xml:space="preserve">N959MJ  </v>
      </c>
      <c r="BC2272">
        <v>1</v>
      </c>
      <c r="BE2272">
        <v>0</v>
      </c>
      <c r="BF2272">
        <v>0</v>
      </c>
      <c r="BG2272">
        <v>0</v>
      </c>
      <c r="BH2272">
        <v>4900</v>
      </c>
      <c r="BI2272">
        <v>200</v>
      </c>
      <c r="BJ2272">
        <v>1</v>
      </c>
      <c r="BK2272">
        <v>1</v>
      </c>
      <c r="BL2272">
        <v>1</v>
      </c>
      <c r="BM2272">
        <v>0</v>
      </c>
      <c r="BP2272">
        <v>0</v>
      </c>
      <c r="BQ2272">
        <v>0</v>
      </c>
      <c r="BX2272" t="str">
        <f>"14:28:13.375"</f>
        <v>14:28:13.375</v>
      </c>
      <c r="BY2272" t="str">
        <f>"378328792"</f>
        <v>378328792</v>
      </c>
      <c r="CL2272">
        <v>0</v>
      </c>
      <c r="CM2272">
        <v>2</v>
      </c>
      <c r="CN2272">
        <v>0</v>
      </c>
      <c r="CO2272">
        <v>2</v>
      </c>
      <c r="CP2272">
        <v>0</v>
      </c>
      <c r="CQ2272">
        <v>7</v>
      </c>
      <c r="CR2272" t="s">
        <v>116</v>
      </c>
      <c r="CS2272">
        <v>39</v>
      </c>
      <c r="CT2272">
        <v>2</v>
      </c>
      <c r="CU2272" t="s">
        <v>2259</v>
      </c>
      <c r="CV2272" t="s">
        <v>2260</v>
      </c>
      <c r="CY2272">
        <v>162309</v>
      </c>
      <c r="CZ2272" t="s">
        <v>119</v>
      </c>
    </row>
    <row r="2273" spans="1:104" x14ac:dyDescent="0.25">
      <c r="A2273" t="str">
        <f>"14:28:14.688"</f>
        <v>14:28:14.688</v>
      </c>
      <c r="B2273" t="s">
        <v>108</v>
      </c>
      <c r="C2273" t="str">
        <f t="shared" si="106"/>
        <v>ffdfd3c0</v>
      </c>
      <c r="D2273" t="s">
        <v>109</v>
      </c>
      <c r="E2273">
        <v>4</v>
      </c>
      <c r="F2273">
        <v>1004</v>
      </c>
      <c r="G2273" t="s">
        <v>110</v>
      </c>
      <c r="J2273" t="s">
        <v>111</v>
      </c>
      <c r="K2273">
        <v>0</v>
      </c>
      <c r="L2273">
        <v>3</v>
      </c>
      <c r="M2273">
        <v>0</v>
      </c>
      <c r="N2273">
        <v>2</v>
      </c>
      <c r="O2273">
        <v>1</v>
      </c>
      <c r="P2273">
        <v>0</v>
      </c>
      <c r="Q2273">
        <v>0</v>
      </c>
      <c r="R2273" t="s">
        <v>112</v>
      </c>
      <c r="S2273" t="str">
        <f>"14:28:14.484"</f>
        <v>14:28:14.484</v>
      </c>
      <c r="T2273" t="str">
        <f>"14:28:13.984"</f>
        <v>14:28:13.984</v>
      </c>
      <c r="U2273" t="str">
        <f t="shared" si="105"/>
        <v>ad5732</v>
      </c>
      <c r="V2273">
        <v>0</v>
      </c>
      <c r="W2273">
        <v>0</v>
      </c>
      <c r="X2273">
        <v>1</v>
      </c>
      <c r="Z2273">
        <v>0</v>
      </c>
      <c r="AA2273">
        <v>9</v>
      </c>
      <c r="AB2273">
        <v>3</v>
      </c>
      <c r="AC2273">
        <v>0</v>
      </c>
      <c r="AD2273">
        <v>10</v>
      </c>
      <c r="AE2273">
        <v>0</v>
      </c>
      <c r="AF2273">
        <v>3</v>
      </c>
      <c r="AG2273">
        <v>2</v>
      </c>
      <c r="AH2273">
        <v>0</v>
      </c>
      <c r="AI2273" t="s">
        <v>4653</v>
      </c>
      <c r="AJ2273">
        <v>39.954014000000001</v>
      </c>
      <c r="AK2273" t="s">
        <v>4654</v>
      </c>
      <c r="AL2273">
        <v>-75.617952000000002</v>
      </c>
      <c r="AM2273">
        <v>100</v>
      </c>
      <c r="AN2273">
        <v>4700</v>
      </c>
      <c r="AO2273" t="s">
        <v>115</v>
      </c>
      <c r="AP2273">
        <v>131</v>
      </c>
      <c r="AQ2273">
        <v>122</v>
      </c>
      <c r="AR2273">
        <v>0</v>
      </c>
      <c r="AZ2273">
        <v>3614</v>
      </c>
      <c r="BA2273">
        <v>1</v>
      </c>
      <c r="BB2273" t="str">
        <f t="shared" si="107"/>
        <v xml:space="preserve">N959MJ  </v>
      </c>
      <c r="BC2273">
        <v>1</v>
      </c>
      <c r="BE2273">
        <v>0</v>
      </c>
      <c r="BF2273">
        <v>0</v>
      </c>
      <c r="BG2273">
        <v>0</v>
      </c>
      <c r="BH2273">
        <v>4900</v>
      </c>
      <c r="BI2273">
        <v>200</v>
      </c>
      <c r="BJ2273">
        <v>1</v>
      </c>
      <c r="BK2273">
        <v>1</v>
      </c>
      <c r="BL2273">
        <v>1</v>
      </c>
      <c r="BM2273">
        <v>0</v>
      </c>
      <c r="BP2273">
        <v>0</v>
      </c>
      <c r="BQ2273">
        <v>0</v>
      </c>
      <c r="BX2273" t="str">
        <f>"14:28:14.492"</f>
        <v>14:28:14.492</v>
      </c>
      <c r="BY2273" t="str">
        <f>"490821281"</f>
        <v>490821281</v>
      </c>
      <c r="CL2273">
        <v>0</v>
      </c>
      <c r="CM2273">
        <v>2</v>
      </c>
      <c r="CN2273">
        <v>0</v>
      </c>
      <c r="CO2273">
        <v>2</v>
      </c>
      <c r="CP2273">
        <v>0</v>
      </c>
      <c r="CQ2273">
        <v>7</v>
      </c>
      <c r="CR2273" t="s">
        <v>116</v>
      </c>
      <c r="CS2273">
        <v>39</v>
      </c>
      <c r="CT2273">
        <v>2</v>
      </c>
      <c r="CU2273" t="s">
        <v>2259</v>
      </c>
      <c r="CV2273" t="s">
        <v>2260</v>
      </c>
      <c r="CY2273">
        <v>163953</v>
      </c>
      <c r="CZ2273" t="s">
        <v>119</v>
      </c>
    </row>
    <row r="2274" spans="1:104" x14ac:dyDescent="0.25">
      <c r="A2274" t="str">
        <f>"14:28:15.594"</f>
        <v>14:28:15.594</v>
      </c>
      <c r="B2274" t="s">
        <v>108</v>
      </c>
      <c r="C2274" t="str">
        <f t="shared" si="106"/>
        <v>ffdfd3c0</v>
      </c>
      <c r="D2274" t="s">
        <v>109</v>
      </c>
      <c r="E2274">
        <v>4</v>
      </c>
      <c r="F2274">
        <v>1004</v>
      </c>
      <c r="G2274" t="s">
        <v>110</v>
      </c>
      <c r="J2274" t="s">
        <v>111</v>
      </c>
      <c r="K2274">
        <v>0</v>
      </c>
      <c r="L2274">
        <v>3</v>
      </c>
      <c r="M2274">
        <v>0</v>
      </c>
      <c r="N2274">
        <v>2</v>
      </c>
      <c r="O2274">
        <v>1</v>
      </c>
      <c r="P2274">
        <v>0</v>
      </c>
      <c r="Q2274">
        <v>0</v>
      </c>
      <c r="R2274" t="s">
        <v>112</v>
      </c>
      <c r="S2274" t="str">
        <f>"14:28:15.422"</f>
        <v>14:28:15.422</v>
      </c>
      <c r="T2274" t="str">
        <f>"14:28:15.023"</f>
        <v>14:28:15.023</v>
      </c>
      <c r="U2274" t="str">
        <f t="shared" si="105"/>
        <v>ad5732</v>
      </c>
      <c r="V2274">
        <v>0</v>
      </c>
      <c r="W2274">
        <v>0</v>
      </c>
      <c r="X2274">
        <v>1</v>
      </c>
      <c r="Z2274">
        <v>0</v>
      </c>
      <c r="AA2274">
        <v>9</v>
      </c>
      <c r="AB2274">
        <v>3</v>
      </c>
      <c r="AC2274">
        <v>0</v>
      </c>
      <c r="AD2274">
        <v>10</v>
      </c>
      <c r="AE2274">
        <v>0</v>
      </c>
      <c r="AF2274">
        <v>3</v>
      </c>
      <c r="AG2274">
        <v>2</v>
      </c>
      <c r="AH2274">
        <v>0</v>
      </c>
      <c r="AI2274" t="s">
        <v>4655</v>
      </c>
      <c r="AJ2274">
        <v>39.954571999999999</v>
      </c>
      <c r="AK2274" t="s">
        <v>4656</v>
      </c>
      <c r="AL2274">
        <v>-75.617158000000003</v>
      </c>
      <c r="AM2274">
        <v>100</v>
      </c>
      <c r="AN2274">
        <v>4700</v>
      </c>
      <c r="AO2274" t="s">
        <v>115</v>
      </c>
      <c r="AP2274">
        <v>131</v>
      </c>
      <c r="AQ2274">
        <v>122</v>
      </c>
      <c r="AR2274">
        <v>0</v>
      </c>
      <c r="AZ2274">
        <v>3614</v>
      </c>
      <c r="BA2274">
        <v>1</v>
      </c>
      <c r="BB2274" t="str">
        <f t="shared" si="107"/>
        <v xml:space="preserve">N959MJ  </v>
      </c>
      <c r="BC2274">
        <v>1</v>
      </c>
      <c r="BE2274">
        <v>0</v>
      </c>
      <c r="BF2274">
        <v>0</v>
      </c>
      <c r="BG2274">
        <v>0</v>
      </c>
      <c r="BH2274">
        <v>4900</v>
      </c>
      <c r="BI2274">
        <v>200</v>
      </c>
      <c r="BJ2274">
        <v>1</v>
      </c>
      <c r="BK2274">
        <v>1</v>
      </c>
      <c r="BL2274">
        <v>1</v>
      </c>
      <c r="BM2274">
        <v>0</v>
      </c>
      <c r="BP2274">
        <v>0</v>
      </c>
      <c r="BQ2274">
        <v>0</v>
      </c>
      <c r="BX2274" t="str">
        <f>"14:28:15.422"</f>
        <v>14:28:15.422</v>
      </c>
      <c r="BY2274" t="str">
        <f>"423086749"</f>
        <v>423086749</v>
      </c>
      <c r="CL2274">
        <v>0</v>
      </c>
      <c r="CM2274">
        <v>2</v>
      </c>
      <c r="CN2274">
        <v>0</v>
      </c>
      <c r="CO2274">
        <v>2</v>
      </c>
      <c r="CP2274">
        <v>0</v>
      </c>
      <c r="CQ2274">
        <v>7</v>
      </c>
      <c r="CR2274" t="s">
        <v>116</v>
      </c>
      <c r="CS2274">
        <v>39</v>
      </c>
      <c r="CT2274">
        <v>2</v>
      </c>
      <c r="CU2274" t="s">
        <v>2259</v>
      </c>
      <c r="CV2274" t="s">
        <v>2260</v>
      </c>
      <c r="CY2274">
        <v>165617</v>
      </c>
      <c r="CZ2274" t="s">
        <v>119</v>
      </c>
    </row>
    <row r="2275" spans="1:104" x14ac:dyDescent="0.25">
      <c r="A2275" t="str">
        <f>"14:28:16.656"</f>
        <v>14:28:16.656</v>
      </c>
      <c r="B2275" t="s">
        <v>108</v>
      </c>
      <c r="C2275" t="str">
        <f t="shared" si="106"/>
        <v>ffdfd3c0</v>
      </c>
      <c r="D2275" t="s">
        <v>109</v>
      </c>
      <c r="E2275">
        <v>4</v>
      </c>
      <c r="F2275">
        <v>1004</v>
      </c>
      <c r="G2275" t="s">
        <v>110</v>
      </c>
      <c r="J2275" t="s">
        <v>111</v>
      </c>
      <c r="K2275">
        <v>0</v>
      </c>
      <c r="L2275">
        <v>3</v>
      </c>
      <c r="M2275">
        <v>0</v>
      </c>
      <c r="N2275">
        <v>2</v>
      </c>
      <c r="O2275">
        <v>1</v>
      </c>
      <c r="P2275">
        <v>0</v>
      </c>
      <c r="Q2275">
        <v>0</v>
      </c>
      <c r="R2275" t="s">
        <v>112</v>
      </c>
      <c r="S2275" t="str">
        <f>"14:28:16.469"</f>
        <v>14:28:16.469</v>
      </c>
      <c r="T2275" t="str">
        <f>"14:28:15.969"</f>
        <v>14:28:15.969</v>
      </c>
      <c r="U2275" t="str">
        <f t="shared" si="105"/>
        <v>ad5732</v>
      </c>
      <c r="V2275">
        <v>0</v>
      </c>
      <c r="W2275">
        <v>0</v>
      </c>
      <c r="X2275">
        <v>1</v>
      </c>
      <c r="Z2275">
        <v>0</v>
      </c>
      <c r="AA2275">
        <v>9</v>
      </c>
      <c r="AB2275">
        <v>3</v>
      </c>
      <c r="AC2275">
        <v>0</v>
      </c>
      <c r="AD2275">
        <v>10</v>
      </c>
      <c r="AE2275">
        <v>0</v>
      </c>
      <c r="AF2275">
        <v>3</v>
      </c>
      <c r="AG2275">
        <v>2</v>
      </c>
      <c r="AH2275">
        <v>0</v>
      </c>
      <c r="AI2275" t="s">
        <v>4657</v>
      </c>
      <c r="AJ2275">
        <v>39.955173000000002</v>
      </c>
      <c r="AK2275" t="s">
        <v>4658</v>
      </c>
      <c r="AL2275">
        <v>-75.616343000000001</v>
      </c>
      <c r="AM2275">
        <v>100</v>
      </c>
      <c r="AN2275">
        <v>4700</v>
      </c>
      <c r="AO2275" t="s">
        <v>115</v>
      </c>
      <c r="AP2275">
        <v>131</v>
      </c>
      <c r="AQ2275">
        <v>122</v>
      </c>
      <c r="AR2275">
        <v>0</v>
      </c>
      <c r="AZ2275">
        <v>3614</v>
      </c>
      <c r="BA2275">
        <v>1</v>
      </c>
      <c r="BB2275" t="str">
        <f t="shared" si="107"/>
        <v xml:space="preserve">N959MJ  </v>
      </c>
      <c r="BC2275">
        <v>1</v>
      </c>
      <c r="BE2275">
        <v>0</v>
      </c>
      <c r="BF2275">
        <v>0</v>
      </c>
      <c r="BG2275">
        <v>0</v>
      </c>
      <c r="BH2275">
        <v>4900</v>
      </c>
      <c r="BI2275">
        <v>200</v>
      </c>
      <c r="BJ2275">
        <v>1</v>
      </c>
      <c r="BK2275">
        <v>1</v>
      </c>
      <c r="BL2275">
        <v>1</v>
      </c>
      <c r="BM2275">
        <v>0</v>
      </c>
      <c r="BP2275">
        <v>0</v>
      </c>
      <c r="BQ2275">
        <v>0</v>
      </c>
      <c r="BX2275" t="str">
        <f>"14:28:16.477"</f>
        <v>14:28:16.477</v>
      </c>
      <c r="BY2275" t="str">
        <f>"473319031"</f>
        <v>473319031</v>
      </c>
      <c r="CL2275">
        <v>0</v>
      </c>
      <c r="CM2275">
        <v>2</v>
      </c>
      <c r="CN2275">
        <v>0</v>
      </c>
      <c r="CO2275">
        <v>2</v>
      </c>
      <c r="CP2275">
        <v>0</v>
      </c>
      <c r="CQ2275">
        <v>7</v>
      </c>
      <c r="CR2275" t="s">
        <v>116</v>
      </c>
      <c r="CS2275">
        <v>39</v>
      </c>
      <c r="CT2275">
        <v>2</v>
      </c>
      <c r="CU2275" t="s">
        <v>2259</v>
      </c>
      <c r="CV2275" t="s">
        <v>2260</v>
      </c>
      <c r="CY2275">
        <v>167493</v>
      </c>
      <c r="CZ2275" t="s">
        <v>119</v>
      </c>
    </row>
    <row r="2276" spans="1:104" x14ac:dyDescent="0.25">
      <c r="A2276" t="str">
        <f>"14:28:17.664"</f>
        <v>14:28:17.664</v>
      </c>
      <c r="B2276" t="s">
        <v>108</v>
      </c>
      <c r="C2276" t="str">
        <f t="shared" si="106"/>
        <v>ffdfd3c0</v>
      </c>
      <c r="D2276" t="s">
        <v>109</v>
      </c>
      <c r="E2276">
        <v>4</v>
      </c>
      <c r="F2276">
        <v>1004</v>
      </c>
      <c r="G2276" t="s">
        <v>110</v>
      </c>
      <c r="J2276" t="s">
        <v>111</v>
      </c>
      <c r="K2276">
        <v>0</v>
      </c>
      <c r="L2276">
        <v>3</v>
      </c>
      <c r="M2276">
        <v>0</v>
      </c>
      <c r="N2276">
        <v>2</v>
      </c>
      <c r="O2276">
        <v>1</v>
      </c>
      <c r="P2276">
        <v>0</v>
      </c>
      <c r="Q2276">
        <v>0</v>
      </c>
      <c r="R2276" t="s">
        <v>112</v>
      </c>
      <c r="S2276" t="str">
        <f>"14:28:17.508"</f>
        <v>14:28:17.508</v>
      </c>
      <c r="T2276" t="str">
        <f>"14:28:17.008"</f>
        <v>14:28:17.008</v>
      </c>
      <c r="U2276" t="str">
        <f t="shared" si="105"/>
        <v>ad5732</v>
      </c>
      <c r="V2276">
        <v>0</v>
      </c>
      <c r="W2276">
        <v>0</v>
      </c>
      <c r="X2276">
        <v>1</v>
      </c>
      <c r="Z2276">
        <v>0</v>
      </c>
      <c r="AA2276">
        <v>9</v>
      </c>
      <c r="AB2276">
        <v>3</v>
      </c>
      <c r="AC2276">
        <v>0</v>
      </c>
      <c r="AD2276">
        <v>10</v>
      </c>
      <c r="AE2276">
        <v>0</v>
      </c>
      <c r="AF2276">
        <v>3</v>
      </c>
      <c r="AG2276">
        <v>2</v>
      </c>
      <c r="AH2276">
        <v>0</v>
      </c>
      <c r="AI2276" t="s">
        <v>4659</v>
      </c>
      <c r="AJ2276">
        <v>39.955773000000001</v>
      </c>
      <c r="AK2276" t="s">
        <v>4660</v>
      </c>
      <c r="AL2276">
        <v>-75.615485000000007</v>
      </c>
      <c r="AM2276">
        <v>100</v>
      </c>
      <c r="AN2276">
        <v>4700</v>
      </c>
      <c r="AO2276" t="s">
        <v>115</v>
      </c>
      <c r="AP2276">
        <v>131</v>
      </c>
      <c r="AQ2276">
        <v>122</v>
      </c>
      <c r="AR2276">
        <v>0</v>
      </c>
      <c r="AZ2276">
        <v>3614</v>
      </c>
      <c r="BA2276">
        <v>1</v>
      </c>
      <c r="BB2276" t="str">
        <f t="shared" si="107"/>
        <v xml:space="preserve">N959MJ  </v>
      </c>
      <c r="BC2276">
        <v>1</v>
      </c>
      <c r="BE2276">
        <v>0</v>
      </c>
      <c r="BF2276">
        <v>0</v>
      </c>
      <c r="BG2276">
        <v>0</v>
      </c>
      <c r="BH2276">
        <v>4900</v>
      </c>
      <c r="BI2276">
        <v>200</v>
      </c>
      <c r="BJ2276">
        <v>1</v>
      </c>
      <c r="BK2276">
        <v>1</v>
      </c>
      <c r="BL2276">
        <v>1</v>
      </c>
      <c r="BM2276">
        <v>0</v>
      </c>
      <c r="BP2276">
        <v>0</v>
      </c>
      <c r="BQ2276">
        <v>0</v>
      </c>
      <c r="BX2276" t="str">
        <f>"14:28:17.508"</f>
        <v>14:28:17.508</v>
      </c>
      <c r="BY2276" t="str">
        <f>"508805470"</f>
        <v>508805470</v>
      </c>
      <c r="CL2276">
        <v>0</v>
      </c>
      <c r="CM2276">
        <v>2</v>
      </c>
      <c r="CN2276">
        <v>0</v>
      </c>
      <c r="CO2276">
        <v>2</v>
      </c>
      <c r="CP2276">
        <v>0</v>
      </c>
      <c r="CQ2276">
        <v>7</v>
      </c>
      <c r="CR2276" t="s">
        <v>116</v>
      </c>
      <c r="CS2276">
        <v>39</v>
      </c>
      <c r="CT2276">
        <v>3</v>
      </c>
      <c r="CU2276" t="s">
        <v>2259</v>
      </c>
      <c r="CV2276" t="s">
        <v>2260</v>
      </c>
      <c r="CY2276">
        <v>10930567</v>
      </c>
      <c r="CZ2276" t="s">
        <v>119</v>
      </c>
    </row>
    <row r="2277" spans="1:104" x14ac:dyDescent="0.25">
      <c r="A2277" t="str">
        <f>"14:28:18.625"</f>
        <v>14:28:18.625</v>
      </c>
      <c r="B2277" t="s">
        <v>108</v>
      </c>
      <c r="C2277" t="str">
        <f t="shared" si="106"/>
        <v>ffdfd3c0</v>
      </c>
      <c r="D2277" t="s">
        <v>109</v>
      </c>
      <c r="E2277">
        <v>4</v>
      </c>
      <c r="F2277">
        <v>1004</v>
      </c>
      <c r="G2277" t="s">
        <v>110</v>
      </c>
      <c r="J2277" t="s">
        <v>111</v>
      </c>
      <c r="K2277">
        <v>0</v>
      </c>
      <c r="L2277">
        <v>3</v>
      </c>
      <c r="M2277">
        <v>0</v>
      </c>
      <c r="N2277">
        <v>2</v>
      </c>
      <c r="O2277">
        <v>1</v>
      </c>
      <c r="P2277">
        <v>0</v>
      </c>
      <c r="Q2277">
        <v>0</v>
      </c>
      <c r="R2277" t="s">
        <v>112</v>
      </c>
      <c r="S2277" t="str">
        <f>"14:28:18.438"</f>
        <v>14:28:18.438</v>
      </c>
      <c r="T2277" t="str">
        <f>"14:28:17.938"</f>
        <v>14:28:17.938</v>
      </c>
      <c r="U2277" t="str">
        <f t="shared" si="105"/>
        <v>ad5732</v>
      </c>
      <c r="V2277">
        <v>0</v>
      </c>
      <c r="W2277">
        <v>0</v>
      </c>
      <c r="X2277">
        <v>1</v>
      </c>
      <c r="Z2277">
        <v>0</v>
      </c>
      <c r="AA2277">
        <v>9</v>
      </c>
      <c r="AB2277">
        <v>3</v>
      </c>
      <c r="AC2277">
        <v>0</v>
      </c>
      <c r="AD2277">
        <v>10</v>
      </c>
      <c r="AE2277">
        <v>0</v>
      </c>
      <c r="AF2277">
        <v>3</v>
      </c>
      <c r="AG2277">
        <v>2</v>
      </c>
      <c r="AH2277">
        <v>0</v>
      </c>
      <c r="AI2277" t="s">
        <v>4661</v>
      </c>
      <c r="AJ2277">
        <v>39.956288000000001</v>
      </c>
      <c r="AK2277" t="s">
        <v>4662</v>
      </c>
      <c r="AL2277">
        <v>-75.614777000000004</v>
      </c>
      <c r="AM2277">
        <v>100</v>
      </c>
      <c r="AN2277">
        <v>4700</v>
      </c>
      <c r="AO2277" t="s">
        <v>115</v>
      </c>
      <c r="AP2277">
        <v>131</v>
      </c>
      <c r="AQ2277">
        <v>122</v>
      </c>
      <c r="AR2277">
        <v>0</v>
      </c>
      <c r="AZ2277">
        <v>3614</v>
      </c>
      <c r="BA2277">
        <v>1</v>
      </c>
      <c r="BB2277" t="str">
        <f t="shared" si="107"/>
        <v xml:space="preserve">N959MJ  </v>
      </c>
      <c r="BC2277">
        <v>1</v>
      </c>
      <c r="BE2277">
        <v>0</v>
      </c>
      <c r="BF2277">
        <v>0</v>
      </c>
      <c r="BG2277">
        <v>0</v>
      </c>
      <c r="BH2277">
        <v>4900</v>
      </c>
      <c r="BI2277">
        <v>200</v>
      </c>
      <c r="BJ2277">
        <v>1</v>
      </c>
      <c r="BK2277">
        <v>1</v>
      </c>
      <c r="BL2277">
        <v>1</v>
      </c>
      <c r="BM2277">
        <v>0</v>
      </c>
      <c r="BP2277">
        <v>0</v>
      </c>
      <c r="BQ2277">
        <v>0</v>
      </c>
      <c r="BX2277" t="str">
        <f>"14:28:18.438"</f>
        <v>14:28:18.438</v>
      </c>
      <c r="BY2277" t="str">
        <f>"441071011"</f>
        <v>441071011</v>
      </c>
      <c r="CL2277">
        <v>0</v>
      </c>
      <c r="CM2277">
        <v>2</v>
      </c>
      <c r="CN2277">
        <v>0</v>
      </c>
      <c r="CO2277">
        <v>2</v>
      </c>
      <c r="CP2277">
        <v>0</v>
      </c>
      <c r="CQ2277">
        <v>7</v>
      </c>
      <c r="CR2277" t="s">
        <v>116</v>
      </c>
      <c r="CS2277">
        <v>39</v>
      </c>
      <c r="CT2277">
        <v>3</v>
      </c>
      <c r="CU2277" t="s">
        <v>2259</v>
      </c>
      <c r="CV2277" t="s">
        <v>2260</v>
      </c>
      <c r="CY2277">
        <v>10932256</v>
      </c>
      <c r="CZ2277" t="s">
        <v>119</v>
      </c>
    </row>
    <row r="2278" spans="1:104" x14ac:dyDescent="0.25">
      <c r="A2278" t="str">
        <f>"14:28:19.531"</f>
        <v>14:28:19.531</v>
      </c>
      <c r="B2278" t="s">
        <v>108</v>
      </c>
      <c r="C2278" t="str">
        <f t="shared" si="106"/>
        <v>ffdfd3c0</v>
      </c>
      <c r="D2278" t="s">
        <v>109</v>
      </c>
      <c r="E2278">
        <v>4</v>
      </c>
      <c r="F2278">
        <v>1004</v>
      </c>
      <c r="G2278" t="s">
        <v>110</v>
      </c>
      <c r="J2278" t="s">
        <v>111</v>
      </c>
      <c r="K2278">
        <v>0</v>
      </c>
      <c r="L2278">
        <v>3</v>
      </c>
      <c r="M2278">
        <v>0</v>
      </c>
      <c r="N2278">
        <v>2</v>
      </c>
      <c r="O2278">
        <v>1</v>
      </c>
      <c r="P2278">
        <v>0</v>
      </c>
      <c r="Q2278">
        <v>0</v>
      </c>
      <c r="R2278" t="s">
        <v>112</v>
      </c>
      <c r="S2278" t="str">
        <f>"14:28:19.320"</f>
        <v>14:28:19.320</v>
      </c>
      <c r="T2278" t="str">
        <f>"14:28:18.922"</f>
        <v>14:28:18.922</v>
      </c>
      <c r="U2278" t="str">
        <f t="shared" si="105"/>
        <v>ad5732</v>
      </c>
      <c r="V2278">
        <v>0</v>
      </c>
      <c r="W2278">
        <v>0</v>
      </c>
      <c r="X2278">
        <v>1</v>
      </c>
      <c r="Z2278">
        <v>0</v>
      </c>
      <c r="AA2278">
        <v>9</v>
      </c>
      <c r="AB2278">
        <v>3</v>
      </c>
      <c r="AC2278">
        <v>0</v>
      </c>
      <c r="AD2278">
        <v>10</v>
      </c>
      <c r="AE2278">
        <v>0</v>
      </c>
      <c r="AF2278">
        <v>3</v>
      </c>
      <c r="AG2278">
        <v>2</v>
      </c>
      <c r="AH2278">
        <v>0</v>
      </c>
      <c r="AI2278" t="s">
        <v>4663</v>
      </c>
      <c r="AJ2278">
        <v>39.956825000000002</v>
      </c>
      <c r="AK2278" t="s">
        <v>4664</v>
      </c>
      <c r="AL2278">
        <v>-75.614069000000001</v>
      </c>
      <c r="AM2278">
        <v>100</v>
      </c>
      <c r="AN2278">
        <v>4700</v>
      </c>
      <c r="AO2278" t="s">
        <v>115</v>
      </c>
      <c r="AP2278">
        <v>131</v>
      </c>
      <c r="AQ2278">
        <v>122</v>
      </c>
      <c r="AR2278">
        <v>0</v>
      </c>
      <c r="AZ2278">
        <v>3614</v>
      </c>
      <c r="BA2278">
        <v>1</v>
      </c>
      <c r="BB2278" t="str">
        <f t="shared" si="107"/>
        <v xml:space="preserve">N959MJ  </v>
      </c>
      <c r="BC2278">
        <v>1</v>
      </c>
      <c r="BE2278">
        <v>0</v>
      </c>
      <c r="BF2278">
        <v>0</v>
      </c>
      <c r="BG2278">
        <v>0</v>
      </c>
      <c r="BH2278">
        <v>4900</v>
      </c>
      <c r="BI2278">
        <v>200</v>
      </c>
      <c r="BJ2278">
        <v>1</v>
      </c>
      <c r="BK2278">
        <v>1</v>
      </c>
      <c r="BL2278">
        <v>1</v>
      </c>
      <c r="BM2278">
        <v>0</v>
      </c>
      <c r="BP2278">
        <v>0</v>
      </c>
      <c r="BQ2278">
        <v>0</v>
      </c>
      <c r="BX2278" t="str">
        <f>"14:28:19.320"</f>
        <v>14:28:19.320</v>
      </c>
      <c r="BY2278" t="str">
        <f>"324183638"</f>
        <v>324183638</v>
      </c>
      <c r="CL2278">
        <v>0</v>
      </c>
      <c r="CM2278">
        <v>2</v>
      </c>
      <c r="CN2278">
        <v>0</v>
      </c>
      <c r="CO2278">
        <v>2</v>
      </c>
      <c r="CP2278">
        <v>0</v>
      </c>
      <c r="CQ2278">
        <v>7</v>
      </c>
      <c r="CR2278" t="s">
        <v>116</v>
      </c>
      <c r="CS2278">
        <v>39</v>
      </c>
      <c r="CT2278">
        <v>2</v>
      </c>
      <c r="CU2278" t="s">
        <v>2259</v>
      </c>
      <c r="CV2278" t="s">
        <v>2260</v>
      </c>
      <c r="CY2278">
        <v>172321</v>
      </c>
      <c r="CZ2278" t="s">
        <v>119</v>
      </c>
    </row>
    <row r="2279" spans="1:104" x14ac:dyDescent="0.25">
      <c r="A2279" t="str">
        <f>"14:28:20.539"</f>
        <v>14:28:20.539</v>
      </c>
      <c r="B2279" t="s">
        <v>108</v>
      </c>
      <c r="C2279" t="str">
        <f t="shared" si="106"/>
        <v>ffdfd3c0</v>
      </c>
      <c r="D2279" t="s">
        <v>109</v>
      </c>
      <c r="E2279">
        <v>4</v>
      </c>
      <c r="F2279">
        <v>1004</v>
      </c>
      <c r="G2279" t="s">
        <v>110</v>
      </c>
      <c r="J2279" t="s">
        <v>111</v>
      </c>
      <c r="K2279">
        <v>0</v>
      </c>
      <c r="L2279">
        <v>3</v>
      </c>
      <c r="M2279">
        <v>0</v>
      </c>
      <c r="N2279">
        <v>2</v>
      </c>
      <c r="O2279">
        <v>1</v>
      </c>
      <c r="P2279">
        <v>0</v>
      </c>
      <c r="Q2279">
        <v>0</v>
      </c>
      <c r="R2279" t="s">
        <v>112</v>
      </c>
      <c r="S2279" t="str">
        <f>"14:28:20.359"</f>
        <v>14:28:20.359</v>
      </c>
      <c r="T2279" t="str">
        <f>"14:28:19.859"</f>
        <v>14:28:19.859</v>
      </c>
      <c r="U2279" t="str">
        <f t="shared" si="105"/>
        <v>ad5732</v>
      </c>
      <c r="V2279">
        <v>0</v>
      </c>
      <c r="W2279">
        <v>0</v>
      </c>
      <c r="X2279">
        <v>1</v>
      </c>
      <c r="Z2279">
        <v>0</v>
      </c>
      <c r="AA2279">
        <v>9</v>
      </c>
      <c r="AB2279">
        <v>3</v>
      </c>
      <c r="AC2279">
        <v>0</v>
      </c>
      <c r="AD2279">
        <v>10</v>
      </c>
      <c r="AE2279">
        <v>0</v>
      </c>
      <c r="AF2279">
        <v>3</v>
      </c>
      <c r="AG2279">
        <v>2</v>
      </c>
      <c r="AH2279">
        <v>0</v>
      </c>
      <c r="AI2279" t="s">
        <v>4665</v>
      </c>
      <c r="AJ2279">
        <v>39.957360999999999</v>
      </c>
      <c r="AK2279" t="s">
        <v>4666</v>
      </c>
      <c r="AL2279">
        <v>-75.613275000000002</v>
      </c>
      <c r="AM2279">
        <v>100</v>
      </c>
      <c r="AN2279">
        <v>4700</v>
      </c>
      <c r="AO2279" t="s">
        <v>115</v>
      </c>
      <c r="AP2279">
        <v>131</v>
      </c>
      <c r="AQ2279">
        <v>122</v>
      </c>
      <c r="AR2279">
        <v>0</v>
      </c>
      <c r="AZ2279">
        <v>3614</v>
      </c>
      <c r="BA2279">
        <v>1</v>
      </c>
      <c r="BB2279" t="str">
        <f t="shared" si="107"/>
        <v xml:space="preserve">N959MJ  </v>
      </c>
      <c r="BC2279">
        <v>1</v>
      </c>
      <c r="BE2279">
        <v>0</v>
      </c>
      <c r="BF2279">
        <v>0</v>
      </c>
      <c r="BG2279">
        <v>0</v>
      </c>
      <c r="BH2279">
        <v>4900</v>
      </c>
      <c r="BI2279">
        <v>200</v>
      </c>
      <c r="BJ2279">
        <v>1</v>
      </c>
      <c r="BK2279">
        <v>1</v>
      </c>
      <c r="BL2279">
        <v>1</v>
      </c>
      <c r="BM2279">
        <v>0</v>
      </c>
      <c r="BP2279">
        <v>0</v>
      </c>
      <c r="BQ2279">
        <v>0</v>
      </c>
      <c r="BX2279" t="str">
        <f>"14:28:20.367"</f>
        <v>14:28:20.367</v>
      </c>
      <c r="BY2279" t="str">
        <f>"366223815"</f>
        <v>366223815</v>
      </c>
      <c r="CL2279">
        <v>0</v>
      </c>
      <c r="CM2279">
        <v>2</v>
      </c>
      <c r="CN2279">
        <v>0</v>
      </c>
      <c r="CO2279">
        <v>2</v>
      </c>
      <c r="CP2279">
        <v>0</v>
      </c>
      <c r="CQ2279">
        <v>7</v>
      </c>
      <c r="CR2279" t="s">
        <v>116</v>
      </c>
      <c r="CS2279">
        <v>39</v>
      </c>
      <c r="CT2279">
        <v>3</v>
      </c>
      <c r="CU2279" t="s">
        <v>2259</v>
      </c>
      <c r="CV2279" t="s">
        <v>2260</v>
      </c>
      <c r="CY2279">
        <v>10935640</v>
      </c>
      <c r="CZ2279" t="s">
        <v>119</v>
      </c>
    </row>
    <row r="2280" spans="1:104" x14ac:dyDescent="0.25">
      <c r="A2280" t="str">
        <f>"14:28:21.398"</f>
        <v>14:28:21.398</v>
      </c>
      <c r="B2280" t="s">
        <v>108</v>
      </c>
      <c r="C2280" t="str">
        <f t="shared" si="106"/>
        <v>ffdfd3c0</v>
      </c>
      <c r="D2280" t="s">
        <v>109</v>
      </c>
      <c r="E2280">
        <v>4</v>
      </c>
      <c r="F2280">
        <v>1004</v>
      </c>
      <c r="G2280" t="s">
        <v>110</v>
      </c>
      <c r="J2280" t="s">
        <v>111</v>
      </c>
      <c r="K2280">
        <v>0</v>
      </c>
      <c r="L2280">
        <v>3</v>
      </c>
      <c r="M2280">
        <v>0</v>
      </c>
      <c r="N2280">
        <v>2</v>
      </c>
      <c r="O2280">
        <v>1</v>
      </c>
      <c r="P2280">
        <v>0</v>
      </c>
      <c r="Q2280">
        <v>0</v>
      </c>
      <c r="R2280" t="s">
        <v>112</v>
      </c>
      <c r="S2280" t="str">
        <f>"14:28:21.242"</f>
        <v>14:28:21.242</v>
      </c>
      <c r="T2280" t="str">
        <f>"14:28:20.844"</f>
        <v>14:28:20.844</v>
      </c>
      <c r="U2280" t="str">
        <f t="shared" si="105"/>
        <v>ad5732</v>
      </c>
      <c r="V2280">
        <v>0</v>
      </c>
      <c r="W2280">
        <v>0</v>
      </c>
      <c r="X2280">
        <v>1</v>
      </c>
      <c r="Z2280">
        <v>0</v>
      </c>
      <c r="AA2280">
        <v>9</v>
      </c>
      <c r="AB2280">
        <v>3</v>
      </c>
      <c r="AC2280">
        <v>0</v>
      </c>
      <c r="AD2280">
        <v>10</v>
      </c>
      <c r="AE2280">
        <v>0</v>
      </c>
      <c r="AF2280">
        <v>3</v>
      </c>
      <c r="AG2280">
        <v>2</v>
      </c>
      <c r="AH2280">
        <v>0</v>
      </c>
      <c r="AI2280" t="s">
        <v>4667</v>
      </c>
      <c r="AJ2280">
        <v>39.957875999999999</v>
      </c>
      <c r="AK2280" t="s">
        <v>4668</v>
      </c>
      <c r="AL2280">
        <v>-75.612588000000002</v>
      </c>
      <c r="AM2280">
        <v>100</v>
      </c>
      <c r="AN2280">
        <v>4700</v>
      </c>
      <c r="AO2280" t="s">
        <v>115</v>
      </c>
      <c r="AP2280">
        <v>131</v>
      </c>
      <c r="AQ2280">
        <v>123</v>
      </c>
      <c r="AR2280">
        <v>0</v>
      </c>
      <c r="AZ2280">
        <v>3614</v>
      </c>
      <c r="BA2280">
        <v>1</v>
      </c>
      <c r="BB2280" t="str">
        <f t="shared" si="107"/>
        <v xml:space="preserve">N959MJ  </v>
      </c>
      <c r="BC2280">
        <v>1</v>
      </c>
      <c r="BE2280">
        <v>0</v>
      </c>
      <c r="BF2280">
        <v>0</v>
      </c>
      <c r="BG2280">
        <v>0</v>
      </c>
      <c r="BH2280">
        <v>4900</v>
      </c>
      <c r="BI2280">
        <v>200</v>
      </c>
      <c r="BJ2280">
        <v>1</v>
      </c>
      <c r="BK2280">
        <v>1</v>
      </c>
      <c r="BL2280">
        <v>1</v>
      </c>
      <c r="BM2280">
        <v>0</v>
      </c>
      <c r="BP2280">
        <v>0</v>
      </c>
      <c r="BQ2280">
        <v>0</v>
      </c>
      <c r="BX2280" t="str">
        <f>"14:28:21.242"</f>
        <v>14:28:21.242</v>
      </c>
      <c r="BY2280" t="str">
        <f>"242782780"</f>
        <v>242782780</v>
      </c>
      <c r="CL2280">
        <v>0</v>
      </c>
      <c r="CM2280">
        <v>2</v>
      </c>
      <c r="CN2280">
        <v>0</v>
      </c>
      <c r="CO2280">
        <v>2</v>
      </c>
      <c r="CP2280">
        <v>0</v>
      </c>
      <c r="CQ2280">
        <v>7</v>
      </c>
      <c r="CR2280" t="s">
        <v>116</v>
      </c>
      <c r="CS2280">
        <v>39</v>
      </c>
      <c r="CT2280">
        <v>2</v>
      </c>
      <c r="CU2280" t="s">
        <v>2259</v>
      </c>
      <c r="CV2280" t="s">
        <v>2260</v>
      </c>
      <c r="CY2280">
        <v>175863</v>
      </c>
      <c r="CZ2280" t="s">
        <v>119</v>
      </c>
    </row>
    <row r="2281" spans="1:104" x14ac:dyDescent="0.25">
      <c r="A2281" t="str">
        <f>"14:28:22.359"</f>
        <v>14:28:22.359</v>
      </c>
      <c r="B2281" t="s">
        <v>108</v>
      </c>
      <c r="C2281" t="str">
        <f t="shared" si="106"/>
        <v>ffdfd3c0</v>
      </c>
      <c r="D2281" t="s">
        <v>109</v>
      </c>
      <c r="E2281">
        <v>4</v>
      </c>
      <c r="F2281">
        <v>1004</v>
      </c>
      <c r="G2281" t="s">
        <v>110</v>
      </c>
      <c r="J2281" t="s">
        <v>111</v>
      </c>
      <c r="K2281">
        <v>0</v>
      </c>
      <c r="L2281">
        <v>3</v>
      </c>
      <c r="M2281">
        <v>0</v>
      </c>
      <c r="N2281">
        <v>2</v>
      </c>
      <c r="O2281">
        <v>1</v>
      </c>
      <c r="P2281">
        <v>0</v>
      </c>
      <c r="Q2281">
        <v>0</v>
      </c>
      <c r="R2281" t="s">
        <v>112</v>
      </c>
      <c r="S2281" t="str">
        <f>"14:28:22.188"</f>
        <v>14:28:22.188</v>
      </c>
      <c r="T2281" t="str">
        <f>"14:28:21.688"</f>
        <v>14:28:21.688</v>
      </c>
      <c r="U2281" t="str">
        <f t="shared" si="105"/>
        <v>ad5732</v>
      </c>
      <c r="V2281">
        <v>0</v>
      </c>
      <c r="W2281">
        <v>0</v>
      </c>
      <c r="X2281">
        <v>1</v>
      </c>
      <c r="Z2281">
        <v>0</v>
      </c>
      <c r="AA2281">
        <v>9</v>
      </c>
      <c r="AB2281">
        <v>3</v>
      </c>
      <c r="AC2281">
        <v>0</v>
      </c>
      <c r="AD2281">
        <v>10</v>
      </c>
      <c r="AE2281">
        <v>0</v>
      </c>
      <c r="AF2281">
        <v>3</v>
      </c>
      <c r="AG2281">
        <v>2</v>
      </c>
      <c r="AH2281">
        <v>0</v>
      </c>
      <c r="AI2281" t="s">
        <v>4669</v>
      </c>
      <c r="AJ2281">
        <v>39.958370000000002</v>
      </c>
      <c r="AK2281" t="s">
        <v>4670</v>
      </c>
      <c r="AL2281">
        <v>-75.611879999999999</v>
      </c>
      <c r="AM2281">
        <v>100</v>
      </c>
      <c r="AN2281">
        <v>4700</v>
      </c>
      <c r="AO2281" t="s">
        <v>115</v>
      </c>
      <c r="AP2281">
        <v>131</v>
      </c>
      <c r="AQ2281">
        <v>123</v>
      </c>
      <c r="AR2281">
        <v>0</v>
      </c>
      <c r="AZ2281">
        <v>3614</v>
      </c>
      <c r="BA2281">
        <v>1</v>
      </c>
      <c r="BB2281" t="str">
        <f t="shared" si="107"/>
        <v xml:space="preserve">N959MJ  </v>
      </c>
      <c r="BC2281">
        <v>1</v>
      </c>
      <c r="BE2281">
        <v>0</v>
      </c>
      <c r="BF2281">
        <v>0</v>
      </c>
      <c r="BG2281">
        <v>0</v>
      </c>
      <c r="BH2281">
        <v>4900</v>
      </c>
      <c r="BI2281">
        <v>200</v>
      </c>
      <c r="BJ2281">
        <v>1</v>
      </c>
      <c r="BK2281">
        <v>1</v>
      </c>
      <c r="BL2281">
        <v>1</v>
      </c>
      <c r="BM2281">
        <v>0</v>
      </c>
      <c r="BP2281">
        <v>0</v>
      </c>
      <c r="BQ2281">
        <v>0</v>
      </c>
      <c r="BX2281" t="str">
        <f>"14:28:22.195"</f>
        <v>14:28:22.195</v>
      </c>
      <c r="BY2281" t="str">
        <f>"193295255"</f>
        <v>193295255</v>
      </c>
      <c r="CL2281">
        <v>0</v>
      </c>
      <c r="CM2281">
        <v>2</v>
      </c>
      <c r="CN2281">
        <v>0</v>
      </c>
      <c r="CO2281">
        <v>2</v>
      </c>
      <c r="CP2281">
        <v>0</v>
      </c>
      <c r="CQ2281">
        <v>5</v>
      </c>
      <c r="CR2281" t="s">
        <v>116</v>
      </c>
      <c r="CS2281">
        <v>408</v>
      </c>
      <c r="CT2281">
        <v>1</v>
      </c>
      <c r="CU2281" t="s">
        <v>2317</v>
      </c>
      <c r="CV2281" t="s">
        <v>2318</v>
      </c>
      <c r="CY2281">
        <v>12732024</v>
      </c>
      <c r="CZ2281" t="s">
        <v>119</v>
      </c>
    </row>
    <row r="2282" spans="1:104" x14ac:dyDescent="0.25">
      <c r="A2282" t="str">
        <f>"14:28:23.266"</f>
        <v>14:28:23.266</v>
      </c>
      <c r="B2282" t="s">
        <v>108</v>
      </c>
      <c r="C2282" t="str">
        <f t="shared" si="106"/>
        <v>ffdfd3c0</v>
      </c>
      <c r="D2282" t="s">
        <v>109</v>
      </c>
      <c r="E2282">
        <v>4</v>
      </c>
      <c r="F2282">
        <v>1004</v>
      </c>
      <c r="G2282" t="s">
        <v>110</v>
      </c>
      <c r="J2282" t="s">
        <v>111</v>
      </c>
      <c r="K2282">
        <v>0</v>
      </c>
      <c r="L2282">
        <v>3</v>
      </c>
      <c r="M2282">
        <v>0</v>
      </c>
      <c r="N2282">
        <v>2</v>
      </c>
      <c r="O2282">
        <v>1</v>
      </c>
      <c r="P2282">
        <v>0</v>
      </c>
      <c r="Q2282">
        <v>0</v>
      </c>
      <c r="R2282" t="s">
        <v>112</v>
      </c>
      <c r="S2282" t="str">
        <f>"14:28:23.070"</f>
        <v>14:28:23.070</v>
      </c>
      <c r="T2282" t="str">
        <f>"14:28:22.672"</f>
        <v>14:28:22.672</v>
      </c>
      <c r="U2282" t="str">
        <f t="shared" si="105"/>
        <v>ad5732</v>
      </c>
      <c r="V2282">
        <v>0</v>
      </c>
      <c r="W2282">
        <v>0</v>
      </c>
      <c r="X2282">
        <v>1</v>
      </c>
      <c r="Z2282">
        <v>0</v>
      </c>
      <c r="AA2282">
        <v>9</v>
      </c>
      <c r="AB2282">
        <v>3</v>
      </c>
      <c r="AC2282">
        <v>0</v>
      </c>
      <c r="AD2282">
        <v>10</v>
      </c>
      <c r="AE2282">
        <v>0</v>
      </c>
      <c r="AF2282">
        <v>3</v>
      </c>
      <c r="AG2282">
        <v>2</v>
      </c>
      <c r="AH2282">
        <v>0</v>
      </c>
      <c r="AI2282" t="s">
        <v>4671</v>
      </c>
      <c r="AJ2282">
        <v>39.958905999999999</v>
      </c>
      <c r="AK2282" t="s">
        <v>4672</v>
      </c>
      <c r="AL2282">
        <v>-75.611149999999995</v>
      </c>
      <c r="AM2282">
        <v>100</v>
      </c>
      <c r="AN2282">
        <v>4700</v>
      </c>
      <c r="AO2282" t="s">
        <v>115</v>
      </c>
      <c r="AP2282">
        <v>131</v>
      </c>
      <c r="AQ2282">
        <v>123</v>
      </c>
      <c r="AR2282">
        <v>0</v>
      </c>
      <c r="AZ2282">
        <v>3614</v>
      </c>
      <c r="BA2282">
        <v>1</v>
      </c>
      <c r="BB2282" t="str">
        <f t="shared" si="107"/>
        <v xml:space="preserve">N959MJ  </v>
      </c>
      <c r="BC2282">
        <v>1</v>
      </c>
      <c r="BE2282">
        <v>0</v>
      </c>
      <c r="BF2282">
        <v>0</v>
      </c>
      <c r="BG2282">
        <v>0</v>
      </c>
      <c r="BH2282">
        <v>4900</v>
      </c>
      <c r="BI2282">
        <v>200</v>
      </c>
      <c r="BJ2282">
        <v>1</v>
      </c>
      <c r="BK2282">
        <v>1</v>
      </c>
      <c r="BL2282">
        <v>1</v>
      </c>
      <c r="BM2282">
        <v>0</v>
      </c>
      <c r="BP2282">
        <v>0</v>
      </c>
      <c r="BQ2282">
        <v>0</v>
      </c>
      <c r="BX2282" t="str">
        <f>"14:28:23.070"</f>
        <v>14:28:23.070</v>
      </c>
      <c r="BY2282" t="str">
        <f>"072906841"</f>
        <v>072906841</v>
      </c>
      <c r="CL2282">
        <v>0</v>
      </c>
      <c r="CM2282">
        <v>2</v>
      </c>
      <c r="CN2282">
        <v>0</v>
      </c>
      <c r="CO2282">
        <v>2</v>
      </c>
      <c r="CP2282">
        <v>0</v>
      </c>
      <c r="CQ2282">
        <v>7</v>
      </c>
      <c r="CR2282" t="s">
        <v>116</v>
      </c>
      <c r="CS2282">
        <v>39</v>
      </c>
      <c r="CT2282">
        <v>2</v>
      </c>
      <c r="CU2282" t="s">
        <v>2259</v>
      </c>
      <c r="CV2282" t="s">
        <v>2260</v>
      </c>
      <c r="CY2282">
        <v>178936</v>
      </c>
      <c r="CZ2282" t="s">
        <v>119</v>
      </c>
    </row>
    <row r="2283" spans="1:104" x14ac:dyDescent="0.25">
      <c r="A2283" t="str">
        <f>"14:28:24.281"</f>
        <v>14:28:24.281</v>
      </c>
      <c r="B2283" t="s">
        <v>108</v>
      </c>
      <c r="C2283" t="str">
        <f t="shared" si="106"/>
        <v>ffdfd3c0</v>
      </c>
      <c r="D2283" t="s">
        <v>109</v>
      </c>
      <c r="E2283">
        <v>4</v>
      </c>
      <c r="F2283">
        <v>1004</v>
      </c>
      <c r="G2283" t="s">
        <v>110</v>
      </c>
      <c r="J2283" t="s">
        <v>111</v>
      </c>
      <c r="K2283">
        <v>0</v>
      </c>
      <c r="L2283">
        <v>3</v>
      </c>
      <c r="M2283">
        <v>0</v>
      </c>
      <c r="N2283">
        <v>2</v>
      </c>
      <c r="O2283">
        <v>1</v>
      </c>
      <c r="P2283">
        <v>0</v>
      </c>
      <c r="Q2283">
        <v>0</v>
      </c>
      <c r="R2283" t="s">
        <v>112</v>
      </c>
      <c r="S2283" t="str">
        <f>"14:28:24.117"</f>
        <v>14:28:24.117</v>
      </c>
      <c r="T2283" t="str">
        <f>"14:28:23.719"</f>
        <v>14:28:23.719</v>
      </c>
      <c r="U2283" t="str">
        <f t="shared" si="105"/>
        <v>ad5732</v>
      </c>
      <c r="V2283">
        <v>0</v>
      </c>
      <c r="W2283">
        <v>0</v>
      </c>
      <c r="X2283">
        <v>1</v>
      </c>
      <c r="Z2283">
        <v>0</v>
      </c>
      <c r="AA2283">
        <v>9</v>
      </c>
      <c r="AB2283">
        <v>3</v>
      </c>
      <c r="AC2283">
        <v>0</v>
      </c>
      <c r="AD2283">
        <v>10</v>
      </c>
      <c r="AE2283">
        <v>0</v>
      </c>
      <c r="AF2283">
        <v>3</v>
      </c>
      <c r="AG2283">
        <v>2</v>
      </c>
      <c r="AH2283">
        <v>0</v>
      </c>
      <c r="AI2283" t="s">
        <v>4673</v>
      </c>
      <c r="AJ2283">
        <v>39.959527999999999</v>
      </c>
      <c r="AK2283" t="s">
        <v>4674</v>
      </c>
      <c r="AL2283">
        <v>-75.610292000000001</v>
      </c>
      <c r="AM2283">
        <v>100</v>
      </c>
      <c r="AN2283">
        <v>4700</v>
      </c>
      <c r="AO2283" t="s">
        <v>115</v>
      </c>
      <c r="AP2283">
        <v>131</v>
      </c>
      <c r="AQ2283">
        <v>123</v>
      </c>
      <c r="AR2283">
        <v>0</v>
      </c>
      <c r="AZ2283">
        <v>3614</v>
      </c>
      <c r="BA2283">
        <v>1</v>
      </c>
      <c r="BB2283" t="str">
        <f t="shared" si="107"/>
        <v xml:space="preserve">N959MJ  </v>
      </c>
      <c r="BC2283">
        <v>1</v>
      </c>
      <c r="BE2283">
        <v>0</v>
      </c>
      <c r="BF2283">
        <v>0</v>
      </c>
      <c r="BG2283">
        <v>0</v>
      </c>
      <c r="BH2283">
        <v>4900</v>
      </c>
      <c r="BI2283">
        <v>200</v>
      </c>
      <c r="BJ2283">
        <v>1</v>
      </c>
      <c r="BK2283">
        <v>1</v>
      </c>
      <c r="BL2283">
        <v>1</v>
      </c>
      <c r="BM2283">
        <v>0</v>
      </c>
      <c r="BP2283">
        <v>0</v>
      </c>
      <c r="BQ2283">
        <v>0</v>
      </c>
      <c r="BX2283" t="str">
        <f>"14:28:24.125"</f>
        <v>14:28:24.125</v>
      </c>
      <c r="BY2283" t="str">
        <f>"123139171"</f>
        <v>123139171</v>
      </c>
      <c r="CL2283">
        <v>0</v>
      </c>
      <c r="CM2283">
        <v>2</v>
      </c>
      <c r="CN2283">
        <v>0</v>
      </c>
      <c r="CO2283">
        <v>2</v>
      </c>
      <c r="CP2283">
        <v>0</v>
      </c>
      <c r="CQ2283">
        <v>7</v>
      </c>
      <c r="CR2283" t="s">
        <v>116</v>
      </c>
      <c r="CS2283">
        <v>39</v>
      </c>
      <c r="CT2283">
        <v>3</v>
      </c>
      <c r="CU2283" t="s">
        <v>2259</v>
      </c>
      <c r="CV2283" t="s">
        <v>2260</v>
      </c>
      <c r="CY2283">
        <v>10942160</v>
      </c>
      <c r="CZ2283" t="s">
        <v>119</v>
      </c>
    </row>
    <row r="2284" spans="1:104" x14ac:dyDescent="0.25">
      <c r="A2284" t="str">
        <f>"14:28:25.391"</f>
        <v>14:28:25.391</v>
      </c>
      <c r="B2284" t="s">
        <v>108</v>
      </c>
      <c r="C2284" t="str">
        <f t="shared" si="106"/>
        <v>ffdfd3c0</v>
      </c>
      <c r="D2284" t="s">
        <v>109</v>
      </c>
      <c r="E2284">
        <v>4</v>
      </c>
      <c r="F2284">
        <v>1004</v>
      </c>
      <c r="G2284" t="s">
        <v>110</v>
      </c>
      <c r="J2284" t="s">
        <v>111</v>
      </c>
      <c r="K2284">
        <v>0</v>
      </c>
      <c r="L2284">
        <v>3</v>
      </c>
      <c r="M2284">
        <v>0</v>
      </c>
      <c r="N2284">
        <v>2</v>
      </c>
      <c r="O2284">
        <v>1</v>
      </c>
      <c r="P2284">
        <v>0</v>
      </c>
      <c r="Q2284">
        <v>0</v>
      </c>
      <c r="R2284" t="s">
        <v>112</v>
      </c>
      <c r="S2284" t="str">
        <f>"14:28:25.195"</f>
        <v>14:28:25.195</v>
      </c>
      <c r="T2284" t="str">
        <f>"14:28:24.695"</f>
        <v>14:28:24.695</v>
      </c>
      <c r="U2284" t="str">
        <f t="shared" si="105"/>
        <v>ad5732</v>
      </c>
      <c r="V2284">
        <v>0</v>
      </c>
      <c r="W2284">
        <v>0</v>
      </c>
      <c r="X2284">
        <v>1</v>
      </c>
      <c r="Z2284">
        <v>0</v>
      </c>
      <c r="AA2284">
        <v>9</v>
      </c>
      <c r="AB2284">
        <v>3</v>
      </c>
      <c r="AC2284">
        <v>0</v>
      </c>
      <c r="AD2284">
        <v>10</v>
      </c>
      <c r="AE2284">
        <v>0</v>
      </c>
      <c r="AF2284">
        <v>3</v>
      </c>
      <c r="AG2284">
        <v>2</v>
      </c>
      <c r="AH2284">
        <v>0</v>
      </c>
      <c r="AI2284" t="s">
        <v>4675</v>
      </c>
      <c r="AJ2284">
        <v>39.960107999999998</v>
      </c>
      <c r="AK2284" t="s">
        <v>4676</v>
      </c>
      <c r="AL2284">
        <v>-75.609498000000002</v>
      </c>
      <c r="AM2284">
        <v>100</v>
      </c>
      <c r="AN2284">
        <v>4700</v>
      </c>
      <c r="AO2284" t="s">
        <v>115</v>
      </c>
      <c r="AP2284">
        <v>130</v>
      </c>
      <c r="AQ2284">
        <v>123</v>
      </c>
      <c r="AR2284">
        <v>0</v>
      </c>
      <c r="AZ2284">
        <v>3614</v>
      </c>
      <c r="BA2284">
        <v>1</v>
      </c>
      <c r="BB2284" t="str">
        <f t="shared" si="107"/>
        <v xml:space="preserve">N959MJ  </v>
      </c>
      <c r="BC2284">
        <v>1</v>
      </c>
      <c r="BE2284">
        <v>0</v>
      </c>
      <c r="BF2284">
        <v>0</v>
      </c>
      <c r="BG2284">
        <v>0</v>
      </c>
      <c r="BH2284">
        <v>4900</v>
      </c>
      <c r="BI2284">
        <v>200</v>
      </c>
      <c r="BJ2284">
        <v>1</v>
      </c>
      <c r="BK2284">
        <v>1</v>
      </c>
      <c r="BL2284">
        <v>1</v>
      </c>
      <c r="BM2284">
        <v>0</v>
      </c>
      <c r="BP2284">
        <v>0</v>
      </c>
      <c r="BQ2284">
        <v>0</v>
      </c>
      <c r="BX2284" t="str">
        <f>"14:28:25.203"</f>
        <v>14:28:25.203</v>
      </c>
      <c r="BY2284" t="str">
        <f>"199855743"</f>
        <v>199855743</v>
      </c>
      <c r="CL2284">
        <v>0</v>
      </c>
      <c r="CM2284">
        <v>2</v>
      </c>
      <c r="CN2284">
        <v>0</v>
      </c>
      <c r="CO2284">
        <v>2</v>
      </c>
      <c r="CP2284">
        <v>0</v>
      </c>
      <c r="CQ2284">
        <v>5</v>
      </c>
      <c r="CR2284" t="s">
        <v>116</v>
      </c>
      <c r="CS2284">
        <v>396</v>
      </c>
      <c r="CT2284">
        <v>1</v>
      </c>
      <c r="CU2284" t="s">
        <v>939</v>
      </c>
      <c r="CV2284" t="s">
        <v>940</v>
      </c>
      <c r="CY2284">
        <v>10385163</v>
      </c>
      <c r="CZ2284" t="s">
        <v>119</v>
      </c>
    </row>
    <row r="2285" spans="1:104" x14ac:dyDescent="0.25">
      <c r="A2285" t="str">
        <f>"14:28:26.453"</f>
        <v>14:28:26.453</v>
      </c>
      <c r="B2285" t="s">
        <v>108</v>
      </c>
      <c r="C2285" t="str">
        <f t="shared" si="106"/>
        <v>ffdfd3c0</v>
      </c>
      <c r="D2285" t="s">
        <v>109</v>
      </c>
      <c r="E2285">
        <v>4</v>
      </c>
      <c r="F2285">
        <v>1004</v>
      </c>
      <c r="G2285" t="s">
        <v>110</v>
      </c>
      <c r="J2285" t="s">
        <v>111</v>
      </c>
      <c r="K2285">
        <v>0</v>
      </c>
      <c r="L2285">
        <v>3</v>
      </c>
      <c r="M2285">
        <v>0</v>
      </c>
      <c r="N2285">
        <v>2</v>
      </c>
      <c r="O2285">
        <v>1</v>
      </c>
      <c r="P2285">
        <v>0</v>
      </c>
      <c r="Q2285">
        <v>0</v>
      </c>
      <c r="R2285" t="s">
        <v>112</v>
      </c>
      <c r="S2285" t="str">
        <f>"14:28:26.258"</f>
        <v>14:28:26.258</v>
      </c>
      <c r="T2285" t="str">
        <f>"14:28:25.758"</f>
        <v>14:28:25.758</v>
      </c>
      <c r="U2285" t="str">
        <f t="shared" si="105"/>
        <v>ad5732</v>
      </c>
      <c r="V2285">
        <v>0</v>
      </c>
      <c r="W2285">
        <v>0</v>
      </c>
      <c r="X2285">
        <v>1</v>
      </c>
      <c r="Z2285">
        <v>0</v>
      </c>
      <c r="AA2285">
        <v>9</v>
      </c>
      <c r="AB2285">
        <v>3</v>
      </c>
      <c r="AC2285">
        <v>0</v>
      </c>
      <c r="AD2285">
        <v>10</v>
      </c>
      <c r="AE2285">
        <v>0</v>
      </c>
      <c r="AF2285">
        <v>3</v>
      </c>
      <c r="AG2285">
        <v>2</v>
      </c>
      <c r="AH2285">
        <v>0</v>
      </c>
      <c r="AI2285" t="s">
        <v>4677</v>
      </c>
      <c r="AJ2285">
        <v>39.960729999999998</v>
      </c>
      <c r="AK2285" t="s">
        <v>4678</v>
      </c>
      <c r="AL2285">
        <v>-75.608660999999998</v>
      </c>
      <c r="AM2285">
        <v>100</v>
      </c>
      <c r="AN2285">
        <v>4700</v>
      </c>
      <c r="AO2285" t="s">
        <v>115</v>
      </c>
      <c r="AP2285">
        <v>130</v>
      </c>
      <c r="AQ2285">
        <v>123</v>
      </c>
      <c r="AR2285">
        <v>0</v>
      </c>
      <c r="AZ2285">
        <v>3614</v>
      </c>
      <c r="BA2285">
        <v>1</v>
      </c>
      <c r="BB2285" t="str">
        <f t="shared" si="107"/>
        <v xml:space="preserve">N959MJ  </v>
      </c>
      <c r="BC2285">
        <v>1</v>
      </c>
      <c r="BE2285">
        <v>0</v>
      </c>
      <c r="BF2285">
        <v>0</v>
      </c>
      <c r="BG2285">
        <v>0</v>
      </c>
      <c r="BH2285">
        <v>4900</v>
      </c>
      <c r="BI2285">
        <v>200</v>
      </c>
      <c r="BJ2285">
        <v>1</v>
      </c>
      <c r="BK2285">
        <v>1</v>
      </c>
      <c r="BL2285">
        <v>1</v>
      </c>
      <c r="BM2285">
        <v>0</v>
      </c>
      <c r="BP2285">
        <v>0</v>
      </c>
      <c r="BQ2285">
        <v>0</v>
      </c>
      <c r="BX2285" t="str">
        <f>"14:28:26.258"</f>
        <v>14:28:26.258</v>
      </c>
      <c r="BY2285" t="str">
        <f>"259649332"</f>
        <v>259649332</v>
      </c>
      <c r="CL2285">
        <v>0</v>
      </c>
      <c r="CM2285">
        <v>2</v>
      </c>
      <c r="CN2285">
        <v>0</v>
      </c>
      <c r="CO2285">
        <v>2</v>
      </c>
      <c r="CP2285">
        <v>0</v>
      </c>
      <c r="CQ2285">
        <v>7</v>
      </c>
      <c r="CR2285" t="s">
        <v>116</v>
      </c>
      <c r="CS2285">
        <v>39</v>
      </c>
      <c r="CT2285">
        <v>3</v>
      </c>
      <c r="CU2285" t="s">
        <v>2259</v>
      </c>
      <c r="CV2285" t="s">
        <v>2260</v>
      </c>
      <c r="CY2285">
        <v>10945943</v>
      </c>
      <c r="CZ2285" t="s">
        <v>119</v>
      </c>
    </row>
    <row r="2286" spans="1:104" x14ac:dyDescent="0.25">
      <c r="A2286" t="str">
        <f>"14:28:27.508"</f>
        <v>14:28:27.508</v>
      </c>
      <c r="B2286" t="s">
        <v>108</v>
      </c>
      <c r="C2286" t="str">
        <f t="shared" si="106"/>
        <v>ffdfd3c0</v>
      </c>
      <c r="D2286" t="s">
        <v>109</v>
      </c>
      <c r="E2286">
        <v>4</v>
      </c>
      <c r="F2286">
        <v>1004</v>
      </c>
      <c r="G2286" t="s">
        <v>110</v>
      </c>
      <c r="J2286" t="s">
        <v>111</v>
      </c>
      <c r="K2286">
        <v>0</v>
      </c>
      <c r="L2286">
        <v>3</v>
      </c>
      <c r="M2286">
        <v>0</v>
      </c>
      <c r="N2286">
        <v>2</v>
      </c>
      <c r="O2286">
        <v>1</v>
      </c>
      <c r="P2286">
        <v>0</v>
      </c>
      <c r="Q2286">
        <v>0</v>
      </c>
      <c r="R2286" t="s">
        <v>112</v>
      </c>
      <c r="S2286" t="str">
        <f>"14:28:27.313"</f>
        <v>14:28:27.313</v>
      </c>
      <c r="T2286" t="str">
        <f>"14:28:26.813"</f>
        <v>14:28:26.813</v>
      </c>
      <c r="U2286" t="str">
        <f t="shared" si="105"/>
        <v>ad5732</v>
      </c>
      <c r="V2286">
        <v>0</v>
      </c>
      <c r="W2286">
        <v>0</v>
      </c>
      <c r="X2286">
        <v>1</v>
      </c>
      <c r="Z2286">
        <v>0</v>
      </c>
      <c r="AA2286">
        <v>9</v>
      </c>
      <c r="AB2286">
        <v>3</v>
      </c>
      <c r="AC2286">
        <v>0</v>
      </c>
      <c r="AD2286">
        <v>10</v>
      </c>
      <c r="AE2286">
        <v>0</v>
      </c>
      <c r="AF2286">
        <v>3</v>
      </c>
      <c r="AG2286">
        <v>2</v>
      </c>
      <c r="AH2286">
        <v>0</v>
      </c>
      <c r="AI2286" t="s">
        <v>4679</v>
      </c>
      <c r="AJ2286">
        <v>39.961351999999998</v>
      </c>
      <c r="AK2286" t="s">
        <v>4680</v>
      </c>
      <c r="AL2286">
        <v>-75.607781000000003</v>
      </c>
      <c r="AM2286">
        <v>100</v>
      </c>
      <c r="AN2286">
        <v>4700</v>
      </c>
      <c r="AO2286" t="s">
        <v>115</v>
      </c>
      <c r="AP2286">
        <v>130</v>
      </c>
      <c r="AQ2286">
        <v>123</v>
      </c>
      <c r="AR2286">
        <v>0</v>
      </c>
      <c r="AZ2286">
        <v>3614</v>
      </c>
      <c r="BA2286">
        <v>1</v>
      </c>
      <c r="BB2286" t="str">
        <f t="shared" si="107"/>
        <v xml:space="preserve">N959MJ  </v>
      </c>
      <c r="BC2286">
        <v>1</v>
      </c>
      <c r="BE2286">
        <v>0</v>
      </c>
      <c r="BF2286">
        <v>0</v>
      </c>
      <c r="BG2286">
        <v>0</v>
      </c>
      <c r="BH2286">
        <v>4900</v>
      </c>
      <c r="BI2286">
        <v>200</v>
      </c>
      <c r="BJ2286">
        <v>1</v>
      </c>
      <c r="BK2286">
        <v>1</v>
      </c>
      <c r="BL2286">
        <v>1</v>
      </c>
      <c r="BM2286">
        <v>0</v>
      </c>
      <c r="BP2286">
        <v>0</v>
      </c>
      <c r="BQ2286">
        <v>0</v>
      </c>
      <c r="BX2286" t="str">
        <f>"14:28:27.320"</f>
        <v>14:28:27.320</v>
      </c>
      <c r="BY2286" t="str">
        <f>"318073829"</f>
        <v>318073829</v>
      </c>
      <c r="CL2286">
        <v>0</v>
      </c>
      <c r="CM2286">
        <v>2</v>
      </c>
      <c r="CN2286">
        <v>0</v>
      </c>
      <c r="CO2286">
        <v>2</v>
      </c>
      <c r="CP2286">
        <v>0</v>
      </c>
      <c r="CQ2286">
        <v>7</v>
      </c>
      <c r="CR2286" t="s">
        <v>116</v>
      </c>
      <c r="CS2286">
        <v>39</v>
      </c>
      <c r="CT2286">
        <v>3</v>
      </c>
      <c r="CU2286" t="s">
        <v>2259</v>
      </c>
      <c r="CV2286" t="s">
        <v>2260</v>
      </c>
      <c r="CY2286">
        <v>10947857</v>
      </c>
      <c r="CZ2286" t="s">
        <v>119</v>
      </c>
    </row>
    <row r="2287" spans="1:104" x14ac:dyDescent="0.25">
      <c r="A2287" t="str">
        <f>"14:28:28.516"</f>
        <v>14:28:28.516</v>
      </c>
      <c r="B2287" t="s">
        <v>108</v>
      </c>
      <c r="C2287" t="str">
        <f t="shared" si="106"/>
        <v>ffdfd3c0</v>
      </c>
      <c r="D2287" t="s">
        <v>109</v>
      </c>
      <c r="E2287">
        <v>4</v>
      </c>
      <c r="F2287">
        <v>1004</v>
      </c>
      <c r="G2287" t="s">
        <v>110</v>
      </c>
      <c r="J2287" t="s">
        <v>111</v>
      </c>
      <c r="K2287">
        <v>0</v>
      </c>
      <c r="L2287">
        <v>3</v>
      </c>
      <c r="M2287">
        <v>0</v>
      </c>
      <c r="N2287">
        <v>2</v>
      </c>
      <c r="O2287">
        <v>1</v>
      </c>
      <c r="P2287">
        <v>0</v>
      </c>
      <c r="Q2287">
        <v>0</v>
      </c>
      <c r="R2287" t="s">
        <v>112</v>
      </c>
      <c r="S2287" t="str">
        <f>"14:28:28.336"</f>
        <v>14:28:28.336</v>
      </c>
      <c r="T2287" t="str">
        <f>"14:28:27.938"</f>
        <v>14:28:27.938</v>
      </c>
      <c r="U2287" t="str">
        <f t="shared" si="105"/>
        <v>ad5732</v>
      </c>
      <c r="V2287">
        <v>0</v>
      </c>
      <c r="W2287">
        <v>0</v>
      </c>
      <c r="X2287">
        <v>1</v>
      </c>
      <c r="Z2287">
        <v>0</v>
      </c>
      <c r="AA2287">
        <v>9</v>
      </c>
      <c r="AB2287">
        <v>3</v>
      </c>
      <c r="AC2287">
        <v>0</v>
      </c>
      <c r="AD2287">
        <v>10</v>
      </c>
      <c r="AE2287">
        <v>0</v>
      </c>
      <c r="AF2287">
        <v>3</v>
      </c>
      <c r="AG2287">
        <v>2</v>
      </c>
      <c r="AH2287">
        <v>0</v>
      </c>
      <c r="AI2287" t="s">
        <v>4681</v>
      </c>
      <c r="AJ2287">
        <v>39.961953000000001</v>
      </c>
      <c r="AK2287" t="s">
        <v>4682</v>
      </c>
      <c r="AL2287">
        <v>-75.606987000000004</v>
      </c>
      <c r="AM2287">
        <v>100</v>
      </c>
      <c r="AN2287">
        <v>4700</v>
      </c>
      <c r="AO2287" t="s">
        <v>115</v>
      </c>
      <c r="AP2287">
        <v>130</v>
      </c>
      <c r="AQ2287">
        <v>123</v>
      </c>
      <c r="AR2287">
        <v>0</v>
      </c>
      <c r="AZ2287">
        <v>3614</v>
      </c>
      <c r="BA2287">
        <v>1</v>
      </c>
      <c r="BB2287" t="str">
        <f t="shared" si="107"/>
        <v xml:space="preserve">N959MJ  </v>
      </c>
      <c r="BC2287">
        <v>1</v>
      </c>
      <c r="BE2287">
        <v>0</v>
      </c>
      <c r="BF2287">
        <v>0</v>
      </c>
      <c r="BG2287">
        <v>0</v>
      </c>
      <c r="BH2287">
        <v>4900</v>
      </c>
      <c r="BI2287">
        <v>200</v>
      </c>
      <c r="BJ2287">
        <v>1</v>
      </c>
      <c r="BK2287">
        <v>1</v>
      </c>
      <c r="BL2287">
        <v>1</v>
      </c>
      <c r="BM2287">
        <v>0</v>
      </c>
      <c r="BP2287">
        <v>0</v>
      </c>
      <c r="BQ2287">
        <v>0</v>
      </c>
      <c r="BX2287" t="str">
        <f>"14:28:28.336"</f>
        <v>14:28:28.336</v>
      </c>
      <c r="BY2287" t="str">
        <f>"338814627"</f>
        <v>338814627</v>
      </c>
      <c r="CL2287">
        <v>0</v>
      </c>
      <c r="CM2287">
        <v>2</v>
      </c>
      <c r="CN2287">
        <v>0</v>
      </c>
      <c r="CO2287">
        <v>2</v>
      </c>
      <c r="CP2287">
        <v>0</v>
      </c>
      <c r="CQ2287">
        <v>7</v>
      </c>
      <c r="CR2287" t="s">
        <v>116</v>
      </c>
      <c r="CS2287">
        <v>39</v>
      </c>
      <c r="CT2287">
        <v>2</v>
      </c>
      <c r="CU2287" t="s">
        <v>2259</v>
      </c>
      <c r="CV2287" t="s">
        <v>2260</v>
      </c>
      <c r="CY2287">
        <v>187744</v>
      </c>
      <c r="CZ2287" t="s">
        <v>119</v>
      </c>
    </row>
    <row r="2288" spans="1:104" x14ac:dyDescent="0.25">
      <c r="A2288" t="str">
        <f>"14:28:29.531"</f>
        <v>14:28:29.531</v>
      </c>
      <c r="B2288" t="s">
        <v>108</v>
      </c>
      <c r="C2288" t="str">
        <f t="shared" si="106"/>
        <v>ffdfd3c0</v>
      </c>
      <c r="D2288" t="s">
        <v>109</v>
      </c>
      <c r="E2288">
        <v>4</v>
      </c>
      <c r="F2288">
        <v>1004</v>
      </c>
      <c r="G2288" t="s">
        <v>110</v>
      </c>
      <c r="J2288" t="s">
        <v>111</v>
      </c>
      <c r="K2288">
        <v>0</v>
      </c>
      <c r="L2288">
        <v>3</v>
      </c>
      <c r="M2288">
        <v>0</v>
      </c>
      <c r="N2288">
        <v>2</v>
      </c>
      <c r="O2288">
        <v>1</v>
      </c>
      <c r="P2288">
        <v>0</v>
      </c>
      <c r="Q2288">
        <v>0</v>
      </c>
      <c r="R2288" t="s">
        <v>112</v>
      </c>
      <c r="S2288" t="str">
        <f>"14:28:29.352"</f>
        <v>14:28:29.352</v>
      </c>
      <c r="T2288" t="str">
        <f>"14:28:28.953"</f>
        <v>14:28:28.953</v>
      </c>
      <c r="U2288" t="str">
        <f t="shared" si="105"/>
        <v>ad5732</v>
      </c>
      <c r="V2288">
        <v>0</v>
      </c>
      <c r="W2288">
        <v>0</v>
      </c>
      <c r="X2288">
        <v>1</v>
      </c>
      <c r="Z2288">
        <v>0</v>
      </c>
      <c r="AA2288">
        <v>9</v>
      </c>
      <c r="AB2288">
        <v>3</v>
      </c>
      <c r="AC2288">
        <v>0</v>
      </c>
      <c r="AD2288">
        <v>10</v>
      </c>
      <c r="AE2288">
        <v>0</v>
      </c>
      <c r="AF2288">
        <v>3</v>
      </c>
      <c r="AG2288">
        <v>2</v>
      </c>
      <c r="AH2288">
        <v>0</v>
      </c>
      <c r="AI2288" t="s">
        <v>4683</v>
      </c>
      <c r="AJ2288">
        <v>39.962490000000003</v>
      </c>
      <c r="AK2288" t="s">
        <v>4684</v>
      </c>
      <c r="AL2288">
        <v>-75.606194000000002</v>
      </c>
      <c r="AM2288">
        <v>100</v>
      </c>
      <c r="AN2288">
        <v>4700</v>
      </c>
      <c r="AO2288" t="s">
        <v>115</v>
      </c>
      <c r="AP2288">
        <v>130</v>
      </c>
      <c r="AQ2288">
        <v>123</v>
      </c>
      <c r="AR2288">
        <v>0</v>
      </c>
      <c r="AZ2288">
        <v>3614</v>
      </c>
      <c r="BA2288">
        <v>1</v>
      </c>
      <c r="BB2288" t="str">
        <f t="shared" si="107"/>
        <v xml:space="preserve">N959MJ  </v>
      </c>
      <c r="BC2288">
        <v>1</v>
      </c>
      <c r="BE2288">
        <v>0</v>
      </c>
      <c r="BF2288">
        <v>0</v>
      </c>
      <c r="BG2288">
        <v>0</v>
      </c>
      <c r="BH2288">
        <v>4900</v>
      </c>
      <c r="BI2288">
        <v>200</v>
      </c>
      <c r="BJ2288">
        <v>1</v>
      </c>
      <c r="BK2288">
        <v>1</v>
      </c>
      <c r="BL2288">
        <v>1</v>
      </c>
      <c r="BM2288">
        <v>0</v>
      </c>
      <c r="BP2288">
        <v>0</v>
      </c>
      <c r="BQ2288">
        <v>0</v>
      </c>
      <c r="BX2288" t="str">
        <f>"14:28:29.352"</f>
        <v>14:28:29.352</v>
      </c>
      <c r="BY2288" t="str">
        <f>"353001489"</f>
        <v>353001489</v>
      </c>
      <c r="CL2288">
        <v>0</v>
      </c>
      <c r="CM2288">
        <v>2</v>
      </c>
      <c r="CN2288">
        <v>0</v>
      </c>
      <c r="CO2288">
        <v>2</v>
      </c>
      <c r="CP2288">
        <v>0</v>
      </c>
      <c r="CQ2288">
        <v>7</v>
      </c>
      <c r="CR2288" t="s">
        <v>116</v>
      </c>
      <c r="CS2288">
        <v>39</v>
      </c>
      <c r="CT2288">
        <v>2</v>
      </c>
      <c r="CU2288" t="s">
        <v>2259</v>
      </c>
      <c r="CV2288" t="s">
        <v>2260</v>
      </c>
      <c r="CY2288">
        <v>189463</v>
      </c>
      <c r="CZ2288" t="s">
        <v>119</v>
      </c>
    </row>
    <row r="2289" spans="1:104" x14ac:dyDescent="0.25">
      <c r="A2289" t="str">
        <f>"14:28:30.539"</f>
        <v>14:28:30.539</v>
      </c>
      <c r="B2289" t="s">
        <v>108</v>
      </c>
      <c r="C2289" t="str">
        <f t="shared" si="106"/>
        <v>ffdfd3c0</v>
      </c>
      <c r="D2289" t="s">
        <v>109</v>
      </c>
      <c r="E2289">
        <v>4</v>
      </c>
      <c r="F2289">
        <v>1004</v>
      </c>
      <c r="G2289" t="s">
        <v>110</v>
      </c>
      <c r="J2289" t="s">
        <v>111</v>
      </c>
      <c r="K2289">
        <v>0</v>
      </c>
      <c r="L2289">
        <v>3</v>
      </c>
      <c r="M2289">
        <v>0</v>
      </c>
      <c r="N2289">
        <v>2</v>
      </c>
      <c r="O2289">
        <v>1</v>
      </c>
      <c r="P2289">
        <v>0</v>
      </c>
      <c r="Q2289">
        <v>0</v>
      </c>
      <c r="R2289" t="s">
        <v>112</v>
      </c>
      <c r="S2289" t="str">
        <f>"14:28:30.336"</f>
        <v>14:28:30.336</v>
      </c>
      <c r="T2289" t="str">
        <f>"14:28:29.938"</f>
        <v>14:28:29.938</v>
      </c>
      <c r="U2289" t="str">
        <f t="shared" si="105"/>
        <v>ad5732</v>
      </c>
      <c r="V2289">
        <v>0</v>
      </c>
      <c r="W2289">
        <v>0</v>
      </c>
      <c r="X2289">
        <v>1</v>
      </c>
      <c r="Z2289">
        <v>0</v>
      </c>
      <c r="AA2289">
        <v>9</v>
      </c>
      <c r="AB2289">
        <v>3</v>
      </c>
      <c r="AC2289">
        <v>0</v>
      </c>
      <c r="AD2289">
        <v>10</v>
      </c>
      <c r="AE2289">
        <v>0</v>
      </c>
      <c r="AF2289">
        <v>3</v>
      </c>
      <c r="AG2289">
        <v>2</v>
      </c>
      <c r="AH2289">
        <v>0</v>
      </c>
      <c r="AI2289" t="s">
        <v>4685</v>
      </c>
      <c r="AJ2289">
        <v>39.963048000000001</v>
      </c>
      <c r="AK2289" t="s">
        <v>4686</v>
      </c>
      <c r="AL2289">
        <v>-75.605463999999998</v>
      </c>
      <c r="AM2289">
        <v>100</v>
      </c>
      <c r="AN2289">
        <v>4700</v>
      </c>
      <c r="AO2289" t="s">
        <v>115</v>
      </c>
      <c r="AP2289">
        <v>130</v>
      </c>
      <c r="AQ2289">
        <v>123</v>
      </c>
      <c r="AR2289">
        <v>64</v>
      </c>
      <c r="AZ2289">
        <v>3614</v>
      </c>
      <c r="BA2289">
        <v>1</v>
      </c>
      <c r="BB2289" t="str">
        <f t="shared" si="107"/>
        <v xml:space="preserve">N959MJ  </v>
      </c>
      <c r="BC2289">
        <v>1</v>
      </c>
      <c r="BE2289">
        <v>0</v>
      </c>
      <c r="BF2289">
        <v>0</v>
      </c>
      <c r="BG2289">
        <v>0</v>
      </c>
      <c r="BH2289">
        <v>4900</v>
      </c>
      <c r="BI2289">
        <v>200</v>
      </c>
      <c r="BJ2289">
        <v>1</v>
      </c>
      <c r="BK2289">
        <v>1</v>
      </c>
      <c r="BL2289">
        <v>1</v>
      </c>
      <c r="BM2289">
        <v>0</v>
      </c>
      <c r="BP2289">
        <v>0</v>
      </c>
      <c r="BQ2289">
        <v>0</v>
      </c>
      <c r="BX2289" t="str">
        <f>"14:28:30.336"</f>
        <v>14:28:30.336</v>
      </c>
      <c r="BY2289" t="str">
        <f>"337696770"</f>
        <v>337696770</v>
      </c>
      <c r="CL2289">
        <v>0</v>
      </c>
      <c r="CM2289">
        <v>2</v>
      </c>
      <c r="CN2289">
        <v>0</v>
      </c>
      <c r="CO2289">
        <v>2</v>
      </c>
      <c r="CP2289">
        <v>0</v>
      </c>
      <c r="CQ2289">
        <v>7</v>
      </c>
      <c r="CR2289" t="s">
        <v>116</v>
      </c>
      <c r="CS2289">
        <v>39</v>
      </c>
      <c r="CT2289">
        <v>3</v>
      </c>
      <c r="CU2289" t="s">
        <v>2259</v>
      </c>
      <c r="CV2289" t="s">
        <v>2260</v>
      </c>
      <c r="CY2289">
        <v>10953157</v>
      </c>
      <c r="CZ2289" t="s">
        <v>119</v>
      </c>
    </row>
    <row r="2290" spans="1:104" x14ac:dyDescent="0.25">
      <c r="A2290" t="str">
        <f>"14:28:31.398"</f>
        <v>14:28:31.398</v>
      </c>
      <c r="B2290" t="s">
        <v>108</v>
      </c>
      <c r="C2290" t="str">
        <f t="shared" si="106"/>
        <v>ffdfd3c0</v>
      </c>
      <c r="D2290" t="s">
        <v>109</v>
      </c>
      <c r="E2290">
        <v>4</v>
      </c>
      <c r="F2290">
        <v>1004</v>
      </c>
      <c r="G2290" t="s">
        <v>110</v>
      </c>
      <c r="J2290" t="s">
        <v>111</v>
      </c>
      <c r="K2290">
        <v>0</v>
      </c>
      <c r="L2290">
        <v>3</v>
      </c>
      <c r="M2290">
        <v>0</v>
      </c>
      <c r="N2290">
        <v>2</v>
      </c>
      <c r="O2290">
        <v>1</v>
      </c>
      <c r="P2290">
        <v>0</v>
      </c>
      <c r="Q2290">
        <v>0</v>
      </c>
      <c r="R2290" t="s">
        <v>112</v>
      </c>
      <c r="S2290" t="str">
        <f>"14:28:31.211"</f>
        <v>14:28:31.211</v>
      </c>
      <c r="T2290" t="str">
        <f>"14:28:30.813"</f>
        <v>14:28:30.813</v>
      </c>
      <c r="U2290" t="str">
        <f t="shared" si="105"/>
        <v>ad5732</v>
      </c>
      <c r="V2290">
        <v>0</v>
      </c>
      <c r="W2290">
        <v>0</v>
      </c>
      <c r="X2290">
        <v>1</v>
      </c>
      <c r="Z2290">
        <v>0</v>
      </c>
      <c r="AA2290">
        <v>9</v>
      </c>
      <c r="AB2290">
        <v>3</v>
      </c>
      <c r="AC2290">
        <v>0</v>
      </c>
      <c r="AD2290">
        <v>10</v>
      </c>
      <c r="AE2290">
        <v>0</v>
      </c>
      <c r="AF2290">
        <v>3</v>
      </c>
      <c r="AG2290">
        <v>2</v>
      </c>
      <c r="AH2290">
        <v>0</v>
      </c>
      <c r="AI2290" t="s">
        <v>4687</v>
      </c>
      <c r="AJ2290">
        <v>39.963562000000003</v>
      </c>
      <c r="AK2290" t="s">
        <v>4688</v>
      </c>
      <c r="AL2290">
        <v>-75.604733999999993</v>
      </c>
      <c r="AM2290">
        <v>100</v>
      </c>
      <c r="AN2290">
        <v>4700</v>
      </c>
      <c r="AO2290" t="s">
        <v>115</v>
      </c>
      <c r="AP2290">
        <v>130</v>
      </c>
      <c r="AQ2290">
        <v>123</v>
      </c>
      <c r="AR2290">
        <v>64</v>
      </c>
      <c r="AZ2290">
        <v>3614</v>
      </c>
      <c r="BA2290">
        <v>1</v>
      </c>
      <c r="BB2290" t="str">
        <f t="shared" si="107"/>
        <v xml:space="preserve">N959MJ  </v>
      </c>
      <c r="BC2290">
        <v>1</v>
      </c>
      <c r="BE2290">
        <v>0</v>
      </c>
      <c r="BF2290">
        <v>0</v>
      </c>
      <c r="BG2290">
        <v>0</v>
      </c>
      <c r="BH2290">
        <v>4900</v>
      </c>
      <c r="BI2290">
        <v>200</v>
      </c>
      <c r="BJ2290">
        <v>1</v>
      </c>
      <c r="BK2290">
        <v>1</v>
      </c>
      <c r="BL2290">
        <v>1</v>
      </c>
      <c r="BM2290">
        <v>0</v>
      </c>
      <c r="BP2290">
        <v>0</v>
      </c>
      <c r="BQ2290">
        <v>0</v>
      </c>
      <c r="BX2290" t="str">
        <f>"14:28:31.211"</f>
        <v>14:28:31.211</v>
      </c>
      <c r="BY2290" t="str">
        <f>"210978951"</f>
        <v>210978951</v>
      </c>
      <c r="CL2290">
        <v>0</v>
      </c>
      <c r="CM2290">
        <v>2</v>
      </c>
      <c r="CN2290">
        <v>0</v>
      </c>
      <c r="CO2290">
        <v>2</v>
      </c>
      <c r="CP2290">
        <v>0</v>
      </c>
      <c r="CQ2290">
        <v>7</v>
      </c>
      <c r="CR2290" t="s">
        <v>116</v>
      </c>
      <c r="CS2290">
        <v>39</v>
      </c>
      <c r="CT2290">
        <v>3</v>
      </c>
      <c r="CU2290" t="s">
        <v>2259</v>
      </c>
      <c r="CV2290" t="s">
        <v>2260</v>
      </c>
      <c r="CY2290">
        <v>10954667</v>
      </c>
      <c r="CZ2290" t="s">
        <v>119</v>
      </c>
    </row>
    <row r="2291" spans="1:104" x14ac:dyDescent="0.25">
      <c r="A2291" t="str">
        <f>"14:28:32.461"</f>
        <v>14:28:32.461</v>
      </c>
      <c r="B2291" t="s">
        <v>108</v>
      </c>
      <c r="C2291" t="str">
        <f t="shared" si="106"/>
        <v>ffdfd3c0</v>
      </c>
      <c r="D2291" t="s">
        <v>109</v>
      </c>
      <c r="E2291">
        <v>4</v>
      </c>
      <c r="F2291">
        <v>1004</v>
      </c>
      <c r="G2291" t="s">
        <v>110</v>
      </c>
      <c r="J2291" t="s">
        <v>111</v>
      </c>
      <c r="K2291">
        <v>0</v>
      </c>
      <c r="L2291">
        <v>3</v>
      </c>
      <c r="M2291">
        <v>0</v>
      </c>
      <c r="N2291">
        <v>2</v>
      </c>
      <c r="O2291">
        <v>1</v>
      </c>
      <c r="P2291">
        <v>0</v>
      </c>
      <c r="Q2291">
        <v>0</v>
      </c>
      <c r="R2291" t="s">
        <v>112</v>
      </c>
      <c r="S2291" t="str">
        <f>"14:28:32.273"</f>
        <v>14:28:32.273</v>
      </c>
      <c r="T2291" t="str">
        <f>"14:28:31.773"</f>
        <v>14:28:31.773</v>
      </c>
      <c r="U2291" t="str">
        <f t="shared" si="105"/>
        <v>ad5732</v>
      </c>
      <c r="V2291">
        <v>0</v>
      </c>
      <c r="W2291">
        <v>0</v>
      </c>
      <c r="X2291">
        <v>1</v>
      </c>
      <c r="Z2291">
        <v>0</v>
      </c>
      <c r="AA2291">
        <v>9</v>
      </c>
      <c r="AB2291">
        <v>3</v>
      </c>
      <c r="AC2291">
        <v>0</v>
      </c>
      <c r="AD2291">
        <v>10</v>
      </c>
      <c r="AE2291">
        <v>0</v>
      </c>
      <c r="AF2291">
        <v>3</v>
      </c>
      <c r="AG2291">
        <v>2</v>
      </c>
      <c r="AH2291">
        <v>0</v>
      </c>
      <c r="AI2291" t="s">
        <v>4689</v>
      </c>
      <c r="AJ2291">
        <v>39.964120000000001</v>
      </c>
      <c r="AK2291" t="s">
        <v>4690</v>
      </c>
      <c r="AL2291">
        <v>-75.603982999999999</v>
      </c>
      <c r="AM2291">
        <v>100</v>
      </c>
      <c r="AN2291">
        <v>4700</v>
      </c>
      <c r="AO2291" t="s">
        <v>115</v>
      </c>
      <c r="AP2291">
        <v>130</v>
      </c>
      <c r="AQ2291">
        <v>123</v>
      </c>
      <c r="AR2291">
        <v>64</v>
      </c>
      <c r="AZ2291">
        <v>3614</v>
      </c>
      <c r="BA2291">
        <v>1</v>
      </c>
      <c r="BB2291" t="str">
        <f t="shared" si="107"/>
        <v xml:space="preserve">N959MJ  </v>
      </c>
      <c r="BC2291">
        <v>1</v>
      </c>
      <c r="BE2291">
        <v>0</v>
      </c>
      <c r="BF2291">
        <v>0</v>
      </c>
      <c r="BG2291">
        <v>0</v>
      </c>
      <c r="BH2291">
        <v>4900</v>
      </c>
      <c r="BI2291">
        <v>200</v>
      </c>
      <c r="BJ2291">
        <v>1</v>
      </c>
      <c r="BK2291">
        <v>1</v>
      </c>
      <c r="BL2291">
        <v>1</v>
      </c>
      <c r="BM2291">
        <v>0</v>
      </c>
      <c r="BP2291">
        <v>0</v>
      </c>
      <c r="BQ2291">
        <v>0</v>
      </c>
      <c r="BX2291" t="str">
        <f>"14:28:32.281"</f>
        <v>14:28:32.281</v>
      </c>
      <c r="BY2291" t="str">
        <f>"277595677"</f>
        <v>277595677</v>
      </c>
      <c r="CL2291">
        <v>0</v>
      </c>
      <c r="CM2291">
        <v>2</v>
      </c>
      <c r="CN2291">
        <v>0</v>
      </c>
      <c r="CO2291">
        <v>2</v>
      </c>
      <c r="CP2291">
        <v>0</v>
      </c>
      <c r="CQ2291">
        <v>7</v>
      </c>
      <c r="CR2291" t="s">
        <v>116</v>
      </c>
      <c r="CS2291">
        <v>39</v>
      </c>
      <c r="CT2291">
        <v>2</v>
      </c>
      <c r="CU2291" t="s">
        <v>2259</v>
      </c>
      <c r="CV2291" t="s">
        <v>2260</v>
      </c>
      <c r="CY2291">
        <v>194551</v>
      </c>
      <c r="CZ2291" t="s">
        <v>119</v>
      </c>
    </row>
    <row r="2292" spans="1:104" x14ac:dyDescent="0.25">
      <c r="A2292" t="str">
        <f>"14:28:33.414"</f>
        <v>14:28:33.414</v>
      </c>
      <c r="B2292" t="s">
        <v>108</v>
      </c>
      <c r="C2292" t="str">
        <f t="shared" si="106"/>
        <v>ffdfd3c0</v>
      </c>
      <c r="D2292" t="s">
        <v>109</v>
      </c>
      <c r="E2292">
        <v>4</v>
      </c>
      <c r="F2292">
        <v>1004</v>
      </c>
      <c r="G2292" t="s">
        <v>110</v>
      </c>
      <c r="J2292" t="s">
        <v>111</v>
      </c>
      <c r="K2292">
        <v>0</v>
      </c>
      <c r="L2292">
        <v>3</v>
      </c>
      <c r="M2292">
        <v>0</v>
      </c>
      <c r="N2292">
        <v>2</v>
      </c>
      <c r="O2292">
        <v>1</v>
      </c>
      <c r="P2292">
        <v>0</v>
      </c>
      <c r="Q2292">
        <v>0</v>
      </c>
      <c r="R2292" t="s">
        <v>112</v>
      </c>
      <c r="S2292" t="str">
        <f>"14:28:33.250"</f>
        <v>14:28:33.250</v>
      </c>
      <c r="T2292" t="str">
        <f>"14:28:32.852"</f>
        <v>14:28:32.852</v>
      </c>
      <c r="U2292" t="str">
        <f t="shared" si="105"/>
        <v>ad5732</v>
      </c>
      <c r="V2292">
        <v>0</v>
      </c>
      <c r="W2292">
        <v>0</v>
      </c>
      <c r="X2292">
        <v>1</v>
      </c>
      <c r="Z2292">
        <v>0</v>
      </c>
      <c r="AA2292">
        <v>9</v>
      </c>
      <c r="AB2292">
        <v>3</v>
      </c>
      <c r="AC2292">
        <v>0</v>
      </c>
      <c r="AD2292">
        <v>10</v>
      </c>
      <c r="AE2292">
        <v>0</v>
      </c>
      <c r="AF2292">
        <v>3</v>
      </c>
      <c r="AG2292">
        <v>2</v>
      </c>
      <c r="AH2292">
        <v>0</v>
      </c>
      <c r="AI2292" t="s">
        <v>4691</v>
      </c>
      <c r="AJ2292">
        <v>39.964720999999997</v>
      </c>
      <c r="AK2292" t="s">
        <v>4692</v>
      </c>
      <c r="AL2292">
        <v>-75.603167999999997</v>
      </c>
      <c r="AM2292">
        <v>100</v>
      </c>
      <c r="AN2292">
        <v>4700</v>
      </c>
      <c r="AO2292" t="s">
        <v>115</v>
      </c>
      <c r="AP2292">
        <v>130</v>
      </c>
      <c r="AQ2292">
        <v>123</v>
      </c>
      <c r="AR2292">
        <v>64</v>
      </c>
      <c r="AZ2292">
        <v>3614</v>
      </c>
      <c r="BA2292">
        <v>1</v>
      </c>
      <c r="BB2292" t="str">
        <f t="shared" si="107"/>
        <v xml:space="preserve">N959MJ  </v>
      </c>
      <c r="BC2292">
        <v>1</v>
      </c>
      <c r="BE2292">
        <v>0</v>
      </c>
      <c r="BF2292">
        <v>0</v>
      </c>
      <c r="BG2292">
        <v>0</v>
      </c>
      <c r="BH2292">
        <v>4900</v>
      </c>
      <c r="BI2292">
        <v>200</v>
      </c>
      <c r="BJ2292">
        <v>1</v>
      </c>
      <c r="BK2292">
        <v>1</v>
      </c>
      <c r="BL2292">
        <v>1</v>
      </c>
      <c r="BM2292">
        <v>0</v>
      </c>
      <c r="BP2292">
        <v>0</v>
      </c>
      <c r="BQ2292">
        <v>0</v>
      </c>
      <c r="BX2292" t="str">
        <f>"14:28:33.258"</f>
        <v>14:28:33.258</v>
      </c>
      <c r="BY2292" t="str">
        <f>"257375746"</f>
        <v>257375746</v>
      </c>
      <c r="CL2292">
        <v>0</v>
      </c>
      <c r="CM2292">
        <v>2</v>
      </c>
      <c r="CN2292">
        <v>0</v>
      </c>
      <c r="CO2292">
        <v>2</v>
      </c>
      <c r="CP2292">
        <v>0</v>
      </c>
      <c r="CQ2292">
        <v>7</v>
      </c>
      <c r="CR2292" t="s">
        <v>116</v>
      </c>
      <c r="CS2292">
        <v>39</v>
      </c>
      <c r="CT2292">
        <v>3</v>
      </c>
      <c r="CU2292" t="s">
        <v>2259</v>
      </c>
      <c r="CV2292" t="s">
        <v>2260</v>
      </c>
      <c r="CY2292">
        <v>10957925</v>
      </c>
      <c r="CZ2292" t="s">
        <v>119</v>
      </c>
    </row>
    <row r="2293" spans="1:104" x14ac:dyDescent="0.25">
      <c r="A2293" t="str">
        <f>"14:28:34.328"</f>
        <v>14:28:34.328</v>
      </c>
      <c r="B2293" t="s">
        <v>108</v>
      </c>
      <c r="C2293" t="str">
        <f t="shared" si="106"/>
        <v>ffdfd3c0</v>
      </c>
      <c r="D2293" t="s">
        <v>109</v>
      </c>
      <c r="E2293">
        <v>4</v>
      </c>
      <c r="F2293">
        <v>1004</v>
      </c>
      <c r="G2293" t="s">
        <v>110</v>
      </c>
      <c r="J2293" t="s">
        <v>111</v>
      </c>
      <c r="K2293">
        <v>0</v>
      </c>
      <c r="L2293">
        <v>3</v>
      </c>
      <c r="M2293">
        <v>0</v>
      </c>
      <c r="N2293">
        <v>2</v>
      </c>
      <c r="O2293">
        <v>1</v>
      </c>
      <c r="P2293">
        <v>0</v>
      </c>
      <c r="Q2293">
        <v>0</v>
      </c>
      <c r="R2293" t="s">
        <v>112</v>
      </c>
      <c r="S2293" t="str">
        <f>"14:28:34.164"</f>
        <v>14:28:34.164</v>
      </c>
      <c r="T2293" t="str">
        <f>"14:28:33.766"</f>
        <v>14:28:33.766</v>
      </c>
      <c r="U2293" t="str">
        <f t="shared" si="105"/>
        <v>ad5732</v>
      </c>
      <c r="V2293">
        <v>0</v>
      </c>
      <c r="W2293">
        <v>0</v>
      </c>
      <c r="X2293">
        <v>1</v>
      </c>
      <c r="Z2293">
        <v>0</v>
      </c>
      <c r="AA2293">
        <v>9</v>
      </c>
      <c r="AB2293">
        <v>3</v>
      </c>
      <c r="AC2293">
        <v>0</v>
      </c>
      <c r="AD2293">
        <v>10</v>
      </c>
      <c r="AE2293">
        <v>0</v>
      </c>
      <c r="AF2293">
        <v>3</v>
      </c>
      <c r="AG2293">
        <v>2</v>
      </c>
      <c r="AH2293">
        <v>0</v>
      </c>
      <c r="AI2293" t="s">
        <v>4693</v>
      </c>
      <c r="AJ2293">
        <v>39.965235999999997</v>
      </c>
      <c r="AK2293" t="s">
        <v>4694</v>
      </c>
      <c r="AL2293">
        <v>-75.602480999999997</v>
      </c>
      <c r="AM2293">
        <v>100</v>
      </c>
      <c r="AN2293">
        <v>4700</v>
      </c>
      <c r="AO2293" t="s">
        <v>115</v>
      </c>
      <c r="AP2293">
        <v>130</v>
      </c>
      <c r="AQ2293">
        <v>123</v>
      </c>
      <c r="AR2293">
        <v>64</v>
      </c>
      <c r="AZ2293">
        <v>3614</v>
      </c>
      <c r="BA2293">
        <v>1</v>
      </c>
      <c r="BB2293" t="str">
        <f t="shared" si="107"/>
        <v xml:space="preserve">N959MJ  </v>
      </c>
      <c r="BC2293">
        <v>1</v>
      </c>
      <c r="BE2293">
        <v>0</v>
      </c>
      <c r="BF2293">
        <v>0</v>
      </c>
      <c r="BG2293">
        <v>0</v>
      </c>
      <c r="BH2293">
        <v>4900</v>
      </c>
      <c r="BI2293">
        <v>200</v>
      </c>
      <c r="BJ2293">
        <v>1</v>
      </c>
      <c r="BK2293">
        <v>1</v>
      </c>
      <c r="BL2293">
        <v>1</v>
      </c>
      <c r="BM2293">
        <v>0</v>
      </c>
      <c r="BP2293">
        <v>0</v>
      </c>
      <c r="BQ2293">
        <v>0</v>
      </c>
      <c r="BX2293" t="str">
        <f>"14:28:34.172"</f>
        <v>14:28:34.172</v>
      </c>
      <c r="BY2293" t="str">
        <f>"169980182"</f>
        <v>169980182</v>
      </c>
      <c r="CL2293">
        <v>0</v>
      </c>
      <c r="CM2293">
        <v>2</v>
      </c>
      <c r="CN2293">
        <v>0</v>
      </c>
      <c r="CO2293">
        <v>2</v>
      </c>
      <c r="CP2293">
        <v>0</v>
      </c>
      <c r="CQ2293">
        <v>7</v>
      </c>
      <c r="CR2293" t="s">
        <v>116</v>
      </c>
      <c r="CS2293">
        <v>39</v>
      </c>
      <c r="CT2293">
        <v>3</v>
      </c>
      <c r="CU2293" t="s">
        <v>2259</v>
      </c>
      <c r="CV2293" t="s">
        <v>2260</v>
      </c>
      <c r="CY2293">
        <v>10959532</v>
      </c>
      <c r="CZ2293" t="s">
        <v>119</v>
      </c>
    </row>
    <row r="2294" spans="1:104" x14ac:dyDescent="0.25">
      <c r="A2294" t="str">
        <f>"14:28:35.234"</f>
        <v>14:28:35.234</v>
      </c>
      <c r="B2294" t="s">
        <v>108</v>
      </c>
      <c r="C2294" t="str">
        <f t="shared" si="106"/>
        <v>ffdfd3c0</v>
      </c>
      <c r="D2294" t="s">
        <v>109</v>
      </c>
      <c r="E2294">
        <v>4</v>
      </c>
      <c r="F2294">
        <v>1004</v>
      </c>
      <c r="G2294" t="s">
        <v>110</v>
      </c>
      <c r="J2294" t="s">
        <v>111</v>
      </c>
      <c r="K2294">
        <v>0</v>
      </c>
      <c r="L2294">
        <v>3</v>
      </c>
      <c r="M2294">
        <v>0</v>
      </c>
      <c r="N2294">
        <v>2</v>
      </c>
      <c r="O2294">
        <v>1</v>
      </c>
      <c r="P2294">
        <v>0</v>
      </c>
      <c r="Q2294">
        <v>0</v>
      </c>
      <c r="R2294" t="s">
        <v>112</v>
      </c>
      <c r="S2294" t="str">
        <f>"14:28:35.063"</f>
        <v>14:28:35.063</v>
      </c>
      <c r="T2294" t="str">
        <f>"14:28:34.664"</f>
        <v>14:28:34.664</v>
      </c>
      <c r="U2294" t="str">
        <f t="shared" si="105"/>
        <v>ad5732</v>
      </c>
      <c r="V2294">
        <v>0</v>
      </c>
      <c r="W2294">
        <v>0</v>
      </c>
      <c r="X2294">
        <v>1</v>
      </c>
      <c r="Z2294">
        <v>0</v>
      </c>
      <c r="AA2294">
        <v>9</v>
      </c>
      <c r="AB2294">
        <v>3</v>
      </c>
      <c r="AC2294">
        <v>0</v>
      </c>
      <c r="AD2294">
        <v>10</v>
      </c>
      <c r="AE2294">
        <v>0</v>
      </c>
      <c r="AF2294">
        <v>3</v>
      </c>
      <c r="AG2294">
        <v>2</v>
      </c>
      <c r="AH2294">
        <v>0</v>
      </c>
      <c r="AI2294" t="s">
        <v>4695</v>
      </c>
      <c r="AJ2294">
        <v>39.965750999999997</v>
      </c>
      <c r="AK2294" t="s">
        <v>4696</v>
      </c>
      <c r="AL2294">
        <v>-75.601730000000003</v>
      </c>
      <c r="AM2294">
        <v>100</v>
      </c>
      <c r="AN2294">
        <v>4700</v>
      </c>
      <c r="AO2294" t="s">
        <v>115</v>
      </c>
      <c r="AP2294">
        <v>131</v>
      </c>
      <c r="AQ2294">
        <v>123</v>
      </c>
      <c r="AR2294">
        <v>0</v>
      </c>
      <c r="AZ2294">
        <v>3614</v>
      </c>
      <c r="BA2294">
        <v>1</v>
      </c>
      <c r="BB2294" t="str">
        <f t="shared" si="107"/>
        <v xml:space="preserve">N959MJ  </v>
      </c>
      <c r="BC2294">
        <v>1</v>
      </c>
      <c r="BE2294">
        <v>0</v>
      </c>
      <c r="BF2294">
        <v>0</v>
      </c>
      <c r="BG2294">
        <v>0</v>
      </c>
      <c r="BH2294">
        <v>4900</v>
      </c>
      <c r="BI2294">
        <v>200</v>
      </c>
      <c r="BJ2294">
        <v>1</v>
      </c>
      <c r="BK2294">
        <v>1</v>
      </c>
      <c r="BL2294">
        <v>1</v>
      </c>
      <c r="BM2294">
        <v>0</v>
      </c>
      <c r="BP2294">
        <v>0</v>
      </c>
      <c r="BQ2294">
        <v>0</v>
      </c>
      <c r="BX2294" t="str">
        <f>"14:28:35.070"</f>
        <v>14:28:35.070</v>
      </c>
      <c r="BY2294" t="str">
        <f>"067838806"</f>
        <v>067838806</v>
      </c>
      <c r="CL2294">
        <v>0</v>
      </c>
      <c r="CM2294">
        <v>2</v>
      </c>
      <c r="CN2294">
        <v>0</v>
      </c>
      <c r="CO2294">
        <v>2</v>
      </c>
      <c r="CP2294">
        <v>0</v>
      </c>
      <c r="CQ2294">
        <v>7</v>
      </c>
      <c r="CR2294" t="s">
        <v>116</v>
      </c>
      <c r="CS2294">
        <v>39</v>
      </c>
      <c r="CT2294">
        <v>3</v>
      </c>
      <c r="CU2294" t="s">
        <v>2259</v>
      </c>
      <c r="CV2294" t="s">
        <v>2260</v>
      </c>
      <c r="CY2294">
        <v>10961114</v>
      </c>
      <c r="CZ2294" t="s">
        <v>119</v>
      </c>
    </row>
    <row r="2295" spans="1:104" x14ac:dyDescent="0.25">
      <c r="A2295" t="str">
        <f>"14:28:36.195"</f>
        <v>14:28:36.195</v>
      </c>
      <c r="B2295" t="s">
        <v>108</v>
      </c>
      <c r="C2295" t="str">
        <f t="shared" si="106"/>
        <v>ffdfd3c0</v>
      </c>
      <c r="D2295" t="s">
        <v>109</v>
      </c>
      <c r="E2295">
        <v>4</v>
      </c>
      <c r="F2295">
        <v>1004</v>
      </c>
      <c r="G2295" t="s">
        <v>110</v>
      </c>
      <c r="J2295" t="s">
        <v>111</v>
      </c>
      <c r="K2295">
        <v>0</v>
      </c>
      <c r="L2295">
        <v>3</v>
      </c>
      <c r="M2295">
        <v>0</v>
      </c>
      <c r="N2295">
        <v>2</v>
      </c>
      <c r="O2295">
        <v>1</v>
      </c>
      <c r="P2295">
        <v>0</v>
      </c>
      <c r="Q2295">
        <v>0</v>
      </c>
      <c r="R2295" t="s">
        <v>112</v>
      </c>
      <c r="S2295" t="str">
        <f>"14:28:36.000"</f>
        <v>14:28:36.000</v>
      </c>
      <c r="T2295" t="str">
        <f>"14:28:35.602"</f>
        <v>14:28:35.602</v>
      </c>
      <c r="U2295" t="str">
        <f t="shared" si="105"/>
        <v>ad5732</v>
      </c>
      <c r="V2295">
        <v>0</v>
      </c>
      <c r="W2295">
        <v>0</v>
      </c>
      <c r="X2295">
        <v>1</v>
      </c>
      <c r="Z2295">
        <v>0</v>
      </c>
      <c r="AA2295">
        <v>9</v>
      </c>
      <c r="AB2295">
        <v>3</v>
      </c>
      <c r="AC2295">
        <v>0</v>
      </c>
      <c r="AD2295">
        <v>10</v>
      </c>
      <c r="AE2295">
        <v>0</v>
      </c>
      <c r="AF2295">
        <v>3</v>
      </c>
      <c r="AG2295">
        <v>2</v>
      </c>
      <c r="AH2295">
        <v>0</v>
      </c>
      <c r="AI2295" t="s">
        <v>4697</v>
      </c>
      <c r="AJ2295">
        <v>39.966245000000001</v>
      </c>
      <c r="AK2295" t="s">
        <v>4698</v>
      </c>
      <c r="AL2295">
        <v>-75.601022</v>
      </c>
      <c r="AM2295">
        <v>100</v>
      </c>
      <c r="AN2295">
        <v>4700</v>
      </c>
      <c r="AO2295" t="s">
        <v>115</v>
      </c>
      <c r="AP2295">
        <v>130</v>
      </c>
      <c r="AQ2295">
        <v>123</v>
      </c>
      <c r="AR2295">
        <v>0</v>
      </c>
      <c r="AZ2295">
        <v>3614</v>
      </c>
      <c r="BA2295">
        <v>1</v>
      </c>
      <c r="BB2295" t="str">
        <f t="shared" si="107"/>
        <v xml:space="preserve">N959MJ  </v>
      </c>
      <c r="BC2295">
        <v>1</v>
      </c>
      <c r="BE2295">
        <v>0</v>
      </c>
      <c r="BF2295">
        <v>0</v>
      </c>
      <c r="BG2295">
        <v>0</v>
      </c>
      <c r="BH2295">
        <v>4900</v>
      </c>
      <c r="BI2295">
        <v>200</v>
      </c>
      <c r="BJ2295">
        <v>1</v>
      </c>
      <c r="BK2295">
        <v>1</v>
      </c>
      <c r="BL2295">
        <v>1</v>
      </c>
      <c r="BM2295">
        <v>0</v>
      </c>
      <c r="BP2295">
        <v>0</v>
      </c>
      <c r="BQ2295">
        <v>0</v>
      </c>
      <c r="BX2295" t="str">
        <f>"14:28:36.000"</f>
        <v>14:28:36.000</v>
      </c>
      <c r="BY2295" t="str">
        <f>"001742871"</f>
        <v>001742871</v>
      </c>
      <c r="CL2295">
        <v>0</v>
      </c>
      <c r="CM2295">
        <v>2</v>
      </c>
      <c r="CN2295">
        <v>0</v>
      </c>
      <c r="CO2295">
        <v>2</v>
      </c>
      <c r="CP2295">
        <v>0</v>
      </c>
      <c r="CQ2295">
        <v>7</v>
      </c>
      <c r="CR2295" t="s">
        <v>116</v>
      </c>
      <c r="CS2295">
        <v>39</v>
      </c>
      <c r="CT2295">
        <v>3</v>
      </c>
      <c r="CU2295" t="s">
        <v>2259</v>
      </c>
      <c r="CV2295" t="s">
        <v>2260</v>
      </c>
      <c r="CY2295">
        <v>10962669</v>
      </c>
      <c r="CZ2295" t="s">
        <v>119</v>
      </c>
    </row>
    <row r="2296" spans="1:104" x14ac:dyDescent="0.25">
      <c r="A2296" t="str">
        <f>"14:28:37.305"</f>
        <v>14:28:37.305</v>
      </c>
      <c r="B2296" t="s">
        <v>108</v>
      </c>
      <c r="C2296" t="str">
        <f t="shared" si="106"/>
        <v>ffdfd3c0</v>
      </c>
      <c r="D2296" t="s">
        <v>109</v>
      </c>
      <c r="E2296">
        <v>4</v>
      </c>
      <c r="F2296">
        <v>1004</v>
      </c>
      <c r="G2296" t="s">
        <v>110</v>
      </c>
      <c r="J2296" t="s">
        <v>111</v>
      </c>
      <c r="K2296">
        <v>0</v>
      </c>
      <c r="L2296">
        <v>3</v>
      </c>
      <c r="M2296">
        <v>0</v>
      </c>
      <c r="N2296">
        <v>2</v>
      </c>
      <c r="O2296">
        <v>1</v>
      </c>
      <c r="P2296">
        <v>0</v>
      </c>
      <c r="Q2296">
        <v>0</v>
      </c>
      <c r="R2296" t="s">
        <v>112</v>
      </c>
      <c r="S2296" t="str">
        <f>"14:28:37.078"</f>
        <v>14:28:37.078</v>
      </c>
      <c r="T2296" t="str">
        <f>"14:28:36.680"</f>
        <v>14:28:36.680</v>
      </c>
      <c r="U2296" t="str">
        <f t="shared" si="105"/>
        <v>ad5732</v>
      </c>
      <c r="V2296">
        <v>0</v>
      </c>
      <c r="W2296">
        <v>0</v>
      </c>
      <c r="X2296">
        <v>1</v>
      </c>
      <c r="Z2296">
        <v>0</v>
      </c>
      <c r="AA2296">
        <v>9</v>
      </c>
      <c r="AB2296">
        <v>3</v>
      </c>
      <c r="AC2296">
        <v>0</v>
      </c>
      <c r="AD2296">
        <v>10</v>
      </c>
      <c r="AE2296">
        <v>0</v>
      </c>
      <c r="AF2296">
        <v>3</v>
      </c>
      <c r="AG2296">
        <v>2</v>
      </c>
      <c r="AH2296">
        <v>0</v>
      </c>
      <c r="AI2296" t="s">
        <v>4699</v>
      </c>
      <c r="AJ2296">
        <v>39.966867000000001</v>
      </c>
      <c r="AK2296" t="s">
        <v>4700</v>
      </c>
      <c r="AL2296">
        <v>-75.600164000000007</v>
      </c>
      <c r="AM2296">
        <v>100</v>
      </c>
      <c r="AN2296">
        <v>4700</v>
      </c>
      <c r="AO2296" t="s">
        <v>115</v>
      </c>
      <c r="AP2296">
        <v>130</v>
      </c>
      <c r="AQ2296">
        <v>124</v>
      </c>
      <c r="AR2296">
        <v>-64</v>
      </c>
      <c r="AZ2296">
        <v>3614</v>
      </c>
      <c r="BA2296">
        <v>1</v>
      </c>
      <c r="BB2296" t="str">
        <f t="shared" si="107"/>
        <v xml:space="preserve">N959MJ  </v>
      </c>
      <c r="BC2296">
        <v>1</v>
      </c>
      <c r="BE2296">
        <v>0</v>
      </c>
      <c r="BF2296">
        <v>0</v>
      </c>
      <c r="BG2296">
        <v>0</v>
      </c>
      <c r="BH2296">
        <v>4900</v>
      </c>
      <c r="BI2296">
        <v>200</v>
      </c>
      <c r="BJ2296">
        <v>1</v>
      </c>
      <c r="BK2296">
        <v>1</v>
      </c>
      <c r="BL2296">
        <v>1</v>
      </c>
      <c r="BM2296">
        <v>0</v>
      </c>
      <c r="BP2296">
        <v>0</v>
      </c>
      <c r="BQ2296">
        <v>0</v>
      </c>
      <c r="BX2296" t="str">
        <f>"14:28:37.078"</f>
        <v>14:28:37.078</v>
      </c>
      <c r="BY2296" t="str">
        <f>"081467175"</f>
        <v>081467175</v>
      </c>
      <c r="CL2296">
        <v>0</v>
      </c>
      <c r="CM2296">
        <v>2</v>
      </c>
      <c r="CN2296">
        <v>0</v>
      </c>
      <c r="CO2296">
        <v>2</v>
      </c>
      <c r="CP2296">
        <v>0</v>
      </c>
      <c r="CQ2296">
        <v>7</v>
      </c>
      <c r="CR2296" t="s">
        <v>116</v>
      </c>
      <c r="CS2296">
        <v>39</v>
      </c>
      <c r="CT2296">
        <v>1</v>
      </c>
      <c r="CU2296" t="s">
        <v>2259</v>
      </c>
      <c r="CV2296" t="s">
        <v>2260</v>
      </c>
      <c r="CY2296">
        <v>8940431</v>
      </c>
      <c r="CZ2296" t="s">
        <v>119</v>
      </c>
    </row>
    <row r="2297" spans="1:104" x14ac:dyDescent="0.25">
      <c r="A2297" t="str">
        <f>"14:28:38.367"</f>
        <v>14:28:38.367</v>
      </c>
      <c r="B2297" t="s">
        <v>108</v>
      </c>
      <c r="C2297" t="str">
        <f t="shared" si="106"/>
        <v>ffdfd3c0</v>
      </c>
      <c r="D2297" t="s">
        <v>109</v>
      </c>
      <c r="E2297">
        <v>4</v>
      </c>
      <c r="F2297">
        <v>1004</v>
      </c>
      <c r="G2297" t="s">
        <v>110</v>
      </c>
      <c r="J2297" t="s">
        <v>111</v>
      </c>
      <c r="K2297">
        <v>0</v>
      </c>
      <c r="L2297">
        <v>3</v>
      </c>
      <c r="M2297">
        <v>0</v>
      </c>
      <c r="N2297">
        <v>2</v>
      </c>
      <c r="O2297">
        <v>1</v>
      </c>
      <c r="P2297">
        <v>0</v>
      </c>
      <c r="Q2297">
        <v>0</v>
      </c>
      <c r="R2297" t="s">
        <v>112</v>
      </c>
      <c r="S2297" t="str">
        <f>"14:28:38.195"</f>
        <v>14:28:38.195</v>
      </c>
      <c r="T2297" t="str">
        <f>"14:28:37.695"</f>
        <v>14:28:37.695</v>
      </c>
      <c r="U2297" t="str">
        <f t="shared" si="105"/>
        <v>ad5732</v>
      </c>
      <c r="V2297">
        <v>0</v>
      </c>
      <c r="W2297">
        <v>0</v>
      </c>
      <c r="X2297">
        <v>1</v>
      </c>
      <c r="Z2297">
        <v>0</v>
      </c>
      <c r="AA2297">
        <v>9</v>
      </c>
      <c r="AB2297">
        <v>3</v>
      </c>
      <c r="AC2297">
        <v>0</v>
      </c>
      <c r="AD2297">
        <v>10</v>
      </c>
      <c r="AE2297">
        <v>0</v>
      </c>
      <c r="AF2297">
        <v>3</v>
      </c>
      <c r="AG2297">
        <v>2</v>
      </c>
      <c r="AH2297">
        <v>0</v>
      </c>
      <c r="AI2297" t="s">
        <v>4701</v>
      </c>
      <c r="AJ2297">
        <v>39.967531999999999</v>
      </c>
      <c r="AK2297" t="s">
        <v>4702</v>
      </c>
      <c r="AL2297">
        <v>-75.599305999999999</v>
      </c>
      <c r="AM2297">
        <v>100</v>
      </c>
      <c r="AN2297">
        <v>4700</v>
      </c>
      <c r="AO2297" t="s">
        <v>115</v>
      </c>
      <c r="AP2297">
        <v>130</v>
      </c>
      <c r="AQ2297">
        <v>124</v>
      </c>
      <c r="AR2297">
        <v>-128</v>
      </c>
      <c r="AZ2297">
        <v>3614</v>
      </c>
      <c r="BA2297">
        <v>1</v>
      </c>
      <c r="BB2297" t="str">
        <f t="shared" si="107"/>
        <v xml:space="preserve">N959MJ  </v>
      </c>
      <c r="BC2297">
        <v>1</v>
      </c>
      <c r="BE2297">
        <v>0</v>
      </c>
      <c r="BF2297">
        <v>0</v>
      </c>
      <c r="BG2297">
        <v>0</v>
      </c>
      <c r="BH2297">
        <v>4900</v>
      </c>
      <c r="BI2297">
        <v>200</v>
      </c>
      <c r="BJ2297">
        <v>1</v>
      </c>
      <c r="BK2297">
        <v>1</v>
      </c>
      <c r="BL2297">
        <v>1</v>
      </c>
      <c r="BM2297">
        <v>0</v>
      </c>
      <c r="BP2297">
        <v>0</v>
      </c>
      <c r="BQ2297">
        <v>0</v>
      </c>
      <c r="BX2297" t="str">
        <f>"14:28:38.203"</f>
        <v>14:28:38.203</v>
      </c>
      <c r="BY2297" t="str">
        <f>"200738168"</f>
        <v>200738168</v>
      </c>
      <c r="CL2297">
        <v>0</v>
      </c>
      <c r="CM2297">
        <v>2</v>
      </c>
      <c r="CN2297">
        <v>0</v>
      </c>
      <c r="CO2297">
        <v>2</v>
      </c>
      <c r="CP2297">
        <v>0</v>
      </c>
      <c r="CQ2297">
        <v>6</v>
      </c>
      <c r="CR2297" t="s">
        <v>116</v>
      </c>
      <c r="CS2297">
        <v>40</v>
      </c>
      <c r="CT2297">
        <v>3</v>
      </c>
      <c r="CU2297" t="s">
        <v>2685</v>
      </c>
      <c r="CV2297" t="s">
        <v>2686</v>
      </c>
      <c r="CY2297">
        <v>6829354</v>
      </c>
      <c r="CZ2297" t="s">
        <v>119</v>
      </c>
    </row>
    <row r="2298" spans="1:104" x14ac:dyDescent="0.25">
      <c r="A2298" t="str">
        <f>"14:28:39.375"</f>
        <v>14:28:39.375</v>
      </c>
      <c r="B2298" t="s">
        <v>108</v>
      </c>
      <c r="C2298" t="str">
        <f t="shared" si="106"/>
        <v>ffdfd3c0</v>
      </c>
      <c r="D2298" t="s">
        <v>109</v>
      </c>
      <c r="E2298">
        <v>4</v>
      </c>
      <c r="F2298">
        <v>1004</v>
      </c>
      <c r="G2298" t="s">
        <v>110</v>
      </c>
      <c r="J2298" t="s">
        <v>111</v>
      </c>
      <c r="K2298">
        <v>0</v>
      </c>
      <c r="L2298">
        <v>3</v>
      </c>
      <c r="M2298">
        <v>0</v>
      </c>
      <c r="N2298">
        <v>2</v>
      </c>
      <c r="O2298">
        <v>1</v>
      </c>
      <c r="P2298">
        <v>0</v>
      </c>
      <c r="Q2298">
        <v>0</v>
      </c>
      <c r="R2298" t="s">
        <v>112</v>
      </c>
      <c r="S2298" t="str">
        <f>"14:28:39.180"</f>
        <v>14:28:39.180</v>
      </c>
      <c r="T2298" t="str">
        <f>"14:28:38.680"</f>
        <v>14:28:38.680</v>
      </c>
      <c r="U2298" t="str">
        <f t="shared" si="105"/>
        <v>ad5732</v>
      </c>
      <c r="V2298">
        <v>0</v>
      </c>
      <c r="W2298">
        <v>0</v>
      </c>
      <c r="X2298">
        <v>1</v>
      </c>
      <c r="Z2298">
        <v>0</v>
      </c>
      <c r="AA2298">
        <v>9</v>
      </c>
      <c r="AB2298">
        <v>3</v>
      </c>
      <c r="AC2298">
        <v>0</v>
      </c>
      <c r="AD2298">
        <v>10</v>
      </c>
      <c r="AE2298">
        <v>0</v>
      </c>
      <c r="AF2298">
        <v>3</v>
      </c>
      <c r="AG2298">
        <v>2</v>
      </c>
      <c r="AH2298">
        <v>0</v>
      </c>
      <c r="AI2298" t="s">
        <v>4703</v>
      </c>
      <c r="AJ2298">
        <v>39.968069</v>
      </c>
      <c r="AK2298" t="s">
        <v>4704</v>
      </c>
      <c r="AL2298">
        <v>-75.598511999999999</v>
      </c>
      <c r="AM2298">
        <v>100</v>
      </c>
      <c r="AN2298">
        <v>4700</v>
      </c>
      <c r="AO2298" t="s">
        <v>115</v>
      </c>
      <c r="AP2298">
        <v>130</v>
      </c>
      <c r="AQ2298">
        <v>124</v>
      </c>
      <c r="AR2298">
        <v>-128</v>
      </c>
      <c r="AZ2298">
        <v>3614</v>
      </c>
      <c r="BA2298">
        <v>1</v>
      </c>
      <c r="BB2298" t="str">
        <f t="shared" si="107"/>
        <v xml:space="preserve">N959MJ  </v>
      </c>
      <c r="BC2298">
        <v>1</v>
      </c>
      <c r="BE2298">
        <v>0</v>
      </c>
      <c r="BF2298">
        <v>0</v>
      </c>
      <c r="BG2298">
        <v>0</v>
      </c>
      <c r="BH2298">
        <v>4900</v>
      </c>
      <c r="BI2298">
        <v>200</v>
      </c>
      <c r="BJ2298">
        <v>1</v>
      </c>
      <c r="BK2298">
        <v>1</v>
      </c>
      <c r="BL2298">
        <v>1</v>
      </c>
      <c r="BM2298">
        <v>0</v>
      </c>
      <c r="BP2298">
        <v>0</v>
      </c>
      <c r="BQ2298">
        <v>0</v>
      </c>
      <c r="BX2298" t="str">
        <f>"14:28:39.188"</f>
        <v>14:28:39.188</v>
      </c>
      <c r="BY2298" t="str">
        <f>"185208885"</f>
        <v>185208885</v>
      </c>
      <c r="CL2298">
        <v>0</v>
      </c>
      <c r="CM2298">
        <v>2</v>
      </c>
      <c r="CN2298">
        <v>0</v>
      </c>
      <c r="CO2298">
        <v>2</v>
      </c>
      <c r="CP2298">
        <v>0</v>
      </c>
      <c r="CQ2298">
        <v>7</v>
      </c>
      <c r="CR2298" t="s">
        <v>116</v>
      </c>
      <c r="CS2298">
        <v>39</v>
      </c>
      <c r="CT2298">
        <v>3</v>
      </c>
      <c r="CU2298" t="s">
        <v>2259</v>
      </c>
      <c r="CV2298" t="s">
        <v>2260</v>
      </c>
      <c r="CY2298">
        <v>10968081</v>
      </c>
      <c r="CZ2298" t="s">
        <v>119</v>
      </c>
    </row>
    <row r="2299" spans="1:104" x14ac:dyDescent="0.25">
      <c r="A2299" t="str">
        <f>"14:28:40.281"</f>
        <v>14:28:40.281</v>
      </c>
      <c r="B2299" t="s">
        <v>108</v>
      </c>
      <c r="C2299" t="str">
        <f t="shared" si="106"/>
        <v>ffdfd3c0</v>
      </c>
      <c r="D2299" t="s">
        <v>109</v>
      </c>
      <c r="E2299">
        <v>4</v>
      </c>
      <c r="F2299">
        <v>1004</v>
      </c>
      <c r="G2299" t="s">
        <v>110</v>
      </c>
      <c r="J2299" t="s">
        <v>111</v>
      </c>
      <c r="K2299">
        <v>0</v>
      </c>
      <c r="L2299">
        <v>3</v>
      </c>
      <c r="M2299">
        <v>0</v>
      </c>
      <c r="N2299">
        <v>2</v>
      </c>
      <c r="O2299">
        <v>1</v>
      </c>
      <c r="P2299">
        <v>0</v>
      </c>
      <c r="Q2299">
        <v>0</v>
      </c>
      <c r="R2299" t="s">
        <v>112</v>
      </c>
      <c r="S2299" t="str">
        <f>"14:28:40.078"</f>
        <v>14:28:40.078</v>
      </c>
      <c r="T2299" t="str">
        <f>"14:28:39.680"</f>
        <v>14:28:39.680</v>
      </c>
      <c r="U2299" t="str">
        <f t="shared" si="105"/>
        <v>ad5732</v>
      </c>
      <c r="V2299">
        <v>0</v>
      </c>
      <c r="W2299">
        <v>0</v>
      </c>
      <c r="X2299">
        <v>1</v>
      </c>
      <c r="Z2299">
        <v>0</v>
      </c>
      <c r="AA2299">
        <v>9</v>
      </c>
      <c r="AB2299">
        <v>3</v>
      </c>
      <c r="AC2299">
        <v>0</v>
      </c>
      <c r="AD2299">
        <v>10</v>
      </c>
      <c r="AE2299">
        <v>0</v>
      </c>
      <c r="AF2299">
        <v>3</v>
      </c>
      <c r="AG2299">
        <v>2</v>
      </c>
      <c r="AH2299">
        <v>0</v>
      </c>
      <c r="AI2299" t="s">
        <v>4705</v>
      </c>
      <c r="AJ2299">
        <v>39.968584</v>
      </c>
      <c r="AK2299" t="s">
        <v>4706</v>
      </c>
      <c r="AL2299">
        <v>-75.597803999999996</v>
      </c>
      <c r="AM2299">
        <v>100</v>
      </c>
      <c r="AN2299">
        <v>4700</v>
      </c>
      <c r="AO2299" t="s">
        <v>115</v>
      </c>
      <c r="AP2299">
        <v>130</v>
      </c>
      <c r="AQ2299">
        <v>124</v>
      </c>
      <c r="AR2299">
        <v>-128</v>
      </c>
      <c r="AZ2299">
        <v>3614</v>
      </c>
      <c r="BA2299">
        <v>1</v>
      </c>
      <c r="BB2299" t="str">
        <f t="shared" si="107"/>
        <v xml:space="preserve">N959MJ  </v>
      </c>
      <c r="BC2299">
        <v>1</v>
      </c>
      <c r="BE2299">
        <v>0</v>
      </c>
      <c r="BF2299">
        <v>0</v>
      </c>
      <c r="BG2299">
        <v>0</v>
      </c>
      <c r="BH2299">
        <v>4900</v>
      </c>
      <c r="BI2299">
        <v>200</v>
      </c>
      <c r="BJ2299">
        <v>1</v>
      </c>
      <c r="BK2299">
        <v>1</v>
      </c>
      <c r="BL2299">
        <v>1</v>
      </c>
      <c r="BM2299">
        <v>0</v>
      </c>
      <c r="BP2299">
        <v>0</v>
      </c>
      <c r="BQ2299">
        <v>0</v>
      </c>
      <c r="BX2299" t="str">
        <f>"14:28:40.078"</f>
        <v>14:28:40.078</v>
      </c>
      <c r="BY2299" t="str">
        <f>"078152283"</f>
        <v>078152283</v>
      </c>
      <c r="CL2299">
        <v>0</v>
      </c>
      <c r="CM2299">
        <v>2</v>
      </c>
      <c r="CN2299">
        <v>0</v>
      </c>
      <c r="CO2299">
        <v>2</v>
      </c>
      <c r="CP2299">
        <v>0</v>
      </c>
      <c r="CQ2299">
        <v>7</v>
      </c>
      <c r="CR2299" t="s">
        <v>116</v>
      </c>
      <c r="CS2299">
        <v>39</v>
      </c>
      <c r="CT2299">
        <v>3</v>
      </c>
      <c r="CU2299" t="s">
        <v>2259</v>
      </c>
      <c r="CV2299" t="s">
        <v>2260</v>
      </c>
      <c r="CY2299">
        <v>10969720</v>
      </c>
      <c r="CZ2299" t="s">
        <v>119</v>
      </c>
    </row>
    <row r="2300" spans="1:104" x14ac:dyDescent="0.25">
      <c r="A2300" t="str">
        <f>"14:28:41.242"</f>
        <v>14:28:41.242</v>
      </c>
      <c r="B2300" t="s">
        <v>108</v>
      </c>
      <c r="C2300" t="str">
        <f t="shared" si="106"/>
        <v>ffdfd3c0</v>
      </c>
      <c r="D2300" t="s">
        <v>109</v>
      </c>
      <c r="E2300">
        <v>4</v>
      </c>
      <c r="F2300">
        <v>1004</v>
      </c>
      <c r="G2300" t="s">
        <v>110</v>
      </c>
      <c r="J2300" t="s">
        <v>111</v>
      </c>
      <c r="K2300">
        <v>0</v>
      </c>
      <c r="L2300">
        <v>3</v>
      </c>
      <c r="M2300">
        <v>0</v>
      </c>
      <c r="N2300">
        <v>2</v>
      </c>
      <c r="O2300">
        <v>1</v>
      </c>
      <c r="P2300">
        <v>0</v>
      </c>
      <c r="Q2300">
        <v>0</v>
      </c>
      <c r="R2300" t="s">
        <v>112</v>
      </c>
      <c r="S2300" t="str">
        <f>"14:28:41.070"</f>
        <v>14:28:41.070</v>
      </c>
      <c r="T2300" t="str">
        <f>"14:28:40.672"</f>
        <v>14:28:40.672</v>
      </c>
      <c r="U2300" t="str">
        <f t="shared" si="105"/>
        <v>ad5732</v>
      </c>
      <c r="V2300">
        <v>0</v>
      </c>
      <c r="W2300">
        <v>0</v>
      </c>
      <c r="X2300">
        <v>1</v>
      </c>
      <c r="Z2300">
        <v>0</v>
      </c>
      <c r="AA2300">
        <v>9</v>
      </c>
      <c r="AB2300">
        <v>3</v>
      </c>
      <c r="AC2300">
        <v>0</v>
      </c>
      <c r="AD2300">
        <v>10</v>
      </c>
      <c r="AE2300">
        <v>0</v>
      </c>
      <c r="AF2300">
        <v>3</v>
      </c>
      <c r="AG2300">
        <v>2</v>
      </c>
      <c r="AH2300">
        <v>0</v>
      </c>
      <c r="AI2300" t="s">
        <v>4707</v>
      </c>
      <c r="AJ2300">
        <v>39.969183999999998</v>
      </c>
      <c r="AK2300" t="s">
        <v>4708</v>
      </c>
      <c r="AL2300">
        <v>-75.597053000000002</v>
      </c>
      <c r="AM2300">
        <v>100</v>
      </c>
      <c r="AN2300">
        <v>4700</v>
      </c>
      <c r="AO2300" t="s">
        <v>115</v>
      </c>
      <c r="AP2300">
        <v>130</v>
      </c>
      <c r="AQ2300">
        <v>124</v>
      </c>
      <c r="AR2300">
        <v>-128</v>
      </c>
      <c r="AZ2300">
        <v>3614</v>
      </c>
      <c r="BA2300">
        <v>1</v>
      </c>
      <c r="BB2300" t="str">
        <f t="shared" si="107"/>
        <v xml:space="preserve">N959MJ  </v>
      </c>
      <c r="BC2300">
        <v>1</v>
      </c>
      <c r="BE2300">
        <v>0</v>
      </c>
      <c r="BF2300">
        <v>0</v>
      </c>
      <c r="BG2300">
        <v>0</v>
      </c>
      <c r="BH2300">
        <v>4900</v>
      </c>
      <c r="BI2300">
        <v>200</v>
      </c>
      <c r="BJ2300">
        <v>1</v>
      </c>
      <c r="BK2300">
        <v>1</v>
      </c>
      <c r="BL2300">
        <v>1</v>
      </c>
      <c r="BM2300">
        <v>0</v>
      </c>
      <c r="BP2300">
        <v>0</v>
      </c>
      <c r="BQ2300">
        <v>0</v>
      </c>
      <c r="BX2300" t="str">
        <f>"14:28:41.078"</f>
        <v>14:28:41.078</v>
      </c>
      <c r="BY2300" t="str">
        <f>"076179756"</f>
        <v>076179756</v>
      </c>
      <c r="CL2300">
        <v>0</v>
      </c>
      <c r="CM2300">
        <v>2</v>
      </c>
      <c r="CN2300">
        <v>0</v>
      </c>
      <c r="CO2300">
        <v>2</v>
      </c>
      <c r="CP2300">
        <v>0</v>
      </c>
      <c r="CQ2300">
        <v>5</v>
      </c>
      <c r="CR2300" t="s">
        <v>116</v>
      </c>
      <c r="CS2300">
        <v>40</v>
      </c>
      <c r="CT2300">
        <v>3</v>
      </c>
      <c r="CU2300" t="s">
        <v>2685</v>
      </c>
      <c r="CV2300" t="s">
        <v>2686</v>
      </c>
      <c r="CY2300">
        <v>6835580</v>
      </c>
      <c r="CZ2300" t="s">
        <v>119</v>
      </c>
    </row>
    <row r="2301" spans="1:104" x14ac:dyDescent="0.25">
      <c r="A2301" t="str">
        <f>"14:28:42.305"</f>
        <v>14:28:42.305</v>
      </c>
      <c r="B2301" t="s">
        <v>108</v>
      </c>
      <c r="C2301" t="str">
        <f t="shared" si="106"/>
        <v>ffdfd3c0</v>
      </c>
      <c r="D2301" t="s">
        <v>109</v>
      </c>
      <c r="E2301">
        <v>4</v>
      </c>
      <c r="F2301">
        <v>1004</v>
      </c>
      <c r="G2301" t="s">
        <v>110</v>
      </c>
      <c r="J2301" t="s">
        <v>111</v>
      </c>
      <c r="K2301">
        <v>0</v>
      </c>
      <c r="L2301">
        <v>3</v>
      </c>
      <c r="M2301">
        <v>0</v>
      </c>
      <c r="N2301">
        <v>2</v>
      </c>
      <c r="O2301">
        <v>1</v>
      </c>
      <c r="P2301">
        <v>0</v>
      </c>
      <c r="Q2301">
        <v>0</v>
      </c>
      <c r="R2301" t="s">
        <v>112</v>
      </c>
      <c r="S2301" t="str">
        <f>"14:28:42.125"</f>
        <v>14:28:42.125</v>
      </c>
      <c r="T2301" t="str">
        <f>"14:28:41.625"</f>
        <v>14:28:41.625</v>
      </c>
      <c r="U2301" t="str">
        <f t="shared" si="105"/>
        <v>ad5732</v>
      </c>
      <c r="V2301">
        <v>0</v>
      </c>
      <c r="W2301">
        <v>0</v>
      </c>
      <c r="X2301">
        <v>1</v>
      </c>
      <c r="Z2301">
        <v>0</v>
      </c>
      <c r="AA2301">
        <v>9</v>
      </c>
      <c r="AB2301">
        <v>3</v>
      </c>
      <c r="AC2301">
        <v>0</v>
      </c>
      <c r="AD2301">
        <v>10</v>
      </c>
      <c r="AE2301">
        <v>0</v>
      </c>
      <c r="AF2301">
        <v>3</v>
      </c>
      <c r="AG2301">
        <v>2</v>
      </c>
      <c r="AH2301">
        <v>0</v>
      </c>
      <c r="AI2301" t="s">
        <v>4709</v>
      </c>
      <c r="AJ2301">
        <v>39.969828</v>
      </c>
      <c r="AK2301" t="s">
        <v>4710</v>
      </c>
      <c r="AL2301">
        <v>-75.596193999999997</v>
      </c>
      <c r="AM2301">
        <v>100</v>
      </c>
      <c r="AN2301">
        <v>4700</v>
      </c>
      <c r="AO2301" t="s">
        <v>115</v>
      </c>
      <c r="AP2301">
        <v>130</v>
      </c>
      <c r="AQ2301">
        <v>124</v>
      </c>
      <c r="AR2301">
        <v>-128</v>
      </c>
      <c r="AZ2301">
        <v>3614</v>
      </c>
      <c r="BA2301">
        <v>1</v>
      </c>
      <c r="BB2301" t="str">
        <f t="shared" si="107"/>
        <v xml:space="preserve">N959MJ  </v>
      </c>
      <c r="BC2301">
        <v>1</v>
      </c>
      <c r="BE2301">
        <v>0</v>
      </c>
      <c r="BF2301">
        <v>0</v>
      </c>
      <c r="BG2301">
        <v>0</v>
      </c>
      <c r="BH2301">
        <v>4900</v>
      </c>
      <c r="BI2301">
        <v>200</v>
      </c>
      <c r="BJ2301">
        <v>1</v>
      </c>
      <c r="BK2301">
        <v>1</v>
      </c>
      <c r="BL2301">
        <v>1</v>
      </c>
      <c r="BM2301">
        <v>0</v>
      </c>
      <c r="BP2301">
        <v>0</v>
      </c>
      <c r="BQ2301">
        <v>0</v>
      </c>
      <c r="BX2301" t="str">
        <f>"14:28:42.133"</f>
        <v>14:28:42.133</v>
      </c>
      <c r="BY2301" t="str">
        <f>"132741324"</f>
        <v>132741324</v>
      </c>
      <c r="CL2301">
        <v>0</v>
      </c>
      <c r="CM2301">
        <v>2</v>
      </c>
      <c r="CN2301">
        <v>0</v>
      </c>
      <c r="CO2301">
        <v>2</v>
      </c>
      <c r="CP2301">
        <v>0</v>
      </c>
      <c r="CQ2301">
        <v>7</v>
      </c>
      <c r="CR2301" t="s">
        <v>116</v>
      </c>
      <c r="CS2301">
        <v>39</v>
      </c>
      <c r="CT2301">
        <v>3</v>
      </c>
      <c r="CU2301" t="s">
        <v>2259</v>
      </c>
      <c r="CV2301" t="s">
        <v>2260</v>
      </c>
      <c r="CY2301">
        <v>10973223</v>
      </c>
      <c r="CZ2301" t="s">
        <v>119</v>
      </c>
    </row>
    <row r="2302" spans="1:104" x14ac:dyDescent="0.25">
      <c r="A2302" t="str">
        <f>"14:28:43.414"</f>
        <v>14:28:43.414</v>
      </c>
      <c r="B2302" t="s">
        <v>108</v>
      </c>
      <c r="C2302" t="str">
        <f t="shared" si="106"/>
        <v>ffdfd3c0</v>
      </c>
      <c r="D2302" t="s">
        <v>109</v>
      </c>
      <c r="E2302">
        <v>4</v>
      </c>
      <c r="F2302">
        <v>1004</v>
      </c>
      <c r="G2302" t="s">
        <v>110</v>
      </c>
      <c r="J2302" t="s">
        <v>111</v>
      </c>
      <c r="K2302">
        <v>0</v>
      </c>
      <c r="L2302">
        <v>3</v>
      </c>
      <c r="M2302">
        <v>0</v>
      </c>
      <c r="N2302">
        <v>2</v>
      </c>
      <c r="O2302">
        <v>1</v>
      </c>
      <c r="P2302">
        <v>0</v>
      </c>
      <c r="Q2302">
        <v>0</v>
      </c>
      <c r="R2302" t="s">
        <v>112</v>
      </c>
      <c r="S2302" t="str">
        <f>"14:28:43.227"</f>
        <v>14:28:43.227</v>
      </c>
      <c r="T2302" t="str">
        <f>"14:28:42.727"</f>
        <v>14:28:42.727</v>
      </c>
      <c r="U2302" t="str">
        <f t="shared" si="105"/>
        <v>ad5732</v>
      </c>
      <c r="V2302">
        <v>0</v>
      </c>
      <c r="W2302">
        <v>0</v>
      </c>
      <c r="X2302">
        <v>1</v>
      </c>
      <c r="Z2302">
        <v>0</v>
      </c>
      <c r="AA2302">
        <v>9</v>
      </c>
      <c r="AB2302">
        <v>3</v>
      </c>
      <c r="AC2302">
        <v>0</v>
      </c>
      <c r="AD2302">
        <v>10</v>
      </c>
      <c r="AE2302">
        <v>0</v>
      </c>
      <c r="AF2302">
        <v>3</v>
      </c>
      <c r="AG2302">
        <v>2</v>
      </c>
      <c r="AH2302">
        <v>0</v>
      </c>
      <c r="AI2302" t="s">
        <v>4711</v>
      </c>
      <c r="AJ2302">
        <v>39.97045</v>
      </c>
      <c r="AK2302" t="s">
        <v>4712</v>
      </c>
      <c r="AL2302">
        <v>-75.595292999999998</v>
      </c>
      <c r="AM2302">
        <v>100</v>
      </c>
      <c r="AN2302">
        <v>4700</v>
      </c>
      <c r="AO2302" t="s">
        <v>115</v>
      </c>
      <c r="AP2302">
        <v>130</v>
      </c>
      <c r="AQ2302">
        <v>125</v>
      </c>
      <c r="AR2302">
        <v>-128</v>
      </c>
      <c r="AZ2302">
        <v>3614</v>
      </c>
      <c r="BA2302">
        <v>1</v>
      </c>
      <c r="BB2302" t="str">
        <f t="shared" si="107"/>
        <v xml:space="preserve">N959MJ  </v>
      </c>
      <c r="BC2302">
        <v>1</v>
      </c>
      <c r="BE2302">
        <v>0</v>
      </c>
      <c r="BF2302">
        <v>0</v>
      </c>
      <c r="BG2302">
        <v>0</v>
      </c>
      <c r="BH2302">
        <v>4900</v>
      </c>
      <c r="BI2302">
        <v>200</v>
      </c>
      <c r="BJ2302">
        <v>1</v>
      </c>
      <c r="BK2302">
        <v>1</v>
      </c>
      <c r="BL2302">
        <v>1</v>
      </c>
      <c r="BM2302">
        <v>0</v>
      </c>
      <c r="BP2302">
        <v>0</v>
      </c>
      <c r="BQ2302">
        <v>0</v>
      </c>
      <c r="BX2302" t="str">
        <f>"14:28:43.234"</f>
        <v>14:28:43.234</v>
      </c>
      <c r="BY2302" t="str">
        <f>"230488283"</f>
        <v>230488283</v>
      </c>
      <c r="CL2302">
        <v>0</v>
      </c>
      <c r="CM2302">
        <v>2</v>
      </c>
      <c r="CN2302">
        <v>0</v>
      </c>
      <c r="CO2302">
        <v>2</v>
      </c>
      <c r="CP2302">
        <v>0</v>
      </c>
      <c r="CQ2302">
        <v>7</v>
      </c>
      <c r="CR2302" t="s">
        <v>116</v>
      </c>
      <c r="CS2302">
        <v>39</v>
      </c>
      <c r="CT2302">
        <v>3</v>
      </c>
      <c r="CU2302" t="s">
        <v>2259</v>
      </c>
      <c r="CV2302" t="s">
        <v>2260</v>
      </c>
      <c r="CY2302">
        <v>10975058</v>
      </c>
      <c r="CZ2302" t="s">
        <v>119</v>
      </c>
    </row>
    <row r="2303" spans="1:104" x14ac:dyDescent="0.25">
      <c r="A2303" t="str">
        <f>"14:28:44.422"</f>
        <v>14:28:44.422</v>
      </c>
      <c r="B2303" t="s">
        <v>108</v>
      </c>
      <c r="C2303" t="str">
        <f t="shared" si="106"/>
        <v>ffdfd3c0</v>
      </c>
      <c r="D2303" t="s">
        <v>109</v>
      </c>
      <c r="E2303">
        <v>4</v>
      </c>
      <c r="F2303">
        <v>1004</v>
      </c>
      <c r="G2303" t="s">
        <v>110</v>
      </c>
      <c r="J2303" t="s">
        <v>111</v>
      </c>
      <c r="K2303">
        <v>0</v>
      </c>
      <c r="L2303">
        <v>3</v>
      </c>
      <c r="M2303">
        <v>0</v>
      </c>
      <c r="N2303">
        <v>2</v>
      </c>
      <c r="O2303">
        <v>1</v>
      </c>
      <c r="P2303">
        <v>0</v>
      </c>
      <c r="Q2303">
        <v>0</v>
      </c>
      <c r="R2303" t="s">
        <v>112</v>
      </c>
      <c r="S2303" t="str">
        <f>"14:28:44.227"</f>
        <v>14:28:44.227</v>
      </c>
      <c r="T2303" t="str">
        <f>"14:28:43.828"</f>
        <v>14:28:43.828</v>
      </c>
      <c r="U2303" t="str">
        <f t="shared" si="105"/>
        <v>ad5732</v>
      </c>
      <c r="V2303">
        <v>0</v>
      </c>
      <c r="W2303">
        <v>0</v>
      </c>
      <c r="X2303">
        <v>1</v>
      </c>
      <c r="Z2303">
        <v>0</v>
      </c>
      <c r="AA2303">
        <v>9</v>
      </c>
      <c r="AB2303">
        <v>3</v>
      </c>
      <c r="AC2303">
        <v>0</v>
      </c>
      <c r="AD2303">
        <v>10</v>
      </c>
      <c r="AE2303">
        <v>0</v>
      </c>
      <c r="AF2303">
        <v>3</v>
      </c>
      <c r="AG2303">
        <v>2</v>
      </c>
      <c r="AH2303">
        <v>0</v>
      </c>
      <c r="AI2303" t="s">
        <v>4713</v>
      </c>
      <c r="AJ2303">
        <v>39.971007999999998</v>
      </c>
      <c r="AK2303" t="s">
        <v>4714</v>
      </c>
      <c r="AL2303">
        <v>-75.594542000000004</v>
      </c>
      <c r="AM2303">
        <v>100</v>
      </c>
      <c r="AN2303">
        <v>4700</v>
      </c>
      <c r="AO2303" t="s">
        <v>115</v>
      </c>
      <c r="AP2303">
        <v>130</v>
      </c>
      <c r="AQ2303">
        <v>124</v>
      </c>
      <c r="AR2303">
        <v>-128</v>
      </c>
      <c r="AZ2303">
        <v>3614</v>
      </c>
      <c r="BA2303">
        <v>1</v>
      </c>
      <c r="BB2303" t="str">
        <f t="shared" si="107"/>
        <v xml:space="preserve">N959MJ  </v>
      </c>
      <c r="BC2303">
        <v>1</v>
      </c>
      <c r="BE2303">
        <v>0</v>
      </c>
      <c r="BF2303">
        <v>0</v>
      </c>
      <c r="BG2303">
        <v>0</v>
      </c>
      <c r="BH2303">
        <v>4875</v>
      </c>
      <c r="BI2303">
        <v>175</v>
      </c>
      <c r="BJ2303">
        <v>1</v>
      </c>
      <c r="BK2303">
        <v>1</v>
      </c>
      <c r="BL2303">
        <v>1</v>
      </c>
      <c r="BM2303">
        <v>0</v>
      </c>
      <c r="BP2303">
        <v>0</v>
      </c>
      <c r="BQ2303">
        <v>0</v>
      </c>
      <c r="BX2303" t="str">
        <f>"14:28:44.227"</f>
        <v>14:28:44.227</v>
      </c>
      <c r="BY2303" t="str">
        <f>"226652678"</f>
        <v>226652678</v>
      </c>
      <c r="CL2303">
        <v>0</v>
      </c>
      <c r="CM2303">
        <v>2</v>
      </c>
      <c r="CN2303">
        <v>0</v>
      </c>
      <c r="CO2303">
        <v>2</v>
      </c>
      <c r="CP2303">
        <v>0</v>
      </c>
      <c r="CQ2303">
        <v>7</v>
      </c>
      <c r="CR2303" t="s">
        <v>116</v>
      </c>
      <c r="CS2303">
        <v>39</v>
      </c>
      <c r="CT2303">
        <v>3</v>
      </c>
      <c r="CU2303" t="s">
        <v>2259</v>
      </c>
      <c r="CV2303" t="s">
        <v>2260</v>
      </c>
      <c r="CY2303">
        <v>10977123</v>
      </c>
      <c r="CZ2303" t="s">
        <v>119</v>
      </c>
    </row>
    <row r="2304" spans="1:104" x14ac:dyDescent="0.25">
      <c r="A2304" t="str">
        <f>"14:28:45.328"</f>
        <v>14:28:45.328</v>
      </c>
      <c r="B2304" t="s">
        <v>108</v>
      </c>
      <c r="C2304" t="str">
        <f t="shared" si="106"/>
        <v>ffdfd3c0</v>
      </c>
      <c r="D2304" t="s">
        <v>109</v>
      </c>
      <c r="E2304">
        <v>4</v>
      </c>
      <c r="F2304">
        <v>1004</v>
      </c>
      <c r="G2304" t="s">
        <v>110</v>
      </c>
      <c r="J2304" t="s">
        <v>111</v>
      </c>
      <c r="K2304">
        <v>0</v>
      </c>
      <c r="L2304">
        <v>3</v>
      </c>
      <c r="M2304">
        <v>0</v>
      </c>
      <c r="N2304">
        <v>2</v>
      </c>
      <c r="O2304">
        <v>1</v>
      </c>
      <c r="P2304">
        <v>0</v>
      </c>
      <c r="Q2304">
        <v>0</v>
      </c>
      <c r="R2304" t="s">
        <v>112</v>
      </c>
      <c r="S2304" t="str">
        <f>"14:28:45.156"</f>
        <v>14:28:45.156</v>
      </c>
      <c r="T2304" t="str">
        <f>"14:28:44.758"</f>
        <v>14:28:44.758</v>
      </c>
      <c r="U2304" t="str">
        <f t="shared" si="105"/>
        <v>ad5732</v>
      </c>
      <c r="V2304">
        <v>0</v>
      </c>
      <c r="W2304">
        <v>0</v>
      </c>
      <c r="X2304">
        <v>1</v>
      </c>
      <c r="Z2304">
        <v>0</v>
      </c>
      <c r="AA2304">
        <v>9</v>
      </c>
      <c r="AB2304">
        <v>3</v>
      </c>
      <c r="AC2304">
        <v>0</v>
      </c>
      <c r="AD2304">
        <v>10</v>
      </c>
      <c r="AE2304">
        <v>0</v>
      </c>
      <c r="AF2304">
        <v>3</v>
      </c>
      <c r="AG2304">
        <v>2</v>
      </c>
      <c r="AH2304">
        <v>0</v>
      </c>
      <c r="AI2304" t="s">
        <v>4715</v>
      </c>
      <c r="AJ2304">
        <v>39.971566000000003</v>
      </c>
      <c r="AK2304" t="s">
        <v>4716</v>
      </c>
      <c r="AL2304">
        <v>-75.593812</v>
      </c>
      <c r="AM2304">
        <v>100</v>
      </c>
      <c r="AN2304">
        <v>4700</v>
      </c>
      <c r="AO2304" t="s">
        <v>115</v>
      </c>
      <c r="AP2304">
        <v>130</v>
      </c>
      <c r="AQ2304">
        <v>124</v>
      </c>
      <c r="AR2304">
        <v>-128</v>
      </c>
      <c r="AZ2304">
        <v>3614</v>
      </c>
      <c r="BA2304">
        <v>1</v>
      </c>
      <c r="BB2304" t="str">
        <f t="shared" si="107"/>
        <v xml:space="preserve">N959MJ  </v>
      </c>
      <c r="BC2304">
        <v>1</v>
      </c>
      <c r="BE2304">
        <v>0</v>
      </c>
      <c r="BF2304">
        <v>0</v>
      </c>
      <c r="BG2304">
        <v>0</v>
      </c>
      <c r="BH2304">
        <v>4875</v>
      </c>
      <c r="BI2304">
        <v>175</v>
      </c>
      <c r="BJ2304">
        <v>1</v>
      </c>
      <c r="BK2304">
        <v>1</v>
      </c>
      <c r="BL2304">
        <v>1</v>
      </c>
      <c r="BM2304">
        <v>0</v>
      </c>
      <c r="BP2304">
        <v>0</v>
      </c>
      <c r="BQ2304">
        <v>0</v>
      </c>
      <c r="BX2304" t="str">
        <f>"14:28:45.156"</f>
        <v>14:28:45.156</v>
      </c>
      <c r="BY2304" t="str">
        <f>"157554030"</f>
        <v>157554030</v>
      </c>
      <c r="CL2304">
        <v>0</v>
      </c>
      <c r="CM2304">
        <v>2</v>
      </c>
      <c r="CN2304">
        <v>0</v>
      </c>
      <c r="CO2304">
        <v>2</v>
      </c>
      <c r="CP2304">
        <v>0</v>
      </c>
      <c r="CQ2304">
        <v>4</v>
      </c>
      <c r="CR2304" t="s">
        <v>116</v>
      </c>
      <c r="CS2304">
        <v>396</v>
      </c>
      <c r="CT2304">
        <v>1</v>
      </c>
      <c r="CU2304" t="s">
        <v>939</v>
      </c>
      <c r="CV2304" t="s">
        <v>940</v>
      </c>
      <c r="CY2304">
        <v>10421844</v>
      </c>
      <c r="CZ2304" t="s">
        <v>119</v>
      </c>
    </row>
    <row r="2305" spans="1:104" x14ac:dyDescent="0.25">
      <c r="A2305" t="str">
        <f>"14:28:46.289"</f>
        <v>14:28:46.289</v>
      </c>
      <c r="B2305" t="s">
        <v>108</v>
      </c>
      <c r="C2305" t="str">
        <f t="shared" si="106"/>
        <v>ffdfd3c0</v>
      </c>
      <c r="D2305" t="s">
        <v>109</v>
      </c>
      <c r="E2305">
        <v>4</v>
      </c>
      <c r="F2305">
        <v>1004</v>
      </c>
      <c r="G2305" t="s">
        <v>110</v>
      </c>
      <c r="J2305" t="s">
        <v>111</v>
      </c>
      <c r="K2305">
        <v>0</v>
      </c>
      <c r="L2305">
        <v>3</v>
      </c>
      <c r="M2305">
        <v>0</v>
      </c>
      <c r="N2305">
        <v>2</v>
      </c>
      <c r="O2305">
        <v>1</v>
      </c>
      <c r="P2305">
        <v>0</v>
      </c>
      <c r="Q2305">
        <v>0</v>
      </c>
      <c r="R2305" t="s">
        <v>112</v>
      </c>
      <c r="S2305" t="str">
        <f>"14:28:46.148"</f>
        <v>14:28:46.148</v>
      </c>
      <c r="T2305" t="str">
        <f>"14:28:45.648"</f>
        <v>14:28:45.648</v>
      </c>
      <c r="U2305" t="str">
        <f t="shared" si="105"/>
        <v>ad5732</v>
      </c>
      <c r="V2305">
        <v>0</v>
      </c>
      <c r="W2305">
        <v>0</v>
      </c>
      <c r="X2305">
        <v>1</v>
      </c>
      <c r="Z2305">
        <v>0</v>
      </c>
      <c r="AA2305">
        <v>9</v>
      </c>
      <c r="AB2305">
        <v>3</v>
      </c>
      <c r="AC2305">
        <v>0</v>
      </c>
      <c r="AD2305">
        <v>10</v>
      </c>
      <c r="AE2305">
        <v>0</v>
      </c>
      <c r="AF2305">
        <v>3</v>
      </c>
      <c r="AG2305">
        <v>2</v>
      </c>
      <c r="AH2305">
        <v>0</v>
      </c>
      <c r="AI2305" t="s">
        <v>4717</v>
      </c>
      <c r="AJ2305">
        <v>39.972102999999997</v>
      </c>
      <c r="AK2305" t="s">
        <v>4718</v>
      </c>
      <c r="AL2305">
        <v>-75.593018999999998</v>
      </c>
      <c r="AM2305">
        <v>100</v>
      </c>
      <c r="AN2305">
        <v>4700</v>
      </c>
      <c r="AO2305" t="s">
        <v>115</v>
      </c>
      <c r="AP2305">
        <v>130</v>
      </c>
      <c r="AQ2305">
        <v>124</v>
      </c>
      <c r="AR2305">
        <v>-128</v>
      </c>
      <c r="AZ2305">
        <v>3614</v>
      </c>
      <c r="BA2305">
        <v>1</v>
      </c>
      <c r="BB2305" t="str">
        <f t="shared" si="107"/>
        <v xml:space="preserve">N959MJ  </v>
      </c>
      <c r="BC2305">
        <v>1</v>
      </c>
      <c r="BE2305">
        <v>0</v>
      </c>
      <c r="BF2305">
        <v>0</v>
      </c>
      <c r="BG2305">
        <v>0</v>
      </c>
      <c r="BH2305">
        <v>4875</v>
      </c>
      <c r="BI2305">
        <v>175</v>
      </c>
      <c r="BJ2305">
        <v>1</v>
      </c>
      <c r="BK2305">
        <v>1</v>
      </c>
      <c r="BL2305">
        <v>1</v>
      </c>
      <c r="BM2305">
        <v>0</v>
      </c>
      <c r="BP2305">
        <v>0</v>
      </c>
      <c r="BQ2305">
        <v>0</v>
      </c>
      <c r="BX2305" t="str">
        <f>"14:28:46.148"</f>
        <v>14:28:46.148</v>
      </c>
      <c r="BY2305" t="str">
        <f>"148765739"</f>
        <v>148765739</v>
      </c>
      <c r="CL2305">
        <v>0</v>
      </c>
      <c r="CM2305">
        <v>2</v>
      </c>
      <c r="CN2305">
        <v>0</v>
      </c>
      <c r="CO2305">
        <v>2</v>
      </c>
      <c r="CP2305">
        <v>0</v>
      </c>
      <c r="CQ2305">
        <v>4</v>
      </c>
      <c r="CR2305" t="s">
        <v>116</v>
      </c>
      <c r="CS2305">
        <v>38</v>
      </c>
      <c r="CT2305">
        <v>3</v>
      </c>
      <c r="CU2305" t="s">
        <v>4719</v>
      </c>
      <c r="CV2305" t="s">
        <v>4720</v>
      </c>
      <c r="CY2305">
        <v>9340816</v>
      </c>
      <c r="CZ2305" t="s">
        <v>119</v>
      </c>
    </row>
    <row r="2306" spans="1:104" x14ac:dyDescent="0.25">
      <c r="A2306" t="str">
        <f>"14:28:47.398"</f>
        <v>14:28:47.398</v>
      </c>
      <c r="B2306" t="s">
        <v>108</v>
      </c>
      <c r="C2306" t="str">
        <f t="shared" si="106"/>
        <v>ffdfd3c0</v>
      </c>
      <c r="D2306" t="s">
        <v>109</v>
      </c>
      <c r="E2306">
        <v>4</v>
      </c>
      <c r="F2306">
        <v>1004</v>
      </c>
      <c r="G2306" t="s">
        <v>110</v>
      </c>
      <c r="J2306" t="s">
        <v>111</v>
      </c>
      <c r="K2306">
        <v>0</v>
      </c>
      <c r="L2306">
        <v>3</v>
      </c>
      <c r="M2306">
        <v>0</v>
      </c>
      <c r="N2306">
        <v>2</v>
      </c>
      <c r="O2306">
        <v>1</v>
      </c>
      <c r="P2306">
        <v>0</v>
      </c>
      <c r="Q2306">
        <v>0</v>
      </c>
      <c r="R2306" t="s">
        <v>112</v>
      </c>
      <c r="S2306" t="str">
        <f>"14:28:47.219"</f>
        <v>14:28:47.219</v>
      </c>
      <c r="T2306" t="str">
        <f>"14:28:46.719"</f>
        <v>14:28:46.719</v>
      </c>
      <c r="U2306" t="str">
        <f t="shared" ref="U2306:U2369" si="108">"ad5732"</f>
        <v>ad5732</v>
      </c>
      <c r="V2306">
        <v>0</v>
      </c>
      <c r="W2306">
        <v>0</v>
      </c>
      <c r="X2306">
        <v>1</v>
      </c>
      <c r="Z2306">
        <v>0</v>
      </c>
      <c r="AA2306">
        <v>9</v>
      </c>
      <c r="AB2306">
        <v>3</v>
      </c>
      <c r="AC2306">
        <v>0</v>
      </c>
      <c r="AD2306">
        <v>10</v>
      </c>
      <c r="AE2306">
        <v>0</v>
      </c>
      <c r="AF2306">
        <v>3</v>
      </c>
      <c r="AG2306">
        <v>2</v>
      </c>
      <c r="AH2306">
        <v>0</v>
      </c>
      <c r="AI2306" t="s">
        <v>4721</v>
      </c>
      <c r="AJ2306">
        <v>39.972768000000002</v>
      </c>
      <c r="AK2306" t="s">
        <v>4722</v>
      </c>
      <c r="AL2306">
        <v>-75.592181999999994</v>
      </c>
      <c r="AM2306">
        <v>100</v>
      </c>
      <c r="AN2306">
        <v>4700</v>
      </c>
      <c r="AO2306" t="s">
        <v>115</v>
      </c>
      <c r="AP2306">
        <v>130</v>
      </c>
      <c r="AQ2306">
        <v>124</v>
      </c>
      <c r="AR2306">
        <v>64</v>
      </c>
      <c r="AZ2306">
        <v>3614</v>
      </c>
      <c r="BA2306">
        <v>1</v>
      </c>
      <c r="BB2306" t="str">
        <f t="shared" si="107"/>
        <v xml:space="preserve">N959MJ  </v>
      </c>
      <c r="BC2306">
        <v>1</v>
      </c>
      <c r="BE2306">
        <v>0</v>
      </c>
      <c r="BF2306">
        <v>0</v>
      </c>
      <c r="BG2306">
        <v>0</v>
      </c>
      <c r="BH2306">
        <v>4875</v>
      </c>
      <c r="BI2306">
        <v>175</v>
      </c>
      <c r="BJ2306">
        <v>1</v>
      </c>
      <c r="BK2306">
        <v>1</v>
      </c>
      <c r="BL2306">
        <v>1</v>
      </c>
      <c r="BM2306">
        <v>0</v>
      </c>
      <c r="BP2306">
        <v>0</v>
      </c>
      <c r="BQ2306">
        <v>0</v>
      </c>
      <c r="BX2306" t="str">
        <f>"14:28:47.219"</f>
        <v>14:28:47.219</v>
      </c>
      <c r="BY2306" t="str">
        <f>"221699673"</f>
        <v>221699673</v>
      </c>
      <c r="CL2306">
        <v>0</v>
      </c>
      <c r="CM2306">
        <v>2</v>
      </c>
      <c r="CN2306">
        <v>0</v>
      </c>
      <c r="CO2306">
        <v>2</v>
      </c>
      <c r="CP2306">
        <v>0</v>
      </c>
      <c r="CQ2306">
        <v>7</v>
      </c>
      <c r="CR2306" t="s">
        <v>116</v>
      </c>
      <c r="CS2306">
        <v>39</v>
      </c>
      <c r="CT2306">
        <v>3</v>
      </c>
      <c r="CU2306" t="s">
        <v>2259</v>
      </c>
      <c r="CV2306" t="s">
        <v>2260</v>
      </c>
      <c r="CY2306">
        <v>10982200</v>
      </c>
      <c r="CZ2306" t="s">
        <v>119</v>
      </c>
    </row>
    <row r="2307" spans="1:104" x14ac:dyDescent="0.25">
      <c r="A2307" t="str">
        <f>"14:28:48.359"</f>
        <v>14:28:48.359</v>
      </c>
      <c r="B2307" t="s">
        <v>108</v>
      </c>
      <c r="C2307" t="str">
        <f t="shared" si="106"/>
        <v>ffdfd3c0</v>
      </c>
      <c r="D2307" t="s">
        <v>109</v>
      </c>
      <c r="E2307">
        <v>4</v>
      </c>
      <c r="F2307">
        <v>1004</v>
      </c>
      <c r="G2307" t="s">
        <v>110</v>
      </c>
      <c r="J2307" t="s">
        <v>111</v>
      </c>
      <c r="K2307">
        <v>0</v>
      </c>
      <c r="L2307">
        <v>3</v>
      </c>
      <c r="M2307">
        <v>0</v>
      </c>
      <c r="N2307">
        <v>2</v>
      </c>
      <c r="O2307">
        <v>1</v>
      </c>
      <c r="P2307">
        <v>0</v>
      </c>
      <c r="Q2307">
        <v>0</v>
      </c>
      <c r="R2307" t="s">
        <v>112</v>
      </c>
      <c r="S2307" t="str">
        <f>"14:28:48.164"</f>
        <v>14:28:48.164</v>
      </c>
      <c r="T2307" t="str">
        <f>"14:28:47.664"</f>
        <v>14:28:47.664</v>
      </c>
      <c r="U2307" t="str">
        <f t="shared" si="108"/>
        <v>ad5732</v>
      </c>
      <c r="V2307">
        <v>0</v>
      </c>
      <c r="W2307">
        <v>0</v>
      </c>
      <c r="X2307">
        <v>1</v>
      </c>
      <c r="Z2307">
        <v>0</v>
      </c>
      <c r="AA2307">
        <v>9</v>
      </c>
      <c r="AB2307">
        <v>3</v>
      </c>
      <c r="AC2307">
        <v>0</v>
      </c>
      <c r="AD2307">
        <v>10</v>
      </c>
      <c r="AE2307">
        <v>0</v>
      </c>
      <c r="AF2307">
        <v>3</v>
      </c>
      <c r="AG2307">
        <v>2</v>
      </c>
      <c r="AH2307">
        <v>0</v>
      </c>
      <c r="AI2307" t="s">
        <v>4723</v>
      </c>
      <c r="AJ2307">
        <v>39.973261000000001</v>
      </c>
      <c r="AK2307" t="s">
        <v>4724</v>
      </c>
      <c r="AL2307">
        <v>-75.591494999999995</v>
      </c>
      <c r="AM2307">
        <v>100</v>
      </c>
      <c r="AN2307">
        <v>4700</v>
      </c>
      <c r="AO2307" t="s">
        <v>115</v>
      </c>
      <c r="AP2307">
        <v>130</v>
      </c>
      <c r="AQ2307">
        <v>124</v>
      </c>
      <c r="AR2307">
        <v>64</v>
      </c>
      <c r="AZ2307">
        <v>3614</v>
      </c>
      <c r="BA2307">
        <v>1</v>
      </c>
      <c r="BB2307" t="str">
        <f t="shared" si="107"/>
        <v xml:space="preserve">N959MJ  </v>
      </c>
      <c r="BC2307">
        <v>1</v>
      </c>
      <c r="BE2307">
        <v>0</v>
      </c>
      <c r="BF2307">
        <v>0</v>
      </c>
      <c r="BG2307">
        <v>0</v>
      </c>
      <c r="BH2307">
        <v>4875</v>
      </c>
      <c r="BI2307">
        <v>175</v>
      </c>
      <c r="BJ2307">
        <v>1</v>
      </c>
      <c r="BK2307">
        <v>1</v>
      </c>
      <c r="BL2307">
        <v>1</v>
      </c>
      <c r="BM2307">
        <v>0</v>
      </c>
      <c r="BP2307">
        <v>0</v>
      </c>
      <c r="BQ2307">
        <v>0</v>
      </c>
      <c r="BX2307" t="str">
        <f>"14:28:48.172"</f>
        <v>14:28:48.172</v>
      </c>
      <c r="BY2307" t="str">
        <f>"168711271"</f>
        <v>168711271</v>
      </c>
      <c r="CL2307">
        <v>0</v>
      </c>
      <c r="CM2307">
        <v>2</v>
      </c>
      <c r="CN2307">
        <v>0</v>
      </c>
      <c r="CO2307">
        <v>2</v>
      </c>
      <c r="CP2307">
        <v>0</v>
      </c>
      <c r="CQ2307">
        <v>7</v>
      </c>
      <c r="CR2307" t="s">
        <v>116</v>
      </c>
      <c r="CS2307">
        <v>39</v>
      </c>
      <c r="CT2307">
        <v>3</v>
      </c>
      <c r="CU2307" t="s">
        <v>2259</v>
      </c>
      <c r="CV2307" t="s">
        <v>2260</v>
      </c>
      <c r="CY2307">
        <v>10983857</v>
      </c>
      <c r="CZ2307" t="s">
        <v>119</v>
      </c>
    </row>
    <row r="2308" spans="1:104" x14ac:dyDescent="0.25">
      <c r="A2308" t="str">
        <f>"14:28:49.367"</f>
        <v>14:28:49.367</v>
      </c>
      <c r="B2308" t="s">
        <v>108</v>
      </c>
      <c r="C2308" t="str">
        <f t="shared" si="106"/>
        <v>ffdfd3c0</v>
      </c>
      <c r="D2308" t="s">
        <v>109</v>
      </c>
      <c r="E2308">
        <v>4</v>
      </c>
      <c r="F2308">
        <v>1004</v>
      </c>
      <c r="G2308" t="s">
        <v>110</v>
      </c>
      <c r="J2308" t="s">
        <v>111</v>
      </c>
      <c r="K2308">
        <v>0</v>
      </c>
      <c r="L2308">
        <v>3</v>
      </c>
      <c r="M2308">
        <v>0</v>
      </c>
      <c r="N2308">
        <v>2</v>
      </c>
      <c r="O2308">
        <v>1</v>
      </c>
      <c r="P2308">
        <v>0</v>
      </c>
      <c r="Q2308">
        <v>0</v>
      </c>
      <c r="R2308" t="s">
        <v>112</v>
      </c>
      <c r="S2308" t="str">
        <f>"14:28:49.164"</f>
        <v>14:28:49.164</v>
      </c>
      <c r="T2308" t="str">
        <f>"14:28:48.664"</f>
        <v>14:28:48.664</v>
      </c>
      <c r="U2308" t="str">
        <f t="shared" si="108"/>
        <v>ad5732</v>
      </c>
      <c r="V2308">
        <v>0</v>
      </c>
      <c r="W2308">
        <v>0</v>
      </c>
      <c r="X2308">
        <v>1</v>
      </c>
      <c r="Z2308">
        <v>0</v>
      </c>
      <c r="AA2308">
        <v>9</v>
      </c>
      <c r="AB2308">
        <v>3</v>
      </c>
      <c r="AC2308">
        <v>0</v>
      </c>
      <c r="AD2308">
        <v>10</v>
      </c>
      <c r="AE2308">
        <v>0</v>
      </c>
      <c r="AF2308">
        <v>3</v>
      </c>
      <c r="AG2308">
        <v>2</v>
      </c>
      <c r="AH2308">
        <v>0</v>
      </c>
      <c r="AI2308" t="s">
        <v>4725</v>
      </c>
      <c r="AJ2308">
        <v>39.973841</v>
      </c>
      <c r="AK2308" t="s">
        <v>4726</v>
      </c>
      <c r="AL2308">
        <v>-75.590700999999996</v>
      </c>
      <c r="AM2308">
        <v>100</v>
      </c>
      <c r="AN2308">
        <v>4700</v>
      </c>
      <c r="AO2308" t="s">
        <v>115</v>
      </c>
      <c r="AP2308">
        <v>131</v>
      </c>
      <c r="AQ2308">
        <v>124</v>
      </c>
      <c r="AR2308">
        <v>0</v>
      </c>
      <c r="AZ2308">
        <v>3614</v>
      </c>
      <c r="BA2308">
        <v>1</v>
      </c>
      <c r="BB2308" t="str">
        <f t="shared" si="107"/>
        <v xml:space="preserve">N959MJ  </v>
      </c>
      <c r="BC2308">
        <v>1</v>
      </c>
      <c r="BE2308">
        <v>0</v>
      </c>
      <c r="BF2308">
        <v>0</v>
      </c>
      <c r="BG2308">
        <v>0</v>
      </c>
      <c r="BH2308">
        <v>4875</v>
      </c>
      <c r="BI2308">
        <v>175</v>
      </c>
      <c r="BJ2308">
        <v>1</v>
      </c>
      <c r="BK2308">
        <v>1</v>
      </c>
      <c r="BL2308">
        <v>1</v>
      </c>
      <c r="BM2308">
        <v>0</v>
      </c>
      <c r="BP2308">
        <v>0</v>
      </c>
      <c r="BQ2308">
        <v>0</v>
      </c>
      <c r="BX2308" t="str">
        <f>"14:28:49.164"</f>
        <v>14:28:49.164</v>
      </c>
      <c r="BY2308" t="str">
        <f>"166514145"</f>
        <v>166514145</v>
      </c>
      <c r="CL2308">
        <v>0</v>
      </c>
      <c r="CM2308">
        <v>2</v>
      </c>
      <c r="CN2308">
        <v>0</v>
      </c>
      <c r="CO2308">
        <v>2</v>
      </c>
      <c r="CP2308">
        <v>0</v>
      </c>
      <c r="CQ2308">
        <v>7</v>
      </c>
      <c r="CR2308" t="s">
        <v>116</v>
      </c>
      <c r="CS2308">
        <v>39</v>
      </c>
      <c r="CT2308">
        <v>3</v>
      </c>
      <c r="CU2308" t="s">
        <v>2259</v>
      </c>
      <c r="CV2308" t="s">
        <v>2260</v>
      </c>
      <c r="CY2308">
        <v>10985787</v>
      </c>
      <c r="CZ2308" t="s">
        <v>119</v>
      </c>
    </row>
    <row r="2309" spans="1:104" x14ac:dyDescent="0.25">
      <c r="A2309" t="str">
        <f>"14:28:50.180"</f>
        <v>14:28:50.180</v>
      </c>
      <c r="B2309" t="s">
        <v>108</v>
      </c>
      <c r="C2309" t="str">
        <f t="shared" si="106"/>
        <v>ffdfd3c0</v>
      </c>
      <c r="D2309" t="s">
        <v>109</v>
      </c>
      <c r="E2309">
        <v>4</v>
      </c>
      <c r="F2309">
        <v>1004</v>
      </c>
      <c r="G2309" t="s">
        <v>110</v>
      </c>
      <c r="J2309" t="s">
        <v>111</v>
      </c>
      <c r="K2309">
        <v>0</v>
      </c>
      <c r="L2309">
        <v>3</v>
      </c>
      <c r="M2309">
        <v>0</v>
      </c>
      <c r="N2309">
        <v>2</v>
      </c>
      <c r="O2309">
        <v>1</v>
      </c>
      <c r="P2309">
        <v>0</v>
      </c>
      <c r="Q2309">
        <v>0</v>
      </c>
      <c r="R2309" t="s">
        <v>112</v>
      </c>
      <c r="S2309" t="str">
        <f>"14:28:50.000"</f>
        <v>14:28:50.000</v>
      </c>
      <c r="T2309" t="str">
        <f>"14:28:49.602"</f>
        <v>14:28:49.602</v>
      </c>
      <c r="U2309" t="str">
        <f t="shared" si="108"/>
        <v>ad5732</v>
      </c>
      <c r="V2309">
        <v>0</v>
      </c>
      <c r="W2309">
        <v>0</v>
      </c>
      <c r="X2309">
        <v>1</v>
      </c>
      <c r="Z2309">
        <v>0</v>
      </c>
      <c r="AA2309">
        <v>9</v>
      </c>
      <c r="AB2309">
        <v>3</v>
      </c>
      <c r="AC2309">
        <v>0</v>
      </c>
      <c r="AD2309">
        <v>10</v>
      </c>
      <c r="AE2309">
        <v>0</v>
      </c>
      <c r="AF2309">
        <v>3</v>
      </c>
      <c r="AG2309">
        <v>2</v>
      </c>
      <c r="AH2309">
        <v>0</v>
      </c>
      <c r="AI2309" t="s">
        <v>4727</v>
      </c>
      <c r="AJ2309">
        <v>39.974356</v>
      </c>
      <c r="AK2309" t="s">
        <v>4728</v>
      </c>
      <c r="AL2309">
        <v>-75.589993000000007</v>
      </c>
      <c r="AM2309">
        <v>100</v>
      </c>
      <c r="AN2309">
        <v>4700</v>
      </c>
      <c r="AO2309" t="s">
        <v>115</v>
      </c>
      <c r="AP2309">
        <v>130</v>
      </c>
      <c r="AQ2309">
        <v>124</v>
      </c>
      <c r="AR2309">
        <v>0</v>
      </c>
      <c r="AZ2309">
        <v>3614</v>
      </c>
      <c r="BA2309">
        <v>1</v>
      </c>
      <c r="BB2309" t="str">
        <f t="shared" si="107"/>
        <v xml:space="preserve">N959MJ  </v>
      </c>
      <c r="BC2309">
        <v>1</v>
      </c>
      <c r="BE2309">
        <v>0</v>
      </c>
      <c r="BF2309">
        <v>0</v>
      </c>
      <c r="BG2309">
        <v>0</v>
      </c>
      <c r="BH2309">
        <v>4875</v>
      </c>
      <c r="BI2309">
        <v>175</v>
      </c>
      <c r="BJ2309">
        <v>1</v>
      </c>
      <c r="BK2309">
        <v>1</v>
      </c>
      <c r="BL2309">
        <v>1</v>
      </c>
      <c r="BM2309">
        <v>0</v>
      </c>
      <c r="BP2309">
        <v>0</v>
      </c>
      <c r="BQ2309">
        <v>0</v>
      </c>
      <c r="BX2309" t="str">
        <f>"14:28:50.008"</f>
        <v>14:28:50.008</v>
      </c>
      <c r="BY2309" t="str">
        <f>"007027989"</f>
        <v>007027989</v>
      </c>
      <c r="CL2309">
        <v>0</v>
      </c>
      <c r="CM2309">
        <v>2</v>
      </c>
      <c r="CN2309">
        <v>0</v>
      </c>
      <c r="CO2309">
        <v>2</v>
      </c>
      <c r="CP2309">
        <v>0</v>
      </c>
      <c r="CQ2309">
        <v>7</v>
      </c>
      <c r="CR2309" t="s">
        <v>116</v>
      </c>
      <c r="CS2309">
        <v>39</v>
      </c>
      <c r="CT2309">
        <v>1</v>
      </c>
      <c r="CU2309" t="s">
        <v>2259</v>
      </c>
      <c r="CV2309" t="s">
        <v>2260</v>
      </c>
      <c r="CY2309">
        <v>8960145</v>
      </c>
      <c r="CZ2309" t="s">
        <v>119</v>
      </c>
    </row>
    <row r="2310" spans="1:104" x14ac:dyDescent="0.25">
      <c r="A2310" t="str">
        <f>"14:28:51.039"</f>
        <v>14:28:51.039</v>
      </c>
      <c r="B2310" t="s">
        <v>108</v>
      </c>
      <c r="C2310" t="str">
        <f t="shared" si="106"/>
        <v>ffdfd3c0</v>
      </c>
      <c r="D2310" t="s">
        <v>109</v>
      </c>
      <c r="E2310">
        <v>4</v>
      </c>
      <c r="F2310">
        <v>1004</v>
      </c>
      <c r="G2310" t="s">
        <v>110</v>
      </c>
      <c r="J2310" t="s">
        <v>111</v>
      </c>
      <c r="K2310">
        <v>0</v>
      </c>
      <c r="L2310">
        <v>3</v>
      </c>
      <c r="M2310">
        <v>0</v>
      </c>
      <c r="N2310">
        <v>2</v>
      </c>
      <c r="O2310">
        <v>1</v>
      </c>
      <c r="P2310">
        <v>0</v>
      </c>
      <c r="Q2310">
        <v>0</v>
      </c>
      <c r="R2310" t="s">
        <v>112</v>
      </c>
      <c r="S2310" t="str">
        <f>"14:28:50.859"</f>
        <v>14:28:50.859</v>
      </c>
      <c r="T2310" t="str">
        <f>"14:28:50.461"</f>
        <v>14:28:50.461</v>
      </c>
      <c r="U2310" t="str">
        <f t="shared" si="108"/>
        <v>ad5732</v>
      </c>
      <c r="V2310">
        <v>0</v>
      </c>
      <c r="W2310">
        <v>0</v>
      </c>
      <c r="X2310">
        <v>1</v>
      </c>
      <c r="Z2310">
        <v>0</v>
      </c>
      <c r="AA2310">
        <v>9</v>
      </c>
      <c r="AB2310">
        <v>3</v>
      </c>
      <c r="AC2310">
        <v>0</v>
      </c>
      <c r="AD2310">
        <v>10</v>
      </c>
      <c r="AE2310">
        <v>0</v>
      </c>
      <c r="AF2310">
        <v>3</v>
      </c>
      <c r="AG2310">
        <v>2</v>
      </c>
      <c r="AH2310">
        <v>0</v>
      </c>
      <c r="AI2310" t="s">
        <v>4729</v>
      </c>
      <c r="AJ2310">
        <v>39.974828000000002</v>
      </c>
      <c r="AK2310" t="s">
        <v>4730</v>
      </c>
      <c r="AL2310">
        <v>-75.589371</v>
      </c>
      <c r="AM2310">
        <v>100</v>
      </c>
      <c r="AN2310">
        <v>4700</v>
      </c>
      <c r="AO2310" t="s">
        <v>115</v>
      </c>
      <c r="AP2310">
        <v>130</v>
      </c>
      <c r="AQ2310">
        <v>124</v>
      </c>
      <c r="AR2310">
        <v>0</v>
      </c>
      <c r="AZ2310">
        <v>3614</v>
      </c>
      <c r="BA2310">
        <v>1</v>
      </c>
      <c r="BB2310" t="str">
        <f t="shared" si="107"/>
        <v xml:space="preserve">N959MJ  </v>
      </c>
      <c r="BC2310">
        <v>1</v>
      </c>
      <c r="BE2310">
        <v>0</v>
      </c>
      <c r="BF2310">
        <v>0</v>
      </c>
      <c r="BG2310">
        <v>0</v>
      </c>
      <c r="BH2310">
        <v>4875</v>
      </c>
      <c r="BI2310">
        <v>175</v>
      </c>
      <c r="BJ2310">
        <v>1</v>
      </c>
      <c r="BK2310">
        <v>1</v>
      </c>
      <c r="BL2310">
        <v>1</v>
      </c>
      <c r="BM2310">
        <v>0</v>
      </c>
      <c r="BP2310">
        <v>0</v>
      </c>
      <c r="BQ2310">
        <v>0</v>
      </c>
      <c r="BX2310" t="str">
        <f>"14:28:50.867"</f>
        <v>14:28:50.867</v>
      </c>
      <c r="BY2310" t="str">
        <f>"863926004"</f>
        <v>863926004</v>
      </c>
      <c r="CL2310">
        <v>0</v>
      </c>
      <c r="CM2310">
        <v>2</v>
      </c>
      <c r="CN2310">
        <v>0</v>
      </c>
      <c r="CO2310">
        <v>2</v>
      </c>
      <c r="CP2310">
        <v>0</v>
      </c>
      <c r="CQ2310">
        <v>7</v>
      </c>
      <c r="CR2310" t="s">
        <v>116</v>
      </c>
      <c r="CS2310">
        <v>39</v>
      </c>
      <c r="CT2310">
        <v>2</v>
      </c>
      <c r="CU2310" t="s">
        <v>2259</v>
      </c>
      <c r="CV2310" t="s">
        <v>2260</v>
      </c>
      <c r="CY2310">
        <v>225961</v>
      </c>
      <c r="CZ2310" t="s">
        <v>119</v>
      </c>
    </row>
    <row r="2311" spans="1:104" x14ac:dyDescent="0.25">
      <c r="A2311" t="str">
        <f>"14:28:51.992"</f>
        <v>14:28:51.992</v>
      </c>
      <c r="B2311" t="s">
        <v>108</v>
      </c>
      <c r="C2311" t="str">
        <f t="shared" si="106"/>
        <v>ffdfd3c0</v>
      </c>
      <c r="D2311" t="s">
        <v>109</v>
      </c>
      <c r="E2311">
        <v>4</v>
      </c>
      <c r="F2311">
        <v>1004</v>
      </c>
      <c r="G2311" t="s">
        <v>110</v>
      </c>
      <c r="J2311" t="s">
        <v>111</v>
      </c>
      <c r="K2311">
        <v>0</v>
      </c>
      <c r="L2311">
        <v>3</v>
      </c>
      <c r="M2311">
        <v>0</v>
      </c>
      <c r="N2311">
        <v>2</v>
      </c>
      <c r="O2311">
        <v>1</v>
      </c>
      <c r="P2311">
        <v>0</v>
      </c>
      <c r="Q2311">
        <v>0</v>
      </c>
      <c r="R2311" t="s">
        <v>112</v>
      </c>
      <c r="S2311" t="str">
        <f>"14:28:51.781"</f>
        <v>14:28:51.781</v>
      </c>
      <c r="T2311" t="str">
        <f>"14:28:51.383"</f>
        <v>14:28:51.383</v>
      </c>
      <c r="U2311" t="str">
        <f t="shared" si="108"/>
        <v>ad5732</v>
      </c>
      <c r="V2311">
        <v>0</v>
      </c>
      <c r="W2311">
        <v>0</v>
      </c>
      <c r="X2311">
        <v>1</v>
      </c>
      <c r="Z2311">
        <v>0</v>
      </c>
      <c r="AA2311">
        <v>9</v>
      </c>
      <c r="AB2311">
        <v>3</v>
      </c>
      <c r="AC2311">
        <v>0</v>
      </c>
      <c r="AD2311">
        <v>10</v>
      </c>
      <c r="AE2311">
        <v>0</v>
      </c>
      <c r="AF2311">
        <v>3</v>
      </c>
      <c r="AG2311">
        <v>2</v>
      </c>
      <c r="AH2311">
        <v>0</v>
      </c>
      <c r="AI2311" t="s">
        <v>4731</v>
      </c>
      <c r="AJ2311">
        <v>39.975363999999999</v>
      </c>
      <c r="AK2311" t="s">
        <v>4732</v>
      </c>
      <c r="AL2311">
        <v>-75.588620000000006</v>
      </c>
      <c r="AM2311">
        <v>100</v>
      </c>
      <c r="AN2311">
        <v>4700</v>
      </c>
      <c r="AO2311" t="s">
        <v>115</v>
      </c>
      <c r="AP2311">
        <v>130</v>
      </c>
      <c r="AQ2311">
        <v>124</v>
      </c>
      <c r="AR2311">
        <v>-64</v>
      </c>
      <c r="AZ2311">
        <v>3614</v>
      </c>
      <c r="BA2311">
        <v>1</v>
      </c>
      <c r="BB2311" t="str">
        <f t="shared" si="107"/>
        <v xml:space="preserve">N959MJ  </v>
      </c>
      <c r="BC2311">
        <v>1</v>
      </c>
      <c r="BE2311">
        <v>0</v>
      </c>
      <c r="BF2311">
        <v>0</v>
      </c>
      <c r="BG2311">
        <v>0</v>
      </c>
      <c r="BH2311">
        <v>4875</v>
      </c>
      <c r="BI2311">
        <v>175</v>
      </c>
      <c r="BJ2311">
        <v>1</v>
      </c>
      <c r="BK2311">
        <v>1</v>
      </c>
      <c r="BL2311">
        <v>1</v>
      </c>
      <c r="BM2311">
        <v>0</v>
      </c>
      <c r="BP2311">
        <v>0</v>
      </c>
      <c r="BQ2311">
        <v>0</v>
      </c>
      <c r="BX2311" t="str">
        <f>"14:28:51.789"</f>
        <v>14:28:51.789</v>
      </c>
      <c r="BY2311" t="str">
        <f>"787999598"</f>
        <v>787999598</v>
      </c>
      <c r="CL2311">
        <v>0</v>
      </c>
      <c r="CM2311">
        <v>2</v>
      </c>
      <c r="CN2311">
        <v>0</v>
      </c>
      <c r="CO2311">
        <v>2</v>
      </c>
      <c r="CP2311">
        <v>0</v>
      </c>
      <c r="CQ2311">
        <v>7</v>
      </c>
      <c r="CR2311" t="s">
        <v>116</v>
      </c>
      <c r="CS2311">
        <v>39</v>
      </c>
      <c r="CT2311">
        <v>0</v>
      </c>
      <c r="CU2311" t="s">
        <v>2259</v>
      </c>
      <c r="CV2311" t="s">
        <v>2260</v>
      </c>
      <c r="CY2311">
        <v>1636968</v>
      </c>
      <c r="CZ2311" t="s">
        <v>119</v>
      </c>
    </row>
    <row r="2312" spans="1:104" x14ac:dyDescent="0.25">
      <c r="A2312" t="str">
        <f>"14:28:52.906"</f>
        <v>14:28:52.906</v>
      </c>
      <c r="B2312" t="s">
        <v>108</v>
      </c>
      <c r="C2312" t="str">
        <f t="shared" si="106"/>
        <v>ffdfd3c0</v>
      </c>
      <c r="D2312" t="s">
        <v>109</v>
      </c>
      <c r="E2312">
        <v>4</v>
      </c>
      <c r="F2312">
        <v>1004</v>
      </c>
      <c r="G2312" t="s">
        <v>110</v>
      </c>
      <c r="J2312" t="s">
        <v>111</v>
      </c>
      <c r="K2312">
        <v>0</v>
      </c>
      <c r="L2312">
        <v>3</v>
      </c>
      <c r="M2312">
        <v>0</v>
      </c>
      <c r="N2312">
        <v>2</v>
      </c>
      <c r="O2312">
        <v>1</v>
      </c>
      <c r="P2312">
        <v>0</v>
      </c>
      <c r="Q2312">
        <v>0</v>
      </c>
      <c r="R2312" t="s">
        <v>112</v>
      </c>
      <c r="S2312" t="str">
        <f>"14:28:52.695"</f>
        <v>14:28:52.695</v>
      </c>
      <c r="T2312" t="str">
        <f>"14:28:52.297"</f>
        <v>14:28:52.297</v>
      </c>
      <c r="U2312" t="str">
        <f t="shared" si="108"/>
        <v>ad5732</v>
      </c>
      <c r="V2312">
        <v>0</v>
      </c>
      <c r="W2312">
        <v>0</v>
      </c>
      <c r="X2312">
        <v>1</v>
      </c>
      <c r="Z2312">
        <v>0</v>
      </c>
      <c r="AA2312">
        <v>9</v>
      </c>
      <c r="AB2312">
        <v>3</v>
      </c>
      <c r="AC2312">
        <v>0</v>
      </c>
      <c r="AD2312">
        <v>10</v>
      </c>
      <c r="AE2312">
        <v>0</v>
      </c>
      <c r="AF2312">
        <v>3</v>
      </c>
      <c r="AG2312">
        <v>2</v>
      </c>
      <c r="AH2312">
        <v>0</v>
      </c>
      <c r="AI2312" t="s">
        <v>4733</v>
      </c>
      <c r="AJ2312">
        <v>39.975858000000002</v>
      </c>
      <c r="AK2312" t="s">
        <v>4734</v>
      </c>
      <c r="AL2312">
        <v>-75.587933000000007</v>
      </c>
      <c r="AM2312">
        <v>100</v>
      </c>
      <c r="AN2312">
        <v>4700</v>
      </c>
      <c r="AO2312" t="s">
        <v>115</v>
      </c>
      <c r="AP2312">
        <v>131</v>
      </c>
      <c r="AQ2312">
        <v>123</v>
      </c>
      <c r="AR2312">
        <v>0</v>
      </c>
      <c r="AZ2312">
        <v>3614</v>
      </c>
      <c r="BA2312">
        <v>1</v>
      </c>
      <c r="BB2312" t="str">
        <f t="shared" si="107"/>
        <v xml:space="preserve">N959MJ  </v>
      </c>
      <c r="BC2312">
        <v>1</v>
      </c>
      <c r="BE2312">
        <v>0</v>
      </c>
      <c r="BF2312">
        <v>0</v>
      </c>
      <c r="BG2312">
        <v>0</v>
      </c>
      <c r="BH2312">
        <v>4875</v>
      </c>
      <c r="BI2312">
        <v>175</v>
      </c>
      <c r="BJ2312">
        <v>1</v>
      </c>
      <c r="BK2312">
        <v>1</v>
      </c>
      <c r="BL2312">
        <v>1</v>
      </c>
      <c r="BM2312">
        <v>0</v>
      </c>
      <c r="BP2312">
        <v>0</v>
      </c>
      <c r="BQ2312">
        <v>0</v>
      </c>
      <c r="BX2312" t="str">
        <f>"14:28:52.695"</f>
        <v>14:28:52.695</v>
      </c>
      <c r="BY2312" t="str">
        <f>"697327351"</f>
        <v>697327351</v>
      </c>
      <c r="CL2312">
        <v>0</v>
      </c>
      <c r="CM2312">
        <v>2</v>
      </c>
      <c r="CN2312">
        <v>0</v>
      </c>
      <c r="CO2312">
        <v>2</v>
      </c>
      <c r="CP2312">
        <v>0</v>
      </c>
      <c r="CQ2312">
        <v>7</v>
      </c>
      <c r="CR2312" t="s">
        <v>116</v>
      </c>
      <c r="CS2312">
        <v>39</v>
      </c>
      <c r="CT2312">
        <v>2</v>
      </c>
      <c r="CU2312" t="s">
        <v>2259</v>
      </c>
      <c r="CV2312" t="s">
        <v>2260</v>
      </c>
      <c r="CY2312">
        <v>229002</v>
      </c>
      <c r="CZ2312" t="s">
        <v>119</v>
      </c>
    </row>
    <row r="2313" spans="1:104" x14ac:dyDescent="0.25">
      <c r="A2313" t="str">
        <f>"14:28:53.914"</f>
        <v>14:28:53.914</v>
      </c>
      <c r="B2313" t="s">
        <v>108</v>
      </c>
      <c r="C2313" t="str">
        <f t="shared" si="106"/>
        <v>ffdfd3c0</v>
      </c>
      <c r="D2313" t="s">
        <v>109</v>
      </c>
      <c r="E2313">
        <v>4</v>
      </c>
      <c r="F2313">
        <v>1004</v>
      </c>
      <c r="G2313" t="s">
        <v>110</v>
      </c>
      <c r="J2313" t="s">
        <v>111</v>
      </c>
      <c r="K2313">
        <v>0</v>
      </c>
      <c r="L2313">
        <v>3</v>
      </c>
      <c r="M2313">
        <v>0</v>
      </c>
      <c r="N2313">
        <v>2</v>
      </c>
      <c r="O2313">
        <v>1</v>
      </c>
      <c r="P2313">
        <v>0</v>
      </c>
      <c r="Q2313">
        <v>0</v>
      </c>
      <c r="R2313" t="s">
        <v>112</v>
      </c>
      <c r="S2313" t="str">
        <f>"14:28:53.719"</f>
        <v>14:28:53.719</v>
      </c>
      <c r="T2313" t="str">
        <f>"14:28:53.320"</f>
        <v>14:28:53.320</v>
      </c>
      <c r="U2313" t="str">
        <f t="shared" si="108"/>
        <v>ad5732</v>
      </c>
      <c r="V2313">
        <v>0</v>
      </c>
      <c r="W2313">
        <v>0</v>
      </c>
      <c r="X2313">
        <v>1</v>
      </c>
      <c r="Z2313">
        <v>0</v>
      </c>
      <c r="AA2313">
        <v>9</v>
      </c>
      <c r="AB2313">
        <v>3</v>
      </c>
      <c r="AC2313">
        <v>0</v>
      </c>
      <c r="AD2313">
        <v>10</v>
      </c>
      <c r="AE2313">
        <v>0</v>
      </c>
      <c r="AF2313">
        <v>3</v>
      </c>
      <c r="AG2313">
        <v>2</v>
      </c>
      <c r="AH2313">
        <v>0</v>
      </c>
      <c r="AI2313" t="s">
        <v>4735</v>
      </c>
      <c r="AJ2313">
        <v>39.976500999999999</v>
      </c>
      <c r="AK2313" t="s">
        <v>4736</v>
      </c>
      <c r="AL2313">
        <v>-75.587096000000003</v>
      </c>
      <c r="AM2313">
        <v>100</v>
      </c>
      <c r="AN2313">
        <v>4700</v>
      </c>
      <c r="AO2313" t="s">
        <v>115</v>
      </c>
      <c r="AP2313">
        <v>130</v>
      </c>
      <c r="AQ2313">
        <v>124</v>
      </c>
      <c r="AR2313">
        <v>0</v>
      </c>
      <c r="AZ2313">
        <v>3614</v>
      </c>
      <c r="BA2313">
        <v>1</v>
      </c>
      <c r="BB2313" t="str">
        <f t="shared" si="107"/>
        <v xml:space="preserve">N959MJ  </v>
      </c>
      <c r="BC2313">
        <v>1</v>
      </c>
      <c r="BE2313">
        <v>0</v>
      </c>
      <c r="BF2313">
        <v>0</v>
      </c>
      <c r="BG2313">
        <v>0</v>
      </c>
      <c r="BH2313">
        <v>4875</v>
      </c>
      <c r="BI2313">
        <v>175</v>
      </c>
      <c r="BJ2313">
        <v>1</v>
      </c>
      <c r="BK2313">
        <v>1</v>
      </c>
      <c r="BL2313">
        <v>1</v>
      </c>
      <c r="BM2313">
        <v>0</v>
      </c>
      <c r="BP2313">
        <v>0</v>
      </c>
      <c r="BQ2313">
        <v>0</v>
      </c>
      <c r="BX2313" t="str">
        <f>"14:28:53.719"</f>
        <v>14:28:53.719</v>
      </c>
      <c r="BY2313" t="str">
        <f>"721345106"</f>
        <v>721345106</v>
      </c>
      <c r="CL2313">
        <v>0</v>
      </c>
      <c r="CM2313">
        <v>2</v>
      </c>
      <c r="CN2313">
        <v>0</v>
      </c>
      <c r="CO2313">
        <v>2</v>
      </c>
      <c r="CP2313">
        <v>0</v>
      </c>
      <c r="CQ2313">
        <v>7</v>
      </c>
      <c r="CR2313" t="s">
        <v>116</v>
      </c>
      <c r="CS2313">
        <v>39</v>
      </c>
      <c r="CT2313">
        <v>3</v>
      </c>
      <c r="CU2313" t="s">
        <v>2259</v>
      </c>
      <c r="CV2313" t="s">
        <v>2260</v>
      </c>
      <c r="CY2313">
        <v>10993643</v>
      </c>
      <c r="CZ2313" t="s">
        <v>119</v>
      </c>
    </row>
    <row r="2314" spans="1:104" x14ac:dyDescent="0.25">
      <c r="A2314" t="str">
        <f>"14:28:54.719"</f>
        <v>14:28:54.719</v>
      </c>
      <c r="B2314" t="s">
        <v>108</v>
      </c>
      <c r="C2314" t="str">
        <f t="shared" ref="C2314:C2377" si="109">"ffdfd3c0"</f>
        <v>ffdfd3c0</v>
      </c>
      <c r="D2314" t="s">
        <v>109</v>
      </c>
      <c r="E2314">
        <v>4</v>
      </c>
      <c r="F2314">
        <v>1004</v>
      </c>
      <c r="G2314" t="s">
        <v>110</v>
      </c>
      <c r="J2314" t="s">
        <v>111</v>
      </c>
      <c r="K2314">
        <v>0</v>
      </c>
      <c r="L2314">
        <v>3</v>
      </c>
      <c r="M2314">
        <v>0</v>
      </c>
      <c r="N2314">
        <v>2</v>
      </c>
      <c r="O2314">
        <v>1</v>
      </c>
      <c r="P2314">
        <v>0</v>
      </c>
      <c r="Q2314">
        <v>0</v>
      </c>
      <c r="R2314" t="s">
        <v>112</v>
      </c>
      <c r="S2314" t="str">
        <f>"14:28:54.547"</f>
        <v>14:28:54.547</v>
      </c>
      <c r="T2314" t="str">
        <f>"14:28:54.148"</f>
        <v>14:28:54.148</v>
      </c>
      <c r="U2314" t="str">
        <f t="shared" si="108"/>
        <v>ad5732</v>
      </c>
      <c r="V2314">
        <v>0</v>
      </c>
      <c r="W2314">
        <v>0</v>
      </c>
      <c r="X2314">
        <v>1</v>
      </c>
      <c r="Z2314">
        <v>0</v>
      </c>
      <c r="AA2314">
        <v>9</v>
      </c>
      <c r="AB2314">
        <v>3</v>
      </c>
      <c r="AC2314">
        <v>0</v>
      </c>
      <c r="AD2314">
        <v>10</v>
      </c>
      <c r="AE2314">
        <v>0</v>
      </c>
      <c r="AF2314">
        <v>3</v>
      </c>
      <c r="AG2314">
        <v>2</v>
      </c>
      <c r="AH2314">
        <v>0</v>
      </c>
      <c r="AI2314" t="s">
        <v>4737</v>
      </c>
      <c r="AJ2314">
        <v>39.976951999999997</v>
      </c>
      <c r="AK2314" t="s">
        <v>4738</v>
      </c>
      <c r="AL2314">
        <v>-75.586431000000005</v>
      </c>
      <c r="AM2314">
        <v>100</v>
      </c>
      <c r="AN2314">
        <v>4700</v>
      </c>
      <c r="AO2314" t="s">
        <v>115</v>
      </c>
      <c r="AP2314">
        <v>130</v>
      </c>
      <c r="AQ2314">
        <v>124</v>
      </c>
      <c r="AR2314">
        <v>64</v>
      </c>
      <c r="AZ2314">
        <v>3614</v>
      </c>
      <c r="BA2314">
        <v>1</v>
      </c>
      <c r="BB2314" t="str">
        <f t="shared" ref="BB2314:BB2377" si="110">"N959MJ  "</f>
        <v xml:space="preserve">N959MJ  </v>
      </c>
      <c r="BC2314">
        <v>1</v>
      </c>
      <c r="BE2314">
        <v>0</v>
      </c>
      <c r="BF2314">
        <v>0</v>
      </c>
      <c r="BG2314">
        <v>0</v>
      </c>
      <c r="BH2314">
        <v>4875</v>
      </c>
      <c r="BI2314">
        <v>175</v>
      </c>
      <c r="BJ2314">
        <v>1</v>
      </c>
      <c r="BK2314">
        <v>1</v>
      </c>
      <c r="BL2314">
        <v>1</v>
      </c>
      <c r="BM2314">
        <v>0</v>
      </c>
      <c r="BP2314">
        <v>0</v>
      </c>
      <c r="BQ2314">
        <v>0</v>
      </c>
      <c r="BX2314" t="str">
        <f>"14:28:54.547"</f>
        <v>14:28:54.547</v>
      </c>
      <c r="BY2314" t="str">
        <f>"548751466"</f>
        <v>548751466</v>
      </c>
      <c r="CL2314">
        <v>0</v>
      </c>
      <c r="CM2314">
        <v>2</v>
      </c>
      <c r="CN2314">
        <v>0</v>
      </c>
      <c r="CO2314">
        <v>2</v>
      </c>
      <c r="CP2314">
        <v>0</v>
      </c>
      <c r="CQ2314">
        <v>7</v>
      </c>
      <c r="CR2314" t="s">
        <v>116</v>
      </c>
      <c r="CS2314">
        <v>39</v>
      </c>
      <c r="CT2314">
        <v>3</v>
      </c>
      <c r="CU2314" t="s">
        <v>2259</v>
      </c>
      <c r="CV2314" t="s">
        <v>2260</v>
      </c>
      <c r="CY2314">
        <v>10995078</v>
      </c>
      <c r="CZ2314" t="s">
        <v>119</v>
      </c>
    </row>
    <row r="2315" spans="1:104" x14ac:dyDescent="0.25">
      <c r="A2315" t="str">
        <f>"14:28:55.734"</f>
        <v>14:28:55.734</v>
      </c>
      <c r="B2315" t="s">
        <v>108</v>
      </c>
      <c r="C2315" t="str">
        <f t="shared" si="109"/>
        <v>ffdfd3c0</v>
      </c>
      <c r="D2315" t="s">
        <v>109</v>
      </c>
      <c r="E2315">
        <v>4</v>
      </c>
      <c r="F2315">
        <v>1004</v>
      </c>
      <c r="G2315" t="s">
        <v>110</v>
      </c>
      <c r="J2315" t="s">
        <v>111</v>
      </c>
      <c r="K2315">
        <v>0</v>
      </c>
      <c r="L2315">
        <v>3</v>
      </c>
      <c r="M2315">
        <v>0</v>
      </c>
      <c r="N2315">
        <v>2</v>
      </c>
      <c r="O2315">
        <v>1</v>
      </c>
      <c r="P2315">
        <v>0</v>
      </c>
      <c r="Q2315">
        <v>0</v>
      </c>
      <c r="R2315" t="s">
        <v>112</v>
      </c>
      <c r="S2315" t="str">
        <f>"14:28:55.578"</f>
        <v>14:28:55.578</v>
      </c>
      <c r="T2315" t="str">
        <f>"14:28:55.078"</f>
        <v>14:28:55.078</v>
      </c>
      <c r="U2315" t="str">
        <f t="shared" si="108"/>
        <v>ad5732</v>
      </c>
      <c r="V2315">
        <v>0</v>
      </c>
      <c r="W2315">
        <v>0</v>
      </c>
      <c r="X2315">
        <v>1</v>
      </c>
      <c r="Z2315">
        <v>0</v>
      </c>
      <c r="AA2315">
        <v>9</v>
      </c>
      <c r="AB2315">
        <v>3</v>
      </c>
      <c r="AC2315">
        <v>0</v>
      </c>
      <c r="AD2315">
        <v>10</v>
      </c>
      <c r="AE2315">
        <v>0</v>
      </c>
      <c r="AF2315">
        <v>3</v>
      </c>
      <c r="AG2315">
        <v>2</v>
      </c>
      <c r="AH2315">
        <v>0</v>
      </c>
      <c r="AI2315" t="s">
        <v>4739</v>
      </c>
      <c r="AJ2315">
        <v>39.977510000000002</v>
      </c>
      <c r="AK2315" t="s">
        <v>4740</v>
      </c>
      <c r="AL2315">
        <v>-75.585701</v>
      </c>
      <c r="AM2315">
        <v>100</v>
      </c>
      <c r="AN2315">
        <v>4700</v>
      </c>
      <c r="AO2315" t="s">
        <v>115</v>
      </c>
      <c r="AP2315">
        <v>130</v>
      </c>
      <c r="AQ2315">
        <v>124</v>
      </c>
      <c r="AR2315">
        <v>192</v>
      </c>
      <c r="AZ2315">
        <v>3614</v>
      </c>
      <c r="BA2315">
        <v>1</v>
      </c>
      <c r="BB2315" t="str">
        <f t="shared" si="110"/>
        <v xml:space="preserve">N959MJ  </v>
      </c>
      <c r="BC2315">
        <v>1</v>
      </c>
      <c r="BE2315">
        <v>0</v>
      </c>
      <c r="BF2315">
        <v>0</v>
      </c>
      <c r="BG2315">
        <v>0</v>
      </c>
      <c r="BH2315">
        <v>4875</v>
      </c>
      <c r="BI2315">
        <v>175</v>
      </c>
      <c r="BJ2315">
        <v>1</v>
      </c>
      <c r="BK2315">
        <v>1</v>
      </c>
      <c r="BL2315">
        <v>1</v>
      </c>
      <c r="BM2315">
        <v>0</v>
      </c>
      <c r="BP2315">
        <v>0</v>
      </c>
      <c r="BQ2315">
        <v>0</v>
      </c>
      <c r="BX2315" t="str">
        <f>"14:28:55.578"</f>
        <v>14:28:55.578</v>
      </c>
      <c r="BY2315" t="str">
        <f>"579322981"</f>
        <v>579322981</v>
      </c>
      <c r="CL2315">
        <v>0</v>
      </c>
      <c r="CM2315">
        <v>2</v>
      </c>
      <c r="CN2315">
        <v>0</v>
      </c>
      <c r="CO2315">
        <v>2</v>
      </c>
      <c r="CP2315">
        <v>0</v>
      </c>
      <c r="CQ2315">
        <v>7</v>
      </c>
      <c r="CR2315" t="s">
        <v>116</v>
      </c>
      <c r="CS2315">
        <v>39</v>
      </c>
      <c r="CT2315">
        <v>3</v>
      </c>
      <c r="CU2315" t="s">
        <v>2259</v>
      </c>
      <c r="CV2315" t="s">
        <v>2260</v>
      </c>
      <c r="CY2315">
        <v>10996824</v>
      </c>
      <c r="CZ2315" t="s">
        <v>119</v>
      </c>
    </row>
    <row r="2316" spans="1:104" x14ac:dyDescent="0.25">
      <c r="A2316" t="str">
        <f>"14:28:56.844"</f>
        <v>14:28:56.844</v>
      </c>
      <c r="B2316" t="s">
        <v>108</v>
      </c>
      <c r="C2316" t="str">
        <f t="shared" si="109"/>
        <v>ffdfd3c0</v>
      </c>
      <c r="D2316" t="s">
        <v>109</v>
      </c>
      <c r="E2316">
        <v>4</v>
      </c>
      <c r="F2316">
        <v>1004</v>
      </c>
      <c r="G2316" t="s">
        <v>110</v>
      </c>
      <c r="J2316" t="s">
        <v>111</v>
      </c>
      <c r="K2316">
        <v>0</v>
      </c>
      <c r="L2316">
        <v>3</v>
      </c>
      <c r="M2316">
        <v>0</v>
      </c>
      <c r="N2316">
        <v>2</v>
      </c>
      <c r="O2316">
        <v>1</v>
      </c>
      <c r="P2316">
        <v>0</v>
      </c>
      <c r="Q2316">
        <v>0</v>
      </c>
      <c r="R2316" t="s">
        <v>112</v>
      </c>
      <c r="S2316" t="str">
        <f>"14:28:56.664"</f>
        <v>14:28:56.664</v>
      </c>
      <c r="T2316" t="str">
        <f>"14:28:56.164"</f>
        <v>14:28:56.164</v>
      </c>
      <c r="U2316" t="str">
        <f t="shared" si="108"/>
        <v>ad5732</v>
      </c>
      <c r="V2316">
        <v>0</v>
      </c>
      <c r="W2316">
        <v>0</v>
      </c>
      <c r="X2316">
        <v>1</v>
      </c>
      <c r="Z2316">
        <v>0</v>
      </c>
      <c r="AA2316">
        <v>9</v>
      </c>
      <c r="AB2316">
        <v>3</v>
      </c>
      <c r="AC2316">
        <v>0</v>
      </c>
      <c r="AD2316">
        <v>10</v>
      </c>
      <c r="AE2316">
        <v>0</v>
      </c>
      <c r="AF2316">
        <v>3</v>
      </c>
      <c r="AG2316">
        <v>2</v>
      </c>
      <c r="AH2316">
        <v>0</v>
      </c>
      <c r="AI2316" t="s">
        <v>4741</v>
      </c>
      <c r="AJ2316">
        <v>39.978132000000002</v>
      </c>
      <c r="AK2316" t="s">
        <v>4742</v>
      </c>
      <c r="AL2316">
        <v>-75.584822000000003</v>
      </c>
      <c r="AM2316">
        <v>100</v>
      </c>
      <c r="AN2316">
        <v>4700</v>
      </c>
      <c r="AO2316" t="s">
        <v>115</v>
      </c>
      <c r="AP2316">
        <v>131</v>
      </c>
      <c r="AQ2316">
        <v>124</v>
      </c>
      <c r="AR2316">
        <v>64</v>
      </c>
      <c r="AZ2316">
        <v>3614</v>
      </c>
      <c r="BA2316">
        <v>1</v>
      </c>
      <c r="BB2316" t="str">
        <f t="shared" si="110"/>
        <v xml:space="preserve">N959MJ  </v>
      </c>
      <c r="BC2316">
        <v>1</v>
      </c>
      <c r="BE2316">
        <v>0</v>
      </c>
      <c r="BF2316">
        <v>0</v>
      </c>
      <c r="BG2316">
        <v>0</v>
      </c>
      <c r="BH2316">
        <v>4875</v>
      </c>
      <c r="BI2316">
        <v>175</v>
      </c>
      <c r="BJ2316">
        <v>1</v>
      </c>
      <c r="BK2316">
        <v>1</v>
      </c>
      <c r="BL2316">
        <v>1</v>
      </c>
      <c r="BM2316">
        <v>0</v>
      </c>
      <c r="BP2316">
        <v>0</v>
      </c>
      <c r="BQ2316">
        <v>0</v>
      </c>
      <c r="BX2316" t="str">
        <f>"14:28:56.664"</f>
        <v>14:28:56.664</v>
      </c>
      <c r="BY2316" t="str">
        <f>"667239479"</f>
        <v>667239479</v>
      </c>
      <c r="CL2316">
        <v>0</v>
      </c>
      <c r="CM2316">
        <v>2</v>
      </c>
      <c r="CN2316">
        <v>0</v>
      </c>
      <c r="CO2316">
        <v>2</v>
      </c>
      <c r="CP2316">
        <v>0</v>
      </c>
      <c r="CQ2316">
        <v>7</v>
      </c>
      <c r="CR2316" t="s">
        <v>116</v>
      </c>
      <c r="CS2316">
        <v>39</v>
      </c>
      <c r="CT2316">
        <v>0</v>
      </c>
      <c r="CU2316" t="s">
        <v>2259</v>
      </c>
      <c r="CV2316" t="s">
        <v>2260</v>
      </c>
      <c r="CY2316">
        <v>1645288</v>
      </c>
      <c r="CZ2316" t="s">
        <v>119</v>
      </c>
    </row>
    <row r="2317" spans="1:104" x14ac:dyDescent="0.25">
      <c r="A2317" t="str">
        <f>"14:28:57.906"</f>
        <v>14:28:57.906</v>
      </c>
      <c r="B2317" t="s">
        <v>108</v>
      </c>
      <c r="C2317" t="str">
        <f t="shared" si="109"/>
        <v>ffdfd3c0</v>
      </c>
      <c r="D2317" t="s">
        <v>109</v>
      </c>
      <c r="E2317">
        <v>4</v>
      </c>
      <c r="F2317">
        <v>1004</v>
      </c>
      <c r="G2317" t="s">
        <v>110</v>
      </c>
      <c r="J2317" t="s">
        <v>111</v>
      </c>
      <c r="K2317">
        <v>0</v>
      </c>
      <c r="L2317">
        <v>3</v>
      </c>
      <c r="M2317">
        <v>0</v>
      </c>
      <c r="N2317">
        <v>2</v>
      </c>
      <c r="O2317">
        <v>1</v>
      </c>
      <c r="P2317">
        <v>0</v>
      </c>
      <c r="Q2317">
        <v>0</v>
      </c>
      <c r="R2317" t="s">
        <v>112</v>
      </c>
      <c r="S2317" t="str">
        <f>"14:28:57.727"</f>
        <v>14:28:57.727</v>
      </c>
      <c r="T2317" t="str">
        <f>"14:28:57.227"</f>
        <v>14:28:57.227</v>
      </c>
      <c r="U2317" t="str">
        <f t="shared" si="108"/>
        <v>ad5732</v>
      </c>
      <c r="V2317">
        <v>0</v>
      </c>
      <c r="W2317">
        <v>0</v>
      </c>
      <c r="X2317">
        <v>1</v>
      </c>
      <c r="Z2317">
        <v>0</v>
      </c>
      <c r="AA2317">
        <v>9</v>
      </c>
      <c r="AB2317">
        <v>3</v>
      </c>
      <c r="AC2317">
        <v>0</v>
      </c>
      <c r="AD2317">
        <v>10</v>
      </c>
      <c r="AE2317">
        <v>0</v>
      </c>
      <c r="AF2317">
        <v>3</v>
      </c>
      <c r="AG2317">
        <v>2</v>
      </c>
      <c r="AH2317">
        <v>0</v>
      </c>
      <c r="AI2317" t="s">
        <v>4743</v>
      </c>
      <c r="AJ2317">
        <v>39.978797</v>
      </c>
      <c r="AK2317" t="s">
        <v>4744</v>
      </c>
      <c r="AL2317">
        <v>-75.583920000000006</v>
      </c>
      <c r="AM2317">
        <v>100</v>
      </c>
      <c r="AN2317">
        <v>4700</v>
      </c>
      <c r="AO2317" t="s">
        <v>115</v>
      </c>
      <c r="AP2317">
        <v>131</v>
      </c>
      <c r="AQ2317">
        <v>123</v>
      </c>
      <c r="AR2317">
        <v>128</v>
      </c>
      <c r="AZ2317">
        <v>3614</v>
      </c>
      <c r="BA2317">
        <v>1</v>
      </c>
      <c r="BB2317" t="str">
        <f t="shared" si="110"/>
        <v xml:space="preserve">N959MJ  </v>
      </c>
      <c r="BC2317">
        <v>1</v>
      </c>
      <c r="BE2317">
        <v>0</v>
      </c>
      <c r="BF2317">
        <v>0</v>
      </c>
      <c r="BG2317">
        <v>0</v>
      </c>
      <c r="BH2317">
        <v>4875</v>
      </c>
      <c r="BI2317">
        <v>175</v>
      </c>
      <c r="BJ2317">
        <v>1</v>
      </c>
      <c r="BK2317">
        <v>1</v>
      </c>
      <c r="BL2317">
        <v>1</v>
      </c>
      <c r="BM2317">
        <v>0</v>
      </c>
      <c r="BP2317">
        <v>0</v>
      </c>
      <c r="BQ2317">
        <v>0</v>
      </c>
      <c r="BX2317" t="str">
        <f>"14:28:57.734"</f>
        <v>14:28:57.734</v>
      </c>
      <c r="BY2317" t="str">
        <f>"730579567"</f>
        <v>730579567</v>
      </c>
      <c r="CL2317">
        <v>0</v>
      </c>
      <c r="CM2317">
        <v>2</v>
      </c>
      <c r="CN2317">
        <v>0</v>
      </c>
      <c r="CO2317">
        <v>2</v>
      </c>
      <c r="CP2317">
        <v>0</v>
      </c>
      <c r="CQ2317">
        <v>7</v>
      </c>
      <c r="CR2317" t="s">
        <v>116</v>
      </c>
      <c r="CS2317">
        <v>39</v>
      </c>
      <c r="CT2317">
        <v>2</v>
      </c>
      <c r="CU2317" t="s">
        <v>2259</v>
      </c>
      <c r="CV2317" t="s">
        <v>2260</v>
      </c>
      <c r="CY2317">
        <v>237553</v>
      </c>
      <c r="CZ2317" t="s">
        <v>119</v>
      </c>
    </row>
    <row r="2318" spans="1:104" x14ac:dyDescent="0.25">
      <c r="A2318" t="str">
        <f>"14:28:58.758"</f>
        <v>14:28:58.758</v>
      </c>
      <c r="B2318" t="s">
        <v>108</v>
      </c>
      <c r="C2318" t="str">
        <f t="shared" si="109"/>
        <v>ffdfd3c0</v>
      </c>
      <c r="D2318" t="s">
        <v>109</v>
      </c>
      <c r="E2318">
        <v>4</v>
      </c>
      <c r="F2318">
        <v>1004</v>
      </c>
      <c r="G2318" t="s">
        <v>110</v>
      </c>
      <c r="J2318" t="s">
        <v>111</v>
      </c>
      <c r="K2318">
        <v>0</v>
      </c>
      <c r="L2318">
        <v>3</v>
      </c>
      <c r="M2318">
        <v>0</v>
      </c>
      <c r="N2318">
        <v>2</v>
      </c>
      <c r="O2318">
        <v>1</v>
      </c>
      <c r="P2318">
        <v>0</v>
      </c>
      <c r="Q2318">
        <v>0</v>
      </c>
      <c r="R2318" t="s">
        <v>112</v>
      </c>
      <c r="S2318" t="str">
        <f>"14:28:58.602"</f>
        <v>14:28:58.602</v>
      </c>
      <c r="T2318" t="str">
        <f>"14:28:58.203"</f>
        <v>14:28:58.203</v>
      </c>
      <c r="U2318" t="str">
        <f t="shared" si="108"/>
        <v>ad5732</v>
      </c>
      <c r="V2318">
        <v>0</v>
      </c>
      <c r="W2318">
        <v>0</v>
      </c>
      <c r="X2318">
        <v>1</v>
      </c>
      <c r="Z2318">
        <v>0</v>
      </c>
      <c r="AA2318">
        <v>9</v>
      </c>
      <c r="AB2318">
        <v>3</v>
      </c>
      <c r="AC2318">
        <v>0</v>
      </c>
      <c r="AD2318">
        <v>10</v>
      </c>
      <c r="AE2318">
        <v>0</v>
      </c>
      <c r="AF2318">
        <v>3</v>
      </c>
      <c r="AG2318">
        <v>2</v>
      </c>
      <c r="AH2318">
        <v>0</v>
      </c>
      <c r="AI2318" t="s">
        <v>4745</v>
      </c>
      <c r="AJ2318">
        <v>39.979291000000003</v>
      </c>
      <c r="AK2318" t="s">
        <v>4746</v>
      </c>
      <c r="AL2318">
        <v>-75.583254999999994</v>
      </c>
      <c r="AM2318">
        <v>100</v>
      </c>
      <c r="AN2318">
        <v>4700</v>
      </c>
      <c r="AO2318" t="s">
        <v>115</v>
      </c>
      <c r="AP2318">
        <v>131</v>
      </c>
      <c r="AQ2318">
        <v>123</v>
      </c>
      <c r="AR2318">
        <v>64</v>
      </c>
      <c r="AZ2318">
        <v>3614</v>
      </c>
      <c r="BA2318">
        <v>1</v>
      </c>
      <c r="BB2318" t="str">
        <f t="shared" si="110"/>
        <v xml:space="preserve">N959MJ  </v>
      </c>
      <c r="BC2318">
        <v>1</v>
      </c>
      <c r="BE2318">
        <v>0</v>
      </c>
      <c r="BF2318">
        <v>0</v>
      </c>
      <c r="BG2318">
        <v>0</v>
      </c>
      <c r="BH2318">
        <v>4900</v>
      </c>
      <c r="BI2318">
        <v>200</v>
      </c>
      <c r="BJ2318">
        <v>1</v>
      </c>
      <c r="BK2318">
        <v>1</v>
      </c>
      <c r="BL2318">
        <v>1</v>
      </c>
      <c r="BM2318">
        <v>0</v>
      </c>
      <c r="BP2318">
        <v>0</v>
      </c>
      <c r="BQ2318">
        <v>0</v>
      </c>
      <c r="BX2318" t="str">
        <f>"14:28:58.609"</f>
        <v>14:28:58.609</v>
      </c>
      <c r="BY2318" t="str">
        <f>"605500357"</f>
        <v>605500357</v>
      </c>
      <c r="CL2318">
        <v>0</v>
      </c>
      <c r="CM2318">
        <v>2</v>
      </c>
      <c r="CN2318">
        <v>0</v>
      </c>
      <c r="CO2318">
        <v>2</v>
      </c>
      <c r="CP2318">
        <v>0</v>
      </c>
      <c r="CQ2318">
        <v>7</v>
      </c>
      <c r="CR2318" t="s">
        <v>116</v>
      </c>
      <c r="CS2318">
        <v>39</v>
      </c>
      <c r="CT2318">
        <v>3</v>
      </c>
      <c r="CU2318" t="s">
        <v>2259</v>
      </c>
      <c r="CV2318" t="s">
        <v>2260</v>
      </c>
      <c r="CY2318">
        <v>11002085</v>
      </c>
      <c r="CZ2318" t="s">
        <v>119</v>
      </c>
    </row>
    <row r="2319" spans="1:104" x14ac:dyDescent="0.25">
      <c r="A2319" t="str">
        <f>"14:28:59.773"</f>
        <v>14:28:59.773</v>
      </c>
      <c r="B2319" t="s">
        <v>108</v>
      </c>
      <c r="C2319" t="str">
        <f t="shared" si="109"/>
        <v>ffdfd3c0</v>
      </c>
      <c r="D2319" t="s">
        <v>109</v>
      </c>
      <c r="E2319">
        <v>4</v>
      </c>
      <c r="F2319">
        <v>1004</v>
      </c>
      <c r="G2319" t="s">
        <v>110</v>
      </c>
      <c r="J2319" t="s">
        <v>111</v>
      </c>
      <c r="K2319">
        <v>0</v>
      </c>
      <c r="L2319">
        <v>3</v>
      </c>
      <c r="M2319">
        <v>0</v>
      </c>
      <c r="N2319">
        <v>2</v>
      </c>
      <c r="O2319">
        <v>1</v>
      </c>
      <c r="P2319">
        <v>0</v>
      </c>
      <c r="Q2319">
        <v>0</v>
      </c>
      <c r="R2319" t="s">
        <v>112</v>
      </c>
      <c r="S2319" t="str">
        <f>"14:28:59.594"</f>
        <v>14:28:59.594</v>
      </c>
      <c r="T2319" t="str">
        <f>"14:28:59.195"</f>
        <v>14:28:59.195</v>
      </c>
      <c r="U2319" t="str">
        <f t="shared" si="108"/>
        <v>ad5732</v>
      </c>
      <c r="V2319">
        <v>0</v>
      </c>
      <c r="W2319">
        <v>0</v>
      </c>
      <c r="X2319">
        <v>1</v>
      </c>
      <c r="Z2319">
        <v>0</v>
      </c>
      <c r="AA2319">
        <v>9</v>
      </c>
      <c r="AB2319">
        <v>3</v>
      </c>
      <c r="AC2319">
        <v>0</v>
      </c>
      <c r="AD2319">
        <v>10</v>
      </c>
      <c r="AE2319">
        <v>0</v>
      </c>
      <c r="AF2319">
        <v>3</v>
      </c>
      <c r="AG2319">
        <v>2</v>
      </c>
      <c r="AH2319">
        <v>0</v>
      </c>
      <c r="AI2319" t="s">
        <v>4747</v>
      </c>
      <c r="AJ2319">
        <v>39.979806000000004</v>
      </c>
      <c r="AK2319" t="s">
        <v>4748</v>
      </c>
      <c r="AL2319">
        <v>-75.582526000000001</v>
      </c>
      <c r="AM2319">
        <v>100</v>
      </c>
      <c r="AN2319">
        <v>4700</v>
      </c>
      <c r="AO2319" t="s">
        <v>115</v>
      </c>
      <c r="AP2319">
        <v>131</v>
      </c>
      <c r="AQ2319">
        <v>123</v>
      </c>
      <c r="AR2319">
        <v>192</v>
      </c>
      <c r="AZ2319">
        <v>3614</v>
      </c>
      <c r="BA2319">
        <v>1</v>
      </c>
      <c r="BB2319" t="str">
        <f t="shared" si="110"/>
        <v xml:space="preserve">N959MJ  </v>
      </c>
      <c r="BC2319">
        <v>1</v>
      </c>
      <c r="BE2319">
        <v>0</v>
      </c>
      <c r="BF2319">
        <v>0</v>
      </c>
      <c r="BG2319">
        <v>0</v>
      </c>
      <c r="BH2319">
        <v>4900</v>
      </c>
      <c r="BI2319">
        <v>200</v>
      </c>
      <c r="BJ2319">
        <v>1</v>
      </c>
      <c r="BK2319">
        <v>1</v>
      </c>
      <c r="BL2319">
        <v>1</v>
      </c>
      <c r="BM2319">
        <v>0</v>
      </c>
      <c r="BP2319">
        <v>0</v>
      </c>
      <c r="BQ2319">
        <v>0</v>
      </c>
      <c r="BX2319" t="str">
        <f>"14:28:59.594"</f>
        <v>14:28:59.594</v>
      </c>
      <c r="BY2319" t="str">
        <f>"595111175"</f>
        <v>595111175</v>
      </c>
      <c r="CL2319">
        <v>0</v>
      </c>
      <c r="CM2319">
        <v>2</v>
      </c>
      <c r="CN2319">
        <v>0</v>
      </c>
      <c r="CO2319">
        <v>2</v>
      </c>
      <c r="CP2319">
        <v>0</v>
      </c>
      <c r="CQ2319">
        <v>7</v>
      </c>
      <c r="CR2319" t="s">
        <v>116</v>
      </c>
      <c r="CS2319">
        <v>39</v>
      </c>
      <c r="CT2319">
        <v>3</v>
      </c>
      <c r="CU2319" t="s">
        <v>2259</v>
      </c>
      <c r="CV2319" t="s">
        <v>2260</v>
      </c>
      <c r="CY2319">
        <v>11003884</v>
      </c>
      <c r="CZ2319" t="s">
        <v>119</v>
      </c>
    </row>
    <row r="2320" spans="1:104" x14ac:dyDescent="0.25">
      <c r="A2320" t="str">
        <f>"14:29:00.680"</f>
        <v>14:29:00.680</v>
      </c>
      <c r="B2320" t="s">
        <v>108</v>
      </c>
      <c r="C2320" t="str">
        <f t="shared" si="109"/>
        <v>ffdfd3c0</v>
      </c>
      <c r="D2320" t="s">
        <v>109</v>
      </c>
      <c r="E2320">
        <v>4</v>
      </c>
      <c r="F2320">
        <v>1004</v>
      </c>
      <c r="G2320" t="s">
        <v>110</v>
      </c>
      <c r="J2320" t="s">
        <v>111</v>
      </c>
      <c r="K2320">
        <v>0</v>
      </c>
      <c r="L2320">
        <v>3</v>
      </c>
      <c r="M2320">
        <v>0</v>
      </c>
      <c r="N2320">
        <v>2</v>
      </c>
      <c r="O2320">
        <v>1</v>
      </c>
      <c r="P2320">
        <v>0</v>
      </c>
      <c r="Q2320">
        <v>0</v>
      </c>
      <c r="R2320" t="s">
        <v>112</v>
      </c>
      <c r="S2320" t="str">
        <f>"14:29:00.484"</f>
        <v>14:29:00.484</v>
      </c>
      <c r="T2320" t="str">
        <f>"14:29:00.086"</f>
        <v>14:29:00.086</v>
      </c>
      <c r="U2320" t="str">
        <f t="shared" si="108"/>
        <v>ad5732</v>
      </c>
      <c r="V2320">
        <v>0</v>
      </c>
      <c r="W2320">
        <v>0</v>
      </c>
      <c r="X2320">
        <v>1</v>
      </c>
      <c r="Z2320">
        <v>0</v>
      </c>
      <c r="AA2320">
        <v>9</v>
      </c>
      <c r="AB2320">
        <v>3</v>
      </c>
      <c r="AC2320">
        <v>0</v>
      </c>
      <c r="AD2320">
        <v>10</v>
      </c>
      <c r="AE2320">
        <v>0</v>
      </c>
      <c r="AF2320">
        <v>3</v>
      </c>
      <c r="AG2320">
        <v>2</v>
      </c>
      <c r="AH2320">
        <v>0</v>
      </c>
      <c r="AI2320" t="s">
        <v>4749</v>
      </c>
      <c r="AJ2320">
        <v>39.980321000000004</v>
      </c>
      <c r="AK2320" t="s">
        <v>4750</v>
      </c>
      <c r="AL2320">
        <v>-75.581817999999998</v>
      </c>
      <c r="AM2320">
        <v>100</v>
      </c>
      <c r="AN2320">
        <v>4700</v>
      </c>
      <c r="AO2320" t="s">
        <v>115</v>
      </c>
      <c r="AP2320">
        <v>131</v>
      </c>
      <c r="AQ2320">
        <v>123</v>
      </c>
      <c r="AR2320">
        <v>64</v>
      </c>
      <c r="AZ2320">
        <v>3614</v>
      </c>
      <c r="BA2320">
        <v>1</v>
      </c>
      <c r="BB2320" t="str">
        <f t="shared" si="110"/>
        <v xml:space="preserve">N959MJ  </v>
      </c>
      <c r="BC2320">
        <v>1</v>
      </c>
      <c r="BE2320">
        <v>0</v>
      </c>
      <c r="BF2320">
        <v>0</v>
      </c>
      <c r="BG2320">
        <v>0</v>
      </c>
      <c r="BH2320">
        <v>4900</v>
      </c>
      <c r="BI2320">
        <v>200</v>
      </c>
      <c r="BJ2320">
        <v>1</v>
      </c>
      <c r="BK2320">
        <v>1</v>
      </c>
      <c r="BL2320">
        <v>1</v>
      </c>
      <c r="BM2320">
        <v>0</v>
      </c>
      <c r="BP2320">
        <v>0</v>
      </c>
      <c r="BQ2320">
        <v>0</v>
      </c>
      <c r="BX2320" t="str">
        <f>"14:29:00.492"</f>
        <v>14:29:00.492</v>
      </c>
      <c r="BY2320" t="str">
        <f>"489693117"</f>
        <v>489693117</v>
      </c>
      <c r="CL2320">
        <v>0</v>
      </c>
      <c r="CM2320">
        <v>2</v>
      </c>
      <c r="CN2320">
        <v>0</v>
      </c>
      <c r="CO2320">
        <v>2</v>
      </c>
      <c r="CP2320">
        <v>0</v>
      </c>
      <c r="CQ2320">
        <v>7</v>
      </c>
      <c r="CR2320" t="s">
        <v>116</v>
      </c>
      <c r="CS2320">
        <v>39</v>
      </c>
      <c r="CT2320">
        <v>3</v>
      </c>
      <c r="CU2320" t="s">
        <v>2259</v>
      </c>
      <c r="CV2320" t="s">
        <v>2260</v>
      </c>
      <c r="CY2320">
        <v>11005379</v>
      </c>
      <c r="CZ2320" t="s">
        <v>119</v>
      </c>
    </row>
    <row r="2321" spans="1:104" x14ac:dyDescent="0.25">
      <c r="A2321" t="str">
        <f>"14:29:01.641"</f>
        <v>14:29:01.641</v>
      </c>
      <c r="B2321" t="s">
        <v>108</v>
      </c>
      <c r="C2321" t="str">
        <f t="shared" si="109"/>
        <v>ffdfd3c0</v>
      </c>
      <c r="D2321" t="s">
        <v>109</v>
      </c>
      <c r="E2321">
        <v>4</v>
      </c>
      <c r="F2321">
        <v>1004</v>
      </c>
      <c r="G2321" t="s">
        <v>110</v>
      </c>
      <c r="J2321" t="s">
        <v>111</v>
      </c>
      <c r="K2321">
        <v>0</v>
      </c>
      <c r="L2321">
        <v>3</v>
      </c>
      <c r="M2321">
        <v>0</v>
      </c>
      <c r="N2321">
        <v>2</v>
      </c>
      <c r="O2321">
        <v>1</v>
      </c>
      <c r="P2321">
        <v>0</v>
      </c>
      <c r="Q2321">
        <v>0</v>
      </c>
      <c r="R2321" t="s">
        <v>112</v>
      </c>
      <c r="S2321" t="str">
        <f>"14:29:01.461"</f>
        <v>14:29:01.461</v>
      </c>
      <c r="T2321" t="str">
        <f>"14:29:00.961"</f>
        <v>14:29:00.961</v>
      </c>
      <c r="U2321" t="str">
        <f t="shared" si="108"/>
        <v>ad5732</v>
      </c>
      <c r="V2321">
        <v>0</v>
      </c>
      <c r="W2321">
        <v>0</v>
      </c>
      <c r="X2321">
        <v>1</v>
      </c>
      <c r="Z2321">
        <v>0</v>
      </c>
      <c r="AA2321">
        <v>9</v>
      </c>
      <c r="AB2321">
        <v>3</v>
      </c>
      <c r="AC2321">
        <v>0</v>
      </c>
      <c r="AD2321">
        <v>10</v>
      </c>
      <c r="AE2321">
        <v>0</v>
      </c>
      <c r="AF2321">
        <v>3</v>
      </c>
      <c r="AG2321">
        <v>2</v>
      </c>
      <c r="AH2321">
        <v>0</v>
      </c>
      <c r="AI2321" t="s">
        <v>4751</v>
      </c>
      <c r="AJ2321">
        <v>39.980879000000002</v>
      </c>
      <c r="AK2321" t="s">
        <v>4752</v>
      </c>
      <c r="AL2321">
        <v>-75.581001999999998</v>
      </c>
      <c r="AM2321">
        <v>100</v>
      </c>
      <c r="AN2321">
        <v>4700</v>
      </c>
      <c r="AO2321" t="s">
        <v>115</v>
      </c>
      <c r="AP2321">
        <v>131</v>
      </c>
      <c r="AQ2321">
        <v>122</v>
      </c>
      <c r="AR2321">
        <v>-64</v>
      </c>
      <c r="AZ2321">
        <v>3614</v>
      </c>
      <c r="BA2321">
        <v>1</v>
      </c>
      <c r="BB2321" t="str">
        <f t="shared" si="110"/>
        <v xml:space="preserve">N959MJ  </v>
      </c>
      <c r="BC2321">
        <v>1</v>
      </c>
      <c r="BE2321">
        <v>0</v>
      </c>
      <c r="BF2321">
        <v>0</v>
      </c>
      <c r="BG2321">
        <v>0</v>
      </c>
      <c r="BH2321">
        <v>4900</v>
      </c>
      <c r="BI2321">
        <v>200</v>
      </c>
      <c r="BJ2321">
        <v>1</v>
      </c>
      <c r="BK2321">
        <v>1</v>
      </c>
      <c r="BL2321">
        <v>1</v>
      </c>
      <c r="BM2321">
        <v>0</v>
      </c>
      <c r="BP2321">
        <v>0</v>
      </c>
      <c r="BQ2321">
        <v>0</v>
      </c>
      <c r="BX2321" t="str">
        <f>"14:29:01.469"</f>
        <v>14:29:01.469</v>
      </c>
      <c r="BY2321" t="str">
        <f>"466196591"</f>
        <v>466196591</v>
      </c>
      <c r="CL2321">
        <v>0</v>
      </c>
      <c r="CM2321">
        <v>2</v>
      </c>
      <c r="CN2321">
        <v>0</v>
      </c>
      <c r="CO2321">
        <v>2</v>
      </c>
      <c r="CP2321">
        <v>0</v>
      </c>
      <c r="CQ2321">
        <v>7</v>
      </c>
      <c r="CR2321" t="s">
        <v>116</v>
      </c>
      <c r="CS2321">
        <v>39</v>
      </c>
      <c r="CT2321">
        <v>2</v>
      </c>
      <c r="CU2321" t="s">
        <v>2259</v>
      </c>
      <c r="CV2321" t="s">
        <v>2260</v>
      </c>
      <c r="CY2321">
        <v>244067</v>
      </c>
      <c r="CZ2321" t="s">
        <v>119</v>
      </c>
    </row>
    <row r="2322" spans="1:104" x14ac:dyDescent="0.25">
      <c r="A2322" t="str">
        <f>"14:29:02.703"</f>
        <v>14:29:02.703</v>
      </c>
      <c r="B2322" t="s">
        <v>108</v>
      </c>
      <c r="C2322" t="str">
        <f t="shared" si="109"/>
        <v>ffdfd3c0</v>
      </c>
      <c r="D2322" t="s">
        <v>109</v>
      </c>
      <c r="E2322">
        <v>4</v>
      </c>
      <c r="F2322">
        <v>1004</v>
      </c>
      <c r="G2322" t="s">
        <v>110</v>
      </c>
      <c r="J2322" t="s">
        <v>111</v>
      </c>
      <c r="K2322">
        <v>0</v>
      </c>
      <c r="L2322">
        <v>3</v>
      </c>
      <c r="M2322">
        <v>0</v>
      </c>
      <c r="N2322">
        <v>2</v>
      </c>
      <c r="O2322">
        <v>1</v>
      </c>
      <c r="P2322">
        <v>0</v>
      </c>
      <c r="Q2322">
        <v>0</v>
      </c>
      <c r="R2322" t="s">
        <v>112</v>
      </c>
      <c r="S2322" t="str">
        <f>"14:29:02.508"</f>
        <v>14:29:02.508</v>
      </c>
      <c r="T2322" t="str">
        <f>"14:29:02.008"</f>
        <v>14:29:02.008</v>
      </c>
      <c r="U2322" t="str">
        <f t="shared" si="108"/>
        <v>ad5732</v>
      </c>
      <c r="V2322">
        <v>0</v>
      </c>
      <c r="W2322">
        <v>0</v>
      </c>
      <c r="X2322">
        <v>1</v>
      </c>
      <c r="Z2322">
        <v>0</v>
      </c>
      <c r="AA2322">
        <v>9</v>
      </c>
      <c r="AB2322">
        <v>3</v>
      </c>
      <c r="AC2322">
        <v>0</v>
      </c>
      <c r="AD2322">
        <v>10</v>
      </c>
      <c r="AE2322">
        <v>0</v>
      </c>
      <c r="AF2322">
        <v>3</v>
      </c>
      <c r="AG2322">
        <v>2</v>
      </c>
      <c r="AH2322">
        <v>0</v>
      </c>
      <c r="AI2322" t="s">
        <v>4753</v>
      </c>
      <c r="AJ2322">
        <v>39.981501000000002</v>
      </c>
      <c r="AK2322" t="s">
        <v>4754</v>
      </c>
      <c r="AL2322">
        <v>-75.580144000000004</v>
      </c>
      <c r="AM2322">
        <v>100</v>
      </c>
      <c r="AN2322">
        <v>4700</v>
      </c>
      <c r="AO2322" t="s">
        <v>115</v>
      </c>
      <c r="AP2322">
        <v>132</v>
      </c>
      <c r="AQ2322">
        <v>122</v>
      </c>
      <c r="AR2322">
        <v>64</v>
      </c>
      <c r="AZ2322">
        <v>3614</v>
      </c>
      <c r="BA2322">
        <v>1</v>
      </c>
      <c r="BB2322" t="str">
        <f t="shared" si="110"/>
        <v xml:space="preserve">N959MJ  </v>
      </c>
      <c r="BC2322">
        <v>1</v>
      </c>
      <c r="BE2322">
        <v>0</v>
      </c>
      <c r="BF2322">
        <v>0</v>
      </c>
      <c r="BG2322">
        <v>0</v>
      </c>
      <c r="BH2322">
        <v>4900</v>
      </c>
      <c r="BI2322">
        <v>200</v>
      </c>
      <c r="BJ2322">
        <v>1</v>
      </c>
      <c r="BK2322">
        <v>1</v>
      </c>
      <c r="BL2322">
        <v>1</v>
      </c>
      <c r="BM2322">
        <v>0</v>
      </c>
      <c r="BP2322">
        <v>0</v>
      </c>
      <c r="BQ2322">
        <v>0</v>
      </c>
      <c r="BX2322" t="str">
        <f>"14:29:02.508"</f>
        <v>14:29:02.508</v>
      </c>
      <c r="BY2322" t="str">
        <f>"511513901"</f>
        <v>511513901</v>
      </c>
      <c r="CL2322">
        <v>0</v>
      </c>
      <c r="CM2322">
        <v>2</v>
      </c>
      <c r="CN2322">
        <v>0</v>
      </c>
      <c r="CO2322">
        <v>2</v>
      </c>
      <c r="CP2322">
        <v>0</v>
      </c>
      <c r="CQ2322">
        <v>7</v>
      </c>
      <c r="CR2322" t="s">
        <v>116</v>
      </c>
      <c r="CS2322">
        <v>39</v>
      </c>
      <c r="CT2322">
        <v>3</v>
      </c>
      <c r="CU2322" t="s">
        <v>2259</v>
      </c>
      <c r="CV2322" t="s">
        <v>2260</v>
      </c>
      <c r="CY2322">
        <v>11008905</v>
      </c>
      <c r="CZ2322" t="s">
        <v>119</v>
      </c>
    </row>
    <row r="2323" spans="1:104" x14ac:dyDescent="0.25">
      <c r="A2323" t="str">
        <f>"14:29:03.656"</f>
        <v>14:29:03.656</v>
      </c>
      <c r="B2323" t="s">
        <v>108</v>
      </c>
      <c r="C2323" t="str">
        <f t="shared" si="109"/>
        <v>ffdfd3c0</v>
      </c>
      <c r="D2323" t="s">
        <v>109</v>
      </c>
      <c r="E2323">
        <v>4</v>
      </c>
      <c r="F2323">
        <v>1004</v>
      </c>
      <c r="G2323" t="s">
        <v>110</v>
      </c>
      <c r="J2323" t="s">
        <v>111</v>
      </c>
      <c r="K2323">
        <v>0</v>
      </c>
      <c r="L2323">
        <v>3</v>
      </c>
      <c r="M2323">
        <v>0</v>
      </c>
      <c r="N2323">
        <v>2</v>
      </c>
      <c r="O2323">
        <v>1</v>
      </c>
      <c r="P2323">
        <v>0</v>
      </c>
      <c r="Q2323">
        <v>0</v>
      </c>
      <c r="R2323" t="s">
        <v>112</v>
      </c>
      <c r="S2323" t="str">
        <f>"14:29:03.484"</f>
        <v>14:29:03.484</v>
      </c>
      <c r="T2323" t="str">
        <f>"14:29:03.086"</f>
        <v>14:29:03.086</v>
      </c>
      <c r="U2323" t="str">
        <f t="shared" si="108"/>
        <v>ad5732</v>
      </c>
      <c r="V2323">
        <v>0</v>
      </c>
      <c r="W2323">
        <v>0</v>
      </c>
      <c r="X2323">
        <v>1</v>
      </c>
      <c r="Z2323">
        <v>0</v>
      </c>
      <c r="AA2323">
        <v>9</v>
      </c>
      <c r="AB2323">
        <v>3</v>
      </c>
      <c r="AC2323">
        <v>0</v>
      </c>
      <c r="AD2323">
        <v>10</v>
      </c>
      <c r="AE2323">
        <v>0</v>
      </c>
      <c r="AF2323">
        <v>3</v>
      </c>
      <c r="AG2323">
        <v>2</v>
      </c>
      <c r="AH2323">
        <v>0</v>
      </c>
      <c r="AI2323" t="s">
        <v>4755</v>
      </c>
      <c r="AJ2323">
        <v>39.981994999999998</v>
      </c>
      <c r="AK2323" t="s">
        <v>4756</v>
      </c>
      <c r="AL2323">
        <v>-75.579436000000001</v>
      </c>
      <c r="AM2323">
        <v>100</v>
      </c>
      <c r="AN2323">
        <v>4700</v>
      </c>
      <c r="AO2323" t="s">
        <v>115</v>
      </c>
      <c r="AP2323">
        <v>132</v>
      </c>
      <c r="AQ2323">
        <v>122</v>
      </c>
      <c r="AR2323">
        <v>64</v>
      </c>
      <c r="AZ2323">
        <v>3614</v>
      </c>
      <c r="BA2323">
        <v>1</v>
      </c>
      <c r="BB2323" t="str">
        <f t="shared" si="110"/>
        <v xml:space="preserve">N959MJ  </v>
      </c>
      <c r="BC2323">
        <v>1</v>
      </c>
      <c r="BE2323">
        <v>0</v>
      </c>
      <c r="BF2323">
        <v>0</v>
      </c>
      <c r="BG2323">
        <v>0</v>
      </c>
      <c r="BH2323">
        <v>4900</v>
      </c>
      <c r="BI2323">
        <v>200</v>
      </c>
      <c r="BJ2323">
        <v>1</v>
      </c>
      <c r="BK2323">
        <v>1</v>
      </c>
      <c r="BL2323">
        <v>1</v>
      </c>
      <c r="BM2323">
        <v>0</v>
      </c>
      <c r="BP2323">
        <v>0</v>
      </c>
      <c r="BQ2323">
        <v>0</v>
      </c>
      <c r="BX2323" t="str">
        <f>"14:29:03.484"</f>
        <v>14:29:03.484</v>
      </c>
      <c r="BY2323" t="str">
        <f>"488017296"</f>
        <v>488017296</v>
      </c>
      <c r="CL2323">
        <v>0</v>
      </c>
      <c r="CM2323">
        <v>2</v>
      </c>
      <c r="CN2323">
        <v>0</v>
      </c>
      <c r="CO2323">
        <v>2</v>
      </c>
      <c r="CP2323">
        <v>0</v>
      </c>
      <c r="CQ2323">
        <v>7</v>
      </c>
      <c r="CR2323" t="s">
        <v>116</v>
      </c>
      <c r="CS2323">
        <v>39</v>
      </c>
      <c r="CT2323">
        <v>3</v>
      </c>
      <c r="CU2323" t="s">
        <v>2259</v>
      </c>
      <c r="CV2323" t="s">
        <v>2260</v>
      </c>
      <c r="CY2323">
        <v>11010674</v>
      </c>
      <c r="CZ2323" t="s">
        <v>119</v>
      </c>
    </row>
    <row r="2324" spans="1:104" x14ac:dyDescent="0.25">
      <c r="A2324" t="str">
        <f>"14:29:04.820"</f>
        <v>14:29:04.820</v>
      </c>
      <c r="B2324" t="s">
        <v>108</v>
      </c>
      <c r="C2324" t="str">
        <f t="shared" si="109"/>
        <v>ffdfd3c0</v>
      </c>
      <c r="D2324" t="s">
        <v>109</v>
      </c>
      <c r="E2324">
        <v>4</v>
      </c>
      <c r="F2324">
        <v>1004</v>
      </c>
      <c r="G2324" t="s">
        <v>110</v>
      </c>
      <c r="J2324" t="s">
        <v>111</v>
      </c>
      <c r="K2324">
        <v>0</v>
      </c>
      <c r="L2324">
        <v>3</v>
      </c>
      <c r="M2324">
        <v>0</v>
      </c>
      <c r="N2324">
        <v>2</v>
      </c>
      <c r="O2324">
        <v>1</v>
      </c>
      <c r="P2324">
        <v>0</v>
      </c>
      <c r="Q2324">
        <v>0</v>
      </c>
      <c r="R2324" t="s">
        <v>112</v>
      </c>
      <c r="S2324" t="str">
        <f>"14:29:04.633"</f>
        <v>14:29:04.633</v>
      </c>
      <c r="T2324" t="str">
        <f>"14:29:04.133"</f>
        <v>14:29:04.133</v>
      </c>
      <c r="U2324" t="str">
        <f t="shared" si="108"/>
        <v>ad5732</v>
      </c>
      <c r="V2324">
        <v>0</v>
      </c>
      <c r="W2324">
        <v>0</v>
      </c>
      <c r="X2324">
        <v>1</v>
      </c>
      <c r="Z2324">
        <v>0</v>
      </c>
      <c r="AA2324">
        <v>9</v>
      </c>
      <c r="AB2324">
        <v>3</v>
      </c>
      <c r="AC2324">
        <v>0</v>
      </c>
      <c r="AD2324">
        <v>10</v>
      </c>
      <c r="AE2324">
        <v>0</v>
      </c>
      <c r="AF2324">
        <v>3</v>
      </c>
      <c r="AG2324">
        <v>2</v>
      </c>
      <c r="AH2324">
        <v>0</v>
      </c>
      <c r="AI2324" t="s">
        <v>4757</v>
      </c>
      <c r="AJ2324">
        <v>39.982703000000001</v>
      </c>
      <c r="AK2324" t="s">
        <v>4758</v>
      </c>
      <c r="AL2324">
        <v>-75.578513000000001</v>
      </c>
      <c r="AM2324">
        <v>100</v>
      </c>
      <c r="AN2324">
        <v>4700</v>
      </c>
      <c r="AO2324" t="s">
        <v>115</v>
      </c>
      <c r="AP2324">
        <v>131</v>
      </c>
      <c r="AQ2324">
        <v>123</v>
      </c>
      <c r="AR2324">
        <v>64</v>
      </c>
      <c r="AZ2324">
        <v>3614</v>
      </c>
      <c r="BA2324">
        <v>1</v>
      </c>
      <c r="BB2324" t="str">
        <f t="shared" si="110"/>
        <v xml:space="preserve">N959MJ  </v>
      </c>
      <c r="BC2324">
        <v>1</v>
      </c>
      <c r="BE2324">
        <v>0</v>
      </c>
      <c r="BF2324">
        <v>0</v>
      </c>
      <c r="BG2324">
        <v>0</v>
      </c>
      <c r="BH2324">
        <v>4900</v>
      </c>
      <c r="BI2324">
        <v>200</v>
      </c>
      <c r="BJ2324">
        <v>1</v>
      </c>
      <c r="BK2324">
        <v>1</v>
      </c>
      <c r="BL2324">
        <v>1</v>
      </c>
      <c r="BM2324">
        <v>0</v>
      </c>
      <c r="BP2324">
        <v>0</v>
      </c>
      <c r="BQ2324">
        <v>0</v>
      </c>
      <c r="BX2324" t="str">
        <f>"14:29:04.633"</f>
        <v>14:29:04.633</v>
      </c>
      <c r="BY2324" t="str">
        <f>"634917270"</f>
        <v>634917270</v>
      </c>
      <c r="CL2324">
        <v>0</v>
      </c>
      <c r="CM2324">
        <v>2</v>
      </c>
      <c r="CN2324">
        <v>0</v>
      </c>
      <c r="CO2324">
        <v>2</v>
      </c>
      <c r="CP2324">
        <v>0</v>
      </c>
      <c r="CQ2324">
        <v>7</v>
      </c>
      <c r="CR2324" t="s">
        <v>116</v>
      </c>
      <c r="CS2324">
        <v>39</v>
      </c>
      <c r="CT2324">
        <v>0</v>
      </c>
      <c r="CU2324" t="s">
        <v>2259</v>
      </c>
      <c r="CV2324" t="s">
        <v>2260</v>
      </c>
      <c r="CY2324">
        <v>1659148</v>
      </c>
      <c r="CZ2324" t="s">
        <v>119</v>
      </c>
    </row>
    <row r="2325" spans="1:104" x14ac:dyDescent="0.25">
      <c r="A2325" t="str">
        <f>"14:29:05.727"</f>
        <v>14:29:05.727</v>
      </c>
      <c r="B2325" t="s">
        <v>108</v>
      </c>
      <c r="C2325" t="str">
        <f t="shared" si="109"/>
        <v>ffdfd3c0</v>
      </c>
      <c r="D2325" t="s">
        <v>109</v>
      </c>
      <c r="E2325">
        <v>4</v>
      </c>
      <c r="F2325">
        <v>1004</v>
      </c>
      <c r="G2325" t="s">
        <v>110</v>
      </c>
      <c r="J2325" t="s">
        <v>111</v>
      </c>
      <c r="K2325">
        <v>0</v>
      </c>
      <c r="L2325">
        <v>3</v>
      </c>
      <c r="M2325">
        <v>0</v>
      </c>
      <c r="N2325">
        <v>2</v>
      </c>
      <c r="O2325">
        <v>1</v>
      </c>
      <c r="P2325">
        <v>0</v>
      </c>
      <c r="Q2325">
        <v>0</v>
      </c>
      <c r="R2325" t="s">
        <v>112</v>
      </c>
      <c r="S2325" t="str">
        <f>"14:29:05.547"</f>
        <v>14:29:05.547</v>
      </c>
      <c r="T2325" t="str">
        <f>"14:29:05.148"</f>
        <v>14:29:05.148</v>
      </c>
      <c r="U2325" t="str">
        <f t="shared" si="108"/>
        <v>ad5732</v>
      </c>
      <c r="V2325">
        <v>0</v>
      </c>
      <c r="W2325">
        <v>0</v>
      </c>
      <c r="X2325">
        <v>1</v>
      </c>
      <c r="Z2325">
        <v>0</v>
      </c>
      <c r="AA2325">
        <v>9</v>
      </c>
      <c r="AB2325">
        <v>3</v>
      </c>
      <c r="AC2325">
        <v>0</v>
      </c>
      <c r="AD2325">
        <v>10</v>
      </c>
      <c r="AE2325">
        <v>0</v>
      </c>
      <c r="AF2325">
        <v>3</v>
      </c>
      <c r="AG2325">
        <v>2</v>
      </c>
      <c r="AH2325">
        <v>0</v>
      </c>
      <c r="AI2325" t="s">
        <v>4759</v>
      </c>
      <c r="AJ2325">
        <v>39.983175000000003</v>
      </c>
      <c r="AK2325" t="s">
        <v>4760</v>
      </c>
      <c r="AL2325">
        <v>-75.577762000000007</v>
      </c>
      <c r="AM2325">
        <v>100</v>
      </c>
      <c r="AN2325">
        <v>4700</v>
      </c>
      <c r="AO2325" t="s">
        <v>115</v>
      </c>
      <c r="AP2325">
        <v>131</v>
      </c>
      <c r="AQ2325">
        <v>123</v>
      </c>
      <c r="AR2325">
        <v>-64</v>
      </c>
      <c r="AZ2325">
        <v>3614</v>
      </c>
      <c r="BA2325">
        <v>1</v>
      </c>
      <c r="BB2325" t="str">
        <f t="shared" si="110"/>
        <v xml:space="preserve">N959MJ  </v>
      </c>
      <c r="BC2325">
        <v>1</v>
      </c>
      <c r="BE2325">
        <v>0</v>
      </c>
      <c r="BF2325">
        <v>0</v>
      </c>
      <c r="BG2325">
        <v>0</v>
      </c>
      <c r="BH2325">
        <v>4900</v>
      </c>
      <c r="BI2325">
        <v>200</v>
      </c>
      <c r="BJ2325">
        <v>1</v>
      </c>
      <c r="BK2325">
        <v>1</v>
      </c>
      <c r="BL2325">
        <v>1</v>
      </c>
      <c r="BM2325">
        <v>0</v>
      </c>
      <c r="BP2325">
        <v>0</v>
      </c>
      <c r="BQ2325">
        <v>0</v>
      </c>
      <c r="BX2325" t="str">
        <f>"14:29:05.555"</f>
        <v>14:29:05.555</v>
      </c>
      <c r="BY2325" t="str">
        <f>"550798861"</f>
        <v>550798861</v>
      </c>
      <c r="CL2325">
        <v>0</v>
      </c>
      <c r="CM2325">
        <v>2</v>
      </c>
      <c r="CN2325">
        <v>0</v>
      </c>
      <c r="CO2325">
        <v>2</v>
      </c>
      <c r="CP2325">
        <v>0</v>
      </c>
      <c r="CQ2325">
        <v>7</v>
      </c>
      <c r="CR2325" t="s">
        <v>116</v>
      </c>
      <c r="CS2325">
        <v>39</v>
      </c>
      <c r="CT2325">
        <v>3</v>
      </c>
      <c r="CU2325" t="s">
        <v>2259</v>
      </c>
      <c r="CV2325" t="s">
        <v>2260</v>
      </c>
      <c r="CY2325">
        <v>11014224</v>
      </c>
      <c r="CZ2325" t="s">
        <v>119</v>
      </c>
    </row>
    <row r="2326" spans="1:104" x14ac:dyDescent="0.25">
      <c r="A2326" t="str">
        <f>"14:29:06.789"</f>
        <v>14:29:06.789</v>
      </c>
      <c r="B2326" t="s">
        <v>108</v>
      </c>
      <c r="C2326" t="str">
        <f t="shared" si="109"/>
        <v>ffdfd3c0</v>
      </c>
      <c r="D2326" t="s">
        <v>109</v>
      </c>
      <c r="E2326">
        <v>4</v>
      </c>
      <c r="F2326">
        <v>1004</v>
      </c>
      <c r="G2326" t="s">
        <v>110</v>
      </c>
      <c r="J2326" t="s">
        <v>111</v>
      </c>
      <c r="K2326">
        <v>0</v>
      </c>
      <c r="L2326">
        <v>3</v>
      </c>
      <c r="M2326">
        <v>0</v>
      </c>
      <c r="N2326">
        <v>2</v>
      </c>
      <c r="O2326">
        <v>1</v>
      </c>
      <c r="P2326">
        <v>0</v>
      </c>
      <c r="Q2326">
        <v>0</v>
      </c>
      <c r="R2326" t="s">
        <v>112</v>
      </c>
      <c r="S2326" t="str">
        <f>"14:29:06.617"</f>
        <v>14:29:06.617</v>
      </c>
      <c r="T2326" t="str">
        <f>"14:29:06.117"</f>
        <v>14:29:06.117</v>
      </c>
      <c r="U2326" t="str">
        <f t="shared" si="108"/>
        <v>ad5732</v>
      </c>
      <c r="V2326">
        <v>0</v>
      </c>
      <c r="W2326">
        <v>0</v>
      </c>
      <c r="X2326">
        <v>1</v>
      </c>
      <c r="Z2326">
        <v>0</v>
      </c>
      <c r="AA2326">
        <v>9</v>
      </c>
      <c r="AB2326">
        <v>3</v>
      </c>
      <c r="AC2326">
        <v>0</v>
      </c>
      <c r="AD2326">
        <v>10</v>
      </c>
      <c r="AE2326">
        <v>0</v>
      </c>
      <c r="AF2326">
        <v>3</v>
      </c>
      <c r="AG2326">
        <v>2</v>
      </c>
      <c r="AH2326">
        <v>0</v>
      </c>
      <c r="AI2326" t="s">
        <v>4761</v>
      </c>
      <c r="AJ2326">
        <v>39.983818999999997</v>
      </c>
      <c r="AK2326" t="s">
        <v>4762</v>
      </c>
      <c r="AL2326">
        <v>-75.576881999999998</v>
      </c>
      <c r="AM2326">
        <v>100</v>
      </c>
      <c r="AN2326">
        <v>4700</v>
      </c>
      <c r="AO2326" t="s">
        <v>115</v>
      </c>
      <c r="AP2326">
        <v>131</v>
      </c>
      <c r="AQ2326">
        <v>124</v>
      </c>
      <c r="AR2326">
        <v>0</v>
      </c>
      <c r="AZ2326">
        <v>3614</v>
      </c>
      <c r="BA2326">
        <v>1</v>
      </c>
      <c r="BB2326" t="str">
        <f t="shared" si="110"/>
        <v xml:space="preserve">N959MJ  </v>
      </c>
      <c r="BC2326">
        <v>1</v>
      </c>
      <c r="BE2326">
        <v>0</v>
      </c>
      <c r="BF2326">
        <v>0</v>
      </c>
      <c r="BG2326">
        <v>0</v>
      </c>
      <c r="BH2326">
        <v>4900</v>
      </c>
      <c r="BI2326">
        <v>200</v>
      </c>
      <c r="BJ2326">
        <v>1</v>
      </c>
      <c r="BK2326">
        <v>1</v>
      </c>
      <c r="BL2326">
        <v>1</v>
      </c>
      <c r="BM2326">
        <v>0</v>
      </c>
      <c r="BP2326">
        <v>0</v>
      </c>
      <c r="BQ2326">
        <v>0</v>
      </c>
      <c r="BX2326" t="str">
        <f>"14:29:06.617"</f>
        <v>14:29:06.617</v>
      </c>
      <c r="BY2326" t="str">
        <f>"619054218"</f>
        <v>619054218</v>
      </c>
      <c r="CL2326">
        <v>0</v>
      </c>
      <c r="CM2326">
        <v>2</v>
      </c>
      <c r="CN2326">
        <v>0</v>
      </c>
      <c r="CO2326">
        <v>2</v>
      </c>
      <c r="CP2326">
        <v>0</v>
      </c>
      <c r="CQ2326">
        <v>7</v>
      </c>
      <c r="CR2326" t="s">
        <v>116</v>
      </c>
      <c r="CS2326">
        <v>39</v>
      </c>
      <c r="CT2326">
        <v>3</v>
      </c>
      <c r="CU2326" t="s">
        <v>2259</v>
      </c>
      <c r="CV2326" t="s">
        <v>2260</v>
      </c>
      <c r="CY2326">
        <v>11016125</v>
      </c>
      <c r="CZ2326" t="s">
        <v>119</v>
      </c>
    </row>
    <row r="2327" spans="1:104" x14ac:dyDescent="0.25">
      <c r="A2327" t="str">
        <f>"14:29:07.898"</f>
        <v>14:29:07.898</v>
      </c>
      <c r="B2327" t="s">
        <v>108</v>
      </c>
      <c r="C2327" t="str">
        <f t="shared" si="109"/>
        <v>ffdfd3c0</v>
      </c>
      <c r="D2327" t="s">
        <v>109</v>
      </c>
      <c r="E2327">
        <v>4</v>
      </c>
      <c r="F2327">
        <v>1004</v>
      </c>
      <c r="G2327" t="s">
        <v>110</v>
      </c>
      <c r="J2327" t="s">
        <v>111</v>
      </c>
      <c r="K2327">
        <v>0</v>
      </c>
      <c r="L2327">
        <v>3</v>
      </c>
      <c r="M2327">
        <v>0</v>
      </c>
      <c r="N2327">
        <v>2</v>
      </c>
      <c r="O2327">
        <v>1</v>
      </c>
      <c r="P2327">
        <v>0</v>
      </c>
      <c r="Q2327">
        <v>0</v>
      </c>
      <c r="R2327" t="s">
        <v>112</v>
      </c>
      <c r="S2327" t="str">
        <f>"14:29:07.719"</f>
        <v>14:29:07.719</v>
      </c>
      <c r="T2327" t="str">
        <f>"14:29:07.219"</f>
        <v>14:29:07.219</v>
      </c>
      <c r="U2327" t="str">
        <f t="shared" si="108"/>
        <v>ad5732</v>
      </c>
      <c r="V2327">
        <v>0</v>
      </c>
      <c r="W2327">
        <v>0</v>
      </c>
      <c r="X2327">
        <v>1</v>
      </c>
      <c r="Z2327">
        <v>0</v>
      </c>
      <c r="AA2327">
        <v>9</v>
      </c>
      <c r="AB2327">
        <v>3</v>
      </c>
      <c r="AC2327">
        <v>0</v>
      </c>
      <c r="AD2327">
        <v>10</v>
      </c>
      <c r="AE2327">
        <v>0</v>
      </c>
      <c r="AF2327">
        <v>3</v>
      </c>
      <c r="AG2327">
        <v>2</v>
      </c>
      <c r="AH2327">
        <v>0</v>
      </c>
      <c r="AI2327" t="s">
        <v>4763</v>
      </c>
      <c r="AJ2327">
        <v>39.984462000000001</v>
      </c>
      <c r="AK2327" t="s">
        <v>4764</v>
      </c>
      <c r="AL2327">
        <v>-75.576046000000005</v>
      </c>
      <c r="AM2327">
        <v>100</v>
      </c>
      <c r="AN2327">
        <v>4700</v>
      </c>
      <c r="AO2327" t="s">
        <v>115</v>
      </c>
      <c r="AP2327">
        <v>131</v>
      </c>
      <c r="AQ2327">
        <v>124</v>
      </c>
      <c r="AR2327">
        <v>-64</v>
      </c>
      <c r="AZ2327">
        <v>3614</v>
      </c>
      <c r="BA2327">
        <v>1</v>
      </c>
      <c r="BB2327" t="str">
        <f t="shared" si="110"/>
        <v xml:space="preserve">N959MJ  </v>
      </c>
      <c r="BC2327">
        <v>1</v>
      </c>
      <c r="BE2327">
        <v>0</v>
      </c>
      <c r="BF2327">
        <v>0</v>
      </c>
      <c r="BG2327">
        <v>0</v>
      </c>
      <c r="BH2327">
        <v>4900</v>
      </c>
      <c r="BI2327">
        <v>200</v>
      </c>
      <c r="BJ2327">
        <v>1</v>
      </c>
      <c r="BK2327">
        <v>1</v>
      </c>
      <c r="BL2327">
        <v>1</v>
      </c>
      <c r="BM2327">
        <v>0</v>
      </c>
      <c r="BP2327">
        <v>0</v>
      </c>
      <c r="BQ2327">
        <v>0</v>
      </c>
      <c r="BX2327" t="str">
        <f>"14:29:07.727"</f>
        <v>14:29:07.727</v>
      </c>
      <c r="BY2327" t="str">
        <f>"723355068"</f>
        <v>723355068</v>
      </c>
      <c r="CL2327">
        <v>0</v>
      </c>
      <c r="CM2327">
        <v>2</v>
      </c>
      <c r="CN2327">
        <v>0</v>
      </c>
      <c r="CO2327">
        <v>2</v>
      </c>
      <c r="CP2327">
        <v>0</v>
      </c>
      <c r="CQ2327">
        <v>7</v>
      </c>
      <c r="CR2327" t="s">
        <v>116</v>
      </c>
      <c r="CS2327">
        <v>39</v>
      </c>
      <c r="CT2327">
        <v>3</v>
      </c>
      <c r="CU2327" t="s">
        <v>2259</v>
      </c>
      <c r="CV2327" t="s">
        <v>2260</v>
      </c>
      <c r="CY2327">
        <v>11018060</v>
      </c>
      <c r="CZ2327" t="s">
        <v>119</v>
      </c>
    </row>
    <row r="2328" spans="1:104" x14ac:dyDescent="0.25">
      <c r="A2328" t="str">
        <f>"14:29:08.961"</f>
        <v>14:29:08.961</v>
      </c>
      <c r="B2328" t="s">
        <v>108</v>
      </c>
      <c r="C2328" t="str">
        <f t="shared" si="109"/>
        <v>ffdfd3c0</v>
      </c>
      <c r="D2328" t="s">
        <v>109</v>
      </c>
      <c r="E2328">
        <v>4</v>
      </c>
      <c r="F2328">
        <v>1004</v>
      </c>
      <c r="G2328" t="s">
        <v>110</v>
      </c>
      <c r="J2328" t="s">
        <v>111</v>
      </c>
      <c r="K2328">
        <v>0</v>
      </c>
      <c r="L2328">
        <v>3</v>
      </c>
      <c r="M2328">
        <v>0</v>
      </c>
      <c r="N2328">
        <v>2</v>
      </c>
      <c r="O2328">
        <v>1</v>
      </c>
      <c r="P2328">
        <v>0</v>
      </c>
      <c r="Q2328">
        <v>0</v>
      </c>
      <c r="R2328" t="s">
        <v>112</v>
      </c>
      <c r="S2328" t="str">
        <f>"14:29:08.781"</f>
        <v>14:29:08.781</v>
      </c>
      <c r="T2328" t="str">
        <f>"14:29:08.383"</f>
        <v>14:29:08.383</v>
      </c>
      <c r="U2328" t="str">
        <f t="shared" si="108"/>
        <v>ad5732</v>
      </c>
      <c r="V2328">
        <v>0</v>
      </c>
      <c r="W2328">
        <v>0</v>
      </c>
      <c r="X2328">
        <v>1</v>
      </c>
      <c r="Z2328">
        <v>0</v>
      </c>
      <c r="AA2328">
        <v>9</v>
      </c>
      <c r="AB2328">
        <v>3</v>
      </c>
      <c r="AC2328">
        <v>0</v>
      </c>
      <c r="AD2328">
        <v>10</v>
      </c>
      <c r="AE2328">
        <v>0</v>
      </c>
      <c r="AF2328">
        <v>3</v>
      </c>
      <c r="AG2328">
        <v>2</v>
      </c>
      <c r="AH2328">
        <v>0</v>
      </c>
      <c r="AI2328" t="s">
        <v>4765</v>
      </c>
      <c r="AJ2328">
        <v>39.985019999999999</v>
      </c>
      <c r="AK2328" t="s">
        <v>4766</v>
      </c>
      <c r="AL2328">
        <v>-75.575252000000006</v>
      </c>
      <c r="AM2328">
        <v>100</v>
      </c>
      <c r="AN2328">
        <v>4700</v>
      </c>
      <c r="AO2328" t="s">
        <v>115</v>
      </c>
      <c r="AP2328">
        <v>131</v>
      </c>
      <c r="AQ2328">
        <v>123</v>
      </c>
      <c r="AR2328">
        <v>0</v>
      </c>
      <c r="AZ2328">
        <v>3614</v>
      </c>
      <c r="BA2328">
        <v>1</v>
      </c>
      <c r="BB2328" t="str">
        <f t="shared" si="110"/>
        <v xml:space="preserve">N959MJ  </v>
      </c>
      <c r="BC2328">
        <v>1</v>
      </c>
      <c r="BE2328">
        <v>0</v>
      </c>
      <c r="BF2328">
        <v>0</v>
      </c>
      <c r="BG2328">
        <v>0</v>
      </c>
      <c r="BH2328">
        <v>4900</v>
      </c>
      <c r="BI2328">
        <v>200</v>
      </c>
      <c r="BJ2328">
        <v>1</v>
      </c>
      <c r="BK2328">
        <v>1</v>
      </c>
      <c r="BL2328">
        <v>1</v>
      </c>
      <c r="BM2328">
        <v>0</v>
      </c>
      <c r="BP2328">
        <v>0</v>
      </c>
      <c r="BQ2328">
        <v>0</v>
      </c>
      <c r="BX2328" t="str">
        <f>"14:29:08.781"</f>
        <v>14:29:08.781</v>
      </c>
      <c r="BY2328" t="str">
        <f>"781779956"</f>
        <v>781779956</v>
      </c>
      <c r="CL2328">
        <v>0</v>
      </c>
      <c r="CM2328">
        <v>2</v>
      </c>
      <c r="CN2328">
        <v>0</v>
      </c>
      <c r="CO2328">
        <v>2</v>
      </c>
      <c r="CP2328">
        <v>0</v>
      </c>
      <c r="CQ2328">
        <v>7</v>
      </c>
      <c r="CR2328" t="s">
        <v>116</v>
      </c>
      <c r="CS2328">
        <v>39</v>
      </c>
      <c r="CT2328">
        <v>3</v>
      </c>
      <c r="CU2328" t="s">
        <v>2259</v>
      </c>
      <c r="CV2328" t="s">
        <v>2260</v>
      </c>
      <c r="CY2328">
        <v>11019976</v>
      </c>
      <c r="CZ2328" t="s">
        <v>119</v>
      </c>
    </row>
    <row r="2329" spans="1:104" x14ac:dyDescent="0.25">
      <c r="A2329" t="str">
        <f>"14:29:09.969"</f>
        <v>14:29:09.969</v>
      </c>
      <c r="B2329" t="s">
        <v>108</v>
      </c>
      <c r="C2329" t="str">
        <f t="shared" si="109"/>
        <v>ffdfd3c0</v>
      </c>
      <c r="D2329" t="s">
        <v>109</v>
      </c>
      <c r="E2329">
        <v>4</v>
      </c>
      <c r="F2329">
        <v>1004</v>
      </c>
      <c r="G2329" t="s">
        <v>110</v>
      </c>
      <c r="J2329" t="s">
        <v>111</v>
      </c>
      <c r="K2329">
        <v>0</v>
      </c>
      <c r="L2329">
        <v>3</v>
      </c>
      <c r="M2329">
        <v>0</v>
      </c>
      <c r="N2329">
        <v>2</v>
      </c>
      <c r="O2329">
        <v>1</v>
      </c>
      <c r="P2329">
        <v>0</v>
      </c>
      <c r="Q2329">
        <v>0</v>
      </c>
      <c r="R2329" t="s">
        <v>112</v>
      </c>
      <c r="S2329" t="str">
        <f>"14:29:09.781"</f>
        <v>14:29:09.781</v>
      </c>
      <c r="T2329" t="str">
        <f>"14:29:09.281"</f>
        <v>14:29:09.281</v>
      </c>
      <c r="U2329" t="str">
        <f t="shared" si="108"/>
        <v>ad5732</v>
      </c>
      <c r="V2329">
        <v>0</v>
      </c>
      <c r="W2329">
        <v>0</v>
      </c>
      <c r="X2329">
        <v>1</v>
      </c>
      <c r="Z2329">
        <v>0</v>
      </c>
      <c r="AA2329">
        <v>9</v>
      </c>
      <c r="AB2329">
        <v>3</v>
      </c>
      <c r="AC2329">
        <v>0</v>
      </c>
      <c r="AD2329">
        <v>10</v>
      </c>
      <c r="AE2329">
        <v>0</v>
      </c>
      <c r="AF2329">
        <v>3</v>
      </c>
      <c r="AG2329">
        <v>2</v>
      </c>
      <c r="AH2329">
        <v>0</v>
      </c>
      <c r="AI2329" t="s">
        <v>4767</v>
      </c>
      <c r="AJ2329">
        <v>39.985621000000002</v>
      </c>
      <c r="AK2329" t="s">
        <v>4768</v>
      </c>
      <c r="AL2329">
        <v>-75.574458000000007</v>
      </c>
      <c r="AM2329">
        <v>100</v>
      </c>
      <c r="AN2329">
        <v>4700</v>
      </c>
      <c r="AO2329" t="s">
        <v>115</v>
      </c>
      <c r="AP2329">
        <v>131</v>
      </c>
      <c r="AQ2329">
        <v>124</v>
      </c>
      <c r="AR2329">
        <v>0</v>
      </c>
      <c r="AZ2329">
        <v>3614</v>
      </c>
      <c r="BA2329">
        <v>1</v>
      </c>
      <c r="BB2329" t="str">
        <f t="shared" si="110"/>
        <v xml:space="preserve">N959MJ  </v>
      </c>
      <c r="BC2329">
        <v>1</v>
      </c>
      <c r="BE2329">
        <v>0</v>
      </c>
      <c r="BF2329">
        <v>0</v>
      </c>
      <c r="BG2329">
        <v>0</v>
      </c>
      <c r="BH2329">
        <v>4900</v>
      </c>
      <c r="BI2329">
        <v>200</v>
      </c>
      <c r="BJ2329">
        <v>1</v>
      </c>
      <c r="BK2329">
        <v>1</v>
      </c>
      <c r="BL2329">
        <v>1</v>
      </c>
      <c r="BM2329">
        <v>0</v>
      </c>
      <c r="BP2329">
        <v>0</v>
      </c>
      <c r="BQ2329">
        <v>0</v>
      </c>
      <c r="BX2329" t="str">
        <f>"14:29:09.789"</f>
        <v>14:29:09.789</v>
      </c>
      <c r="BY2329" t="str">
        <f>"786136624"</f>
        <v>786136624</v>
      </c>
      <c r="CL2329">
        <v>0</v>
      </c>
      <c r="CM2329">
        <v>2</v>
      </c>
      <c r="CN2329">
        <v>0</v>
      </c>
      <c r="CO2329">
        <v>2</v>
      </c>
      <c r="CP2329">
        <v>0</v>
      </c>
      <c r="CQ2329">
        <v>7</v>
      </c>
      <c r="CR2329" t="s">
        <v>116</v>
      </c>
      <c r="CS2329">
        <v>39</v>
      </c>
      <c r="CT2329">
        <v>3</v>
      </c>
      <c r="CU2329" t="s">
        <v>2259</v>
      </c>
      <c r="CV2329" t="s">
        <v>2260</v>
      </c>
      <c r="CY2329">
        <v>11021678</v>
      </c>
      <c r="CZ2329" t="s">
        <v>119</v>
      </c>
    </row>
    <row r="2330" spans="1:104" x14ac:dyDescent="0.25">
      <c r="A2330" t="str">
        <f>"14:29:10.930"</f>
        <v>14:29:10.930</v>
      </c>
      <c r="B2330" t="s">
        <v>108</v>
      </c>
      <c r="C2330" t="str">
        <f t="shared" si="109"/>
        <v>ffdfd3c0</v>
      </c>
      <c r="D2330" t="s">
        <v>109</v>
      </c>
      <c r="E2330">
        <v>4</v>
      </c>
      <c r="F2330">
        <v>1004</v>
      </c>
      <c r="G2330" t="s">
        <v>110</v>
      </c>
      <c r="J2330" t="s">
        <v>111</v>
      </c>
      <c r="K2330">
        <v>0</v>
      </c>
      <c r="L2330">
        <v>3</v>
      </c>
      <c r="M2330">
        <v>0</v>
      </c>
      <c r="N2330">
        <v>2</v>
      </c>
      <c r="O2330">
        <v>1</v>
      </c>
      <c r="P2330">
        <v>0</v>
      </c>
      <c r="Q2330">
        <v>0</v>
      </c>
      <c r="R2330" t="s">
        <v>112</v>
      </c>
      <c r="S2330" t="str">
        <f>"14:29:10.734"</f>
        <v>14:29:10.734</v>
      </c>
      <c r="T2330" t="str">
        <f>"14:29:10.336"</f>
        <v>14:29:10.336</v>
      </c>
      <c r="U2330" t="str">
        <f t="shared" si="108"/>
        <v>ad5732</v>
      </c>
      <c r="V2330">
        <v>0</v>
      </c>
      <c r="W2330">
        <v>0</v>
      </c>
      <c r="X2330">
        <v>1</v>
      </c>
      <c r="Z2330">
        <v>0</v>
      </c>
      <c r="AA2330">
        <v>9</v>
      </c>
      <c r="AB2330">
        <v>3</v>
      </c>
      <c r="AC2330">
        <v>0</v>
      </c>
      <c r="AD2330">
        <v>10</v>
      </c>
      <c r="AE2330">
        <v>0</v>
      </c>
      <c r="AF2330">
        <v>3</v>
      </c>
      <c r="AG2330">
        <v>2</v>
      </c>
      <c r="AH2330">
        <v>0</v>
      </c>
      <c r="AI2330" t="s">
        <v>4769</v>
      </c>
      <c r="AJ2330">
        <v>39.986156999999999</v>
      </c>
      <c r="AK2330" t="s">
        <v>4770</v>
      </c>
      <c r="AL2330">
        <v>-75.573663999999994</v>
      </c>
      <c r="AM2330">
        <v>100</v>
      </c>
      <c r="AN2330">
        <v>4700</v>
      </c>
      <c r="AO2330" t="s">
        <v>115</v>
      </c>
      <c r="AP2330">
        <v>131</v>
      </c>
      <c r="AQ2330">
        <v>124</v>
      </c>
      <c r="AR2330">
        <v>-128</v>
      </c>
      <c r="AZ2330">
        <v>3614</v>
      </c>
      <c r="BA2330">
        <v>1</v>
      </c>
      <c r="BB2330" t="str">
        <f t="shared" si="110"/>
        <v xml:space="preserve">N959MJ  </v>
      </c>
      <c r="BC2330">
        <v>1</v>
      </c>
      <c r="BE2330">
        <v>0</v>
      </c>
      <c r="BF2330">
        <v>0</v>
      </c>
      <c r="BG2330">
        <v>0</v>
      </c>
      <c r="BH2330">
        <v>4900</v>
      </c>
      <c r="BI2330">
        <v>200</v>
      </c>
      <c r="BJ2330">
        <v>1</v>
      </c>
      <c r="BK2330">
        <v>1</v>
      </c>
      <c r="BL2330">
        <v>1</v>
      </c>
      <c r="BM2330">
        <v>0</v>
      </c>
      <c r="BP2330">
        <v>0</v>
      </c>
      <c r="BQ2330">
        <v>0</v>
      </c>
      <c r="BX2330" t="str">
        <f>"14:29:10.734"</f>
        <v>14:29:10.734</v>
      </c>
      <c r="BY2330" t="str">
        <f>"736425197"</f>
        <v>736425197</v>
      </c>
      <c r="CL2330">
        <v>0</v>
      </c>
      <c r="CM2330">
        <v>2</v>
      </c>
      <c r="CN2330">
        <v>0</v>
      </c>
      <c r="CO2330">
        <v>2</v>
      </c>
      <c r="CP2330">
        <v>0</v>
      </c>
      <c r="CQ2330">
        <v>7</v>
      </c>
      <c r="CR2330" t="s">
        <v>116</v>
      </c>
      <c r="CS2330">
        <v>39</v>
      </c>
      <c r="CT2330">
        <v>3</v>
      </c>
      <c r="CU2330" t="s">
        <v>2259</v>
      </c>
      <c r="CV2330" t="s">
        <v>2260</v>
      </c>
      <c r="CY2330">
        <v>11023195</v>
      </c>
      <c r="CZ2330" t="s">
        <v>119</v>
      </c>
    </row>
    <row r="2331" spans="1:104" x14ac:dyDescent="0.25">
      <c r="A2331" t="str">
        <f>"14:29:11.836"</f>
        <v>14:29:11.836</v>
      </c>
      <c r="B2331" t="s">
        <v>108</v>
      </c>
      <c r="C2331" t="str">
        <f t="shared" si="109"/>
        <v>ffdfd3c0</v>
      </c>
      <c r="D2331" t="s">
        <v>109</v>
      </c>
      <c r="E2331">
        <v>4</v>
      </c>
      <c r="F2331">
        <v>1004</v>
      </c>
      <c r="G2331" t="s">
        <v>110</v>
      </c>
      <c r="J2331" t="s">
        <v>111</v>
      </c>
      <c r="K2331">
        <v>0</v>
      </c>
      <c r="L2331">
        <v>3</v>
      </c>
      <c r="M2331">
        <v>0</v>
      </c>
      <c r="N2331">
        <v>2</v>
      </c>
      <c r="O2331">
        <v>1</v>
      </c>
      <c r="P2331">
        <v>0</v>
      </c>
      <c r="Q2331">
        <v>0</v>
      </c>
      <c r="R2331" t="s">
        <v>112</v>
      </c>
      <c r="S2331" t="str">
        <f>"14:29:11.672"</f>
        <v>14:29:11.672</v>
      </c>
      <c r="T2331" t="str">
        <f>"14:29:11.273"</f>
        <v>14:29:11.273</v>
      </c>
      <c r="U2331" t="str">
        <f t="shared" si="108"/>
        <v>ad5732</v>
      </c>
      <c r="V2331">
        <v>0</v>
      </c>
      <c r="W2331">
        <v>0</v>
      </c>
      <c r="X2331">
        <v>1</v>
      </c>
      <c r="Z2331">
        <v>0</v>
      </c>
      <c r="AA2331">
        <v>9</v>
      </c>
      <c r="AB2331">
        <v>3</v>
      </c>
      <c r="AC2331">
        <v>0</v>
      </c>
      <c r="AD2331">
        <v>10</v>
      </c>
      <c r="AE2331">
        <v>0</v>
      </c>
      <c r="AF2331">
        <v>3</v>
      </c>
      <c r="AG2331">
        <v>2</v>
      </c>
      <c r="AH2331">
        <v>0</v>
      </c>
      <c r="AI2331" t="s">
        <v>4771</v>
      </c>
      <c r="AJ2331">
        <v>39.986694</v>
      </c>
      <c r="AK2331" t="s">
        <v>4772</v>
      </c>
      <c r="AL2331">
        <v>-75.572956000000005</v>
      </c>
      <c r="AM2331">
        <v>100</v>
      </c>
      <c r="AN2331">
        <v>4700</v>
      </c>
      <c r="AO2331" t="s">
        <v>115</v>
      </c>
      <c r="AP2331">
        <v>131</v>
      </c>
      <c r="AQ2331">
        <v>124</v>
      </c>
      <c r="AR2331">
        <v>-128</v>
      </c>
      <c r="AZ2331">
        <v>3614</v>
      </c>
      <c r="BA2331">
        <v>1</v>
      </c>
      <c r="BB2331" t="str">
        <f t="shared" si="110"/>
        <v xml:space="preserve">N959MJ  </v>
      </c>
      <c r="BC2331">
        <v>1</v>
      </c>
      <c r="BE2331">
        <v>0</v>
      </c>
      <c r="BF2331">
        <v>0</v>
      </c>
      <c r="BG2331">
        <v>0</v>
      </c>
      <c r="BH2331">
        <v>4900</v>
      </c>
      <c r="BI2331">
        <v>200</v>
      </c>
      <c r="BJ2331">
        <v>1</v>
      </c>
      <c r="BK2331">
        <v>1</v>
      </c>
      <c r="BL2331">
        <v>1</v>
      </c>
      <c r="BM2331">
        <v>0</v>
      </c>
      <c r="BP2331">
        <v>0</v>
      </c>
      <c r="BQ2331">
        <v>0</v>
      </c>
      <c r="BX2331" t="str">
        <f>"14:29:11.672"</f>
        <v>14:29:11.672</v>
      </c>
      <c r="BY2331" t="str">
        <f>"671967881"</f>
        <v>671967881</v>
      </c>
      <c r="CL2331">
        <v>0</v>
      </c>
      <c r="CM2331">
        <v>2</v>
      </c>
      <c r="CN2331">
        <v>0</v>
      </c>
      <c r="CO2331">
        <v>2</v>
      </c>
      <c r="CP2331">
        <v>0</v>
      </c>
      <c r="CQ2331">
        <v>7</v>
      </c>
      <c r="CR2331" t="s">
        <v>116</v>
      </c>
      <c r="CS2331">
        <v>39</v>
      </c>
      <c r="CT2331">
        <v>0</v>
      </c>
      <c r="CU2331" t="s">
        <v>2259</v>
      </c>
      <c r="CV2331" t="s">
        <v>2260</v>
      </c>
      <c r="CY2331">
        <v>1671008</v>
      </c>
      <c r="CZ2331" t="s">
        <v>119</v>
      </c>
    </row>
    <row r="2332" spans="1:104" x14ac:dyDescent="0.25">
      <c r="A2332" t="str">
        <f>"14:29:12.945"</f>
        <v>14:29:12.945</v>
      </c>
      <c r="B2332" t="s">
        <v>108</v>
      </c>
      <c r="C2332" t="str">
        <f t="shared" si="109"/>
        <v>ffdfd3c0</v>
      </c>
      <c r="D2332" t="s">
        <v>109</v>
      </c>
      <c r="E2332">
        <v>4</v>
      </c>
      <c r="F2332">
        <v>1004</v>
      </c>
      <c r="G2332" t="s">
        <v>110</v>
      </c>
      <c r="J2332" t="s">
        <v>111</v>
      </c>
      <c r="K2332">
        <v>0</v>
      </c>
      <c r="L2332">
        <v>3</v>
      </c>
      <c r="M2332">
        <v>0</v>
      </c>
      <c r="N2332">
        <v>2</v>
      </c>
      <c r="O2332">
        <v>1</v>
      </c>
      <c r="P2332">
        <v>0</v>
      </c>
      <c r="Q2332">
        <v>0</v>
      </c>
      <c r="R2332" t="s">
        <v>112</v>
      </c>
      <c r="S2332" t="str">
        <f>"14:29:12.789"</f>
        <v>14:29:12.789</v>
      </c>
      <c r="T2332" t="str">
        <f>"14:29:12.289"</f>
        <v>14:29:12.289</v>
      </c>
      <c r="U2332" t="str">
        <f t="shared" si="108"/>
        <v>ad5732</v>
      </c>
      <c r="V2332">
        <v>0</v>
      </c>
      <c r="W2332">
        <v>0</v>
      </c>
      <c r="X2332">
        <v>1</v>
      </c>
      <c r="Z2332">
        <v>0</v>
      </c>
      <c r="AA2332">
        <v>9</v>
      </c>
      <c r="AB2332">
        <v>3</v>
      </c>
      <c r="AC2332">
        <v>0</v>
      </c>
      <c r="AD2332">
        <v>10</v>
      </c>
      <c r="AE2332">
        <v>0</v>
      </c>
      <c r="AF2332">
        <v>3</v>
      </c>
      <c r="AG2332">
        <v>2</v>
      </c>
      <c r="AH2332">
        <v>0</v>
      </c>
      <c r="AI2332" t="s">
        <v>4773</v>
      </c>
      <c r="AJ2332">
        <v>39.987295000000003</v>
      </c>
      <c r="AK2332" t="s">
        <v>4774</v>
      </c>
      <c r="AL2332">
        <v>-75.572075999999996</v>
      </c>
      <c r="AM2332">
        <v>100</v>
      </c>
      <c r="AN2332">
        <v>4700</v>
      </c>
      <c r="AO2332" t="s">
        <v>115</v>
      </c>
      <c r="AP2332">
        <v>131</v>
      </c>
      <c r="AQ2332">
        <v>124</v>
      </c>
      <c r="AR2332">
        <v>0</v>
      </c>
      <c r="AZ2332">
        <v>3614</v>
      </c>
      <c r="BA2332">
        <v>1</v>
      </c>
      <c r="BB2332" t="str">
        <f t="shared" si="110"/>
        <v xml:space="preserve">N959MJ  </v>
      </c>
      <c r="BC2332">
        <v>1</v>
      </c>
      <c r="BE2332">
        <v>0</v>
      </c>
      <c r="BF2332">
        <v>0</v>
      </c>
      <c r="BG2332">
        <v>0</v>
      </c>
      <c r="BH2332">
        <v>4900</v>
      </c>
      <c r="BI2332">
        <v>200</v>
      </c>
      <c r="BJ2332">
        <v>1</v>
      </c>
      <c r="BK2332">
        <v>1</v>
      </c>
      <c r="BL2332">
        <v>1</v>
      </c>
      <c r="BM2332">
        <v>0</v>
      </c>
      <c r="BP2332">
        <v>0</v>
      </c>
      <c r="BQ2332">
        <v>0</v>
      </c>
      <c r="BX2332" t="str">
        <f>"14:29:12.797"</f>
        <v>14:29:12.797</v>
      </c>
      <c r="BY2332" t="str">
        <f>"795929959"</f>
        <v>795929959</v>
      </c>
      <c r="CL2332">
        <v>0</v>
      </c>
      <c r="CM2332">
        <v>2</v>
      </c>
      <c r="CN2332">
        <v>0</v>
      </c>
      <c r="CO2332">
        <v>2</v>
      </c>
      <c r="CP2332">
        <v>0</v>
      </c>
      <c r="CQ2332">
        <v>7</v>
      </c>
      <c r="CR2332" t="s">
        <v>116</v>
      </c>
      <c r="CS2332">
        <v>39</v>
      </c>
      <c r="CT2332">
        <v>3</v>
      </c>
      <c r="CU2332" t="s">
        <v>2259</v>
      </c>
      <c r="CV2332" t="s">
        <v>2260</v>
      </c>
      <c r="CY2332">
        <v>11026762</v>
      </c>
      <c r="CZ2332" t="s">
        <v>119</v>
      </c>
    </row>
    <row r="2333" spans="1:104" x14ac:dyDescent="0.25">
      <c r="A2333" t="str">
        <f>"14:29:13.906"</f>
        <v>14:29:13.906</v>
      </c>
      <c r="B2333" t="s">
        <v>108</v>
      </c>
      <c r="C2333" t="str">
        <f t="shared" si="109"/>
        <v>ffdfd3c0</v>
      </c>
      <c r="D2333" t="s">
        <v>109</v>
      </c>
      <c r="E2333">
        <v>4</v>
      </c>
      <c r="F2333">
        <v>1004</v>
      </c>
      <c r="G2333" t="s">
        <v>110</v>
      </c>
      <c r="J2333" t="s">
        <v>111</v>
      </c>
      <c r="K2333">
        <v>0</v>
      </c>
      <c r="L2333">
        <v>3</v>
      </c>
      <c r="M2333">
        <v>0</v>
      </c>
      <c r="N2333">
        <v>2</v>
      </c>
      <c r="O2333">
        <v>1</v>
      </c>
      <c r="P2333">
        <v>0</v>
      </c>
      <c r="Q2333">
        <v>0</v>
      </c>
      <c r="R2333" t="s">
        <v>112</v>
      </c>
      <c r="S2333" t="str">
        <f>"14:29:13.703"</f>
        <v>14:29:13.703</v>
      </c>
      <c r="T2333" t="str">
        <f>"14:29:13.203"</f>
        <v>14:29:13.203</v>
      </c>
      <c r="U2333" t="str">
        <f t="shared" si="108"/>
        <v>ad5732</v>
      </c>
      <c r="V2333">
        <v>0</v>
      </c>
      <c r="W2333">
        <v>0</v>
      </c>
      <c r="X2333">
        <v>1</v>
      </c>
      <c r="Z2333">
        <v>0</v>
      </c>
      <c r="AA2333">
        <v>9</v>
      </c>
      <c r="AB2333">
        <v>3</v>
      </c>
      <c r="AC2333">
        <v>0</v>
      </c>
      <c r="AD2333">
        <v>10</v>
      </c>
      <c r="AE2333">
        <v>0</v>
      </c>
      <c r="AF2333">
        <v>3</v>
      </c>
      <c r="AG2333">
        <v>2</v>
      </c>
      <c r="AH2333">
        <v>0</v>
      </c>
      <c r="AI2333" t="s">
        <v>4775</v>
      </c>
      <c r="AJ2333">
        <v>39.987895000000002</v>
      </c>
      <c r="AK2333" t="s">
        <v>4776</v>
      </c>
      <c r="AL2333">
        <v>-75.571281999999997</v>
      </c>
      <c r="AM2333">
        <v>100</v>
      </c>
      <c r="AN2333">
        <v>4700</v>
      </c>
      <c r="AO2333" t="s">
        <v>115</v>
      </c>
      <c r="AP2333">
        <v>131</v>
      </c>
      <c r="AQ2333">
        <v>124</v>
      </c>
      <c r="AR2333">
        <v>64</v>
      </c>
      <c r="AZ2333">
        <v>3614</v>
      </c>
      <c r="BA2333">
        <v>1</v>
      </c>
      <c r="BB2333" t="str">
        <f t="shared" si="110"/>
        <v xml:space="preserve">N959MJ  </v>
      </c>
      <c r="BC2333">
        <v>1</v>
      </c>
      <c r="BE2333">
        <v>0</v>
      </c>
      <c r="BF2333">
        <v>0</v>
      </c>
      <c r="BG2333">
        <v>0</v>
      </c>
      <c r="BH2333">
        <v>4900</v>
      </c>
      <c r="BI2333">
        <v>200</v>
      </c>
      <c r="BJ2333">
        <v>1</v>
      </c>
      <c r="BK2333">
        <v>1</v>
      </c>
      <c r="BL2333">
        <v>1</v>
      </c>
      <c r="BM2333">
        <v>0</v>
      </c>
      <c r="BP2333">
        <v>0</v>
      </c>
      <c r="BQ2333">
        <v>0</v>
      </c>
      <c r="BX2333" t="str">
        <f>"14:29:13.711"</f>
        <v>14:29:13.711</v>
      </c>
      <c r="BY2333" t="str">
        <f>"710173226"</f>
        <v>710173226</v>
      </c>
      <c r="CL2333">
        <v>0</v>
      </c>
      <c r="CM2333">
        <v>2</v>
      </c>
      <c r="CN2333">
        <v>0</v>
      </c>
      <c r="CO2333">
        <v>2</v>
      </c>
      <c r="CP2333">
        <v>0</v>
      </c>
      <c r="CQ2333">
        <v>7</v>
      </c>
      <c r="CR2333" t="s">
        <v>116</v>
      </c>
      <c r="CS2333">
        <v>39</v>
      </c>
      <c r="CT2333">
        <v>3</v>
      </c>
      <c r="CU2333" t="s">
        <v>2259</v>
      </c>
      <c r="CV2333" t="s">
        <v>2260</v>
      </c>
      <c r="CY2333">
        <v>11028414</v>
      </c>
      <c r="CZ2333" t="s">
        <v>119</v>
      </c>
    </row>
    <row r="2334" spans="1:104" x14ac:dyDescent="0.25">
      <c r="A2334" t="str">
        <f>"14:29:14.813"</f>
        <v>14:29:14.813</v>
      </c>
      <c r="B2334" t="s">
        <v>108</v>
      </c>
      <c r="C2334" t="str">
        <f t="shared" si="109"/>
        <v>ffdfd3c0</v>
      </c>
      <c r="D2334" t="s">
        <v>109</v>
      </c>
      <c r="E2334">
        <v>4</v>
      </c>
      <c r="F2334">
        <v>1004</v>
      </c>
      <c r="G2334" t="s">
        <v>110</v>
      </c>
      <c r="J2334" t="s">
        <v>111</v>
      </c>
      <c r="K2334">
        <v>0</v>
      </c>
      <c r="L2334">
        <v>3</v>
      </c>
      <c r="M2334">
        <v>0</v>
      </c>
      <c r="N2334">
        <v>2</v>
      </c>
      <c r="O2334">
        <v>1</v>
      </c>
      <c r="P2334">
        <v>0</v>
      </c>
      <c r="Q2334">
        <v>0</v>
      </c>
      <c r="R2334" t="s">
        <v>112</v>
      </c>
      <c r="S2334" t="str">
        <f>"14:29:14.664"</f>
        <v>14:29:14.664</v>
      </c>
      <c r="T2334" t="str">
        <f>"14:29:14.164"</f>
        <v>14:29:14.164</v>
      </c>
      <c r="U2334" t="str">
        <f t="shared" si="108"/>
        <v>ad5732</v>
      </c>
      <c r="V2334">
        <v>0</v>
      </c>
      <c r="W2334">
        <v>0</v>
      </c>
      <c r="X2334">
        <v>1</v>
      </c>
      <c r="Z2334">
        <v>0</v>
      </c>
      <c r="AA2334">
        <v>9</v>
      </c>
      <c r="AB2334">
        <v>3</v>
      </c>
      <c r="AC2334">
        <v>0</v>
      </c>
      <c r="AD2334">
        <v>10</v>
      </c>
      <c r="AE2334">
        <v>0</v>
      </c>
      <c r="AF2334">
        <v>3</v>
      </c>
      <c r="AG2334">
        <v>2</v>
      </c>
      <c r="AH2334">
        <v>0</v>
      </c>
      <c r="AI2334" t="s">
        <v>4777</v>
      </c>
      <c r="AJ2334">
        <v>39.988410000000002</v>
      </c>
      <c r="AK2334" t="s">
        <v>4778</v>
      </c>
      <c r="AL2334">
        <v>-75.570573999999993</v>
      </c>
      <c r="AM2334">
        <v>100</v>
      </c>
      <c r="AN2334">
        <v>4700</v>
      </c>
      <c r="AO2334" t="s">
        <v>115</v>
      </c>
      <c r="AP2334">
        <v>131</v>
      </c>
      <c r="AQ2334">
        <v>124</v>
      </c>
      <c r="AR2334">
        <v>0</v>
      </c>
      <c r="AZ2334">
        <v>3614</v>
      </c>
      <c r="BA2334">
        <v>1</v>
      </c>
      <c r="BB2334" t="str">
        <f t="shared" si="110"/>
        <v xml:space="preserve">N959MJ  </v>
      </c>
      <c r="BC2334">
        <v>1</v>
      </c>
      <c r="BE2334">
        <v>0</v>
      </c>
      <c r="BF2334">
        <v>0</v>
      </c>
      <c r="BG2334">
        <v>0</v>
      </c>
      <c r="BH2334">
        <v>4900</v>
      </c>
      <c r="BI2334">
        <v>200</v>
      </c>
      <c r="BJ2334">
        <v>1</v>
      </c>
      <c r="BK2334">
        <v>1</v>
      </c>
      <c r="BL2334">
        <v>1</v>
      </c>
      <c r="BM2334">
        <v>0</v>
      </c>
      <c r="BP2334">
        <v>0</v>
      </c>
      <c r="BQ2334">
        <v>0</v>
      </c>
      <c r="BX2334" t="str">
        <f>"14:29:14.664"</f>
        <v>14:29:14.664</v>
      </c>
      <c r="BY2334" t="str">
        <f>"667015365"</f>
        <v>667015365</v>
      </c>
      <c r="CL2334">
        <v>0</v>
      </c>
      <c r="CM2334">
        <v>2</v>
      </c>
      <c r="CN2334">
        <v>0</v>
      </c>
      <c r="CO2334">
        <v>2</v>
      </c>
      <c r="CP2334">
        <v>0</v>
      </c>
      <c r="CQ2334">
        <v>0</v>
      </c>
      <c r="CR2334" t="s">
        <v>116</v>
      </c>
      <c r="CS2334">
        <v>39</v>
      </c>
      <c r="CT2334">
        <v>0</v>
      </c>
      <c r="CU2334" t="s">
        <v>2259</v>
      </c>
      <c r="CV2334" t="s">
        <v>2260</v>
      </c>
      <c r="CY2334">
        <v>1676091</v>
      </c>
      <c r="CZ2334" t="s">
        <v>119</v>
      </c>
    </row>
    <row r="2335" spans="1:104" x14ac:dyDescent="0.25">
      <c r="A2335" t="str">
        <f>"14:29:15.773"</f>
        <v>14:29:15.773</v>
      </c>
      <c r="B2335" t="s">
        <v>108</v>
      </c>
      <c r="C2335" t="str">
        <f t="shared" si="109"/>
        <v>ffdfd3c0</v>
      </c>
      <c r="D2335" t="s">
        <v>109</v>
      </c>
      <c r="E2335">
        <v>4</v>
      </c>
      <c r="F2335">
        <v>1004</v>
      </c>
      <c r="G2335" t="s">
        <v>110</v>
      </c>
      <c r="J2335" t="s">
        <v>111</v>
      </c>
      <c r="K2335">
        <v>0</v>
      </c>
      <c r="L2335">
        <v>3</v>
      </c>
      <c r="M2335">
        <v>0</v>
      </c>
      <c r="N2335">
        <v>2</v>
      </c>
      <c r="O2335">
        <v>1</v>
      </c>
      <c r="P2335">
        <v>0</v>
      </c>
      <c r="Q2335">
        <v>0</v>
      </c>
      <c r="R2335" t="s">
        <v>112</v>
      </c>
      <c r="S2335" t="str">
        <f>"14:29:15.586"</f>
        <v>14:29:15.586</v>
      </c>
      <c r="T2335" t="str">
        <f>"14:29:15.086"</f>
        <v>14:29:15.086</v>
      </c>
      <c r="U2335" t="str">
        <f t="shared" si="108"/>
        <v>ad5732</v>
      </c>
      <c r="V2335">
        <v>0</v>
      </c>
      <c r="W2335">
        <v>0</v>
      </c>
      <c r="X2335">
        <v>1</v>
      </c>
      <c r="Z2335">
        <v>0</v>
      </c>
      <c r="AA2335">
        <v>9</v>
      </c>
      <c r="AB2335">
        <v>3</v>
      </c>
      <c r="AC2335">
        <v>0</v>
      </c>
      <c r="AD2335">
        <v>10</v>
      </c>
      <c r="AE2335">
        <v>0</v>
      </c>
      <c r="AF2335">
        <v>3</v>
      </c>
      <c r="AG2335">
        <v>2</v>
      </c>
      <c r="AH2335">
        <v>0</v>
      </c>
      <c r="AI2335" t="s">
        <v>4779</v>
      </c>
      <c r="AJ2335">
        <v>39.988903999999998</v>
      </c>
      <c r="AK2335" t="s">
        <v>4780</v>
      </c>
      <c r="AL2335">
        <v>-75.569886999999994</v>
      </c>
      <c r="AM2335">
        <v>100</v>
      </c>
      <c r="AN2335">
        <v>4700</v>
      </c>
      <c r="AO2335" t="s">
        <v>115</v>
      </c>
      <c r="AP2335">
        <v>131</v>
      </c>
      <c r="AQ2335">
        <v>124</v>
      </c>
      <c r="AR2335">
        <v>0</v>
      </c>
      <c r="AZ2335">
        <v>3614</v>
      </c>
      <c r="BA2335">
        <v>1</v>
      </c>
      <c r="BB2335" t="str">
        <f t="shared" si="110"/>
        <v xml:space="preserve">N959MJ  </v>
      </c>
      <c r="BC2335">
        <v>1</v>
      </c>
      <c r="BE2335">
        <v>0</v>
      </c>
      <c r="BF2335">
        <v>0</v>
      </c>
      <c r="BG2335">
        <v>0</v>
      </c>
      <c r="BH2335">
        <v>4900</v>
      </c>
      <c r="BI2335">
        <v>200</v>
      </c>
      <c r="BJ2335">
        <v>1</v>
      </c>
      <c r="BK2335">
        <v>1</v>
      </c>
      <c r="BL2335">
        <v>1</v>
      </c>
      <c r="BM2335">
        <v>0</v>
      </c>
      <c r="BP2335">
        <v>0</v>
      </c>
      <c r="BQ2335">
        <v>0</v>
      </c>
      <c r="BX2335" t="str">
        <f>"14:29:15.586"</f>
        <v>14:29:15.586</v>
      </c>
      <c r="BY2335" t="str">
        <f>"589450723"</f>
        <v>589450723</v>
      </c>
      <c r="CL2335">
        <v>0</v>
      </c>
      <c r="CM2335">
        <v>2</v>
      </c>
      <c r="CN2335">
        <v>0</v>
      </c>
      <c r="CO2335">
        <v>2</v>
      </c>
      <c r="CP2335">
        <v>0</v>
      </c>
      <c r="CQ2335">
        <v>7</v>
      </c>
      <c r="CR2335" t="s">
        <v>116</v>
      </c>
      <c r="CS2335">
        <v>39</v>
      </c>
      <c r="CT2335">
        <v>3</v>
      </c>
      <c r="CU2335" t="s">
        <v>2259</v>
      </c>
      <c r="CV2335" t="s">
        <v>2260</v>
      </c>
      <c r="CY2335">
        <v>11031615</v>
      </c>
      <c r="CZ2335" t="s">
        <v>119</v>
      </c>
    </row>
    <row r="2336" spans="1:104" x14ac:dyDescent="0.25">
      <c r="A2336" t="str">
        <f>"14:29:16.734"</f>
        <v>14:29:16.734</v>
      </c>
      <c r="B2336" t="s">
        <v>108</v>
      </c>
      <c r="C2336" t="str">
        <f t="shared" si="109"/>
        <v>ffdfd3c0</v>
      </c>
      <c r="D2336" t="s">
        <v>109</v>
      </c>
      <c r="E2336">
        <v>4</v>
      </c>
      <c r="F2336">
        <v>1004</v>
      </c>
      <c r="G2336" t="s">
        <v>110</v>
      </c>
      <c r="J2336" t="s">
        <v>111</v>
      </c>
      <c r="K2336">
        <v>0</v>
      </c>
      <c r="L2336">
        <v>3</v>
      </c>
      <c r="M2336">
        <v>0</v>
      </c>
      <c r="N2336">
        <v>2</v>
      </c>
      <c r="O2336">
        <v>1</v>
      </c>
      <c r="P2336">
        <v>0</v>
      </c>
      <c r="Q2336">
        <v>0</v>
      </c>
      <c r="R2336" t="s">
        <v>112</v>
      </c>
      <c r="S2336" t="str">
        <f>"14:29:16.570"</f>
        <v>14:29:16.570</v>
      </c>
      <c r="T2336" t="str">
        <f>"14:29:16.070"</f>
        <v>14:29:16.070</v>
      </c>
      <c r="U2336" t="str">
        <f t="shared" si="108"/>
        <v>ad5732</v>
      </c>
      <c r="V2336">
        <v>0</v>
      </c>
      <c r="W2336">
        <v>0</v>
      </c>
      <c r="X2336">
        <v>1</v>
      </c>
      <c r="Z2336">
        <v>0</v>
      </c>
      <c r="AA2336">
        <v>9</v>
      </c>
      <c r="AB2336">
        <v>3</v>
      </c>
      <c r="AC2336">
        <v>0</v>
      </c>
      <c r="AD2336">
        <v>10</v>
      </c>
      <c r="AE2336">
        <v>0</v>
      </c>
      <c r="AF2336">
        <v>3</v>
      </c>
      <c r="AG2336">
        <v>2</v>
      </c>
      <c r="AH2336">
        <v>0</v>
      </c>
      <c r="AI2336" t="s">
        <v>4781</v>
      </c>
      <c r="AJ2336">
        <v>39.989505000000001</v>
      </c>
      <c r="AK2336" t="s">
        <v>4782</v>
      </c>
      <c r="AL2336">
        <v>-75.569092999999995</v>
      </c>
      <c r="AM2336">
        <v>100</v>
      </c>
      <c r="AN2336">
        <v>4700</v>
      </c>
      <c r="AO2336" t="s">
        <v>115</v>
      </c>
      <c r="AP2336">
        <v>131</v>
      </c>
      <c r="AQ2336">
        <v>124</v>
      </c>
      <c r="AR2336">
        <v>0</v>
      </c>
      <c r="AZ2336">
        <v>3614</v>
      </c>
      <c r="BA2336">
        <v>1</v>
      </c>
      <c r="BB2336" t="str">
        <f t="shared" si="110"/>
        <v xml:space="preserve">N959MJ  </v>
      </c>
      <c r="BC2336">
        <v>1</v>
      </c>
      <c r="BE2336">
        <v>0</v>
      </c>
      <c r="BF2336">
        <v>0</v>
      </c>
      <c r="BG2336">
        <v>0</v>
      </c>
      <c r="BH2336">
        <v>4900</v>
      </c>
      <c r="BI2336">
        <v>200</v>
      </c>
      <c r="BJ2336">
        <v>1</v>
      </c>
      <c r="BK2336">
        <v>1</v>
      </c>
      <c r="BL2336">
        <v>1</v>
      </c>
      <c r="BM2336">
        <v>0</v>
      </c>
      <c r="BP2336">
        <v>0</v>
      </c>
      <c r="BQ2336">
        <v>0</v>
      </c>
      <c r="BX2336" t="str">
        <f>"14:29:16.578"</f>
        <v>14:29:16.578</v>
      </c>
      <c r="BY2336" t="str">
        <f>"575784674"</f>
        <v>575784674</v>
      </c>
      <c r="CL2336">
        <v>0</v>
      </c>
      <c r="CM2336">
        <v>2</v>
      </c>
      <c r="CN2336">
        <v>0</v>
      </c>
      <c r="CO2336">
        <v>2</v>
      </c>
      <c r="CP2336">
        <v>0</v>
      </c>
      <c r="CQ2336">
        <v>7</v>
      </c>
      <c r="CR2336" t="s">
        <v>116</v>
      </c>
      <c r="CS2336">
        <v>39</v>
      </c>
      <c r="CT2336">
        <v>0</v>
      </c>
      <c r="CU2336" t="s">
        <v>2259</v>
      </c>
      <c r="CV2336" t="s">
        <v>2260</v>
      </c>
      <c r="CY2336">
        <v>1679270</v>
      </c>
      <c r="CZ2336" t="s">
        <v>119</v>
      </c>
    </row>
    <row r="2337" spans="1:104" x14ac:dyDescent="0.25">
      <c r="A2337" t="str">
        <f>"14:29:17.742"</f>
        <v>14:29:17.742</v>
      </c>
      <c r="B2337" t="s">
        <v>108</v>
      </c>
      <c r="C2337" t="str">
        <f t="shared" si="109"/>
        <v>ffdfd3c0</v>
      </c>
      <c r="D2337" t="s">
        <v>109</v>
      </c>
      <c r="E2337">
        <v>4</v>
      </c>
      <c r="F2337">
        <v>1004</v>
      </c>
      <c r="G2337" t="s">
        <v>110</v>
      </c>
      <c r="J2337" t="s">
        <v>111</v>
      </c>
      <c r="K2337">
        <v>0</v>
      </c>
      <c r="L2337">
        <v>3</v>
      </c>
      <c r="M2337">
        <v>0</v>
      </c>
      <c r="N2337">
        <v>2</v>
      </c>
      <c r="O2337">
        <v>1</v>
      </c>
      <c r="P2337">
        <v>0</v>
      </c>
      <c r="Q2337">
        <v>0</v>
      </c>
      <c r="R2337" t="s">
        <v>112</v>
      </c>
      <c r="S2337" t="str">
        <f>"14:29:17.547"</f>
        <v>14:29:17.547</v>
      </c>
      <c r="T2337" t="str">
        <f>"14:29:17.047"</f>
        <v>14:29:17.047</v>
      </c>
      <c r="U2337" t="str">
        <f t="shared" si="108"/>
        <v>ad5732</v>
      </c>
      <c r="V2337">
        <v>0</v>
      </c>
      <c r="W2337">
        <v>0</v>
      </c>
      <c r="X2337">
        <v>1</v>
      </c>
      <c r="Z2337">
        <v>0</v>
      </c>
      <c r="AA2337">
        <v>9</v>
      </c>
      <c r="AB2337">
        <v>3</v>
      </c>
      <c r="AC2337">
        <v>0</v>
      </c>
      <c r="AD2337">
        <v>10</v>
      </c>
      <c r="AE2337">
        <v>0</v>
      </c>
      <c r="AF2337">
        <v>3</v>
      </c>
      <c r="AG2337">
        <v>2</v>
      </c>
      <c r="AH2337">
        <v>0</v>
      </c>
      <c r="AI2337" t="s">
        <v>4783</v>
      </c>
      <c r="AJ2337">
        <v>39.990105999999997</v>
      </c>
      <c r="AK2337" t="s">
        <v>4784</v>
      </c>
      <c r="AL2337">
        <v>-75.568298999999996</v>
      </c>
      <c r="AM2337">
        <v>100</v>
      </c>
      <c r="AN2337">
        <v>4700</v>
      </c>
      <c r="AO2337" t="s">
        <v>115</v>
      </c>
      <c r="AP2337">
        <v>131</v>
      </c>
      <c r="AQ2337">
        <v>124</v>
      </c>
      <c r="AR2337">
        <v>-64</v>
      </c>
      <c r="AZ2337">
        <v>3614</v>
      </c>
      <c r="BA2337">
        <v>1</v>
      </c>
      <c r="BB2337" t="str">
        <f t="shared" si="110"/>
        <v xml:space="preserve">N959MJ  </v>
      </c>
      <c r="BC2337">
        <v>1</v>
      </c>
      <c r="BE2337">
        <v>0</v>
      </c>
      <c r="BF2337">
        <v>0</v>
      </c>
      <c r="BG2337">
        <v>0</v>
      </c>
      <c r="BH2337">
        <v>4900</v>
      </c>
      <c r="BI2337">
        <v>200</v>
      </c>
      <c r="BJ2337">
        <v>1</v>
      </c>
      <c r="BK2337">
        <v>1</v>
      </c>
      <c r="BL2337">
        <v>1</v>
      </c>
      <c r="BM2337">
        <v>0</v>
      </c>
      <c r="BP2337">
        <v>0</v>
      </c>
      <c r="BQ2337">
        <v>0</v>
      </c>
      <c r="BX2337" t="str">
        <f>"14:29:17.547"</f>
        <v>14:29:17.547</v>
      </c>
      <c r="BY2337" t="str">
        <f>"550649731"</f>
        <v>550649731</v>
      </c>
      <c r="CL2337">
        <v>0</v>
      </c>
      <c r="CM2337">
        <v>2</v>
      </c>
      <c r="CN2337">
        <v>0</v>
      </c>
      <c r="CO2337">
        <v>2</v>
      </c>
      <c r="CP2337">
        <v>0</v>
      </c>
      <c r="CQ2337">
        <v>7</v>
      </c>
      <c r="CR2337" t="s">
        <v>116</v>
      </c>
      <c r="CS2337">
        <v>39</v>
      </c>
      <c r="CT2337">
        <v>3</v>
      </c>
      <c r="CU2337" t="s">
        <v>2259</v>
      </c>
      <c r="CV2337" t="s">
        <v>2260</v>
      </c>
      <c r="CY2337">
        <v>11035150</v>
      </c>
      <c r="CZ2337" t="s">
        <v>119</v>
      </c>
    </row>
    <row r="2338" spans="1:104" x14ac:dyDescent="0.25">
      <c r="A2338" t="str">
        <f>"14:29:18.750"</f>
        <v>14:29:18.750</v>
      </c>
      <c r="B2338" t="s">
        <v>108</v>
      </c>
      <c r="C2338" t="str">
        <f t="shared" si="109"/>
        <v>ffdfd3c0</v>
      </c>
      <c r="D2338" t="s">
        <v>109</v>
      </c>
      <c r="E2338">
        <v>4</v>
      </c>
      <c r="F2338">
        <v>1004</v>
      </c>
      <c r="G2338" t="s">
        <v>110</v>
      </c>
      <c r="J2338" t="s">
        <v>111</v>
      </c>
      <c r="K2338">
        <v>0</v>
      </c>
      <c r="L2338">
        <v>3</v>
      </c>
      <c r="M2338">
        <v>0</v>
      </c>
      <c r="N2338">
        <v>2</v>
      </c>
      <c r="O2338">
        <v>1</v>
      </c>
      <c r="P2338">
        <v>0</v>
      </c>
      <c r="Q2338">
        <v>0</v>
      </c>
      <c r="R2338" t="s">
        <v>112</v>
      </c>
      <c r="S2338" t="str">
        <f>"14:29:18.555"</f>
        <v>14:29:18.555</v>
      </c>
      <c r="T2338" t="str">
        <f>"14:29:18.156"</f>
        <v>14:29:18.156</v>
      </c>
      <c r="U2338" t="str">
        <f t="shared" si="108"/>
        <v>ad5732</v>
      </c>
      <c r="V2338">
        <v>0</v>
      </c>
      <c r="W2338">
        <v>0</v>
      </c>
      <c r="X2338">
        <v>1</v>
      </c>
      <c r="Z2338">
        <v>0</v>
      </c>
      <c r="AA2338">
        <v>9</v>
      </c>
      <c r="AB2338">
        <v>3</v>
      </c>
      <c r="AC2338">
        <v>0</v>
      </c>
      <c r="AD2338">
        <v>10</v>
      </c>
      <c r="AE2338">
        <v>0</v>
      </c>
      <c r="AF2338">
        <v>3</v>
      </c>
      <c r="AG2338">
        <v>2</v>
      </c>
      <c r="AH2338">
        <v>0</v>
      </c>
      <c r="AI2338" t="s">
        <v>4785</v>
      </c>
      <c r="AJ2338">
        <v>39.990642000000001</v>
      </c>
      <c r="AK2338" t="s">
        <v>4786</v>
      </c>
      <c r="AL2338">
        <v>-75.567504999999997</v>
      </c>
      <c r="AM2338">
        <v>100</v>
      </c>
      <c r="AN2338">
        <v>4700</v>
      </c>
      <c r="AO2338" t="s">
        <v>115</v>
      </c>
      <c r="AP2338">
        <v>131</v>
      </c>
      <c r="AQ2338">
        <v>124</v>
      </c>
      <c r="AR2338">
        <v>-64</v>
      </c>
      <c r="AZ2338">
        <v>3614</v>
      </c>
      <c r="BA2338">
        <v>1</v>
      </c>
      <c r="BB2338" t="str">
        <f t="shared" si="110"/>
        <v xml:space="preserve">N959MJ  </v>
      </c>
      <c r="BC2338">
        <v>1</v>
      </c>
      <c r="BE2338">
        <v>0</v>
      </c>
      <c r="BF2338">
        <v>0</v>
      </c>
      <c r="BG2338">
        <v>0</v>
      </c>
      <c r="BH2338">
        <v>4900</v>
      </c>
      <c r="BI2338">
        <v>200</v>
      </c>
      <c r="BJ2338">
        <v>1</v>
      </c>
      <c r="BK2338">
        <v>1</v>
      </c>
      <c r="BL2338">
        <v>1</v>
      </c>
      <c r="BM2338">
        <v>0</v>
      </c>
      <c r="BP2338">
        <v>0</v>
      </c>
      <c r="BQ2338">
        <v>0</v>
      </c>
      <c r="BX2338" t="str">
        <f>"14:29:18.555"</f>
        <v>14:29:18.555</v>
      </c>
      <c r="BY2338" t="str">
        <f>"558283310"</f>
        <v>558283310</v>
      </c>
      <c r="CL2338">
        <v>0</v>
      </c>
      <c r="CM2338">
        <v>2</v>
      </c>
      <c r="CN2338">
        <v>0</v>
      </c>
      <c r="CO2338">
        <v>2</v>
      </c>
      <c r="CP2338">
        <v>0</v>
      </c>
      <c r="CQ2338">
        <v>7</v>
      </c>
      <c r="CR2338" t="s">
        <v>116</v>
      </c>
      <c r="CS2338">
        <v>39</v>
      </c>
      <c r="CT2338">
        <v>3</v>
      </c>
      <c r="CU2338" t="s">
        <v>2259</v>
      </c>
      <c r="CV2338" t="s">
        <v>2260</v>
      </c>
      <c r="CY2338">
        <v>11037009</v>
      </c>
      <c r="CZ2338" t="s">
        <v>119</v>
      </c>
    </row>
    <row r="2339" spans="1:104" x14ac:dyDescent="0.25">
      <c r="A2339" t="str">
        <f>"14:29:19.711"</f>
        <v>14:29:19.711</v>
      </c>
      <c r="B2339" t="s">
        <v>108</v>
      </c>
      <c r="C2339" t="str">
        <f t="shared" si="109"/>
        <v>ffdfd3c0</v>
      </c>
      <c r="D2339" t="s">
        <v>109</v>
      </c>
      <c r="E2339">
        <v>4</v>
      </c>
      <c r="F2339">
        <v>1004</v>
      </c>
      <c r="G2339" t="s">
        <v>110</v>
      </c>
      <c r="J2339" t="s">
        <v>111</v>
      </c>
      <c r="K2339">
        <v>0</v>
      </c>
      <c r="L2339">
        <v>3</v>
      </c>
      <c r="M2339">
        <v>0</v>
      </c>
      <c r="N2339">
        <v>2</v>
      </c>
      <c r="O2339">
        <v>1</v>
      </c>
      <c r="P2339">
        <v>0</v>
      </c>
      <c r="Q2339">
        <v>0</v>
      </c>
      <c r="R2339" t="s">
        <v>112</v>
      </c>
      <c r="S2339" t="str">
        <f>"14:29:19.516"</f>
        <v>14:29:19.516</v>
      </c>
      <c r="T2339" t="str">
        <f>"14:29:19.016"</f>
        <v>14:29:19.016</v>
      </c>
      <c r="U2339" t="str">
        <f t="shared" si="108"/>
        <v>ad5732</v>
      </c>
      <c r="V2339">
        <v>0</v>
      </c>
      <c r="W2339">
        <v>0</v>
      </c>
      <c r="X2339">
        <v>1</v>
      </c>
      <c r="Z2339">
        <v>0</v>
      </c>
      <c r="AA2339">
        <v>9</v>
      </c>
      <c r="AB2339">
        <v>3</v>
      </c>
      <c r="AC2339">
        <v>0</v>
      </c>
      <c r="AD2339">
        <v>10</v>
      </c>
      <c r="AE2339">
        <v>0</v>
      </c>
      <c r="AF2339">
        <v>3</v>
      </c>
      <c r="AG2339">
        <v>2</v>
      </c>
      <c r="AH2339">
        <v>0</v>
      </c>
      <c r="AI2339" t="s">
        <v>4787</v>
      </c>
      <c r="AJ2339">
        <v>39.991242999999997</v>
      </c>
      <c r="AK2339" t="s">
        <v>4788</v>
      </c>
      <c r="AL2339">
        <v>-75.566710999999998</v>
      </c>
      <c r="AM2339">
        <v>100</v>
      </c>
      <c r="AN2339">
        <v>4700</v>
      </c>
      <c r="AO2339" t="s">
        <v>115</v>
      </c>
      <c r="AP2339">
        <v>132</v>
      </c>
      <c r="AQ2339">
        <v>124</v>
      </c>
      <c r="AR2339">
        <v>0</v>
      </c>
      <c r="AZ2339">
        <v>3614</v>
      </c>
      <c r="BA2339">
        <v>1</v>
      </c>
      <c r="BB2339" t="str">
        <f t="shared" si="110"/>
        <v xml:space="preserve">N959MJ  </v>
      </c>
      <c r="BC2339">
        <v>1</v>
      </c>
      <c r="BE2339">
        <v>0</v>
      </c>
      <c r="BF2339">
        <v>0</v>
      </c>
      <c r="BG2339">
        <v>0</v>
      </c>
      <c r="BH2339">
        <v>4875</v>
      </c>
      <c r="BI2339">
        <v>175</v>
      </c>
      <c r="BJ2339">
        <v>1</v>
      </c>
      <c r="BK2339">
        <v>1</v>
      </c>
      <c r="BL2339">
        <v>1</v>
      </c>
      <c r="BM2339">
        <v>0</v>
      </c>
      <c r="BP2339">
        <v>0</v>
      </c>
      <c r="BQ2339">
        <v>0</v>
      </c>
      <c r="BX2339" t="str">
        <f>"14:29:19.523"</f>
        <v>14:29:19.523</v>
      </c>
      <c r="BY2339" t="str">
        <f>"520040941"</f>
        <v>520040941</v>
      </c>
      <c r="CL2339">
        <v>0</v>
      </c>
      <c r="CM2339">
        <v>2</v>
      </c>
      <c r="CN2339">
        <v>0</v>
      </c>
      <c r="CO2339">
        <v>2</v>
      </c>
      <c r="CP2339">
        <v>0</v>
      </c>
      <c r="CQ2339">
        <v>7</v>
      </c>
      <c r="CR2339" t="s">
        <v>116</v>
      </c>
      <c r="CS2339">
        <v>39</v>
      </c>
      <c r="CT2339">
        <v>3</v>
      </c>
      <c r="CU2339" t="s">
        <v>2259</v>
      </c>
      <c r="CV2339" t="s">
        <v>2260</v>
      </c>
      <c r="CY2339">
        <v>11038623</v>
      </c>
      <c r="CZ2339" t="s">
        <v>119</v>
      </c>
    </row>
    <row r="2340" spans="1:104" x14ac:dyDescent="0.25">
      <c r="A2340" t="str">
        <f>"14:29:20.773"</f>
        <v>14:29:20.773</v>
      </c>
      <c r="B2340" t="s">
        <v>108</v>
      </c>
      <c r="C2340" t="str">
        <f t="shared" si="109"/>
        <v>ffdfd3c0</v>
      </c>
      <c r="D2340" t="s">
        <v>109</v>
      </c>
      <c r="E2340">
        <v>4</v>
      </c>
      <c r="F2340">
        <v>1004</v>
      </c>
      <c r="G2340" t="s">
        <v>110</v>
      </c>
      <c r="J2340" t="s">
        <v>111</v>
      </c>
      <c r="K2340">
        <v>0</v>
      </c>
      <c r="L2340">
        <v>3</v>
      </c>
      <c r="M2340">
        <v>0</v>
      </c>
      <c r="N2340">
        <v>2</v>
      </c>
      <c r="O2340">
        <v>1</v>
      </c>
      <c r="P2340">
        <v>0</v>
      </c>
      <c r="Q2340">
        <v>0</v>
      </c>
      <c r="R2340" t="s">
        <v>112</v>
      </c>
      <c r="S2340" t="str">
        <f>"14:29:20.609"</f>
        <v>14:29:20.609</v>
      </c>
      <c r="T2340" t="str">
        <f>"14:29:20.109"</f>
        <v>14:29:20.109</v>
      </c>
      <c r="U2340" t="str">
        <f t="shared" si="108"/>
        <v>ad5732</v>
      </c>
      <c r="V2340">
        <v>0</v>
      </c>
      <c r="W2340">
        <v>0</v>
      </c>
      <c r="X2340">
        <v>1</v>
      </c>
      <c r="Z2340">
        <v>0</v>
      </c>
      <c r="AA2340">
        <v>9</v>
      </c>
      <c r="AB2340">
        <v>3</v>
      </c>
      <c r="AC2340">
        <v>0</v>
      </c>
      <c r="AD2340">
        <v>10</v>
      </c>
      <c r="AE2340">
        <v>0</v>
      </c>
      <c r="AF2340">
        <v>3</v>
      </c>
      <c r="AG2340">
        <v>2</v>
      </c>
      <c r="AH2340">
        <v>0</v>
      </c>
      <c r="AI2340" t="s">
        <v>4789</v>
      </c>
      <c r="AJ2340">
        <v>39.991864999999997</v>
      </c>
      <c r="AK2340" t="s">
        <v>4790</v>
      </c>
      <c r="AL2340">
        <v>-75.565832</v>
      </c>
      <c r="AM2340">
        <v>100</v>
      </c>
      <c r="AN2340">
        <v>4700</v>
      </c>
      <c r="AO2340" t="s">
        <v>115</v>
      </c>
      <c r="AP2340">
        <v>132</v>
      </c>
      <c r="AQ2340">
        <v>124</v>
      </c>
      <c r="AR2340">
        <v>64</v>
      </c>
      <c r="AZ2340">
        <v>3614</v>
      </c>
      <c r="BA2340">
        <v>1</v>
      </c>
      <c r="BB2340" t="str">
        <f t="shared" si="110"/>
        <v xml:space="preserve">N959MJ  </v>
      </c>
      <c r="BC2340">
        <v>1</v>
      </c>
      <c r="BE2340">
        <v>0</v>
      </c>
      <c r="BF2340">
        <v>0</v>
      </c>
      <c r="BG2340">
        <v>0</v>
      </c>
      <c r="BH2340">
        <v>4900</v>
      </c>
      <c r="BI2340">
        <v>200</v>
      </c>
      <c r="BJ2340">
        <v>1</v>
      </c>
      <c r="BK2340">
        <v>1</v>
      </c>
      <c r="BL2340">
        <v>1</v>
      </c>
      <c r="BM2340">
        <v>0</v>
      </c>
      <c r="BP2340">
        <v>0</v>
      </c>
      <c r="BQ2340">
        <v>0</v>
      </c>
      <c r="BX2340" t="str">
        <f>"14:29:20.617"</f>
        <v>14:29:20.617</v>
      </c>
      <c r="BY2340" t="str">
        <f>"614511378"</f>
        <v>614511378</v>
      </c>
      <c r="CL2340">
        <v>0</v>
      </c>
      <c r="CM2340">
        <v>2</v>
      </c>
      <c r="CN2340">
        <v>0</v>
      </c>
      <c r="CO2340">
        <v>2</v>
      </c>
      <c r="CP2340">
        <v>0</v>
      </c>
      <c r="CQ2340">
        <v>7</v>
      </c>
      <c r="CR2340" t="s">
        <v>116</v>
      </c>
      <c r="CS2340">
        <v>39</v>
      </c>
      <c r="CT2340">
        <v>3</v>
      </c>
      <c r="CU2340" t="s">
        <v>2259</v>
      </c>
      <c r="CV2340" t="s">
        <v>2260</v>
      </c>
      <c r="CY2340">
        <v>11040585</v>
      </c>
      <c r="CZ2340" t="s">
        <v>119</v>
      </c>
    </row>
    <row r="2341" spans="1:104" x14ac:dyDescent="0.25">
      <c r="A2341" t="str">
        <f>"14:29:21.883"</f>
        <v>14:29:21.883</v>
      </c>
      <c r="B2341" t="s">
        <v>108</v>
      </c>
      <c r="C2341" t="str">
        <f t="shared" si="109"/>
        <v>ffdfd3c0</v>
      </c>
      <c r="D2341" t="s">
        <v>109</v>
      </c>
      <c r="E2341">
        <v>4</v>
      </c>
      <c r="F2341">
        <v>1004</v>
      </c>
      <c r="G2341" t="s">
        <v>110</v>
      </c>
      <c r="J2341" t="s">
        <v>111</v>
      </c>
      <c r="K2341">
        <v>0</v>
      </c>
      <c r="L2341">
        <v>3</v>
      </c>
      <c r="M2341">
        <v>0</v>
      </c>
      <c r="N2341">
        <v>2</v>
      </c>
      <c r="O2341">
        <v>1</v>
      </c>
      <c r="P2341">
        <v>0</v>
      </c>
      <c r="Q2341">
        <v>0</v>
      </c>
      <c r="R2341" t="s">
        <v>112</v>
      </c>
      <c r="S2341" t="str">
        <f>"14:29:21.719"</f>
        <v>14:29:21.719</v>
      </c>
      <c r="T2341" t="str">
        <f>"14:29:21.219"</f>
        <v>14:29:21.219</v>
      </c>
      <c r="U2341" t="str">
        <f t="shared" si="108"/>
        <v>ad5732</v>
      </c>
      <c r="V2341">
        <v>0</v>
      </c>
      <c r="W2341">
        <v>0</v>
      </c>
      <c r="X2341">
        <v>1</v>
      </c>
      <c r="Z2341">
        <v>0</v>
      </c>
      <c r="AA2341">
        <v>9</v>
      </c>
      <c r="AB2341">
        <v>3</v>
      </c>
      <c r="AC2341">
        <v>0</v>
      </c>
      <c r="AD2341">
        <v>10</v>
      </c>
      <c r="AE2341">
        <v>0</v>
      </c>
      <c r="AF2341">
        <v>3</v>
      </c>
      <c r="AG2341">
        <v>2</v>
      </c>
      <c r="AH2341">
        <v>0</v>
      </c>
      <c r="AI2341" t="s">
        <v>4791</v>
      </c>
      <c r="AJ2341">
        <v>39.992486999999997</v>
      </c>
      <c r="AK2341" t="s">
        <v>4792</v>
      </c>
      <c r="AL2341">
        <v>-75.564994999999996</v>
      </c>
      <c r="AM2341">
        <v>100</v>
      </c>
      <c r="AN2341">
        <v>4700</v>
      </c>
      <c r="AO2341" t="s">
        <v>115</v>
      </c>
      <c r="AP2341">
        <v>132</v>
      </c>
      <c r="AQ2341">
        <v>124</v>
      </c>
      <c r="AR2341">
        <v>64</v>
      </c>
      <c r="AZ2341">
        <v>3614</v>
      </c>
      <c r="BA2341">
        <v>1</v>
      </c>
      <c r="BB2341" t="str">
        <f t="shared" si="110"/>
        <v xml:space="preserve">N959MJ  </v>
      </c>
      <c r="BC2341">
        <v>1</v>
      </c>
      <c r="BE2341">
        <v>0</v>
      </c>
      <c r="BF2341">
        <v>0</v>
      </c>
      <c r="BG2341">
        <v>0</v>
      </c>
      <c r="BH2341">
        <v>4900</v>
      </c>
      <c r="BI2341">
        <v>200</v>
      </c>
      <c r="BJ2341">
        <v>1</v>
      </c>
      <c r="BK2341">
        <v>1</v>
      </c>
      <c r="BL2341">
        <v>1</v>
      </c>
      <c r="BM2341">
        <v>0</v>
      </c>
      <c r="BP2341">
        <v>0</v>
      </c>
      <c r="BQ2341">
        <v>0</v>
      </c>
      <c r="BX2341" t="str">
        <f>"14:29:21.727"</f>
        <v>14:29:21.727</v>
      </c>
      <c r="BY2341" t="str">
        <f>"725365879"</f>
        <v>725365879</v>
      </c>
      <c r="CL2341">
        <v>0</v>
      </c>
      <c r="CM2341">
        <v>2</v>
      </c>
      <c r="CN2341">
        <v>0</v>
      </c>
      <c r="CO2341">
        <v>2</v>
      </c>
      <c r="CP2341">
        <v>0</v>
      </c>
      <c r="CQ2341">
        <v>7</v>
      </c>
      <c r="CR2341" t="s">
        <v>116</v>
      </c>
      <c r="CS2341">
        <v>39</v>
      </c>
      <c r="CT2341">
        <v>3</v>
      </c>
      <c r="CU2341" t="s">
        <v>2259</v>
      </c>
      <c r="CV2341" t="s">
        <v>2260</v>
      </c>
      <c r="CY2341">
        <v>11042468</v>
      </c>
      <c r="CZ2341" t="s">
        <v>119</v>
      </c>
    </row>
    <row r="2342" spans="1:104" x14ac:dyDescent="0.25">
      <c r="A2342" t="str">
        <f>"14:29:22.742"</f>
        <v>14:29:22.742</v>
      </c>
      <c r="B2342" t="s">
        <v>108</v>
      </c>
      <c r="C2342" t="str">
        <f t="shared" si="109"/>
        <v>ffdfd3c0</v>
      </c>
      <c r="D2342" t="s">
        <v>109</v>
      </c>
      <c r="E2342">
        <v>4</v>
      </c>
      <c r="F2342">
        <v>1004</v>
      </c>
      <c r="G2342" t="s">
        <v>110</v>
      </c>
      <c r="J2342" t="s">
        <v>111</v>
      </c>
      <c r="K2342">
        <v>0</v>
      </c>
      <c r="L2342">
        <v>3</v>
      </c>
      <c r="M2342">
        <v>0</v>
      </c>
      <c r="N2342">
        <v>2</v>
      </c>
      <c r="O2342">
        <v>1</v>
      </c>
      <c r="P2342">
        <v>0</v>
      </c>
      <c r="Q2342">
        <v>0</v>
      </c>
      <c r="R2342" t="s">
        <v>112</v>
      </c>
      <c r="S2342" t="str">
        <f>"14:29:22.555"</f>
        <v>14:29:22.555</v>
      </c>
      <c r="T2342" t="str">
        <f>"14:29:22.156"</f>
        <v>14:29:22.156</v>
      </c>
      <c r="U2342" t="str">
        <f t="shared" si="108"/>
        <v>ad5732</v>
      </c>
      <c r="V2342">
        <v>0</v>
      </c>
      <c r="W2342">
        <v>0</v>
      </c>
      <c r="X2342">
        <v>1</v>
      </c>
      <c r="Z2342">
        <v>0</v>
      </c>
      <c r="AA2342">
        <v>9</v>
      </c>
      <c r="AB2342">
        <v>3</v>
      </c>
      <c r="AC2342">
        <v>0</v>
      </c>
      <c r="AD2342">
        <v>10</v>
      </c>
      <c r="AE2342">
        <v>0</v>
      </c>
      <c r="AF2342">
        <v>3</v>
      </c>
      <c r="AG2342">
        <v>2</v>
      </c>
      <c r="AH2342">
        <v>0</v>
      </c>
      <c r="AI2342" t="s">
        <v>4793</v>
      </c>
      <c r="AJ2342">
        <v>39.992938000000002</v>
      </c>
      <c r="AK2342" t="s">
        <v>4794</v>
      </c>
      <c r="AL2342">
        <v>-75.564329999999998</v>
      </c>
      <c r="AM2342">
        <v>100</v>
      </c>
      <c r="AN2342">
        <v>4700</v>
      </c>
      <c r="AO2342" t="s">
        <v>115</v>
      </c>
      <c r="AP2342">
        <v>132</v>
      </c>
      <c r="AQ2342">
        <v>124</v>
      </c>
      <c r="AR2342">
        <v>128</v>
      </c>
      <c r="AZ2342">
        <v>3614</v>
      </c>
      <c r="BA2342">
        <v>1</v>
      </c>
      <c r="BB2342" t="str">
        <f t="shared" si="110"/>
        <v xml:space="preserve">N959MJ  </v>
      </c>
      <c r="BC2342">
        <v>1</v>
      </c>
      <c r="BE2342">
        <v>0</v>
      </c>
      <c r="BF2342">
        <v>0</v>
      </c>
      <c r="BG2342">
        <v>0</v>
      </c>
      <c r="BH2342">
        <v>4900</v>
      </c>
      <c r="BI2342">
        <v>200</v>
      </c>
      <c r="BJ2342">
        <v>1</v>
      </c>
      <c r="BK2342">
        <v>1</v>
      </c>
      <c r="BL2342">
        <v>1</v>
      </c>
      <c r="BM2342">
        <v>0</v>
      </c>
      <c r="BP2342">
        <v>0</v>
      </c>
      <c r="BQ2342">
        <v>0</v>
      </c>
      <c r="BX2342" t="str">
        <f>"14:29:22.563"</f>
        <v>14:29:22.563</v>
      </c>
      <c r="BY2342" t="str">
        <f>"560964442"</f>
        <v>560964442</v>
      </c>
      <c r="CL2342">
        <v>0</v>
      </c>
      <c r="CM2342">
        <v>2</v>
      </c>
      <c r="CN2342">
        <v>0</v>
      </c>
      <c r="CO2342">
        <v>2</v>
      </c>
      <c r="CP2342">
        <v>0</v>
      </c>
      <c r="CQ2342">
        <v>7</v>
      </c>
      <c r="CR2342" t="s">
        <v>116</v>
      </c>
      <c r="CS2342">
        <v>39</v>
      </c>
      <c r="CT2342">
        <v>3</v>
      </c>
      <c r="CU2342" t="s">
        <v>2259</v>
      </c>
      <c r="CV2342" t="s">
        <v>2260</v>
      </c>
      <c r="CY2342">
        <v>11043996</v>
      </c>
      <c r="CZ2342" t="s">
        <v>119</v>
      </c>
    </row>
    <row r="2343" spans="1:104" x14ac:dyDescent="0.25">
      <c r="A2343" t="str">
        <f>"14:29:23.703"</f>
        <v>14:29:23.703</v>
      </c>
      <c r="B2343" t="s">
        <v>108</v>
      </c>
      <c r="C2343" t="str">
        <f t="shared" si="109"/>
        <v>ffdfd3c0</v>
      </c>
      <c r="D2343" t="s">
        <v>109</v>
      </c>
      <c r="E2343">
        <v>4</v>
      </c>
      <c r="F2343">
        <v>1004</v>
      </c>
      <c r="G2343" t="s">
        <v>110</v>
      </c>
      <c r="J2343" t="s">
        <v>111</v>
      </c>
      <c r="K2343">
        <v>0</v>
      </c>
      <c r="L2343">
        <v>3</v>
      </c>
      <c r="M2343">
        <v>0</v>
      </c>
      <c r="N2343">
        <v>2</v>
      </c>
      <c r="O2343">
        <v>1</v>
      </c>
      <c r="P2343">
        <v>0</v>
      </c>
      <c r="Q2343">
        <v>0</v>
      </c>
      <c r="R2343" t="s">
        <v>112</v>
      </c>
      <c r="S2343" t="str">
        <f>"14:29:23.531"</f>
        <v>14:29:23.531</v>
      </c>
      <c r="T2343" t="str">
        <f>"14:29:23.133"</f>
        <v>14:29:23.133</v>
      </c>
      <c r="U2343" t="str">
        <f t="shared" si="108"/>
        <v>ad5732</v>
      </c>
      <c r="V2343">
        <v>0</v>
      </c>
      <c r="W2343">
        <v>0</v>
      </c>
      <c r="X2343">
        <v>1</v>
      </c>
      <c r="Z2343">
        <v>0</v>
      </c>
      <c r="AA2343">
        <v>9</v>
      </c>
      <c r="AB2343">
        <v>3</v>
      </c>
      <c r="AC2343">
        <v>0</v>
      </c>
      <c r="AD2343">
        <v>10</v>
      </c>
      <c r="AE2343">
        <v>0</v>
      </c>
      <c r="AF2343">
        <v>3</v>
      </c>
      <c r="AG2343">
        <v>2</v>
      </c>
      <c r="AH2343">
        <v>0</v>
      </c>
      <c r="AI2343" t="s">
        <v>4795</v>
      </c>
      <c r="AJ2343">
        <v>39.993538999999998</v>
      </c>
      <c r="AK2343" t="s">
        <v>4796</v>
      </c>
      <c r="AL2343">
        <v>-75.563535999999999</v>
      </c>
      <c r="AM2343">
        <v>100</v>
      </c>
      <c r="AN2343">
        <v>4700</v>
      </c>
      <c r="AO2343" t="s">
        <v>115</v>
      </c>
      <c r="AP2343">
        <v>132</v>
      </c>
      <c r="AQ2343">
        <v>124</v>
      </c>
      <c r="AR2343">
        <v>128</v>
      </c>
      <c r="AZ2343">
        <v>3614</v>
      </c>
      <c r="BA2343">
        <v>1</v>
      </c>
      <c r="BB2343" t="str">
        <f t="shared" si="110"/>
        <v xml:space="preserve">N959MJ  </v>
      </c>
      <c r="BC2343">
        <v>1</v>
      </c>
      <c r="BE2343">
        <v>0</v>
      </c>
      <c r="BF2343">
        <v>0</v>
      </c>
      <c r="BG2343">
        <v>0</v>
      </c>
      <c r="BH2343">
        <v>4900</v>
      </c>
      <c r="BI2343">
        <v>200</v>
      </c>
      <c r="BJ2343">
        <v>1</v>
      </c>
      <c r="BK2343">
        <v>1</v>
      </c>
      <c r="BL2343">
        <v>1</v>
      </c>
      <c r="BM2343">
        <v>0</v>
      </c>
      <c r="BP2343">
        <v>0</v>
      </c>
      <c r="BQ2343">
        <v>0</v>
      </c>
      <c r="BX2343" t="str">
        <f>"14:29:23.539"</f>
        <v>14:29:23.539</v>
      </c>
      <c r="BY2343" t="str">
        <f>"535829464"</f>
        <v>535829464</v>
      </c>
      <c r="CL2343">
        <v>0</v>
      </c>
      <c r="CM2343">
        <v>2</v>
      </c>
      <c r="CN2343">
        <v>0</v>
      </c>
      <c r="CO2343">
        <v>2</v>
      </c>
      <c r="CP2343">
        <v>0</v>
      </c>
      <c r="CQ2343">
        <v>7</v>
      </c>
      <c r="CR2343" t="s">
        <v>116</v>
      </c>
      <c r="CS2343">
        <v>39</v>
      </c>
      <c r="CT2343">
        <v>0</v>
      </c>
      <c r="CU2343" t="s">
        <v>2259</v>
      </c>
      <c r="CV2343" t="s">
        <v>2260</v>
      </c>
      <c r="CY2343">
        <v>1690958</v>
      </c>
      <c r="CZ2343" t="s">
        <v>119</v>
      </c>
    </row>
    <row r="2344" spans="1:104" x14ac:dyDescent="0.25">
      <c r="A2344" t="str">
        <f>"14:29:24.914"</f>
        <v>14:29:24.914</v>
      </c>
      <c r="B2344" t="s">
        <v>108</v>
      </c>
      <c r="C2344" t="str">
        <f t="shared" si="109"/>
        <v>ffdfd3c0</v>
      </c>
      <c r="D2344" t="s">
        <v>109</v>
      </c>
      <c r="E2344">
        <v>4</v>
      </c>
      <c r="F2344">
        <v>1004</v>
      </c>
      <c r="G2344" t="s">
        <v>110</v>
      </c>
      <c r="J2344" t="s">
        <v>111</v>
      </c>
      <c r="K2344">
        <v>0</v>
      </c>
      <c r="L2344">
        <v>3</v>
      </c>
      <c r="M2344">
        <v>0</v>
      </c>
      <c r="N2344">
        <v>2</v>
      </c>
      <c r="O2344">
        <v>1</v>
      </c>
      <c r="P2344">
        <v>0</v>
      </c>
      <c r="Q2344">
        <v>0</v>
      </c>
      <c r="R2344" t="s">
        <v>112</v>
      </c>
      <c r="S2344" t="str">
        <f>"14:29:24.695"</f>
        <v>14:29:24.695</v>
      </c>
      <c r="T2344" t="str">
        <f>"14:29:24.195"</f>
        <v>14:29:24.195</v>
      </c>
      <c r="U2344" t="str">
        <f t="shared" si="108"/>
        <v>ad5732</v>
      </c>
      <c r="V2344">
        <v>0</v>
      </c>
      <c r="W2344">
        <v>0</v>
      </c>
      <c r="X2344">
        <v>1</v>
      </c>
      <c r="Z2344">
        <v>0</v>
      </c>
      <c r="AA2344">
        <v>9</v>
      </c>
      <c r="AB2344">
        <v>3</v>
      </c>
      <c r="AC2344">
        <v>0</v>
      </c>
      <c r="AD2344">
        <v>10</v>
      </c>
      <c r="AE2344">
        <v>0</v>
      </c>
      <c r="AF2344">
        <v>3</v>
      </c>
      <c r="AG2344">
        <v>2</v>
      </c>
      <c r="AH2344">
        <v>0</v>
      </c>
      <c r="AI2344" t="s">
        <v>4797</v>
      </c>
      <c r="AJ2344">
        <v>39.994140000000002</v>
      </c>
      <c r="AK2344" t="s">
        <v>4798</v>
      </c>
      <c r="AL2344">
        <v>-75.562719999999999</v>
      </c>
      <c r="AM2344">
        <v>100</v>
      </c>
      <c r="AN2344">
        <v>4700</v>
      </c>
      <c r="AO2344" t="s">
        <v>115</v>
      </c>
      <c r="AP2344">
        <v>132</v>
      </c>
      <c r="AQ2344">
        <v>124</v>
      </c>
      <c r="AR2344">
        <v>128</v>
      </c>
      <c r="AZ2344">
        <v>3614</v>
      </c>
      <c r="BA2344">
        <v>1</v>
      </c>
      <c r="BB2344" t="str">
        <f t="shared" si="110"/>
        <v xml:space="preserve">N959MJ  </v>
      </c>
      <c r="BC2344">
        <v>1</v>
      </c>
      <c r="BE2344">
        <v>0</v>
      </c>
      <c r="BF2344">
        <v>0</v>
      </c>
      <c r="BG2344">
        <v>0</v>
      </c>
      <c r="BH2344">
        <v>4900</v>
      </c>
      <c r="BI2344">
        <v>200</v>
      </c>
      <c r="BJ2344">
        <v>1</v>
      </c>
      <c r="BK2344">
        <v>1</v>
      </c>
      <c r="BL2344">
        <v>1</v>
      </c>
      <c r="BM2344">
        <v>0</v>
      </c>
      <c r="BP2344">
        <v>0</v>
      </c>
      <c r="BQ2344">
        <v>0</v>
      </c>
      <c r="BX2344" t="str">
        <f>"14:29:24.695"</f>
        <v>14:29:24.695</v>
      </c>
      <c r="BY2344" t="str">
        <f>"697505608"</f>
        <v>697505608</v>
      </c>
      <c r="CL2344">
        <v>0</v>
      </c>
      <c r="CM2344">
        <v>2</v>
      </c>
      <c r="CN2344">
        <v>0</v>
      </c>
      <c r="CO2344">
        <v>2</v>
      </c>
      <c r="CP2344">
        <v>0</v>
      </c>
      <c r="CQ2344">
        <v>7</v>
      </c>
      <c r="CR2344" t="s">
        <v>116</v>
      </c>
      <c r="CS2344">
        <v>39</v>
      </c>
      <c r="CT2344">
        <v>0</v>
      </c>
      <c r="CU2344" t="s">
        <v>2259</v>
      </c>
      <c r="CV2344" t="s">
        <v>2260</v>
      </c>
      <c r="CY2344">
        <v>1692896</v>
      </c>
      <c r="CZ2344" t="s">
        <v>119</v>
      </c>
    </row>
    <row r="2345" spans="1:104" x14ac:dyDescent="0.25">
      <c r="A2345" t="str">
        <f>"14:29:25.820"</f>
        <v>14:29:25.820</v>
      </c>
      <c r="B2345" t="s">
        <v>108</v>
      </c>
      <c r="C2345" t="str">
        <f t="shared" si="109"/>
        <v>ffdfd3c0</v>
      </c>
      <c r="D2345" t="s">
        <v>109</v>
      </c>
      <c r="E2345">
        <v>4</v>
      </c>
      <c r="F2345">
        <v>1004</v>
      </c>
      <c r="G2345" t="s">
        <v>110</v>
      </c>
      <c r="J2345" t="s">
        <v>111</v>
      </c>
      <c r="K2345">
        <v>0</v>
      </c>
      <c r="L2345">
        <v>3</v>
      </c>
      <c r="M2345">
        <v>0</v>
      </c>
      <c r="N2345">
        <v>2</v>
      </c>
      <c r="O2345">
        <v>1</v>
      </c>
      <c r="P2345">
        <v>0</v>
      </c>
      <c r="Q2345">
        <v>0</v>
      </c>
      <c r="R2345" t="s">
        <v>112</v>
      </c>
      <c r="S2345" t="str">
        <f>"14:29:25.656"</f>
        <v>14:29:25.656</v>
      </c>
      <c r="T2345" t="str">
        <f>"14:29:25.156"</f>
        <v>14:29:25.156</v>
      </c>
      <c r="U2345" t="str">
        <f t="shared" si="108"/>
        <v>ad5732</v>
      </c>
      <c r="V2345">
        <v>0</v>
      </c>
      <c r="W2345">
        <v>0</v>
      </c>
      <c r="X2345">
        <v>1</v>
      </c>
      <c r="Z2345">
        <v>0</v>
      </c>
      <c r="AA2345">
        <v>9</v>
      </c>
      <c r="AB2345">
        <v>3</v>
      </c>
      <c r="AC2345">
        <v>0</v>
      </c>
      <c r="AD2345">
        <v>10</v>
      </c>
      <c r="AE2345">
        <v>0</v>
      </c>
      <c r="AF2345">
        <v>3</v>
      </c>
      <c r="AG2345">
        <v>2</v>
      </c>
      <c r="AH2345">
        <v>0</v>
      </c>
      <c r="AI2345" t="s">
        <v>4799</v>
      </c>
      <c r="AJ2345">
        <v>39.994698</v>
      </c>
      <c r="AK2345" t="s">
        <v>4800</v>
      </c>
      <c r="AL2345">
        <v>-75.561904999999996</v>
      </c>
      <c r="AM2345">
        <v>100</v>
      </c>
      <c r="AN2345">
        <v>4700</v>
      </c>
      <c r="AO2345" t="s">
        <v>115</v>
      </c>
      <c r="AP2345">
        <v>132</v>
      </c>
      <c r="AQ2345">
        <v>124</v>
      </c>
      <c r="AR2345">
        <v>64</v>
      </c>
      <c r="AZ2345">
        <v>3614</v>
      </c>
      <c r="BA2345">
        <v>1</v>
      </c>
      <c r="BB2345" t="str">
        <f t="shared" si="110"/>
        <v xml:space="preserve">N959MJ  </v>
      </c>
      <c r="BC2345">
        <v>1</v>
      </c>
      <c r="BE2345">
        <v>0</v>
      </c>
      <c r="BF2345">
        <v>0</v>
      </c>
      <c r="BG2345">
        <v>0</v>
      </c>
      <c r="BH2345">
        <v>4900</v>
      </c>
      <c r="BI2345">
        <v>200</v>
      </c>
      <c r="BJ2345">
        <v>1</v>
      </c>
      <c r="BK2345">
        <v>1</v>
      </c>
      <c r="BL2345">
        <v>1</v>
      </c>
      <c r="BM2345">
        <v>0</v>
      </c>
      <c r="BP2345">
        <v>0</v>
      </c>
      <c r="BQ2345">
        <v>0</v>
      </c>
      <c r="BX2345" t="str">
        <f>"14:29:25.664"</f>
        <v>14:29:25.664</v>
      </c>
      <c r="BY2345" t="str">
        <f>"662509851"</f>
        <v>662509851</v>
      </c>
      <c r="CL2345">
        <v>0</v>
      </c>
      <c r="CM2345">
        <v>2</v>
      </c>
      <c r="CN2345">
        <v>0</v>
      </c>
      <c r="CO2345">
        <v>2</v>
      </c>
      <c r="CP2345">
        <v>0</v>
      </c>
      <c r="CQ2345">
        <v>7</v>
      </c>
      <c r="CR2345" t="s">
        <v>116</v>
      </c>
      <c r="CS2345">
        <v>39</v>
      </c>
      <c r="CT2345">
        <v>3</v>
      </c>
      <c r="CU2345" t="s">
        <v>2259</v>
      </c>
      <c r="CV2345" t="s">
        <v>2260</v>
      </c>
      <c r="CY2345">
        <v>11049383</v>
      </c>
      <c r="CZ2345" t="s">
        <v>119</v>
      </c>
    </row>
    <row r="2346" spans="1:104" x14ac:dyDescent="0.25">
      <c r="A2346" t="str">
        <f>"14:29:26.781"</f>
        <v>14:29:26.781</v>
      </c>
      <c r="B2346" t="s">
        <v>108</v>
      </c>
      <c r="C2346" t="str">
        <f t="shared" si="109"/>
        <v>ffdfd3c0</v>
      </c>
      <c r="D2346" t="s">
        <v>109</v>
      </c>
      <c r="E2346">
        <v>4</v>
      </c>
      <c r="F2346">
        <v>1004</v>
      </c>
      <c r="G2346" t="s">
        <v>110</v>
      </c>
      <c r="J2346" t="s">
        <v>111</v>
      </c>
      <c r="K2346">
        <v>0</v>
      </c>
      <c r="L2346">
        <v>3</v>
      </c>
      <c r="M2346">
        <v>0</v>
      </c>
      <c r="N2346">
        <v>2</v>
      </c>
      <c r="O2346">
        <v>1</v>
      </c>
      <c r="P2346">
        <v>0</v>
      </c>
      <c r="Q2346">
        <v>0</v>
      </c>
      <c r="R2346" t="s">
        <v>112</v>
      </c>
      <c r="S2346" t="str">
        <f>"14:29:26.625"</f>
        <v>14:29:26.625</v>
      </c>
      <c r="T2346" t="str">
        <f>"14:29:26.227"</f>
        <v>14:29:26.227</v>
      </c>
      <c r="U2346" t="str">
        <f t="shared" si="108"/>
        <v>ad5732</v>
      </c>
      <c r="V2346">
        <v>0</v>
      </c>
      <c r="W2346">
        <v>0</v>
      </c>
      <c r="X2346">
        <v>1</v>
      </c>
      <c r="Z2346">
        <v>0</v>
      </c>
      <c r="AA2346">
        <v>9</v>
      </c>
      <c r="AB2346">
        <v>3</v>
      </c>
      <c r="AC2346">
        <v>0</v>
      </c>
      <c r="AD2346">
        <v>10</v>
      </c>
      <c r="AE2346">
        <v>0</v>
      </c>
      <c r="AF2346">
        <v>3</v>
      </c>
      <c r="AG2346">
        <v>2</v>
      </c>
      <c r="AH2346">
        <v>0</v>
      </c>
      <c r="AI2346" t="s">
        <v>4801</v>
      </c>
      <c r="AJ2346">
        <v>39.995297999999998</v>
      </c>
      <c r="AK2346" t="s">
        <v>4802</v>
      </c>
      <c r="AL2346">
        <v>-75.561089999999993</v>
      </c>
      <c r="AM2346">
        <v>100</v>
      </c>
      <c r="AN2346">
        <v>4700</v>
      </c>
      <c r="AO2346" t="s">
        <v>115</v>
      </c>
      <c r="AP2346">
        <v>132</v>
      </c>
      <c r="AQ2346">
        <v>123</v>
      </c>
      <c r="AR2346">
        <v>-64</v>
      </c>
      <c r="AZ2346">
        <v>3614</v>
      </c>
      <c r="BA2346">
        <v>1</v>
      </c>
      <c r="BB2346" t="str">
        <f t="shared" si="110"/>
        <v xml:space="preserve">N959MJ  </v>
      </c>
      <c r="BC2346">
        <v>1</v>
      </c>
      <c r="BE2346">
        <v>0</v>
      </c>
      <c r="BF2346">
        <v>0</v>
      </c>
      <c r="BG2346">
        <v>0</v>
      </c>
      <c r="BH2346">
        <v>4900</v>
      </c>
      <c r="BI2346">
        <v>200</v>
      </c>
      <c r="BJ2346">
        <v>1</v>
      </c>
      <c r="BK2346">
        <v>1</v>
      </c>
      <c r="BL2346">
        <v>1</v>
      </c>
      <c r="BM2346">
        <v>0</v>
      </c>
      <c r="BP2346">
        <v>0</v>
      </c>
      <c r="BQ2346">
        <v>0</v>
      </c>
      <c r="BX2346" t="str">
        <f>"14:29:26.625"</f>
        <v>14:29:26.625</v>
      </c>
      <c r="BY2346" t="str">
        <f>"627544364"</f>
        <v>627544364</v>
      </c>
      <c r="CL2346">
        <v>0</v>
      </c>
      <c r="CM2346">
        <v>2</v>
      </c>
      <c r="CN2346">
        <v>0</v>
      </c>
      <c r="CO2346">
        <v>2</v>
      </c>
      <c r="CP2346">
        <v>0</v>
      </c>
      <c r="CQ2346">
        <v>7</v>
      </c>
      <c r="CR2346" t="s">
        <v>116</v>
      </c>
      <c r="CS2346">
        <v>39</v>
      </c>
      <c r="CT2346">
        <v>0</v>
      </c>
      <c r="CU2346" t="s">
        <v>2259</v>
      </c>
      <c r="CV2346" t="s">
        <v>2260</v>
      </c>
      <c r="CY2346">
        <v>1696101</v>
      </c>
      <c r="CZ2346" t="s">
        <v>119</v>
      </c>
    </row>
    <row r="2347" spans="1:104" x14ac:dyDescent="0.25">
      <c r="A2347" t="str">
        <f>"14:29:27.742"</f>
        <v>14:29:27.742</v>
      </c>
      <c r="B2347" t="s">
        <v>108</v>
      </c>
      <c r="C2347" t="str">
        <f t="shared" si="109"/>
        <v>ffdfd3c0</v>
      </c>
      <c r="D2347" t="s">
        <v>109</v>
      </c>
      <c r="E2347">
        <v>4</v>
      </c>
      <c r="F2347">
        <v>1004</v>
      </c>
      <c r="G2347" t="s">
        <v>110</v>
      </c>
      <c r="J2347" t="s">
        <v>111</v>
      </c>
      <c r="K2347">
        <v>0</v>
      </c>
      <c r="L2347">
        <v>3</v>
      </c>
      <c r="M2347">
        <v>0</v>
      </c>
      <c r="N2347">
        <v>2</v>
      </c>
      <c r="O2347">
        <v>1</v>
      </c>
      <c r="P2347">
        <v>0</v>
      </c>
      <c r="Q2347">
        <v>0</v>
      </c>
      <c r="R2347" t="s">
        <v>112</v>
      </c>
      <c r="S2347" t="str">
        <f>"14:29:27.578"</f>
        <v>14:29:27.578</v>
      </c>
      <c r="T2347" t="str">
        <f>"14:29:27.078"</f>
        <v>14:29:27.078</v>
      </c>
      <c r="U2347" t="str">
        <f t="shared" si="108"/>
        <v>ad5732</v>
      </c>
      <c r="V2347">
        <v>0</v>
      </c>
      <c r="W2347">
        <v>0</v>
      </c>
      <c r="X2347">
        <v>1</v>
      </c>
      <c r="Z2347">
        <v>0</v>
      </c>
      <c r="AA2347">
        <v>9</v>
      </c>
      <c r="AB2347">
        <v>3</v>
      </c>
      <c r="AC2347">
        <v>0</v>
      </c>
      <c r="AD2347">
        <v>10</v>
      </c>
      <c r="AE2347">
        <v>0</v>
      </c>
      <c r="AF2347">
        <v>3</v>
      </c>
      <c r="AG2347">
        <v>2</v>
      </c>
      <c r="AH2347">
        <v>0</v>
      </c>
      <c r="AI2347" t="s">
        <v>4803</v>
      </c>
      <c r="AJ2347">
        <v>39.995812999999998</v>
      </c>
      <c r="AK2347" t="s">
        <v>4804</v>
      </c>
      <c r="AL2347">
        <v>-75.560360000000003</v>
      </c>
      <c r="AM2347">
        <v>100</v>
      </c>
      <c r="AN2347">
        <v>4700</v>
      </c>
      <c r="AO2347" t="s">
        <v>115</v>
      </c>
      <c r="AP2347">
        <v>132</v>
      </c>
      <c r="AQ2347">
        <v>123</v>
      </c>
      <c r="AR2347">
        <v>-64</v>
      </c>
      <c r="AZ2347">
        <v>3614</v>
      </c>
      <c r="BA2347">
        <v>1</v>
      </c>
      <c r="BB2347" t="str">
        <f t="shared" si="110"/>
        <v xml:space="preserve">N959MJ  </v>
      </c>
      <c r="BC2347">
        <v>1</v>
      </c>
      <c r="BE2347">
        <v>0</v>
      </c>
      <c r="BF2347">
        <v>0</v>
      </c>
      <c r="BG2347">
        <v>0</v>
      </c>
      <c r="BH2347">
        <v>4900</v>
      </c>
      <c r="BI2347">
        <v>200</v>
      </c>
      <c r="BJ2347">
        <v>1</v>
      </c>
      <c r="BK2347">
        <v>1</v>
      </c>
      <c r="BL2347">
        <v>1</v>
      </c>
      <c r="BM2347">
        <v>0</v>
      </c>
      <c r="BP2347">
        <v>0</v>
      </c>
      <c r="BQ2347">
        <v>0</v>
      </c>
      <c r="BX2347" t="str">
        <f>"14:29:27.578"</f>
        <v>14:29:27.578</v>
      </c>
      <c r="BY2347" t="str">
        <f>"581109779"</f>
        <v>581109779</v>
      </c>
      <c r="CL2347">
        <v>0</v>
      </c>
      <c r="CM2347">
        <v>2</v>
      </c>
      <c r="CN2347">
        <v>0</v>
      </c>
      <c r="CO2347">
        <v>2</v>
      </c>
      <c r="CP2347">
        <v>0</v>
      </c>
      <c r="CQ2347">
        <v>7</v>
      </c>
      <c r="CR2347" t="s">
        <v>116</v>
      </c>
      <c r="CS2347">
        <v>39</v>
      </c>
      <c r="CT2347">
        <v>3</v>
      </c>
      <c r="CU2347" t="s">
        <v>2259</v>
      </c>
      <c r="CV2347" t="s">
        <v>2260</v>
      </c>
      <c r="CY2347">
        <v>11052674</v>
      </c>
      <c r="CZ2347" t="s">
        <v>119</v>
      </c>
    </row>
    <row r="2348" spans="1:104" x14ac:dyDescent="0.25">
      <c r="A2348" t="str">
        <f>"14:29:28.750"</f>
        <v>14:29:28.750</v>
      </c>
      <c r="B2348" t="s">
        <v>108</v>
      </c>
      <c r="C2348" t="str">
        <f t="shared" si="109"/>
        <v>ffdfd3c0</v>
      </c>
      <c r="D2348" t="s">
        <v>109</v>
      </c>
      <c r="E2348">
        <v>4</v>
      </c>
      <c r="F2348">
        <v>1004</v>
      </c>
      <c r="G2348" t="s">
        <v>110</v>
      </c>
      <c r="J2348" t="s">
        <v>111</v>
      </c>
      <c r="K2348">
        <v>0</v>
      </c>
      <c r="L2348">
        <v>3</v>
      </c>
      <c r="M2348">
        <v>0</v>
      </c>
      <c r="N2348">
        <v>2</v>
      </c>
      <c r="O2348">
        <v>1</v>
      </c>
      <c r="P2348">
        <v>0</v>
      </c>
      <c r="Q2348">
        <v>0</v>
      </c>
      <c r="R2348" t="s">
        <v>112</v>
      </c>
      <c r="S2348" t="str">
        <f>"14:29:28.563"</f>
        <v>14:29:28.563</v>
      </c>
      <c r="T2348" t="str">
        <f>"14:29:28.164"</f>
        <v>14:29:28.164</v>
      </c>
      <c r="U2348" t="str">
        <f t="shared" si="108"/>
        <v>ad5732</v>
      </c>
      <c r="V2348">
        <v>0</v>
      </c>
      <c r="W2348">
        <v>0</v>
      </c>
      <c r="X2348">
        <v>1</v>
      </c>
      <c r="Z2348">
        <v>0</v>
      </c>
      <c r="AA2348">
        <v>9</v>
      </c>
      <c r="AB2348">
        <v>3</v>
      </c>
      <c r="AC2348">
        <v>0</v>
      </c>
      <c r="AD2348">
        <v>10</v>
      </c>
      <c r="AE2348">
        <v>0</v>
      </c>
      <c r="AF2348">
        <v>3</v>
      </c>
      <c r="AG2348">
        <v>2</v>
      </c>
      <c r="AH2348">
        <v>0</v>
      </c>
      <c r="AI2348" t="s">
        <v>4805</v>
      </c>
      <c r="AJ2348">
        <v>39.996371000000003</v>
      </c>
      <c r="AK2348" t="s">
        <v>4806</v>
      </c>
      <c r="AL2348">
        <v>-75.559566000000004</v>
      </c>
      <c r="AM2348">
        <v>100</v>
      </c>
      <c r="AN2348">
        <v>4700</v>
      </c>
      <c r="AO2348" t="s">
        <v>115</v>
      </c>
      <c r="AP2348">
        <v>133</v>
      </c>
      <c r="AQ2348">
        <v>123</v>
      </c>
      <c r="AR2348">
        <v>0</v>
      </c>
      <c r="AZ2348">
        <v>3614</v>
      </c>
      <c r="BA2348">
        <v>1</v>
      </c>
      <c r="BB2348" t="str">
        <f t="shared" si="110"/>
        <v xml:space="preserve">N959MJ  </v>
      </c>
      <c r="BC2348">
        <v>1</v>
      </c>
      <c r="BE2348">
        <v>0</v>
      </c>
      <c r="BF2348">
        <v>0</v>
      </c>
      <c r="BG2348">
        <v>0</v>
      </c>
      <c r="BH2348">
        <v>4900</v>
      </c>
      <c r="BI2348">
        <v>200</v>
      </c>
      <c r="BJ2348">
        <v>1</v>
      </c>
      <c r="BK2348">
        <v>1</v>
      </c>
      <c r="BL2348">
        <v>1</v>
      </c>
      <c r="BM2348">
        <v>0</v>
      </c>
      <c r="BP2348">
        <v>0</v>
      </c>
      <c r="BQ2348">
        <v>0</v>
      </c>
      <c r="BX2348" t="str">
        <f>"14:29:28.563"</f>
        <v>14:29:28.563</v>
      </c>
      <c r="BY2348" t="str">
        <f>"562528536"</f>
        <v>562528536</v>
      </c>
      <c r="CL2348">
        <v>0</v>
      </c>
      <c r="CM2348">
        <v>2</v>
      </c>
      <c r="CN2348">
        <v>0</v>
      </c>
      <c r="CO2348">
        <v>2</v>
      </c>
      <c r="CP2348">
        <v>0</v>
      </c>
      <c r="CQ2348">
        <v>7</v>
      </c>
      <c r="CR2348" t="s">
        <v>116</v>
      </c>
      <c r="CS2348">
        <v>39</v>
      </c>
      <c r="CT2348">
        <v>0</v>
      </c>
      <c r="CU2348" t="s">
        <v>2259</v>
      </c>
      <c r="CV2348" t="s">
        <v>2260</v>
      </c>
      <c r="CY2348">
        <v>1699386</v>
      </c>
      <c r="CZ2348" t="s">
        <v>119</v>
      </c>
    </row>
    <row r="2349" spans="1:104" x14ac:dyDescent="0.25">
      <c r="A2349" t="str">
        <f>"14:29:29.711"</f>
        <v>14:29:29.711</v>
      </c>
      <c r="B2349" t="s">
        <v>108</v>
      </c>
      <c r="C2349" t="str">
        <f t="shared" si="109"/>
        <v>ffdfd3c0</v>
      </c>
      <c r="D2349" t="s">
        <v>109</v>
      </c>
      <c r="E2349">
        <v>4</v>
      </c>
      <c r="F2349">
        <v>1004</v>
      </c>
      <c r="G2349" t="s">
        <v>110</v>
      </c>
      <c r="J2349" t="s">
        <v>111</v>
      </c>
      <c r="K2349">
        <v>0</v>
      </c>
      <c r="L2349">
        <v>3</v>
      </c>
      <c r="M2349">
        <v>0</v>
      </c>
      <c r="N2349">
        <v>2</v>
      </c>
      <c r="O2349">
        <v>1</v>
      </c>
      <c r="P2349">
        <v>0</v>
      </c>
      <c r="Q2349">
        <v>0</v>
      </c>
      <c r="R2349" t="s">
        <v>112</v>
      </c>
      <c r="S2349" t="str">
        <f>"14:29:29.547"</f>
        <v>14:29:29.547</v>
      </c>
      <c r="T2349" t="str">
        <f>"14:29:29.047"</f>
        <v>14:29:29.047</v>
      </c>
      <c r="U2349" t="str">
        <f t="shared" si="108"/>
        <v>ad5732</v>
      </c>
      <c r="V2349">
        <v>0</v>
      </c>
      <c r="W2349">
        <v>0</v>
      </c>
      <c r="X2349">
        <v>1</v>
      </c>
      <c r="Z2349">
        <v>0</v>
      </c>
      <c r="AA2349">
        <v>9</v>
      </c>
      <c r="AB2349">
        <v>3</v>
      </c>
      <c r="AC2349">
        <v>0</v>
      </c>
      <c r="AD2349">
        <v>10</v>
      </c>
      <c r="AE2349">
        <v>0</v>
      </c>
      <c r="AF2349">
        <v>3</v>
      </c>
      <c r="AG2349">
        <v>2</v>
      </c>
      <c r="AH2349">
        <v>0</v>
      </c>
      <c r="AI2349" t="s">
        <v>4807</v>
      </c>
      <c r="AJ2349">
        <v>39.996972</v>
      </c>
      <c r="AK2349" t="s">
        <v>4808</v>
      </c>
      <c r="AL2349">
        <v>-75.558772000000005</v>
      </c>
      <c r="AM2349">
        <v>100</v>
      </c>
      <c r="AN2349">
        <v>4700</v>
      </c>
      <c r="AO2349" t="s">
        <v>115</v>
      </c>
      <c r="AP2349">
        <v>133</v>
      </c>
      <c r="AQ2349">
        <v>123</v>
      </c>
      <c r="AR2349">
        <v>0</v>
      </c>
      <c r="AZ2349">
        <v>3614</v>
      </c>
      <c r="BA2349">
        <v>1</v>
      </c>
      <c r="BB2349" t="str">
        <f t="shared" si="110"/>
        <v xml:space="preserve">N959MJ  </v>
      </c>
      <c r="BC2349">
        <v>1</v>
      </c>
      <c r="BE2349">
        <v>0</v>
      </c>
      <c r="BF2349">
        <v>0</v>
      </c>
      <c r="BG2349">
        <v>0</v>
      </c>
      <c r="BH2349">
        <v>4900</v>
      </c>
      <c r="BI2349">
        <v>200</v>
      </c>
      <c r="BJ2349">
        <v>1</v>
      </c>
      <c r="BK2349">
        <v>1</v>
      </c>
      <c r="BL2349">
        <v>1</v>
      </c>
      <c r="BM2349">
        <v>0</v>
      </c>
      <c r="BP2349">
        <v>0</v>
      </c>
      <c r="BQ2349">
        <v>0</v>
      </c>
      <c r="BX2349" t="str">
        <f>"14:29:29.555"</f>
        <v>14:29:29.555</v>
      </c>
      <c r="BY2349" t="str">
        <f>"553777931"</f>
        <v>553777931</v>
      </c>
      <c r="CL2349">
        <v>0</v>
      </c>
      <c r="CM2349">
        <v>2</v>
      </c>
      <c r="CN2349">
        <v>0</v>
      </c>
      <c r="CO2349">
        <v>2</v>
      </c>
      <c r="CP2349">
        <v>0</v>
      </c>
      <c r="CQ2349">
        <v>7</v>
      </c>
      <c r="CR2349" t="s">
        <v>116</v>
      </c>
      <c r="CS2349">
        <v>39</v>
      </c>
      <c r="CT2349">
        <v>3</v>
      </c>
      <c r="CU2349" t="s">
        <v>2259</v>
      </c>
      <c r="CV2349" t="s">
        <v>2260</v>
      </c>
      <c r="CY2349">
        <v>11056248</v>
      </c>
      <c r="CZ2349" t="s">
        <v>119</v>
      </c>
    </row>
    <row r="2350" spans="1:104" x14ac:dyDescent="0.25">
      <c r="A2350" t="str">
        <f>"14:29:30.617"</f>
        <v>14:29:30.617</v>
      </c>
      <c r="B2350" t="s">
        <v>108</v>
      </c>
      <c r="C2350" t="str">
        <f t="shared" si="109"/>
        <v>ffdfd3c0</v>
      </c>
      <c r="D2350" t="s">
        <v>109</v>
      </c>
      <c r="E2350">
        <v>4</v>
      </c>
      <c r="F2350">
        <v>1004</v>
      </c>
      <c r="G2350" t="s">
        <v>110</v>
      </c>
      <c r="J2350" t="s">
        <v>111</v>
      </c>
      <c r="K2350">
        <v>0</v>
      </c>
      <c r="L2350">
        <v>3</v>
      </c>
      <c r="M2350">
        <v>0</v>
      </c>
      <c r="N2350">
        <v>2</v>
      </c>
      <c r="O2350">
        <v>1</v>
      </c>
      <c r="P2350">
        <v>0</v>
      </c>
      <c r="Q2350">
        <v>0</v>
      </c>
      <c r="R2350" t="s">
        <v>112</v>
      </c>
      <c r="S2350" t="str">
        <f>"14:29:30.461"</f>
        <v>14:29:30.461</v>
      </c>
      <c r="T2350" t="str">
        <f>"14:29:30.063"</f>
        <v>14:29:30.063</v>
      </c>
      <c r="U2350" t="str">
        <f t="shared" si="108"/>
        <v>ad5732</v>
      </c>
      <c r="V2350">
        <v>0</v>
      </c>
      <c r="W2350">
        <v>0</v>
      </c>
      <c r="X2350">
        <v>1</v>
      </c>
      <c r="Z2350">
        <v>0</v>
      </c>
      <c r="AA2350">
        <v>9</v>
      </c>
      <c r="AB2350">
        <v>3</v>
      </c>
      <c r="AC2350">
        <v>0</v>
      </c>
      <c r="AD2350">
        <v>10</v>
      </c>
      <c r="AE2350">
        <v>0</v>
      </c>
      <c r="AF2350">
        <v>3</v>
      </c>
      <c r="AG2350">
        <v>2</v>
      </c>
      <c r="AH2350">
        <v>0</v>
      </c>
      <c r="AI2350" t="s">
        <v>4809</v>
      </c>
      <c r="AJ2350">
        <v>39.997444000000002</v>
      </c>
      <c r="AK2350" t="s">
        <v>4810</v>
      </c>
      <c r="AL2350">
        <v>-75.558107000000007</v>
      </c>
      <c r="AM2350">
        <v>100</v>
      </c>
      <c r="AN2350">
        <v>4700</v>
      </c>
      <c r="AO2350" t="s">
        <v>115</v>
      </c>
      <c r="AP2350">
        <v>132</v>
      </c>
      <c r="AQ2350">
        <v>123</v>
      </c>
      <c r="AR2350">
        <v>0</v>
      </c>
      <c r="AZ2350">
        <v>3614</v>
      </c>
      <c r="BA2350">
        <v>1</v>
      </c>
      <c r="BB2350" t="str">
        <f t="shared" si="110"/>
        <v xml:space="preserve">N959MJ  </v>
      </c>
      <c r="BC2350">
        <v>1</v>
      </c>
      <c r="BE2350">
        <v>0</v>
      </c>
      <c r="BF2350">
        <v>0</v>
      </c>
      <c r="BG2350">
        <v>0</v>
      </c>
      <c r="BH2350">
        <v>4900</v>
      </c>
      <c r="BI2350">
        <v>200</v>
      </c>
      <c r="BJ2350">
        <v>1</v>
      </c>
      <c r="BK2350">
        <v>1</v>
      </c>
      <c r="BL2350">
        <v>1</v>
      </c>
      <c r="BM2350">
        <v>0</v>
      </c>
      <c r="BP2350">
        <v>0</v>
      </c>
      <c r="BQ2350">
        <v>0</v>
      </c>
      <c r="BX2350" t="str">
        <f>"14:29:30.461"</f>
        <v>14:29:30.461</v>
      </c>
      <c r="BY2350" t="str">
        <f>"464744234"</f>
        <v>464744234</v>
      </c>
      <c r="CL2350">
        <v>0</v>
      </c>
      <c r="CM2350">
        <v>2</v>
      </c>
      <c r="CN2350">
        <v>0</v>
      </c>
      <c r="CO2350">
        <v>2</v>
      </c>
      <c r="CP2350">
        <v>0</v>
      </c>
      <c r="CQ2350">
        <v>7</v>
      </c>
      <c r="CR2350" t="s">
        <v>116</v>
      </c>
      <c r="CS2350">
        <v>39</v>
      </c>
      <c r="CT2350">
        <v>0</v>
      </c>
      <c r="CU2350" t="s">
        <v>2259</v>
      </c>
      <c r="CV2350" t="s">
        <v>2260</v>
      </c>
      <c r="CY2350">
        <v>1702780</v>
      </c>
      <c r="CZ2350" t="s">
        <v>119</v>
      </c>
    </row>
    <row r="2351" spans="1:104" x14ac:dyDescent="0.25">
      <c r="A2351" t="str">
        <f>"14:29:31.781"</f>
        <v>14:29:31.781</v>
      </c>
      <c r="B2351" t="s">
        <v>108</v>
      </c>
      <c r="C2351" t="str">
        <f t="shared" si="109"/>
        <v>ffdfd3c0</v>
      </c>
      <c r="D2351" t="s">
        <v>109</v>
      </c>
      <c r="E2351">
        <v>4</v>
      </c>
      <c r="F2351">
        <v>1004</v>
      </c>
      <c r="G2351" t="s">
        <v>110</v>
      </c>
      <c r="J2351" t="s">
        <v>111</v>
      </c>
      <c r="K2351">
        <v>0</v>
      </c>
      <c r="L2351">
        <v>3</v>
      </c>
      <c r="M2351">
        <v>0</v>
      </c>
      <c r="N2351">
        <v>2</v>
      </c>
      <c r="O2351">
        <v>1</v>
      </c>
      <c r="P2351">
        <v>0</v>
      </c>
      <c r="Q2351">
        <v>0</v>
      </c>
      <c r="R2351" t="s">
        <v>112</v>
      </c>
      <c r="S2351" t="str">
        <f>"14:29:31.578"</f>
        <v>14:29:31.578</v>
      </c>
      <c r="T2351" t="str">
        <f>"14:29:31.078"</f>
        <v>14:29:31.078</v>
      </c>
      <c r="U2351" t="str">
        <f t="shared" si="108"/>
        <v>ad5732</v>
      </c>
      <c r="V2351">
        <v>0</v>
      </c>
      <c r="W2351">
        <v>0</v>
      </c>
      <c r="X2351">
        <v>1</v>
      </c>
      <c r="Z2351">
        <v>0</v>
      </c>
      <c r="AA2351">
        <v>9</v>
      </c>
      <c r="AB2351">
        <v>3</v>
      </c>
      <c r="AC2351">
        <v>0</v>
      </c>
      <c r="AD2351">
        <v>10</v>
      </c>
      <c r="AE2351">
        <v>0</v>
      </c>
      <c r="AF2351">
        <v>3</v>
      </c>
      <c r="AG2351">
        <v>2</v>
      </c>
      <c r="AH2351">
        <v>0</v>
      </c>
      <c r="AI2351" t="s">
        <v>4811</v>
      </c>
      <c r="AJ2351">
        <v>39.998108999999999</v>
      </c>
      <c r="AK2351" t="s">
        <v>4812</v>
      </c>
      <c r="AL2351">
        <v>-75.557184000000007</v>
      </c>
      <c r="AM2351">
        <v>100</v>
      </c>
      <c r="AN2351">
        <v>4700</v>
      </c>
      <c r="AO2351" t="s">
        <v>115</v>
      </c>
      <c r="AP2351">
        <v>133</v>
      </c>
      <c r="AQ2351">
        <v>123</v>
      </c>
      <c r="AR2351">
        <v>-64</v>
      </c>
      <c r="AZ2351">
        <v>3614</v>
      </c>
      <c r="BA2351">
        <v>1</v>
      </c>
      <c r="BB2351" t="str">
        <f t="shared" si="110"/>
        <v xml:space="preserve">N959MJ  </v>
      </c>
      <c r="BC2351">
        <v>1</v>
      </c>
      <c r="BE2351">
        <v>0</v>
      </c>
      <c r="BF2351">
        <v>0</v>
      </c>
      <c r="BG2351">
        <v>0</v>
      </c>
      <c r="BH2351">
        <v>4900</v>
      </c>
      <c r="BI2351">
        <v>200</v>
      </c>
      <c r="BJ2351">
        <v>1</v>
      </c>
      <c r="BK2351">
        <v>1</v>
      </c>
      <c r="BL2351">
        <v>1</v>
      </c>
      <c r="BM2351">
        <v>0</v>
      </c>
      <c r="BP2351">
        <v>0</v>
      </c>
      <c r="BQ2351">
        <v>0</v>
      </c>
      <c r="BX2351" t="str">
        <f>"14:29:31.586"</f>
        <v>14:29:31.586</v>
      </c>
      <c r="BY2351" t="str">
        <f>"585429478"</f>
        <v>585429478</v>
      </c>
      <c r="CL2351">
        <v>0</v>
      </c>
      <c r="CM2351">
        <v>2</v>
      </c>
      <c r="CN2351">
        <v>0</v>
      </c>
      <c r="CO2351">
        <v>2</v>
      </c>
      <c r="CP2351">
        <v>0</v>
      </c>
      <c r="CQ2351">
        <v>7</v>
      </c>
      <c r="CR2351" t="s">
        <v>116</v>
      </c>
      <c r="CS2351">
        <v>39</v>
      </c>
      <c r="CT2351">
        <v>0</v>
      </c>
      <c r="CU2351" t="s">
        <v>2259</v>
      </c>
      <c r="CV2351" t="s">
        <v>2260</v>
      </c>
      <c r="CY2351">
        <v>1704656</v>
      </c>
      <c r="CZ2351" t="s">
        <v>119</v>
      </c>
    </row>
    <row r="2352" spans="1:104" x14ac:dyDescent="0.25">
      <c r="A2352" t="str">
        <f>"14:29:32.695"</f>
        <v>14:29:32.695</v>
      </c>
      <c r="B2352" t="s">
        <v>108</v>
      </c>
      <c r="C2352" t="str">
        <f t="shared" si="109"/>
        <v>ffdfd3c0</v>
      </c>
      <c r="D2352" t="s">
        <v>109</v>
      </c>
      <c r="E2352">
        <v>4</v>
      </c>
      <c r="F2352">
        <v>1004</v>
      </c>
      <c r="G2352" t="s">
        <v>110</v>
      </c>
      <c r="J2352" t="s">
        <v>111</v>
      </c>
      <c r="K2352">
        <v>0</v>
      </c>
      <c r="L2352">
        <v>3</v>
      </c>
      <c r="M2352">
        <v>0</v>
      </c>
      <c r="N2352">
        <v>2</v>
      </c>
      <c r="O2352">
        <v>1</v>
      </c>
      <c r="P2352">
        <v>0</v>
      </c>
      <c r="Q2352">
        <v>0</v>
      </c>
      <c r="R2352" t="s">
        <v>112</v>
      </c>
      <c r="S2352" t="str">
        <f>"14:29:32.523"</f>
        <v>14:29:32.523</v>
      </c>
      <c r="T2352" t="str">
        <f>"14:29:32.125"</f>
        <v>14:29:32.125</v>
      </c>
      <c r="U2352" t="str">
        <f t="shared" si="108"/>
        <v>ad5732</v>
      </c>
      <c r="V2352">
        <v>0</v>
      </c>
      <c r="W2352">
        <v>0</v>
      </c>
      <c r="X2352">
        <v>1</v>
      </c>
      <c r="Z2352">
        <v>0</v>
      </c>
      <c r="AA2352">
        <v>9</v>
      </c>
      <c r="AB2352">
        <v>3</v>
      </c>
      <c r="AC2352">
        <v>0</v>
      </c>
      <c r="AD2352">
        <v>10</v>
      </c>
      <c r="AE2352">
        <v>0</v>
      </c>
      <c r="AF2352">
        <v>3</v>
      </c>
      <c r="AG2352">
        <v>2</v>
      </c>
      <c r="AH2352">
        <v>0</v>
      </c>
      <c r="AI2352" t="s">
        <v>4813</v>
      </c>
      <c r="AJ2352">
        <v>39.998666999999998</v>
      </c>
      <c r="AK2352" t="s">
        <v>4814</v>
      </c>
      <c r="AL2352">
        <v>-75.556389999999993</v>
      </c>
      <c r="AM2352">
        <v>100</v>
      </c>
      <c r="AN2352">
        <v>4700</v>
      </c>
      <c r="AO2352" t="s">
        <v>115</v>
      </c>
      <c r="AP2352">
        <v>133</v>
      </c>
      <c r="AQ2352">
        <v>123</v>
      </c>
      <c r="AR2352">
        <v>0</v>
      </c>
      <c r="AZ2352">
        <v>3614</v>
      </c>
      <c r="BA2352">
        <v>1</v>
      </c>
      <c r="BB2352" t="str">
        <f t="shared" si="110"/>
        <v xml:space="preserve">N959MJ  </v>
      </c>
      <c r="BC2352">
        <v>1</v>
      </c>
      <c r="BE2352">
        <v>0</v>
      </c>
      <c r="BF2352">
        <v>0</v>
      </c>
      <c r="BG2352">
        <v>0</v>
      </c>
      <c r="BH2352">
        <v>4900</v>
      </c>
      <c r="BI2352">
        <v>200</v>
      </c>
      <c r="BJ2352">
        <v>1</v>
      </c>
      <c r="BK2352">
        <v>1</v>
      </c>
      <c r="BL2352">
        <v>1</v>
      </c>
      <c r="BM2352">
        <v>0</v>
      </c>
      <c r="BP2352">
        <v>0</v>
      </c>
      <c r="BQ2352">
        <v>0</v>
      </c>
      <c r="BX2352" t="str">
        <f>"14:29:32.523"</f>
        <v>14:29:32.523</v>
      </c>
      <c r="BY2352" t="str">
        <f>"524249030"</f>
        <v>524249030</v>
      </c>
      <c r="CL2352">
        <v>0</v>
      </c>
      <c r="CM2352">
        <v>2</v>
      </c>
      <c r="CN2352">
        <v>0</v>
      </c>
      <c r="CO2352">
        <v>2</v>
      </c>
      <c r="CP2352">
        <v>0</v>
      </c>
      <c r="CQ2352">
        <v>7</v>
      </c>
      <c r="CR2352" t="s">
        <v>116</v>
      </c>
      <c r="CS2352">
        <v>39</v>
      </c>
      <c r="CT2352">
        <v>0</v>
      </c>
      <c r="CU2352" t="s">
        <v>2259</v>
      </c>
      <c r="CV2352" t="s">
        <v>2260</v>
      </c>
      <c r="CY2352">
        <v>1706263</v>
      </c>
      <c r="CZ2352" t="s">
        <v>119</v>
      </c>
    </row>
    <row r="2353" spans="1:104" x14ac:dyDescent="0.25">
      <c r="A2353" t="str">
        <f>"14:29:33.695"</f>
        <v>14:29:33.695</v>
      </c>
      <c r="B2353" t="s">
        <v>108</v>
      </c>
      <c r="C2353" t="str">
        <f t="shared" si="109"/>
        <v>ffdfd3c0</v>
      </c>
      <c r="D2353" t="s">
        <v>109</v>
      </c>
      <c r="E2353">
        <v>4</v>
      </c>
      <c r="F2353">
        <v>1004</v>
      </c>
      <c r="G2353" t="s">
        <v>110</v>
      </c>
      <c r="J2353" t="s">
        <v>111</v>
      </c>
      <c r="K2353">
        <v>0</v>
      </c>
      <c r="L2353">
        <v>3</v>
      </c>
      <c r="M2353">
        <v>0</v>
      </c>
      <c r="N2353">
        <v>2</v>
      </c>
      <c r="O2353">
        <v>1</v>
      </c>
      <c r="P2353">
        <v>0</v>
      </c>
      <c r="Q2353">
        <v>0</v>
      </c>
      <c r="R2353" t="s">
        <v>112</v>
      </c>
      <c r="S2353" t="str">
        <f>"14:29:33.539"</f>
        <v>14:29:33.539</v>
      </c>
      <c r="T2353" t="str">
        <f>"14:29:33.039"</f>
        <v>14:29:33.039</v>
      </c>
      <c r="U2353" t="str">
        <f t="shared" si="108"/>
        <v>ad5732</v>
      </c>
      <c r="V2353">
        <v>0</v>
      </c>
      <c r="W2353">
        <v>0</v>
      </c>
      <c r="X2353">
        <v>1</v>
      </c>
      <c r="Z2353">
        <v>0</v>
      </c>
      <c r="AA2353">
        <v>9</v>
      </c>
      <c r="AB2353">
        <v>3</v>
      </c>
      <c r="AC2353">
        <v>0</v>
      </c>
      <c r="AD2353">
        <v>10</v>
      </c>
      <c r="AE2353">
        <v>0</v>
      </c>
      <c r="AF2353">
        <v>3</v>
      </c>
      <c r="AG2353">
        <v>2</v>
      </c>
      <c r="AH2353">
        <v>0</v>
      </c>
      <c r="AI2353" t="s">
        <v>4815</v>
      </c>
      <c r="AJ2353">
        <v>39.999203999999999</v>
      </c>
      <c r="AK2353" t="s">
        <v>4816</v>
      </c>
      <c r="AL2353">
        <v>-75.555595999999994</v>
      </c>
      <c r="AM2353">
        <v>100</v>
      </c>
      <c r="AN2353">
        <v>4700</v>
      </c>
      <c r="AO2353" t="s">
        <v>115</v>
      </c>
      <c r="AP2353">
        <v>133</v>
      </c>
      <c r="AQ2353">
        <v>123</v>
      </c>
      <c r="AR2353">
        <v>0</v>
      </c>
      <c r="AZ2353">
        <v>3614</v>
      </c>
      <c r="BA2353">
        <v>1</v>
      </c>
      <c r="BB2353" t="str">
        <f t="shared" si="110"/>
        <v xml:space="preserve">N959MJ  </v>
      </c>
      <c r="BC2353">
        <v>1</v>
      </c>
      <c r="BE2353">
        <v>0</v>
      </c>
      <c r="BF2353">
        <v>0</v>
      </c>
      <c r="BG2353">
        <v>0</v>
      </c>
      <c r="BH2353">
        <v>4900</v>
      </c>
      <c r="BI2353">
        <v>200</v>
      </c>
      <c r="BJ2353">
        <v>1</v>
      </c>
      <c r="BK2353">
        <v>1</v>
      </c>
      <c r="BL2353">
        <v>1</v>
      </c>
      <c r="BM2353">
        <v>0</v>
      </c>
      <c r="BP2353">
        <v>0</v>
      </c>
      <c r="BQ2353">
        <v>0</v>
      </c>
      <c r="BX2353" t="str">
        <f>"14:29:33.539"</f>
        <v>14:29:33.539</v>
      </c>
      <c r="BY2353" t="str">
        <f>"540074815"</f>
        <v>540074815</v>
      </c>
      <c r="CL2353">
        <v>0</v>
      </c>
      <c r="CM2353">
        <v>2</v>
      </c>
      <c r="CN2353">
        <v>0</v>
      </c>
      <c r="CO2353">
        <v>2</v>
      </c>
      <c r="CP2353">
        <v>0</v>
      </c>
      <c r="CQ2353">
        <v>7</v>
      </c>
      <c r="CR2353" t="s">
        <v>116</v>
      </c>
      <c r="CS2353">
        <v>39</v>
      </c>
      <c r="CT2353">
        <v>0</v>
      </c>
      <c r="CU2353" t="s">
        <v>2259</v>
      </c>
      <c r="CV2353" t="s">
        <v>2260</v>
      </c>
      <c r="CY2353">
        <v>1707947</v>
      </c>
      <c r="CZ2353" t="s">
        <v>119</v>
      </c>
    </row>
    <row r="2354" spans="1:104" x14ac:dyDescent="0.25">
      <c r="A2354" t="str">
        <f>"14:29:34.609"</f>
        <v>14:29:34.609</v>
      </c>
      <c r="B2354" t="s">
        <v>108</v>
      </c>
      <c r="C2354" t="str">
        <f t="shared" si="109"/>
        <v>ffdfd3c0</v>
      </c>
      <c r="D2354" t="s">
        <v>109</v>
      </c>
      <c r="E2354">
        <v>4</v>
      </c>
      <c r="F2354">
        <v>1004</v>
      </c>
      <c r="G2354" t="s">
        <v>110</v>
      </c>
      <c r="J2354" t="s">
        <v>111</v>
      </c>
      <c r="K2354">
        <v>0</v>
      </c>
      <c r="L2354">
        <v>3</v>
      </c>
      <c r="M2354">
        <v>0</v>
      </c>
      <c r="N2354">
        <v>2</v>
      </c>
      <c r="O2354">
        <v>1</v>
      </c>
      <c r="P2354">
        <v>0</v>
      </c>
      <c r="Q2354">
        <v>0</v>
      </c>
      <c r="R2354" t="s">
        <v>112</v>
      </c>
      <c r="S2354" t="str">
        <f>"14:29:34.438"</f>
        <v>14:29:34.438</v>
      </c>
      <c r="T2354" t="str">
        <f>"14:29:34.039"</f>
        <v>14:29:34.039</v>
      </c>
      <c r="U2354" t="str">
        <f t="shared" si="108"/>
        <v>ad5732</v>
      </c>
      <c r="V2354">
        <v>0</v>
      </c>
      <c r="W2354">
        <v>0</v>
      </c>
      <c r="X2354">
        <v>1</v>
      </c>
      <c r="Z2354">
        <v>0</v>
      </c>
      <c r="AA2354">
        <v>9</v>
      </c>
      <c r="AB2354">
        <v>3</v>
      </c>
      <c r="AC2354">
        <v>0</v>
      </c>
      <c r="AD2354">
        <v>10</v>
      </c>
      <c r="AE2354">
        <v>0</v>
      </c>
      <c r="AF2354">
        <v>3</v>
      </c>
      <c r="AG2354">
        <v>2</v>
      </c>
      <c r="AH2354">
        <v>0</v>
      </c>
      <c r="AI2354" t="s">
        <v>4817</v>
      </c>
      <c r="AJ2354">
        <v>39.999740000000003</v>
      </c>
      <c r="AK2354" t="s">
        <v>4818</v>
      </c>
      <c r="AL2354">
        <v>-75.554845</v>
      </c>
      <c r="AM2354">
        <v>100</v>
      </c>
      <c r="AN2354">
        <v>4700</v>
      </c>
      <c r="AO2354" t="s">
        <v>115</v>
      </c>
      <c r="AP2354">
        <v>133</v>
      </c>
      <c r="AQ2354">
        <v>123</v>
      </c>
      <c r="AR2354">
        <v>0</v>
      </c>
      <c r="AZ2354">
        <v>3614</v>
      </c>
      <c r="BA2354">
        <v>1</v>
      </c>
      <c r="BB2354" t="str">
        <f t="shared" si="110"/>
        <v xml:space="preserve">N959MJ  </v>
      </c>
      <c r="BC2354">
        <v>1</v>
      </c>
      <c r="BE2354">
        <v>0</v>
      </c>
      <c r="BF2354">
        <v>0</v>
      </c>
      <c r="BG2354">
        <v>0</v>
      </c>
      <c r="BH2354">
        <v>4900</v>
      </c>
      <c r="BI2354">
        <v>200</v>
      </c>
      <c r="BJ2354">
        <v>1</v>
      </c>
      <c r="BK2354">
        <v>1</v>
      </c>
      <c r="BL2354">
        <v>1</v>
      </c>
      <c r="BM2354">
        <v>0</v>
      </c>
      <c r="BP2354">
        <v>0</v>
      </c>
      <c r="BQ2354">
        <v>0</v>
      </c>
      <c r="BX2354" t="str">
        <f>"14:29:34.445"</f>
        <v>14:29:34.445</v>
      </c>
      <c r="BY2354" t="str">
        <f>"444487446"</f>
        <v>444487446</v>
      </c>
      <c r="CL2354">
        <v>0</v>
      </c>
      <c r="CM2354">
        <v>2</v>
      </c>
      <c r="CN2354">
        <v>0</v>
      </c>
      <c r="CO2354">
        <v>2</v>
      </c>
      <c r="CP2354">
        <v>0</v>
      </c>
      <c r="CQ2354">
        <v>7</v>
      </c>
      <c r="CR2354" t="s">
        <v>116</v>
      </c>
      <c r="CS2354">
        <v>39</v>
      </c>
      <c r="CT2354">
        <v>3</v>
      </c>
      <c r="CU2354" t="s">
        <v>2259</v>
      </c>
      <c r="CV2354" t="s">
        <v>2260</v>
      </c>
      <c r="CY2354">
        <v>11064890</v>
      </c>
      <c r="CZ2354" t="s">
        <v>119</v>
      </c>
    </row>
    <row r="2355" spans="1:104" x14ac:dyDescent="0.25">
      <c r="A2355" t="str">
        <f>"14:29:35.461"</f>
        <v>14:29:35.461</v>
      </c>
      <c r="B2355" t="s">
        <v>108</v>
      </c>
      <c r="C2355" t="str">
        <f t="shared" si="109"/>
        <v>ffdfd3c0</v>
      </c>
      <c r="D2355" t="s">
        <v>109</v>
      </c>
      <c r="E2355">
        <v>4</v>
      </c>
      <c r="F2355">
        <v>1004</v>
      </c>
      <c r="G2355" t="s">
        <v>110</v>
      </c>
      <c r="J2355" t="s">
        <v>111</v>
      </c>
      <c r="K2355">
        <v>0</v>
      </c>
      <c r="L2355">
        <v>3</v>
      </c>
      <c r="M2355">
        <v>0</v>
      </c>
      <c r="N2355">
        <v>2</v>
      </c>
      <c r="O2355">
        <v>1</v>
      </c>
      <c r="P2355">
        <v>0</v>
      </c>
      <c r="Q2355">
        <v>0</v>
      </c>
      <c r="R2355" t="s">
        <v>112</v>
      </c>
      <c r="S2355" t="str">
        <f>"14:29:35.281"</f>
        <v>14:29:35.281</v>
      </c>
      <c r="T2355" t="str">
        <f>"14:29:34.484"</f>
        <v>14:29:34.484</v>
      </c>
      <c r="U2355" t="str">
        <f t="shared" si="108"/>
        <v>ad5732</v>
      </c>
      <c r="V2355">
        <v>0</v>
      </c>
      <c r="W2355">
        <v>0</v>
      </c>
      <c r="X2355">
        <v>1</v>
      </c>
      <c r="Z2355">
        <v>0</v>
      </c>
      <c r="AA2355">
        <v>9</v>
      </c>
      <c r="AB2355">
        <v>3</v>
      </c>
      <c r="AC2355">
        <v>0</v>
      </c>
      <c r="AD2355">
        <v>10</v>
      </c>
      <c r="AE2355">
        <v>0</v>
      </c>
      <c r="AF2355">
        <v>3</v>
      </c>
      <c r="AG2355">
        <v>2</v>
      </c>
      <c r="AH2355">
        <v>0</v>
      </c>
      <c r="AI2355" t="s">
        <v>4819</v>
      </c>
      <c r="AJ2355">
        <v>40.000191000000001</v>
      </c>
      <c r="AK2355" t="s">
        <v>4820</v>
      </c>
      <c r="AL2355">
        <v>-75.554222999999993</v>
      </c>
      <c r="AM2355">
        <v>100</v>
      </c>
      <c r="AN2355">
        <v>4700</v>
      </c>
      <c r="AO2355" t="s">
        <v>115</v>
      </c>
      <c r="AP2355">
        <v>133</v>
      </c>
      <c r="AQ2355">
        <v>123</v>
      </c>
      <c r="AR2355">
        <v>-64</v>
      </c>
      <c r="AZ2355">
        <v>3614</v>
      </c>
      <c r="BA2355">
        <v>1</v>
      </c>
      <c r="BB2355" t="str">
        <f t="shared" si="110"/>
        <v xml:space="preserve">N959MJ  </v>
      </c>
      <c r="BC2355">
        <v>1</v>
      </c>
      <c r="BE2355">
        <v>0</v>
      </c>
      <c r="BF2355">
        <v>0</v>
      </c>
      <c r="BG2355">
        <v>0</v>
      </c>
      <c r="BH2355">
        <v>4900</v>
      </c>
      <c r="BI2355">
        <v>200</v>
      </c>
      <c r="BJ2355">
        <v>1</v>
      </c>
      <c r="BK2355">
        <v>1</v>
      </c>
      <c r="BL2355">
        <v>1</v>
      </c>
      <c r="BM2355">
        <v>0</v>
      </c>
      <c r="BP2355">
        <v>0</v>
      </c>
      <c r="BQ2355">
        <v>0</v>
      </c>
      <c r="BX2355" t="str">
        <f>"14:29:35.289"</f>
        <v>14:29:35.289</v>
      </c>
      <c r="BY2355" t="str">
        <f>"288278189"</f>
        <v>288278189</v>
      </c>
      <c r="CL2355">
        <v>0</v>
      </c>
      <c r="CM2355">
        <v>2</v>
      </c>
      <c r="CN2355">
        <v>0</v>
      </c>
      <c r="CO2355">
        <v>2</v>
      </c>
      <c r="CP2355">
        <v>0</v>
      </c>
      <c r="CQ2355">
        <v>7</v>
      </c>
      <c r="CR2355" t="s">
        <v>116</v>
      </c>
      <c r="CS2355">
        <v>39</v>
      </c>
      <c r="CT2355">
        <v>0</v>
      </c>
      <c r="CU2355" t="s">
        <v>2259</v>
      </c>
      <c r="CV2355" t="s">
        <v>2260</v>
      </c>
      <c r="CY2355">
        <v>1710973</v>
      </c>
      <c r="CZ2355" t="s">
        <v>119</v>
      </c>
    </row>
    <row r="2356" spans="1:104" x14ac:dyDescent="0.25">
      <c r="A2356" t="str">
        <f>"14:29:36.523"</f>
        <v>14:29:36.523</v>
      </c>
      <c r="B2356" t="s">
        <v>108</v>
      </c>
      <c r="C2356" t="str">
        <f t="shared" si="109"/>
        <v>ffdfd3c0</v>
      </c>
      <c r="D2356" t="s">
        <v>109</v>
      </c>
      <c r="E2356">
        <v>4</v>
      </c>
      <c r="F2356">
        <v>1004</v>
      </c>
      <c r="G2356" t="s">
        <v>110</v>
      </c>
      <c r="J2356" t="s">
        <v>111</v>
      </c>
      <c r="K2356">
        <v>0</v>
      </c>
      <c r="L2356">
        <v>3</v>
      </c>
      <c r="M2356">
        <v>0</v>
      </c>
      <c r="N2356">
        <v>2</v>
      </c>
      <c r="O2356">
        <v>1</v>
      </c>
      <c r="P2356">
        <v>0</v>
      </c>
      <c r="Q2356">
        <v>0</v>
      </c>
      <c r="R2356" t="s">
        <v>112</v>
      </c>
      <c r="S2356" t="str">
        <f>"14:29:36.359"</f>
        <v>14:29:36.359</v>
      </c>
      <c r="T2356" t="str">
        <f>"14:29:35.961"</f>
        <v>14:29:35.961</v>
      </c>
      <c r="U2356" t="str">
        <f t="shared" si="108"/>
        <v>ad5732</v>
      </c>
      <c r="V2356">
        <v>0</v>
      </c>
      <c r="W2356">
        <v>0</v>
      </c>
      <c r="X2356">
        <v>1</v>
      </c>
      <c r="Z2356">
        <v>0</v>
      </c>
      <c r="AA2356">
        <v>9</v>
      </c>
      <c r="AB2356">
        <v>3</v>
      </c>
      <c r="AC2356">
        <v>0</v>
      </c>
      <c r="AD2356">
        <v>10</v>
      </c>
      <c r="AE2356">
        <v>0</v>
      </c>
      <c r="AF2356">
        <v>3</v>
      </c>
      <c r="AG2356">
        <v>2</v>
      </c>
      <c r="AH2356">
        <v>0</v>
      </c>
      <c r="AI2356" t="s">
        <v>4821</v>
      </c>
      <c r="AJ2356">
        <v>40.000813000000001</v>
      </c>
      <c r="AK2356" t="s">
        <v>4822</v>
      </c>
      <c r="AL2356">
        <v>-75.553342999999998</v>
      </c>
      <c r="AM2356">
        <v>100</v>
      </c>
      <c r="AN2356">
        <v>4700</v>
      </c>
      <c r="AO2356" t="s">
        <v>115</v>
      </c>
      <c r="AP2356">
        <v>133</v>
      </c>
      <c r="AQ2356">
        <v>123</v>
      </c>
      <c r="AR2356">
        <v>64</v>
      </c>
      <c r="AZ2356">
        <v>3614</v>
      </c>
      <c r="BA2356">
        <v>1</v>
      </c>
      <c r="BB2356" t="str">
        <f t="shared" si="110"/>
        <v xml:space="preserve">N959MJ  </v>
      </c>
      <c r="BC2356">
        <v>1</v>
      </c>
      <c r="BE2356">
        <v>0</v>
      </c>
      <c r="BF2356">
        <v>0</v>
      </c>
      <c r="BG2356">
        <v>0</v>
      </c>
      <c r="BH2356">
        <v>4900</v>
      </c>
      <c r="BI2356">
        <v>200</v>
      </c>
      <c r="BJ2356">
        <v>1</v>
      </c>
      <c r="BK2356">
        <v>1</v>
      </c>
      <c r="BL2356">
        <v>1</v>
      </c>
      <c r="BM2356">
        <v>0</v>
      </c>
      <c r="BP2356">
        <v>0</v>
      </c>
      <c r="BQ2356">
        <v>0</v>
      </c>
      <c r="BX2356" t="str">
        <f>"14:29:36.367"</f>
        <v>14:29:36.367</v>
      </c>
      <c r="BY2356" t="str">
        <f>"364725831"</f>
        <v>364725831</v>
      </c>
      <c r="CL2356">
        <v>0</v>
      </c>
      <c r="CM2356">
        <v>2</v>
      </c>
      <c r="CN2356">
        <v>0</v>
      </c>
      <c r="CO2356">
        <v>2</v>
      </c>
      <c r="CP2356">
        <v>0</v>
      </c>
      <c r="CQ2356">
        <v>7</v>
      </c>
      <c r="CR2356" t="s">
        <v>116</v>
      </c>
      <c r="CS2356">
        <v>39</v>
      </c>
      <c r="CT2356">
        <v>0</v>
      </c>
      <c r="CU2356" t="s">
        <v>2259</v>
      </c>
      <c r="CV2356" t="s">
        <v>2260</v>
      </c>
      <c r="CY2356">
        <v>1712707</v>
      </c>
      <c r="CZ2356" t="s">
        <v>119</v>
      </c>
    </row>
    <row r="2357" spans="1:104" x14ac:dyDescent="0.25">
      <c r="A2357" t="str">
        <f>"14:29:37.484"</f>
        <v>14:29:37.484</v>
      </c>
      <c r="B2357" t="s">
        <v>108</v>
      </c>
      <c r="C2357" t="str">
        <f t="shared" si="109"/>
        <v>ffdfd3c0</v>
      </c>
      <c r="D2357" t="s">
        <v>109</v>
      </c>
      <c r="E2357">
        <v>4</v>
      </c>
      <c r="F2357">
        <v>1004</v>
      </c>
      <c r="G2357" t="s">
        <v>110</v>
      </c>
      <c r="J2357" t="s">
        <v>111</v>
      </c>
      <c r="K2357">
        <v>0</v>
      </c>
      <c r="L2357">
        <v>3</v>
      </c>
      <c r="M2357">
        <v>0</v>
      </c>
      <c r="N2357">
        <v>2</v>
      </c>
      <c r="O2357">
        <v>1</v>
      </c>
      <c r="P2357">
        <v>0</v>
      </c>
      <c r="Q2357">
        <v>0</v>
      </c>
      <c r="R2357" t="s">
        <v>112</v>
      </c>
      <c r="S2357" t="str">
        <f>"14:29:37.305"</f>
        <v>14:29:37.305</v>
      </c>
      <c r="T2357" t="str">
        <f>"14:29:36.906"</f>
        <v>14:29:36.906</v>
      </c>
      <c r="U2357" t="str">
        <f t="shared" si="108"/>
        <v>ad5732</v>
      </c>
      <c r="V2357">
        <v>0</v>
      </c>
      <c r="W2357">
        <v>0</v>
      </c>
      <c r="X2357">
        <v>1</v>
      </c>
      <c r="Z2357">
        <v>0</v>
      </c>
      <c r="AA2357">
        <v>9</v>
      </c>
      <c r="AB2357">
        <v>3</v>
      </c>
      <c r="AC2357">
        <v>0</v>
      </c>
      <c r="AD2357">
        <v>10</v>
      </c>
      <c r="AE2357">
        <v>0</v>
      </c>
      <c r="AF2357">
        <v>3</v>
      </c>
      <c r="AG2357">
        <v>2</v>
      </c>
      <c r="AH2357">
        <v>0</v>
      </c>
      <c r="AI2357" t="s">
        <v>4823</v>
      </c>
      <c r="AJ2357">
        <v>40.001413999999997</v>
      </c>
      <c r="AK2357" t="s">
        <v>4824</v>
      </c>
      <c r="AL2357">
        <v>-75.552548999999999</v>
      </c>
      <c r="AM2357">
        <v>100</v>
      </c>
      <c r="AN2357">
        <v>4700</v>
      </c>
      <c r="AO2357" t="s">
        <v>115</v>
      </c>
      <c r="AP2357">
        <v>133</v>
      </c>
      <c r="AQ2357">
        <v>123</v>
      </c>
      <c r="AR2357">
        <v>64</v>
      </c>
      <c r="AZ2357">
        <v>3614</v>
      </c>
      <c r="BA2357">
        <v>1</v>
      </c>
      <c r="BB2357" t="str">
        <f t="shared" si="110"/>
        <v xml:space="preserve">N959MJ  </v>
      </c>
      <c r="BC2357">
        <v>1</v>
      </c>
      <c r="BE2357">
        <v>0</v>
      </c>
      <c r="BF2357">
        <v>0</v>
      </c>
      <c r="BG2357">
        <v>0</v>
      </c>
      <c r="BH2357">
        <v>4900</v>
      </c>
      <c r="BI2357">
        <v>200</v>
      </c>
      <c r="BJ2357">
        <v>1</v>
      </c>
      <c r="BK2357">
        <v>1</v>
      </c>
      <c r="BL2357">
        <v>1</v>
      </c>
      <c r="BM2357">
        <v>0</v>
      </c>
      <c r="BP2357">
        <v>0</v>
      </c>
      <c r="BQ2357">
        <v>0</v>
      </c>
      <c r="BX2357" t="str">
        <f>"14:29:37.313"</f>
        <v>14:29:37.313</v>
      </c>
      <c r="BY2357" t="str">
        <f>"310099216"</f>
        <v>310099216</v>
      </c>
      <c r="CL2357">
        <v>0</v>
      </c>
      <c r="CM2357">
        <v>2</v>
      </c>
      <c r="CN2357">
        <v>0</v>
      </c>
      <c r="CO2357">
        <v>2</v>
      </c>
      <c r="CP2357">
        <v>0</v>
      </c>
      <c r="CQ2357">
        <v>7</v>
      </c>
      <c r="CR2357" t="s">
        <v>116</v>
      </c>
      <c r="CS2357">
        <v>39</v>
      </c>
      <c r="CT2357">
        <v>0</v>
      </c>
      <c r="CU2357" t="s">
        <v>2259</v>
      </c>
      <c r="CV2357" t="s">
        <v>2260</v>
      </c>
      <c r="CY2357">
        <v>1714275</v>
      </c>
      <c r="CZ2357" t="s">
        <v>119</v>
      </c>
    </row>
    <row r="2358" spans="1:104" x14ac:dyDescent="0.25">
      <c r="A2358" t="str">
        <f>"14:29:38.391"</f>
        <v>14:29:38.391</v>
      </c>
      <c r="B2358" t="s">
        <v>108</v>
      </c>
      <c r="C2358" t="str">
        <f t="shared" si="109"/>
        <v>ffdfd3c0</v>
      </c>
      <c r="D2358" t="s">
        <v>109</v>
      </c>
      <c r="E2358">
        <v>4</v>
      </c>
      <c r="F2358">
        <v>1004</v>
      </c>
      <c r="G2358" t="s">
        <v>110</v>
      </c>
      <c r="J2358" t="s">
        <v>111</v>
      </c>
      <c r="K2358">
        <v>0</v>
      </c>
      <c r="L2358">
        <v>3</v>
      </c>
      <c r="M2358">
        <v>0</v>
      </c>
      <c r="N2358">
        <v>2</v>
      </c>
      <c r="O2358">
        <v>1</v>
      </c>
      <c r="P2358">
        <v>0</v>
      </c>
      <c r="Q2358">
        <v>0</v>
      </c>
      <c r="R2358" t="s">
        <v>112</v>
      </c>
      <c r="S2358" t="str">
        <f>"14:29:38.195"</f>
        <v>14:29:38.195</v>
      </c>
      <c r="T2358" t="str">
        <f>"14:29:37.797"</f>
        <v>14:29:37.797</v>
      </c>
      <c r="U2358" t="str">
        <f t="shared" si="108"/>
        <v>ad5732</v>
      </c>
      <c r="V2358">
        <v>0</v>
      </c>
      <c r="W2358">
        <v>0</v>
      </c>
      <c r="X2358">
        <v>1</v>
      </c>
      <c r="Z2358">
        <v>0</v>
      </c>
      <c r="AA2358">
        <v>9</v>
      </c>
      <c r="AB2358">
        <v>3</v>
      </c>
      <c r="AC2358">
        <v>0</v>
      </c>
      <c r="AD2358">
        <v>10</v>
      </c>
      <c r="AE2358">
        <v>0</v>
      </c>
      <c r="AF2358">
        <v>3</v>
      </c>
      <c r="AG2358">
        <v>2</v>
      </c>
      <c r="AH2358">
        <v>0</v>
      </c>
      <c r="AI2358" t="s">
        <v>4825</v>
      </c>
      <c r="AJ2358">
        <v>40.001863999999998</v>
      </c>
      <c r="AK2358" t="s">
        <v>4826</v>
      </c>
      <c r="AL2358">
        <v>-75.551884000000001</v>
      </c>
      <c r="AM2358">
        <v>100</v>
      </c>
      <c r="AN2358">
        <v>4700</v>
      </c>
      <c r="AO2358" t="s">
        <v>115</v>
      </c>
      <c r="AP2358">
        <v>133</v>
      </c>
      <c r="AQ2358">
        <v>123</v>
      </c>
      <c r="AR2358">
        <v>0</v>
      </c>
      <c r="AZ2358">
        <v>3614</v>
      </c>
      <c r="BA2358">
        <v>1</v>
      </c>
      <c r="BB2358" t="str">
        <f t="shared" si="110"/>
        <v xml:space="preserve">N959MJ  </v>
      </c>
      <c r="BC2358">
        <v>1</v>
      </c>
      <c r="BE2358">
        <v>0</v>
      </c>
      <c r="BF2358">
        <v>0</v>
      </c>
      <c r="BG2358">
        <v>0</v>
      </c>
      <c r="BH2358">
        <v>4900</v>
      </c>
      <c r="BI2358">
        <v>200</v>
      </c>
      <c r="BJ2358">
        <v>1</v>
      </c>
      <c r="BK2358">
        <v>1</v>
      </c>
      <c r="BL2358">
        <v>1</v>
      </c>
      <c r="BM2358">
        <v>0</v>
      </c>
      <c r="BP2358">
        <v>0</v>
      </c>
      <c r="BQ2358">
        <v>0</v>
      </c>
      <c r="BX2358" t="str">
        <f>"14:29:38.195"</f>
        <v>14:29:38.195</v>
      </c>
      <c r="BY2358" t="str">
        <f>"196489096"</f>
        <v>196489096</v>
      </c>
      <c r="CL2358">
        <v>0</v>
      </c>
      <c r="CM2358">
        <v>2</v>
      </c>
      <c r="CN2358">
        <v>0</v>
      </c>
      <c r="CO2358">
        <v>2</v>
      </c>
      <c r="CP2358">
        <v>0</v>
      </c>
      <c r="CQ2358">
        <v>7</v>
      </c>
      <c r="CR2358" t="s">
        <v>116</v>
      </c>
      <c r="CS2358">
        <v>39</v>
      </c>
      <c r="CT2358">
        <v>0</v>
      </c>
      <c r="CU2358" t="s">
        <v>2259</v>
      </c>
      <c r="CV2358" t="s">
        <v>2260</v>
      </c>
      <c r="CY2358">
        <v>1715696</v>
      </c>
      <c r="CZ2358" t="s">
        <v>119</v>
      </c>
    </row>
    <row r="2359" spans="1:104" x14ac:dyDescent="0.25">
      <c r="A2359" t="str">
        <f>"14:29:39.250"</f>
        <v>14:29:39.250</v>
      </c>
      <c r="B2359" t="s">
        <v>108</v>
      </c>
      <c r="C2359" t="str">
        <f t="shared" si="109"/>
        <v>ffdfd3c0</v>
      </c>
      <c r="D2359" t="s">
        <v>109</v>
      </c>
      <c r="E2359">
        <v>4</v>
      </c>
      <c r="F2359">
        <v>1004</v>
      </c>
      <c r="G2359" t="s">
        <v>110</v>
      </c>
      <c r="J2359" t="s">
        <v>111</v>
      </c>
      <c r="K2359">
        <v>0</v>
      </c>
      <c r="L2359">
        <v>3</v>
      </c>
      <c r="M2359">
        <v>0</v>
      </c>
      <c r="N2359">
        <v>2</v>
      </c>
      <c r="O2359">
        <v>1</v>
      </c>
      <c r="P2359">
        <v>0</v>
      </c>
      <c r="Q2359">
        <v>0</v>
      </c>
      <c r="R2359" t="s">
        <v>112</v>
      </c>
      <c r="S2359" t="str">
        <f>"14:29:39.055"</f>
        <v>14:29:39.055</v>
      </c>
      <c r="T2359" t="str">
        <f>"14:29:38.656"</f>
        <v>14:29:38.656</v>
      </c>
      <c r="U2359" t="str">
        <f t="shared" si="108"/>
        <v>ad5732</v>
      </c>
      <c r="V2359">
        <v>0</v>
      </c>
      <c r="W2359">
        <v>0</v>
      </c>
      <c r="X2359">
        <v>1</v>
      </c>
      <c r="Z2359">
        <v>0</v>
      </c>
      <c r="AA2359">
        <v>9</v>
      </c>
      <c r="AB2359">
        <v>3</v>
      </c>
      <c r="AC2359">
        <v>0</v>
      </c>
      <c r="AD2359">
        <v>10</v>
      </c>
      <c r="AE2359">
        <v>0</v>
      </c>
      <c r="AF2359">
        <v>3</v>
      </c>
      <c r="AG2359">
        <v>2</v>
      </c>
      <c r="AH2359">
        <v>0</v>
      </c>
      <c r="AI2359" t="s">
        <v>4827</v>
      </c>
      <c r="AJ2359">
        <v>40.002336999999997</v>
      </c>
      <c r="AK2359" t="s">
        <v>4828</v>
      </c>
      <c r="AL2359">
        <v>-75.551175999999998</v>
      </c>
      <c r="AM2359">
        <v>100</v>
      </c>
      <c r="AN2359">
        <v>4700</v>
      </c>
      <c r="AO2359" t="s">
        <v>115</v>
      </c>
      <c r="AP2359">
        <v>132</v>
      </c>
      <c r="AQ2359">
        <v>123</v>
      </c>
      <c r="AR2359">
        <v>64</v>
      </c>
      <c r="AZ2359">
        <v>3614</v>
      </c>
      <c r="BA2359">
        <v>1</v>
      </c>
      <c r="BB2359" t="str">
        <f t="shared" si="110"/>
        <v xml:space="preserve">N959MJ  </v>
      </c>
      <c r="BC2359">
        <v>1</v>
      </c>
      <c r="BE2359">
        <v>0</v>
      </c>
      <c r="BF2359">
        <v>0</v>
      </c>
      <c r="BG2359">
        <v>0</v>
      </c>
      <c r="BH2359">
        <v>4900</v>
      </c>
      <c r="BI2359">
        <v>200</v>
      </c>
      <c r="BJ2359">
        <v>1</v>
      </c>
      <c r="BK2359">
        <v>1</v>
      </c>
      <c r="BL2359">
        <v>1</v>
      </c>
      <c r="BM2359">
        <v>0</v>
      </c>
      <c r="BP2359">
        <v>0</v>
      </c>
      <c r="BQ2359">
        <v>0</v>
      </c>
      <c r="BX2359" t="str">
        <f>"14:29:39.063"</f>
        <v>14:29:39.063</v>
      </c>
      <c r="BY2359" t="str">
        <f>"059941094"</f>
        <v>059941094</v>
      </c>
      <c r="CL2359">
        <v>0</v>
      </c>
      <c r="CM2359">
        <v>2</v>
      </c>
      <c r="CN2359">
        <v>0</v>
      </c>
      <c r="CO2359">
        <v>2</v>
      </c>
      <c r="CP2359">
        <v>0</v>
      </c>
      <c r="CQ2359">
        <v>7</v>
      </c>
      <c r="CR2359" t="s">
        <v>116</v>
      </c>
      <c r="CS2359">
        <v>39</v>
      </c>
      <c r="CT2359">
        <v>0</v>
      </c>
      <c r="CU2359" t="s">
        <v>2259</v>
      </c>
      <c r="CV2359" t="s">
        <v>2260</v>
      </c>
      <c r="CY2359">
        <v>1717241</v>
      </c>
      <c r="CZ2359" t="s">
        <v>119</v>
      </c>
    </row>
    <row r="2360" spans="1:104" x14ac:dyDescent="0.25">
      <c r="A2360" t="str">
        <f>"14:29:40.109"</f>
        <v>14:29:40.109</v>
      </c>
      <c r="B2360" t="s">
        <v>108</v>
      </c>
      <c r="C2360" t="str">
        <f t="shared" si="109"/>
        <v>ffdfd3c0</v>
      </c>
      <c r="D2360" t="s">
        <v>109</v>
      </c>
      <c r="E2360">
        <v>4</v>
      </c>
      <c r="F2360">
        <v>1004</v>
      </c>
      <c r="G2360" t="s">
        <v>110</v>
      </c>
      <c r="J2360" t="s">
        <v>111</v>
      </c>
      <c r="K2360">
        <v>0</v>
      </c>
      <c r="L2360">
        <v>3</v>
      </c>
      <c r="M2360">
        <v>0</v>
      </c>
      <c r="N2360">
        <v>2</v>
      </c>
      <c r="O2360">
        <v>1</v>
      </c>
      <c r="P2360">
        <v>0</v>
      </c>
      <c r="Q2360">
        <v>0</v>
      </c>
      <c r="R2360" t="s">
        <v>112</v>
      </c>
      <c r="S2360" t="str">
        <f>"14:29:39.945"</f>
        <v>14:29:39.945</v>
      </c>
      <c r="T2360" t="str">
        <f>"14:29:39.547"</f>
        <v>14:29:39.547</v>
      </c>
      <c r="U2360" t="str">
        <f t="shared" si="108"/>
        <v>ad5732</v>
      </c>
      <c r="V2360">
        <v>0</v>
      </c>
      <c r="W2360">
        <v>0</v>
      </c>
      <c r="X2360">
        <v>1</v>
      </c>
      <c r="Z2360">
        <v>0</v>
      </c>
      <c r="AA2360">
        <v>9</v>
      </c>
      <c r="AB2360">
        <v>3</v>
      </c>
      <c r="AC2360">
        <v>0</v>
      </c>
      <c r="AD2360">
        <v>10</v>
      </c>
      <c r="AE2360">
        <v>0</v>
      </c>
      <c r="AF2360">
        <v>3</v>
      </c>
      <c r="AG2360">
        <v>2</v>
      </c>
      <c r="AH2360">
        <v>0</v>
      </c>
      <c r="AI2360" t="s">
        <v>4829</v>
      </c>
      <c r="AJ2360">
        <v>40.002873000000001</v>
      </c>
      <c r="AK2360" t="s">
        <v>4830</v>
      </c>
      <c r="AL2360">
        <v>-75.550467999999995</v>
      </c>
      <c r="AM2360">
        <v>100</v>
      </c>
      <c r="AN2360">
        <v>4700</v>
      </c>
      <c r="AO2360" t="s">
        <v>115</v>
      </c>
      <c r="AP2360">
        <v>132</v>
      </c>
      <c r="AQ2360">
        <v>123</v>
      </c>
      <c r="AR2360">
        <v>64</v>
      </c>
      <c r="AZ2360">
        <v>3614</v>
      </c>
      <c r="BA2360">
        <v>1</v>
      </c>
      <c r="BB2360" t="str">
        <f t="shared" si="110"/>
        <v xml:space="preserve">N959MJ  </v>
      </c>
      <c r="BC2360">
        <v>1</v>
      </c>
      <c r="BE2360">
        <v>0</v>
      </c>
      <c r="BF2360">
        <v>0</v>
      </c>
      <c r="BG2360">
        <v>0</v>
      </c>
      <c r="BH2360">
        <v>4900</v>
      </c>
      <c r="BI2360">
        <v>200</v>
      </c>
      <c r="BJ2360">
        <v>1</v>
      </c>
      <c r="BK2360">
        <v>1</v>
      </c>
      <c r="BL2360">
        <v>1</v>
      </c>
      <c r="BM2360">
        <v>0</v>
      </c>
      <c r="BP2360">
        <v>0</v>
      </c>
      <c r="BQ2360">
        <v>0</v>
      </c>
      <c r="BX2360" t="str">
        <f>"14:29:39.945"</f>
        <v>14:29:39.945</v>
      </c>
      <c r="BY2360" t="str">
        <f>"947969354"</f>
        <v>947969354</v>
      </c>
      <c r="CL2360">
        <v>0</v>
      </c>
      <c r="CM2360">
        <v>2</v>
      </c>
      <c r="CN2360">
        <v>0</v>
      </c>
      <c r="CO2360">
        <v>2</v>
      </c>
      <c r="CP2360">
        <v>0</v>
      </c>
      <c r="CQ2360">
        <v>7</v>
      </c>
      <c r="CR2360" t="s">
        <v>116</v>
      </c>
      <c r="CS2360">
        <v>39</v>
      </c>
      <c r="CT2360">
        <v>0</v>
      </c>
      <c r="CU2360" t="s">
        <v>2259</v>
      </c>
      <c r="CV2360" t="s">
        <v>2260</v>
      </c>
      <c r="CY2360">
        <v>1718831</v>
      </c>
      <c r="CZ2360" t="s">
        <v>119</v>
      </c>
    </row>
    <row r="2361" spans="1:104" x14ac:dyDescent="0.25">
      <c r="A2361" t="str">
        <f>"14:29:41.117"</f>
        <v>14:29:41.117</v>
      </c>
      <c r="B2361" t="s">
        <v>108</v>
      </c>
      <c r="C2361" t="str">
        <f t="shared" si="109"/>
        <v>ffdfd3c0</v>
      </c>
      <c r="D2361" t="s">
        <v>109</v>
      </c>
      <c r="E2361">
        <v>4</v>
      </c>
      <c r="F2361">
        <v>1004</v>
      </c>
      <c r="G2361" t="s">
        <v>110</v>
      </c>
      <c r="J2361" t="s">
        <v>111</v>
      </c>
      <c r="K2361">
        <v>0</v>
      </c>
      <c r="L2361">
        <v>3</v>
      </c>
      <c r="M2361">
        <v>0</v>
      </c>
      <c r="N2361">
        <v>2</v>
      </c>
      <c r="O2361">
        <v>1</v>
      </c>
      <c r="P2361">
        <v>0</v>
      </c>
      <c r="Q2361">
        <v>0</v>
      </c>
      <c r="R2361" t="s">
        <v>112</v>
      </c>
      <c r="S2361" t="str">
        <f>"14:29:40.938"</f>
        <v>14:29:40.938</v>
      </c>
      <c r="T2361" t="str">
        <f>"14:29:40.539"</f>
        <v>14:29:40.539</v>
      </c>
      <c r="U2361" t="str">
        <f t="shared" si="108"/>
        <v>ad5732</v>
      </c>
      <c r="V2361">
        <v>0</v>
      </c>
      <c r="W2361">
        <v>0</v>
      </c>
      <c r="X2361">
        <v>1</v>
      </c>
      <c r="Z2361">
        <v>0</v>
      </c>
      <c r="AA2361">
        <v>9</v>
      </c>
      <c r="AB2361">
        <v>3</v>
      </c>
      <c r="AC2361">
        <v>0</v>
      </c>
      <c r="AD2361">
        <v>10</v>
      </c>
      <c r="AE2361">
        <v>0</v>
      </c>
      <c r="AF2361">
        <v>3</v>
      </c>
      <c r="AG2361">
        <v>2</v>
      </c>
      <c r="AH2361">
        <v>0</v>
      </c>
      <c r="AI2361" t="s">
        <v>4831</v>
      </c>
      <c r="AJ2361">
        <v>40.003408999999998</v>
      </c>
      <c r="AK2361" t="s">
        <v>4832</v>
      </c>
      <c r="AL2361">
        <v>-75.549673999999996</v>
      </c>
      <c r="AM2361">
        <v>100</v>
      </c>
      <c r="AN2361">
        <v>4700</v>
      </c>
      <c r="AO2361" t="s">
        <v>115</v>
      </c>
      <c r="AP2361">
        <v>132</v>
      </c>
      <c r="AQ2361">
        <v>123</v>
      </c>
      <c r="AR2361">
        <v>64</v>
      </c>
      <c r="AZ2361">
        <v>3614</v>
      </c>
      <c r="BA2361">
        <v>1</v>
      </c>
      <c r="BB2361" t="str">
        <f t="shared" si="110"/>
        <v xml:space="preserve">N959MJ  </v>
      </c>
      <c r="BC2361">
        <v>1</v>
      </c>
      <c r="BE2361">
        <v>0</v>
      </c>
      <c r="BF2361">
        <v>0</v>
      </c>
      <c r="BG2361">
        <v>0</v>
      </c>
      <c r="BH2361">
        <v>4900</v>
      </c>
      <c r="BI2361">
        <v>200</v>
      </c>
      <c r="BJ2361">
        <v>1</v>
      </c>
      <c r="BK2361">
        <v>1</v>
      </c>
      <c r="BL2361">
        <v>1</v>
      </c>
      <c r="BM2361">
        <v>0</v>
      </c>
      <c r="BP2361">
        <v>0</v>
      </c>
      <c r="BQ2361">
        <v>0</v>
      </c>
      <c r="BX2361" t="str">
        <f>"14:29:40.945"</f>
        <v>14:29:40.945</v>
      </c>
      <c r="BY2361" t="str">
        <f>"942495632"</f>
        <v>942495632</v>
      </c>
      <c r="CL2361">
        <v>0</v>
      </c>
      <c r="CM2361">
        <v>2</v>
      </c>
      <c r="CN2361">
        <v>0</v>
      </c>
      <c r="CO2361">
        <v>2</v>
      </c>
      <c r="CP2361">
        <v>0</v>
      </c>
      <c r="CQ2361">
        <v>7</v>
      </c>
      <c r="CR2361" t="s">
        <v>116</v>
      </c>
      <c r="CS2361">
        <v>39</v>
      </c>
      <c r="CT2361">
        <v>0</v>
      </c>
      <c r="CU2361" t="s">
        <v>2259</v>
      </c>
      <c r="CV2361" t="s">
        <v>2260</v>
      </c>
      <c r="CY2361">
        <v>1720494</v>
      </c>
      <c r="CZ2361" t="s">
        <v>119</v>
      </c>
    </row>
    <row r="2362" spans="1:104" x14ac:dyDescent="0.25">
      <c r="A2362" t="str">
        <f>"14:29:42.125"</f>
        <v>14:29:42.125</v>
      </c>
      <c r="B2362" t="s">
        <v>108</v>
      </c>
      <c r="C2362" t="str">
        <f t="shared" si="109"/>
        <v>ffdfd3c0</v>
      </c>
      <c r="D2362" t="s">
        <v>109</v>
      </c>
      <c r="E2362">
        <v>4</v>
      </c>
      <c r="F2362">
        <v>1004</v>
      </c>
      <c r="G2362" t="s">
        <v>110</v>
      </c>
      <c r="J2362" t="s">
        <v>111</v>
      </c>
      <c r="K2362">
        <v>0</v>
      </c>
      <c r="L2362">
        <v>3</v>
      </c>
      <c r="M2362">
        <v>0</v>
      </c>
      <c r="N2362">
        <v>2</v>
      </c>
      <c r="O2362">
        <v>1</v>
      </c>
      <c r="P2362">
        <v>0</v>
      </c>
      <c r="Q2362">
        <v>0</v>
      </c>
      <c r="R2362" t="s">
        <v>112</v>
      </c>
      <c r="S2362" t="str">
        <f>"14:29:41.969"</f>
        <v>14:29:41.969</v>
      </c>
      <c r="T2362" t="str">
        <f>"14:29:41.570"</f>
        <v>14:29:41.570</v>
      </c>
      <c r="U2362" t="str">
        <f t="shared" si="108"/>
        <v>ad5732</v>
      </c>
      <c r="V2362">
        <v>0</v>
      </c>
      <c r="W2362">
        <v>0</v>
      </c>
      <c r="X2362">
        <v>1</v>
      </c>
      <c r="Z2362">
        <v>0</v>
      </c>
      <c r="AA2362">
        <v>9</v>
      </c>
      <c r="AB2362">
        <v>3</v>
      </c>
      <c r="AC2362">
        <v>0</v>
      </c>
      <c r="AD2362">
        <v>10</v>
      </c>
      <c r="AE2362">
        <v>0</v>
      </c>
      <c r="AF2362">
        <v>3</v>
      </c>
      <c r="AG2362">
        <v>2</v>
      </c>
      <c r="AH2362">
        <v>0</v>
      </c>
      <c r="AI2362" t="s">
        <v>4833</v>
      </c>
      <c r="AJ2362">
        <v>40.004010000000001</v>
      </c>
      <c r="AK2362" t="s">
        <v>4834</v>
      </c>
      <c r="AL2362">
        <v>-75.548879999999997</v>
      </c>
      <c r="AM2362">
        <v>100</v>
      </c>
      <c r="AN2362">
        <v>4700</v>
      </c>
      <c r="AO2362" t="s">
        <v>115</v>
      </c>
      <c r="AP2362">
        <v>132</v>
      </c>
      <c r="AQ2362">
        <v>123</v>
      </c>
      <c r="AR2362">
        <v>0</v>
      </c>
      <c r="AZ2362">
        <v>3614</v>
      </c>
      <c r="BA2362">
        <v>1</v>
      </c>
      <c r="BB2362" t="str">
        <f t="shared" si="110"/>
        <v xml:space="preserve">N959MJ  </v>
      </c>
      <c r="BC2362">
        <v>1</v>
      </c>
      <c r="BE2362">
        <v>0</v>
      </c>
      <c r="BF2362">
        <v>0</v>
      </c>
      <c r="BG2362">
        <v>0</v>
      </c>
      <c r="BH2362">
        <v>4900</v>
      </c>
      <c r="BI2362">
        <v>200</v>
      </c>
      <c r="BJ2362">
        <v>1</v>
      </c>
      <c r="BK2362">
        <v>1</v>
      </c>
      <c r="BL2362">
        <v>1</v>
      </c>
      <c r="BM2362">
        <v>0</v>
      </c>
      <c r="BP2362">
        <v>0</v>
      </c>
      <c r="BQ2362">
        <v>0</v>
      </c>
      <c r="BX2362" t="str">
        <f>"14:29:41.969"</f>
        <v>14:29:41.969</v>
      </c>
      <c r="BY2362" t="str">
        <f>"969790349"</f>
        <v>969790349</v>
      </c>
      <c r="CL2362">
        <v>0</v>
      </c>
      <c r="CM2362">
        <v>2</v>
      </c>
      <c r="CN2362">
        <v>0</v>
      </c>
      <c r="CO2362">
        <v>2</v>
      </c>
      <c r="CP2362">
        <v>0</v>
      </c>
      <c r="CQ2362">
        <v>7</v>
      </c>
      <c r="CR2362" t="s">
        <v>116</v>
      </c>
      <c r="CS2362">
        <v>39</v>
      </c>
      <c r="CT2362">
        <v>0</v>
      </c>
      <c r="CU2362" t="s">
        <v>2259</v>
      </c>
      <c r="CV2362" t="s">
        <v>2260</v>
      </c>
      <c r="CY2362">
        <v>1722357</v>
      </c>
      <c r="CZ2362" t="s">
        <v>119</v>
      </c>
    </row>
    <row r="2363" spans="1:104" x14ac:dyDescent="0.25">
      <c r="A2363" t="str">
        <f>"14:29:43.141"</f>
        <v>14:29:43.141</v>
      </c>
      <c r="B2363" t="s">
        <v>108</v>
      </c>
      <c r="C2363" t="str">
        <f t="shared" si="109"/>
        <v>ffdfd3c0</v>
      </c>
      <c r="D2363" t="s">
        <v>109</v>
      </c>
      <c r="E2363">
        <v>4</v>
      </c>
      <c r="F2363">
        <v>1004</v>
      </c>
      <c r="G2363" t="s">
        <v>110</v>
      </c>
      <c r="J2363" t="s">
        <v>111</v>
      </c>
      <c r="K2363">
        <v>0</v>
      </c>
      <c r="L2363">
        <v>3</v>
      </c>
      <c r="M2363">
        <v>0</v>
      </c>
      <c r="N2363">
        <v>2</v>
      </c>
      <c r="O2363">
        <v>1</v>
      </c>
      <c r="P2363">
        <v>0</v>
      </c>
      <c r="Q2363">
        <v>0</v>
      </c>
      <c r="R2363" t="s">
        <v>112</v>
      </c>
      <c r="S2363" t="str">
        <f>"14:29:42.914"</f>
        <v>14:29:42.914</v>
      </c>
      <c r="T2363" t="str">
        <f>"14:29:42.516"</f>
        <v>14:29:42.516</v>
      </c>
      <c r="U2363" t="str">
        <f t="shared" si="108"/>
        <v>ad5732</v>
      </c>
      <c r="V2363">
        <v>0</v>
      </c>
      <c r="W2363">
        <v>0</v>
      </c>
      <c r="X2363">
        <v>1</v>
      </c>
      <c r="Z2363">
        <v>0</v>
      </c>
      <c r="AA2363">
        <v>9</v>
      </c>
      <c r="AB2363">
        <v>3</v>
      </c>
      <c r="AC2363">
        <v>0</v>
      </c>
      <c r="AD2363">
        <v>10</v>
      </c>
      <c r="AE2363">
        <v>0</v>
      </c>
      <c r="AF2363">
        <v>3</v>
      </c>
      <c r="AG2363">
        <v>2</v>
      </c>
      <c r="AH2363">
        <v>0</v>
      </c>
      <c r="AI2363" t="s">
        <v>4835</v>
      </c>
      <c r="AJ2363">
        <v>40.004567999999999</v>
      </c>
      <c r="AK2363" t="s">
        <v>4836</v>
      </c>
      <c r="AL2363">
        <v>-75.548085999999998</v>
      </c>
      <c r="AM2363">
        <v>100</v>
      </c>
      <c r="AN2363">
        <v>4700</v>
      </c>
      <c r="AO2363" t="s">
        <v>115</v>
      </c>
      <c r="AP2363">
        <v>132</v>
      </c>
      <c r="AQ2363">
        <v>123</v>
      </c>
      <c r="AR2363">
        <v>0</v>
      </c>
      <c r="AZ2363">
        <v>3614</v>
      </c>
      <c r="BA2363">
        <v>1</v>
      </c>
      <c r="BB2363" t="str">
        <f t="shared" si="110"/>
        <v xml:space="preserve">N959MJ  </v>
      </c>
      <c r="BC2363">
        <v>1</v>
      </c>
      <c r="BE2363">
        <v>0</v>
      </c>
      <c r="BF2363">
        <v>0</v>
      </c>
      <c r="BG2363">
        <v>0</v>
      </c>
      <c r="BH2363">
        <v>4900</v>
      </c>
      <c r="BI2363">
        <v>200</v>
      </c>
      <c r="BJ2363">
        <v>1</v>
      </c>
      <c r="BK2363">
        <v>1</v>
      </c>
      <c r="BL2363">
        <v>1</v>
      </c>
      <c r="BM2363">
        <v>0</v>
      </c>
      <c r="BP2363">
        <v>0</v>
      </c>
      <c r="BQ2363">
        <v>0</v>
      </c>
      <c r="BX2363" t="str">
        <f>"14:29:42.922"</f>
        <v>14:29:42.922</v>
      </c>
      <c r="BY2363" t="str">
        <f>"918440564"</f>
        <v>918440564</v>
      </c>
      <c r="CL2363">
        <v>0</v>
      </c>
      <c r="CM2363">
        <v>2</v>
      </c>
      <c r="CN2363">
        <v>0</v>
      </c>
      <c r="CO2363">
        <v>2</v>
      </c>
      <c r="CP2363">
        <v>0</v>
      </c>
      <c r="CQ2363">
        <v>7</v>
      </c>
      <c r="CR2363" t="s">
        <v>116</v>
      </c>
      <c r="CS2363">
        <v>39</v>
      </c>
      <c r="CT2363">
        <v>0</v>
      </c>
      <c r="CU2363" t="s">
        <v>2259</v>
      </c>
      <c r="CV2363" t="s">
        <v>2260</v>
      </c>
      <c r="CY2363">
        <v>1723874</v>
      </c>
      <c r="CZ2363" t="s">
        <v>119</v>
      </c>
    </row>
    <row r="2364" spans="1:104" x14ac:dyDescent="0.25">
      <c r="A2364" t="str">
        <f>"14:29:43.992"</f>
        <v>14:29:43.992</v>
      </c>
      <c r="B2364" t="s">
        <v>108</v>
      </c>
      <c r="C2364" t="str">
        <f t="shared" si="109"/>
        <v>ffdfd3c0</v>
      </c>
      <c r="D2364" t="s">
        <v>109</v>
      </c>
      <c r="E2364">
        <v>4</v>
      </c>
      <c r="F2364">
        <v>1004</v>
      </c>
      <c r="G2364" t="s">
        <v>110</v>
      </c>
      <c r="J2364" t="s">
        <v>111</v>
      </c>
      <c r="K2364">
        <v>0</v>
      </c>
      <c r="L2364">
        <v>3</v>
      </c>
      <c r="M2364">
        <v>0</v>
      </c>
      <c r="N2364">
        <v>2</v>
      </c>
      <c r="O2364">
        <v>1</v>
      </c>
      <c r="P2364">
        <v>0</v>
      </c>
      <c r="Q2364">
        <v>0</v>
      </c>
      <c r="R2364" t="s">
        <v>112</v>
      </c>
      <c r="S2364" t="str">
        <f>"14:29:43.836"</f>
        <v>14:29:43.836</v>
      </c>
      <c r="T2364" t="str">
        <f>"14:29:43.438"</f>
        <v>14:29:43.438</v>
      </c>
      <c r="U2364" t="str">
        <f t="shared" si="108"/>
        <v>ad5732</v>
      </c>
      <c r="V2364">
        <v>0</v>
      </c>
      <c r="W2364">
        <v>0</v>
      </c>
      <c r="X2364">
        <v>1</v>
      </c>
      <c r="Z2364">
        <v>0</v>
      </c>
      <c r="AA2364">
        <v>9</v>
      </c>
      <c r="AB2364">
        <v>3</v>
      </c>
      <c r="AC2364">
        <v>0</v>
      </c>
      <c r="AD2364">
        <v>10</v>
      </c>
      <c r="AE2364">
        <v>0</v>
      </c>
      <c r="AF2364">
        <v>3</v>
      </c>
      <c r="AG2364">
        <v>2</v>
      </c>
      <c r="AH2364">
        <v>0</v>
      </c>
      <c r="AI2364" t="s">
        <v>4837</v>
      </c>
      <c r="AJ2364">
        <v>40.005082999999999</v>
      </c>
      <c r="AK2364" t="s">
        <v>4838</v>
      </c>
      <c r="AL2364">
        <v>-75.547357000000005</v>
      </c>
      <c r="AM2364">
        <v>100</v>
      </c>
      <c r="AN2364">
        <v>4700</v>
      </c>
      <c r="AO2364" t="s">
        <v>115</v>
      </c>
      <c r="AP2364">
        <v>131</v>
      </c>
      <c r="AQ2364">
        <v>123</v>
      </c>
      <c r="AR2364">
        <v>0</v>
      </c>
      <c r="AZ2364">
        <v>3614</v>
      </c>
      <c r="BA2364">
        <v>1</v>
      </c>
      <c r="BB2364" t="str">
        <f t="shared" si="110"/>
        <v xml:space="preserve">N959MJ  </v>
      </c>
      <c r="BC2364">
        <v>1</v>
      </c>
      <c r="BE2364">
        <v>0</v>
      </c>
      <c r="BF2364">
        <v>0</v>
      </c>
      <c r="BG2364">
        <v>0</v>
      </c>
      <c r="BH2364">
        <v>4900</v>
      </c>
      <c r="BI2364">
        <v>200</v>
      </c>
      <c r="BJ2364">
        <v>1</v>
      </c>
      <c r="BK2364">
        <v>1</v>
      </c>
      <c r="BL2364">
        <v>1</v>
      </c>
      <c r="BM2364">
        <v>0</v>
      </c>
      <c r="BP2364">
        <v>0</v>
      </c>
      <c r="BQ2364">
        <v>0</v>
      </c>
      <c r="BX2364" t="str">
        <f>"14:29:43.836"</f>
        <v>14:29:43.836</v>
      </c>
      <c r="BY2364" t="str">
        <f>"837599053"</f>
        <v>837599053</v>
      </c>
      <c r="CL2364">
        <v>0</v>
      </c>
      <c r="CM2364">
        <v>2</v>
      </c>
      <c r="CN2364">
        <v>0</v>
      </c>
      <c r="CO2364">
        <v>2</v>
      </c>
      <c r="CP2364">
        <v>0</v>
      </c>
      <c r="CQ2364">
        <v>7</v>
      </c>
      <c r="CR2364" t="s">
        <v>116</v>
      </c>
      <c r="CS2364">
        <v>39</v>
      </c>
      <c r="CT2364">
        <v>0</v>
      </c>
      <c r="CU2364" t="s">
        <v>2259</v>
      </c>
      <c r="CV2364" t="s">
        <v>2260</v>
      </c>
      <c r="CY2364">
        <v>1725560</v>
      </c>
      <c r="CZ2364" t="s">
        <v>119</v>
      </c>
    </row>
    <row r="2365" spans="1:104" x14ac:dyDescent="0.25">
      <c r="A2365" t="str">
        <f>"14:29:45.109"</f>
        <v>14:29:45.109</v>
      </c>
      <c r="B2365" t="s">
        <v>108</v>
      </c>
      <c r="C2365" t="str">
        <f t="shared" si="109"/>
        <v>ffdfd3c0</v>
      </c>
      <c r="D2365" t="s">
        <v>109</v>
      </c>
      <c r="E2365">
        <v>4</v>
      </c>
      <c r="F2365">
        <v>1004</v>
      </c>
      <c r="G2365" t="s">
        <v>110</v>
      </c>
      <c r="J2365" t="s">
        <v>111</v>
      </c>
      <c r="K2365">
        <v>0</v>
      </c>
      <c r="L2365">
        <v>3</v>
      </c>
      <c r="M2365">
        <v>0</v>
      </c>
      <c r="N2365">
        <v>2</v>
      </c>
      <c r="O2365">
        <v>1</v>
      </c>
      <c r="P2365">
        <v>0</v>
      </c>
      <c r="Q2365">
        <v>0</v>
      </c>
      <c r="R2365" t="s">
        <v>112</v>
      </c>
      <c r="S2365" t="str">
        <f>"14:29:44.898"</f>
        <v>14:29:44.898</v>
      </c>
      <c r="T2365" t="str">
        <f>"14:29:44.500"</f>
        <v>14:29:44.500</v>
      </c>
      <c r="U2365" t="str">
        <f t="shared" si="108"/>
        <v>ad5732</v>
      </c>
      <c r="V2365">
        <v>0</v>
      </c>
      <c r="W2365">
        <v>0</v>
      </c>
      <c r="X2365">
        <v>1</v>
      </c>
      <c r="Z2365">
        <v>0</v>
      </c>
      <c r="AA2365">
        <v>9</v>
      </c>
      <c r="AB2365">
        <v>3</v>
      </c>
      <c r="AC2365">
        <v>0</v>
      </c>
      <c r="AD2365">
        <v>10</v>
      </c>
      <c r="AE2365">
        <v>0</v>
      </c>
      <c r="AF2365">
        <v>3</v>
      </c>
      <c r="AG2365">
        <v>2</v>
      </c>
      <c r="AH2365">
        <v>0</v>
      </c>
      <c r="AI2365" t="s">
        <v>4839</v>
      </c>
      <c r="AJ2365">
        <v>40.005640999999997</v>
      </c>
      <c r="AK2365" t="s">
        <v>4840</v>
      </c>
      <c r="AL2365">
        <v>-75.546605999999997</v>
      </c>
      <c r="AM2365">
        <v>100</v>
      </c>
      <c r="AN2365">
        <v>4700</v>
      </c>
      <c r="AO2365" t="s">
        <v>115</v>
      </c>
      <c r="AP2365">
        <v>131</v>
      </c>
      <c r="AQ2365">
        <v>123</v>
      </c>
      <c r="AR2365">
        <v>-64</v>
      </c>
      <c r="AZ2365">
        <v>3614</v>
      </c>
      <c r="BA2365">
        <v>1</v>
      </c>
      <c r="BB2365" t="str">
        <f t="shared" si="110"/>
        <v xml:space="preserve">N959MJ  </v>
      </c>
      <c r="BC2365">
        <v>1</v>
      </c>
      <c r="BE2365">
        <v>0</v>
      </c>
      <c r="BF2365">
        <v>0</v>
      </c>
      <c r="BG2365">
        <v>0</v>
      </c>
      <c r="BH2365">
        <v>4900</v>
      </c>
      <c r="BI2365">
        <v>200</v>
      </c>
      <c r="BJ2365">
        <v>1</v>
      </c>
      <c r="BK2365">
        <v>1</v>
      </c>
      <c r="BL2365">
        <v>1</v>
      </c>
      <c r="BM2365">
        <v>0</v>
      </c>
      <c r="BP2365">
        <v>0</v>
      </c>
      <c r="BQ2365">
        <v>0</v>
      </c>
      <c r="BX2365" t="str">
        <f>"14:29:44.906"</f>
        <v>14:29:44.906</v>
      </c>
      <c r="BY2365" t="str">
        <f>"904216171"</f>
        <v>904216171</v>
      </c>
      <c r="CL2365">
        <v>0</v>
      </c>
      <c r="CM2365">
        <v>2</v>
      </c>
      <c r="CN2365">
        <v>0</v>
      </c>
      <c r="CO2365">
        <v>2</v>
      </c>
      <c r="CP2365">
        <v>0</v>
      </c>
      <c r="CQ2365">
        <v>7</v>
      </c>
      <c r="CR2365" t="s">
        <v>116</v>
      </c>
      <c r="CS2365">
        <v>39</v>
      </c>
      <c r="CT2365">
        <v>0</v>
      </c>
      <c r="CU2365" t="s">
        <v>2259</v>
      </c>
      <c r="CV2365" t="s">
        <v>2260</v>
      </c>
      <c r="CY2365">
        <v>1727486</v>
      </c>
      <c r="CZ2365" t="s">
        <v>119</v>
      </c>
    </row>
    <row r="2366" spans="1:104" x14ac:dyDescent="0.25">
      <c r="A2366" t="str">
        <f>"14:29:45.914"</f>
        <v>14:29:45.914</v>
      </c>
      <c r="B2366" t="s">
        <v>108</v>
      </c>
      <c r="C2366" t="str">
        <f t="shared" si="109"/>
        <v>ffdfd3c0</v>
      </c>
      <c r="D2366" t="s">
        <v>109</v>
      </c>
      <c r="E2366">
        <v>4</v>
      </c>
      <c r="F2366">
        <v>1004</v>
      </c>
      <c r="G2366" t="s">
        <v>110</v>
      </c>
      <c r="J2366" t="s">
        <v>111</v>
      </c>
      <c r="K2366">
        <v>0</v>
      </c>
      <c r="L2366">
        <v>3</v>
      </c>
      <c r="M2366">
        <v>0</v>
      </c>
      <c r="N2366">
        <v>2</v>
      </c>
      <c r="O2366">
        <v>1</v>
      </c>
      <c r="P2366">
        <v>0</v>
      </c>
      <c r="Q2366">
        <v>0</v>
      </c>
      <c r="R2366" t="s">
        <v>112</v>
      </c>
      <c r="S2366" t="str">
        <f>"14:29:45.734"</f>
        <v>14:29:45.734</v>
      </c>
      <c r="T2366" t="str">
        <f>"14:29:45.336"</f>
        <v>14:29:45.336</v>
      </c>
      <c r="U2366" t="str">
        <f t="shared" si="108"/>
        <v>ad5732</v>
      </c>
      <c r="V2366">
        <v>0</v>
      </c>
      <c r="W2366">
        <v>0</v>
      </c>
      <c r="X2366">
        <v>1</v>
      </c>
      <c r="Z2366">
        <v>0</v>
      </c>
      <c r="AA2366">
        <v>9</v>
      </c>
      <c r="AB2366">
        <v>3</v>
      </c>
      <c r="AC2366">
        <v>0</v>
      </c>
      <c r="AD2366">
        <v>10</v>
      </c>
      <c r="AE2366">
        <v>0</v>
      </c>
      <c r="AF2366">
        <v>3</v>
      </c>
      <c r="AG2366">
        <v>2</v>
      </c>
      <c r="AH2366">
        <v>0</v>
      </c>
      <c r="AI2366" t="s">
        <v>4841</v>
      </c>
      <c r="AJ2366">
        <v>40.006155999999997</v>
      </c>
      <c r="AK2366" t="s">
        <v>4842</v>
      </c>
      <c r="AL2366">
        <v>-75.545896999999997</v>
      </c>
      <c r="AM2366">
        <v>100</v>
      </c>
      <c r="AN2366">
        <v>4700</v>
      </c>
      <c r="AO2366" t="s">
        <v>115</v>
      </c>
      <c r="AP2366">
        <v>131</v>
      </c>
      <c r="AQ2366">
        <v>124</v>
      </c>
      <c r="AR2366">
        <v>0</v>
      </c>
      <c r="AZ2366">
        <v>3614</v>
      </c>
      <c r="BA2366">
        <v>1</v>
      </c>
      <c r="BB2366" t="str">
        <f t="shared" si="110"/>
        <v xml:space="preserve">N959MJ  </v>
      </c>
      <c r="BC2366">
        <v>1</v>
      </c>
      <c r="BE2366">
        <v>0</v>
      </c>
      <c r="BF2366">
        <v>0</v>
      </c>
      <c r="BG2366">
        <v>0</v>
      </c>
      <c r="BH2366">
        <v>4900</v>
      </c>
      <c r="BI2366">
        <v>200</v>
      </c>
      <c r="BJ2366">
        <v>1</v>
      </c>
      <c r="BK2366">
        <v>1</v>
      </c>
      <c r="BL2366">
        <v>1</v>
      </c>
      <c r="BM2366">
        <v>0</v>
      </c>
      <c r="BP2366">
        <v>0</v>
      </c>
      <c r="BQ2366">
        <v>0</v>
      </c>
      <c r="BX2366" t="str">
        <f>"14:29:45.742"</f>
        <v>14:29:45.742</v>
      </c>
      <c r="BY2366" t="str">
        <f>"741453253"</f>
        <v>741453253</v>
      </c>
      <c r="CL2366">
        <v>0</v>
      </c>
      <c r="CM2366">
        <v>2</v>
      </c>
      <c r="CN2366">
        <v>0</v>
      </c>
      <c r="CO2366">
        <v>2</v>
      </c>
      <c r="CP2366">
        <v>0</v>
      </c>
      <c r="CQ2366">
        <v>7</v>
      </c>
      <c r="CR2366" t="s">
        <v>116</v>
      </c>
      <c r="CS2366">
        <v>39</v>
      </c>
      <c r="CT2366">
        <v>0</v>
      </c>
      <c r="CU2366" t="s">
        <v>2259</v>
      </c>
      <c r="CV2366" t="s">
        <v>2260</v>
      </c>
      <c r="CY2366">
        <v>1728880</v>
      </c>
      <c r="CZ2366" t="s">
        <v>119</v>
      </c>
    </row>
    <row r="2367" spans="1:104" x14ac:dyDescent="0.25">
      <c r="A2367" t="str">
        <f>"14:29:46.773"</f>
        <v>14:29:46.773</v>
      </c>
      <c r="B2367" t="s">
        <v>108</v>
      </c>
      <c r="C2367" t="str">
        <f t="shared" si="109"/>
        <v>ffdfd3c0</v>
      </c>
      <c r="D2367" t="s">
        <v>109</v>
      </c>
      <c r="E2367">
        <v>4</v>
      </c>
      <c r="F2367">
        <v>1004</v>
      </c>
      <c r="G2367" t="s">
        <v>110</v>
      </c>
      <c r="J2367" t="s">
        <v>111</v>
      </c>
      <c r="K2367">
        <v>0</v>
      </c>
      <c r="L2367">
        <v>3</v>
      </c>
      <c r="M2367">
        <v>0</v>
      </c>
      <c r="N2367">
        <v>2</v>
      </c>
      <c r="O2367">
        <v>1</v>
      </c>
      <c r="P2367">
        <v>0</v>
      </c>
      <c r="Q2367">
        <v>0</v>
      </c>
      <c r="R2367" t="s">
        <v>112</v>
      </c>
      <c r="S2367" t="str">
        <f>"14:29:46.578"</f>
        <v>14:29:46.578</v>
      </c>
      <c r="T2367" t="str">
        <f>"14:29:46.180"</f>
        <v>14:29:46.180</v>
      </c>
      <c r="U2367" t="str">
        <f t="shared" si="108"/>
        <v>ad5732</v>
      </c>
      <c r="V2367">
        <v>0</v>
      </c>
      <c r="W2367">
        <v>0</v>
      </c>
      <c r="X2367">
        <v>1</v>
      </c>
      <c r="Z2367">
        <v>0</v>
      </c>
      <c r="AA2367">
        <v>9</v>
      </c>
      <c r="AB2367">
        <v>3</v>
      </c>
      <c r="AC2367">
        <v>0</v>
      </c>
      <c r="AD2367">
        <v>10</v>
      </c>
      <c r="AE2367">
        <v>0</v>
      </c>
      <c r="AF2367">
        <v>3</v>
      </c>
      <c r="AG2367">
        <v>2</v>
      </c>
      <c r="AH2367">
        <v>0</v>
      </c>
      <c r="AI2367" t="s">
        <v>4843</v>
      </c>
      <c r="AJ2367">
        <v>40.006627999999999</v>
      </c>
      <c r="AK2367" t="s">
        <v>4844</v>
      </c>
      <c r="AL2367">
        <v>-75.545231999999999</v>
      </c>
      <c r="AM2367">
        <v>100</v>
      </c>
      <c r="AN2367">
        <v>4700</v>
      </c>
      <c r="AO2367" t="s">
        <v>115</v>
      </c>
      <c r="AP2367">
        <v>131</v>
      </c>
      <c r="AQ2367">
        <v>124</v>
      </c>
      <c r="AR2367">
        <v>-64</v>
      </c>
      <c r="AZ2367">
        <v>3614</v>
      </c>
      <c r="BA2367">
        <v>1</v>
      </c>
      <c r="BB2367" t="str">
        <f t="shared" si="110"/>
        <v xml:space="preserve">N959MJ  </v>
      </c>
      <c r="BC2367">
        <v>1</v>
      </c>
      <c r="BE2367">
        <v>0</v>
      </c>
      <c r="BF2367">
        <v>0</v>
      </c>
      <c r="BG2367">
        <v>0</v>
      </c>
      <c r="BH2367">
        <v>4900</v>
      </c>
      <c r="BI2367">
        <v>200</v>
      </c>
      <c r="BJ2367">
        <v>1</v>
      </c>
      <c r="BK2367">
        <v>1</v>
      </c>
      <c r="BL2367">
        <v>1</v>
      </c>
      <c r="BM2367">
        <v>0</v>
      </c>
      <c r="BP2367">
        <v>0</v>
      </c>
      <c r="BQ2367">
        <v>0</v>
      </c>
      <c r="BX2367" t="str">
        <f>"14:29:46.586"</f>
        <v>14:29:46.586</v>
      </c>
      <c r="BY2367" t="str">
        <f>"583605539"</f>
        <v>583605539</v>
      </c>
      <c r="CL2367">
        <v>0</v>
      </c>
      <c r="CM2367">
        <v>2</v>
      </c>
      <c r="CN2367">
        <v>0</v>
      </c>
      <c r="CO2367">
        <v>2</v>
      </c>
      <c r="CP2367">
        <v>0</v>
      </c>
      <c r="CQ2367">
        <v>7</v>
      </c>
      <c r="CR2367" t="s">
        <v>116</v>
      </c>
      <c r="CS2367">
        <v>39</v>
      </c>
      <c r="CT2367">
        <v>0</v>
      </c>
      <c r="CU2367" t="s">
        <v>2259</v>
      </c>
      <c r="CV2367" t="s">
        <v>2260</v>
      </c>
      <c r="CY2367">
        <v>1730354</v>
      </c>
      <c r="CZ2367" t="s">
        <v>119</v>
      </c>
    </row>
    <row r="2368" spans="1:104" x14ac:dyDescent="0.25">
      <c r="A2368" t="str">
        <f>"14:29:47.883"</f>
        <v>14:29:47.883</v>
      </c>
      <c r="B2368" t="s">
        <v>108</v>
      </c>
      <c r="C2368" t="str">
        <f t="shared" si="109"/>
        <v>ffdfd3c0</v>
      </c>
      <c r="D2368" t="s">
        <v>109</v>
      </c>
      <c r="E2368">
        <v>4</v>
      </c>
      <c r="F2368">
        <v>1004</v>
      </c>
      <c r="G2368" t="s">
        <v>110</v>
      </c>
      <c r="J2368" t="s">
        <v>111</v>
      </c>
      <c r="K2368">
        <v>0</v>
      </c>
      <c r="L2368">
        <v>3</v>
      </c>
      <c r="M2368">
        <v>0</v>
      </c>
      <c r="N2368">
        <v>2</v>
      </c>
      <c r="O2368">
        <v>1</v>
      </c>
      <c r="P2368">
        <v>0</v>
      </c>
      <c r="Q2368">
        <v>0</v>
      </c>
      <c r="R2368" t="s">
        <v>112</v>
      </c>
      <c r="S2368" t="str">
        <f>"14:29:47.688"</f>
        <v>14:29:47.688</v>
      </c>
      <c r="T2368" t="str">
        <f>"14:29:47.188"</f>
        <v>14:29:47.188</v>
      </c>
      <c r="U2368" t="str">
        <f t="shared" si="108"/>
        <v>ad5732</v>
      </c>
      <c r="V2368">
        <v>0</v>
      </c>
      <c r="W2368">
        <v>0</v>
      </c>
      <c r="X2368">
        <v>1</v>
      </c>
      <c r="Z2368">
        <v>0</v>
      </c>
      <c r="AA2368">
        <v>9</v>
      </c>
      <c r="AB2368">
        <v>3</v>
      </c>
      <c r="AC2368">
        <v>0</v>
      </c>
      <c r="AD2368">
        <v>10</v>
      </c>
      <c r="AE2368">
        <v>0</v>
      </c>
      <c r="AF2368">
        <v>3</v>
      </c>
      <c r="AG2368">
        <v>2</v>
      </c>
      <c r="AH2368">
        <v>0</v>
      </c>
      <c r="AI2368" t="s">
        <v>4845</v>
      </c>
      <c r="AJ2368">
        <v>40.007272</v>
      </c>
      <c r="AK2368" t="s">
        <v>4846</v>
      </c>
      <c r="AL2368">
        <v>-75.544374000000005</v>
      </c>
      <c r="AM2368">
        <v>100</v>
      </c>
      <c r="AN2368">
        <v>4700</v>
      </c>
      <c r="AO2368" t="s">
        <v>115</v>
      </c>
      <c r="AP2368">
        <v>132</v>
      </c>
      <c r="AQ2368">
        <v>124</v>
      </c>
      <c r="AR2368">
        <v>-128</v>
      </c>
      <c r="AZ2368">
        <v>3614</v>
      </c>
      <c r="BA2368">
        <v>1</v>
      </c>
      <c r="BB2368" t="str">
        <f t="shared" si="110"/>
        <v xml:space="preserve">N959MJ  </v>
      </c>
      <c r="BC2368">
        <v>1</v>
      </c>
      <c r="BE2368">
        <v>0</v>
      </c>
      <c r="BF2368">
        <v>0</v>
      </c>
      <c r="BG2368">
        <v>0</v>
      </c>
      <c r="BH2368">
        <v>4900</v>
      </c>
      <c r="BI2368">
        <v>200</v>
      </c>
      <c r="BJ2368">
        <v>1</v>
      </c>
      <c r="BK2368">
        <v>1</v>
      </c>
      <c r="BL2368">
        <v>1</v>
      </c>
      <c r="BM2368">
        <v>0</v>
      </c>
      <c r="BP2368">
        <v>0</v>
      </c>
      <c r="BQ2368">
        <v>0</v>
      </c>
      <c r="BX2368" t="str">
        <f>"14:29:47.688"</f>
        <v>14:29:47.688</v>
      </c>
      <c r="BY2368" t="str">
        <f>"689570905"</f>
        <v>689570905</v>
      </c>
      <c r="CL2368">
        <v>0</v>
      </c>
      <c r="CM2368">
        <v>2</v>
      </c>
      <c r="CN2368">
        <v>0</v>
      </c>
      <c r="CO2368">
        <v>2</v>
      </c>
      <c r="CP2368">
        <v>0</v>
      </c>
      <c r="CQ2368">
        <v>7</v>
      </c>
      <c r="CR2368" t="s">
        <v>116</v>
      </c>
      <c r="CS2368">
        <v>39</v>
      </c>
      <c r="CT2368">
        <v>0</v>
      </c>
      <c r="CU2368" t="s">
        <v>2259</v>
      </c>
      <c r="CV2368" t="s">
        <v>2260</v>
      </c>
      <c r="CY2368">
        <v>1732090</v>
      </c>
      <c r="CZ2368" t="s">
        <v>119</v>
      </c>
    </row>
    <row r="2369" spans="1:104" x14ac:dyDescent="0.25">
      <c r="A2369" t="str">
        <f>"14:29:48.992"</f>
        <v>14:29:48.992</v>
      </c>
      <c r="B2369" t="s">
        <v>108</v>
      </c>
      <c r="C2369" t="str">
        <f t="shared" si="109"/>
        <v>ffdfd3c0</v>
      </c>
      <c r="D2369" t="s">
        <v>109</v>
      </c>
      <c r="E2369">
        <v>4</v>
      </c>
      <c r="F2369">
        <v>1004</v>
      </c>
      <c r="G2369" t="s">
        <v>110</v>
      </c>
      <c r="J2369" t="s">
        <v>111</v>
      </c>
      <c r="K2369">
        <v>0</v>
      </c>
      <c r="L2369">
        <v>3</v>
      </c>
      <c r="M2369">
        <v>0</v>
      </c>
      <c r="N2369">
        <v>2</v>
      </c>
      <c r="O2369">
        <v>1</v>
      </c>
      <c r="P2369">
        <v>0</v>
      </c>
      <c r="Q2369">
        <v>0</v>
      </c>
      <c r="R2369" t="s">
        <v>112</v>
      </c>
      <c r="S2369" t="str">
        <f>"14:29:48.805"</f>
        <v>14:29:48.805</v>
      </c>
      <c r="T2369" t="str">
        <f>"14:29:48.305"</f>
        <v>14:29:48.305</v>
      </c>
      <c r="U2369" t="str">
        <f t="shared" si="108"/>
        <v>ad5732</v>
      </c>
      <c r="V2369">
        <v>0</v>
      </c>
      <c r="W2369">
        <v>0</v>
      </c>
      <c r="X2369">
        <v>1</v>
      </c>
      <c r="Z2369">
        <v>0</v>
      </c>
      <c r="AA2369">
        <v>9</v>
      </c>
      <c r="AB2369">
        <v>3</v>
      </c>
      <c r="AC2369">
        <v>0</v>
      </c>
      <c r="AD2369">
        <v>10</v>
      </c>
      <c r="AE2369">
        <v>0</v>
      </c>
      <c r="AF2369">
        <v>3</v>
      </c>
      <c r="AG2369">
        <v>2</v>
      </c>
      <c r="AH2369">
        <v>0</v>
      </c>
      <c r="AI2369" t="s">
        <v>4847</v>
      </c>
      <c r="AJ2369">
        <v>40.007980000000003</v>
      </c>
      <c r="AK2369" t="s">
        <v>4848</v>
      </c>
      <c r="AL2369">
        <v>-75.543430000000001</v>
      </c>
      <c r="AM2369">
        <v>100</v>
      </c>
      <c r="AN2369">
        <v>4700</v>
      </c>
      <c r="AO2369" t="s">
        <v>115</v>
      </c>
      <c r="AP2369">
        <v>132</v>
      </c>
      <c r="AQ2369">
        <v>124</v>
      </c>
      <c r="AR2369">
        <v>-64</v>
      </c>
      <c r="AZ2369">
        <v>3614</v>
      </c>
      <c r="BA2369">
        <v>1</v>
      </c>
      <c r="BB2369" t="str">
        <f t="shared" si="110"/>
        <v xml:space="preserve">N959MJ  </v>
      </c>
      <c r="BC2369">
        <v>1</v>
      </c>
      <c r="BE2369">
        <v>0</v>
      </c>
      <c r="BF2369">
        <v>0</v>
      </c>
      <c r="BG2369">
        <v>0</v>
      </c>
      <c r="BH2369">
        <v>4900</v>
      </c>
      <c r="BI2369">
        <v>200</v>
      </c>
      <c r="BJ2369">
        <v>1</v>
      </c>
      <c r="BK2369">
        <v>1</v>
      </c>
      <c r="BL2369">
        <v>1</v>
      </c>
      <c r="BM2369">
        <v>0</v>
      </c>
      <c r="BP2369">
        <v>0</v>
      </c>
      <c r="BQ2369">
        <v>0</v>
      </c>
      <c r="BX2369" t="str">
        <f>"14:29:48.805"</f>
        <v>14:29:48.805</v>
      </c>
      <c r="BY2369" t="str">
        <f>"806953298"</f>
        <v>806953298</v>
      </c>
      <c r="CL2369">
        <v>0</v>
      </c>
      <c r="CM2369">
        <v>2</v>
      </c>
      <c r="CN2369">
        <v>0</v>
      </c>
      <c r="CO2369">
        <v>2</v>
      </c>
      <c r="CP2369">
        <v>0</v>
      </c>
      <c r="CQ2369">
        <v>7</v>
      </c>
      <c r="CR2369" t="s">
        <v>116</v>
      </c>
      <c r="CS2369">
        <v>39</v>
      </c>
      <c r="CT2369">
        <v>0</v>
      </c>
      <c r="CU2369" t="s">
        <v>2259</v>
      </c>
      <c r="CV2369" t="s">
        <v>2260</v>
      </c>
      <c r="CY2369">
        <v>1734169</v>
      </c>
      <c r="CZ2369" t="s">
        <v>119</v>
      </c>
    </row>
    <row r="2370" spans="1:104" x14ac:dyDescent="0.25">
      <c r="A2370" t="str">
        <f>"14:29:50.000"</f>
        <v>14:29:50.000</v>
      </c>
      <c r="B2370" t="s">
        <v>108</v>
      </c>
      <c r="C2370" t="str">
        <f t="shared" si="109"/>
        <v>ffdfd3c0</v>
      </c>
      <c r="D2370" t="s">
        <v>109</v>
      </c>
      <c r="E2370">
        <v>4</v>
      </c>
      <c r="F2370">
        <v>1004</v>
      </c>
      <c r="G2370" t="s">
        <v>110</v>
      </c>
      <c r="J2370" t="s">
        <v>111</v>
      </c>
      <c r="K2370">
        <v>0</v>
      </c>
      <c r="L2370">
        <v>3</v>
      </c>
      <c r="M2370">
        <v>0</v>
      </c>
      <c r="N2370">
        <v>2</v>
      </c>
      <c r="O2370">
        <v>1</v>
      </c>
      <c r="P2370">
        <v>0</v>
      </c>
      <c r="Q2370">
        <v>0</v>
      </c>
      <c r="R2370" t="s">
        <v>112</v>
      </c>
      <c r="S2370" t="str">
        <f>"14:29:49.828"</f>
        <v>14:29:49.828</v>
      </c>
      <c r="T2370" t="str">
        <f>"14:29:49.328"</f>
        <v>14:29:49.328</v>
      </c>
      <c r="U2370" t="str">
        <f t="shared" ref="U2370:U2433" si="111">"ad5732"</f>
        <v>ad5732</v>
      </c>
      <c r="V2370">
        <v>0</v>
      </c>
      <c r="W2370">
        <v>0</v>
      </c>
      <c r="X2370">
        <v>1</v>
      </c>
      <c r="Z2370">
        <v>0</v>
      </c>
      <c r="AA2370">
        <v>9</v>
      </c>
      <c r="AB2370">
        <v>3</v>
      </c>
      <c r="AC2370">
        <v>0</v>
      </c>
      <c r="AD2370">
        <v>10</v>
      </c>
      <c r="AE2370">
        <v>0</v>
      </c>
      <c r="AF2370">
        <v>3</v>
      </c>
      <c r="AG2370">
        <v>2</v>
      </c>
      <c r="AH2370">
        <v>0</v>
      </c>
      <c r="AI2370" t="s">
        <v>4849</v>
      </c>
      <c r="AJ2370">
        <v>40.008538000000001</v>
      </c>
      <c r="AK2370" t="s">
        <v>4850</v>
      </c>
      <c r="AL2370">
        <v>-75.542614</v>
      </c>
      <c r="AM2370">
        <v>100</v>
      </c>
      <c r="AN2370">
        <v>4700</v>
      </c>
      <c r="AO2370" t="s">
        <v>115</v>
      </c>
      <c r="AP2370">
        <v>131</v>
      </c>
      <c r="AQ2370">
        <v>124</v>
      </c>
      <c r="AR2370">
        <v>-64</v>
      </c>
      <c r="AZ2370">
        <v>3614</v>
      </c>
      <c r="BA2370">
        <v>1</v>
      </c>
      <c r="BB2370" t="str">
        <f t="shared" si="110"/>
        <v xml:space="preserve">N959MJ  </v>
      </c>
      <c r="BC2370">
        <v>1</v>
      </c>
      <c r="BE2370">
        <v>0</v>
      </c>
      <c r="BF2370">
        <v>0</v>
      </c>
      <c r="BG2370">
        <v>0</v>
      </c>
      <c r="BH2370">
        <v>4900</v>
      </c>
      <c r="BI2370">
        <v>200</v>
      </c>
      <c r="BJ2370">
        <v>1</v>
      </c>
      <c r="BK2370">
        <v>1</v>
      </c>
      <c r="BL2370">
        <v>1</v>
      </c>
      <c r="BM2370">
        <v>0</v>
      </c>
      <c r="BP2370">
        <v>0</v>
      </c>
      <c r="BQ2370">
        <v>0</v>
      </c>
      <c r="BX2370" t="str">
        <f>"14:29:49.836"</f>
        <v>14:29:49.836</v>
      </c>
      <c r="BY2370" t="str">
        <f>"832609648"</f>
        <v>832609648</v>
      </c>
      <c r="CL2370">
        <v>0</v>
      </c>
      <c r="CM2370">
        <v>2</v>
      </c>
      <c r="CN2370">
        <v>0</v>
      </c>
      <c r="CO2370">
        <v>2</v>
      </c>
      <c r="CP2370">
        <v>0</v>
      </c>
      <c r="CQ2370">
        <v>7</v>
      </c>
      <c r="CR2370" t="s">
        <v>116</v>
      </c>
      <c r="CS2370">
        <v>39</v>
      </c>
      <c r="CT2370">
        <v>0</v>
      </c>
      <c r="CU2370" t="s">
        <v>2259</v>
      </c>
      <c r="CV2370" t="s">
        <v>2260</v>
      </c>
      <c r="CY2370">
        <v>1735928</v>
      </c>
      <c r="CZ2370" t="s">
        <v>119</v>
      </c>
    </row>
    <row r="2371" spans="1:104" x14ac:dyDescent="0.25">
      <c r="A2371" t="str">
        <f>"14:29:51.063"</f>
        <v>14:29:51.063</v>
      </c>
      <c r="B2371" t="s">
        <v>108</v>
      </c>
      <c r="C2371" t="str">
        <f t="shared" si="109"/>
        <v>ffdfd3c0</v>
      </c>
      <c r="D2371" t="s">
        <v>109</v>
      </c>
      <c r="E2371">
        <v>4</v>
      </c>
      <c r="F2371">
        <v>1004</v>
      </c>
      <c r="G2371" t="s">
        <v>110</v>
      </c>
      <c r="J2371" t="s">
        <v>111</v>
      </c>
      <c r="K2371">
        <v>0</v>
      </c>
      <c r="L2371">
        <v>3</v>
      </c>
      <c r="M2371">
        <v>0</v>
      </c>
      <c r="N2371">
        <v>2</v>
      </c>
      <c r="O2371">
        <v>1</v>
      </c>
      <c r="P2371">
        <v>0</v>
      </c>
      <c r="Q2371">
        <v>0</v>
      </c>
      <c r="R2371" t="s">
        <v>112</v>
      </c>
      <c r="S2371" t="str">
        <f>"14:29:50.883"</f>
        <v>14:29:50.883</v>
      </c>
      <c r="T2371" t="str">
        <f>"14:29:50.383"</f>
        <v>14:29:50.383</v>
      </c>
      <c r="U2371" t="str">
        <f t="shared" si="111"/>
        <v>ad5732</v>
      </c>
      <c r="V2371">
        <v>0</v>
      </c>
      <c r="W2371">
        <v>0</v>
      </c>
      <c r="X2371">
        <v>1</v>
      </c>
      <c r="Z2371">
        <v>0</v>
      </c>
      <c r="AA2371">
        <v>9</v>
      </c>
      <c r="AB2371">
        <v>3</v>
      </c>
      <c r="AC2371">
        <v>0</v>
      </c>
      <c r="AD2371">
        <v>10</v>
      </c>
      <c r="AE2371">
        <v>0</v>
      </c>
      <c r="AF2371">
        <v>3</v>
      </c>
      <c r="AG2371">
        <v>2</v>
      </c>
      <c r="AH2371">
        <v>0</v>
      </c>
      <c r="AI2371" t="s">
        <v>4851</v>
      </c>
      <c r="AJ2371">
        <v>40.009096</v>
      </c>
      <c r="AK2371" t="s">
        <v>4852</v>
      </c>
      <c r="AL2371">
        <v>-75.541863000000006</v>
      </c>
      <c r="AM2371">
        <v>100</v>
      </c>
      <c r="AN2371">
        <v>4700</v>
      </c>
      <c r="AO2371" t="s">
        <v>115</v>
      </c>
      <c r="AP2371">
        <v>131</v>
      </c>
      <c r="AQ2371">
        <v>124</v>
      </c>
      <c r="AR2371">
        <v>-64</v>
      </c>
      <c r="AZ2371">
        <v>3614</v>
      </c>
      <c r="BA2371">
        <v>1</v>
      </c>
      <c r="BB2371" t="str">
        <f t="shared" si="110"/>
        <v xml:space="preserve">N959MJ  </v>
      </c>
      <c r="BC2371">
        <v>1</v>
      </c>
      <c r="BE2371">
        <v>0</v>
      </c>
      <c r="BF2371">
        <v>0</v>
      </c>
      <c r="BG2371">
        <v>0</v>
      </c>
      <c r="BH2371">
        <v>4900</v>
      </c>
      <c r="BI2371">
        <v>200</v>
      </c>
      <c r="BJ2371">
        <v>1</v>
      </c>
      <c r="BK2371">
        <v>1</v>
      </c>
      <c r="BL2371">
        <v>1</v>
      </c>
      <c r="BM2371">
        <v>0</v>
      </c>
      <c r="BP2371">
        <v>0</v>
      </c>
      <c r="BQ2371">
        <v>0</v>
      </c>
      <c r="BX2371" t="str">
        <f>"14:29:50.891"</f>
        <v>14:29:50.891</v>
      </c>
      <c r="BY2371" t="str">
        <f>"889396165"</f>
        <v>889396165</v>
      </c>
      <c r="CL2371">
        <v>0</v>
      </c>
      <c r="CM2371">
        <v>2</v>
      </c>
      <c r="CN2371">
        <v>0</v>
      </c>
      <c r="CO2371">
        <v>2</v>
      </c>
      <c r="CP2371">
        <v>0</v>
      </c>
      <c r="CQ2371">
        <v>7</v>
      </c>
      <c r="CR2371" t="s">
        <v>116</v>
      </c>
      <c r="CS2371">
        <v>39</v>
      </c>
      <c r="CT2371">
        <v>0</v>
      </c>
      <c r="CU2371" t="s">
        <v>2259</v>
      </c>
      <c r="CV2371" t="s">
        <v>2260</v>
      </c>
      <c r="CY2371">
        <v>1737720</v>
      </c>
      <c r="CZ2371" t="s">
        <v>119</v>
      </c>
    </row>
    <row r="2372" spans="1:104" x14ac:dyDescent="0.25">
      <c r="A2372" t="str">
        <f>"14:29:52.023"</f>
        <v>14:29:52.023</v>
      </c>
      <c r="B2372" t="s">
        <v>108</v>
      </c>
      <c r="C2372" t="str">
        <f t="shared" si="109"/>
        <v>ffdfd3c0</v>
      </c>
      <c r="D2372" t="s">
        <v>109</v>
      </c>
      <c r="E2372">
        <v>4</v>
      </c>
      <c r="F2372">
        <v>1004</v>
      </c>
      <c r="G2372" t="s">
        <v>110</v>
      </c>
      <c r="J2372" t="s">
        <v>111</v>
      </c>
      <c r="K2372">
        <v>0</v>
      </c>
      <c r="L2372">
        <v>3</v>
      </c>
      <c r="M2372">
        <v>0</v>
      </c>
      <c r="N2372">
        <v>2</v>
      </c>
      <c r="O2372">
        <v>1</v>
      </c>
      <c r="P2372">
        <v>0</v>
      </c>
      <c r="Q2372">
        <v>0</v>
      </c>
      <c r="R2372" t="s">
        <v>112</v>
      </c>
      <c r="S2372" t="str">
        <f>"14:29:51.828"</f>
        <v>14:29:51.828</v>
      </c>
      <c r="T2372" t="str">
        <f>"14:29:51.430"</f>
        <v>14:29:51.430</v>
      </c>
      <c r="U2372" t="str">
        <f t="shared" si="111"/>
        <v>ad5732</v>
      </c>
      <c r="V2372">
        <v>0</v>
      </c>
      <c r="W2372">
        <v>0</v>
      </c>
      <c r="X2372">
        <v>1</v>
      </c>
      <c r="Z2372">
        <v>0</v>
      </c>
      <c r="AA2372">
        <v>9</v>
      </c>
      <c r="AB2372">
        <v>3</v>
      </c>
      <c r="AC2372">
        <v>0</v>
      </c>
      <c r="AD2372">
        <v>10</v>
      </c>
      <c r="AE2372">
        <v>0</v>
      </c>
      <c r="AF2372">
        <v>3</v>
      </c>
      <c r="AG2372">
        <v>2</v>
      </c>
      <c r="AH2372">
        <v>0</v>
      </c>
      <c r="AI2372" t="s">
        <v>4853</v>
      </c>
      <c r="AJ2372">
        <v>40.009695999999998</v>
      </c>
      <c r="AK2372" t="s">
        <v>4854</v>
      </c>
      <c r="AL2372">
        <v>-75.541048000000004</v>
      </c>
      <c r="AM2372">
        <v>100</v>
      </c>
      <c r="AN2372">
        <v>4700</v>
      </c>
      <c r="AO2372" t="s">
        <v>115</v>
      </c>
      <c r="AP2372">
        <v>132</v>
      </c>
      <c r="AQ2372">
        <v>124</v>
      </c>
      <c r="AR2372">
        <v>-64</v>
      </c>
      <c r="AZ2372">
        <v>3614</v>
      </c>
      <c r="BA2372">
        <v>1</v>
      </c>
      <c r="BB2372" t="str">
        <f t="shared" si="110"/>
        <v xml:space="preserve">N959MJ  </v>
      </c>
      <c r="BC2372">
        <v>1</v>
      </c>
      <c r="BE2372">
        <v>0</v>
      </c>
      <c r="BF2372">
        <v>0</v>
      </c>
      <c r="BG2372">
        <v>0</v>
      </c>
      <c r="BH2372">
        <v>4900</v>
      </c>
      <c r="BI2372">
        <v>200</v>
      </c>
      <c r="BJ2372">
        <v>1</v>
      </c>
      <c r="BK2372">
        <v>1</v>
      </c>
      <c r="BL2372">
        <v>1</v>
      </c>
      <c r="BM2372">
        <v>0</v>
      </c>
      <c r="BP2372">
        <v>0</v>
      </c>
      <c r="BQ2372">
        <v>0</v>
      </c>
      <c r="BX2372" t="str">
        <f>"14:29:51.828"</f>
        <v>14:29:51.828</v>
      </c>
      <c r="BY2372" t="str">
        <f>"829854250"</f>
        <v>829854250</v>
      </c>
      <c r="CL2372">
        <v>0</v>
      </c>
      <c r="CM2372">
        <v>2</v>
      </c>
      <c r="CN2372">
        <v>0</v>
      </c>
      <c r="CO2372">
        <v>2</v>
      </c>
      <c r="CP2372">
        <v>0</v>
      </c>
      <c r="CQ2372">
        <v>7</v>
      </c>
      <c r="CR2372" t="s">
        <v>116</v>
      </c>
      <c r="CS2372">
        <v>39</v>
      </c>
      <c r="CT2372">
        <v>0</v>
      </c>
      <c r="CU2372" t="s">
        <v>2259</v>
      </c>
      <c r="CV2372" t="s">
        <v>2260</v>
      </c>
      <c r="CY2372">
        <v>1739265</v>
      </c>
      <c r="CZ2372" t="s">
        <v>119</v>
      </c>
    </row>
    <row r="2373" spans="1:104" x14ac:dyDescent="0.25">
      <c r="A2373" t="str">
        <f>"14:29:52.984"</f>
        <v>14:29:52.984</v>
      </c>
      <c r="B2373" t="s">
        <v>108</v>
      </c>
      <c r="C2373" t="str">
        <f t="shared" si="109"/>
        <v>ffdfd3c0</v>
      </c>
      <c r="D2373" t="s">
        <v>109</v>
      </c>
      <c r="E2373">
        <v>4</v>
      </c>
      <c r="F2373">
        <v>1004</v>
      </c>
      <c r="G2373" t="s">
        <v>110</v>
      </c>
      <c r="J2373" t="s">
        <v>111</v>
      </c>
      <c r="K2373">
        <v>0</v>
      </c>
      <c r="L2373">
        <v>3</v>
      </c>
      <c r="M2373">
        <v>0</v>
      </c>
      <c r="N2373">
        <v>2</v>
      </c>
      <c r="O2373">
        <v>1</v>
      </c>
      <c r="P2373">
        <v>0</v>
      </c>
      <c r="Q2373">
        <v>0</v>
      </c>
      <c r="R2373" t="s">
        <v>112</v>
      </c>
      <c r="S2373" t="str">
        <f>"14:29:52.805"</f>
        <v>14:29:52.805</v>
      </c>
      <c r="T2373" t="str">
        <f>"14:29:52.305"</f>
        <v>14:29:52.305</v>
      </c>
      <c r="U2373" t="str">
        <f t="shared" si="111"/>
        <v>ad5732</v>
      </c>
      <c r="V2373">
        <v>0</v>
      </c>
      <c r="W2373">
        <v>0</v>
      </c>
      <c r="X2373">
        <v>1</v>
      </c>
      <c r="Z2373">
        <v>0</v>
      </c>
      <c r="AA2373">
        <v>9</v>
      </c>
      <c r="AB2373">
        <v>3</v>
      </c>
      <c r="AC2373">
        <v>0</v>
      </c>
      <c r="AD2373">
        <v>10</v>
      </c>
      <c r="AE2373">
        <v>0</v>
      </c>
      <c r="AF2373">
        <v>3</v>
      </c>
      <c r="AG2373">
        <v>2</v>
      </c>
      <c r="AH2373">
        <v>0</v>
      </c>
      <c r="AI2373" t="s">
        <v>4855</v>
      </c>
      <c r="AJ2373">
        <v>40.010254000000003</v>
      </c>
      <c r="AK2373" t="s">
        <v>4856</v>
      </c>
      <c r="AL2373">
        <v>-75.540254000000004</v>
      </c>
      <c r="AM2373">
        <v>100</v>
      </c>
      <c r="AN2373">
        <v>4700</v>
      </c>
      <c r="AO2373" t="s">
        <v>115</v>
      </c>
      <c r="AP2373">
        <v>132</v>
      </c>
      <c r="AQ2373">
        <v>124</v>
      </c>
      <c r="AR2373">
        <v>-64</v>
      </c>
      <c r="AZ2373">
        <v>3614</v>
      </c>
      <c r="BA2373">
        <v>1</v>
      </c>
      <c r="BB2373" t="str">
        <f t="shared" si="110"/>
        <v xml:space="preserve">N959MJ  </v>
      </c>
      <c r="BC2373">
        <v>1</v>
      </c>
      <c r="BE2373">
        <v>0</v>
      </c>
      <c r="BF2373">
        <v>0</v>
      </c>
      <c r="BG2373">
        <v>0</v>
      </c>
      <c r="BH2373">
        <v>4875</v>
      </c>
      <c r="BI2373">
        <v>175</v>
      </c>
      <c r="BJ2373">
        <v>1</v>
      </c>
      <c r="BK2373">
        <v>1</v>
      </c>
      <c r="BL2373">
        <v>1</v>
      </c>
      <c r="BM2373">
        <v>0</v>
      </c>
      <c r="BP2373">
        <v>0</v>
      </c>
      <c r="BQ2373">
        <v>0</v>
      </c>
      <c r="BX2373" t="str">
        <f>"14:29:52.805"</f>
        <v>14:29:52.805</v>
      </c>
      <c r="BY2373" t="str">
        <f>"806357757"</f>
        <v>806357757</v>
      </c>
      <c r="CL2373">
        <v>0</v>
      </c>
      <c r="CM2373">
        <v>2</v>
      </c>
      <c r="CN2373">
        <v>0</v>
      </c>
      <c r="CO2373">
        <v>2</v>
      </c>
      <c r="CP2373">
        <v>0</v>
      </c>
      <c r="CQ2373">
        <v>7</v>
      </c>
      <c r="CR2373" t="s">
        <v>116</v>
      </c>
      <c r="CS2373">
        <v>39</v>
      </c>
      <c r="CT2373">
        <v>0</v>
      </c>
      <c r="CU2373" t="s">
        <v>2259</v>
      </c>
      <c r="CV2373" t="s">
        <v>2260</v>
      </c>
      <c r="CY2373">
        <v>1740918</v>
      </c>
      <c r="CZ2373" t="s">
        <v>119</v>
      </c>
    </row>
    <row r="2374" spans="1:104" x14ac:dyDescent="0.25">
      <c r="A2374" t="str">
        <f>"14:29:53.938"</f>
        <v>14:29:53.938</v>
      </c>
      <c r="B2374" t="s">
        <v>108</v>
      </c>
      <c r="C2374" t="str">
        <f t="shared" si="109"/>
        <v>ffdfd3c0</v>
      </c>
      <c r="D2374" t="s">
        <v>109</v>
      </c>
      <c r="E2374">
        <v>4</v>
      </c>
      <c r="F2374">
        <v>1004</v>
      </c>
      <c r="G2374" t="s">
        <v>110</v>
      </c>
      <c r="J2374" t="s">
        <v>111</v>
      </c>
      <c r="K2374">
        <v>0</v>
      </c>
      <c r="L2374">
        <v>3</v>
      </c>
      <c r="M2374">
        <v>0</v>
      </c>
      <c r="N2374">
        <v>2</v>
      </c>
      <c r="O2374">
        <v>1</v>
      </c>
      <c r="P2374">
        <v>0</v>
      </c>
      <c r="Q2374">
        <v>0</v>
      </c>
      <c r="R2374" t="s">
        <v>112</v>
      </c>
      <c r="S2374" t="str">
        <f>"14:29:53.734"</f>
        <v>14:29:53.734</v>
      </c>
      <c r="T2374" t="str">
        <f>"14:29:53.336"</f>
        <v>14:29:53.336</v>
      </c>
      <c r="U2374" t="str">
        <f t="shared" si="111"/>
        <v>ad5732</v>
      </c>
      <c r="V2374">
        <v>0</v>
      </c>
      <c r="W2374">
        <v>0</v>
      </c>
      <c r="X2374">
        <v>1</v>
      </c>
      <c r="Z2374">
        <v>0</v>
      </c>
      <c r="AA2374">
        <v>9</v>
      </c>
      <c r="AB2374">
        <v>3</v>
      </c>
      <c r="AC2374">
        <v>0</v>
      </c>
      <c r="AD2374">
        <v>10</v>
      </c>
      <c r="AE2374">
        <v>0</v>
      </c>
      <c r="AF2374">
        <v>3</v>
      </c>
      <c r="AG2374">
        <v>2</v>
      </c>
      <c r="AH2374">
        <v>0</v>
      </c>
      <c r="AI2374" t="s">
        <v>4857</v>
      </c>
      <c r="AJ2374">
        <v>40.010748</v>
      </c>
      <c r="AK2374" t="s">
        <v>4858</v>
      </c>
      <c r="AL2374">
        <v>-75.539546000000001</v>
      </c>
      <c r="AM2374">
        <v>100</v>
      </c>
      <c r="AN2374">
        <v>4700</v>
      </c>
      <c r="AO2374" t="s">
        <v>115</v>
      </c>
      <c r="AP2374">
        <v>132</v>
      </c>
      <c r="AQ2374">
        <v>123</v>
      </c>
      <c r="AR2374">
        <v>64</v>
      </c>
      <c r="AZ2374">
        <v>3614</v>
      </c>
      <c r="BA2374">
        <v>1</v>
      </c>
      <c r="BB2374" t="str">
        <f t="shared" si="110"/>
        <v xml:space="preserve">N959MJ  </v>
      </c>
      <c r="BC2374">
        <v>1</v>
      </c>
      <c r="BE2374">
        <v>0</v>
      </c>
      <c r="BF2374">
        <v>0</v>
      </c>
      <c r="BG2374">
        <v>0</v>
      </c>
      <c r="BH2374">
        <v>4875</v>
      </c>
      <c r="BI2374">
        <v>175</v>
      </c>
      <c r="BJ2374">
        <v>1</v>
      </c>
      <c r="BK2374">
        <v>1</v>
      </c>
      <c r="BL2374">
        <v>1</v>
      </c>
      <c r="BM2374">
        <v>0</v>
      </c>
      <c r="BP2374">
        <v>0</v>
      </c>
      <c r="BQ2374">
        <v>0</v>
      </c>
      <c r="BX2374" t="str">
        <f>"14:29:53.734"</f>
        <v>14:29:53.734</v>
      </c>
      <c r="BY2374" t="str">
        <f>"736985260"</f>
        <v>736985260</v>
      </c>
      <c r="CL2374">
        <v>0</v>
      </c>
      <c r="CM2374">
        <v>2</v>
      </c>
      <c r="CN2374">
        <v>0</v>
      </c>
      <c r="CO2374">
        <v>2</v>
      </c>
      <c r="CP2374">
        <v>0</v>
      </c>
      <c r="CQ2374">
        <v>7</v>
      </c>
      <c r="CR2374" t="s">
        <v>116</v>
      </c>
      <c r="CS2374">
        <v>39</v>
      </c>
      <c r="CT2374">
        <v>0</v>
      </c>
      <c r="CU2374" t="s">
        <v>2259</v>
      </c>
      <c r="CV2374" t="s">
        <v>2260</v>
      </c>
      <c r="CY2374">
        <v>1742716</v>
      </c>
      <c r="CZ2374" t="s">
        <v>119</v>
      </c>
    </row>
    <row r="2375" spans="1:104" x14ac:dyDescent="0.25">
      <c r="A2375" t="str">
        <f>"14:29:55.102"</f>
        <v>14:29:55.102</v>
      </c>
      <c r="B2375" t="s">
        <v>108</v>
      </c>
      <c r="C2375" t="str">
        <f t="shared" si="109"/>
        <v>ffdfd3c0</v>
      </c>
      <c r="D2375" t="s">
        <v>109</v>
      </c>
      <c r="E2375">
        <v>4</v>
      </c>
      <c r="F2375">
        <v>1004</v>
      </c>
      <c r="G2375" t="s">
        <v>110</v>
      </c>
      <c r="J2375" t="s">
        <v>111</v>
      </c>
      <c r="K2375">
        <v>0</v>
      </c>
      <c r="L2375">
        <v>3</v>
      </c>
      <c r="M2375">
        <v>0</v>
      </c>
      <c r="N2375">
        <v>2</v>
      </c>
      <c r="O2375">
        <v>1</v>
      </c>
      <c r="P2375">
        <v>0</v>
      </c>
      <c r="Q2375">
        <v>0</v>
      </c>
      <c r="R2375" t="s">
        <v>112</v>
      </c>
      <c r="S2375" t="str">
        <f>"14:29:54.898"</f>
        <v>14:29:54.898</v>
      </c>
      <c r="T2375" t="str">
        <f>"14:29:54.398"</f>
        <v>14:29:54.398</v>
      </c>
      <c r="U2375" t="str">
        <f t="shared" si="111"/>
        <v>ad5732</v>
      </c>
      <c r="V2375">
        <v>0</v>
      </c>
      <c r="W2375">
        <v>0</v>
      </c>
      <c r="X2375">
        <v>1</v>
      </c>
      <c r="Z2375">
        <v>0</v>
      </c>
      <c r="AA2375">
        <v>9</v>
      </c>
      <c r="AB2375">
        <v>3</v>
      </c>
      <c r="AC2375">
        <v>0</v>
      </c>
      <c r="AD2375">
        <v>10</v>
      </c>
      <c r="AE2375">
        <v>0</v>
      </c>
      <c r="AF2375">
        <v>3</v>
      </c>
      <c r="AG2375">
        <v>2</v>
      </c>
      <c r="AH2375">
        <v>0</v>
      </c>
      <c r="AI2375" t="s">
        <v>4859</v>
      </c>
      <c r="AJ2375">
        <v>40.011369999999999</v>
      </c>
      <c r="AK2375" t="s">
        <v>4860</v>
      </c>
      <c r="AL2375">
        <v>-75.538687999999993</v>
      </c>
      <c r="AM2375">
        <v>100</v>
      </c>
      <c r="AN2375">
        <v>4700</v>
      </c>
      <c r="AO2375" t="s">
        <v>115</v>
      </c>
      <c r="AP2375">
        <v>132</v>
      </c>
      <c r="AQ2375">
        <v>123</v>
      </c>
      <c r="AR2375">
        <v>64</v>
      </c>
      <c r="AZ2375">
        <v>3614</v>
      </c>
      <c r="BA2375">
        <v>1</v>
      </c>
      <c r="BB2375" t="str">
        <f t="shared" si="110"/>
        <v xml:space="preserve">N959MJ  </v>
      </c>
      <c r="BC2375">
        <v>1</v>
      </c>
      <c r="BE2375">
        <v>0</v>
      </c>
      <c r="BF2375">
        <v>0</v>
      </c>
      <c r="BG2375">
        <v>0</v>
      </c>
      <c r="BH2375">
        <v>4900</v>
      </c>
      <c r="BI2375">
        <v>200</v>
      </c>
      <c r="BJ2375">
        <v>1</v>
      </c>
      <c r="BK2375">
        <v>1</v>
      </c>
      <c r="BL2375">
        <v>1</v>
      </c>
      <c r="BM2375">
        <v>0</v>
      </c>
      <c r="BP2375">
        <v>0</v>
      </c>
      <c r="BQ2375">
        <v>0</v>
      </c>
      <c r="BX2375" t="str">
        <f>"14:29:54.906"</f>
        <v>14:29:54.906</v>
      </c>
      <c r="BY2375" t="str">
        <f>"903546500"</f>
        <v>903546500</v>
      </c>
      <c r="CL2375">
        <v>0</v>
      </c>
      <c r="CM2375">
        <v>2</v>
      </c>
      <c r="CN2375">
        <v>0</v>
      </c>
      <c r="CO2375">
        <v>2</v>
      </c>
      <c r="CP2375">
        <v>0</v>
      </c>
      <c r="CQ2375">
        <v>7</v>
      </c>
      <c r="CR2375" t="s">
        <v>116</v>
      </c>
      <c r="CS2375">
        <v>39</v>
      </c>
      <c r="CT2375">
        <v>0</v>
      </c>
      <c r="CU2375" t="s">
        <v>2259</v>
      </c>
      <c r="CV2375" t="s">
        <v>2260</v>
      </c>
      <c r="CY2375">
        <v>1744758</v>
      </c>
      <c r="CZ2375" t="s">
        <v>119</v>
      </c>
    </row>
    <row r="2376" spans="1:104" x14ac:dyDescent="0.25">
      <c r="A2376" t="str">
        <f>"14:29:56.063"</f>
        <v>14:29:56.063</v>
      </c>
      <c r="B2376" t="s">
        <v>108</v>
      </c>
      <c r="C2376" t="str">
        <f t="shared" si="109"/>
        <v>ffdfd3c0</v>
      </c>
      <c r="D2376" t="s">
        <v>109</v>
      </c>
      <c r="E2376">
        <v>4</v>
      </c>
      <c r="F2376">
        <v>1004</v>
      </c>
      <c r="G2376" t="s">
        <v>110</v>
      </c>
      <c r="J2376" t="s">
        <v>111</v>
      </c>
      <c r="K2376">
        <v>0</v>
      </c>
      <c r="L2376">
        <v>3</v>
      </c>
      <c r="M2376">
        <v>0</v>
      </c>
      <c r="N2376">
        <v>2</v>
      </c>
      <c r="O2376">
        <v>1</v>
      </c>
      <c r="P2376">
        <v>0</v>
      </c>
      <c r="Q2376">
        <v>0</v>
      </c>
      <c r="R2376" t="s">
        <v>112</v>
      </c>
      <c r="S2376" t="str">
        <f>"14:29:55.891"</f>
        <v>14:29:55.891</v>
      </c>
      <c r="T2376" t="str">
        <f>"14:29:55.492"</f>
        <v>14:29:55.492</v>
      </c>
      <c r="U2376" t="str">
        <f t="shared" si="111"/>
        <v>ad5732</v>
      </c>
      <c r="V2376">
        <v>0</v>
      </c>
      <c r="W2376">
        <v>0</v>
      </c>
      <c r="X2376">
        <v>1</v>
      </c>
      <c r="Z2376">
        <v>0</v>
      </c>
      <c r="AA2376">
        <v>9</v>
      </c>
      <c r="AB2376">
        <v>3</v>
      </c>
      <c r="AC2376">
        <v>0</v>
      </c>
      <c r="AD2376">
        <v>10</v>
      </c>
      <c r="AE2376">
        <v>0</v>
      </c>
      <c r="AF2376">
        <v>3</v>
      </c>
      <c r="AG2376">
        <v>2</v>
      </c>
      <c r="AH2376">
        <v>0</v>
      </c>
      <c r="AI2376" t="s">
        <v>4861</v>
      </c>
      <c r="AJ2376">
        <v>40.011971000000003</v>
      </c>
      <c r="AK2376" t="s">
        <v>4862</v>
      </c>
      <c r="AL2376">
        <v>-75.537871999999993</v>
      </c>
      <c r="AM2376">
        <v>100</v>
      </c>
      <c r="AN2376">
        <v>4700</v>
      </c>
      <c r="AO2376" t="s">
        <v>115</v>
      </c>
      <c r="AP2376">
        <v>132</v>
      </c>
      <c r="AQ2376">
        <v>123</v>
      </c>
      <c r="AR2376">
        <v>64</v>
      </c>
      <c r="AZ2376">
        <v>3614</v>
      </c>
      <c r="BA2376">
        <v>1</v>
      </c>
      <c r="BB2376" t="str">
        <f t="shared" si="110"/>
        <v xml:space="preserve">N959MJ  </v>
      </c>
      <c r="BC2376">
        <v>1</v>
      </c>
      <c r="BE2376">
        <v>0</v>
      </c>
      <c r="BF2376">
        <v>0</v>
      </c>
      <c r="BG2376">
        <v>0</v>
      </c>
      <c r="BH2376">
        <v>4900</v>
      </c>
      <c r="BI2376">
        <v>200</v>
      </c>
      <c r="BJ2376">
        <v>1</v>
      </c>
      <c r="BK2376">
        <v>1</v>
      </c>
      <c r="BL2376">
        <v>1</v>
      </c>
      <c r="BM2376">
        <v>0</v>
      </c>
      <c r="BP2376">
        <v>0</v>
      </c>
      <c r="BQ2376">
        <v>0</v>
      </c>
      <c r="BX2376" t="str">
        <f>"14:29:55.898"</f>
        <v>14:29:55.898</v>
      </c>
      <c r="BY2376" t="str">
        <f>"896434352"</f>
        <v>896434352</v>
      </c>
      <c r="CL2376">
        <v>0</v>
      </c>
      <c r="CM2376">
        <v>2</v>
      </c>
      <c r="CN2376">
        <v>0</v>
      </c>
      <c r="CO2376">
        <v>2</v>
      </c>
      <c r="CP2376">
        <v>0</v>
      </c>
      <c r="CQ2376">
        <v>7</v>
      </c>
      <c r="CR2376" t="s">
        <v>116</v>
      </c>
      <c r="CS2376">
        <v>39</v>
      </c>
      <c r="CT2376">
        <v>0</v>
      </c>
      <c r="CU2376" t="s">
        <v>2259</v>
      </c>
      <c r="CV2376" t="s">
        <v>2260</v>
      </c>
      <c r="CY2376">
        <v>1746365</v>
      </c>
      <c r="CZ2376" t="s">
        <v>119</v>
      </c>
    </row>
    <row r="2377" spans="1:104" x14ac:dyDescent="0.25">
      <c r="A2377" t="str">
        <f>"14:29:57.070"</f>
        <v>14:29:57.070</v>
      </c>
      <c r="B2377" t="s">
        <v>108</v>
      </c>
      <c r="C2377" t="str">
        <f t="shared" si="109"/>
        <v>ffdfd3c0</v>
      </c>
      <c r="D2377" t="s">
        <v>109</v>
      </c>
      <c r="E2377">
        <v>4</v>
      </c>
      <c r="F2377">
        <v>1004</v>
      </c>
      <c r="G2377" t="s">
        <v>110</v>
      </c>
      <c r="J2377" t="s">
        <v>111</v>
      </c>
      <c r="K2377">
        <v>0</v>
      </c>
      <c r="L2377">
        <v>3</v>
      </c>
      <c r="M2377">
        <v>0</v>
      </c>
      <c r="N2377">
        <v>2</v>
      </c>
      <c r="O2377">
        <v>1</v>
      </c>
      <c r="P2377">
        <v>0</v>
      </c>
      <c r="Q2377">
        <v>0</v>
      </c>
      <c r="R2377" t="s">
        <v>112</v>
      </c>
      <c r="S2377" t="str">
        <f>"14:29:56.859"</f>
        <v>14:29:56.859</v>
      </c>
      <c r="T2377" t="str">
        <f>"14:29:56.359"</f>
        <v>14:29:56.359</v>
      </c>
      <c r="U2377" t="str">
        <f t="shared" si="111"/>
        <v>ad5732</v>
      </c>
      <c r="V2377">
        <v>0</v>
      </c>
      <c r="W2377">
        <v>0</v>
      </c>
      <c r="X2377">
        <v>1</v>
      </c>
      <c r="Z2377">
        <v>0</v>
      </c>
      <c r="AA2377">
        <v>9</v>
      </c>
      <c r="AB2377">
        <v>3</v>
      </c>
      <c r="AC2377">
        <v>0</v>
      </c>
      <c r="AD2377">
        <v>10</v>
      </c>
      <c r="AE2377">
        <v>0</v>
      </c>
      <c r="AF2377">
        <v>3</v>
      </c>
      <c r="AG2377">
        <v>2</v>
      </c>
      <c r="AH2377">
        <v>0</v>
      </c>
      <c r="AI2377" t="s">
        <v>4863</v>
      </c>
      <c r="AJ2377">
        <v>40.012529000000001</v>
      </c>
      <c r="AK2377" t="s">
        <v>4864</v>
      </c>
      <c r="AL2377">
        <v>-75.537057000000004</v>
      </c>
      <c r="AM2377">
        <v>100</v>
      </c>
      <c r="AN2377">
        <v>4700</v>
      </c>
      <c r="AO2377" t="s">
        <v>115</v>
      </c>
      <c r="AP2377">
        <v>131</v>
      </c>
      <c r="AQ2377">
        <v>123</v>
      </c>
      <c r="AR2377">
        <v>128</v>
      </c>
      <c r="AZ2377">
        <v>3614</v>
      </c>
      <c r="BA2377">
        <v>1</v>
      </c>
      <c r="BB2377" t="str">
        <f t="shared" si="110"/>
        <v xml:space="preserve">N959MJ  </v>
      </c>
      <c r="BC2377">
        <v>1</v>
      </c>
      <c r="BE2377">
        <v>0</v>
      </c>
      <c r="BF2377">
        <v>0</v>
      </c>
      <c r="BG2377">
        <v>0</v>
      </c>
      <c r="BH2377">
        <v>4900</v>
      </c>
      <c r="BI2377">
        <v>200</v>
      </c>
      <c r="BJ2377">
        <v>1</v>
      </c>
      <c r="BK2377">
        <v>1</v>
      </c>
      <c r="BL2377">
        <v>1</v>
      </c>
      <c r="BM2377">
        <v>0</v>
      </c>
      <c r="BP2377">
        <v>0</v>
      </c>
      <c r="BQ2377">
        <v>0</v>
      </c>
      <c r="BX2377" t="str">
        <f>"14:29:56.867"</f>
        <v>14:29:56.867</v>
      </c>
      <c r="BY2377" t="str">
        <f>"866384197"</f>
        <v>866384197</v>
      </c>
      <c r="CL2377">
        <v>0</v>
      </c>
      <c r="CM2377">
        <v>2</v>
      </c>
      <c r="CN2377">
        <v>0</v>
      </c>
      <c r="CO2377">
        <v>2</v>
      </c>
      <c r="CP2377">
        <v>0</v>
      </c>
      <c r="CQ2377">
        <v>7</v>
      </c>
      <c r="CR2377" t="s">
        <v>116</v>
      </c>
      <c r="CS2377">
        <v>39</v>
      </c>
      <c r="CT2377">
        <v>0</v>
      </c>
      <c r="CU2377" t="s">
        <v>2259</v>
      </c>
      <c r="CV2377" t="s">
        <v>2260</v>
      </c>
      <c r="CY2377">
        <v>1747993</v>
      </c>
      <c r="CZ2377" t="s">
        <v>119</v>
      </c>
    </row>
    <row r="2378" spans="1:104" x14ac:dyDescent="0.25">
      <c r="A2378" t="str">
        <f>"14:29:58.133"</f>
        <v>14:29:58.133</v>
      </c>
      <c r="B2378" t="s">
        <v>108</v>
      </c>
      <c r="C2378" t="str">
        <f t="shared" ref="C2378:C2441" si="112">"ffdfd3c0"</f>
        <v>ffdfd3c0</v>
      </c>
      <c r="D2378" t="s">
        <v>109</v>
      </c>
      <c r="E2378">
        <v>4</v>
      </c>
      <c r="F2378">
        <v>1004</v>
      </c>
      <c r="G2378" t="s">
        <v>110</v>
      </c>
      <c r="J2378" t="s">
        <v>111</v>
      </c>
      <c r="K2378">
        <v>0</v>
      </c>
      <c r="L2378">
        <v>3</v>
      </c>
      <c r="M2378">
        <v>0</v>
      </c>
      <c r="N2378">
        <v>2</v>
      </c>
      <c r="O2378">
        <v>1</v>
      </c>
      <c r="P2378">
        <v>0</v>
      </c>
      <c r="Q2378">
        <v>0</v>
      </c>
      <c r="R2378" t="s">
        <v>112</v>
      </c>
      <c r="S2378" t="str">
        <f>"14:29:57.938"</f>
        <v>14:29:57.938</v>
      </c>
      <c r="T2378" t="str">
        <f>"14:29:57.438"</f>
        <v>14:29:57.438</v>
      </c>
      <c r="U2378" t="str">
        <f t="shared" si="111"/>
        <v>ad5732</v>
      </c>
      <c r="V2378">
        <v>0</v>
      </c>
      <c r="W2378">
        <v>0</v>
      </c>
      <c r="X2378">
        <v>1</v>
      </c>
      <c r="Z2378">
        <v>0</v>
      </c>
      <c r="AA2378">
        <v>9</v>
      </c>
      <c r="AB2378">
        <v>3</v>
      </c>
      <c r="AC2378">
        <v>0</v>
      </c>
      <c r="AD2378">
        <v>10</v>
      </c>
      <c r="AE2378">
        <v>0</v>
      </c>
      <c r="AF2378">
        <v>3</v>
      </c>
      <c r="AG2378">
        <v>2</v>
      </c>
      <c r="AH2378">
        <v>0</v>
      </c>
      <c r="AI2378" t="s">
        <v>4865</v>
      </c>
      <c r="AJ2378">
        <v>40.013173000000002</v>
      </c>
      <c r="AK2378" t="s">
        <v>4866</v>
      </c>
      <c r="AL2378">
        <v>-75.536198999999996</v>
      </c>
      <c r="AM2378">
        <v>100</v>
      </c>
      <c r="AN2378">
        <v>4700</v>
      </c>
      <c r="AO2378" t="s">
        <v>115</v>
      </c>
      <c r="AP2378">
        <v>131</v>
      </c>
      <c r="AQ2378">
        <v>123</v>
      </c>
      <c r="AR2378">
        <v>64</v>
      </c>
      <c r="AZ2378">
        <v>3614</v>
      </c>
      <c r="BA2378">
        <v>1</v>
      </c>
      <c r="BB2378" t="str">
        <f t="shared" ref="BB2378:BB2441" si="113">"N959MJ  "</f>
        <v xml:space="preserve">N959MJ  </v>
      </c>
      <c r="BC2378">
        <v>1</v>
      </c>
      <c r="BE2378">
        <v>0</v>
      </c>
      <c r="BF2378">
        <v>0</v>
      </c>
      <c r="BG2378">
        <v>0</v>
      </c>
      <c r="BH2378">
        <v>4900</v>
      </c>
      <c r="BI2378">
        <v>200</v>
      </c>
      <c r="BJ2378">
        <v>1</v>
      </c>
      <c r="BK2378">
        <v>1</v>
      </c>
      <c r="BL2378">
        <v>1</v>
      </c>
      <c r="BM2378">
        <v>0</v>
      </c>
      <c r="BP2378">
        <v>0</v>
      </c>
      <c r="BQ2378">
        <v>0</v>
      </c>
      <c r="BX2378" t="str">
        <f>"14:29:57.938"</f>
        <v>14:29:57.938</v>
      </c>
      <c r="BY2378" t="str">
        <f>"937916480"</f>
        <v>937916480</v>
      </c>
      <c r="CL2378">
        <v>0</v>
      </c>
      <c r="CM2378">
        <v>2</v>
      </c>
      <c r="CN2378">
        <v>0</v>
      </c>
      <c r="CO2378">
        <v>2</v>
      </c>
      <c r="CP2378">
        <v>0</v>
      </c>
      <c r="CQ2378">
        <v>7</v>
      </c>
      <c r="CR2378" t="s">
        <v>116</v>
      </c>
      <c r="CS2378">
        <v>39</v>
      </c>
      <c r="CT2378">
        <v>0</v>
      </c>
      <c r="CU2378" t="s">
        <v>2259</v>
      </c>
      <c r="CV2378" t="s">
        <v>2260</v>
      </c>
      <c r="CY2378">
        <v>1749925</v>
      </c>
      <c r="CZ2378" t="s">
        <v>119</v>
      </c>
    </row>
    <row r="2379" spans="1:104" x14ac:dyDescent="0.25">
      <c r="A2379" t="str">
        <f>"14:29:59.195"</f>
        <v>14:29:59.195</v>
      </c>
      <c r="B2379" t="s">
        <v>108</v>
      </c>
      <c r="C2379" t="str">
        <f t="shared" si="112"/>
        <v>ffdfd3c0</v>
      </c>
      <c r="D2379" t="s">
        <v>109</v>
      </c>
      <c r="E2379">
        <v>4</v>
      </c>
      <c r="F2379">
        <v>1004</v>
      </c>
      <c r="G2379" t="s">
        <v>110</v>
      </c>
      <c r="J2379" t="s">
        <v>111</v>
      </c>
      <c r="K2379">
        <v>0</v>
      </c>
      <c r="L2379">
        <v>3</v>
      </c>
      <c r="M2379">
        <v>0</v>
      </c>
      <c r="N2379">
        <v>2</v>
      </c>
      <c r="O2379">
        <v>1</v>
      </c>
      <c r="P2379">
        <v>0</v>
      </c>
      <c r="Q2379">
        <v>0</v>
      </c>
      <c r="R2379" t="s">
        <v>112</v>
      </c>
      <c r="S2379" t="str">
        <f>"14:29:59.000"</f>
        <v>14:29:59.000</v>
      </c>
      <c r="T2379" t="str">
        <f>"14:29:58.500"</f>
        <v>14:29:58.500</v>
      </c>
      <c r="U2379" t="str">
        <f t="shared" si="111"/>
        <v>ad5732</v>
      </c>
      <c r="V2379">
        <v>0</v>
      </c>
      <c r="W2379">
        <v>0</v>
      </c>
      <c r="X2379">
        <v>1</v>
      </c>
      <c r="Z2379">
        <v>0</v>
      </c>
      <c r="AA2379">
        <v>9</v>
      </c>
      <c r="AB2379">
        <v>3</v>
      </c>
      <c r="AC2379">
        <v>0</v>
      </c>
      <c r="AD2379">
        <v>10</v>
      </c>
      <c r="AE2379">
        <v>0</v>
      </c>
      <c r="AF2379">
        <v>3</v>
      </c>
      <c r="AG2379">
        <v>2</v>
      </c>
      <c r="AH2379">
        <v>0</v>
      </c>
      <c r="AI2379" t="s">
        <v>4867</v>
      </c>
      <c r="AJ2379">
        <v>40.013708999999999</v>
      </c>
      <c r="AK2379" t="s">
        <v>4868</v>
      </c>
      <c r="AL2379">
        <v>-75.535404999999997</v>
      </c>
      <c r="AM2379">
        <v>100</v>
      </c>
      <c r="AN2379">
        <v>4700</v>
      </c>
      <c r="AO2379" t="s">
        <v>115</v>
      </c>
      <c r="AP2379">
        <v>131</v>
      </c>
      <c r="AQ2379">
        <v>124</v>
      </c>
      <c r="AR2379">
        <v>64</v>
      </c>
      <c r="AZ2379">
        <v>3614</v>
      </c>
      <c r="BA2379">
        <v>1</v>
      </c>
      <c r="BB2379" t="str">
        <f t="shared" si="113"/>
        <v xml:space="preserve">N959MJ  </v>
      </c>
      <c r="BC2379">
        <v>1</v>
      </c>
      <c r="BE2379">
        <v>0</v>
      </c>
      <c r="BF2379">
        <v>0</v>
      </c>
      <c r="BG2379">
        <v>0</v>
      </c>
      <c r="BH2379">
        <v>4900</v>
      </c>
      <c r="BI2379">
        <v>200</v>
      </c>
      <c r="BJ2379">
        <v>1</v>
      </c>
      <c r="BK2379">
        <v>1</v>
      </c>
      <c r="BL2379">
        <v>1</v>
      </c>
      <c r="BM2379">
        <v>0</v>
      </c>
      <c r="BP2379">
        <v>0</v>
      </c>
      <c r="BQ2379">
        <v>0</v>
      </c>
      <c r="BX2379" t="str">
        <f>"14:29:59.000"</f>
        <v>14:29:59.000</v>
      </c>
      <c r="BY2379" t="str">
        <f>"002895138"</f>
        <v>002895138</v>
      </c>
      <c r="CL2379">
        <v>0</v>
      </c>
      <c r="CM2379">
        <v>2</v>
      </c>
      <c r="CN2379">
        <v>0</v>
      </c>
      <c r="CO2379">
        <v>2</v>
      </c>
      <c r="CP2379">
        <v>0</v>
      </c>
      <c r="CQ2379">
        <v>7</v>
      </c>
      <c r="CR2379" t="s">
        <v>116</v>
      </c>
      <c r="CS2379">
        <v>39</v>
      </c>
      <c r="CT2379">
        <v>0</v>
      </c>
      <c r="CU2379" t="s">
        <v>2259</v>
      </c>
      <c r="CV2379" t="s">
        <v>2260</v>
      </c>
      <c r="CY2379">
        <v>1751862</v>
      </c>
      <c r="CZ2379" t="s">
        <v>119</v>
      </c>
    </row>
    <row r="2380" spans="1:104" x14ac:dyDescent="0.25">
      <c r="A2380" t="str">
        <f>"14:30:00.203"</f>
        <v>14:30:00.203</v>
      </c>
      <c r="B2380" t="s">
        <v>108</v>
      </c>
      <c r="C2380" t="str">
        <f t="shared" si="112"/>
        <v>ffdfd3c0</v>
      </c>
      <c r="D2380" t="s">
        <v>109</v>
      </c>
      <c r="E2380">
        <v>4</v>
      </c>
      <c r="F2380">
        <v>1004</v>
      </c>
      <c r="G2380" t="s">
        <v>110</v>
      </c>
      <c r="J2380" t="s">
        <v>111</v>
      </c>
      <c r="K2380">
        <v>0</v>
      </c>
      <c r="L2380">
        <v>3</v>
      </c>
      <c r="M2380">
        <v>0</v>
      </c>
      <c r="N2380">
        <v>2</v>
      </c>
      <c r="O2380">
        <v>1</v>
      </c>
      <c r="P2380">
        <v>0</v>
      </c>
      <c r="Q2380">
        <v>0</v>
      </c>
      <c r="R2380" t="s">
        <v>112</v>
      </c>
      <c r="S2380" t="str">
        <f>"14:30:00.039"</f>
        <v>14:30:00.039</v>
      </c>
      <c r="T2380" t="str">
        <f>"14:29:59.641"</f>
        <v>14:29:59.641</v>
      </c>
      <c r="U2380" t="str">
        <f t="shared" si="111"/>
        <v>ad5732</v>
      </c>
      <c r="V2380">
        <v>0</v>
      </c>
      <c r="W2380">
        <v>0</v>
      </c>
      <c r="X2380">
        <v>1</v>
      </c>
      <c r="Z2380">
        <v>0</v>
      </c>
      <c r="AA2380">
        <v>9</v>
      </c>
      <c r="AB2380">
        <v>3</v>
      </c>
      <c r="AC2380">
        <v>0</v>
      </c>
      <c r="AD2380">
        <v>10</v>
      </c>
      <c r="AE2380">
        <v>0</v>
      </c>
      <c r="AF2380">
        <v>3</v>
      </c>
      <c r="AG2380">
        <v>2</v>
      </c>
      <c r="AH2380">
        <v>0</v>
      </c>
      <c r="AI2380" t="s">
        <v>4869</v>
      </c>
      <c r="AJ2380">
        <v>40.014353</v>
      </c>
      <c r="AK2380" t="s">
        <v>4870</v>
      </c>
      <c r="AL2380">
        <v>-75.534567999999993</v>
      </c>
      <c r="AM2380">
        <v>100</v>
      </c>
      <c r="AN2380">
        <v>4700</v>
      </c>
      <c r="AO2380" t="s">
        <v>115</v>
      </c>
      <c r="AP2380">
        <v>131</v>
      </c>
      <c r="AQ2380">
        <v>123</v>
      </c>
      <c r="AR2380">
        <v>64</v>
      </c>
      <c r="AZ2380">
        <v>3614</v>
      </c>
      <c r="BA2380">
        <v>1</v>
      </c>
      <c r="BB2380" t="str">
        <f t="shared" si="113"/>
        <v xml:space="preserve">N959MJ  </v>
      </c>
      <c r="BC2380">
        <v>1</v>
      </c>
      <c r="BE2380">
        <v>0</v>
      </c>
      <c r="BF2380">
        <v>0</v>
      </c>
      <c r="BG2380">
        <v>0</v>
      </c>
      <c r="BH2380">
        <v>4900</v>
      </c>
      <c r="BI2380">
        <v>200</v>
      </c>
      <c r="BJ2380">
        <v>1</v>
      </c>
      <c r="BK2380">
        <v>1</v>
      </c>
      <c r="BL2380">
        <v>1</v>
      </c>
      <c r="BM2380">
        <v>0</v>
      </c>
      <c r="BP2380">
        <v>0</v>
      </c>
      <c r="BQ2380">
        <v>0</v>
      </c>
      <c r="BX2380" t="str">
        <f>"14:30:00.047"</f>
        <v>14:30:00.047</v>
      </c>
      <c r="BY2380" t="str">
        <f>"044935811"</f>
        <v>044935811</v>
      </c>
      <c r="CL2380">
        <v>0</v>
      </c>
      <c r="CM2380">
        <v>2</v>
      </c>
      <c r="CN2380">
        <v>0</v>
      </c>
      <c r="CO2380">
        <v>2</v>
      </c>
      <c r="CP2380">
        <v>0</v>
      </c>
      <c r="CQ2380">
        <v>7</v>
      </c>
      <c r="CR2380" t="s">
        <v>116</v>
      </c>
      <c r="CS2380">
        <v>39</v>
      </c>
      <c r="CT2380">
        <v>0</v>
      </c>
      <c r="CU2380" t="s">
        <v>2259</v>
      </c>
      <c r="CV2380" t="s">
        <v>2260</v>
      </c>
      <c r="CY2380">
        <v>1753644</v>
      </c>
      <c r="CZ2380" t="s">
        <v>119</v>
      </c>
    </row>
    <row r="2381" spans="1:104" x14ac:dyDescent="0.25">
      <c r="A2381" t="str">
        <f>"14:30:01.367"</f>
        <v>14:30:01.367</v>
      </c>
      <c r="B2381" t="s">
        <v>108</v>
      </c>
      <c r="C2381" t="str">
        <f t="shared" si="112"/>
        <v>ffdfd3c0</v>
      </c>
      <c r="D2381" t="s">
        <v>109</v>
      </c>
      <c r="E2381">
        <v>4</v>
      </c>
      <c r="F2381">
        <v>1004</v>
      </c>
      <c r="G2381" t="s">
        <v>110</v>
      </c>
      <c r="J2381" t="s">
        <v>111</v>
      </c>
      <c r="K2381">
        <v>0</v>
      </c>
      <c r="L2381">
        <v>3</v>
      </c>
      <c r="M2381">
        <v>0</v>
      </c>
      <c r="N2381">
        <v>2</v>
      </c>
      <c r="O2381">
        <v>1</v>
      </c>
      <c r="P2381">
        <v>0</v>
      </c>
      <c r="Q2381">
        <v>0</v>
      </c>
      <c r="R2381" t="s">
        <v>112</v>
      </c>
      <c r="S2381" t="str">
        <f>"14:30:01.172"</f>
        <v>14:30:01.172</v>
      </c>
      <c r="T2381" t="str">
        <f>"14:30:00.672"</f>
        <v>14:30:00.672</v>
      </c>
      <c r="U2381" t="str">
        <f t="shared" si="111"/>
        <v>ad5732</v>
      </c>
      <c r="V2381">
        <v>0</v>
      </c>
      <c r="W2381">
        <v>0</v>
      </c>
      <c r="X2381">
        <v>1</v>
      </c>
      <c r="Z2381">
        <v>0</v>
      </c>
      <c r="AA2381">
        <v>9</v>
      </c>
      <c r="AB2381">
        <v>3</v>
      </c>
      <c r="AC2381">
        <v>0</v>
      </c>
      <c r="AD2381">
        <v>10</v>
      </c>
      <c r="AE2381">
        <v>0</v>
      </c>
      <c r="AF2381">
        <v>3</v>
      </c>
      <c r="AG2381">
        <v>2</v>
      </c>
      <c r="AH2381">
        <v>0</v>
      </c>
      <c r="AI2381" t="s">
        <v>4871</v>
      </c>
      <c r="AJ2381">
        <v>40.014997000000001</v>
      </c>
      <c r="AK2381" t="s">
        <v>4872</v>
      </c>
      <c r="AL2381">
        <v>-75.533687999999998</v>
      </c>
      <c r="AM2381">
        <v>100</v>
      </c>
      <c r="AN2381">
        <v>4700</v>
      </c>
      <c r="AO2381" t="s">
        <v>115</v>
      </c>
      <c r="AP2381">
        <v>131</v>
      </c>
      <c r="AQ2381">
        <v>124</v>
      </c>
      <c r="AR2381">
        <v>64</v>
      </c>
      <c r="AZ2381">
        <v>3614</v>
      </c>
      <c r="BA2381">
        <v>1</v>
      </c>
      <c r="BB2381" t="str">
        <f t="shared" si="113"/>
        <v xml:space="preserve">N959MJ  </v>
      </c>
      <c r="BC2381">
        <v>1</v>
      </c>
      <c r="BE2381">
        <v>0</v>
      </c>
      <c r="BF2381">
        <v>0</v>
      </c>
      <c r="BG2381">
        <v>0</v>
      </c>
      <c r="BH2381">
        <v>4900</v>
      </c>
      <c r="BI2381">
        <v>200</v>
      </c>
      <c r="BJ2381">
        <v>1</v>
      </c>
      <c r="BK2381">
        <v>1</v>
      </c>
      <c r="BL2381">
        <v>1</v>
      </c>
      <c r="BM2381">
        <v>0</v>
      </c>
      <c r="BP2381">
        <v>0</v>
      </c>
      <c r="BQ2381">
        <v>0</v>
      </c>
      <c r="BX2381" t="str">
        <f>"14:30:01.180"</f>
        <v>14:30:01.180</v>
      </c>
      <c r="BY2381" t="str">
        <f>"177090010"</f>
        <v>177090010</v>
      </c>
      <c r="CL2381">
        <v>0</v>
      </c>
      <c r="CM2381">
        <v>2</v>
      </c>
      <c r="CN2381">
        <v>0</v>
      </c>
      <c r="CO2381">
        <v>2</v>
      </c>
      <c r="CP2381">
        <v>0</v>
      </c>
      <c r="CQ2381">
        <v>7</v>
      </c>
      <c r="CR2381" t="s">
        <v>116</v>
      </c>
      <c r="CS2381">
        <v>39</v>
      </c>
      <c r="CT2381">
        <v>0</v>
      </c>
      <c r="CU2381" t="s">
        <v>2259</v>
      </c>
      <c r="CV2381" t="s">
        <v>2260</v>
      </c>
      <c r="CY2381">
        <v>1755367</v>
      </c>
      <c r="CZ2381" t="s">
        <v>119</v>
      </c>
    </row>
    <row r="2382" spans="1:104" x14ac:dyDescent="0.25">
      <c r="A2382" t="str">
        <f>"14:30:02.477"</f>
        <v>14:30:02.477</v>
      </c>
      <c r="B2382" t="s">
        <v>108</v>
      </c>
      <c r="C2382" t="str">
        <f t="shared" si="112"/>
        <v>ffdfd3c0</v>
      </c>
      <c r="D2382" t="s">
        <v>109</v>
      </c>
      <c r="E2382">
        <v>4</v>
      </c>
      <c r="F2382">
        <v>1004</v>
      </c>
      <c r="G2382" t="s">
        <v>110</v>
      </c>
      <c r="J2382" t="s">
        <v>111</v>
      </c>
      <c r="K2382">
        <v>0</v>
      </c>
      <c r="L2382">
        <v>3</v>
      </c>
      <c r="M2382">
        <v>0</v>
      </c>
      <c r="N2382">
        <v>2</v>
      </c>
      <c r="O2382">
        <v>1</v>
      </c>
      <c r="P2382">
        <v>0</v>
      </c>
      <c r="Q2382">
        <v>0</v>
      </c>
      <c r="R2382" t="s">
        <v>112</v>
      </c>
      <c r="S2382" t="str">
        <f>"14:30:02.289"</f>
        <v>14:30:02.289</v>
      </c>
      <c r="T2382" t="str">
        <f>"14:30:01.789"</f>
        <v>14:30:01.789</v>
      </c>
      <c r="U2382" t="str">
        <f t="shared" si="111"/>
        <v>ad5732</v>
      </c>
      <c r="V2382">
        <v>0</v>
      </c>
      <c r="W2382">
        <v>0</v>
      </c>
      <c r="X2382">
        <v>1</v>
      </c>
      <c r="Z2382">
        <v>0</v>
      </c>
      <c r="AA2382">
        <v>9</v>
      </c>
      <c r="AB2382">
        <v>3</v>
      </c>
      <c r="AC2382">
        <v>0</v>
      </c>
      <c r="AD2382">
        <v>10</v>
      </c>
      <c r="AE2382">
        <v>0</v>
      </c>
      <c r="AF2382">
        <v>3</v>
      </c>
      <c r="AG2382">
        <v>2</v>
      </c>
      <c r="AH2382">
        <v>0</v>
      </c>
      <c r="AI2382" t="s">
        <v>4873</v>
      </c>
      <c r="AJ2382">
        <v>40.015597</v>
      </c>
      <c r="AK2382" t="s">
        <v>4874</v>
      </c>
      <c r="AL2382">
        <v>-75.532808000000003</v>
      </c>
      <c r="AM2382">
        <v>100</v>
      </c>
      <c r="AN2382">
        <v>4700</v>
      </c>
      <c r="AO2382" t="s">
        <v>115</v>
      </c>
      <c r="AP2382">
        <v>130</v>
      </c>
      <c r="AQ2382">
        <v>124</v>
      </c>
      <c r="AR2382">
        <v>64</v>
      </c>
      <c r="AZ2382">
        <v>3614</v>
      </c>
      <c r="BA2382">
        <v>1</v>
      </c>
      <c r="BB2382" t="str">
        <f t="shared" si="113"/>
        <v xml:space="preserve">N959MJ  </v>
      </c>
      <c r="BC2382">
        <v>1</v>
      </c>
      <c r="BE2382">
        <v>0</v>
      </c>
      <c r="BF2382">
        <v>0</v>
      </c>
      <c r="BG2382">
        <v>0</v>
      </c>
      <c r="BH2382">
        <v>4900</v>
      </c>
      <c r="BI2382">
        <v>200</v>
      </c>
      <c r="BJ2382">
        <v>1</v>
      </c>
      <c r="BK2382">
        <v>1</v>
      </c>
      <c r="BL2382">
        <v>1</v>
      </c>
      <c r="BM2382">
        <v>0</v>
      </c>
      <c r="BP2382">
        <v>0</v>
      </c>
      <c r="BQ2382">
        <v>0</v>
      </c>
      <c r="BX2382" t="str">
        <f>"14:30:02.289"</f>
        <v>14:30:02.289</v>
      </c>
      <c r="BY2382" t="str">
        <f>"292860024"</f>
        <v>292860024</v>
      </c>
      <c r="CL2382">
        <v>0</v>
      </c>
      <c r="CM2382">
        <v>2</v>
      </c>
      <c r="CN2382">
        <v>0</v>
      </c>
      <c r="CO2382">
        <v>2</v>
      </c>
      <c r="CP2382">
        <v>0</v>
      </c>
      <c r="CQ2382">
        <v>7</v>
      </c>
      <c r="CR2382" t="s">
        <v>116</v>
      </c>
      <c r="CS2382">
        <v>39</v>
      </c>
      <c r="CT2382">
        <v>0</v>
      </c>
      <c r="CU2382" t="s">
        <v>2259</v>
      </c>
      <c r="CV2382" t="s">
        <v>2260</v>
      </c>
      <c r="CY2382">
        <v>1757243</v>
      </c>
      <c r="CZ2382" t="s">
        <v>119</v>
      </c>
    </row>
    <row r="2383" spans="1:104" x14ac:dyDescent="0.25">
      <c r="A2383" t="str">
        <f>"14:30:03.484"</f>
        <v>14:30:03.484</v>
      </c>
      <c r="B2383" t="s">
        <v>108</v>
      </c>
      <c r="C2383" t="str">
        <f t="shared" si="112"/>
        <v>ffdfd3c0</v>
      </c>
      <c r="D2383" t="s">
        <v>109</v>
      </c>
      <c r="E2383">
        <v>4</v>
      </c>
      <c r="F2383">
        <v>1004</v>
      </c>
      <c r="G2383" t="s">
        <v>110</v>
      </c>
      <c r="J2383" t="s">
        <v>111</v>
      </c>
      <c r="K2383">
        <v>0</v>
      </c>
      <c r="L2383">
        <v>3</v>
      </c>
      <c r="M2383">
        <v>0</v>
      </c>
      <c r="N2383">
        <v>2</v>
      </c>
      <c r="O2383">
        <v>1</v>
      </c>
      <c r="P2383">
        <v>0</v>
      </c>
      <c r="Q2383">
        <v>0</v>
      </c>
      <c r="R2383" t="s">
        <v>112</v>
      </c>
      <c r="S2383" t="str">
        <f>"14:30:03.320"</f>
        <v>14:30:03.320</v>
      </c>
      <c r="T2383" t="str">
        <f>"14:30:02.922"</f>
        <v>14:30:02.922</v>
      </c>
      <c r="U2383" t="str">
        <f t="shared" si="111"/>
        <v>ad5732</v>
      </c>
      <c r="V2383">
        <v>0</v>
      </c>
      <c r="W2383">
        <v>0</v>
      </c>
      <c r="X2383">
        <v>1</v>
      </c>
      <c r="Z2383">
        <v>0</v>
      </c>
      <c r="AA2383">
        <v>9</v>
      </c>
      <c r="AB2383">
        <v>3</v>
      </c>
      <c r="AC2383">
        <v>0</v>
      </c>
      <c r="AD2383">
        <v>10</v>
      </c>
      <c r="AE2383">
        <v>0</v>
      </c>
      <c r="AF2383">
        <v>3</v>
      </c>
      <c r="AG2383">
        <v>2</v>
      </c>
      <c r="AH2383">
        <v>0</v>
      </c>
      <c r="AI2383" t="s">
        <v>4875</v>
      </c>
      <c r="AJ2383">
        <v>40.016283999999999</v>
      </c>
      <c r="AK2383" t="s">
        <v>4876</v>
      </c>
      <c r="AL2383">
        <v>-75.531993</v>
      </c>
      <c r="AM2383">
        <v>100</v>
      </c>
      <c r="AN2383">
        <v>4700</v>
      </c>
      <c r="AO2383" t="s">
        <v>115</v>
      </c>
      <c r="AP2383">
        <v>130</v>
      </c>
      <c r="AQ2383">
        <v>124</v>
      </c>
      <c r="AR2383">
        <v>64</v>
      </c>
      <c r="AZ2383">
        <v>3614</v>
      </c>
      <c r="BA2383">
        <v>1</v>
      </c>
      <c r="BB2383" t="str">
        <f t="shared" si="113"/>
        <v xml:space="preserve">N959MJ  </v>
      </c>
      <c r="BC2383">
        <v>1</v>
      </c>
      <c r="BE2383">
        <v>0</v>
      </c>
      <c r="BF2383">
        <v>0</v>
      </c>
      <c r="BG2383">
        <v>0</v>
      </c>
      <c r="BH2383">
        <v>4900</v>
      </c>
      <c r="BI2383">
        <v>200</v>
      </c>
      <c r="BJ2383">
        <v>1</v>
      </c>
      <c r="BK2383">
        <v>1</v>
      </c>
      <c r="BL2383">
        <v>1</v>
      </c>
      <c r="BM2383">
        <v>0</v>
      </c>
      <c r="BP2383">
        <v>0</v>
      </c>
      <c r="BQ2383">
        <v>0</v>
      </c>
      <c r="BX2383" t="str">
        <f>"14:30:03.320"</f>
        <v>14:30:03.320</v>
      </c>
      <c r="BY2383" t="str">
        <f>"323431723"</f>
        <v>323431723</v>
      </c>
      <c r="CL2383">
        <v>0</v>
      </c>
      <c r="CM2383">
        <v>2</v>
      </c>
      <c r="CN2383">
        <v>0</v>
      </c>
      <c r="CO2383">
        <v>2</v>
      </c>
      <c r="CP2383">
        <v>0</v>
      </c>
      <c r="CQ2383">
        <v>7</v>
      </c>
      <c r="CR2383" t="s">
        <v>116</v>
      </c>
      <c r="CS2383">
        <v>39</v>
      </c>
      <c r="CT2383">
        <v>0</v>
      </c>
      <c r="CU2383" t="s">
        <v>2259</v>
      </c>
      <c r="CV2383" t="s">
        <v>2260</v>
      </c>
      <c r="CY2383">
        <v>1759128</v>
      </c>
      <c r="CZ2383" t="s">
        <v>119</v>
      </c>
    </row>
    <row r="2384" spans="1:104" x14ac:dyDescent="0.25">
      <c r="A2384" t="str">
        <f>"14:30:04.445"</f>
        <v>14:30:04.445</v>
      </c>
      <c r="B2384" t="s">
        <v>108</v>
      </c>
      <c r="C2384" t="str">
        <f t="shared" si="112"/>
        <v>ffdfd3c0</v>
      </c>
      <c r="D2384" t="s">
        <v>109</v>
      </c>
      <c r="E2384">
        <v>4</v>
      </c>
      <c r="F2384">
        <v>1004</v>
      </c>
      <c r="G2384" t="s">
        <v>110</v>
      </c>
      <c r="J2384" t="s">
        <v>111</v>
      </c>
      <c r="K2384">
        <v>0</v>
      </c>
      <c r="L2384">
        <v>3</v>
      </c>
      <c r="M2384">
        <v>0</v>
      </c>
      <c r="N2384">
        <v>2</v>
      </c>
      <c r="O2384">
        <v>1</v>
      </c>
      <c r="P2384">
        <v>0</v>
      </c>
      <c r="Q2384">
        <v>0</v>
      </c>
      <c r="R2384" t="s">
        <v>112</v>
      </c>
      <c r="S2384" t="str">
        <f>"14:30:04.242"</f>
        <v>14:30:04.242</v>
      </c>
      <c r="T2384" t="str">
        <f>"14:30:03.844"</f>
        <v>14:30:03.844</v>
      </c>
      <c r="U2384" t="str">
        <f t="shared" si="111"/>
        <v>ad5732</v>
      </c>
      <c r="V2384">
        <v>0</v>
      </c>
      <c r="W2384">
        <v>0</v>
      </c>
      <c r="X2384">
        <v>1</v>
      </c>
      <c r="Z2384">
        <v>0</v>
      </c>
      <c r="AA2384">
        <v>9</v>
      </c>
      <c r="AB2384">
        <v>3</v>
      </c>
      <c r="AC2384">
        <v>0</v>
      </c>
      <c r="AD2384">
        <v>10</v>
      </c>
      <c r="AE2384">
        <v>0</v>
      </c>
      <c r="AF2384">
        <v>3</v>
      </c>
      <c r="AG2384">
        <v>2</v>
      </c>
      <c r="AH2384">
        <v>0</v>
      </c>
      <c r="AI2384" t="s">
        <v>4877</v>
      </c>
      <c r="AJ2384">
        <v>40.016778000000002</v>
      </c>
      <c r="AK2384" t="s">
        <v>4878</v>
      </c>
      <c r="AL2384">
        <v>-75.531262999999996</v>
      </c>
      <c r="AM2384">
        <v>100</v>
      </c>
      <c r="AN2384">
        <v>4700</v>
      </c>
      <c r="AO2384" t="s">
        <v>115</v>
      </c>
      <c r="AP2384">
        <v>130</v>
      </c>
      <c r="AQ2384">
        <v>124</v>
      </c>
      <c r="AR2384">
        <v>0</v>
      </c>
      <c r="AZ2384">
        <v>3614</v>
      </c>
      <c r="BA2384">
        <v>1</v>
      </c>
      <c r="BB2384" t="str">
        <f t="shared" si="113"/>
        <v xml:space="preserve">N959MJ  </v>
      </c>
      <c r="BC2384">
        <v>1</v>
      </c>
      <c r="BE2384">
        <v>0</v>
      </c>
      <c r="BF2384">
        <v>0</v>
      </c>
      <c r="BG2384">
        <v>0</v>
      </c>
      <c r="BH2384">
        <v>4900</v>
      </c>
      <c r="BI2384">
        <v>200</v>
      </c>
      <c r="BJ2384">
        <v>1</v>
      </c>
      <c r="BK2384">
        <v>1</v>
      </c>
      <c r="BL2384">
        <v>1</v>
      </c>
      <c r="BM2384">
        <v>0</v>
      </c>
      <c r="BP2384">
        <v>0</v>
      </c>
      <c r="BQ2384">
        <v>0</v>
      </c>
      <c r="BX2384" t="str">
        <f>"14:30:04.250"</f>
        <v>14:30:04.250</v>
      </c>
      <c r="BY2384" t="str">
        <f>"247505484"</f>
        <v>247505484</v>
      </c>
      <c r="CL2384">
        <v>0</v>
      </c>
      <c r="CM2384">
        <v>2</v>
      </c>
      <c r="CN2384">
        <v>0</v>
      </c>
      <c r="CO2384">
        <v>2</v>
      </c>
      <c r="CP2384">
        <v>0</v>
      </c>
      <c r="CQ2384">
        <v>7</v>
      </c>
      <c r="CR2384" t="s">
        <v>116</v>
      </c>
      <c r="CS2384">
        <v>39</v>
      </c>
      <c r="CT2384">
        <v>0</v>
      </c>
      <c r="CU2384" t="s">
        <v>2259</v>
      </c>
      <c r="CV2384" t="s">
        <v>2260</v>
      </c>
      <c r="CY2384">
        <v>1760747</v>
      </c>
      <c r="CZ2384" t="s">
        <v>119</v>
      </c>
    </row>
    <row r="2385" spans="1:104" x14ac:dyDescent="0.25">
      <c r="A2385" t="str">
        <f>"14:30:05.352"</f>
        <v>14:30:05.352</v>
      </c>
      <c r="B2385" t="s">
        <v>108</v>
      </c>
      <c r="C2385" t="str">
        <f t="shared" si="112"/>
        <v>ffdfd3c0</v>
      </c>
      <c r="D2385" t="s">
        <v>109</v>
      </c>
      <c r="E2385">
        <v>4</v>
      </c>
      <c r="F2385">
        <v>1004</v>
      </c>
      <c r="G2385" t="s">
        <v>110</v>
      </c>
      <c r="J2385" t="s">
        <v>111</v>
      </c>
      <c r="K2385">
        <v>0</v>
      </c>
      <c r="L2385">
        <v>3</v>
      </c>
      <c r="M2385">
        <v>0</v>
      </c>
      <c r="N2385">
        <v>2</v>
      </c>
      <c r="O2385">
        <v>1</v>
      </c>
      <c r="P2385">
        <v>0</v>
      </c>
      <c r="Q2385">
        <v>0</v>
      </c>
      <c r="R2385" t="s">
        <v>112</v>
      </c>
      <c r="S2385" t="str">
        <f>"14:30:05.195"</f>
        <v>14:30:05.195</v>
      </c>
      <c r="T2385" t="str">
        <f>"14:30:04.797"</f>
        <v>14:30:04.797</v>
      </c>
      <c r="U2385" t="str">
        <f t="shared" si="111"/>
        <v>ad5732</v>
      </c>
      <c r="V2385">
        <v>0</v>
      </c>
      <c r="W2385">
        <v>0</v>
      </c>
      <c r="X2385">
        <v>1</v>
      </c>
      <c r="Z2385">
        <v>0</v>
      </c>
      <c r="AA2385">
        <v>9</v>
      </c>
      <c r="AB2385">
        <v>3</v>
      </c>
      <c r="AC2385">
        <v>0</v>
      </c>
      <c r="AD2385">
        <v>10</v>
      </c>
      <c r="AE2385">
        <v>0</v>
      </c>
      <c r="AF2385">
        <v>3</v>
      </c>
      <c r="AG2385">
        <v>2</v>
      </c>
      <c r="AH2385">
        <v>0</v>
      </c>
      <c r="AI2385" t="s">
        <v>4879</v>
      </c>
      <c r="AJ2385">
        <v>40.017291999999998</v>
      </c>
      <c r="AK2385" t="s">
        <v>4880</v>
      </c>
      <c r="AL2385">
        <v>-75.530576999999994</v>
      </c>
      <c r="AM2385">
        <v>100</v>
      </c>
      <c r="AN2385">
        <v>4700</v>
      </c>
      <c r="AO2385" t="s">
        <v>115</v>
      </c>
      <c r="AP2385">
        <v>130</v>
      </c>
      <c r="AQ2385">
        <v>124</v>
      </c>
      <c r="AR2385">
        <v>0</v>
      </c>
      <c r="AZ2385">
        <v>3614</v>
      </c>
      <c r="BA2385">
        <v>1</v>
      </c>
      <c r="BB2385" t="str">
        <f t="shared" si="113"/>
        <v xml:space="preserve">N959MJ  </v>
      </c>
      <c r="BC2385">
        <v>1</v>
      </c>
      <c r="BE2385">
        <v>0</v>
      </c>
      <c r="BF2385">
        <v>0</v>
      </c>
      <c r="BG2385">
        <v>0</v>
      </c>
      <c r="BH2385">
        <v>4900</v>
      </c>
      <c r="BI2385">
        <v>200</v>
      </c>
      <c r="BJ2385">
        <v>1</v>
      </c>
      <c r="BK2385">
        <v>1</v>
      </c>
      <c r="BL2385">
        <v>1</v>
      </c>
      <c r="BM2385">
        <v>0</v>
      </c>
      <c r="BP2385">
        <v>0</v>
      </c>
      <c r="BQ2385">
        <v>0</v>
      </c>
      <c r="BX2385" t="str">
        <f>"14:30:05.203"</f>
        <v>14:30:05.203</v>
      </c>
      <c r="BY2385" t="str">
        <f>"199432561"</f>
        <v>199432561</v>
      </c>
      <c r="CL2385">
        <v>0</v>
      </c>
      <c r="CM2385">
        <v>2</v>
      </c>
      <c r="CN2385">
        <v>0</v>
      </c>
      <c r="CO2385">
        <v>2</v>
      </c>
      <c r="CP2385">
        <v>0</v>
      </c>
      <c r="CQ2385">
        <v>7</v>
      </c>
      <c r="CR2385" t="s">
        <v>116</v>
      </c>
      <c r="CS2385">
        <v>39</v>
      </c>
      <c r="CT2385">
        <v>0</v>
      </c>
      <c r="CU2385" t="s">
        <v>2259</v>
      </c>
      <c r="CV2385" t="s">
        <v>2260</v>
      </c>
      <c r="CY2385">
        <v>1762287</v>
      </c>
      <c r="CZ2385" t="s">
        <v>119</v>
      </c>
    </row>
    <row r="2386" spans="1:104" x14ac:dyDescent="0.25">
      <c r="A2386" t="str">
        <f>"14:30:06.258"</f>
        <v>14:30:06.258</v>
      </c>
      <c r="B2386" t="s">
        <v>108</v>
      </c>
      <c r="C2386" t="str">
        <f t="shared" si="112"/>
        <v>ffdfd3c0</v>
      </c>
      <c r="D2386" t="s">
        <v>109</v>
      </c>
      <c r="E2386">
        <v>4</v>
      </c>
      <c r="F2386">
        <v>1004</v>
      </c>
      <c r="G2386" t="s">
        <v>110</v>
      </c>
      <c r="J2386" t="s">
        <v>111</v>
      </c>
      <c r="K2386">
        <v>0</v>
      </c>
      <c r="L2386">
        <v>3</v>
      </c>
      <c r="M2386">
        <v>0</v>
      </c>
      <c r="N2386">
        <v>2</v>
      </c>
      <c r="O2386">
        <v>1</v>
      </c>
      <c r="P2386">
        <v>0</v>
      </c>
      <c r="Q2386">
        <v>0</v>
      </c>
      <c r="R2386" t="s">
        <v>112</v>
      </c>
      <c r="S2386" t="str">
        <f>"14:30:06.078"</f>
        <v>14:30:06.078</v>
      </c>
      <c r="T2386" t="str">
        <f>"14:30:05.680"</f>
        <v>14:30:05.680</v>
      </c>
      <c r="U2386" t="str">
        <f t="shared" si="111"/>
        <v>ad5732</v>
      </c>
      <c r="V2386">
        <v>0</v>
      </c>
      <c r="W2386">
        <v>0</v>
      </c>
      <c r="X2386">
        <v>1</v>
      </c>
      <c r="Z2386">
        <v>0</v>
      </c>
      <c r="AA2386">
        <v>9</v>
      </c>
      <c r="AB2386">
        <v>3</v>
      </c>
      <c r="AC2386">
        <v>0</v>
      </c>
      <c r="AD2386">
        <v>10</v>
      </c>
      <c r="AE2386">
        <v>0</v>
      </c>
      <c r="AF2386">
        <v>3</v>
      </c>
      <c r="AG2386">
        <v>2</v>
      </c>
      <c r="AH2386">
        <v>0</v>
      </c>
      <c r="AI2386" t="s">
        <v>4881</v>
      </c>
      <c r="AJ2386">
        <v>40.017786000000001</v>
      </c>
      <c r="AK2386" t="s">
        <v>4882</v>
      </c>
      <c r="AL2386">
        <v>-75.529826</v>
      </c>
      <c r="AM2386">
        <v>100</v>
      </c>
      <c r="AN2386">
        <v>4700</v>
      </c>
      <c r="AO2386" t="s">
        <v>115</v>
      </c>
      <c r="AP2386">
        <v>130</v>
      </c>
      <c r="AQ2386">
        <v>124</v>
      </c>
      <c r="AR2386">
        <v>0</v>
      </c>
      <c r="AZ2386">
        <v>3614</v>
      </c>
      <c r="BA2386">
        <v>1</v>
      </c>
      <c r="BB2386" t="str">
        <f t="shared" si="113"/>
        <v xml:space="preserve">N959MJ  </v>
      </c>
      <c r="BC2386">
        <v>1</v>
      </c>
      <c r="BE2386">
        <v>0</v>
      </c>
      <c r="BF2386">
        <v>0</v>
      </c>
      <c r="BG2386">
        <v>0</v>
      </c>
      <c r="BH2386">
        <v>4900</v>
      </c>
      <c r="BI2386">
        <v>200</v>
      </c>
      <c r="BJ2386">
        <v>1</v>
      </c>
      <c r="BK2386">
        <v>1</v>
      </c>
      <c r="BL2386">
        <v>1</v>
      </c>
      <c r="BM2386">
        <v>0</v>
      </c>
      <c r="BP2386">
        <v>0</v>
      </c>
      <c r="BQ2386">
        <v>0</v>
      </c>
      <c r="BX2386" t="str">
        <f>"14:30:06.078"</f>
        <v>14:30:06.078</v>
      </c>
      <c r="BY2386" t="str">
        <f>"079268786"</f>
        <v>079268786</v>
      </c>
      <c r="CL2386">
        <v>0</v>
      </c>
      <c r="CM2386">
        <v>2</v>
      </c>
      <c r="CN2386">
        <v>0</v>
      </c>
      <c r="CO2386">
        <v>2</v>
      </c>
      <c r="CP2386">
        <v>0</v>
      </c>
      <c r="CQ2386">
        <v>7</v>
      </c>
      <c r="CR2386" t="s">
        <v>116</v>
      </c>
      <c r="CS2386">
        <v>39</v>
      </c>
      <c r="CT2386">
        <v>0</v>
      </c>
      <c r="CU2386" t="s">
        <v>2259</v>
      </c>
      <c r="CV2386" t="s">
        <v>2260</v>
      </c>
      <c r="CY2386">
        <v>1763646</v>
      </c>
      <c r="CZ2386" t="s">
        <v>119</v>
      </c>
    </row>
    <row r="2387" spans="1:104" x14ac:dyDescent="0.25">
      <c r="A2387" t="str">
        <f>"14:30:07.320"</f>
        <v>14:30:07.320</v>
      </c>
      <c r="B2387" t="s">
        <v>108</v>
      </c>
      <c r="C2387" t="str">
        <f t="shared" si="112"/>
        <v>ffdfd3c0</v>
      </c>
      <c r="D2387" t="s">
        <v>109</v>
      </c>
      <c r="E2387">
        <v>4</v>
      </c>
      <c r="F2387">
        <v>1004</v>
      </c>
      <c r="G2387" t="s">
        <v>110</v>
      </c>
      <c r="J2387" t="s">
        <v>111</v>
      </c>
      <c r="K2387">
        <v>0</v>
      </c>
      <c r="L2387">
        <v>3</v>
      </c>
      <c r="M2387">
        <v>0</v>
      </c>
      <c r="N2387">
        <v>2</v>
      </c>
      <c r="O2387">
        <v>1</v>
      </c>
      <c r="P2387">
        <v>0</v>
      </c>
      <c r="Q2387">
        <v>0</v>
      </c>
      <c r="R2387" t="s">
        <v>112</v>
      </c>
      <c r="S2387" t="str">
        <f>"14:30:07.164"</f>
        <v>14:30:07.164</v>
      </c>
      <c r="T2387" t="str">
        <f>"14:30:06.664"</f>
        <v>14:30:06.664</v>
      </c>
      <c r="U2387" t="str">
        <f t="shared" si="111"/>
        <v>ad5732</v>
      </c>
      <c r="V2387">
        <v>0</v>
      </c>
      <c r="W2387">
        <v>0</v>
      </c>
      <c r="X2387">
        <v>1</v>
      </c>
      <c r="Z2387">
        <v>0</v>
      </c>
      <c r="AA2387">
        <v>9</v>
      </c>
      <c r="AB2387">
        <v>3</v>
      </c>
      <c r="AC2387">
        <v>0</v>
      </c>
      <c r="AD2387">
        <v>10</v>
      </c>
      <c r="AE2387">
        <v>0</v>
      </c>
      <c r="AF2387">
        <v>3</v>
      </c>
      <c r="AG2387">
        <v>2</v>
      </c>
      <c r="AH2387">
        <v>0</v>
      </c>
      <c r="AI2387" t="s">
        <v>4883</v>
      </c>
      <c r="AJ2387">
        <v>40.018430000000002</v>
      </c>
      <c r="AK2387" t="s">
        <v>4884</v>
      </c>
      <c r="AL2387">
        <v>-75.528988999999996</v>
      </c>
      <c r="AM2387">
        <v>100</v>
      </c>
      <c r="AN2387">
        <v>4700</v>
      </c>
      <c r="AO2387" t="s">
        <v>115</v>
      </c>
      <c r="AP2387">
        <v>130</v>
      </c>
      <c r="AQ2387">
        <v>124</v>
      </c>
      <c r="AR2387">
        <v>-64</v>
      </c>
      <c r="AZ2387">
        <v>3614</v>
      </c>
      <c r="BA2387">
        <v>1</v>
      </c>
      <c r="BB2387" t="str">
        <f t="shared" si="113"/>
        <v xml:space="preserve">N959MJ  </v>
      </c>
      <c r="BC2387">
        <v>1</v>
      </c>
      <c r="BE2387">
        <v>0</v>
      </c>
      <c r="BF2387">
        <v>0</v>
      </c>
      <c r="BG2387">
        <v>0</v>
      </c>
      <c r="BH2387">
        <v>4900</v>
      </c>
      <c r="BI2387">
        <v>200</v>
      </c>
      <c r="BJ2387">
        <v>1</v>
      </c>
      <c r="BK2387">
        <v>1</v>
      </c>
      <c r="BL2387">
        <v>1</v>
      </c>
      <c r="BM2387">
        <v>0</v>
      </c>
      <c r="BP2387">
        <v>0</v>
      </c>
      <c r="BQ2387">
        <v>0</v>
      </c>
      <c r="BX2387" t="str">
        <f>"14:30:07.172"</f>
        <v>14:30:07.172</v>
      </c>
      <c r="BY2387" t="str">
        <f>"170462330"</f>
        <v>170462330</v>
      </c>
      <c r="CL2387">
        <v>0</v>
      </c>
      <c r="CM2387">
        <v>2</v>
      </c>
      <c r="CN2387">
        <v>0</v>
      </c>
      <c r="CO2387">
        <v>2</v>
      </c>
      <c r="CP2387">
        <v>0</v>
      </c>
      <c r="CQ2387">
        <v>7</v>
      </c>
      <c r="CR2387" t="s">
        <v>116</v>
      </c>
      <c r="CS2387">
        <v>39</v>
      </c>
      <c r="CT2387">
        <v>0</v>
      </c>
      <c r="CU2387" t="s">
        <v>2259</v>
      </c>
      <c r="CV2387" t="s">
        <v>2260</v>
      </c>
      <c r="CY2387">
        <v>1765626</v>
      </c>
      <c r="CZ2387" t="s">
        <v>119</v>
      </c>
    </row>
    <row r="2388" spans="1:104" x14ac:dyDescent="0.25">
      <c r="A2388" t="str">
        <f>"14:30:08.328"</f>
        <v>14:30:08.328</v>
      </c>
      <c r="B2388" t="s">
        <v>108</v>
      </c>
      <c r="C2388" t="str">
        <f t="shared" si="112"/>
        <v>ffdfd3c0</v>
      </c>
      <c r="D2388" t="s">
        <v>109</v>
      </c>
      <c r="E2388">
        <v>4</v>
      </c>
      <c r="F2388">
        <v>1004</v>
      </c>
      <c r="G2388" t="s">
        <v>110</v>
      </c>
      <c r="J2388" t="s">
        <v>111</v>
      </c>
      <c r="K2388">
        <v>0</v>
      </c>
      <c r="L2388">
        <v>3</v>
      </c>
      <c r="M2388">
        <v>0</v>
      </c>
      <c r="N2388">
        <v>2</v>
      </c>
      <c r="O2388">
        <v>1</v>
      </c>
      <c r="P2388">
        <v>0</v>
      </c>
      <c r="Q2388">
        <v>0</v>
      </c>
      <c r="R2388" t="s">
        <v>112</v>
      </c>
      <c r="S2388" t="str">
        <f>"14:30:08.180"</f>
        <v>14:30:08.180</v>
      </c>
      <c r="T2388" t="str">
        <f>"14:30:07.680"</f>
        <v>14:30:07.680</v>
      </c>
      <c r="U2388" t="str">
        <f t="shared" si="111"/>
        <v>ad5732</v>
      </c>
      <c r="V2388">
        <v>0</v>
      </c>
      <c r="W2388">
        <v>0</v>
      </c>
      <c r="X2388">
        <v>1</v>
      </c>
      <c r="Z2388">
        <v>0</v>
      </c>
      <c r="AA2388">
        <v>9</v>
      </c>
      <c r="AB2388">
        <v>3</v>
      </c>
      <c r="AC2388">
        <v>0</v>
      </c>
      <c r="AD2388">
        <v>10</v>
      </c>
      <c r="AE2388">
        <v>0</v>
      </c>
      <c r="AF2388">
        <v>3</v>
      </c>
      <c r="AG2388">
        <v>2</v>
      </c>
      <c r="AH2388">
        <v>0</v>
      </c>
      <c r="AI2388" t="s">
        <v>4885</v>
      </c>
      <c r="AJ2388">
        <v>40.019030999999998</v>
      </c>
      <c r="AK2388" t="s">
        <v>4886</v>
      </c>
      <c r="AL2388">
        <v>-75.528194999999997</v>
      </c>
      <c r="AM2388">
        <v>100</v>
      </c>
      <c r="AN2388">
        <v>4700</v>
      </c>
      <c r="AO2388" t="s">
        <v>115</v>
      </c>
      <c r="AP2388">
        <v>131</v>
      </c>
      <c r="AQ2388">
        <v>124</v>
      </c>
      <c r="AR2388">
        <v>-64</v>
      </c>
      <c r="AZ2388">
        <v>3614</v>
      </c>
      <c r="BA2388">
        <v>1</v>
      </c>
      <c r="BB2388" t="str">
        <f t="shared" si="113"/>
        <v xml:space="preserve">N959MJ  </v>
      </c>
      <c r="BC2388">
        <v>1</v>
      </c>
      <c r="BE2388">
        <v>0</v>
      </c>
      <c r="BF2388">
        <v>0</v>
      </c>
      <c r="BG2388">
        <v>0</v>
      </c>
      <c r="BH2388">
        <v>4900</v>
      </c>
      <c r="BI2388">
        <v>200</v>
      </c>
      <c r="BJ2388">
        <v>1</v>
      </c>
      <c r="BK2388">
        <v>1</v>
      </c>
      <c r="BL2388">
        <v>1</v>
      </c>
      <c r="BM2388">
        <v>0</v>
      </c>
      <c r="BP2388">
        <v>0</v>
      </c>
      <c r="BQ2388">
        <v>0</v>
      </c>
      <c r="BX2388" t="str">
        <f>"14:30:08.188"</f>
        <v>14:30:08.188</v>
      </c>
      <c r="BY2388" t="str">
        <f>"184649709"</f>
        <v>184649709</v>
      </c>
      <c r="CL2388">
        <v>0</v>
      </c>
      <c r="CM2388">
        <v>2</v>
      </c>
      <c r="CN2388">
        <v>0</v>
      </c>
      <c r="CO2388">
        <v>2</v>
      </c>
      <c r="CP2388">
        <v>0</v>
      </c>
      <c r="CQ2388">
        <v>7</v>
      </c>
      <c r="CR2388" t="s">
        <v>116</v>
      </c>
      <c r="CS2388">
        <v>39</v>
      </c>
      <c r="CT2388">
        <v>0</v>
      </c>
      <c r="CU2388" t="s">
        <v>2259</v>
      </c>
      <c r="CV2388" t="s">
        <v>2260</v>
      </c>
      <c r="CY2388">
        <v>1767353</v>
      </c>
      <c r="CZ2388" t="s">
        <v>119</v>
      </c>
    </row>
    <row r="2389" spans="1:104" x14ac:dyDescent="0.25">
      <c r="A2389" t="str">
        <f>"14:30:09.336"</f>
        <v>14:30:09.336</v>
      </c>
      <c r="B2389" t="s">
        <v>108</v>
      </c>
      <c r="C2389" t="str">
        <f t="shared" si="112"/>
        <v>ffdfd3c0</v>
      </c>
      <c r="D2389" t="s">
        <v>109</v>
      </c>
      <c r="E2389">
        <v>4</v>
      </c>
      <c r="F2389">
        <v>1004</v>
      </c>
      <c r="G2389" t="s">
        <v>110</v>
      </c>
      <c r="J2389" t="s">
        <v>111</v>
      </c>
      <c r="K2389">
        <v>0</v>
      </c>
      <c r="L2389">
        <v>3</v>
      </c>
      <c r="M2389">
        <v>0</v>
      </c>
      <c r="N2389">
        <v>2</v>
      </c>
      <c r="O2389">
        <v>1</v>
      </c>
      <c r="P2389">
        <v>0</v>
      </c>
      <c r="Q2389">
        <v>0</v>
      </c>
      <c r="R2389" t="s">
        <v>112</v>
      </c>
      <c r="S2389" t="str">
        <f>"14:30:09.164"</f>
        <v>14:30:09.164</v>
      </c>
      <c r="T2389" t="str">
        <f>"14:30:08.664"</f>
        <v>14:30:08.664</v>
      </c>
      <c r="U2389" t="str">
        <f t="shared" si="111"/>
        <v>ad5732</v>
      </c>
      <c r="V2389">
        <v>0</v>
      </c>
      <c r="W2389">
        <v>0</v>
      </c>
      <c r="X2389">
        <v>1</v>
      </c>
      <c r="Z2389">
        <v>0</v>
      </c>
      <c r="AA2389">
        <v>9</v>
      </c>
      <c r="AB2389">
        <v>3</v>
      </c>
      <c r="AC2389">
        <v>0</v>
      </c>
      <c r="AD2389">
        <v>10</v>
      </c>
      <c r="AE2389">
        <v>0</v>
      </c>
      <c r="AF2389">
        <v>3</v>
      </c>
      <c r="AG2389">
        <v>2</v>
      </c>
      <c r="AH2389">
        <v>0</v>
      </c>
      <c r="AI2389" t="s">
        <v>4887</v>
      </c>
      <c r="AJ2389">
        <v>40.019567000000002</v>
      </c>
      <c r="AK2389" t="s">
        <v>4888</v>
      </c>
      <c r="AL2389">
        <v>-75.527400999999998</v>
      </c>
      <c r="AM2389">
        <v>100</v>
      </c>
      <c r="AN2389">
        <v>4700</v>
      </c>
      <c r="AO2389" t="s">
        <v>115</v>
      </c>
      <c r="AP2389">
        <v>131</v>
      </c>
      <c r="AQ2389">
        <v>124</v>
      </c>
      <c r="AR2389">
        <v>-64</v>
      </c>
      <c r="AZ2389">
        <v>3614</v>
      </c>
      <c r="BA2389">
        <v>1</v>
      </c>
      <c r="BB2389" t="str">
        <f t="shared" si="113"/>
        <v xml:space="preserve">N959MJ  </v>
      </c>
      <c r="BC2389">
        <v>1</v>
      </c>
      <c r="BE2389">
        <v>0</v>
      </c>
      <c r="BF2389">
        <v>0</v>
      </c>
      <c r="BG2389">
        <v>0</v>
      </c>
      <c r="BH2389">
        <v>4900</v>
      </c>
      <c r="BI2389">
        <v>200</v>
      </c>
      <c r="BJ2389">
        <v>1</v>
      </c>
      <c r="BK2389">
        <v>1</v>
      </c>
      <c r="BL2389">
        <v>1</v>
      </c>
      <c r="BM2389">
        <v>0</v>
      </c>
      <c r="BP2389">
        <v>0</v>
      </c>
      <c r="BQ2389">
        <v>0</v>
      </c>
      <c r="BX2389" t="str">
        <f>"14:30:09.164"</f>
        <v>14:30:09.164</v>
      </c>
      <c r="BY2389" t="str">
        <f>"167706946"</f>
        <v>167706946</v>
      </c>
      <c r="CL2389">
        <v>0</v>
      </c>
      <c r="CM2389">
        <v>2</v>
      </c>
      <c r="CN2389">
        <v>0</v>
      </c>
      <c r="CO2389">
        <v>2</v>
      </c>
      <c r="CP2389">
        <v>0</v>
      </c>
      <c r="CQ2389">
        <v>7</v>
      </c>
      <c r="CR2389" t="s">
        <v>116</v>
      </c>
      <c r="CS2389">
        <v>39</v>
      </c>
      <c r="CT2389">
        <v>0</v>
      </c>
      <c r="CU2389" t="s">
        <v>2259</v>
      </c>
      <c r="CV2389" t="s">
        <v>2260</v>
      </c>
      <c r="CY2389">
        <v>1769084</v>
      </c>
      <c r="CZ2389" t="s">
        <v>119</v>
      </c>
    </row>
    <row r="2390" spans="1:104" x14ac:dyDescent="0.25">
      <c r="A2390" t="str">
        <f>"14:30:10.500"</f>
        <v>14:30:10.500</v>
      </c>
      <c r="B2390" t="s">
        <v>108</v>
      </c>
      <c r="C2390" t="str">
        <f t="shared" si="112"/>
        <v>ffdfd3c0</v>
      </c>
      <c r="D2390" t="s">
        <v>109</v>
      </c>
      <c r="E2390">
        <v>4</v>
      </c>
      <c r="F2390">
        <v>1004</v>
      </c>
      <c r="G2390" t="s">
        <v>110</v>
      </c>
      <c r="J2390" t="s">
        <v>111</v>
      </c>
      <c r="K2390">
        <v>0</v>
      </c>
      <c r="L2390">
        <v>3</v>
      </c>
      <c r="M2390">
        <v>0</v>
      </c>
      <c r="N2390">
        <v>2</v>
      </c>
      <c r="O2390">
        <v>1</v>
      </c>
      <c r="P2390">
        <v>0</v>
      </c>
      <c r="Q2390">
        <v>0</v>
      </c>
      <c r="R2390" t="s">
        <v>112</v>
      </c>
      <c r="S2390" t="str">
        <f>"14:30:10.289"</f>
        <v>14:30:10.289</v>
      </c>
      <c r="T2390" t="str">
        <f>"14:30:09.789"</f>
        <v>14:30:09.789</v>
      </c>
      <c r="U2390" t="str">
        <f t="shared" si="111"/>
        <v>ad5732</v>
      </c>
      <c r="V2390">
        <v>0</v>
      </c>
      <c r="W2390">
        <v>0</v>
      </c>
      <c r="X2390">
        <v>1</v>
      </c>
      <c r="Z2390">
        <v>0</v>
      </c>
      <c r="AA2390">
        <v>9</v>
      </c>
      <c r="AB2390">
        <v>3</v>
      </c>
      <c r="AC2390">
        <v>0</v>
      </c>
      <c r="AD2390">
        <v>10</v>
      </c>
      <c r="AE2390">
        <v>0</v>
      </c>
      <c r="AF2390">
        <v>3</v>
      </c>
      <c r="AG2390">
        <v>2</v>
      </c>
      <c r="AH2390">
        <v>0</v>
      </c>
      <c r="AI2390" t="s">
        <v>4889</v>
      </c>
      <c r="AJ2390">
        <v>40.020211000000003</v>
      </c>
      <c r="AK2390" t="s">
        <v>4890</v>
      </c>
      <c r="AL2390">
        <v>-75.526521000000002</v>
      </c>
      <c r="AM2390">
        <v>100</v>
      </c>
      <c r="AN2390">
        <v>4700</v>
      </c>
      <c r="AO2390" t="s">
        <v>115</v>
      </c>
      <c r="AP2390">
        <v>131</v>
      </c>
      <c r="AQ2390">
        <v>124</v>
      </c>
      <c r="AR2390">
        <v>0</v>
      </c>
      <c r="AZ2390">
        <v>3614</v>
      </c>
      <c r="BA2390">
        <v>1</v>
      </c>
      <c r="BB2390" t="str">
        <f t="shared" si="113"/>
        <v xml:space="preserve">N959MJ  </v>
      </c>
      <c r="BC2390">
        <v>1</v>
      </c>
      <c r="BE2390">
        <v>0</v>
      </c>
      <c r="BF2390">
        <v>0</v>
      </c>
      <c r="BG2390">
        <v>0</v>
      </c>
      <c r="BH2390">
        <v>4900</v>
      </c>
      <c r="BI2390">
        <v>200</v>
      </c>
      <c r="BJ2390">
        <v>1</v>
      </c>
      <c r="BK2390">
        <v>1</v>
      </c>
      <c r="BL2390">
        <v>1</v>
      </c>
      <c r="BM2390">
        <v>0</v>
      </c>
      <c r="BP2390">
        <v>0</v>
      </c>
      <c r="BQ2390">
        <v>0</v>
      </c>
      <c r="BX2390" t="str">
        <f>"14:30:10.297"</f>
        <v>14:30:10.297</v>
      </c>
      <c r="BY2390" t="str">
        <f>"296584394"</f>
        <v>296584394</v>
      </c>
      <c r="CL2390">
        <v>0</v>
      </c>
      <c r="CM2390">
        <v>2</v>
      </c>
      <c r="CN2390">
        <v>0</v>
      </c>
      <c r="CO2390">
        <v>2</v>
      </c>
      <c r="CP2390">
        <v>0</v>
      </c>
      <c r="CQ2390">
        <v>7</v>
      </c>
      <c r="CR2390" t="s">
        <v>116</v>
      </c>
      <c r="CS2390">
        <v>39</v>
      </c>
      <c r="CT2390">
        <v>0</v>
      </c>
      <c r="CU2390" t="s">
        <v>2259</v>
      </c>
      <c r="CV2390" t="s">
        <v>2260</v>
      </c>
      <c r="CY2390">
        <v>1770855</v>
      </c>
      <c r="CZ2390" t="s">
        <v>119</v>
      </c>
    </row>
    <row r="2391" spans="1:104" x14ac:dyDescent="0.25">
      <c r="A2391" t="str">
        <f>"14:30:11.305"</f>
        <v>14:30:11.305</v>
      </c>
      <c r="B2391" t="s">
        <v>108</v>
      </c>
      <c r="C2391" t="str">
        <f t="shared" si="112"/>
        <v>ffdfd3c0</v>
      </c>
      <c r="D2391" t="s">
        <v>109</v>
      </c>
      <c r="E2391">
        <v>4</v>
      </c>
      <c r="F2391">
        <v>1004</v>
      </c>
      <c r="G2391" t="s">
        <v>110</v>
      </c>
      <c r="J2391" t="s">
        <v>111</v>
      </c>
      <c r="K2391">
        <v>0</v>
      </c>
      <c r="L2391">
        <v>3</v>
      </c>
      <c r="M2391">
        <v>0</v>
      </c>
      <c r="N2391">
        <v>2</v>
      </c>
      <c r="O2391">
        <v>1</v>
      </c>
      <c r="P2391">
        <v>0</v>
      </c>
      <c r="Q2391">
        <v>0</v>
      </c>
      <c r="R2391" t="s">
        <v>112</v>
      </c>
      <c r="S2391" t="str">
        <f>"14:30:11.141"</f>
        <v>14:30:11.141</v>
      </c>
      <c r="T2391" t="str">
        <f>"14:30:10.742"</f>
        <v>14:30:10.742</v>
      </c>
      <c r="U2391" t="str">
        <f t="shared" si="111"/>
        <v>ad5732</v>
      </c>
      <c r="V2391">
        <v>0</v>
      </c>
      <c r="W2391">
        <v>0</v>
      </c>
      <c r="X2391">
        <v>1</v>
      </c>
      <c r="Z2391">
        <v>0</v>
      </c>
      <c r="AA2391">
        <v>9</v>
      </c>
      <c r="AB2391">
        <v>3</v>
      </c>
      <c r="AC2391">
        <v>0</v>
      </c>
      <c r="AD2391">
        <v>10</v>
      </c>
      <c r="AE2391">
        <v>0</v>
      </c>
      <c r="AF2391">
        <v>3</v>
      </c>
      <c r="AG2391">
        <v>2</v>
      </c>
      <c r="AH2391">
        <v>0</v>
      </c>
      <c r="AI2391" t="s">
        <v>4891</v>
      </c>
      <c r="AJ2391">
        <v>40.020726000000003</v>
      </c>
      <c r="AK2391" t="s">
        <v>4892</v>
      </c>
      <c r="AL2391">
        <v>-75.525812999999999</v>
      </c>
      <c r="AM2391">
        <v>100</v>
      </c>
      <c r="AN2391">
        <v>4700</v>
      </c>
      <c r="AO2391" t="s">
        <v>115</v>
      </c>
      <c r="AP2391">
        <v>131</v>
      </c>
      <c r="AQ2391">
        <v>124</v>
      </c>
      <c r="AR2391">
        <v>-64</v>
      </c>
      <c r="AZ2391">
        <v>3614</v>
      </c>
      <c r="BA2391">
        <v>1</v>
      </c>
      <c r="BB2391" t="str">
        <f t="shared" si="113"/>
        <v xml:space="preserve">N959MJ  </v>
      </c>
      <c r="BC2391">
        <v>1</v>
      </c>
      <c r="BE2391">
        <v>0</v>
      </c>
      <c r="BF2391">
        <v>0</v>
      </c>
      <c r="BG2391">
        <v>0</v>
      </c>
      <c r="BH2391">
        <v>4900</v>
      </c>
      <c r="BI2391">
        <v>200</v>
      </c>
      <c r="BJ2391">
        <v>1</v>
      </c>
      <c r="BK2391">
        <v>1</v>
      </c>
      <c r="BL2391">
        <v>1</v>
      </c>
      <c r="BM2391">
        <v>0</v>
      </c>
      <c r="BP2391">
        <v>0</v>
      </c>
      <c r="BQ2391">
        <v>0</v>
      </c>
      <c r="BX2391" t="str">
        <f>"14:30:11.141"</f>
        <v>14:30:11.141</v>
      </c>
      <c r="BY2391" t="str">
        <f>"143652003"</f>
        <v>143652003</v>
      </c>
      <c r="CL2391">
        <v>0</v>
      </c>
      <c r="CM2391">
        <v>2</v>
      </c>
      <c r="CN2391">
        <v>0</v>
      </c>
      <c r="CO2391">
        <v>2</v>
      </c>
      <c r="CP2391">
        <v>0</v>
      </c>
      <c r="CQ2391">
        <v>7</v>
      </c>
      <c r="CR2391" t="s">
        <v>116</v>
      </c>
      <c r="CS2391">
        <v>39</v>
      </c>
      <c r="CT2391">
        <v>0</v>
      </c>
      <c r="CU2391" t="s">
        <v>2259</v>
      </c>
      <c r="CV2391" t="s">
        <v>2260</v>
      </c>
      <c r="CY2391">
        <v>1772290</v>
      </c>
      <c r="CZ2391" t="s">
        <v>119</v>
      </c>
    </row>
    <row r="2392" spans="1:104" x14ac:dyDescent="0.25">
      <c r="A2392" t="str">
        <f>"14:30:12.414"</f>
        <v>14:30:12.414</v>
      </c>
      <c r="B2392" t="s">
        <v>108</v>
      </c>
      <c r="C2392" t="str">
        <f t="shared" si="112"/>
        <v>ffdfd3c0</v>
      </c>
      <c r="D2392" t="s">
        <v>109</v>
      </c>
      <c r="E2392">
        <v>4</v>
      </c>
      <c r="F2392">
        <v>1004</v>
      </c>
      <c r="G2392" t="s">
        <v>110</v>
      </c>
      <c r="J2392" t="s">
        <v>111</v>
      </c>
      <c r="K2392">
        <v>0</v>
      </c>
      <c r="L2392">
        <v>3</v>
      </c>
      <c r="M2392">
        <v>0</v>
      </c>
      <c r="N2392">
        <v>2</v>
      </c>
      <c r="O2392">
        <v>1</v>
      </c>
      <c r="P2392">
        <v>0</v>
      </c>
      <c r="Q2392">
        <v>0</v>
      </c>
      <c r="R2392" t="s">
        <v>112</v>
      </c>
      <c r="S2392" t="str">
        <f>"14:30:12.234"</f>
        <v>14:30:12.234</v>
      </c>
      <c r="T2392" t="str">
        <f>"14:30:11.734"</f>
        <v>14:30:11.734</v>
      </c>
      <c r="U2392" t="str">
        <f t="shared" si="111"/>
        <v>ad5732</v>
      </c>
      <c r="V2392">
        <v>0</v>
      </c>
      <c r="W2392">
        <v>0</v>
      </c>
      <c r="X2392">
        <v>1</v>
      </c>
      <c r="Z2392">
        <v>0</v>
      </c>
      <c r="AA2392">
        <v>9</v>
      </c>
      <c r="AB2392">
        <v>3</v>
      </c>
      <c r="AC2392">
        <v>0</v>
      </c>
      <c r="AD2392">
        <v>10</v>
      </c>
      <c r="AE2392">
        <v>0</v>
      </c>
      <c r="AF2392">
        <v>3</v>
      </c>
      <c r="AG2392">
        <v>2</v>
      </c>
      <c r="AH2392">
        <v>0</v>
      </c>
      <c r="AI2392" t="s">
        <v>4893</v>
      </c>
      <c r="AJ2392">
        <v>40.021369</v>
      </c>
      <c r="AK2392" t="s">
        <v>4894</v>
      </c>
      <c r="AL2392">
        <v>-75.524955000000006</v>
      </c>
      <c r="AM2392">
        <v>100</v>
      </c>
      <c r="AN2392">
        <v>4700</v>
      </c>
      <c r="AO2392" t="s">
        <v>115</v>
      </c>
      <c r="AP2392">
        <v>131</v>
      </c>
      <c r="AQ2392">
        <v>124</v>
      </c>
      <c r="AR2392">
        <v>0</v>
      </c>
      <c r="AZ2392">
        <v>3614</v>
      </c>
      <c r="BA2392">
        <v>1</v>
      </c>
      <c r="BB2392" t="str">
        <f t="shared" si="113"/>
        <v xml:space="preserve">N959MJ  </v>
      </c>
      <c r="BC2392">
        <v>1</v>
      </c>
      <c r="BE2392">
        <v>0</v>
      </c>
      <c r="BF2392">
        <v>0</v>
      </c>
      <c r="BG2392">
        <v>0</v>
      </c>
      <c r="BH2392">
        <v>4900</v>
      </c>
      <c r="BI2392">
        <v>200</v>
      </c>
      <c r="BJ2392">
        <v>1</v>
      </c>
      <c r="BK2392">
        <v>1</v>
      </c>
      <c r="BL2392">
        <v>1</v>
      </c>
      <c r="BM2392">
        <v>0</v>
      </c>
      <c r="BP2392">
        <v>0</v>
      </c>
      <c r="BQ2392">
        <v>0</v>
      </c>
      <c r="BX2392" t="str">
        <f>"14:30:12.242"</f>
        <v>14:30:12.242</v>
      </c>
      <c r="BY2392" t="str">
        <f>"239760825"</f>
        <v>239760825</v>
      </c>
      <c r="CL2392">
        <v>0</v>
      </c>
      <c r="CM2392">
        <v>2</v>
      </c>
      <c r="CN2392">
        <v>0</v>
      </c>
      <c r="CO2392">
        <v>2</v>
      </c>
      <c r="CP2392">
        <v>0</v>
      </c>
      <c r="CQ2392">
        <v>7</v>
      </c>
      <c r="CR2392" t="s">
        <v>116</v>
      </c>
      <c r="CS2392">
        <v>39</v>
      </c>
      <c r="CT2392">
        <v>0</v>
      </c>
      <c r="CU2392" t="s">
        <v>2259</v>
      </c>
      <c r="CV2392" t="s">
        <v>2260</v>
      </c>
      <c r="CY2392">
        <v>1774319</v>
      </c>
      <c r="CZ2392" t="s">
        <v>119</v>
      </c>
    </row>
    <row r="2393" spans="1:104" x14ac:dyDescent="0.25">
      <c r="A2393" t="str">
        <f>"14:30:13.477"</f>
        <v>14:30:13.477</v>
      </c>
      <c r="B2393" t="s">
        <v>108</v>
      </c>
      <c r="C2393" t="str">
        <f t="shared" si="112"/>
        <v>ffdfd3c0</v>
      </c>
      <c r="D2393" t="s">
        <v>109</v>
      </c>
      <c r="E2393">
        <v>4</v>
      </c>
      <c r="F2393">
        <v>1004</v>
      </c>
      <c r="G2393" t="s">
        <v>110</v>
      </c>
      <c r="J2393" t="s">
        <v>111</v>
      </c>
      <c r="K2393">
        <v>0</v>
      </c>
      <c r="L2393">
        <v>3</v>
      </c>
      <c r="M2393">
        <v>0</v>
      </c>
      <c r="N2393">
        <v>2</v>
      </c>
      <c r="O2393">
        <v>1</v>
      </c>
      <c r="P2393">
        <v>0</v>
      </c>
      <c r="Q2393">
        <v>0</v>
      </c>
      <c r="R2393" t="s">
        <v>112</v>
      </c>
      <c r="S2393" t="str">
        <f>"14:30:13.313"</f>
        <v>14:30:13.313</v>
      </c>
      <c r="T2393" t="str">
        <f>"14:30:12.813"</f>
        <v>14:30:12.813</v>
      </c>
      <c r="U2393" t="str">
        <f t="shared" si="111"/>
        <v>ad5732</v>
      </c>
      <c r="V2393">
        <v>0</v>
      </c>
      <c r="W2393">
        <v>0</v>
      </c>
      <c r="X2393">
        <v>1</v>
      </c>
      <c r="Z2393">
        <v>0</v>
      </c>
      <c r="AA2393">
        <v>9</v>
      </c>
      <c r="AB2393">
        <v>3</v>
      </c>
      <c r="AC2393">
        <v>0</v>
      </c>
      <c r="AD2393">
        <v>10</v>
      </c>
      <c r="AE2393">
        <v>0</v>
      </c>
      <c r="AF2393">
        <v>3</v>
      </c>
      <c r="AG2393">
        <v>2</v>
      </c>
      <c r="AH2393">
        <v>0</v>
      </c>
      <c r="AI2393" t="s">
        <v>4895</v>
      </c>
      <c r="AJ2393">
        <v>40.022013000000001</v>
      </c>
      <c r="AK2393" t="s">
        <v>4896</v>
      </c>
      <c r="AL2393">
        <v>-75.524118000000001</v>
      </c>
      <c r="AM2393">
        <v>100</v>
      </c>
      <c r="AN2393">
        <v>4700</v>
      </c>
      <c r="AO2393" t="s">
        <v>115</v>
      </c>
      <c r="AP2393">
        <v>131</v>
      </c>
      <c r="AQ2393">
        <v>124</v>
      </c>
      <c r="AR2393">
        <v>0</v>
      </c>
      <c r="AZ2393">
        <v>3614</v>
      </c>
      <c r="BA2393">
        <v>1</v>
      </c>
      <c r="BB2393" t="str">
        <f t="shared" si="113"/>
        <v xml:space="preserve">N959MJ  </v>
      </c>
      <c r="BC2393">
        <v>1</v>
      </c>
      <c r="BE2393">
        <v>0</v>
      </c>
      <c r="BF2393">
        <v>0</v>
      </c>
      <c r="BG2393">
        <v>0</v>
      </c>
      <c r="BH2393">
        <v>4900</v>
      </c>
      <c r="BI2393">
        <v>200</v>
      </c>
      <c r="BJ2393">
        <v>1</v>
      </c>
      <c r="BK2393">
        <v>1</v>
      </c>
      <c r="BL2393">
        <v>1</v>
      </c>
      <c r="BM2393">
        <v>0</v>
      </c>
      <c r="BP2393">
        <v>0</v>
      </c>
      <c r="BQ2393">
        <v>0</v>
      </c>
      <c r="BX2393" t="str">
        <f>"14:30:13.313"</f>
        <v>14:30:13.313</v>
      </c>
      <c r="BY2393" t="str">
        <f>"314570127"</f>
        <v>314570127</v>
      </c>
      <c r="CL2393">
        <v>0</v>
      </c>
      <c r="CM2393">
        <v>2</v>
      </c>
      <c r="CN2393">
        <v>0</v>
      </c>
      <c r="CO2393">
        <v>2</v>
      </c>
      <c r="CP2393">
        <v>0</v>
      </c>
      <c r="CQ2393">
        <v>7</v>
      </c>
      <c r="CR2393" t="s">
        <v>116</v>
      </c>
      <c r="CS2393">
        <v>39</v>
      </c>
      <c r="CT2393">
        <v>0</v>
      </c>
      <c r="CU2393" t="s">
        <v>2259</v>
      </c>
      <c r="CV2393" t="s">
        <v>2260</v>
      </c>
      <c r="CY2393">
        <v>1776214</v>
      </c>
      <c r="CZ2393" t="s">
        <v>119</v>
      </c>
    </row>
    <row r="2394" spans="1:104" x14ac:dyDescent="0.25">
      <c r="A2394" t="str">
        <f>"14:30:14.539"</f>
        <v>14:30:14.539</v>
      </c>
      <c r="B2394" t="s">
        <v>108</v>
      </c>
      <c r="C2394" t="str">
        <f t="shared" si="112"/>
        <v>ffdfd3c0</v>
      </c>
      <c r="D2394" t="s">
        <v>109</v>
      </c>
      <c r="E2394">
        <v>4</v>
      </c>
      <c r="F2394">
        <v>1004</v>
      </c>
      <c r="G2394" t="s">
        <v>110</v>
      </c>
      <c r="J2394" t="s">
        <v>111</v>
      </c>
      <c r="K2394">
        <v>0</v>
      </c>
      <c r="L2394">
        <v>3</v>
      </c>
      <c r="M2394">
        <v>0</v>
      </c>
      <c r="N2394">
        <v>2</v>
      </c>
      <c r="O2394">
        <v>1</v>
      </c>
      <c r="P2394">
        <v>0</v>
      </c>
      <c r="Q2394">
        <v>0</v>
      </c>
      <c r="R2394" t="s">
        <v>112</v>
      </c>
      <c r="S2394" t="str">
        <f>"14:30:14.352"</f>
        <v>14:30:14.352</v>
      </c>
      <c r="T2394" t="str">
        <f>"14:30:13.953"</f>
        <v>14:30:13.953</v>
      </c>
      <c r="U2394" t="str">
        <f t="shared" si="111"/>
        <v>ad5732</v>
      </c>
      <c r="V2394">
        <v>0</v>
      </c>
      <c r="W2394">
        <v>0</v>
      </c>
      <c r="X2394">
        <v>1</v>
      </c>
      <c r="Z2394">
        <v>0</v>
      </c>
      <c r="AA2394">
        <v>9</v>
      </c>
      <c r="AB2394">
        <v>3</v>
      </c>
      <c r="AC2394">
        <v>0</v>
      </c>
      <c r="AD2394">
        <v>10</v>
      </c>
      <c r="AE2394">
        <v>0</v>
      </c>
      <c r="AF2394">
        <v>3</v>
      </c>
      <c r="AG2394">
        <v>2</v>
      </c>
      <c r="AH2394">
        <v>0</v>
      </c>
      <c r="AI2394" t="s">
        <v>4897</v>
      </c>
      <c r="AJ2394">
        <v>40.022593000000001</v>
      </c>
      <c r="AK2394" t="s">
        <v>4898</v>
      </c>
      <c r="AL2394">
        <v>-75.523324000000002</v>
      </c>
      <c r="AM2394">
        <v>100</v>
      </c>
      <c r="AN2394">
        <v>4700</v>
      </c>
      <c r="AO2394" t="s">
        <v>115</v>
      </c>
      <c r="AP2394">
        <v>131</v>
      </c>
      <c r="AQ2394">
        <v>124</v>
      </c>
      <c r="AR2394">
        <v>0</v>
      </c>
      <c r="AZ2394">
        <v>3614</v>
      </c>
      <c r="BA2394">
        <v>1</v>
      </c>
      <c r="BB2394" t="str">
        <f t="shared" si="113"/>
        <v xml:space="preserve">N959MJ  </v>
      </c>
      <c r="BC2394">
        <v>1</v>
      </c>
      <c r="BE2394">
        <v>0</v>
      </c>
      <c r="BF2394">
        <v>0</v>
      </c>
      <c r="BG2394">
        <v>0</v>
      </c>
      <c r="BH2394">
        <v>4900</v>
      </c>
      <c r="BI2394">
        <v>200</v>
      </c>
      <c r="BJ2394">
        <v>1</v>
      </c>
      <c r="BK2394">
        <v>1</v>
      </c>
      <c r="BL2394">
        <v>1</v>
      </c>
      <c r="BM2394">
        <v>0</v>
      </c>
      <c r="BP2394">
        <v>0</v>
      </c>
      <c r="BQ2394">
        <v>0</v>
      </c>
      <c r="BX2394" t="str">
        <f>"14:30:14.359"</f>
        <v>14:30:14.359</v>
      </c>
      <c r="BY2394" t="str">
        <f>"358249171"</f>
        <v>358249171</v>
      </c>
      <c r="CL2394">
        <v>0</v>
      </c>
      <c r="CM2394">
        <v>2</v>
      </c>
      <c r="CN2394">
        <v>0</v>
      </c>
      <c r="CO2394">
        <v>2</v>
      </c>
      <c r="CP2394">
        <v>0</v>
      </c>
      <c r="CQ2394">
        <v>7</v>
      </c>
      <c r="CR2394" t="s">
        <v>116</v>
      </c>
      <c r="CS2394">
        <v>39</v>
      </c>
      <c r="CT2394">
        <v>0</v>
      </c>
      <c r="CU2394" t="s">
        <v>2259</v>
      </c>
      <c r="CV2394" t="s">
        <v>2260</v>
      </c>
      <c r="CY2394">
        <v>1778023</v>
      </c>
      <c r="CZ2394" t="s">
        <v>119</v>
      </c>
    </row>
    <row r="2395" spans="1:104" x14ac:dyDescent="0.25">
      <c r="A2395" t="str">
        <f>"14:30:15.648"</f>
        <v>14:30:15.648</v>
      </c>
      <c r="B2395" t="s">
        <v>108</v>
      </c>
      <c r="C2395" t="str">
        <f t="shared" si="112"/>
        <v>ffdfd3c0</v>
      </c>
      <c r="D2395" t="s">
        <v>109</v>
      </c>
      <c r="E2395">
        <v>4</v>
      </c>
      <c r="F2395">
        <v>1004</v>
      </c>
      <c r="G2395" t="s">
        <v>110</v>
      </c>
      <c r="J2395" t="s">
        <v>111</v>
      </c>
      <c r="K2395">
        <v>0</v>
      </c>
      <c r="L2395">
        <v>3</v>
      </c>
      <c r="M2395">
        <v>0</v>
      </c>
      <c r="N2395">
        <v>2</v>
      </c>
      <c r="O2395">
        <v>1</v>
      </c>
      <c r="P2395">
        <v>0</v>
      </c>
      <c r="Q2395">
        <v>0</v>
      </c>
      <c r="R2395" t="s">
        <v>112</v>
      </c>
      <c r="S2395" t="str">
        <f>"14:30:15.445"</f>
        <v>14:30:15.445</v>
      </c>
      <c r="T2395" t="str">
        <f>"14:30:14.945"</f>
        <v>14:30:14.945</v>
      </c>
      <c r="U2395" t="str">
        <f t="shared" si="111"/>
        <v>ad5732</v>
      </c>
      <c r="V2395">
        <v>0</v>
      </c>
      <c r="W2395">
        <v>0</v>
      </c>
      <c r="X2395">
        <v>1</v>
      </c>
      <c r="Z2395">
        <v>0</v>
      </c>
      <c r="AA2395">
        <v>9</v>
      </c>
      <c r="AB2395">
        <v>3</v>
      </c>
      <c r="AC2395">
        <v>0</v>
      </c>
      <c r="AD2395">
        <v>10</v>
      </c>
      <c r="AE2395">
        <v>0</v>
      </c>
      <c r="AF2395">
        <v>3</v>
      </c>
      <c r="AG2395">
        <v>2</v>
      </c>
      <c r="AH2395">
        <v>0</v>
      </c>
      <c r="AI2395" t="s">
        <v>4899</v>
      </c>
      <c r="AJ2395">
        <v>40.023192999999999</v>
      </c>
      <c r="AK2395" t="s">
        <v>4900</v>
      </c>
      <c r="AL2395">
        <v>-75.522443999999993</v>
      </c>
      <c r="AM2395">
        <v>100</v>
      </c>
      <c r="AN2395">
        <v>4700</v>
      </c>
      <c r="AO2395" t="s">
        <v>115</v>
      </c>
      <c r="AP2395">
        <v>131</v>
      </c>
      <c r="AQ2395">
        <v>124</v>
      </c>
      <c r="AR2395">
        <v>0</v>
      </c>
      <c r="AZ2395">
        <v>3614</v>
      </c>
      <c r="BA2395">
        <v>1</v>
      </c>
      <c r="BB2395" t="str">
        <f t="shared" si="113"/>
        <v xml:space="preserve">N959MJ  </v>
      </c>
      <c r="BC2395">
        <v>1</v>
      </c>
      <c r="BE2395">
        <v>0</v>
      </c>
      <c r="BF2395">
        <v>0</v>
      </c>
      <c r="BG2395">
        <v>0</v>
      </c>
      <c r="BH2395">
        <v>4900</v>
      </c>
      <c r="BI2395">
        <v>200</v>
      </c>
      <c r="BJ2395">
        <v>1</v>
      </c>
      <c r="BK2395">
        <v>1</v>
      </c>
      <c r="BL2395">
        <v>1</v>
      </c>
      <c r="BM2395">
        <v>0</v>
      </c>
      <c r="BP2395">
        <v>0</v>
      </c>
      <c r="BQ2395">
        <v>0</v>
      </c>
      <c r="BX2395" t="str">
        <f>"14:30:15.453"</f>
        <v>14:30:15.453</v>
      </c>
      <c r="BY2395" t="str">
        <f>"451081145"</f>
        <v>451081145</v>
      </c>
      <c r="CL2395">
        <v>0</v>
      </c>
      <c r="CM2395">
        <v>2</v>
      </c>
      <c r="CN2395">
        <v>0</v>
      </c>
      <c r="CO2395">
        <v>2</v>
      </c>
      <c r="CP2395">
        <v>0</v>
      </c>
      <c r="CQ2395">
        <v>7</v>
      </c>
      <c r="CR2395" t="s">
        <v>116</v>
      </c>
      <c r="CS2395">
        <v>39</v>
      </c>
      <c r="CT2395">
        <v>0</v>
      </c>
      <c r="CU2395" t="s">
        <v>2259</v>
      </c>
      <c r="CV2395" t="s">
        <v>2260</v>
      </c>
      <c r="CY2395">
        <v>1779707</v>
      </c>
      <c r="CZ2395" t="s">
        <v>119</v>
      </c>
    </row>
    <row r="2396" spans="1:104" x14ac:dyDescent="0.25">
      <c r="A2396" t="str">
        <f>"14:30:16.656"</f>
        <v>14:30:16.656</v>
      </c>
      <c r="B2396" t="s">
        <v>108</v>
      </c>
      <c r="C2396" t="str">
        <f t="shared" si="112"/>
        <v>ffdfd3c0</v>
      </c>
      <c r="D2396" t="s">
        <v>109</v>
      </c>
      <c r="E2396">
        <v>4</v>
      </c>
      <c r="F2396">
        <v>1004</v>
      </c>
      <c r="G2396" t="s">
        <v>110</v>
      </c>
      <c r="J2396" t="s">
        <v>111</v>
      </c>
      <c r="K2396">
        <v>0</v>
      </c>
      <c r="L2396">
        <v>3</v>
      </c>
      <c r="M2396">
        <v>0</v>
      </c>
      <c r="N2396">
        <v>2</v>
      </c>
      <c r="O2396">
        <v>1</v>
      </c>
      <c r="P2396">
        <v>0</v>
      </c>
      <c r="Q2396">
        <v>0</v>
      </c>
      <c r="R2396" t="s">
        <v>112</v>
      </c>
      <c r="S2396" t="str">
        <f>"14:30:16.484"</f>
        <v>14:30:16.484</v>
      </c>
      <c r="T2396" t="str">
        <f>"14:30:16.086"</f>
        <v>14:30:16.086</v>
      </c>
      <c r="U2396" t="str">
        <f t="shared" si="111"/>
        <v>ad5732</v>
      </c>
      <c r="V2396">
        <v>0</v>
      </c>
      <c r="W2396">
        <v>0</v>
      </c>
      <c r="X2396">
        <v>1</v>
      </c>
      <c r="Z2396">
        <v>0</v>
      </c>
      <c r="AA2396">
        <v>9</v>
      </c>
      <c r="AB2396">
        <v>3</v>
      </c>
      <c r="AC2396">
        <v>0</v>
      </c>
      <c r="AD2396">
        <v>10</v>
      </c>
      <c r="AE2396">
        <v>0</v>
      </c>
      <c r="AF2396">
        <v>3</v>
      </c>
      <c r="AG2396">
        <v>2</v>
      </c>
      <c r="AH2396">
        <v>0</v>
      </c>
      <c r="AI2396" t="s">
        <v>4901</v>
      </c>
      <c r="AJ2396">
        <v>40.023794000000002</v>
      </c>
      <c r="AK2396" t="s">
        <v>4902</v>
      </c>
      <c r="AL2396">
        <v>-75.521649999999994</v>
      </c>
      <c r="AM2396">
        <v>100</v>
      </c>
      <c r="AN2396">
        <v>4700</v>
      </c>
      <c r="AO2396" t="s">
        <v>115</v>
      </c>
      <c r="AP2396">
        <v>131</v>
      </c>
      <c r="AQ2396">
        <v>124</v>
      </c>
      <c r="AR2396">
        <v>0</v>
      </c>
      <c r="AZ2396">
        <v>3614</v>
      </c>
      <c r="BA2396">
        <v>1</v>
      </c>
      <c r="BB2396" t="str">
        <f t="shared" si="113"/>
        <v xml:space="preserve">N959MJ  </v>
      </c>
      <c r="BC2396">
        <v>1</v>
      </c>
      <c r="BE2396">
        <v>0</v>
      </c>
      <c r="BF2396">
        <v>0</v>
      </c>
      <c r="BG2396">
        <v>0</v>
      </c>
      <c r="BH2396">
        <v>4900</v>
      </c>
      <c r="BI2396">
        <v>200</v>
      </c>
      <c r="BJ2396">
        <v>1</v>
      </c>
      <c r="BK2396">
        <v>1</v>
      </c>
      <c r="BL2396">
        <v>1</v>
      </c>
      <c r="BM2396">
        <v>0</v>
      </c>
      <c r="BP2396">
        <v>0</v>
      </c>
      <c r="BQ2396">
        <v>0</v>
      </c>
      <c r="BX2396" t="str">
        <f>"14:30:16.484"</f>
        <v>14:30:16.484</v>
      </c>
      <c r="BY2396" t="str">
        <f>"484929685"</f>
        <v>484929685</v>
      </c>
      <c r="CL2396">
        <v>0</v>
      </c>
      <c r="CM2396">
        <v>2</v>
      </c>
      <c r="CN2396">
        <v>0</v>
      </c>
      <c r="CO2396">
        <v>2</v>
      </c>
      <c r="CP2396">
        <v>0</v>
      </c>
      <c r="CQ2396">
        <v>7</v>
      </c>
      <c r="CR2396" t="s">
        <v>116</v>
      </c>
      <c r="CS2396">
        <v>39</v>
      </c>
      <c r="CT2396">
        <v>0</v>
      </c>
      <c r="CU2396" t="s">
        <v>2259</v>
      </c>
      <c r="CV2396" t="s">
        <v>2260</v>
      </c>
      <c r="CY2396">
        <v>1781536</v>
      </c>
      <c r="CZ2396" t="s">
        <v>119</v>
      </c>
    </row>
    <row r="2397" spans="1:104" x14ac:dyDescent="0.25">
      <c r="A2397" t="str">
        <f>"14:30:17.570"</f>
        <v>14:30:17.570</v>
      </c>
      <c r="B2397" t="s">
        <v>108</v>
      </c>
      <c r="C2397" t="str">
        <f t="shared" si="112"/>
        <v>ffdfd3c0</v>
      </c>
      <c r="D2397" t="s">
        <v>109</v>
      </c>
      <c r="E2397">
        <v>4</v>
      </c>
      <c r="F2397">
        <v>1004</v>
      </c>
      <c r="G2397" t="s">
        <v>110</v>
      </c>
      <c r="J2397" t="s">
        <v>111</v>
      </c>
      <c r="K2397">
        <v>0</v>
      </c>
      <c r="L2397">
        <v>3</v>
      </c>
      <c r="M2397">
        <v>0</v>
      </c>
      <c r="N2397">
        <v>2</v>
      </c>
      <c r="O2397">
        <v>1</v>
      </c>
      <c r="P2397">
        <v>0</v>
      </c>
      <c r="Q2397">
        <v>0</v>
      </c>
      <c r="R2397" t="s">
        <v>112</v>
      </c>
      <c r="S2397" t="str">
        <f>"14:30:17.375"</f>
        <v>14:30:17.375</v>
      </c>
      <c r="T2397" t="str">
        <f>"14:30:16.977"</f>
        <v>14:30:16.977</v>
      </c>
      <c r="U2397" t="str">
        <f t="shared" si="111"/>
        <v>ad5732</v>
      </c>
      <c r="V2397">
        <v>0</v>
      </c>
      <c r="W2397">
        <v>0</v>
      </c>
      <c r="X2397">
        <v>1</v>
      </c>
      <c r="Z2397">
        <v>0</v>
      </c>
      <c r="AA2397">
        <v>9</v>
      </c>
      <c r="AB2397">
        <v>3</v>
      </c>
      <c r="AC2397">
        <v>0</v>
      </c>
      <c r="AD2397">
        <v>10</v>
      </c>
      <c r="AE2397">
        <v>0</v>
      </c>
      <c r="AF2397">
        <v>3</v>
      </c>
      <c r="AG2397">
        <v>2</v>
      </c>
      <c r="AH2397">
        <v>0</v>
      </c>
      <c r="AI2397" t="s">
        <v>4903</v>
      </c>
      <c r="AJ2397">
        <v>40.024287999999999</v>
      </c>
      <c r="AK2397" t="s">
        <v>4904</v>
      </c>
      <c r="AL2397">
        <v>-75.520942000000005</v>
      </c>
      <c r="AM2397">
        <v>100</v>
      </c>
      <c r="AN2397">
        <v>4700</v>
      </c>
      <c r="AO2397" t="s">
        <v>115</v>
      </c>
      <c r="AP2397">
        <v>131</v>
      </c>
      <c r="AQ2397">
        <v>124</v>
      </c>
      <c r="AR2397">
        <v>64</v>
      </c>
      <c r="AZ2397">
        <v>3614</v>
      </c>
      <c r="BA2397">
        <v>1</v>
      </c>
      <c r="BB2397" t="str">
        <f t="shared" si="113"/>
        <v xml:space="preserve">N959MJ  </v>
      </c>
      <c r="BC2397">
        <v>1</v>
      </c>
      <c r="BE2397">
        <v>0</v>
      </c>
      <c r="BF2397">
        <v>0</v>
      </c>
      <c r="BG2397">
        <v>0</v>
      </c>
      <c r="BH2397">
        <v>4900</v>
      </c>
      <c r="BI2397">
        <v>200</v>
      </c>
      <c r="BJ2397">
        <v>1</v>
      </c>
      <c r="BK2397">
        <v>1</v>
      </c>
      <c r="BL2397">
        <v>1</v>
      </c>
      <c r="BM2397">
        <v>0</v>
      </c>
      <c r="BP2397">
        <v>0</v>
      </c>
      <c r="BQ2397">
        <v>0</v>
      </c>
      <c r="BX2397" t="str">
        <f>"14:30:17.375"</f>
        <v>14:30:17.375</v>
      </c>
      <c r="BY2397" t="str">
        <f>"377873350"</f>
        <v>377873350</v>
      </c>
      <c r="CL2397">
        <v>0</v>
      </c>
      <c r="CM2397">
        <v>2</v>
      </c>
      <c r="CN2397">
        <v>0</v>
      </c>
      <c r="CO2397">
        <v>2</v>
      </c>
      <c r="CP2397">
        <v>0</v>
      </c>
      <c r="CQ2397">
        <v>7</v>
      </c>
      <c r="CR2397" t="s">
        <v>116</v>
      </c>
      <c r="CS2397">
        <v>39</v>
      </c>
      <c r="CT2397">
        <v>0</v>
      </c>
      <c r="CU2397" t="s">
        <v>2259</v>
      </c>
      <c r="CV2397" t="s">
        <v>2260</v>
      </c>
      <c r="CY2397">
        <v>1783163</v>
      </c>
      <c r="CZ2397" t="s">
        <v>119</v>
      </c>
    </row>
    <row r="2398" spans="1:104" x14ac:dyDescent="0.25">
      <c r="A2398" t="str">
        <f>"14:30:18.523"</f>
        <v>14:30:18.523</v>
      </c>
      <c r="B2398" t="s">
        <v>108</v>
      </c>
      <c r="C2398" t="str">
        <f t="shared" si="112"/>
        <v>ffdfd3c0</v>
      </c>
      <c r="D2398" t="s">
        <v>109</v>
      </c>
      <c r="E2398">
        <v>4</v>
      </c>
      <c r="F2398">
        <v>1004</v>
      </c>
      <c r="G2398" t="s">
        <v>110</v>
      </c>
      <c r="J2398" t="s">
        <v>111</v>
      </c>
      <c r="K2398">
        <v>0</v>
      </c>
      <c r="L2398">
        <v>3</v>
      </c>
      <c r="M2398">
        <v>0</v>
      </c>
      <c r="N2398">
        <v>2</v>
      </c>
      <c r="O2398">
        <v>1</v>
      </c>
      <c r="P2398">
        <v>0</v>
      </c>
      <c r="Q2398">
        <v>0</v>
      </c>
      <c r="R2398" t="s">
        <v>112</v>
      </c>
      <c r="S2398" t="str">
        <f>"14:30:18.383"</f>
        <v>14:30:18.383</v>
      </c>
      <c r="T2398" t="str">
        <f>"14:30:17.883"</f>
        <v>14:30:17.883</v>
      </c>
      <c r="U2398" t="str">
        <f t="shared" si="111"/>
        <v>ad5732</v>
      </c>
      <c r="V2398">
        <v>0</v>
      </c>
      <c r="W2398">
        <v>0</v>
      </c>
      <c r="X2398">
        <v>1</v>
      </c>
      <c r="Z2398">
        <v>0</v>
      </c>
      <c r="AA2398">
        <v>9</v>
      </c>
      <c r="AB2398">
        <v>3</v>
      </c>
      <c r="AC2398">
        <v>0</v>
      </c>
      <c r="AD2398">
        <v>10</v>
      </c>
      <c r="AE2398">
        <v>0</v>
      </c>
      <c r="AF2398">
        <v>3</v>
      </c>
      <c r="AG2398">
        <v>2</v>
      </c>
      <c r="AH2398">
        <v>0</v>
      </c>
      <c r="AI2398" t="s">
        <v>4905</v>
      </c>
      <c r="AJ2398">
        <v>40.024889000000002</v>
      </c>
      <c r="AK2398" t="s">
        <v>4906</v>
      </c>
      <c r="AL2398">
        <v>-75.520148000000006</v>
      </c>
      <c r="AM2398">
        <v>100</v>
      </c>
      <c r="AN2398">
        <v>4700</v>
      </c>
      <c r="AO2398" t="s">
        <v>115</v>
      </c>
      <c r="AP2398">
        <v>131</v>
      </c>
      <c r="AQ2398">
        <v>124</v>
      </c>
      <c r="AR2398">
        <v>64</v>
      </c>
      <c r="AZ2398">
        <v>3614</v>
      </c>
      <c r="BA2398">
        <v>1</v>
      </c>
      <c r="BB2398" t="str">
        <f t="shared" si="113"/>
        <v xml:space="preserve">N959MJ  </v>
      </c>
      <c r="BC2398">
        <v>1</v>
      </c>
      <c r="BE2398">
        <v>0</v>
      </c>
      <c r="BF2398">
        <v>0</v>
      </c>
      <c r="BG2398">
        <v>0</v>
      </c>
      <c r="BH2398">
        <v>4900</v>
      </c>
      <c r="BI2398">
        <v>200</v>
      </c>
      <c r="BJ2398">
        <v>1</v>
      </c>
      <c r="BK2398">
        <v>1</v>
      </c>
      <c r="BL2398">
        <v>1</v>
      </c>
      <c r="BM2398">
        <v>0</v>
      </c>
      <c r="BP2398">
        <v>0</v>
      </c>
      <c r="BQ2398">
        <v>0</v>
      </c>
      <c r="BX2398" t="str">
        <f>"14:30:18.383"</f>
        <v>14:30:18.383</v>
      </c>
      <c r="BY2398" t="str">
        <f>"383868597"</f>
        <v>383868597</v>
      </c>
      <c r="CL2398">
        <v>0</v>
      </c>
      <c r="CM2398">
        <v>2</v>
      </c>
      <c r="CN2398">
        <v>0</v>
      </c>
      <c r="CO2398">
        <v>2</v>
      </c>
      <c r="CP2398">
        <v>0</v>
      </c>
      <c r="CQ2398">
        <v>7</v>
      </c>
      <c r="CR2398" t="s">
        <v>116</v>
      </c>
      <c r="CS2398">
        <v>39</v>
      </c>
      <c r="CT2398">
        <v>0</v>
      </c>
      <c r="CU2398" t="s">
        <v>2259</v>
      </c>
      <c r="CV2398" t="s">
        <v>2260</v>
      </c>
      <c r="CY2398">
        <v>1784965</v>
      </c>
      <c r="CZ2398" t="s">
        <v>119</v>
      </c>
    </row>
    <row r="2399" spans="1:104" x14ac:dyDescent="0.25">
      <c r="A2399" t="str">
        <f>"14:30:19.484"</f>
        <v>14:30:19.484</v>
      </c>
      <c r="B2399" t="s">
        <v>108</v>
      </c>
      <c r="C2399" t="str">
        <f t="shared" si="112"/>
        <v>ffdfd3c0</v>
      </c>
      <c r="D2399" t="s">
        <v>109</v>
      </c>
      <c r="E2399">
        <v>4</v>
      </c>
      <c r="F2399">
        <v>1004</v>
      </c>
      <c r="G2399" t="s">
        <v>110</v>
      </c>
      <c r="J2399" t="s">
        <v>111</v>
      </c>
      <c r="K2399">
        <v>0</v>
      </c>
      <c r="L2399">
        <v>3</v>
      </c>
      <c r="M2399">
        <v>0</v>
      </c>
      <c r="N2399">
        <v>2</v>
      </c>
      <c r="O2399">
        <v>1</v>
      </c>
      <c r="P2399">
        <v>0</v>
      </c>
      <c r="Q2399">
        <v>0</v>
      </c>
      <c r="R2399" t="s">
        <v>112</v>
      </c>
      <c r="S2399" t="str">
        <f>"14:30:19.313"</f>
        <v>14:30:19.313</v>
      </c>
      <c r="T2399" t="str">
        <f>"14:30:18.914"</f>
        <v>14:30:18.914</v>
      </c>
      <c r="U2399" t="str">
        <f t="shared" si="111"/>
        <v>ad5732</v>
      </c>
      <c r="V2399">
        <v>0</v>
      </c>
      <c r="W2399">
        <v>0</v>
      </c>
      <c r="X2399">
        <v>1</v>
      </c>
      <c r="Z2399">
        <v>0</v>
      </c>
      <c r="AA2399">
        <v>9</v>
      </c>
      <c r="AB2399">
        <v>3</v>
      </c>
      <c r="AC2399">
        <v>0</v>
      </c>
      <c r="AD2399">
        <v>10</v>
      </c>
      <c r="AE2399">
        <v>0</v>
      </c>
      <c r="AF2399">
        <v>3</v>
      </c>
      <c r="AG2399">
        <v>2</v>
      </c>
      <c r="AH2399">
        <v>0</v>
      </c>
      <c r="AI2399" t="s">
        <v>4907</v>
      </c>
      <c r="AJ2399">
        <v>40.025446000000002</v>
      </c>
      <c r="AK2399" t="s">
        <v>4908</v>
      </c>
      <c r="AL2399">
        <v>-75.519354000000007</v>
      </c>
      <c r="AM2399">
        <v>100</v>
      </c>
      <c r="AN2399">
        <v>4700</v>
      </c>
      <c r="AO2399" t="s">
        <v>115</v>
      </c>
      <c r="AP2399">
        <v>131</v>
      </c>
      <c r="AQ2399">
        <v>125</v>
      </c>
      <c r="AR2399">
        <v>64</v>
      </c>
      <c r="AZ2399">
        <v>3614</v>
      </c>
      <c r="BA2399">
        <v>1</v>
      </c>
      <c r="BB2399" t="str">
        <f t="shared" si="113"/>
        <v xml:space="preserve">N959MJ  </v>
      </c>
      <c r="BC2399">
        <v>1</v>
      </c>
      <c r="BE2399">
        <v>0</v>
      </c>
      <c r="BF2399">
        <v>0</v>
      </c>
      <c r="BG2399">
        <v>0</v>
      </c>
      <c r="BH2399">
        <v>4900</v>
      </c>
      <c r="BI2399">
        <v>200</v>
      </c>
      <c r="BJ2399">
        <v>1</v>
      </c>
      <c r="BK2399">
        <v>1</v>
      </c>
      <c r="BL2399">
        <v>1</v>
      </c>
      <c r="BM2399">
        <v>0</v>
      </c>
      <c r="BP2399">
        <v>0</v>
      </c>
      <c r="BQ2399">
        <v>0</v>
      </c>
      <c r="BX2399" t="str">
        <f>"14:30:19.313"</f>
        <v>14:30:19.313</v>
      </c>
      <c r="BY2399" t="str">
        <f>"312857694"</f>
        <v>312857694</v>
      </c>
      <c r="CL2399">
        <v>0</v>
      </c>
      <c r="CM2399">
        <v>2</v>
      </c>
      <c r="CN2399">
        <v>0</v>
      </c>
      <c r="CO2399">
        <v>2</v>
      </c>
      <c r="CP2399">
        <v>0</v>
      </c>
      <c r="CQ2399">
        <v>7</v>
      </c>
      <c r="CR2399" t="s">
        <v>116</v>
      </c>
      <c r="CS2399">
        <v>39</v>
      </c>
      <c r="CT2399">
        <v>0</v>
      </c>
      <c r="CU2399" t="s">
        <v>2259</v>
      </c>
      <c r="CV2399" t="s">
        <v>2260</v>
      </c>
      <c r="CY2399">
        <v>1786553</v>
      </c>
      <c r="CZ2399" t="s">
        <v>119</v>
      </c>
    </row>
    <row r="2400" spans="1:104" x14ac:dyDescent="0.25">
      <c r="A2400" t="str">
        <f>"14:30:20.547"</f>
        <v>14:30:20.547</v>
      </c>
      <c r="B2400" t="s">
        <v>108</v>
      </c>
      <c r="C2400" t="str">
        <f t="shared" si="112"/>
        <v>ffdfd3c0</v>
      </c>
      <c r="D2400" t="s">
        <v>109</v>
      </c>
      <c r="E2400">
        <v>4</v>
      </c>
      <c r="F2400">
        <v>1004</v>
      </c>
      <c r="G2400" t="s">
        <v>110</v>
      </c>
      <c r="J2400" t="s">
        <v>111</v>
      </c>
      <c r="K2400">
        <v>0</v>
      </c>
      <c r="L2400">
        <v>3</v>
      </c>
      <c r="M2400">
        <v>0</v>
      </c>
      <c r="N2400">
        <v>2</v>
      </c>
      <c r="O2400">
        <v>1</v>
      </c>
      <c r="P2400">
        <v>0</v>
      </c>
      <c r="Q2400">
        <v>0</v>
      </c>
      <c r="R2400" t="s">
        <v>112</v>
      </c>
      <c r="S2400" t="str">
        <f>"14:30:20.359"</f>
        <v>14:30:20.359</v>
      </c>
      <c r="T2400" t="str">
        <f>"14:30:19.859"</f>
        <v>14:30:19.859</v>
      </c>
      <c r="U2400" t="str">
        <f t="shared" si="111"/>
        <v>ad5732</v>
      </c>
      <c r="V2400">
        <v>0</v>
      </c>
      <c r="W2400">
        <v>0</v>
      </c>
      <c r="X2400">
        <v>1</v>
      </c>
      <c r="Z2400">
        <v>0</v>
      </c>
      <c r="AA2400">
        <v>9</v>
      </c>
      <c r="AB2400">
        <v>3</v>
      </c>
      <c r="AC2400">
        <v>0</v>
      </c>
      <c r="AD2400">
        <v>10</v>
      </c>
      <c r="AE2400">
        <v>0</v>
      </c>
      <c r="AF2400">
        <v>3</v>
      </c>
      <c r="AG2400">
        <v>2</v>
      </c>
      <c r="AH2400">
        <v>0</v>
      </c>
      <c r="AI2400" t="s">
        <v>4909</v>
      </c>
      <c r="AJ2400">
        <v>40.026026000000002</v>
      </c>
      <c r="AK2400" t="s">
        <v>4910</v>
      </c>
      <c r="AL2400">
        <v>-75.518559999999994</v>
      </c>
      <c r="AM2400">
        <v>100</v>
      </c>
      <c r="AN2400">
        <v>4700</v>
      </c>
      <c r="AO2400" t="s">
        <v>115</v>
      </c>
      <c r="AP2400">
        <v>131</v>
      </c>
      <c r="AQ2400">
        <v>125</v>
      </c>
      <c r="AR2400">
        <v>64</v>
      </c>
      <c r="AZ2400">
        <v>3614</v>
      </c>
      <c r="BA2400">
        <v>1</v>
      </c>
      <c r="BB2400" t="str">
        <f t="shared" si="113"/>
        <v xml:space="preserve">N959MJ  </v>
      </c>
      <c r="BC2400">
        <v>1</v>
      </c>
      <c r="BE2400">
        <v>0</v>
      </c>
      <c r="BF2400">
        <v>0</v>
      </c>
      <c r="BG2400">
        <v>0</v>
      </c>
      <c r="BH2400">
        <v>4900</v>
      </c>
      <c r="BI2400">
        <v>200</v>
      </c>
      <c r="BJ2400">
        <v>1</v>
      </c>
      <c r="BK2400">
        <v>1</v>
      </c>
      <c r="BL2400">
        <v>1</v>
      </c>
      <c r="BM2400">
        <v>0</v>
      </c>
      <c r="BP2400">
        <v>0</v>
      </c>
      <c r="BQ2400">
        <v>0</v>
      </c>
      <c r="BX2400" t="str">
        <f>"14:30:20.367"</f>
        <v>14:30:20.367</v>
      </c>
      <c r="BY2400" t="str">
        <f>"364914408"</f>
        <v>364914408</v>
      </c>
      <c r="CL2400">
        <v>0</v>
      </c>
      <c r="CM2400">
        <v>2</v>
      </c>
      <c r="CN2400">
        <v>0</v>
      </c>
      <c r="CO2400">
        <v>2</v>
      </c>
      <c r="CP2400">
        <v>0</v>
      </c>
      <c r="CQ2400">
        <v>5</v>
      </c>
      <c r="CR2400" t="s">
        <v>116</v>
      </c>
      <c r="CS2400">
        <v>408</v>
      </c>
      <c r="CT2400">
        <v>1</v>
      </c>
      <c r="CU2400" t="s">
        <v>2317</v>
      </c>
      <c r="CV2400" t="s">
        <v>2318</v>
      </c>
      <c r="CY2400">
        <v>12957438</v>
      </c>
      <c r="CZ2400" t="s">
        <v>119</v>
      </c>
    </row>
    <row r="2401" spans="1:104" x14ac:dyDescent="0.25">
      <c r="A2401" t="str">
        <f>"14:30:21.555"</f>
        <v>14:30:21.555</v>
      </c>
      <c r="B2401" t="s">
        <v>108</v>
      </c>
      <c r="C2401" t="str">
        <f t="shared" si="112"/>
        <v>ffdfd3c0</v>
      </c>
      <c r="D2401" t="s">
        <v>109</v>
      </c>
      <c r="E2401">
        <v>4</v>
      </c>
      <c r="F2401">
        <v>1004</v>
      </c>
      <c r="G2401" t="s">
        <v>110</v>
      </c>
      <c r="J2401" t="s">
        <v>111</v>
      </c>
      <c r="K2401">
        <v>0</v>
      </c>
      <c r="L2401">
        <v>3</v>
      </c>
      <c r="M2401">
        <v>0</v>
      </c>
      <c r="N2401">
        <v>2</v>
      </c>
      <c r="O2401">
        <v>1</v>
      </c>
      <c r="P2401">
        <v>0</v>
      </c>
      <c r="Q2401">
        <v>0</v>
      </c>
      <c r="R2401" t="s">
        <v>112</v>
      </c>
      <c r="S2401" t="str">
        <f>"14:30:21.359"</f>
        <v>14:30:21.359</v>
      </c>
      <c r="T2401" t="str">
        <f>"14:30:20.859"</f>
        <v>14:30:20.859</v>
      </c>
      <c r="U2401" t="str">
        <f t="shared" si="111"/>
        <v>ad5732</v>
      </c>
      <c r="V2401">
        <v>0</v>
      </c>
      <c r="W2401">
        <v>0</v>
      </c>
      <c r="X2401">
        <v>1</v>
      </c>
      <c r="Z2401">
        <v>0</v>
      </c>
      <c r="AA2401">
        <v>9</v>
      </c>
      <c r="AB2401">
        <v>3</v>
      </c>
      <c r="AC2401">
        <v>0</v>
      </c>
      <c r="AD2401">
        <v>10</v>
      </c>
      <c r="AE2401">
        <v>0</v>
      </c>
      <c r="AF2401">
        <v>3</v>
      </c>
      <c r="AG2401">
        <v>2</v>
      </c>
      <c r="AH2401">
        <v>0</v>
      </c>
      <c r="AI2401" t="s">
        <v>4911</v>
      </c>
      <c r="AJ2401">
        <v>40.026626999999998</v>
      </c>
      <c r="AK2401" t="s">
        <v>4912</v>
      </c>
      <c r="AL2401">
        <v>-75.517831000000001</v>
      </c>
      <c r="AM2401">
        <v>100</v>
      </c>
      <c r="AN2401">
        <v>4700</v>
      </c>
      <c r="AO2401" t="s">
        <v>115</v>
      </c>
      <c r="AP2401">
        <v>131</v>
      </c>
      <c r="AQ2401">
        <v>125</v>
      </c>
      <c r="AR2401">
        <v>64</v>
      </c>
      <c r="AZ2401">
        <v>3614</v>
      </c>
      <c r="BA2401">
        <v>1</v>
      </c>
      <c r="BB2401" t="str">
        <f t="shared" si="113"/>
        <v xml:space="preserve">N959MJ  </v>
      </c>
      <c r="BC2401">
        <v>1</v>
      </c>
      <c r="BE2401">
        <v>0</v>
      </c>
      <c r="BF2401">
        <v>0</v>
      </c>
      <c r="BG2401">
        <v>0</v>
      </c>
      <c r="BH2401">
        <v>4900</v>
      </c>
      <c r="BI2401">
        <v>200</v>
      </c>
      <c r="BJ2401">
        <v>1</v>
      </c>
      <c r="BK2401">
        <v>1</v>
      </c>
      <c r="BL2401">
        <v>1</v>
      </c>
      <c r="BM2401">
        <v>0</v>
      </c>
      <c r="BP2401">
        <v>0</v>
      </c>
      <c r="BQ2401">
        <v>0</v>
      </c>
      <c r="BX2401" t="str">
        <f>"14:30:21.359"</f>
        <v>14:30:21.359</v>
      </c>
      <c r="BY2401" t="str">
        <f>"362532105"</f>
        <v>362532105</v>
      </c>
      <c r="CL2401">
        <v>0</v>
      </c>
      <c r="CM2401">
        <v>2</v>
      </c>
      <c r="CN2401">
        <v>0</v>
      </c>
      <c r="CO2401">
        <v>2</v>
      </c>
      <c r="CP2401">
        <v>0</v>
      </c>
      <c r="CQ2401">
        <v>7</v>
      </c>
      <c r="CR2401" t="s">
        <v>116</v>
      </c>
      <c r="CS2401">
        <v>39</v>
      </c>
      <c r="CT2401">
        <v>0</v>
      </c>
      <c r="CU2401" t="s">
        <v>2259</v>
      </c>
      <c r="CV2401" t="s">
        <v>2260</v>
      </c>
      <c r="CY2401">
        <v>1790197</v>
      </c>
      <c r="CZ2401" t="s">
        <v>119</v>
      </c>
    </row>
    <row r="2402" spans="1:104" x14ac:dyDescent="0.25">
      <c r="A2402" t="str">
        <f>"14:30:22.414"</f>
        <v>14:30:22.414</v>
      </c>
      <c r="B2402" t="s">
        <v>108</v>
      </c>
      <c r="C2402" t="str">
        <f t="shared" si="112"/>
        <v>ffdfd3c0</v>
      </c>
      <c r="D2402" t="s">
        <v>109</v>
      </c>
      <c r="E2402">
        <v>4</v>
      </c>
      <c r="F2402">
        <v>1004</v>
      </c>
      <c r="G2402" t="s">
        <v>110</v>
      </c>
      <c r="J2402" t="s">
        <v>111</v>
      </c>
      <c r="K2402">
        <v>0</v>
      </c>
      <c r="L2402">
        <v>3</v>
      </c>
      <c r="M2402">
        <v>0</v>
      </c>
      <c r="N2402">
        <v>2</v>
      </c>
      <c r="O2402">
        <v>1</v>
      </c>
      <c r="P2402">
        <v>0</v>
      </c>
      <c r="Q2402">
        <v>0</v>
      </c>
      <c r="R2402" t="s">
        <v>112</v>
      </c>
      <c r="S2402" t="str">
        <f>"14:30:22.250"</f>
        <v>14:30:22.250</v>
      </c>
      <c r="T2402" t="str">
        <f>"14:30:21.852"</f>
        <v>14:30:21.852</v>
      </c>
      <c r="U2402" t="str">
        <f t="shared" si="111"/>
        <v>ad5732</v>
      </c>
      <c r="V2402">
        <v>0</v>
      </c>
      <c r="W2402">
        <v>0</v>
      </c>
      <c r="X2402">
        <v>1</v>
      </c>
      <c r="Z2402">
        <v>0</v>
      </c>
      <c r="AA2402">
        <v>9</v>
      </c>
      <c r="AB2402">
        <v>3</v>
      </c>
      <c r="AC2402">
        <v>0</v>
      </c>
      <c r="AD2402">
        <v>10</v>
      </c>
      <c r="AE2402">
        <v>0</v>
      </c>
      <c r="AF2402">
        <v>3</v>
      </c>
      <c r="AG2402">
        <v>2</v>
      </c>
      <c r="AH2402">
        <v>0</v>
      </c>
      <c r="AI2402" t="s">
        <v>4913</v>
      </c>
      <c r="AJ2402">
        <v>40.027141999999998</v>
      </c>
      <c r="AK2402" t="s">
        <v>4914</v>
      </c>
      <c r="AL2402">
        <v>-75.517080000000007</v>
      </c>
      <c r="AM2402">
        <v>100</v>
      </c>
      <c r="AN2402">
        <v>4700</v>
      </c>
      <c r="AO2402" t="s">
        <v>115</v>
      </c>
      <c r="AP2402">
        <v>131</v>
      </c>
      <c r="AQ2402">
        <v>124</v>
      </c>
      <c r="AR2402">
        <v>0</v>
      </c>
      <c r="AZ2402">
        <v>3614</v>
      </c>
      <c r="BA2402">
        <v>1</v>
      </c>
      <c r="BB2402" t="str">
        <f t="shared" si="113"/>
        <v xml:space="preserve">N959MJ  </v>
      </c>
      <c r="BC2402">
        <v>1</v>
      </c>
      <c r="BE2402">
        <v>0</v>
      </c>
      <c r="BF2402">
        <v>0</v>
      </c>
      <c r="BG2402">
        <v>0</v>
      </c>
      <c r="BH2402">
        <v>4900</v>
      </c>
      <c r="BI2402">
        <v>200</v>
      </c>
      <c r="BJ2402">
        <v>1</v>
      </c>
      <c r="BK2402">
        <v>1</v>
      </c>
      <c r="BL2402">
        <v>1</v>
      </c>
      <c r="BM2402">
        <v>0</v>
      </c>
      <c r="BP2402">
        <v>0</v>
      </c>
      <c r="BQ2402">
        <v>0</v>
      </c>
      <c r="BX2402" t="str">
        <f>"14:30:22.250"</f>
        <v>14:30:22.250</v>
      </c>
      <c r="BY2402" t="str">
        <f>"250560695"</f>
        <v>250560695</v>
      </c>
      <c r="CL2402">
        <v>0</v>
      </c>
      <c r="CM2402">
        <v>2</v>
      </c>
      <c r="CN2402">
        <v>0</v>
      </c>
      <c r="CO2402">
        <v>2</v>
      </c>
      <c r="CP2402">
        <v>0</v>
      </c>
      <c r="CQ2402">
        <v>7</v>
      </c>
      <c r="CR2402" t="s">
        <v>116</v>
      </c>
      <c r="CS2402">
        <v>39</v>
      </c>
      <c r="CT2402">
        <v>0</v>
      </c>
      <c r="CU2402" t="s">
        <v>2259</v>
      </c>
      <c r="CV2402" t="s">
        <v>2260</v>
      </c>
      <c r="CY2402">
        <v>1791777</v>
      </c>
      <c r="CZ2402" t="s">
        <v>119</v>
      </c>
    </row>
    <row r="2403" spans="1:104" x14ac:dyDescent="0.25">
      <c r="A2403" t="str">
        <f>"14:30:24.078"</f>
        <v>14:30:24.078</v>
      </c>
      <c r="B2403" t="s">
        <v>108</v>
      </c>
      <c r="C2403" t="str">
        <f t="shared" si="112"/>
        <v>ffdfd3c0</v>
      </c>
      <c r="D2403" t="s">
        <v>109</v>
      </c>
      <c r="E2403">
        <v>4</v>
      </c>
      <c r="F2403">
        <v>1004</v>
      </c>
      <c r="G2403" t="s">
        <v>110</v>
      </c>
      <c r="J2403" t="s">
        <v>111</v>
      </c>
      <c r="K2403">
        <v>0</v>
      </c>
      <c r="L2403">
        <v>3</v>
      </c>
      <c r="M2403">
        <v>0</v>
      </c>
      <c r="N2403">
        <v>2</v>
      </c>
      <c r="O2403">
        <v>1</v>
      </c>
      <c r="P2403">
        <v>0</v>
      </c>
      <c r="Q2403">
        <v>0</v>
      </c>
      <c r="R2403" t="s">
        <v>112</v>
      </c>
      <c r="S2403" t="str">
        <f>"14:30:23.891"</f>
        <v>14:30:23.891</v>
      </c>
      <c r="T2403" t="str">
        <f>"14:30:23.391"</f>
        <v>14:30:23.391</v>
      </c>
      <c r="U2403" t="str">
        <f t="shared" si="111"/>
        <v>ad5732</v>
      </c>
      <c r="V2403">
        <v>0</v>
      </c>
      <c r="W2403">
        <v>0</v>
      </c>
      <c r="X2403">
        <v>1</v>
      </c>
      <c r="Z2403">
        <v>0</v>
      </c>
      <c r="AA2403">
        <v>9</v>
      </c>
      <c r="AB2403">
        <v>3</v>
      </c>
      <c r="AC2403">
        <v>0</v>
      </c>
      <c r="AD2403">
        <v>10</v>
      </c>
      <c r="AE2403">
        <v>0</v>
      </c>
      <c r="AF2403">
        <v>3</v>
      </c>
      <c r="AG2403">
        <v>2</v>
      </c>
      <c r="AH2403">
        <v>0</v>
      </c>
      <c r="AI2403" t="s">
        <v>4915</v>
      </c>
      <c r="AJ2403">
        <v>40.028042999999997</v>
      </c>
      <c r="AK2403" t="s">
        <v>4916</v>
      </c>
      <c r="AL2403">
        <v>-75.515834999999996</v>
      </c>
      <c r="AM2403">
        <v>100</v>
      </c>
      <c r="AN2403">
        <v>4700</v>
      </c>
      <c r="AO2403" t="s">
        <v>115</v>
      </c>
      <c r="AP2403">
        <v>131</v>
      </c>
      <c r="AQ2403">
        <v>124</v>
      </c>
      <c r="AR2403">
        <v>0</v>
      </c>
      <c r="AZ2403">
        <v>3614</v>
      </c>
      <c r="BA2403">
        <v>1</v>
      </c>
      <c r="BB2403" t="str">
        <f t="shared" si="113"/>
        <v xml:space="preserve">N959MJ  </v>
      </c>
      <c r="BC2403">
        <v>1</v>
      </c>
      <c r="BE2403">
        <v>0</v>
      </c>
      <c r="BF2403">
        <v>0</v>
      </c>
      <c r="BG2403">
        <v>0</v>
      </c>
      <c r="BH2403">
        <v>4900</v>
      </c>
      <c r="BI2403">
        <v>200</v>
      </c>
      <c r="BJ2403">
        <v>1</v>
      </c>
      <c r="BK2403">
        <v>1</v>
      </c>
      <c r="BL2403">
        <v>1</v>
      </c>
      <c r="BM2403">
        <v>0</v>
      </c>
      <c r="BP2403">
        <v>0</v>
      </c>
      <c r="BQ2403">
        <v>0</v>
      </c>
      <c r="BX2403" t="str">
        <f>"14:30:23.891"</f>
        <v>14:30:23.891</v>
      </c>
      <c r="BY2403" t="str">
        <f>"893904491"</f>
        <v>893904491</v>
      </c>
      <c r="CL2403">
        <v>0</v>
      </c>
      <c r="CM2403">
        <v>2</v>
      </c>
      <c r="CN2403">
        <v>0</v>
      </c>
      <c r="CO2403">
        <v>2</v>
      </c>
      <c r="CP2403">
        <v>0</v>
      </c>
      <c r="CQ2403">
        <v>7</v>
      </c>
      <c r="CR2403" t="s">
        <v>116</v>
      </c>
      <c r="CS2403">
        <v>39</v>
      </c>
      <c r="CT2403">
        <v>0</v>
      </c>
      <c r="CU2403" t="s">
        <v>2259</v>
      </c>
      <c r="CV2403" t="s">
        <v>2260</v>
      </c>
      <c r="CY2403">
        <v>1794772</v>
      </c>
      <c r="CZ2403" t="s">
        <v>119</v>
      </c>
    </row>
    <row r="2404" spans="1:104" x14ac:dyDescent="0.25">
      <c r="A2404" t="str">
        <f>"14:30:24.938"</f>
        <v>14:30:24.938</v>
      </c>
      <c r="B2404" t="s">
        <v>108</v>
      </c>
      <c r="C2404" t="str">
        <f t="shared" si="112"/>
        <v>ffdfd3c0</v>
      </c>
      <c r="D2404" t="s">
        <v>109</v>
      </c>
      <c r="E2404">
        <v>4</v>
      </c>
      <c r="F2404">
        <v>1004</v>
      </c>
      <c r="G2404" t="s">
        <v>110</v>
      </c>
      <c r="J2404" t="s">
        <v>111</v>
      </c>
      <c r="K2404">
        <v>0</v>
      </c>
      <c r="L2404">
        <v>3</v>
      </c>
      <c r="M2404">
        <v>0</v>
      </c>
      <c r="N2404">
        <v>2</v>
      </c>
      <c r="O2404">
        <v>1</v>
      </c>
      <c r="P2404">
        <v>0</v>
      </c>
      <c r="Q2404">
        <v>0</v>
      </c>
      <c r="R2404" t="s">
        <v>112</v>
      </c>
      <c r="S2404" t="str">
        <f>"14:30:24.742"</f>
        <v>14:30:24.742</v>
      </c>
      <c r="T2404" t="str">
        <f>"14:30:24.344"</f>
        <v>14:30:24.344</v>
      </c>
      <c r="U2404" t="str">
        <f t="shared" si="111"/>
        <v>ad5732</v>
      </c>
      <c r="V2404">
        <v>0</v>
      </c>
      <c r="W2404">
        <v>0</v>
      </c>
      <c r="X2404">
        <v>1</v>
      </c>
      <c r="Z2404">
        <v>0</v>
      </c>
      <c r="AA2404">
        <v>9</v>
      </c>
      <c r="AB2404">
        <v>3</v>
      </c>
      <c r="AC2404">
        <v>0</v>
      </c>
      <c r="AD2404">
        <v>10</v>
      </c>
      <c r="AE2404">
        <v>0</v>
      </c>
      <c r="AF2404">
        <v>3</v>
      </c>
      <c r="AG2404">
        <v>2</v>
      </c>
      <c r="AH2404">
        <v>0</v>
      </c>
      <c r="AI2404" t="s">
        <v>4917</v>
      </c>
      <c r="AJ2404">
        <v>40.028557999999997</v>
      </c>
      <c r="AK2404" t="s">
        <v>4918</v>
      </c>
      <c r="AL2404">
        <v>-75.515127000000007</v>
      </c>
      <c r="AM2404">
        <v>100</v>
      </c>
      <c r="AN2404">
        <v>4700</v>
      </c>
      <c r="AO2404" t="s">
        <v>115</v>
      </c>
      <c r="AP2404">
        <v>131</v>
      </c>
      <c r="AQ2404">
        <v>124</v>
      </c>
      <c r="AR2404">
        <v>0</v>
      </c>
      <c r="AZ2404">
        <v>3614</v>
      </c>
      <c r="BA2404">
        <v>1</v>
      </c>
      <c r="BB2404" t="str">
        <f t="shared" si="113"/>
        <v xml:space="preserve">N959MJ  </v>
      </c>
      <c r="BC2404">
        <v>1</v>
      </c>
      <c r="BE2404">
        <v>0</v>
      </c>
      <c r="BF2404">
        <v>0</v>
      </c>
      <c r="BG2404">
        <v>0</v>
      </c>
      <c r="BH2404">
        <v>4900</v>
      </c>
      <c r="BI2404">
        <v>200</v>
      </c>
      <c r="BJ2404">
        <v>1</v>
      </c>
      <c r="BK2404">
        <v>1</v>
      </c>
      <c r="BL2404">
        <v>1</v>
      </c>
      <c r="BM2404">
        <v>0</v>
      </c>
      <c r="BP2404">
        <v>0</v>
      </c>
      <c r="BQ2404">
        <v>0</v>
      </c>
      <c r="BX2404" t="str">
        <f>"14:30:24.742"</f>
        <v>14:30:24.742</v>
      </c>
      <c r="BY2404" t="str">
        <f>"744249044"</f>
        <v>744249044</v>
      </c>
      <c r="CL2404">
        <v>0</v>
      </c>
      <c r="CM2404">
        <v>2</v>
      </c>
      <c r="CN2404">
        <v>0</v>
      </c>
      <c r="CO2404">
        <v>2</v>
      </c>
      <c r="CP2404">
        <v>0</v>
      </c>
      <c r="CQ2404">
        <v>7</v>
      </c>
      <c r="CR2404" t="s">
        <v>116</v>
      </c>
      <c r="CS2404">
        <v>39</v>
      </c>
      <c r="CT2404">
        <v>0</v>
      </c>
      <c r="CU2404" t="s">
        <v>2259</v>
      </c>
      <c r="CV2404" t="s">
        <v>2260</v>
      </c>
      <c r="CY2404">
        <v>1796153</v>
      </c>
      <c r="CZ2404" t="s">
        <v>119</v>
      </c>
    </row>
    <row r="2405" spans="1:104" x14ac:dyDescent="0.25">
      <c r="A2405" t="str">
        <f>"14:30:25.844"</f>
        <v>14:30:25.844</v>
      </c>
      <c r="B2405" t="s">
        <v>108</v>
      </c>
      <c r="C2405" t="str">
        <f t="shared" si="112"/>
        <v>ffdfd3c0</v>
      </c>
      <c r="D2405" t="s">
        <v>109</v>
      </c>
      <c r="E2405">
        <v>4</v>
      </c>
      <c r="F2405">
        <v>1004</v>
      </c>
      <c r="G2405" t="s">
        <v>110</v>
      </c>
      <c r="J2405" t="s">
        <v>111</v>
      </c>
      <c r="K2405">
        <v>0</v>
      </c>
      <c r="L2405">
        <v>3</v>
      </c>
      <c r="M2405">
        <v>0</v>
      </c>
      <c r="N2405">
        <v>2</v>
      </c>
      <c r="O2405">
        <v>1</v>
      </c>
      <c r="P2405">
        <v>0</v>
      </c>
      <c r="Q2405">
        <v>0</v>
      </c>
      <c r="R2405" t="s">
        <v>112</v>
      </c>
      <c r="S2405" t="str">
        <f>"14:30:25.688"</f>
        <v>14:30:25.688</v>
      </c>
      <c r="T2405" t="str">
        <f>"14:30:25.289"</f>
        <v>14:30:25.289</v>
      </c>
      <c r="U2405" t="str">
        <f t="shared" si="111"/>
        <v>ad5732</v>
      </c>
      <c r="V2405">
        <v>0</v>
      </c>
      <c r="W2405">
        <v>0</v>
      </c>
      <c r="X2405">
        <v>1</v>
      </c>
      <c r="Z2405">
        <v>0</v>
      </c>
      <c r="AA2405">
        <v>9</v>
      </c>
      <c r="AB2405">
        <v>3</v>
      </c>
      <c r="AC2405">
        <v>0</v>
      </c>
      <c r="AD2405">
        <v>10</v>
      </c>
      <c r="AE2405">
        <v>0</v>
      </c>
      <c r="AF2405">
        <v>3</v>
      </c>
      <c r="AG2405">
        <v>2</v>
      </c>
      <c r="AH2405">
        <v>0</v>
      </c>
      <c r="AI2405" t="s">
        <v>4919</v>
      </c>
      <c r="AJ2405">
        <v>40.029051000000003</v>
      </c>
      <c r="AK2405" t="s">
        <v>4920</v>
      </c>
      <c r="AL2405">
        <v>-75.514398</v>
      </c>
      <c r="AM2405">
        <v>100</v>
      </c>
      <c r="AN2405">
        <v>4700</v>
      </c>
      <c r="AO2405" t="s">
        <v>115</v>
      </c>
      <c r="AP2405">
        <v>131</v>
      </c>
      <c r="AQ2405">
        <v>124</v>
      </c>
      <c r="AR2405">
        <v>0</v>
      </c>
      <c r="AZ2405">
        <v>3614</v>
      </c>
      <c r="BA2405">
        <v>1</v>
      </c>
      <c r="BB2405" t="str">
        <f t="shared" si="113"/>
        <v xml:space="preserve">N959MJ  </v>
      </c>
      <c r="BC2405">
        <v>1</v>
      </c>
      <c r="BE2405">
        <v>0</v>
      </c>
      <c r="BF2405">
        <v>0</v>
      </c>
      <c r="BG2405">
        <v>0</v>
      </c>
      <c r="BH2405">
        <v>4900</v>
      </c>
      <c r="BI2405">
        <v>200</v>
      </c>
      <c r="BJ2405">
        <v>1</v>
      </c>
      <c r="BK2405">
        <v>1</v>
      </c>
      <c r="BL2405">
        <v>1</v>
      </c>
      <c r="BM2405">
        <v>0</v>
      </c>
      <c r="BP2405">
        <v>0</v>
      </c>
      <c r="BQ2405">
        <v>0</v>
      </c>
      <c r="BX2405" t="str">
        <f>"14:30:25.688"</f>
        <v>14:30:25.688</v>
      </c>
      <c r="BY2405" t="str">
        <f>"691260966"</f>
        <v>691260966</v>
      </c>
      <c r="CL2405">
        <v>0</v>
      </c>
      <c r="CM2405">
        <v>2</v>
      </c>
      <c r="CN2405">
        <v>0</v>
      </c>
      <c r="CO2405">
        <v>2</v>
      </c>
      <c r="CP2405">
        <v>0</v>
      </c>
      <c r="CQ2405">
        <v>7</v>
      </c>
      <c r="CR2405" t="s">
        <v>116</v>
      </c>
      <c r="CS2405">
        <v>39</v>
      </c>
      <c r="CT2405">
        <v>0</v>
      </c>
      <c r="CU2405" t="s">
        <v>2259</v>
      </c>
      <c r="CV2405" t="s">
        <v>2260</v>
      </c>
      <c r="CY2405">
        <v>1797731</v>
      </c>
      <c r="CZ2405" t="s">
        <v>119</v>
      </c>
    </row>
    <row r="2406" spans="1:104" x14ac:dyDescent="0.25">
      <c r="A2406" t="str">
        <f>"14:30:26.953"</f>
        <v>14:30:26.953</v>
      </c>
      <c r="B2406" t="s">
        <v>108</v>
      </c>
      <c r="C2406" t="str">
        <f t="shared" si="112"/>
        <v>ffdfd3c0</v>
      </c>
      <c r="D2406" t="s">
        <v>109</v>
      </c>
      <c r="E2406">
        <v>4</v>
      </c>
      <c r="F2406">
        <v>1004</v>
      </c>
      <c r="G2406" t="s">
        <v>110</v>
      </c>
      <c r="J2406" t="s">
        <v>111</v>
      </c>
      <c r="K2406">
        <v>0</v>
      </c>
      <c r="L2406">
        <v>3</v>
      </c>
      <c r="M2406">
        <v>0</v>
      </c>
      <c r="N2406">
        <v>2</v>
      </c>
      <c r="O2406">
        <v>1</v>
      </c>
      <c r="P2406">
        <v>0</v>
      </c>
      <c r="Q2406">
        <v>0</v>
      </c>
      <c r="R2406" t="s">
        <v>112</v>
      </c>
      <c r="S2406" t="str">
        <f>"14:30:26.781"</f>
        <v>14:30:26.781</v>
      </c>
      <c r="T2406" t="str">
        <f>"14:30:26.281"</f>
        <v>14:30:26.281</v>
      </c>
      <c r="U2406" t="str">
        <f t="shared" si="111"/>
        <v>ad5732</v>
      </c>
      <c r="V2406">
        <v>0</v>
      </c>
      <c r="W2406">
        <v>0</v>
      </c>
      <c r="X2406">
        <v>1</v>
      </c>
      <c r="Z2406">
        <v>0</v>
      </c>
      <c r="AA2406">
        <v>9</v>
      </c>
      <c r="AB2406">
        <v>3</v>
      </c>
      <c r="AC2406">
        <v>0</v>
      </c>
      <c r="AD2406">
        <v>10</v>
      </c>
      <c r="AE2406">
        <v>0</v>
      </c>
      <c r="AF2406">
        <v>3</v>
      </c>
      <c r="AG2406">
        <v>2</v>
      </c>
      <c r="AH2406">
        <v>0</v>
      </c>
      <c r="AI2406" t="s">
        <v>4921</v>
      </c>
      <c r="AJ2406">
        <v>40.029694999999997</v>
      </c>
      <c r="AK2406" t="s">
        <v>4922</v>
      </c>
      <c r="AL2406">
        <v>-75.513538999999994</v>
      </c>
      <c r="AM2406">
        <v>100</v>
      </c>
      <c r="AN2406">
        <v>4700</v>
      </c>
      <c r="AO2406" t="s">
        <v>115</v>
      </c>
      <c r="AP2406">
        <v>132</v>
      </c>
      <c r="AQ2406">
        <v>124</v>
      </c>
      <c r="AR2406">
        <v>0</v>
      </c>
      <c r="AZ2406">
        <v>3614</v>
      </c>
      <c r="BA2406">
        <v>1</v>
      </c>
      <c r="BB2406" t="str">
        <f t="shared" si="113"/>
        <v xml:space="preserve">N959MJ  </v>
      </c>
      <c r="BC2406">
        <v>1</v>
      </c>
      <c r="BE2406">
        <v>0</v>
      </c>
      <c r="BF2406">
        <v>0</v>
      </c>
      <c r="BG2406">
        <v>0</v>
      </c>
      <c r="BH2406">
        <v>4900</v>
      </c>
      <c r="BI2406">
        <v>200</v>
      </c>
      <c r="BJ2406">
        <v>1</v>
      </c>
      <c r="BK2406">
        <v>1</v>
      </c>
      <c r="BL2406">
        <v>1</v>
      </c>
      <c r="BM2406">
        <v>0</v>
      </c>
      <c r="BP2406">
        <v>0</v>
      </c>
      <c r="BQ2406">
        <v>0</v>
      </c>
      <c r="BX2406" t="str">
        <f>"14:30:26.789"</f>
        <v>14:30:26.789</v>
      </c>
      <c r="BY2406" t="str">
        <f>"787369668"</f>
        <v>787369668</v>
      </c>
      <c r="CL2406">
        <v>0</v>
      </c>
      <c r="CM2406">
        <v>2</v>
      </c>
      <c r="CN2406">
        <v>0</v>
      </c>
      <c r="CO2406">
        <v>2</v>
      </c>
      <c r="CP2406">
        <v>0</v>
      </c>
      <c r="CQ2406">
        <v>7</v>
      </c>
      <c r="CR2406" t="s">
        <v>116</v>
      </c>
      <c r="CS2406">
        <v>39</v>
      </c>
      <c r="CT2406">
        <v>3</v>
      </c>
      <c r="CU2406" t="s">
        <v>2259</v>
      </c>
      <c r="CV2406" t="s">
        <v>2260</v>
      </c>
      <c r="CY2406">
        <v>11157832</v>
      </c>
      <c r="CZ2406" t="s">
        <v>119</v>
      </c>
    </row>
    <row r="2407" spans="1:104" x14ac:dyDescent="0.25">
      <c r="A2407" t="str">
        <f>"14:30:28.070"</f>
        <v>14:30:28.070</v>
      </c>
      <c r="B2407" t="s">
        <v>108</v>
      </c>
      <c r="C2407" t="str">
        <f t="shared" si="112"/>
        <v>ffdfd3c0</v>
      </c>
      <c r="D2407" t="s">
        <v>109</v>
      </c>
      <c r="E2407">
        <v>4</v>
      </c>
      <c r="F2407">
        <v>1004</v>
      </c>
      <c r="G2407" t="s">
        <v>110</v>
      </c>
      <c r="J2407" t="s">
        <v>111</v>
      </c>
      <c r="K2407">
        <v>0</v>
      </c>
      <c r="L2407">
        <v>3</v>
      </c>
      <c r="M2407">
        <v>0</v>
      </c>
      <c r="N2407">
        <v>2</v>
      </c>
      <c r="O2407">
        <v>1</v>
      </c>
      <c r="P2407">
        <v>0</v>
      </c>
      <c r="Q2407">
        <v>0</v>
      </c>
      <c r="R2407" t="s">
        <v>112</v>
      </c>
      <c r="S2407" t="str">
        <f>"14:30:27.898"</f>
        <v>14:30:27.898</v>
      </c>
      <c r="T2407" t="str">
        <f>"14:30:27.398"</f>
        <v>14:30:27.398</v>
      </c>
      <c r="U2407" t="str">
        <f t="shared" si="111"/>
        <v>ad5732</v>
      </c>
      <c r="V2407">
        <v>0</v>
      </c>
      <c r="W2407">
        <v>0</v>
      </c>
      <c r="X2407">
        <v>1</v>
      </c>
      <c r="Z2407">
        <v>0</v>
      </c>
      <c r="AA2407">
        <v>9</v>
      </c>
      <c r="AB2407">
        <v>3</v>
      </c>
      <c r="AC2407">
        <v>0</v>
      </c>
      <c r="AD2407">
        <v>10</v>
      </c>
      <c r="AE2407">
        <v>0</v>
      </c>
      <c r="AF2407">
        <v>3</v>
      </c>
      <c r="AG2407">
        <v>2</v>
      </c>
      <c r="AH2407">
        <v>0</v>
      </c>
      <c r="AI2407" t="s">
        <v>4923</v>
      </c>
      <c r="AJ2407">
        <v>40.030360000000002</v>
      </c>
      <c r="AK2407" t="s">
        <v>4924</v>
      </c>
      <c r="AL2407">
        <v>-75.512659999999997</v>
      </c>
      <c r="AM2407">
        <v>100</v>
      </c>
      <c r="AN2407">
        <v>4700</v>
      </c>
      <c r="AO2407" t="s">
        <v>115</v>
      </c>
      <c r="AP2407">
        <v>132</v>
      </c>
      <c r="AQ2407">
        <v>124</v>
      </c>
      <c r="AR2407">
        <v>0</v>
      </c>
      <c r="AZ2407">
        <v>3614</v>
      </c>
      <c r="BA2407">
        <v>1</v>
      </c>
      <c r="BB2407" t="str">
        <f t="shared" si="113"/>
        <v xml:space="preserve">N959MJ  </v>
      </c>
      <c r="BC2407">
        <v>1</v>
      </c>
      <c r="BE2407">
        <v>0</v>
      </c>
      <c r="BF2407">
        <v>0</v>
      </c>
      <c r="BG2407">
        <v>0</v>
      </c>
      <c r="BH2407">
        <v>4900</v>
      </c>
      <c r="BI2407">
        <v>200</v>
      </c>
      <c r="BJ2407">
        <v>1</v>
      </c>
      <c r="BK2407">
        <v>1</v>
      </c>
      <c r="BL2407">
        <v>1</v>
      </c>
      <c r="BM2407">
        <v>0</v>
      </c>
      <c r="BP2407">
        <v>0</v>
      </c>
      <c r="BQ2407">
        <v>0</v>
      </c>
      <c r="BX2407" t="str">
        <f>"14:30:27.898"</f>
        <v>14:30:27.898</v>
      </c>
      <c r="BY2407" t="str">
        <f>"899862820"</f>
        <v>899862820</v>
      </c>
      <c r="CL2407">
        <v>0</v>
      </c>
      <c r="CM2407">
        <v>2</v>
      </c>
      <c r="CN2407">
        <v>0</v>
      </c>
      <c r="CO2407">
        <v>2</v>
      </c>
      <c r="CP2407">
        <v>0</v>
      </c>
      <c r="CQ2407">
        <v>7</v>
      </c>
      <c r="CR2407" t="s">
        <v>116</v>
      </c>
      <c r="CS2407">
        <v>39</v>
      </c>
      <c r="CT2407">
        <v>0</v>
      </c>
      <c r="CU2407" t="s">
        <v>2259</v>
      </c>
      <c r="CV2407" t="s">
        <v>2260</v>
      </c>
      <c r="CY2407">
        <v>1801608</v>
      </c>
      <c r="CZ2407" t="s">
        <v>119</v>
      </c>
    </row>
    <row r="2408" spans="1:104" x14ac:dyDescent="0.25">
      <c r="A2408" t="str">
        <f>"14:30:29.227"</f>
        <v>14:30:29.227</v>
      </c>
      <c r="B2408" t="s">
        <v>108</v>
      </c>
      <c r="C2408" t="str">
        <f t="shared" si="112"/>
        <v>ffdfd3c0</v>
      </c>
      <c r="D2408" t="s">
        <v>109</v>
      </c>
      <c r="E2408">
        <v>4</v>
      </c>
      <c r="F2408">
        <v>1004</v>
      </c>
      <c r="G2408" t="s">
        <v>110</v>
      </c>
      <c r="J2408" t="s">
        <v>111</v>
      </c>
      <c r="K2408">
        <v>0</v>
      </c>
      <c r="L2408">
        <v>3</v>
      </c>
      <c r="M2408">
        <v>0</v>
      </c>
      <c r="N2408">
        <v>2</v>
      </c>
      <c r="O2408">
        <v>1</v>
      </c>
      <c r="P2408">
        <v>0</v>
      </c>
      <c r="Q2408">
        <v>0</v>
      </c>
      <c r="R2408" t="s">
        <v>112</v>
      </c>
      <c r="S2408" t="str">
        <f>"14:30:29.047"</f>
        <v>14:30:29.047</v>
      </c>
      <c r="T2408" t="str">
        <f>"14:30:28.547"</f>
        <v>14:30:28.547</v>
      </c>
      <c r="U2408" t="str">
        <f t="shared" si="111"/>
        <v>ad5732</v>
      </c>
      <c r="V2408">
        <v>0</v>
      </c>
      <c r="W2408">
        <v>0</v>
      </c>
      <c r="X2408">
        <v>1</v>
      </c>
      <c r="Z2408">
        <v>0</v>
      </c>
      <c r="AA2408">
        <v>9</v>
      </c>
      <c r="AB2408">
        <v>3</v>
      </c>
      <c r="AC2408">
        <v>0</v>
      </c>
      <c r="AD2408">
        <v>10</v>
      </c>
      <c r="AE2408">
        <v>0</v>
      </c>
      <c r="AF2408">
        <v>3</v>
      </c>
      <c r="AG2408">
        <v>2</v>
      </c>
      <c r="AH2408">
        <v>0</v>
      </c>
      <c r="AI2408" t="s">
        <v>4925</v>
      </c>
      <c r="AJ2408">
        <v>40.031004000000003</v>
      </c>
      <c r="AK2408" t="s">
        <v>4926</v>
      </c>
      <c r="AL2408">
        <v>-75.511714999999995</v>
      </c>
      <c r="AM2408">
        <v>100</v>
      </c>
      <c r="AN2408">
        <v>4700</v>
      </c>
      <c r="AO2408" t="s">
        <v>115</v>
      </c>
      <c r="AP2408">
        <v>132</v>
      </c>
      <c r="AQ2408">
        <v>124</v>
      </c>
      <c r="AR2408">
        <v>0</v>
      </c>
      <c r="AZ2408">
        <v>3614</v>
      </c>
      <c r="BA2408">
        <v>1</v>
      </c>
      <c r="BB2408" t="str">
        <f t="shared" si="113"/>
        <v xml:space="preserve">N959MJ  </v>
      </c>
      <c r="BC2408">
        <v>1</v>
      </c>
      <c r="BE2408">
        <v>0</v>
      </c>
      <c r="BF2408">
        <v>0</v>
      </c>
      <c r="BG2408">
        <v>0</v>
      </c>
      <c r="BH2408">
        <v>4900</v>
      </c>
      <c r="BI2408">
        <v>200</v>
      </c>
      <c r="BJ2408">
        <v>1</v>
      </c>
      <c r="BK2408">
        <v>1</v>
      </c>
      <c r="BL2408">
        <v>1</v>
      </c>
      <c r="BM2408">
        <v>0</v>
      </c>
      <c r="BP2408">
        <v>0</v>
      </c>
      <c r="BQ2408">
        <v>0</v>
      </c>
      <c r="BX2408" t="str">
        <f>"14:30:29.047"</f>
        <v>14:30:29.047</v>
      </c>
      <c r="BY2408" t="str">
        <f>"050039750"</f>
        <v>050039750</v>
      </c>
      <c r="CL2408">
        <v>0</v>
      </c>
      <c r="CM2408">
        <v>2</v>
      </c>
      <c r="CN2408">
        <v>0</v>
      </c>
      <c r="CO2408">
        <v>2</v>
      </c>
      <c r="CP2408">
        <v>0</v>
      </c>
      <c r="CQ2408">
        <v>7</v>
      </c>
      <c r="CR2408" t="s">
        <v>116</v>
      </c>
      <c r="CS2408">
        <v>39</v>
      </c>
      <c r="CT2408">
        <v>0</v>
      </c>
      <c r="CU2408" t="s">
        <v>2259</v>
      </c>
      <c r="CV2408" t="s">
        <v>2260</v>
      </c>
      <c r="CY2408">
        <v>1803532</v>
      </c>
      <c r="CZ2408" t="s">
        <v>119</v>
      </c>
    </row>
    <row r="2409" spans="1:104" x14ac:dyDescent="0.25">
      <c r="A2409" t="str">
        <f>"14:30:30.234"</f>
        <v>14:30:30.234</v>
      </c>
      <c r="B2409" t="s">
        <v>108</v>
      </c>
      <c r="C2409" t="str">
        <f t="shared" si="112"/>
        <v>ffdfd3c0</v>
      </c>
      <c r="D2409" t="s">
        <v>109</v>
      </c>
      <c r="E2409">
        <v>4</v>
      </c>
      <c r="F2409">
        <v>1004</v>
      </c>
      <c r="G2409" t="s">
        <v>110</v>
      </c>
      <c r="J2409" t="s">
        <v>111</v>
      </c>
      <c r="K2409">
        <v>0</v>
      </c>
      <c r="L2409">
        <v>3</v>
      </c>
      <c r="M2409">
        <v>0</v>
      </c>
      <c r="N2409">
        <v>2</v>
      </c>
      <c r="O2409">
        <v>1</v>
      </c>
      <c r="P2409">
        <v>0</v>
      </c>
      <c r="Q2409">
        <v>0</v>
      </c>
      <c r="R2409" t="s">
        <v>112</v>
      </c>
      <c r="S2409" t="str">
        <f>"14:30:30.063"</f>
        <v>14:30:30.063</v>
      </c>
      <c r="T2409" t="str">
        <f>"14:30:29.664"</f>
        <v>14:30:29.664</v>
      </c>
      <c r="U2409" t="str">
        <f t="shared" si="111"/>
        <v>ad5732</v>
      </c>
      <c r="V2409">
        <v>0</v>
      </c>
      <c r="W2409">
        <v>0</v>
      </c>
      <c r="X2409">
        <v>1</v>
      </c>
      <c r="Z2409">
        <v>0</v>
      </c>
      <c r="AA2409">
        <v>9</v>
      </c>
      <c r="AB2409">
        <v>3</v>
      </c>
      <c r="AC2409">
        <v>0</v>
      </c>
      <c r="AD2409">
        <v>10</v>
      </c>
      <c r="AE2409">
        <v>0</v>
      </c>
      <c r="AF2409">
        <v>3</v>
      </c>
      <c r="AG2409">
        <v>2</v>
      </c>
      <c r="AH2409">
        <v>0</v>
      </c>
      <c r="AI2409" t="s">
        <v>4927</v>
      </c>
      <c r="AJ2409">
        <v>40.031626000000003</v>
      </c>
      <c r="AK2409" t="s">
        <v>4928</v>
      </c>
      <c r="AL2409">
        <v>-75.510900000000007</v>
      </c>
      <c r="AM2409">
        <v>100</v>
      </c>
      <c r="AN2409">
        <v>4700</v>
      </c>
      <c r="AO2409" t="s">
        <v>115</v>
      </c>
      <c r="AP2409">
        <v>132</v>
      </c>
      <c r="AQ2409">
        <v>124</v>
      </c>
      <c r="AR2409">
        <v>-64</v>
      </c>
      <c r="AZ2409">
        <v>3614</v>
      </c>
      <c r="BA2409">
        <v>1</v>
      </c>
      <c r="BB2409" t="str">
        <f t="shared" si="113"/>
        <v xml:space="preserve">N959MJ  </v>
      </c>
      <c r="BC2409">
        <v>1</v>
      </c>
      <c r="BE2409">
        <v>0</v>
      </c>
      <c r="BF2409">
        <v>0</v>
      </c>
      <c r="BG2409">
        <v>0</v>
      </c>
      <c r="BH2409">
        <v>4900</v>
      </c>
      <c r="BI2409">
        <v>200</v>
      </c>
      <c r="BJ2409">
        <v>1</v>
      </c>
      <c r="BK2409">
        <v>1</v>
      </c>
      <c r="BL2409">
        <v>1</v>
      </c>
      <c r="BM2409">
        <v>0</v>
      </c>
      <c r="BP2409">
        <v>0</v>
      </c>
      <c r="BQ2409">
        <v>0</v>
      </c>
      <c r="BX2409" t="str">
        <f>"14:30:30.063"</f>
        <v>14:30:30.063</v>
      </c>
      <c r="BY2409" t="str">
        <f>"065865635"</f>
        <v>065865635</v>
      </c>
      <c r="CL2409">
        <v>0</v>
      </c>
      <c r="CM2409">
        <v>2</v>
      </c>
      <c r="CN2409">
        <v>0</v>
      </c>
      <c r="CO2409">
        <v>2</v>
      </c>
      <c r="CP2409">
        <v>0</v>
      </c>
      <c r="CQ2409">
        <v>7</v>
      </c>
      <c r="CR2409" t="s">
        <v>116</v>
      </c>
      <c r="CS2409">
        <v>39</v>
      </c>
      <c r="CT2409">
        <v>0</v>
      </c>
      <c r="CU2409" t="s">
        <v>2259</v>
      </c>
      <c r="CV2409" t="s">
        <v>2260</v>
      </c>
      <c r="CY2409">
        <v>1805334</v>
      </c>
      <c r="CZ2409" t="s">
        <v>119</v>
      </c>
    </row>
    <row r="2410" spans="1:104" x14ac:dyDescent="0.25">
      <c r="A2410" t="str">
        <f>"14:30:31.352"</f>
        <v>14:30:31.352</v>
      </c>
      <c r="B2410" t="s">
        <v>108</v>
      </c>
      <c r="C2410" t="str">
        <f t="shared" si="112"/>
        <v>ffdfd3c0</v>
      </c>
      <c r="D2410" t="s">
        <v>109</v>
      </c>
      <c r="E2410">
        <v>4</v>
      </c>
      <c r="F2410">
        <v>1004</v>
      </c>
      <c r="G2410" t="s">
        <v>110</v>
      </c>
      <c r="J2410" t="s">
        <v>111</v>
      </c>
      <c r="K2410">
        <v>0</v>
      </c>
      <c r="L2410">
        <v>3</v>
      </c>
      <c r="M2410">
        <v>0</v>
      </c>
      <c r="N2410">
        <v>2</v>
      </c>
      <c r="O2410">
        <v>1</v>
      </c>
      <c r="P2410">
        <v>0</v>
      </c>
      <c r="Q2410">
        <v>0</v>
      </c>
      <c r="R2410" t="s">
        <v>112</v>
      </c>
      <c r="S2410" t="str">
        <f>"14:30:31.133"</f>
        <v>14:30:31.133</v>
      </c>
      <c r="T2410" t="str">
        <f>"14:30:30.633"</f>
        <v>14:30:30.633</v>
      </c>
      <c r="U2410" t="str">
        <f t="shared" si="111"/>
        <v>ad5732</v>
      </c>
      <c r="V2410">
        <v>0</v>
      </c>
      <c r="W2410">
        <v>0</v>
      </c>
      <c r="X2410">
        <v>1</v>
      </c>
      <c r="Z2410">
        <v>0</v>
      </c>
      <c r="AA2410">
        <v>9</v>
      </c>
      <c r="AB2410">
        <v>3</v>
      </c>
      <c r="AC2410">
        <v>0</v>
      </c>
      <c r="AD2410">
        <v>10</v>
      </c>
      <c r="AE2410">
        <v>0</v>
      </c>
      <c r="AF2410">
        <v>3</v>
      </c>
      <c r="AG2410">
        <v>2</v>
      </c>
      <c r="AH2410">
        <v>0</v>
      </c>
      <c r="AI2410" t="s">
        <v>4929</v>
      </c>
      <c r="AJ2410">
        <v>40.032248000000003</v>
      </c>
      <c r="AK2410" t="s">
        <v>4930</v>
      </c>
      <c r="AL2410">
        <v>-75.510019999999997</v>
      </c>
      <c r="AM2410">
        <v>100</v>
      </c>
      <c r="AN2410">
        <v>4700</v>
      </c>
      <c r="AO2410" t="s">
        <v>115</v>
      </c>
      <c r="AP2410">
        <v>132</v>
      </c>
      <c r="AQ2410">
        <v>124</v>
      </c>
      <c r="AR2410">
        <v>0</v>
      </c>
      <c r="AZ2410">
        <v>3614</v>
      </c>
      <c r="BA2410">
        <v>1</v>
      </c>
      <c r="BB2410" t="str">
        <f t="shared" si="113"/>
        <v xml:space="preserve">N959MJ  </v>
      </c>
      <c r="BC2410">
        <v>1</v>
      </c>
      <c r="BE2410">
        <v>0</v>
      </c>
      <c r="BF2410">
        <v>0</v>
      </c>
      <c r="BG2410">
        <v>0</v>
      </c>
      <c r="BH2410">
        <v>4900</v>
      </c>
      <c r="BI2410">
        <v>200</v>
      </c>
      <c r="BJ2410">
        <v>1</v>
      </c>
      <c r="BK2410">
        <v>1</v>
      </c>
      <c r="BL2410">
        <v>1</v>
      </c>
      <c r="BM2410">
        <v>0</v>
      </c>
      <c r="BP2410">
        <v>0</v>
      </c>
      <c r="BQ2410">
        <v>0</v>
      </c>
      <c r="BX2410" t="str">
        <f>"14:30:31.133"</f>
        <v>14:30:31.133</v>
      </c>
      <c r="BY2410" t="str">
        <f>"135759549"</f>
        <v>135759549</v>
      </c>
      <c r="CL2410">
        <v>0</v>
      </c>
      <c r="CM2410">
        <v>2</v>
      </c>
      <c r="CN2410">
        <v>0</v>
      </c>
      <c r="CO2410">
        <v>2</v>
      </c>
      <c r="CP2410">
        <v>0</v>
      </c>
      <c r="CQ2410">
        <v>7</v>
      </c>
      <c r="CR2410" t="s">
        <v>116</v>
      </c>
      <c r="CS2410">
        <v>39</v>
      </c>
      <c r="CT2410">
        <v>0</v>
      </c>
      <c r="CU2410" t="s">
        <v>2259</v>
      </c>
      <c r="CV2410" t="s">
        <v>2260</v>
      </c>
      <c r="CY2410">
        <v>1807215</v>
      </c>
      <c r="CZ2410" t="s">
        <v>119</v>
      </c>
    </row>
    <row r="2411" spans="1:104" x14ac:dyDescent="0.25">
      <c r="A2411" t="str">
        <f>"14:30:32.258"</f>
        <v>14:30:32.258</v>
      </c>
      <c r="B2411" t="s">
        <v>108</v>
      </c>
      <c r="C2411" t="str">
        <f t="shared" si="112"/>
        <v>ffdfd3c0</v>
      </c>
      <c r="D2411" t="s">
        <v>109</v>
      </c>
      <c r="E2411">
        <v>4</v>
      </c>
      <c r="F2411">
        <v>1004</v>
      </c>
      <c r="G2411" t="s">
        <v>110</v>
      </c>
      <c r="J2411" t="s">
        <v>111</v>
      </c>
      <c r="K2411">
        <v>0</v>
      </c>
      <c r="L2411">
        <v>3</v>
      </c>
      <c r="M2411">
        <v>0</v>
      </c>
      <c r="N2411">
        <v>2</v>
      </c>
      <c r="O2411">
        <v>1</v>
      </c>
      <c r="P2411">
        <v>0</v>
      </c>
      <c r="Q2411">
        <v>0</v>
      </c>
      <c r="R2411" t="s">
        <v>112</v>
      </c>
      <c r="S2411" t="str">
        <f>"14:30:32.070"</f>
        <v>14:30:32.070</v>
      </c>
      <c r="T2411" t="str">
        <f>"14:30:31.672"</f>
        <v>14:30:31.672</v>
      </c>
      <c r="U2411" t="str">
        <f t="shared" si="111"/>
        <v>ad5732</v>
      </c>
      <c r="V2411">
        <v>0</v>
      </c>
      <c r="W2411">
        <v>0</v>
      </c>
      <c r="X2411">
        <v>1</v>
      </c>
      <c r="Z2411">
        <v>0</v>
      </c>
      <c r="AA2411">
        <v>9</v>
      </c>
      <c r="AB2411">
        <v>3</v>
      </c>
      <c r="AC2411">
        <v>0</v>
      </c>
      <c r="AD2411">
        <v>10</v>
      </c>
      <c r="AE2411">
        <v>0</v>
      </c>
      <c r="AF2411">
        <v>3</v>
      </c>
      <c r="AG2411">
        <v>2</v>
      </c>
      <c r="AH2411">
        <v>0</v>
      </c>
      <c r="AI2411" t="s">
        <v>4931</v>
      </c>
      <c r="AJ2411">
        <v>40.032741999999999</v>
      </c>
      <c r="AK2411" t="s">
        <v>4932</v>
      </c>
      <c r="AL2411">
        <v>-75.509354999999999</v>
      </c>
      <c r="AM2411">
        <v>100</v>
      </c>
      <c r="AN2411">
        <v>4700</v>
      </c>
      <c r="AO2411" t="s">
        <v>115</v>
      </c>
      <c r="AP2411">
        <v>131</v>
      </c>
      <c r="AQ2411">
        <v>124</v>
      </c>
      <c r="AR2411">
        <v>0</v>
      </c>
      <c r="AZ2411">
        <v>3614</v>
      </c>
      <c r="BA2411">
        <v>1</v>
      </c>
      <c r="BB2411" t="str">
        <f t="shared" si="113"/>
        <v xml:space="preserve">N959MJ  </v>
      </c>
      <c r="BC2411">
        <v>1</v>
      </c>
      <c r="BE2411">
        <v>0</v>
      </c>
      <c r="BF2411">
        <v>0</v>
      </c>
      <c r="BG2411">
        <v>0</v>
      </c>
      <c r="BH2411">
        <v>4900</v>
      </c>
      <c r="BI2411">
        <v>200</v>
      </c>
      <c r="BJ2411">
        <v>1</v>
      </c>
      <c r="BK2411">
        <v>1</v>
      </c>
      <c r="BL2411">
        <v>1</v>
      </c>
      <c r="BM2411">
        <v>0</v>
      </c>
      <c r="BP2411">
        <v>0</v>
      </c>
      <c r="BQ2411">
        <v>0</v>
      </c>
      <c r="BX2411" t="str">
        <f>"14:30:32.078"</f>
        <v>14:30:32.078</v>
      </c>
      <c r="BY2411" t="str">
        <f>"076217661"</f>
        <v>076217661</v>
      </c>
      <c r="CL2411">
        <v>0</v>
      </c>
      <c r="CM2411">
        <v>2</v>
      </c>
      <c r="CN2411">
        <v>0</v>
      </c>
      <c r="CO2411">
        <v>2</v>
      </c>
      <c r="CP2411">
        <v>0</v>
      </c>
      <c r="CQ2411">
        <v>7</v>
      </c>
      <c r="CR2411" t="s">
        <v>116</v>
      </c>
      <c r="CS2411">
        <v>39</v>
      </c>
      <c r="CT2411">
        <v>0</v>
      </c>
      <c r="CU2411" t="s">
        <v>2259</v>
      </c>
      <c r="CV2411" t="s">
        <v>2260</v>
      </c>
      <c r="CY2411">
        <v>1808921</v>
      </c>
      <c r="CZ2411" t="s">
        <v>119</v>
      </c>
    </row>
    <row r="2412" spans="1:104" x14ac:dyDescent="0.25">
      <c r="A2412" t="str">
        <f>"14:30:33.063"</f>
        <v>14:30:33.063</v>
      </c>
      <c r="B2412" t="s">
        <v>108</v>
      </c>
      <c r="C2412" t="str">
        <f t="shared" si="112"/>
        <v>ffdfd3c0</v>
      </c>
      <c r="D2412" t="s">
        <v>109</v>
      </c>
      <c r="E2412">
        <v>4</v>
      </c>
      <c r="F2412">
        <v>1004</v>
      </c>
      <c r="G2412" t="s">
        <v>110</v>
      </c>
      <c r="J2412" t="s">
        <v>111</v>
      </c>
      <c r="K2412">
        <v>0</v>
      </c>
      <c r="L2412">
        <v>3</v>
      </c>
      <c r="M2412">
        <v>0</v>
      </c>
      <c r="N2412">
        <v>2</v>
      </c>
      <c r="O2412">
        <v>1</v>
      </c>
      <c r="P2412">
        <v>0</v>
      </c>
      <c r="Q2412">
        <v>0</v>
      </c>
      <c r="R2412" t="s">
        <v>112</v>
      </c>
      <c r="S2412" t="str">
        <f>"14:30:32.906"</f>
        <v>14:30:32.906</v>
      </c>
      <c r="T2412" t="str">
        <f>"14:30:32.508"</f>
        <v>14:30:32.508</v>
      </c>
      <c r="U2412" t="str">
        <f t="shared" si="111"/>
        <v>ad5732</v>
      </c>
      <c r="V2412">
        <v>0</v>
      </c>
      <c r="W2412">
        <v>0</v>
      </c>
      <c r="X2412">
        <v>1</v>
      </c>
      <c r="Z2412">
        <v>0</v>
      </c>
      <c r="AA2412">
        <v>9</v>
      </c>
      <c r="AB2412">
        <v>3</v>
      </c>
      <c r="AC2412">
        <v>0</v>
      </c>
      <c r="AD2412">
        <v>10</v>
      </c>
      <c r="AE2412">
        <v>0</v>
      </c>
      <c r="AF2412">
        <v>3</v>
      </c>
      <c r="AG2412">
        <v>2</v>
      </c>
      <c r="AH2412">
        <v>0</v>
      </c>
      <c r="AI2412" t="s">
        <v>4933</v>
      </c>
      <c r="AJ2412">
        <v>40.033256999999999</v>
      </c>
      <c r="AK2412" t="s">
        <v>4934</v>
      </c>
      <c r="AL2412">
        <v>-75.508604000000005</v>
      </c>
      <c r="AM2412">
        <v>100</v>
      </c>
      <c r="AN2412">
        <v>4700</v>
      </c>
      <c r="AO2412" t="s">
        <v>115</v>
      </c>
      <c r="AP2412">
        <v>131</v>
      </c>
      <c r="AQ2412">
        <v>124</v>
      </c>
      <c r="AR2412">
        <v>0</v>
      </c>
      <c r="AZ2412">
        <v>3614</v>
      </c>
      <c r="BA2412">
        <v>1</v>
      </c>
      <c r="BB2412" t="str">
        <f t="shared" si="113"/>
        <v xml:space="preserve">N959MJ  </v>
      </c>
      <c r="BC2412">
        <v>1</v>
      </c>
      <c r="BE2412">
        <v>0</v>
      </c>
      <c r="BF2412">
        <v>0</v>
      </c>
      <c r="BG2412">
        <v>0</v>
      </c>
      <c r="BH2412">
        <v>4900</v>
      </c>
      <c r="BI2412">
        <v>200</v>
      </c>
      <c r="BJ2412">
        <v>1</v>
      </c>
      <c r="BK2412">
        <v>1</v>
      </c>
      <c r="BL2412">
        <v>1</v>
      </c>
      <c r="BM2412">
        <v>0</v>
      </c>
      <c r="BP2412">
        <v>0</v>
      </c>
      <c r="BQ2412">
        <v>0</v>
      </c>
      <c r="BX2412" t="str">
        <f>"14:30:32.906"</f>
        <v>14:30:32.906</v>
      </c>
      <c r="BY2412" t="str">
        <f>"908539510"</f>
        <v>908539510</v>
      </c>
      <c r="CL2412">
        <v>0</v>
      </c>
      <c r="CM2412">
        <v>2</v>
      </c>
      <c r="CN2412">
        <v>0</v>
      </c>
      <c r="CO2412">
        <v>2</v>
      </c>
      <c r="CP2412">
        <v>0</v>
      </c>
      <c r="CQ2412">
        <v>7</v>
      </c>
      <c r="CR2412" t="s">
        <v>116</v>
      </c>
      <c r="CS2412">
        <v>39</v>
      </c>
      <c r="CT2412">
        <v>0</v>
      </c>
      <c r="CU2412" t="s">
        <v>2259</v>
      </c>
      <c r="CV2412" t="s">
        <v>2260</v>
      </c>
      <c r="CY2412">
        <v>1810352</v>
      </c>
      <c r="CZ2412" t="s">
        <v>119</v>
      </c>
    </row>
    <row r="2413" spans="1:104" x14ac:dyDescent="0.25">
      <c r="A2413" t="str">
        <f>"14:30:34.023"</f>
        <v>14:30:34.023</v>
      </c>
      <c r="B2413" t="s">
        <v>108</v>
      </c>
      <c r="C2413" t="str">
        <f t="shared" si="112"/>
        <v>ffdfd3c0</v>
      </c>
      <c r="D2413" t="s">
        <v>109</v>
      </c>
      <c r="E2413">
        <v>4</v>
      </c>
      <c r="F2413">
        <v>1004</v>
      </c>
      <c r="G2413" t="s">
        <v>110</v>
      </c>
      <c r="J2413" t="s">
        <v>111</v>
      </c>
      <c r="K2413">
        <v>0</v>
      </c>
      <c r="L2413">
        <v>3</v>
      </c>
      <c r="M2413">
        <v>0</v>
      </c>
      <c r="N2413">
        <v>2</v>
      </c>
      <c r="O2413">
        <v>1</v>
      </c>
      <c r="P2413">
        <v>0</v>
      </c>
      <c r="Q2413">
        <v>0</v>
      </c>
      <c r="R2413" t="s">
        <v>112</v>
      </c>
      <c r="S2413" t="str">
        <f>"14:30:33.844"</f>
        <v>14:30:33.844</v>
      </c>
      <c r="T2413" t="str">
        <f>"14:30:33.445"</f>
        <v>14:30:33.445</v>
      </c>
      <c r="U2413" t="str">
        <f t="shared" si="111"/>
        <v>ad5732</v>
      </c>
      <c r="V2413">
        <v>0</v>
      </c>
      <c r="W2413">
        <v>0</v>
      </c>
      <c r="X2413">
        <v>1</v>
      </c>
      <c r="Z2413">
        <v>0</v>
      </c>
      <c r="AA2413">
        <v>9</v>
      </c>
      <c r="AB2413">
        <v>3</v>
      </c>
      <c r="AC2413">
        <v>0</v>
      </c>
      <c r="AD2413">
        <v>10</v>
      </c>
      <c r="AE2413">
        <v>0</v>
      </c>
      <c r="AF2413">
        <v>3</v>
      </c>
      <c r="AG2413">
        <v>2</v>
      </c>
      <c r="AH2413">
        <v>0</v>
      </c>
      <c r="AI2413" t="s">
        <v>4935</v>
      </c>
      <c r="AJ2413">
        <v>40.033814999999997</v>
      </c>
      <c r="AK2413" t="s">
        <v>4936</v>
      </c>
      <c r="AL2413">
        <v>-75.507917000000006</v>
      </c>
      <c r="AM2413">
        <v>100</v>
      </c>
      <c r="AN2413">
        <v>4700</v>
      </c>
      <c r="AO2413" t="s">
        <v>115</v>
      </c>
      <c r="AP2413">
        <v>131</v>
      </c>
      <c r="AQ2413">
        <v>124</v>
      </c>
      <c r="AR2413">
        <v>0</v>
      </c>
      <c r="AZ2413">
        <v>3614</v>
      </c>
      <c r="BA2413">
        <v>1</v>
      </c>
      <c r="BB2413" t="str">
        <f t="shared" si="113"/>
        <v xml:space="preserve">N959MJ  </v>
      </c>
      <c r="BC2413">
        <v>1</v>
      </c>
      <c r="BE2413">
        <v>0</v>
      </c>
      <c r="BF2413">
        <v>0</v>
      </c>
      <c r="BG2413">
        <v>0</v>
      </c>
      <c r="BH2413">
        <v>4900</v>
      </c>
      <c r="BI2413">
        <v>200</v>
      </c>
      <c r="BJ2413">
        <v>1</v>
      </c>
      <c r="BK2413">
        <v>1</v>
      </c>
      <c r="BL2413">
        <v>1</v>
      </c>
      <c r="BM2413">
        <v>0</v>
      </c>
      <c r="BP2413">
        <v>0</v>
      </c>
      <c r="BQ2413">
        <v>0</v>
      </c>
      <c r="BX2413" t="str">
        <f>"14:30:33.844"</f>
        <v>14:30:33.844</v>
      </c>
      <c r="BY2413" t="str">
        <f>"847389301"</f>
        <v>847389301</v>
      </c>
      <c r="CL2413">
        <v>0</v>
      </c>
      <c r="CM2413">
        <v>2</v>
      </c>
      <c r="CN2413">
        <v>0</v>
      </c>
      <c r="CO2413">
        <v>2</v>
      </c>
      <c r="CP2413">
        <v>0</v>
      </c>
      <c r="CQ2413">
        <v>7</v>
      </c>
      <c r="CR2413" t="s">
        <v>116</v>
      </c>
      <c r="CS2413">
        <v>39</v>
      </c>
      <c r="CT2413">
        <v>0</v>
      </c>
      <c r="CU2413" t="s">
        <v>2259</v>
      </c>
      <c r="CV2413" t="s">
        <v>2260</v>
      </c>
      <c r="CY2413">
        <v>1811945</v>
      </c>
      <c r="CZ2413" t="s">
        <v>119</v>
      </c>
    </row>
    <row r="2414" spans="1:104" x14ac:dyDescent="0.25">
      <c r="A2414" t="str">
        <f>"14:30:35.133"</f>
        <v>14:30:35.133</v>
      </c>
      <c r="B2414" t="s">
        <v>108</v>
      </c>
      <c r="C2414" t="str">
        <f t="shared" si="112"/>
        <v>ffdfd3c0</v>
      </c>
      <c r="D2414" t="s">
        <v>109</v>
      </c>
      <c r="E2414">
        <v>4</v>
      </c>
      <c r="F2414">
        <v>1004</v>
      </c>
      <c r="G2414" t="s">
        <v>110</v>
      </c>
      <c r="J2414" t="s">
        <v>111</v>
      </c>
      <c r="K2414">
        <v>0</v>
      </c>
      <c r="L2414">
        <v>3</v>
      </c>
      <c r="M2414">
        <v>0</v>
      </c>
      <c r="N2414">
        <v>2</v>
      </c>
      <c r="O2414">
        <v>1</v>
      </c>
      <c r="P2414">
        <v>0</v>
      </c>
      <c r="Q2414">
        <v>0</v>
      </c>
      <c r="R2414" t="s">
        <v>112</v>
      </c>
      <c r="S2414" t="str">
        <f>"14:30:34.977"</f>
        <v>14:30:34.977</v>
      </c>
      <c r="T2414" t="str">
        <f>"14:30:34.477"</f>
        <v>14:30:34.477</v>
      </c>
      <c r="U2414" t="str">
        <f t="shared" si="111"/>
        <v>ad5732</v>
      </c>
      <c r="V2414">
        <v>0</v>
      </c>
      <c r="W2414">
        <v>0</v>
      </c>
      <c r="X2414">
        <v>1</v>
      </c>
      <c r="Z2414">
        <v>0</v>
      </c>
      <c r="AA2414">
        <v>9</v>
      </c>
      <c r="AB2414">
        <v>3</v>
      </c>
      <c r="AC2414">
        <v>0</v>
      </c>
      <c r="AD2414">
        <v>10</v>
      </c>
      <c r="AE2414">
        <v>0</v>
      </c>
      <c r="AF2414">
        <v>3</v>
      </c>
      <c r="AG2414">
        <v>2</v>
      </c>
      <c r="AH2414">
        <v>0</v>
      </c>
      <c r="AI2414" t="s">
        <v>4937</v>
      </c>
      <c r="AJ2414">
        <v>40.034416</v>
      </c>
      <c r="AK2414" t="s">
        <v>4938</v>
      </c>
      <c r="AL2414">
        <v>-75.507015999999993</v>
      </c>
      <c r="AM2414">
        <v>100</v>
      </c>
      <c r="AN2414">
        <v>4700</v>
      </c>
      <c r="AO2414" t="s">
        <v>115</v>
      </c>
      <c r="AP2414">
        <v>131</v>
      </c>
      <c r="AQ2414">
        <v>124</v>
      </c>
      <c r="AR2414">
        <v>0</v>
      </c>
      <c r="AZ2414">
        <v>3614</v>
      </c>
      <c r="BA2414">
        <v>1</v>
      </c>
      <c r="BB2414" t="str">
        <f t="shared" si="113"/>
        <v xml:space="preserve">N959MJ  </v>
      </c>
      <c r="BC2414">
        <v>1</v>
      </c>
      <c r="BE2414">
        <v>0</v>
      </c>
      <c r="BF2414">
        <v>0</v>
      </c>
      <c r="BG2414">
        <v>0</v>
      </c>
      <c r="BH2414">
        <v>4900</v>
      </c>
      <c r="BI2414">
        <v>200</v>
      </c>
      <c r="BJ2414">
        <v>1</v>
      </c>
      <c r="BK2414">
        <v>1</v>
      </c>
      <c r="BL2414">
        <v>1</v>
      </c>
      <c r="BM2414">
        <v>0</v>
      </c>
      <c r="BP2414">
        <v>0</v>
      </c>
      <c r="BQ2414">
        <v>0</v>
      </c>
      <c r="BX2414" t="str">
        <f>"14:30:34.977"</f>
        <v>14:30:34.977</v>
      </c>
      <c r="BY2414" t="str">
        <f>"977875079"</f>
        <v>977875079</v>
      </c>
      <c r="CL2414">
        <v>0</v>
      </c>
      <c r="CM2414">
        <v>2</v>
      </c>
      <c r="CN2414">
        <v>0</v>
      </c>
      <c r="CO2414">
        <v>2</v>
      </c>
      <c r="CP2414">
        <v>0</v>
      </c>
      <c r="CQ2414">
        <v>7</v>
      </c>
      <c r="CR2414" t="s">
        <v>116</v>
      </c>
      <c r="CS2414">
        <v>39</v>
      </c>
      <c r="CT2414">
        <v>0</v>
      </c>
      <c r="CU2414" t="s">
        <v>2259</v>
      </c>
      <c r="CV2414" t="s">
        <v>2260</v>
      </c>
      <c r="CY2414">
        <v>1814010</v>
      </c>
      <c r="CZ2414" t="s">
        <v>119</v>
      </c>
    </row>
    <row r="2415" spans="1:104" x14ac:dyDescent="0.25">
      <c r="A2415" t="str">
        <f>"14:30:36.242"</f>
        <v>14:30:36.242</v>
      </c>
      <c r="B2415" t="s">
        <v>108</v>
      </c>
      <c r="C2415" t="str">
        <f t="shared" si="112"/>
        <v>ffdfd3c0</v>
      </c>
      <c r="D2415" t="s">
        <v>109</v>
      </c>
      <c r="E2415">
        <v>4</v>
      </c>
      <c r="F2415">
        <v>1004</v>
      </c>
      <c r="G2415" t="s">
        <v>110</v>
      </c>
      <c r="J2415" t="s">
        <v>111</v>
      </c>
      <c r="K2415">
        <v>0</v>
      </c>
      <c r="L2415">
        <v>3</v>
      </c>
      <c r="M2415">
        <v>0</v>
      </c>
      <c r="N2415">
        <v>2</v>
      </c>
      <c r="O2415">
        <v>1</v>
      </c>
      <c r="P2415">
        <v>0</v>
      </c>
      <c r="Q2415">
        <v>0</v>
      </c>
      <c r="R2415" t="s">
        <v>112</v>
      </c>
      <c r="S2415" t="str">
        <f>"14:30:36.047"</f>
        <v>14:30:36.047</v>
      </c>
      <c r="T2415" t="str">
        <f>"14:30:35.547"</f>
        <v>14:30:35.547</v>
      </c>
      <c r="U2415" t="str">
        <f t="shared" si="111"/>
        <v>ad5732</v>
      </c>
      <c r="V2415">
        <v>0</v>
      </c>
      <c r="W2415">
        <v>0</v>
      </c>
      <c r="X2415">
        <v>1</v>
      </c>
      <c r="Z2415">
        <v>0</v>
      </c>
      <c r="AA2415">
        <v>9</v>
      </c>
      <c r="AB2415">
        <v>3</v>
      </c>
      <c r="AC2415">
        <v>0</v>
      </c>
      <c r="AD2415">
        <v>10</v>
      </c>
      <c r="AE2415">
        <v>0</v>
      </c>
      <c r="AF2415">
        <v>3</v>
      </c>
      <c r="AG2415">
        <v>2</v>
      </c>
      <c r="AH2415">
        <v>0</v>
      </c>
      <c r="AI2415" t="s">
        <v>4939</v>
      </c>
      <c r="AJ2415">
        <v>40.035058999999997</v>
      </c>
      <c r="AK2415" t="s">
        <v>4940</v>
      </c>
      <c r="AL2415">
        <v>-75.506157999999999</v>
      </c>
      <c r="AM2415">
        <v>100</v>
      </c>
      <c r="AN2415">
        <v>4700</v>
      </c>
      <c r="AO2415" t="s">
        <v>115</v>
      </c>
      <c r="AP2415">
        <v>131</v>
      </c>
      <c r="AQ2415">
        <v>124</v>
      </c>
      <c r="AR2415">
        <v>0</v>
      </c>
      <c r="AZ2415">
        <v>3614</v>
      </c>
      <c r="BA2415">
        <v>1</v>
      </c>
      <c r="BB2415" t="str">
        <f t="shared" si="113"/>
        <v xml:space="preserve">N959MJ  </v>
      </c>
      <c r="BC2415">
        <v>1</v>
      </c>
      <c r="BE2415">
        <v>0</v>
      </c>
      <c r="BF2415">
        <v>0</v>
      </c>
      <c r="BG2415">
        <v>0</v>
      </c>
      <c r="BH2415">
        <v>4900</v>
      </c>
      <c r="BI2415">
        <v>200</v>
      </c>
      <c r="BJ2415">
        <v>1</v>
      </c>
      <c r="BK2415">
        <v>1</v>
      </c>
      <c r="BL2415">
        <v>1</v>
      </c>
      <c r="BM2415">
        <v>0</v>
      </c>
      <c r="BP2415">
        <v>0</v>
      </c>
      <c r="BQ2415">
        <v>0</v>
      </c>
      <c r="BX2415" t="str">
        <f>"14:30:36.055"</f>
        <v>14:30:36.055</v>
      </c>
      <c r="BY2415" t="str">
        <f>"052684242"</f>
        <v>052684242</v>
      </c>
      <c r="CL2415">
        <v>0</v>
      </c>
      <c r="CM2415">
        <v>2</v>
      </c>
      <c r="CN2415">
        <v>0</v>
      </c>
      <c r="CO2415">
        <v>2</v>
      </c>
      <c r="CP2415">
        <v>0</v>
      </c>
      <c r="CQ2415">
        <v>7</v>
      </c>
      <c r="CR2415" t="s">
        <v>116</v>
      </c>
      <c r="CS2415">
        <v>39</v>
      </c>
      <c r="CT2415">
        <v>0</v>
      </c>
      <c r="CU2415" t="s">
        <v>2259</v>
      </c>
      <c r="CV2415" t="s">
        <v>2260</v>
      </c>
      <c r="CY2415">
        <v>1815777</v>
      </c>
      <c r="CZ2415" t="s">
        <v>119</v>
      </c>
    </row>
    <row r="2416" spans="1:104" x14ac:dyDescent="0.25">
      <c r="A2416" t="str">
        <f>"14:30:37.203"</f>
        <v>14:30:37.203</v>
      </c>
      <c r="B2416" t="s">
        <v>108</v>
      </c>
      <c r="C2416" t="str">
        <f t="shared" si="112"/>
        <v>ffdfd3c0</v>
      </c>
      <c r="D2416" t="s">
        <v>109</v>
      </c>
      <c r="E2416">
        <v>4</v>
      </c>
      <c r="F2416">
        <v>1004</v>
      </c>
      <c r="G2416" t="s">
        <v>110</v>
      </c>
      <c r="J2416" t="s">
        <v>111</v>
      </c>
      <c r="K2416">
        <v>0</v>
      </c>
      <c r="L2416">
        <v>3</v>
      </c>
      <c r="M2416">
        <v>0</v>
      </c>
      <c r="N2416">
        <v>2</v>
      </c>
      <c r="O2416">
        <v>1</v>
      </c>
      <c r="P2416">
        <v>0</v>
      </c>
      <c r="Q2416">
        <v>0</v>
      </c>
      <c r="R2416" t="s">
        <v>112</v>
      </c>
      <c r="S2416" t="str">
        <f>"14:30:37.023"</f>
        <v>14:30:37.023</v>
      </c>
      <c r="T2416" t="str">
        <f>"14:30:36.523"</f>
        <v>14:30:36.523</v>
      </c>
      <c r="U2416" t="str">
        <f t="shared" si="111"/>
        <v>ad5732</v>
      </c>
      <c r="V2416">
        <v>0</v>
      </c>
      <c r="W2416">
        <v>0</v>
      </c>
      <c r="X2416">
        <v>1</v>
      </c>
      <c r="Z2416">
        <v>0</v>
      </c>
      <c r="AA2416">
        <v>9</v>
      </c>
      <c r="AB2416">
        <v>3</v>
      </c>
      <c r="AC2416">
        <v>0</v>
      </c>
      <c r="AD2416">
        <v>10</v>
      </c>
      <c r="AE2416">
        <v>0</v>
      </c>
      <c r="AF2416">
        <v>3</v>
      </c>
      <c r="AG2416">
        <v>2</v>
      </c>
      <c r="AH2416">
        <v>0</v>
      </c>
      <c r="AI2416" t="s">
        <v>4941</v>
      </c>
      <c r="AJ2416">
        <v>40.035617000000002</v>
      </c>
      <c r="AK2416" t="s">
        <v>4942</v>
      </c>
      <c r="AL2416">
        <v>-75.505341999999999</v>
      </c>
      <c r="AM2416">
        <v>100</v>
      </c>
      <c r="AN2416">
        <v>4700</v>
      </c>
      <c r="AO2416" t="s">
        <v>115</v>
      </c>
      <c r="AP2416">
        <v>131</v>
      </c>
      <c r="AQ2416">
        <v>124</v>
      </c>
      <c r="AR2416">
        <v>0</v>
      </c>
      <c r="AZ2416">
        <v>3614</v>
      </c>
      <c r="BA2416">
        <v>1</v>
      </c>
      <c r="BB2416" t="str">
        <f t="shared" si="113"/>
        <v xml:space="preserve">N959MJ  </v>
      </c>
      <c r="BC2416">
        <v>1</v>
      </c>
      <c r="BE2416">
        <v>0</v>
      </c>
      <c r="BF2416">
        <v>0</v>
      </c>
      <c r="BG2416">
        <v>0</v>
      </c>
      <c r="BH2416">
        <v>4900</v>
      </c>
      <c r="BI2416">
        <v>200</v>
      </c>
      <c r="BJ2416">
        <v>1</v>
      </c>
      <c r="BK2416">
        <v>1</v>
      </c>
      <c r="BL2416">
        <v>1</v>
      </c>
      <c r="BM2416">
        <v>0</v>
      </c>
      <c r="BP2416">
        <v>0</v>
      </c>
      <c r="BQ2416">
        <v>0</v>
      </c>
      <c r="BX2416" t="str">
        <f>"14:30:37.023"</f>
        <v>14:30:37.023</v>
      </c>
      <c r="BY2416" t="str">
        <f>"025910942"</f>
        <v>025910942</v>
      </c>
      <c r="CL2416">
        <v>0</v>
      </c>
      <c r="CM2416">
        <v>2</v>
      </c>
      <c r="CN2416">
        <v>0</v>
      </c>
      <c r="CO2416">
        <v>2</v>
      </c>
      <c r="CP2416">
        <v>0</v>
      </c>
      <c r="CQ2416">
        <v>7</v>
      </c>
      <c r="CR2416" t="s">
        <v>116</v>
      </c>
      <c r="CS2416">
        <v>39</v>
      </c>
      <c r="CT2416">
        <v>0</v>
      </c>
      <c r="CU2416" t="s">
        <v>2259</v>
      </c>
      <c r="CV2416" t="s">
        <v>2260</v>
      </c>
      <c r="CY2416">
        <v>1817460</v>
      </c>
      <c r="CZ2416" t="s">
        <v>119</v>
      </c>
    </row>
    <row r="2417" spans="1:104" x14ac:dyDescent="0.25">
      <c r="A2417" t="str">
        <f>"14:30:38.266"</f>
        <v>14:30:38.266</v>
      </c>
      <c r="B2417" t="s">
        <v>108</v>
      </c>
      <c r="C2417" t="str">
        <f t="shared" si="112"/>
        <v>ffdfd3c0</v>
      </c>
      <c r="D2417" t="s">
        <v>109</v>
      </c>
      <c r="E2417">
        <v>4</v>
      </c>
      <c r="F2417">
        <v>1004</v>
      </c>
      <c r="G2417" t="s">
        <v>110</v>
      </c>
      <c r="J2417" t="s">
        <v>111</v>
      </c>
      <c r="K2417">
        <v>0</v>
      </c>
      <c r="L2417">
        <v>3</v>
      </c>
      <c r="M2417">
        <v>0</v>
      </c>
      <c r="N2417">
        <v>2</v>
      </c>
      <c r="O2417">
        <v>1</v>
      </c>
      <c r="P2417">
        <v>0</v>
      </c>
      <c r="Q2417">
        <v>0</v>
      </c>
      <c r="R2417" t="s">
        <v>112</v>
      </c>
      <c r="S2417" t="str">
        <f>"14:30:38.070"</f>
        <v>14:30:38.070</v>
      </c>
      <c r="T2417" t="str">
        <f>"14:30:37.672"</f>
        <v>14:30:37.672</v>
      </c>
      <c r="U2417" t="str">
        <f t="shared" si="111"/>
        <v>ad5732</v>
      </c>
      <c r="V2417">
        <v>0</v>
      </c>
      <c r="W2417">
        <v>0</v>
      </c>
      <c r="X2417">
        <v>1</v>
      </c>
      <c r="Z2417">
        <v>0</v>
      </c>
      <c r="AA2417">
        <v>9</v>
      </c>
      <c r="AB2417">
        <v>3</v>
      </c>
      <c r="AC2417">
        <v>0</v>
      </c>
      <c r="AD2417">
        <v>10</v>
      </c>
      <c r="AE2417">
        <v>0</v>
      </c>
      <c r="AF2417">
        <v>3</v>
      </c>
      <c r="AG2417">
        <v>2</v>
      </c>
      <c r="AH2417">
        <v>0</v>
      </c>
      <c r="AI2417" t="s">
        <v>4943</v>
      </c>
      <c r="AJ2417">
        <v>40.036217999999998</v>
      </c>
      <c r="AK2417" t="s">
        <v>4944</v>
      </c>
      <c r="AL2417">
        <v>-75.504548999999997</v>
      </c>
      <c r="AM2417">
        <v>100</v>
      </c>
      <c r="AN2417">
        <v>4700</v>
      </c>
      <c r="AO2417" t="s">
        <v>115</v>
      </c>
      <c r="AP2417">
        <v>131</v>
      </c>
      <c r="AQ2417">
        <v>124</v>
      </c>
      <c r="AR2417">
        <v>0</v>
      </c>
      <c r="AZ2417">
        <v>3614</v>
      </c>
      <c r="BA2417">
        <v>1</v>
      </c>
      <c r="BB2417" t="str">
        <f t="shared" si="113"/>
        <v xml:space="preserve">N959MJ  </v>
      </c>
      <c r="BC2417">
        <v>1</v>
      </c>
      <c r="BE2417">
        <v>0</v>
      </c>
      <c r="BF2417">
        <v>0</v>
      </c>
      <c r="BG2417">
        <v>0</v>
      </c>
      <c r="BH2417">
        <v>4900</v>
      </c>
      <c r="BI2417">
        <v>200</v>
      </c>
      <c r="BJ2417">
        <v>1</v>
      </c>
      <c r="BK2417">
        <v>1</v>
      </c>
      <c r="BL2417">
        <v>1</v>
      </c>
      <c r="BM2417">
        <v>0</v>
      </c>
      <c r="BP2417">
        <v>0</v>
      </c>
      <c r="BQ2417">
        <v>0</v>
      </c>
      <c r="BX2417" t="str">
        <f>"14:30:38.070"</f>
        <v>14:30:38.070</v>
      </c>
      <c r="BY2417" t="str">
        <f>"071228479"</f>
        <v>071228479</v>
      </c>
      <c r="CL2417">
        <v>0</v>
      </c>
      <c r="CM2417">
        <v>2</v>
      </c>
      <c r="CN2417">
        <v>0</v>
      </c>
      <c r="CO2417">
        <v>2</v>
      </c>
      <c r="CP2417">
        <v>0</v>
      </c>
      <c r="CQ2417">
        <v>7</v>
      </c>
      <c r="CR2417" t="s">
        <v>116</v>
      </c>
      <c r="CS2417">
        <v>39</v>
      </c>
      <c r="CT2417">
        <v>0</v>
      </c>
      <c r="CU2417" t="s">
        <v>2259</v>
      </c>
      <c r="CV2417" t="s">
        <v>2260</v>
      </c>
      <c r="CY2417">
        <v>1819226</v>
      </c>
      <c r="CZ2417" t="s">
        <v>119</v>
      </c>
    </row>
    <row r="2418" spans="1:104" x14ac:dyDescent="0.25">
      <c r="A2418" t="str">
        <f>"14:30:39.227"</f>
        <v>14:30:39.227</v>
      </c>
      <c r="B2418" t="s">
        <v>108</v>
      </c>
      <c r="C2418" t="str">
        <f t="shared" si="112"/>
        <v>ffdfd3c0</v>
      </c>
      <c r="D2418" t="s">
        <v>109</v>
      </c>
      <c r="E2418">
        <v>4</v>
      </c>
      <c r="F2418">
        <v>1004</v>
      </c>
      <c r="G2418" t="s">
        <v>110</v>
      </c>
      <c r="J2418" t="s">
        <v>111</v>
      </c>
      <c r="K2418">
        <v>0</v>
      </c>
      <c r="L2418">
        <v>3</v>
      </c>
      <c r="M2418">
        <v>0</v>
      </c>
      <c r="N2418">
        <v>2</v>
      </c>
      <c r="O2418">
        <v>1</v>
      </c>
      <c r="P2418">
        <v>0</v>
      </c>
      <c r="Q2418">
        <v>0</v>
      </c>
      <c r="R2418" t="s">
        <v>112</v>
      </c>
      <c r="S2418" t="str">
        <f>"14:30:39.047"</f>
        <v>14:30:39.047</v>
      </c>
      <c r="T2418" t="str">
        <f>"14:30:38.547"</f>
        <v>14:30:38.547</v>
      </c>
      <c r="U2418" t="str">
        <f t="shared" si="111"/>
        <v>ad5732</v>
      </c>
      <c r="V2418">
        <v>0</v>
      </c>
      <c r="W2418">
        <v>0</v>
      </c>
      <c r="X2418">
        <v>1</v>
      </c>
      <c r="Z2418">
        <v>0</v>
      </c>
      <c r="AA2418">
        <v>9</v>
      </c>
      <c r="AB2418">
        <v>3</v>
      </c>
      <c r="AC2418">
        <v>0</v>
      </c>
      <c r="AD2418">
        <v>10</v>
      </c>
      <c r="AE2418">
        <v>0</v>
      </c>
      <c r="AF2418">
        <v>3</v>
      </c>
      <c r="AG2418">
        <v>2</v>
      </c>
      <c r="AH2418">
        <v>0</v>
      </c>
      <c r="AI2418" t="s">
        <v>4945</v>
      </c>
      <c r="AJ2418">
        <v>40.036776000000003</v>
      </c>
      <c r="AK2418" t="s">
        <v>4946</v>
      </c>
      <c r="AL2418">
        <v>-75.503798000000003</v>
      </c>
      <c r="AM2418">
        <v>100</v>
      </c>
      <c r="AN2418">
        <v>4700</v>
      </c>
      <c r="AO2418" t="s">
        <v>115</v>
      </c>
      <c r="AP2418">
        <v>131</v>
      </c>
      <c r="AQ2418">
        <v>124</v>
      </c>
      <c r="AR2418">
        <v>0</v>
      </c>
      <c r="AZ2418">
        <v>3614</v>
      </c>
      <c r="BA2418">
        <v>1</v>
      </c>
      <c r="BB2418" t="str">
        <f t="shared" si="113"/>
        <v xml:space="preserve">N959MJ  </v>
      </c>
      <c r="BC2418">
        <v>1</v>
      </c>
      <c r="BE2418">
        <v>0</v>
      </c>
      <c r="BF2418">
        <v>0</v>
      </c>
      <c r="BG2418">
        <v>0</v>
      </c>
      <c r="BH2418">
        <v>4900</v>
      </c>
      <c r="BI2418">
        <v>200</v>
      </c>
      <c r="BJ2418">
        <v>1</v>
      </c>
      <c r="BK2418">
        <v>1</v>
      </c>
      <c r="BL2418">
        <v>1</v>
      </c>
      <c r="BM2418">
        <v>0</v>
      </c>
      <c r="BP2418">
        <v>0</v>
      </c>
      <c r="BQ2418">
        <v>0</v>
      </c>
      <c r="BX2418" t="str">
        <f>"14:30:39.047"</f>
        <v>14:30:39.047</v>
      </c>
      <c r="BY2418" t="str">
        <f>"047732021"</f>
        <v>047732021</v>
      </c>
      <c r="CL2418">
        <v>0</v>
      </c>
      <c r="CM2418">
        <v>2</v>
      </c>
      <c r="CN2418">
        <v>0</v>
      </c>
      <c r="CO2418">
        <v>2</v>
      </c>
      <c r="CP2418">
        <v>0</v>
      </c>
      <c r="CQ2418">
        <v>7</v>
      </c>
      <c r="CR2418" t="s">
        <v>116</v>
      </c>
      <c r="CS2418">
        <v>39</v>
      </c>
      <c r="CT2418">
        <v>0</v>
      </c>
      <c r="CU2418" t="s">
        <v>2259</v>
      </c>
      <c r="CV2418" t="s">
        <v>2260</v>
      </c>
      <c r="CY2418">
        <v>1820934</v>
      </c>
      <c r="CZ2418" t="s">
        <v>119</v>
      </c>
    </row>
    <row r="2419" spans="1:104" x14ac:dyDescent="0.25">
      <c r="A2419" t="str">
        <f>"14:30:40.078"</f>
        <v>14:30:40.078</v>
      </c>
      <c r="B2419" t="s">
        <v>108</v>
      </c>
      <c r="C2419" t="str">
        <f t="shared" si="112"/>
        <v>ffdfd3c0</v>
      </c>
      <c r="D2419" t="s">
        <v>109</v>
      </c>
      <c r="E2419">
        <v>4</v>
      </c>
      <c r="F2419">
        <v>1004</v>
      </c>
      <c r="G2419" t="s">
        <v>110</v>
      </c>
      <c r="J2419" t="s">
        <v>111</v>
      </c>
      <c r="K2419">
        <v>0</v>
      </c>
      <c r="L2419">
        <v>3</v>
      </c>
      <c r="M2419">
        <v>0</v>
      </c>
      <c r="N2419">
        <v>2</v>
      </c>
      <c r="O2419">
        <v>1</v>
      </c>
      <c r="P2419">
        <v>0</v>
      </c>
      <c r="Q2419">
        <v>0</v>
      </c>
      <c r="R2419" t="s">
        <v>112</v>
      </c>
      <c r="S2419" t="str">
        <f>"14:30:39.938"</f>
        <v>14:30:39.938</v>
      </c>
      <c r="T2419" t="str">
        <f>"14:30:39.539"</f>
        <v>14:30:39.539</v>
      </c>
      <c r="U2419" t="str">
        <f t="shared" si="111"/>
        <v>ad5732</v>
      </c>
      <c r="V2419">
        <v>0</v>
      </c>
      <c r="W2419">
        <v>0</v>
      </c>
      <c r="X2419">
        <v>1</v>
      </c>
      <c r="Z2419">
        <v>0</v>
      </c>
      <c r="AA2419">
        <v>9</v>
      </c>
      <c r="AB2419">
        <v>3</v>
      </c>
      <c r="AC2419">
        <v>0</v>
      </c>
      <c r="AD2419">
        <v>10</v>
      </c>
      <c r="AE2419">
        <v>0</v>
      </c>
      <c r="AF2419">
        <v>3</v>
      </c>
      <c r="AG2419">
        <v>2</v>
      </c>
      <c r="AH2419">
        <v>0</v>
      </c>
      <c r="AI2419" t="s">
        <v>4947</v>
      </c>
      <c r="AJ2419">
        <v>40.037291000000003</v>
      </c>
      <c r="AK2419" t="s">
        <v>4948</v>
      </c>
      <c r="AL2419">
        <v>-75.503046999999995</v>
      </c>
      <c r="AM2419">
        <v>100</v>
      </c>
      <c r="AN2419">
        <v>4700</v>
      </c>
      <c r="AO2419" t="s">
        <v>115</v>
      </c>
      <c r="AP2419">
        <v>131</v>
      </c>
      <c r="AQ2419">
        <v>124</v>
      </c>
      <c r="AR2419">
        <v>0</v>
      </c>
      <c r="AZ2419">
        <v>3614</v>
      </c>
      <c r="BA2419">
        <v>1</v>
      </c>
      <c r="BB2419" t="str">
        <f t="shared" si="113"/>
        <v xml:space="preserve">N959MJ  </v>
      </c>
      <c r="BC2419">
        <v>1</v>
      </c>
      <c r="BE2419">
        <v>0</v>
      </c>
      <c r="BF2419">
        <v>0</v>
      </c>
      <c r="BG2419">
        <v>0</v>
      </c>
      <c r="BH2419">
        <v>4900</v>
      </c>
      <c r="BI2419">
        <v>200</v>
      </c>
      <c r="BJ2419">
        <v>1</v>
      </c>
      <c r="BK2419">
        <v>1</v>
      </c>
      <c r="BL2419">
        <v>1</v>
      </c>
      <c r="BM2419">
        <v>0</v>
      </c>
      <c r="BP2419">
        <v>0</v>
      </c>
      <c r="BQ2419">
        <v>0</v>
      </c>
      <c r="BX2419" t="str">
        <f>"14:30:39.938"</f>
        <v>14:30:39.938</v>
      </c>
      <c r="BY2419" t="str">
        <f>"939037266"</f>
        <v>939037266</v>
      </c>
      <c r="CL2419">
        <v>0</v>
      </c>
      <c r="CM2419">
        <v>2</v>
      </c>
      <c r="CN2419">
        <v>0</v>
      </c>
      <c r="CO2419">
        <v>2</v>
      </c>
      <c r="CP2419">
        <v>0</v>
      </c>
      <c r="CQ2419">
        <v>7</v>
      </c>
      <c r="CR2419" t="s">
        <v>116</v>
      </c>
      <c r="CS2419">
        <v>39</v>
      </c>
      <c r="CT2419">
        <v>0</v>
      </c>
      <c r="CU2419" t="s">
        <v>2259</v>
      </c>
      <c r="CV2419" t="s">
        <v>2260</v>
      </c>
      <c r="CY2419">
        <v>1822528</v>
      </c>
      <c r="CZ2419" t="s">
        <v>119</v>
      </c>
    </row>
    <row r="2420" spans="1:104" x14ac:dyDescent="0.25">
      <c r="A2420" t="str">
        <f>"14:30:41.289"</f>
        <v>14:30:41.289</v>
      </c>
      <c r="B2420" t="s">
        <v>108</v>
      </c>
      <c r="C2420" t="str">
        <f t="shared" si="112"/>
        <v>ffdfd3c0</v>
      </c>
      <c r="D2420" t="s">
        <v>109</v>
      </c>
      <c r="E2420">
        <v>4</v>
      </c>
      <c r="F2420">
        <v>1004</v>
      </c>
      <c r="G2420" t="s">
        <v>110</v>
      </c>
      <c r="J2420" t="s">
        <v>111</v>
      </c>
      <c r="K2420">
        <v>0</v>
      </c>
      <c r="L2420">
        <v>3</v>
      </c>
      <c r="M2420">
        <v>0</v>
      </c>
      <c r="N2420">
        <v>2</v>
      </c>
      <c r="O2420">
        <v>1</v>
      </c>
      <c r="P2420">
        <v>0</v>
      </c>
      <c r="Q2420">
        <v>0</v>
      </c>
      <c r="R2420" t="s">
        <v>112</v>
      </c>
      <c r="S2420" t="str">
        <f>"14:30:41.109"</f>
        <v>14:30:41.109</v>
      </c>
      <c r="T2420" t="str">
        <f>"14:30:40.609"</f>
        <v>14:30:40.609</v>
      </c>
      <c r="U2420" t="str">
        <f t="shared" si="111"/>
        <v>ad5732</v>
      </c>
      <c r="V2420">
        <v>0</v>
      </c>
      <c r="W2420">
        <v>0</v>
      </c>
      <c r="X2420">
        <v>1</v>
      </c>
      <c r="Z2420">
        <v>0</v>
      </c>
      <c r="AA2420">
        <v>9</v>
      </c>
      <c r="AB2420">
        <v>3</v>
      </c>
      <c r="AC2420">
        <v>0</v>
      </c>
      <c r="AD2420">
        <v>10</v>
      </c>
      <c r="AE2420">
        <v>0</v>
      </c>
      <c r="AF2420">
        <v>3</v>
      </c>
      <c r="AG2420">
        <v>2</v>
      </c>
      <c r="AH2420">
        <v>0</v>
      </c>
      <c r="AI2420" t="s">
        <v>4949</v>
      </c>
      <c r="AJ2420">
        <v>40.037978000000003</v>
      </c>
      <c r="AK2420" t="s">
        <v>4950</v>
      </c>
      <c r="AL2420">
        <v>-75.502144999999999</v>
      </c>
      <c r="AM2420">
        <v>100</v>
      </c>
      <c r="AN2420">
        <v>4700</v>
      </c>
      <c r="AO2420" t="s">
        <v>115</v>
      </c>
      <c r="AP2420">
        <v>132</v>
      </c>
      <c r="AQ2420">
        <v>124</v>
      </c>
      <c r="AR2420">
        <v>0</v>
      </c>
      <c r="AZ2420">
        <v>3614</v>
      </c>
      <c r="BA2420">
        <v>1</v>
      </c>
      <c r="BB2420" t="str">
        <f t="shared" si="113"/>
        <v xml:space="preserve">N959MJ  </v>
      </c>
      <c r="BC2420">
        <v>1</v>
      </c>
      <c r="BE2420">
        <v>0</v>
      </c>
      <c r="BF2420">
        <v>0</v>
      </c>
      <c r="BG2420">
        <v>0</v>
      </c>
      <c r="BH2420">
        <v>4900</v>
      </c>
      <c r="BI2420">
        <v>200</v>
      </c>
      <c r="BJ2420">
        <v>1</v>
      </c>
      <c r="BK2420">
        <v>1</v>
      </c>
      <c r="BL2420">
        <v>1</v>
      </c>
      <c r="BM2420">
        <v>0</v>
      </c>
      <c r="BP2420">
        <v>0</v>
      </c>
      <c r="BQ2420">
        <v>0</v>
      </c>
      <c r="BX2420" t="str">
        <f>"14:30:41.109"</f>
        <v>14:30:41.109</v>
      </c>
      <c r="BY2420" t="str">
        <f>"110513838"</f>
        <v>110513838</v>
      </c>
      <c r="CL2420">
        <v>0</v>
      </c>
      <c r="CM2420">
        <v>2</v>
      </c>
      <c r="CN2420">
        <v>0</v>
      </c>
      <c r="CO2420">
        <v>2</v>
      </c>
      <c r="CP2420">
        <v>0</v>
      </c>
      <c r="CQ2420">
        <v>7</v>
      </c>
      <c r="CR2420" t="s">
        <v>116</v>
      </c>
      <c r="CS2420">
        <v>39</v>
      </c>
      <c r="CT2420">
        <v>0</v>
      </c>
      <c r="CU2420" t="s">
        <v>2259</v>
      </c>
      <c r="CV2420" t="s">
        <v>2260</v>
      </c>
      <c r="CY2420">
        <v>1824647</v>
      </c>
      <c r="CZ2420" t="s">
        <v>119</v>
      </c>
    </row>
    <row r="2421" spans="1:104" x14ac:dyDescent="0.25">
      <c r="A2421" t="str">
        <f>"14:30:42.250"</f>
        <v>14:30:42.250</v>
      </c>
      <c r="B2421" t="s">
        <v>108</v>
      </c>
      <c r="C2421" t="str">
        <f t="shared" si="112"/>
        <v>ffdfd3c0</v>
      </c>
      <c r="D2421" t="s">
        <v>109</v>
      </c>
      <c r="E2421">
        <v>4</v>
      </c>
      <c r="F2421">
        <v>1004</v>
      </c>
      <c r="G2421" t="s">
        <v>110</v>
      </c>
      <c r="J2421" t="s">
        <v>111</v>
      </c>
      <c r="K2421">
        <v>0</v>
      </c>
      <c r="L2421">
        <v>3</v>
      </c>
      <c r="M2421">
        <v>0</v>
      </c>
      <c r="N2421">
        <v>2</v>
      </c>
      <c r="O2421">
        <v>1</v>
      </c>
      <c r="P2421">
        <v>0</v>
      </c>
      <c r="Q2421">
        <v>0</v>
      </c>
      <c r="R2421" t="s">
        <v>112</v>
      </c>
      <c r="S2421" t="str">
        <f>"14:30:42.031"</f>
        <v>14:30:42.031</v>
      </c>
      <c r="T2421" t="str">
        <f>"14:30:41.633"</f>
        <v>14:30:41.633</v>
      </c>
      <c r="U2421" t="str">
        <f t="shared" si="111"/>
        <v>ad5732</v>
      </c>
      <c r="V2421">
        <v>0</v>
      </c>
      <c r="W2421">
        <v>0</v>
      </c>
      <c r="X2421">
        <v>1</v>
      </c>
      <c r="Z2421">
        <v>0</v>
      </c>
      <c r="AA2421">
        <v>9</v>
      </c>
      <c r="AB2421">
        <v>3</v>
      </c>
      <c r="AC2421">
        <v>0</v>
      </c>
      <c r="AD2421">
        <v>10</v>
      </c>
      <c r="AE2421">
        <v>0</v>
      </c>
      <c r="AF2421">
        <v>3</v>
      </c>
      <c r="AG2421">
        <v>2</v>
      </c>
      <c r="AH2421">
        <v>0</v>
      </c>
      <c r="AI2421" t="s">
        <v>4951</v>
      </c>
      <c r="AJ2421">
        <v>40.038513999999999</v>
      </c>
      <c r="AK2421" t="s">
        <v>4952</v>
      </c>
      <c r="AL2421">
        <v>-75.501416000000006</v>
      </c>
      <c r="AM2421">
        <v>100</v>
      </c>
      <c r="AN2421">
        <v>4700</v>
      </c>
      <c r="AO2421" t="s">
        <v>115</v>
      </c>
      <c r="AP2421">
        <v>132</v>
      </c>
      <c r="AQ2421">
        <v>124</v>
      </c>
      <c r="AR2421">
        <v>0</v>
      </c>
      <c r="AZ2421">
        <v>3614</v>
      </c>
      <c r="BA2421">
        <v>1</v>
      </c>
      <c r="BB2421" t="str">
        <f t="shared" si="113"/>
        <v xml:space="preserve">N959MJ  </v>
      </c>
      <c r="BC2421">
        <v>1</v>
      </c>
      <c r="BE2421">
        <v>0</v>
      </c>
      <c r="BF2421">
        <v>0</v>
      </c>
      <c r="BG2421">
        <v>0</v>
      </c>
      <c r="BH2421">
        <v>4900</v>
      </c>
      <c r="BI2421">
        <v>200</v>
      </c>
      <c r="BJ2421">
        <v>1</v>
      </c>
      <c r="BK2421">
        <v>1</v>
      </c>
      <c r="BL2421">
        <v>1</v>
      </c>
      <c r="BM2421">
        <v>0</v>
      </c>
      <c r="BP2421">
        <v>0</v>
      </c>
      <c r="BQ2421">
        <v>0</v>
      </c>
      <c r="BX2421" t="str">
        <f>"14:30:42.039"</f>
        <v>14:30:42.039</v>
      </c>
      <c r="BY2421" t="str">
        <f>"036226141"</f>
        <v>036226141</v>
      </c>
      <c r="CL2421">
        <v>0</v>
      </c>
      <c r="CM2421">
        <v>2</v>
      </c>
      <c r="CN2421">
        <v>0</v>
      </c>
      <c r="CO2421">
        <v>2</v>
      </c>
      <c r="CP2421">
        <v>0</v>
      </c>
      <c r="CQ2421">
        <v>7</v>
      </c>
      <c r="CR2421" t="s">
        <v>116</v>
      </c>
      <c r="CS2421">
        <v>39</v>
      </c>
      <c r="CT2421">
        <v>0</v>
      </c>
      <c r="CU2421" t="s">
        <v>2259</v>
      </c>
      <c r="CV2421" t="s">
        <v>2260</v>
      </c>
      <c r="CY2421">
        <v>1826243</v>
      </c>
      <c r="CZ2421" t="s">
        <v>119</v>
      </c>
    </row>
    <row r="2422" spans="1:104" x14ac:dyDescent="0.25">
      <c r="A2422" t="str">
        <f>"14:30:43.063"</f>
        <v>14:30:43.063</v>
      </c>
      <c r="B2422" t="s">
        <v>108</v>
      </c>
      <c r="C2422" t="str">
        <f t="shared" si="112"/>
        <v>ffdfd3c0</v>
      </c>
      <c r="D2422" t="s">
        <v>109</v>
      </c>
      <c r="E2422">
        <v>4</v>
      </c>
      <c r="F2422">
        <v>1004</v>
      </c>
      <c r="G2422" t="s">
        <v>110</v>
      </c>
      <c r="J2422" t="s">
        <v>111</v>
      </c>
      <c r="K2422">
        <v>0</v>
      </c>
      <c r="L2422">
        <v>3</v>
      </c>
      <c r="M2422">
        <v>0</v>
      </c>
      <c r="N2422">
        <v>2</v>
      </c>
      <c r="O2422">
        <v>1</v>
      </c>
      <c r="P2422">
        <v>0</v>
      </c>
      <c r="Q2422">
        <v>0</v>
      </c>
      <c r="R2422" t="s">
        <v>112</v>
      </c>
      <c r="S2422" t="str">
        <f>"14:30:42.883"</f>
        <v>14:30:42.883</v>
      </c>
      <c r="T2422" t="str">
        <f>"14:30:42.484"</f>
        <v>14:30:42.484</v>
      </c>
      <c r="U2422" t="str">
        <f t="shared" si="111"/>
        <v>ad5732</v>
      </c>
      <c r="V2422">
        <v>0</v>
      </c>
      <c r="W2422">
        <v>0</v>
      </c>
      <c r="X2422">
        <v>1</v>
      </c>
      <c r="Z2422">
        <v>0</v>
      </c>
      <c r="AA2422">
        <v>9</v>
      </c>
      <c r="AB2422">
        <v>3</v>
      </c>
      <c r="AC2422">
        <v>0</v>
      </c>
      <c r="AD2422">
        <v>10</v>
      </c>
      <c r="AE2422">
        <v>0</v>
      </c>
      <c r="AF2422">
        <v>3</v>
      </c>
      <c r="AG2422">
        <v>2</v>
      </c>
      <c r="AH2422">
        <v>0</v>
      </c>
      <c r="AI2422" t="s">
        <v>4953</v>
      </c>
      <c r="AJ2422">
        <v>40.038964999999997</v>
      </c>
      <c r="AK2422" t="s">
        <v>4954</v>
      </c>
      <c r="AL2422">
        <v>-75.500793000000002</v>
      </c>
      <c r="AM2422">
        <v>100</v>
      </c>
      <c r="AN2422">
        <v>4700</v>
      </c>
      <c r="AO2422" t="s">
        <v>115</v>
      </c>
      <c r="AP2422">
        <v>132</v>
      </c>
      <c r="AQ2422">
        <v>124</v>
      </c>
      <c r="AR2422">
        <v>0</v>
      </c>
      <c r="AZ2422">
        <v>3614</v>
      </c>
      <c r="BA2422">
        <v>1</v>
      </c>
      <c r="BB2422" t="str">
        <f t="shared" si="113"/>
        <v xml:space="preserve">N959MJ  </v>
      </c>
      <c r="BC2422">
        <v>1</v>
      </c>
      <c r="BE2422">
        <v>0</v>
      </c>
      <c r="BF2422">
        <v>0</v>
      </c>
      <c r="BG2422">
        <v>0</v>
      </c>
      <c r="BH2422">
        <v>4900</v>
      </c>
      <c r="BI2422">
        <v>200</v>
      </c>
      <c r="BJ2422">
        <v>1</v>
      </c>
      <c r="BK2422">
        <v>1</v>
      </c>
      <c r="BL2422">
        <v>1</v>
      </c>
      <c r="BM2422">
        <v>0</v>
      </c>
      <c r="BP2422">
        <v>0</v>
      </c>
      <c r="BQ2422">
        <v>0</v>
      </c>
      <c r="BX2422" t="str">
        <f>"14:30:42.883"</f>
        <v>14:30:42.883</v>
      </c>
      <c r="BY2422" t="str">
        <f>"884932192"</f>
        <v>884932192</v>
      </c>
      <c r="CL2422">
        <v>0</v>
      </c>
      <c r="CM2422">
        <v>2</v>
      </c>
      <c r="CN2422">
        <v>0</v>
      </c>
      <c r="CO2422">
        <v>2</v>
      </c>
      <c r="CP2422">
        <v>0</v>
      </c>
      <c r="CQ2422">
        <v>7</v>
      </c>
      <c r="CR2422" t="s">
        <v>116</v>
      </c>
      <c r="CS2422">
        <v>39</v>
      </c>
      <c r="CT2422">
        <v>0</v>
      </c>
      <c r="CU2422" t="s">
        <v>2259</v>
      </c>
      <c r="CV2422" t="s">
        <v>2260</v>
      </c>
      <c r="CY2422">
        <v>1827697</v>
      </c>
      <c r="CZ2422" t="s">
        <v>119</v>
      </c>
    </row>
    <row r="2423" spans="1:104" x14ac:dyDescent="0.25">
      <c r="A2423" t="str">
        <f>"14:30:44.016"</f>
        <v>14:30:44.016</v>
      </c>
      <c r="B2423" t="s">
        <v>108</v>
      </c>
      <c r="C2423" t="str">
        <f t="shared" si="112"/>
        <v>ffdfd3c0</v>
      </c>
      <c r="D2423" t="s">
        <v>109</v>
      </c>
      <c r="E2423">
        <v>4</v>
      </c>
      <c r="F2423">
        <v>1004</v>
      </c>
      <c r="G2423" t="s">
        <v>110</v>
      </c>
      <c r="J2423" t="s">
        <v>111</v>
      </c>
      <c r="K2423">
        <v>0</v>
      </c>
      <c r="L2423">
        <v>3</v>
      </c>
      <c r="M2423">
        <v>0</v>
      </c>
      <c r="N2423">
        <v>2</v>
      </c>
      <c r="O2423">
        <v>1</v>
      </c>
      <c r="P2423">
        <v>0</v>
      </c>
      <c r="Q2423">
        <v>0</v>
      </c>
      <c r="R2423" t="s">
        <v>112</v>
      </c>
      <c r="S2423" t="str">
        <f>"14:30:43.859"</f>
        <v>14:30:43.859</v>
      </c>
      <c r="T2423" t="str">
        <f>"14:30:43.359"</f>
        <v>14:30:43.359</v>
      </c>
      <c r="U2423" t="str">
        <f t="shared" si="111"/>
        <v>ad5732</v>
      </c>
      <c r="V2423">
        <v>0</v>
      </c>
      <c r="W2423">
        <v>0</v>
      </c>
      <c r="X2423">
        <v>1</v>
      </c>
      <c r="Z2423">
        <v>0</v>
      </c>
      <c r="AA2423">
        <v>9</v>
      </c>
      <c r="AB2423">
        <v>3</v>
      </c>
      <c r="AC2423">
        <v>0</v>
      </c>
      <c r="AD2423">
        <v>10</v>
      </c>
      <c r="AE2423">
        <v>0</v>
      </c>
      <c r="AF2423">
        <v>3</v>
      </c>
      <c r="AG2423">
        <v>2</v>
      </c>
      <c r="AH2423">
        <v>0</v>
      </c>
      <c r="AI2423" t="s">
        <v>4955</v>
      </c>
      <c r="AJ2423">
        <v>40.039523000000003</v>
      </c>
      <c r="AK2423" t="s">
        <v>4956</v>
      </c>
      <c r="AL2423">
        <v>-75.499977999999999</v>
      </c>
      <c r="AM2423">
        <v>100</v>
      </c>
      <c r="AN2423">
        <v>4700</v>
      </c>
      <c r="AO2423" t="s">
        <v>115</v>
      </c>
      <c r="AP2423">
        <v>132</v>
      </c>
      <c r="AQ2423">
        <v>124</v>
      </c>
      <c r="AR2423">
        <v>0</v>
      </c>
      <c r="AZ2423">
        <v>3614</v>
      </c>
      <c r="BA2423">
        <v>1</v>
      </c>
      <c r="BB2423" t="str">
        <f t="shared" si="113"/>
        <v xml:space="preserve">N959MJ  </v>
      </c>
      <c r="BC2423">
        <v>1</v>
      </c>
      <c r="BE2423">
        <v>0</v>
      </c>
      <c r="BF2423">
        <v>0</v>
      </c>
      <c r="BG2423">
        <v>0</v>
      </c>
      <c r="BH2423">
        <v>4900</v>
      </c>
      <c r="BI2423">
        <v>200</v>
      </c>
      <c r="BJ2423">
        <v>1</v>
      </c>
      <c r="BK2423">
        <v>1</v>
      </c>
      <c r="BL2423">
        <v>1</v>
      </c>
      <c r="BM2423">
        <v>0</v>
      </c>
      <c r="BP2423">
        <v>0</v>
      </c>
      <c r="BQ2423">
        <v>0</v>
      </c>
      <c r="BX2423" t="str">
        <f>"14:30:43.859"</f>
        <v>14:30:43.859</v>
      </c>
      <c r="BY2423" t="str">
        <f>"861435747"</f>
        <v>861435747</v>
      </c>
      <c r="CL2423">
        <v>0</v>
      </c>
      <c r="CM2423">
        <v>2</v>
      </c>
      <c r="CN2423">
        <v>0</v>
      </c>
      <c r="CO2423">
        <v>2</v>
      </c>
      <c r="CP2423">
        <v>0</v>
      </c>
      <c r="CQ2423">
        <v>7</v>
      </c>
      <c r="CR2423" t="s">
        <v>116</v>
      </c>
      <c r="CS2423">
        <v>39</v>
      </c>
      <c r="CT2423">
        <v>0</v>
      </c>
      <c r="CU2423" t="s">
        <v>2259</v>
      </c>
      <c r="CV2423" t="s">
        <v>2260</v>
      </c>
      <c r="CY2423">
        <v>1829419</v>
      </c>
      <c r="CZ2423" t="s">
        <v>119</v>
      </c>
    </row>
    <row r="2424" spans="1:104" x14ac:dyDescent="0.25">
      <c r="A2424" t="str">
        <f>"14:30:45.078"</f>
        <v>14:30:45.078</v>
      </c>
      <c r="B2424" t="s">
        <v>108</v>
      </c>
      <c r="C2424" t="str">
        <f t="shared" si="112"/>
        <v>ffdfd3c0</v>
      </c>
      <c r="D2424" t="s">
        <v>109</v>
      </c>
      <c r="E2424">
        <v>4</v>
      </c>
      <c r="F2424">
        <v>1004</v>
      </c>
      <c r="G2424" t="s">
        <v>110</v>
      </c>
      <c r="J2424" t="s">
        <v>111</v>
      </c>
      <c r="K2424">
        <v>0</v>
      </c>
      <c r="L2424">
        <v>3</v>
      </c>
      <c r="M2424">
        <v>0</v>
      </c>
      <c r="N2424">
        <v>2</v>
      </c>
      <c r="O2424">
        <v>1</v>
      </c>
      <c r="P2424">
        <v>0</v>
      </c>
      <c r="Q2424">
        <v>0</v>
      </c>
      <c r="R2424" t="s">
        <v>112</v>
      </c>
      <c r="S2424" t="str">
        <f>"14:30:44.922"</f>
        <v>14:30:44.922</v>
      </c>
      <c r="T2424" t="str">
        <f>"14:30:44.422"</f>
        <v>14:30:44.422</v>
      </c>
      <c r="U2424" t="str">
        <f t="shared" si="111"/>
        <v>ad5732</v>
      </c>
      <c r="V2424">
        <v>0</v>
      </c>
      <c r="W2424">
        <v>0</v>
      </c>
      <c r="X2424">
        <v>1</v>
      </c>
      <c r="Z2424">
        <v>0</v>
      </c>
      <c r="AA2424">
        <v>9</v>
      </c>
      <c r="AB2424">
        <v>3</v>
      </c>
      <c r="AC2424">
        <v>0</v>
      </c>
      <c r="AD2424">
        <v>10</v>
      </c>
      <c r="AE2424">
        <v>0</v>
      </c>
      <c r="AF2424">
        <v>3</v>
      </c>
      <c r="AG2424">
        <v>2</v>
      </c>
      <c r="AH2424">
        <v>0</v>
      </c>
      <c r="AI2424" t="s">
        <v>4957</v>
      </c>
      <c r="AJ2424">
        <v>40.040165999999999</v>
      </c>
      <c r="AK2424" t="s">
        <v>4958</v>
      </c>
      <c r="AL2424">
        <v>-75.499077</v>
      </c>
      <c r="AM2424">
        <v>100</v>
      </c>
      <c r="AN2424">
        <v>4700</v>
      </c>
      <c r="AO2424" t="s">
        <v>115</v>
      </c>
      <c r="AP2424">
        <v>132</v>
      </c>
      <c r="AQ2424">
        <v>124</v>
      </c>
      <c r="AR2424">
        <v>0</v>
      </c>
      <c r="AZ2424">
        <v>3614</v>
      </c>
      <c r="BA2424">
        <v>1</v>
      </c>
      <c r="BB2424" t="str">
        <f t="shared" si="113"/>
        <v xml:space="preserve">N959MJ  </v>
      </c>
      <c r="BC2424">
        <v>1</v>
      </c>
      <c r="BE2424">
        <v>0</v>
      </c>
      <c r="BF2424">
        <v>0</v>
      </c>
      <c r="BG2424">
        <v>0</v>
      </c>
      <c r="BH2424">
        <v>4900</v>
      </c>
      <c r="BI2424">
        <v>200</v>
      </c>
      <c r="BJ2424">
        <v>1</v>
      </c>
      <c r="BK2424">
        <v>1</v>
      </c>
      <c r="BL2424">
        <v>1</v>
      </c>
      <c r="BM2424">
        <v>0</v>
      </c>
      <c r="BP2424">
        <v>0</v>
      </c>
      <c r="BQ2424">
        <v>0</v>
      </c>
      <c r="BX2424" t="str">
        <f>"14:30:44.922"</f>
        <v>14:30:44.922</v>
      </c>
      <c r="BY2424" t="str">
        <f>"923137594"</f>
        <v>923137594</v>
      </c>
      <c r="CL2424">
        <v>0</v>
      </c>
      <c r="CM2424">
        <v>2</v>
      </c>
      <c r="CN2424">
        <v>0</v>
      </c>
      <c r="CO2424">
        <v>2</v>
      </c>
      <c r="CP2424">
        <v>0</v>
      </c>
      <c r="CQ2424">
        <v>7</v>
      </c>
      <c r="CR2424" t="s">
        <v>116</v>
      </c>
      <c r="CS2424">
        <v>39</v>
      </c>
      <c r="CT2424">
        <v>0</v>
      </c>
      <c r="CU2424" t="s">
        <v>2259</v>
      </c>
      <c r="CV2424" t="s">
        <v>2260</v>
      </c>
      <c r="CY2424">
        <v>1831317</v>
      </c>
      <c r="CZ2424" t="s">
        <v>119</v>
      </c>
    </row>
    <row r="2425" spans="1:104" x14ac:dyDescent="0.25">
      <c r="A2425" t="str">
        <f>"14:30:45.938"</f>
        <v>14:30:45.938</v>
      </c>
      <c r="B2425" t="s">
        <v>108</v>
      </c>
      <c r="C2425" t="str">
        <f t="shared" si="112"/>
        <v>ffdfd3c0</v>
      </c>
      <c r="D2425" t="s">
        <v>109</v>
      </c>
      <c r="E2425">
        <v>4</v>
      </c>
      <c r="F2425">
        <v>1004</v>
      </c>
      <c r="G2425" t="s">
        <v>110</v>
      </c>
      <c r="J2425" t="s">
        <v>111</v>
      </c>
      <c r="K2425">
        <v>0</v>
      </c>
      <c r="L2425">
        <v>3</v>
      </c>
      <c r="M2425">
        <v>0</v>
      </c>
      <c r="N2425">
        <v>2</v>
      </c>
      <c r="O2425">
        <v>1</v>
      </c>
      <c r="P2425">
        <v>0</v>
      </c>
      <c r="Q2425">
        <v>0</v>
      </c>
      <c r="R2425" t="s">
        <v>112</v>
      </c>
      <c r="S2425" t="str">
        <f>"14:30:45.781"</f>
        <v>14:30:45.781</v>
      </c>
      <c r="T2425" t="str">
        <f>"14:30:45.383"</f>
        <v>14:30:45.383</v>
      </c>
      <c r="U2425" t="str">
        <f t="shared" si="111"/>
        <v>ad5732</v>
      </c>
      <c r="V2425">
        <v>0</v>
      </c>
      <c r="W2425">
        <v>0</v>
      </c>
      <c r="X2425">
        <v>1</v>
      </c>
      <c r="Z2425">
        <v>0</v>
      </c>
      <c r="AA2425">
        <v>9</v>
      </c>
      <c r="AB2425">
        <v>3</v>
      </c>
      <c r="AC2425">
        <v>0</v>
      </c>
      <c r="AD2425">
        <v>10</v>
      </c>
      <c r="AE2425">
        <v>0</v>
      </c>
      <c r="AF2425">
        <v>3</v>
      </c>
      <c r="AG2425">
        <v>2</v>
      </c>
      <c r="AH2425">
        <v>0</v>
      </c>
      <c r="AI2425" t="s">
        <v>4959</v>
      </c>
      <c r="AJ2425">
        <v>40.040638000000001</v>
      </c>
      <c r="AK2425" t="s">
        <v>4960</v>
      </c>
      <c r="AL2425">
        <v>-75.498475999999997</v>
      </c>
      <c r="AM2425">
        <v>100</v>
      </c>
      <c r="AN2425">
        <v>4700</v>
      </c>
      <c r="AO2425" t="s">
        <v>115</v>
      </c>
      <c r="AP2425">
        <v>132</v>
      </c>
      <c r="AQ2425">
        <v>123</v>
      </c>
      <c r="AR2425">
        <v>0</v>
      </c>
      <c r="AZ2425">
        <v>3614</v>
      </c>
      <c r="BA2425">
        <v>1</v>
      </c>
      <c r="BB2425" t="str">
        <f t="shared" si="113"/>
        <v xml:space="preserve">N959MJ  </v>
      </c>
      <c r="BC2425">
        <v>1</v>
      </c>
      <c r="BE2425">
        <v>0</v>
      </c>
      <c r="BF2425">
        <v>0</v>
      </c>
      <c r="BG2425">
        <v>0</v>
      </c>
      <c r="BH2425">
        <v>4900</v>
      </c>
      <c r="BI2425">
        <v>200</v>
      </c>
      <c r="BJ2425">
        <v>1</v>
      </c>
      <c r="BK2425">
        <v>1</v>
      </c>
      <c r="BL2425">
        <v>1</v>
      </c>
      <c r="BM2425">
        <v>0</v>
      </c>
      <c r="BP2425">
        <v>0</v>
      </c>
      <c r="BQ2425">
        <v>0</v>
      </c>
      <c r="BX2425" t="str">
        <f>"14:30:45.789"</f>
        <v>14:30:45.789</v>
      </c>
      <c r="BY2425" t="str">
        <f>"786589550"</f>
        <v>786589550</v>
      </c>
      <c r="CL2425">
        <v>0</v>
      </c>
      <c r="CM2425">
        <v>2</v>
      </c>
      <c r="CN2425">
        <v>0</v>
      </c>
      <c r="CO2425">
        <v>2</v>
      </c>
      <c r="CP2425">
        <v>0</v>
      </c>
      <c r="CQ2425">
        <v>7</v>
      </c>
      <c r="CR2425" t="s">
        <v>116</v>
      </c>
      <c r="CS2425">
        <v>39</v>
      </c>
      <c r="CT2425">
        <v>0</v>
      </c>
      <c r="CU2425" t="s">
        <v>2259</v>
      </c>
      <c r="CV2425" t="s">
        <v>2260</v>
      </c>
      <c r="CY2425">
        <v>1832777</v>
      </c>
      <c r="CZ2425" t="s">
        <v>119</v>
      </c>
    </row>
    <row r="2426" spans="1:104" x14ac:dyDescent="0.25">
      <c r="A2426" t="str">
        <f>"14:30:47.000"</f>
        <v>14:30:47.000</v>
      </c>
      <c r="B2426" t="s">
        <v>108</v>
      </c>
      <c r="C2426" t="str">
        <f t="shared" si="112"/>
        <v>ffdfd3c0</v>
      </c>
      <c r="D2426" t="s">
        <v>109</v>
      </c>
      <c r="E2426">
        <v>4</v>
      </c>
      <c r="F2426">
        <v>1004</v>
      </c>
      <c r="G2426" t="s">
        <v>110</v>
      </c>
      <c r="J2426" t="s">
        <v>111</v>
      </c>
      <c r="K2426">
        <v>0</v>
      </c>
      <c r="L2426">
        <v>3</v>
      </c>
      <c r="M2426">
        <v>0</v>
      </c>
      <c r="N2426">
        <v>2</v>
      </c>
      <c r="O2426">
        <v>1</v>
      </c>
      <c r="P2426">
        <v>0</v>
      </c>
      <c r="Q2426">
        <v>0</v>
      </c>
      <c r="R2426" t="s">
        <v>112</v>
      </c>
      <c r="S2426" t="str">
        <f>"14:30:46.813"</f>
        <v>14:30:46.813</v>
      </c>
      <c r="T2426" t="str">
        <f>"14:30:46.414"</f>
        <v>14:30:46.414</v>
      </c>
      <c r="U2426" t="str">
        <f t="shared" si="111"/>
        <v>ad5732</v>
      </c>
      <c r="V2426">
        <v>0</v>
      </c>
      <c r="W2426">
        <v>0</v>
      </c>
      <c r="X2426">
        <v>1</v>
      </c>
      <c r="Z2426">
        <v>0</v>
      </c>
      <c r="AA2426">
        <v>9</v>
      </c>
      <c r="AB2426">
        <v>3</v>
      </c>
      <c r="AC2426">
        <v>0</v>
      </c>
      <c r="AD2426">
        <v>10</v>
      </c>
      <c r="AE2426">
        <v>0</v>
      </c>
      <c r="AF2426">
        <v>3</v>
      </c>
      <c r="AG2426">
        <v>2</v>
      </c>
      <c r="AH2426">
        <v>0</v>
      </c>
      <c r="AI2426" t="s">
        <v>4961</v>
      </c>
      <c r="AJ2426">
        <v>40.041260999999999</v>
      </c>
      <c r="AK2426" t="s">
        <v>4962</v>
      </c>
      <c r="AL2426">
        <v>-75.497618000000003</v>
      </c>
      <c r="AM2426">
        <v>100</v>
      </c>
      <c r="AN2426">
        <v>4700</v>
      </c>
      <c r="AO2426" t="s">
        <v>115</v>
      </c>
      <c r="AP2426">
        <v>132</v>
      </c>
      <c r="AQ2426">
        <v>123</v>
      </c>
      <c r="AR2426">
        <v>64</v>
      </c>
      <c r="AZ2426">
        <v>3614</v>
      </c>
      <c r="BA2426">
        <v>1</v>
      </c>
      <c r="BB2426" t="str">
        <f t="shared" si="113"/>
        <v xml:space="preserve">N959MJ  </v>
      </c>
      <c r="BC2426">
        <v>1</v>
      </c>
      <c r="BE2426">
        <v>0</v>
      </c>
      <c r="BF2426">
        <v>0</v>
      </c>
      <c r="BG2426">
        <v>0</v>
      </c>
      <c r="BH2426">
        <v>4900</v>
      </c>
      <c r="BI2426">
        <v>200</v>
      </c>
      <c r="BJ2426">
        <v>1</v>
      </c>
      <c r="BK2426">
        <v>1</v>
      </c>
      <c r="BL2426">
        <v>1</v>
      </c>
      <c r="BM2426">
        <v>0</v>
      </c>
      <c r="BP2426">
        <v>0</v>
      </c>
      <c r="BQ2426">
        <v>0</v>
      </c>
      <c r="BX2426" t="str">
        <f>"14:30:46.820"</f>
        <v>14:30:46.820</v>
      </c>
      <c r="BY2426" t="str">
        <f>"818799682"</f>
        <v>818799682</v>
      </c>
      <c r="CL2426">
        <v>0</v>
      </c>
      <c r="CM2426">
        <v>2</v>
      </c>
      <c r="CN2426">
        <v>0</v>
      </c>
      <c r="CO2426">
        <v>2</v>
      </c>
      <c r="CP2426">
        <v>0</v>
      </c>
      <c r="CQ2426">
        <v>7</v>
      </c>
      <c r="CR2426" t="s">
        <v>116</v>
      </c>
      <c r="CS2426">
        <v>39</v>
      </c>
      <c r="CT2426">
        <v>0</v>
      </c>
      <c r="CU2426" t="s">
        <v>2259</v>
      </c>
      <c r="CV2426" t="s">
        <v>2260</v>
      </c>
      <c r="CY2426">
        <v>1834488</v>
      </c>
      <c r="CZ2426" t="s">
        <v>119</v>
      </c>
    </row>
    <row r="2427" spans="1:104" x14ac:dyDescent="0.25">
      <c r="A2427" t="str">
        <f>"14:30:48.008"</f>
        <v>14:30:48.008</v>
      </c>
      <c r="B2427" t="s">
        <v>108</v>
      </c>
      <c r="C2427" t="str">
        <f t="shared" si="112"/>
        <v>ffdfd3c0</v>
      </c>
      <c r="D2427" t="s">
        <v>109</v>
      </c>
      <c r="E2427">
        <v>4</v>
      </c>
      <c r="F2427">
        <v>1004</v>
      </c>
      <c r="G2427" t="s">
        <v>110</v>
      </c>
      <c r="J2427" t="s">
        <v>111</v>
      </c>
      <c r="K2427">
        <v>0</v>
      </c>
      <c r="L2427">
        <v>3</v>
      </c>
      <c r="M2427">
        <v>0</v>
      </c>
      <c r="N2427">
        <v>2</v>
      </c>
      <c r="O2427">
        <v>1</v>
      </c>
      <c r="P2427">
        <v>0</v>
      </c>
      <c r="Q2427">
        <v>0</v>
      </c>
      <c r="R2427" t="s">
        <v>112</v>
      </c>
      <c r="S2427" t="str">
        <f>"14:30:47.852"</f>
        <v>14:30:47.852</v>
      </c>
      <c r="T2427" t="str">
        <f>"14:30:47.453"</f>
        <v>14:30:47.453</v>
      </c>
      <c r="U2427" t="str">
        <f t="shared" si="111"/>
        <v>ad5732</v>
      </c>
      <c r="V2427">
        <v>0</v>
      </c>
      <c r="W2427">
        <v>0</v>
      </c>
      <c r="X2427">
        <v>1</v>
      </c>
      <c r="Z2427">
        <v>0</v>
      </c>
      <c r="AA2427">
        <v>9</v>
      </c>
      <c r="AB2427">
        <v>3</v>
      </c>
      <c r="AC2427">
        <v>0</v>
      </c>
      <c r="AD2427">
        <v>10</v>
      </c>
      <c r="AE2427">
        <v>0</v>
      </c>
      <c r="AF2427">
        <v>3</v>
      </c>
      <c r="AG2427">
        <v>2</v>
      </c>
      <c r="AH2427">
        <v>0</v>
      </c>
      <c r="AI2427" t="s">
        <v>4963</v>
      </c>
      <c r="AJ2427">
        <v>40.041818999999997</v>
      </c>
      <c r="AK2427" t="s">
        <v>4964</v>
      </c>
      <c r="AL2427">
        <v>-75.496802000000002</v>
      </c>
      <c r="AM2427">
        <v>100</v>
      </c>
      <c r="AN2427">
        <v>4700</v>
      </c>
      <c r="AO2427" t="s">
        <v>115</v>
      </c>
      <c r="AP2427">
        <v>132</v>
      </c>
      <c r="AQ2427">
        <v>123</v>
      </c>
      <c r="AR2427">
        <v>0</v>
      </c>
      <c r="AZ2427">
        <v>3614</v>
      </c>
      <c r="BA2427">
        <v>1</v>
      </c>
      <c r="BB2427" t="str">
        <f t="shared" si="113"/>
        <v xml:space="preserve">N959MJ  </v>
      </c>
      <c r="BC2427">
        <v>1</v>
      </c>
      <c r="BE2427">
        <v>0</v>
      </c>
      <c r="BF2427">
        <v>0</v>
      </c>
      <c r="BG2427">
        <v>0</v>
      </c>
      <c r="BH2427">
        <v>4900</v>
      </c>
      <c r="BI2427">
        <v>200</v>
      </c>
      <c r="BJ2427">
        <v>1</v>
      </c>
      <c r="BK2427">
        <v>1</v>
      </c>
      <c r="BL2427">
        <v>1</v>
      </c>
      <c r="BM2427">
        <v>0</v>
      </c>
      <c r="BP2427">
        <v>0</v>
      </c>
      <c r="BQ2427">
        <v>0</v>
      </c>
      <c r="BX2427" t="str">
        <f>"14:30:47.852"</f>
        <v>14:30:47.852</v>
      </c>
      <c r="BY2427" t="str">
        <f>"854286725"</f>
        <v>854286725</v>
      </c>
      <c r="CL2427">
        <v>0</v>
      </c>
      <c r="CM2427">
        <v>2</v>
      </c>
      <c r="CN2427">
        <v>0</v>
      </c>
      <c r="CO2427">
        <v>2</v>
      </c>
      <c r="CP2427">
        <v>0</v>
      </c>
      <c r="CQ2427">
        <v>7</v>
      </c>
      <c r="CR2427" t="s">
        <v>116</v>
      </c>
      <c r="CS2427">
        <v>39</v>
      </c>
      <c r="CT2427">
        <v>0</v>
      </c>
      <c r="CU2427" t="s">
        <v>2259</v>
      </c>
      <c r="CV2427" t="s">
        <v>2260</v>
      </c>
      <c r="CY2427">
        <v>1836277</v>
      </c>
      <c r="CZ2427" t="s">
        <v>119</v>
      </c>
    </row>
    <row r="2428" spans="1:104" x14ac:dyDescent="0.25">
      <c r="A2428" t="str">
        <f>"14:30:48.914"</f>
        <v>14:30:48.914</v>
      </c>
      <c r="B2428" t="s">
        <v>108</v>
      </c>
      <c r="C2428" t="str">
        <f t="shared" si="112"/>
        <v>ffdfd3c0</v>
      </c>
      <c r="D2428" t="s">
        <v>109</v>
      </c>
      <c r="E2428">
        <v>4</v>
      </c>
      <c r="F2428">
        <v>1004</v>
      </c>
      <c r="G2428" t="s">
        <v>110</v>
      </c>
      <c r="J2428" t="s">
        <v>111</v>
      </c>
      <c r="K2428">
        <v>0</v>
      </c>
      <c r="L2428">
        <v>3</v>
      </c>
      <c r="M2428">
        <v>0</v>
      </c>
      <c r="N2428">
        <v>2</v>
      </c>
      <c r="O2428">
        <v>1</v>
      </c>
      <c r="P2428">
        <v>0</v>
      </c>
      <c r="Q2428">
        <v>0</v>
      </c>
      <c r="R2428" t="s">
        <v>112</v>
      </c>
      <c r="S2428" t="str">
        <f>"14:30:48.742"</f>
        <v>14:30:48.742</v>
      </c>
      <c r="T2428" t="str">
        <f>"14:30:48.344"</f>
        <v>14:30:48.344</v>
      </c>
      <c r="U2428" t="str">
        <f t="shared" si="111"/>
        <v>ad5732</v>
      </c>
      <c r="V2428">
        <v>0</v>
      </c>
      <c r="W2428">
        <v>0</v>
      </c>
      <c r="X2428">
        <v>1</v>
      </c>
      <c r="Z2428">
        <v>0</v>
      </c>
      <c r="AA2428">
        <v>9</v>
      </c>
      <c r="AB2428">
        <v>3</v>
      </c>
      <c r="AC2428">
        <v>0</v>
      </c>
      <c r="AD2428">
        <v>10</v>
      </c>
      <c r="AE2428">
        <v>0</v>
      </c>
      <c r="AF2428">
        <v>3</v>
      </c>
      <c r="AG2428">
        <v>2</v>
      </c>
      <c r="AH2428">
        <v>0</v>
      </c>
      <c r="AI2428" t="s">
        <v>4965</v>
      </c>
      <c r="AJ2428">
        <v>40.042333999999997</v>
      </c>
      <c r="AK2428" t="s">
        <v>4966</v>
      </c>
      <c r="AL2428">
        <v>-75.496093999999999</v>
      </c>
      <c r="AM2428">
        <v>100</v>
      </c>
      <c r="AN2428">
        <v>4700</v>
      </c>
      <c r="AO2428" t="s">
        <v>115</v>
      </c>
      <c r="AP2428">
        <v>133</v>
      </c>
      <c r="AQ2428">
        <v>123</v>
      </c>
      <c r="AR2428">
        <v>0</v>
      </c>
      <c r="AZ2428">
        <v>3614</v>
      </c>
      <c r="BA2428">
        <v>1</v>
      </c>
      <c r="BB2428" t="str">
        <f t="shared" si="113"/>
        <v xml:space="preserve">N959MJ  </v>
      </c>
      <c r="BC2428">
        <v>1</v>
      </c>
      <c r="BE2428">
        <v>0</v>
      </c>
      <c r="BF2428">
        <v>0</v>
      </c>
      <c r="BG2428">
        <v>0</v>
      </c>
      <c r="BH2428">
        <v>4900</v>
      </c>
      <c r="BI2428">
        <v>200</v>
      </c>
      <c r="BJ2428">
        <v>1</v>
      </c>
      <c r="BK2428">
        <v>1</v>
      </c>
      <c r="BL2428">
        <v>1</v>
      </c>
      <c r="BM2428">
        <v>0</v>
      </c>
      <c r="BP2428">
        <v>0</v>
      </c>
      <c r="BQ2428">
        <v>0</v>
      </c>
      <c r="BX2428" t="str">
        <f>"14:30:48.750"</f>
        <v>14:30:48.750</v>
      </c>
      <c r="BY2428" t="str">
        <f>"748868783"</f>
        <v>748868783</v>
      </c>
      <c r="CL2428">
        <v>0</v>
      </c>
      <c r="CM2428">
        <v>2</v>
      </c>
      <c r="CN2428">
        <v>0</v>
      </c>
      <c r="CO2428">
        <v>2</v>
      </c>
      <c r="CP2428">
        <v>0</v>
      </c>
      <c r="CQ2428">
        <v>7</v>
      </c>
      <c r="CR2428" t="s">
        <v>116</v>
      </c>
      <c r="CS2428">
        <v>39</v>
      </c>
      <c r="CT2428">
        <v>0</v>
      </c>
      <c r="CU2428" t="s">
        <v>2259</v>
      </c>
      <c r="CV2428" t="s">
        <v>2260</v>
      </c>
      <c r="CY2428">
        <v>1837918</v>
      </c>
      <c r="CZ2428" t="s">
        <v>119</v>
      </c>
    </row>
    <row r="2429" spans="1:104" x14ac:dyDescent="0.25">
      <c r="A2429" t="str">
        <f>"14:30:49.977"</f>
        <v>14:30:49.977</v>
      </c>
      <c r="B2429" t="s">
        <v>108</v>
      </c>
      <c r="C2429" t="str">
        <f t="shared" si="112"/>
        <v>ffdfd3c0</v>
      </c>
      <c r="D2429" t="s">
        <v>109</v>
      </c>
      <c r="E2429">
        <v>4</v>
      </c>
      <c r="F2429">
        <v>1004</v>
      </c>
      <c r="G2429" t="s">
        <v>110</v>
      </c>
      <c r="J2429" t="s">
        <v>111</v>
      </c>
      <c r="K2429">
        <v>0</v>
      </c>
      <c r="L2429">
        <v>3</v>
      </c>
      <c r="M2429">
        <v>0</v>
      </c>
      <c r="N2429">
        <v>2</v>
      </c>
      <c r="O2429">
        <v>1</v>
      </c>
      <c r="P2429">
        <v>0</v>
      </c>
      <c r="Q2429">
        <v>0</v>
      </c>
      <c r="R2429" t="s">
        <v>112</v>
      </c>
      <c r="S2429" t="str">
        <f>"14:30:49.797"</f>
        <v>14:30:49.797</v>
      </c>
      <c r="T2429" t="str">
        <f>"14:30:49.297"</f>
        <v>14:30:49.297</v>
      </c>
      <c r="U2429" t="str">
        <f t="shared" si="111"/>
        <v>ad5732</v>
      </c>
      <c r="V2429">
        <v>0</v>
      </c>
      <c r="W2429">
        <v>0</v>
      </c>
      <c r="X2429">
        <v>1</v>
      </c>
      <c r="Z2429">
        <v>0</v>
      </c>
      <c r="AA2429">
        <v>9</v>
      </c>
      <c r="AB2429">
        <v>3</v>
      </c>
      <c r="AC2429">
        <v>0</v>
      </c>
      <c r="AD2429">
        <v>10</v>
      </c>
      <c r="AE2429">
        <v>0</v>
      </c>
      <c r="AF2429">
        <v>3</v>
      </c>
      <c r="AG2429">
        <v>2</v>
      </c>
      <c r="AH2429">
        <v>0</v>
      </c>
      <c r="AI2429" t="s">
        <v>4967</v>
      </c>
      <c r="AJ2429">
        <v>40.042912999999999</v>
      </c>
      <c r="AK2429" t="s">
        <v>4968</v>
      </c>
      <c r="AL2429">
        <v>-75.495236000000006</v>
      </c>
      <c r="AM2429">
        <v>100</v>
      </c>
      <c r="AN2429">
        <v>4700</v>
      </c>
      <c r="AO2429" t="s">
        <v>115</v>
      </c>
      <c r="AP2429">
        <v>133</v>
      </c>
      <c r="AQ2429">
        <v>123</v>
      </c>
      <c r="AR2429">
        <v>0</v>
      </c>
      <c r="AZ2429">
        <v>3614</v>
      </c>
      <c r="BA2429">
        <v>1</v>
      </c>
      <c r="BB2429" t="str">
        <f t="shared" si="113"/>
        <v xml:space="preserve">N959MJ  </v>
      </c>
      <c r="BC2429">
        <v>1</v>
      </c>
      <c r="BE2429">
        <v>0</v>
      </c>
      <c r="BF2429">
        <v>0</v>
      </c>
      <c r="BG2429">
        <v>0</v>
      </c>
      <c r="BH2429">
        <v>4900</v>
      </c>
      <c r="BI2429">
        <v>200</v>
      </c>
      <c r="BJ2429">
        <v>1</v>
      </c>
      <c r="BK2429">
        <v>1</v>
      </c>
      <c r="BL2429">
        <v>1</v>
      </c>
      <c r="BM2429">
        <v>0</v>
      </c>
      <c r="BP2429">
        <v>0</v>
      </c>
      <c r="BQ2429">
        <v>0</v>
      </c>
      <c r="BX2429" t="str">
        <f>"14:30:49.805"</f>
        <v>14:30:49.805</v>
      </c>
      <c r="BY2429" t="str">
        <f>"804016963"</f>
        <v>804016963</v>
      </c>
      <c r="CL2429">
        <v>0</v>
      </c>
      <c r="CM2429">
        <v>2</v>
      </c>
      <c r="CN2429">
        <v>0</v>
      </c>
      <c r="CO2429">
        <v>2</v>
      </c>
      <c r="CP2429">
        <v>0</v>
      </c>
      <c r="CQ2429">
        <v>7</v>
      </c>
      <c r="CR2429" t="s">
        <v>116</v>
      </c>
      <c r="CS2429">
        <v>39</v>
      </c>
      <c r="CT2429">
        <v>0</v>
      </c>
      <c r="CU2429" t="s">
        <v>2259</v>
      </c>
      <c r="CV2429" t="s">
        <v>2260</v>
      </c>
      <c r="CY2429">
        <v>1839718</v>
      </c>
      <c r="CZ2429" t="s">
        <v>119</v>
      </c>
    </row>
    <row r="2430" spans="1:104" x14ac:dyDescent="0.25">
      <c r="A2430" t="str">
        <f>"14:30:50.984"</f>
        <v>14:30:50.984</v>
      </c>
      <c r="B2430" t="s">
        <v>108</v>
      </c>
      <c r="C2430" t="str">
        <f t="shared" si="112"/>
        <v>ffdfd3c0</v>
      </c>
      <c r="D2430" t="s">
        <v>109</v>
      </c>
      <c r="E2430">
        <v>4</v>
      </c>
      <c r="F2430">
        <v>1004</v>
      </c>
      <c r="G2430" t="s">
        <v>110</v>
      </c>
      <c r="J2430" t="s">
        <v>111</v>
      </c>
      <c r="K2430">
        <v>0</v>
      </c>
      <c r="L2430">
        <v>3</v>
      </c>
      <c r="M2430">
        <v>0</v>
      </c>
      <c r="N2430">
        <v>2</v>
      </c>
      <c r="O2430">
        <v>1</v>
      </c>
      <c r="P2430">
        <v>0</v>
      </c>
      <c r="Q2430">
        <v>0</v>
      </c>
      <c r="R2430" t="s">
        <v>112</v>
      </c>
      <c r="S2430" t="str">
        <f>"14:30:50.805"</f>
        <v>14:30:50.805</v>
      </c>
      <c r="T2430" t="str">
        <f>"14:30:50.305"</f>
        <v>14:30:50.305</v>
      </c>
      <c r="U2430" t="str">
        <f t="shared" si="111"/>
        <v>ad5732</v>
      </c>
      <c r="V2430">
        <v>0</v>
      </c>
      <c r="W2430">
        <v>0</v>
      </c>
      <c r="X2430">
        <v>1</v>
      </c>
      <c r="Z2430">
        <v>0</v>
      </c>
      <c r="AA2430">
        <v>9</v>
      </c>
      <c r="AB2430">
        <v>3</v>
      </c>
      <c r="AC2430">
        <v>0</v>
      </c>
      <c r="AD2430">
        <v>10</v>
      </c>
      <c r="AE2430">
        <v>0</v>
      </c>
      <c r="AF2430">
        <v>3</v>
      </c>
      <c r="AG2430">
        <v>2</v>
      </c>
      <c r="AH2430">
        <v>0</v>
      </c>
      <c r="AI2430" t="s">
        <v>4969</v>
      </c>
      <c r="AJ2430">
        <v>40.043534999999999</v>
      </c>
      <c r="AK2430" t="s">
        <v>4970</v>
      </c>
      <c r="AL2430">
        <v>-75.494355999999996</v>
      </c>
      <c r="AM2430">
        <v>100</v>
      </c>
      <c r="AN2430">
        <v>4700</v>
      </c>
      <c r="AO2430" t="s">
        <v>115</v>
      </c>
      <c r="AP2430">
        <v>133</v>
      </c>
      <c r="AQ2430">
        <v>123</v>
      </c>
      <c r="AR2430">
        <v>0</v>
      </c>
      <c r="AZ2430">
        <v>3614</v>
      </c>
      <c r="BA2430">
        <v>1</v>
      </c>
      <c r="BB2430" t="str">
        <f t="shared" si="113"/>
        <v xml:space="preserve">N959MJ  </v>
      </c>
      <c r="BC2430">
        <v>1</v>
      </c>
      <c r="BE2430">
        <v>0</v>
      </c>
      <c r="BF2430">
        <v>0</v>
      </c>
      <c r="BG2430">
        <v>0</v>
      </c>
      <c r="BH2430">
        <v>4900</v>
      </c>
      <c r="BI2430">
        <v>200</v>
      </c>
      <c r="BJ2430">
        <v>1</v>
      </c>
      <c r="BK2430">
        <v>1</v>
      </c>
      <c r="BL2430">
        <v>1</v>
      </c>
      <c r="BM2430">
        <v>0</v>
      </c>
      <c r="BP2430">
        <v>0</v>
      </c>
      <c r="BQ2430">
        <v>0</v>
      </c>
      <c r="BX2430" t="str">
        <f>"14:30:50.805"</f>
        <v>14:30:50.805</v>
      </c>
      <c r="BY2430" t="str">
        <f>"808373744"</f>
        <v>808373744</v>
      </c>
      <c r="CL2430">
        <v>0</v>
      </c>
      <c r="CM2430">
        <v>2</v>
      </c>
      <c r="CN2430">
        <v>0</v>
      </c>
      <c r="CO2430">
        <v>2</v>
      </c>
      <c r="CP2430">
        <v>0</v>
      </c>
      <c r="CQ2430">
        <v>7</v>
      </c>
      <c r="CR2430" t="s">
        <v>116</v>
      </c>
      <c r="CS2430">
        <v>39</v>
      </c>
      <c r="CT2430">
        <v>0</v>
      </c>
      <c r="CU2430" t="s">
        <v>2259</v>
      </c>
      <c r="CV2430" t="s">
        <v>2260</v>
      </c>
      <c r="CY2430">
        <v>1841520</v>
      </c>
      <c r="CZ2430" t="s">
        <v>119</v>
      </c>
    </row>
    <row r="2431" spans="1:104" x14ac:dyDescent="0.25">
      <c r="A2431" t="str">
        <f>"14:30:52.047"</f>
        <v>14:30:52.047</v>
      </c>
      <c r="B2431" t="s">
        <v>108</v>
      </c>
      <c r="C2431" t="str">
        <f t="shared" si="112"/>
        <v>ffdfd3c0</v>
      </c>
      <c r="D2431" t="s">
        <v>109</v>
      </c>
      <c r="E2431">
        <v>4</v>
      </c>
      <c r="F2431">
        <v>1004</v>
      </c>
      <c r="G2431" t="s">
        <v>110</v>
      </c>
      <c r="J2431" t="s">
        <v>111</v>
      </c>
      <c r="K2431">
        <v>0</v>
      </c>
      <c r="L2431">
        <v>3</v>
      </c>
      <c r="M2431">
        <v>0</v>
      </c>
      <c r="N2431">
        <v>2</v>
      </c>
      <c r="O2431">
        <v>1</v>
      </c>
      <c r="P2431">
        <v>0</v>
      </c>
      <c r="Q2431">
        <v>0</v>
      </c>
      <c r="R2431" t="s">
        <v>112</v>
      </c>
      <c r="S2431" t="str">
        <f>"14:30:51.883"</f>
        <v>14:30:51.883</v>
      </c>
      <c r="T2431" t="str">
        <f>"14:30:51.383"</f>
        <v>14:30:51.383</v>
      </c>
      <c r="U2431" t="str">
        <f t="shared" si="111"/>
        <v>ad5732</v>
      </c>
      <c r="V2431">
        <v>0</v>
      </c>
      <c r="W2431">
        <v>0</v>
      </c>
      <c r="X2431">
        <v>1</v>
      </c>
      <c r="Z2431">
        <v>0</v>
      </c>
      <c r="AA2431">
        <v>9</v>
      </c>
      <c r="AB2431">
        <v>3</v>
      </c>
      <c r="AC2431">
        <v>0</v>
      </c>
      <c r="AD2431">
        <v>10</v>
      </c>
      <c r="AE2431">
        <v>0</v>
      </c>
      <c r="AF2431">
        <v>3</v>
      </c>
      <c r="AG2431">
        <v>2</v>
      </c>
      <c r="AH2431">
        <v>0</v>
      </c>
      <c r="AI2431" t="s">
        <v>4971</v>
      </c>
      <c r="AJ2431">
        <v>40.044092999999997</v>
      </c>
      <c r="AK2431" t="s">
        <v>4972</v>
      </c>
      <c r="AL2431">
        <v>-75.493605000000002</v>
      </c>
      <c r="AM2431">
        <v>100</v>
      </c>
      <c r="AN2431">
        <v>4700</v>
      </c>
      <c r="AO2431" t="s">
        <v>115</v>
      </c>
      <c r="AP2431">
        <v>132</v>
      </c>
      <c r="AQ2431">
        <v>123</v>
      </c>
      <c r="AR2431">
        <v>0</v>
      </c>
      <c r="AZ2431">
        <v>3614</v>
      </c>
      <c r="BA2431">
        <v>1</v>
      </c>
      <c r="BB2431" t="str">
        <f t="shared" si="113"/>
        <v xml:space="preserve">N959MJ  </v>
      </c>
      <c r="BC2431">
        <v>1</v>
      </c>
      <c r="BE2431">
        <v>0</v>
      </c>
      <c r="BF2431">
        <v>0</v>
      </c>
      <c r="BG2431">
        <v>0</v>
      </c>
      <c r="BH2431">
        <v>4900</v>
      </c>
      <c r="BI2431">
        <v>200</v>
      </c>
      <c r="BJ2431">
        <v>1</v>
      </c>
      <c r="BK2431">
        <v>1</v>
      </c>
      <c r="BL2431">
        <v>1</v>
      </c>
      <c r="BM2431">
        <v>0</v>
      </c>
      <c r="BP2431">
        <v>0</v>
      </c>
      <c r="BQ2431">
        <v>0</v>
      </c>
      <c r="BX2431" t="str">
        <f>"14:30:51.891"</f>
        <v>14:30:51.891</v>
      </c>
      <c r="BY2431" t="str">
        <f>"888098318"</f>
        <v>888098318</v>
      </c>
      <c r="CL2431">
        <v>0</v>
      </c>
      <c r="CM2431">
        <v>2</v>
      </c>
      <c r="CN2431">
        <v>0</v>
      </c>
      <c r="CO2431">
        <v>2</v>
      </c>
      <c r="CP2431">
        <v>0</v>
      </c>
      <c r="CQ2431">
        <v>7</v>
      </c>
      <c r="CR2431" t="s">
        <v>116</v>
      </c>
      <c r="CS2431">
        <v>39</v>
      </c>
      <c r="CT2431">
        <v>0</v>
      </c>
      <c r="CU2431" t="s">
        <v>2259</v>
      </c>
      <c r="CV2431" t="s">
        <v>2260</v>
      </c>
      <c r="CY2431">
        <v>1843368</v>
      </c>
      <c r="CZ2431" t="s">
        <v>119</v>
      </c>
    </row>
    <row r="2432" spans="1:104" x14ac:dyDescent="0.25">
      <c r="A2432" t="str">
        <f>"14:30:53.055"</f>
        <v>14:30:53.055</v>
      </c>
      <c r="B2432" t="s">
        <v>108</v>
      </c>
      <c r="C2432" t="str">
        <f t="shared" si="112"/>
        <v>ffdfd3c0</v>
      </c>
      <c r="D2432" t="s">
        <v>109</v>
      </c>
      <c r="E2432">
        <v>4</v>
      </c>
      <c r="F2432">
        <v>1004</v>
      </c>
      <c r="G2432" t="s">
        <v>110</v>
      </c>
      <c r="J2432" t="s">
        <v>111</v>
      </c>
      <c r="K2432">
        <v>0</v>
      </c>
      <c r="L2432">
        <v>3</v>
      </c>
      <c r="M2432">
        <v>0</v>
      </c>
      <c r="N2432">
        <v>2</v>
      </c>
      <c r="O2432">
        <v>1</v>
      </c>
      <c r="P2432">
        <v>0</v>
      </c>
      <c r="Q2432">
        <v>0</v>
      </c>
      <c r="R2432" t="s">
        <v>112</v>
      </c>
      <c r="S2432" t="str">
        <f>"14:30:52.891"</f>
        <v>14:30:52.891</v>
      </c>
      <c r="T2432" t="str">
        <f>"14:30:52.391"</f>
        <v>14:30:52.391</v>
      </c>
      <c r="U2432" t="str">
        <f t="shared" si="111"/>
        <v>ad5732</v>
      </c>
      <c r="V2432">
        <v>0</v>
      </c>
      <c r="W2432">
        <v>0</v>
      </c>
      <c r="X2432">
        <v>1</v>
      </c>
      <c r="Z2432">
        <v>0</v>
      </c>
      <c r="AA2432">
        <v>9</v>
      </c>
      <c r="AB2432">
        <v>3</v>
      </c>
      <c r="AC2432">
        <v>0</v>
      </c>
      <c r="AD2432">
        <v>10</v>
      </c>
      <c r="AE2432">
        <v>0</v>
      </c>
      <c r="AF2432">
        <v>3</v>
      </c>
      <c r="AG2432">
        <v>2</v>
      </c>
      <c r="AH2432">
        <v>0</v>
      </c>
      <c r="AI2432" t="s">
        <v>4973</v>
      </c>
      <c r="AJ2432">
        <v>40.044651000000002</v>
      </c>
      <c r="AK2432" t="s">
        <v>4974</v>
      </c>
      <c r="AL2432">
        <v>-75.492811000000003</v>
      </c>
      <c r="AM2432">
        <v>100</v>
      </c>
      <c r="AN2432">
        <v>4700</v>
      </c>
      <c r="AO2432" t="s">
        <v>115</v>
      </c>
      <c r="AP2432">
        <v>132</v>
      </c>
      <c r="AQ2432">
        <v>123</v>
      </c>
      <c r="AR2432">
        <v>0</v>
      </c>
      <c r="AZ2432">
        <v>3614</v>
      </c>
      <c r="BA2432">
        <v>1</v>
      </c>
      <c r="BB2432" t="str">
        <f t="shared" si="113"/>
        <v xml:space="preserve">N959MJ  </v>
      </c>
      <c r="BC2432">
        <v>1</v>
      </c>
      <c r="BE2432">
        <v>0</v>
      </c>
      <c r="BF2432">
        <v>0</v>
      </c>
      <c r="BG2432">
        <v>0</v>
      </c>
      <c r="BH2432">
        <v>4900</v>
      </c>
      <c r="BI2432">
        <v>200</v>
      </c>
      <c r="BJ2432">
        <v>1</v>
      </c>
      <c r="BK2432">
        <v>1</v>
      </c>
      <c r="BL2432">
        <v>1</v>
      </c>
      <c r="BM2432">
        <v>0</v>
      </c>
      <c r="BP2432">
        <v>0</v>
      </c>
      <c r="BQ2432">
        <v>0</v>
      </c>
      <c r="BX2432" t="str">
        <f>"14:30:52.898"</f>
        <v>14:30:52.898</v>
      </c>
      <c r="BY2432" t="str">
        <f>"895732080"</f>
        <v>895732080</v>
      </c>
      <c r="CL2432">
        <v>0</v>
      </c>
      <c r="CM2432">
        <v>2</v>
      </c>
      <c r="CN2432">
        <v>0</v>
      </c>
      <c r="CO2432">
        <v>2</v>
      </c>
      <c r="CP2432">
        <v>0</v>
      </c>
      <c r="CQ2432">
        <v>7</v>
      </c>
      <c r="CR2432" t="s">
        <v>116</v>
      </c>
      <c r="CS2432">
        <v>39</v>
      </c>
      <c r="CT2432">
        <v>0</v>
      </c>
      <c r="CU2432" t="s">
        <v>2259</v>
      </c>
      <c r="CV2432" t="s">
        <v>2260</v>
      </c>
      <c r="CY2432">
        <v>1845108</v>
      </c>
      <c r="CZ2432" t="s">
        <v>119</v>
      </c>
    </row>
    <row r="2433" spans="1:104" x14ac:dyDescent="0.25">
      <c r="A2433" t="str">
        <f>"14:30:54.164"</f>
        <v>14:30:54.164</v>
      </c>
      <c r="B2433" t="s">
        <v>108</v>
      </c>
      <c r="C2433" t="str">
        <f t="shared" si="112"/>
        <v>ffdfd3c0</v>
      </c>
      <c r="D2433" t="s">
        <v>109</v>
      </c>
      <c r="E2433">
        <v>4</v>
      </c>
      <c r="F2433">
        <v>1004</v>
      </c>
      <c r="G2433" t="s">
        <v>110</v>
      </c>
      <c r="J2433" t="s">
        <v>111</v>
      </c>
      <c r="K2433">
        <v>0</v>
      </c>
      <c r="L2433">
        <v>3</v>
      </c>
      <c r="M2433">
        <v>0</v>
      </c>
      <c r="N2433">
        <v>2</v>
      </c>
      <c r="O2433">
        <v>1</v>
      </c>
      <c r="P2433">
        <v>0</v>
      </c>
      <c r="Q2433">
        <v>0</v>
      </c>
      <c r="R2433" t="s">
        <v>112</v>
      </c>
      <c r="S2433" t="str">
        <f>"14:30:54.000"</f>
        <v>14:30:54.000</v>
      </c>
      <c r="T2433" t="str">
        <f>"14:30:53.500"</f>
        <v>14:30:53.500</v>
      </c>
      <c r="U2433" t="str">
        <f t="shared" si="111"/>
        <v>ad5732</v>
      </c>
      <c r="V2433">
        <v>0</v>
      </c>
      <c r="W2433">
        <v>0</v>
      </c>
      <c r="X2433">
        <v>1</v>
      </c>
      <c r="Z2433">
        <v>0</v>
      </c>
      <c r="AA2433">
        <v>9</v>
      </c>
      <c r="AB2433">
        <v>3</v>
      </c>
      <c r="AC2433">
        <v>0</v>
      </c>
      <c r="AD2433">
        <v>10</v>
      </c>
      <c r="AE2433">
        <v>0</v>
      </c>
      <c r="AF2433">
        <v>3</v>
      </c>
      <c r="AG2433">
        <v>2</v>
      </c>
      <c r="AH2433">
        <v>0</v>
      </c>
      <c r="AI2433" t="s">
        <v>4975</v>
      </c>
      <c r="AJ2433">
        <v>40.045358999999998</v>
      </c>
      <c r="AK2433" t="s">
        <v>4976</v>
      </c>
      <c r="AL2433">
        <v>-75.491866999999999</v>
      </c>
      <c r="AM2433">
        <v>100</v>
      </c>
      <c r="AN2433">
        <v>4700</v>
      </c>
      <c r="AO2433" t="s">
        <v>115</v>
      </c>
      <c r="AP2433">
        <v>132</v>
      </c>
      <c r="AQ2433">
        <v>124</v>
      </c>
      <c r="AR2433">
        <v>0</v>
      </c>
      <c r="AZ2433">
        <v>3614</v>
      </c>
      <c r="BA2433">
        <v>1</v>
      </c>
      <c r="BB2433" t="str">
        <f t="shared" si="113"/>
        <v xml:space="preserve">N959MJ  </v>
      </c>
      <c r="BC2433">
        <v>1</v>
      </c>
      <c r="BE2433">
        <v>0</v>
      </c>
      <c r="BF2433">
        <v>0</v>
      </c>
      <c r="BG2433">
        <v>0</v>
      </c>
      <c r="BH2433">
        <v>4900</v>
      </c>
      <c r="BI2433">
        <v>200</v>
      </c>
      <c r="BJ2433">
        <v>1</v>
      </c>
      <c r="BK2433">
        <v>1</v>
      </c>
      <c r="BL2433">
        <v>1</v>
      </c>
      <c r="BM2433">
        <v>0</v>
      </c>
      <c r="BP2433">
        <v>0</v>
      </c>
      <c r="BQ2433">
        <v>0</v>
      </c>
      <c r="BX2433" t="str">
        <f>"14:30:54.008"</f>
        <v>14:30:54.008</v>
      </c>
      <c r="BY2433" t="str">
        <f>"006586737"</f>
        <v>006586737</v>
      </c>
      <c r="CL2433">
        <v>0</v>
      </c>
      <c r="CM2433">
        <v>2</v>
      </c>
      <c r="CN2433">
        <v>0</v>
      </c>
      <c r="CO2433">
        <v>2</v>
      </c>
      <c r="CP2433">
        <v>0</v>
      </c>
      <c r="CQ2433">
        <v>7</v>
      </c>
      <c r="CR2433" t="s">
        <v>116</v>
      </c>
      <c r="CS2433">
        <v>39</v>
      </c>
      <c r="CT2433">
        <v>0</v>
      </c>
      <c r="CU2433" t="s">
        <v>2259</v>
      </c>
      <c r="CV2433" t="s">
        <v>2260</v>
      </c>
      <c r="CY2433">
        <v>1847180</v>
      </c>
      <c r="CZ2433" t="s">
        <v>119</v>
      </c>
    </row>
    <row r="2434" spans="1:104" x14ac:dyDescent="0.25">
      <c r="A2434" t="str">
        <f>"14:30:55.125"</f>
        <v>14:30:55.125</v>
      </c>
      <c r="B2434" t="s">
        <v>108</v>
      </c>
      <c r="C2434" t="str">
        <f t="shared" si="112"/>
        <v>ffdfd3c0</v>
      </c>
      <c r="D2434" t="s">
        <v>109</v>
      </c>
      <c r="E2434">
        <v>4</v>
      </c>
      <c r="F2434">
        <v>1004</v>
      </c>
      <c r="G2434" t="s">
        <v>110</v>
      </c>
      <c r="J2434" t="s">
        <v>111</v>
      </c>
      <c r="K2434">
        <v>0</v>
      </c>
      <c r="L2434">
        <v>3</v>
      </c>
      <c r="M2434">
        <v>0</v>
      </c>
      <c r="N2434">
        <v>2</v>
      </c>
      <c r="O2434">
        <v>1</v>
      </c>
      <c r="P2434">
        <v>0</v>
      </c>
      <c r="Q2434">
        <v>0</v>
      </c>
      <c r="R2434" t="s">
        <v>112</v>
      </c>
      <c r="S2434" t="str">
        <f>"14:30:54.961"</f>
        <v>14:30:54.961</v>
      </c>
      <c r="T2434" t="str">
        <f>"14:30:54.461"</f>
        <v>14:30:54.461</v>
      </c>
      <c r="U2434" t="str">
        <f t="shared" ref="U2434:U2497" si="114">"ad5732"</f>
        <v>ad5732</v>
      </c>
      <c r="V2434">
        <v>0</v>
      </c>
      <c r="W2434">
        <v>0</v>
      </c>
      <c r="X2434">
        <v>1</v>
      </c>
      <c r="Z2434">
        <v>0</v>
      </c>
      <c r="AA2434">
        <v>9</v>
      </c>
      <c r="AB2434">
        <v>3</v>
      </c>
      <c r="AC2434">
        <v>0</v>
      </c>
      <c r="AD2434">
        <v>10</v>
      </c>
      <c r="AE2434">
        <v>0</v>
      </c>
      <c r="AF2434">
        <v>3</v>
      </c>
      <c r="AG2434">
        <v>2</v>
      </c>
      <c r="AH2434">
        <v>0</v>
      </c>
      <c r="AI2434" t="s">
        <v>4977</v>
      </c>
      <c r="AJ2434">
        <v>40.045853000000001</v>
      </c>
      <c r="AK2434" t="s">
        <v>4978</v>
      </c>
      <c r="AL2434">
        <v>-75.491158999999996</v>
      </c>
      <c r="AM2434">
        <v>100</v>
      </c>
      <c r="AN2434">
        <v>4700</v>
      </c>
      <c r="AO2434" t="s">
        <v>115</v>
      </c>
      <c r="AP2434">
        <v>132</v>
      </c>
      <c r="AQ2434">
        <v>124</v>
      </c>
      <c r="AR2434">
        <v>0</v>
      </c>
      <c r="AZ2434">
        <v>3614</v>
      </c>
      <c r="BA2434">
        <v>1</v>
      </c>
      <c r="BB2434" t="str">
        <f t="shared" si="113"/>
        <v xml:space="preserve">N959MJ  </v>
      </c>
      <c r="BC2434">
        <v>1</v>
      </c>
      <c r="BE2434">
        <v>0</v>
      </c>
      <c r="BF2434">
        <v>0</v>
      </c>
      <c r="BG2434">
        <v>0</v>
      </c>
      <c r="BH2434">
        <v>4900</v>
      </c>
      <c r="BI2434">
        <v>200</v>
      </c>
      <c r="BJ2434">
        <v>1</v>
      </c>
      <c r="BK2434">
        <v>1</v>
      </c>
      <c r="BL2434">
        <v>1</v>
      </c>
      <c r="BM2434">
        <v>0</v>
      </c>
      <c r="BP2434">
        <v>0</v>
      </c>
      <c r="BQ2434">
        <v>0</v>
      </c>
      <c r="BX2434" t="str">
        <f>"14:30:54.969"</f>
        <v>14:30:54.969</v>
      </c>
      <c r="BY2434" t="str">
        <f>"965067566"</f>
        <v>965067566</v>
      </c>
      <c r="CL2434">
        <v>0</v>
      </c>
      <c r="CM2434">
        <v>2</v>
      </c>
      <c r="CN2434">
        <v>0</v>
      </c>
      <c r="CO2434">
        <v>2</v>
      </c>
      <c r="CP2434">
        <v>0</v>
      </c>
      <c r="CQ2434">
        <v>7</v>
      </c>
      <c r="CR2434" t="s">
        <v>116</v>
      </c>
      <c r="CS2434">
        <v>39</v>
      </c>
      <c r="CT2434">
        <v>0</v>
      </c>
      <c r="CU2434" t="s">
        <v>2259</v>
      </c>
      <c r="CV2434" t="s">
        <v>2260</v>
      </c>
      <c r="CY2434">
        <v>1848821</v>
      </c>
      <c r="CZ2434" t="s">
        <v>119</v>
      </c>
    </row>
    <row r="2435" spans="1:104" x14ac:dyDescent="0.25">
      <c r="A2435" t="str">
        <f>"14:30:56.133"</f>
        <v>14:30:56.133</v>
      </c>
      <c r="B2435" t="s">
        <v>108</v>
      </c>
      <c r="C2435" t="str">
        <f t="shared" si="112"/>
        <v>ffdfd3c0</v>
      </c>
      <c r="D2435" t="s">
        <v>109</v>
      </c>
      <c r="E2435">
        <v>4</v>
      </c>
      <c r="F2435">
        <v>1004</v>
      </c>
      <c r="G2435" t="s">
        <v>110</v>
      </c>
      <c r="J2435" t="s">
        <v>111</v>
      </c>
      <c r="K2435">
        <v>0</v>
      </c>
      <c r="L2435">
        <v>3</v>
      </c>
      <c r="M2435">
        <v>0</v>
      </c>
      <c r="N2435">
        <v>2</v>
      </c>
      <c r="O2435">
        <v>1</v>
      </c>
      <c r="P2435">
        <v>0</v>
      </c>
      <c r="Q2435">
        <v>0</v>
      </c>
      <c r="R2435" t="s">
        <v>112</v>
      </c>
      <c r="S2435" t="str">
        <f>"14:30:55.961"</f>
        <v>14:30:55.961</v>
      </c>
      <c r="T2435" t="str">
        <f>"14:30:55.461"</f>
        <v>14:30:55.461</v>
      </c>
      <c r="U2435" t="str">
        <f t="shared" si="114"/>
        <v>ad5732</v>
      </c>
      <c r="V2435">
        <v>0</v>
      </c>
      <c r="W2435">
        <v>0</v>
      </c>
      <c r="X2435">
        <v>1</v>
      </c>
      <c r="Z2435">
        <v>0</v>
      </c>
      <c r="AA2435">
        <v>9</v>
      </c>
      <c r="AB2435">
        <v>3</v>
      </c>
      <c r="AC2435">
        <v>0</v>
      </c>
      <c r="AD2435">
        <v>10</v>
      </c>
      <c r="AE2435">
        <v>0</v>
      </c>
      <c r="AF2435">
        <v>3</v>
      </c>
      <c r="AG2435">
        <v>2</v>
      </c>
      <c r="AH2435">
        <v>0</v>
      </c>
      <c r="AI2435" t="s">
        <v>4979</v>
      </c>
      <c r="AJ2435">
        <v>40.046453</v>
      </c>
      <c r="AK2435" t="s">
        <v>4980</v>
      </c>
      <c r="AL2435">
        <v>-75.490364999999997</v>
      </c>
      <c r="AM2435">
        <v>100</v>
      </c>
      <c r="AN2435">
        <v>4700</v>
      </c>
      <c r="AO2435" t="s">
        <v>115</v>
      </c>
      <c r="AP2435">
        <v>132</v>
      </c>
      <c r="AQ2435">
        <v>124</v>
      </c>
      <c r="AR2435">
        <v>0</v>
      </c>
      <c r="AZ2435">
        <v>3614</v>
      </c>
      <c r="BA2435">
        <v>1</v>
      </c>
      <c r="BB2435" t="str">
        <f t="shared" si="113"/>
        <v xml:space="preserve">N959MJ  </v>
      </c>
      <c r="BC2435">
        <v>1</v>
      </c>
      <c r="BE2435">
        <v>0</v>
      </c>
      <c r="BF2435">
        <v>0</v>
      </c>
      <c r="BG2435">
        <v>0</v>
      </c>
      <c r="BH2435">
        <v>4900</v>
      </c>
      <c r="BI2435">
        <v>200</v>
      </c>
      <c r="BJ2435">
        <v>1</v>
      </c>
      <c r="BK2435">
        <v>1</v>
      </c>
      <c r="BL2435">
        <v>1</v>
      </c>
      <c r="BM2435">
        <v>0</v>
      </c>
      <c r="BP2435">
        <v>0</v>
      </c>
      <c r="BQ2435">
        <v>0</v>
      </c>
      <c r="BX2435" t="str">
        <f>"14:30:55.969"</f>
        <v>14:30:55.969</v>
      </c>
      <c r="BY2435" t="str">
        <f>"967786104"</f>
        <v>967786104</v>
      </c>
      <c r="CL2435">
        <v>0</v>
      </c>
      <c r="CM2435">
        <v>2</v>
      </c>
      <c r="CN2435">
        <v>0</v>
      </c>
      <c r="CO2435">
        <v>2</v>
      </c>
      <c r="CP2435">
        <v>0</v>
      </c>
      <c r="CQ2435">
        <v>7</v>
      </c>
      <c r="CR2435" t="s">
        <v>116</v>
      </c>
      <c r="CS2435">
        <v>39</v>
      </c>
      <c r="CT2435">
        <v>0</v>
      </c>
      <c r="CU2435" t="s">
        <v>2259</v>
      </c>
      <c r="CV2435" t="s">
        <v>2260</v>
      </c>
      <c r="CY2435">
        <v>1850457</v>
      </c>
      <c r="CZ2435" t="s">
        <v>119</v>
      </c>
    </row>
    <row r="2436" spans="1:104" x14ac:dyDescent="0.25">
      <c r="A2436" t="str">
        <f>"14:30:57.094"</f>
        <v>14:30:57.094</v>
      </c>
      <c r="B2436" t="s">
        <v>108</v>
      </c>
      <c r="C2436" t="str">
        <f t="shared" si="112"/>
        <v>ffdfd3c0</v>
      </c>
      <c r="D2436" t="s">
        <v>109</v>
      </c>
      <c r="E2436">
        <v>4</v>
      </c>
      <c r="F2436">
        <v>1004</v>
      </c>
      <c r="G2436" t="s">
        <v>110</v>
      </c>
      <c r="J2436" t="s">
        <v>111</v>
      </c>
      <c r="K2436">
        <v>0</v>
      </c>
      <c r="L2436">
        <v>3</v>
      </c>
      <c r="M2436">
        <v>0</v>
      </c>
      <c r="N2436">
        <v>2</v>
      </c>
      <c r="O2436">
        <v>1</v>
      </c>
      <c r="P2436">
        <v>0</v>
      </c>
      <c r="Q2436">
        <v>0</v>
      </c>
      <c r="R2436" t="s">
        <v>112</v>
      </c>
      <c r="S2436" t="str">
        <f>"14:30:56.930"</f>
        <v>14:30:56.930</v>
      </c>
      <c r="T2436" t="str">
        <f>"14:30:56.531"</f>
        <v>14:30:56.531</v>
      </c>
      <c r="U2436" t="str">
        <f t="shared" si="114"/>
        <v>ad5732</v>
      </c>
      <c r="V2436">
        <v>0</v>
      </c>
      <c r="W2436">
        <v>0</v>
      </c>
      <c r="X2436">
        <v>1</v>
      </c>
      <c r="Z2436">
        <v>0</v>
      </c>
      <c r="AA2436">
        <v>9</v>
      </c>
      <c r="AB2436">
        <v>3</v>
      </c>
      <c r="AC2436">
        <v>0</v>
      </c>
      <c r="AD2436">
        <v>10</v>
      </c>
      <c r="AE2436">
        <v>0</v>
      </c>
      <c r="AF2436">
        <v>3</v>
      </c>
      <c r="AG2436">
        <v>2</v>
      </c>
      <c r="AH2436">
        <v>0</v>
      </c>
      <c r="AI2436" t="s">
        <v>4981</v>
      </c>
      <c r="AJ2436">
        <v>40.047032999999999</v>
      </c>
      <c r="AK2436" t="s">
        <v>4982</v>
      </c>
      <c r="AL2436">
        <v>-75.489570999999998</v>
      </c>
      <c r="AM2436">
        <v>100</v>
      </c>
      <c r="AN2436">
        <v>4700</v>
      </c>
      <c r="AO2436" t="s">
        <v>115</v>
      </c>
      <c r="AP2436">
        <v>132</v>
      </c>
      <c r="AQ2436">
        <v>124</v>
      </c>
      <c r="AR2436">
        <v>0</v>
      </c>
      <c r="AZ2436">
        <v>3614</v>
      </c>
      <c r="BA2436">
        <v>1</v>
      </c>
      <c r="BB2436" t="str">
        <f t="shared" si="113"/>
        <v xml:space="preserve">N959MJ  </v>
      </c>
      <c r="BC2436">
        <v>1</v>
      </c>
      <c r="BE2436">
        <v>0</v>
      </c>
      <c r="BF2436">
        <v>0</v>
      </c>
      <c r="BG2436">
        <v>0</v>
      </c>
      <c r="BH2436">
        <v>4900</v>
      </c>
      <c r="BI2436">
        <v>200</v>
      </c>
      <c r="BJ2436">
        <v>1</v>
      </c>
      <c r="BK2436">
        <v>1</v>
      </c>
      <c r="BL2436">
        <v>1</v>
      </c>
      <c r="BM2436">
        <v>0</v>
      </c>
      <c r="BP2436">
        <v>0</v>
      </c>
      <c r="BQ2436">
        <v>0</v>
      </c>
      <c r="BX2436" t="str">
        <f>"14:30:56.930"</f>
        <v>14:30:56.930</v>
      </c>
      <c r="BY2436" t="str">
        <f>"931182165"</f>
        <v>931182165</v>
      </c>
      <c r="CL2436">
        <v>0</v>
      </c>
      <c r="CM2436">
        <v>2</v>
      </c>
      <c r="CN2436">
        <v>0</v>
      </c>
      <c r="CO2436">
        <v>2</v>
      </c>
      <c r="CP2436">
        <v>0</v>
      </c>
      <c r="CQ2436">
        <v>7</v>
      </c>
      <c r="CR2436" t="s">
        <v>116</v>
      </c>
      <c r="CS2436">
        <v>39</v>
      </c>
      <c r="CT2436">
        <v>0</v>
      </c>
      <c r="CU2436" t="s">
        <v>2259</v>
      </c>
      <c r="CV2436" t="s">
        <v>2260</v>
      </c>
      <c r="CY2436">
        <v>1852110</v>
      </c>
      <c r="CZ2436" t="s">
        <v>119</v>
      </c>
    </row>
    <row r="2437" spans="1:104" x14ac:dyDescent="0.25">
      <c r="A2437" t="str">
        <f>"14:30:58.102"</f>
        <v>14:30:58.102</v>
      </c>
      <c r="B2437" t="s">
        <v>108</v>
      </c>
      <c r="C2437" t="str">
        <f t="shared" si="112"/>
        <v>ffdfd3c0</v>
      </c>
      <c r="D2437" t="s">
        <v>109</v>
      </c>
      <c r="E2437">
        <v>4</v>
      </c>
      <c r="F2437">
        <v>1004</v>
      </c>
      <c r="G2437" t="s">
        <v>110</v>
      </c>
      <c r="J2437" t="s">
        <v>111</v>
      </c>
      <c r="K2437">
        <v>0</v>
      </c>
      <c r="L2437">
        <v>3</v>
      </c>
      <c r="M2437">
        <v>0</v>
      </c>
      <c r="N2437">
        <v>2</v>
      </c>
      <c r="O2437">
        <v>1</v>
      </c>
      <c r="P2437">
        <v>0</v>
      </c>
      <c r="Q2437">
        <v>0</v>
      </c>
      <c r="R2437" t="s">
        <v>112</v>
      </c>
      <c r="S2437" t="str">
        <f>"14:30:57.906"</f>
        <v>14:30:57.906</v>
      </c>
      <c r="T2437" t="str">
        <f>"14:30:57.508"</f>
        <v>14:30:57.508</v>
      </c>
      <c r="U2437" t="str">
        <f t="shared" si="114"/>
        <v>ad5732</v>
      </c>
      <c r="V2437">
        <v>0</v>
      </c>
      <c r="W2437">
        <v>0</v>
      </c>
      <c r="X2437">
        <v>1</v>
      </c>
      <c r="Z2437">
        <v>0</v>
      </c>
      <c r="AA2437">
        <v>9</v>
      </c>
      <c r="AB2437">
        <v>3</v>
      </c>
      <c r="AC2437">
        <v>0</v>
      </c>
      <c r="AD2437">
        <v>10</v>
      </c>
      <c r="AE2437">
        <v>0</v>
      </c>
      <c r="AF2437">
        <v>3</v>
      </c>
      <c r="AG2437">
        <v>2</v>
      </c>
      <c r="AH2437">
        <v>0</v>
      </c>
      <c r="AI2437" t="s">
        <v>4983</v>
      </c>
      <c r="AJ2437">
        <v>40.047590999999997</v>
      </c>
      <c r="AK2437" t="s">
        <v>4984</v>
      </c>
      <c r="AL2437">
        <v>-75.488776999999999</v>
      </c>
      <c r="AM2437">
        <v>100</v>
      </c>
      <c r="AN2437">
        <v>4700</v>
      </c>
      <c r="AO2437" t="s">
        <v>115</v>
      </c>
      <c r="AP2437">
        <v>132</v>
      </c>
      <c r="AQ2437">
        <v>124</v>
      </c>
      <c r="AR2437">
        <v>0</v>
      </c>
      <c r="AZ2437">
        <v>3614</v>
      </c>
      <c r="BA2437">
        <v>1</v>
      </c>
      <c r="BB2437" t="str">
        <f t="shared" si="113"/>
        <v xml:space="preserve">N959MJ  </v>
      </c>
      <c r="BC2437">
        <v>1</v>
      </c>
      <c r="BE2437">
        <v>0</v>
      </c>
      <c r="BF2437">
        <v>0</v>
      </c>
      <c r="BG2437">
        <v>0</v>
      </c>
      <c r="BH2437">
        <v>4900</v>
      </c>
      <c r="BI2437">
        <v>200</v>
      </c>
      <c r="BJ2437">
        <v>1</v>
      </c>
      <c r="BK2437">
        <v>1</v>
      </c>
      <c r="BL2437">
        <v>1</v>
      </c>
      <c r="BM2437">
        <v>0</v>
      </c>
      <c r="BP2437">
        <v>0</v>
      </c>
      <c r="BQ2437">
        <v>0</v>
      </c>
      <c r="BX2437" t="str">
        <f>"14:30:57.906"</f>
        <v>14:30:57.906</v>
      </c>
      <c r="BY2437" t="str">
        <f>"909324104"</f>
        <v>909324104</v>
      </c>
      <c r="CL2437">
        <v>0</v>
      </c>
      <c r="CM2437">
        <v>2</v>
      </c>
      <c r="CN2437">
        <v>0</v>
      </c>
      <c r="CO2437">
        <v>2</v>
      </c>
      <c r="CP2437">
        <v>0</v>
      </c>
      <c r="CQ2437">
        <v>7</v>
      </c>
      <c r="CR2437" t="s">
        <v>116</v>
      </c>
      <c r="CS2437">
        <v>39</v>
      </c>
      <c r="CT2437">
        <v>0</v>
      </c>
      <c r="CU2437" t="s">
        <v>2259</v>
      </c>
      <c r="CV2437" t="s">
        <v>2260</v>
      </c>
      <c r="CY2437">
        <v>1853890</v>
      </c>
      <c r="CZ2437" t="s">
        <v>119</v>
      </c>
    </row>
    <row r="2438" spans="1:104" x14ac:dyDescent="0.25">
      <c r="A2438" t="str">
        <f>"14:30:59.063"</f>
        <v>14:30:59.063</v>
      </c>
      <c r="B2438" t="s">
        <v>108</v>
      </c>
      <c r="C2438" t="str">
        <f t="shared" si="112"/>
        <v>ffdfd3c0</v>
      </c>
      <c r="D2438" t="s">
        <v>109</v>
      </c>
      <c r="E2438">
        <v>4</v>
      </c>
      <c r="F2438">
        <v>1004</v>
      </c>
      <c r="G2438" t="s">
        <v>110</v>
      </c>
      <c r="J2438" t="s">
        <v>111</v>
      </c>
      <c r="K2438">
        <v>0</v>
      </c>
      <c r="L2438">
        <v>3</v>
      </c>
      <c r="M2438">
        <v>0</v>
      </c>
      <c r="N2438">
        <v>2</v>
      </c>
      <c r="O2438">
        <v>1</v>
      </c>
      <c r="P2438">
        <v>0</v>
      </c>
      <c r="Q2438">
        <v>0</v>
      </c>
      <c r="R2438" t="s">
        <v>112</v>
      </c>
      <c r="S2438" t="str">
        <f>"14:30:58.906"</f>
        <v>14:30:58.906</v>
      </c>
      <c r="T2438" t="str">
        <f>"14:30:58.406"</f>
        <v>14:30:58.406</v>
      </c>
      <c r="U2438" t="str">
        <f t="shared" si="114"/>
        <v>ad5732</v>
      </c>
      <c r="V2438">
        <v>0</v>
      </c>
      <c r="W2438">
        <v>0</v>
      </c>
      <c r="X2438">
        <v>1</v>
      </c>
      <c r="Z2438">
        <v>0</v>
      </c>
      <c r="AA2438">
        <v>9</v>
      </c>
      <c r="AB2438">
        <v>3</v>
      </c>
      <c r="AC2438">
        <v>0</v>
      </c>
      <c r="AD2438">
        <v>10</v>
      </c>
      <c r="AE2438">
        <v>0</v>
      </c>
      <c r="AF2438">
        <v>3</v>
      </c>
      <c r="AG2438">
        <v>2</v>
      </c>
      <c r="AH2438">
        <v>0</v>
      </c>
      <c r="AI2438" t="s">
        <v>4985</v>
      </c>
      <c r="AJ2438">
        <v>40.048192</v>
      </c>
      <c r="AK2438" t="s">
        <v>4986</v>
      </c>
      <c r="AL2438">
        <v>-75.487983</v>
      </c>
      <c r="AM2438">
        <v>100</v>
      </c>
      <c r="AN2438">
        <v>4700</v>
      </c>
      <c r="AO2438" t="s">
        <v>115</v>
      </c>
      <c r="AP2438">
        <v>131</v>
      </c>
      <c r="AQ2438">
        <v>125</v>
      </c>
      <c r="AR2438">
        <v>0</v>
      </c>
      <c r="AZ2438">
        <v>3614</v>
      </c>
      <c r="BA2438">
        <v>1</v>
      </c>
      <c r="BB2438" t="str">
        <f t="shared" si="113"/>
        <v xml:space="preserve">N959MJ  </v>
      </c>
      <c r="BC2438">
        <v>1</v>
      </c>
      <c r="BE2438">
        <v>0</v>
      </c>
      <c r="BF2438">
        <v>0</v>
      </c>
      <c r="BG2438">
        <v>0</v>
      </c>
      <c r="BH2438">
        <v>4900</v>
      </c>
      <c r="BI2438">
        <v>200</v>
      </c>
      <c r="BJ2438">
        <v>1</v>
      </c>
      <c r="BK2438">
        <v>1</v>
      </c>
      <c r="BL2438">
        <v>1</v>
      </c>
      <c r="BM2438">
        <v>0</v>
      </c>
      <c r="BP2438">
        <v>0</v>
      </c>
      <c r="BQ2438">
        <v>0</v>
      </c>
      <c r="BX2438" t="str">
        <f>"14:30:58.914"</f>
        <v>14:30:58.914</v>
      </c>
      <c r="BY2438" t="str">
        <f>"910404094"</f>
        <v>910404094</v>
      </c>
      <c r="CL2438">
        <v>0</v>
      </c>
      <c r="CM2438">
        <v>2</v>
      </c>
      <c r="CN2438">
        <v>0</v>
      </c>
      <c r="CO2438">
        <v>2</v>
      </c>
      <c r="CP2438">
        <v>0</v>
      </c>
      <c r="CQ2438">
        <v>7</v>
      </c>
      <c r="CR2438" t="s">
        <v>116</v>
      </c>
      <c r="CS2438">
        <v>39</v>
      </c>
      <c r="CT2438">
        <v>0</v>
      </c>
      <c r="CU2438" t="s">
        <v>2259</v>
      </c>
      <c r="CV2438" t="s">
        <v>2260</v>
      </c>
      <c r="CY2438">
        <v>1855622</v>
      </c>
      <c r="CZ2438" t="s">
        <v>119</v>
      </c>
    </row>
    <row r="2439" spans="1:104" x14ac:dyDescent="0.25">
      <c r="A2439" t="str">
        <f>"14:31:00.281"</f>
        <v>14:31:00.281</v>
      </c>
      <c r="B2439" t="s">
        <v>108</v>
      </c>
      <c r="C2439" t="str">
        <f t="shared" si="112"/>
        <v>ffdfd3c0</v>
      </c>
      <c r="D2439" t="s">
        <v>109</v>
      </c>
      <c r="E2439">
        <v>4</v>
      </c>
      <c r="F2439">
        <v>1004</v>
      </c>
      <c r="G2439" t="s">
        <v>110</v>
      </c>
      <c r="J2439" t="s">
        <v>111</v>
      </c>
      <c r="K2439">
        <v>0</v>
      </c>
      <c r="L2439">
        <v>3</v>
      </c>
      <c r="M2439">
        <v>0</v>
      </c>
      <c r="N2439">
        <v>2</v>
      </c>
      <c r="O2439">
        <v>1</v>
      </c>
      <c r="P2439">
        <v>0</v>
      </c>
      <c r="Q2439">
        <v>0</v>
      </c>
      <c r="R2439" t="s">
        <v>112</v>
      </c>
      <c r="S2439" t="str">
        <f>"14:31:00.063"</f>
        <v>14:31:00.063</v>
      </c>
      <c r="T2439" t="str">
        <f>"14:30:59.563"</f>
        <v>14:30:59.563</v>
      </c>
      <c r="U2439" t="str">
        <f t="shared" si="114"/>
        <v>ad5732</v>
      </c>
      <c r="V2439">
        <v>0</v>
      </c>
      <c r="W2439">
        <v>0</v>
      </c>
      <c r="X2439">
        <v>1</v>
      </c>
      <c r="Z2439">
        <v>0</v>
      </c>
      <c r="AA2439">
        <v>9</v>
      </c>
      <c r="AB2439">
        <v>3</v>
      </c>
      <c r="AC2439">
        <v>0</v>
      </c>
      <c r="AD2439">
        <v>10</v>
      </c>
      <c r="AE2439">
        <v>0</v>
      </c>
      <c r="AF2439">
        <v>3</v>
      </c>
      <c r="AG2439">
        <v>2</v>
      </c>
      <c r="AH2439">
        <v>0</v>
      </c>
      <c r="AI2439" t="s">
        <v>4987</v>
      </c>
      <c r="AJ2439">
        <v>40.048791999999999</v>
      </c>
      <c r="AK2439" t="s">
        <v>4988</v>
      </c>
      <c r="AL2439">
        <v>-75.487060999999997</v>
      </c>
      <c r="AM2439">
        <v>100</v>
      </c>
      <c r="AN2439">
        <v>4700</v>
      </c>
      <c r="AO2439" t="s">
        <v>115</v>
      </c>
      <c r="AP2439">
        <v>132</v>
      </c>
      <c r="AQ2439">
        <v>125</v>
      </c>
      <c r="AR2439">
        <v>-64</v>
      </c>
      <c r="AZ2439">
        <v>3614</v>
      </c>
      <c r="BA2439">
        <v>1</v>
      </c>
      <c r="BB2439" t="str">
        <f t="shared" si="113"/>
        <v xml:space="preserve">N959MJ  </v>
      </c>
      <c r="BC2439">
        <v>1</v>
      </c>
      <c r="BE2439">
        <v>0</v>
      </c>
      <c r="BF2439">
        <v>0</v>
      </c>
      <c r="BG2439">
        <v>0</v>
      </c>
      <c r="BH2439">
        <v>4900</v>
      </c>
      <c r="BI2439">
        <v>200</v>
      </c>
      <c r="BJ2439">
        <v>1</v>
      </c>
      <c r="BK2439">
        <v>1</v>
      </c>
      <c r="BL2439">
        <v>1</v>
      </c>
      <c r="BM2439">
        <v>0</v>
      </c>
      <c r="BP2439">
        <v>0</v>
      </c>
      <c r="BQ2439">
        <v>0</v>
      </c>
      <c r="BX2439" t="str">
        <f>"14:31:00.070"</f>
        <v>14:31:00.070</v>
      </c>
      <c r="BY2439" t="str">
        <f>"068773242"</f>
        <v>068773242</v>
      </c>
      <c r="CL2439">
        <v>0</v>
      </c>
      <c r="CM2439">
        <v>2</v>
      </c>
      <c r="CN2439">
        <v>0</v>
      </c>
      <c r="CO2439">
        <v>2</v>
      </c>
      <c r="CP2439">
        <v>0</v>
      </c>
      <c r="CQ2439">
        <v>7</v>
      </c>
      <c r="CR2439" t="s">
        <v>116</v>
      </c>
      <c r="CS2439">
        <v>39</v>
      </c>
      <c r="CT2439">
        <v>0</v>
      </c>
      <c r="CU2439" t="s">
        <v>2259</v>
      </c>
      <c r="CV2439" t="s">
        <v>2260</v>
      </c>
      <c r="CY2439">
        <v>1857588</v>
      </c>
      <c r="CZ2439" t="s">
        <v>119</v>
      </c>
    </row>
    <row r="2440" spans="1:104" x14ac:dyDescent="0.25">
      <c r="A2440" t="str">
        <f>"14:31:01.234"</f>
        <v>14:31:01.234</v>
      </c>
      <c r="B2440" t="s">
        <v>108</v>
      </c>
      <c r="C2440" t="str">
        <f t="shared" si="112"/>
        <v>ffdfd3c0</v>
      </c>
      <c r="D2440" t="s">
        <v>109</v>
      </c>
      <c r="E2440">
        <v>4</v>
      </c>
      <c r="F2440">
        <v>1004</v>
      </c>
      <c r="G2440" t="s">
        <v>110</v>
      </c>
      <c r="J2440" t="s">
        <v>111</v>
      </c>
      <c r="K2440">
        <v>0</v>
      </c>
      <c r="L2440">
        <v>3</v>
      </c>
      <c r="M2440">
        <v>0</v>
      </c>
      <c r="N2440">
        <v>2</v>
      </c>
      <c r="O2440">
        <v>1</v>
      </c>
      <c r="P2440">
        <v>0</v>
      </c>
      <c r="Q2440">
        <v>0</v>
      </c>
      <c r="R2440" t="s">
        <v>112</v>
      </c>
      <c r="S2440" t="str">
        <f>"14:31:01.031"</f>
        <v>14:31:01.031</v>
      </c>
      <c r="T2440" t="str">
        <f>"14:31:00.531"</f>
        <v>14:31:00.531</v>
      </c>
      <c r="U2440" t="str">
        <f t="shared" si="114"/>
        <v>ad5732</v>
      </c>
      <c r="V2440">
        <v>0</v>
      </c>
      <c r="W2440">
        <v>0</v>
      </c>
      <c r="X2440">
        <v>1</v>
      </c>
      <c r="Z2440">
        <v>0</v>
      </c>
      <c r="AA2440">
        <v>9</v>
      </c>
      <c r="AB2440">
        <v>3</v>
      </c>
      <c r="AC2440">
        <v>0</v>
      </c>
      <c r="AD2440">
        <v>10</v>
      </c>
      <c r="AE2440">
        <v>0</v>
      </c>
      <c r="AF2440">
        <v>3</v>
      </c>
      <c r="AG2440">
        <v>2</v>
      </c>
      <c r="AH2440">
        <v>0</v>
      </c>
      <c r="AI2440" t="s">
        <v>4989</v>
      </c>
      <c r="AJ2440">
        <v>40.049393000000002</v>
      </c>
      <c r="AK2440" t="s">
        <v>4990</v>
      </c>
      <c r="AL2440">
        <v>-75.486310000000003</v>
      </c>
      <c r="AM2440">
        <v>100</v>
      </c>
      <c r="AN2440">
        <v>4700</v>
      </c>
      <c r="AO2440" t="s">
        <v>115</v>
      </c>
      <c r="AP2440">
        <v>132</v>
      </c>
      <c r="AQ2440">
        <v>124</v>
      </c>
      <c r="AR2440">
        <v>0</v>
      </c>
      <c r="AZ2440">
        <v>3614</v>
      </c>
      <c r="BA2440">
        <v>1</v>
      </c>
      <c r="BB2440" t="str">
        <f t="shared" si="113"/>
        <v xml:space="preserve">N959MJ  </v>
      </c>
      <c r="BC2440">
        <v>1</v>
      </c>
      <c r="BE2440">
        <v>0</v>
      </c>
      <c r="BF2440">
        <v>0</v>
      </c>
      <c r="BG2440">
        <v>0</v>
      </c>
      <c r="BH2440">
        <v>4900</v>
      </c>
      <c r="BI2440">
        <v>200</v>
      </c>
      <c r="BJ2440">
        <v>1</v>
      </c>
      <c r="BK2440">
        <v>1</v>
      </c>
      <c r="BL2440">
        <v>1</v>
      </c>
      <c r="BM2440">
        <v>0</v>
      </c>
      <c r="BP2440">
        <v>0</v>
      </c>
      <c r="BQ2440">
        <v>0</v>
      </c>
      <c r="BX2440" t="str">
        <f>"14:31:01.039"</f>
        <v>14:31:01.039</v>
      </c>
      <c r="BY2440" t="str">
        <f>"037084654"</f>
        <v>037084654</v>
      </c>
      <c r="CL2440">
        <v>0</v>
      </c>
      <c r="CM2440">
        <v>2</v>
      </c>
      <c r="CN2440">
        <v>0</v>
      </c>
      <c r="CO2440">
        <v>2</v>
      </c>
      <c r="CP2440">
        <v>0</v>
      </c>
      <c r="CQ2440">
        <v>7</v>
      </c>
      <c r="CR2440" t="s">
        <v>116</v>
      </c>
      <c r="CS2440">
        <v>39</v>
      </c>
      <c r="CT2440">
        <v>0</v>
      </c>
      <c r="CU2440" t="s">
        <v>2259</v>
      </c>
      <c r="CV2440" t="s">
        <v>2260</v>
      </c>
      <c r="CY2440">
        <v>1859224</v>
      </c>
      <c r="CZ2440" t="s">
        <v>119</v>
      </c>
    </row>
    <row r="2441" spans="1:104" x14ac:dyDescent="0.25">
      <c r="A2441" t="str">
        <f>"14:31:02.141"</f>
        <v>14:31:02.141</v>
      </c>
      <c r="B2441" t="s">
        <v>108</v>
      </c>
      <c r="C2441" t="str">
        <f t="shared" si="112"/>
        <v>ffdfd3c0</v>
      </c>
      <c r="D2441" t="s">
        <v>109</v>
      </c>
      <c r="E2441">
        <v>4</v>
      </c>
      <c r="F2441">
        <v>1004</v>
      </c>
      <c r="G2441" t="s">
        <v>110</v>
      </c>
      <c r="J2441" t="s">
        <v>111</v>
      </c>
      <c r="K2441">
        <v>0</v>
      </c>
      <c r="L2441">
        <v>3</v>
      </c>
      <c r="M2441">
        <v>0</v>
      </c>
      <c r="N2441">
        <v>2</v>
      </c>
      <c r="O2441">
        <v>1</v>
      </c>
      <c r="P2441">
        <v>0</v>
      </c>
      <c r="Q2441">
        <v>0</v>
      </c>
      <c r="R2441" t="s">
        <v>112</v>
      </c>
      <c r="S2441" t="str">
        <f>"14:31:01.977"</f>
        <v>14:31:01.977</v>
      </c>
      <c r="T2441" t="str">
        <f>"14:31:01.578"</f>
        <v>14:31:01.578</v>
      </c>
      <c r="U2441" t="str">
        <f t="shared" si="114"/>
        <v>ad5732</v>
      </c>
      <c r="V2441">
        <v>0</v>
      </c>
      <c r="W2441">
        <v>0</v>
      </c>
      <c r="X2441">
        <v>1</v>
      </c>
      <c r="Z2441">
        <v>0</v>
      </c>
      <c r="AA2441">
        <v>9</v>
      </c>
      <c r="AB2441">
        <v>3</v>
      </c>
      <c r="AC2441">
        <v>0</v>
      </c>
      <c r="AD2441">
        <v>10</v>
      </c>
      <c r="AE2441">
        <v>0</v>
      </c>
      <c r="AF2441">
        <v>3</v>
      </c>
      <c r="AG2441">
        <v>2</v>
      </c>
      <c r="AH2441">
        <v>0</v>
      </c>
      <c r="AI2441" t="s">
        <v>4991</v>
      </c>
      <c r="AJ2441">
        <v>40.049930000000003</v>
      </c>
      <c r="AK2441" t="s">
        <v>4992</v>
      </c>
      <c r="AL2441">
        <v>-75.485601000000003</v>
      </c>
      <c r="AM2441">
        <v>100</v>
      </c>
      <c r="AN2441">
        <v>4700</v>
      </c>
      <c r="AO2441" t="s">
        <v>115</v>
      </c>
      <c r="AP2441">
        <v>132</v>
      </c>
      <c r="AQ2441">
        <v>124</v>
      </c>
      <c r="AR2441">
        <v>0</v>
      </c>
      <c r="AZ2441">
        <v>3614</v>
      </c>
      <c r="BA2441">
        <v>1</v>
      </c>
      <c r="BB2441" t="str">
        <f t="shared" si="113"/>
        <v xml:space="preserve">N959MJ  </v>
      </c>
      <c r="BC2441">
        <v>1</v>
      </c>
      <c r="BE2441">
        <v>0</v>
      </c>
      <c r="BF2441">
        <v>0</v>
      </c>
      <c r="BG2441">
        <v>0</v>
      </c>
      <c r="BH2441">
        <v>4900</v>
      </c>
      <c r="BI2441">
        <v>200</v>
      </c>
      <c r="BJ2441">
        <v>1</v>
      </c>
      <c r="BK2441">
        <v>1</v>
      </c>
      <c r="BL2441">
        <v>1</v>
      </c>
      <c r="BM2441">
        <v>0</v>
      </c>
      <c r="BP2441">
        <v>0</v>
      </c>
      <c r="BQ2441">
        <v>0</v>
      </c>
      <c r="BX2441" t="str">
        <f>"14:31:01.984"</f>
        <v>14:31:01.984</v>
      </c>
      <c r="BY2441" t="str">
        <f>"984096500"</f>
        <v>984096500</v>
      </c>
      <c r="CL2441">
        <v>0</v>
      </c>
      <c r="CM2441">
        <v>2</v>
      </c>
      <c r="CN2441">
        <v>0</v>
      </c>
      <c r="CO2441">
        <v>2</v>
      </c>
      <c r="CP2441">
        <v>0</v>
      </c>
      <c r="CQ2441">
        <v>7</v>
      </c>
      <c r="CR2441" t="s">
        <v>116</v>
      </c>
      <c r="CS2441">
        <v>39</v>
      </c>
      <c r="CT2441">
        <v>0</v>
      </c>
      <c r="CU2441" t="s">
        <v>2259</v>
      </c>
      <c r="CV2441" t="s">
        <v>2260</v>
      </c>
      <c r="CY2441">
        <v>1860910</v>
      </c>
      <c r="CZ2441" t="s">
        <v>119</v>
      </c>
    </row>
    <row r="2442" spans="1:104" x14ac:dyDescent="0.25">
      <c r="A2442" t="str">
        <f>"14:31:03.203"</f>
        <v>14:31:03.203</v>
      </c>
      <c r="B2442" t="s">
        <v>108</v>
      </c>
      <c r="C2442" t="str">
        <f t="shared" ref="C2442:C2505" si="115">"ffdfd3c0"</f>
        <v>ffdfd3c0</v>
      </c>
      <c r="D2442" t="s">
        <v>109</v>
      </c>
      <c r="E2442">
        <v>4</v>
      </c>
      <c r="F2442">
        <v>1004</v>
      </c>
      <c r="G2442" t="s">
        <v>110</v>
      </c>
      <c r="J2442" t="s">
        <v>111</v>
      </c>
      <c r="K2442">
        <v>0</v>
      </c>
      <c r="L2442">
        <v>3</v>
      </c>
      <c r="M2442">
        <v>0</v>
      </c>
      <c r="N2442">
        <v>2</v>
      </c>
      <c r="O2442">
        <v>1</v>
      </c>
      <c r="P2442">
        <v>0</v>
      </c>
      <c r="Q2442">
        <v>0</v>
      </c>
      <c r="R2442" t="s">
        <v>112</v>
      </c>
      <c r="S2442" t="str">
        <f>"14:31:03.016"</f>
        <v>14:31:03.016</v>
      </c>
      <c r="T2442" t="str">
        <f>"14:31:02.617"</f>
        <v>14:31:02.617</v>
      </c>
      <c r="U2442" t="str">
        <f t="shared" si="114"/>
        <v>ad5732</v>
      </c>
      <c r="V2442">
        <v>0</v>
      </c>
      <c r="W2442">
        <v>0</v>
      </c>
      <c r="X2442">
        <v>1</v>
      </c>
      <c r="Z2442">
        <v>0</v>
      </c>
      <c r="AA2442">
        <v>9</v>
      </c>
      <c r="AB2442">
        <v>3</v>
      </c>
      <c r="AC2442">
        <v>0</v>
      </c>
      <c r="AD2442">
        <v>10</v>
      </c>
      <c r="AE2442">
        <v>0</v>
      </c>
      <c r="AF2442">
        <v>3</v>
      </c>
      <c r="AG2442">
        <v>2</v>
      </c>
      <c r="AH2442">
        <v>0</v>
      </c>
      <c r="AI2442" t="s">
        <v>4993</v>
      </c>
      <c r="AJ2442">
        <v>40.050508999999998</v>
      </c>
      <c r="AK2442" t="s">
        <v>4994</v>
      </c>
      <c r="AL2442">
        <v>-75.484679</v>
      </c>
      <c r="AM2442">
        <v>100</v>
      </c>
      <c r="AN2442">
        <v>4700</v>
      </c>
      <c r="AO2442" t="s">
        <v>115</v>
      </c>
      <c r="AP2442">
        <v>132</v>
      </c>
      <c r="AQ2442">
        <v>124</v>
      </c>
      <c r="AR2442">
        <v>0</v>
      </c>
      <c r="AZ2442">
        <v>3614</v>
      </c>
      <c r="BA2442">
        <v>1</v>
      </c>
      <c r="BB2442" t="str">
        <f t="shared" ref="BB2442:BB2505" si="116">"N959MJ  "</f>
        <v xml:space="preserve">N959MJ  </v>
      </c>
      <c r="BC2442">
        <v>1</v>
      </c>
      <c r="BE2442">
        <v>0</v>
      </c>
      <c r="BF2442">
        <v>0</v>
      </c>
      <c r="BG2442">
        <v>0</v>
      </c>
      <c r="BH2442">
        <v>4900</v>
      </c>
      <c r="BI2442">
        <v>200</v>
      </c>
      <c r="BJ2442">
        <v>1</v>
      </c>
      <c r="BK2442">
        <v>1</v>
      </c>
      <c r="BL2442">
        <v>1</v>
      </c>
      <c r="BM2442">
        <v>0</v>
      </c>
      <c r="BP2442">
        <v>0</v>
      </c>
      <c r="BQ2442">
        <v>0</v>
      </c>
      <c r="BX2442" t="str">
        <f>"14:31:03.023"</f>
        <v>14:31:03.023</v>
      </c>
      <c r="BY2442" t="str">
        <f>"021221913"</f>
        <v>021221913</v>
      </c>
      <c r="CL2442">
        <v>0</v>
      </c>
      <c r="CM2442">
        <v>2</v>
      </c>
      <c r="CN2442">
        <v>0</v>
      </c>
      <c r="CO2442">
        <v>2</v>
      </c>
      <c r="CP2442">
        <v>0</v>
      </c>
      <c r="CQ2442">
        <v>7</v>
      </c>
      <c r="CR2442" t="s">
        <v>116</v>
      </c>
      <c r="CS2442">
        <v>39</v>
      </c>
      <c r="CT2442">
        <v>0</v>
      </c>
      <c r="CU2442" t="s">
        <v>2259</v>
      </c>
      <c r="CV2442" t="s">
        <v>2260</v>
      </c>
      <c r="CY2442">
        <v>1862735</v>
      </c>
      <c r="CZ2442" t="s">
        <v>119</v>
      </c>
    </row>
    <row r="2443" spans="1:104" x14ac:dyDescent="0.25">
      <c r="A2443" t="str">
        <f>"14:31:04.063"</f>
        <v>14:31:04.063</v>
      </c>
      <c r="B2443" t="s">
        <v>108</v>
      </c>
      <c r="C2443" t="str">
        <f t="shared" si="115"/>
        <v>ffdfd3c0</v>
      </c>
      <c r="D2443" t="s">
        <v>109</v>
      </c>
      <c r="E2443">
        <v>4</v>
      </c>
      <c r="F2443">
        <v>1004</v>
      </c>
      <c r="G2443" t="s">
        <v>110</v>
      </c>
      <c r="J2443" t="s">
        <v>111</v>
      </c>
      <c r="K2443">
        <v>0</v>
      </c>
      <c r="L2443">
        <v>3</v>
      </c>
      <c r="M2443">
        <v>0</v>
      </c>
      <c r="N2443">
        <v>2</v>
      </c>
      <c r="O2443">
        <v>1</v>
      </c>
      <c r="P2443">
        <v>0</v>
      </c>
      <c r="Q2443">
        <v>0</v>
      </c>
      <c r="R2443" t="s">
        <v>112</v>
      </c>
      <c r="S2443" t="str">
        <f>"14:31:03.875"</f>
        <v>14:31:03.875</v>
      </c>
      <c r="T2443" t="str">
        <f>"14:31:03.477"</f>
        <v>14:31:03.477</v>
      </c>
      <c r="U2443" t="str">
        <f t="shared" si="114"/>
        <v>ad5732</v>
      </c>
      <c r="V2443">
        <v>0</v>
      </c>
      <c r="W2443">
        <v>0</v>
      </c>
      <c r="X2443">
        <v>1</v>
      </c>
      <c r="Z2443">
        <v>0</v>
      </c>
      <c r="AA2443">
        <v>9</v>
      </c>
      <c r="AB2443">
        <v>3</v>
      </c>
      <c r="AC2443">
        <v>0</v>
      </c>
      <c r="AD2443">
        <v>10</v>
      </c>
      <c r="AE2443">
        <v>0</v>
      </c>
      <c r="AF2443">
        <v>3</v>
      </c>
      <c r="AG2443">
        <v>2</v>
      </c>
      <c r="AH2443">
        <v>0</v>
      </c>
      <c r="AI2443" t="s">
        <v>4995</v>
      </c>
      <c r="AJ2443">
        <v>40.050981</v>
      </c>
      <c r="AK2443" t="s">
        <v>4996</v>
      </c>
      <c r="AL2443">
        <v>-75.484055999999995</v>
      </c>
      <c r="AM2443">
        <v>100</v>
      </c>
      <c r="AN2443">
        <v>4700</v>
      </c>
      <c r="AO2443" t="s">
        <v>115</v>
      </c>
      <c r="AP2443">
        <v>132</v>
      </c>
      <c r="AQ2443">
        <v>124</v>
      </c>
      <c r="AR2443">
        <v>0</v>
      </c>
      <c r="AZ2443">
        <v>3614</v>
      </c>
      <c r="BA2443">
        <v>1</v>
      </c>
      <c r="BB2443" t="str">
        <f t="shared" si="116"/>
        <v xml:space="preserve">N959MJ  </v>
      </c>
      <c r="BC2443">
        <v>1</v>
      </c>
      <c r="BE2443">
        <v>0</v>
      </c>
      <c r="BF2443">
        <v>0</v>
      </c>
      <c r="BG2443">
        <v>0</v>
      </c>
      <c r="BH2443">
        <v>4900</v>
      </c>
      <c r="BI2443">
        <v>200</v>
      </c>
      <c r="BJ2443">
        <v>1</v>
      </c>
      <c r="BK2443">
        <v>1</v>
      </c>
      <c r="BL2443">
        <v>1</v>
      </c>
      <c r="BM2443">
        <v>0</v>
      </c>
      <c r="BP2443">
        <v>0</v>
      </c>
      <c r="BQ2443">
        <v>0</v>
      </c>
      <c r="BX2443" t="str">
        <f>"14:31:03.875"</f>
        <v>14:31:03.875</v>
      </c>
      <c r="BY2443" t="str">
        <f>"876481742"</f>
        <v>876481742</v>
      </c>
      <c r="CL2443">
        <v>0</v>
      </c>
      <c r="CM2443">
        <v>2</v>
      </c>
      <c r="CN2443">
        <v>0</v>
      </c>
      <c r="CO2443">
        <v>2</v>
      </c>
      <c r="CP2443">
        <v>0</v>
      </c>
      <c r="CQ2443">
        <v>7</v>
      </c>
      <c r="CR2443" t="s">
        <v>116</v>
      </c>
      <c r="CS2443">
        <v>39</v>
      </c>
      <c r="CT2443">
        <v>0</v>
      </c>
      <c r="CU2443" t="s">
        <v>2259</v>
      </c>
      <c r="CV2443" t="s">
        <v>2260</v>
      </c>
      <c r="CY2443">
        <v>1864176</v>
      </c>
      <c r="CZ2443" t="s">
        <v>119</v>
      </c>
    </row>
    <row r="2444" spans="1:104" x14ac:dyDescent="0.25">
      <c r="A2444" t="str">
        <f>"14:31:05.070"</f>
        <v>14:31:05.070</v>
      </c>
      <c r="B2444" t="s">
        <v>108</v>
      </c>
      <c r="C2444" t="str">
        <f t="shared" si="115"/>
        <v>ffdfd3c0</v>
      </c>
      <c r="D2444" t="s">
        <v>109</v>
      </c>
      <c r="E2444">
        <v>4</v>
      </c>
      <c r="F2444">
        <v>1004</v>
      </c>
      <c r="G2444" t="s">
        <v>110</v>
      </c>
      <c r="J2444" t="s">
        <v>111</v>
      </c>
      <c r="K2444">
        <v>0</v>
      </c>
      <c r="L2444">
        <v>3</v>
      </c>
      <c r="M2444">
        <v>0</v>
      </c>
      <c r="N2444">
        <v>2</v>
      </c>
      <c r="O2444">
        <v>1</v>
      </c>
      <c r="P2444">
        <v>0</v>
      </c>
      <c r="Q2444">
        <v>0</v>
      </c>
      <c r="R2444" t="s">
        <v>112</v>
      </c>
      <c r="S2444" t="str">
        <f>"14:31:04.914"</f>
        <v>14:31:04.914</v>
      </c>
      <c r="T2444" t="str">
        <f>"14:31:04.414"</f>
        <v>14:31:04.414</v>
      </c>
      <c r="U2444" t="str">
        <f t="shared" si="114"/>
        <v>ad5732</v>
      </c>
      <c r="V2444">
        <v>0</v>
      </c>
      <c r="W2444">
        <v>0</v>
      </c>
      <c r="X2444">
        <v>1</v>
      </c>
      <c r="Z2444">
        <v>0</v>
      </c>
      <c r="AA2444">
        <v>9</v>
      </c>
      <c r="AB2444">
        <v>3</v>
      </c>
      <c r="AC2444">
        <v>0</v>
      </c>
      <c r="AD2444">
        <v>10</v>
      </c>
      <c r="AE2444">
        <v>0</v>
      </c>
      <c r="AF2444">
        <v>3</v>
      </c>
      <c r="AG2444">
        <v>2</v>
      </c>
      <c r="AH2444">
        <v>0</v>
      </c>
      <c r="AI2444" t="s">
        <v>4997</v>
      </c>
      <c r="AJ2444">
        <v>40.051625000000001</v>
      </c>
      <c r="AK2444" t="s">
        <v>4998</v>
      </c>
      <c r="AL2444">
        <v>-75.483154999999996</v>
      </c>
      <c r="AM2444">
        <v>100</v>
      </c>
      <c r="AN2444">
        <v>4700</v>
      </c>
      <c r="AO2444" t="s">
        <v>115</v>
      </c>
      <c r="AP2444">
        <v>132</v>
      </c>
      <c r="AQ2444">
        <v>124</v>
      </c>
      <c r="AR2444">
        <v>0</v>
      </c>
      <c r="AZ2444">
        <v>3614</v>
      </c>
      <c r="BA2444">
        <v>1</v>
      </c>
      <c r="BB2444" t="str">
        <f t="shared" si="116"/>
        <v xml:space="preserve">N959MJ  </v>
      </c>
      <c r="BC2444">
        <v>1</v>
      </c>
      <c r="BE2444">
        <v>0</v>
      </c>
      <c r="BF2444">
        <v>0</v>
      </c>
      <c r="BG2444">
        <v>0</v>
      </c>
      <c r="BH2444">
        <v>4900</v>
      </c>
      <c r="BI2444">
        <v>200</v>
      </c>
      <c r="BJ2444">
        <v>1</v>
      </c>
      <c r="BK2444">
        <v>1</v>
      </c>
      <c r="BL2444">
        <v>1</v>
      </c>
      <c r="BM2444">
        <v>0</v>
      </c>
      <c r="BP2444">
        <v>0</v>
      </c>
      <c r="BQ2444">
        <v>0</v>
      </c>
      <c r="BX2444" t="str">
        <f>"14:31:04.914"</f>
        <v>14:31:04.914</v>
      </c>
      <c r="BY2444" t="str">
        <f>"916884074"</f>
        <v>916884074</v>
      </c>
      <c r="CL2444">
        <v>0</v>
      </c>
      <c r="CM2444">
        <v>2</v>
      </c>
      <c r="CN2444">
        <v>0</v>
      </c>
      <c r="CO2444">
        <v>2</v>
      </c>
      <c r="CP2444">
        <v>0</v>
      </c>
      <c r="CQ2444">
        <v>7</v>
      </c>
      <c r="CR2444" t="s">
        <v>116</v>
      </c>
      <c r="CS2444">
        <v>39</v>
      </c>
      <c r="CT2444">
        <v>0</v>
      </c>
      <c r="CU2444" t="s">
        <v>2259</v>
      </c>
      <c r="CV2444" t="s">
        <v>2260</v>
      </c>
      <c r="CY2444">
        <v>1865936</v>
      </c>
      <c r="CZ2444" t="s">
        <v>119</v>
      </c>
    </row>
    <row r="2445" spans="1:104" x14ac:dyDescent="0.25">
      <c r="A2445" t="str">
        <f>"14:31:06.078"</f>
        <v>14:31:06.078</v>
      </c>
      <c r="B2445" t="s">
        <v>108</v>
      </c>
      <c r="C2445" t="str">
        <f t="shared" si="115"/>
        <v>ffdfd3c0</v>
      </c>
      <c r="D2445" t="s">
        <v>109</v>
      </c>
      <c r="E2445">
        <v>4</v>
      </c>
      <c r="F2445">
        <v>1004</v>
      </c>
      <c r="G2445" t="s">
        <v>110</v>
      </c>
      <c r="J2445" t="s">
        <v>111</v>
      </c>
      <c r="K2445">
        <v>0</v>
      </c>
      <c r="L2445">
        <v>3</v>
      </c>
      <c r="M2445">
        <v>0</v>
      </c>
      <c r="N2445">
        <v>2</v>
      </c>
      <c r="O2445">
        <v>1</v>
      </c>
      <c r="P2445">
        <v>0</v>
      </c>
      <c r="Q2445">
        <v>0</v>
      </c>
      <c r="R2445" t="s">
        <v>112</v>
      </c>
      <c r="S2445" t="str">
        <f>"14:31:05.898"</f>
        <v>14:31:05.898</v>
      </c>
      <c r="T2445" t="str">
        <f>"14:31:05.500"</f>
        <v>14:31:05.500</v>
      </c>
      <c r="U2445" t="str">
        <f t="shared" si="114"/>
        <v>ad5732</v>
      </c>
      <c r="V2445">
        <v>0</v>
      </c>
      <c r="W2445">
        <v>0</v>
      </c>
      <c r="X2445">
        <v>1</v>
      </c>
      <c r="Z2445">
        <v>0</v>
      </c>
      <c r="AA2445">
        <v>9</v>
      </c>
      <c r="AB2445">
        <v>3</v>
      </c>
      <c r="AC2445">
        <v>0</v>
      </c>
      <c r="AD2445">
        <v>10</v>
      </c>
      <c r="AE2445">
        <v>0</v>
      </c>
      <c r="AF2445">
        <v>3</v>
      </c>
      <c r="AG2445">
        <v>2</v>
      </c>
      <c r="AH2445">
        <v>0</v>
      </c>
      <c r="AI2445" t="s">
        <v>4999</v>
      </c>
      <c r="AJ2445">
        <v>40.052140000000001</v>
      </c>
      <c r="AK2445" t="s">
        <v>5000</v>
      </c>
      <c r="AL2445">
        <v>-75.482446999999993</v>
      </c>
      <c r="AM2445">
        <v>100</v>
      </c>
      <c r="AN2445">
        <v>4700</v>
      </c>
      <c r="AO2445" t="s">
        <v>115</v>
      </c>
      <c r="AP2445">
        <v>132</v>
      </c>
      <c r="AQ2445">
        <v>124</v>
      </c>
      <c r="AR2445">
        <v>0</v>
      </c>
      <c r="AZ2445">
        <v>3614</v>
      </c>
      <c r="BA2445">
        <v>1</v>
      </c>
      <c r="BB2445" t="str">
        <f t="shared" si="116"/>
        <v xml:space="preserve">N959MJ  </v>
      </c>
      <c r="BC2445">
        <v>1</v>
      </c>
      <c r="BE2445">
        <v>0</v>
      </c>
      <c r="BF2445">
        <v>0</v>
      </c>
      <c r="BG2445">
        <v>0</v>
      </c>
      <c r="BH2445">
        <v>4900</v>
      </c>
      <c r="BI2445">
        <v>200</v>
      </c>
      <c r="BJ2445">
        <v>1</v>
      </c>
      <c r="BK2445">
        <v>1</v>
      </c>
      <c r="BL2445">
        <v>1</v>
      </c>
      <c r="BM2445">
        <v>0</v>
      </c>
      <c r="BP2445">
        <v>0</v>
      </c>
      <c r="BQ2445">
        <v>0</v>
      </c>
      <c r="BX2445" t="str">
        <f>"14:31:05.898"</f>
        <v>14:31:05.898</v>
      </c>
      <c r="BY2445" t="str">
        <f>"899941293"</f>
        <v>899941293</v>
      </c>
      <c r="CL2445">
        <v>0</v>
      </c>
      <c r="CM2445">
        <v>2</v>
      </c>
      <c r="CN2445">
        <v>0</v>
      </c>
      <c r="CO2445">
        <v>2</v>
      </c>
      <c r="CP2445">
        <v>0</v>
      </c>
      <c r="CQ2445">
        <v>7</v>
      </c>
      <c r="CR2445" t="s">
        <v>116</v>
      </c>
      <c r="CS2445">
        <v>39</v>
      </c>
      <c r="CT2445">
        <v>0</v>
      </c>
      <c r="CU2445" t="s">
        <v>2259</v>
      </c>
      <c r="CV2445" t="s">
        <v>2260</v>
      </c>
      <c r="CY2445">
        <v>1867486</v>
      </c>
      <c r="CZ2445" t="s">
        <v>119</v>
      </c>
    </row>
    <row r="2446" spans="1:104" x14ac:dyDescent="0.25">
      <c r="A2446" t="str">
        <f>"14:31:07.242"</f>
        <v>14:31:07.242</v>
      </c>
      <c r="B2446" t="s">
        <v>108</v>
      </c>
      <c r="C2446" t="str">
        <f t="shared" si="115"/>
        <v>ffdfd3c0</v>
      </c>
      <c r="D2446" t="s">
        <v>109</v>
      </c>
      <c r="E2446">
        <v>4</v>
      </c>
      <c r="F2446">
        <v>1004</v>
      </c>
      <c r="G2446" t="s">
        <v>110</v>
      </c>
      <c r="J2446" t="s">
        <v>111</v>
      </c>
      <c r="K2446">
        <v>0</v>
      </c>
      <c r="L2446">
        <v>3</v>
      </c>
      <c r="M2446">
        <v>0</v>
      </c>
      <c r="N2446">
        <v>2</v>
      </c>
      <c r="O2446">
        <v>1</v>
      </c>
      <c r="P2446">
        <v>0</v>
      </c>
      <c r="Q2446">
        <v>0</v>
      </c>
      <c r="R2446" t="s">
        <v>112</v>
      </c>
      <c r="S2446" t="str">
        <f>"14:31:07.047"</f>
        <v>14:31:07.047</v>
      </c>
      <c r="T2446" t="str">
        <f>"14:31:06.547"</f>
        <v>14:31:06.547</v>
      </c>
      <c r="U2446" t="str">
        <f t="shared" si="114"/>
        <v>ad5732</v>
      </c>
      <c r="V2446">
        <v>0</v>
      </c>
      <c r="W2446">
        <v>0</v>
      </c>
      <c r="X2446">
        <v>1</v>
      </c>
      <c r="Z2446">
        <v>0</v>
      </c>
      <c r="AA2446">
        <v>9</v>
      </c>
      <c r="AB2446">
        <v>3</v>
      </c>
      <c r="AC2446">
        <v>0</v>
      </c>
      <c r="AD2446">
        <v>10</v>
      </c>
      <c r="AE2446">
        <v>0</v>
      </c>
      <c r="AF2446">
        <v>3</v>
      </c>
      <c r="AG2446">
        <v>2</v>
      </c>
      <c r="AH2446">
        <v>0</v>
      </c>
      <c r="AI2446" t="s">
        <v>5001</v>
      </c>
      <c r="AJ2446">
        <v>40.052847999999997</v>
      </c>
      <c r="AK2446" t="s">
        <v>5002</v>
      </c>
      <c r="AL2446">
        <v>-75.481503000000004</v>
      </c>
      <c r="AM2446">
        <v>100</v>
      </c>
      <c r="AN2446">
        <v>4700</v>
      </c>
      <c r="AO2446" t="s">
        <v>115</v>
      </c>
      <c r="AP2446">
        <v>133</v>
      </c>
      <c r="AQ2446">
        <v>124</v>
      </c>
      <c r="AR2446">
        <v>0</v>
      </c>
      <c r="AZ2446">
        <v>3614</v>
      </c>
      <c r="BA2446">
        <v>1</v>
      </c>
      <c r="BB2446" t="str">
        <f t="shared" si="116"/>
        <v xml:space="preserve">N959MJ  </v>
      </c>
      <c r="BC2446">
        <v>1</v>
      </c>
      <c r="BE2446">
        <v>0</v>
      </c>
      <c r="BF2446">
        <v>0</v>
      </c>
      <c r="BG2446">
        <v>0</v>
      </c>
      <c r="BH2446">
        <v>4900</v>
      </c>
      <c r="BI2446">
        <v>200</v>
      </c>
      <c r="BJ2446">
        <v>1</v>
      </c>
      <c r="BK2446">
        <v>1</v>
      </c>
      <c r="BL2446">
        <v>1</v>
      </c>
      <c r="BM2446">
        <v>0</v>
      </c>
      <c r="BP2446">
        <v>0</v>
      </c>
      <c r="BQ2446">
        <v>0</v>
      </c>
      <c r="BX2446" t="str">
        <f>"14:31:07.047"</f>
        <v>14:31:07.047</v>
      </c>
      <c r="BY2446" t="str">
        <f>"048479927"</f>
        <v>048479927</v>
      </c>
      <c r="CL2446">
        <v>0</v>
      </c>
      <c r="CM2446">
        <v>2</v>
      </c>
      <c r="CN2446">
        <v>0</v>
      </c>
      <c r="CO2446">
        <v>2</v>
      </c>
      <c r="CP2446">
        <v>0</v>
      </c>
      <c r="CQ2446">
        <v>7</v>
      </c>
      <c r="CR2446" t="s">
        <v>116</v>
      </c>
      <c r="CS2446">
        <v>39</v>
      </c>
      <c r="CT2446">
        <v>0</v>
      </c>
      <c r="CU2446" t="s">
        <v>2259</v>
      </c>
      <c r="CV2446" t="s">
        <v>2260</v>
      </c>
      <c r="CY2446">
        <v>1869530</v>
      </c>
      <c r="CZ2446" t="s">
        <v>119</v>
      </c>
    </row>
    <row r="2447" spans="1:104" x14ac:dyDescent="0.25">
      <c r="A2447" t="str">
        <f>"14:31:08.250"</f>
        <v>14:31:08.250</v>
      </c>
      <c r="B2447" t="s">
        <v>108</v>
      </c>
      <c r="C2447" t="str">
        <f t="shared" si="115"/>
        <v>ffdfd3c0</v>
      </c>
      <c r="D2447" t="s">
        <v>109</v>
      </c>
      <c r="E2447">
        <v>4</v>
      </c>
      <c r="F2447">
        <v>1004</v>
      </c>
      <c r="G2447" t="s">
        <v>110</v>
      </c>
      <c r="J2447" t="s">
        <v>111</v>
      </c>
      <c r="K2447">
        <v>0</v>
      </c>
      <c r="L2447">
        <v>3</v>
      </c>
      <c r="M2447">
        <v>0</v>
      </c>
      <c r="N2447">
        <v>2</v>
      </c>
      <c r="O2447">
        <v>1</v>
      </c>
      <c r="P2447">
        <v>0</v>
      </c>
      <c r="Q2447">
        <v>0</v>
      </c>
      <c r="R2447" t="s">
        <v>112</v>
      </c>
      <c r="S2447" t="str">
        <f>"14:31:08.063"</f>
        <v>14:31:08.063</v>
      </c>
      <c r="T2447" t="str">
        <f>"14:31:07.563"</f>
        <v>14:31:07.563</v>
      </c>
      <c r="U2447" t="str">
        <f t="shared" si="114"/>
        <v>ad5732</v>
      </c>
      <c r="V2447">
        <v>0</v>
      </c>
      <c r="W2447">
        <v>0</v>
      </c>
      <c r="X2447">
        <v>1</v>
      </c>
      <c r="Z2447">
        <v>0</v>
      </c>
      <c r="AA2447">
        <v>9</v>
      </c>
      <c r="AB2447">
        <v>3</v>
      </c>
      <c r="AC2447">
        <v>0</v>
      </c>
      <c r="AD2447">
        <v>10</v>
      </c>
      <c r="AE2447">
        <v>0</v>
      </c>
      <c r="AF2447">
        <v>3</v>
      </c>
      <c r="AG2447">
        <v>2</v>
      </c>
      <c r="AH2447">
        <v>0</v>
      </c>
      <c r="AI2447" t="s">
        <v>5003</v>
      </c>
      <c r="AJ2447">
        <v>40.053406000000003</v>
      </c>
      <c r="AK2447" t="s">
        <v>5004</v>
      </c>
      <c r="AL2447">
        <v>-75.480688000000001</v>
      </c>
      <c r="AM2447">
        <v>100</v>
      </c>
      <c r="AN2447">
        <v>4700</v>
      </c>
      <c r="AO2447" t="s">
        <v>115</v>
      </c>
      <c r="AP2447">
        <v>133</v>
      </c>
      <c r="AQ2447">
        <v>124</v>
      </c>
      <c r="AR2447">
        <v>0</v>
      </c>
      <c r="AZ2447">
        <v>3614</v>
      </c>
      <c r="BA2447">
        <v>1</v>
      </c>
      <c r="BB2447" t="str">
        <f t="shared" si="116"/>
        <v xml:space="preserve">N959MJ  </v>
      </c>
      <c r="BC2447">
        <v>1</v>
      </c>
      <c r="BE2447">
        <v>0</v>
      </c>
      <c r="BF2447">
        <v>0</v>
      </c>
      <c r="BG2447">
        <v>0</v>
      </c>
      <c r="BH2447">
        <v>4900</v>
      </c>
      <c r="BI2447">
        <v>200</v>
      </c>
      <c r="BJ2447">
        <v>1</v>
      </c>
      <c r="BK2447">
        <v>1</v>
      </c>
      <c r="BL2447">
        <v>1</v>
      </c>
      <c r="BM2447">
        <v>0</v>
      </c>
      <c r="BP2447">
        <v>0</v>
      </c>
      <c r="BQ2447">
        <v>0</v>
      </c>
      <c r="BX2447" t="str">
        <f>"14:31:08.063"</f>
        <v>14:31:08.063</v>
      </c>
      <c r="BY2447" t="str">
        <f>"065945042"</f>
        <v>065945042</v>
      </c>
      <c r="CL2447">
        <v>0</v>
      </c>
      <c r="CM2447">
        <v>2</v>
      </c>
      <c r="CN2447">
        <v>0</v>
      </c>
      <c r="CO2447">
        <v>2</v>
      </c>
      <c r="CP2447">
        <v>0</v>
      </c>
      <c r="CQ2447">
        <v>7</v>
      </c>
      <c r="CR2447" t="s">
        <v>116</v>
      </c>
      <c r="CS2447">
        <v>39</v>
      </c>
      <c r="CT2447">
        <v>0</v>
      </c>
      <c r="CU2447" t="s">
        <v>2259</v>
      </c>
      <c r="CV2447" t="s">
        <v>2260</v>
      </c>
      <c r="CY2447">
        <v>1871296</v>
      </c>
      <c r="CZ2447" t="s">
        <v>119</v>
      </c>
    </row>
    <row r="2448" spans="1:104" x14ac:dyDescent="0.25">
      <c r="A2448" t="str">
        <f>"14:31:09.109"</f>
        <v>14:31:09.109</v>
      </c>
      <c r="B2448" t="s">
        <v>108</v>
      </c>
      <c r="C2448" t="str">
        <f t="shared" si="115"/>
        <v>ffdfd3c0</v>
      </c>
      <c r="D2448" t="s">
        <v>109</v>
      </c>
      <c r="E2448">
        <v>4</v>
      </c>
      <c r="F2448">
        <v>1004</v>
      </c>
      <c r="G2448" t="s">
        <v>110</v>
      </c>
      <c r="J2448" t="s">
        <v>111</v>
      </c>
      <c r="K2448">
        <v>0</v>
      </c>
      <c r="L2448">
        <v>3</v>
      </c>
      <c r="M2448">
        <v>0</v>
      </c>
      <c r="N2448">
        <v>2</v>
      </c>
      <c r="O2448">
        <v>1</v>
      </c>
      <c r="P2448">
        <v>0</v>
      </c>
      <c r="Q2448">
        <v>0</v>
      </c>
      <c r="R2448" t="s">
        <v>112</v>
      </c>
      <c r="S2448" t="str">
        <f>"14:31:08.930"</f>
        <v>14:31:08.930</v>
      </c>
      <c r="T2448" t="str">
        <f>"14:31:08.531"</f>
        <v>14:31:08.531</v>
      </c>
      <c r="U2448" t="str">
        <f t="shared" si="114"/>
        <v>ad5732</v>
      </c>
      <c r="V2448">
        <v>0</v>
      </c>
      <c r="W2448">
        <v>0</v>
      </c>
      <c r="X2448">
        <v>1</v>
      </c>
      <c r="Z2448">
        <v>0</v>
      </c>
      <c r="AA2448">
        <v>9</v>
      </c>
      <c r="AB2448">
        <v>3</v>
      </c>
      <c r="AC2448">
        <v>0</v>
      </c>
      <c r="AD2448">
        <v>10</v>
      </c>
      <c r="AE2448">
        <v>0</v>
      </c>
      <c r="AF2448">
        <v>3</v>
      </c>
      <c r="AG2448">
        <v>2</v>
      </c>
      <c r="AH2448">
        <v>0</v>
      </c>
      <c r="AI2448" t="s">
        <v>5005</v>
      </c>
      <c r="AJ2448">
        <v>40.053899000000001</v>
      </c>
      <c r="AK2448" t="s">
        <v>5006</v>
      </c>
      <c r="AL2448">
        <v>-75.479979999999998</v>
      </c>
      <c r="AM2448">
        <v>100</v>
      </c>
      <c r="AN2448">
        <v>4700</v>
      </c>
      <c r="AO2448" t="s">
        <v>115</v>
      </c>
      <c r="AP2448">
        <v>133</v>
      </c>
      <c r="AQ2448">
        <v>124</v>
      </c>
      <c r="AR2448">
        <v>0</v>
      </c>
      <c r="AZ2448">
        <v>3614</v>
      </c>
      <c r="BA2448">
        <v>1</v>
      </c>
      <c r="BB2448" t="str">
        <f t="shared" si="116"/>
        <v xml:space="preserve">N959MJ  </v>
      </c>
      <c r="BC2448">
        <v>1</v>
      </c>
      <c r="BE2448">
        <v>0</v>
      </c>
      <c r="BF2448">
        <v>0</v>
      </c>
      <c r="BG2448">
        <v>0</v>
      </c>
      <c r="BH2448">
        <v>4900</v>
      </c>
      <c r="BI2448">
        <v>200</v>
      </c>
      <c r="BJ2448">
        <v>1</v>
      </c>
      <c r="BK2448">
        <v>1</v>
      </c>
      <c r="BL2448">
        <v>1</v>
      </c>
      <c r="BM2448">
        <v>0</v>
      </c>
      <c r="BP2448">
        <v>0</v>
      </c>
      <c r="BQ2448">
        <v>0</v>
      </c>
      <c r="BX2448" t="str">
        <f>"14:31:08.930"</f>
        <v>14:31:08.930</v>
      </c>
      <c r="BY2448" t="str">
        <f>"931034546"</f>
        <v>931034546</v>
      </c>
      <c r="CL2448">
        <v>0</v>
      </c>
      <c r="CM2448">
        <v>2</v>
      </c>
      <c r="CN2448">
        <v>0</v>
      </c>
      <c r="CO2448">
        <v>2</v>
      </c>
      <c r="CP2448">
        <v>0</v>
      </c>
      <c r="CQ2448">
        <v>7</v>
      </c>
      <c r="CR2448" t="s">
        <v>116</v>
      </c>
      <c r="CS2448">
        <v>39</v>
      </c>
      <c r="CT2448">
        <v>0</v>
      </c>
      <c r="CU2448" t="s">
        <v>2259</v>
      </c>
      <c r="CV2448" t="s">
        <v>2260</v>
      </c>
      <c r="CY2448">
        <v>1872728</v>
      </c>
      <c r="CZ2448" t="s">
        <v>119</v>
      </c>
    </row>
    <row r="2449" spans="1:104" x14ac:dyDescent="0.25">
      <c r="A2449" t="str">
        <f>"14:31:10.070"</f>
        <v>14:31:10.070</v>
      </c>
      <c r="B2449" t="s">
        <v>108</v>
      </c>
      <c r="C2449" t="str">
        <f t="shared" si="115"/>
        <v>ffdfd3c0</v>
      </c>
      <c r="D2449" t="s">
        <v>109</v>
      </c>
      <c r="E2449">
        <v>4</v>
      </c>
      <c r="F2449">
        <v>1004</v>
      </c>
      <c r="G2449" t="s">
        <v>110</v>
      </c>
      <c r="J2449" t="s">
        <v>111</v>
      </c>
      <c r="K2449">
        <v>0</v>
      </c>
      <c r="L2449">
        <v>3</v>
      </c>
      <c r="M2449">
        <v>0</v>
      </c>
      <c r="N2449">
        <v>2</v>
      </c>
      <c r="O2449">
        <v>1</v>
      </c>
      <c r="P2449">
        <v>0</v>
      </c>
      <c r="Q2449">
        <v>0</v>
      </c>
      <c r="R2449" t="s">
        <v>112</v>
      </c>
      <c r="S2449" t="str">
        <f>"14:31:09.898"</f>
        <v>14:31:09.898</v>
      </c>
      <c r="T2449" t="str">
        <f>"14:31:09.500"</f>
        <v>14:31:09.500</v>
      </c>
      <c r="U2449" t="str">
        <f t="shared" si="114"/>
        <v>ad5732</v>
      </c>
      <c r="V2449">
        <v>0</v>
      </c>
      <c r="W2449">
        <v>0</v>
      </c>
      <c r="X2449">
        <v>1</v>
      </c>
      <c r="Z2449">
        <v>0</v>
      </c>
      <c r="AA2449">
        <v>9</v>
      </c>
      <c r="AB2449">
        <v>3</v>
      </c>
      <c r="AC2449">
        <v>0</v>
      </c>
      <c r="AD2449">
        <v>10</v>
      </c>
      <c r="AE2449">
        <v>0</v>
      </c>
      <c r="AF2449">
        <v>3</v>
      </c>
      <c r="AG2449">
        <v>2</v>
      </c>
      <c r="AH2449">
        <v>0</v>
      </c>
      <c r="AI2449" t="s">
        <v>5007</v>
      </c>
      <c r="AJ2449">
        <v>40.054436000000003</v>
      </c>
      <c r="AK2449" t="s">
        <v>5008</v>
      </c>
      <c r="AL2449">
        <v>-75.479249999999993</v>
      </c>
      <c r="AM2449">
        <v>100</v>
      </c>
      <c r="AN2449">
        <v>4700</v>
      </c>
      <c r="AO2449" t="s">
        <v>115</v>
      </c>
      <c r="AP2449">
        <v>133</v>
      </c>
      <c r="AQ2449">
        <v>123</v>
      </c>
      <c r="AR2449">
        <v>0</v>
      </c>
      <c r="AZ2449">
        <v>3614</v>
      </c>
      <c r="BA2449">
        <v>1</v>
      </c>
      <c r="BB2449" t="str">
        <f t="shared" si="116"/>
        <v xml:space="preserve">N959MJ  </v>
      </c>
      <c r="BC2449">
        <v>1</v>
      </c>
      <c r="BE2449">
        <v>0</v>
      </c>
      <c r="BF2449">
        <v>0</v>
      </c>
      <c r="BG2449">
        <v>0</v>
      </c>
      <c r="BH2449">
        <v>4900</v>
      </c>
      <c r="BI2449">
        <v>200</v>
      </c>
      <c r="BJ2449">
        <v>1</v>
      </c>
      <c r="BK2449">
        <v>1</v>
      </c>
      <c r="BL2449">
        <v>1</v>
      </c>
      <c r="BM2449">
        <v>0</v>
      </c>
      <c r="BP2449">
        <v>0</v>
      </c>
      <c r="BQ2449">
        <v>0</v>
      </c>
      <c r="BX2449" t="str">
        <f>"14:31:09.906"</f>
        <v>14:31:09.906</v>
      </c>
      <c r="BY2449" t="str">
        <f>"904261245"</f>
        <v>904261245</v>
      </c>
      <c r="CL2449">
        <v>0</v>
      </c>
      <c r="CM2449">
        <v>2</v>
      </c>
      <c r="CN2449">
        <v>0</v>
      </c>
      <c r="CO2449">
        <v>2</v>
      </c>
      <c r="CP2449">
        <v>0</v>
      </c>
      <c r="CQ2449">
        <v>7</v>
      </c>
      <c r="CR2449" t="s">
        <v>116</v>
      </c>
      <c r="CS2449">
        <v>39</v>
      </c>
      <c r="CT2449">
        <v>0</v>
      </c>
      <c r="CU2449" t="s">
        <v>2259</v>
      </c>
      <c r="CV2449" t="s">
        <v>2260</v>
      </c>
      <c r="CY2449">
        <v>1874331</v>
      </c>
      <c r="CZ2449" t="s">
        <v>119</v>
      </c>
    </row>
    <row r="2450" spans="1:104" x14ac:dyDescent="0.25">
      <c r="A2450" t="str">
        <f>"14:31:11.227"</f>
        <v>14:31:11.227</v>
      </c>
      <c r="B2450" t="s">
        <v>108</v>
      </c>
      <c r="C2450" t="str">
        <f t="shared" si="115"/>
        <v>ffdfd3c0</v>
      </c>
      <c r="D2450" t="s">
        <v>109</v>
      </c>
      <c r="E2450">
        <v>4</v>
      </c>
      <c r="F2450">
        <v>1004</v>
      </c>
      <c r="G2450" t="s">
        <v>110</v>
      </c>
      <c r="J2450" t="s">
        <v>111</v>
      </c>
      <c r="K2450">
        <v>0</v>
      </c>
      <c r="L2450">
        <v>3</v>
      </c>
      <c r="M2450">
        <v>0</v>
      </c>
      <c r="N2450">
        <v>2</v>
      </c>
      <c r="O2450">
        <v>1</v>
      </c>
      <c r="P2450">
        <v>0</v>
      </c>
      <c r="Q2450">
        <v>0</v>
      </c>
      <c r="R2450" t="s">
        <v>112</v>
      </c>
      <c r="S2450" t="str">
        <f>"14:31:11.039"</f>
        <v>14:31:11.039</v>
      </c>
      <c r="T2450" t="str">
        <f>"14:31:10.539"</f>
        <v>14:31:10.539</v>
      </c>
      <c r="U2450" t="str">
        <f t="shared" si="114"/>
        <v>ad5732</v>
      </c>
      <c r="V2450">
        <v>0</v>
      </c>
      <c r="W2450">
        <v>0</v>
      </c>
      <c r="X2450">
        <v>1</v>
      </c>
      <c r="Z2450">
        <v>0</v>
      </c>
      <c r="AA2450">
        <v>9</v>
      </c>
      <c r="AB2450">
        <v>3</v>
      </c>
      <c r="AC2450">
        <v>0</v>
      </c>
      <c r="AD2450">
        <v>10</v>
      </c>
      <c r="AE2450">
        <v>0</v>
      </c>
      <c r="AF2450">
        <v>3</v>
      </c>
      <c r="AG2450">
        <v>2</v>
      </c>
      <c r="AH2450">
        <v>0</v>
      </c>
      <c r="AI2450" t="s">
        <v>5009</v>
      </c>
      <c r="AJ2450">
        <v>40.055121999999997</v>
      </c>
      <c r="AK2450" t="s">
        <v>5010</v>
      </c>
      <c r="AL2450">
        <v>-75.478326999999993</v>
      </c>
      <c r="AM2450">
        <v>100</v>
      </c>
      <c r="AN2450">
        <v>4700</v>
      </c>
      <c r="AO2450" t="s">
        <v>115</v>
      </c>
      <c r="AP2450">
        <v>133</v>
      </c>
      <c r="AQ2450">
        <v>123</v>
      </c>
      <c r="AR2450">
        <v>64</v>
      </c>
      <c r="AZ2450">
        <v>3614</v>
      </c>
      <c r="BA2450">
        <v>1</v>
      </c>
      <c r="BB2450" t="str">
        <f t="shared" si="116"/>
        <v xml:space="preserve">N959MJ  </v>
      </c>
      <c r="BC2450">
        <v>1</v>
      </c>
      <c r="BE2450">
        <v>0</v>
      </c>
      <c r="BF2450">
        <v>0</v>
      </c>
      <c r="BG2450">
        <v>0</v>
      </c>
      <c r="BH2450">
        <v>4900</v>
      </c>
      <c r="BI2450">
        <v>200</v>
      </c>
      <c r="BJ2450">
        <v>1</v>
      </c>
      <c r="BK2450">
        <v>1</v>
      </c>
      <c r="BL2450">
        <v>1</v>
      </c>
      <c r="BM2450">
        <v>0</v>
      </c>
      <c r="BP2450">
        <v>0</v>
      </c>
      <c r="BQ2450">
        <v>0</v>
      </c>
      <c r="BX2450" t="str">
        <f>"14:31:11.047"</f>
        <v>14:31:11.047</v>
      </c>
      <c r="BY2450" t="str">
        <f>"042969302"</f>
        <v>042969302</v>
      </c>
      <c r="CL2450">
        <v>0</v>
      </c>
      <c r="CM2450">
        <v>2</v>
      </c>
      <c r="CN2450">
        <v>0</v>
      </c>
      <c r="CO2450">
        <v>2</v>
      </c>
      <c r="CP2450">
        <v>0</v>
      </c>
      <c r="CQ2450">
        <v>7</v>
      </c>
      <c r="CR2450" t="s">
        <v>116</v>
      </c>
      <c r="CS2450">
        <v>39</v>
      </c>
      <c r="CT2450">
        <v>0</v>
      </c>
      <c r="CU2450" t="s">
        <v>2259</v>
      </c>
      <c r="CV2450" t="s">
        <v>2260</v>
      </c>
      <c r="CY2450">
        <v>1876316</v>
      </c>
      <c r="CZ2450" t="s">
        <v>119</v>
      </c>
    </row>
    <row r="2451" spans="1:104" x14ac:dyDescent="0.25">
      <c r="A2451" t="str">
        <f>"14:31:12.344"</f>
        <v>14:31:12.344</v>
      </c>
      <c r="B2451" t="s">
        <v>108</v>
      </c>
      <c r="C2451" t="str">
        <f t="shared" si="115"/>
        <v>ffdfd3c0</v>
      </c>
      <c r="D2451" t="s">
        <v>109</v>
      </c>
      <c r="E2451">
        <v>4</v>
      </c>
      <c r="F2451">
        <v>1004</v>
      </c>
      <c r="G2451" t="s">
        <v>110</v>
      </c>
      <c r="J2451" t="s">
        <v>111</v>
      </c>
      <c r="K2451">
        <v>0</v>
      </c>
      <c r="L2451">
        <v>3</v>
      </c>
      <c r="M2451">
        <v>0</v>
      </c>
      <c r="N2451">
        <v>2</v>
      </c>
      <c r="O2451">
        <v>1</v>
      </c>
      <c r="P2451">
        <v>0</v>
      </c>
      <c r="Q2451">
        <v>0</v>
      </c>
      <c r="R2451" t="s">
        <v>112</v>
      </c>
      <c r="S2451" t="str">
        <f>"14:31:12.164"</f>
        <v>14:31:12.164</v>
      </c>
      <c r="T2451" t="str">
        <f>"14:31:11.664"</f>
        <v>14:31:11.664</v>
      </c>
      <c r="U2451" t="str">
        <f t="shared" si="114"/>
        <v>ad5732</v>
      </c>
      <c r="V2451">
        <v>0</v>
      </c>
      <c r="W2451">
        <v>0</v>
      </c>
      <c r="X2451">
        <v>1</v>
      </c>
      <c r="Z2451">
        <v>0</v>
      </c>
      <c r="AA2451">
        <v>9</v>
      </c>
      <c r="AB2451">
        <v>3</v>
      </c>
      <c r="AC2451">
        <v>0</v>
      </c>
      <c r="AD2451">
        <v>10</v>
      </c>
      <c r="AE2451">
        <v>0</v>
      </c>
      <c r="AF2451">
        <v>3</v>
      </c>
      <c r="AG2451">
        <v>2</v>
      </c>
      <c r="AH2451">
        <v>0</v>
      </c>
      <c r="AI2451" t="s">
        <v>5011</v>
      </c>
      <c r="AJ2451">
        <v>40.055745000000002</v>
      </c>
      <c r="AK2451" t="s">
        <v>5012</v>
      </c>
      <c r="AL2451">
        <v>-75.477425999999994</v>
      </c>
      <c r="AM2451">
        <v>100</v>
      </c>
      <c r="AN2451">
        <v>4700</v>
      </c>
      <c r="AO2451" t="s">
        <v>115</v>
      </c>
      <c r="AP2451">
        <v>133</v>
      </c>
      <c r="AQ2451">
        <v>123</v>
      </c>
      <c r="AR2451">
        <v>0</v>
      </c>
      <c r="AZ2451">
        <v>3614</v>
      </c>
      <c r="BA2451">
        <v>1</v>
      </c>
      <c r="BB2451" t="str">
        <f t="shared" si="116"/>
        <v xml:space="preserve">N959MJ  </v>
      </c>
      <c r="BC2451">
        <v>1</v>
      </c>
      <c r="BE2451">
        <v>0</v>
      </c>
      <c r="BF2451">
        <v>0</v>
      </c>
      <c r="BG2451">
        <v>0</v>
      </c>
      <c r="BH2451">
        <v>4900</v>
      </c>
      <c r="BI2451">
        <v>200</v>
      </c>
      <c r="BJ2451">
        <v>1</v>
      </c>
      <c r="BK2451">
        <v>1</v>
      </c>
      <c r="BL2451">
        <v>1</v>
      </c>
      <c r="BM2451">
        <v>0</v>
      </c>
      <c r="BP2451">
        <v>0</v>
      </c>
      <c r="BQ2451">
        <v>0</v>
      </c>
      <c r="BX2451" t="str">
        <f>"14:31:12.172"</f>
        <v>14:31:12.172</v>
      </c>
      <c r="BY2451" t="str">
        <f>"168569818"</f>
        <v>168569818</v>
      </c>
      <c r="CL2451">
        <v>0</v>
      </c>
      <c r="CM2451">
        <v>2</v>
      </c>
      <c r="CN2451">
        <v>0</v>
      </c>
      <c r="CO2451">
        <v>2</v>
      </c>
      <c r="CP2451">
        <v>0</v>
      </c>
      <c r="CQ2451">
        <v>7</v>
      </c>
      <c r="CR2451" t="s">
        <v>116</v>
      </c>
      <c r="CS2451">
        <v>39</v>
      </c>
      <c r="CT2451">
        <v>0</v>
      </c>
      <c r="CU2451" t="s">
        <v>2259</v>
      </c>
      <c r="CV2451" t="s">
        <v>2260</v>
      </c>
      <c r="CY2451">
        <v>1878352</v>
      </c>
      <c r="CZ2451" t="s">
        <v>119</v>
      </c>
    </row>
    <row r="2452" spans="1:104" x14ac:dyDescent="0.25">
      <c r="A2452" t="str">
        <f>"14:31:13.344"</f>
        <v>14:31:13.344</v>
      </c>
      <c r="B2452" t="s">
        <v>108</v>
      </c>
      <c r="C2452" t="str">
        <f t="shared" si="115"/>
        <v>ffdfd3c0</v>
      </c>
      <c r="D2452" t="s">
        <v>109</v>
      </c>
      <c r="E2452">
        <v>4</v>
      </c>
      <c r="F2452">
        <v>1004</v>
      </c>
      <c r="G2452" t="s">
        <v>110</v>
      </c>
      <c r="J2452" t="s">
        <v>111</v>
      </c>
      <c r="K2452">
        <v>0</v>
      </c>
      <c r="L2452">
        <v>3</v>
      </c>
      <c r="M2452">
        <v>0</v>
      </c>
      <c r="N2452">
        <v>2</v>
      </c>
      <c r="O2452">
        <v>1</v>
      </c>
      <c r="P2452">
        <v>0</v>
      </c>
      <c r="Q2452">
        <v>0</v>
      </c>
      <c r="R2452" t="s">
        <v>112</v>
      </c>
      <c r="S2452" t="str">
        <f>"14:31:13.172"</f>
        <v>14:31:13.172</v>
      </c>
      <c r="T2452" t="str">
        <f>"14:31:12.773"</f>
        <v>14:31:12.773</v>
      </c>
      <c r="U2452" t="str">
        <f t="shared" si="114"/>
        <v>ad5732</v>
      </c>
      <c r="V2452">
        <v>0</v>
      </c>
      <c r="W2452">
        <v>0</v>
      </c>
      <c r="X2452">
        <v>1</v>
      </c>
      <c r="Z2452">
        <v>0</v>
      </c>
      <c r="AA2452">
        <v>9</v>
      </c>
      <c r="AB2452">
        <v>3</v>
      </c>
      <c r="AC2452">
        <v>0</v>
      </c>
      <c r="AD2452">
        <v>10</v>
      </c>
      <c r="AE2452">
        <v>0</v>
      </c>
      <c r="AF2452">
        <v>3</v>
      </c>
      <c r="AG2452">
        <v>2</v>
      </c>
      <c r="AH2452">
        <v>0</v>
      </c>
      <c r="AI2452" t="s">
        <v>5013</v>
      </c>
      <c r="AJ2452">
        <v>40.056345</v>
      </c>
      <c r="AK2452" t="s">
        <v>5014</v>
      </c>
      <c r="AL2452">
        <v>-75.476631999999995</v>
      </c>
      <c r="AM2452">
        <v>100</v>
      </c>
      <c r="AN2452">
        <v>4700</v>
      </c>
      <c r="AO2452" t="s">
        <v>115</v>
      </c>
      <c r="AP2452">
        <v>133</v>
      </c>
      <c r="AQ2452">
        <v>123</v>
      </c>
      <c r="AR2452">
        <v>0</v>
      </c>
      <c r="AZ2452">
        <v>3614</v>
      </c>
      <c r="BA2452">
        <v>1</v>
      </c>
      <c r="BB2452" t="str">
        <f t="shared" si="116"/>
        <v xml:space="preserve">N959MJ  </v>
      </c>
      <c r="BC2452">
        <v>1</v>
      </c>
      <c r="BE2452">
        <v>0</v>
      </c>
      <c r="BF2452">
        <v>0</v>
      </c>
      <c r="BG2452">
        <v>0</v>
      </c>
      <c r="BH2452">
        <v>4900</v>
      </c>
      <c r="BI2452">
        <v>200</v>
      </c>
      <c r="BJ2452">
        <v>1</v>
      </c>
      <c r="BK2452">
        <v>1</v>
      </c>
      <c r="BL2452">
        <v>1</v>
      </c>
      <c r="BM2452">
        <v>0</v>
      </c>
      <c r="BP2452">
        <v>0</v>
      </c>
      <c r="BQ2452">
        <v>0</v>
      </c>
      <c r="BX2452" t="str">
        <f>"14:31:13.172"</f>
        <v>14:31:13.172</v>
      </c>
      <c r="BY2452" t="str">
        <f>"174565100"</f>
        <v>174565100</v>
      </c>
      <c r="CL2452">
        <v>0</v>
      </c>
      <c r="CM2452">
        <v>2</v>
      </c>
      <c r="CN2452">
        <v>0</v>
      </c>
      <c r="CO2452">
        <v>2</v>
      </c>
      <c r="CP2452">
        <v>0</v>
      </c>
      <c r="CQ2452">
        <v>7</v>
      </c>
      <c r="CR2452" t="s">
        <v>116</v>
      </c>
      <c r="CS2452">
        <v>39</v>
      </c>
      <c r="CT2452">
        <v>0</v>
      </c>
      <c r="CU2452" t="s">
        <v>2259</v>
      </c>
      <c r="CV2452" t="s">
        <v>2260</v>
      </c>
      <c r="CY2452">
        <v>1880025</v>
      </c>
      <c r="CZ2452" t="s">
        <v>119</v>
      </c>
    </row>
    <row r="2453" spans="1:104" x14ac:dyDescent="0.25">
      <c r="A2453" t="str">
        <f>"14:31:14.359"</f>
        <v>14:31:14.359</v>
      </c>
      <c r="B2453" t="s">
        <v>108</v>
      </c>
      <c r="C2453" t="str">
        <f t="shared" si="115"/>
        <v>ffdfd3c0</v>
      </c>
      <c r="D2453" t="s">
        <v>109</v>
      </c>
      <c r="E2453">
        <v>4</v>
      </c>
      <c r="F2453">
        <v>1004</v>
      </c>
      <c r="G2453" t="s">
        <v>110</v>
      </c>
      <c r="J2453" t="s">
        <v>111</v>
      </c>
      <c r="K2453">
        <v>0</v>
      </c>
      <c r="L2453">
        <v>3</v>
      </c>
      <c r="M2453">
        <v>0</v>
      </c>
      <c r="N2453">
        <v>2</v>
      </c>
      <c r="O2453">
        <v>1</v>
      </c>
      <c r="P2453">
        <v>0</v>
      </c>
      <c r="Q2453">
        <v>0</v>
      </c>
      <c r="R2453" t="s">
        <v>112</v>
      </c>
      <c r="S2453" t="str">
        <f>"14:31:14.172"</f>
        <v>14:31:14.172</v>
      </c>
      <c r="T2453" t="str">
        <f>"14:31:13.773"</f>
        <v>14:31:13.773</v>
      </c>
      <c r="U2453" t="str">
        <f t="shared" si="114"/>
        <v>ad5732</v>
      </c>
      <c r="V2453">
        <v>0</v>
      </c>
      <c r="W2453">
        <v>0</v>
      </c>
      <c r="X2453">
        <v>1</v>
      </c>
      <c r="Z2453">
        <v>0</v>
      </c>
      <c r="AA2453">
        <v>9</v>
      </c>
      <c r="AB2453">
        <v>3</v>
      </c>
      <c r="AC2453">
        <v>0</v>
      </c>
      <c r="AD2453">
        <v>10</v>
      </c>
      <c r="AE2453">
        <v>0</v>
      </c>
      <c r="AF2453">
        <v>3</v>
      </c>
      <c r="AG2453">
        <v>2</v>
      </c>
      <c r="AH2453">
        <v>0</v>
      </c>
      <c r="AI2453" t="s">
        <v>5015</v>
      </c>
      <c r="AJ2453">
        <v>40.056882000000002</v>
      </c>
      <c r="AK2453" t="s">
        <v>5016</v>
      </c>
      <c r="AL2453">
        <v>-75.475837999999996</v>
      </c>
      <c r="AM2453">
        <v>100</v>
      </c>
      <c r="AN2453">
        <v>4700</v>
      </c>
      <c r="AO2453" t="s">
        <v>115</v>
      </c>
      <c r="AP2453">
        <v>133</v>
      </c>
      <c r="AQ2453">
        <v>124</v>
      </c>
      <c r="AR2453">
        <v>0</v>
      </c>
      <c r="AZ2453">
        <v>3614</v>
      </c>
      <c r="BA2453">
        <v>1</v>
      </c>
      <c r="BB2453" t="str">
        <f t="shared" si="116"/>
        <v xml:space="preserve">N959MJ  </v>
      </c>
      <c r="BC2453">
        <v>1</v>
      </c>
      <c r="BE2453">
        <v>0</v>
      </c>
      <c r="BF2453">
        <v>0</v>
      </c>
      <c r="BG2453">
        <v>0</v>
      </c>
      <c r="BH2453">
        <v>4900</v>
      </c>
      <c r="BI2453">
        <v>200</v>
      </c>
      <c r="BJ2453">
        <v>1</v>
      </c>
      <c r="BK2453">
        <v>1</v>
      </c>
      <c r="BL2453">
        <v>1</v>
      </c>
      <c r="BM2453">
        <v>0</v>
      </c>
      <c r="BP2453">
        <v>0</v>
      </c>
      <c r="BQ2453">
        <v>0</v>
      </c>
      <c r="BX2453" t="str">
        <f>"14:31:14.172"</f>
        <v>14:31:14.172</v>
      </c>
      <c r="BY2453" t="str">
        <f>"174006744"</f>
        <v>174006744</v>
      </c>
      <c r="CL2453">
        <v>0</v>
      </c>
      <c r="CM2453">
        <v>2</v>
      </c>
      <c r="CN2453">
        <v>0</v>
      </c>
      <c r="CO2453">
        <v>2</v>
      </c>
      <c r="CP2453">
        <v>0</v>
      </c>
      <c r="CQ2453">
        <v>7</v>
      </c>
      <c r="CR2453" t="s">
        <v>116</v>
      </c>
      <c r="CS2453">
        <v>39</v>
      </c>
      <c r="CT2453">
        <v>0</v>
      </c>
      <c r="CU2453" t="s">
        <v>2259</v>
      </c>
      <c r="CV2453" t="s">
        <v>2260</v>
      </c>
      <c r="CY2453">
        <v>1881741</v>
      </c>
      <c r="CZ2453" t="s">
        <v>119</v>
      </c>
    </row>
    <row r="2454" spans="1:104" x14ac:dyDescent="0.25">
      <c r="A2454" t="str">
        <f>"14:31:15.414"</f>
        <v>14:31:15.414</v>
      </c>
      <c r="B2454" t="s">
        <v>108</v>
      </c>
      <c r="C2454" t="str">
        <f t="shared" si="115"/>
        <v>ffdfd3c0</v>
      </c>
      <c r="D2454" t="s">
        <v>109</v>
      </c>
      <c r="E2454">
        <v>4</v>
      </c>
      <c r="F2454">
        <v>1004</v>
      </c>
      <c r="G2454" t="s">
        <v>110</v>
      </c>
      <c r="J2454" t="s">
        <v>111</v>
      </c>
      <c r="K2454">
        <v>0</v>
      </c>
      <c r="L2454">
        <v>3</v>
      </c>
      <c r="M2454">
        <v>0</v>
      </c>
      <c r="N2454">
        <v>2</v>
      </c>
      <c r="O2454">
        <v>1</v>
      </c>
      <c r="P2454">
        <v>0</v>
      </c>
      <c r="Q2454">
        <v>0</v>
      </c>
      <c r="R2454" t="s">
        <v>112</v>
      </c>
      <c r="S2454" t="str">
        <f>"14:31:15.242"</f>
        <v>14:31:15.242</v>
      </c>
      <c r="T2454" t="str">
        <f>"14:31:14.844"</f>
        <v>14:31:14.844</v>
      </c>
      <c r="U2454" t="str">
        <f t="shared" si="114"/>
        <v>ad5732</v>
      </c>
      <c r="V2454">
        <v>0</v>
      </c>
      <c r="W2454">
        <v>0</v>
      </c>
      <c r="X2454">
        <v>1</v>
      </c>
      <c r="Z2454">
        <v>0</v>
      </c>
      <c r="AA2454">
        <v>9</v>
      </c>
      <c r="AB2454">
        <v>3</v>
      </c>
      <c r="AC2454">
        <v>0</v>
      </c>
      <c r="AD2454">
        <v>10</v>
      </c>
      <c r="AE2454">
        <v>0</v>
      </c>
      <c r="AF2454">
        <v>3</v>
      </c>
      <c r="AG2454">
        <v>2</v>
      </c>
      <c r="AH2454">
        <v>0</v>
      </c>
      <c r="AI2454" t="s">
        <v>5017</v>
      </c>
      <c r="AJ2454">
        <v>40.057504000000002</v>
      </c>
      <c r="AK2454" t="s">
        <v>5018</v>
      </c>
      <c r="AL2454">
        <v>-75.474958000000001</v>
      </c>
      <c r="AM2454">
        <v>100</v>
      </c>
      <c r="AN2454">
        <v>4700</v>
      </c>
      <c r="AO2454" t="s">
        <v>115</v>
      </c>
      <c r="AP2454">
        <v>133</v>
      </c>
      <c r="AQ2454">
        <v>124</v>
      </c>
      <c r="AR2454">
        <v>0</v>
      </c>
      <c r="AZ2454">
        <v>3614</v>
      </c>
      <c r="BA2454">
        <v>1</v>
      </c>
      <c r="BB2454" t="str">
        <f t="shared" si="116"/>
        <v xml:space="preserve">N959MJ  </v>
      </c>
      <c r="BC2454">
        <v>1</v>
      </c>
      <c r="BE2454">
        <v>0</v>
      </c>
      <c r="BF2454">
        <v>0</v>
      </c>
      <c r="BG2454">
        <v>0</v>
      </c>
      <c r="BH2454">
        <v>4900</v>
      </c>
      <c r="BI2454">
        <v>200</v>
      </c>
      <c r="BJ2454">
        <v>1</v>
      </c>
      <c r="BK2454">
        <v>1</v>
      </c>
      <c r="BL2454">
        <v>1</v>
      </c>
      <c r="BM2454">
        <v>0</v>
      </c>
      <c r="BP2454">
        <v>0</v>
      </c>
      <c r="BQ2454">
        <v>0</v>
      </c>
      <c r="BX2454" t="str">
        <f>"14:31:15.242"</f>
        <v>14:31:15.242</v>
      </c>
      <c r="BY2454" t="str">
        <f>"242262260"</f>
        <v>242262260</v>
      </c>
      <c r="CL2454">
        <v>0</v>
      </c>
      <c r="CM2454">
        <v>2</v>
      </c>
      <c r="CN2454">
        <v>0</v>
      </c>
      <c r="CO2454">
        <v>2</v>
      </c>
      <c r="CP2454">
        <v>0</v>
      </c>
      <c r="CQ2454">
        <v>7</v>
      </c>
      <c r="CR2454" t="s">
        <v>116</v>
      </c>
      <c r="CS2454">
        <v>39</v>
      </c>
      <c r="CT2454">
        <v>0</v>
      </c>
      <c r="CU2454" t="s">
        <v>2259</v>
      </c>
      <c r="CV2454" t="s">
        <v>2260</v>
      </c>
      <c r="CY2454">
        <v>1883483</v>
      </c>
      <c r="CZ2454" t="s">
        <v>119</v>
      </c>
    </row>
    <row r="2455" spans="1:104" x14ac:dyDescent="0.25">
      <c r="A2455" t="str">
        <f>"14:31:16.578"</f>
        <v>14:31:16.578</v>
      </c>
      <c r="B2455" t="s">
        <v>108</v>
      </c>
      <c r="C2455" t="str">
        <f t="shared" si="115"/>
        <v>ffdfd3c0</v>
      </c>
      <c r="D2455" t="s">
        <v>109</v>
      </c>
      <c r="E2455">
        <v>4</v>
      </c>
      <c r="F2455">
        <v>1004</v>
      </c>
      <c r="G2455" t="s">
        <v>110</v>
      </c>
      <c r="J2455" t="s">
        <v>111</v>
      </c>
      <c r="K2455">
        <v>0</v>
      </c>
      <c r="L2455">
        <v>3</v>
      </c>
      <c r="M2455">
        <v>0</v>
      </c>
      <c r="N2455">
        <v>2</v>
      </c>
      <c r="O2455">
        <v>1</v>
      </c>
      <c r="P2455">
        <v>0</v>
      </c>
      <c r="Q2455">
        <v>0</v>
      </c>
      <c r="R2455" t="s">
        <v>112</v>
      </c>
      <c r="S2455" t="str">
        <f>"14:31:16.383"</f>
        <v>14:31:16.383</v>
      </c>
      <c r="T2455" t="str">
        <f>"14:31:15.883"</f>
        <v>14:31:15.883</v>
      </c>
      <c r="U2455" t="str">
        <f t="shared" si="114"/>
        <v>ad5732</v>
      </c>
      <c r="V2455">
        <v>0</v>
      </c>
      <c r="W2455">
        <v>0</v>
      </c>
      <c r="X2455">
        <v>1</v>
      </c>
      <c r="Z2455">
        <v>0</v>
      </c>
      <c r="AA2455">
        <v>9</v>
      </c>
      <c r="AB2455">
        <v>3</v>
      </c>
      <c r="AC2455">
        <v>0</v>
      </c>
      <c r="AD2455">
        <v>10</v>
      </c>
      <c r="AE2455">
        <v>0</v>
      </c>
      <c r="AF2455">
        <v>3</v>
      </c>
      <c r="AG2455">
        <v>2</v>
      </c>
      <c r="AH2455">
        <v>0</v>
      </c>
      <c r="AI2455" t="s">
        <v>5019</v>
      </c>
      <c r="AJ2455">
        <v>40.058168999999999</v>
      </c>
      <c r="AK2455" t="s">
        <v>5020</v>
      </c>
      <c r="AL2455">
        <v>-75.474057000000002</v>
      </c>
      <c r="AM2455">
        <v>100</v>
      </c>
      <c r="AN2455">
        <v>4700</v>
      </c>
      <c r="AO2455" t="s">
        <v>115</v>
      </c>
      <c r="AP2455">
        <v>133</v>
      </c>
      <c r="AQ2455">
        <v>124</v>
      </c>
      <c r="AR2455">
        <v>0</v>
      </c>
      <c r="AZ2455">
        <v>3614</v>
      </c>
      <c r="BA2455">
        <v>1</v>
      </c>
      <c r="BB2455" t="str">
        <f t="shared" si="116"/>
        <v xml:space="preserve">N959MJ  </v>
      </c>
      <c r="BC2455">
        <v>1</v>
      </c>
      <c r="BE2455">
        <v>0</v>
      </c>
      <c r="BF2455">
        <v>0</v>
      </c>
      <c r="BG2455">
        <v>0</v>
      </c>
      <c r="BH2455">
        <v>4900</v>
      </c>
      <c r="BI2455">
        <v>200</v>
      </c>
      <c r="BJ2455">
        <v>1</v>
      </c>
      <c r="BK2455">
        <v>1</v>
      </c>
      <c r="BL2455">
        <v>1</v>
      </c>
      <c r="BM2455">
        <v>0</v>
      </c>
      <c r="BP2455">
        <v>0</v>
      </c>
      <c r="BQ2455">
        <v>0</v>
      </c>
      <c r="BX2455" t="str">
        <f>"14:31:16.383"</f>
        <v>14:31:16.383</v>
      </c>
      <c r="BY2455" t="str">
        <f>"384247074"</f>
        <v>384247074</v>
      </c>
      <c r="CL2455">
        <v>0</v>
      </c>
      <c r="CM2455">
        <v>2</v>
      </c>
      <c r="CN2455">
        <v>0</v>
      </c>
      <c r="CO2455">
        <v>2</v>
      </c>
      <c r="CP2455">
        <v>0</v>
      </c>
      <c r="CQ2455">
        <v>7</v>
      </c>
      <c r="CR2455" t="s">
        <v>116</v>
      </c>
      <c r="CS2455">
        <v>39</v>
      </c>
      <c r="CT2455">
        <v>0</v>
      </c>
      <c r="CU2455" t="s">
        <v>2259</v>
      </c>
      <c r="CV2455" t="s">
        <v>2260</v>
      </c>
      <c r="CY2455">
        <v>1885493</v>
      </c>
      <c r="CZ2455" t="s">
        <v>119</v>
      </c>
    </row>
    <row r="2456" spans="1:104" x14ac:dyDescent="0.25">
      <c r="A2456" t="str">
        <f>"14:31:17.641"</f>
        <v>14:31:17.641</v>
      </c>
      <c r="B2456" t="s">
        <v>108</v>
      </c>
      <c r="C2456" t="str">
        <f t="shared" si="115"/>
        <v>ffdfd3c0</v>
      </c>
      <c r="D2456" t="s">
        <v>109</v>
      </c>
      <c r="E2456">
        <v>4</v>
      </c>
      <c r="F2456">
        <v>1004</v>
      </c>
      <c r="G2456" t="s">
        <v>110</v>
      </c>
      <c r="J2456" t="s">
        <v>111</v>
      </c>
      <c r="K2456">
        <v>0</v>
      </c>
      <c r="L2456">
        <v>3</v>
      </c>
      <c r="M2456">
        <v>0</v>
      </c>
      <c r="N2456">
        <v>2</v>
      </c>
      <c r="O2456">
        <v>1</v>
      </c>
      <c r="P2456">
        <v>0</v>
      </c>
      <c r="Q2456">
        <v>0</v>
      </c>
      <c r="R2456" t="s">
        <v>112</v>
      </c>
      <c r="S2456" t="str">
        <f>"14:31:17.453"</f>
        <v>14:31:17.453</v>
      </c>
      <c r="T2456" t="str">
        <f>"14:31:17.055"</f>
        <v>14:31:17.055</v>
      </c>
      <c r="U2456" t="str">
        <f t="shared" si="114"/>
        <v>ad5732</v>
      </c>
      <c r="V2456">
        <v>0</v>
      </c>
      <c r="W2456">
        <v>0</v>
      </c>
      <c r="X2456">
        <v>1</v>
      </c>
      <c r="Z2456">
        <v>0</v>
      </c>
      <c r="AA2456">
        <v>9</v>
      </c>
      <c r="AB2456">
        <v>3</v>
      </c>
      <c r="AC2456">
        <v>0</v>
      </c>
      <c r="AD2456">
        <v>10</v>
      </c>
      <c r="AE2456">
        <v>0</v>
      </c>
      <c r="AF2456">
        <v>3</v>
      </c>
      <c r="AG2456">
        <v>2</v>
      </c>
      <c r="AH2456">
        <v>0</v>
      </c>
      <c r="AI2456" t="s">
        <v>5021</v>
      </c>
      <c r="AJ2456">
        <v>40.058813000000001</v>
      </c>
      <c r="AK2456" t="s">
        <v>5022</v>
      </c>
      <c r="AL2456">
        <v>-75.473198999999994</v>
      </c>
      <c r="AM2456">
        <v>100</v>
      </c>
      <c r="AN2456">
        <v>4700</v>
      </c>
      <c r="AO2456" t="s">
        <v>115</v>
      </c>
      <c r="AP2456">
        <v>132</v>
      </c>
      <c r="AQ2456">
        <v>124</v>
      </c>
      <c r="AR2456">
        <v>0</v>
      </c>
      <c r="AZ2456">
        <v>3614</v>
      </c>
      <c r="BA2456">
        <v>1</v>
      </c>
      <c r="BB2456" t="str">
        <f t="shared" si="116"/>
        <v xml:space="preserve">N959MJ  </v>
      </c>
      <c r="BC2456">
        <v>1</v>
      </c>
      <c r="BE2456">
        <v>0</v>
      </c>
      <c r="BF2456">
        <v>0</v>
      </c>
      <c r="BG2456">
        <v>0</v>
      </c>
      <c r="BH2456">
        <v>4900</v>
      </c>
      <c r="BI2456">
        <v>200</v>
      </c>
      <c r="BJ2456">
        <v>1</v>
      </c>
      <c r="BK2456">
        <v>1</v>
      </c>
      <c r="BL2456">
        <v>1</v>
      </c>
      <c r="BM2456">
        <v>0</v>
      </c>
      <c r="BP2456">
        <v>0</v>
      </c>
      <c r="BQ2456">
        <v>0</v>
      </c>
      <c r="BX2456" t="str">
        <f>"14:31:17.461"</f>
        <v>14:31:17.461</v>
      </c>
      <c r="BY2456" t="str">
        <f>"457417954"</f>
        <v>457417954</v>
      </c>
      <c r="CL2456">
        <v>0</v>
      </c>
      <c r="CM2456">
        <v>2</v>
      </c>
      <c r="CN2456">
        <v>0</v>
      </c>
      <c r="CO2456">
        <v>2</v>
      </c>
      <c r="CP2456">
        <v>0</v>
      </c>
      <c r="CQ2456">
        <v>7</v>
      </c>
      <c r="CR2456" t="s">
        <v>116</v>
      </c>
      <c r="CS2456">
        <v>39</v>
      </c>
      <c r="CT2456">
        <v>0</v>
      </c>
      <c r="CU2456" t="s">
        <v>2259</v>
      </c>
      <c r="CV2456" t="s">
        <v>2260</v>
      </c>
      <c r="CY2456">
        <v>1887318</v>
      </c>
      <c r="CZ2456" t="s">
        <v>119</v>
      </c>
    </row>
    <row r="2457" spans="1:104" x14ac:dyDescent="0.25">
      <c r="A2457" t="str">
        <f>"14:31:18.648"</f>
        <v>14:31:18.648</v>
      </c>
      <c r="B2457" t="s">
        <v>108</v>
      </c>
      <c r="C2457" t="str">
        <f t="shared" si="115"/>
        <v>ffdfd3c0</v>
      </c>
      <c r="D2457" t="s">
        <v>109</v>
      </c>
      <c r="E2457">
        <v>4</v>
      </c>
      <c r="F2457">
        <v>1004</v>
      </c>
      <c r="G2457" t="s">
        <v>110</v>
      </c>
      <c r="J2457" t="s">
        <v>111</v>
      </c>
      <c r="K2457">
        <v>0</v>
      </c>
      <c r="L2457">
        <v>3</v>
      </c>
      <c r="M2457">
        <v>0</v>
      </c>
      <c r="N2457">
        <v>2</v>
      </c>
      <c r="O2457">
        <v>1</v>
      </c>
      <c r="P2457">
        <v>0</v>
      </c>
      <c r="Q2457">
        <v>0</v>
      </c>
      <c r="R2457" t="s">
        <v>112</v>
      </c>
      <c r="S2457" t="str">
        <f>"14:31:18.438"</f>
        <v>14:31:18.438</v>
      </c>
      <c r="T2457" t="str">
        <f>"14:31:17.938"</f>
        <v>14:31:17.938</v>
      </c>
      <c r="U2457" t="str">
        <f t="shared" si="114"/>
        <v>ad5732</v>
      </c>
      <c r="V2457">
        <v>0</v>
      </c>
      <c r="W2457">
        <v>0</v>
      </c>
      <c r="X2457">
        <v>1</v>
      </c>
      <c r="Z2457">
        <v>0</v>
      </c>
      <c r="AA2457">
        <v>9</v>
      </c>
      <c r="AB2457">
        <v>3</v>
      </c>
      <c r="AC2457">
        <v>0</v>
      </c>
      <c r="AD2457">
        <v>10</v>
      </c>
      <c r="AE2457">
        <v>0</v>
      </c>
      <c r="AF2457">
        <v>3</v>
      </c>
      <c r="AG2457">
        <v>2</v>
      </c>
      <c r="AH2457">
        <v>0</v>
      </c>
      <c r="AI2457" t="s">
        <v>5023</v>
      </c>
      <c r="AJ2457">
        <v>40.059370999999999</v>
      </c>
      <c r="AK2457" t="s">
        <v>5024</v>
      </c>
      <c r="AL2457">
        <v>-75.472382999999994</v>
      </c>
      <c r="AM2457">
        <v>100</v>
      </c>
      <c r="AN2457">
        <v>4700</v>
      </c>
      <c r="AO2457" t="s">
        <v>115</v>
      </c>
      <c r="AP2457">
        <v>132</v>
      </c>
      <c r="AQ2457">
        <v>124</v>
      </c>
      <c r="AR2457">
        <v>0</v>
      </c>
      <c r="AZ2457">
        <v>3614</v>
      </c>
      <c r="BA2457">
        <v>1</v>
      </c>
      <c r="BB2457" t="str">
        <f t="shared" si="116"/>
        <v xml:space="preserve">N959MJ  </v>
      </c>
      <c r="BC2457">
        <v>1</v>
      </c>
      <c r="BE2457">
        <v>0</v>
      </c>
      <c r="BF2457">
        <v>0</v>
      </c>
      <c r="BG2457">
        <v>0</v>
      </c>
      <c r="BH2457">
        <v>4900</v>
      </c>
      <c r="BI2457">
        <v>200</v>
      </c>
      <c r="BJ2457">
        <v>1</v>
      </c>
      <c r="BK2457">
        <v>1</v>
      </c>
      <c r="BL2457">
        <v>1</v>
      </c>
      <c r="BM2457">
        <v>0</v>
      </c>
      <c r="BP2457">
        <v>0</v>
      </c>
      <c r="BQ2457">
        <v>0</v>
      </c>
      <c r="BX2457" t="str">
        <f>"14:31:18.445"</f>
        <v>14:31:18.445</v>
      </c>
      <c r="BY2457" t="str">
        <f>"443752088"</f>
        <v>443752088</v>
      </c>
      <c r="CL2457">
        <v>0</v>
      </c>
      <c r="CM2457">
        <v>2</v>
      </c>
      <c r="CN2457">
        <v>0</v>
      </c>
      <c r="CO2457">
        <v>2</v>
      </c>
      <c r="CP2457">
        <v>0</v>
      </c>
      <c r="CQ2457">
        <v>7</v>
      </c>
      <c r="CR2457" t="s">
        <v>116</v>
      </c>
      <c r="CS2457">
        <v>39</v>
      </c>
      <c r="CT2457">
        <v>0</v>
      </c>
      <c r="CU2457" t="s">
        <v>2259</v>
      </c>
      <c r="CV2457" t="s">
        <v>2260</v>
      </c>
      <c r="CY2457">
        <v>1889106</v>
      </c>
      <c r="CZ2457" t="s">
        <v>119</v>
      </c>
    </row>
    <row r="2458" spans="1:104" x14ac:dyDescent="0.25">
      <c r="A2458" t="str">
        <f>"14:31:19.656"</f>
        <v>14:31:19.656</v>
      </c>
      <c r="B2458" t="s">
        <v>108</v>
      </c>
      <c r="C2458" t="str">
        <f t="shared" si="115"/>
        <v>ffdfd3c0</v>
      </c>
      <c r="D2458" t="s">
        <v>109</v>
      </c>
      <c r="E2458">
        <v>4</v>
      </c>
      <c r="F2458">
        <v>1004</v>
      </c>
      <c r="G2458" t="s">
        <v>110</v>
      </c>
      <c r="J2458" t="s">
        <v>111</v>
      </c>
      <c r="K2458">
        <v>0</v>
      </c>
      <c r="L2458">
        <v>3</v>
      </c>
      <c r="M2458">
        <v>0</v>
      </c>
      <c r="N2458">
        <v>2</v>
      </c>
      <c r="O2458">
        <v>1</v>
      </c>
      <c r="P2458">
        <v>0</v>
      </c>
      <c r="Q2458">
        <v>0</v>
      </c>
      <c r="R2458" t="s">
        <v>112</v>
      </c>
      <c r="S2458" t="str">
        <f>"14:31:19.453"</f>
        <v>14:31:19.453</v>
      </c>
      <c r="T2458" t="str">
        <f>"14:31:18.953"</f>
        <v>14:31:18.953</v>
      </c>
      <c r="U2458" t="str">
        <f t="shared" si="114"/>
        <v>ad5732</v>
      </c>
      <c r="V2458">
        <v>0</v>
      </c>
      <c r="W2458">
        <v>0</v>
      </c>
      <c r="X2458">
        <v>1</v>
      </c>
      <c r="Z2458">
        <v>0</v>
      </c>
      <c r="AA2458">
        <v>9</v>
      </c>
      <c r="AB2458">
        <v>3</v>
      </c>
      <c r="AC2458">
        <v>0</v>
      </c>
      <c r="AD2458">
        <v>10</v>
      </c>
      <c r="AE2458">
        <v>0</v>
      </c>
      <c r="AF2458">
        <v>3</v>
      </c>
      <c r="AG2458">
        <v>2</v>
      </c>
      <c r="AH2458">
        <v>0</v>
      </c>
      <c r="AI2458" t="s">
        <v>5025</v>
      </c>
      <c r="AJ2458">
        <v>40.059928999999997</v>
      </c>
      <c r="AK2458" t="s">
        <v>5026</v>
      </c>
      <c r="AL2458">
        <v>-75.471590000000006</v>
      </c>
      <c r="AM2458">
        <v>100</v>
      </c>
      <c r="AN2458">
        <v>4700</v>
      </c>
      <c r="AO2458" t="s">
        <v>115</v>
      </c>
      <c r="AP2458">
        <v>132</v>
      </c>
      <c r="AQ2458">
        <v>124</v>
      </c>
      <c r="AR2458">
        <v>0</v>
      </c>
      <c r="AZ2458">
        <v>3614</v>
      </c>
      <c r="BA2458">
        <v>1</v>
      </c>
      <c r="BB2458" t="str">
        <f t="shared" si="116"/>
        <v xml:space="preserve">N959MJ  </v>
      </c>
      <c r="BC2458">
        <v>1</v>
      </c>
      <c r="BE2458">
        <v>0</v>
      </c>
      <c r="BF2458">
        <v>0</v>
      </c>
      <c r="BG2458">
        <v>0</v>
      </c>
      <c r="BH2458">
        <v>4900</v>
      </c>
      <c r="BI2458">
        <v>200</v>
      </c>
      <c r="BJ2458">
        <v>1</v>
      </c>
      <c r="BK2458">
        <v>1</v>
      </c>
      <c r="BL2458">
        <v>1</v>
      </c>
      <c r="BM2458">
        <v>0</v>
      </c>
      <c r="BP2458">
        <v>0</v>
      </c>
      <c r="BQ2458">
        <v>0</v>
      </c>
      <c r="BX2458" t="str">
        <f>"14:31:19.453"</f>
        <v>14:31:19.453</v>
      </c>
      <c r="BY2458" t="str">
        <f>"456301084"</f>
        <v>456301084</v>
      </c>
      <c r="CL2458">
        <v>0</v>
      </c>
      <c r="CM2458">
        <v>2</v>
      </c>
      <c r="CN2458">
        <v>0</v>
      </c>
      <c r="CO2458">
        <v>2</v>
      </c>
      <c r="CP2458">
        <v>0</v>
      </c>
      <c r="CQ2458">
        <v>7</v>
      </c>
      <c r="CR2458" t="s">
        <v>116</v>
      </c>
      <c r="CS2458">
        <v>39</v>
      </c>
      <c r="CT2458">
        <v>0</v>
      </c>
      <c r="CU2458" t="s">
        <v>2259</v>
      </c>
      <c r="CV2458" t="s">
        <v>2260</v>
      </c>
      <c r="CY2458">
        <v>1890807</v>
      </c>
      <c r="CZ2458" t="s">
        <v>119</v>
      </c>
    </row>
    <row r="2459" spans="1:104" x14ac:dyDescent="0.25">
      <c r="A2459" t="str">
        <f>"14:31:20.664"</f>
        <v>14:31:20.664</v>
      </c>
      <c r="B2459" t="s">
        <v>108</v>
      </c>
      <c r="C2459" t="str">
        <f t="shared" si="115"/>
        <v>ffdfd3c0</v>
      </c>
      <c r="D2459" t="s">
        <v>109</v>
      </c>
      <c r="E2459">
        <v>4</v>
      </c>
      <c r="F2459">
        <v>1004</v>
      </c>
      <c r="G2459" t="s">
        <v>110</v>
      </c>
      <c r="J2459" t="s">
        <v>111</v>
      </c>
      <c r="K2459">
        <v>0</v>
      </c>
      <c r="L2459">
        <v>3</v>
      </c>
      <c r="M2459">
        <v>0</v>
      </c>
      <c r="N2459">
        <v>2</v>
      </c>
      <c r="O2459">
        <v>1</v>
      </c>
      <c r="P2459">
        <v>0</v>
      </c>
      <c r="Q2459">
        <v>0</v>
      </c>
      <c r="R2459" t="s">
        <v>112</v>
      </c>
      <c r="S2459" t="str">
        <f>"14:31:20.477"</f>
        <v>14:31:20.477</v>
      </c>
      <c r="T2459" t="str">
        <f>"14:31:19.477"</f>
        <v>14:31:19.477</v>
      </c>
      <c r="U2459" t="str">
        <f t="shared" si="114"/>
        <v>ad5732</v>
      </c>
      <c r="V2459">
        <v>0</v>
      </c>
      <c r="W2459">
        <v>0</v>
      </c>
      <c r="X2459">
        <v>1</v>
      </c>
      <c r="Z2459">
        <v>0</v>
      </c>
      <c r="AA2459">
        <v>9</v>
      </c>
      <c r="AB2459">
        <v>3</v>
      </c>
      <c r="AC2459">
        <v>0</v>
      </c>
      <c r="AD2459">
        <v>10</v>
      </c>
      <c r="AE2459">
        <v>0</v>
      </c>
      <c r="AF2459">
        <v>3</v>
      </c>
      <c r="AG2459">
        <v>2</v>
      </c>
      <c r="AH2459">
        <v>0</v>
      </c>
      <c r="AI2459" t="s">
        <v>5027</v>
      </c>
      <c r="AJ2459">
        <v>40.06053</v>
      </c>
      <c r="AK2459" t="s">
        <v>5028</v>
      </c>
      <c r="AL2459">
        <v>-75.470774000000006</v>
      </c>
      <c r="AM2459">
        <v>100</v>
      </c>
      <c r="AN2459">
        <v>4700</v>
      </c>
      <c r="AO2459" t="s">
        <v>115</v>
      </c>
      <c r="AP2459">
        <v>132</v>
      </c>
      <c r="AQ2459">
        <v>124</v>
      </c>
      <c r="AR2459">
        <v>0</v>
      </c>
      <c r="AZ2459">
        <v>3614</v>
      </c>
      <c r="BA2459">
        <v>1</v>
      </c>
      <c r="BB2459" t="str">
        <f t="shared" si="116"/>
        <v xml:space="preserve">N959MJ  </v>
      </c>
      <c r="BC2459">
        <v>1</v>
      </c>
      <c r="BE2459">
        <v>0</v>
      </c>
      <c r="BF2459">
        <v>0</v>
      </c>
      <c r="BG2459">
        <v>0</v>
      </c>
      <c r="BH2459">
        <v>4900</v>
      </c>
      <c r="BI2459">
        <v>200</v>
      </c>
      <c r="BJ2459">
        <v>1</v>
      </c>
      <c r="BK2459">
        <v>1</v>
      </c>
      <c r="BL2459">
        <v>1</v>
      </c>
      <c r="BM2459">
        <v>0</v>
      </c>
      <c r="BP2459">
        <v>0</v>
      </c>
      <c r="BQ2459">
        <v>0</v>
      </c>
      <c r="BX2459" t="str">
        <f>"14:31:20.477"</f>
        <v>14:31:20.477</v>
      </c>
      <c r="BY2459" t="str">
        <f>"478680651"</f>
        <v>478680651</v>
      </c>
      <c r="CL2459">
        <v>0</v>
      </c>
      <c r="CM2459">
        <v>2</v>
      </c>
      <c r="CN2459">
        <v>0</v>
      </c>
      <c r="CO2459">
        <v>2</v>
      </c>
      <c r="CP2459">
        <v>0</v>
      </c>
      <c r="CQ2459">
        <v>7</v>
      </c>
      <c r="CR2459" t="s">
        <v>116</v>
      </c>
      <c r="CS2459">
        <v>39</v>
      </c>
      <c r="CT2459">
        <v>0</v>
      </c>
      <c r="CU2459" t="s">
        <v>2259</v>
      </c>
      <c r="CV2459" t="s">
        <v>2260</v>
      </c>
      <c r="CY2459">
        <v>1892712</v>
      </c>
      <c r="CZ2459" t="s">
        <v>119</v>
      </c>
    </row>
    <row r="2460" spans="1:104" x14ac:dyDescent="0.25">
      <c r="A2460" t="str">
        <f>"14:31:21.625"</f>
        <v>14:31:21.625</v>
      </c>
      <c r="B2460" t="s">
        <v>108</v>
      </c>
      <c r="C2460" t="str">
        <f t="shared" si="115"/>
        <v>ffdfd3c0</v>
      </c>
      <c r="D2460" t="s">
        <v>109</v>
      </c>
      <c r="E2460">
        <v>4</v>
      </c>
      <c r="F2460">
        <v>1004</v>
      </c>
      <c r="G2460" t="s">
        <v>110</v>
      </c>
      <c r="J2460" t="s">
        <v>111</v>
      </c>
      <c r="K2460">
        <v>0</v>
      </c>
      <c r="L2460">
        <v>3</v>
      </c>
      <c r="M2460">
        <v>0</v>
      </c>
      <c r="N2460">
        <v>2</v>
      </c>
      <c r="O2460">
        <v>1</v>
      </c>
      <c r="P2460">
        <v>0</v>
      </c>
      <c r="Q2460">
        <v>0</v>
      </c>
      <c r="R2460" t="s">
        <v>112</v>
      </c>
      <c r="S2460" t="str">
        <f>"14:31:21.461"</f>
        <v>14:31:21.461</v>
      </c>
      <c r="T2460" t="str">
        <f>"14:31:21.063"</f>
        <v>14:31:21.063</v>
      </c>
      <c r="U2460" t="str">
        <f t="shared" si="114"/>
        <v>ad5732</v>
      </c>
      <c r="V2460">
        <v>0</v>
      </c>
      <c r="W2460">
        <v>0</v>
      </c>
      <c r="X2460">
        <v>1</v>
      </c>
      <c r="Z2460">
        <v>0</v>
      </c>
      <c r="AA2460">
        <v>9</v>
      </c>
      <c r="AB2460">
        <v>3</v>
      </c>
      <c r="AC2460">
        <v>0</v>
      </c>
      <c r="AD2460">
        <v>10</v>
      </c>
      <c r="AE2460">
        <v>0</v>
      </c>
      <c r="AF2460">
        <v>3</v>
      </c>
      <c r="AG2460">
        <v>2</v>
      </c>
      <c r="AH2460">
        <v>0</v>
      </c>
      <c r="AI2460" t="s">
        <v>5029</v>
      </c>
      <c r="AJ2460">
        <v>40.061087999999998</v>
      </c>
      <c r="AK2460" t="s">
        <v>5030</v>
      </c>
      <c r="AL2460">
        <v>-75.470022999999998</v>
      </c>
      <c r="AM2460">
        <v>100</v>
      </c>
      <c r="AN2460">
        <v>4700</v>
      </c>
      <c r="AO2460" t="s">
        <v>115</v>
      </c>
      <c r="AP2460">
        <v>132</v>
      </c>
      <c r="AQ2460">
        <v>125</v>
      </c>
      <c r="AR2460">
        <v>0</v>
      </c>
      <c r="AZ2460">
        <v>3614</v>
      </c>
      <c r="BA2460">
        <v>1</v>
      </c>
      <c r="BB2460" t="str">
        <f t="shared" si="116"/>
        <v xml:space="preserve">N959MJ  </v>
      </c>
      <c r="BC2460">
        <v>1</v>
      </c>
      <c r="BE2460">
        <v>0</v>
      </c>
      <c r="BF2460">
        <v>0</v>
      </c>
      <c r="BG2460">
        <v>0</v>
      </c>
      <c r="BH2460">
        <v>4900</v>
      </c>
      <c r="BI2460">
        <v>200</v>
      </c>
      <c r="BJ2460">
        <v>1</v>
      </c>
      <c r="BK2460">
        <v>1</v>
      </c>
      <c r="BL2460">
        <v>1</v>
      </c>
      <c r="BM2460">
        <v>0</v>
      </c>
      <c r="BP2460">
        <v>0</v>
      </c>
      <c r="BQ2460">
        <v>0</v>
      </c>
      <c r="BX2460" t="str">
        <f>"14:31:21.461"</f>
        <v>14:31:21.461</v>
      </c>
      <c r="BY2460" t="str">
        <f>"463376358"</f>
        <v>463376358</v>
      </c>
      <c r="CL2460">
        <v>0</v>
      </c>
      <c r="CM2460">
        <v>2</v>
      </c>
      <c r="CN2460">
        <v>0</v>
      </c>
      <c r="CO2460">
        <v>2</v>
      </c>
      <c r="CP2460">
        <v>0</v>
      </c>
      <c r="CQ2460">
        <v>7</v>
      </c>
      <c r="CR2460" t="s">
        <v>116</v>
      </c>
      <c r="CS2460">
        <v>39</v>
      </c>
      <c r="CT2460">
        <v>0</v>
      </c>
      <c r="CU2460" t="s">
        <v>2259</v>
      </c>
      <c r="CV2460" t="s">
        <v>2260</v>
      </c>
      <c r="CY2460">
        <v>1894555</v>
      </c>
      <c r="CZ2460" t="s">
        <v>119</v>
      </c>
    </row>
    <row r="2461" spans="1:104" x14ac:dyDescent="0.25">
      <c r="A2461" t="str">
        <f>"14:31:22.633"</f>
        <v>14:31:22.633</v>
      </c>
      <c r="B2461" t="s">
        <v>108</v>
      </c>
      <c r="C2461" t="str">
        <f t="shared" si="115"/>
        <v>ffdfd3c0</v>
      </c>
      <c r="D2461" t="s">
        <v>109</v>
      </c>
      <c r="E2461">
        <v>4</v>
      </c>
      <c r="F2461">
        <v>1004</v>
      </c>
      <c r="G2461" t="s">
        <v>110</v>
      </c>
      <c r="J2461" t="s">
        <v>111</v>
      </c>
      <c r="K2461">
        <v>0</v>
      </c>
      <c r="L2461">
        <v>3</v>
      </c>
      <c r="M2461">
        <v>0</v>
      </c>
      <c r="N2461">
        <v>2</v>
      </c>
      <c r="O2461">
        <v>1</v>
      </c>
      <c r="P2461">
        <v>0</v>
      </c>
      <c r="Q2461">
        <v>0</v>
      </c>
      <c r="R2461" t="s">
        <v>112</v>
      </c>
      <c r="S2461" t="str">
        <f>"14:31:22.484"</f>
        <v>14:31:22.484</v>
      </c>
      <c r="T2461" t="str">
        <f>"14:31:22.086"</f>
        <v>14:31:22.086</v>
      </c>
      <c r="U2461" t="str">
        <f t="shared" si="114"/>
        <v>ad5732</v>
      </c>
      <c r="V2461">
        <v>0</v>
      </c>
      <c r="W2461">
        <v>0</v>
      </c>
      <c r="X2461">
        <v>1</v>
      </c>
      <c r="Z2461">
        <v>0</v>
      </c>
      <c r="AA2461">
        <v>9</v>
      </c>
      <c r="AB2461">
        <v>3</v>
      </c>
      <c r="AC2461">
        <v>0</v>
      </c>
      <c r="AD2461">
        <v>10</v>
      </c>
      <c r="AE2461">
        <v>0</v>
      </c>
      <c r="AF2461">
        <v>3</v>
      </c>
      <c r="AG2461">
        <v>2</v>
      </c>
      <c r="AH2461">
        <v>0</v>
      </c>
      <c r="AI2461" t="s">
        <v>5031</v>
      </c>
      <c r="AJ2461">
        <v>40.061687999999997</v>
      </c>
      <c r="AK2461" t="s">
        <v>5032</v>
      </c>
      <c r="AL2461">
        <v>-75.469207999999995</v>
      </c>
      <c r="AM2461">
        <v>100</v>
      </c>
      <c r="AN2461">
        <v>4700</v>
      </c>
      <c r="AO2461" t="s">
        <v>115</v>
      </c>
      <c r="AP2461">
        <v>132</v>
      </c>
      <c r="AQ2461">
        <v>125</v>
      </c>
      <c r="AR2461">
        <v>0</v>
      </c>
      <c r="AZ2461">
        <v>3614</v>
      </c>
      <c r="BA2461">
        <v>1</v>
      </c>
      <c r="BB2461" t="str">
        <f t="shared" si="116"/>
        <v xml:space="preserve">N959MJ  </v>
      </c>
      <c r="BC2461">
        <v>1</v>
      </c>
      <c r="BE2461">
        <v>0</v>
      </c>
      <c r="BF2461">
        <v>0</v>
      </c>
      <c r="BG2461">
        <v>0</v>
      </c>
      <c r="BH2461">
        <v>4900</v>
      </c>
      <c r="BI2461">
        <v>200</v>
      </c>
      <c r="BJ2461">
        <v>1</v>
      </c>
      <c r="BK2461">
        <v>1</v>
      </c>
      <c r="BL2461">
        <v>1</v>
      </c>
      <c r="BM2461">
        <v>0</v>
      </c>
      <c r="BP2461">
        <v>0</v>
      </c>
      <c r="BQ2461">
        <v>0</v>
      </c>
      <c r="BX2461" t="str">
        <f>"14:31:22.484"</f>
        <v>14:31:22.484</v>
      </c>
      <c r="BY2461" t="str">
        <f>"487394359"</f>
        <v>487394359</v>
      </c>
      <c r="CL2461">
        <v>0</v>
      </c>
      <c r="CM2461">
        <v>2</v>
      </c>
      <c r="CN2461">
        <v>0</v>
      </c>
      <c r="CO2461">
        <v>2</v>
      </c>
      <c r="CP2461">
        <v>0</v>
      </c>
      <c r="CQ2461">
        <v>7</v>
      </c>
      <c r="CR2461" t="s">
        <v>116</v>
      </c>
      <c r="CS2461">
        <v>39</v>
      </c>
      <c r="CT2461">
        <v>0</v>
      </c>
      <c r="CU2461" t="s">
        <v>2259</v>
      </c>
      <c r="CV2461" t="s">
        <v>2260</v>
      </c>
      <c r="CY2461">
        <v>1896277</v>
      </c>
      <c r="CZ2461" t="s">
        <v>119</v>
      </c>
    </row>
    <row r="2462" spans="1:104" x14ac:dyDescent="0.25">
      <c r="A2462" t="str">
        <f>"14:31:23.695"</f>
        <v>14:31:23.695</v>
      </c>
      <c r="B2462" t="s">
        <v>108</v>
      </c>
      <c r="C2462" t="str">
        <f t="shared" si="115"/>
        <v>ffdfd3c0</v>
      </c>
      <c r="D2462" t="s">
        <v>109</v>
      </c>
      <c r="E2462">
        <v>4</v>
      </c>
      <c r="F2462">
        <v>1004</v>
      </c>
      <c r="G2462" t="s">
        <v>110</v>
      </c>
      <c r="J2462" t="s">
        <v>111</v>
      </c>
      <c r="K2462">
        <v>0</v>
      </c>
      <c r="L2462">
        <v>3</v>
      </c>
      <c r="M2462">
        <v>0</v>
      </c>
      <c r="N2462">
        <v>2</v>
      </c>
      <c r="O2462">
        <v>1</v>
      </c>
      <c r="P2462">
        <v>0</v>
      </c>
      <c r="Q2462">
        <v>0</v>
      </c>
      <c r="R2462" t="s">
        <v>112</v>
      </c>
      <c r="S2462" t="str">
        <f>"14:31:23.508"</f>
        <v>14:31:23.508</v>
      </c>
      <c r="T2462" t="str">
        <f>"14:31:23.008"</f>
        <v>14:31:23.008</v>
      </c>
      <c r="U2462" t="str">
        <f t="shared" si="114"/>
        <v>ad5732</v>
      </c>
      <c r="V2462">
        <v>0</v>
      </c>
      <c r="W2462">
        <v>0</v>
      </c>
      <c r="X2462">
        <v>1</v>
      </c>
      <c r="Z2462">
        <v>0</v>
      </c>
      <c r="AA2462">
        <v>9</v>
      </c>
      <c r="AB2462">
        <v>3</v>
      </c>
      <c r="AC2462">
        <v>0</v>
      </c>
      <c r="AD2462">
        <v>10</v>
      </c>
      <c r="AE2462">
        <v>0</v>
      </c>
      <c r="AF2462">
        <v>3</v>
      </c>
      <c r="AG2462">
        <v>2</v>
      </c>
      <c r="AH2462">
        <v>0</v>
      </c>
      <c r="AI2462" t="s">
        <v>5033</v>
      </c>
      <c r="AJ2462">
        <v>40.062289</v>
      </c>
      <c r="AK2462" t="s">
        <v>5034</v>
      </c>
      <c r="AL2462">
        <v>-75.468328</v>
      </c>
      <c r="AM2462">
        <v>100</v>
      </c>
      <c r="AN2462">
        <v>4700</v>
      </c>
      <c r="AO2462" t="s">
        <v>115</v>
      </c>
      <c r="AP2462">
        <v>132</v>
      </c>
      <c r="AQ2462">
        <v>125</v>
      </c>
      <c r="AR2462">
        <v>0</v>
      </c>
      <c r="AZ2462">
        <v>3614</v>
      </c>
      <c r="BA2462">
        <v>1</v>
      </c>
      <c r="BB2462" t="str">
        <f t="shared" si="116"/>
        <v xml:space="preserve">N959MJ  </v>
      </c>
      <c r="BC2462">
        <v>1</v>
      </c>
      <c r="BE2462">
        <v>0</v>
      </c>
      <c r="BF2462">
        <v>0</v>
      </c>
      <c r="BG2462">
        <v>0</v>
      </c>
      <c r="BH2462">
        <v>4900</v>
      </c>
      <c r="BI2462">
        <v>200</v>
      </c>
      <c r="BJ2462">
        <v>1</v>
      </c>
      <c r="BK2462">
        <v>1</v>
      </c>
      <c r="BL2462">
        <v>1</v>
      </c>
      <c r="BM2462">
        <v>0</v>
      </c>
      <c r="BP2462">
        <v>0</v>
      </c>
      <c r="BQ2462">
        <v>0</v>
      </c>
      <c r="BX2462" t="str">
        <f>"14:31:23.516"</f>
        <v>14:31:23.516</v>
      </c>
      <c r="BY2462" t="str">
        <f>"514689361"</f>
        <v>514689361</v>
      </c>
      <c r="CL2462">
        <v>0</v>
      </c>
      <c r="CM2462">
        <v>2</v>
      </c>
      <c r="CN2462">
        <v>0</v>
      </c>
      <c r="CO2462">
        <v>2</v>
      </c>
      <c r="CP2462">
        <v>0</v>
      </c>
      <c r="CQ2462">
        <v>7</v>
      </c>
      <c r="CR2462" t="s">
        <v>116</v>
      </c>
      <c r="CS2462">
        <v>39</v>
      </c>
      <c r="CT2462">
        <v>0</v>
      </c>
      <c r="CU2462" t="s">
        <v>2259</v>
      </c>
      <c r="CV2462" t="s">
        <v>2260</v>
      </c>
      <c r="CY2462">
        <v>1898020</v>
      </c>
      <c r="CZ2462" t="s">
        <v>119</v>
      </c>
    </row>
    <row r="2463" spans="1:104" x14ac:dyDescent="0.25">
      <c r="A2463" t="str">
        <f>"14:31:24.703"</f>
        <v>14:31:24.703</v>
      </c>
      <c r="B2463" t="s">
        <v>108</v>
      </c>
      <c r="C2463" t="str">
        <f t="shared" si="115"/>
        <v>ffdfd3c0</v>
      </c>
      <c r="D2463" t="s">
        <v>109</v>
      </c>
      <c r="E2463">
        <v>4</v>
      </c>
      <c r="F2463">
        <v>1004</v>
      </c>
      <c r="G2463" t="s">
        <v>110</v>
      </c>
      <c r="J2463" t="s">
        <v>111</v>
      </c>
      <c r="K2463">
        <v>0</v>
      </c>
      <c r="L2463">
        <v>3</v>
      </c>
      <c r="M2463">
        <v>0</v>
      </c>
      <c r="N2463">
        <v>2</v>
      </c>
      <c r="O2463">
        <v>1</v>
      </c>
      <c r="P2463">
        <v>0</v>
      </c>
      <c r="Q2463">
        <v>0</v>
      </c>
      <c r="R2463" t="s">
        <v>112</v>
      </c>
      <c r="S2463" t="str">
        <f>"14:31:24.516"</f>
        <v>14:31:24.516</v>
      </c>
      <c r="T2463" t="str">
        <f>"14:31:24.117"</f>
        <v>14:31:24.117</v>
      </c>
      <c r="U2463" t="str">
        <f t="shared" si="114"/>
        <v>ad5732</v>
      </c>
      <c r="V2463">
        <v>0</v>
      </c>
      <c r="W2463">
        <v>0</v>
      </c>
      <c r="X2463">
        <v>1</v>
      </c>
      <c r="Z2463">
        <v>0</v>
      </c>
      <c r="AA2463">
        <v>9</v>
      </c>
      <c r="AB2463">
        <v>3</v>
      </c>
      <c r="AC2463">
        <v>0</v>
      </c>
      <c r="AD2463">
        <v>10</v>
      </c>
      <c r="AE2463">
        <v>0</v>
      </c>
      <c r="AF2463">
        <v>3</v>
      </c>
      <c r="AG2463">
        <v>2</v>
      </c>
      <c r="AH2463">
        <v>0</v>
      </c>
      <c r="AI2463" t="s">
        <v>5035</v>
      </c>
      <c r="AJ2463">
        <v>40.062890000000003</v>
      </c>
      <c r="AK2463" t="s">
        <v>5036</v>
      </c>
      <c r="AL2463">
        <v>-75.467534000000001</v>
      </c>
      <c r="AM2463">
        <v>100</v>
      </c>
      <c r="AN2463">
        <v>4700</v>
      </c>
      <c r="AO2463" t="s">
        <v>115</v>
      </c>
      <c r="AP2463">
        <v>132</v>
      </c>
      <c r="AQ2463">
        <v>125</v>
      </c>
      <c r="AR2463">
        <v>64</v>
      </c>
      <c r="AZ2463">
        <v>3614</v>
      </c>
      <c r="BA2463">
        <v>1</v>
      </c>
      <c r="BB2463" t="str">
        <f t="shared" si="116"/>
        <v xml:space="preserve">N959MJ  </v>
      </c>
      <c r="BC2463">
        <v>1</v>
      </c>
      <c r="BE2463">
        <v>0</v>
      </c>
      <c r="BF2463">
        <v>0</v>
      </c>
      <c r="BG2463">
        <v>0</v>
      </c>
      <c r="BH2463">
        <v>4900</v>
      </c>
      <c r="BI2463">
        <v>200</v>
      </c>
      <c r="BJ2463">
        <v>1</v>
      </c>
      <c r="BK2463">
        <v>1</v>
      </c>
      <c r="BL2463">
        <v>1</v>
      </c>
      <c r="BM2463">
        <v>0</v>
      </c>
      <c r="BP2463">
        <v>0</v>
      </c>
      <c r="BQ2463">
        <v>0</v>
      </c>
      <c r="BX2463" t="str">
        <f>"14:31:24.516"</f>
        <v>14:31:24.516</v>
      </c>
      <c r="BY2463" t="str">
        <f>"515769253"</f>
        <v>515769253</v>
      </c>
      <c r="CL2463">
        <v>0</v>
      </c>
      <c r="CM2463">
        <v>2</v>
      </c>
      <c r="CN2463">
        <v>0</v>
      </c>
      <c r="CO2463">
        <v>2</v>
      </c>
      <c r="CP2463">
        <v>0</v>
      </c>
      <c r="CQ2463">
        <v>7</v>
      </c>
      <c r="CR2463" t="s">
        <v>116</v>
      </c>
      <c r="CS2463">
        <v>39</v>
      </c>
      <c r="CT2463">
        <v>0</v>
      </c>
      <c r="CU2463" t="s">
        <v>2259</v>
      </c>
      <c r="CV2463" t="s">
        <v>2260</v>
      </c>
      <c r="CY2463">
        <v>1899614</v>
      </c>
      <c r="CZ2463" t="s">
        <v>119</v>
      </c>
    </row>
    <row r="2464" spans="1:104" x14ac:dyDescent="0.25">
      <c r="A2464" t="str">
        <f>"14:31:25.711"</f>
        <v>14:31:25.711</v>
      </c>
      <c r="B2464" t="s">
        <v>108</v>
      </c>
      <c r="C2464" t="str">
        <f t="shared" si="115"/>
        <v>ffdfd3c0</v>
      </c>
      <c r="D2464" t="s">
        <v>109</v>
      </c>
      <c r="E2464">
        <v>4</v>
      </c>
      <c r="F2464">
        <v>1004</v>
      </c>
      <c r="G2464" t="s">
        <v>110</v>
      </c>
      <c r="J2464" t="s">
        <v>111</v>
      </c>
      <c r="K2464">
        <v>0</v>
      </c>
      <c r="L2464">
        <v>3</v>
      </c>
      <c r="M2464">
        <v>0</v>
      </c>
      <c r="N2464">
        <v>2</v>
      </c>
      <c r="O2464">
        <v>1</v>
      </c>
      <c r="P2464">
        <v>0</v>
      </c>
      <c r="Q2464">
        <v>0</v>
      </c>
      <c r="R2464" t="s">
        <v>112</v>
      </c>
      <c r="S2464" t="str">
        <f>"14:31:25.516"</f>
        <v>14:31:25.516</v>
      </c>
      <c r="T2464" t="str">
        <f>"14:31:25.117"</f>
        <v>14:31:25.117</v>
      </c>
      <c r="U2464" t="str">
        <f t="shared" si="114"/>
        <v>ad5732</v>
      </c>
      <c r="V2464">
        <v>0</v>
      </c>
      <c r="W2464">
        <v>0</v>
      </c>
      <c r="X2464">
        <v>1</v>
      </c>
      <c r="Z2464">
        <v>0</v>
      </c>
      <c r="AA2464">
        <v>9</v>
      </c>
      <c r="AB2464">
        <v>3</v>
      </c>
      <c r="AC2464">
        <v>0</v>
      </c>
      <c r="AD2464">
        <v>10</v>
      </c>
      <c r="AE2464">
        <v>0</v>
      </c>
      <c r="AF2464">
        <v>3</v>
      </c>
      <c r="AG2464">
        <v>2</v>
      </c>
      <c r="AH2464">
        <v>0</v>
      </c>
      <c r="AI2464" t="s">
        <v>5037</v>
      </c>
      <c r="AJ2464">
        <v>40.063468999999998</v>
      </c>
      <c r="AK2464" t="s">
        <v>5038</v>
      </c>
      <c r="AL2464">
        <v>-75.466740000000001</v>
      </c>
      <c r="AM2464">
        <v>100</v>
      </c>
      <c r="AN2464">
        <v>4700</v>
      </c>
      <c r="AO2464" t="s">
        <v>115</v>
      </c>
      <c r="AP2464">
        <v>132</v>
      </c>
      <c r="AQ2464">
        <v>125</v>
      </c>
      <c r="AR2464">
        <v>64</v>
      </c>
      <c r="AZ2464">
        <v>3614</v>
      </c>
      <c r="BA2464">
        <v>1</v>
      </c>
      <c r="BB2464" t="str">
        <f t="shared" si="116"/>
        <v xml:space="preserve">N959MJ  </v>
      </c>
      <c r="BC2464">
        <v>1</v>
      </c>
      <c r="BE2464">
        <v>0</v>
      </c>
      <c r="BF2464">
        <v>0</v>
      </c>
      <c r="BG2464">
        <v>0</v>
      </c>
      <c r="BH2464">
        <v>4900</v>
      </c>
      <c r="BI2464">
        <v>200</v>
      </c>
      <c r="BJ2464">
        <v>1</v>
      </c>
      <c r="BK2464">
        <v>1</v>
      </c>
      <c r="BL2464">
        <v>1</v>
      </c>
      <c r="BM2464">
        <v>0</v>
      </c>
      <c r="BP2464">
        <v>0</v>
      </c>
      <c r="BQ2464">
        <v>0</v>
      </c>
      <c r="BX2464" t="str">
        <f>"14:31:25.516"</f>
        <v>14:31:25.516</v>
      </c>
      <c r="BY2464" t="str">
        <f>"518487621"</f>
        <v>518487621</v>
      </c>
      <c r="CL2464">
        <v>0</v>
      </c>
      <c r="CM2464">
        <v>2</v>
      </c>
      <c r="CN2464">
        <v>0</v>
      </c>
      <c r="CO2464">
        <v>2</v>
      </c>
      <c r="CP2464">
        <v>0</v>
      </c>
      <c r="CQ2464">
        <v>7</v>
      </c>
      <c r="CR2464" t="s">
        <v>116</v>
      </c>
      <c r="CS2464">
        <v>39</v>
      </c>
      <c r="CT2464">
        <v>0</v>
      </c>
      <c r="CU2464" t="s">
        <v>2259</v>
      </c>
      <c r="CV2464" t="s">
        <v>2260</v>
      </c>
      <c r="CY2464">
        <v>1901415</v>
      </c>
      <c r="CZ2464" t="s">
        <v>119</v>
      </c>
    </row>
    <row r="2465" spans="1:104" x14ac:dyDescent="0.25">
      <c r="A2465" t="str">
        <f>"14:31:26.828"</f>
        <v>14:31:26.828</v>
      </c>
      <c r="B2465" t="s">
        <v>108</v>
      </c>
      <c r="C2465" t="str">
        <f t="shared" si="115"/>
        <v>ffdfd3c0</v>
      </c>
      <c r="D2465" t="s">
        <v>109</v>
      </c>
      <c r="E2465">
        <v>4</v>
      </c>
      <c r="F2465">
        <v>1004</v>
      </c>
      <c r="G2465" t="s">
        <v>110</v>
      </c>
      <c r="J2465" t="s">
        <v>111</v>
      </c>
      <c r="K2465">
        <v>0</v>
      </c>
      <c r="L2465">
        <v>3</v>
      </c>
      <c r="M2465">
        <v>0</v>
      </c>
      <c r="N2465">
        <v>2</v>
      </c>
      <c r="O2465">
        <v>1</v>
      </c>
      <c r="P2465">
        <v>0</v>
      </c>
      <c r="Q2465">
        <v>0</v>
      </c>
      <c r="R2465" t="s">
        <v>112</v>
      </c>
      <c r="S2465" t="str">
        <f>"14:31:26.633"</f>
        <v>14:31:26.633</v>
      </c>
      <c r="T2465" t="str">
        <f>"14:31:26.133"</f>
        <v>14:31:26.133</v>
      </c>
      <c r="U2465" t="str">
        <f t="shared" si="114"/>
        <v>ad5732</v>
      </c>
      <c r="V2465">
        <v>0</v>
      </c>
      <c r="W2465">
        <v>0</v>
      </c>
      <c r="X2465">
        <v>1</v>
      </c>
      <c r="Z2465">
        <v>0</v>
      </c>
      <c r="AA2465">
        <v>9</v>
      </c>
      <c r="AB2465">
        <v>3</v>
      </c>
      <c r="AC2465">
        <v>0</v>
      </c>
      <c r="AD2465">
        <v>10</v>
      </c>
      <c r="AE2465">
        <v>0</v>
      </c>
      <c r="AF2465">
        <v>3</v>
      </c>
      <c r="AG2465">
        <v>2</v>
      </c>
      <c r="AH2465">
        <v>0</v>
      </c>
      <c r="AI2465" t="s">
        <v>5039</v>
      </c>
      <c r="AJ2465">
        <v>40.064112999999999</v>
      </c>
      <c r="AK2465" t="s">
        <v>5040</v>
      </c>
      <c r="AL2465">
        <v>-75.465902999999997</v>
      </c>
      <c r="AM2465">
        <v>100</v>
      </c>
      <c r="AN2465">
        <v>4700</v>
      </c>
      <c r="AO2465" t="s">
        <v>115</v>
      </c>
      <c r="AP2465">
        <v>131</v>
      </c>
      <c r="AQ2465">
        <v>125</v>
      </c>
      <c r="AR2465">
        <v>0</v>
      </c>
      <c r="AZ2465">
        <v>3614</v>
      </c>
      <c r="BA2465">
        <v>1</v>
      </c>
      <c r="BB2465" t="str">
        <f t="shared" si="116"/>
        <v xml:space="preserve">N959MJ  </v>
      </c>
      <c r="BC2465">
        <v>1</v>
      </c>
      <c r="BE2465">
        <v>0</v>
      </c>
      <c r="BF2465">
        <v>0</v>
      </c>
      <c r="BG2465">
        <v>0</v>
      </c>
      <c r="BH2465">
        <v>4900</v>
      </c>
      <c r="BI2465">
        <v>200</v>
      </c>
      <c r="BJ2465">
        <v>1</v>
      </c>
      <c r="BK2465">
        <v>1</v>
      </c>
      <c r="BL2465">
        <v>1</v>
      </c>
      <c r="BM2465">
        <v>0</v>
      </c>
      <c r="BP2465">
        <v>0</v>
      </c>
      <c r="BQ2465">
        <v>0</v>
      </c>
      <c r="BX2465" t="str">
        <f>"14:31:26.633"</f>
        <v>14:31:26.633</v>
      </c>
      <c r="BY2465" t="str">
        <f>"635896062"</f>
        <v>635896062</v>
      </c>
      <c r="CL2465">
        <v>0</v>
      </c>
      <c r="CM2465">
        <v>2</v>
      </c>
      <c r="CN2465">
        <v>0</v>
      </c>
      <c r="CO2465">
        <v>2</v>
      </c>
      <c r="CP2465">
        <v>0</v>
      </c>
      <c r="CQ2465">
        <v>7</v>
      </c>
      <c r="CR2465" t="s">
        <v>116</v>
      </c>
      <c r="CS2465">
        <v>39</v>
      </c>
      <c r="CT2465">
        <v>0</v>
      </c>
      <c r="CU2465" t="s">
        <v>2259</v>
      </c>
      <c r="CV2465" t="s">
        <v>2260</v>
      </c>
      <c r="CY2465">
        <v>1903272</v>
      </c>
      <c r="CZ2465" t="s">
        <v>119</v>
      </c>
    </row>
    <row r="2466" spans="1:104" x14ac:dyDescent="0.25">
      <c r="A2466" t="str">
        <f>"14:31:27.836"</f>
        <v>14:31:27.836</v>
      </c>
      <c r="B2466" t="s">
        <v>108</v>
      </c>
      <c r="C2466" t="str">
        <f t="shared" si="115"/>
        <v>ffdfd3c0</v>
      </c>
      <c r="D2466" t="s">
        <v>109</v>
      </c>
      <c r="E2466">
        <v>4</v>
      </c>
      <c r="F2466">
        <v>1004</v>
      </c>
      <c r="G2466" t="s">
        <v>110</v>
      </c>
      <c r="J2466" t="s">
        <v>111</v>
      </c>
      <c r="K2466">
        <v>0</v>
      </c>
      <c r="L2466">
        <v>3</v>
      </c>
      <c r="M2466">
        <v>0</v>
      </c>
      <c r="N2466">
        <v>2</v>
      </c>
      <c r="O2466">
        <v>1</v>
      </c>
      <c r="P2466">
        <v>0</v>
      </c>
      <c r="Q2466">
        <v>0</v>
      </c>
      <c r="R2466" t="s">
        <v>112</v>
      </c>
      <c r="S2466" t="str">
        <f>"14:31:27.656"</f>
        <v>14:31:27.656</v>
      </c>
      <c r="T2466" t="str">
        <f>"14:31:27.156"</f>
        <v>14:31:27.156</v>
      </c>
      <c r="U2466" t="str">
        <f t="shared" si="114"/>
        <v>ad5732</v>
      </c>
      <c r="V2466">
        <v>0</v>
      </c>
      <c r="W2466">
        <v>0</v>
      </c>
      <c r="X2466">
        <v>1</v>
      </c>
      <c r="Z2466">
        <v>0</v>
      </c>
      <c r="AA2466">
        <v>9</v>
      </c>
      <c r="AB2466">
        <v>3</v>
      </c>
      <c r="AC2466">
        <v>0</v>
      </c>
      <c r="AD2466">
        <v>10</v>
      </c>
      <c r="AE2466">
        <v>0</v>
      </c>
      <c r="AF2466">
        <v>3</v>
      </c>
      <c r="AG2466">
        <v>2</v>
      </c>
      <c r="AH2466">
        <v>0</v>
      </c>
      <c r="AI2466" t="s">
        <v>5041</v>
      </c>
      <c r="AJ2466">
        <v>40.064670999999997</v>
      </c>
      <c r="AK2466" t="s">
        <v>5042</v>
      </c>
      <c r="AL2466">
        <v>-75.465087999999994</v>
      </c>
      <c r="AM2466">
        <v>100</v>
      </c>
      <c r="AN2466">
        <v>4700</v>
      </c>
      <c r="AO2466" t="s">
        <v>115</v>
      </c>
      <c r="AP2466">
        <v>131</v>
      </c>
      <c r="AQ2466">
        <v>125</v>
      </c>
      <c r="AR2466">
        <v>0</v>
      </c>
      <c r="AZ2466">
        <v>3614</v>
      </c>
      <c r="BA2466">
        <v>1</v>
      </c>
      <c r="BB2466" t="str">
        <f t="shared" si="116"/>
        <v xml:space="preserve">N959MJ  </v>
      </c>
      <c r="BC2466">
        <v>1</v>
      </c>
      <c r="BE2466">
        <v>0</v>
      </c>
      <c r="BF2466">
        <v>0</v>
      </c>
      <c r="BG2466">
        <v>0</v>
      </c>
      <c r="BH2466">
        <v>4900</v>
      </c>
      <c r="BI2466">
        <v>200</v>
      </c>
      <c r="BJ2466">
        <v>1</v>
      </c>
      <c r="BK2466">
        <v>1</v>
      </c>
      <c r="BL2466">
        <v>1</v>
      </c>
      <c r="BM2466">
        <v>0</v>
      </c>
      <c r="BP2466">
        <v>0</v>
      </c>
      <c r="BQ2466">
        <v>0</v>
      </c>
      <c r="BX2466" t="str">
        <f>"14:31:27.656"</f>
        <v>14:31:27.656</v>
      </c>
      <c r="BY2466" t="str">
        <f>"658275638"</f>
        <v>658275638</v>
      </c>
      <c r="CL2466">
        <v>0</v>
      </c>
      <c r="CM2466">
        <v>2</v>
      </c>
      <c r="CN2466">
        <v>0</v>
      </c>
      <c r="CO2466">
        <v>2</v>
      </c>
      <c r="CP2466">
        <v>0</v>
      </c>
      <c r="CQ2466">
        <v>7</v>
      </c>
      <c r="CR2466" t="s">
        <v>116</v>
      </c>
      <c r="CS2466">
        <v>39</v>
      </c>
      <c r="CT2466">
        <v>0</v>
      </c>
      <c r="CU2466" t="s">
        <v>2259</v>
      </c>
      <c r="CV2466" t="s">
        <v>2260</v>
      </c>
      <c r="CY2466">
        <v>1904947</v>
      </c>
      <c r="CZ2466" t="s">
        <v>119</v>
      </c>
    </row>
    <row r="2467" spans="1:104" x14ac:dyDescent="0.25">
      <c r="A2467" t="str">
        <f>"14:31:28.742"</f>
        <v>14:31:28.742</v>
      </c>
      <c r="B2467" t="s">
        <v>108</v>
      </c>
      <c r="C2467" t="str">
        <f t="shared" si="115"/>
        <v>ffdfd3c0</v>
      </c>
      <c r="D2467" t="s">
        <v>109</v>
      </c>
      <c r="E2467">
        <v>4</v>
      </c>
      <c r="F2467">
        <v>1004</v>
      </c>
      <c r="G2467" t="s">
        <v>110</v>
      </c>
      <c r="J2467" t="s">
        <v>111</v>
      </c>
      <c r="K2467">
        <v>0</v>
      </c>
      <c r="L2467">
        <v>3</v>
      </c>
      <c r="M2467">
        <v>0</v>
      </c>
      <c r="N2467">
        <v>2</v>
      </c>
      <c r="O2467">
        <v>1</v>
      </c>
      <c r="P2467">
        <v>0</v>
      </c>
      <c r="Q2467">
        <v>0</v>
      </c>
      <c r="R2467" t="s">
        <v>112</v>
      </c>
      <c r="S2467" t="str">
        <f>"14:31:28.578"</f>
        <v>14:31:28.578</v>
      </c>
      <c r="T2467" t="str">
        <f>"14:31:28.180"</f>
        <v>14:31:28.180</v>
      </c>
      <c r="U2467" t="str">
        <f t="shared" si="114"/>
        <v>ad5732</v>
      </c>
      <c r="V2467">
        <v>0</v>
      </c>
      <c r="W2467">
        <v>0</v>
      </c>
      <c r="X2467">
        <v>1</v>
      </c>
      <c r="Z2467">
        <v>0</v>
      </c>
      <c r="AA2467">
        <v>9</v>
      </c>
      <c r="AB2467">
        <v>3</v>
      </c>
      <c r="AC2467">
        <v>0</v>
      </c>
      <c r="AD2467">
        <v>10</v>
      </c>
      <c r="AE2467">
        <v>0</v>
      </c>
      <c r="AF2467">
        <v>3</v>
      </c>
      <c r="AG2467">
        <v>2</v>
      </c>
      <c r="AH2467">
        <v>0</v>
      </c>
      <c r="AI2467" t="s">
        <v>5043</v>
      </c>
      <c r="AJ2467">
        <v>40.065207000000001</v>
      </c>
      <c r="AK2467" t="s">
        <v>5044</v>
      </c>
      <c r="AL2467">
        <v>-75.464358000000004</v>
      </c>
      <c r="AM2467">
        <v>100</v>
      </c>
      <c r="AN2467">
        <v>4700</v>
      </c>
      <c r="AO2467" t="s">
        <v>115</v>
      </c>
      <c r="AP2467">
        <v>131</v>
      </c>
      <c r="AQ2467">
        <v>125</v>
      </c>
      <c r="AR2467">
        <v>0</v>
      </c>
      <c r="AZ2467">
        <v>3614</v>
      </c>
      <c r="BA2467">
        <v>1</v>
      </c>
      <c r="BB2467" t="str">
        <f t="shared" si="116"/>
        <v xml:space="preserve">N959MJ  </v>
      </c>
      <c r="BC2467">
        <v>1</v>
      </c>
      <c r="BE2467">
        <v>0</v>
      </c>
      <c r="BF2467">
        <v>0</v>
      </c>
      <c r="BG2467">
        <v>0</v>
      </c>
      <c r="BH2467">
        <v>4900</v>
      </c>
      <c r="BI2467">
        <v>200</v>
      </c>
      <c r="BJ2467">
        <v>1</v>
      </c>
      <c r="BK2467">
        <v>1</v>
      </c>
      <c r="BL2467">
        <v>1</v>
      </c>
      <c r="BM2467">
        <v>0</v>
      </c>
      <c r="BP2467">
        <v>0</v>
      </c>
      <c r="BQ2467">
        <v>0</v>
      </c>
      <c r="BX2467" t="str">
        <f>"14:31:28.586"</f>
        <v>14:31:28.586</v>
      </c>
      <c r="BY2467" t="str">
        <f>"585626342"</f>
        <v>585626342</v>
      </c>
      <c r="CL2467">
        <v>0</v>
      </c>
      <c r="CM2467">
        <v>2</v>
      </c>
      <c r="CN2467">
        <v>0</v>
      </c>
      <c r="CO2467">
        <v>2</v>
      </c>
      <c r="CP2467">
        <v>0</v>
      </c>
      <c r="CQ2467">
        <v>7</v>
      </c>
      <c r="CR2467" t="s">
        <v>116</v>
      </c>
      <c r="CS2467">
        <v>39</v>
      </c>
      <c r="CT2467">
        <v>0</v>
      </c>
      <c r="CU2467" t="s">
        <v>2259</v>
      </c>
      <c r="CV2467" t="s">
        <v>2260</v>
      </c>
      <c r="CY2467">
        <v>1906578</v>
      </c>
      <c r="CZ2467" t="s">
        <v>119</v>
      </c>
    </row>
    <row r="2468" spans="1:104" x14ac:dyDescent="0.25">
      <c r="A2468" t="str">
        <f>"14:31:29.703"</f>
        <v>14:31:29.703</v>
      </c>
      <c r="B2468" t="s">
        <v>108</v>
      </c>
      <c r="C2468" t="str">
        <f t="shared" si="115"/>
        <v>ffdfd3c0</v>
      </c>
      <c r="D2468" t="s">
        <v>109</v>
      </c>
      <c r="E2468">
        <v>4</v>
      </c>
      <c r="F2468">
        <v>1004</v>
      </c>
      <c r="G2468" t="s">
        <v>110</v>
      </c>
      <c r="J2468" t="s">
        <v>111</v>
      </c>
      <c r="K2468">
        <v>0</v>
      </c>
      <c r="L2468">
        <v>3</v>
      </c>
      <c r="M2468">
        <v>0</v>
      </c>
      <c r="N2468">
        <v>2</v>
      </c>
      <c r="O2468">
        <v>1</v>
      </c>
      <c r="P2468">
        <v>0</v>
      </c>
      <c r="Q2468">
        <v>0</v>
      </c>
      <c r="R2468" t="s">
        <v>112</v>
      </c>
      <c r="S2468" t="str">
        <f>"14:31:29.500"</f>
        <v>14:31:29.500</v>
      </c>
      <c r="T2468" t="str">
        <f>"14:31:29.203"</f>
        <v>14:31:29.203</v>
      </c>
      <c r="U2468" t="str">
        <f t="shared" si="114"/>
        <v>ad5732</v>
      </c>
      <c r="V2468">
        <v>0</v>
      </c>
      <c r="W2468">
        <v>0</v>
      </c>
      <c r="X2468">
        <v>1</v>
      </c>
      <c r="Z2468">
        <v>0</v>
      </c>
      <c r="AA2468">
        <v>9</v>
      </c>
      <c r="AB2468">
        <v>3</v>
      </c>
      <c r="AC2468">
        <v>0</v>
      </c>
      <c r="AD2468">
        <v>10</v>
      </c>
      <c r="AE2468">
        <v>0</v>
      </c>
      <c r="AF2468">
        <v>3</v>
      </c>
      <c r="AG2468">
        <v>2</v>
      </c>
      <c r="AH2468">
        <v>0</v>
      </c>
      <c r="AI2468" t="s">
        <v>5045</v>
      </c>
      <c r="AJ2468">
        <v>40.065744000000002</v>
      </c>
      <c r="AK2468" t="s">
        <v>5046</v>
      </c>
      <c r="AL2468">
        <v>-75.463650000000001</v>
      </c>
      <c r="AM2468">
        <v>100</v>
      </c>
      <c r="AN2468">
        <v>4700</v>
      </c>
      <c r="AO2468" t="s">
        <v>115</v>
      </c>
      <c r="AP2468">
        <v>132</v>
      </c>
      <c r="AQ2468">
        <v>125</v>
      </c>
      <c r="AR2468">
        <v>-64</v>
      </c>
      <c r="AZ2468">
        <v>3614</v>
      </c>
      <c r="BA2468">
        <v>1</v>
      </c>
      <c r="BB2468" t="str">
        <f t="shared" si="116"/>
        <v xml:space="preserve">N959MJ  </v>
      </c>
      <c r="BC2468">
        <v>1</v>
      </c>
      <c r="BE2468">
        <v>0</v>
      </c>
      <c r="BF2468">
        <v>0</v>
      </c>
      <c r="BG2468">
        <v>0</v>
      </c>
      <c r="BH2468">
        <v>4900</v>
      </c>
      <c r="BI2468">
        <v>200</v>
      </c>
      <c r="BJ2468">
        <v>1</v>
      </c>
      <c r="BK2468">
        <v>1</v>
      </c>
      <c r="BL2468">
        <v>1</v>
      </c>
      <c r="BM2468">
        <v>0</v>
      </c>
      <c r="BP2468">
        <v>0</v>
      </c>
      <c r="BQ2468">
        <v>0</v>
      </c>
      <c r="BX2468" t="str">
        <f>"14:31:29.500"</f>
        <v>14:31:29.500</v>
      </c>
      <c r="BY2468" t="str">
        <f>"503146524"</f>
        <v>503146524</v>
      </c>
      <c r="CL2468">
        <v>0</v>
      </c>
      <c r="CM2468">
        <v>2</v>
      </c>
      <c r="CN2468">
        <v>0</v>
      </c>
      <c r="CO2468">
        <v>2</v>
      </c>
      <c r="CP2468">
        <v>0</v>
      </c>
      <c r="CQ2468">
        <v>7</v>
      </c>
      <c r="CR2468" t="s">
        <v>116</v>
      </c>
      <c r="CS2468">
        <v>39</v>
      </c>
      <c r="CT2468">
        <v>0</v>
      </c>
      <c r="CU2468" t="s">
        <v>2259</v>
      </c>
      <c r="CV2468" t="s">
        <v>2260</v>
      </c>
      <c r="CY2468">
        <v>1908195</v>
      </c>
      <c r="CZ2468" t="s">
        <v>119</v>
      </c>
    </row>
    <row r="2469" spans="1:104" x14ac:dyDescent="0.25">
      <c r="A2469" t="str">
        <f>"14:31:30.664"</f>
        <v>14:31:30.664</v>
      </c>
      <c r="B2469" t="s">
        <v>108</v>
      </c>
      <c r="C2469" t="str">
        <f t="shared" si="115"/>
        <v>ffdfd3c0</v>
      </c>
      <c r="D2469" t="s">
        <v>109</v>
      </c>
      <c r="E2469">
        <v>4</v>
      </c>
      <c r="F2469">
        <v>1004</v>
      </c>
      <c r="G2469" t="s">
        <v>110</v>
      </c>
      <c r="J2469" t="s">
        <v>111</v>
      </c>
      <c r="K2469">
        <v>0</v>
      </c>
      <c r="L2469">
        <v>3</v>
      </c>
      <c r="M2469">
        <v>0</v>
      </c>
      <c r="N2469">
        <v>2</v>
      </c>
      <c r="O2469">
        <v>1</v>
      </c>
      <c r="P2469">
        <v>0</v>
      </c>
      <c r="Q2469">
        <v>0</v>
      </c>
      <c r="R2469" t="s">
        <v>112</v>
      </c>
      <c r="S2469" t="str">
        <f>"14:31:30.500"</f>
        <v>14:31:30.500</v>
      </c>
      <c r="T2469" t="str">
        <f>"14:31:30.000"</f>
        <v>14:31:30.000</v>
      </c>
      <c r="U2469" t="str">
        <f t="shared" si="114"/>
        <v>ad5732</v>
      </c>
      <c r="V2469">
        <v>0</v>
      </c>
      <c r="W2469">
        <v>0</v>
      </c>
      <c r="X2469">
        <v>1</v>
      </c>
      <c r="Z2469">
        <v>0</v>
      </c>
      <c r="AA2469">
        <v>9</v>
      </c>
      <c r="AB2469">
        <v>3</v>
      </c>
      <c r="AC2469">
        <v>0</v>
      </c>
      <c r="AD2469">
        <v>10</v>
      </c>
      <c r="AE2469">
        <v>0</v>
      </c>
      <c r="AF2469">
        <v>3</v>
      </c>
      <c r="AG2469">
        <v>2</v>
      </c>
      <c r="AH2469">
        <v>0</v>
      </c>
      <c r="AI2469" t="s">
        <v>5047</v>
      </c>
      <c r="AJ2469">
        <v>40.066302</v>
      </c>
      <c r="AK2469" t="s">
        <v>5048</v>
      </c>
      <c r="AL2469">
        <v>-75.462834999999998</v>
      </c>
      <c r="AM2469">
        <v>100</v>
      </c>
      <c r="AN2469">
        <v>4700</v>
      </c>
      <c r="AO2469" t="s">
        <v>115</v>
      </c>
      <c r="AP2469">
        <v>132</v>
      </c>
      <c r="AQ2469">
        <v>125</v>
      </c>
      <c r="AR2469">
        <v>0</v>
      </c>
      <c r="AZ2469">
        <v>3614</v>
      </c>
      <c r="BA2469">
        <v>1</v>
      </c>
      <c r="BB2469" t="str">
        <f t="shared" si="116"/>
        <v xml:space="preserve">N959MJ  </v>
      </c>
      <c r="BC2469">
        <v>1</v>
      </c>
      <c r="BE2469">
        <v>0</v>
      </c>
      <c r="BF2469">
        <v>0</v>
      </c>
      <c r="BG2469">
        <v>0</v>
      </c>
      <c r="BH2469">
        <v>4900</v>
      </c>
      <c r="BI2469">
        <v>200</v>
      </c>
      <c r="BJ2469">
        <v>1</v>
      </c>
      <c r="BK2469">
        <v>1</v>
      </c>
      <c r="BL2469">
        <v>1</v>
      </c>
      <c r="BM2469">
        <v>0</v>
      </c>
      <c r="BP2469">
        <v>0</v>
      </c>
      <c r="BQ2469">
        <v>0</v>
      </c>
      <c r="BX2469" t="str">
        <f>"14:31:30.500"</f>
        <v>14:31:30.500</v>
      </c>
      <c r="BY2469" t="str">
        <f>"500949627"</f>
        <v>500949627</v>
      </c>
      <c r="CL2469">
        <v>0</v>
      </c>
      <c r="CM2469">
        <v>2</v>
      </c>
      <c r="CN2469">
        <v>0</v>
      </c>
      <c r="CO2469">
        <v>2</v>
      </c>
      <c r="CP2469">
        <v>0</v>
      </c>
      <c r="CQ2469">
        <v>7</v>
      </c>
      <c r="CR2469" t="s">
        <v>116</v>
      </c>
      <c r="CS2469">
        <v>39</v>
      </c>
      <c r="CT2469">
        <v>0</v>
      </c>
      <c r="CU2469" t="s">
        <v>2259</v>
      </c>
      <c r="CV2469" t="s">
        <v>2260</v>
      </c>
      <c r="CY2469">
        <v>1910068</v>
      </c>
      <c r="CZ2469" t="s">
        <v>119</v>
      </c>
    </row>
    <row r="2470" spans="1:104" x14ac:dyDescent="0.25">
      <c r="A2470" t="str">
        <f>"14:31:31.625"</f>
        <v>14:31:31.625</v>
      </c>
      <c r="B2470" t="s">
        <v>108</v>
      </c>
      <c r="C2470" t="str">
        <f t="shared" si="115"/>
        <v>ffdfd3c0</v>
      </c>
      <c r="D2470" t="s">
        <v>109</v>
      </c>
      <c r="E2470">
        <v>4</v>
      </c>
      <c r="F2470">
        <v>1004</v>
      </c>
      <c r="G2470" t="s">
        <v>110</v>
      </c>
      <c r="J2470" t="s">
        <v>111</v>
      </c>
      <c r="K2470">
        <v>0</v>
      </c>
      <c r="L2470">
        <v>3</v>
      </c>
      <c r="M2470">
        <v>0</v>
      </c>
      <c r="N2470">
        <v>2</v>
      </c>
      <c r="O2470">
        <v>1</v>
      </c>
      <c r="P2470">
        <v>0</v>
      </c>
      <c r="Q2470">
        <v>0</v>
      </c>
      <c r="R2470" t="s">
        <v>112</v>
      </c>
      <c r="S2470" t="str">
        <f>"14:31:31.453"</f>
        <v>14:31:31.453</v>
      </c>
      <c r="T2470" t="str">
        <f>"14:31:31.055"</f>
        <v>14:31:31.055</v>
      </c>
      <c r="U2470" t="str">
        <f t="shared" si="114"/>
        <v>ad5732</v>
      </c>
      <c r="V2470">
        <v>0</v>
      </c>
      <c r="W2470">
        <v>0</v>
      </c>
      <c r="X2470">
        <v>1</v>
      </c>
      <c r="Z2470">
        <v>0</v>
      </c>
      <c r="AA2470">
        <v>9</v>
      </c>
      <c r="AB2470">
        <v>3</v>
      </c>
      <c r="AC2470">
        <v>0</v>
      </c>
      <c r="AD2470">
        <v>10</v>
      </c>
      <c r="AE2470">
        <v>0</v>
      </c>
      <c r="AF2470">
        <v>3</v>
      </c>
      <c r="AG2470">
        <v>2</v>
      </c>
      <c r="AH2470">
        <v>0</v>
      </c>
      <c r="AI2470" t="s">
        <v>5049</v>
      </c>
      <c r="AJ2470">
        <v>40.066903000000003</v>
      </c>
      <c r="AK2470" t="s">
        <v>5050</v>
      </c>
      <c r="AL2470">
        <v>-75.462084000000004</v>
      </c>
      <c r="AM2470">
        <v>100</v>
      </c>
      <c r="AN2470">
        <v>4700</v>
      </c>
      <c r="AO2470" t="s">
        <v>115</v>
      </c>
      <c r="AP2470">
        <v>132</v>
      </c>
      <c r="AQ2470">
        <v>125</v>
      </c>
      <c r="AR2470">
        <v>-64</v>
      </c>
      <c r="AZ2470">
        <v>3614</v>
      </c>
      <c r="BA2470">
        <v>1</v>
      </c>
      <c r="BB2470" t="str">
        <f t="shared" si="116"/>
        <v xml:space="preserve">N959MJ  </v>
      </c>
      <c r="BC2470">
        <v>1</v>
      </c>
      <c r="BE2470">
        <v>0</v>
      </c>
      <c r="BF2470">
        <v>0</v>
      </c>
      <c r="BG2470">
        <v>0</v>
      </c>
      <c r="BH2470">
        <v>4900</v>
      </c>
      <c r="BI2470">
        <v>200</v>
      </c>
      <c r="BJ2470">
        <v>1</v>
      </c>
      <c r="BK2470">
        <v>1</v>
      </c>
      <c r="BL2470">
        <v>1</v>
      </c>
      <c r="BM2470">
        <v>0</v>
      </c>
      <c r="BP2470">
        <v>0</v>
      </c>
      <c r="BQ2470">
        <v>0</v>
      </c>
      <c r="BX2470" t="str">
        <f>"14:31:31.453"</f>
        <v>14:31:31.453</v>
      </c>
      <c r="BY2470" t="str">
        <f>"456153662"</f>
        <v>456153662</v>
      </c>
      <c r="CL2470">
        <v>0</v>
      </c>
      <c r="CM2470">
        <v>2</v>
      </c>
      <c r="CN2470">
        <v>0</v>
      </c>
      <c r="CO2470">
        <v>2</v>
      </c>
      <c r="CP2470">
        <v>0</v>
      </c>
      <c r="CQ2470">
        <v>7</v>
      </c>
      <c r="CR2470" t="s">
        <v>116</v>
      </c>
      <c r="CS2470">
        <v>39</v>
      </c>
      <c r="CT2470">
        <v>0</v>
      </c>
      <c r="CU2470" t="s">
        <v>2259</v>
      </c>
      <c r="CV2470" t="s">
        <v>2260</v>
      </c>
      <c r="CY2470">
        <v>1911693</v>
      </c>
      <c r="CZ2470" t="s">
        <v>119</v>
      </c>
    </row>
    <row r="2471" spans="1:104" x14ac:dyDescent="0.25">
      <c r="A2471" t="str">
        <f>"14:31:32.734"</f>
        <v>14:31:32.734</v>
      </c>
      <c r="B2471" t="s">
        <v>108</v>
      </c>
      <c r="C2471" t="str">
        <f t="shared" si="115"/>
        <v>ffdfd3c0</v>
      </c>
      <c r="D2471" t="s">
        <v>109</v>
      </c>
      <c r="E2471">
        <v>4</v>
      </c>
      <c r="F2471">
        <v>1004</v>
      </c>
      <c r="G2471" t="s">
        <v>110</v>
      </c>
      <c r="J2471" t="s">
        <v>111</v>
      </c>
      <c r="K2471">
        <v>0</v>
      </c>
      <c r="L2471">
        <v>3</v>
      </c>
      <c r="M2471">
        <v>0</v>
      </c>
      <c r="N2471">
        <v>2</v>
      </c>
      <c r="O2471">
        <v>1</v>
      </c>
      <c r="P2471">
        <v>0</v>
      </c>
      <c r="Q2471">
        <v>0</v>
      </c>
      <c r="R2471" t="s">
        <v>112</v>
      </c>
      <c r="S2471" t="str">
        <f>"14:31:32.563"</f>
        <v>14:31:32.563</v>
      </c>
      <c r="T2471" t="str">
        <f>"14:31:32.063"</f>
        <v>14:31:32.063</v>
      </c>
      <c r="U2471" t="str">
        <f t="shared" si="114"/>
        <v>ad5732</v>
      </c>
      <c r="V2471">
        <v>0</v>
      </c>
      <c r="W2471">
        <v>0</v>
      </c>
      <c r="X2471">
        <v>1</v>
      </c>
      <c r="Z2471">
        <v>0</v>
      </c>
      <c r="AA2471">
        <v>9</v>
      </c>
      <c r="AB2471">
        <v>3</v>
      </c>
      <c r="AC2471">
        <v>0</v>
      </c>
      <c r="AD2471">
        <v>10</v>
      </c>
      <c r="AE2471">
        <v>0</v>
      </c>
      <c r="AF2471">
        <v>3</v>
      </c>
      <c r="AG2471">
        <v>2</v>
      </c>
      <c r="AH2471">
        <v>0</v>
      </c>
      <c r="AI2471" t="s">
        <v>5051</v>
      </c>
      <c r="AJ2471">
        <v>40.067546</v>
      </c>
      <c r="AK2471" t="s">
        <v>5052</v>
      </c>
      <c r="AL2471">
        <v>-75.461183000000005</v>
      </c>
      <c r="AM2471">
        <v>100</v>
      </c>
      <c r="AN2471">
        <v>4700</v>
      </c>
      <c r="AO2471" t="s">
        <v>115</v>
      </c>
      <c r="AP2471">
        <v>132</v>
      </c>
      <c r="AQ2471">
        <v>125</v>
      </c>
      <c r="AR2471">
        <v>-64</v>
      </c>
      <c r="AZ2471">
        <v>3614</v>
      </c>
      <c r="BA2471">
        <v>1</v>
      </c>
      <c r="BB2471" t="str">
        <f t="shared" si="116"/>
        <v xml:space="preserve">N959MJ  </v>
      </c>
      <c r="BC2471">
        <v>1</v>
      </c>
      <c r="BE2471">
        <v>0</v>
      </c>
      <c r="BF2471">
        <v>0</v>
      </c>
      <c r="BG2471">
        <v>0</v>
      </c>
      <c r="BH2471">
        <v>4900</v>
      </c>
      <c r="BI2471">
        <v>200</v>
      </c>
      <c r="BJ2471">
        <v>1</v>
      </c>
      <c r="BK2471">
        <v>1</v>
      </c>
      <c r="BL2471">
        <v>1</v>
      </c>
      <c r="BM2471">
        <v>0</v>
      </c>
      <c r="BP2471">
        <v>0</v>
      </c>
      <c r="BQ2471">
        <v>0</v>
      </c>
      <c r="BX2471" t="str">
        <f>"14:31:32.570"</f>
        <v>14:31:32.570</v>
      </c>
      <c r="BY2471" t="str">
        <f>"568646776"</f>
        <v>568646776</v>
      </c>
      <c r="CL2471">
        <v>0</v>
      </c>
      <c r="CM2471">
        <v>2</v>
      </c>
      <c r="CN2471">
        <v>0</v>
      </c>
      <c r="CO2471">
        <v>2</v>
      </c>
      <c r="CP2471">
        <v>0</v>
      </c>
      <c r="CQ2471">
        <v>7</v>
      </c>
      <c r="CR2471" t="s">
        <v>116</v>
      </c>
      <c r="CS2471">
        <v>39</v>
      </c>
      <c r="CT2471">
        <v>0</v>
      </c>
      <c r="CU2471" t="s">
        <v>2259</v>
      </c>
      <c r="CV2471" t="s">
        <v>2260</v>
      </c>
      <c r="CY2471">
        <v>1913528</v>
      </c>
      <c r="CZ2471" t="s">
        <v>119</v>
      </c>
    </row>
    <row r="2472" spans="1:104" x14ac:dyDescent="0.25">
      <c r="A2472" t="str">
        <f>"14:31:33.695"</f>
        <v>14:31:33.695</v>
      </c>
      <c r="B2472" t="s">
        <v>108</v>
      </c>
      <c r="C2472" t="str">
        <f t="shared" si="115"/>
        <v>ffdfd3c0</v>
      </c>
      <c r="D2472" t="s">
        <v>109</v>
      </c>
      <c r="E2472">
        <v>4</v>
      </c>
      <c r="F2472">
        <v>1004</v>
      </c>
      <c r="G2472" t="s">
        <v>110</v>
      </c>
      <c r="J2472" t="s">
        <v>111</v>
      </c>
      <c r="K2472">
        <v>0</v>
      </c>
      <c r="L2472">
        <v>3</v>
      </c>
      <c r="M2472">
        <v>0</v>
      </c>
      <c r="N2472">
        <v>2</v>
      </c>
      <c r="O2472">
        <v>1</v>
      </c>
      <c r="P2472">
        <v>0</v>
      </c>
      <c r="Q2472">
        <v>0</v>
      </c>
      <c r="R2472" t="s">
        <v>112</v>
      </c>
      <c r="S2472" t="str">
        <f>"14:31:33.500"</f>
        <v>14:31:33.500</v>
      </c>
      <c r="T2472" t="str">
        <f>"14:31:33.102"</f>
        <v>14:31:33.102</v>
      </c>
      <c r="U2472" t="str">
        <f t="shared" si="114"/>
        <v>ad5732</v>
      </c>
      <c r="V2472">
        <v>0</v>
      </c>
      <c r="W2472">
        <v>0</v>
      </c>
      <c r="X2472">
        <v>1</v>
      </c>
      <c r="Z2472">
        <v>0</v>
      </c>
      <c r="AA2472">
        <v>9</v>
      </c>
      <c r="AB2472">
        <v>3</v>
      </c>
      <c r="AC2472">
        <v>0</v>
      </c>
      <c r="AD2472">
        <v>10</v>
      </c>
      <c r="AE2472">
        <v>0</v>
      </c>
      <c r="AF2472">
        <v>3</v>
      </c>
      <c r="AG2472">
        <v>2</v>
      </c>
      <c r="AH2472">
        <v>0</v>
      </c>
      <c r="AI2472" t="s">
        <v>5053</v>
      </c>
      <c r="AJ2472">
        <v>40.068061</v>
      </c>
      <c r="AK2472" t="s">
        <v>5054</v>
      </c>
      <c r="AL2472">
        <v>-75.460474000000005</v>
      </c>
      <c r="AM2472">
        <v>100</v>
      </c>
      <c r="AN2472">
        <v>4700</v>
      </c>
      <c r="AO2472" t="s">
        <v>115</v>
      </c>
      <c r="AP2472">
        <v>132</v>
      </c>
      <c r="AQ2472">
        <v>125</v>
      </c>
      <c r="AR2472">
        <v>-64</v>
      </c>
      <c r="AZ2472">
        <v>3614</v>
      </c>
      <c r="BA2472">
        <v>1</v>
      </c>
      <c r="BB2472" t="str">
        <f t="shared" si="116"/>
        <v xml:space="preserve">N959MJ  </v>
      </c>
      <c r="BC2472">
        <v>1</v>
      </c>
      <c r="BE2472">
        <v>0</v>
      </c>
      <c r="BF2472">
        <v>0</v>
      </c>
      <c r="BG2472">
        <v>0</v>
      </c>
      <c r="BH2472">
        <v>4900</v>
      </c>
      <c r="BI2472">
        <v>200</v>
      </c>
      <c r="BJ2472">
        <v>1</v>
      </c>
      <c r="BK2472">
        <v>1</v>
      </c>
      <c r="BL2472">
        <v>1</v>
      </c>
      <c r="BM2472">
        <v>0</v>
      </c>
      <c r="BP2472">
        <v>0</v>
      </c>
      <c r="BQ2472">
        <v>0</v>
      </c>
      <c r="BX2472" t="str">
        <f>"14:31:33.500"</f>
        <v>14:31:33.500</v>
      </c>
      <c r="BY2472" t="str">
        <f>"500912776"</f>
        <v>500912776</v>
      </c>
      <c r="CL2472">
        <v>0</v>
      </c>
      <c r="CM2472">
        <v>2</v>
      </c>
      <c r="CN2472">
        <v>0</v>
      </c>
      <c r="CO2472">
        <v>2</v>
      </c>
      <c r="CP2472">
        <v>0</v>
      </c>
      <c r="CQ2472">
        <v>7</v>
      </c>
      <c r="CR2472" t="s">
        <v>116</v>
      </c>
      <c r="CS2472">
        <v>39</v>
      </c>
      <c r="CT2472">
        <v>0</v>
      </c>
      <c r="CU2472" t="s">
        <v>2259</v>
      </c>
      <c r="CV2472" t="s">
        <v>2260</v>
      </c>
      <c r="CY2472">
        <v>1915018</v>
      </c>
      <c r="CZ2472" t="s">
        <v>119</v>
      </c>
    </row>
    <row r="2473" spans="1:104" x14ac:dyDescent="0.25">
      <c r="A2473" t="str">
        <f>"14:31:34.758"</f>
        <v>14:31:34.758</v>
      </c>
      <c r="B2473" t="s">
        <v>108</v>
      </c>
      <c r="C2473" t="str">
        <f t="shared" si="115"/>
        <v>ffdfd3c0</v>
      </c>
      <c r="D2473" t="s">
        <v>109</v>
      </c>
      <c r="E2473">
        <v>4</v>
      </c>
      <c r="F2473">
        <v>1004</v>
      </c>
      <c r="G2473" t="s">
        <v>110</v>
      </c>
      <c r="J2473" t="s">
        <v>111</v>
      </c>
      <c r="K2473">
        <v>0</v>
      </c>
      <c r="L2473">
        <v>3</v>
      </c>
      <c r="M2473">
        <v>0</v>
      </c>
      <c r="N2473">
        <v>2</v>
      </c>
      <c r="O2473">
        <v>1</v>
      </c>
      <c r="P2473">
        <v>0</v>
      </c>
      <c r="Q2473">
        <v>0</v>
      </c>
      <c r="R2473" t="s">
        <v>112</v>
      </c>
      <c r="S2473" t="str">
        <f>"14:31:34.547"</f>
        <v>14:31:34.547</v>
      </c>
      <c r="T2473" t="str">
        <f>"14:31:34.047"</f>
        <v>14:31:34.047</v>
      </c>
      <c r="U2473" t="str">
        <f t="shared" si="114"/>
        <v>ad5732</v>
      </c>
      <c r="V2473">
        <v>0</v>
      </c>
      <c r="W2473">
        <v>0</v>
      </c>
      <c r="X2473">
        <v>1</v>
      </c>
      <c r="Z2473">
        <v>0</v>
      </c>
      <c r="AA2473">
        <v>9</v>
      </c>
      <c r="AB2473">
        <v>3</v>
      </c>
      <c r="AC2473">
        <v>0</v>
      </c>
      <c r="AD2473">
        <v>10</v>
      </c>
      <c r="AE2473">
        <v>0</v>
      </c>
      <c r="AF2473">
        <v>3</v>
      </c>
      <c r="AG2473">
        <v>2</v>
      </c>
      <c r="AH2473">
        <v>0</v>
      </c>
      <c r="AI2473" t="s">
        <v>5055</v>
      </c>
      <c r="AJ2473">
        <v>40.068705000000001</v>
      </c>
      <c r="AK2473" t="s">
        <v>5056</v>
      </c>
      <c r="AL2473">
        <v>-75.459594999999993</v>
      </c>
      <c r="AM2473">
        <v>100</v>
      </c>
      <c r="AN2473">
        <v>4700</v>
      </c>
      <c r="AO2473" t="s">
        <v>115</v>
      </c>
      <c r="AP2473">
        <v>132</v>
      </c>
      <c r="AQ2473">
        <v>125</v>
      </c>
      <c r="AR2473">
        <v>-64</v>
      </c>
      <c r="AZ2473">
        <v>3614</v>
      </c>
      <c r="BA2473">
        <v>1</v>
      </c>
      <c r="BB2473" t="str">
        <f t="shared" si="116"/>
        <v xml:space="preserve">N959MJ  </v>
      </c>
      <c r="BC2473">
        <v>1</v>
      </c>
      <c r="BE2473">
        <v>0</v>
      </c>
      <c r="BF2473">
        <v>0</v>
      </c>
      <c r="BG2473">
        <v>0</v>
      </c>
      <c r="BH2473">
        <v>4900</v>
      </c>
      <c r="BI2473">
        <v>200</v>
      </c>
      <c r="BJ2473">
        <v>1</v>
      </c>
      <c r="BK2473">
        <v>1</v>
      </c>
      <c r="BL2473">
        <v>1</v>
      </c>
      <c r="BM2473">
        <v>0</v>
      </c>
      <c r="BP2473">
        <v>0</v>
      </c>
      <c r="BQ2473">
        <v>0</v>
      </c>
      <c r="BX2473" t="str">
        <f>"14:31:34.555"</f>
        <v>14:31:34.555</v>
      </c>
      <c r="BY2473" t="str">
        <f>"551145652"</f>
        <v>551145652</v>
      </c>
      <c r="CL2473">
        <v>0</v>
      </c>
      <c r="CM2473">
        <v>2</v>
      </c>
      <c r="CN2473">
        <v>0</v>
      </c>
      <c r="CO2473">
        <v>2</v>
      </c>
      <c r="CP2473">
        <v>0</v>
      </c>
      <c r="CQ2473">
        <v>7</v>
      </c>
      <c r="CR2473" t="s">
        <v>116</v>
      </c>
      <c r="CS2473">
        <v>39</v>
      </c>
      <c r="CT2473">
        <v>0</v>
      </c>
      <c r="CU2473" t="s">
        <v>2259</v>
      </c>
      <c r="CV2473" t="s">
        <v>2260</v>
      </c>
      <c r="CY2473">
        <v>1916888</v>
      </c>
      <c r="CZ2473" t="s">
        <v>119</v>
      </c>
    </row>
    <row r="2474" spans="1:104" x14ac:dyDescent="0.25">
      <c r="A2474" t="str">
        <f>"14:31:35.766"</f>
        <v>14:31:35.766</v>
      </c>
      <c r="B2474" t="s">
        <v>108</v>
      </c>
      <c r="C2474" t="str">
        <f t="shared" si="115"/>
        <v>ffdfd3c0</v>
      </c>
      <c r="D2474" t="s">
        <v>109</v>
      </c>
      <c r="E2474">
        <v>4</v>
      </c>
      <c r="F2474">
        <v>1004</v>
      </c>
      <c r="G2474" t="s">
        <v>110</v>
      </c>
      <c r="J2474" t="s">
        <v>111</v>
      </c>
      <c r="K2474">
        <v>0</v>
      </c>
      <c r="L2474">
        <v>3</v>
      </c>
      <c r="M2474">
        <v>0</v>
      </c>
      <c r="N2474">
        <v>2</v>
      </c>
      <c r="O2474">
        <v>1</v>
      </c>
      <c r="P2474">
        <v>0</v>
      </c>
      <c r="Q2474">
        <v>0</v>
      </c>
      <c r="R2474" t="s">
        <v>112</v>
      </c>
      <c r="S2474" t="str">
        <f>"14:31:35.586"</f>
        <v>14:31:35.586</v>
      </c>
      <c r="T2474" t="str">
        <f>"14:31:35.086"</f>
        <v>14:31:35.086</v>
      </c>
      <c r="U2474" t="str">
        <f t="shared" si="114"/>
        <v>ad5732</v>
      </c>
      <c r="V2474">
        <v>0</v>
      </c>
      <c r="W2474">
        <v>0</v>
      </c>
      <c r="X2474">
        <v>1</v>
      </c>
      <c r="Z2474">
        <v>0</v>
      </c>
      <c r="AA2474">
        <v>9</v>
      </c>
      <c r="AB2474">
        <v>3</v>
      </c>
      <c r="AC2474">
        <v>0</v>
      </c>
      <c r="AD2474">
        <v>10</v>
      </c>
      <c r="AE2474">
        <v>0</v>
      </c>
      <c r="AF2474">
        <v>3</v>
      </c>
      <c r="AG2474">
        <v>2</v>
      </c>
      <c r="AH2474">
        <v>0</v>
      </c>
      <c r="AI2474" t="s">
        <v>5057</v>
      </c>
      <c r="AJ2474">
        <v>40.069242000000003</v>
      </c>
      <c r="AK2474" t="s">
        <v>5058</v>
      </c>
      <c r="AL2474">
        <v>-75.458800999999994</v>
      </c>
      <c r="AM2474">
        <v>100</v>
      </c>
      <c r="AN2474">
        <v>4700</v>
      </c>
      <c r="AO2474" t="s">
        <v>115</v>
      </c>
      <c r="AP2474">
        <v>132</v>
      </c>
      <c r="AQ2474">
        <v>125</v>
      </c>
      <c r="AR2474">
        <v>-64</v>
      </c>
      <c r="AZ2474">
        <v>3614</v>
      </c>
      <c r="BA2474">
        <v>1</v>
      </c>
      <c r="BB2474" t="str">
        <f t="shared" si="116"/>
        <v xml:space="preserve">N959MJ  </v>
      </c>
      <c r="BC2474">
        <v>1</v>
      </c>
      <c r="BE2474">
        <v>0</v>
      </c>
      <c r="BF2474">
        <v>0</v>
      </c>
      <c r="BG2474">
        <v>0</v>
      </c>
      <c r="BH2474">
        <v>4900</v>
      </c>
      <c r="BI2474">
        <v>200</v>
      </c>
      <c r="BJ2474">
        <v>1</v>
      </c>
      <c r="BK2474">
        <v>1</v>
      </c>
      <c r="BL2474">
        <v>1</v>
      </c>
      <c r="BM2474">
        <v>0</v>
      </c>
      <c r="BP2474">
        <v>0</v>
      </c>
      <c r="BQ2474">
        <v>0</v>
      </c>
      <c r="BX2474" t="str">
        <f>"14:31:35.586"</f>
        <v>14:31:35.586</v>
      </c>
      <c r="BY2474" t="str">
        <f>"586632666"</f>
        <v>586632666</v>
      </c>
      <c r="CL2474">
        <v>0</v>
      </c>
      <c r="CM2474">
        <v>2</v>
      </c>
      <c r="CN2474">
        <v>0</v>
      </c>
      <c r="CO2474">
        <v>2</v>
      </c>
      <c r="CP2474">
        <v>0</v>
      </c>
      <c r="CQ2474">
        <v>7</v>
      </c>
      <c r="CR2474" t="s">
        <v>116</v>
      </c>
      <c r="CS2474">
        <v>39</v>
      </c>
      <c r="CT2474">
        <v>0</v>
      </c>
      <c r="CU2474" t="s">
        <v>2259</v>
      </c>
      <c r="CV2474" t="s">
        <v>2260</v>
      </c>
      <c r="CY2474">
        <v>1918788</v>
      </c>
      <c r="CZ2474" t="s">
        <v>119</v>
      </c>
    </row>
    <row r="2475" spans="1:104" x14ac:dyDescent="0.25">
      <c r="A2475" t="str">
        <f>"14:31:36.719"</f>
        <v>14:31:36.719</v>
      </c>
      <c r="B2475" t="s">
        <v>108</v>
      </c>
      <c r="C2475" t="str">
        <f t="shared" si="115"/>
        <v>ffdfd3c0</v>
      </c>
      <c r="D2475" t="s">
        <v>109</v>
      </c>
      <c r="E2475">
        <v>4</v>
      </c>
      <c r="F2475">
        <v>1004</v>
      </c>
      <c r="G2475" t="s">
        <v>110</v>
      </c>
      <c r="J2475" t="s">
        <v>111</v>
      </c>
      <c r="K2475">
        <v>0</v>
      </c>
      <c r="L2475">
        <v>3</v>
      </c>
      <c r="M2475">
        <v>0</v>
      </c>
      <c r="N2475">
        <v>2</v>
      </c>
      <c r="O2475">
        <v>1</v>
      </c>
      <c r="P2475">
        <v>0</v>
      </c>
      <c r="Q2475">
        <v>0</v>
      </c>
      <c r="R2475" t="s">
        <v>112</v>
      </c>
      <c r="S2475" t="str">
        <f>"14:31:36.516"</f>
        <v>14:31:36.516</v>
      </c>
      <c r="T2475" t="str">
        <f>"14:31:36.016"</f>
        <v>14:31:36.016</v>
      </c>
      <c r="U2475" t="str">
        <f t="shared" si="114"/>
        <v>ad5732</v>
      </c>
      <c r="V2475">
        <v>0</v>
      </c>
      <c r="W2475">
        <v>0</v>
      </c>
      <c r="X2475">
        <v>1</v>
      </c>
      <c r="Z2475">
        <v>0</v>
      </c>
      <c r="AA2475">
        <v>9</v>
      </c>
      <c r="AB2475">
        <v>3</v>
      </c>
      <c r="AC2475">
        <v>0</v>
      </c>
      <c r="AD2475">
        <v>10</v>
      </c>
      <c r="AE2475">
        <v>0</v>
      </c>
      <c r="AF2475">
        <v>3</v>
      </c>
      <c r="AG2475">
        <v>2</v>
      </c>
      <c r="AH2475">
        <v>0</v>
      </c>
      <c r="AI2475" t="s">
        <v>5059</v>
      </c>
      <c r="AJ2475">
        <v>40.069842000000001</v>
      </c>
      <c r="AK2475" t="s">
        <v>5060</v>
      </c>
      <c r="AL2475">
        <v>-75.458006999999995</v>
      </c>
      <c r="AM2475">
        <v>100</v>
      </c>
      <c r="AN2475">
        <v>4700</v>
      </c>
      <c r="AO2475" t="s">
        <v>115</v>
      </c>
      <c r="AP2475">
        <v>133</v>
      </c>
      <c r="AQ2475">
        <v>125</v>
      </c>
      <c r="AR2475">
        <v>0</v>
      </c>
      <c r="AZ2475">
        <v>3614</v>
      </c>
      <c r="BA2475">
        <v>1</v>
      </c>
      <c r="BB2475" t="str">
        <f t="shared" si="116"/>
        <v xml:space="preserve">N959MJ  </v>
      </c>
      <c r="BC2475">
        <v>1</v>
      </c>
      <c r="BE2475">
        <v>0</v>
      </c>
      <c r="BF2475">
        <v>0</v>
      </c>
      <c r="BG2475">
        <v>0</v>
      </c>
      <c r="BH2475">
        <v>4900</v>
      </c>
      <c r="BI2475">
        <v>200</v>
      </c>
      <c r="BJ2475">
        <v>1</v>
      </c>
      <c r="BK2475">
        <v>1</v>
      </c>
      <c r="BL2475">
        <v>1</v>
      </c>
      <c r="BM2475">
        <v>0</v>
      </c>
      <c r="BP2475">
        <v>0</v>
      </c>
      <c r="BQ2475">
        <v>0</v>
      </c>
      <c r="BX2475" t="str">
        <f>"14:31:36.516"</f>
        <v>14:31:36.516</v>
      </c>
      <c r="BY2475" t="str">
        <f>"518898716"</f>
        <v>518898716</v>
      </c>
      <c r="CL2475">
        <v>0</v>
      </c>
      <c r="CM2475">
        <v>2</v>
      </c>
      <c r="CN2475">
        <v>0</v>
      </c>
      <c r="CO2475">
        <v>2</v>
      </c>
      <c r="CP2475">
        <v>0</v>
      </c>
      <c r="CQ2475">
        <v>7</v>
      </c>
      <c r="CR2475" t="s">
        <v>116</v>
      </c>
      <c r="CS2475">
        <v>39</v>
      </c>
      <c r="CT2475">
        <v>0</v>
      </c>
      <c r="CU2475" t="s">
        <v>2259</v>
      </c>
      <c r="CV2475" t="s">
        <v>2260</v>
      </c>
      <c r="CY2475">
        <v>1920335</v>
      </c>
      <c r="CZ2475" t="s">
        <v>119</v>
      </c>
    </row>
    <row r="2476" spans="1:104" x14ac:dyDescent="0.25">
      <c r="A2476" t="str">
        <f>"14:31:37.578"</f>
        <v>14:31:37.578</v>
      </c>
      <c r="B2476" t="s">
        <v>108</v>
      </c>
      <c r="C2476" t="str">
        <f t="shared" si="115"/>
        <v>ffdfd3c0</v>
      </c>
      <c r="D2476" t="s">
        <v>109</v>
      </c>
      <c r="E2476">
        <v>4</v>
      </c>
      <c r="F2476">
        <v>1004</v>
      </c>
      <c r="G2476" t="s">
        <v>110</v>
      </c>
      <c r="J2476" t="s">
        <v>111</v>
      </c>
      <c r="K2476">
        <v>0</v>
      </c>
      <c r="L2476">
        <v>3</v>
      </c>
      <c r="M2476">
        <v>0</v>
      </c>
      <c r="N2476">
        <v>2</v>
      </c>
      <c r="O2476">
        <v>1</v>
      </c>
      <c r="P2476">
        <v>0</v>
      </c>
      <c r="Q2476">
        <v>0</v>
      </c>
      <c r="R2476" t="s">
        <v>112</v>
      </c>
      <c r="S2476" t="str">
        <f>"14:31:37.398"</f>
        <v>14:31:37.398</v>
      </c>
      <c r="T2476" t="str">
        <f>"14:31:37.000"</f>
        <v>14:31:37.000</v>
      </c>
      <c r="U2476" t="str">
        <f t="shared" si="114"/>
        <v>ad5732</v>
      </c>
      <c r="V2476">
        <v>0</v>
      </c>
      <c r="W2476">
        <v>0</v>
      </c>
      <c r="X2476">
        <v>1</v>
      </c>
      <c r="Z2476">
        <v>0</v>
      </c>
      <c r="AA2476">
        <v>9</v>
      </c>
      <c r="AB2476">
        <v>3</v>
      </c>
      <c r="AC2476">
        <v>0</v>
      </c>
      <c r="AD2476">
        <v>10</v>
      </c>
      <c r="AE2476">
        <v>0</v>
      </c>
      <c r="AF2476">
        <v>3</v>
      </c>
      <c r="AG2476">
        <v>2</v>
      </c>
      <c r="AH2476">
        <v>0</v>
      </c>
      <c r="AI2476" t="s">
        <v>5061</v>
      </c>
      <c r="AJ2476">
        <v>40.070292999999999</v>
      </c>
      <c r="AK2476" t="s">
        <v>5062</v>
      </c>
      <c r="AL2476">
        <v>-75.457341999999997</v>
      </c>
      <c r="AM2476">
        <v>100</v>
      </c>
      <c r="AN2476">
        <v>4700</v>
      </c>
      <c r="AO2476" t="s">
        <v>115</v>
      </c>
      <c r="AP2476">
        <v>133</v>
      </c>
      <c r="AQ2476">
        <v>124</v>
      </c>
      <c r="AR2476">
        <v>0</v>
      </c>
      <c r="AZ2476">
        <v>3614</v>
      </c>
      <c r="BA2476">
        <v>1</v>
      </c>
      <c r="BB2476" t="str">
        <f t="shared" si="116"/>
        <v xml:space="preserve">N959MJ  </v>
      </c>
      <c r="BC2476">
        <v>1</v>
      </c>
      <c r="BE2476">
        <v>0</v>
      </c>
      <c r="BF2476">
        <v>0</v>
      </c>
      <c r="BG2476">
        <v>0</v>
      </c>
      <c r="BH2476">
        <v>4900</v>
      </c>
      <c r="BI2476">
        <v>200</v>
      </c>
      <c r="BJ2476">
        <v>1</v>
      </c>
      <c r="BK2476">
        <v>1</v>
      </c>
      <c r="BL2476">
        <v>1</v>
      </c>
      <c r="BM2476">
        <v>0</v>
      </c>
      <c r="BP2476">
        <v>0</v>
      </c>
      <c r="BQ2476">
        <v>0</v>
      </c>
      <c r="BX2476" t="str">
        <f>"14:31:37.398"</f>
        <v>14:31:37.398</v>
      </c>
      <c r="BY2476" t="str">
        <f>"402011804"</f>
        <v>402011804</v>
      </c>
      <c r="CL2476">
        <v>0</v>
      </c>
      <c r="CM2476">
        <v>2</v>
      </c>
      <c r="CN2476">
        <v>0</v>
      </c>
      <c r="CO2476">
        <v>2</v>
      </c>
      <c r="CP2476">
        <v>0</v>
      </c>
      <c r="CQ2476">
        <v>7</v>
      </c>
      <c r="CR2476" t="s">
        <v>116</v>
      </c>
      <c r="CS2476">
        <v>39</v>
      </c>
      <c r="CT2476">
        <v>0</v>
      </c>
      <c r="CU2476" t="s">
        <v>2259</v>
      </c>
      <c r="CV2476" t="s">
        <v>2260</v>
      </c>
      <c r="CY2476">
        <v>1921672</v>
      </c>
      <c r="CZ2476" t="s">
        <v>119</v>
      </c>
    </row>
    <row r="2477" spans="1:104" x14ac:dyDescent="0.25">
      <c r="A2477" t="str">
        <f>"14:31:38.641"</f>
        <v>14:31:38.641</v>
      </c>
      <c r="B2477" t="s">
        <v>108</v>
      </c>
      <c r="C2477" t="str">
        <f t="shared" si="115"/>
        <v>ffdfd3c0</v>
      </c>
      <c r="D2477" t="s">
        <v>109</v>
      </c>
      <c r="E2477">
        <v>4</v>
      </c>
      <c r="F2477">
        <v>1004</v>
      </c>
      <c r="G2477" t="s">
        <v>110</v>
      </c>
      <c r="J2477" t="s">
        <v>111</v>
      </c>
      <c r="K2477">
        <v>0</v>
      </c>
      <c r="L2477">
        <v>3</v>
      </c>
      <c r="M2477">
        <v>0</v>
      </c>
      <c r="N2477">
        <v>2</v>
      </c>
      <c r="O2477">
        <v>1</v>
      </c>
      <c r="P2477">
        <v>0</v>
      </c>
      <c r="Q2477">
        <v>0</v>
      </c>
      <c r="R2477" t="s">
        <v>112</v>
      </c>
      <c r="S2477" t="str">
        <f>"14:31:38.438"</f>
        <v>14:31:38.438</v>
      </c>
      <c r="T2477" t="str">
        <f>"14:31:37.938"</f>
        <v>14:31:37.938</v>
      </c>
      <c r="U2477" t="str">
        <f t="shared" si="114"/>
        <v>ad5732</v>
      </c>
      <c r="V2477">
        <v>0</v>
      </c>
      <c r="W2477">
        <v>0</v>
      </c>
      <c r="X2477">
        <v>1</v>
      </c>
      <c r="Z2477">
        <v>0</v>
      </c>
      <c r="AA2477">
        <v>9</v>
      </c>
      <c r="AB2477">
        <v>3</v>
      </c>
      <c r="AC2477">
        <v>0</v>
      </c>
      <c r="AD2477">
        <v>10</v>
      </c>
      <c r="AE2477">
        <v>0</v>
      </c>
      <c r="AF2477">
        <v>3</v>
      </c>
      <c r="AG2477">
        <v>2</v>
      </c>
      <c r="AH2477">
        <v>0</v>
      </c>
      <c r="AI2477" t="s">
        <v>5063</v>
      </c>
      <c r="AJ2477">
        <v>40.070957999999997</v>
      </c>
      <c r="AK2477" t="s">
        <v>5064</v>
      </c>
      <c r="AL2477">
        <v>-75.456483000000006</v>
      </c>
      <c r="AM2477">
        <v>100</v>
      </c>
      <c r="AN2477">
        <v>4700</v>
      </c>
      <c r="AO2477" t="s">
        <v>115</v>
      </c>
      <c r="AP2477">
        <v>133</v>
      </c>
      <c r="AQ2477">
        <v>124</v>
      </c>
      <c r="AR2477">
        <v>0</v>
      </c>
      <c r="AZ2477">
        <v>3614</v>
      </c>
      <c r="BA2477">
        <v>1</v>
      </c>
      <c r="BB2477" t="str">
        <f t="shared" si="116"/>
        <v xml:space="preserve">N959MJ  </v>
      </c>
      <c r="BC2477">
        <v>1</v>
      </c>
      <c r="BE2477">
        <v>0</v>
      </c>
      <c r="BF2477">
        <v>0</v>
      </c>
      <c r="BG2477">
        <v>0</v>
      </c>
      <c r="BH2477">
        <v>4900</v>
      </c>
      <c r="BI2477">
        <v>200</v>
      </c>
      <c r="BJ2477">
        <v>1</v>
      </c>
      <c r="BK2477">
        <v>1</v>
      </c>
      <c r="BL2477">
        <v>1</v>
      </c>
      <c r="BM2477">
        <v>0</v>
      </c>
      <c r="BP2477">
        <v>0</v>
      </c>
      <c r="BQ2477">
        <v>0</v>
      </c>
      <c r="BX2477" t="str">
        <f>"14:31:38.445"</f>
        <v>14:31:38.445</v>
      </c>
      <c r="BY2477" t="str">
        <f>"444052510"</f>
        <v>444052510</v>
      </c>
      <c r="CL2477">
        <v>0</v>
      </c>
      <c r="CM2477">
        <v>2</v>
      </c>
      <c r="CN2477">
        <v>0</v>
      </c>
      <c r="CO2477">
        <v>2</v>
      </c>
      <c r="CP2477">
        <v>0</v>
      </c>
      <c r="CQ2477">
        <v>7</v>
      </c>
      <c r="CR2477" t="s">
        <v>116</v>
      </c>
      <c r="CS2477">
        <v>39</v>
      </c>
      <c r="CT2477">
        <v>0</v>
      </c>
      <c r="CU2477" t="s">
        <v>2259</v>
      </c>
      <c r="CV2477" t="s">
        <v>2260</v>
      </c>
      <c r="CY2477">
        <v>1923346</v>
      </c>
      <c r="CZ2477" t="s">
        <v>119</v>
      </c>
    </row>
    <row r="2478" spans="1:104" x14ac:dyDescent="0.25">
      <c r="A2478" t="str">
        <f>"14:31:39.500"</f>
        <v>14:31:39.500</v>
      </c>
      <c r="B2478" t="s">
        <v>108</v>
      </c>
      <c r="C2478" t="str">
        <f t="shared" si="115"/>
        <v>ffdfd3c0</v>
      </c>
      <c r="D2478" t="s">
        <v>109</v>
      </c>
      <c r="E2478">
        <v>4</v>
      </c>
      <c r="F2478">
        <v>1004</v>
      </c>
      <c r="G2478" t="s">
        <v>110</v>
      </c>
      <c r="J2478" t="s">
        <v>111</v>
      </c>
      <c r="K2478">
        <v>0</v>
      </c>
      <c r="L2478">
        <v>3</v>
      </c>
      <c r="M2478">
        <v>0</v>
      </c>
      <c r="N2478">
        <v>2</v>
      </c>
      <c r="O2478">
        <v>1</v>
      </c>
      <c r="P2478">
        <v>0</v>
      </c>
      <c r="Q2478">
        <v>0</v>
      </c>
      <c r="R2478" t="s">
        <v>112</v>
      </c>
      <c r="S2478" t="str">
        <f>"14:31:39.320"</f>
        <v>14:31:39.320</v>
      </c>
      <c r="T2478" t="str">
        <f>"14:31:38.922"</f>
        <v>14:31:38.922</v>
      </c>
      <c r="U2478" t="str">
        <f t="shared" si="114"/>
        <v>ad5732</v>
      </c>
      <c r="V2478">
        <v>0</v>
      </c>
      <c r="W2478">
        <v>0</v>
      </c>
      <c r="X2478">
        <v>1</v>
      </c>
      <c r="Z2478">
        <v>0</v>
      </c>
      <c r="AA2478">
        <v>9</v>
      </c>
      <c r="AB2478">
        <v>3</v>
      </c>
      <c r="AC2478">
        <v>0</v>
      </c>
      <c r="AD2478">
        <v>10</v>
      </c>
      <c r="AE2478">
        <v>0</v>
      </c>
      <c r="AF2478">
        <v>3</v>
      </c>
      <c r="AG2478">
        <v>2</v>
      </c>
      <c r="AH2478">
        <v>0</v>
      </c>
      <c r="AI2478" t="s">
        <v>5065</v>
      </c>
      <c r="AJ2478">
        <v>40.071452000000001</v>
      </c>
      <c r="AK2478" t="s">
        <v>5066</v>
      </c>
      <c r="AL2478">
        <v>-75.455753999999999</v>
      </c>
      <c r="AM2478">
        <v>100</v>
      </c>
      <c r="AN2478">
        <v>4700</v>
      </c>
      <c r="AO2478" t="s">
        <v>115</v>
      </c>
      <c r="AP2478">
        <v>133</v>
      </c>
      <c r="AQ2478">
        <v>124</v>
      </c>
      <c r="AR2478">
        <v>0</v>
      </c>
      <c r="AZ2478">
        <v>3614</v>
      </c>
      <c r="BA2478">
        <v>1</v>
      </c>
      <c r="BB2478" t="str">
        <f t="shared" si="116"/>
        <v xml:space="preserve">N959MJ  </v>
      </c>
      <c r="BC2478">
        <v>1</v>
      </c>
      <c r="BE2478">
        <v>0</v>
      </c>
      <c r="BF2478">
        <v>0</v>
      </c>
      <c r="BG2478">
        <v>0</v>
      </c>
      <c r="BH2478">
        <v>4900</v>
      </c>
      <c r="BI2478">
        <v>200</v>
      </c>
      <c r="BJ2478">
        <v>1</v>
      </c>
      <c r="BK2478">
        <v>1</v>
      </c>
      <c r="BL2478">
        <v>1</v>
      </c>
      <c r="BM2478">
        <v>0</v>
      </c>
      <c r="BP2478">
        <v>0</v>
      </c>
      <c r="BQ2478">
        <v>0</v>
      </c>
      <c r="BX2478" t="str">
        <f>"14:31:39.320"</f>
        <v>14:31:39.320</v>
      </c>
      <c r="BY2478" t="str">
        <f>"320611959"</f>
        <v>320611959</v>
      </c>
      <c r="CL2478">
        <v>0</v>
      </c>
      <c r="CM2478">
        <v>2</v>
      </c>
      <c r="CN2478">
        <v>0</v>
      </c>
      <c r="CO2478">
        <v>2</v>
      </c>
      <c r="CP2478">
        <v>0</v>
      </c>
      <c r="CQ2478">
        <v>7</v>
      </c>
      <c r="CR2478" t="s">
        <v>116</v>
      </c>
      <c r="CS2478">
        <v>39</v>
      </c>
      <c r="CT2478">
        <v>0</v>
      </c>
      <c r="CU2478" t="s">
        <v>2259</v>
      </c>
      <c r="CV2478" t="s">
        <v>2260</v>
      </c>
      <c r="CY2478">
        <v>1925018</v>
      </c>
      <c r="CZ2478" t="s">
        <v>119</v>
      </c>
    </row>
    <row r="2479" spans="1:104" x14ac:dyDescent="0.25">
      <c r="A2479" t="str">
        <f>"14:31:40.461"</f>
        <v>14:31:40.461</v>
      </c>
      <c r="B2479" t="s">
        <v>108</v>
      </c>
      <c r="C2479" t="str">
        <f t="shared" si="115"/>
        <v>ffdfd3c0</v>
      </c>
      <c r="D2479" t="s">
        <v>109</v>
      </c>
      <c r="E2479">
        <v>4</v>
      </c>
      <c r="F2479">
        <v>1004</v>
      </c>
      <c r="G2479" t="s">
        <v>110</v>
      </c>
      <c r="J2479" t="s">
        <v>111</v>
      </c>
      <c r="K2479">
        <v>0</v>
      </c>
      <c r="L2479">
        <v>3</v>
      </c>
      <c r="M2479">
        <v>0</v>
      </c>
      <c r="N2479">
        <v>2</v>
      </c>
      <c r="O2479">
        <v>1</v>
      </c>
      <c r="P2479">
        <v>0</v>
      </c>
      <c r="Q2479">
        <v>0</v>
      </c>
      <c r="R2479" t="s">
        <v>112</v>
      </c>
      <c r="S2479" t="str">
        <f>"14:31:40.266"</f>
        <v>14:31:40.266</v>
      </c>
      <c r="T2479" t="str">
        <f>"14:31:39.766"</f>
        <v>14:31:39.766</v>
      </c>
      <c r="U2479" t="str">
        <f t="shared" si="114"/>
        <v>ad5732</v>
      </c>
      <c r="V2479">
        <v>0</v>
      </c>
      <c r="W2479">
        <v>0</v>
      </c>
      <c r="X2479">
        <v>1</v>
      </c>
      <c r="Z2479">
        <v>0</v>
      </c>
      <c r="AA2479">
        <v>9</v>
      </c>
      <c r="AB2479">
        <v>3</v>
      </c>
      <c r="AC2479">
        <v>0</v>
      </c>
      <c r="AD2479">
        <v>10</v>
      </c>
      <c r="AE2479">
        <v>0</v>
      </c>
      <c r="AF2479">
        <v>3</v>
      </c>
      <c r="AG2479">
        <v>2</v>
      </c>
      <c r="AH2479">
        <v>0</v>
      </c>
      <c r="AI2479" t="s">
        <v>5067</v>
      </c>
      <c r="AJ2479">
        <v>40.071987999999997</v>
      </c>
      <c r="AK2479" t="s">
        <v>5068</v>
      </c>
      <c r="AL2479">
        <v>-75.455045999999996</v>
      </c>
      <c r="AM2479">
        <v>100</v>
      </c>
      <c r="AN2479">
        <v>4700</v>
      </c>
      <c r="AO2479" t="s">
        <v>115</v>
      </c>
      <c r="AP2479">
        <v>133</v>
      </c>
      <c r="AQ2479">
        <v>124</v>
      </c>
      <c r="AR2479">
        <v>0</v>
      </c>
      <c r="AZ2479">
        <v>3614</v>
      </c>
      <c r="BA2479">
        <v>1</v>
      </c>
      <c r="BB2479" t="str">
        <f t="shared" si="116"/>
        <v xml:space="preserve">N959MJ  </v>
      </c>
      <c r="BC2479">
        <v>1</v>
      </c>
      <c r="BE2479">
        <v>0</v>
      </c>
      <c r="BF2479">
        <v>0</v>
      </c>
      <c r="BG2479">
        <v>0</v>
      </c>
      <c r="BH2479">
        <v>4900</v>
      </c>
      <c r="BI2479">
        <v>200</v>
      </c>
      <c r="BJ2479">
        <v>1</v>
      </c>
      <c r="BK2479">
        <v>1</v>
      </c>
      <c r="BL2479">
        <v>1</v>
      </c>
      <c r="BM2479">
        <v>0</v>
      </c>
      <c r="BP2479">
        <v>0</v>
      </c>
      <c r="BQ2479">
        <v>0</v>
      </c>
      <c r="BX2479" t="str">
        <f>"14:31:40.273"</f>
        <v>14:31:40.273</v>
      </c>
      <c r="BY2479" t="str">
        <f>"270900680"</f>
        <v>270900680</v>
      </c>
      <c r="CL2479">
        <v>0</v>
      </c>
      <c r="CM2479">
        <v>2</v>
      </c>
      <c r="CN2479">
        <v>0</v>
      </c>
      <c r="CO2479">
        <v>2</v>
      </c>
      <c r="CP2479">
        <v>0</v>
      </c>
      <c r="CQ2479">
        <v>7</v>
      </c>
      <c r="CR2479" t="s">
        <v>116</v>
      </c>
      <c r="CS2479">
        <v>39</v>
      </c>
      <c r="CT2479">
        <v>0</v>
      </c>
      <c r="CU2479" t="s">
        <v>2259</v>
      </c>
      <c r="CV2479" t="s">
        <v>2260</v>
      </c>
      <c r="CY2479">
        <v>1926767</v>
      </c>
      <c r="CZ2479" t="s">
        <v>119</v>
      </c>
    </row>
    <row r="2480" spans="1:104" x14ac:dyDescent="0.25">
      <c r="A2480" t="str">
        <f>"14:31:41.313"</f>
        <v>14:31:41.313</v>
      </c>
      <c r="B2480" t="s">
        <v>108</v>
      </c>
      <c r="C2480" t="str">
        <f t="shared" si="115"/>
        <v>ffdfd3c0</v>
      </c>
      <c r="D2480" t="s">
        <v>109</v>
      </c>
      <c r="E2480">
        <v>4</v>
      </c>
      <c r="F2480">
        <v>1004</v>
      </c>
      <c r="G2480" t="s">
        <v>110</v>
      </c>
      <c r="J2480" t="s">
        <v>111</v>
      </c>
      <c r="K2480">
        <v>0</v>
      </c>
      <c r="L2480">
        <v>3</v>
      </c>
      <c r="M2480">
        <v>0</v>
      </c>
      <c r="N2480">
        <v>2</v>
      </c>
      <c r="O2480">
        <v>1</v>
      </c>
      <c r="P2480">
        <v>0</v>
      </c>
      <c r="Q2480">
        <v>0</v>
      </c>
      <c r="R2480" t="s">
        <v>112</v>
      </c>
      <c r="S2480" t="str">
        <f>"14:31:41.148"</f>
        <v>14:31:41.148</v>
      </c>
      <c r="T2480" t="str">
        <f>"14:31:40.750"</f>
        <v>14:31:40.750</v>
      </c>
      <c r="U2480" t="str">
        <f t="shared" si="114"/>
        <v>ad5732</v>
      </c>
      <c r="V2480">
        <v>0</v>
      </c>
      <c r="W2480">
        <v>0</v>
      </c>
      <c r="X2480">
        <v>1</v>
      </c>
      <c r="Z2480">
        <v>0</v>
      </c>
      <c r="AA2480">
        <v>9</v>
      </c>
      <c r="AB2480">
        <v>3</v>
      </c>
      <c r="AC2480">
        <v>0</v>
      </c>
      <c r="AD2480">
        <v>10</v>
      </c>
      <c r="AE2480">
        <v>0</v>
      </c>
      <c r="AF2480">
        <v>3</v>
      </c>
      <c r="AG2480">
        <v>2</v>
      </c>
      <c r="AH2480">
        <v>0</v>
      </c>
      <c r="AI2480" t="s">
        <v>5069</v>
      </c>
      <c r="AJ2480">
        <v>40.072502999999998</v>
      </c>
      <c r="AK2480" t="s">
        <v>5070</v>
      </c>
      <c r="AL2480">
        <v>-75.454295000000002</v>
      </c>
      <c r="AM2480">
        <v>100</v>
      </c>
      <c r="AN2480">
        <v>4700</v>
      </c>
      <c r="AO2480" t="s">
        <v>115</v>
      </c>
      <c r="AP2480">
        <v>134</v>
      </c>
      <c r="AQ2480">
        <v>124</v>
      </c>
      <c r="AR2480">
        <v>64</v>
      </c>
      <c r="AZ2480">
        <v>3614</v>
      </c>
      <c r="BA2480">
        <v>1</v>
      </c>
      <c r="BB2480" t="str">
        <f t="shared" si="116"/>
        <v xml:space="preserve">N959MJ  </v>
      </c>
      <c r="BC2480">
        <v>1</v>
      </c>
      <c r="BE2480">
        <v>0</v>
      </c>
      <c r="BF2480">
        <v>0</v>
      </c>
      <c r="BG2480">
        <v>0</v>
      </c>
      <c r="BH2480">
        <v>4900</v>
      </c>
      <c r="BI2480">
        <v>200</v>
      </c>
      <c r="BJ2480">
        <v>1</v>
      </c>
      <c r="BK2480">
        <v>1</v>
      </c>
      <c r="BL2480">
        <v>1</v>
      </c>
      <c r="BM2480">
        <v>0</v>
      </c>
      <c r="BP2480">
        <v>0</v>
      </c>
      <c r="BQ2480">
        <v>0</v>
      </c>
      <c r="BX2480" t="str">
        <f>"14:31:41.148"</f>
        <v>14:31:41.148</v>
      </c>
      <c r="BY2480" t="str">
        <f>"150736955"</f>
        <v>150736955</v>
      </c>
      <c r="CL2480">
        <v>0</v>
      </c>
      <c r="CM2480">
        <v>2</v>
      </c>
      <c r="CN2480">
        <v>0</v>
      </c>
      <c r="CO2480">
        <v>2</v>
      </c>
      <c r="CP2480">
        <v>0</v>
      </c>
      <c r="CQ2480">
        <v>7</v>
      </c>
      <c r="CR2480" t="s">
        <v>116</v>
      </c>
      <c r="CS2480">
        <v>39</v>
      </c>
      <c r="CT2480">
        <v>0</v>
      </c>
      <c r="CU2480" t="s">
        <v>2259</v>
      </c>
      <c r="CV2480" t="s">
        <v>2260</v>
      </c>
      <c r="CY2480">
        <v>1928312</v>
      </c>
      <c r="CZ2480" t="s">
        <v>119</v>
      </c>
    </row>
    <row r="2481" spans="1:104" x14ac:dyDescent="0.25">
      <c r="A2481" t="str">
        <f>"14:31:42.375"</f>
        <v>14:31:42.375</v>
      </c>
      <c r="B2481" t="s">
        <v>108</v>
      </c>
      <c r="C2481" t="str">
        <f t="shared" si="115"/>
        <v>ffdfd3c0</v>
      </c>
      <c r="D2481" t="s">
        <v>109</v>
      </c>
      <c r="E2481">
        <v>4</v>
      </c>
      <c r="F2481">
        <v>1004</v>
      </c>
      <c r="G2481" t="s">
        <v>110</v>
      </c>
      <c r="J2481" t="s">
        <v>111</v>
      </c>
      <c r="K2481">
        <v>0</v>
      </c>
      <c r="L2481">
        <v>3</v>
      </c>
      <c r="M2481">
        <v>0</v>
      </c>
      <c r="N2481">
        <v>2</v>
      </c>
      <c r="O2481">
        <v>1</v>
      </c>
      <c r="P2481">
        <v>0</v>
      </c>
      <c r="Q2481">
        <v>0</v>
      </c>
      <c r="R2481" t="s">
        <v>112</v>
      </c>
      <c r="S2481" t="str">
        <f>"14:31:42.195"</f>
        <v>14:31:42.195</v>
      </c>
      <c r="T2481" t="str">
        <f>"14:31:41.797"</f>
        <v>14:31:41.797</v>
      </c>
      <c r="U2481" t="str">
        <f t="shared" si="114"/>
        <v>ad5732</v>
      </c>
      <c r="V2481">
        <v>0</v>
      </c>
      <c r="W2481">
        <v>0</v>
      </c>
      <c r="X2481">
        <v>1</v>
      </c>
      <c r="Z2481">
        <v>0</v>
      </c>
      <c r="AA2481">
        <v>9</v>
      </c>
      <c r="AB2481">
        <v>3</v>
      </c>
      <c r="AC2481">
        <v>0</v>
      </c>
      <c r="AD2481">
        <v>10</v>
      </c>
      <c r="AE2481">
        <v>0</v>
      </c>
      <c r="AF2481">
        <v>3</v>
      </c>
      <c r="AG2481">
        <v>2</v>
      </c>
      <c r="AH2481">
        <v>0</v>
      </c>
      <c r="AI2481" t="s">
        <v>5071</v>
      </c>
      <c r="AJ2481">
        <v>40.073039999999999</v>
      </c>
      <c r="AK2481" t="s">
        <v>5072</v>
      </c>
      <c r="AL2481">
        <v>-75.453501000000003</v>
      </c>
      <c r="AM2481">
        <v>100</v>
      </c>
      <c r="AN2481">
        <v>4700</v>
      </c>
      <c r="AO2481" t="s">
        <v>115</v>
      </c>
      <c r="AP2481">
        <v>134</v>
      </c>
      <c r="AQ2481">
        <v>124</v>
      </c>
      <c r="AR2481">
        <v>0</v>
      </c>
      <c r="AZ2481">
        <v>3614</v>
      </c>
      <c r="BA2481">
        <v>1</v>
      </c>
      <c r="BB2481" t="str">
        <f t="shared" si="116"/>
        <v xml:space="preserve">N959MJ  </v>
      </c>
      <c r="BC2481">
        <v>1</v>
      </c>
      <c r="BE2481">
        <v>0</v>
      </c>
      <c r="BF2481">
        <v>0</v>
      </c>
      <c r="BG2481">
        <v>0</v>
      </c>
      <c r="BH2481">
        <v>4900</v>
      </c>
      <c r="BI2481">
        <v>200</v>
      </c>
      <c r="BJ2481">
        <v>1</v>
      </c>
      <c r="BK2481">
        <v>1</v>
      </c>
      <c r="BL2481">
        <v>1</v>
      </c>
      <c r="BM2481">
        <v>0</v>
      </c>
      <c r="BP2481">
        <v>0</v>
      </c>
      <c r="BQ2481">
        <v>0</v>
      </c>
      <c r="BX2481" t="str">
        <f>"14:31:42.203"</f>
        <v>14:31:42.203</v>
      </c>
      <c r="BY2481" t="str">
        <f>"200969831"</f>
        <v>200969831</v>
      </c>
      <c r="CL2481">
        <v>0</v>
      </c>
      <c r="CM2481">
        <v>2</v>
      </c>
      <c r="CN2481">
        <v>0</v>
      </c>
      <c r="CO2481">
        <v>2</v>
      </c>
      <c r="CP2481">
        <v>0</v>
      </c>
      <c r="CQ2481">
        <v>7</v>
      </c>
      <c r="CR2481" t="s">
        <v>116</v>
      </c>
      <c r="CS2481">
        <v>39</v>
      </c>
      <c r="CT2481">
        <v>0</v>
      </c>
      <c r="CU2481" t="s">
        <v>2259</v>
      </c>
      <c r="CV2481" t="s">
        <v>2260</v>
      </c>
      <c r="CY2481">
        <v>1929954</v>
      </c>
      <c r="CZ2481" t="s">
        <v>119</v>
      </c>
    </row>
    <row r="2482" spans="1:104" x14ac:dyDescent="0.25">
      <c r="A2482" t="str">
        <f>"14:31:43.438"</f>
        <v>14:31:43.438</v>
      </c>
      <c r="B2482" t="s">
        <v>108</v>
      </c>
      <c r="C2482" t="str">
        <f t="shared" si="115"/>
        <v>ffdfd3c0</v>
      </c>
      <c r="D2482" t="s">
        <v>109</v>
      </c>
      <c r="E2482">
        <v>4</v>
      </c>
      <c r="F2482">
        <v>1004</v>
      </c>
      <c r="G2482" t="s">
        <v>110</v>
      </c>
      <c r="J2482" t="s">
        <v>111</v>
      </c>
      <c r="K2482">
        <v>0</v>
      </c>
      <c r="L2482">
        <v>3</v>
      </c>
      <c r="M2482">
        <v>0</v>
      </c>
      <c r="N2482">
        <v>2</v>
      </c>
      <c r="O2482">
        <v>1</v>
      </c>
      <c r="P2482">
        <v>0</v>
      </c>
      <c r="Q2482">
        <v>0</v>
      </c>
      <c r="R2482" t="s">
        <v>112</v>
      </c>
      <c r="S2482" t="str">
        <f>"14:31:43.273"</f>
        <v>14:31:43.273</v>
      </c>
      <c r="T2482" t="str">
        <f>"14:31:42.773"</f>
        <v>14:31:42.773</v>
      </c>
      <c r="U2482" t="str">
        <f t="shared" si="114"/>
        <v>ad5732</v>
      </c>
      <c r="V2482">
        <v>0</v>
      </c>
      <c r="W2482">
        <v>0</v>
      </c>
      <c r="X2482">
        <v>1</v>
      </c>
      <c r="Z2482">
        <v>0</v>
      </c>
      <c r="AA2482">
        <v>9</v>
      </c>
      <c r="AB2482">
        <v>3</v>
      </c>
      <c r="AC2482">
        <v>0</v>
      </c>
      <c r="AD2482">
        <v>10</v>
      </c>
      <c r="AE2482">
        <v>0</v>
      </c>
      <c r="AF2482">
        <v>3</v>
      </c>
      <c r="AG2482">
        <v>2</v>
      </c>
      <c r="AH2482">
        <v>0</v>
      </c>
      <c r="AI2482" t="s">
        <v>5073</v>
      </c>
      <c r="AJ2482">
        <v>40.073704999999997</v>
      </c>
      <c r="AK2482" t="s">
        <v>5074</v>
      </c>
      <c r="AL2482">
        <v>-75.452600000000004</v>
      </c>
      <c r="AM2482">
        <v>100</v>
      </c>
      <c r="AN2482">
        <v>4700</v>
      </c>
      <c r="AO2482" t="s">
        <v>115</v>
      </c>
      <c r="AP2482">
        <v>133</v>
      </c>
      <c r="AQ2482">
        <v>124</v>
      </c>
      <c r="AR2482">
        <v>64</v>
      </c>
      <c r="AZ2482">
        <v>3614</v>
      </c>
      <c r="BA2482">
        <v>1</v>
      </c>
      <c r="BB2482" t="str">
        <f t="shared" si="116"/>
        <v xml:space="preserve">N959MJ  </v>
      </c>
      <c r="BC2482">
        <v>1</v>
      </c>
      <c r="BE2482">
        <v>0</v>
      </c>
      <c r="BF2482">
        <v>0</v>
      </c>
      <c r="BG2482">
        <v>0</v>
      </c>
      <c r="BH2482">
        <v>4900</v>
      </c>
      <c r="BI2482">
        <v>200</v>
      </c>
      <c r="BJ2482">
        <v>1</v>
      </c>
      <c r="BK2482">
        <v>1</v>
      </c>
      <c r="BL2482">
        <v>1</v>
      </c>
      <c r="BM2482">
        <v>0</v>
      </c>
      <c r="BP2482">
        <v>0</v>
      </c>
      <c r="BQ2482">
        <v>0</v>
      </c>
      <c r="BX2482" t="str">
        <f>"14:31:43.281"</f>
        <v>14:31:43.281</v>
      </c>
      <c r="BY2482" t="str">
        <f>"277417623"</f>
        <v>277417623</v>
      </c>
      <c r="CL2482">
        <v>0</v>
      </c>
      <c r="CM2482">
        <v>2</v>
      </c>
      <c r="CN2482">
        <v>0</v>
      </c>
      <c r="CO2482">
        <v>2</v>
      </c>
      <c r="CP2482">
        <v>0</v>
      </c>
      <c r="CQ2482">
        <v>7</v>
      </c>
      <c r="CR2482" t="s">
        <v>116</v>
      </c>
      <c r="CS2482">
        <v>39</v>
      </c>
      <c r="CT2482">
        <v>0</v>
      </c>
      <c r="CU2482" t="s">
        <v>2259</v>
      </c>
      <c r="CV2482" t="s">
        <v>2260</v>
      </c>
      <c r="CY2482">
        <v>1931752</v>
      </c>
      <c r="CZ2482" t="s">
        <v>119</v>
      </c>
    </row>
    <row r="2483" spans="1:104" x14ac:dyDescent="0.25">
      <c r="A2483" t="str">
        <f>"14:31:44.500"</f>
        <v>14:31:44.500</v>
      </c>
      <c r="B2483" t="s">
        <v>108</v>
      </c>
      <c r="C2483" t="str">
        <f t="shared" si="115"/>
        <v>ffdfd3c0</v>
      </c>
      <c r="D2483" t="s">
        <v>109</v>
      </c>
      <c r="E2483">
        <v>4</v>
      </c>
      <c r="F2483">
        <v>1004</v>
      </c>
      <c r="G2483" t="s">
        <v>110</v>
      </c>
      <c r="J2483" t="s">
        <v>111</v>
      </c>
      <c r="K2483">
        <v>0</v>
      </c>
      <c r="L2483">
        <v>3</v>
      </c>
      <c r="M2483">
        <v>0</v>
      </c>
      <c r="N2483">
        <v>2</v>
      </c>
      <c r="O2483">
        <v>1</v>
      </c>
      <c r="P2483">
        <v>0</v>
      </c>
      <c r="Q2483">
        <v>0</v>
      </c>
      <c r="R2483" t="s">
        <v>112</v>
      </c>
      <c r="S2483" t="str">
        <f>"14:31:44.336"</f>
        <v>14:31:44.336</v>
      </c>
      <c r="T2483" t="str">
        <f>"14:31:43.836"</f>
        <v>14:31:43.836</v>
      </c>
      <c r="U2483" t="str">
        <f t="shared" si="114"/>
        <v>ad5732</v>
      </c>
      <c r="V2483">
        <v>0</v>
      </c>
      <c r="W2483">
        <v>0</v>
      </c>
      <c r="X2483">
        <v>1</v>
      </c>
      <c r="Z2483">
        <v>0</v>
      </c>
      <c r="AA2483">
        <v>9</v>
      </c>
      <c r="AB2483">
        <v>3</v>
      </c>
      <c r="AC2483">
        <v>0</v>
      </c>
      <c r="AD2483">
        <v>10</v>
      </c>
      <c r="AE2483">
        <v>0</v>
      </c>
      <c r="AF2483">
        <v>3</v>
      </c>
      <c r="AG2483">
        <v>2</v>
      </c>
      <c r="AH2483">
        <v>0</v>
      </c>
      <c r="AI2483" t="s">
        <v>5075</v>
      </c>
      <c r="AJ2483">
        <v>40.074326999999997</v>
      </c>
      <c r="AK2483" t="s">
        <v>5076</v>
      </c>
      <c r="AL2483">
        <v>-75.451719999999995</v>
      </c>
      <c r="AM2483">
        <v>100</v>
      </c>
      <c r="AN2483">
        <v>4700</v>
      </c>
      <c r="AO2483" t="s">
        <v>115</v>
      </c>
      <c r="AP2483">
        <v>133</v>
      </c>
      <c r="AQ2483">
        <v>124</v>
      </c>
      <c r="AR2483">
        <v>64</v>
      </c>
      <c r="AZ2483">
        <v>3614</v>
      </c>
      <c r="BA2483">
        <v>1</v>
      </c>
      <c r="BB2483" t="str">
        <f t="shared" si="116"/>
        <v xml:space="preserve">N959MJ  </v>
      </c>
      <c r="BC2483">
        <v>1</v>
      </c>
      <c r="BE2483">
        <v>0</v>
      </c>
      <c r="BF2483">
        <v>0</v>
      </c>
      <c r="BG2483">
        <v>0</v>
      </c>
      <c r="BH2483">
        <v>4900</v>
      </c>
      <c r="BI2483">
        <v>200</v>
      </c>
      <c r="BJ2483">
        <v>1</v>
      </c>
      <c r="BK2483">
        <v>1</v>
      </c>
      <c r="BL2483">
        <v>1</v>
      </c>
      <c r="BM2483">
        <v>0</v>
      </c>
      <c r="BP2483">
        <v>0</v>
      </c>
      <c r="BQ2483">
        <v>0</v>
      </c>
      <c r="BX2483" t="str">
        <f>"14:31:44.336"</f>
        <v>14:31:44.336</v>
      </c>
      <c r="BY2483" t="str">
        <f>"337481010"</f>
        <v>337481010</v>
      </c>
      <c r="CL2483">
        <v>0</v>
      </c>
      <c r="CM2483">
        <v>2</v>
      </c>
      <c r="CN2483">
        <v>0</v>
      </c>
      <c r="CO2483">
        <v>2</v>
      </c>
      <c r="CP2483">
        <v>0</v>
      </c>
      <c r="CQ2483">
        <v>7</v>
      </c>
      <c r="CR2483" t="s">
        <v>116</v>
      </c>
      <c r="CS2483">
        <v>39</v>
      </c>
      <c r="CT2483">
        <v>0</v>
      </c>
      <c r="CU2483" t="s">
        <v>2259</v>
      </c>
      <c r="CV2483" t="s">
        <v>2260</v>
      </c>
      <c r="CY2483">
        <v>1933770</v>
      </c>
      <c r="CZ2483" t="s">
        <v>119</v>
      </c>
    </row>
    <row r="2484" spans="1:104" x14ac:dyDescent="0.25">
      <c r="A2484" t="str">
        <f>"14:31:45.555"</f>
        <v>14:31:45.555</v>
      </c>
      <c r="B2484" t="s">
        <v>108</v>
      </c>
      <c r="C2484" t="str">
        <f t="shared" si="115"/>
        <v>ffdfd3c0</v>
      </c>
      <c r="D2484" t="s">
        <v>109</v>
      </c>
      <c r="E2484">
        <v>4</v>
      </c>
      <c r="F2484">
        <v>1004</v>
      </c>
      <c r="G2484" t="s">
        <v>110</v>
      </c>
      <c r="J2484" t="s">
        <v>111</v>
      </c>
      <c r="K2484">
        <v>0</v>
      </c>
      <c r="L2484">
        <v>3</v>
      </c>
      <c r="M2484">
        <v>0</v>
      </c>
      <c r="N2484">
        <v>2</v>
      </c>
      <c r="O2484">
        <v>1</v>
      </c>
      <c r="P2484">
        <v>0</v>
      </c>
      <c r="Q2484">
        <v>0</v>
      </c>
      <c r="R2484" t="s">
        <v>112</v>
      </c>
      <c r="S2484" t="str">
        <f>"14:31:45.391"</f>
        <v>14:31:45.391</v>
      </c>
      <c r="T2484" t="str">
        <f>"14:31:44.891"</f>
        <v>14:31:44.891</v>
      </c>
      <c r="U2484" t="str">
        <f t="shared" si="114"/>
        <v>ad5732</v>
      </c>
      <c r="V2484">
        <v>0</v>
      </c>
      <c r="W2484">
        <v>0</v>
      </c>
      <c r="X2484">
        <v>1</v>
      </c>
      <c r="Z2484">
        <v>0</v>
      </c>
      <c r="AA2484">
        <v>9</v>
      </c>
      <c r="AB2484">
        <v>3</v>
      </c>
      <c r="AC2484">
        <v>0</v>
      </c>
      <c r="AD2484">
        <v>10</v>
      </c>
      <c r="AE2484">
        <v>0</v>
      </c>
      <c r="AF2484">
        <v>3</v>
      </c>
      <c r="AG2484">
        <v>2</v>
      </c>
      <c r="AH2484">
        <v>0</v>
      </c>
      <c r="AI2484" t="s">
        <v>5077</v>
      </c>
      <c r="AJ2484">
        <v>40.074885000000002</v>
      </c>
      <c r="AK2484" t="s">
        <v>5078</v>
      </c>
      <c r="AL2484">
        <v>-75.450925999999995</v>
      </c>
      <c r="AM2484">
        <v>100</v>
      </c>
      <c r="AN2484">
        <v>4700</v>
      </c>
      <c r="AO2484" t="s">
        <v>115</v>
      </c>
      <c r="AP2484">
        <v>133</v>
      </c>
      <c r="AQ2484">
        <v>124</v>
      </c>
      <c r="AR2484">
        <v>64</v>
      </c>
      <c r="AZ2484">
        <v>3614</v>
      </c>
      <c r="BA2484">
        <v>1</v>
      </c>
      <c r="BB2484" t="str">
        <f t="shared" si="116"/>
        <v xml:space="preserve">N959MJ  </v>
      </c>
      <c r="BC2484">
        <v>1</v>
      </c>
      <c r="BE2484">
        <v>0</v>
      </c>
      <c r="BF2484">
        <v>0</v>
      </c>
      <c r="BG2484">
        <v>0</v>
      </c>
      <c r="BH2484">
        <v>4900</v>
      </c>
      <c r="BI2484">
        <v>200</v>
      </c>
      <c r="BJ2484">
        <v>1</v>
      </c>
      <c r="BK2484">
        <v>1</v>
      </c>
      <c r="BL2484">
        <v>1</v>
      </c>
      <c r="BM2484">
        <v>0</v>
      </c>
      <c r="BP2484">
        <v>0</v>
      </c>
      <c r="BQ2484">
        <v>0</v>
      </c>
      <c r="BX2484" t="str">
        <f>"14:31:45.398"</f>
        <v>14:31:45.398</v>
      </c>
      <c r="BY2484" t="str">
        <f>"395906016"</f>
        <v>395906016</v>
      </c>
      <c r="CL2484">
        <v>0</v>
      </c>
      <c r="CM2484">
        <v>2</v>
      </c>
      <c r="CN2484">
        <v>0</v>
      </c>
      <c r="CO2484">
        <v>2</v>
      </c>
      <c r="CP2484">
        <v>0</v>
      </c>
      <c r="CQ2484">
        <v>7</v>
      </c>
      <c r="CR2484" t="s">
        <v>116</v>
      </c>
      <c r="CS2484">
        <v>39</v>
      </c>
      <c r="CT2484">
        <v>0</v>
      </c>
      <c r="CU2484" t="s">
        <v>2259</v>
      </c>
      <c r="CV2484" t="s">
        <v>2260</v>
      </c>
      <c r="CY2484">
        <v>1935567</v>
      </c>
      <c r="CZ2484" t="s">
        <v>119</v>
      </c>
    </row>
    <row r="2485" spans="1:104" x14ac:dyDescent="0.25">
      <c r="A2485" t="str">
        <f>"14:31:46.570"</f>
        <v>14:31:46.570</v>
      </c>
      <c r="B2485" t="s">
        <v>108</v>
      </c>
      <c r="C2485" t="str">
        <f t="shared" si="115"/>
        <v>ffdfd3c0</v>
      </c>
      <c r="D2485" t="s">
        <v>109</v>
      </c>
      <c r="E2485">
        <v>4</v>
      </c>
      <c r="F2485">
        <v>1004</v>
      </c>
      <c r="G2485" t="s">
        <v>110</v>
      </c>
      <c r="J2485" t="s">
        <v>111</v>
      </c>
      <c r="K2485">
        <v>0</v>
      </c>
      <c r="L2485">
        <v>3</v>
      </c>
      <c r="M2485">
        <v>0</v>
      </c>
      <c r="N2485">
        <v>2</v>
      </c>
      <c r="O2485">
        <v>1</v>
      </c>
      <c r="P2485">
        <v>0</v>
      </c>
      <c r="Q2485">
        <v>0</v>
      </c>
      <c r="R2485" t="s">
        <v>112</v>
      </c>
      <c r="S2485" t="str">
        <f>"14:31:46.414"</f>
        <v>14:31:46.414</v>
      </c>
      <c r="T2485" t="str">
        <f>"14:31:46.016"</f>
        <v>14:31:46.016</v>
      </c>
      <c r="U2485" t="str">
        <f t="shared" si="114"/>
        <v>ad5732</v>
      </c>
      <c r="V2485">
        <v>0</v>
      </c>
      <c r="W2485">
        <v>0</v>
      </c>
      <c r="X2485">
        <v>1</v>
      </c>
      <c r="Z2485">
        <v>0</v>
      </c>
      <c r="AA2485">
        <v>9</v>
      </c>
      <c r="AB2485">
        <v>3</v>
      </c>
      <c r="AC2485">
        <v>0</v>
      </c>
      <c r="AD2485">
        <v>10</v>
      </c>
      <c r="AE2485">
        <v>0</v>
      </c>
      <c r="AF2485">
        <v>3</v>
      </c>
      <c r="AG2485">
        <v>2</v>
      </c>
      <c r="AH2485">
        <v>0</v>
      </c>
      <c r="AI2485" t="s">
        <v>5079</v>
      </c>
      <c r="AJ2485">
        <v>40.075529000000003</v>
      </c>
      <c r="AK2485" t="s">
        <v>5080</v>
      </c>
      <c r="AL2485">
        <v>-75.450046</v>
      </c>
      <c r="AM2485">
        <v>100</v>
      </c>
      <c r="AN2485">
        <v>4700</v>
      </c>
      <c r="AO2485" t="s">
        <v>115</v>
      </c>
      <c r="AP2485">
        <v>133</v>
      </c>
      <c r="AQ2485">
        <v>124</v>
      </c>
      <c r="AR2485">
        <v>64</v>
      </c>
      <c r="AZ2485">
        <v>3614</v>
      </c>
      <c r="BA2485">
        <v>1</v>
      </c>
      <c r="BB2485" t="str">
        <f t="shared" si="116"/>
        <v xml:space="preserve">N959MJ  </v>
      </c>
      <c r="BC2485">
        <v>1</v>
      </c>
      <c r="BE2485">
        <v>0</v>
      </c>
      <c r="BF2485">
        <v>0</v>
      </c>
      <c r="BG2485">
        <v>0</v>
      </c>
      <c r="BH2485">
        <v>4900</v>
      </c>
      <c r="BI2485">
        <v>200</v>
      </c>
      <c r="BJ2485">
        <v>1</v>
      </c>
      <c r="BK2485">
        <v>1</v>
      </c>
      <c r="BL2485">
        <v>1</v>
      </c>
      <c r="BM2485">
        <v>0</v>
      </c>
      <c r="BP2485">
        <v>0</v>
      </c>
      <c r="BQ2485">
        <v>0</v>
      </c>
      <c r="BX2485" t="str">
        <f>"14:31:46.414"</f>
        <v>14:31:46.414</v>
      </c>
      <c r="BY2485" t="str">
        <f>"416647339"</f>
        <v>416647339</v>
      </c>
      <c r="CL2485">
        <v>0</v>
      </c>
      <c r="CM2485">
        <v>2</v>
      </c>
      <c r="CN2485">
        <v>0</v>
      </c>
      <c r="CO2485">
        <v>2</v>
      </c>
      <c r="CP2485">
        <v>0</v>
      </c>
      <c r="CQ2485">
        <v>7</v>
      </c>
      <c r="CR2485" t="s">
        <v>116</v>
      </c>
      <c r="CS2485">
        <v>39</v>
      </c>
      <c r="CT2485">
        <v>0</v>
      </c>
      <c r="CU2485" t="s">
        <v>2259</v>
      </c>
      <c r="CV2485" t="s">
        <v>2260</v>
      </c>
      <c r="CY2485">
        <v>1937159</v>
      </c>
      <c r="CZ2485" t="s">
        <v>119</v>
      </c>
    </row>
    <row r="2486" spans="1:104" x14ac:dyDescent="0.25">
      <c r="A2486" t="str">
        <f>"14:31:47.625"</f>
        <v>14:31:47.625</v>
      </c>
      <c r="B2486" t="s">
        <v>108</v>
      </c>
      <c r="C2486" t="str">
        <f t="shared" si="115"/>
        <v>ffdfd3c0</v>
      </c>
      <c r="D2486" t="s">
        <v>109</v>
      </c>
      <c r="E2486">
        <v>4</v>
      </c>
      <c r="F2486">
        <v>1004</v>
      </c>
      <c r="G2486" t="s">
        <v>110</v>
      </c>
      <c r="J2486" t="s">
        <v>111</v>
      </c>
      <c r="K2486">
        <v>0</v>
      </c>
      <c r="L2486">
        <v>3</v>
      </c>
      <c r="M2486">
        <v>0</v>
      </c>
      <c r="N2486">
        <v>2</v>
      </c>
      <c r="O2486">
        <v>1</v>
      </c>
      <c r="P2486">
        <v>0</v>
      </c>
      <c r="Q2486">
        <v>0</v>
      </c>
      <c r="R2486" t="s">
        <v>112</v>
      </c>
      <c r="S2486" t="str">
        <f>"14:31:47.430"</f>
        <v>14:31:47.430</v>
      </c>
      <c r="T2486" t="str">
        <f>"14:31:47.031"</f>
        <v>14:31:47.031</v>
      </c>
      <c r="U2486" t="str">
        <f t="shared" si="114"/>
        <v>ad5732</v>
      </c>
      <c r="V2486">
        <v>0</v>
      </c>
      <c r="W2486">
        <v>0</v>
      </c>
      <c r="X2486">
        <v>1</v>
      </c>
      <c r="Z2486">
        <v>0</v>
      </c>
      <c r="AA2486">
        <v>9</v>
      </c>
      <c r="AB2486">
        <v>3</v>
      </c>
      <c r="AC2486">
        <v>0</v>
      </c>
      <c r="AD2486">
        <v>10</v>
      </c>
      <c r="AE2486">
        <v>0</v>
      </c>
      <c r="AF2486">
        <v>3</v>
      </c>
      <c r="AG2486">
        <v>2</v>
      </c>
      <c r="AH2486">
        <v>0</v>
      </c>
      <c r="AI2486" t="s">
        <v>5081</v>
      </c>
      <c r="AJ2486">
        <v>40.076087000000001</v>
      </c>
      <c r="AK2486" t="s">
        <v>5082</v>
      </c>
      <c r="AL2486">
        <v>-75.449230999999997</v>
      </c>
      <c r="AM2486">
        <v>100</v>
      </c>
      <c r="AN2486">
        <v>4700</v>
      </c>
      <c r="AO2486" t="s">
        <v>115</v>
      </c>
      <c r="AP2486">
        <v>133</v>
      </c>
      <c r="AQ2486">
        <v>123</v>
      </c>
      <c r="AR2486">
        <v>64</v>
      </c>
      <c r="AZ2486">
        <v>3614</v>
      </c>
      <c r="BA2486">
        <v>1</v>
      </c>
      <c r="BB2486" t="str">
        <f t="shared" si="116"/>
        <v xml:space="preserve">N959MJ  </v>
      </c>
      <c r="BC2486">
        <v>1</v>
      </c>
      <c r="BE2486">
        <v>0</v>
      </c>
      <c r="BF2486">
        <v>0</v>
      </c>
      <c r="BG2486">
        <v>0</v>
      </c>
      <c r="BH2486">
        <v>4900</v>
      </c>
      <c r="BI2486">
        <v>200</v>
      </c>
      <c r="BJ2486">
        <v>1</v>
      </c>
      <c r="BK2486">
        <v>1</v>
      </c>
      <c r="BL2486">
        <v>1</v>
      </c>
      <c r="BM2486">
        <v>0</v>
      </c>
      <c r="BP2486">
        <v>0</v>
      </c>
      <c r="BQ2486">
        <v>0</v>
      </c>
      <c r="BX2486" t="str">
        <f>"14:31:47.430"</f>
        <v>14:31:47.430</v>
      </c>
      <c r="BY2486" t="str">
        <f>"430834638"</f>
        <v>430834638</v>
      </c>
      <c r="CL2486">
        <v>0</v>
      </c>
      <c r="CM2486">
        <v>2</v>
      </c>
      <c r="CN2486">
        <v>0</v>
      </c>
      <c r="CO2486">
        <v>2</v>
      </c>
      <c r="CP2486">
        <v>0</v>
      </c>
      <c r="CQ2486">
        <v>7</v>
      </c>
      <c r="CR2486" t="s">
        <v>116</v>
      </c>
      <c r="CS2486">
        <v>39</v>
      </c>
      <c r="CT2486">
        <v>0</v>
      </c>
      <c r="CU2486" t="s">
        <v>2259</v>
      </c>
      <c r="CV2486" t="s">
        <v>2260</v>
      </c>
      <c r="CY2486">
        <v>1938800</v>
      </c>
      <c r="CZ2486" t="s">
        <v>119</v>
      </c>
    </row>
    <row r="2487" spans="1:104" x14ac:dyDescent="0.25">
      <c r="A2487" t="str">
        <f>"14:31:48.586"</f>
        <v>14:31:48.586</v>
      </c>
      <c r="B2487" t="s">
        <v>108</v>
      </c>
      <c r="C2487" t="str">
        <f t="shared" si="115"/>
        <v>ffdfd3c0</v>
      </c>
      <c r="D2487" t="s">
        <v>109</v>
      </c>
      <c r="E2487">
        <v>4</v>
      </c>
      <c r="F2487">
        <v>1004</v>
      </c>
      <c r="G2487" t="s">
        <v>110</v>
      </c>
      <c r="J2487" t="s">
        <v>111</v>
      </c>
      <c r="K2487">
        <v>0</v>
      </c>
      <c r="L2487">
        <v>3</v>
      </c>
      <c r="M2487">
        <v>0</v>
      </c>
      <c r="N2487">
        <v>2</v>
      </c>
      <c r="O2487">
        <v>1</v>
      </c>
      <c r="P2487">
        <v>0</v>
      </c>
      <c r="Q2487">
        <v>0</v>
      </c>
      <c r="R2487" t="s">
        <v>112</v>
      </c>
      <c r="S2487" t="str">
        <f>"14:31:48.414"</f>
        <v>14:31:48.414</v>
      </c>
      <c r="T2487" t="str">
        <f>"14:31:48.016"</f>
        <v>14:31:48.016</v>
      </c>
      <c r="U2487" t="str">
        <f t="shared" si="114"/>
        <v>ad5732</v>
      </c>
      <c r="V2487">
        <v>0</v>
      </c>
      <c r="W2487">
        <v>0</v>
      </c>
      <c r="X2487">
        <v>1</v>
      </c>
      <c r="Z2487">
        <v>0</v>
      </c>
      <c r="AA2487">
        <v>9</v>
      </c>
      <c r="AB2487">
        <v>3</v>
      </c>
      <c r="AC2487">
        <v>0</v>
      </c>
      <c r="AD2487">
        <v>10</v>
      </c>
      <c r="AE2487">
        <v>0</v>
      </c>
      <c r="AF2487">
        <v>3</v>
      </c>
      <c r="AG2487">
        <v>2</v>
      </c>
      <c r="AH2487">
        <v>0</v>
      </c>
      <c r="AI2487" t="s">
        <v>5083</v>
      </c>
      <c r="AJ2487">
        <v>40.076687</v>
      </c>
      <c r="AK2487" t="s">
        <v>5084</v>
      </c>
      <c r="AL2487">
        <v>-75.448414999999997</v>
      </c>
      <c r="AM2487">
        <v>100</v>
      </c>
      <c r="AN2487">
        <v>4700</v>
      </c>
      <c r="AO2487" t="s">
        <v>115</v>
      </c>
      <c r="AP2487">
        <v>133</v>
      </c>
      <c r="AQ2487">
        <v>123</v>
      </c>
      <c r="AR2487">
        <v>64</v>
      </c>
      <c r="AZ2487">
        <v>3614</v>
      </c>
      <c r="BA2487">
        <v>1</v>
      </c>
      <c r="BB2487" t="str">
        <f t="shared" si="116"/>
        <v xml:space="preserve">N959MJ  </v>
      </c>
      <c r="BC2487">
        <v>1</v>
      </c>
      <c r="BE2487">
        <v>0</v>
      </c>
      <c r="BF2487">
        <v>0</v>
      </c>
      <c r="BG2487">
        <v>0</v>
      </c>
      <c r="BH2487">
        <v>4900</v>
      </c>
      <c r="BI2487">
        <v>200</v>
      </c>
      <c r="BJ2487">
        <v>1</v>
      </c>
      <c r="BK2487">
        <v>1</v>
      </c>
      <c r="BL2487">
        <v>1</v>
      </c>
      <c r="BM2487">
        <v>0</v>
      </c>
      <c r="BP2487">
        <v>0</v>
      </c>
      <c r="BQ2487">
        <v>0</v>
      </c>
      <c r="BX2487" t="str">
        <f>"14:31:48.414"</f>
        <v>14:31:48.414</v>
      </c>
      <c r="BY2487" t="str">
        <f>"415530356"</f>
        <v>415530356</v>
      </c>
      <c r="CL2487">
        <v>0</v>
      </c>
      <c r="CM2487">
        <v>2</v>
      </c>
      <c r="CN2487">
        <v>0</v>
      </c>
      <c r="CO2487">
        <v>2</v>
      </c>
      <c r="CP2487">
        <v>0</v>
      </c>
      <c r="CQ2487">
        <v>7</v>
      </c>
      <c r="CR2487" t="s">
        <v>116</v>
      </c>
      <c r="CS2487">
        <v>39</v>
      </c>
      <c r="CT2487">
        <v>0</v>
      </c>
      <c r="CU2487" t="s">
        <v>2259</v>
      </c>
      <c r="CV2487" t="s">
        <v>2260</v>
      </c>
      <c r="CY2487">
        <v>1940532</v>
      </c>
      <c r="CZ2487" t="s">
        <v>119</v>
      </c>
    </row>
    <row r="2488" spans="1:104" x14ac:dyDescent="0.25">
      <c r="A2488" t="str">
        <f>"14:31:49.492"</f>
        <v>14:31:49.492</v>
      </c>
      <c r="B2488" t="s">
        <v>108</v>
      </c>
      <c r="C2488" t="str">
        <f t="shared" si="115"/>
        <v>ffdfd3c0</v>
      </c>
      <c r="D2488" t="s">
        <v>109</v>
      </c>
      <c r="E2488">
        <v>4</v>
      </c>
      <c r="F2488">
        <v>1004</v>
      </c>
      <c r="G2488" t="s">
        <v>110</v>
      </c>
      <c r="J2488" t="s">
        <v>111</v>
      </c>
      <c r="K2488">
        <v>0</v>
      </c>
      <c r="L2488">
        <v>3</v>
      </c>
      <c r="M2488">
        <v>0</v>
      </c>
      <c r="N2488">
        <v>2</v>
      </c>
      <c r="O2488">
        <v>1</v>
      </c>
      <c r="P2488">
        <v>0</v>
      </c>
      <c r="Q2488">
        <v>0</v>
      </c>
      <c r="R2488" t="s">
        <v>112</v>
      </c>
      <c r="S2488" t="str">
        <f>"14:31:49.281"</f>
        <v>14:31:49.281</v>
      </c>
      <c r="T2488" t="str">
        <f>"14:31:48.883"</f>
        <v>14:31:48.883</v>
      </c>
      <c r="U2488" t="str">
        <f t="shared" si="114"/>
        <v>ad5732</v>
      </c>
      <c r="V2488">
        <v>0</v>
      </c>
      <c r="W2488">
        <v>0</v>
      </c>
      <c r="X2488">
        <v>1</v>
      </c>
      <c r="Z2488">
        <v>0</v>
      </c>
      <c r="AA2488">
        <v>9</v>
      </c>
      <c r="AB2488">
        <v>3</v>
      </c>
      <c r="AC2488">
        <v>0</v>
      </c>
      <c r="AD2488">
        <v>10</v>
      </c>
      <c r="AE2488">
        <v>0</v>
      </c>
      <c r="AF2488">
        <v>3</v>
      </c>
      <c r="AG2488">
        <v>2</v>
      </c>
      <c r="AH2488">
        <v>0</v>
      </c>
      <c r="AI2488" t="s">
        <v>5085</v>
      </c>
      <c r="AJ2488">
        <v>40.077095</v>
      </c>
      <c r="AK2488" t="s">
        <v>5086</v>
      </c>
      <c r="AL2488">
        <v>-75.447793000000004</v>
      </c>
      <c r="AM2488">
        <v>100</v>
      </c>
      <c r="AN2488">
        <v>4700</v>
      </c>
      <c r="AO2488" t="s">
        <v>115</v>
      </c>
      <c r="AP2488">
        <v>133</v>
      </c>
      <c r="AQ2488">
        <v>124</v>
      </c>
      <c r="AR2488">
        <v>128</v>
      </c>
      <c r="AZ2488">
        <v>3614</v>
      </c>
      <c r="BA2488">
        <v>1</v>
      </c>
      <c r="BB2488" t="str">
        <f t="shared" si="116"/>
        <v xml:space="preserve">N959MJ  </v>
      </c>
      <c r="BC2488">
        <v>1</v>
      </c>
      <c r="BE2488">
        <v>0</v>
      </c>
      <c r="BF2488">
        <v>0</v>
      </c>
      <c r="BG2488">
        <v>0</v>
      </c>
      <c r="BH2488">
        <v>4900</v>
      </c>
      <c r="BI2488">
        <v>200</v>
      </c>
      <c r="BJ2488">
        <v>1</v>
      </c>
      <c r="BK2488">
        <v>1</v>
      </c>
      <c r="BL2488">
        <v>1</v>
      </c>
      <c r="BM2488">
        <v>0</v>
      </c>
      <c r="BP2488">
        <v>0</v>
      </c>
      <c r="BQ2488">
        <v>0</v>
      </c>
      <c r="BX2488" t="str">
        <f>"14:31:49.289"</f>
        <v>14:31:49.289</v>
      </c>
      <c r="BY2488" t="str">
        <f>"289031311"</f>
        <v>289031311</v>
      </c>
      <c r="CL2488">
        <v>0</v>
      </c>
      <c r="CM2488">
        <v>2</v>
      </c>
      <c r="CN2488">
        <v>0</v>
      </c>
      <c r="CO2488">
        <v>2</v>
      </c>
      <c r="CP2488">
        <v>0</v>
      </c>
      <c r="CQ2488">
        <v>5</v>
      </c>
      <c r="CR2488" t="s">
        <v>116</v>
      </c>
      <c r="CS2488">
        <v>409</v>
      </c>
      <c r="CT2488">
        <v>2</v>
      </c>
      <c r="CU2488" t="s">
        <v>5087</v>
      </c>
      <c r="CV2488" t="s">
        <v>5088</v>
      </c>
      <c r="CY2488">
        <v>16205859</v>
      </c>
      <c r="CZ2488" t="s">
        <v>119</v>
      </c>
    </row>
    <row r="2489" spans="1:104" x14ac:dyDescent="0.25">
      <c r="A2489" t="str">
        <f>"14:31:50.508"</f>
        <v>14:31:50.508</v>
      </c>
      <c r="B2489" t="s">
        <v>108</v>
      </c>
      <c r="C2489" t="str">
        <f t="shared" si="115"/>
        <v>ffdfd3c0</v>
      </c>
      <c r="D2489" t="s">
        <v>109</v>
      </c>
      <c r="E2489">
        <v>4</v>
      </c>
      <c r="F2489">
        <v>1004</v>
      </c>
      <c r="G2489" t="s">
        <v>110</v>
      </c>
      <c r="J2489" t="s">
        <v>111</v>
      </c>
      <c r="K2489">
        <v>0</v>
      </c>
      <c r="L2489">
        <v>3</v>
      </c>
      <c r="M2489">
        <v>0</v>
      </c>
      <c r="N2489">
        <v>2</v>
      </c>
      <c r="O2489">
        <v>1</v>
      </c>
      <c r="P2489">
        <v>0</v>
      </c>
      <c r="Q2489">
        <v>0</v>
      </c>
      <c r="R2489" t="s">
        <v>112</v>
      </c>
      <c r="S2489" t="str">
        <f>"14:31:50.352"</f>
        <v>14:31:50.352</v>
      </c>
      <c r="T2489" t="str">
        <f>"14:31:49.852"</f>
        <v>14:31:49.852</v>
      </c>
      <c r="U2489" t="str">
        <f t="shared" si="114"/>
        <v>ad5732</v>
      </c>
      <c r="V2489">
        <v>0</v>
      </c>
      <c r="W2489">
        <v>0</v>
      </c>
      <c r="X2489">
        <v>1</v>
      </c>
      <c r="Z2489">
        <v>0</v>
      </c>
      <c r="AA2489">
        <v>9</v>
      </c>
      <c r="AB2489">
        <v>3</v>
      </c>
      <c r="AC2489">
        <v>0</v>
      </c>
      <c r="AD2489">
        <v>10</v>
      </c>
      <c r="AE2489">
        <v>0</v>
      </c>
      <c r="AF2489">
        <v>3</v>
      </c>
      <c r="AG2489">
        <v>2</v>
      </c>
      <c r="AH2489">
        <v>0</v>
      </c>
      <c r="AI2489" t="s">
        <v>5089</v>
      </c>
      <c r="AJ2489">
        <v>40.077759999999998</v>
      </c>
      <c r="AK2489" t="s">
        <v>5090</v>
      </c>
      <c r="AL2489">
        <v>-75.446892000000005</v>
      </c>
      <c r="AM2489">
        <v>100</v>
      </c>
      <c r="AN2489">
        <v>4700</v>
      </c>
      <c r="AO2489" t="s">
        <v>115</v>
      </c>
      <c r="AP2489">
        <v>133</v>
      </c>
      <c r="AQ2489">
        <v>123</v>
      </c>
      <c r="AR2489">
        <v>64</v>
      </c>
      <c r="AZ2489">
        <v>3614</v>
      </c>
      <c r="BA2489">
        <v>1</v>
      </c>
      <c r="BB2489" t="str">
        <f t="shared" si="116"/>
        <v xml:space="preserve">N959MJ  </v>
      </c>
      <c r="BC2489">
        <v>1</v>
      </c>
      <c r="BE2489">
        <v>0</v>
      </c>
      <c r="BF2489">
        <v>0</v>
      </c>
      <c r="BG2489">
        <v>0</v>
      </c>
      <c r="BH2489">
        <v>4900</v>
      </c>
      <c r="BI2489">
        <v>200</v>
      </c>
      <c r="BJ2489">
        <v>1</v>
      </c>
      <c r="BK2489">
        <v>1</v>
      </c>
      <c r="BL2489">
        <v>1</v>
      </c>
      <c r="BM2489">
        <v>0</v>
      </c>
      <c r="BP2489">
        <v>0</v>
      </c>
      <c r="BQ2489">
        <v>0</v>
      </c>
      <c r="BX2489" t="str">
        <f>"14:31:50.352"</f>
        <v>14:31:50.352</v>
      </c>
      <c r="BY2489" t="str">
        <f>"355430080"</f>
        <v>355430080</v>
      </c>
      <c r="CL2489">
        <v>0</v>
      </c>
      <c r="CM2489">
        <v>2</v>
      </c>
      <c r="CN2489">
        <v>0</v>
      </c>
      <c r="CO2489">
        <v>2</v>
      </c>
      <c r="CP2489">
        <v>0</v>
      </c>
      <c r="CQ2489">
        <v>7</v>
      </c>
      <c r="CR2489" t="s">
        <v>116</v>
      </c>
      <c r="CS2489">
        <v>39</v>
      </c>
      <c r="CT2489">
        <v>0</v>
      </c>
      <c r="CU2489" t="s">
        <v>2259</v>
      </c>
      <c r="CV2489" t="s">
        <v>2260</v>
      </c>
      <c r="CY2489">
        <v>1943981</v>
      </c>
      <c r="CZ2489" t="s">
        <v>119</v>
      </c>
    </row>
    <row r="2490" spans="1:104" x14ac:dyDescent="0.25">
      <c r="A2490" t="str">
        <f>"14:31:51.516"</f>
        <v>14:31:51.516</v>
      </c>
      <c r="B2490" t="s">
        <v>108</v>
      </c>
      <c r="C2490" t="str">
        <f t="shared" si="115"/>
        <v>ffdfd3c0</v>
      </c>
      <c r="D2490" t="s">
        <v>109</v>
      </c>
      <c r="E2490">
        <v>4</v>
      </c>
      <c r="F2490">
        <v>1004</v>
      </c>
      <c r="G2490" t="s">
        <v>110</v>
      </c>
      <c r="J2490" t="s">
        <v>111</v>
      </c>
      <c r="K2490">
        <v>0</v>
      </c>
      <c r="L2490">
        <v>3</v>
      </c>
      <c r="M2490">
        <v>0</v>
      </c>
      <c r="N2490">
        <v>2</v>
      </c>
      <c r="O2490">
        <v>1</v>
      </c>
      <c r="P2490">
        <v>0</v>
      </c>
      <c r="Q2490">
        <v>0</v>
      </c>
      <c r="R2490" t="s">
        <v>112</v>
      </c>
      <c r="S2490" t="str">
        <f>"14:31:51.328"</f>
        <v>14:31:51.328</v>
      </c>
      <c r="T2490" t="str">
        <f>"14:31:50.930"</f>
        <v>14:31:50.930</v>
      </c>
      <c r="U2490" t="str">
        <f t="shared" si="114"/>
        <v>ad5732</v>
      </c>
      <c r="V2490">
        <v>0</v>
      </c>
      <c r="W2490">
        <v>0</v>
      </c>
      <c r="X2490">
        <v>1</v>
      </c>
      <c r="Z2490">
        <v>0</v>
      </c>
      <c r="AA2490">
        <v>9</v>
      </c>
      <c r="AB2490">
        <v>3</v>
      </c>
      <c r="AC2490">
        <v>0</v>
      </c>
      <c r="AD2490">
        <v>10</v>
      </c>
      <c r="AE2490">
        <v>0</v>
      </c>
      <c r="AF2490">
        <v>3</v>
      </c>
      <c r="AG2490">
        <v>2</v>
      </c>
      <c r="AH2490">
        <v>0</v>
      </c>
      <c r="AI2490" t="s">
        <v>5091</v>
      </c>
      <c r="AJ2490">
        <v>40.078318000000003</v>
      </c>
      <c r="AK2490" t="s">
        <v>5092</v>
      </c>
      <c r="AL2490">
        <v>-75.446098000000006</v>
      </c>
      <c r="AM2490">
        <v>100</v>
      </c>
      <c r="AN2490">
        <v>4700</v>
      </c>
      <c r="AO2490" t="s">
        <v>115</v>
      </c>
      <c r="AP2490">
        <v>133</v>
      </c>
      <c r="AQ2490">
        <v>124</v>
      </c>
      <c r="AR2490">
        <v>64</v>
      </c>
      <c r="AZ2490">
        <v>3614</v>
      </c>
      <c r="BA2490">
        <v>1</v>
      </c>
      <c r="BB2490" t="str">
        <f t="shared" si="116"/>
        <v xml:space="preserve">N959MJ  </v>
      </c>
      <c r="BC2490">
        <v>1</v>
      </c>
      <c r="BE2490">
        <v>0</v>
      </c>
      <c r="BF2490">
        <v>0</v>
      </c>
      <c r="BG2490">
        <v>0</v>
      </c>
      <c r="BH2490">
        <v>4900</v>
      </c>
      <c r="BI2490">
        <v>200</v>
      </c>
      <c r="BJ2490">
        <v>1</v>
      </c>
      <c r="BK2490">
        <v>1</v>
      </c>
      <c r="BL2490">
        <v>1</v>
      </c>
      <c r="BM2490">
        <v>0</v>
      </c>
      <c r="BP2490">
        <v>0</v>
      </c>
      <c r="BQ2490">
        <v>0</v>
      </c>
      <c r="BX2490" t="str">
        <f>"14:31:51.336"</f>
        <v>14:31:51.336</v>
      </c>
      <c r="BY2490" t="str">
        <f>"335210563"</f>
        <v>335210563</v>
      </c>
      <c r="CL2490">
        <v>0</v>
      </c>
      <c r="CM2490">
        <v>2</v>
      </c>
      <c r="CN2490">
        <v>0</v>
      </c>
      <c r="CO2490">
        <v>2</v>
      </c>
      <c r="CP2490">
        <v>0</v>
      </c>
      <c r="CQ2490">
        <v>7</v>
      </c>
      <c r="CR2490" t="s">
        <v>116</v>
      </c>
      <c r="CS2490">
        <v>39</v>
      </c>
      <c r="CT2490">
        <v>0</v>
      </c>
      <c r="CU2490" t="s">
        <v>2259</v>
      </c>
      <c r="CV2490" t="s">
        <v>2260</v>
      </c>
      <c r="CY2490">
        <v>1945545</v>
      </c>
      <c r="CZ2490" t="s">
        <v>119</v>
      </c>
    </row>
    <row r="2491" spans="1:104" x14ac:dyDescent="0.25">
      <c r="A2491" t="str">
        <f>"14:31:52.422"</f>
        <v>14:31:52.422</v>
      </c>
      <c r="B2491" t="s">
        <v>108</v>
      </c>
      <c r="C2491" t="str">
        <f t="shared" si="115"/>
        <v>ffdfd3c0</v>
      </c>
      <c r="D2491" t="s">
        <v>109</v>
      </c>
      <c r="E2491">
        <v>4</v>
      </c>
      <c r="F2491">
        <v>1004</v>
      </c>
      <c r="G2491" t="s">
        <v>110</v>
      </c>
      <c r="J2491" t="s">
        <v>111</v>
      </c>
      <c r="K2491">
        <v>0</v>
      </c>
      <c r="L2491">
        <v>3</v>
      </c>
      <c r="M2491">
        <v>0</v>
      </c>
      <c r="N2491">
        <v>2</v>
      </c>
      <c r="O2491">
        <v>1</v>
      </c>
      <c r="P2491">
        <v>0</v>
      </c>
      <c r="Q2491">
        <v>0</v>
      </c>
      <c r="R2491" t="s">
        <v>112</v>
      </c>
      <c r="S2491" t="str">
        <f>"14:31:52.242"</f>
        <v>14:31:52.242</v>
      </c>
      <c r="T2491" t="str">
        <f>"14:31:51.844"</f>
        <v>14:31:51.844</v>
      </c>
      <c r="U2491" t="str">
        <f t="shared" si="114"/>
        <v>ad5732</v>
      </c>
      <c r="V2491">
        <v>0</v>
      </c>
      <c r="W2491">
        <v>0</v>
      </c>
      <c r="X2491">
        <v>1</v>
      </c>
      <c r="Z2491">
        <v>0</v>
      </c>
      <c r="AA2491">
        <v>9</v>
      </c>
      <c r="AB2491">
        <v>3</v>
      </c>
      <c r="AC2491">
        <v>0</v>
      </c>
      <c r="AD2491">
        <v>10</v>
      </c>
      <c r="AE2491">
        <v>0</v>
      </c>
      <c r="AF2491">
        <v>3</v>
      </c>
      <c r="AG2491">
        <v>2</v>
      </c>
      <c r="AH2491">
        <v>0</v>
      </c>
      <c r="AI2491" t="s">
        <v>5093</v>
      </c>
      <c r="AJ2491">
        <v>40.078833000000003</v>
      </c>
      <c r="AK2491" t="s">
        <v>5094</v>
      </c>
      <c r="AL2491">
        <v>-75.445368000000002</v>
      </c>
      <c r="AM2491">
        <v>100</v>
      </c>
      <c r="AN2491">
        <v>4700</v>
      </c>
      <c r="AO2491" t="s">
        <v>115</v>
      </c>
      <c r="AP2491">
        <v>133</v>
      </c>
      <c r="AQ2491">
        <v>124</v>
      </c>
      <c r="AR2491">
        <v>64</v>
      </c>
      <c r="AZ2491">
        <v>3614</v>
      </c>
      <c r="BA2491">
        <v>1</v>
      </c>
      <c r="BB2491" t="str">
        <f t="shared" si="116"/>
        <v xml:space="preserve">N959MJ  </v>
      </c>
      <c r="BC2491">
        <v>1</v>
      </c>
      <c r="BE2491">
        <v>0</v>
      </c>
      <c r="BF2491">
        <v>0</v>
      </c>
      <c r="BG2491">
        <v>0</v>
      </c>
      <c r="BH2491">
        <v>4900</v>
      </c>
      <c r="BI2491">
        <v>200</v>
      </c>
      <c r="BJ2491">
        <v>1</v>
      </c>
      <c r="BK2491">
        <v>1</v>
      </c>
      <c r="BL2491">
        <v>1</v>
      </c>
      <c r="BM2491">
        <v>0</v>
      </c>
      <c r="BP2491">
        <v>0</v>
      </c>
      <c r="BQ2491">
        <v>0</v>
      </c>
      <c r="BX2491" t="str">
        <f>"14:31:52.250"</f>
        <v>14:31:52.250</v>
      </c>
      <c r="BY2491" t="str">
        <f>"247815365"</f>
        <v>247815365</v>
      </c>
      <c r="CL2491">
        <v>0</v>
      </c>
      <c r="CM2491">
        <v>2</v>
      </c>
      <c r="CN2491">
        <v>0</v>
      </c>
      <c r="CO2491">
        <v>2</v>
      </c>
      <c r="CP2491">
        <v>0</v>
      </c>
      <c r="CQ2491">
        <v>7</v>
      </c>
      <c r="CR2491" t="s">
        <v>116</v>
      </c>
      <c r="CS2491">
        <v>39</v>
      </c>
      <c r="CT2491">
        <v>0</v>
      </c>
      <c r="CU2491" t="s">
        <v>2259</v>
      </c>
      <c r="CV2491" t="s">
        <v>2260</v>
      </c>
      <c r="CY2491">
        <v>1947015</v>
      </c>
      <c r="CZ2491" t="s">
        <v>119</v>
      </c>
    </row>
    <row r="2492" spans="1:104" x14ac:dyDescent="0.25">
      <c r="A2492" t="str">
        <f>"14:31:53.328"</f>
        <v>14:31:53.328</v>
      </c>
      <c r="B2492" t="s">
        <v>108</v>
      </c>
      <c r="C2492" t="str">
        <f t="shared" si="115"/>
        <v>ffdfd3c0</v>
      </c>
      <c r="D2492" t="s">
        <v>109</v>
      </c>
      <c r="E2492">
        <v>4</v>
      </c>
      <c r="F2492">
        <v>1004</v>
      </c>
      <c r="G2492" t="s">
        <v>110</v>
      </c>
      <c r="J2492" t="s">
        <v>111</v>
      </c>
      <c r="K2492">
        <v>0</v>
      </c>
      <c r="L2492">
        <v>3</v>
      </c>
      <c r="M2492">
        <v>0</v>
      </c>
      <c r="N2492">
        <v>2</v>
      </c>
      <c r="O2492">
        <v>1</v>
      </c>
      <c r="P2492">
        <v>0</v>
      </c>
      <c r="Q2492">
        <v>0</v>
      </c>
      <c r="R2492" t="s">
        <v>112</v>
      </c>
      <c r="S2492" t="str">
        <f>"14:31:53.141"</f>
        <v>14:31:53.141</v>
      </c>
      <c r="T2492" t="str">
        <f>"14:31:52.742"</f>
        <v>14:31:52.742</v>
      </c>
      <c r="U2492" t="str">
        <f t="shared" si="114"/>
        <v>ad5732</v>
      </c>
      <c r="V2492">
        <v>0</v>
      </c>
      <c r="W2492">
        <v>0</v>
      </c>
      <c r="X2492">
        <v>1</v>
      </c>
      <c r="Z2492">
        <v>0</v>
      </c>
      <c r="AA2492">
        <v>9</v>
      </c>
      <c r="AB2492">
        <v>3</v>
      </c>
      <c r="AC2492">
        <v>0</v>
      </c>
      <c r="AD2492">
        <v>10</v>
      </c>
      <c r="AE2492">
        <v>0</v>
      </c>
      <c r="AF2492">
        <v>3</v>
      </c>
      <c r="AG2492">
        <v>2</v>
      </c>
      <c r="AH2492">
        <v>0</v>
      </c>
      <c r="AI2492" t="s">
        <v>5095</v>
      </c>
      <c r="AJ2492">
        <v>40.079369999999997</v>
      </c>
      <c r="AK2492" t="s">
        <v>5096</v>
      </c>
      <c r="AL2492">
        <v>-75.444638999999995</v>
      </c>
      <c r="AM2492">
        <v>100</v>
      </c>
      <c r="AN2492">
        <v>4700</v>
      </c>
      <c r="AO2492" t="s">
        <v>115</v>
      </c>
      <c r="AP2492">
        <v>133</v>
      </c>
      <c r="AQ2492">
        <v>124</v>
      </c>
      <c r="AR2492">
        <v>64</v>
      </c>
      <c r="AZ2492">
        <v>3614</v>
      </c>
      <c r="BA2492">
        <v>1</v>
      </c>
      <c r="BB2492" t="str">
        <f t="shared" si="116"/>
        <v xml:space="preserve">N959MJ  </v>
      </c>
      <c r="BC2492">
        <v>1</v>
      </c>
      <c r="BE2492">
        <v>0</v>
      </c>
      <c r="BF2492">
        <v>0</v>
      </c>
      <c r="BG2492">
        <v>0</v>
      </c>
      <c r="BH2492">
        <v>4900</v>
      </c>
      <c r="BI2492">
        <v>200</v>
      </c>
      <c r="BJ2492">
        <v>1</v>
      </c>
      <c r="BK2492">
        <v>1</v>
      </c>
      <c r="BL2492">
        <v>1</v>
      </c>
      <c r="BM2492">
        <v>0</v>
      </c>
      <c r="BP2492">
        <v>0</v>
      </c>
      <c r="BQ2492">
        <v>0</v>
      </c>
      <c r="BX2492" t="str">
        <f>"14:31:53.148"</f>
        <v>14:31:53.148</v>
      </c>
      <c r="BY2492" t="str">
        <f>"145674366"</f>
        <v>145674366</v>
      </c>
      <c r="CL2492">
        <v>0</v>
      </c>
      <c r="CM2492">
        <v>2</v>
      </c>
      <c r="CN2492">
        <v>0</v>
      </c>
      <c r="CO2492">
        <v>2</v>
      </c>
      <c r="CP2492">
        <v>0</v>
      </c>
      <c r="CQ2492">
        <v>7</v>
      </c>
      <c r="CR2492" t="s">
        <v>116</v>
      </c>
      <c r="CS2492">
        <v>39</v>
      </c>
      <c r="CT2492">
        <v>0</v>
      </c>
      <c r="CU2492" t="s">
        <v>2259</v>
      </c>
      <c r="CV2492" t="s">
        <v>2260</v>
      </c>
      <c r="CY2492">
        <v>1948695</v>
      </c>
      <c r="CZ2492" t="s">
        <v>119</v>
      </c>
    </row>
    <row r="2493" spans="1:104" x14ac:dyDescent="0.25">
      <c r="A2493" t="str">
        <f>"14:31:54.242"</f>
        <v>14:31:54.242</v>
      </c>
      <c r="B2493" t="s">
        <v>108</v>
      </c>
      <c r="C2493" t="str">
        <f t="shared" si="115"/>
        <v>ffdfd3c0</v>
      </c>
      <c r="D2493" t="s">
        <v>109</v>
      </c>
      <c r="E2493">
        <v>4</v>
      </c>
      <c r="F2493">
        <v>1004</v>
      </c>
      <c r="G2493" t="s">
        <v>110</v>
      </c>
      <c r="J2493" t="s">
        <v>111</v>
      </c>
      <c r="K2493">
        <v>0</v>
      </c>
      <c r="L2493">
        <v>3</v>
      </c>
      <c r="M2493">
        <v>0</v>
      </c>
      <c r="N2493">
        <v>2</v>
      </c>
      <c r="O2493">
        <v>1</v>
      </c>
      <c r="P2493">
        <v>0</v>
      </c>
      <c r="Q2493">
        <v>0</v>
      </c>
      <c r="R2493" t="s">
        <v>112</v>
      </c>
      <c r="S2493" t="str">
        <f>"14:31:54.078"</f>
        <v>14:31:54.078</v>
      </c>
      <c r="T2493" t="str">
        <f>"14:31:53.680"</f>
        <v>14:31:53.680</v>
      </c>
      <c r="U2493" t="str">
        <f t="shared" si="114"/>
        <v>ad5732</v>
      </c>
      <c r="V2493">
        <v>0</v>
      </c>
      <c r="W2493">
        <v>0</v>
      </c>
      <c r="X2493">
        <v>1</v>
      </c>
      <c r="Z2493">
        <v>0</v>
      </c>
      <c r="AA2493">
        <v>9</v>
      </c>
      <c r="AB2493">
        <v>3</v>
      </c>
      <c r="AC2493">
        <v>0</v>
      </c>
      <c r="AD2493">
        <v>10</v>
      </c>
      <c r="AE2493">
        <v>0</v>
      </c>
      <c r="AF2493">
        <v>3</v>
      </c>
      <c r="AG2493">
        <v>2</v>
      </c>
      <c r="AH2493">
        <v>0</v>
      </c>
      <c r="AI2493" t="s">
        <v>5097</v>
      </c>
      <c r="AJ2493">
        <v>40.079841999999999</v>
      </c>
      <c r="AK2493" t="s">
        <v>5098</v>
      </c>
      <c r="AL2493">
        <v>-75.443931000000006</v>
      </c>
      <c r="AM2493">
        <v>100</v>
      </c>
      <c r="AN2493">
        <v>4700</v>
      </c>
      <c r="AO2493" t="s">
        <v>115</v>
      </c>
      <c r="AP2493">
        <v>133</v>
      </c>
      <c r="AQ2493">
        <v>124</v>
      </c>
      <c r="AR2493">
        <v>0</v>
      </c>
      <c r="AZ2493">
        <v>3614</v>
      </c>
      <c r="BA2493">
        <v>1</v>
      </c>
      <c r="BB2493" t="str">
        <f t="shared" si="116"/>
        <v xml:space="preserve">N959MJ  </v>
      </c>
      <c r="BC2493">
        <v>1</v>
      </c>
      <c r="BE2493">
        <v>0</v>
      </c>
      <c r="BF2493">
        <v>0</v>
      </c>
      <c r="BG2493">
        <v>0</v>
      </c>
      <c r="BH2493">
        <v>4900</v>
      </c>
      <c r="BI2493">
        <v>200</v>
      </c>
      <c r="BJ2493">
        <v>1</v>
      </c>
      <c r="BK2493">
        <v>1</v>
      </c>
      <c r="BL2493">
        <v>1</v>
      </c>
      <c r="BM2493">
        <v>0</v>
      </c>
      <c r="BP2493">
        <v>0</v>
      </c>
      <c r="BQ2493">
        <v>0</v>
      </c>
      <c r="BX2493" t="str">
        <f>"14:31:54.078"</f>
        <v>14:31:54.078</v>
      </c>
      <c r="BY2493" t="str">
        <f>"079578790"</f>
        <v>079578790</v>
      </c>
      <c r="CL2493">
        <v>0</v>
      </c>
      <c r="CM2493">
        <v>2</v>
      </c>
      <c r="CN2493">
        <v>0</v>
      </c>
      <c r="CO2493">
        <v>2</v>
      </c>
      <c r="CP2493">
        <v>0</v>
      </c>
      <c r="CQ2493">
        <v>7</v>
      </c>
      <c r="CR2493" t="s">
        <v>116</v>
      </c>
      <c r="CS2493">
        <v>39</v>
      </c>
      <c r="CT2493">
        <v>0</v>
      </c>
      <c r="CU2493" t="s">
        <v>2259</v>
      </c>
      <c r="CV2493" t="s">
        <v>2260</v>
      </c>
      <c r="CY2493">
        <v>1950329</v>
      </c>
      <c r="CZ2493" t="s">
        <v>119</v>
      </c>
    </row>
    <row r="2494" spans="1:104" x14ac:dyDescent="0.25">
      <c r="A2494" t="str">
        <f>"14:31:55.352"</f>
        <v>14:31:55.352</v>
      </c>
      <c r="B2494" t="s">
        <v>108</v>
      </c>
      <c r="C2494" t="str">
        <f t="shared" si="115"/>
        <v>ffdfd3c0</v>
      </c>
      <c r="D2494" t="s">
        <v>109</v>
      </c>
      <c r="E2494">
        <v>4</v>
      </c>
      <c r="F2494">
        <v>1004</v>
      </c>
      <c r="G2494" t="s">
        <v>110</v>
      </c>
      <c r="J2494" t="s">
        <v>111</v>
      </c>
      <c r="K2494">
        <v>0</v>
      </c>
      <c r="L2494">
        <v>3</v>
      </c>
      <c r="M2494">
        <v>0</v>
      </c>
      <c r="N2494">
        <v>2</v>
      </c>
      <c r="O2494">
        <v>1</v>
      </c>
      <c r="P2494">
        <v>0</v>
      </c>
      <c r="Q2494">
        <v>0</v>
      </c>
      <c r="R2494" t="s">
        <v>112</v>
      </c>
      <c r="S2494" t="str">
        <f>"14:31:55.156"</f>
        <v>14:31:55.156</v>
      </c>
      <c r="T2494" t="str">
        <f>"14:31:54.758"</f>
        <v>14:31:54.758</v>
      </c>
      <c r="U2494" t="str">
        <f t="shared" si="114"/>
        <v>ad5732</v>
      </c>
      <c r="V2494">
        <v>0</v>
      </c>
      <c r="W2494">
        <v>0</v>
      </c>
      <c r="X2494">
        <v>1</v>
      </c>
      <c r="Z2494">
        <v>0</v>
      </c>
      <c r="AA2494">
        <v>9</v>
      </c>
      <c r="AB2494">
        <v>3</v>
      </c>
      <c r="AC2494">
        <v>0</v>
      </c>
      <c r="AD2494">
        <v>10</v>
      </c>
      <c r="AE2494">
        <v>0</v>
      </c>
      <c r="AF2494">
        <v>3</v>
      </c>
      <c r="AG2494">
        <v>2</v>
      </c>
      <c r="AH2494">
        <v>0</v>
      </c>
      <c r="AI2494" t="s">
        <v>5099</v>
      </c>
      <c r="AJ2494">
        <v>40.080506999999997</v>
      </c>
      <c r="AK2494" t="s">
        <v>5100</v>
      </c>
      <c r="AL2494">
        <v>-75.443050999999997</v>
      </c>
      <c r="AM2494">
        <v>100</v>
      </c>
      <c r="AN2494">
        <v>4700</v>
      </c>
      <c r="AO2494" t="s">
        <v>115</v>
      </c>
      <c r="AP2494">
        <v>133</v>
      </c>
      <c r="AQ2494">
        <v>124</v>
      </c>
      <c r="AR2494">
        <v>0</v>
      </c>
      <c r="AZ2494">
        <v>3614</v>
      </c>
      <c r="BA2494">
        <v>1</v>
      </c>
      <c r="BB2494" t="str">
        <f t="shared" si="116"/>
        <v xml:space="preserve">N959MJ  </v>
      </c>
      <c r="BC2494">
        <v>1</v>
      </c>
      <c r="BE2494">
        <v>0</v>
      </c>
      <c r="BF2494">
        <v>0</v>
      </c>
      <c r="BG2494">
        <v>0</v>
      </c>
      <c r="BH2494">
        <v>4900</v>
      </c>
      <c r="BI2494">
        <v>200</v>
      </c>
      <c r="BJ2494">
        <v>1</v>
      </c>
      <c r="BK2494">
        <v>1</v>
      </c>
      <c r="BL2494">
        <v>1</v>
      </c>
      <c r="BM2494">
        <v>0</v>
      </c>
      <c r="BP2494">
        <v>0</v>
      </c>
      <c r="BQ2494">
        <v>0</v>
      </c>
      <c r="BX2494" t="str">
        <f>"14:31:55.156"</f>
        <v>14:31:55.156</v>
      </c>
      <c r="BY2494" t="str">
        <f>"159303381"</f>
        <v>159303381</v>
      </c>
      <c r="CL2494">
        <v>0</v>
      </c>
      <c r="CM2494">
        <v>2</v>
      </c>
      <c r="CN2494">
        <v>0</v>
      </c>
      <c r="CO2494">
        <v>2</v>
      </c>
      <c r="CP2494">
        <v>0</v>
      </c>
      <c r="CQ2494">
        <v>7</v>
      </c>
      <c r="CR2494" t="s">
        <v>116</v>
      </c>
      <c r="CS2494">
        <v>39</v>
      </c>
      <c r="CT2494">
        <v>0</v>
      </c>
      <c r="CU2494" t="s">
        <v>2259</v>
      </c>
      <c r="CV2494" t="s">
        <v>2260</v>
      </c>
      <c r="CY2494">
        <v>1952167</v>
      </c>
      <c r="CZ2494" t="s">
        <v>119</v>
      </c>
    </row>
    <row r="2495" spans="1:104" x14ac:dyDescent="0.25">
      <c r="A2495" t="str">
        <f>"14:31:56.461"</f>
        <v>14:31:56.461</v>
      </c>
      <c r="B2495" t="s">
        <v>108</v>
      </c>
      <c r="C2495" t="str">
        <f t="shared" si="115"/>
        <v>ffdfd3c0</v>
      </c>
      <c r="D2495" t="s">
        <v>109</v>
      </c>
      <c r="E2495">
        <v>4</v>
      </c>
      <c r="F2495">
        <v>1004</v>
      </c>
      <c r="G2495" t="s">
        <v>110</v>
      </c>
      <c r="J2495" t="s">
        <v>111</v>
      </c>
      <c r="K2495">
        <v>0</v>
      </c>
      <c r="L2495">
        <v>3</v>
      </c>
      <c r="M2495">
        <v>0</v>
      </c>
      <c r="N2495">
        <v>2</v>
      </c>
      <c r="O2495">
        <v>1</v>
      </c>
      <c r="P2495">
        <v>0</v>
      </c>
      <c r="Q2495">
        <v>0</v>
      </c>
      <c r="R2495" t="s">
        <v>112</v>
      </c>
      <c r="S2495" t="str">
        <f>"14:31:56.273"</f>
        <v>14:31:56.273</v>
      </c>
      <c r="T2495" t="str">
        <f>"14:31:55.773"</f>
        <v>14:31:55.773</v>
      </c>
      <c r="U2495" t="str">
        <f t="shared" si="114"/>
        <v>ad5732</v>
      </c>
      <c r="V2495">
        <v>0</v>
      </c>
      <c r="W2495">
        <v>0</v>
      </c>
      <c r="X2495">
        <v>1</v>
      </c>
      <c r="Z2495">
        <v>0</v>
      </c>
      <c r="AA2495">
        <v>9</v>
      </c>
      <c r="AB2495">
        <v>3</v>
      </c>
      <c r="AC2495">
        <v>0</v>
      </c>
      <c r="AD2495">
        <v>10</v>
      </c>
      <c r="AE2495">
        <v>0</v>
      </c>
      <c r="AF2495">
        <v>3</v>
      </c>
      <c r="AG2495">
        <v>2</v>
      </c>
      <c r="AH2495">
        <v>0</v>
      </c>
      <c r="AI2495" t="s">
        <v>5101</v>
      </c>
      <c r="AJ2495">
        <v>40.081150999999998</v>
      </c>
      <c r="AK2495" t="s">
        <v>5102</v>
      </c>
      <c r="AL2495">
        <v>-75.442171000000002</v>
      </c>
      <c r="AM2495">
        <v>100</v>
      </c>
      <c r="AN2495">
        <v>4700</v>
      </c>
      <c r="AO2495" t="s">
        <v>115</v>
      </c>
      <c r="AP2495">
        <v>133</v>
      </c>
      <c r="AQ2495">
        <v>124</v>
      </c>
      <c r="AR2495">
        <v>0</v>
      </c>
      <c r="AZ2495">
        <v>3614</v>
      </c>
      <c r="BA2495">
        <v>1</v>
      </c>
      <c r="BB2495" t="str">
        <f t="shared" si="116"/>
        <v xml:space="preserve">N959MJ  </v>
      </c>
      <c r="BC2495">
        <v>1</v>
      </c>
      <c r="BE2495">
        <v>0</v>
      </c>
      <c r="BF2495">
        <v>0</v>
      </c>
      <c r="BG2495">
        <v>0</v>
      </c>
      <c r="BH2495">
        <v>4900</v>
      </c>
      <c r="BI2495">
        <v>200</v>
      </c>
      <c r="BJ2495">
        <v>1</v>
      </c>
      <c r="BK2495">
        <v>1</v>
      </c>
      <c r="BL2495">
        <v>1</v>
      </c>
      <c r="BM2495">
        <v>0</v>
      </c>
      <c r="BP2495">
        <v>0</v>
      </c>
      <c r="BQ2495">
        <v>0</v>
      </c>
      <c r="BX2495" t="str">
        <f>"14:31:56.281"</f>
        <v>14:31:56.281</v>
      </c>
      <c r="BY2495" t="str">
        <f>"278350330"</f>
        <v>278350330</v>
      </c>
      <c r="CL2495">
        <v>0</v>
      </c>
      <c r="CM2495">
        <v>2</v>
      </c>
      <c r="CN2495">
        <v>0</v>
      </c>
      <c r="CO2495">
        <v>2</v>
      </c>
      <c r="CP2495">
        <v>0</v>
      </c>
      <c r="CQ2495">
        <v>6</v>
      </c>
      <c r="CR2495" t="s">
        <v>116</v>
      </c>
      <c r="CS2495">
        <v>39</v>
      </c>
      <c r="CT2495">
        <v>3</v>
      </c>
      <c r="CU2495" t="s">
        <v>2259</v>
      </c>
      <c r="CV2495" t="s">
        <v>2260</v>
      </c>
      <c r="CY2495">
        <v>11313594</v>
      </c>
      <c r="CZ2495" t="s">
        <v>119</v>
      </c>
    </row>
    <row r="2496" spans="1:104" x14ac:dyDescent="0.25">
      <c r="A2496" t="str">
        <f>"14:31:57.469"</f>
        <v>14:31:57.469</v>
      </c>
      <c r="B2496" t="s">
        <v>108</v>
      </c>
      <c r="C2496" t="str">
        <f t="shared" si="115"/>
        <v>ffdfd3c0</v>
      </c>
      <c r="D2496" t="s">
        <v>109</v>
      </c>
      <c r="E2496">
        <v>4</v>
      </c>
      <c r="F2496">
        <v>1004</v>
      </c>
      <c r="G2496" t="s">
        <v>110</v>
      </c>
      <c r="J2496" t="s">
        <v>111</v>
      </c>
      <c r="K2496">
        <v>0</v>
      </c>
      <c r="L2496">
        <v>3</v>
      </c>
      <c r="M2496">
        <v>0</v>
      </c>
      <c r="N2496">
        <v>2</v>
      </c>
      <c r="O2496">
        <v>1</v>
      </c>
      <c r="P2496">
        <v>0</v>
      </c>
      <c r="Q2496">
        <v>0</v>
      </c>
      <c r="R2496" t="s">
        <v>112</v>
      </c>
      <c r="S2496" t="str">
        <f>"14:31:57.258"</f>
        <v>14:31:57.258</v>
      </c>
      <c r="T2496" t="str">
        <f>"14:31:56.758"</f>
        <v>14:31:56.758</v>
      </c>
      <c r="U2496" t="str">
        <f t="shared" si="114"/>
        <v>ad5732</v>
      </c>
      <c r="V2496">
        <v>0</v>
      </c>
      <c r="W2496">
        <v>0</v>
      </c>
      <c r="X2496">
        <v>1</v>
      </c>
      <c r="Z2496">
        <v>0</v>
      </c>
      <c r="AA2496">
        <v>9</v>
      </c>
      <c r="AB2496">
        <v>3</v>
      </c>
      <c r="AC2496">
        <v>0</v>
      </c>
      <c r="AD2496">
        <v>10</v>
      </c>
      <c r="AE2496">
        <v>0</v>
      </c>
      <c r="AF2496">
        <v>3</v>
      </c>
      <c r="AG2496">
        <v>2</v>
      </c>
      <c r="AH2496">
        <v>0</v>
      </c>
      <c r="AI2496" t="s">
        <v>5103</v>
      </c>
      <c r="AJ2496">
        <v>40.081707999999999</v>
      </c>
      <c r="AK2496" t="s">
        <v>5104</v>
      </c>
      <c r="AL2496">
        <v>-75.441377000000003</v>
      </c>
      <c r="AM2496">
        <v>100</v>
      </c>
      <c r="AN2496">
        <v>4700</v>
      </c>
      <c r="AO2496" t="s">
        <v>115</v>
      </c>
      <c r="AP2496">
        <v>133</v>
      </c>
      <c r="AQ2496">
        <v>124</v>
      </c>
      <c r="AR2496">
        <v>-64</v>
      </c>
      <c r="AZ2496">
        <v>3614</v>
      </c>
      <c r="BA2496">
        <v>1</v>
      </c>
      <c r="BB2496" t="str">
        <f t="shared" si="116"/>
        <v xml:space="preserve">N959MJ  </v>
      </c>
      <c r="BC2496">
        <v>1</v>
      </c>
      <c r="BE2496">
        <v>0</v>
      </c>
      <c r="BF2496">
        <v>0</v>
      </c>
      <c r="BG2496">
        <v>0</v>
      </c>
      <c r="BH2496">
        <v>4900</v>
      </c>
      <c r="BI2496">
        <v>200</v>
      </c>
      <c r="BJ2496">
        <v>1</v>
      </c>
      <c r="BK2496">
        <v>1</v>
      </c>
      <c r="BL2496">
        <v>1</v>
      </c>
      <c r="BM2496">
        <v>0</v>
      </c>
      <c r="BP2496">
        <v>0</v>
      </c>
      <c r="BQ2496">
        <v>0</v>
      </c>
      <c r="BX2496" t="str">
        <f>"14:31:57.266"</f>
        <v>14:31:57.266</v>
      </c>
      <c r="BY2496" t="str">
        <f>"263046029"</f>
        <v>263046029</v>
      </c>
      <c r="CL2496">
        <v>0</v>
      </c>
      <c r="CM2496">
        <v>2</v>
      </c>
      <c r="CN2496">
        <v>0</v>
      </c>
      <c r="CO2496">
        <v>2</v>
      </c>
      <c r="CP2496">
        <v>0</v>
      </c>
      <c r="CQ2496">
        <v>6</v>
      </c>
      <c r="CR2496" t="s">
        <v>116</v>
      </c>
      <c r="CS2496">
        <v>39</v>
      </c>
      <c r="CT2496">
        <v>3</v>
      </c>
      <c r="CU2496" t="s">
        <v>2259</v>
      </c>
      <c r="CV2496" t="s">
        <v>2260</v>
      </c>
      <c r="CY2496">
        <v>11315339</v>
      </c>
      <c r="CZ2496" t="s">
        <v>119</v>
      </c>
    </row>
    <row r="2497" spans="1:104" x14ac:dyDescent="0.25">
      <c r="A2497" t="str">
        <f>"14:31:58.328"</f>
        <v>14:31:58.328</v>
      </c>
      <c r="B2497" t="s">
        <v>108</v>
      </c>
      <c r="C2497" t="str">
        <f t="shared" si="115"/>
        <v>ffdfd3c0</v>
      </c>
      <c r="D2497" t="s">
        <v>109</v>
      </c>
      <c r="E2497">
        <v>4</v>
      </c>
      <c r="F2497">
        <v>1004</v>
      </c>
      <c r="G2497" t="s">
        <v>110</v>
      </c>
      <c r="J2497" t="s">
        <v>111</v>
      </c>
      <c r="K2497">
        <v>0</v>
      </c>
      <c r="L2497">
        <v>3</v>
      </c>
      <c r="M2497">
        <v>0</v>
      </c>
      <c r="N2497">
        <v>2</v>
      </c>
      <c r="O2497">
        <v>1</v>
      </c>
      <c r="P2497">
        <v>0</v>
      </c>
      <c r="Q2497">
        <v>0</v>
      </c>
      <c r="R2497" t="s">
        <v>112</v>
      </c>
      <c r="S2497" t="str">
        <f>"14:31:58.148"</f>
        <v>14:31:58.148</v>
      </c>
      <c r="T2497" t="str">
        <f>"14:31:57.750"</f>
        <v>14:31:57.750</v>
      </c>
      <c r="U2497" t="str">
        <f t="shared" si="114"/>
        <v>ad5732</v>
      </c>
      <c r="V2497">
        <v>0</v>
      </c>
      <c r="W2497">
        <v>0</v>
      </c>
      <c r="X2497">
        <v>1</v>
      </c>
      <c r="Z2497">
        <v>0</v>
      </c>
      <c r="AA2497">
        <v>9</v>
      </c>
      <c r="AB2497">
        <v>3</v>
      </c>
      <c r="AC2497">
        <v>0</v>
      </c>
      <c r="AD2497">
        <v>10</v>
      </c>
      <c r="AE2497">
        <v>0</v>
      </c>
      <c r="AF2497">
        <v>3</v>
      </c>
      <c r="AG2497">
        <v>2</v>
      </c>
      <c r="AH2497">
        <v>0</v>
      </c>
      <c r="AI2497" t="s">
        <v>5105</v>
      </c>
      <c r="AJ2497">
        <v>40.082202000000002</v>
      </c>
      <c r="AK2497" t="s">
        <v>5106</v>
      </c>
      <c r="AL2497">
        <v>-75.440669</v>
      </c>
      <c r="AM2497">
        <v>100</v>
      </c>
      <c r="AN2497">
        <v>4700</v>
      </c>
      <c r="AO2497" t="s">
        <v>115</v>
      </c>
      <c r="AP2497">
        <v>133</v>
      </c>
      <c r="AQ2497">
        <v>124</v>
      </c>
      <c r="AR2497">
        <v>-64</v>
      </c>
      <c r="AZ2497">
        <v>3614</v>
      </c>
      <c r="BA2497">
        <v>1</v>
      </c>
      <c r="BB2497" t="str">
        <f t="shared" si="116"/>
        <v xml:space="preserve">N959MJ  </v>
      </c>
      <c r="BC2497">
        <v>1</v>
      </c>
      <c r="BE2497">
        <v>0</v>
      </c>
      <c r="BF2497">
        <v>0</v>
      </c>
      <c r="BG2497">
        <v>0</v>
      </c>
      <c r="BH2497">
        <v>4900</v>
      </c>
      <c r="BI2497">
        <v>200</v>
      </c>
      <c r="BJ2497">
        <v>1</v>
      </c>
      <c r="BK2497">
        <v>1</v>
      </c>
      <c r="BL2497">
        <v>1</v>
      </c>
      <c r="BM2497">
        <v>0</v>
      </c>
      <c r="BP2497">
        <v>0</v>
      </c>
      <c r="BQ2497">
        <v>0</v>
      </c>
      <c r="BX2497" t="str">
        <f>"14:31:58.156"</f>
        <v>14:31:58.156</v>
      </c>
      <c r="BY2497" t="str">
        <f>"155989702"</f>
        <v>155989702</v>
      </c>
      <c r="CL2497">
        <v>0</v>
      </c>
      <c r="CM2497">
        <v>2</v>
      </c>
      <c r="CN2497">
        <v>0</v>
      </c>
      <c r="CO2497">
        <v>2</v>
      </c>
      <c r="CP2497">
        <v>0</v>
      </c>
      <c r="CQ2497">
        <v>7</v>
      </c>
      <c r="CR2497" t="s">
        <v>116</v>
      </c>
      <c r="CS2497">
        <v>39</v>
      </c>
      <c r="CT2497">
        <v>0</v>
      </c>
      <c r="CU2497" t="s">
        <v>2259</v>
      </c>
      <c r="CV2497" t="s">
        <v>2260</v>
      </c>
      <c r="CY2497">
        <v>1957232</v>
      </c>
      <c r="CZ2497" t="s">
        <v>119</v>
      </c>
    </row>
    <row r="2498" spans="1:104" x14ac:dyDescent="0.25">
      <c r="A2498" t="str">
        <f>"14:31:59.344"</f>
        <v>14:31:59.344</v>
      </c>
      <c r="B2498" t="s">
        <v>108</v>
      </c>
      <c r="C2498" t="str">
        <f t="shared" si="115"/>
        <v>ffdfd3c0</v>
      </c>
      <c r="D2498" t="s">
        <v>109</v>
      </c>
      <c r="E2498">
        <v>4</v>
      </c>
      <c r="F2498">
        <v>1004</v>
      </c>
      <c r="G2498" t="s">
        <v>110</v>
      </c>
      <c r="J2498" t="s">
        <v>111</v>
      </c>
      <c r="K2498">
        <v>0</v>
      </c>
      <c r="L2498">
        <v>3</v>
      </c>
      <c r="M2498">
        <v>0</v>
      </c>
      <c r="N2498">
        <v>2</v>
      </c>
      <c r="O2498">
        <v>1</v>
      </c>
      <c r="P2498">
        <v>0</v>
      </c>
      <c r="Q2498">
        <v>0</v>
      </c>
      <c r="R2498" t="s">
        <v>112</v>
      </c>
      <c r="S2498" t="str">
        <f>"14:31:59.148"</f>
        <v>14:31:59.148</v>
      </c>
      <c r="T2498" t="str">
        <f>"14:31:58.750"</f>
        <v>14:31:58.750</v>
      </c>
      <c r="U2498" t="str">
        <f t="shared" ref="U2498:U2561" si="117">"ad5732"</f>
        <v>ad5732</v>
      </c>
      <c r="V2498">
        <v>0</v>
      </c>
      <c r="W2498">
        <v>0</v>
      </c>
      <c r="X2498">
        <v>1</v>
      </c>
      <c r="Z2498">
        <v>0</v>
      </c>
      <c r="AA2498">
        <v>9</v>
      </c>
      <c r="AB2498">
        <v>3</v>
      </c>
      <c r="AC2498">
        <v>0</v>
      </c>
      <c r="AD2498">
        <v>10</v>
      </c>
      <c r="AE2498">
        <v>0</v>
      </c>
      <c r="AF2498">
        <v>3</v>
      </c>
      <c r="AG2498">
        <v>2</v>
      </c>
      <c r="AH2498">
        <v>0</v>
      </c>
      <c r="AI2498" t="s">
        <v>5107</v>
      </c>
      <c r="AJ2498">
        <v>40.082802999999998</v>
      </c>
      <c r="AK2498" t="s">
        <v>5108</v>
      </c>
      <c r="AL2498">
        <v>-75.439875000000001</v>
      </c>
      <c r="AM2498">
        <v>100</v>
      </c>
      <c r="AN2498">
        <v>4700</v>
      </c>
      <c r="AO2498" t="s">
        <v>115</v>
      </c>
      <c r="AP2498">
        <v>133</v>
      </c>
      <c r="AQ2498">
        <v>124</v>
      </c>
      <c r="AR2498">
        <v>-64</v>
      </c>
      <c r="AZ2498">
        <v>3614</v>
      </c>
      <c r="BA2498">
        <v>1</v>
      </c>
      <c r="BB2498" t="str">
        <f t="shared" si="116"/>
        <v xml:space="preserve">N959MJ  </v>
      </c>
      <c r="BC2498">
        <v>1</v>
      </c>
      <c r="BE2498">
        <v>0</v>
      </c>
      <c r="BF2498">
        <v>0</v>
      </c>
      <c r="BG2498">
        <v>0</v>
      </c>
      <c r="BH2498">
        <v>4900</v>
      </c>
      <c r="BI2498">
        <v>200</v>
      </c>
      <c r="BJ2498">
        <v>1</v>
      </c>
      <c r="BK2498">
        <v>1</v>
      </c>
      <c r="BL2498">
        <v>1</v>
      </c>
      <c r="BM2498">
        <v>0</v>
      </c>
      <c r="BP2498">
        <v>0</v>
      </c>
      <c r="BQ2498">
        <v>0</v>
      </c>
      <c r="BX2498" t="str">
        <f>"14:31:59.156"</f>
        <v>14:31:59.156</v>
      </c>
      <c r="BY2498" t="str">
        <f>"153792863"</f>
        <v>153792863</v>
      </c>
      <c r="CL2498">
        <v>0</v>
      </c>
      <c r="CM2498">
        <v>2</v>
      </c>
      <c r="CN2498">
        <v>0</v>
      </c>
      <c r="CO2498">
        <v>2</v>
      </c>
      <c r="CP2498">
        <v>0</v>
      </c>
      <c r="CQ2498">
        <v>7</v>
      </c>
      <c r="CR2498" t="s">
        <v>116</v>
      </c>
      <c r="CS2498">
        <v>39</v>
      </c>
      <c r="CT2498">
        <v>0</v>
      </c>
      <c r="CU2498" t="s">
        <v>2259</v>
      </c>
      <c r="CV2498" t="s">
        <v>2260</v>
      </c>
      <c r="CY2498">
        <v>1958921</v>
      </c>
      <c r="CZ2498" t="s">
        <v>119</v>
      </c>
    </row>
    <row r="2499" spans="1:104" x14ac:dyDescent="0.25">
      <c r="A2499" t="str">
        <f>"14:32:00.398"</f>
        <v>14:32:00.398</v>
      </c>
      <c r="B2499" t="s">
        <v>108</v>
      </c>
      <c r="C2499" t="str">
        <f t="shared" si="115"/>
        <v>ffdfd3c0</v>
      </c>
      <c r="D2499" t="s">
        <v>109</v>
      </c>
      <c r="E2499">
        <v>4</v>
      </c>
      <c r="F2499">
        <v>1004</v>
      </c>
      <c r="G2499" t="s">
        <v>110</v>
      </c>
      <c r="J2499" t="s">
        <v>111</v>
      </c>
      <c r="K2499">
        <v>0</v>
      </c>
      <c r="L2499">
        <v>3</v>
      </c>
      <c r="M2499">
        <v>0</v>
      </c>
      <c r="N2499">
        <v>2</v>
      </c>
      <c r="O2499">
        <v>1</v>
      </c>
      <c r="P2499">
        <v>0</v>
      </c>
      <c r="Q2499">
        <v>0</v>
      </c>
      <c r="R2499" t="s">
        <v>112</v>
      </c>
      <c r="S2499" t="str">
        <f>"14:32:00.203"</f>
        <v>14:32:00.203</v>
      </c>
      <c r="T2499" t="str">
        <f>"14:31:59.703"</f>
        <v>14:31:59.703</v>
      </c>
      <c r="U2499" t="str">
        <f t="shared" si="117"/>
        <v>ad5732</v>
      </c>
      <c r="V2499">
        <v>0</v>
      </c>
      <c r="W2499">
        <v>0</v>
      </c>
      <c r="X2499">
        <v>1</v>
      </c>
      <c r="Z2499">
        <v>0</v>
      </c>
      <c r="AA2499">
        <v>9</v>
      </c>
      <c r="AB2499">
        <v>3</v>
      </c>
      <c r="AC2499">
        <v>0</v>
      </c>
      <c r="AD2499">
        <v>10</v>
      </c>
      <c r="AE2499">
        <v>0</v>
      </c>
      <c r="AF2499">
        <v>3</v>
      </c>
      <c r="AG2499">
        <v>2</v>
      </c>
      <c r="AH2499">
        <v>0</v>
      </c>
      <c r="AI2499" t="s">
        <v>5109</v>
      </c>
      <c r="AJ2499">
        <v>40.083424999999998</v>
      </c>
      <c r="AK2499" t="s">
        <v>5110</v>
      </c>
      <c r="AL2499">
        <v>-75.438995000000006</v>
      </c>
      <c r="AM2499">
        <v>100</v>
      </c>
      <c r="AN2499">
        <v>4700</v>
      </c>
      <c r="AO2499" t="s">
        <v>115</v>
      </c>
      <c r="AP2499">
        <v>133</v>
      </c>
      <c r="AQ2499">
        <v>124</v>
      </c>
      <c r="AR2499">
        <v>-64</v>
      </c>
      <c r="AZ2499">
        <v>3614</v>
      </c>
      <c r="BA2499">
        <v>1</v>
      </c>
      <c r="BB2499" t="str">
        <f t="shared" si="116"/>
        <v xml:space="preserve">N959MJ  </v>
      </c>
      <c r="BC2499">
        <v>1</v>
      </c>
      <c r="BE2499">
        <v>0</v>
      </c>
      <c r="BF2499">
        <v>0</v>
      </c>
      <c r="BG2499">
        <v>0</v>
      </c>
      <c r="BH2499">
        <v>4900</v>
      </c>
      <c r="BI2499">
        <v>200</v>
      </c>
      <c r="BJ2499">
        <v>1</v>
      </c>
      <c r="BK2499">
        <v>1</v>
      </c>
      <c r="BL2499">
        <v>1</v>
      </c>
      <c r="BM2499">
        <v>0</v>
      </c>
      <c r="BP2499">
        <v>0</v>
      </c>
      <c r="BQ2499">
        <v>0</v>
      </c>
      <c r="BX2499" t="str">
        <f>"14:32:00.211"</f>
        <v>14:32:00.211</v>
      </c>
      <c r="BY2499" t="str">
        <f>"210579402"</f>
        <v>210579402</v>
      </c>
      <c r="CL2499">
        <v>0</v>
      </c>
      <c r="CM2499">
        <v>2</v>
      </c>
      <c r="CN2499">
        <v>0</v>
      </c>
      <c r="CO2499">
        <v>2</v>
      </c>
      <c r="CP2499">
        <v>0</v>
      </c>
      <c r="CQ2499">
        <v>7</v>
      </c>
      <c r="CR2499" t="s">
        <v>116</v>
      </c>
      <c r="CS2499">
        <v>39</v>
      </c>
      <c r="CT2499">
        <v>0</v>
      </c>
      <c r="CU2499" t="s">
        <v>2259</v>
      </c>
      <c r="CV2499" t="s">
        <v>2260</v>
      </c>
      <c r="CY2499">
        <v>1960681</v>
      </c>
      <c r="CZ2499" t="s">
        <v>119</v>
      </c>
    </row>
    <row r="2500" spans="1:104" x14ac:dyDescent="0.25">
      <c r="A2500" t="str">
        <f>"14:32:01.508"</f>
        <v>14:32:01.508</v>
      </c>
      <c r="B2500" t="s">
        <v>108</v>
      </c>
      <c r="C2500" t="str">
        <f t="shared" si="115"/>
        <v>ffdfd3c0</v>
      </c>
      <c r="D2500" t="s">
        <v>109</v>
      </c>
      <c r="E2500">
        <v>4</v>
      </c>
      <c r="F2500">
        <v>1004</v>
      </c>
      <c r="G2500" t="s">
        <v>110</v>
      </c>
      <c r="J2500" t="s">
        <v>111</v>
      </c>
      <c r="K2500">
        <v>0</v>
      </c>
      <c r="L2500">
        <v>3</v>
      </c>
      <c r="M2500">
        <v>0</v>
      </c>
      <c r="N2500">
        <v>2</v>
      </c>
      <c r="O2500">
        <v>1</v>
      </c>
      <c r="P2500">
        <v>0</v>
      </c>
      <c r="Q2500">
        <v>0</v>
      </c>
      <c r="R2500" t="s">
        <v>112</v>
      </c>
      <c r="S2500" t="str">
        <f>"14:32:01.305"</f>
        <v>14:32:01.305</v>
      </c>
      <c r="T2500" t="str">
        <f>"14:32:00.805"</f>
        <v>14:32:00.805</v>
      </c>
      <c r="U2500" t="str">
        <f t="shared" si="117"/>
        <v>ad5732</v>
      </c>
      <c r="V2500">
        <v>0</v>
      </c>
      <c r="W2500">
        <v>0</v>
      </c>
      <c r="X2500">
        <v>1</v>
      </c>
      <c r="Z2500">
        <v>0</v>
      </c>
      <c r="AA2500">
        <v>9</v>
      </c>
      <c r="AB2500">
        <v>3</v>
      </c>
      <c r="AC2500">
        <v>0</v>
      </c>
      <c r="AD2500">
        <v>10</v>
      </c>
      <c r="AE2500">
        <v>0</v>
      </c>
      <c r="AF2500">
        <v>3</v>
      </c>
      <c r="AG2500">
        <v>2</v>
      </c>
      <c r="AH2500">
        <v>0</v>
      </c>
      <c r="AI2500" t="s">
        <v>5111</v>
      </c>
      <c r="AJ2500">
        <v>40.084069</v>
      </c>
      <c r="AK2500" t="s">
        <v>5112</v>
      </c>
      <c r="AL2500">
        <v>-75.438115999999994</v>
      </c>
      <c r="AM2500">
        <v>100</v>
      </c>
      <c r="AN2500">
        <v>4700</v>
      </c>
      <c r="AO2500" t="s">
        <v>115</v>
      </c>
      <c r="AP2500">
        <v>133</v>
      </c>
      <c r="AQ2500">
        <v>124</v>
      </c>
      <c r="AR2500">
        <v>-64</v>
      </c>
      <c r="AZ2500">
        <v>3614</v>
      </c>
      <c r="BA2500">
        <v>1</v>
      </c>
      <c r="BB2500" t="str">
        <f t="shared" si="116"/>
        <v xml:space="preserve">N959MJ  </v>
      </c>
      <c r="BC2500">
        <v>1</v>
      </c>
      <c r="BE2500">
        <v>0</v>
      </c>
      <c r="BF2500">
        <v>0</v>
      </c>
      <c r="BG2500">
        <v>0</v>
      </c>
      <c r="BH2500">
        <v>4900</v>
      </c>
      <c r="BI2500">
        <v>200</v>
      </c>
      <c r="BJ2500">
        <v>1</v>
      </c>
      <c r="BK2500">
        <v>1</v>
      </c>
      <c r="BL2500">
        <v>1</v>
      </c>
      <c r="BM2500">
        <v>0</v>
      </c>
      <c r="BP2500">
        <v>0</v>
      </c>
      <c r="BQ2500">
        <v>0</v>
      </c>
      <c r="BX2500" t="str">
        <f>"14:32:01.305"</f>
        <v>14:32:01.305</v>
      </c>
      <c r="BY2500" t="str">
        <f>"308326771"</f>
        <v>308326771</v>
      </c>
      <c r="CL2500">
        <v>0</v>
      </c>
      <c r="CM2500">
        <v>2</v>
      </c>
      <c r="CN2500">
        <v>0</v>
      </c>
      <c r="CO2500">
        <v>2</v>
      </c>
      <c r="CP2500">
        <v>0</v>
      </c>
      <c r="CQ2500">
        <v>7</v>
      </c>
      <c r="CR2500" t="s">
        <v>116</v>
      </c>
      <c r="CS2500">
        <v>39</v>
      </c>
      <c r="CT2500">
        <v>0</v>
      </c>
      <c r="CU2500" t="s">
        <v>2259</v>
      </c>
      <c r="CV2500" t="s">
        <v>2260</v>
      </c>
      <c r="CY2500">
        <v>1962365</v>
      </c>
      <c r="CZ2500" t="s">
        <v>119</v>
      </c>
    </row>
    <row r="2501" spans="1:104" x14ac:dyDescent="0.25">
      <c r="A2501" t="str">
        <f>"14:32:02.469"</f>
        <v>14:32:02.469</v>
      </c>
      <c r="B2501" t="s">
        <v>108</v>
      </c>
      <c r="C2501" t="str">
        <f t="shared" si="115"/>
        <v>ffdfd3c0</v>
      </c>
      <c r="D2501" t="s">
        <v>109</v>
      </c>
      <c r="E2501">
        <v>4</v>
      </c>
      <c r="F2501">
        <v>1004</v>
      </c>
      <c r="G2501" t="s">
        <v>110</v>
      </c>
      <c r="J2501" t="s">
        <v>111</v>
      </c>
      <c r="K2501">
        <v>0</v>
      </c>
      <c r="L2501">
        <v>3</v>
      </c>
      <c r="M2501">
        <v>0</v>
      </c>
      <c r="N2501">
        <v>2</v>
      </c>
      <c r="O2501">
        <v>1</v>
      </c>
      <c r="P2501">
        <v>0</v>
      </c>
      <c r="Q2501">
        <v>0</v>
      </c>
      <c r="R2501" t="s">
        <v>112</v>
      </c>
      <c r="S2501" t="str">
        <f>"14:32:02.297"</f>
        <v>14:32:02.297</v>
      </c>
      <c r="T2501" t="str">
        <f>"14:32:01.898"</f>
        <v>14:32:01.898</v>
      </c>
      <c r="U2501" t="str">
        <f t="shared" si="117"/>
        <v>ad5732</v>
      </c>
      <c r="V2501">
        <v>0</v>
      </c>
      <c r="W2501">
        <v>0</v>
      </c>
      <c r="X2501">
        <v>1</v>
      </c>
      <c r="Z2501">
        <v>0</v>
      </c>
      <c r="AA2501">
        <v>9</v>
      </c>
      <c r="AB2501">
        <v>3</v>
      </c>
      <c r="AC2501">
        <v>0</v>
      </c>
      <c r="AD2501">
        <v>10</v>
      </c>
      <c r="AE2501">
        <v>0</v>
      </c>
      <c r="AF2501">
        <v>3</v>
      </c>
      <c r="AG2501">
        <v>2</v>
      </c>
      <c r="AH2501">
        <v>0</v>
      </c>
      <c r="AI2501" t="s">
        <v>5113</v>
      </c>
      <c r="AJ2501">
        <v>40.084541000000002</v>
      </c>
      <c r="AK2501" t="s">
        <v>5114</v>
      </c>
      <c r="AL2501">
        <v>-75.437365</v>
      </c>
      <c r="AM2501">
        <v>100</v>
      </c>
      <c r="AN2501">
        <v>4700</v>
      </c>
      <c r="AO2501" t="s">
        <v>115</v>
      </c>
      <c r="AP2501">
        <v>133</v>
      </c>
      <c r="AQ2501">
        <v>124</v>
      </c>
      <c r="AR2501">
        <v>-64</v>
      </c>
      <c r="AZ2501">
        <v>3614</v>
      </c>
      <c r="BA2501">
        <v>1</v>
      </c>
      <c r="BB2501" t="str">
        <f t="shared" si="116"/>
        <v xml:space="preserve">N959MJ  </v>
      </c>
      <c r="BC2501">
        <v>1</v>
      </c>
      <c r="BE2501">
        <v>0</v>
      </c>
      <c r="BF2501">
        <v>0</v>
      </c>
      <c r="BG2501">
        <v>0</v>
      </c>
      <c r="BH2501">
        <v>4900</v>
      </c>
      <c r="BI2501">
        <v>200</v>
      </c>
      <c r="BJ2501">
        <v>1</v>
      </c>
      <c r="BK2501">
        <v>1</v>
      </c>
      <c r="BL2501">
        <v>1</v>
      </c>
      <c r="BM2501">
        <v>0</v>
      </c>
      <c r="BP2501">
        <v>0</v>
      </c>
      <c r="BQ2501">
        <v>0</v>
      </c>
      <c r="BX2501" t="str">
        <f>"14:32:02.305"</f>
        <v>14:32:02.305</v>
      </c>
      <c r="BY2501" t="str">
        <f>"304491487"</f>
        <v>304491487</v>
      </c>
      <c r="CL2501">
        <v>0</v>
      </c>
      <c r="CM2501">
        <v>2</v>
      </c>
      <c r="CN2501">
        <v>0</v>
      </c>
      <c r="CO2501">
        <v>2</v>
      </c>
      <c r="CP2501">
        <v>0</v>
      </c>
      <c r="CQ2501">
        <v>7</v>
      </c>
      <c r="CR2501" t="s">
        <v>116</v>
      </c>
      <c r="CS2501">
        <v>39</v>
      </c>
      <c r="CT2501">
        <v>0</v>
      </c>
      <c r="CU2501" t="s">
        <v>2259</v>
      </c>
      <c r="CV2501" t="s">
        <v>2260</v>
      </c>
      <c r="CY2501">
        <v>1964062</v>
      </c>
      <c r="CZ2501" t="s">
        <v>119</v>
      </c>
    </row>
    <row r="2502" spans="1:104" x14ac:dyDescent="0.25">
      <c r="A2502" t="str">
        <f>"14:32:03.430"</f>
        <v>14:32:03.430</v>
      </c>
      <c r="B2502" t="s">
        <v>108</v>
      </c>
      <c r="C2502" t="str">
        <f t="shared" si="115"/>
        <v>ffdfd3c0</v>
      </c>
      <c r="D2502" t="s">
        <v>109</v>
      </c>
      <c r="E2502">
        <v>4</v>
      </c>
      <c r="F2502">
        <v>1004</v>
      </c>
      <c r="G2502" t="s">
        <v>110</v>
      </c>
      <c r="J2502" t="s">
        <v>111</v>
      </c>
      <c r="K2502">
        <v>0</v>
      </c>
      <c r="L2502">
        <v>3</v>
      </c>
      <c r="M2502">
        <v>0</v>
      </c>
      <c r="N2502">
        <v>2</v>
      </c>
      <c r="O2502">
        <v>1</v>
      </c>
      <c r="P2502">
        <v>0</v>
      </c>
      <c r="Q2502">
        <v>0</v>
      </c>
      <c r="R2502" t="s">
        <v>112</v>
      </c>
      <c r="S2502" t="str">
        <f>"14:32:03.234"</f>
        <v>14:32:03.234</v>
      </c>
      <c r="T2502" t="str">
        <f>"14:32:02.836"</f>
        <v>14:32:02.836</v>
      </c>
      <c r="U2502" t="str">
        <f t="shared" si="117"/>
        <v>ad5732</v>
      </c>
      <c r="V2502">
        <v>0</v>
      </c>
      <c r="W2502">
        <v>0</v>
      </c>
      <c r="X2502">
        <v>1</v>
      </c>
      <c r="Z2502">
        <v>0</v>
      </c>
      <c r="AA2502">
        <v>9</v>
      </c>
      <c r="AB2502">
        <v>3</v>
      </c>
      <c r="AC2502">
        <v>0</v>
      </c>
      <c r="AD2502">
        <v>10</v>
      </c>
      <c r="AE2502">
        <v>0</v>
      </c>
      <c r="AF2502">
        <v>3</v>
      </c>
      <c r="AG2502">
        <v>2</v>
      </c>
      <c r="AH2502">
        <v>0</v>
      </c>
      <c r="AI2502" t="s">
        <v>5115</v>
      </c>
      <c r="AJ2502">
        <v>40.085163000000001</v>
      </c>
      <c r="AK2502" t="s">
        <v>5116</v>
      </c>
      <c r="AL2502">
        <v>-75.436571000000001</v>
      </c>
      <c r="AM2502">
        <v>100</v>
      </c>
      <c r="AN2502">
        <v>4700</v>
      </c>
      <c r="AO2502" t="s">
        <v>115</v>
      </c>
      <c r="AP2502">
        <v>133</v>
      </c>
      <c r="AQ2502">
        <v>124</v>
      </c>
      <c r="AR2502">
        <v>-64</v>
      </c>
      <c r="AZ2502">
        <v>3614</v>
      </c>
      <c r="BA2502">
        <v>1</v>
      </c>
      <c r="BB2502" t="str">
        <f t="shared" si="116"/>
        <v xml:space="preserve">N959MJ  </v>
      </c>
      <c r="BC2502">
        <v>1</v>
      </c>
      <c r="BE2502">
        <v>0</v>
      </c>
      <c r="BF2502">
        <v>0</v>
      </c>
      <c r="BG2502">
        <v>0</v>
      </c>
      <c r="BH2502">
        <v>4900</v>
      </c>
      <c r="BI2502">
        <v>200</v>
      </c>
      <c r="BJ2502">
        <v>1</v>
      </c>
      <c r="BK2502">
        <v>1</v>
      </c>
      <c r="BL2502">
        <v>1</v>
      </c>
      <c r="BM2502">
        <v>0</v>
      </c>
      <c r="BP2502">
        <v>0</v>
      </c>
      <c r="BQ2502">
        <v>0</v>
      </c>
      <c r="BX2502" t="str">
        <f>"14:32:03.234"</f>
        <v>14:32:03.234</v>
      </c>
      <c r="BY2502" t="str">
        <f>"235119069"</f>
        <v>235119069</v>
      </c>
      <c r="CL2502">
        <v>0</v>
      </c>
      <c r="CM2502">
        <v>2</v>
      </c>
      <c r="CN2502">
        <v>0</v>
      </c>
      <c r="CO2502">
        <v>2</v>
      </c>
      <c r="CP2502">
        <v>0</v>
      </c>
      <c r="CQ2502">
        <v>7</v>
      </c>
      <c r="CR2502" t="s">
        <v>116</v>
      </c>
      <c r="CS2502">
        <v>39</v>
      </c>
      <c r="CT2502">
        <v>0</v>
      </c>
      <c r="CU2502" t="s">
        <v>2259</v>
      </c>
      <c r="CV2502" t="s">
        <v>2260</v>
      </c>
      <c r="CY2502">
        <v>1965736</v>
      </c>
      <c r="CZ2502" t="s">
        <v>119</v>
      </c>
    </row>
    <row r="2503" spans="1:104" x14ac:dyDescent="0.25">
      <c r="A2503" t="str">
        <f>"14:32:04.391"</f>
        <v>14:32:04.391</v>
      </c>
      <c r="B2503" t="s">
        <v>108</v>
      </c>
      <c r="C2503" t="str">
        <f t="shared" si="115"/>
        <v>ffdfd3c0</v>
      </c>
      <c r="D2503" t="s">
        <v>109</v>
      </c>
      <c r="E2503">
        <v>4</v>
      </c>
      <c r="F2503">
        <v>1004</v>
      </c>
      <c r="G2503" t="s">
        <v>110</v>
      </c>
      <c r="J2503" t="s">
        <v>111</v>
      </c>
      <c r="K2503">
        <v>0</v>
      </c>
      <c r="L2503">
        <v>3</v>
      </c>
      <c r="M2503">
        <v>0</v>
      </c>
      <c r="N2503">
        <v>2</v>
      </c>
      <c r="O2503">
        <v>1</v>
      </c>
      <c r="P2503">
        <v>0</v>
      </c>
      <c r="Q2503">
        <v>0</v>
      </c>
      <c r="R2503" t="s">
        <v>112</v>
      </c>
      <c r="S2503" t="str">
        <f>"14:32:04.219"</f>
        <v>14:32:04.219</v>
      </c>
      <c r="T2503" t="str">
        <f>"14:32:03.719"</f>
        <v>14:32:03.719</v>
      </c>
      <c r="U2503" t="str">
        <f t="shared" si="117"/>
        <v>ad5732</v>
      </c>
      <c r="V2503">
        <v>0</v>
      </c>
      <c r="W2503">
        <v>0</v>
      </c>
      <c r="X2503">
        <v>1</v>
      </c>
      <c r="Z2503">
        <v>0</v>
      </c>
      <c r="AA2503">
        <v>9</v>
      </c>
      <c r="AB2503">
        <v>3</v>
      </c>
      <c r="AC2503">
        <v>0</v>
      </c>
      <c r="AD2503">
        <v>10</v>
      </c>
      <c r="AE2503">
        <v>0</v>
      </c>
      <c r="AF2503">
        <v>3</v>
      </c>
      <c r="AG2503">
        <v>2</v>
      </c>
      <c r="AH2503">
        <v>0</v>
      </c>
      <c r="AI2503" t="s">
        <v>5117</v>
      </c>
      <c r="AJ2503">
        <v>40.085720999999999</v>
      </c>
      <c r="AK2503" t="s">
        <v>5118</v>
      </c>
      <c r="AL2503">
        <v>-75.435820000000007</v>
      </c>
      <c r="AM2503">
        <v>100</v>
      </c>
      <c r="AN2503">
        <v>4700</v>
      </c>
      <c r="AO2503" t="s">
        <v>115</v>
      </c>
      <c r="AP2503">
        <v>133</v>
      </c>
      <c r="AQ2503">
        <v>124</v>
      </c>
      <c r="AR2503">
        <v>0</v>
      </c>
      <c r="AZ2503">
        <v>3614</v>
      </c>
      <c r="BA2503">
        <v>1</v>
      </c>
      <c r="BB2503" t="str">
        <f t="shared" si="116"/>
        <v xml:space="preserve">N959MJ  </v>
      </c>
      <c r="BC2503">
        <v>1</v>
      </c>
      <c r="BE2503">
        <v>0</v>
      </c>
      <c r="BF2503">
        <v>0</v>
      </c>
      <c r="BG2503">
        <v>0</v>
      </c>
      <c r="BH2503">
        <v>4900</v>
      </c>
      <c r="BI2503">
        <v>200</v>
      </c>
      <c r="BJ2503">
        <v>1</v>
      </c>
      <c r="BK2503">
        <v>1</v>
      </c>
      <c r="BL2503">
        <v>1</v>
      </c>
      <c r="BM2503">
        <v>0</v>
      </c>
      <c r="BP2503">
        <v>0</v>
      </c>
      <c r="BQ2503">
        <v>0</v>
      </c>
      <c r="BX2503" t="str">
        <f>"14:32:04.227"</f>
        <v>14:32:04.227</v>
      </c>
      <c r="BY2503" t="str">
        <f>"226368510"</f>
        <v>226368510</v>
      </c>
      <c r="CL2503">
        <v>0</v>
      </c>
      <c r="CM2503">
        <v>2</v>
      </c>
      <c r="CN2503">
        <v>0</v>
      </c>
      <c r="CO2503">
        <v>2</v>
      </c>
      <c r="CP2503">
        <v>0</v>
      </c>
      <c r="CQ2503">
        <v>7</v>
      </c>
      <c r="CR2503" t="s">
        <v>116</v>
      </c>
      <c r="CS2503">
        <v>39</v>
      </c>
      <c r="CT2503">
        <v>0</v>
      </c>
      <c r="CU2503" t="s">
        <v>2259</v>
      </c>
      <c r="CV2503" t="s">
        <v>2260</v>
      </c>
      <c r="CY2503">
        <v>1967407</v>
      </c>
      <c r="CZ2503" t="s">
        <v>119</v>
      </c>
    </row>
    <row r="2504" spans="1:104" x14ac:dyDescent="0.25">
      <c r="A2504" t="str">
        <f>"14:32:05.500"</f>
        <v>14:32:05.500</v>
      </c>
      <c r="B2504" t="s">
        <v>108</v>
      </c>
      <c r="C2504" t="str">
        <f t="shared" si="115"/>
        <v>ffdfd3c0</v>
      </c>
      <c r="D2504" t="s">
        <v>109</v>
      </c>
      <c r="E2504">
        <v>4</v>
      </c>
      <c r="F2504">
        <v>1004</v>
      </c>
      <c r="G2504" t="s">
        <v>110</v>
      </c>
      <c r="J2504" t="s">
        <v>111</v>
      </c>
      <c r="K2504">
        <v>0</v>
      </c>
      <c r="L2504">
        <v>3</v>
      </c>
      <c r="M2504">
        <v>0</v>
      </c>
      <c r="N2504">
        <v>2</v>
      </c>
      <c r="O2504">
        <v>1</v>
      </c>
      <c r="P2504">
        <v>0</v>
      </c>
      <c r="Q2504">
        <v>0</v>
      </c>
      <c r="R2504" t="s">
        <v>112</v>
      </c>
      <c r="S2504" t="str">
        <f>"14:32:05.297"</f>
        <v>14:32:05.297</v>
      </c>
      <c r="T2504" t="str">
        <f>"14:32:04.797"</f>
        <v>14:32:04.797</v>
      </c>
      <c r="U2504" t="str">
        <f t="shared" si="117"/>
        <v>ad5732</v>
      </c>
      <c r="V2504">
        <v>0</v>
      </c>
      <c r="W2504">
        <v>0</v>
      </c>
      <c r="X2504">
        <v>1</v>
      </c>
      <c r="Z2504">
        <v>0</v>
      </c>
      <c r="AA2504">
        <v>9</v>
      </c>
      <c r="AB2504">
        <v>3</v>
      </c>
      <c r="AC2504">
        <v>0</v>
      </c>
      <c r="AD2504">
        <v>10</v>
      </c>
      <c r="AE2504">
        <v>0</v>
      </c>
      <c r="AF2504">
        <v>3</v>
      </c>
      <c r="AG2504">
        <v>2</v>
      </c>
      <c r="AH2504">
        <v>0</v>
      </c>
      <c r="AI2504" t="s">
        <v>5119</v>
      </c>
      <c r="AJ2504">
        <v>40.086322000000003</v>
      </c>
      <c r="AK2504" t="s">
        <v>5120</v>
      </c>
      <c r="AL2504">
        <v>-75.435004000000006</v>
      </c>
      <c r="AM2504">
        <v>100</v>
      </c>
      <c r="AN2504">
        <v>4700</v>
      </c>
      <c r="AO2504" t="s">
        <v>115</v>
      </c>
      <c r="AP2504">
        <v>133</v>
      </c>
      <c r="AQ2504">
        <v>124</v>
      </c>
      <c r="AR2504">
        <v>0</v>
      </c>
      <c r="AZ2504">
        <v>3614</v>
      </c>
      <c r="BA2504">
        <v>1</v>
      </c>
      <c r="BB2504" t="str">
        <f t="shared" si="116"/>
        <v xml:space="preserve">N959MJ  </v>
      </c>
      <c r="BC2504">
        <v>1</v>
      </c>
      <c r="BE2504">
        <v>0</v>
      </c>
      <c r="BF2504">
        <v>0</v>
      </c>
      <c r="BG2504">
        <v>0</v>
      </c>
      <c r="BH2504">
        <v>4900</v>
      </c>
      <c r="BI2504">
        <v>200</v>
      </c>
      <c r="BJ2504">
        <v>1</v>
      </c>
      <c r="BK2504">
        <v>1</v>
      </c>
      <c r="BL2504">
        <v>1</v>
      </c>
      <c r="BM2504">
        <v>0</v>
      </c>
      <c r="BP2504">
        <v>0</v>
      </c>
      <c r="BQ2504">
        <v>0</v>
      </c>
      <c r="BX2504" t="str">
        <f>"14:32:05.297"</f>
        <v>14:32:05.297</v>
      </c>
      <c r="BY2504" t="str">
        <f>"299539394"</f>
        <v>299539394</v>
      </c>
      <c r="CL2504">
        <v>0</v>
      </c>
      <c r="CM2504">
        <v>2</v>
      </c>
      <c r="CN2504">
        <v>0</v>
      </c>
      <c r="CO2504">
        <v>2</v>
      </c>
      <c r="CP2504">
        <v>0</v>
      </c>
      <c r="CQ2504">
        <v>7</v>
      </c>
      <c r="CR2504" t="s">
        <v>116</v>
      </c>
      <c r="CS2504">
        <v>39</v>
      </c>
      <c r="CT2504">
        <v>0</v>
      </c>
      <c r="CU2504" t="s">
        <v>2259</v>
      </c>
      <c r="CV2504" t="s">
        <v>2260</v>
      </c>
      <c r="CY2504">
        <v>1969091</v>
      </c>
      <c r="CZ2504" t="s">
        <v>119</v>
      </c>
    </row>
    <row r="2505" spans="1:104" x14ac:dyDescent="0.25">
      <c r="A2505" t="str">
        <f>"14:32:06.406"</f>
        <v>14:32:06.406</v>
      </c>
      <c r="B2505" t="s">
        <v>108</v>
      </c>
      <c r="C2505" t="str">
        <f t="shared" si="115"/>
        <v>ffdfd3c0</v>
      </c>
      <c r="D2505" t="s">
        <v>109</v>
      </c>
      <c r="E2505">
        <v>4</v>
      </c>
      <c r="F2505">
        <v>1004</v>
      </c>
      <c r="G2505" t="s">
        <v>110</v>
      </c>
      <c r="J2505" t="s">
        <v>111</v>
      </c>
      <c r="K2505">
        <v>0</v>
      </c>
      <c r="L2505">
        <v>3</v>
      </c>
      <c r="M2505">
        <v>0</v>
      </c>
      <c r="N2505">
        <v>2</v>
      </c>
      <c r="O2505">
        <v>1</v>
      </c>
      <c r="P2505">
        <v>0</v>
      </c>
      <c r="Q2505">
        <v>0</v>
      </c>
      <c r="R2505" t="s">
        <v>112</v>
      </c>
      <c r="S2505" t="str">
        <f>"14:32:06.242"</f>
        <v>14:32:06.242</v>
      </c>
      <c r="T2505" t="str">
        <f>"14:32:05.742"</f>
        <v>14:32:05.742</v>
      </c>
      <c r="U2505" t="str">
        <f t="shared" si="117"/>
        <v>ad5732</v>
      </c>
      <c r="V2505">
        <v>0</v>
      </c>
      <c r="W2505">
        <v>0</v>
      </c>
      <c r="X2505">
        <v>1</v>
      </c>
      <c r="Z2505">
        <v>0</v>
      </c>
      <c r="AA2505">
        <v>9</v>
      </c>
      <c r="AB2505">
        <v>3</v>
      </c>
      <c r="AC2505">
        <v>0</v>
      </c>
      <c r="AD2505">
        <v>10</v>
      </c>
      <c r="AE2505">
        <v>0</v>
      </c>
      <c r="AF2505">
        <v>3</v>
      </c>
      <c r="AG2505">
        <v>2</v>
      </c>
      <c r="AH2505">
        <v>0</v>
      </c>
      <c r="AI2505" t="s">
        <v>5121</v>
      </c>
      <c r="AJ2505">
        <v>40.086880000000001</v>
      </c>
      <c r="AK2505" t="s">
        <v>5122</v>
      </c>
      <c r="AL2505">
        <v>-75.434189000000003</v>
      </c>
      <c r="AM2505">
        <v>100</v>
      </c>
      <c r="AN2505">
        <v>4700</v>
      </c>
      <c r="AO2505" t="s">
        <v>115</v>
      </c>
      <c r="AP2505">
        <v>133</v>
      </c>
      <c r="AQ2505">
        <v>124</v>
      </c>
      <c r="AR2505">
        <v>0</v>
      </c>
      <c r="AZ2505">
        <v>3614</v>
      </c>
      <c r="BA2505">
        <v>1</v>
      </c>
      <c r="BB2505" t="str">
        <f t="shared" si="116"/>
        <v xml:space="preserve">N959MJ  </v>
      </c>
      <c r="BC2505">
        <v>1</v>
      </c>
      <c r="BE2505">
        <v>0</v>
      </c>
      <c r="BF2505">
        <v>0</v>
      </c>
      <c r="BG2505">
        <v>0</v>
      </c>
      <c r="BH2505">
        <v>4900</v>
      </c>
      <c r="BI2505">
        <v>200</v>
      </c>
      <c r="BJ2505">
        <v>1</v>
      </c>
      <c r="BK2505">
        <v>1</v>
      </c>
      <c r="BL2505">
        <v>1</v>
      </c>
      <c r="BM2505">
        <v>0</v>
      </c>
      <c r="BP2505">
        <v>0</v>
      </c>
      <c r="BQ2505">
        <v>0</v>
      </c>
      <c r="BX2505" t="str">
        <f>"14:32:06.250"</f>
        <v>14:32:06.250</v>
      </c>
      <c r="BY2505" t="str">
        <f>"246551260"</f>
        <v>246551260</v>
      </c>
      <c r="CL2505">
        <v>0</v>
      </c>
      <c r="CM2505">
        <v>2</v>
      </c>
      <c r="CN2505">
        <v>0</v>
      </c>
      <c r="CO2505">
        <v>2</v>
      </c>
      <c r="CP2505">
        <v>0</v>
      </c>
      <c r="CQ2505">
        <v>7</v>
      </c>
      <c r="CR2505" t="s">
        <v>116</v>
      </c>
      <c r="CS2505">
        <v>39</v>
      </c>
      <c r="CT2505">
        <v>0</v>
      </c>
      <c r="CU2505" t="s">
        <v>2259</v>
      </c>
      <c r="CV2505" t="s">
        <v>2260</v>
      </c>
      <c r="CY2505">
        <v>1970516</v>
      </c>
      <c r="CZ2505" t="s">
        <v>119</v>
      </c>
    </row>
    <row r="2506" spans="1:104" x14ac:dyDescent="0.25">
      <c r="A2506" t="str">
        <f>"14:32:07.422"</f>
        <v>14:32:07.422</v>
      </c>
      <c r="B2506" t="s">
        <v>108</v>
      </c>
      <c r="C2506" t="str">
        <f t="shared" ref="C2506:C2569" si="118">"ffdfd3c0"</f>
        <v>ffdfd3c0</v>
      </c>
      <c r="D2506" t="s">
        <v>109</v>
      </c>
      <c r="E2506">
        <v>4</v>
      </c>
      <c r="F2506">
        <v>1004</v>
      </c>
      <c r="G2506" t="s">
        <v>110</v>
      </c>
      <c r="J2506" t="s">
        <v>111</v>
      </c>
      <c r="K2506">
        <v>0</v>
      </c>
      <c r="L2506">
        <v>3</v>
      </c>
      <c r="M2506">
        <v>0</v>
      </c>
      <c r="N2506">
        <v>2</v>
      </c>
      <c r="O2506">
        <v>1</v>
      </c>
      <c r="P2506">
        <v>0</v>
      </c>
      <c r="Q2506">
        <v>0</v>
      </c>
      <c r="R2506" t="s">
        <v>112</v>
      </c>
      <c r="S2506" t="str">
        <f>"14:32:07.242"</f>
        <v>14:32:07.242</v>
      </c>
      <c r="T2506" t="str">
        <f>"14:32:06.742"</f>
        <v>14:32:06.742</v>
      </c>
      <c r="U2506" t="str">
        <f t="shared" si="117"/>
        <v>ad5732</v>
      </c>
      <c r="V2506">
        <v>0</v>
      </c>
      <c r="W2506">
        <v>0</v>
      </c>
      <c r="X2506">
        <v>1</v>
      </c>
      <c r="Z2506">
        <v>0</v>
      </c>
      <c r="AA2506">
        <v>9</v>
      </c>
      <c r="AB2506">
        <v>3</v>
      </c>
      <c r="AC2506">
        <v>0</v>
      </c>
      <c r="AD2506">
        <v>10</v>
      </c>
      <c r="AE2506">
        <v>0</v>
      </c>
      <c r="AF2506">
        <v>3</v>
      </c>
      <c r="AG2506">
        <v>2</v>
      </c>
      <c r="AH2506">
        <v>0</v>
      </c>
      <c r="AI2506" t="s">
        <v>5123</v>
      </c>
      <c r="AJ2506">
        <v>40.087437999999999</v>
      </c>
      <c r="AK2506" t="s">
        <v>5124</v>
      </c>
      <c r="AL2506">
        <v>-75.433373000000003</v>
      </c>
      <c r="AM2506">
        <v>100</v>
      </c>
      <c r="AN2506">
        <v>4700</v>
      </c>
      <c r="AO2506" t="s">
        <v>115</v>
      </c>
      <c r="AP2506">
        <v>133</v>
      </c>
      <c r="AQ2506">
        <v>124</v>
      </c>
      <c r="AR2506">
        <v>0</v>
      </c>
      <c r="AZ2506">
        <v>3614</v>
      </c>
      <c r="BA2506">
        <v>1</v>
      </c>
      <c r="BB2506" t="str">
        <f t="shared" ref="BB2506:BB2569" si="119">"N959MJ  "</f>
        <v xml:space="preserve">N959MJ  </v>
      </c>
      <c r="BC2506">
        <v>1</v>
      </c>
      <c r="BE2506">
        <v>0</v>
      </c>
      <c r="BF2506">
        <v>0</v>
      </c>
      <c r="BG2506">
        <v>0</v>
      </c>
      <c r="BH2506">
        <v>4900</v>
      </c>
      <c r="BI2506">
        <v>200</v>
      </c>
      <c r="BJ2506">
        <v>1</v>
      </c>
      <c r="BK2506">
        <v>1</v>
      </c>
      <c r="BL2506">
        <v>1</v>
      </c>
      <c r="BM2506">
        <v>0</v>
      </c>
      <c r="BP2506">
        <v>0</v>
      </c>
      <c r="BQ2506">
        <v>0</v>
      </c>
      <c r="BX2506" t="str">
        <f>"14:32:07.242"</f>
        <v>14:32:07.242</v>
      </c>
      <c r="BY2506" t="str">
        <f>"244354478"</f>
        <v>244354478</v>
      </c>
      <c r="CL2506">
        <v>0</v>
      </c>
      <c r="CM2506">
        <v>2</v>
      </c>
      <c r="CN2506">
        <v>0</v>
      </c>
      <c r="CO2506">
        <v>2</v>
      </c>
      <c r="CP2506">
        <v>0</v>
      </c>
      <c r="CQ2506">
        <v>7</v>
      </c>
      <c r="CR2506" t="s">
        <v>116</v>
      </c>
      <c r="CS2506">
        <v>39</v>
      </c>
      <c r="CT2506">
        <v>0</v>
      </c>
      <c r="CU2506" t="s">
        <v>2259</v>
      </c>
      <c r="CV2506" t="s">
        <v>2260</v>
      </c>
      <c r="CY2506">
        <v>1972333</v>
      </c>
      <c r="CZ2506" t="s">
        <v>119</v>
      </c>
    </row>
    <row r="2507" spans="1:104" x14ac:dyDescent="0.25">
      <c r="A2507" t="str">
        <f>"14:32:08.273"</f>
        <v>14:32:08.273</v>
      </c>
      <c r="B2507" t="s">
        <v>108</v>
      </c>
      <c r="C2507" t="str">
        <f t="shared" si="118"/>
        <v>ffdfd3c0</v>
      </c>
      <c r="D2507" t="s">
        <v>109</v>
      </c>
      <c r="E2507">
        <v>4</v>
      </c>
      <c r="F2507">
        <v>1004</v>
      </c>
      <c r="G2507" t="s">
        <v>110</v>
      </c>
      <c r="J2507" t="s">
        <v>111</v>
      </c>
      <c r="K2507">
        <v>0</v>
      </c>
      <c r="L2507">
        <v>3</v>
      </c>
      <c r="M2507">
        <v>0</v>
      </c>
      <c r="N2507">
        <v>2</v>
      </c>
      <c r="O2507">
        <v>1</v>
      </c>
      <c r="P2507">
        <v>0</v>
      </c>
      <c r="Q2507">
        <v>0</v>
      </c>
      <c r="R2507" t="s">
        <v>112</v>
      </c>
      <c r="S2507" t="str">
        <f>"14:32:08.078"</f>
        <v>14:32:08.078</v>
      </c>
      <c r="T2507" t="str">
        <f>"14:32:07.680"</f>
        <v>14:32:07.680</v>
      </c>
      <c r="U2507" t="str">
        <f t="shared" si="117"/>
        <v>ad5732</v>
      </c>
      <c r="V2507">
        <v>0</v>
      </c>
      <c r="W2507">
        <v>0</v>
      </c>
      <c r="X2507">
        <v>1</v>
      </c>
      <c r="Z2507">
        <v>0</v>
      </c>
      <c r="AA2507">
        <v>9</v>
      </c>
      <c r="AB2507">
        <v>3</v>
      </c>
      <c r="AC2507">
        <v>0</v>
      </c>
      <c r="AD2507">
        <v>10</v>
      </c>
      <c r="AE2507">
        <v>0</v>
      </c>
      <c r="AF2507">
        <v>3</v>
      </c>
      <c r="AG2507">
        <v>2</v>
      </c>
      <c r="AH2507">
        <v>0</v>
      </c>
      <c r="AI2507" t="s">
        <v>5125</v>
      </c>
      <c r="AJ2507">
        <v>40.087910000000001</v>
      </c>
      <c r="AK2507" t="s">
        <v>5126</v>
      </c>
      <c r="AL2507">
        <v>-75.432750999999996</v>
      </c>
      <c r="AM2507">
        <v>100</v>
      </c>
      <c r="AN2507">
        <v>4700</v>
      </c>
      <c r="AO2507" t="s">
        <v>115</v>
      </c>
      <c r="AP2507">
        <v>133</v>
      </c>
      <c r="AQ2507">
        <v>124</v>
      </c>
      <c r="AR2507">
        <v>0</v>
      </c>
      <c r="AZ2507">
        <v>3614</v>
      </c>
      <c r="BA2507">
        <v>1</v>
      </c>
      <c r="BB2507" t="str">
        <f t="shared" si="119"/>
        <v xml:space="preserve">N959MJ  </v>
      </c>
      <c r="BC2507">
        <v>1</v>
      </c>
      <c r="BE2507">
        <v>0</v>
      </c>
      <c r="BF2507">
        <v>0</v>
      </c>
      <c r="BG2507">
        <v>0</v>
      </c>
      <c r="BH2507">
        <v>4900</v>
      </c>
      <c r="BI2507">
        <v>200</v>
      </c>
      <c r="BJ2507">
        <v>1</v>
      </c>
      <c r="BK2507">
        <v>1</v>
      </c>
      <c r="BL2507">
        <v>1</v>
      </c>
      <c r="BM2507">
        <v>0</v>
      </c>
      <c r="BP2507">
        <v>0</v>
      </c>
      <c r="BQ2507">
        <v>0</v>
      </c>
      <c r="BX2507" t="str">
        <f>"14:32:08.086"</f>
        <v>14:32:08.086</v>
      </c>
      <c r="BY2507" t="str">
        <f>"084868417"</f>
        <v>084868417</v>
      </c>
      <c r="CL2507">
        <v>0</v>
      </c>
      <c r="CM2507">
        <v>2</v>
      </c>
      <c r="CN2507">
        <v>0</v>
      </c>
      <c r="CO2507">
        <v>2</v>
      </c>
      <c r="CP2507">
        <v>0</v>
      </c>
      <c r="CQ2507">
        <v>7</v>
      </c>
      <c r="CR2507" t="s">
        <v>116</v>
      </c>
      <c r="CS2507">
        <v>39</v>
      </c>
      <c r="CT2507">
        <v>0</v>
      </c>
      <c r="CU2507" t="s">
        <v>2259</v>
      </c>
      <c r="CV2507" t="s">
        <v>2260</v>
      </c>
      <c r="CY2507">
        <v>1973819</v>
      </c>
      <c r="CZ2507" t="s">
        <v>119</v>
      </c>
    </row>
    <row r="2508" spans="1:104" x14ac:dyDescent="0.25">
      <c r="A2508" t="str">
        <f>"14:32:09.141"</f>
        <v>14:32:09.141</v>
      </c>
      <c r="B2508" t="s">
        <v>108</v>
      </c>
      <c r="C2508" t="str">
        <f t="shared" si="118"/>
        <v>ffdfd3c0</v>
      </c>
      <c r="D2508" t="s">
        <v>109</v>
      </c>
      <c r="E2508">
        <v>4</v>
      </c>
      <c r="F2508">
        <v>1004</v>
      </c>
      <c r="G2508" t="s">
        <v>110</v>
      </c>
      <c r="J2508" t="s">
        <v>111</v>
      </c>
      <c r="K2508">
        <v>0</v>
      </c>
      <c r="L2508">
        <v>3</v>
      </c>
      <c r="M2508">
        <v>0</v>
      </c>
      <c r="N2508">
        <v>2</v>
      </c>
      <c r="O2508">
        <v>1</v>
      </c>
      <c r="P2508">
        <v>0</v>
      </c>
      <c r="Q2508">
        <v>0</v>
      </c>
      <c r="R2508" t="s">
        <v>112</v>
      </c>
      <c r="S2508" t="str">
        <f>"14:32:08.938"</f>
        <v>14:32:08.938</v>
      </c>
      <c r="T2508" t="str">
        <f>"14:32:08.539"</f>
        <v>14:32:08.539</v>
      </c>
      <c r="U2508" t="str">
        <f t="shared" si="117"/>
        <v>ad5732</v>
      </c>
      <c r="V2508">
        <v>0</v>
      </c>
      <c r="W2508">
        <v>0</v>
      </c>
      <c r="X2508">
        <v>1</v>
      </c>
      <c r="Z2508">
        <v>0</v>
      </c>
      <c r="AA2508">
        <v>9</v>
      </c>
      <c r="AB2508">
        <v>3</v>
      </c>
      <c r="AC2508">
        <v>0</v>
      </c>
      <c r="AD2508">
        <v>10</v>
      </c>
      <c r="AE2508">
        <v>0</v>
      </c>
      <c r="AF2508">
        <v>3</v>
      </c>
      <c r="AG2508">
        <v>2</v>
      </c>
      <c r="AH2508">
        <v>0</v>
      </c>
      <c r="AI2508" t="s">
        <v>5127</v>
      </c>
      <c r="AJ2508">
        <v>40.088425000000001</v>
      </c>
      <c r="AK2508" t="s">
        <v>5128</v>
      </c>
      <c r="AL2508">
        <v>-75.432000000000002</v>
      </c>
      <c r="AM2508">
        <v>100</v>
      </c>
      <c r="AN2508">
        <v>4700</v>
      </c>
      <c r="AO2508" t="s">
        <v>115</v>
      </c>
      <c r="AP2508">
        <v>133</v>
      </c>
      <c r="AQ2508">
        <v>124</v>
      </c>
      <c r="AR2508">
        <v>0</v>
      </c>
      <c r="AZ2508">
        <v>3614</v>
      </c>
      <c r="BA2508">
        <v>1</v>
      </c>
      <c r="BB2508" t="str">
        <f t="shared" si="119"/>
        <v xml:space="preserve">N959MJ  </v>
      </c>
      <c r="BC2508">
        <v>1</v>
      </c>
      <c r="BE2508">
        <v>0</v>
      </c>
      <c r="BF2508">
        <v>0</v>
      </c>
      <c r="BG2508">
        <v>0</v>
      </c>
      <c r="BH2508">
        <v>4900</v>
      </c>
      <c r="BI2508">
        <v>200</v>
      </c>
      <c r="BJ2508">
        <v>1</v>
      </c>
      <c r="BK2508">
        <v>1</v>
      </c>
      <c r="BL2508">
        <v>1</v>
      </c>
      <c r="BM2508">
        <v>0</v>
      </c>
      <c r="BP2508">
        <v>0</v>
      </c>
      <c r="BQ2508">
        <v>0</v>
      </c>
      <c r="BX2508" t="str">
        <f>"14:32:08.945"</f>
        <v>14:32:08.945</v>
      </c>
      <c r="BY2508" t="str">
        <f>"941766707"</f>
        <v>941766707</v>
      </c>
      <c r="CL2508">
        <v>0</v>
      </c>
      <c r="CM2508">
        <v>2</v>
      </c>
      <c r="CN2508">
        <v>0</v>
      </c>
      <c r="CO2508">
        <v>2</v>
      </c>
      <c r="CP2508">
        <v>0</v>
      </c>
      <c r="CQ2508">
        <v>7</v>
      </c>
      <c r="CR2508" t="s">
        <v>116</v>
      </c>
      <c r="CS2508">
        <v>39</v>
      </c>
      <c r="CT2508">
        <v>0</v>
      </c>
      <c r="CU2508" t="s">
        <v>2259</v>
      </c>
      <c r="CV2508" t="s">
        <v>2260</v>
      </c>
      <c r="CY2508">
        <v>1975271</v>
      </c>
      <c r="CZ2508" t="s">
        <v>119</v>
      </c>
    </row>
    <row r="2509" spans="1:104" x14ac:dyDescent="0.25">
      <c r="A2509" t="str">
        <f>"14:32:10.047"</f>
        <v>14:32:10.047</v>
      </c>
      <c r="B2509" t="s">
        <v>108</v>
      </c>
      <c r="C2509" t="str">
        <f t="shared" si="118"/>
        <v>ffdfd3c0</v>
      </c>
      <c r="D2509" t="s">
        <v>109</v>
      </c>
      <c r="E2509">
        <v>4</v>
      </c>
      <c r="F2509">
        <v>1004</v>
      </c>
      <c r="G2509" t="s">
        <v>110</v>
      </c>
      <c r="J2509" t="s">
        <v>111</v>
      </c>
      <c r="K2509">
        <v>0</v>
      </c>
      <c r="L2509">
        <v>3</v>
      </c>
      <c r="M2509">
        <v>0</v>
      </c>
      <c r="N2509">
        <v>2</v>
      </c>
      <c r="O2509">
        <v>1</v>
      </c>
      <c r="P2509">
        <v>0</v>
      </c>
      <c r="Q2509">
        <v>0</v>
      </c>
      <c r="R2509" t="s">
        <v>112</v>
      </c>
      <c r="S2509" t="str">
        <f>"14:32:09.859"</f>
        <v>14:32:09.859</v>
      </c>
      <c r="T2509" t="str">
        <f>"14:32:09.461"</f>
        <v>14:32:09.461</v>
      </c>
      <c r="U2509" t="str">
        <f t="shared" si="117"/>
        <v>ad5732</v>
      </c>
      <c r="V2509">
        <v>0</v>
      </c>
      <c r="W2509">
        <v>0</v>
      </c>
      <c r="X2509">
        <v>1</v>
      </c>
      <c r="Z2509">
        <v>0</v>
      </c>
      <c r="AA2509">
        <v>9</v>
      </c>
      <c r="AB2509">
        <v>3</v>
      </c>
      <c r="AC2509">
        <v>0</v>
      </c>
      <c r="AD2509">
        <v>10</v>
      </c>
      <c r="AE2509">
        <v>0</v>
      </c>
      <c r="AF2509">
        <v>3</v>
      </c>
      <c r="AG2509">
        <v>2</v>
      </c>
      <c r="AH2509">
        <v>0</v>
      </c>
      <c r="AI2509" t="s">
        <v>5129</v>
      </c>
      <c r="AJ2509">
        <v>40.088918</v>
      </c>
      <c r="AK2509" t="s">
        <v>5130</v>
      </c>
      <c r="AL2509">
        <v>-75.431314</v>
      </c>
      <c r="AM2509">
        <v>100</v>
      </c>
      <c r="AN2509">
        <v>4700</v>
      </c>
      <c r="AO2509" t="s">
        <v>115</v>
      </c>
      <c r="AP2509">
        <v>133</v>
      </c>
      <c r="AQ2509">
        <v>124</v>
      </c>
      <c r="AR2509">
        <v>-64</v>
      </c>
      <c r="AZ2509">
        <v>3614</v>
      </c>
      <c r="BA2509">
        <v>1</v>
      </c>
      <c r="BB2509" t="str">
        <f t="shared" si="119"/>
        <v xml:space="preserve">N959MJ  </v>
      </c>
      <c r="BC2509">
        <v>1</v>
      </c>
      <c r="BE2509">
        <v>0</v>
      </c>
      <c r="BF2509">
        <v>0</v>
      </c>
      <c r="BG2509">
        <v>0</v>
      </c>
      <c r="BH2509">
        <v>4900</v>
      </c>
      <c r="BI2509">
        <v>200</v>
      </c>
      <c r="BJ2509">
        <v>1</v>
      </c>
      <c r="BK2509">
        <v>1</v>
      </c>
      <c r="BL2509">
        <v>1</v>
      </c>
      <c r="BM2509">
        <v>0</v>
      </c>
      <c r="BP2509">
        <v>0</v>
      </c>
      <c r="BQ2509">
        <v>0</v>
      </c>
      <c r="BX2509" t="str">
        <f>"14:32:09.867"</f>
        <v>14:32:09.867</v>
      </c>
      <c r="BY2509" t="str">
        <f>"865840573"</f>
        <v>865840573</v>
      </c>
      <c r="CL2509">
        <v>0</v>
      </c>
      <c r="CM2509">
        <v>2</v>
      </c>
      <c r="CN2509">
        <v>0</v>
      </c>
      <c r="CO2509">
        <v>2</v>
      </c>
      <c r="CP2509">
        <v>0</v>
      </c>
      <c r="CQ2509">
        <v>7</v>
      </c>
      <c r="CR2509" t="s">
        <v>116</v>
      </c>
      <c r="CS2509">
        <v>39</v>
      </c>
      <c r="CT2509">
        <v>0</v>
      </c>
      <c r="CU2509" t="s">
        <v>2259</v>
      </c>
      <c r="CV2509" t="s">
        <v>2260</v>
      </c>
      <c r="CY2509">
        <v>1976803</v>
      </c>
      <c r="CZ2509" t="s">
        <v>119</v>
      </c>
    </row>
    <row r="2510" spans="1:104" x14ac:dyDescent="0.25">
      <c r="A2510" t="str">
        <f>"14:32:10.953"</f>
        <v>14:32:10.953</v>
      </c>
      <c r="B2510" t="s">
        <v>108</v>
      </c>
      <c r="C2510" t="str">
        <f t="shared" si="118"/>
        <v>ffdfd3c0</v>
      </c>
      <c r="D2510" t="s">
        <v>109</v>
      </c>
      <c r="E2510">
        <v>4</v>
      </c>
      <c r="F2510">
        <v>1004</v>
      </c>
      <c r="G2510" t="s">
        <v>110</v>
      </c>
      <c r="J2510" t="s">
        <v>111</v>
      </c>
      <c r="K2510">
        <v>0</v>
      </c>
      <c r="L2510">
        <v>3</v>
      </c>
      <c r="M2510">
        <v>0</v>
      </c>
      <c r="N2510">
        <v>2</v>
      </c>
      <c r="O2510">
        <v>1</v>
      </c>
      <c r="P2510">
        <v>0</v>
      </c>
      <c r="Q2510">
        <v>0</v>
      </c>
      <c r="R2510" t="s">
        <v>112</v>
      </c>
      <c r="S2510" t="str">
        <f>"14:32:10.773"</f>
        <v>14:32:10.773</v>
      </c>
      <c r="T2510" t="str">
        <f>"14:32:10.375"</f>
        <v>14:32:10.375</v>
      </c>
      <c r="U2510" t="str">
        <f t="shared" si="117"/>
        <v>ad5732</v>
      </c>
      <c r="V2510">
        <v>0</v>
      </c>
      <c r="W2510">
        <v>0</v>
      </c>
      <c r="X2510">
        <v>1</v>
      </c>
      <c r="Z2510">
        <v>0</v>
      </c>
      <c r="AA2510">
        <v>9</v>
      </c>
      <c r="AB2510">
        <v>3</v>
      </c>
      <c r="AC2510">
        <v>0</v>
      </c>
      <c r="AD2510">
        <v>10</v>
      </c>
      <c r="AE2510">
        <v>0</v>
      </c>
      <c r="AF2510">
        <v>3</v>
      </c>
      <c r="AG2510">
        <v>2</v>
      </c>
      <c r="AH2510">
        <v>0</v>
      </c>
      <c r="AI2510" t="s">
        <v>5131</v>
      </c>
      <c r="AJ2510">
        <v>40.089433</v>
      </c>
      <c r="AK2510" t="s">
        <v>5132</v>
      </c>
      <c r="AL2510">
        <v>-75.430541000000005</v>
      </c>
      <c r="AM2510">
        <v>100</v>
      </c>
      <c r="AN2510">
        <v>4700</v>
      </c>
      <c r="AO2510" t="s">
        <v>115</v>
      </c>
      <c r="AP2510">
        <v>134</v>
      </c>
      <c r="AQ2510">
        <v>124</v>
      </c>
      <c r="AR2510">
        <v>0</v>
      </c>
      <c r="AZ2510">
        <v>3614</v>
      </c>
      <c r="BA2510">
        <v>1</v>
      </c>
      <c r="BB2510" t="str">
        <f t="shared" si="119"/>
        <v xml:space="preserve">N959MJ  </v>
      </c>
      <c r="BC2510">
        <v>1</v>
      </c>
      <c r="BE2510">
        <v>0</v>
      </c>
      <c r="BF2510">
        <v>0</v>
      </c>
      <c r="BG2510">
        <v>0</v>
      </c>
      <c r="BH2510">
        <v>4900</v>
      </c>
      <c r="BI2510">
        <v>200</v>
      </c>
      <c r="BJ2510">
        <v>1</v>
      </c>
      <c r="BK2510">
        <v>1</v>
      </c>
      <c r="BL2510">
        <v>1</v>
      </c>
      <c r="BM2510">
        <v>0</v>
      </c>
      <c r="BP2510">
        <v>0</v>
      </c>
      <c r="BQ2510">
        <v>0</v>
      </c>
      <c r="BX2510" t="str">
        <f>"14:32:10.773"</f>
        <v>14:32:10.773</v>
      </c>
      <c r="BY2510" t="str">
        <f>"775168578"</f>
        <v>775168578</v>
      </c>
      <c r="CL2510">
        <v>0</v>
      </c>
      <c r="CM2510">
        <v>2</v>
      </c>
      <c r="CN2510">
        <v>0</v>
      </c>
      <c r="CO2510">
        <v>2</v>
      </c>
      <c r="CP2510">
        <v>0</v>
      </c>
      <c r="CQ2510">
        <v>7</v>
      </c>
      <c r="CR2510" t="s">
        <v>116</v>
      </c>
      <c r="CS2510">
        <v>39</v>
      </c>
      <c r="CT2510">
        <v>0</v>
      </c>
      <c r="CU2510" t="s">
        <v>2259</v>
      </c>
      <c r="CV2510" t="s">
        <v>2260</v>
      </c>
      <c r="CY2510">
        <v>1978173</v>
      </c>
      <c r="CZ2510" t="s">
        <v>119</v>
      </c>
    </row>
    <row r="2511" spans="1:104" x14ac:dyDescent="0.25">
      <c r="A2511" t="str">
        <f>"14:32:11.961"</f>
        <v>14:32:11.961</v>
      </c>
      <c r="B2511" t="s">
        <v>108</v>
      </c>
      <c r="C2511" t="str">
        <f t="shared" si="118"/>
        <v>ffdfd3c0</v>
      </c>
      <c r="D2511" t="s">
        <v>109</v>
      </c>
      <c r="E2511">
        <v>4</v>
      </c>
      <c r="F2511">
        <v>1004</v>
      </c>
      <c r="G2511" t="s">
        <v>110</v>
      </c>
      <c r="J2511" t="s">
        <v>111</v>
      </c>
      <c r="K2511">
        <v>0</v>
      </c>
      <c r="L2511">
        <v>3</v>
      </c>
      <c r="M2511">
        <v>0</v>
      </c>
      <c r="N2511">
        <v>2</v>
      </c>
      <c r="O2511">
        <v>1</v>
      </c>
      <c r="P2511">
        <v>0</v>
      </c>
      <c r="Q2511">
        <v>0</v>
      </c>
      <c r="R2511" t="s">
        <v>112</v>
      </c>
      <c r="S2511" t="str">
        <f>"14:32:11.797"</f>
        <v>14:32:11.797</v>
      </c>
      <c r="T2511" t="str">
        <f>"14:32:11.398"</f>
        <v>14:32:11.398</v>
      </c>
      <c r="U2511" t="str">
        <f t="shared" si="117"/>
        <v>ad5732</v>
      </c>
      <c r="V2511">
        <v>0</v>
      </c>
      <c r="W2511">
        <v>0</v>
      </c>
      <c r="X2511">
        <v>1</v>
      </c>
      <c r="Z2511">
        <v>0</v>
      </c>
      <c r="AA2511">
        <v>9</v>
      </c>
      <c r="AB2511">
        <v>3</v>
      </c>
      <c r="AC2511">
        <v>0</v>
      </c>
      <c r="AD2511">
        <v>10</v>
      </c>
      <c r="AE2511">
        <v>0</v>
      </c>
      <c r="AF2511">
        <v>3</v>
      </c>
      <c r="AG2511">
        <v>2</v>
      </c>
      <c r="AH2511">
        <v>0</v>
      </c>
      <c r="AI2511" t="s">
        <v>5133</v>
      </c>
      <c r="AJ2511">
        <v>40.090034000000003</v>
      </c>
      <c r="AK2511" t="s">
        <v>5134</v>
      </c>
      <c r="AL2511">
        <v>-75.429747000000006</v>
      </c>
      <c r="AM2511">
        <v>100</v>
      </c>
      <c r="AN2511">
        <v>4700</v>
      </c>
      <c r="AO2511" t="s">
        <v>115</v>
      </c>
      <c r="AP2511">
        <v>134</v>
      </c>
      <c r="AQ2511">
        <v>124</v>
      </c>
      <c r="AR2511">
        <v>0</v>
      </c>
      <c r="AZ2511">
        <v>3614</v>
      </c>
      <c r="BA2511">
        <v>1</v>
      </c>
      <c r="BB2511" t="str">
        <f t="shared" si="119"/>
        <v xml:space="preserve">N959MJ  </v>
      </c>
      <c r="BC2511">
        <v>1</v>
      </c>
      <c r="BE2511">
        <v>0</v>
      </c>
      <c r="BF2511">
        <v>0</v>
      </c>
      <c r="BG2511">
        <v>0</v>
      </c>
      <c r="BH2511">
        <v>4900</v>
      </c>
      <c r="BI2511">
        <v>200</v>
      </c>
      <c r="BJ2511">
        <v>1</v>
      </c>
      <c r="BK2511">
        <v>1</v>
      </c>
      <c r="BL2511">
        <v>1</v>
      </c>
      <c r="BM2511">
        <v>0</v>
      </c>
      <c r="BP2511">
        <v>0</v>
      </c>
      <c r="BQ2511">
        <v>0</v>
      </c>
      <c r="BX2511" t="str">
        <f>"14:32:11.797"</f>
        <v>14:32:11.797</v>
      </c>
      <c r="BY2511" t="str">
        <f>"799186597"</f>
        <v>799186597</v>
      </c>
      <c r="CL2511">
        <v>0</v>
      </c>
      <c r="CM2511">
        <v>2</v>
      </c>
      <c r="CN2511">
        <v>0</v>
      </c>
      <c r="CO2511">
        <v>2</v>
      </c>
      <c r="CP2511">
        <v>0</v>
      </c>
      <c r="CQ2511">
        <v>7</v>
      </c>
      <c r="CR2511" t="s">
        <v>116</v>
      </c>
      <c r="CS2511">
        <v>39</v>
      </c>
      <c r="CT2511">
        <v>0</v>
      </c>
      <c r="CU2511" t="s">
        <v>2259</v>
      </c>
      <c r="CV2511" t="s">
        <v>2260</v>
      </c>
      <c r="CY2511">
        <v>1980026</v>
      </c>
      <c r="CZ2511" t="s">
        <v>119</v>
      </c>
    </row>
    <row r="2512" spans="1:104" x14ac:dyDescent="0.25">
      <c r="A2512" t="str">
        <f>"14:32:12.820"</f>
        <v>14:32:12.820</v>
      </c>
      <c r="B2512" t="s">
        <v>108</v>
      </c>
      <c r="C2512" t="str">
        <f t="shared" si="118"/>
        <v>ffdfd3c0</v>
      </c>
      <c r="D2512" t="s">
        <v>109</v>
      </c>
      <c r="E2512">
        <v>4</v>
      </c>
      <c r="F2512">
        <v>1004</v>
      </c>
      <c r="G2512" t="s">
        <v>110</v>
      </c>
      <c r="J2512" t="s">
        <v>111</v>
      </c>
      <c r="K2512">
        <v>0</v>
      </c>
      <c r="L2512">
        <v>3</v>
      </c>
      <c r="M2512">
        <v>0</v>
      </c>
      <c r="N2512">
        <v>2</v>
      </c>
      <c r="O2512">
        <v>1</v>
      </c>
      <c r="P2512">
        <v>0</v>
      </c>
      <c r="Q2512">
        <v>0</v>
      </c>
      <c r="R2512" t="s">
        <v>112</v>
      </c>
      <c r="S2512" t="str">
        <f>"14:32:12.625"</f>
        <v>14:32:12.625</v>
      </c>
      <c r="T2512" t="str">
        <f>"14:32:12.227"</f>
        <v>14:32:12.227</v>
      </c>
      <c r="U2512" t="str">
        <f t="shared" si="117"/>
        <v>ad5732</v>
      </c>
      <c r="V2512">
        <v>0</v>
      </c>
      <c r="W2512">
        <v>0</v>
      </c>
      <c r="X2512">
        <v>1</v>
      </c>
      <c r="Z2512">
        <v>0</v>
      </c>
      <c r="AA2512">
        <v>9</v>
      </c>
      <c r="AB2512">
        <v>3</v>
      </c>
      <c r="AC2512">
        <v>0</v>
      </c>
      <c r="AD2512">
        <v>10</v>
      </c>
      <c r="AE2512">
        <v>0</v>
      </c>
      <c r="AF2512">
        <v>3</v>
      </c>
      <c r="AG2512">
        <v>2</v>
      </c>
      <c r="AH2512">
        <v>0</v>
      </c>
      <c r="AI2512" t="s">
        <v>5135</v>
      </c>
      <c r="AJ2512">
        <v>40.090549000000003</v>
      </c>
      <c r="AK2512" t="s">
        <v>5136</v>
      </c>
      <c r="AL2512">
        <v>-75.429017999999999</v>
      </c>
      <c r="AM2512">
        <v>100</v>
      </c>
      <c r="AN2512">
        <v>4700</v>
      </c>
      <c r="AO2512" t="s">
        <v>115</v>
      </c>
      <c r="AP2512">
        <v>134</v>
      </c>
      <c r="AQ2512">
        <v>124</v>
      </c>
      <c r="AR2512">
        <v>-64</v>
      </c>
      <c r="AZ2512">
        <v>3614</v>
      </c>
      <c r="BA2512">
        <v>1</v>
      </c>
      <c r="BB2512" t="str">
        <f t="shared" si="119"/>
        <v xml:space="preserve">N959MJ  </v>
      </c>
      <c r="BC2512">
        <v>1</v>
      </c>
      <c r="BE2512">
        <v>0</v>
      </c>
      <c r="BF2512">
        <v>0</v>
      </c>
      <c r="BG2512">
        <v>0</v>
      </c>
      <c r="BH2512">
        <v>4900</v>
      </c>
      <c r="BI2512">
        <v>200</v>
      </c>
      <c r="BJ2512">
        <v>1</v>
      </c>
      <c r="BK2512">
        <v>1</v>
      </c>
      <c r="BL2512">
        <v>1</v>
      </c>
      <c r="BM2512">
        <v>0</v>
      </c>
      <c r="BP2512">
        <v>0</v>
      </c>
      <c r="BQ2512">
        <v>0</v>
      </c>
      <c r="BX2512" t="str">
        <f>"14:32:12.625"</f>
        <v>14:32:12.625</v>
      </c>
      <c r="BY2512" t="str">
        <f>"626593165"</f>
        <v>626593165</v>
      </c>
      <c r="CL2512">
        <v>0</v>
      </c>
      <c r="CM2512">
        <v>2</v>
      </c>
      <c r="CN2512">
        <v>0</v>
      </c>
      <c r="CO2512">
        <v>2</v>
      </c>
      <c r="CP2512">
        <v>0</v>
      </c>
      <c r="CQ2512">
        <v>7</v>
      </c>
      <c r="CR2512" t="s">
        <v>116</v>
      </c>
      <c r="CS2512">
        <v>39</v>
      </c>
      <c r="CT2512">
        <v>0</v>
      </c>
      <c r="CU2512" t="s">
        <v>2259</v>
      </c>
      <c r="CV2512" t="s">
        <v>2260</v>
      </c>
      <c r="CY2512">
        <v>1981485</v>
      </c>
      <c r="CZ2512" t="s">
        <v>119</v>
      </c>
    </row>
    <row r="2513" spans="1:104" x14ac:dyDescent="0.25">
      <c r="A2513" t="str">
        <f>"14:32:13.828"</f>
        <v>14:32:13.828</v>
      </c>
      <c r="B2513" t="s">
        <v>108</v>
      </c>
      <c r="C2513" t="str">
        <f t="shared" si="118"/>
        <v>ffdfd3c0</v>
      </c>
      <c r="D2513" t="s">
        <v>109</v>
      </c>
      <c r="E2513">
        <v>4</v>
      </c>
      <c r="F2513">
        <v>1004</v>
      </c>
      <c r="G2513" t="s">
        <v>110</v>
      </c>
      <c r="J2513" t="s">
        <v>111</v>
      </c>
      <c r="K2513">
        <v>0</v>
      </c>
      <c r="L2513">
        <v>3</v>
      </c>
      <c r="M2513">
        <v>0</v>
      </c>
      <c r="N2513">
        <v>2</v>
      </c>
      <c r="O2513">
        <v>1</v>
      </c>
      <c r="P2513">
        <v>0</v>
      </c>
      <c r="Q2513">
        <v>0</v>
      </c>
      <c r="R2513" t="s">
        <v>112</v>
      </c>
      <c r="S2513" t="str">
        <f>"14:32:13.656"</f>
        <v>14:32:13.656</v>
      </c>
      <c r="T2513" t="str">
        <f>"14:32:13.156"</f>
        <v>14:32:13.156</v>
      </c>
      <c r="U2513" t="str">
        <f t="shared" si="117"/>
        <v>ad5732</v>
      </c>
      <c r="V2513">
        <v>0</v>
      </c>
      <c r="W2513">
        <v>0</v>
      </c>
      <c r="X2513">
        <v>1</v>
      </c>
      <c r="Z2513">
        <v>0</v>
      </c>
      <c r="AA2513">
        <v>9</v>
      </c>
      <c r="AB2513">
        <v>3</v>
      </c>
      <c r="AC2513">
        <v>0</v>
      </c>
      <c r="AD2513">
        <v>10</v>
      </c>
      <c r="AE2513">
        <v>0</v>
      </c>
      <c r="AF2513">
        <v>3</v>
      </c>
      <c r="AG2513">
        <v>2</v>
      </c>
      <c r="AH2513">
        <v>0</v>
      </c>
      <c r="AI2513" t="s">
        <v>5137</v>
      </c>
      <c r="AJ2513">
        <v>40.091107000000001</v>
      </c>
      <c r="AK2513" t="s">
        <v>5138</v>
      </c>
      <c r="AL2513">
        <v>-75.428201999999999</v>
      </c>
      <c r="AM2513">
        <v>100</v>
      </c>
      <c r="AN2513">
        <v>4700</v>
      </c>
      <c r="AO2513" t="s">
        <v>115</v>
      </c>
      <c r="AP2513">
        <v>134</v>
      </c>
      <c r="AQ2513">
        <v>123</v>
      </c>
      <c r="AR2513">
        <v>0</v>
      </c>
      <c r="AZ2513">
        <v>3614</v>
      </c>
      <c r="BA2513">
        <v>1</v>
      </c>
      <c r="BB2513" t="str">
        <f t="shared" si="119"/>
        <v xml:space="preserve">N959MJ  </v>
      </c>
      <c r="BC2513">
        <v>1</v>
      </c>
      <c r="BE2513">
        <v>0</v>
      </c>
      <c r="BF2513">
        <v>0</v>
      </c>
      <c r="BG2513">
        <v>0</v>
      </c>
      <c r="BH2513">
        <v>4900</v>
      </c>
      <c r="BI2513">
        <v>200</v>
      </c>
      <c r="BJ2513">
        <v>1</v>
      </c>
      <c r="BK2513">
        <v>1</v>
      </c>
      <c r="BL2513">
        <v>1</v>
      </c>
      <c r="BM2513">
        <v>0</v>
      </c>
      <c r="BP2513">
        <v>0</v>
      </c>
      <c r="BQ2513">
        <v>0</v>
      </c>
      <c r="BX2513" t="str">
        <f>"14:32:13.656"</f>
        <v>14:32:13.656</v>
      </c>
      <c r="BY2513" t="str">
        <f>"657164899"</f>
        <v>657164899</v>
      </c>
      <c r="CL2513">
        <v>0</v>
      </c>
      <c r="CM2513">
        <v>2</v>
      </c>
      <c r="CN2513">
        <v>0</v>
      </c>
      <c r="CO2513">
        <v>2</v>
      </c>
      <c r="CP2513">
        <v>0</v>
      </c>
      <c r="CQ2513">
        <v>7</v>
      </c>
      <c r="CR2513" t="s">
        <v>116</v>
      </c>
      <c r="CS2513">
        <v>39</v>
      </c>
      <c r="CT2513">
        <v>0</v>
      </c>
      <c r="CU2513" t="s">
        <v>2259</v>
      </c>
      <c r="CV2513" t="s">
        <v>2260</v>
      </c>
      <c r="CY2513">
        <v>1983297</v>
      </c>
      <c r="CZ2513" t="s">
        <v>119</v>
      </c>
    </row>
    <row r="2514" spans="1:104" x14ac:dyDescent="0.25">
      <c r="A2514" t="str">
        <f>"14:32:14.945"</f>
        <v>14:32:14.945</v>
      </c>
      <c r="B2514" t="s">
        <v>108</v>
      </c>
      <c r="C2514" t="str">
        <f t="shared" si="118"/>
        <v>ffdfd3c0</v>
      </c>
      <c r="D2514" t="s">
        <v>109</v>
      </c>
      <c r="E2514">
        <v>4</v>
      </c>
      <c r="F2514">
        <v>1004</v>
      </c>
      <c r="G2514" t="s">
        <v>110</v>
      </c>
      <c r="J2514" t="s">
        <v>111</v>
      </c>
      <c r="K2514">
        <v>0</v>
      </c>
      <c r="L2514">
        <v>3</v>
      </c>
      <c r="M2514">
        <v>0</v>
      </c>
      <c r="N2514">
        <v>2</v>
      </c>
      <c r="O2514">
        <v>1</v>
      </c>
      <c r="P2514">
        <v>0</v>
      </c>
      <c r="Q2514">
        <v>0</v>
      </c>
      <c r="R2514" t="s">
        <v>112</v>
      </c>
      <c r="S2514" t="str">
        <f>"14:32:14.742"</f>
        <v>14:32:14.742</v>
      </c>
      <c r="T2514" t="str">
        <f>"14:32:14.242"</f>
        <v>14:32:14.242</v>
      </c>
      <c r="U2514" t="str">
        <f t="shared" si="117"/>
        <v>ad5732</v>
      </c>
      <c r="V2514">
        <v>0</v>
      </c>
      <c r="W2514">
        <v>0</v>
      </c>
      <c r="X2514">
        <v>1</v>
      </c>
      <c r="Z2514">
        <v>0</v>
      </c>
      <c r="AA2514">
        <v>9</v>
      </c>
      <c r="AB2514">
        <v>3</v>
      </c>
      <c r="AC2514">
        <v>0</v>
      </c>
      <c r="AD2514">
        <v>10</v>
      </c>
      <c r="AE2514">
        <v>0</v>
      </c>
      <c r="AF2514">
        <v>3</v>
      </c>
      <c r="AG2514">
        <v>2</v>
      </c>
      <c r="AH2514">
        <v>0</v>
      </c>
      <c r="AI2514" t="s">
        <v>5139</v>
      </c>
      <c r="AJ2514">
        <v>40.091729000000001</v>
      </c>
      <c r="AK2514" t="s">
        <v>5140</v>
      </c>
      <c r="AL2514">
        <v>-75.427301</v>
      </c>
      <c r="AM2514">
        <v>100</v>
      </c>
      <c r="AN2514">
        <v>4700</v>
      </c>
      <c r="AO2514" t="s">
        <v>115</v>
      </c>
      <c r="AP2514">
        <v>134</v>
      </c>
      <c r="AQ2514">
        <v>123</v>
      </c>
      <c r="AR2514">
        <v>0</v>
      </c>
      <c r="AZ2514">
        <v>3614</v>
      </c>
      <c r="BA2514">
        <v>1</v>
      </c>
      <c r="BB2514" t="str">
        <f t="shared" si="119"/>
        <v xml:space="preserve">N959MJ  </v>
      </c>
      <c r="BC2514">
        <v>1</v>
      </c>
      <c r="BE2514">
        <v>0</v>
      </c>
      <c r="BF2514">
        <v>0</v>
      </c>
      <c r="BG2514">
        <v>0</v>
      </c>
      <c r="BH2514">
        <v>4900</v>
      </c>
      <c r="BI2514">
        <v>200</v>
      </c>
      <c r="BJ2514">
        <v>1</v>
      </c>
      <c r="BK2514">
        <v>1</v>
      </c>
      <c r="BL2514">
        <v>1</v>
      </c>
      <c r="BM2514">
        <v>0</v>
      </c>
      <c r="BP2514">
        <v>0</v>
      </c>
      <c r="BQ2514">
        <v>0</v>
      </c>
      <c r="BX2514" t="str">
        <f>"14:32:14.742"</f>
        <v>14:32:14.742</v>
      </c>
      <c r="BY2514" t="str">
        <f>"745081647"</f>
        <v>745081647</v>
      </c>
      <c r="CL2514">
        <v>0</v>
      </c>
      <c r="CM2514">
        <v>2</v>
      </c>
      <c r="CN2514">
        <v>0</v>
      </c>
      <c r="CO2514">
        <v>2</v>
      </c>
      <c r="CP2514">
        <v>0</v>
      </c>
      <c r="CQ2514">
        <v>7</v>
      </c>
      <c r="CR2514" t="s">
        <v>116</v>
      </c>
      <c r="CS2514">
        <v>39</v>
      </c>
      <c r="CT2514">
        <v>0</v>
      </c>
      <c r="CU2514" t="s">
        <v>2259</v>
      </c>
      <c r="CV2514" t="s">
        <v>2260</v>
      </c>
      <c r="CY2514">
        <v>1984970</v>
      </c>
      <c r="CZ2514" t="s">
        <v>119</v>
      </c>
    </row>
    <row r="2515" spans="1:104" x14ac:dyDescent="0.25">
      <c r="A2515" t="str">
        <f>"14:32:16.000"</f>
        <v>14:32:16.000</v>
      </c>
      <c r="B2515" t="s">
        <v>108</v>
      </c>
      <c r="C2515" t="str">
        <f t="shared" si="118"/>
        <v>ffdfd3c0</v>
      </c>
      <c r="D2515" t="s">
        <v>109</v>
      </c>
      <c r="E2515">
        <v>4</v>
      </c>
      <c r="F2515">
        <v>1004</v>
      </c>
      <c r="G2515" t="s">
        <v>110</v>
      </c>
      <c r="J2515" t="s">
        <v>111</v>
      </c>
      <c r="K2515">
        <v>0</v>
      </c>
      <c r="L2515">
        <v>3</v>
      </c>
      <c r="M2515">
        <v>0</v>
      </c>
      <c r="N2515">
        <v>2</v>
      </c>
      <c r="O2515">
        <v>1</v>
      </c>
      <c r="P2515">
        <v>0</v>
      </c>
      <c r="Q2515">
        <v>0</v>
      </c>
      <c r="R2515" t="s">
        <v>112</v>
      </c>
      <c r="S2515" t="str">
        <f>"14:32:15.805"</f>
        <v>14:32:15.805</v>
      </c>
      <c r="T2515" t="str">
        <f>"14:32:15.305"</f>
        <v>14:32:15.305</v>
      </c>
      <c r="U2515" t="str">
        <f t="shared" si="117"/>
        <v>ad5732</v>
      </c>
      <c r="V2515">
        <v>0</v>
      </c>
      <c r="W2515">
        <v>0</v>
      </c>
      <c r="X2515">
        <v>1</v>
      </c>
      <c r="Z2515">
        <v>0</v>
      </c>
      <c r="AA2515">
        <v>9</v>
      </c>
      <c r="AB2515">
        <v>3</v>
      </c>
      <c r="AC2515">
        <v>0</v>
      </c>
      <c r="AD2515">
        <v>10</v>
      </c>
      <c r="AE2515">
        <v>0</v>
      </c>
      <c r="AF2515">
        <v>3</v>
      </c>
      <c r="AG2515">
        <v>2</v>
      </c>
      <c r="AH2515">
        <v>0</v>
      </c>
      <c r="AI2515" t="s">
        <v>5141</v>
      </c>
      <c r="AJ2515">
        <v>40.092373000000002</v>
      </c>
      <c r="AK2515" t="s">
        <v>5142</v>
      </c>
      <c r="AL2515">
        <v>-75.426443000000006</v>
      </c>
      <c r="AM2515">
        <v>100</v>
      </c>
      <c r="AN2515">
        <v>4700</v>
      </c>
      <c r="AO2515" t="s">
        <v>115</v>
      </c>
      <c r="AP2515">
        <v>134</v>
      </c>
      <c r="AQ2515">
        <v>123</v>
      </c>
      <c r="AR2515">
        <v>0</v>
      </c>
      <c r="AZ2515">
        <v>3614</v>
      </c>
      <c r="BA2515">
        <v>1</v>
      </c>
      <c r="BB2515" t="str">
        <f t="shared" si="119"/>
        <v xml:space="preserve">N959MJ  </v>
      </c>
      <c r="BC2515">
        <v>1</v>
      </c>
      <c r="BE2515">
        <v>0</v>
      </c>
      <c r="BF2515">
        <v>0</v>
      </c>
      <c r="BG2515">
        <v>0</v>
      </c>
      <c r="BH2515">
        <v>4900</v>
      </c>
      <c r="BI2515">
        <v>200</v>
      </c>
      <c r="BJ2515">
        <v>1</v>
      </c>
      <c r="BK2515">
        <v>1</v>
      </c>
      <c r="BL2515">
        <v>1</v>
      </c>
      <c r="BM2515">
        <v>0</v>
      </c>
      <c r="BP2515">
        <v>0</v>
      </c>
      <c r="BQ2515">
        <v>0</v>
      </c>
      <c r="BX2515" t="str">
        <f>"14:32:15.805"</f>
        <v>14:32:15.805</v>
      </c>
      <c r="BY2515" t="str">
        <f>"808421973"</f>
        <v>808421973</v>
      </c>
      <c r="CL2515">
        <v>0</v>
      </c>
      <c r="CM2515">
        <v>2</v>
      </c>
      <c r="CN2515">
        <v>0</v>
      </c>
      <c r="CO2515">
        <v>2</v>
      </c>
      <c r="CP2515">
        <v>0</v>
      </c>
      <c r="CQ2515">
        <v>7</v>
      </c>
      <c r="CR2515" t="s">
        <v>116</v>
      </c>
      <c r="CS2515">
        <v>39</v>
      </c>
      <c r="CT2515">
        <v>0</v>
      </c>
      <c r="CU2515" t="s">
        <v>2259</v>
      </c>
      <c r="CV2515" t="s">
        <v>2260</v>
      </c>
      <c r="CY2515">
        <v>1986603</v>
      </c>
      <c r="CZ2515" t="s">
        <v>119</v>
      </c>
    </row>
    <row r="2516" spans="1:104" x14ac:dyDescent="0.25">
      <c r="A2516" t="str">
        <f>"14:32:16.859"</f>
        <v>14:32:16.859</v>
      </c>
      <c r="B2516" t="s">
        <v>108</v>
      </c>
      <c r="C2516" t="str">
        <f t="shared" si="118"/>
        <v>ffdfd3c0</v>
      </c>
      <c r="D2516" t="s">
        <v>109</v>
      </c>
      <c r="E2516">
        <v>4</v>
      </c>
      <c r="F2516">
        <v>1004</v>
      </c>
      <c r="G2516" t="s">
        <v>110</v>
      </c>
      <c r="J2516" t="s">
        <v>111</v>
      </c>
      <c r="K2516">
        <v>0</v>
      </c>
      <c r="L2516">
        <v>3</v>
      </c>
      <c r="M2516">
        <v>0</v>
      </c>
      <c r="N2516">
        <v>2</v>
      </c>
      <c r="O2516">
        <v>1</v>
      </c>
      <c r="P2516">
        <v>0</v>
      </c>
      <c r="Q2516">
        <v>0</v>
      </c>
      <c r="R2516" t="s">
        <v>112</v>
      </c>
      <c r="S2516" t="str">
        <f>"14:32:16.680"</f>
        <v>14:32:16.680</v>
      </c>
      <c r="T2516" t="str">
        <f>"14:32:16.281"</f>
        <v>14:32:16.281</v>
      </c>
      <c r="U2516" t="str">
        <f t="shared" si="117"/>
        <v>ad5732</v>
      </c>
      <c r="V2516">
        <v>0</v>
      </c>
      <c r="W2516">
        <v>0</v>
      </c>
      <c r="X2516">
        <v>1</v>
      </c>
      <c r="Z2516">
        <v>0</v>
      </c>
      <c r="AA2516">
        <v>9</v>
      </c>
      <c r="AB2516">
        <v>3</v>
      </c>
      <c r="AC2516">
        <v>0</v>
      </c>
      <c r="AD2516">
        <v>10</v>
      </c>
      <c r="AE2516">
        <v>0</v>
      </c>
      <c r="AF2516">
        <v>3</v>
      </c>
      <c r="AG2516">
        <v>2</v>
      </c>
      <c r="AH2516">
        <v>0</v>
      </c>
      <c r="AI2516" t="s">
        <v>5143</v>
      </c>
      <c r="AJ2516">
        <v>40.092844999999997</v>
      </c>
      <c r="AK2516" t="s">
        <v>5144</v>
      </c>
      <c r="AL2516">
        <v>-75.425820000000002</v>
      </c>
      <c r="AM2516">
        <v>100</v>
      </c>
      <c r="AN2516">
        <v>4700</v>
      </c>
      <c r="AO2516" t="s">
        <v>115</v>
      </c>
      <c r="AP2516">
        <v>134</v>
      </c>
      <c r="AQ2516">
        <v>123</v>
      </c>
      <c r="AR2516">
        <v>0</v>
      </c>
      <c r="AZ2516">
        <v>3614</v>
      </c>
      <c r="BA2516">
        <v>1</v>
      </c>
      <c r="BB2516" t="str">
        <f t="shared" si="119"/>
        <v xml:space="preserve">N959MJ  </v>
      </c>
      <c r="BC2516">
        <v>1</v>
      </c>
      <c r="BE2516">
        <v>0</v>
      </c>
      <c r="BF2516">
        <v>0</v>
      </c>
      <c r="BG2516">
        <v>0</v>
      </c>
      <c r="BH2516">
        <v>4900</v>
      </c>
      <c r="BI2516">
        <v>200</v>
      </c>
      <c r="BJ2516">
        <v>1</v>
      </c>
      <c r="BK2516">
        <v>1</v>
      </c>
      <c r="BL2516">
        <v>1</v>
      </c>
      <c r="BM2516">
        <v>0</v>
      </c>
      <c r="BP2516">
        <v>0</v>
      </c>
      <c r="BQ2516">
        <v>0</v>
      </c>
      <c r="BX2516" t="str">
        <f>"14:32:16.680"</f>
        <v>14:32:16.680</v>
      </c>
      <c r="BY2516" t="str">
        <f>"683342975"</f>
        <v>683342975</v>
      </c>
      <c r="CL2516">
        <v>0</v>
      </c>
      <c r="CM2516">
        <v>2</v>
      </c>
      <c r="CN2516">
        <v>0</v>
      </c>
      <c r="CO2516">
        <v>2</v>
      </c>
      <c r="CP2516">
        <v>0</v>
      </c>
      <c r="CQ2516">
        <v>7</v>
      </c>
      <c r="CR2516" t="s">
        <v>116</v>
      </c>
      <c r="CS2516">
        <v>39</v>
      </c>
      <c r="CT2516">
        <v>0</v>
      </c>
      <c r="CU2516" t="s">
        <v>2259</v>
      </c>
      <c r="CV2516" t="s">
        <v>2260</v>
      </c>
      <c r="CY2516">
        <v>1988250</v>
      </c>
      <c r="CZ2516" t="s">
        <v>119</v>
      </c>
    </row>
    <row r="2517" spans="1:104" x14ac:dyDescent="0.25">
      <c r="A2517" t="str">
        <f>"14:32:17.867"</f>
        <v>14:32:17.867</v>
      </c>
      <c r="B2517" t="s">
        <v>108</v>
      </c>
      <c r="C2517" t="str">
        <f t="shared" si="118"/>
        <v>ffdfd3c0</v>
      </c>
      <c r="D2517" t="s">
        <v>109</v>
      </c>
      <c r="E2517">
        <v>4</v>
      </c>
      <c r="F2517">
        <v>1004</v>
      </c>
      <c r="G2517" t="s">
        <v>110</v>
      </c>
      <c r="J2517" t="s">
        <v>111</v>
      </c>
      <c r="K2517">
        <v>0</v>
      </c>
      <c r="L2517">
        <v>3</v>
      </c>
      <c r="M2517">
        <v>0</v>
      </c>
      <c r="N2517">
        <v>2</v>
      </c>
      <c r="O2517">
        <v>1</v>
      </c>
      <c r="P2517">
        <v>0</v>
      </c>
      <c r="Q2517">
        <v>0</v>
      </c>
      <c r="R2517" t="s">
        <v>112</v>
      </c>
      <c r="S2517" t="str">
        <f>"14:32:17.672"</f>
        <v>14:32:17.672</v>
      </c>
      <c r="T2517" t="str">
        <f>"14:32:17.273"</f>
        <v>14:32:17.273</v>
      </c>
      <c r="U2517" t="str">
        <f t="shared" si="117"/>
        <v>ad5732</v>
      </c>
      <c r="V2517">
        <v>0</v>
      </c>
      <c r="W2517">
        <v>0</v>
      </c>
      <c r="X2517">
        <v>1</v>
      </c>
      <c r="Z2517">
        <v>0</v>
      </c>
      <c r="AA2517">
        <v>9</v>
      </c>
      <c r="AB2517">
        <v>3</v>
      </c>
      <c r="AC2517">
        <v>0</v>
      </c>
      <c r="AD2517">
        <v>10</v>
      </c>
      <c r="AE2517">
        <v>0</v>
      </c>
      <c r="AF2517">
        <v>3</v>
      </c>
      <c r="AG2517">
        <v>2</v>
      </c>
      <c r="AH2517">
        <v>0</v>
      </c>
      <c r="AI2517" t="s">
        <v>5145</v>
      </c>
      <c r="AJ2517">
        <v>40.093403000000002</v>
      </c>
      <c r="AK2517" t="s">
        <v>5146</v>
      </c>
      <c r="AL2517">
        <v>-75.425004999999999</v>
      </c>
      <c r="AM2517">
        <v>100</v>
      </c>
      <c r="AN2517">
        <v>4700</v>
      </c>
      <c r="AO2517" t="s">
        <v>115</v>
      </c>
      <c r="AP2517">
        <v>134</v>
      </c>
      <c r="AQ2517">
        <v>123</v>
      </c>
      <c r="AR2517">
        <v>0</v>
      </c>
      <c r="AZ2517">
        <v>3614</v>
      </c>
      <c r="BA2517">
        <v>1</v>
      </c>
      <c r="BB2517" t="str">
        <f t="shared" si="119"/>
        <v xml:space="preserve">N959MJ  </v>
      </c>
      <c r="BC2517">
        <v>1</v>
      </c>
      <c r="BE2517">
        <v>0</v>
      </c>
      <c r="BF2517">
        <v>0</v>
      </c>
      <c r="BG2517">
        <v>0</v>
      </c>
      <c r="BH2517">
        <v>4900</v>
      </c>
      <c r="BI2517">
        <v>200</v>
      </c>
      <c r="BJ2517">
        <v>1</v>
      </c>
      <c r="BK2517">
        <v>1</v>
      </c>
      <c r="BL2517">
        <v>1</v>
      </c>
      <c r="BM2517">
        <v>0</v>
      </c>
      <c r="BP2517">
        <v>0</v>
      </c>
      <c r="BQ2517">
        <v>0</v>
      </c>
      <c r="BX2517" t="str">
        <f>"14:32:17.672"</f>
        <v>14:32:17.672</v>
      </c>
      <c r="BY2517" t="str">
        <f>"672953996"</f>
        <v>672953996</v>
      </c>
      <c r="CL2517">
        <v>0</v>
      </c>
      <c r="CM2517">
        <v>2</v>
      </c>
      <c r="CN2517">
        <v>0</v>
      </c>
      <c r="CO2517">
        <v>2</v>
      </c>
      <c r="CP2517">
        <v>0</v>
      </c>
      <c r="CQ2517">
        <v>7</v>
      </c>
      <c r="CR2517" t="s">
        <v>116</v>
      </c>
      <c r="CS2517">
        <v>39</v>
      </c>
      <c r="CT2517">
        <v>0</v>
      </c>
      <c r="CU2517" t="s">
        <v>2259</v>
      </c>
      <c r="CV2517" t="s">
        <v>2260</v>
      </c>
      <c r="CY2517">
        <v>1989918</v>
      </c>
      <c r="CZ2517" t="s">
        <v>119</v>
      </c>
    </row>
    <row r="2518" spans="1:104" x14ac:dyDescent="0.25">
      <c r="A2518" t="str">
        <f>"14:32:18.727"</f>
        <v>14:32:18.727</v>
      </c>
      <c r="B2518" t="s">
        <v>108</v>
      </c>
      <c r="C2518" t="str">
        <f t="shared" si="118"/>
        <v>ffdfd3c0</v>
      </c>
      <c r="D2518" t="s">
        <v>109</v>
      </c>
      <c r="E2518">
        <v>4</v>
      </c>
      <c r="F2518">
        <v>1004</v>
      </c>
      <c r="G2518" t="s">
        <v>110</v>
      </c>
      <c r="J2518" t="s">
        <v>111</v>
      </c>
      <c r="K2518">
        <v>0</v>
      </c>
      <c r="L2518">
        <v>3</v>
      </c>
      <c r="M2518">
        <v>0</v>
      </c>
      <c r="N2518">
        <v>2</v>
      </c>
      <c r="O2518">
        <v>1</v>
      </c>
      <c r="P2518">
        <v>0</v>
      </c>
      <c r="Q2518">
        <v>0</v>
      </c>
      <c r="R2518" t="s">
        <v>112</v>
      </c>
      <c r="S2518" t="str">
        <f>"14:32:18.563"</f>
        <v>14:32:18.563</v>
      </c>
      <c r="T2518" t="str">
        <f>"14:32:18.164"</f>
        <v>14:32:18.164</v>
      </c>
      <c r="U2518" t="str">
        <f t="shared" si="117"/>
        <v>ad5732</v>
      </c>
      <c r="V2518">
        <v>0</v>
      </c>
      <c r="W2518">
        <v>0</v>
      </c>
      <c r="X2518">
        <v>1</v>
      </c>
      <c r="Z2518">
        <v>0</v>
      </c>
      <c r="AA2518">
        <v>9</v>
      </c>
      <c r="AB2518">
        <v>3</v>
      </c>
      <c r="AC2518">
        <v>0</v>
      </c>
      <c r="AD2518">
        <v>10</v>
      </c>
      <c r="AE2518">
        <v>0</v>
      </c>
      <c r="AF2518">
        <v>3</v>
      </c>
      <c r="AG2518">
        <v>2</v>
      </c>
      <c r="AH2518">
        <v>0</v>
      </c>
      <c r="AI2518" t="s">
        <v>5147</v>
      </c>
      <c r="AJ2518">
        <v>40.093918000000002</v>
      </c>
      <c r="AK2518" t="s">
        <v>5148</v>
      </c>
      <c r="AL2518">
        <v>-75.424254000000005</v>
      </c>
      <c r="AM2518">
        <v>100</v>
      </c>
      <c r="AN2518">
        <v>4700</v>
      </c>
      <c r="AO2518" t="s">
        <v>115</v>
      </c>
      <c r="AP2518">
        <v>134</v>
      </c>
      <c r="AQ2518">
        <v>123</v>
      </c>
      <c r="AR2518">
        <v>0</v>
      </c>
      <c r="AZ2518">
        <v>3614</v>
      </c>
      <c r="BA2518">
        <v>1</v>
      </c>
      <c r="BB2518" t="str">
        <f t="shared" si="119"/>
        <v xml:space="preserve">N959MJ  </v>
      </c>
      <c r="BC2518">
        <v>1</v>
      </c>
      <c r="BE2518">
        <v>0</v>
      </c>
      <c r="BF2518">
        <v>0</v>
      </c>
      <c r="BG2518">
        <v>0</v>
      </c>
      <c r="BH2518">
        <v>4900</v>
      </c>
      <c r="BI2518">
        <v>200</v>
      </c>
      <c r="BJ2518">
        <v>1</v>
      </c>
      <c r="BK2518">
        <v>1</v>
      </c>
      <c r="BL2518">
        <v>1</v>
      </c>
      <c r="BM2518">
        <v>0</v>
      </c>
      <c r="BP2518">
        <v>0</v>
      </c>
      <c r="BQ2518">
        <v>0</v>
      </c>
      <c r="BX2518" t="str">
        <f>"14:32:18.570"</f>
        <v>14:32:18.570</v>
      </c>
      <c r="BY2518" t="str">
        <f>"567536141"</f>
        <v>567536141</v>
      </c>
      <c r="CL2518">
        <v>0</v>
      </c>
      <c r="CM2518">
        <v>2</v>
      </c>
      <c r="CN2518">
        <v>0</v>
      </c>
      <c r="CO2518">
        <v>2</v>
      </c>
      <c r="CP2518">
        <v>0</v>
      </c>
      <c r="CQ2518">
        <v>7</v>
      </c>
      <c r="CR2518" t="s">
        <v>116</v>
      </c>
      <c r="CS2518">
        <v>39</v>
      </c>
      <c r="CT2518">
        <v>0</v>
      </c>
      <c r="CU2518" t="s">
        <v>2259</v>
      </c>
      <c r="CV2518" t="s">
        <v>2260</v>
      </c>
      <c r="CY2518">
        <v>1991442</v>
      </c>
      <c r="CZ2518" t="s">
        <v>119</v>
      </c>
    </row>
    <row r="2519" spans="1:104" x14ac:dyDescent="0.25">
      <c r="A2519" t="str">
        <f>"14:32:19.734"</f>
        <v>14:32:19.734</v>
      </c>
      <c r="B2519" t="s">
        <v>108</v>
      </c>
      <c r="C2519" t="str">
        <f t="shared" si="118"/>
        <v>ffdfd3c0</v>
      </c>
      <c r="D2519" t="s">
        <v>109</v>
      </c>
      <c r="E2519">
        <v>4</v>
      </c>
      <c r="F2519">
        <v>1004</v>
      </c>
      <c r="G2519" t="s">
        <v>110</v>
      </c>
      <c r="J2519" t="s">
        <v>111</v>
      </c>
      <c r="K2519">
        <v>0</v>
      </c>
      <c r="L2519">
        <v>3</v>
      </c>
      <c r="M2519">
        <v>0</v>
      </c>
      <c r="N2519">
        <v>2</v>
      </c>
      <c r="O2519">
        <v>1</v>
      </c>
      <c r="P2519">
        <v>0</v>
      </c>
      <c r="Q2519">
        <v>0</v>
      </c>
      <c r="R2519" t="s">
        <v>112</v>
      </c>
      <c r="S2519" t="str">
        <f>"14:32:19.539"</f>
        <v>14:32:19.539</v>
      </c>
      <c r="T2519" t="str">
        <f>"14:32:19.039"</f>
        <v>14:32:19.039</v>
      </c>
      <c r="U2519" t="str">
        <f t="shared" si="117"/>
        <v>ad5732</v>
      </c>
      <c r="V2519">
        <v>0</v>
      </c>
      <c r="W2519">
        <v>0</v>
      </c>
      <c r="X2519">
        <v>1</v>
      </c>
      <c r="Z2519">
        <v>0</v>
      </c>
      <c r="AA2519">
        <v>9</v>
      </c>
      <c r="AB2519">
        <v>3</v>
      </c>
      <c r="AC2519">
        <v>0</v>
      </c>
      <c r="AD2519">
        <v>10</v>
      </c>
      <c r="AE2519">
        <v>0</v>
      </c>
      <c r="AF2519">
        <v>3</v>
      </c>
      <c r="AG2519">
        <v>2</v>
      </c>
      <c r="AH2519">
        <v>0</v>
      </c>
      <c r="AI2519" t="s">
        <v>5149</v>
      </c>
      <c r="AJ2519">
        <v>40.094476</v>
      </c>
      <c r="AK2519" t="s">
        <v>5150</v>
      </c>
      <c r="AL2519">
        <v>-75.423460000000006</v>
      </c>
      <c r="AM2519">
        <v>100</v>
      </c>
      <c r="AN2519">
        <v>4700</v>
      </c>
      <c r="AO2519" t="s">
        <v>115</v>
      </c>
      <c r="AP2519">
        <v>134</v>
      </c>
      <c r="AQ2519">
        <v>123</v>
      </c>
      <c r="AR2519">
        <v>0</v>
      </c>
      <c r="AZ2519">
        <v>3614</v>
      </c>
      <c r="BA2519">
        <v>1</v>
      </c>
      <c r="BB2519" t="str">
        <f t="shared" si="119"/>
        <v xml:space="preserve">N959MJ  </v>
      </c>
      <c r="BC2519">
        <v>1</v>
      </c>
      <c r="BE2519">
        <v>0</v>
      </c>
      <c r="BF2519">
        <v>0</v>
      </c>
      <c r="BG2519">
        <v>0</v>
      </c>
      <c r="BH2519">
        <v>4900</v>
      </c>
      <c r="BI2519">
        <v>200</v>
      </c>
      <c r="BJ2519">
        <v>1</v>
      </c>
      <c r="BK2519">
        <v>1</v>
      </c>
      <c r="BL2519">
        <v>1</v>
      </c>
      <c r="BM2519">
        <v>0</v>
      </c>
      <c r="BP2519">
        <v>0</v>
      </c>
      <c r="BQ2519">
        <v>0</v>
      </c>
      <c r="BX2519" t="str">
        <f>"14:32:19.547"</f>
        <v>14:32:19.547</v>
      </c>
      <c r="BY2519" t="str">
        <f>"544039881"</f>
        <v>544039881</v>
      </c>
      <c r="CL2519">
        <v>0</v>
      </c>
      <c r="CM2519">
        <v>2</v>
      </c>
      <c r="CN2519">
        <v>0</v>
      </c>
      <c r="CO2519">
        <v>2</v>
      </c>
      <c r="CP2519">
        <v>0</v>
      </c>
      <c r="CQ2519">
        <v>7</v>
      </c>
      <c r="CR2519" t="s">
        <v>116</v>
      </c>
      <c r="CS2519">
        <v>39</v>
      </c>
      <c r="CT2519">
        <v>0</v>
      </c>
      <c r="CU2519" t="s">
        <v>2259</v>
      </c>
      <c r="CV2519" t="s">
        <v>2260</v>
      </c>
      <c r="CY2519">
        <v>1993009</v>
      </c>
      <c r="CZ2519" t="s">
        <v>119</v>
      </c>
    </row>
    <row r="2520" spans="1:104" x14ac:dyDescent="0.25">
      <c r="A2520" t="str">
        <f>"14:32:20.750"</f>
        <v>14:32:20.750</v>
      </c>
      <c r="B2520" t="s">
        <v>108</v>
      </c>
      <c r="C2520" t="str">
        <f t="shared" si="118"/>
        <v>ffdfd3c0</v>
      </c>
      <c r="D2520" t="s">
        <v>109</v>
      </c>
      <c r="E2520">
        <v>4</v>
      </c>
      <c r="F2520">
        <v>1004</v>
      </c>
      <c r="G2520" t="s">
        <v>110</v>
      </c>
      <c r="J2520" t="s">
        <v>111</v>
      </c>
      <c r="K2520">
        <v>0</v>
      </c>
      <c r="L2520">
        <v>3</v>
      </c>
      <c r="M2520">
        <v>0</v>
      </c>
      <c r="N2520">
        <v>2</v>
      </c>
      <c r="O2520">
        <v>1</v>
      </c>
      <c r="P2520">
        <v>0</v>
      </c>
      <c r="Q2520">
        <v>0</v>
      </c>
      <c r="R2520" t="s">
        <v>112</v>
      </c>
      <c r="S2520" t="str">
        <f>"14:32:20.586"</f>
        <v>14:32:20.586</v>
      </c>
      <c r="T2520" t="str">
        <f>"14:32:20.086"</f>
        <v>14:32:20.086</v>
      </c>
      <c r="U2520" t="str">
        <f t="shared" si="117"/>
        <v>ad5732</v>
      </c>
      <c r="V2520">
        <v>0</v>
      </c>
      <c r="W2520">
        <v>0</v>
      </c>
      <c r="X2520">
        <v>1</v>
      </c>
      <c r="Z2520">
        <v>0</v>
      </c>
      <c r="AA2520">
        <v>9</v>
      </c>
      <c r="AB2520">
        <v>3</v>
      </c>
      <c r="AC2520">
        <v>0</v>
      </c>
      <c r="AD2520">
        <v>10</v>
      </c>
      <c r="AE2520">
        <v>0</v>
      </c>
      <c r="AF2520">
        <v>3</v>
      </c>
      <c r="AG2520">
        <v>2</v>
      </c>
      <c r="AH2520">
        <v>0</v>
      </c>
      <c r="AI2520" t="s">
        <v>5151</v>
      </c>
      <c r="AJ2520">
        <v>40.095055000000002</v>
      </c>
      <c r="AK2520" t="s">
        <v>5152</v>
      </c>
      <c r="AL2520">
        <v>-75.422666000000007</v>
      </c>
      <c r="AM2520">
        <v>100</v>
      </c>
      <c r="AN2520">
        <v>4700</v>
      </c>
      <c r="AO2520" t="s">
        <v>115</v>
      </c>
      <c r="AP2520">
        <v>134</v>
      </c>
      <c r="AQ2520">
        <v>123</v>
      </c>
      <c r="AR2520">
        <v>0</v>
      </c>
      <c r="AZ2520">
        <v>3614</v>
      </c>
      <c r="BA2520">
        <v>1</v>
      </c>
      <c r="BB2520" t="str">
        <f t="shared" si="119"/>
        <v xml:space="preserve">N959MJ  </v>
      </c>
      <c r="BC2520">
        <v>1</v>
      </c>
      <c r="BE2520">
        <v>0</v>
      </c>
      <c r="BF2520">
        <v>0</v>
      </c>
      <c r="BG2520">
        <v>0</v>
      </c>
      <c r="BH2520">
        <v>4900</v>
      </c>
      <c r="BI2520">
        <v>200</v>
      </c>
      <c r="BJ2520">
        <v>1</v>
      </c>
      <c r="BK2520">
        <v>1</v>
      </c>
      <c r="BL2520">
        <v>1</v>
      </c>
      <c r="BM2520">
        <v>0</v>
      </c>
      <c r="BP2520">
        <v>0</v>
      </c>
      <c r="BQ2520">
        <v>0</v>
      </c>
      <c r="BX2520" t="str">
        <f>"14:32:20.586"</f>
        <v>14:32:20.586</v>
      </c>
      <c r="BY2520" t="str">
        <f>"589357336"</f>
        <v>589357336</v>
      </c>
      <c r="CL2520">
        <v>0</v>
      </c>
      <c r="CM2520">
        <v>2</v>
      </c>
      <c r="CN2520">
        <v>0</v>
      </c>
      <c r="CO2520">
        <v>2</v>
      </c>
      <c r="CP2520">
        <v>0</v>
      </c>
      <c r="CQ2520">
        <v>7</v>
      </c>
      <c r="CR2520" t="s">
        <v>116</v>
      </c>
      <c r="CS2520">
        <v>39</v>
      </c>
      <c r="CT2520">
        <v>0</v>
      </c>
      <c r="CU2520" t="s">
        <v>2259</v>
      </c>
      <c r="CV2520" t="s">
        <v>2260</v>
      </c>
      <c r="CY2520">
        <v>1994750</v>
      </c>
      <c r="CZ2520" t="s">
        <v>119</v>
      </c>
    </row>
    <row r="2521" spans="1:104" x14ac:dyDescent="0.25">
      <c r="A2521" t="str">
        <f>"14:32:21.758"</f>
        <v>14:32:21.758</v>
      </c>
      <c r="B2521" t="s">
        <v>108</v>
      </c>
      <c r="C2521" t="str">
        <f t="shared" si="118"/>
        <v>ffdfd3c0</v>
      </c>
      <c r="D2521" t="s">
        <v>109</v>
      </c>
      <c r="E2521">
        <v>4</v>
      </c>
      <c r="F2521">
        <v>1004</v>
      </c>
      <c r="G2521" t="s">
        <v>110</v>
      </c>
      <c r="J2521" t="s">
        <v>111</v>
      </c>
      <c r="K2521">
        <v>0</v>
      </c>
      <c r="L2521">
        <v>3</v>
      </c>
      <c r="M2521">
        <v>0</v>
      </c>
      <c r="N2521">
        <v>2</v>
      </c>
      <c r="O2521">
        <v>1</v>
      </c>
      <c r="P2521">
        <v>0</v>
      </c>
      <c r="Q2521">
        <v>0</v>
      </c>
      <c r="R2521" t="s">
        <v>112</v>
      </c>
      <c r="S2521" t="str">
        <f>"14:32:21.563"</f>
        <v>14:32:21.563</v>
      </c>
      <c r="T2521" t="str">
        <f>"14:32:21.164"</f>
        <v>14:32:21.164</v>
      </c>
      <c r="U2521" t="str">
        <f t="shared" si="117"/>
        <v>ad5732</v>
      </c>
      <c r="V2521">
        <v>0</v>
      </c>
      <c r="W2521">
        <v>0</v>
      </c>
      <c r="X2521">
        <v>1</v>
      </c>
      <c r="Z2521">
        <v>0</v>
      </c>
      <c r="AA2521">
        <v>9</v>
      </c>
      <c r="AB2521">
        <v>3</v>
      </c>
      <c r="AC2521">
        <v>0</v>
      </c>
      <c r="AD2521">
        <v>10</v>
      </c>
      <c r="AE2521">
        <v>0</v>
      </c>
      <c r="AF2521">
        <v>3</v>
      </c>
      <c r="AG2521">
        <v>2</v>
      </c>
      <c r="AH2521">
        <v>0</v>
      </c>
      <c r="AI2521" t="s">
        <v>5153</v>
      </c>
      <c r="AJ2521">
        <v>40.095613</v>
      </c>
      <c r="AK2521" t="s">
        <v>5154</v>
      </c>
      <c r="AL2521">
        <v>-75.421807999999999</v>
      </c>
      <c r="AM2521">
        <v>100</v>
      </c>
      <c r="AN2521">
        <v>4700</v>
      </c>
      <c r="AO2521" t="s">
        <v>115</v>
      </c>
      <c r="AP2521">
        <v>134</v>
      </c>
      <c r="AQ2521">
        <v>123</v>
      </c>
      <c r="AR2521">
        <v>0</v>
      </c>
      <c r="AZ2521">
        <v>3614</v>
      </c>
      <c r="BA2521">
        <v>1</v>
      </c>
      <c r="BB2521" t="str">
        <f t="shared" si="119"/>
        <v xml:space="preserve">N959MJ  </v>
      </c>
      <c r="BC2521">
        <v>1</v>
      </c>
      <c r="BE2521">
        <v>0</v>
      </c>
      <c r="BF2521">
        <v>0</v>
      </c>
      <c r="BG2521">
        <v>0</v>
      </c>
      <c r="BH2521">
        <v>4900</v>
      </c>
      <c r="BI2521">
        <v>200</v>
      </c>
      <c r="BJ2521">
        <v>1</v>
      </c>
      <c r="BK2521">
        <v>1</v>
      </c>
      <c r="BL2521">
        <v>1</v>
      </c>
      <c r="BM2521">
        <v>0</v>
      </c>
      <c r="BP2521">
        <v>0</v>
      </c>
      <c r="BQ2521">
        <v>0</v>
      </c>
      <c r="BX2521" t="str">
        <f>"14:32:21.563"</f>
        <v>14:32:21.563</v>
      </c>
      <c r="BY2521" t="str">
        <f>"565860923"</f>
        <v>565860923</v>
      </c>
      <c r="CL2521">
        <v>0</v>
      </c>
      <c r="CM2521">
        <v>2</v>
      </c>
      <c r="CN2521">
        <v>0</v>
      </c>
      <c r="CO2521">
        <v>2</v>
      </c>
      <c r="CP2521">
        <v>0</v>
      </c>
      <c r="CQ2521">
        <v>7</v>
      </c>
      <c r="CR2521" t="s">
        <v>116</v>
      </c>
      <c r="CS2521">
        <v>39</v>
      </c>
      <c r="CT2521">
        <v>0</v>
      </c>
      <c r="CU2521" t="s">
        <v>2259</v>
      </c>
      <c r="CV2521" t="s">
        <v>2260</v>
      </c>
      <c r="CY2521">
        <v>1996492</v>
      </c>
      <c r="CZ2521" t="s">
        <v>119</v>
      </c>
    </row>
    <row r="2522" spans="1:104" x14ac:dyDescent="0.25">
      <c r="A2522" t="str">
        <f>"14:32:22.867"</f>
        <v>14:32:22.867</v>
      </c>
      <c r="B2522" t="s">
        <v>108</v>
      </c>
      <c r="C2522" t="str">
        <f t="shared" si="118"/>
        <v>ffdfd3c0</v>
      </c>
      <c r="D2522" t="s">
        <v>109</v>
      </c>
      <c r="E2522">
        <v>4</v>
      </c>
      <c r="F2522">
        <v>1004</v>
      </c>
      <c r="G2522" t="s">
        <v>110</v>
      </c>
      <c r="J2522" t="s">
        <v>111</v>
      </c>
      <c r="K2522">
        <v>0</v>
      </c>
      <c r="L2522">
        <v>3</v>
      </c>
      <c r="M2522">
        <v>0</v>
      </c>
      <c r="N2522">
        <v>2</v>
      </c>
      <c r="O2522">
        <v>1</v>
      </c>
      <c r="P2522">
        <v>0</v>
      </c>
      <c r="Q2522">
        <v>0</v>
      </c>
      <c r="R2522" t="s">
        <v>112</v>
      </c>
      <c r="S2522" t="str">
        <f>"14:32:22.711"</f>
        <v>14:32:22.711</v>
      </c>
      <c r="T2522" t="str">
        <f>"14:32:22.211"</f>
        <v>14:32:22.211</v>
      </c>
      <c r="U2522" t="str">
        <f t="shared" si="117"/>
        <v>ad5732</v>
      </c>
      <c r="V2522">
        <v>0</v>
      </c>
      <c r="W2522">
        <v>0</v>
      </c>
      <c r="X2522">
        <v>1</v>
      </c>
      <c r="Z2522">
        <v>0</v>
      </c>
      <c r="AA2522">
        <v>9</v>
      </c>
      <c r="AB2522">
        <v>3</v>
      </c>
      <c r="AC2522">
        <v>0</v>
      </c>
      <c r="AD2522">
        <v>10</v>
      </c>
      <c r="AE2522">
        <v>0</v>
      </c>
      <c r="AF2522">
        <v>3</v>
      </c>
      <c r="AG2522">
        <v>2</v>
      </c>
      <c r="AH2522">
        <v>0</v>
      </c>
      <c r="AI2522" t="s">
        <v>5155</v>
      </c>
      <c r="AJ2522">
        <v>40.096299999999999</v>
      </c>
      <c r="AK2522" t="s">
        <v>5156</v>
      </c>
      <c r="AL2522">
        <v>-75.420841999999993</v>
      </c>
      <c r="AM2522">
        <v>100</v>
      </c>
      <c r="AN2522">
        <v>4700</v>
      </c>
      <c r="AO2522" t="s">
        <v>115</v>
      </c>
      <c r="AP2522">
        <v>134</v>
      </c>
      <c r="AQ2522">
        <v>123</v>
      </c>
      <c r="AR2522">
        <v>0</v>
      </c>
      <c r="AZ2522">
        <v>3614</v>
      </c>
      <c r="BA2522">
        <v>1</v>
      </c>
      <c r="BB2522" t="str">
        <f t="shared" si="119"/>
        <v xml:space="preserve">N959MJ  </v>
      </c>
      <c r="BC2522">
        <v>1</v>
      </c>
      <c r="BE2522">
        <v>0</v>
      </c>
      <c r="BF2522">
        <v>0</v>
      </c>
      <c r="BG2522">
        <v>0</v>
      </c>
      <c r="BH2522">
        <v>4900</v>
      </c>
      <c r="BI2522">
        <v>200</v>
      </c>
      <c r="BJ2522">
        <v>1</v>
      </c>
      <c r="BK2522">
        <v>1</v>
      </c>
      <c r="BL2522">
        <v>1</v>
      </c>
      <c r="BM2522">
        <v>0</v>
      </c>
      <c r="BP2522">
        <v>0</v>
      </c>
      <c r="BQ2522">
        <v>0</v>
      </c>
      <c r="BX2522" t="str">
        <f>"14:32:22.711"</f>
        <v>14:32:22.711</v>
      </c>
      <c r="BY2522" t="str">
        <f>"712761111"</f>
        <v>712761111</v>
      </c>
      <c r="CL2522">
        <v>0</v>
      </c>
      <c r="CM2522">
        <v>2</v>
      </c>
      <c r="CN2522">
        <v>0</v>
      </c>
      <c r="CO2522">
        <v>2</v>
      </c>
      <c r="CP2522">
        <v>0</v>
      </c>
      <c r="CQ2522">
        <v>7</v>
      </c>
      <c r="CR2522" t="s">
        <v>116</v>
      </c>
      <c r="CS2522">
        <v>39</v>
      </c>
      <c r="CT2522">
        <v>0</v>
      </c>
      <c r="CU2522" t="s">
        <v>2259</v>
      </c>
      <c r="CV2522" t="s">
        <v>2260</v>
      </c>
      <c r="CY2522">
        <v>1998480</v>
      </c>
      <c r="CZ2522" t="s">
        <v>119</v>
      </c>
    </row>
    <row r="2523" spans="1:104" x14ac:dyDescent="0.25">
      <c r="A2523" t="str">
        <f>"14:32:23.828"</f>
        <v>14:32:23.828</v>
      </c>
      <c r="B2523" t="s">
        <v>108</v>
      </c>
      <c r="C2523" t="str">
        <f t="shared" si="118"/>
        <v>ffdfd3c0</v>
      </c>
      <c r="D2523" t="s">
        <v>109</v>
      </c>
      <c r="E2523">
        <v>4</v>
      </c>
      <c r="F2523">
        <v>1004</v>
      </c>
      <c r="G2523" t="s">
        <v>110</v>
      </c>
      <c r="J2523" t="s">
        <v>111</v>
      </c>
      <c r="K2523">
        <v>0</v>
      </c>
      <c r="L2523">
        <v>3</v>
      </c>
      <c r="M2523">
        <v>0</v>
      </c>
      <c r="N2523">
        <v>2</v>
      </c>
      <c r="O2523">
        <v>1</v>
      </c>
      <c r="P2523">
        <v>0</v>
      </c>
      <c r="Q2523">
        <v>0</v>
      </c>
      <c r="R2523" t="s">
        <v>112</v>
      </c>
      <c r="S2523" t="str">
        <f>"14:32:23.625"</f>
        <v>14:32:23.625</v>
      </c>
      <c r="T2523" t="str">
        <f>"14:32:23.227"</f>
        <v>14:32:23.227</v>
      </c>
      <c r="U2523" t="str">
        <f t="shared" si="117"/>
        <v>ad5732</v>
      </c>
      <c r="V2523">
        <v>0</v>
      </c>
      <c r="W2523">
        <v>0</v>
      </c>
      <c r="X2523">
        <v>1</v>
      </c>
      <c r="Z2523">
        <v>0</v>
      </c>
      <c r="AA2523">
        <v>9</v>
      </c>
      <c r="AB2523">
        <v>3</v>
      </c>
      <c r="AC2523">
        <v>0</v>
      </c>
      <c r="AD2523">
        <v>10</v>
      </c>
      <c r="AE2523">
        <v>0</v>
      </c>
      <c r="AF2523">
        <v>3</v>
      </c>
      <c r="AG2523">
        <v>2</v>
      </c>
      <c r="AH2523">
        <v>0</v>
      </c>
      <c r="AI2523" t="s">
        <v>5157</v>
      </c>
      <c r="AJ2523">
        <v>40.096836000000003</v>
      </c>
      <c r="AK2523" t="s">
        <v>5158</v>
      </c>
      <c r="AL2523">
        <v>-75.420134000000004</v>
      </c>
      <c r="AM2523">
        <v>100</v>
      </c>
      <c r="AN2523">
        <v>4700</v>
      </c>
      <c r="AO2523" t="s">
        <v>115</v>
      </c>
      <c r="AP2523">
        <v>134</v>
      </c>
      <c r="AQ2523">
        <v>123</v>
      </c>
      <c r="AR2523">
        <v>0</v>
      </c>
      <c r="AZ2523">
        <v>3614</v>
      </c>
      <c r="BA2523">
        <v>1</v>
      </c>
      <c r="BB2523" t="str">
        <f t="shared" si="119"/>
        <v xml:space="preserve">N959MJ  </v>
      </c>
      <c r="BC2523">
        <v>1</v>
      </c>
      <c r="BE2523">
        <v>0</v>
      </c>
      <c r="BF2523">
        <v>0</v>
      </c>
      <c r="BG2523">
        <v>0</v>
      </c>
      <c r="BH2523">
        <v>4900</v>
      </c>
      <c r="BI2523">
        <v>200</v>
      </c>
      <c r="BJ2523">
        <v>1</v>
      </c>
      <c r="BK2523">
        <v>1</v>
      </c>
      <c r="BL2523">
        <v>1</v>
      </c>
      <c r="BM2523">
        <v>0</v>
      </c>
      <c r="BP2523">
        <v>0</v>
      </c>
      <c r="BQ2523">
        <v>0</v>
      </c>
      <c r="BX2523" t="str">
        <f>"14:32:23.625"</f>
        <v>14:32:23.625</v>
      </c>
      <c r="BY2523" t="str">
        <f>"628642886"</f>
        <v>628642886</v>
      </c>
      <c r="CL2523">
        <v>0</v>
      </c>
      <c r="CM2523">
        <v>2</v>
      </c>
      <c r="CN2523">
        <v>0</v>
      </c>
      <c r="CO2523">
        <v>2</v>
      </c>
      <c r="CP2523">
        <v>0</v>
      </c>
      <c r="CQ2523">
        <v>7</v>
      </c>
      <c r="CR2523" t="s">
        <v>116</v>
      </c>
      <c r="CS2523">
        <v>39</v>
      </c>
      <c r="CT2523">
        <v>0</v>
      </c>
      <c r="CU2523" t="s">
        <v>2259</v>
      </c>
      <c r="CV2523" t="s">
        <v>2260</v>
      </c>
      <c r="CY2523">
        <v>1999941</v>
      </c>
      <c r="CZ2523" t="s">
        <v>119</v>
      </c>
    </row>
    <row r="2524" spans="1:104" x14ac:dyDescent="0.25">
      <c r="A2524" t="str">
        <f>"14:32:24.891"</f>
        <v>14:32:24.891</v>
      </c>
      <c r="B2524" t="s">
        <v>108</v>
      </c>
      <c r="C2524" t="str">
        <f t="shared" si="118"/>
        <v>ffdfd3c0</v>
      </c>
      <c r="D2524" t="s">
        <v>109</v>
      </c>
      <c r="E2524">
        <v>4</v>
      </c>
      <c r="F2524">
        <v>1004</v>
      </c>
      <c r="G2524" t="s">
        <v>110</v>
      </c>
      <c r="J2524" t="s">
        <v>111</v>
      </c>
      <c r="K2524">
        <v>0</v>
      </c>
      <c r="L2524">
        <v>3</v>
      </c>
      <c r="M2524">
        <v>0</v>
      </c>
      <c r="N2524">
        <v>2</v>
      </c>
      <c r="O2524">
        <v>1</v>
      </c>
      <c r="P2524">
        <v>0</v>
      </c>
      <c r="Q2524">
        <v>0</v>
      </c>
      <c r="R2524" t="s">
        <v>112</v>
      </c>
      <c r="S2524" t="str">
        <f>"14:32:24.695"</f>
        <v>14:32:24.695</v>
      </c>
      <c r="T2524" t="str">
        <f>"14:32:24.195"</f>
        <v>14:32:24.195</v>
      </c>
      <c r="U2524" t="str">
        <f t="shared" si="117"/>
        <v>ad5732</v>
      </c>
      <c r="V2524">
        <v>0</v>
      </c>
      <c r="W2524">
        <v>0</v>
      </c>
      <c r="X2524">
        <v>1</v>
      </c>
      <c r="Z2524">
        <v>0</v>
      </c>
      <c r="AA2524">
        <v>9</v>
      </c>
      <c r="AB2524">
        <v>3</v>
      </c>
      <c r="AC2524">
        <v>0</v>
      </c>
      <c r="AD2524">
        <v>10</v>
      </c>
      <c r="AE2524">
        <v>0</v>
      </c>
      <c r="AF2524">
        <v>3</v>
      </c>
      <c r="AG2524">
        <v>2</v>
      </c>
      <c r="AH2524">
        <v>0</v>
      </c>
      <c r="AI2524" t="s">
        <v>5159</v>
      </c>
      <c r="AJ2524">
        <v>40.097394000000001</v>
      </c>
      <c r="AK2524" t="s">
        <v>5160</v>
      </c>
      <c r="AL2524">
        <v>-75.419340000000005</v>
      </c>
      <c r="AM2524">
        <v>100</v>
      </c>
      <c r="AN2524">
        <v>4700</v>
      </c>
      <c r="AO2524" t="s">
        <v>115</v>
      </c>
      <c r="AP2524">
        <v>134</v>
      </c>
      <c r="AQ2524">
        <v>123</v>
      </c>
      <c r="AR2524">
        <v>0</v>
      </c>
      <c r="AZ2524">
        <v>3614</v>
      </c>
      <c r="BA2524">
        <v>1</v>
      </c>
      <c r="BB2524" t="str">
        <f t="shared" si="119"/>
        <v xml:space="preserve">N959MJ  </v>
      </c>
      <c r="BC2524">
        <v>1</v>
      </c>
      <c r="BE2524">
        <v>0</v>
      </c>
      <c r="BF2524">
        <v>0</v>
      </c>
      <c r="BG2524">
        <v>0</v>
      </c>
      <c r="BH2524">
        <v>4900</v>
      </c>
      <c r="BI2524">
        <v>200</v>
      </c>
      <c r="BJ2524">
        <v>1</v>
      </c>
      <c r="BK2524">
        <v>1</v>
      </c>
      <c r="BL2524">
        <v>1</v>
      </c>
      <c r="BM2524">
        <v>0</v>
      </c>
      <c r="BP2524">
        <v>0</v>
      </c>
      <c r="BQ2524">
        <v>0</v>
      </c>
      <c r="BX2524" t="str">
        <f>"14:32:24.695"</f>
        <v>14:32:24.695</v>
      </c>
      <c r="BY2524" t="str">
        <f>"696898429"</f>
        <v>696898429</v>
      </c>
      <c r="CL2524">
        <v>0</v>
      </c>
      <c r="CM2524">
        <v>2</v>
      </c>
      <c r="CN2524">
        <v>0</v>
      </c>
      <c r="CO2524">
        <v>2</v>
      </c>
      <c r="CP2524">
        <v>0</v>
      </c>
      <c r="CQ2524">
        <v>7</v>
      </c>
      <c r="CR2524" t="s">
        <v>116</v>
      </c>
      <c r="CS2524">
        <v>39</v>
      </c>
      <c r="CT2524">
        <v>0</v>
      </c>
      <c r="CU2524" t="s">
        <v>2259</v>
      </c>
      <c r="CV2524" t="s">
        <v>2260</v>
      </c>
      <c r="CY2524">
        <v>2001604</v>
      </c>
      <c r="CZ2524" t="s">
        <v>119</v>
      </c>
    </row>
    <row r="2525" spans="1:104" x14ac:dyDescent="0.25">
      <c r="A2525" t="str">
        <f>"14:32:25.945"</f>
        <v>14:32:25.945</v>
      </c>
      <c r="B2525" t="s">
        <v>108</v>
      </c>
      <c r="C2525" t="str">
        <f t="shared" si="118"/>
        <v>ffdfd3c0</v>
      </c>
      <c r="D2525" t="s">
        <v>109</v>
      </c>
      <c r="E2525">
        <v>4</v>
      </c>
      <c r="F2525">
        <v>1004</v>
      </c>
      <c r="G2525" t="s">
        <v>110</v>
      </c>
      <c r="J2525" t="s">
        <v>111</v>
      </c>
      <c r="K2525">
        <v>0</v>
      </c>
      <c r="L2525">
        <v>3</v>
      </c>
      <c r="M2525">
        <v>0</v>
      </c>
      <c r="N2525">
        <v>2</v>
      </c>
      <c r="O2525">
        <v>1</v>
      </c>
      <c r="P2525">
        <v>0</v>
      </c>
      <c r="Q2525">
        <v>0</v>
      </c>
      <c r="R2525" t="s">
        <v>112</v>
      </c>
      <c r="S2525" t="str">
        <f>"14:32:25.797"</f>
        <v>14:32:25.797</v>
      </c>
      <c r="T2525" t="str">
        <f>"14:32:25.297"</f>
        <v>14:32:25.297</v>
      </c>
      <c r="U2525" t="str">
        <f t="shared" si="117"/>
        <v>ad5732</v>
      </c>
      <c r="V2525">
        <v>0</v>
      </c>
      <c r="W2525">
        <v>0</v>
      </c>
      <c r="X2525">
        <v>1</v>
      </c>
      <c r="Z2525">
        <v>0</v>
      </c>
      <c r="AA2525">
        <v>9</v>
      </c>
      <c r="AB2525">
        <v>3</v>
      </c>
      <c r="AC2525">
        <v>0</v>
      </c>
      <c r="AD2525">
        <v>10</v>
      </c>
      <c r="AE2525">
        <v>0</v>
      </c>
      <c r="AF2525">
        <v>3</v>
      </c>
      <c r="AG2525">
        <v>2</v>
      </c>
      <c r="AH2525">
        <v>0</v>
      </c>
      <c r="AI2525" t="s">
        <v>5161</v>
      </c>
      <c r="AJ2525">
        <v>40.098038000000003</v>
      </c>
      <c r="AK2525" t="s">
        <v>5162</v>
      </c>
      <c r="AL2525">
        <v>-75.418459999999996</v>
      </c>
      <c r="AM2525">
        <v>100</v>
      </c>
      <c r="AN2525">
        <v>4700</v>
      </c>
      <c r="AO2525" t="s">
        <v>115</v>
      </c>
      <c r="AP2525">
        <v>134</v>
      </c>
      <c r="AQ2525">
        <v>123</v>
      </c>
      <c r="AR2525">
        <v>0</v>
      </c>
      <c r="AZ2525">
        <v>3614</v>
      </c>
      <c r="BA2525">
        <v>1</v>
      </c>
      <c r="BB2525" t="str">
        <f t="shared" si="119"/>
        <v xml:space="preserve">N959MJ  </v>
      </c>
      <c r="BC2525">
        <v>1</v>
      </c>
      <c r="BE2525">
        <v>0</v>
      </c>
      <c r="BF2525">
        <v>0</v>
      </c>
      <c r="BG2525">
        <v>0</v>
      </c>
      <c r="BH2525">
        <v>4900</v>
      </c>
      <c r="BI2525">
        <v>200</v>
      </c>
      <c r="BJ2525">
        <v>1</v>
      </c>
      <c r="BK2525">
        <v>1</v>
      </c>
      <c r="BL2525">
        <v>1</v>
      </c>
      <c r="BM2525">
        <v>0</v>
      </c>
      <c r="BP2525">
        <v>0</v>
      </c>
      <c r="BQ2525">
        <v>0</v>
      </c>
      <c r="BX2525" t="str">
        <f>"14:32:25.805"</f>
        <v>14:32:25.805</v>
      </c>
      <c r="BY2525" t="str">
        <f>"801199479"</f>
        <v>801199479</v>
      </c>
      <c r="CL2525">
        <v>0</v>
      </c>
      <c r="CM2525">
        <v>2</v>
      </c>
      <c r="CN2525">
        <v>0</v>
      </c>
      <c r="CO2525">
        <v>2</v>
      </c>
      <c r="CP2525">
        <v>0</v>
      </c>
      <c r="CQ2525">
        <v>7</v>
      </c>
      <c r="CR2525" t="s">
        <v>116</v>
      </c>
      <c r="CS2525">
        <v>39</v>
      </c>
      <c r="CT2525">
        <v>0</v>
      </c>
      <c r="CU2525" t="s">
        <v>2259</v>
      </c>
      <c r="CV2525" t="s">
        <v>2260</v>
      </c>
      <c r="CY2525">
        <v>2003452</v>
      </c>
      <c r="CZ2525" t="s">
        <v>119</v>
      </c>
    </row>
    <row r="2526" spans="1:104" x14ac:dyDescent="0.25">
      <c r="A2526" t="str">
        <f>"14:32:27.008"</f>
        <v>14:32:27.008</v>
      </c>
      <c r="B2526" t="s">
        <v>108</v>
      </c>
      <c r="C2526" t="str">
        <f t="shared" si="118"/>
        <v>ffdfd3c0</v>
      </c>
      <c r="D2526" t="s">
        <v>109</v>
      </c>
      <c r="E2526">
        <v>4</v>
      </c>
      <c r="F2526">
        <v>1004</v>
      </c>
      <c r="G2526" t="s">
        <v>110</v>
      </c>
      <c r="J2526" t="s">
        <v>111</v>
      </c>
      <c r="K2526">
        <v>0</v>
      </c>
      <c r="L2526">
        <v>3</v>
      </c>
      <c r="M2526">
        <v>0</v>
      </c>
      <c r="N2526">
        <v>2</v>
      </c>
      <c r="O2526">
        <v>1</v>
      </c>
      <c r="P2526">
        <v>0</v>
      </c>
      <c r="Q2526">
        <v>0</v>
      </c>
      <c r="R2526" t="s">
        <v>112</v>
      </c>
      <c r="S2526" t="str">
        <f>"14:32:26.859"</f>
        <v>14:32:26.859</v>
      </c>
      <c r="T2526" t="str">
        <f>"14:32:26.461"</f>
        <v>14:32:26.461</v>
      </c>
      <c r="U2526" t="str">
        <f t="shared" si="117"/>
        <v>ad5732</v>
      </c>
      <c r="V2526">
        <v>0</v>
      </c>
      <c r="W2526">
        <v>0</v>
      </c>
      <c r="X2526">
        <v>1</v>
      </c>
      <c r="Z2526">
        <v>0</v>
      </c>
      <c r="AA2526">
        <v>9</v>
      </c>
      <c r="AB2526">
        <v>3</v>
      </c>
      <c r="AC2526">
        <v>0</v>
      </c>
      <c r="AD2526">
        <v>10</v>
      </c>
      <c r="AE2526">
        <v>0</v>
      </c>
      <c r="AF2526">
        <v>3</v>
      </c>
      <c r="AG2526">
        <v>2</v>
      </c>
      <c r="AH2526">
        <v>0</v>
      </c>
      <c r="AI2526" t="s">
        <v>5163</v>
      </c>
      <c r="AJ2526">
        <v>40.098660000000002</v>
      </c>
      <c r="AK2526" t="s">
        <v>5164</v>
      </c>
      <c r="AL2526">
        <v>-75.417516000000006</v>
      </c>
      <c r="AM2526">
        <v>100</v>
      </c>
      <c r="AN2526">
        <v>4700</v>
      </c>
      <c r="AO2526" t="s">
        <v>115</v>
      </c>
      <c r="AP2526">
        <v>134</v>
      </c>
      <c r="AQ2526">
        <v>124</v>
      </c>
      <c r="AR2526">
        <v>0</v>
      </c>
      <c r="AZ2526">
        <v>3614</v>
      </c>
      <c r="BA2526">
        <v>1</v>
      </c>
      <c r="BB2526" t="str">
        <f t="shared" si="119"/>
        <v xml:space="preserve">N959MJ  </v>
      </c>
      <c r="BC2526">
        <v>1</v>
      </c>
      <c r="BE2526">
        <v>0</v>
      </c>
      <c r="BF2526">
        <v>0</v>
      </c>
      <c r="BG2526">
        <v>0</v>
      </c>
      <c r="BH2526">
        <v>4900</v>
      </c>
      <c r="BI2526">
        <v>200</v>
      </c>
      <c r="BJ2526">
        <v>1</v>
      </c>
      <c r="BK2526">
        <v>1</v>
      </c>
      <c r="BL2526">
        <v>1</v>
      </c>
      <c r="BM2526">
        <v>0</v>
      </c>
      <c r="BP2526">
        <v>0</v>
      </c>
      <c r="BQ2526">
        <v>0</v>
      </c>
      <c r="BX2526" t="str">
        <f>"14:32:26.859"</f>
        <v>14:32:26.859</v>
      </c>
      <c r="BY2526" t="str">
        <f>"859624551"</f>
        <v>859624551</v>
      </c>
      <c r="CL2526">
        <v>0</v>
      </c>
      <c r="CM2526">
        <v>2</v>
      </c>
      <c r="CN2526">
        <v>0</v>
      </c>
      <c r="CO2526">
        <v>2</v>
      </c>
      <c r="CP2526">
        <v>0</v>
      </c>
      <c r="CQ2526">
        <v>7</v>
      </c>
      <c r="CR2526" t="s">
        <v>116</v>
      </c>
      <c r="CS2526">
        <v>39</v>
      </c>
      <c r="CT2526">
        <v>0</v>
      </c>
      <c r="CU2526" t="s">
        <v>2259</v>
      </c>
      <c r="CV2526" t="s">
        <v>2260</v>
      </c>
      <c r="CY2526">
        <v>2005205</v>
      </c>
      <c r="CZ2526" t="s">
        <v>119</v>
      </c>
    </row>
    <row r="2527" spans="1:104" x14ac:dyDescent="0.25">
      <c r="A2527" t="str">
        <f>"14:32:28.070"</f>
        <v>14:32:28.070</v>
      </c>
      <c r="B2527" t="s">
        <v>108</v>
      </c>
      <c r="C2527" t="str">
        <f t="shared" si="118"/>
        <v>ffdfd3c0</v>
      </c>
      <c r="D2527" t="s">
        <v>109</v>
      </c>
      <c r="E2527">
        <v>4</v>
      </c>
      <c r="F2527">
        <v>1004</v>
      </c>
      <c r="G2527" t="s">
        <v>110</v>
      </c>
      <c r="J2527" t="s">
        <v>111</v>
      </c>
      <c r="K2527">
        <v>0</v>
      </c>
      <c r="L2527">
        <v>3</v>
      </c>
      <c r="M2527">
        <v>0</v>
      </c>
      <c r="N2527">
        <v>2</v>
      </c>
      <c r="O2527">
        <v>1</v>
      </c>
      <c r="P2527">
        <v>0</v>
      </c>
      <c r="Q2527">
        <v>0</v>
      </c>
      <c r="R2527" t="s">
        <v>112</v>
      </c>
      <c r="S2527" t="str">
        <f>"14:32:27.859"</f>
        <v>14:32:27.859</v>
      </c>
      <c r="T2527" t="str">
        <f>"14:32:27.359"</f>
        <v>14:32:27.359</v>
      </c>
      <c r="U2527" t="str">
        <f t="shared" si="117"/>
        <v>ad5732</v>
      </c>
      <c r="V2527">
        <v>0</v>
      </c>
      <c r="W2527">
        <v>0</v>
      </c>
      <c r="X2527">
        <v>1</v>
      </c>
      <c r="Z2527">
        <v>0</v>
      </c>
      <c r="AA2527">
        <v>9</v>
      </c>
      <c r="AB2527">
        <v>3</v>
      </c>
      <c r="AC2527">
        <v>0</v>
      </c>
      <c r="AD2527">
        <v>10</v>
      </c>
      <c r="AE2527">
        <v>0</v>
      </c>
      <c r="AF2527">
        <v>3</v>
      </c>
      <c r="AG2527">
        <v>2</v>
      </c>
      <c r="AH2527">
        <v>0</v>
      </c>
      <c r="AI2527" t="s">
        <v>5165</v>
      </c>
      <c r="AJ2527">
        <v>40.099218</v>
      </c>
      <c r="AK2527" t="s">
        <v>5166</v>
      </c>
      <c r="AL2527">
        <v>-75.416701000000003</v>
      </c>
      <c r="AM2527">
        <v>100</v>
      </c>
      <c r="AN2527">
        <v>4700</v>
      </c>
      <c r="AO2527" t="s">
        <v>115</v>
      </c>
      <c r="AP2527">
        <v>134</v>
      </c>
      <c r="AQ2527">
        <v>124</v>
      </c>
      <c r="AR2527">
        <v>0</v>
      </c>
      <c r="AZ2527">
        <v>3614</v>
      </c>
      <c r="BA2527">
        <v>1</v>
      </c>
      <c r="BB2527" t="str">
        <f t="shared" si="119"/>
        <v xml:space="preserve">N959MJ  </v>
      </c>
      <c r="BC2527">
        <v>1</v>
      </c>
      <c r="BE2527">
        <v>0</v>
      </c>
      <c r="BF2527">
        <v>0</v>
      </c>
      <c r="BG2527">
        <v>0</v>
      </c>
      <c r="BH2527">
        <v>4900</v>
      </c>
      <c r="BI2527">
        <v>200</v>
      </c>
      <c r="BJ2527">
        <v>1</v>
      </c>
      <c r="BK2527">
        <v>1</v>
      </c>
      <c r="BL2527">
        <v>1</v>
      </c>
      <c r="BM2527">
        <v>0</v>
      </c>
      <c r="BP2527">
        <v>0</v>
      </c>
      <c r="BQ2527">
        <v>0</v>
      </c>
      <c r="BX2527" t="str">
        <f>"14:32:27.867"</f>
        <v>14:32:27.867</v>
      </c>
      <c r="BY2527" t="str">
        <f>"863981393"</f>
        <v>863981393</v>
      </c>
      <c r="CL2527">
        <v>0</v>
      </c>
      <c r="CM2527">
        <v>2</v>
      </c>
      <c r="CN2527">
        <v>0</v>
      </c>
      <c r="CO2527">
        <v>2</v>
      </c>
      <c r="CP2527">
        <v>0</v>
      </c>
      <c r="CQ2527">
        <v>7</v>
      </c>
      <c r="CR2527" t="s">
        <v>116</v>
      </c>
      <c r="CS2527">
        <v>39</v>
      </c>
      <c r="CT2527">
        <v>0</v>
      </c>
      <c r="CU2527" t="s">
        <v>2259</v>
      </c>
      <c r="CV2527" t="s">
        <v>2260</v>
      </c>
      <c r="CY2527">
        <v>2006957</v>
      </c>
      <c r="CZ2527" t="s">
        <v>119</v>
      </c>
    </row>
    <row r="2528" spans="1:104" x14ac:dyDescent="0.25">
      <c r="A2528" t="str">
        <f>"14:32:28.977"</f>
        <v>14:32:28.977</v>
      </c>
      <c r="B2528" t="s">
        <v>108</v>
      </c>
      <c r="C2528" t="str">
        <f t="shared" si="118"/>
        <v>ffdfd3c0</v>
      </c>
      <c r="D2528" t="s">
        <v>109</v>
      </c>
      <c r="E2528">
        <v>4</v>
      </c>
      <c r="F2528">
        <v>1004</v>
      </c>
      <c r="G2528" t="s">
        <v>110</v>
      </c>
      <c r="J2528" t="s">
        <v>111</v>
      </c>
      <c r="K2528">
        <v>0</v>
      </c>
      <c r="L2528">
        <v>3</v>
      </c>
      <c r="M2528">
        <v>0</v>
      </c>
      <c r="N2528">
        <v>2</v>
      </c>
      <c r="O2528">
        <v>1</v>
      </c>
      <c r="P2528">
        <v>0</v>
      </c>
      <c r="Q2528">
        <v>0</v>
      </c>
      <c r="R2528" t="s">
        <v>112</v>
      </c>
      <c r="S2528" t="str">
        <f>"14:32:28.813"</f>
        <v>14:32:28.813</v>
      </c>
      <c r="T2528" t="str">
        <f>"14:32:28.414"</f>
        <v>14:32:28.414</v>
      </c>
      <c r="U2528" t="str">
        <f t="shared" si="117"/>
        <v>ad5732</v>
      </c>
      <c r="V2528">
        <v>0</v>
      </c>
      <c r="W2528">
        <v>0</v>
      </c>
      <c r="X2528">
        <v>1</v>
      </c>
      <c r="Z2528">
        <v>0</v>
      </c>
      <c r="AA2528">
        <v>9</v>
      </c>
      <c r="AB2528">
        <v>3</v>
      </c>
      <c r="AC2528">
        <v>0</v>
      </c>
      <c r="AD2528">
        <v>10</v>
      </c>
      <c r="AE2528">
        <v>0</v>
      </c>
      <c r="AF2528">
        <v>3</v>
      </c>
      <c r="AG2528">
        <v>2</v>
      </c>
      <c r="AH2528">
        <v>0</v>
      </c>
      <c r="AI2528" t="s">
        <v>5167</v>
      </c>
      <c r="AJ2528">
        <v>40.099818999999997</v>
      </c>
      <c r="AK2528" t="s">
        <v>5168</v>
      </c>
      <c r="AL2528">
        <v>-75.415907000000004</v>
      </c>
      <c r="AM2528">
        <v>100</v>
      </c>
      <c r="AN2528">
        <v>4700</v>
      </c>
      <c r="AO2528" t="s">
        <v>115</v>
      </c>
      <c r="AP2528">
        <v>134</v>
      </c>
      <c r="AQ2528">
        <v>124</v>
      </c>
      <c r="AR2528">
        <v>0</v>
      </c>
      <c r="AZ2528">
        <v>3614</v>
      </c>
      <c r="BA2528">
        <v>1</v>
      </c>
      <c r="BB2528" t="str">
        <f t="shared" si="119"/>
        <v xml:space="preserve">N959MJ  </v>
      </c>
      <c r="BC2528">
        <v>1</v>
      </c>
      <c r="BE2528">
        <v>0</v>
      </c>
      <c r="BF2528">
        <v>0</v>
      </c>
      <c r="BG2528">
        <v>0</v>
      </c>
      <c r="BH2528">
        <v>4900</v>
      </c>
      <c r="BI2528">
        <v>200</v>
      </c>
      <c r="BJ2528">
        <v>1</v>
      </c>
      <c r="BK2528">
        <v>1</v>
      </c>
      <c r="BL2528">
        <v>1</v>
      </c>
      <c r="BM2528">
        <v>0</v>
      </c>
      <c r="BP2528">
        <v>0</v>
      </c>
      <c r="BQ2528">
        <v>0</v>
      </c>
      <c r="BX2528" t="str">
        <f>"14:32:28.813"</f>
        <v>14:32:28.813</v>
      </c>
      <c r="BY2528" t="str">
        <f>"814270113"</f>
        <v>814270113</v>
      </c>
      <c r="CL2528">
        <v>0</v>
      </c>
      <c r="CM2528">
        <v>2</v>
      </c>
      <c r="CN2528">
        <v>0</v>
      </c>
      <c r="CO2528">
        <v>2</v>
      </c>
      <c r="CP2528">
        <v>0</v>
      </c>
      <c r="CQ2528">
        <v>7</v>
      </c>
      <c r="CR2528" t="s">
        <v>116</v>
      </c>
      <c r="CS2528">
        <v>39</v>
      </c>
      <c r="CT2528">
        <v>0</v>
      </c>
      <c r="CU2528" t="s">
        <v>2259</v>
      </c>
      <c r="CV2528" t="s">
        <v>2260</v>
      </c>
      <c r="CY2528">
        <v>2008489</v>
      </c>
      <c r="CZ2528" t="s">
        <v>119</v>
      </c>
    </row>
    <row r="2529" spans="1:104" x14ac:dyDescent="0.25">
      <c r="A2529" t="str">
        <f>"14:32:29.938"</f>
        <v>14:32:29.938</v>
      </c>
      <c r="B2529" t="s">
        <v>108</v>
      </c>
      <c r="C2529" t="str">
        <f t="shared" si="118"/>
        <v>ffdfd3c0</v>
      </c>
      <c r="D2529" t="s">
        <v>109</v>
      </c>
      <c r="E2529">
        <v>4</v>
      </c>
      <c r="F2529">
        <v>1004</v>
      </c>
      <c r="G2529" t="s">
        <v>110</v>
      </c>
      <c r="J2529" t="s">
        <v>111</v>
      </c>
      <c r="K2529">
        <v>0</v>
      </c>
      <c r="L2529">
        <v>3</v>
      </c>
      <c r="M2529">
        <v>0</v>
      </c>
      <c r="N2529">
        <v>2</v>
      </c>
      <c r="O2529">
        <v>1</v>
      </c>
      <c r="P2529">
        <v>0</v>
      </c>
      <c r="Q2529">
        <v>0</v>
      </c>
      <c r="R2529" t="s">
        <v>112</v>
      </c>
      <c r="S2529" t="str">
        <f>"14:32:29.742"</f>
        <v>14:32:29.742</v>
      </c>
      <c r="T2529" t="str">
        <f>"14:32:29.344"</f>
        <v>14:32:29.344</v>
      </c>
      <c r="U2529" t="str">
        <f t="shared" si="117"/>
        <v>ad5732</v>
      </c>
      <c r="V2529">
        <v>0</v>
      </c>
      <c r="W2529">
        <v>0</v>
      </c>
      <c r="X2529">
        <v>1</v>
      </c>
      <c r="Z2529">
        <v>0</v>
      </c>
      <c r="AA2529">
        <v>9</v>
      </c>
      <c r="AB2529">
        <v>3</v>
      </c>
      <c r="AC2529">
        <v>0</v>
      </c>
      <c r="AD2529">
        <v>10</v>
      </c>
      <c r="AE2529">
        <v>0</v>
      </c>
      <c r="AF2529">
        <v>3</v>
      </c>
      <c r="AG2529">
        <v>2</v>
      </c>
      <c r="AH2529">
        <v>0</v>
      </c>
      <c r="AI2529" t="s">
        <v>5169</v>
      </c>
      <c r="AJ2529">
        <v>40.100333999999997</v>
      </c>
      <c r="AK2529" t="s">
        <v>5170</v>
      </c>
      <c r="AL2529">
        <v>-75.415220000000005</v>
      </c>
      <c r="AM2529">
        <v>100</v>
      </c>
      <c r="AN2529">
        <v>4700</v>
      </c>
      <c r="AO2529" t="s">
        <v>115</v>
      </c>
      <c r="AP2529">
        <v>134</v>
      </c>
      <c r="AQ2529">
        <v>124</v>
      </c>
      <c r="AR2529">
        <v>0</v>
      </c>
      <c r="AZ2529">
        <v>3614</v>
      </c>
      <c r="BA2529">
        <v>1</v>
      </c>
      <c r="BB2529" t="str">
        <f t="shared" si="119"/>
        <v xml:space="preserve">N959MJ  </v>
      </c>
      <c r="BC2529">
        <v>1</v>
      </c>
      <c r="BE2529">
        <v>0</v>
      </c>
      <c r="BF2529">
        <v>0</v>
      </c>
      <c r="BG2529">
        <v>0</v>
      </c>
      <c r="BH2529">
        <v>4900</v>
      </c>
      <c r="BI2529">
        <v>200</v>
      </c>
      <c r="BJ2529">
        <v>1</v>
      </c>
      <c r="BK2529">
        <v>1</v>
      </c>
      <c r="BL2529">
        <v>1</v>
      </c>
      <c r="BM2529">
        <v>0</v>
      </c>
      <c r="BP2529">
        <v>0</v>
      </c>
      <c r="BQ2529">
        <v>0</v>
      </c>
      <c r="BX2529" t="str">
        <f>"14:32:29.750"</f>
        <v>14:32:29.750</v>
      </c>
      <c r="BY2529" t="str">
        <f>"749812983"</f>
        <v>749812983</v>
      </c>
      <c r="CL2529">
        <v>0</v>
      </c>
      <c r="CM2529">
        <v>2</v>
      </c>
      <c r="CN2529">
        <v>0</v>
      </c>
      <c r="CO2529">
        <v>2</v>
      </c>
      <c r="CP2529">
        <v>0</v>
      </c>
      <c r="CQ2529">
        <v>7</v>
      </c>
      <c r="CR2529" t="s">
        <v>116</v>
      </c>
      <c r="CS2529">
        <v>39</v>
      </c>
      <c r="CT2529">
        <v>0</v>
      </c>
      <c r="CU2529" t="s">
        <v>2259</v>
      </c>
      <c r="CV2529" t="s">
        <v>2260</v>
      </c>
      <c r="CY2529">
        <v>2010053</v>
      </c>
      <c r="CZ2529" t="s">
        <v>119</v>
      </c>
    </row>
    <row r="2530" spans="1:104" x14ac:dyDescent="0.25">
      <c r="A2530" t="str">
        <f>"14:32:31.453"</f>
        <v>14:32:31.453</v>
      </c>
      <c r="B2530" t="s">
        <v>108</v>
      </c>
      <c r="C2530" t="str">
        <f t="shared" si="118"/>
        <v>ffdfd3c0</v>
      </c>
      <c r="D2530" t="s">
        <v>109</v>
      </c>
      <c r="E2530">
        <v>4</v>
      </c>
      <c r="F2530">
        <v>1004</v>
      </c>
      <c r="G2530" t="s">
        <v>110</v>
      </c>
      <c r="J2530" t="s">
        <v>111</v>
      </c>
      <c r="K2530">
        <v>0</v>
      </c>
      <c r="L2530">
        <v>3</v>
      </c>
      <c r="M2530">
        <v>0</v>
      </c>
      <c r="N2530">
        <v>2</v>
      </c>
      <c r="O2530">
        <v>1</v>
      </c>
      <c r="P2530">
        <v>0</v>
      </c>
      <c r="Q2530">
        <v>0</v>
      </c>
      <c r="R2530" t="s">
        <v>112</v>
      </c>
      <c r="S2530" t="str">
        <f>"14:32:31.273"</f>
        <v>14:32:31.273</v>
      </c>
      <c r="T2530" t="str">
        <f>"14:32:30.977"</f>
        <v>14:32:30.977</v>
      </c>
      <c r="U2530" t="str">
        <f t="shared" si="117"/>
        <v>ad5732</v>
      </c>
      <c r="V2530">
        <v>0</v>
      </c>
      <c r="W2530">
        <v>0</v>
      </c>
      <c r="X2530">
        <v>1</v>
      </c>
      <c r="Z2530">
        <v>0</v>
      </c>
      <c r="AA2530">
        <v>9</v>
      </c>
      <c r="AB2530">
        <v>3</v>
      </c>
      <c r="AC2530">
        <v>0</v>
      </c>
      <c r="AD2530">
        <v>10</v>
      </c>
      <c r="AE2530">
        <v>0</v>
      </c>
      <c r="AF2530">
        <v>3</v>
      </c>
      <c r="AG2530">
        <v>2</v>
      </c>
      <c r="AH2530">
        <v>0</v>
      </c>
      <c r="AI2530" t="s">
        <v>5171</v>
      </c>
      <c r="AJ2530">
        <v>40.101171000000001</v>
      </c>
      <c r="AK2530" t="s">
        <v>5172</v>
      </c>
      <c r="AL2530">
        <v>-75.413954000000004</v>
      </c>
      <c r="AM2530">
        <v>100</v>
      </c>
      <c r="AN2530">
        <v>4700</v>
      </c>
      <c r="AO2530" t="s">
        <v>115</v>
      </c>
      <c r="AP2530">
        <v>134</v>
      </c>
      <c r="AQ2530">
        <v>124</v>
      </c>
      <c r="AR2530">
        <v>0</v>
      </c>
      <c r="AZ2530">
        <v>3614</v>
      </c>
      <c r="BA2530">
        <v>1</v>
      </c>
      <c r="BB2530" t="str">
        <f t="shared" si="119"/>
        <v xml:space="preserve">N959MJ  </v>
      </c>
      <c r="BC2530">
        <v>1</v>
      </c>
      <c r="BE2530">
        <v>0</v>
      </c>
      <c r="BF2530">
        <v>0</v>
      </c>
      <c r="BG2530">
        <v>0</v>
      </c>
      <c r="BH2530">
        <v>4900</v>
      </c>
      <c r="BI2530">
        <v>200</v>
      </c>
      <c r="BJ2530">
        <v>1</v>
      </c>
      <c r="BK2530">
        <v>1</v>
      </c>
      <c r="BL2530">
        <v>1</v>
      </c>
      <c r="BM2530">
        <v>0</v>
      </c>
      <c r="BP2530">
        <v>0</v>
      </c>
      <c r="BQ2530">
        <v>0</v>
      </c>
      <c r="BX2530" t="str">
        <f>"14:32:31.273"</f>
        <v>14:32:31.273</v>
      </c>
      <c r="BY2530" t="str">
        <f>"273575928"</f>
        <v>273575928</v>
      </c>
      <c r="CL2530">
        <v>0</v>
      </c>
      <c r="CM2530">
        <v>2</v>
      </c>
      <c r="CN2530">
        <v>0</v>
      </c>
      <c r="CO2530">
        <v>2</v>
      </c>
      <c r="CP2530">
        <v>0</v>
      </c>
      <c r="CQ2530">
        <v>5</v>
      </c>
      <c r="CR2530" t="s">
        <v>5173</v>
      </c>
      <c r="CS2530">
        <v>42</v>
      </c>
      <c r="CT2530">
        <v>0</v>
      </c>
      <c r="CU2530" t="s">
        <v>5174</v>
      </c>
      <c r="CV2530" t="s">
        <v>5175</v>
      </c>
      <c r="CY2530">
        <v>9427000</v>
      </c>
      <c r="CZ2530" t="s">
        <v>119</v>
      </c>
    </row>
    <row r="2531" spans="1:104" x14ac:dyDescent="0.25">
      <c r="A2531" t="str">
        <f>"14:32:32.414"</f>
        <v>14:32:32.414</v>
      </c>
      <c r="B2531" t="s">
        <v>108</v>
      </c>
      <c r="C2531" t="str">
        <f t="shared" si="118"/>
        <v>ffdfd3c0</v>
      </c>
      <c r="D2531" t="s">
        <v>109</v>
      </c>
      <c r="E2531">
        <v>4</v>
      </c>
      <c r="F2531">
        <v>1004</v>
      </c>
      <c r="G2531" t="s">
        <v>110</v>
      </c>
      <c r="J2531" t="s">
        <v>111</v>
      </c>
      <c r="K2531">
        <v>0</v>
      </c>
      <c r="L2531">
        <v>3</v>
      </c>
      <c r="M2531">
        <v>0</v>
      </c>
      <c r="N2531">
        <v>2</v>
      </c>
      <c r="O2531">
        <v>1</v>
      </c>
      <c r="P2531">
        <v>0</v>
      </c>
      <c r="Q2531">
        <v>0</v>
      </c>
      <c r="R2531" t="s">
        <v>112</v>
      </c>
      <c r="S2531" t="str">
        <f>"14:32:32.234"</f>
        <v>14:32:32.234</v>
      </c>
      <c r="T2531" t="str">
        <f>"14:32:31.836"</f>
        <v>14:32:31.836</v>
      </c>
      <c r="U2531" t="str">
        <f t="shared" si="117"/>
        <v>ad5732</v>
      </c>
      <c r="V2531">
        <v>0</v>
      </c>
      <c r="W2531">
        <v>0</v>
      </c>
      <c r="X2531">
        <v>1</v>
      </c>
      <c r="Z2531">
        <v>0</v>
      </c>
      <c r="AA2531">
        <v>9</v>
      </c>
      <c r="AB2531">
        <v>3</v>
      </c>
      <c r="AC2531">
        <v>0</v>
      </c>
      <c r="AD2531">
        <v>10</v>
      </c>
      <c r="AE2531">
        <v>0</v>
      </c>
      <c r="AF2531">
        <v>3</v>
      </c>
      <c r="AG2531">
        <v>2</v>
      </c>
      <c r="AH2531">
        <v>0</v>
      </c>
      <c r="AI2531" t="s">
        <v>5176</v>
      </c>
      <c r="AJ2531">
        <v>40.101770999999999</v>
      </c>
      <c r="AK2531" t="s">
        <v>5177</v>
      </c>
      <c r="AL2531">
        <v>-75.413224999999997</v>
      </c>
      <c r="AM2531">
        <v>100</v>
      </c>
      <c r="AN2531">
        <v>4700</v>
      </c>
      <c r="AO2531" t="s">
        <v>115</v>
      </c>
      <c r="AP2531">
        <v>134</v>
      </c>
      <c r="AQ2531">
        <v>124</v>
      </c>
      <c r="AR2531">
        <v>0</v>
      </c>
      <c r="AZ2531">
        <v>3614</v>
      </c>
      <c r="BA2531">
        <v>1</v>
      </c>
      <c r="BB2531" t="str">
        <f t="shared" si="119"/>
        <v xml:space="preserve">N959MJ  </v>
      </c>
      <c r="BC2531">
        <v>1</v>
      </c>
      <c r="BE2531">
        <v>0</v>
      </c>
      <c r="BF2531">
        <v>0</v>
      </c>
      <c r="BG2531">
        <v>0</v>
      </c>
      <c r="BH2531">
        <v>4900</v>
      </c>
      <c r="BI2531">
        <v>200</v>
      </c>
      <c r="BJ2531">
        <v>1</v>
      </c>
      <c r="BK2531">
        <v>1</v>
      </c>
      <c r="BL2531">
        <v>1</v>
      </c>
      <c r="BM2531">
        <v>0</v>
      </c>
      <c r="BP2531">
        <v>0</v>
      </c>
      <c r="BQ2531">
        <v>0</v>
      </c>
      <c r="BX2531" t="str">
        <f>"14:32:32.234"</f>
        <v>14:32:32.234</v>
      </c>
      <c r="BY2531" t="str">
        <f>"236948065"</f>
        <v>236948065</v>
      </c>
      <c r="CL2531">
        <v>0</v>
      </c>
      <c r="CM2531">
        <v>2</v>
      </c>
      <c r="CN2531">
        <v>0</v>
      </c>
      <c r="CO2531">
        <v>2</v>
      </c>
      <c r="CP2531">
        <v>0</v>
      </c>
      <c r="CQ2531">
        <v>7</v>
      </c>
      <c r="CR2531" t="s">
        <v>116</v>
      </c>
      <c r="CS2531">
        <v>39</v>
      </c>
      <c r="CT2531">
        <v>0</v>
      </c>
      <c r="CU2531" t="s">
        <v>2259</v>
      </c>
      <c r="CV2531" t="s">
        <v>2260</v>
      </c>
      <c r="CY2531">
        <v>2014451</v>
      </c>
      <c r="CZ2531" t="s">
        <v>119</v>
      </c>
    </row>
    <row r="2532" spans="1:104" x14ac:dyDescent="0.25">
      <c r="A2532" t="str">
        <f>"14:32:33.320"</f>
        <v>14:32:33.320</v>
      </c>
      <c r="B2532" t="s">
        <v>108</v>
      </c>
      <c r="C2532" t="str">
        <f t="shared" si="118"/>
        <v>ffdfd3c0</v>
      </c>
      <c r="D2532" t="s">
        <v>109</v>
      </c>
      <c r="E2532">
        <v>4</v>
      </c>
      <c r="F2532">
        <v>1004</v>
      </c>
      <c r="G2532" t="s">
        <v>110</v>
      </c>
      <c r="J2532" t="s">
        <v>111</v>
      </c>
      <c r="K2532">
        <v>0</v>
      </c>
      <c r="L2532">
        <v>3</v>
      </c>
      <c r="M2532">
        <v>0</v>
      </c>
      <c r="N2532">
        <v>2</v>
      </c>
      <c r="O2532">
        <v>1</v>
      </c>
      <c r="P2532">
        <v>0</v>
      </c>
      <c r="Q2532">
        <v>0</v>
      </c>
      <c r="R2532" t="s">
        <v>112</v>
      </c>
      <c r="S2532" t="str">
        <f>"14:32:33.156"</f>
        <v>14:32:33.156</v>
      </c>
      <c r="T2532" t="str">
        <f>"14:32:32.758"</f>
        <v>14:32:32.758</v>
      </c>
      <c r="U2532" t="str">
        <f t="shared" si="117"/>
        <v>ad5732</v>
      </c>
      <c r="V2532">
        <v>0</v>
      </c>
      <c r="W2532">
        <v>0</v>
      </c>
      <c r="X2532">
        <v>1</v>
      </c>
      <c r="Z2532">
        <v>0</v>
      </c>
      <c r="AA2532">
        <v>9</v>
      </c>
      <c r="AB2532">
        <v>3</v>
      </c>
      <c r="AC2532">
        <v>0</v>
      </c>
      <c r="AD2532">
        <v>10</v>
      </c>
      <c r="AE2532">
        <v>0</v>
      </c>
      <c r="AF2532">
        <v>3</v>
      </c>
      <c r="AG2532">
        <v>2</v>
      </c>
      <c r="AH2532">
        <v>0</v>
      </c>
      <c r="AI2532" t="s">
        <v>5178</v>
      </c>
      <c r="AJ2532">
        <v>40.102243000000001</v>
      </c>
      <c r="AK2532" t="s">
        <v>5179</v>
      </c>
      <c r="AL2532">
        <v>-75.412474000000003</v>
      </c>
      <c r="AM2532">
        <v>100</v>
      </c>
      <c r="AN2532">
        <v>4700</v>
      </c>
      <c r="AO2532" t="s">
        <v>115</v>
      </c>
      <c r="AP2532">
        <v>134</v>
      </c>
      <c r="AQ2532">
        <v>124</v>
      </c>
      <c r="AR2532">
        <v>0</v>
      </c>
      <c r="AZ2532">
        <v>3614</v>
      </c>
      <c r="BA2532">
        <v>1</v>
      </c>
      <c r="BB2532" t="str">
        <f t="shared" si="119"/>
        <v xml:space="preserve">N959MJ  </v>
      </c>
      <c r="BC2532">
        <v>1</v>
      </c>
      <c r="BE2532">
        <v>0</v>
      </c>
      <c r="BF2532">
        <v>0</v>
      </c>
      <c r="BG2532">
        <v>0</v>
      </c>
      <c r="BH2532">
        <v>4900</v>
      </c>
      <c r="BI2532">
        <v>200</v>
      </c>
      <c r="BJ2532">
        <v>1</v>
      </c>
      <c r="BK2532">
        <v>1</v>
      </c>
      <c r="BL2532">
        <v>1</v>
      </c>
      <c r="BM2532">
        <v>0</v>
      </c>
      <c r="BP2532">
        <v>0</v>
      </c>
      <c r="BQ2532">
        <v>0</v>
      </c>
      <c r="BX2532" t="str">
        <f>"14:32:33.156"</f>
        <v>14:32:33.156</v>
      </c>
      <c r="BY2532" t="str">
        <f>"159383407"</f>
        <v>159383407</v>
      </c>
      <c r="CL2532">
        <v>0</v>
      </c>
      <c r="CM2532">
        <v>2</v>
      </c>
      <c r="CN2532">
        <v>0</v>
      </c>
      <c r="CO2532">
        <v>2</v>
      </c>
      <c r="CP2532">
        <v>0</v>
      </c>
      <c r="CQ2532">
        <v>7</v>
      </c>
      <c r="CR2532" t="s">
        <v>116</v>
      </c>
      <c r="CS2532">
        <v>39</v>
      </c>
      <c r="CT2532">
        <v>0</v>
      </c>
      <c r="CU2532" t="s">
        <v>2259</v>
      </c>
      <c r="CV2532" t="s">
        <v>2260</v>
      </c>
      <c r="CY2532">
        <v>2015988</v>
      </c>
      <c r="CZ2532" t="s">
        <v>119</v>
      </c>
    </row>
    <row r="2533" spans="1:104" x14ac:dyDescent="0.25">
      <c r="A2533" t="str">
        <f>"14:32:34.281"</f>
        <v>14:32:34.281</v>
      </c>
      <c r="B2533" t="s">
        <v>108</v>
      </c>
      <c r="C2533" t="str">
        <f t="shared" si="118"/>
        <v>ffdfd3c0</v>
      </c>
      <c r="D2533" t="s">
        <v>109</v>
      </c>
      <c r="E2533">
        <v>4</v>
      </c>
      <c r="F2533">
        <v>1004</v>
      </c>
      <c r="G2533" t="s">
        <v>110</v>
      </c>
      <c r="J2533" t="s">
        <v>111</v>
      </c>
      <c r="K2533">
        <v>0</v>
      </c>
      <c r="L2533">
        <v>3</v>
      </c>
      <c r="M2533">
        <v>0</v>
      </c>
      <c r="N2533">
        <v>2</v>
      </c>
      <c r="O2533">
        <v>1</v>
      </c>
      <c r="P2533">
        <v>0</v>
      </c>
      <c r="Q2533">
        <v>0</v>
      </c>
      <c r="R2533" t="s">
        <v>112</v>
      </c>
      <c r="S2533" t="str">
        <f>"14:32:34.102"</f>
        <v>14:32:34.102</v>
      </c>
      <c r="T2533" t="str">
        <f>"14:32:33.703"</f>
        <v>14:32:33.703</v>
      </c>
      <c r="U2533" t="str">
        <f t="shared" si="117"/>
        <v>ad5732</v>
      </c>
      <c r="V2533">
        <v>0</v>
      </c>
      <c r="W2533">
        <v>0</v>
      </c>
      <c r="X2533">
        <v>1</v>
      </c>
      <c r="Z2533">
        <v>0</v>
      </c>
      <c r="AA2533">
        <v>9</v>
      </c>
      <c r="AB2533">
        <v>3</v>
      </c>
      <c r="AC2533">
        <v>0</v>
      </c>
      <c r="AD2533">
        <v>10</v>
      </c>
      <c r="AE2533">
        <v>0</v>
      </c>
      <c r="AF2533">
        <v>3</v>
      </c>
      <c r="AG2533">
        <v>2</v>
      </c>
      <c r="AH2533">
        <v>0</v>
      </c>
      <c r="AI2533" t="s">
        <v>5180</v>
      </c>
      <c r="AJ2533">
        <v>40.102800999999999</v>
      </c>
      <c r="AK2533" t="s">
        <v>5181</v>
      </c>
      <c r="AL2533">
        <v>-75.411722999999995</v>
      </c>
      <c r="AM2533">
        <v>100</v>
      </c>
      <c r="AN2533">
        <v>4700</v>
      </c>
      <c r="AO2533" t="s">
        <v>115</v>
      </c>
      <c r="AP2533">
        <v>134</v>
      </c>
      <c r="AQ2533">
        <v>124</v>
      </c>
      <c r="AR2533">
        <v>64</v>
      </c>
      <c r="AZ2533">
        <v>3614</v>
      </c>
      <c r="BA2533">
        <v>1</v>
      </c>
      <c r="BB2533" t="str">
        <f t="shared" si="119"/>
        <v xml:space="preserve">N959MJ  </v>
      </c>
      <c r="BC2533">
        <v>1</v>
      </c>
      <c r="BE2533">
        <v>0</v>
      </c>
      <c r="BF2533">
        <v>0</v>
      </c>
      <c r="BG2533">
        <v>0</v>
      </c>
      <c r="BH2533">
        <v>4900</v>
      </c>
      <c r="BI2533">
        <v>200</v>
      </c>
      <c r="BJ2533">
        <v>1</v>
      </c>
      <c r="BK2533">
        <v>1</v>
      </c>
      <c r="BL2533">
        <v>1</v>
      </c>
      <c r="BM2533">
        <v>0</v>
      </c>
      <c r="BP2533">
        <v>0</v>
      </c>
      <c r="BQ2533">
        <v>0</v>
      </c>
      <c r="BX2533" t="str">
        <f>"14:32:34.109"</f>
        <v>14:32:34.109</v>
      </c>
      <c r="BY2533" t="str">
        <f>"108033721"</f>
        <v>108033721</v>
      </c>
      <c r="CL2533">
        <v>0</v>
      </c>
      <c r="CM2533">
        <v>2</v>
      </c>
      <c r="CN2533">
        <v>0</v>
      </c>
      <c r="CO2533">
        <v>2</v>
      </c>
      <c r="CP2533">
        <v>0</v>
      </c>
      <c r="CQ2533">
        <v>7</v>
      </c>
      <c r="CR2533" t="s">
        <v>116</v>
      </c>
      <c r="CS2533">
        <v>39</v>
      </c>
      <c r="CT2533">
        <v>0</v>
      </c>
      <c r="CU2533" t="s">
        <v>2259</v>
      </c>
      <c r="CV2533" t="s">
        <v>2260</v>
      </c>
      <c r="CY2533">
        <v>2017456</v>
      </c>
      <c r="CZ2533" t="s">
        <v>119</v>
      </c>
    </row>
    <row r="2534" spans="1:104" x14ac:dyDescent="0.25">
      <c r="A2534" t="str">
        <f>"14:32:35.242"</f>
        <v>14:32:35.242</v>
      </c>
      <c r="B2534" t="s">
        <v>108</v>
      </c>
      <c r="C2534" t="str">
        <f t="shared" si="118"/>
        <v>ffdfd3c0</v>
      </c>
      <c r="D2534" t="s">
        <v>109</v>
      </c>
      <c r="E2534">
        <v>4</v>
      </c>
      <c r="F2534">
        <v>1004</v>
      </c>
      <c r="G2534" t="s">
        <v>110</v>
      </c>
      <c r="J2534" t="s">
        <v>111</v>
      </c>
      <c r="K2534">
        <v>0</v>
      </c>
      <c r="L2534">
        <v>3</v>
      </c>
      <c r="M2534">
        <v>0</v>
      </c>
      <c r="N2534">
        <v>2</v>
      </c>
      <c r="O2534">
        <v>1</v>
      </c>
      <c r="P2534">
        <v>0</v>
      </c>
      <c r="Q2534">
        <v>0</v>
      </c>
      <c r="R2534" t="s">
        <v>112</v>
      </c>
      <c r="S2534" t="str">
        <f>"14:32:35.063"</f>
        <v>14:32:35.063</v>
      </c>
      <c r="T2534" t="str">
        <f>"14:32:34.664"</f>
        <v>14:32:34.664</v>
      </c>
      <c r="U2534" t="str">
        <f t="shared" si="117"/>
        <v>ad5732</v>
      </c>
      <c r="V2534">
        <v>0</v>
      </c>
      <c r="W2534">
        <v>0</v>
      </c>
      <c r="X2534">
        <v>1</v>
      </c>
      <c r="Z2534">
        <v>0</v>
      </c>
      <c r="AA2534">
        <v>9</v>
      </c>
      <c r="AB2534">
        <v>3</v>
      </c>
      <c r="AC2534">
        <v>0</v>
      </c>
      <c r="AD2534">
        <v>10</v>
      </c>
      <c r="AE2534">
        <v>0</v>
      </c>
      <c r="AF2534">
        <v>3</v>
      </c>
      <c r="AG2534">
        <v>2</v>
      </c>
      <c r="AH2534">
        <v>0</v>
      </c>
      <c r="AI2534" t="s">
        <v>5182</v>
      </c>
      <c r="AJ2534">
        <v>40.103358999999998</v>
      </c>
      <c r="AK2534" t="s">
        <v>5183</v>
      </c>
      <c r="AL2534">
        <v>-75.410906999999995</v>
      </c>
      <c r="AM2534">
        <v>100</v>
      </c>
      <c r="AN2534">
        <v>4700</v>
      </c>
      <c r="AO2534" t="s">
        <v>115</v>
      </c>
      <c r="AP2534">
        <v>133</v>
      </c>
      <c r="AQ2534">
        <v>124</v>
      </c>
      <c r="AR2534">
        <v>64</v>
      </c>
      <c r="AZ2534">
        <v>3614</v>
      </c>
      <c r="BA2534">
        <v>1</v>
      </c>
      <c r="BB2534" t="str">
        <f t="shared" si="119"/>
        <v xml:space="preserve">N959MJ  </v>
      </c>
      <c r="BC2534">
        <v>1</v>
      </c>
      <c r="BE2534">
        <v>0</v>
      </c>
      <c r="BF2534">
        <v>0</v>
      </c>
      <c r="BG2534">
        <v>0</v>
      </c>
      <c r="BH2534">
        <v>4900</v>
      </c>
      <c r="BI2534">
        <v>200</v>
      </c>
      <c r="BJ2534">
        <v>1</v>
      </c>
      <c r="BK2534">
        <v>1</v>
      </c>
      <c r="BL2534">
        <v>1</v>
      </c>
      <c r="BM2534">
        <v>0</v>
      </c>
      <c r="BP2534">
        <v>0</v>
      </c>
      <c r="BQ2534">
        <v>0</v>
      </c>
      <c r="BX2534" t="str">
        <f>"14:32:35.070"</f>
        <v>14:32:35.070</v>
      </c>
      <c r="BY2534" t="str">
        <f>"066619961"</f>
        <v>066619961</v>
      </c>
      <c r="CL2534">
        <v>0</v>
      </c>
      <c r="CM2534">
        <v>2</v>
      </c>
      <c r="CN2534">
        <v>0</v>
      </c>
      <c r="CO2534">
        <v>2</v>
      </c>
      <c r="CP2534">
        <v>0</v>
      </c>
      <c r="CQ2534">
        <v>5</v>
      </c>
      <c r="CR2534" t="s">
        <v>116</v>
      </c>
      <c r="CS2534">
        <v>38</v>
      </c>
      <c r="CT2534">
        <v>3</v>
      </c>
      <c r="CU2534" t="s">
        <v>4719</v>
      </c>
      <c r="CV2534" t="s">
        <v>4720</v>
      </c>
      <c r="CY2534">
        <v>9759356</v>
      </c>
      <c r="CZ2534" t="s">
        <v>119</v>
      </c>
    </row>
    <row r="2535" spans="1:104" x14ac:dyDescent="0.25">
      <c r="A2535" t="str">
        <f>"14:32:36.297"</f>
        <v>14:32:36.297</v>
      </c>
      <c r="B2535" t="s">
        <v>108</v>
      </c>
      <c r="C2535" t="str">
        <f t="shared" si="118"/>
        <v>ffdfd3c0</v>
      </c>
      <c r="D2535" t="s">
        <v>109</v>
      </c>
      <c r="E2535">
        <v>4</v>
      </c>
      <c r="F2535">
        <v>1004</v>
      </c>
      <c r="G2535" t="s">
        <v>110</v>
      </c>
      <c r="J2535" t="s">
        <v>111</v>
      </c>
      <c r="K2535">
        <v>0</v>
      </c>
      <c r="L2535">
        <v>3</v>
      </c>
      <c r="M2535">
        <v>0</v>
      </c>
      <c r="N2535">
        <v>2</v>
      </c>
      <c r="O2535">
        <v>1</v>
      </c>
      <c r="P2535">
        <v>0</v>
      </c>
      <c r="Q2535">
        <v>0</v>
      </c>
      <c r="R2535" t="s">
        <v>112</v>
      </c>
      <c r="S2535" t="str">
        <f>"14:32:36.141"</f>
        <v>14:32:36.141</v>
      </c>
      <c r="T2535" t="str">
        <f>"14:32:35.641"</f>
        <v>14:32:35.641</v>
      </c>
      <c r="U2535" t="str">
        <f t="shared" si="117"/>
        <v>ad5732</v>
      </c>
      <c r="V2535">
        <v>0</v>
      </c>
      <c r="W2535">
        <v>0</v>
      </c>
      <c r="X2535">
        <v>1</v>
      </c>
      <c r="Z2535">
        <v>0</v>
      </c>
      <c r="AA2535">
        <v>9</v>
      </c>
      <c r="AB2535">
        <v>3</v>
      </c>
      <c r="AC2535">
        <v>0</v>
      </c>
      <c r="AD2535">
        <v>10</v>
      </c>
      <c r="AE2535">
        <v>0</v>
      </c>
      <c r="AF2535">
        <v>3</v>
      </c>
      <c r="AG2535">
        <v>2</v>
      </c>
      <c r="AH2535">
        <v>0</v>
      </c>
      <c r="AI2535" t="s">
        <v>5184</v>
      </c>
      <c r="AJ2535">
        <v>40.103980999999997</v>
      </c>
      <c r="AK2535" t="s">
        <v>5185</v>
      </c>
      <c r="AL2535">
        <v>-75.410027999999997</v>
      </c>
      <c r="AM2535">
        <v>100</v>
      </c>
      <c r="AN2535">
        <v>4700</v>
      </c>
      <c r="AO2535" t="s">
        <v>115</v>
      </c>
      <c r="AP2535">
        <v>133</v>
      </c>
      <c r="AQ2535">
        <v>125</v>
      </c>
      <c r="AR2535">
        <v>64</v>
      </c>
      <c r="AZ2535">
        <v>3614</v>
      </c>
      <c r="BA2535">
        <v>1</v>
      </c>
      <c r="BB2535" t="str">
        <f t="shared" si="119"/>
        <v xml:space="preserve">N959MJ  </v>
      </c>
      <c r="BC2535">
        <v>1</v>
      </c>
      <c r="BE2535">
        <v>0</v>
      </c>
      <c r="BF2535">
        <v>0</v>
      </c>
      <c r="BG2535">
        <v>0</v>
      </c>
      <c r="BH2535">
        <v>4900</v>
      </c>
      <c r="BI2535">
        <v>200</v>
      </c>
      <c r="BJ2535">
        <v>1</v>
      </c>
      <c r="BK2535">
        <v>1</v>
      </c>
      <c r="BL2535">
        <v>1</v>
      </c>
      <c r="BM2535">
        <v>0</v>
      </c>
      <c r="BP2535">
        <v>0</v>
      </c>
      <c r="BQ2535">
        <v>0</v>
      </c>
      <c r="BX2535" t="str">
        <f>"14:32:36.148"</f>
        <v>14:32:36.148</v>
      </c>
      <c r="BY2535" t="str">
        <f>"147877452"</f>
        <v>147877452</v>
      </c>
      <c r="CL2535">
        <v>0</v>
      </c>
      <c r="CM2535">
        <v>2</v>
      </c>
      <c r="CN2535">
        <v>0</v>
      </c>
      <c r="CO2535">
        <v>2</v>
      </c>
      <c r="CP2535">
        <v>0</v>
      </c>
      <c r="CQ2535">
        <v>6</v>
      </c>
      <c r="CR2535" t="s">
        <v>116</v>
      </c>
      <c r="CS2535">
        <v>39</v>
      </c>
      <c r="CT2535">
        <v>3</v>
      </c>
      <c r="CU2535" t="s">
        <v>2259</v>
      </c>
      <c r="CV2535" t="s">
        <v>2260</v>
      </c>
      <c r="CY2535">
        <v>11380146</v>
      </c>
      <c r="CZ2535" t="s">
        <v>119</v>
      </c>
    </row>
    <row r="2536" spans="1:104" x14ac:dyDescent="0.25">
      <c r="A2536" t="str">
        <f>"14:32:37.258"</f>
        <v>14:32:37.258</v>
      </c>
      <c r="B2536" t="s">
        <v>108</v>
      </c>
      <c r="C2536" t="str">
        <f t="shared" si="118"/>
        <v>ffdfd3c0</v>
      </c>
      <c r="D2536" t="s">
        <v>109</v>
      </c>
      <c r="E2536">
        <v>4</v>
      </c>
      <c r="F2536">
        <v>1004</v>
      </c>
      <c r="G2536" t="s">
        <v>110</v>
      </c>
      <c r="J2536" t="s">
        <v>111</v>
      </c>
      <c r="K2536">
        <v>0</v>
      </c>
      <c r="L2536">
        <v>3</v>
      </c>
      <c r="M2536">
        <v>0</v>
      </c>
      <c r="N2536">
        <v>2</v>
      </c>
      <c r="O2536">
        <v>1</v>
      </c>
      <c r="P2536">
        <v>0</v>
      </c>
      <c r="Q2536">
        <v>0</v>
      </c>
      <c r="R2536" t="s">
        <v>112</v>
      </c>
      <c r="S2536" t="str">
        <f>"14:32:37.078"</f>
        <v>14:32:37.078</v>
      </c>
      <c r="T2536" t="str">
        <f>"14:32:36.680"</f>
        <v>14:32:36.680</v>
      </c>
      <c r="U2536" t="str">
        <f t="shared" si="117"/>
        <v>ad5732</v>
      </c>
      <c r="V2536">
        <v>0</v>
      </c>
      <c r="W2536">
        <v>0</v>
      </c>
      <c r="X2536">
        <v>1</v>
      </c>
      <c r="Z2536">
        <v>0</v>
      </c>
      <c r="AA2536">
        <v>9</v>
      </c>
      <c r="AB2536">
        <v>3</v>
      </c>
      <c r="AC2536">
        <v>0</v>
      </c>
      <c r="AD2536">
        <v>10</v>
      </c>
      <c r="AE2536">
        <v>0</v>
      </c>
      <c r="AF2536">
        <v>3</v>
      </c>
      <c r="AG2536">
        <v>2</v>
      </c>
      <c r="AH2536">
        <v>0</v>
      </c>
      <c r="AI2536" t="s">
        <v>5186</v>
      </c>
      <c r="AJ2536">
        <v>40.104517999999999</v>
      </c>
      <c r="AK2536" t="s">
        <v>5187</v>
      </c>
      <c r="AL2536">
        <v>-75.409340999999998</v>
      </c>
      <c r="AM2536">
        <v>100</v>
      </c>
      <c r="AN2536">
        <v>4700</v>
      </c>
      <c r="AO2536" t="s">
        <v>115</v>
      </c>
      <c r="AP2536">
        <v>133</v>
      </c>
      <c r="AQ2536">
        <v>125</v>
      </c>
      <c r="AR2536">
        <v>64</v>
      </c>
      <c r="AZ2536">
        <v>3614</v>
      </c>
      <c r="BA2536">
        <v>1</v>
      </c>
      <c r="BB2536" t="str">
        <f t="shared" si="119"/>
        <v xml:space="preserve">N959MJ  </v>
      </c>
      <c r="BC2536">
        <v>1</v>
      </c>
      <c r="BE2536">
        <v>0</v>
      </c>
      <c r="BF2536">
        <v>0</v>
      </c>
      <c r="BG2536">
        <v>0</v>
      </c>
      <c r="BH2536">
        <v>4900</v>
      </c>
      <c r="BI2536">
        <v>200</v>
      </c>
      <c r="BJ2536">
        <v>1</v>
      </c>
      <c r="BK2536">
        <v>1</v>
      </c>
      <c r="BL2536">
        <v>1</v>
      </c>
      <c r="BM2536">
        <v>0</v>
      </c>
      <c r="BP2536">
        <v>0</v>
      </c>
      <c r="BQ2536">
        <v>0</v>
      </c>
      <c r="BX2536" t="str">
        <f>"14:32:37.078"</f>
        <v>14:32:37.078</v>
      </c>
      <c r="BY2536" t="str">
        <f>"078505210"</f>
        <v>078505210</v>
      </c>
      <c r="CL2536">
        <v>0</v>
      </c>
      <c r="CM2536">
        <v>2</v>
      </c>
      <c r="CN2536">
        <v>0</v>
      </c>
      <c r="CO2536">
        <v>2</v>
      </c>
      <c r="CP2536">
        <v>0</v>
      </c>
      <c r="CQ2536">
        <v>7</v>
      </c>
      <c r="CR2536" t="s">
        <v>116</v>
      </c>
      <c r="CS2536">
        <v>39</v>
      </c>
      <c r="CT2536">
        <v>0</v>
      </c>
      <c r="CU2536" t="s">
        <v>2259</v>
      </c>
      <c r="CV2536" t="s">
        <v>2260</v>
      </c>
      <c r="CY2536">
        <v>2022406</v>
      </c>
      <c r="CZ2536" t="s">
        <v>119</v>
      </c>
    </row>
    <row r="2537" spans="1:104" x14ac:dyDescent="0.25">
      <c r="A2537" t="str">
        <f>"14:32:38.367"</f>
        <v>14:32:38.367</v>
      </c>
      <c r="B2537" t="s">
        <v>108</v>
      </c>
      <c r="C2537" t="str">
        <f t="shared" si="118"/>
        <v>ffdfd3c0</v>
      </c>
      <c r="D2537" t="s">
        <v>109</v>
      </c>
      <c r="E2537">
        <v>4</v>
      </c>
      <c r="F2537">
        <v>1004</v>
      </c>
      <c r="G2537" t="s">
        <v>110</v>
      </c>
      <c r="J2537" t="s">
        <v>111</v>
      </c>
      <c r="K2537">
        <v>0</v>
      </c>
      <c r="L2537">
        <v>3</v>
      </c>
      <c r="M2537">
        <v>0</v>
      </c>
      <c r="N2537">
        <v>2</v>
      </c>
      <c r="O2537">
        <v>1</v>
      </c>
      <c r="P2537">
        <v>0</v>
      </c>
      <c r="Q2537">
        <v>0</v>
      </c>
      <c r="R2537" t="s">
        <v>112</v>
      </c>
      <c r="S2537" t="str">
        <f>"14:32:38.188"</f>
        <v>14:32:38.188</v>
      </c>
      <c r="T2537" t="str">
        <f>"14:32:37.688"</f>
        <v>14:32:37.688</v>
      </c>
      <c r="U2537" t="str">
        <f t="shared" si="117"/>
        <v>ad5732</v>
      </c>
      <c r="V2537">
        <v>0</v>
      </c>
      <c r="W2537">
        <v>0</v>
      </c>
      <c r="X2537">
        <v>1</v>
      </c>
      <c r="Z2537">
        <v>0</v>
      </c>
      <c r="AA2537">
        <v>9</v>
      </c>
      <c r="AB2537">
        <v>3</v>
      </c>
      <c r="AC2537">
        <v>0</v>
      </c>
      <c r="AD2537">
        <v>10</v>
      </c>
      <c r="AE2537">
        <v>0</v>
      </c>
      <c r="AF2537">
        <v>3</v>
      </c>
      <c r="AG2537">
        <v>2</v>
      </c>
      <c r="AH2537">
        <v>0</v>
      </c>
      <c r="AI2537" t="s">
        <v>5188</v>
      </c>
      <c r="AJ2537">
        <v>40.105139999999999</v>
      </c>
      <c r="AK2537" t="s">
        <v>5189</v>
      </c>
      <c r="AL2537">
        <v>-75.408439999999999</v>
      </c>
      <c r="AM2537">
        <v>100</v>
      </c>
      <c r="AN2537">
        <v>4700</v>
      </c>
      <c r="AO2537" t="s">
        <v>115</v>
      </c>
      <c r="AP2537">
        <v>133</v>
      </c>
      <c r="AQ2537">
        <v>125</v>
      </c>
      <c r="AR2537">
        <v>64</v>
      </c>
      <c r="AZ2537">
        <v>3614</v>
      </c>
      <c r="BA2537">
        <v>1</v>
      </c>
      <c r="BB2537" t="str">
        <f t="shared" si="119"/>
        <v xml:space="preserve">N959MJ  </v>
      </c>
      <c r="BC2537">
        <v>1</v>
      </c>
      <c r="BE2537">
        <v>0</v>
      </c>
      <c r="BF2537">
        <v>0</v>
      </c>
      <c r="BG2537">
        <v>0</v>
      </c>
      <c r="BH2537">
        <v>4900</v>
      </c>
      <c r="BI2537">
        <v>200</v>
      </c>
      <c r="BJ2537">
        <v>1</v>
      </c>
      <c r="BK2537">
        <v>1</v>
      </c>
      <c r="BL2537">
        <v>1</v>
      </c>
      <c r="BM2537">
        <v>0</v>
      </c>
      <c r="BP2537">
        <v>0</v>
      </c>
      <c r="BQ2537">
        <v>0</v>
      </c>
      <c r="BX2537" t="str">
        <f>"14:32:38.188"</f>
        <v>14:32:38.188</v>
      </c>
      <c r="BY2537" t="str">
        <f>"187721547"</f>
        <v>187721547</v>
      </c>
      <c r="CL2537">
        <v>0</v>
      </c>
      <c r="CM2537">
        <v>2</v>
      </c>
      <c r="CN2537">
        <v>0</v>
      </c>
      <c r="CO2537">
        <v>2</v>
      </c>
      <c r="CP2537">
        <v>0</v>
      </c>
      <c r="CQ2537">
        <v>7</v>
      </c>
      <c r="CR2537" t="s">
        <v>116</v>
      </c>
      <c r="CS2537">
        <v>39</v>
      </c>
      <c r="CT2537">
        <v>0</v>
      </c>
      <c r="CU2537" t="s">
        <v>2259</v>
      </c>
      <c r="CV2537" t="s">
        <v>2260</v>
      </c>
      <c r="CY2537">
        <v>2024146</v>
      </c>
      <c r="CZ2537" t="s">
        <v>119</v>
      </c>
    </row>
    <row r="2538" spans="1:104" x14ac:dyDescent="0.25">
      <c r="A2538" t="str">
        <f>"14:32:39.383"</f>
        <v>14:32:39.383</v>
      </c>
      <c r="B2538" t="s">
        <v>108</v>
      </c>
      <c r="C2538" t="str">
        <f t="shared" si="118"/>
        <v>ffdfd3c0</v>
      </c>
      <c r="D2538" t="s">
        <v>109</v>
      </c>
      <c r="E2538">
        <v>4</v>
      </c>
      <c r="F2538">
        <v>1004</v>
      </c>
      <c r="G2538" t="s">
        <v>110</v>
      </c>
      <c r="J2538" t="s">
        <v>111</v>
      </c>
      <c r="K2538">
        <v>0</v>
      </c>
      <c r="L2538">
        <v>3</v>
      </c>
      <c r="M2538">
        <v>0</v>
      </c>
      <c r="N2538">
        <v>2</v>
      </c>
      <c r="O2538">
        <v>1</v>
      </c>
      <c r="P2538">
        <v>0</v>
      </c>
      <c r="Q2538">
        <v>0</v>
      </c>
      <c r="R2538" t="s">
        <v>112</v>
      </c>
      <c r="S2538" t="str">
        <f>"14:32:39.203"</f>
        <v>14:32:39.203</v>
      </c>
      <c r="T2538" t="str">
        <f>"14:32:38.703"</f>
        <v>14:32:38.703</v>
      </c>
      <c r="U2538" t="str">
        <f t="shared" si="117"/>
        <v>ad5732</v>
      </c>
      <c r="V2538">
        <v>0</v>
      </c>
      <c r="W2538">
        <v>0</v>
      </c>
      <c r="X2538">
        <v>1</v>
      </c>
      <c r="Z2538">
        <v>0</v>
      </c>
      <c r="AA2538">
        <v>9</v>
      </c>
      <c r="AB2538">
        <v>3</v>
      </c>
      <c r="AC2538">
        <v>0</v>
      </c>
      <c r="AD2538">
        <v>10</v>
      </c>
      <c r="AE2538">
        <v>0</v>
      </c>
      <c r="AF2538">
        <v>3</v>
      </c>
      <c r="AG2538">
        <v>2</v>
      </c>
      <c r="AH2538">
        <v>0</v>
      </c>
      <c r="AI2538" t="s">
        <v>5190</v>
      </c>
      <c r="AJ2538">
        <v>40.105719999999998</v>
      </c>
      <c r="AK2538" t="s">
        <v>5191</v>
      </c>
      <c r="AL2538">
        <v>-75.407646</v>
      </c>
      <c r="AM2538">
        <v>100</v>
      </c>
      <c r="AN2538">
        <v>4700</v>
      </c>
      <c r="AO2538" t="s">
        <v>115</v>
      </c>
      <c r="AP2538">
        <v>133</v>
      </c>
      <c r="AQ2538">
        <v>125</v>
      </c>
      <c r="AR2538">
        <v>0</v>
      </c>
      <c r="AZ2538">
        <v>3614</v>
      </c>
      <c r="BA2538">
        <v>1</v>
      </c>
      <c r="BB2538" t="str">
        <f t="shared" si="119"/>
        <v xml:space="preserve">N959MJ  </v>
      </c>
      <c r="BC2538">
        <v>1</v>
      </c>
      <c r="BE2538">
        <v>0</v>
      </c>
      <c r="BF2538">
        <v>0</v>
      </c>
      <c r="BG2538">
        <v>0</v>
      </c>
      <c r="BH2538">
        <v>4900</v>
      </c>
      <c r="BI2538">
        <v>200</v>
      </c>
      <c r="BJ2538">
        <v>1</v>
      </c>
      <c r="BK2538">
        <v>1</v>
      </c>
      <c r="BL2538">
        <v>1</v>
      </c>
      <c r="BM2538">
        <v>0</v>
      </c>
      <c r="BP2538">
        <v>0</v>
      </c>
      <c r="BQ2538">
        <v>0</v>
      </c>
      <c r="BX2538" t="str">
        <f>"14:32:39.203"</f>
        <v>14:32:39.203</v>
      </c>
      <c r="BY2538" t="str">
        <f>"206824292"</f>
        <v>206824292</v>
      </c>
      <c r="CL2538">
        <v>0</v>
      </c>
      <c r="CM2538">
        <v>2</v>
      </c>
      <c r="CN2538">
        <v>0</v>
      </c>
      <c r="CO2538">
        <v>2</v>
      </c>
      <c r="CP2538">
        <v>0</v>
      </c>
      <c r="CQ2538">
        <v>7</v>
      </c>
      <c r="CR2538" t="s">
        <v>116</v>
      </c>
      <c r="CS2538">
        <v>39</v>
      </c>
      <c r="CT2538">
        <v>0</v>
      </c>
      <c r="CU2538" t="s">
        <v>2259</v>
      </c>
      <c r="CV2538" t="s">
        <v>2260</v>
      </c>
      <c r="CY2538">
        <v>2025739</v>
      </c>
      <c r="CZ2538" t="s">
        <v>119</v>
      </c>
    </row>
    <row r="2539" spans="1:104" x14ac:dyDescent="0.25">
      <c r="A2539" t="str">
        <f>"14:32:40.391"</f>
        <v>14:32:40.391</v>
      </c>
      <c r="B2539" t="s">
        <v>108</v>
      </c>
      <c r="C2539" t="str">
        <f t="shared" si="118"/>
        <v>ffdfd3c0</v>
      </c>
      <c r="D2539" t="s">
        <v>109</v>
      </c>
      <c r="E2539">
        <v>4</v>
      </c>
      <c r="F2539">
        <v>1004</v>
      </c>
      <c r="G2539" t="s">
        <v>110</v>
      </c>
      <c r="J2539" t="s">
        <v>111</v>
      </c>
      <c r="K2539">
        <v>0</v>
      </c>
      <c r="L2539">
        <v>3</v>
      </c>
      <c r="M2539">
        <v>0</v>
      </c>
      <c r="N2539">
        <v>2</v>
      </c>
      <c r="O2539">
        <v>1</v>
      </c>
      <c r="P2539">
        <v>0</v>
      </c>
      <c r="Q2539">
        <v>0</v>
      </c>
      <c r="R2539" t="s">
        <v>112</v>
      </c>
      <c r="S2539" t="str">
        <f>"14:32:40.203"</f>
        <v>14:32:40.203</v>
      </c>
      <c r="T2539" t="str">
        <f>"14:32:39.805"</f>
        <v>14:32:39.805</v>
      </c>
      <c r="U2539" t="str">
        <f t="shared" si="117"/>
        <v>ad5732</v>
      </c>
      <c r="V2539">
        <v>0</v>
      </c>
      <c r="W2539">
        <v>0</v>
      </c>
      <c r="X2539">
        <v>1</v>
      </c>
      <c r="Z2539">
        <v>0</v>
      </c>
      <c r="AA2539">
        <v>9</v>
      </c>
      <c r="AB2539">
        <v>3</v>
      </c>
      <c r="AC2539">
        <v>0</v>
      </c>
      <c r="AD2539">
        <v>10</v>
      </c>
      <c r="AE2539">
        <v>0</v>
      </c>
      <c r="AF2539">
        <v>3</v>
      </c>
      <c r="AG2539">
        <v>2</v>
      </c>
      <c r="AH2539">
        <v>0</v>
      </c>
      <c r="AI2539" t="s">
        <v>5192</v>
      </c>
      <c r="AJ2539">
        <v>40.106319999999997</v>
      </c>
      <c r="AK2539" t="s">
        <v>5193</v>
      </c>
      <c r="AL2539">
        <v>-75.406852000000001</v>
      </c>
      <c r="AM2539">
        <v>100</v>
      </c>
      <c r="AN2539">
        <v>4700</v>
      </c>
      <c r="AO2539" t="s">
        <v>115</v>
      </c>
      <c r="AP2539">
        <v>133</v>
      </c>
      <c r="AQ2539">
        <v>125</v>
      </c>
      <c r="AR2539">
        <v>0</v>
      </c>
      <c r="AZ2539">
        <v>3614</v>
      </c>
      <c r="BA2539">
        <v>1</v>
      </c>
      <c r="BB2539" t="str">
        <f t="shared" si="119"/>
        <v xml:space="preserve">N959MJ  </v>
      </c>
      <c r="BC2539">
        <v>1</v>
      </c>
      <c r="BE2539">
        <v>0</v>
      </c>
      <c r="BF2539">
        <v>0</v>
      </c>
      <c r="BG2539">
        <v>0</v>
      </c>
      <c r="BH2539">
        <v>4900</v>
      </c>
      <c r="BI2539">
        <v>200</v>
      </c>
      <c r="BJ2539">
        <v>1</v>
      </c>
      <c r="BK2539">
        <v>1</v>
      </c>
      <c r="BL2539">
        <v>1</v>
      </c>
      <c r="BM2539">
        <v>0</v>
      </c>
      <c r="BP2539">
        <v>0</v>
      </c>
      <c r="BQ2539">
        <v>0</v>
      </c>
      <c r="BX2539" t="str">
        <f>"14:32:40.203"</f>
        <v>14:32:40.203</v>
      </c>
      <c r="BY2539" t="str">
        <f>"206265906"</f>
        <v>206265906</v>
      </c>
      <c r="CL2539">
        <v>0</v>
      </c>
      <c r="CM2539">
        <v>2</v>
      </c>
      <c r="CN2539">
        <v>0</v>
      </c>
      <c r="CO2539">
        <v>2</v>
      </c>
      <c r="CP2539">
        <v>0</v>
      </c>
      <c r="CQ2539">
        <v>7</v>
      </c>
      <c r="CR2539" t="s">
        <v>116</v>
      </c>
      <c r="CS2539">
        <v>39</v>
      </c>
      <c r="CT2539">
        <v>0</v>
      </c>
      <c r="CU2539" t="s">
        <v>2259</v>
      </c>
      <c r="CV2539" t="s">
        <v>2260</v>
      </c>
      <c r="CY2539">
        <v>2027376</v>
      </c>
      <c r="CZ2539" t="s">
        <v>119</v>
      </c>
    </row>
    <row r="2540" spans="1:104" x14ac:dyDescent="0.25">
      <c r="A2540" t="str">
        <f>"14:32:41.297"</f>
        <v>14:32:41.297</v>
      </c>
      <c r="B2540" t="s">
        <v>108</v>
      </c>
      <c r="C2540" t="str">
        <f t="shared" si="118"/>
        <v>ffdfd3c0</v>
      </c>
      <c r="D2540" t="s">
        <v>109</v>
      </c>
      <c r="E2540">
        <v>4</v>
      </c>
      <c r="F2540">
        <v>1004</v>
      </c>
      <c r="G2540" t="s">
        <v>110</v>
      </c>
      <c r="J2540" t="s">
        <v>111</v>
      </c>
      <c r="K2540">
        <v>0</v>
      </c>
      <c r="L2540">
        <v>3</v>
      </c>
      <c r="M2540">
        <v>0</v>
      </c>
      <c r="N2540">
        <v>2</v>
      </c>
      <c r="O2540">
        <v>1</v>
      </c>
      <c r="P2540">
        <v>0</v>
      </c>
      <c r="Q2540">
        <v>0</v>
      </c>
      <c r="R2540" t="s">
        <v>112</v>
      </c>
      <c r="S2540" t="str">
        <f>"14:32:41.141"</f>
        <v>14:32:41.141</v>
      </c>
      <c r="T2540" t="str">
        <f>"14:32:40.641"</f>
        <v>14:32:40.641</v>
      </c>
      <c r="U2540" t="str">
        <f t="shared" si="117"/>
        <v>ad5732</v>
      </c>
      <c r="V2540">
        <v>0</v>
      </c>
      <c r="W2540">
        <v>0</v>
      </c>
      <c r="X2540">
        <v>1</v>
      </c>
      <c r="Z2540">
        <v>0</v>
      </c>
      <c r="AA2540">
        <v>9</v>
      </c>
      <c r="AB2540">
        <v>3</v>
      </c>
      <c r="AC2540">
        <v>0</v>
      </c>
      <c r="AD2540">
        <v>10</v>
      </c>
      <c r="AE2540">
        <v>0</v>
      </c>
      <c r="AF2540">
        <v>3</v>
      </c>
      <c r="AG2540">
        <v>2</v>
      </c>
      <c r="AH2540">
        <v>0</v>
      </c>
      <c r="AI2540" t="s">
        <v>5194</v>
      </c>
      <c r="AJ2540">
        <v>40.106921</v>
      </c>
      <c r="AK2540" t="s">
        <v>5195</v>
      </c>
      <c r="AL2540">
        <v>-75.406014999999996</v>
      </c>
      <c r="AM2540">
        <v>100</v>
      </c>
      <c r="AN2540">
        <v>4700</v>
      </c>
      <c r="AO2540" t="s">
        <v>115</v>
      </c>
      <c r="AP2540">
        <v>133</v>
      </c>
      <c r="AQ2540">
        <v>125</v>
      </c>
      <c r="AR2540">
        <v>0</v>
      </c>
      <c r="AZ2540">
        <v>3614</v>
      </c>
      <c r="BA2540">
        <v>1</v>
      </c>
      <c r="BB2540" t="str">
        <f t="shared" si="119"/>
        <v xml:space="preserve">N959MJ  </v>
      </c>
      <c r="BC2540">
        <v>1</v>
      </c>
      <c r="BE2540">
        <v>0</v>
      </c>
      <c r="BF2540">
        <v>0</v>
      </c>
      <c r="BG2540">
        <v>0</v>
      </c>
      <c r="BH2540">
        <v>4900</v>
      </c>
      <c r="BI2540">
        <v>200</v>
      </c>
      <c r="BJ2540">
        <v>1</v>
      </c>
      <c r="BK2540">
        <v>1</v>
      </c>
      <c r="BL2540">
        <v>1</v>
      </c>
      <c r="BM2540">
        <v>0</v>
      </c>
      <c r="BP2540">
        <v>0</v>
      </c>
      <c r="BQ2540">
        <v>0</v>
      </c>
      <c r="BX2540" t="str">
        <f>"14:32:41.148"</f>
        <v>14:32:41.148</v>
      </c>
      <c r="BY2540" t="str">
        <f>"145085628"</f>
        <v>145085628</v>
      </c>
      <c r="CL2540">
        <v>0</v>
      </c>
      <c r="CM2540">
        <v>2</v>
      </c>
      <c r="CN2540">
        <v>0</v>
      </c>
      <c r="CO2540">
        <v>2</v>
      </c>
      <c r="CP2540">
        <v>0</v>
      </c>
      <c r="CQ2540">
        <v>7</v>
      </c>
      <c r="CR2540" t="s">
        <v>116</v>
      </c>
      <c r="CS2540">
        <v>39</v>
      </c>
      <c r="CT2540">
        <v>0</v>
      </c>
      <c r="CU2540" t="s">
        <v>2259</v>
      </c>
      <c r="CV2540" t="s">
        <v>2260</v>
      </c>
      <c r="CY2540">
        <v>2028906</v>
      </c>
      <c r="CZ2540" t="s">
        <v>119</v>
      </c>
    </row>
    <row r="2541" spans="1:104" x14ac:dyDescent="0.25">
      <c r="A2541" t="str">
        <f>"14:32:42.359"</f>
        <v>14:32:42.359</v>
      </c>
      <c r="B2541" t="s">
        <v>108</v>
      </c>
      <c r="C2541" t="str">
        <f t="shared" si="118"/>
        <v>ffdfd3c0</v>
      </c>
      <c r="D2541" t="s">
        <v>109</v>
      </c>
      <c r="E2541">
        <v>4</v>
      </c>
      <c r="F2541">
        <v>1004</v>
      </c>
      <c r="G2541" t="s">
        <v>110</v>
      </c>
      <c r="J2541" t="s">
        <v>111</v>
      </c>
      <c r="K2541">
        <v>0</v>
      </c>
      <c r="L2541">
        <v>3</v>
      </c>
      <c r="M2541">
        <v>0</v>
      </c>
      <c r="N2541">
        <v>2</v>
      </c>
      <c r="O2541">
        <v>1</v>
      </c>
      <c r="P2541">
        <v>0</v>
      </c>
      <c r="Q2541">
        <v>0</v>
      </c>
      <c r="R2541" t="s">
        <v>112</v>
      </c>
      <c r="S2541" t="str">
        <f>"14:32:42.195"</f>
        <v>14:32:42.195</v>
      </c>
      <c r="T2541" t="str">
        <f>"14:32:41.695"</f>
        <v>14:32:41.695</v>
      </c>
      <c r="U2541" t="str">
        <f t="shared" si="117"/>
        <v>ad5732</v>
      </c>
      <c r="V2541">
        <v>0</v>
      </c>
      <c r="W2541">
        <v>0</v>
      </c>
      <c r="X2541">
        <v>1</v>
      </c>
      <c r="Z2541">
        <v>0</v>
      </c>
      <c r="AA2541">
        <v>9</v>
      </c>
      <c r="AB2541">
        <v>3</v>
      </c>
      <c r="AC2541">
        <v>0</v>
      </c>
      <c r="AD2541">
        <v>10</v>
      </c>
      <c r="AE2541">
        <v>0</v>
      </c>
      <c r="AF2541">
        <v>3</v>
      </c>
      <c r="AG2541">
        <v>2</v>
      </c>
      <c r="AH2541">
        <v>0</v>
      </c>
      <c r="AI2541" t="s">
        <v>5196</v>
      </c>
      <c r="AJ2541">
        <v>40.107458000000001</v>
      </c>
      <c r="AK2541" t="s">
        <v>5197</v>
      </c>
      <c r="AL2541">
        <v>-75.405220999999997</v>
      </c>
      <c r="AM2541">
        <v>100</v>
      </c>
      <c r="AN2541">
        <v>4700</v>
      </c>
      <c r="AO2541" t="s">
        <v>115</v>
      </c>
      <c r="AP2541">
        <v>133</v>
      </c>
      <c r="AQ2541">
        <v>125</v>
      </c>
      <c r="AR2541">
        <v>0</v>
      </c>
      <c r="AZ2541">
        <v>3614</v>
      </c>
      <c r="BA2541">
        <v>1</v>
      </c>
      <c r="BB2541" t="str">
        <f t="shared" si="119"/>
        <v xml:space="preserve">N959MJ  </v>
      </c>
      <c r="BC2541">
        <v>1</v>
      </c>
      <c r="BE2541">
        <v>0</v>
      </c>
      <c r="BF2541">
        <v>0</v>
      </c>
      <c r="BG2541">
        <v>0</v>
      </c>
      <c r="BH2541">
        <v>4900</v>
      </c>
      <c r="BI2541">
        <v>200</v>
      </c>
      <c r="BJ2541">
        <v>1</v>
      </c>
      <c r="BK2541">
        <v>1</v>
      </c>
      <c r="BL2541">
        <v>1</v>
      </c>
      <c r="BM2541">
        <v>0</v>
      </c>
      <c r="BP2541">
        <v>0</v>
      </c>
      <c r="BQ2541">
        <v>0</v>
      </c>
      <c r="BX2541" t="str">
        <f>"14:32:42.195"</f>
        <v>14:32:42.195</v>
      </c>
      <c r="BY2541" t="str">
        <f>"198595432"</f>
        <v>198595432</v>
      </c>
      <c r="CL2541">
        <v>0</v>
      </c>
      <c r="CM2541">
        <v>2</v>
      </c>
      <c r="CN2541">
        <v>0</v>
      </c>
      <c r="CO2541">
        <v>2</v>
      </c>
      <c r="CP2541">
        <v>0</v>
      </c>
      <c r="CQ2541">
        <v>7</v>
      </c>
      <c r="CR2541" t="s">
        <v>116</v>
      </c>
      <c r="CS2541">
        <v>39</v>
      </c>
      <c r="CT2541">
        <v>0</v>
      </c>
      <c r="CU2541" t="s">
        <v>2259</v>
      </c>
      <c r="CV2541" t="s">
        <v>2260</v>
      </c>
      <c r="CY2541">
        <v>2030684</v>
      </c>
      <c r="CZ2541" t="s">
        <v>119</v>
      </c>
    </row>
    <row r="2542" spans="1:104" x14ac:dyDescent="0.25">
      <c r="A2542" t="str">
        <f>"14:32:43.367"</f>
        <v>14:32:43.367</v>
      </c>
      <c r="B2542" t="s">
        <v>108</v>
      </c>
      <c r="C2542" t="str">
        <f t="shared" si="118"/>
        <v>ffdfd3c0</v>
      </c>
      <c r="D2542" t="s">
        <v>109</v>
      </c>
      <c r="E2542">
        <v>4</v>
      </c>
      <c r="F2542">
        <v>1004</v>
      </c>
      <c r="G2542" t="s">
        <v>110</v>
      </c>
      <c r="J2542" t="s">
        <v>111</v>
      </c>
      <c r="K2542">
        <v>0</v>
      </c>
      <c r="L2542">
        <v>3</v>
      </c>
      <c r="M2542">
        <v>0</v>
      </c>
      <c r="N2542">
        <v>2</v>
      </c>
      <c r="O2542">
        <v>1</v>
      </c>
      <c r="P2542">
        <v>0</v>
      </c>
      <c r="Q2542">
        <v>0</v>
      </c>
      <c r="R2542" t="s">
        <v>112</v>
      </c>
      <c r="S2542" t="str">
        <f>"14:32:43.188"</f>
        <v>14:32:43.188</v>
      </c>
      <c r="T2542" t="str">
        <f>"14:32:42.789"</f>
        <v>14:32:42.789</v>
      </c>
      <c r="U2542" t="str">
        <f t="shared" si="117"/>
        <v>ad5732</v>
      </c>
      <c r="V2542">
        <v>0</v>
      </c>
      <c r="W2542">
        <v>0</v>
      </c>
      <c r="X2542">
        <v>1</v>
      </c>
      <c r="Z2542">
        <v>0</v>
      </c>
      <c r="AA2542">
        <v>9</v>
      </c>
      <c r="AB2542">
        <v>3</v>
      </c>
      <c r="AC2542">
        <v>0</v>
      </c>
      <c r="AD2542">
        <v>10</v>
      </c>
      <c r="AE2542">
        <v>0</v>
      </c>
      <c r="AF2542">
        <v>3</v>
      </c>
      <c r="AG2542">
        <v>2</v>
      </c>
      <c r="AH2542">
        <v>0</v>
      </c>
      <c r="AI2542" t="s">
        <v>5198</v>
      </c>
      <c r="AJ2542">
        <v>40.108058</v>
      </c>
      <c r="AK2542" t="s">
        <v>5199</v>
      </c>
      <c r="AL2542">
        <v>-75.404426999999998</v>
      </c>
      <c r="AM2542">
        <v>100</v>
      </c>
      <c r="AN2542">
        <v>4700</v>
      </c>
      <c r="AO2542" t="s">
        <v>115</v>
      </c>
      <c r="AP2542">
        <v>133</v>
      </c>
      <c r="AQ2542">
        <v>125</v>
      </c>
      <c r="AR2542">
        <v>0</v>
      </c>
      <c r="AZ2542">
        <v>3614</v>
      </c>
      <c r="BA2542">
        <v>1</v>
      </c>
      <c r="BB2542" t="str">
        <f t="shared" si="119"/>
        <v xml:space="preserve">N959MJ  </v>
      </c>
      <c r="BC2542">
        <v>1</v>
      </c>
      <c r="BE2542">
        <v>0</v>
      </c>
      <c r="BF2542">
        <v>0</v>
      </c>
      <c r="BG2542">
        <v>0</v>
      </c>
      <c r="BH2542">
        <v>4900</v>
      </c>
      <c r="BI2542">
        <v>200</v>
      </c>
      <c r="BJ2542">
        <v>1</v>
      </c>
      <c r="BK2542">
        <v>1</v>
      </c>
      <c r="BL2542">
        <v>1</v>
      </c>
      <c r="BM2542">
        <v>0</v>
      </c>
      <c r="BP2542">
        <v>0</v>
      </c>
      <c r="BQ2542">
        <v>0</v>
      </c>
      <c r="BX2542" t="str">
        <f>"14:32:43.188"</f>
        <v>14:32:43.188</v>
      </c>
      <c r="BY2542" t="str">
        <f>"189844893"</f>
        <v>189844893</v>
      </c>
      <c r="CL2542">
        <v>0</v>
      </c>
      <c r="CM2542">
        <v>2</v>
      </c>
      <c r="CN2542">
        <v>0</v>
      </c>
      <c r="CO2542">
        <v>2</v>
      </c>
      <c r="CP2542">
        <v>0</v>
      </c>
      <c r="CQ2542">
        <v>7</v>
      </c>
      <c r="CR2542" t="s">
        <v>116</v>
      </c>
      <c r="CS2542">
        <v>39</v>
      </c>
      <c r="CT2542">
        <v>0</v>
      </c>
      <c r="CU2542" t="s">
        <v>2259</v>
      </c>
      <c r="CV2542" t="s">
        <v>2260</v>
      </c>
      <c r="CY2542">
        <v>2032269</v>
      </c>
      <c r="CZ2542" t="s">
        <v>119</v>
      </c>
    </row>
    <row r="2543" spans="1:104" x14ac:dyDescent="0.25">
      <c r="A2543" t="str">
        <f>"14:32:44.484"</f>
        <v>14:32:44.484</v>
      </c>
      <c r="B2543" t="s">
        <v>108</v>
      </c>
      <c r="C2543" t="str">
        <f t="shared" si="118"/>
        <v>ffdfd3c0</v>
      </c>
      <c r="D2543" t="s">
        <v>109</v>
      </c>
      <c r="E2543">
        <v>4</v>
      </c>
      <c r="F2543">
        <v>1004</v>
      </c>
      <c r="G2543" t="s">
        <v>110</v>
      </c>
      <c r="J2543" t="s">
        <v>111</v>
      </c>
      <c r="K2543">
        <v>0</v>
      </c>
      <c r="L2543">
        <v>3</v>
      </c>
      <c r="M2543">
        <v>0</v>
      </c>
      <c r="N2543">
        <v>2</v>
      </c>
      <c r="O2543">
        <v>1</v>
      </c>
      <c r="P2543">
        <v>0</v>
      </c>
      <c r="Q2543">
        <v>0</v>
      </c>
      <c r="R2543" t="s">
        <v>112</v>
      </c>
      <c r="S2543" t="str">
        <f>"14:32:44.297"</f>
        <v>14:32:44.297</v>
      </c>
      <c r="T2543" t="str">
        <f>"14:32:43.797"</f>
        <v>14:32:43.797</v>
      </c>
      <c r="U2543" t="str">
        <f t="shared" si="117"/>
        <v>ad5732</v>
      </c>
      <c r="V2543">
        <v>0</v>
      </c>
      <c r="W2543">
        <v>0</v>
      </c>
      <c r="X2543">
        <v>1</v>
      </c>
      <c r="Z2543">
        <v>0</v>
      </c>
      <c r="AA2543">
        <v>9</v>
      </c>
      <c r="AB2543">
        <v>3</v>
      </c>
      <c r="AC2543">
        <v>0</v>
      </c>
      <c r="AD2543">
        <v>10</v>
      </c>
      <c r="AE2543">
        <v>0</v>
      </c>
      <c r="AF2543">
        <v>3</v>
      </c>
      <c r="AG2543">
        <v>2</v>
      </c>
      <c r="AH2543">
        <v>0</v>
      </c>
      <c r="AI2543" t="s">
        <v>5200</v>
      </c>
      <c r="AJ2543">
        <v>40.108702000000001</v>
      </c>
      <c r="AK2543" t="s">
        <v>5201</v>
      </c>
      <c r="AL2543">
        <v>-75.403547000000003</v>
      </c>
      <c r="AM2543">
        <v>100</v>
      </c>
      <c r="AN2543">
        <v>4700</v>
      </c>
      <c r="AO2543" t="s">
        <v>115</v>
      </c>
      <c r="AP2543">
        <v>133</v>
      </c>
      <c r="AQ2543">
        <v>126</v>
      </c>
      <c r="AR2543">
        <v>0</v>
      </c>
      <c r="AZ2543">
        <v>3614</v>
      </c>
      <c r="BA2543">
        <v>1</v>
      </c>
      <c r="BB2543" t="str">
        <f t="shared" si="119"/>
        <v xml:space="preserve">N959MJ  </v>
      </c>
      <c r="BC2543">
        <v>1</v>
      </c>
      <c r="BE2543">
        <v>0</v>
      </c>
      <c r="BF2543">
        <v>0</v>
      </c>
      <c r="BG2543">
        <v>0</v>
      </c>
      <c r="BH2543">
        <v>4900</v>
      </c>
      <c r="BI2543">
        <v>200</v>
      </c>
      <c r="BJ2543">
        <v>1</v>
      </c>
      <c r="BK2543">
        <v>1</v>
      </c>
      <c r="BL2543">
        <v>1</v>
      </c>
      <c r="BM2543">
        <v>0</v>
      </c>
      <c r="BP2543">
        <v>0</v>
      </c>
      <c r="BQ2543">
        <v>0</v>
      </c>
      <c r="BX2543" t="str">
        <f>"14:32:44.297"</f>
        <v>14:32:44.297</v>
      </c>
      <c r="BY2543" t="str">
        <f>"300699612"</f>
        <v>300699612</v>
      </c>
      <c r="CL2543">
        <v>0</v>
      </c>
      <c r="CM2543">
        <v>2</v>
      </c>
      <c r="CN2543">
        <v>0</v>
      </c>
      <c r="CO2543">
        <v>2</v>
      </c>
      <c r="CP2543">
        <v>0</v>
      </c>
      <c r="CQ2543">
        <v>7</v>
      </c>
      <c r="CR2543" t="s">
        <v>116</v>
      </c>
      <c r="CS2543">
        <v>39</v>
      </c>
      <c r="CT2543">
        <v>0</v>
      </c>
      <c r="CU2543" t="s">
        <v>2259</v>
      </c>
      <c r="CV2543" t="s">
        <v>2260</v>
      </c>
      <c r="CY2543">
        <v>2034115</v>
      </c>
      <c r="CZ2543" t="s">
        <v>119</v>
      </c>
    </row>
    <row r="2544" spans="1:104" x14ac:dyDescent="0.25">
      <c r="A2544" t="str">
        <f>"14:32:45.289"</f>
        <v>14:32:45.289</v>
      </c>
      <c r="B2544" t="s">
        <v>108</v>
      </c>
      <c r="C2544" t="str">
        <f t="shared" si="118"/>
        <v>ffdfd3c0</v>
      </c>
      <c r="D2544" t="s">
        <v>109</v>
      </c>
      <c r="E2544">
        <v>4</v>
      </c>
      <c r="F2544">
        <v>1004</v>
      </c>
      <c r="G2544" t="s">
        <v>110</v>
      </c>
      <c r="J2544" t="s">
        <v>111</v>
      </c>
      <c r="K2544">
        <v>0</v>
      </c>
      <c r="L2544">
        <v>3</v>
      </c>
      <c r="M2544">
        <v>0</v>
      </c>
      <c r="N2544">
        <v>2</v>
      </c>
      <c r="O2544">
        <v>1</v>
      </c>
      <c r="P2544">
        <v>0</v>
      </c>
      <c r="Q2544">
        <v>0</v>
      </c>
      <c r="R2544" t="s">
        <v>112</v>
      </c>
      <c r="S2544" t="str">
        <f>"14:32:45.133"</f>
        <v>14:32:45.133</v>
      </c>
      <c r="T2544" t="str">
        <f>"14:32:44.734"</f>
        <v>14:32:44.734</v>
      </c>
      <c r="U2544" t="str">
        <f t="shared" si="117"/>
        <v>ad5732</v>
      </c>
      <c r="V2544">
        <v>0</v>
      </c>
      <c r="W2544">
        <v>0</v>
      </c>
      <c r="X2544">
        <v>1</v>
      </c>
      <c r="Z2544">
        <v>0</v>
      </c>
      <c r="AA2544">
        <v>9</v>
      </c>
      <c r="AB2544">
        <v>3</v>
      </c>
      <c r="AC2544">
        <v>0</v>
      </c>
      <c r="AD2544">
        <v>10</v>
      </c>
      <c r="AE2544">
        <v>0</v>
      </c>
      <c r="AF2544">
        <v>3</v>
      </c>
      <c r="AG2544">
        <v>2</v>
      </c>
      <c r="AH2544">
        <v>0</v>
      </c>
      <c r="AI2544" t="s">
        <v>5202</v>
      </c>
      <c r="AJ2544">
        <v>40.109217000000001</v>
      </c>
      <c r="AK2544" t="s">
        <v>5203</v>
      </c>
      <c r="AL2544">
        <v>-75.402839</v>
      </c>
      <c r="AM2544">
        <v>100</v>
      </c>
      <c r="AN2544">
        <v>4700</v>
      </c>
      <c r="AO2544" t="s">
        <v>115</v>
      </c>
      <c r="AP2544">
        <v>133</v>
      </c>
      <c r="AQ2544">
        <v>126</v>
      </c>
      <c r="AR2544">
        <v>0</v>
      </c>
      <c r="AZ2544">
        <v>3614</v>
      </c>
      <c r="BA2544">
        <v>1</v>
      </c>
      <c r="BB2544" t="str">
        <f t="shared" si="119"/>
        <v xml:space="preserve">N959MJ  </v>
      </c>
      <c r="BC2544">
        <v>1</v>
      </c>
      <c r="BE2544">
        <v>0</v>
      </c>
      <c r="BF2544">
        <v>0</v>
      </c>
      <c r="BG2544">
        <v>0</v>
      </c>
      <c r="BH2544">
        <v>4900</v>
      </c>
      <c r="BI2544">
        <v>200</v>
      </c>
      <c r="BJ2544">
        <v>1</v>
      </c>
      <c r="BK2544">
        <v>1</v>
      </c>
      <c r="BL2544">
        <v>1</v>
      </c>
      <c r="BM2544">
        <v>0</v>
      </c>
      <c r="BP2544">
        <v>0</v>
      </c>
      <c r="BQ2544">
        <v>0</v>
      </c>
      <c r="BX2544" t="str">
        <f>"14:32:45.133"</f>
        <v>14:32:45.133</v>
      </c>
      <c r="BY2544" t="str">
        <f>"133021476"</f>
        <v>133021476</v>
      </c>
      <c r="CL2544">
        <v>0</v>
      </c>
      <c r="CM2544">
        <v>2</v>
      </c>
      <c r="CN2544">
        <v>0</v>
      </c>
      <c r="CO2544">
        <v>2</v>
      </c>
      <c r="CP2544">
        <v>0</v>
      </c>
      <c r="CQ2544">
        <v>7</v>
      </c>
      <c r="CR2544" t="s">
        <v>116</v>
      </c>
      <c r="CS2544">
        <v>39</v>
      </c>
      <c r="CT2544">
        <v>0</v>
      </c>
      <c r="CU2544" t="s">
        <v>2259</v>
      </c>
      <c r="CV2544" t="s">
        <v>2260</v>
      </c>
      <c r="CY2544">
        <v>2035506</v>
      </c>
      <c r="CZ2544" t="s">
        <v>119</v>
      </c>
    </row>
    <row r="2545" spans="1:104" x14ac:dyDescent="0.25">
      <c r="A2545" t="str">
        <f>"14:32:46.453"</f>
        <v>14:32:46.453</v>
      </c>
      <c r="B2545" t="s">
        <v>108</v>
      </c>
      <c r="C2545" t="str">
        <f t="shared" si="118"/>
        <v>ffdfd3c0</v>
      </c>
      <c r="D2545" t="s">
        <v>109</v>
      </c>
      <c r="E2545">
        <v>4</v>
      </c>
      <c r="F2545">
        <v>1004</v>
      </c>
      <c r="G2545" t="s">
        <v>110</v>
      </c>
      <c r="J2545" t="s">
        <v>111</v>
      </c>
      <c r="K2545">
        <v>0</v>
      </c>
      <c r="L2545">
        <v>3</v>
      </c>
      <c r="M2545">
        <v>0</v>
      </c>
      <c r="N2545">
        <v>2</v>
      </c>
      <c r="O2545">
        <v>1</v>
      </c>
      <c r="P2545">
        <v>0</v>
      </c>
      <c r="Q2545">
        <v>0</v>
      </c>
      <c r="R2545" t="s">
        <v>112</v>
      </c>
      <c r="S2545" t="str">
        <f>"14:32:46.211"</f>
        <v>14:32:46.211</v>
      </c>
      <c r="T2545" t="str">
        <f>"14:32:45.711"</f>
        <v>14:32:45.711</v>
      </c>
      <c r="U2545" t="str">
        <f t="shared" si="117"/>
        <v>ad5732</v>
      </c>
      <c r="V2545">
        <v>0</v>
      </c>
      <c r="W2545">
        <v>0</v>
      </c>
      <c r="X2545">
        <v>1</v>
      </c>
      <c r="Z2545">
        <v>0</v>
      </c>
      <c r="AA2545">
        <v>9</v>
      </c>
      <c r="AB2545">
        <v>3</v>
      </c>
      <c r="AC2545">
        <v>0</v>
      </c>
      <c r="AD2545">
        <v>10</v>
      </c>
      <c r="AE2545">
        <v>0</v>
      </c>
      <c r="AF2545">
        <v>3</v>
      </c>
      <c r="AG2545">
        <v>2</v>
      </c>
      <c r="AH2545">
        <v>0</v>
      </c>
      <c r="AI2545" t="s">
        <v>5204</v>
      </c>
      <c r="AJ2545">
        <v>40.109881999999999</v>
      </c>
      <c r="AK2545" t="s">
        <v>5205</v>
      </c>
      <c r="AL2545">
        <v>-75.401981000000006</v>
      </c>
      <c r="AM2545">
        <v>100</v>
      </c>
      <c r="AN2545">
        <v>4700</v>
      </c>
      <c r="AO2545" t="s">
        <v>115</v>
      </c>
      <c r="AP2545">
        <v>133</v>
      </c>
      <c r="AQ2545">
        <v>126</v>
      </c>
      <c r="AR2545">
        <v>0</v>
      </c>
      <c r="AZ2545">
        <v>3614</v>
      </c>
      <c r="BA2545">
        <v>1</v>
      </c>
      <c r="BB2545" t="str">
        <f t="shared" si="119"/>
        <v xml:space="preserve">N959MJ  </v>
      </c>
      <c r="BC2545">
        <v>1</v>
      </c>
      <c r="BE2545">
        <v>0</v>
      </c>
      <c r="BF2545">
        <v>0</v>
      </c>
      <c r="BG2545">
        <v>0</v>
      </c>
      <c r="BH2545">
        <v>4900</v>
      </c>
      <c r="BI2545">
        <v>200</v>
      </c>
      <c r="BJ2545">
        <v>1</v>
      </c>
      <c r="BK2545">
        <v>1</v>
      </c>
      <c r="BL2545">
        <v>1</v>
      </c>
      <c r="BM2545">
        <v>0</v>
      </c>
      <c r="BP2545">
        <v>0</v>
      </c>
      <c r="BQ2545">
        <v>0</v>
      </c>
      <c r="BX2545" t="str">
        <f>"14:32:46.211"</f>
        <v>14:32:46.211</v>
      </c>
      <c r="BY2545" t="str">
        <f>"214384535"</f>
        <v>214384535</v>
      </c>
      <c r="CL2545">
        <v>0</v>
      </c>
      <c r="CM2545">
        <v>2</v>
      </c>
      <c r="CN2545">
        <v>0</v>
      </c>
      <c r="CO2545">
        <v>2</v>
      </c>
      <c r="CP2545">
        <v>0</v>
      </c>
      <c r="CQ2545">
        <v>7</v>
      </c>
      <c r="CR2545" t="s">
        <v>116</v>
      </c>
      <c r="CS2545">
        <v>39</v>
      </c>
      <c r="CT2545">
        <v>0</v>
      </c>
      <c r="CU2545" t="s">
        <v>2259</v>
      </c>
      <c r="CV2545" t="s">
        <v>2260</v>
      </c>
      <c r="CY2545">
        <v>2037225</v>
      </c>
      <c r="CZ2545" t="s">
        <v>119</v>
      </c>
    </row>
    <row r="2546" spans="1:104" x14ac:dyDescent="0.25">
      <c r="A2546" t="str">
        <f>"14:32:47.258"</f>
        <v>14:32:47.258</v>
      </c>
      <c r="B2546" t="s">
        <v>108</v>
      </c>
      <c r="C2546" t="str">
        <f t="shared" si="118"/>
        <v>ffdfd3c0</v>
      </c>
      <c r="D2546" t="s">
        <v>109</v>
      </c>
      <c r="E2546">
        <v>4</v>
      </c>
      <c r="F2546">
        <v>1004</v>
      </c>
      <c r="G2546" t="s">
        <v>110</v>
      </c>
      <c r="J2546" t="s">
        <v>111</v>
      </c>
      <c r="K2546">
        <v>0</v>
      </c>
      <c r="L2546">
        <v>3</v>
      </c>
      <c r="M2546">
        <v>0</v>
      </c>
      <c r="N2546">
        <v>2</v>
      </c>
      <c r="O2546">
        <v>1</v>
      </c>
      <c r="P2546">
        <v>0</v>
      </c>
      <c r="Q2546">
        <v>0</v>
      </c>
      <c r="R2546" t="s">
        <v>112</v>
      </c>
      <c r="S2546" t="str">
        <f>"14:32:47.102"</f>
        <v>14:32:47.102</v>
      </c>
      <c r="T2546" t="str">
        <f>"14:32:46.703"</f>
        <v>14:32:46.703</v>
      </c>
      <c r="U2546" t="str">
        <f t="shared" si="117"/>
        <v>ad5732</v>
      </c>
      <c r="V2546">
        <v>0</v>
      </c>
      <c r="W2546">
        <v>0</v>
      </c>
      <c r="X2546">
        <v>1</v>
      </c>
      <c r="Z2546">
        <v>0</v>
      </c>
      <c r="AA2546">
        <v>9</v>
      </c>
      <c r="AB2546">
        <v>3</v>
      </c>
      <c r="AC2546">
        <v>0</v>
      </c>
      <c r="AD2546">
        <v>10</v>
      </c>
      <c r="AE2546">
        <v>0</v>
      </c>
      <c r="AF2546">
        <v>3</v>
      </c>
      <c r="AG2546">
        <v>2</v>
      </c>
      <c r="AH2546">
        <v>0</v>
      </c>
      <c r="AI2546" t="s">
        <v>5206</v>
      </c>
      <c r="AJ2546">
        <v>40.110332999999997</v>
      </c>
      <c r="AK2546" t="s">
        <v>5207</v>
      </c>
      <c r="AL2546">
        <v>-75.401293999999993</v>
      </c>
      <c r="AM2546">
        <v>100</v>
      </c>
      <c r="AN2546">
        <v>4700</v>
      </c>
      <c r="AO2546" t="s">
        <v>115</v>
      </c>
      <c r="AP2546">
        <v>133</v>
      </c>
      <c r="AQ2546">
        <v>126</v>
      </c>
      <c r="AR2546">
        <v>0</v>
      </c>
      <c r="AZ2546">
        <v>3614</v>
      </c>
      <c r="BA2546">
        <v>1</v>
      </c>
      <c r="BB2546" t="str">
        <f t="shared" si="119"/>
        <v xml:space="preserve">N959MJ  </v>
      </c>
      <c r="BC2546">
        <v>1</v>
      </c>
      <c r="BE2546">
        <v>0</v>
      </c>
      <c r="BF2546">
        <v>0</v>
      </c>
      <c r="BG2546">
        <v>0</v>
      </c>
      <c r="BH2546">
        <v>4900</v>
      </c>
      <c r="BI2546">
        <v>200</v>
      </c>
      <c r="BJ2546">
        <v>1</v>
      </c>
      <c r="BK2546">
        <v>1</v>
      </c>
      <c r="BL2546">
        <v>1</v>
      </c>
      <c r="BM2546">
        <v>0</v>
      </c>
      <c r="BP2546">
        <v>0</v>
      </c>
      <c r="BQ2546">
        <v>0</v>
      </c>
      <c r="BX2546" t="str">
        <f>"14:32:47.109"</f>
        <v>14:32:47.109</v>
      </c>
      <c r="BY2546" t="str">
        <f>"107328267"</f>
        <v>107328267</v>
      </c>
      <c r="CL2546">
        <v>0</v>
      </c>
      <c r="CM2546">
        <v>2</v>
      </c>
      <c r="CN2546">
        <v>0</v>
      </c>
      <c r="CO2546">
        <v>2</v>
      </c>
      <c r="CP2546">
        <v>0</v>
      </c>
      <c r="CQ2546">
        <v>7</v>
      </c>
      <c r="CR2546" t="s">
        <v>116</v>
      </c>
      <c r="CS2546">
        <v>39</v>
      </c>
      <c r="CT2546">
        <v>0</v>
      </c>
      <c r="CU2546" t="s">
        <v>2259</v>
      </c>
      <c r="CV2546" t="s">
        <v>2260</v>
      </c>
      <c r="CY2546">
        <v>2038591</v>
      </c>
      <c r="CZ2546" t="s">
        <v>119</v>
      </c>
    </row>
    <row r="2547" spans="1:104" x14ac:dyDescent="0.25">
      <c r="A2547" t="str">
        <f>"14:32:48.320"</f>
        <v>14:32:48.320</v>
      </c>
      <c r="B2547" t="s">
        <v>108</v>
      </c>
      <c r="C2547" t="str">
        <f t="shared" si="118"/>
        <v>ffdfd3c0</v>
      </c>
      <c r="D2547" t="s">
        <v>109</v>
      </c>
      <c r="E2547">
        <v>4</v>
      </c>
      <c r="F2547">
        <v>1004</v>
      </c>
      <c r="G2547" t="s">
        <v>110</v>
      </c>
      <c r="J2547" t="s">
        <v>111</v>
      </c>
      <c r="K2547">
        <v>0</v>
      </c>
      <c r="L2547">
        <v>3</v>
      </c>
      <c r="M2547">
        <v>0</v>
      </c>
      <c r="N2547">
        <v>2</v>
      </c>
      <c r="O2547">
        <v>1</v>
      </c>
      <c r="P2547">
        <v>0</v>
      </c>
      <c r="Q2547">
        <v>0</v>
      </c>
      <c r="R2547" t="s">
        <v>112</v>
      </c>
      <c r="S2547" t="str">
        <f>"14:32:48.133"</f>
        <v>14:32:48.133</v>
      </c>
      <c r="T2547" t="str">
        <f>"14:32:47.633"</f>
        <v>14:32:47.633</v>
      </c>
      <c r="U2547" t="str">
        <f t="shared" si="117"/>
        <v>ad5732</v>
      </c>
      <c r="V2547">
        <v>0</v>
      </c>
      <c r="W2547">
        <v>0</v>
      </c>
      <c r="X2547">
        <v>1</v>
      </c>
      <c r="Z2547">
        <v>0</v>
      </c>
      <c r="AA2547">
        <v>9</v>
      </c>
      <c r="AB2547">
        <v>3</v>
      </c>
      <c r="AC2547">
        <v>0</v>
      </c>
      <c r="AD2547">
        <v>10</v>
      </c>
      <c r="AE2547">
        <v>0</v>
      </c>
      <c r="AF2547">
        <v>3</v>
      </c>
      <c r="AG2547">
        <v>2</v>
      </c>
      <c r="AH2547">
        <v>0</v>
      </c>
      <c r="AI2547" t="s">
        <v>5208</v>
      </c>
      <c r="AJ2547">
        <v>40.110998000000002</v>
      </c>
      <c r="AK2547" t="s">
        <v>5209</v>
      </c>
      <c r="AL2547">
        <v>-75.400457000000003</v>
      </c>
      <c r="AM2547">
        <v>100</v>
      </c>
      <c r="AN2547">
        <v>4700</v>
      </c>
      <c r="AO2547" t="s">
        <v>115</v>
      </c>
      <c r="AP2547">
        <v>132</v>
      </c>
      <c r="AQ2547">
        <v>126</v>
      </c>
      <c r="AR2547">
        <v>0</v>
      </c>
      <c r="AZ2547">
        <v>3614</v>
      </c>
      <c r="BA2547">
        <v>1</v>
      </c>
      <c r="BB2547" t="str">
        <f t="shared" si="119"/>
        <v xml:space="preserve">N959MJ  </v>
      </c>
      <c r="BC2547">
        <v>1</v>
      </c>
      <c r="BE2547">
        <v>0</v>
      </c>
      <c r="BF2547">
        <v>0</v>
      </c>
      <c r="BG2547">
        <v>0</v>
      </c>
      <c r="BH2547">
        <v>4900</v>
      </c>
      <c r="BI2547">
        <v>200</v>
      </c>
      <c r="BJ2547">
        <v>1</v>
      </c>
      <c r="BK2547">
        <v>1</v>
      </c>
      <c r="BL2547">
        <v>1</v>
      </c>
      <c r="BM2547">
        <v>0</v>
      </c>
      <c r="BP2547">
        <v>0</v>
      </c>
      <c r="BQ2547">
        <v>0</v>
      </c>
      <c r="BX2547" t="str">
        <f>"14:32:48.133"</f>
        <v>14:32:48.133</v>
      </c>
      <c r="BY2547" t="str">
        <f>"134623172"</f>
        <v>134623172</v>
      </c>
      <c r="CL2547">
        <v>0</v>
      </c>
      <c r="CM2547">
        <v>2</v>
      </c>
      <c r="CN2547">
        <v>0</v>
      </c>
      <c r="CO2547">
        <v>2</v>
      </c>
      <c r="CP2547">
        <v>0</v>
      </c>
      <c r="CQ2547">
        <v>7</v>
      </c>
      <c r="CR2547" t="s">
        <v>116</v>
      </c>
      <c r="CS2547">
        <v>39</v>
      </c>
      <c r="CT2547">
        <v>0</v>
      </c>
      <c r="CU2547" t="s">
        <v>2259</v>
      </c>
      <c r="CV2547" t="s">
        <v>2260</v>
      </c>
      <c r="CY2547">
        <v>2040164</v>
      </c>
      <c r="CZ2547" t="s">
        <v>119</v>
      </c>
    </row>
    <row r="2548" spans="1:104" x14ac:dyDescent="0.25">
      <c r="A2548" t="str">
        <f>"14:32:49.273"</f>
        <v>14:32:49.273</v>
      </c>
      <c r="B2548" t="s">
        <v>108</v>
      </c>
      <c r="C2548" t="str">
        <f t="shared" si="118"/>
        <v>ffdfd3c0</v>
      </c>
      <c r="D2548" t="s">
        <v>109</v>
      </c>
      <c r="E2548">
        <v>4</v>
      </c>
      <c r="F2548">
        <v>1004</v>
      </c>
      <c r="G2548" t="s">
        <v>110</v>
      </c>
      <c r="J2548" t="s">
        <v>111</v>
      </c>
      <c r="K2548">
        <v>0</v>
      </c>
      <c r="L2548">
        <v>3</v>
      </c>
      <c r="M2548">
        <v>0</v>
      </c>
      <c r="N2548">
        <v>2</v>
      </c>
      <c r="O2548">
        <v>1</v>
      </c>
      <c r="P2548">
        <v>0</v>
      </c>
      <c r="Q2548">
        <v>0</v>
      </c>
      <c r="R2548" t="s">
        <v>112</v>
      </c>
      <c r="S2548" t="str">
        <f>"14:32:49.094"</f>
        <v>14:32:49.094</v>
      </c>
      <c r="T2548" t="str">
        <f>"14:32:48.594"</f>
        <v>14:32:48.594</v>
      </c>
      <c r="U2548" t="str">
        <f t="shared" si="117"/>
        <v>ad5732</v>
      </c>
      <c r="V2548">
        <v>0</v>
      </c>
      <c r="W2548">
        <v>0</v>
      </c>
      <c r="X2548">
        <v>1</v>
      </c>
      <c r="Z2548">
        <v>0</v>
      </c>
      <c r="AA2548">
        <v>9</v>
      </c>
      <c r="AB2548">
        <v>3</v>
      </c>
      <c r="AC2548">
        <v>0</v>
      </c>
      <c r="AD2548">
        <v>10</v>
      </c>
      <c r="AE2548">
        <v>0</v>
      </c>
      <c r="AF2548">
        <v>3</v>
      </c>
      <c r="AG2548">
        <v>2</v>
      </c>
      <c r="AH2548">
        <v>0</v>
      </c>
      <c r="AI2548" t="s">
        <v>5210</v>
      </c>
      <c r="AJ2548">
        <v>40.111513000000002</v>
      </c>
      <c r="AK2548" t="s">
        <v>5211</v>
      </c>
      <c r="AL2548">
        <v>-75.399727999999996</v>
      </c>
      <c r="AM2548">
        <v>100</v>
      </c>
      <c r="AN2548">
        <v>4700</v>
      </c>
      <c r="AO2548" t="s">
        <v>115</v>
      </c>
      <c r="AP2548">
        <v>132</v>
      </c>
      <c r="AQ2548">
        <v>126</v>
      </c>
      <c r="AR2548">
        <v>0</v>
      </c>
      <c r="AZ2548">
        <v>3614</v>
      </c>
      <c r="BA2548">
        <v>1</v>
      </c>
      <c r="BB2548" t="str">
        <f t="shared" si="119"/>
        <v xml:space="preserve">N959MJ  </v>
      </c>
      <c r="BC2548">
        <v>1</v>
      </c>
      <c r="BE2548">
        <v>0</v>
      </c>
      <c r="BF2548">
        <v>0</v>
      </c>
      <c r="BG2548">
        <v>0</v>
      </c>
      <c r="BH2548">
        <v>4900</v>
      </c>
      <c r="BI2548">
        <v>200</v>
      </c>
      <c r="BJ2548">
        <v>1</v>
      </c>
      <c r="BK2548">
        <v>1</v>
      </c>
      <c r="BL2548">
        <v>1</v>
      </c>
      <c r="BM2548">
        <v>0</v>
      </c>
      <c r="BP2548">
        <v>0</v>
      </c>
      <c r="BQ2548">
        <v>0</v>
      </c>
      <c r="BX2548" t="str">
        <f>"14:32:49.094"</f>
        <v>14:32:49.094</v>
      </c>
      <c r="BY2548" t="str">
        <f>"096380916"</f>
        <v>096380916</v>
      </c>
      <c r="CL2548">
        <v>0</v>
      </c>
      <c r="CM2548">
        <v>2</v>
      </c>
      <c r="CN2548">
        <v>0</v>
      </c>
      <c r="CO2548">
        <v>2</v>
      </c>
      <c r="CP2548">
        <v>0</v>
      </c>
      <c r="CQ2548">
        <v>7</v>
      </c>
      <c r="CR2548" t="s">
        <v>116</v>
      </c>
      <c r="CS2548">
        <v>39</v>
      </c>
      <c r="CT2548">
        <v>0</v>
      </c>
      <c r="CU2548" t="s">
        <v>2259</v>
      </c>
      <c r="CV2548" t="s">
        <v>2260</v>
      </c>
      <c r="CY2548">
        <v>2041696</v>
      </c>
      <c r="CZ2548" t="s">
        <v>119</v>
      </c>
    </row>
    <row r="2549" spans="1:104" x14ac:dyDescent="0.25">
      <c r="A2549" t="str">
        <f>"14:32:50.336"</f>
        <v>14:32:50.336</v>
      </c>
      <c r="B2549" t="s">
        <v>108</v>
      </c>
      <c r="C2549" t="str">
        <f t="shared" si="118"/>
        <v>ffdfd3c0</v>
      </c>
      <c r="D2549" t="s">
        <v>109</v>
      </c>
      <c r="E2549">
        <v>4</v>
      </c>
      <c r="F2549">
        <v>1004</v>
      </c>
      <c r="G2549" t="s">
        <v>110</v>
      </c>
      <c r="J2549" t="s">
        <v>111</v>
      </c>
      <c r="K2549">
        <v>0</v>
      </c>
      <c r="L2549">
        <v>3</v>
      </c>
      <c r="M2549">
        <v>0</v>
      </c>
      <c r="N2549">
        <v>2</v>
      </c>
      <c r="O2549">
        <v>1</v>
      </c>
      <c r="P2549">
        <v>0</v>
      </c>
      <c r="Q2549">
        <v>0</v>
      </c>
      <c r="R2549" t="s">
        <v>112</v>
      </c>
      <c r="S2549" t="str">
        <f>"14:32:50.172"</f>
        <v>14:32:50.172</v>
      </c>
      <c r="T2549" t="str">
        <f>"14:32:49.672"</f>
        <v>14:32:49.672</v>
      </c>
      <c r="U2549" t="str">
        <f t="shared" si="117"/>
        <v>ad5732</v>
      </c>
      <c r="V2549">
        <v>0</v>
      </c>
      <c r="W2549">
        <v>0</v>
      </c>
      <c r="X2549">
        <v>1</v>
      </c>
      <c r="Z2549">
        <v>0</v>
      </c>
      <c r="AA2549">
        <v>9</v>
      </c>
      <c r="AB2549">
        <v>3</v>
      </c>
      <c r="AC2549">
        <v>0</v>
      </c>
      <c r="AD2549">
        <v>10</v>
      </c>
      <c r="AE2549">
        <v>0</v>
      </c>
      <c r="AF2549">
        <v>3</v>
      </c>
      <c r="AG2549">
        <v>2</v>
      </c>
      <c r="AH2549">
        <v>0</v>
      </c>
      <c r="AI2549" t="s">
        <v>5212</v>
      </c>
      <c r="AJ2549">
        <v>40.112135000000002</v>
      </c>
      <c r="AK2549" t="s">
        <v>5213</v>
      </c>
      <c r="AL2549">
        <v>-75.398870000000002</v>
      </c>
      <c r="AM2549">
        <v>100</v>
      </c>
      <c r="AN2549">
        <v>4700</v>
      </c>
      <c r="AO2549" t="s">
        <v>115</v>
      </c>
      <c r="AP2549">
        <v>132</v>
      </c>
      <c r="AQ2549">
        <v>126</v>
      </c>
      <c r="AR2549">
        <v>0</v>
      </c>
      <c r="AZ2549">
        <v>3614</v>
      </c>
      <c r="BA2549">
        <v>1</v>
      </c>
      <c r="BB2549" t="str">
        <f t="shared" si="119"/>
        <v xml:space="preserve">N959MJ  </v>
      </c>
      <c r="BC2549">
        <v>1</v>
      </c>
      <c r="BE2549">
        <v>0</v>
      </c>
      <c r="BF2549">
        <v>0</v>
      </c>
      <c r="BG2549">
        <v>0</v>
      </c>
      <c r="BH2549">
        <v>4900</v>
      </c>
      <c r="BI2549">
        <v>200</v>
      </c>
      <c r="BJ2549">
        <v>1</v>
      </c>
      <c r="BK2549">
        <v>1</v>
      </c>
      <c r="BL2549">
        <v>1</v>
      </c>
      <c r="BM2549">
        <v>0</v>
      </c>
      <c r="BP2549">
        <v>0</v>
      </c>
      <c r="BQ2549">
        <v>0</v>
      </c>
      <c r="BX2549" t="str">
        <f>"14:32:50.172"</f>
        <v>14:32:50.172</v>
      </c>
      <c r="BY2549" t="str">
        <f>"172828739"</f>
        <v>172828739</v>
      </c>
      <c r="CL2549">
        <v>0</v>
      </c>
      <c r="CM2549">
        <v>2</v>
      </c>
      <c r="CN2549">
        <v>0</v>
      </c>
      <c r="CO2549">
        <v>2</v>
      </c>
      <c r="CP2549">
        <v>0</v>
      </c>
      <c r="CQ2549">
        <v>7</v>
      </c>
      <c r="CR2549" t="s">
        <v>116</v>
      </c>
      <c r="CS2549">
        <v>39</v>
      </c>
      <c r="CT2549">
        <v>0</v>
      </c>
      <c r="CU2549" t="s">
        <v>2259</v>
      </c>
      <c r="CV2549" t="s">
        <v>2260</v>
      </c>
      <c r="CY2549">
        <v>2043422</v>
      </c>
      <c r="CZ2549" t="s">
        <v>119</v>
      </c>
    </row>
    <row r="2550" spans="1:104" x14ac:dyDescent="0.25">
      <c r="A2550" t="str">
        <f>"14:32:51.297"</f>
        <v>14:32:51.297</v>
      </c>
      <c r="B2550" t="s">
        <v>108</v>
      </c>
      <c r="C2550" t="str">
        <f t="shared" si="118"/>
        <v>ffdfd3c0</v>
      </c>
      <c r="D2550" t="s">
        <v>109</v>
      </c>
      <c r="E2550">
        <v>4</v>
      </c>
      <c r="F2550">
        <v>1004</v>
      </c>
      <c r="G2550" t="s">
        <v>110</v>
      </c>
      <c r="J2550" t="s">
        <v>111</v>
      </c>
      <c r="K2550">
        <v>0</v>
      </c>
      <c r="L2550">
        <v>3</v>
      </c>
      <c r="M2550">
        <v>0</v>
      </c>
      <c r="N2550">
        <v>2</v>
      </c>
      <c r="O2550">
        <v>1</v>
      </c>
      <c r="P2550">
        <v>0</v>
      </c>
      <c r="Q2550">
        <v>0</v>
      </c>
      <c r="R2550" t="s">
        <v>112</v>
      </c>
      <c r="S2550" t="str">
        <f>"14:32:51.102"</f>
        <v>14:32:51.102</v>
      </c>
      <c r="T2550" t="str">
        <f>"14:32:50.703"</f>
        <v>14:32:50.703</v>
      </c>
      <c r="U2550" t="str">
        <f t="shared" si="117"/>
        <v>ad5732</v>
      </c>
      <c r="V2550">
        <v>0</v>
      </c>
      <c r="W2550">
        <v>0</v>
      </c>
      <c r="X2550">
        <v>1</v>
      </c>
      <c r="Z2550">
        <v>0</v>
      </c>
      <c r="AA2550">
        <v>9</v>
      </c>
      <c r="AB2550">
        <v>3</v>
      </c>
      <c r="AC2550">
        <v>0</v>
      </c>
      <c r="AD2550">
        <v>10</v>
      </c>
      <c r="AE2550">
        <v>0</v>
      </c>
      <c r="AF2550">
        <v>3</v>
      </c>
      <c r="AG2550">
        <v>2</v>
      </c>
      <c r="AH2550">
        <v>0</v>
      </c>
      <c r="AI2550" t="s">
        <v>5214</v>
      </c>
      <c r="AJ2550">
        <v>40.112672000000003</v>
      </c>
      <c r="AK2550" t="s">
        <v>5215</v>
      </c>
      <c r="AL2550">
        <v>-75.398117999999997</v>
      </c>
      <c r="AM2550">
        <v>100</v>
      </c>
      <c r="AN2550">
        <v>4700</v>
      </c>
      <c r="AO2550" t="s">
        <v>115</v>
      </c>
      <c r="AP2550">
        <v>132</v>
      </c>
      <c r="AQ2550">
        <v>126</v>
      </c>
      <c r="AR2550">
        <v>0</v>
      </c>
      <c r="AZ2550">
        <v>3614</v>
      </c>
      <c r="BA2550">
        <v>1</v>
      </c>
      <c r="BB2550" t="str">
        <f t="shared" si="119"/>
        <v xml:space="preserve">N959MJ  </v>
      </c>
      <c r="BC2550">
        <v>1</v>
      </c>
      <c r="BE2550">
        <v>0</v>
      </c>
      <c r="BF2550">
        <v>0</v>
      </c>
      <c r="BG2550">
        <v>0</v>
      </c>
      <c r="BH2550">
        <v>4900</v>
      </c>
      <c r="BI2550">
        <v>200</v>
      </c>
      <c r="BJ2550">
        <v>1</v>
      </c>
      <c r="BK2550">
        <v>1</v>
      </c>
      <c r="BL2550">
        <v>1</v>
      </c>
      <c r="BM2550">
        <v>0</v>
      </c>
      <c r="BP2550">
        <v>0</v>
      </c>
      <c r="BQ2550">
        <v>0</v>
      </c>
      <c r="BX2550" t="str">
        <f>"14:32:51.102"</f>
        <v>14:32:51.102</v>
      </c>
      <c r="BY2550" t="str">
        <f>"101817857"</f>
        <v>101817857</v>
      </c>
      <c r="CL2550">
        <v>0</v>
      </c>
      <c r="CM2550">
        <v>2</v>
      </c>
      <c r="CN2550">
        <v>0</v>
      </c>
      <c r="CO2550">
        <v>2</v>
      </c>
      <c r="CP2550">
        <v>0</v>
      </c>
      <c r="CQ2550">
        <v>7</v>
      </c>
      <c r="CR2550" t="s">
        <v>116</v>
      </c>
      <c r="CS2550">
        <v>39</v>
      </c>
      <c r="CT2550">
        <v>0</v>
      </c>
      <c r="CU2550" t="s">
        <v>2259</v>
      </c>
      <c r="CV2550" t="s">
        <v>2260</v>
      </c>
      <c r="CY2550">
        <v>2044842</v>
      </c>
      <c r="CZ2550" t="s">
        <v>119</v>
      </c>
    </row>
    <row r="2551" spans="1:104" x14ac:dyDescent="0.25">
      <c r="A2551" t="str">
        <f>"14:32:52.258"</f>
        <v>14:32:52.258</v>
      </c>
      <c r="B2551" t="s">
        <v>108</v>
      </c>
      <c r="C2551" t="str">
        <f t="shared" si="118"/>
        <v>ffdfd3c0</v>
      </c>
      <c r="D2551" t="s">
        <v>109</v>
      </c>
      <c r="E2551">
        <v>4</v>
      </c>
      <c r="F2551">
        <v>1004</v>
      </c>
      <c r="G2551" t="s">
        <v>110</v>
      </c>
      <c r="J2551" t="s">
        <v>111</v>
      </c>
      <c r="K2551">
        <v>0</v>
      </c>
      <c r="L2551">
        <v>3</v>
      </c>
      <c r="M2551">
        <v>0</v>
      </c>
      <c r="N2551">
        <v>2</v>
      </c>
      <c r="O2551">
        <v>1</v>
      </c>
      <c r="P2551">
        <v>0</v>
      </c>
      <c r="Q2551">
        <v>0</v>
      </c>
      <c r="R2551" t="s">
        <v>112</v>
      </c>
      <c r="S2551" t="str">
        <f>"14:32:52.070"</f>
        <v>14:32:52.070</v>
      </c>
      <c r="T2551" t="str">
        <f>"14:32:51.672"</f>
        <v>14:32:51.672</v>
      </c>
      <c r="U2551" t="str">
        <f t="shared" si="117"/>
        <v>ad5732</v>
      </c>
      <c r="V2551">
        <v>0</v>
      </c>
      <c r="W2551">
        <v>0</v>
      </c>
      <c r="X2551">
        <v>1</v>
      </c>
      <c r="Z2551">
        <v>0</v>
      </c>
      <c r="AA2551">
        <v>9</v>
      </c>
      <c r="AB2551">
        <v>3</v>
      </c>
      <c r="AC2551">
        <v>0</v>
      </c>
      <c r="AD2551">
        <v>10</v>
      </c>
      <c r="AE2551">
        <v>0</v>
      </c>
      <c r="AF2551">
        <v>3</v>
      </c>
      <c r="AG2551">
        <v>2</v>
      </c>
      <c r="AH2551">
        <v>0</v>
      </c>
      <c r="AI2551" t="s">
        <v>5216</v>
      </c>
      <c r="AJ2551">
        <v>40.113273</v>
      </c>
      <c r="AK2551" t="s">
        <v>5217</v>
      </c>
      <c r="AL2551">
        <v>-75.397302999999994</v>
      </c>
      <c r="AM2551">
        <v>100</v>
      </c>
      <c r="AN2551">
        <v>4700</v>
      </c>
      <c r="AO2551" t="s">
        <v>115</v>
      </c>
      <c r="AP2551">
        <v>132</v>
      </c>
      <c r="AQ2551">
        <v>127</v>
      </c>
      <c r="AR2551">
        <v>0</v>
      </c>
      <c r="AZ2551">
        <v>3614</v>
      </c>
      <c r="BA2551">
        <v>1</v>
      </c>
      <c r="BB2551" t="str">
        <f t="shared" si="119"/>
        <v xml:space="preserve">N959MJ  </v>
      </c>
      <c r="BC2551">
        <v>1</v>
      </c>
      <c r="BE2551">
        <v>0</v>
      </c>
      <c r="BF2551">
        <v>0</v>
      </c>
      <c r="BG2551">
        <v>0</v>
      </c>
      <c r="BH2551">
        <v>4900</v>
      </c>
      <c r="BI2551">
        <v>200</v>
      </c>
      <c r="BJ2551">
        <v>1</v>
      </c>
      <c r="BK2551">
        <v>1</v>
      </c>
      <c r="BL2551">
        <v>1</v>
      </c>
      <c r="BM2551">
        <v>0</v>
      </c>
      <c r="BP2551">
        <v>0</v>
      </c>
      <c r="BQ2551">
        <v>0</v>
      </c>
      <c r="BX2551" t="str">
        <f>"14:32:52.070"</f>
        <v>14:32:52.070</v>
      </c>
      <c r="BY2551" t="str">
        <f>"071767753"</f>
        <v>071767753</v>
      </c>
      <c r="CL2551">
        <v>0</v>
      </c>
      <c r="CM2551">
        <v>2</v>
      </c>
      <c r="CN2551">
        <v>0</v>
      </c>
      <c r="CO2551">
        <v>2</v>
      </c>
      <c r="CP2551">
        <v>0</v>
      </c>
      <c r="CQ2551">
        <v>7</v>
      </c>
      <c r="CR2551" t="s">
        <v>116</v>
      </c>
      <c r="CS2551">
        <v>39</v>
      </c>
      <c r="CT2551">
        <v>0</v>
      </c>
      <c r="CU2551" t="s">
        <v>2259</v>
      </c>
      <c r="CV2551" t="s">
        <v>2260</v>
      </c>
      <c r="CY2551">
        <v>2046334</v>
      </c>
      <c r="CZ2551" t="s">
        <v>119</v>
      </c>
    </row>
    <row r="2552" spans="1:104" x14ac:dyDescent="0.25">
      <c r="A2552" t="str">
        <f>"14:32:53.117"</f>
        <v>14:32:53.117</v>
      </c>
      <c r="B2552" t="s">
        <v>108</v>
      </c>
      <c r="C2552" t="str">
        <f t="shared" si="118"/>
        <v>ffdfd3c0</v>
      </c>
      <c r="D2552" t="s">
        <v>109</v>
      </c>
      <c r="E2552">
        <v>4</v>
      </c>
      <c r="F2552">
        <v>1004</v>
      </c>
      <c r="G2552" t="s">
        <v>110</v>
      </c>
      <c r="J2552" t="s">
        <v>111</v>
      </c>
      <c r="K2552">
        <v>0</v>
      </c>
      <c r="L2552">
        <v>3</v>
      </c>
      <c r="M2552">
        <v>0</v>
      </c>
      <c r="N2552">
        <v>2</v>
      </c>
      <c r="O2552">
        <v>1</v>
      </c>
      <c r="P2552">
        <v>0</v>
      </c>
      <c r="Q2552">
        <v>0</v>
      </c>
      <c r="R2552" t="s">
        <v>112</v>
      </c>
      <c r="S2552" t="str">
        <f>"14:32:52.938"</f>
        <v>14:32:52.938</v>
      </c>
      <c r="T2552" t="str">
        <f>"14:32:52.539"</f>
        <v>14:32:52.539</v>
      </c>
      <c r="U2552" t="str">
        <f t="shared" si="117"/>
        <v>ad5732</v>
      </c>
      <c r="V2552">
        <v>0</v>
      </c>
      <c r="W2552">
        <v>0</v>
      </c>
      <c r="X2552">
        <v>1</v>
      </c>
      <c r="Z2552">
        <v>0</v>
      </c>
      <c r="AA2552">
        <v>9</v>
      </c>
      <c r="AB2552">
        <v>3</v>
      </c>
      <c r="AC2552">
        <v>0</v>
      </c>
      <c r="AD2552">
        <v>10</v>
      </c>
      <c r="AE2552">
        <v>0</v>
      </c>
      <c r="AF2552">
        <v>3</v>
      </c>
      <c r="AG2552">
        <v>2</v>
      </c>
      <c r="AH2552">
        <v>0</v>
      </c>
      <c r="AI2552" t="s">
        <v>5218</v>
      </c>
      <c r="AJ2552">
        <v>40.113788</v>
      </c>
      <c r="AK2552" t="s">
        <v>5219</v>
      </c>
      <c r="AL2552">
        <v>-75.396615999999995</v>
      </c>
      <c r="AM2552">
        <v>100</v>
      </c>
      <c r="AN2552">
        <v>4700</v>
      </c>
      <c r="AO2552" t="s">
        <v>115</v>
      </c>
      <c r="AP2552">
        <v>132</v>
      </c>
      <c r="AQ2552">
        <v>127</v>
      </c>
      <c r="AR2552">
        <v>0</v>
      </c>
      <c r="AZ2552">
        <v>3614</v>
      </c>
      <c r="BA2552">
        <v>1</v>
      </c>
      <c r="BB2552" t="str">
        <f t="shared" si="119"/>
        <v xml:space="preserve">N959MJ  </v>
      </c>
      <c r="BC2552">
        <v>1</v>
      </c>
      <c r="BE2552">
        <v>0</v>
      </c>
      <c r="BF2552">
        <v>0</v>
      </c>
      <c r="BG2552">
        <v>0</v>
      </c>
      <c r="BH2552">
        <v>4900</v>
      </c>
      <c r="BI2552">
        <v>200</v>
      </c>
      <c r="BJ2552">
        <v>1</v>
      </c>
      <c r="BK2552">
        <v>1</v>
      </c>
      <c r="BL2552">
        <v>1</v>
      </c>
      <c r="BM2552">
        <v>0</v>
      </c>
      <c r="BP2552">
        <v>0</v>
      </c>
      <c r="BQ2552">
        <v>0</v>
      </c>
      <c r="BX2552" t="str">
        <f>"14:32:52.938"</f>
        <v>14:32:52.938</v>
      </c>
      <c r="BY2552" t="str">
        <f>"940135052"</f>
        <v>940135052</v>
      </c>
      <c r="CL2552">
        <v>0</v>
      </c>
      <c r="CM2552">
        <v>2</v>
      </c>
      <c r="CN2552">
        <v>0</v>
      </c>
      <c r="CO2552">
        <v>2</v>
      </c>
      <c r="CP2552">
        <v>0</v>
      </c>
      <c r="CQ2552">
        <v>7</v>
      </c>
      <c r="CR2552" t="s">
        <v>116</v>
      </c>
      <c r="CS2552">
        <v>39</v>
      </c>
      <c r="CT2552">
        <v>0</v>
      </c>
      <c r="CU2552" t="s">
        <v>2259</v>
      </c>
      <c r="CV2552" t="s">
        <v>2260</v>
      </c>
      <c r="CY2552">
        <v>2047709</v>
      </c>
      <c r="CZ2552" t="s">
        <v>119</v>
      </c>
    </row>
    <row r="2553" spans="1:104" x14ac:dyDescent="0.25">
      <c r="A2553" t="str">
        <f>"14:32:54.125"</f>
        <v>14:32:54.125</v>
      </c>
      <c r="B2553" t="s">
        <v>108</v>
      </c>
      <c r="C2553" t="str">
        <f t="shared" si="118"/>
        <v>ffdfd3c0</v>
      </c>
      <c r="D2553" t="s">
        <v>109</v>
      </c>
      <c r="E2553">
        <v>4</v>
      </c>
      <c r="F2553">
        <v>1004</v>
      </c>
      <c r="G2553" t="s">
        <v>110</v>
      </c>
      <c r="J2553" t="s">
        <v>111</v>
      </c>
      <c r="K2553">
        <v>0</v>
      </c>
      <c r="L2553">
        <v>3</v>
      </c>
      <c r="M2553">
        <v>0</v>
      </c>
      <c r="N2553">
        <v>2</v>
      </c>
      <c r="O2553">
        <v>1</v>
      </c>
      <c r="P2553">
        <v>0</v>
      </c>
      <c r="Q2553">
        <v>0</v>
      </c>
      <c r="R2553" t="s">
        <v>112</v>
      </c>
      <c r="S2553" t="str">
        <f>"14:32:53.945"</f>
        <v>14:32:53.945</v>
      </c>
      <c r="T2553" t="str">
        <f>"14:32:53.445"</f>
        <v>14:32:53.445</v>
      </c>
      <c r="U2553" t="str">
        <f t="shared" si="117"/>
        <v>ad5732</v>
      </c>
      <c r="V2553">
        <v>0</v>
      </c>
      <c r="W2553">
        <v>0</v>
      </c>
      <c r="X2553">
        <v>1</v>
      </c>
      <c r="Z2553">
        <v>0</v>
      </c>
      <c r="AA2553">
        <v>9</v>
      </c>
      <c r="AB2553">
        <v>3</v>
      </c>
      <c r="AC2553">
        <v>0</v>
      </c>
      <c r="AD2553">
        <v>10</v>
      </c>
      <c r="AE2553">
        <v>0</v>
      </c>
      <c r="AF2553">
        <v>3</v>
      </c>
      <c r="AG2553">
        <v>2</v>
      </c>
      <c r="AH2553">
        <v>0</v>
      </c>
      <c r="AI2553" t="s">
        <v>5220</v>
      </c>
      <c r="AJ2553">
        <v>40.114387999999998</v>
      </c>
      <c r="AK2553" t="s">
        <v>5221</v>
      </c>
      <c r="AL2553">
        <v>-75.395822999999993</v>
      </c>
      <c r="AM2553">
        <v>100</v>
      </c>
      <c r="AN2553">
        <v>4700</v>
      </c>
      <c r="AO2553" t="s">
        <v>115</v>
      </c>
      <c r="AP2553">
        <v>132</v>
      </c>
      <c r="AQ2553">
        <v>127</v>
      </c>
      <c r="AR2553">
        <v>0</v>
      </c>
      <c r="AZ2553">
        <v>3614</v>
      </c>
      <c r="BA2553">
        <v>1</v>
      </c>
      <c r="BB2553" t="str">
        <f t="shared" si="119"/>
        <v xml:space="preserve">N959MJ  </v>
      </c>
      <c r="BC2553">
        <v>1</v>
      </c>
      <c r="BE2553">
        <v>0</v>
      </c>
      <c r="BF2553">
        <v>0</v>
      </c>
      <c r="BG2553">
        <v>0</v>
      </c>
      <c r="BH2553">
        <v>4900</v>
      </c>
      <c r="BI2553">
        <v>200</v>
      </c>
      <c r="BJ2553">
        <v>1</v>
      </c>
      <c r="BK2553">
        <v>1</v>
      </c>
      <c r="BL2553">
        <v>1</v>
      </c>
      <c r="BM2553">
        <v>0</v>
      </c>
      <c r="BP2553">
        <v>0</v>
      </c>
      <c r="BQ2553">
        <v>0</v>
      </c>
      <c r="BX2553" t="str">
        <f>"14:32:53.945"</f>
        <v>14:32:53.945</v>
      </c>
      <c r="BY2553" t="str">
        <f>"946130482"</f>
        <v>946130482</v>
      </c>
      <c r="CL2553">
        <v>0</v>
      </c>
      <c r="CM2553">
        <v>2</v>
      </c>
      <c r="CN2553">
        <v>0</v>
      </c>
      <c r="CO2553">
        <v>2</v>
      </c>
      <c r="CP2553">
        <v>0</v>
      </c>
      <c r="CQ2553">
        <v>7</v>
      </c>
      <c r="CR2553" t="s">
        <v>116</v>
      </c>
      <c r="CS2553">
        <v>39</v>
      </c>
      <c r="CT2553">
        <v>0</v>
      </c>
      <c r="CU2553" t="s">
        <v>2259</v>
      </c>
      <c r="CV2553" t="s">
        <v>2260</v>
      </c>
      <c r="CY2553">
        <v>2049272</v>
      </c>
      <c r="CZ2553" t="s">
        <v>119</v>
      </c>
    </row>
    <row r="2554" spans="1:104" x14ac:dyDescent="0.25">
      <c r="A2554" t="str">
        <f>"14:32:55.086"</f>
        <v>14:32:55.086</v>
      </c>
      <c r="B2554" t="s">
        <v>108</v>
      </c>
      <c r="C2554" t="str">
        <f t="shared" si="118"/>
        <v>ffdfd3c0</v>
      </c>
      <c r="D2554" t="s">
        <v>109</v>
      </c>
      <c r="E2554">
        <v>4</v>
      </c>
      <c r="F2554">
        <v>1004</v>
      </c>
      <c r="G2554" t="s">
        <v>110</v>
      </c>
      <c r="J2554" t="s">
        <v>111</v>
      </c>
      <c r="K2554">
        <v>0</v>
      </c>
      <c r="L2554">
        <v>3</v>
      </c>
      <c r="M2554">
        <v>0</v>
      </c>
      <c r="N2554">
        <v>2</v>
      </c>
      <c r="O2554">
        <v>1</v>
      </c>
      <c r="P2554">
        <v>0</v>
      </c>
      <c r="Q2554">
        <v>0</v>
      </c>
      <c r="R2554" t="s">
        <v>112</v>
      </c>
      <c r="S2554" t="str">
        <f>"14:32:54.922"</f>
        <v>14:32:54.922</v>
      </c>
      <c r="T2554" t="str">
        <f>"14:32:54.523"</f>
        <v>14:32:54.523</v>
      </c>
      <c r="U2554" t="str">
        <f t="shared" si="117"/>
        <v>ad5732</v>
      </c>
      <c r="V2554">
        <v>0</v>
      </c>
      <c r="W2554">
        <v>0</v>
      </c>
      <c r="X2554">
        <v>1</v>
      </c>
      <c r="Z2554">
        <v>0</v>
      </c>
      <c r="AA2554">
        <v>9</v>
      </c>
      <c r="AB2554">
        <v>3</v>
      </c>
      <c r="AC2554">
        <v>0</v>
      </c>
      <c r="AD2554">
        <v>10</v>
      </c>
      <c r="AE2554">
        <v>0</v>
      </c>
      <c r="AF2554">
        <v>3</v>
      </c>
      <c r="AG2554">
        <v>2</v>
      </c>
      <c r="AH2554">
        <v>0</v>
      </c>
      <c r="AI2554" t="s">
        <v>5222</v>
      </c>
      <c r="AJ2554">
        <v>40.114967999999998</v>
      </c>
      <c r="AK2554" t="s">
        <v>5223</v>
      </c>
      <c r="AL2554">
        <v>-75.395028999999994</v>
      </c>
      <c r="AM2554">
        <v>100</v>
      </c>
      <c r="AN2554">
        <v>4700</v>
      </c>
      <c r="AO2554" t="s">
        <v>115</v>
      </c>
      <c r="AP2554">
        <v>132</v>
      </c>
      <c r="AQ2554">
        <v>127</v>
      </c>
      <c r="AR2554">
        <v>0</v>
      </c>
      <c r="AZ2554">
        <v>3614</v>
      </c>
      <c r="BA2554">
        <v>1</v>
      </c>
      <c r="BB2554" t="str">
        <f t="shared" si="119"/>
        <v xml:space="preserve">N959MJ  </v>
      </c>
      <c r="BC2554">
        <v>1</v>
      </c>
      <c r="BE2554">
        <v>0</v>
      </c>
      <c r="BF2554">
        <v>0</v>
      </c>
      <c r="BG2554">
        <v>0</v>
      </c>
      <c r="BH2554">
        <v>4900</v>
      </c>
      <c r="BI2554">
        <v>200</v>
      </c>
      <c r="BJ2554">
        <v>1</v>
      </c>
      <c r="BK2554">
        <v>1</v>
      </c>
      <c r="BL2554">
        <v>1</v>
      </c>
      <c r="BM2554">
        <v>0</v>
      </c>
      <c r="BP2554">
        <v>0</v>
      </c>
      <c r="BQ2554">
        <v>0</v>
      </c>
      <c r="BX2554" t="str">
        <f>"14:32:54.922"</f>
        <v>14:32:54.922</v>
      </c>
      <c r="BY2554" t="str">
        <f>"924272417"</f>
        <v>924272417</v>
      </c>
      <c r="CL2554">
        <v>0</v>
      </c>
      <c r="CM2554">
        <v>2</v>
      </c>
      <c r="CN2554">
        <v>0</v>
      </c>
      <c r="CO2554">
        <v>2</v>
      </c>
      <c r="CP2554">
        <v>0</v>
      </c>
      <c r="CQ2554">
        <v>7</v>
      </c>
      <c r="CR2554" t="s">
        <v>116</v>
      </c>
      <c r="CS2554">
        <v>39</v>
      </c>
      <c r="CT2554">
        <v>0</v>
      </c>
      <c r="CU2554" t="s">
        <v>2259</v>
      </c>
      <c r="CV2554" t="s">
        <v>2260</v>
      </c>
      <c r="CY2554">
        <v>2050876</v>
      </c>
      <c r="CZ2554" t="s">
        <v>119</v>
      </c>
    </row>
    <row r="2555" spans="1:104" x14ac:dyDescent="0.25">
      <c r="A2555" t="str">
        <f>"14:32:56.039"</f>
        <v>14:32:56.039</v>
      </c>
      <c r="B2555" t="s">
        <v>108</v>
      </c>
      <c r="C2555" t="str">
        <f t="shared" si="118"/>
        <v>ffdfd3c0</v>
      </c>
      <c r="D2555" t="s">
        <v>109</v>
      </c>
      <c r="E2555">
        <v>4</v>
      </c>
      <c r="F2555">
        <v>1004</v>
      </c>
      <c r="G2555" t="s">
        <v>110</v>
      </c>
      <c r="J2555" t="s">
        <v>111</v>
      </c>
      <c r="K2555">
        <v>0</v>
      </c>
      <c r="L2555">
        <v>3</v>
      </c>
      <c r="M2555">
        <v>0</v>
      </c>
      <c r="N2555">
        <v>2</v>
      </c>
      <c r="O2555">
        <v>1</v>
      </c>
      <c r="P2555">
        <v>0</v>
      </c>
      <c r="Q2555">
        <v>0</v>
      </c>
      <c r="R2555" t="s">
        <v>112</v>
      </c>
      <c r="S2555" t="str">
        <f>"14:32:55.852"</f>
        <v>14:32:55.852</v>
      </c>
      <c r="T2555" t="str">
        <f>"14:32:55.453"</f>
        <v>14:32:55.453</v>
      </c>
      <c r="U2555" t="str">
        <f t="shared" si="117"/>
        <v>ad5732</v>
      </c>
      <c r="V2555">
        <v>0</v>
      </c>
      <c r="W2555">
        <v>0</v>
      </c>
      <c r="X2555">
        <v>1</v>
      </c>
      <c r="Z2555">
        <v>0</v>
      </c>
      <c r="AA2555">
        <v>9</v>
      </c>
      <c r="AB2555">
        <v>3</v>
      </c>
      <c r="AC2555">
        <v>0</v>
      </c>
      <c r="AD2555">
        <v>10</v>
      </c>
      <c r="AE2555">
        <v>0</v>
      </c>
      <c r="AF2555">
        <v>3</v>
      </c>
      <c r="AG2555">
        <v>2</v>
      </c>
      <c r="AH2555">
        <v>0</v>
      </c>
      <c r="AI2555" t="s">
        <v>5224</v>
      </c>
      <c r="AJ2555">
        <v>40.115504000000001</v>
      </c>
      <c r="AK2555" t="s">
        <v>5225</v>
      </c>
      <c r="AL2555">
        <v>-75.394299000000004</v>
      </c>
      <c r="AM2555">
        <v>100</v>
      </c>
      <c r="AN2555">
        <v>4700</v>
      </c>
      <c r="AO2555" t="s">
        <v>115</v>
      </c>
      <c r="AP2555">
        <v>132</v>
      </c>
      <c r="AQ2555">
        <v>127</v>
      </c>
      <c r="AR2555">
        <v>0</v>
      </c>
      <c r="AZ2555">
        <v>3614</v>
      </c>
      <c r="BA2555">
        <v>1</v>
      </c>
      <c r="BB2555" t="str">
        <f t="shared" si="119"/>
        <v xml:space="preserve">N959MJ  </v>
      </c>
      <c r="BC2555">
        <v>1</v>
      </c>
      <c r="BE2555">
        <v>0</v>
      </c>
      <c r="BF2555">
        <v>0</v>
      </c>
      <c r="BG2555">
        <v>0</v>
      </c>
      <c r="BH2555">
        <v>4900</v>
      </c>
      <c r="BI2555">
        <v>200</v>
      </c>
      <c r="BJ2555">
        <v>1</v>
      </c>
      <c r="BK2555">
        <v>1</v>
      </c>
      <c r="BL2555">
        <v>1</v>
      </c>
      <c r="BM2555">
        <v>0</v>
      </c>
      <c r="BP2555">
        <v>0</v>
      </c>
      <c r="BQ2555">
        <v>0</v>
      </c>
      <c r="BX2555" t="str">
        <f>"14:32:55.859"</f>
        <v>14:32:55.859</v>
      </c>
      <c r="BY2555" t="str">
        <f>"858176875"</f>
        <v>858176875</v>
      </c>
      <c r="CL2555">
        <v>0</v>
      </c>
      <c r="CM2555">
        <v>2</v>
      </c>
      <c r="CN2555">
        <v>0</v>
      </c>
      <c r="CO2555">
        <v>2</v>
      </c>
      <c r="CP2555">
        <v>0</v>
      </c>
      <c r="CQ2555">
        <v>7</v>
      </c>
      <c r="CR2555" t="s">
        <v>116</v>
      </c>
      <c r="CS2555">
        <v>39</v>
      </c>
      <c r="CT2555">
        <v>0</v>
      </c>
      <c r="CU2555" t="s">
        <v>2259</v>
      </c>
      <c r="CV2555" t="s">
        <v>2260</v>
      </c>
      <c r="CY2555">
        <v>2052311</v>
      </c>
      <c r="CZ2555" t="s">
        <v>119</v>
      </c>
    </row>
    <row r="2556" spans="1:104" x14ac:dyDescent="0.25">
      <c r="A2556" t="str">
        <f>"14:32:56.898"</f>
        <v>14:32:56.898</v>
      </c>
      <c r="B2556" t="s">
        <v>108</v>
      </c>
      <c r="C2556" t="str">
        <f t="shared" si="118"/>
        <v>ffdfd3c0</v>
      </c>
      <c r="D2556" t="s">
        <v>109</v>
      </c>
      <c r="E2556">
        <v>4</v>
      </c>
      <c r="F2556">
        <v>1004</v>
      </c>
      <c r="G2556" t="s">
        <v>110</v>
      </c>
      <c r="J2556" t="s">
        <v>111</v>
      </c>
      <c r="K2556">
        <v>0</v>
      </c>
      <c r="L2556">
        <v>3</v>
      </c>
      <c r="M2556">
        <v>0</v>
      </c>
      <c r="N2556">
        <v>2</v>
      </c>
      <c r="O2556">
        <v>1</v>
      </c>
      <c r="P2556">
        <v>0</v>
      </c>
      <c r="Q2556">
        <v>0</v>
      </c>
      <c r="R2556" t="s">
        <v>112</v>
      </c>
      <c r="S2556" t="str">
        <f>"14:32:56.727"</f>
        <v>14:32:56.727</v>
      </c>
      <c r="T2556" t="str">
        <f>"14:32:56.328"</f>
        <v>14:32:56.328</v>
      </c>
      <c r="U2556" t="str">
        <f t="shared" si="117"/>
        <v>ad5732</v>
      </c>
      <c r="V2556">
        <v>0</v>
      </c>
      <c r="W2556">
        <v>0</v>
      </c>
      <c r="X2556">
        <v>1</v>
      </c>
      <c r="Z2556">
        <v>0</v>
      </c>
      <c r="AA2556">
        <v>9</v>
      </c>
      <c r="AB2556">
        <v>3</v>
      </c>
      <c r="AC2556">
        <v>0</v>
      </c>
      <c r="AD2556">
        <v>10</v>
      </c>
      <c r="AE2556">
        <v>0</v>
      </c>
      <c r="AF2556">
        <v>3</v>
      </c>
      <c r="AG2556">
        <v>2</v>
      </c>
      <c r="AH2556">
        <v>0</v>
      </c>
      <c r="AI2556" t="s">
        <v>5226</v>
      </c>
      <c r="AJ2556">
        <v>40.116019000000001</v>
      </c>
      <c r="AK2556" t="s">
        <v>5227</v>
      </c>
      <c r="AL2556">
        <v>-75.393547999999996</v>
      </c>
      <c r="AM2556">
        <v>100</v>
      </c>
      <c r="AN2556">
        <v>4700</v>
      </c>
      <c r="AO2556" t="s">
        <v>115</v>
      </c>
      <c r="AP2556">
        <v>132</v>
      </c>
      <c r="AQ2556">
        <v>127</v>
      </c>
      <c r="AR2556">
        <v>0</v>
      </c>
      <c r="AZ2556">
        <v>3614</v>
      </c>
      <c r="BA2556">
        <v>1</v>
      </c>
      <c r="BB2556" t="str">
        <f t="shared" si="119"/>
        <v xml:space="preserve">N959MJ  </v>
      </c>
      <c r="BC2556">
        <v>1</v>
      </c>
      <c r="BE2556">
        <v>0</v>
      </c>
      <c r="BF2556">
        <v>0</v>
      </c>
      <c r="BG2556">
        <v>0</v>
      </c>
      <c r="BH2556">
        <v>4900</v>
      </c>
      <c r="BI2556">
        <v>200</v>
      </c>
      <c r="BJ2556">
        <v>1</v>
      </c>
      <c r="BK2556">
        <v>1</v>
      </c>
      <c r="BL2556">
        <v>1</v>
      </c>
      <c r="BM2556">
        <v>0</v>
      </c>
      <c r="BP2556">
        <v>0</v>
      </c>
      <c r="BQ2556">
        <v>0</v>
      </c>
      <c r="BX2556" t="str">
        <f>"14:32:56.727"</f>
        <v>14:32:56.727</v>
      </c>
      <c r="BY2556" t="str">
        <f>"728182855"</f>
        <v>728182855</v>
      </c>
      <c r="CL2556">
        <v>0</v>
      </c>
      <c r="CM2556">
        <v>2</v>
      </c>
      <c r="CN2556">
        <v>0</v>
      </c>
      <c r="CO2556">
        <v>2</v>
      </c>
      <c r="CP2556">
        <v>0</v>
      </c>
      <c r="CQ2556">
        <v>7</v>
      </c>
      <c r="CR2556" t="s">
        <v>116</v>
      </c>
      <c r="CS2556">
        <v>39</v>
      </c>
      <c r="CT2556">
        <v>0</v>
      </c>
      <c r="CU2556" t="s">
        <v>2259</v>
      </c>
      <c r="CV2556" t="s">
        <v>2260</v>
      </c>
      <c r="CY2556">
        <v>2053632</v>
      </c>
      <c r="CZ2556" t="s">
        <v>119</v>
      </c>
    </row>
    <row r="2557" spans="1:104" x14ac:dyDescent="0.25">
      <c r="A2557" t="str">
        <f>"14:32:57.711"</f>
        <v>14:32:57.711</v>
      </c>
      <c r="B2557" t="s">
        <v>108</v>
      </c>
      <c r="C2557" t="str">
        <f t="shared" si="118"/>
        <v>ffdfd3c0</v>
      </c>
      <c r="D2557" t="s">
        <v>109</v>
      </c>
      <c r="E2557">
        <v>4</v>
      </c>
      <c r="F2557">
        <v>1004</v>
      </c>
      <c r="G2557" t="s">
        <v>110</v>
      </c>
      <c r="J2557" t="s">
        <v>111</v>
      </c>
      <c r="K2557">
        <v>0</v>
      </c>
      <c r="L2557">
        <v>3</v>
      </c>
      <c r="M2557">
        <v>0</v>
      </c>
      <c r="N2557">
        <v>2</v>
      </c>
      <c r="O2557">
        <v>1</v>
      </c>
      <c r="P2557">
        <v>0</v>
      </c>
      <c r="Q2557">
        <v>0</v>
      </c>
      <c r="R2557" t="s">
        <v>112</v>
      </c>
      <c r="S2557" t="str">
        <f>"14:32:57.539"</f>
        <v>14:32:57.539</v>
      </c>
      <c r="T2557" t="str">
        <f>"14:32:57.141"</f>
        <v>14:32:57.141</v>
      </c>
      <c r="U2557" t="str">
        <f t="shared" si="117"/>
        <v>ad5732</v>
      </c>
      <c r="V2557">
        <v>0</v>
      </c>
      <c r="W2557">
        <v>0</v>
      </c>
      <c r="X2557">
        <v>1</v>
      </c>
      <c r="Z2557">
        <v>0</v>
      </c>
      <c r="AA2557">
        <v>9</v>
      </c>
      <c r="AB2557">
        <v>3</v>
      </c>
      <c r="AC2557">
        <v>0</v>
      </c>
      <c r="AD2557">
        <v>10</v>
      </c>
      <c r="AE2557">
        <v>0</v>
      </c>
      <c r="AF2557">
        <v>3</v>
      </c>
      <c r="AG2557">
        <v>2</v>
      </c>
      <c r="AH2557">
        <v>0</v>
      </c>
      <c r="AI2557" t="s">
        <v>5228</v>
      </c>
      <c r="AJ2557">
        <v>40.116491000000003</v>
      </c>
      <c r="AK2557" t="s">
        <v>5229</v>
      </c>
      <c r="AL2557">
        <v>-75.392947000000007</v>
      </c>
      <c r="AM2557">
        <v>100</v>
      </c>
      <c r="AN2557">
        <v>4700</v>
      </c>
      <c r="AO2557" t="s">
        <v>115</v>
      </c>
      <c r="AP2557">
        <v>132</v>
      </c>
      <c r="AQ2557">
        <v>127</v>
      </c>
      <c r="AR2557">
        <v>-64</v>
      </c>
      <c r="AZ2557">
        <v>3614</v>
      </c>
      <c r="BA2557">
        <v>1</v>
      </c>
      <c r="BB2557" t="str">
        <f t="shared" si="119"/>
        <v xml:space="preserve">N959MJ  </v>
      </c>
      <c r="BC2557">
        <v>1</v>
      </c>
      <c r="BE2557">
        <v>0</v>
      </c>
      <c r="BF2557">
        <v>0</v>
      </c>
      <c r="BG2557">
        <v>0</v>
      </c>
      <c r="BH2557">
        <v>4900</v>
      </c>
      <c r="BI2557">
        <v>200</v>
      </c>
      <c r="BJ2557">
        <v>1</v>
      </c>
      <c r="BK2557">
        <v>1</v>
      </c>
      <c r="BL2557">
        <v>1</v>
      </c>
      <c r="BM2557">
        <v>0</v>
      </c>
      <c r="BP2557">
        <v>0</v>
      </c>
      <c r="BQ2557">
        <v>0</v>
      </c>
      <c r="BX2557" t="str">
        <f>"14:32:57.539"</f>
        <v>14:32:57.539</v>
      </c>
      <c r="BY2557" t="str">
        <f>"539204905"</f>
        <v>539204905</v>
      </c>
      <c r="CL2557">
        <v>0</v>
      </c>
      <c r="CM2557">
        <v>2</v>
      </c>
      <c r="CN2557">
        <v>0</v>
      </c>
      <c r="CO2557">
        <v>2</v>
      </c>
      <c r="CP2557">
        <v>0</v>
      </c>
      <c r="CQ2557">
        <v>7</v>
      </c>
      <c r="CR2557" t="s">
        <v>116</v>
      </c>
      <c r="CS2557">
        <v>39</v>
      </c>
      <c r="CT2557">
        <v>0</v>
      </c>
      <c r="CU2557" t="s">
        <v>2259</v>
      </c>
      <c r="CV2557" t="s">
        <v>2260</v>
      </c>
      <c r="CY2557">
        <v>2054905</v>
      </c>
      <c r="CZ2557" t="s">
        <v>119</v>
      </c>
    </row>
    <row r="2558" spans="1:104" x14ac:dyDescent="0.25">
      <c r="A2558" t="str">
        <f>"14:32:58.773"</f>
        <v>14:32:58.773</v>
      </c>
      <c r="B2558" t="s">
        <v>108</v>
      </c>
      <c r="C2558" t="str">
        <f t="shared" si="118"/>
        <v>ffdfd3c0</v>
      </c>
      <c r="D2558" t="s">
        <v>109</v>
      </c>
      <c r="E2558">
        <v>4</v>
      </c>
      <c r="F2558">
        <v>1004</v>
      </c>
      <c r="G2558" t="s">
        <v>110</v>
      </c>
      <c r="J2558" t="s">
        <v>111</v>
      </c>
      <c r="K2558">
        <v>0</v>
      </c>
      <c r="L2558">
        <v>3</v>
      </c>
      <c r="M2558">
        <v>0</v>
      </c>
      <c r="N2558">
        <v>2</v>
      </c>
      <c r="O2558">
        <v>1</v>
      </c>
      <c r="P2558">
        <v>0</v>
      </c>
      <c r="Q2558">
        <v>0</v>
      </c>
      <c r="R2558" t="s">
        <v>112</v>
      </c>
      <c r="S2558" t="str">
        <f>"14:32:58.609"</f>
        <v>14:32:58.609</v>
      </c>
      <c r="T2558" t="str">
        <f>"14:32:58.109"</f>
        <v>14:32:58.109</v>
      </c>
      <c r="U2558" t="str">
        <f t="shared" si="117"/>
        <v>ad5732</v>
      </c>
      <c r="V2558">
        <v>0</v>
      </c>
      <c r="W2558">
        <v>0</v>
      </c>
      <c r="X2558">
        <v>1</v>
      </c>
      <c r="Z2558">
        <v>0</v>
      </c>
      <c r="AA2558">
        <v>9</v>
      </c>
      <c r="AB2558">
        <v>3</v>
      </c>
      <c r="AC2558">
        <v>0</v>
      </c>
      <c r="AD2558">
        <v>10</v>
      </c>
      <c r="AE2558">
        <v>0</v>
      </c>
      <c r="AF2558">
        <v>3</v>
      </c>
      <c r="AG2558">
        <v>2</v>
      </c>
      <c r="AH2558">
        <v>0</v>
      </c>
      <c r="AI2558" t="s">
        <v>5230</v>
      </c>
      <c r="AJ2558">
        <v>40.117134999999998</v>
      </c>
      <c r="AK2558" t="s">
        <v>5231</v>
      </c>
      <c r="AL2558">
        <v>-75.392045999999993</v>
      </c>
      <c r="AM2558">
        <v>100</v>
      </c>
      <c r="AN2558">
        <v>4700</v>
      </c>
      <c r="AO2558" t="s">
        <v>115</v>
      </c>
      <c r="AP2558">
        <v>132</v>
      </c>
      <c r="AQ2558">
        <v>127</v>
      </c>
      <c r="AR2558">
        <v>-64</v>
      </c>
      <c r="AZ2558">
        <v>3614</v>
      </c>
      <c r="BA2558">
        <v>1</v>
      </c>
      <c r="BB2558" t="str">
        <f t="shared" si="119"/>
        <v xml:space="preserve">N959MJ  </v>
      </c>
      <c r="BC2558">
        <v>1</v>
      </c>
      <c r="BE2558">
        <v>0</v>
      </c>
      <c r="BF2558">
        <v>0</v>
      </c>
      <c r="BG2558">
        <v>0</v>
      </c>
      <c r="BH2558">
        <v>4900</v>
      </c>
      <c r="BI2558">
        <v>200</v>
      </c>
      <c r="BJ2558">
        <v>1</v>
      </c>
      <c r="BK2558">
        <v>1</v>
      </c>
      <c r="BL2558">
        <v>1</v>
      </c>
      <c r="BM2558">
        <v>0</v>
      </c>
      <c r="BP2558">
        <v>0</v>
      </c>
      <c r="BQ2558">
        <v>0</v>
      </c>
      <c r="BX2558" t="str">
        <f>"14:32:58.609"</f>
        <v>14:32:58.609</v>
      </c>
      <c r="BY2558" t="str">
        <f>"610737382"</f>
        <v>610737382</v>
      </c>
      <c r="CL2558">
        <v>0</v>
      </c>
      <c r="CM2558">
        <v>2</v>
      </c>
      <c r="CN2558">
        <v>0</v>
      </c>
      <c r="CO2558">
        <v>2</v>
      </c>
      <c r="CP2558">
        <v>0</v>
      </c>
      <c r="CQ2558">
        <v>7</v>
      </c>
      <c r="CR2558" t="s">
        <v>116</v>
      </c>
      <c r="CS2558">
        <v>39</v>
      </c>
      <c r="CT2558">
        <v>0</v>
      </c>
      <c r="CU2558" t="s">
        <v>2259</v>
      </c>
      <c r="CV2558" t="s">
        <v>2260</v>
      </c>
      <c r="CY2558">
        <v>2056625</v>
      </c>
      <c r="CZ2558" t="s">
        <v>119</v>
      </c>
    </row>
    <row r="2559" spans="1:104" x14ac:dyDescent="0.25">
      <c r="A2559" t="str">
        <f>"14:32:59.781"</f>
        <v>14:32:59.781</v>
      </c>
      <c r="B2559" t="s">
        <v>108</v>
      </c>
      <c r="C2559" t="str">
        <f t="shared" si="118"/>
        <v>ffdfd3c0</v>
      </c>
      <c r="D2559" t="s">
        <v>109</v>
      </c>
      <c r="E2559">
        <v>4</v>
      </c>
      <c r="F2559">
        <v>1004</v>
      </c>
      <c r="G2559" t="s">
        <v>110</v>
      </c>
      <c r="J2559" t="s">
        <v>111</v>
      </c>
      <c r="K2559">
        <v>0</v>
      </c>
      <c r="L2559">
        <v>3</v>
      </c>
      <c r="M2559">
        <v>0</v>
      </c>
      <c r="N2559">
        <v>2</v>
      </c>
      <c r="O2559">
        <v>1</v>
      </c>
      <c r="P2559">
        <v>0</v>
      </c>
      <c r="Q2559">
        <v>0</v>
      </c>
      <c r="R2559" t="s">
        <v>112</v>
      </c>
      <c r="S2559" t="str">
        <f>"14:32:59.609"</f>
        <v>14:32:59.609</v>
      </c>
      <c r="T2559" t="str">
        <f>"14:32:59.109"</f>
        <v>14:32:59.109</v>
      </c>
      <c r="U2559" t="str">
        <f t="shared" si="117"/>
        <v>ad5732</v>
      </c>
      <c r="V2559">
        <v>0</v>
      </c>
      <c r="W2559">
        <v>0</v>
      </c>
      <c r="X2559">
        <v>1</v>
      </c>
      <c r="Z2559">
        <v>0</v>
      </c>
      <c r="AA2559">
        <v>9</v>
      </c>
      <c r="AB2559">
        <v>3</v>
      </c>
      <c r="AC2559">
        <v>0</v>
      </c>
      <c r="AD2559">
        <v>10</v>
      </c>
      <c r="AE2559">
        <v>0</v>
      </c>
      <c r="AF2559">
        <v>3</v>
      </c>
      <c r="AG2559">
        <v>2</v>
      </c>
      <c r="AH2559">
        <v>0</v>
      </c>
      <c r="AI2559" t="s">
        <v>5232</v>
      </c>
      <c r="AJ2559">
        <v>40.117736000000001</v>
      </c>
      <c r="AK2559" t="s">
        <v>5233</v>
      </c>
      <c r="AL2559">
        <v>-75.391251999999994</v>
      </c>
      <c r="AM2559">
        <v>100</v>
      </c>
      <c r="AN2559">
        <v>4700</v>
      </c>
      <c r="AO2559" t="s">
        <v>115</v>
      </c>
      <c r="AP2559">
        <v>132</v>
      </c>
      <c r="AQ2559">
        <v>127</v>
      </c>
      <c r="AR2559">
        <v>-128</v>
      </c>
      <c r="AZ2559">
        <v>3614</v>
      </c>
      <c r="BA2559">
        <v>1</v>
      </c>
      <c r="BB2559" t="str">
        <f t="shared" si="119"/>
        <v xml:space="preserve">N959MJ  </v>
      </c>
      <c r="BC2559">
        <v>1</v>
      </c>
      <c r="BE2559">
        <v>0</v>
      </c>
      <c r="BF2559">
        <v>0</v>
      </c>
      <c r="BG2559">
        <v>0</v>
      </c>
      <c r="BH2559">
        <v>4900</v>
      </c>
      <c r="BI2559">
        <v>200</v>
      </c>
      <c r="BJ2559">
        <v>1</v>
      </c>
      <c r="BK2559">
        <v>1</v>
      </c>
      <c r="BL2559">
        <v>1</v>
      </c>
      <c r="BM2559">
        <v>0</v>
      </c>
      <c r="BP2559">
        <v>0</v>
      </c>
      <c r="BQ2559">
        <v>0</v>
      </c>
      <c r="BX2559" t="str">
        <f>"14:32:59.617"</f>
        <v>14:32:59.617</v>
      </c>
      <c r="BY2559" t="str">
        <f>"616732706"</f>
        <v>616732706</v>
      </c>
      <c r="CL2559">
        <v>0</v>
      </c>
      <c r="CM2559">
        <v>2</v>
      </c>
      <c r="CN2559">
        <v>0</v>
      </c>
      <c r="CO2559">
        <v>2</v>
      </c>
      <c r="CP2559">
        <v>0</v>
      </c>
      <c r="CQ2559">
        <v>7</v>
      </c>
      <c r="CR2559" t="s">
        <v>116</v>
      </c>
      <c r="CS2559">
        <v>39</v>
      </c>
      <c r="CT2559">
        <v>0</v>
      </c>
      <c r="CU2559" t="s">
        <v>2259</v>
      </c>
      <c r="CV2559" t="s">
        <v>2260</v>
      </c>
      <c r="CY2559">
        <v>2058297</v>
      </c>
      <c r="CZ2559" t="s">
        <v>119</v>
      </c>
    </row>
    <row r="2560" spans="1:104" x14ac:dyDescent="0.25">
      <c r="A2560" t="str">
        <f>"14:33:00.688"</f>
        <v>14:33:00.688</v>
      </c>
      <c r="B2560" t="s">
        <v>108</v>
      </c>
      <c r="C2560" t="str">
        <f t="shared" si="118"/>
        <v>ffdfd3c0</v>
      </c>
      <c r="D2560" t="s">
        <v>109</v>
      </c>
      <c r="E2560">
        <v>4</v>
      </c>
      <c r="F2560">
        <v>1004</v>
      </c>
      <c r="G2560" t="s">
        <v>110</v>
      </c>
      <c r="J2560" t="s">
        <v>111</v>
      </c>
      <c r="K2560">
        <v>0</v>
      </c>
      <c r="L2560">
        <v>3</v>
      </c>
      <c r="M2560">
        <v>0</v>
      </c>
      <c r="N2560">
        <v>2</v>
      </c>
      <c r="O2560">
        <v>1</v>
      </c>
      <c r="P2560">
        <v>0</v>
      </c>
      <c r="Q2560">
        <v>0</v>
      </c>
      <c r="R2560" t="s">
        <v>112</v>
      </c>
      <c r="S2560" t="str">
        <f>"14:33:00.516"</f>
        <v>14:33:00.516</v>
      </c>
      <c r="T2560" t="str">
        <f>"14:33:00.117"</f>
        <v>14:33:00.117</v>
      </c>
      <c r="U2560" t="str">
        <f t="shared" si="117"/>
        <v>ad5732</v>
      </c>
      <c r="V2560">
        <v>0</v>
      </c>
      <c r="W2560">
        <v>0</v>
      </c>
      <c r="X2560">
        <v>1</v>
      </c>
      <c r="Z2560">
        <v>0</v>
      </c>
      <c r="AA2560">
        <v>9</v>
      </c>
      <c r="AB2560">
        <v>3</v>
      </c>
      <c r="AC2560">
        <v>0</v>
      </c>
      <c r="AD2560">
        <v>10</v>
      </c>
      <c r="AE2560">
        <v>0</v>
      </c>
      <c r="AF2560">
        <v>3</v>
      </c>
      <c r="AG2560">
        <v>2</v>
      </c>
      <c r="AH2560">
        <v>0</v>
      </c>
      <c r="AI2560" t="s">
        <v>5234</v>
      </c>
      <c r="AJ2560">
        <v>40.118271999999997</v>
      </c>
      <c r="AK2560" t="s">
        <v>5235</v>
      </c>
      <c r="AL2560">
        <v>-75.390564999999995</v>
      </c>
      <c r="AM2560">
        <v>100</v>
      </c>
      <c r="AN2560">
        <v>4700</v>
      </c>
      <c r="AO2560" t="s">
        <v>115</v>
      </c>
      <c r="AP2560">
        <v>132</v>
      </c>
      <c r="AQ2560">
        <v>127</v>
      </c>
      <c r="AR2560">
        <v>-192</v>
      </c>
      <c r="AZ2560">
        <v>3614</v>
      </c>
      <c r="BA2560">
        <v>1</v>
      </c>
      <c r="BB2560" t="str">
        <f t="shared" si="119"/>
        <v xml:space="preserve">N959MJ  </v>
      </c>
      <c r="BC2560">
        <v>1</v>
      </c>
      <c r="BE2560">
        <v>0</v>
      </c>
      <c r="BF2560">
        <v>0</v>
      </c>
      <c r="BG2560">
        <v>0</v>
      </c>
      <c r="BH2560">
        <v>4900</v>
      </c>
      <c r="BI2560">
        <v>200</v>
      </c>
      <c r="BJ2560">
        <v>1</v>
      </c>
      <c r="BK2560">
        <v>1</v>
      </c>
      <c r="BL2560">
        <v>1</v>
      </c>
      <c r="BM2560">
        <v>0</v>
      </c>
      <c r="BP2560">
        <v>0</v>
      </c>
      <c r="BQ2560">
        <v>0</v>
      </c>
      <c r="BX2560" t="str">
        <f>"14:33:00.516"</f>
        <v>14:33:00.516</v>
      </c>
      <c r="BY2560" t="str">
        <f>"519507064"</f>
        <v>519507064</v>
      </c>
      <c r="CL2560">
        <v>0</v>
      </c>
      <c r="CM2560">
        <v>2</v>
      </c>
      <c r="CN2560">
        <v>0</v>
      </c>
      <c r="CO2560">
        <v>2</v>
      </c>
      <c r="CP2560">
        <v>0</v>
      </c>
      <c r="CQ2560">
        <v>7</v>
      </c>
      <c r="CR2560" t="s">
        <v>116</v>
      </c>
      <c r="CS2560">
        <v>39</v>
      </c>
      <c r="CT2560">
        <v>0</v>
      </c>
      <c r="CU2560" t="s">
        <v>2259</v>
      </c>
      <c r="CV2560" t="s">
        <v>2260</v>
      </c>
      <c r="CY2560">
        <v>2059684</v>
      </c>
      <c r="CZ2560" t="s">
        <v>119</v>
      </c>
    </row>
    <row r="2561" spans="1:104" x14ac:dyDescent="0.25">
      <c r="A2561" t="str">
        <f>"14:33:01.648"</f>
        <v>14:33:01.648</v>
      </c>
      <c r="B2561" t="s">
        <v>108</v>
      </c>
      <c r="C2561" t="str">
        <f t="shared" si="118"/>
        <v>ffdfd3c0</v>
      </c>
      <c r="D2561" t="s">
        <v>109</v>
      </c>
      <c r="E2561">
        <v>4</v>
      </c>
      <c r="F2561">
        <v>1004</v>
      </c>
      <c r="G2561" t="s">
        <v>110</v>
      </c>
      <c r="J2561" t="s">
        <v>111</v>
      </c>
      <c r="K2561">
        <v>0</v>
      </c>
      <c r="L2561">
        <v>3</v>
      </c>
      <c r="M2561">
        <v>0</v>
      </c>
      <c r="N2561">
        <v>2</v>
      </c>
      <c r="O2561">
        <v>1</v>
      </c>
      <c r="P2561">
        <v>0</v>
      </c>
      <c r="Q2561">
        <v>0</v>
      </c>
      <c r="R2561" t="s">
        <v>112</v>
      </c>
      <c r="S2561" t="str">
        <f>"14:33:01.477"</f>
        <v>14:33:01.477</v>
      </c>
      <c r="T2561" t="str">
        <f>"14:33:01.078"</f>
        <v>14:33:01.078</v>
      </c>
      <c r="U2561" t="str">
        <f t="shared" si="117"/>
        <v>ad5732</v>
      </c>
      <c r="V2561">
        <v>0</v>
      </c>
      <c r="W2561">
        <v>0</v>
      </c>
      <c r="X2561">
        <v>1</v>
      </c>
      <c r="Z2561">
        <v>0</v>
      </c>
      <c r="AA2561">
        <v>9</v>
      </c>
      <c r="AB2561">
        <v>3</v>
      </c>
      <c r="AC2561">
        <v>0</v>
      </c>
      <c r="AD2561">
        <v>10</v>
      </c>
      <c r="AE2561">
        <v>0</v>
      </c>
      <c r="AF2561">
        <v>3</v>
      </c>
      <c r="AG2561">
        <v>2</v>
      </c>
      <c r="AH2561">
        <v>0</v>
      </c>
      <c r="AI2561" t="s">
        <v>5236</v>
      </c>
      <c r="AJ2561">
        <v>40.118766000000001</v>
      </c>
      <c r="AK2561" t="s">
        <v>5237</v>
      </c>
      <c r="AL2561">
        <v>-75.389814000000001</v>
      </c>
      <c r="AM2561">
        <v>100</v>
      </c>
      <c r="AN2561">
        <v>4700</v>
      </c>
      <c r="AO2561" t="s">
        <v>115</v>
      </c>
      <c r="AP2561">
        <v>133</v>
      </c>
      <c r="AQ2561">
        <v>127</v>
      </c>
      <c r="AR2561">
        <v>-192</v>
      </c>
      <c r="AZ2561">
        <v>3614</v>
      </c>
      <c r="BA2561">
        <v>1</v>
      </c>
      <c r="BB2561" t="str">
        <f t="shared" si="119"/>
        <v xml:space="preserve">N959MJ  </v>
      </c>
      <c r="BC2561">
        <v>1</v>
      </c>
      <c r="BE2561">
        <v>0</v>
      </c>
      <c r="BF2561">
        <v>0</v>
      </c>
      <c r="BG2561">
        <v>0</v>
      </c>
      <c r="BH2561">
        <v>4875</v>
      </c>
      <c r="BI2561">
        <v>175</v>
      </c>
      <c r="BJ2561">
        <v>1</v>
      </c>
      <c r="BK2561">
        <v>1</v>
      </c>
      <c r="BL2561">
        <v>1</v>
      </c>
      <c r="BM2561">
        <v>0</v>
      </c>
      <c r="BP2561">
        <v>0</v>
      </c>
      <c r="BQ2561">
        <v>0</v>
      </c>
      <c r="BX2561" t="str">
        <f>"14:33:01.477"</f>
        <v>14:33:01.477</v>
      </c>
      <c r="BY2561" t="str">
        <f>"479626339"</f>
        <v>479626339</v>
      </c>
      <c r="CL2561">
        <v>0</v>
      </c>
      <c r="CM2561">
        <v>2</v>
      </c>
      <c r="CN2561">
        <v>0</v>
      </c>
      <c r="CO2561">
        <v>2</v>
      </c>
      <c r="CP2561">
        <v>0</v>
      </c>
      <c r="CQ2561">
        <v>7</v>
      </c>
      <c r="CR2561" t="s">
        <v>116</v>
      </c>
      <c r="CS2561">
        <v>39</v>
      </c>
      <c r="CT2561">
        <v>0</v>
      </c>
      <c r="CU2561" t="s">
        <v>2259</v>
      </c>
      <c r="CV2561" t="s">
        <v>2260</v>
      </c>
      <c r="CY2561">
        <v>2061184</v>
      </c>
      <c r="CZ2561" t="s">
        <v>119</v>
      </c>
    </row>
    <row r="2562" spans="1:104" x14ac:dyDescent="0.25">
      <c r="A2562" t="str">
        <f>"14:33:02.656"</f>
        <v>14:33:02.656</v>
      </c>
      <c r="B2562" t="s">
        <v>108</v>
      </c>
      <c r="C2562" t="str">
        <f t="shared" si="118"/>
        <v>ffdfd3c0</v>
      </c>
      <c r="D2562" t="s">
        <v>109</v>
      </c>
      <c r="E2562">
        <v>4</v>
      </c>
      <c r="F2562">
        <v>1004</v>
      </c>
      <c r="G2562" t="s">
        <v>110</v>
      </c>
      <c r="J2562" t="s">
        <v>111</v>
      </c>
      <c r="K2562">
        <v>0</v>
      </c>
      <c r="L2562">
        <v>3</v>
      </c>
      <c r="M2562">
        <v>0</v>
      </c>
      <c r="N2562">
        <v>2</v>
      </c>
      <c r="O2562">
        <v>1</v>
      </c>
      <c r="P2562">
        <v>0</v>
      </c>
      <c r="Q2562">
        <v>0</v>
      </c>
      <c r="R2562" t="s">
        <v>112</v>
      </c>
      <c r="S2562" t="str">
        <f>"14:33:02.477"</f>
        <v>14:33:02.477</v>
      </c>
      <c r="T2562" t="str">
        <f>"14:33:01.977"</f>
        <v>14:33:01.977</v>
      </c>
      <c r="U2562" t="str">
        <f t="shared" ref="U2562:U2625" si="120">"ad5732"</f>
        <v>ad5732</v>
      </c>
      <c r="V2562">
        <v>0</v>
      </c>
      <c r="W2562">
        <v>0</v>
      </c>
      <c r="X2562">
        <v>1</v>
      </c>
      <c r="Z2562">
        <v>0</v>
      </c>
      <c r="AA2562">
        <v>9</v>
      </c>
      <c r="AB2562">
        <v>3</v>
      </c>
      <c r="AC2562">
        <v>0</v>
      </c>
      <c r="AD2562">
        <v>10</v>
      </c>
      <c r="AE2562">
        <v>0</v>
      </c>
      <c r="AF2562">
        <v>3</v>
      </c>
      <c r="AG2562">
        <v>2</v>
      </c>
      <c r="AH2562">
        <v>0</v>
      </c>
      <c r="AI2562" t="s">
        <v>5238</v>
      </c>
      <c r="AJ2562">
        <v>40.119366999999997</v>
      </c>
      <c r="AK2562" t="s">
        <v>5239</v>
      </c>
      <c r="AL2562">
        <v>-75.388998999999998</v>
      </c>
      <c r="AM2562">
        <v>100</v>
      </c>
      <c r="AN2562">
        <v>4700</v>
      </c>
      <c r="AO2562" t="s">
        <v>115</v>
      </c>
      <c r="AP2562">
        <v>133</v>
      </c>
      <c r="AQ2562">
        <v>127</v>
      </c>
      <c r="AR2562">
        <v>-256</v>
      </c>
      <c r="AZ2562">
        <v>3614</v>
      </c>
      <c r="BA2562">
        <v>1</v>
      </c>
      <c r="BB2562" t="str">
        <f t="shared" si="119"/>
        <v xml:space="preserve">N959MJ  </v>
      </c>
      <c r="BC2562">
        <v>1</v>
      </c>
      <c r="BE2562">
        <v>0</v>
      </c>
      <c r="BF2562">
        <v>0</v>
      </c>
      <c r="BG2562">
        <v>0</v>
      </c>
      <c r="BH2562">
        <v>4875</v>
      </c>
      <c r="BI2562">
        <v>175</v>
      </c>
      <c r="BJ2562">
        <v>1</v>
      </c>
      <c r="BK2562">
        <v>1</v>
      </c>
      <c r="BL2562">
        <v>1</v>
      </c>
      <c r="BM2562">
        <v>0</v>
      </c>
      <c r="BP2562">
        <v>0</v>
      </c>
      <c r="BQ2562">
        <v>0</v>
      </c>
      <c r="BX2562" t="str">
        <f>"14:33:02.484"</f>
        <v>14:33:02.484</v>
      </c>
      <c r="BY2562" t="str">
        <f>"482344811"</f>
        <v>482344811</v>
      </c>
      <c r="CL2562">
        <v>0</v>
      </c>
      <c r="CM2562">
        <v>2</v>
      </c>
      <c r="CN2562">
        <v>0</v>
      </c>
      <c r="CO2562">
        <v>2</v>
      </c>
      <c r="CP2562">
        <v>0</v>
      </c>
      <c r="CQ2562">
        <v>7</v>
      </c>
      <c r="CR2562" t="s">
        <v>116</v>
      </c>
      <c r="CS2562">
        <v>39</v>
      </c>
      <c r="CT2562">
        <v>0</v>
      </c>
      <c r="CU2562" t="s">
        <v>2259</v>
      </c>
      <c r="CV2562" t="s">
        <v>2260</v>
      </c>
      <c r="CY2562">
        <v>2062814</v>
      </c>
      <c r="CZ2562" t="s">
        <v>119</v>
      </c>
    </row>
    <row r="2563" spans="1:104" x14ac:dyDescent="0.25">
      <c r="A2563" t="str">
        <f>"14:33:03.570"</f>
        <v>14:33:03.570</v>
      </c>
      <c r="B2563" t="s">
        <v>108</v>
      </c>
      <c r="C2563" t="str">
        <f t="shared" si="118"/>
        <v>ffdfd3c0</v>
      </c>
      <c r="D2563" t="s">
        <v>109</v>
      </c>
      <c r="E2563">
        <v>4</v>
      </c>
      <c r="F2563">
        <v>1004</v>
      </c>
      <c r="G2563" t="s">
        <v>110</v>
      </c>
      <c r="J2563" t="s">
        <v>111</v>
      </c>
      <c r="K2563">
        <v>0</v>
      </c>
      <c r="L2563">
        <v>3</v>
      </c>
      <c r="M2563">
        <v>0</v>
      </c>
      <c r="N2563">
        <v>2</v>
      </c>
      <c r="O2563">
        <v>1</v>
      </c>
      <c r="P2563">
        <v>0</v>
      </c>
      <c r="Q2563">
        <v>0</v>
      </c>
      <c r="R2563" t="s">
        <v>112</v>
      </c>
      <c r="S2563" t="str">
        <f>"14:33:03.383"</f>
        <v>14:33:03.383</v>
      </c>
      <c r="T2563" t="str">
        <f>"14:33:02.984"</f>
        <v>14:33:02.984</v>
      </c>
      <c r="U2563" t="str">
        <f t="shared" si="120"/>
        <v>ad5732</v>
      </c>
      <c r="V2563">
        <v>0</v>
      </c>
      <c r="W2563">
        <v>0</v>
      </c>
      <c r="X2563">
        <v>1</v>
      </c>
      <c r="Z2563">
        <v>0</v>
      </c>
      <c r="AA2563">
        <v>9</v>
      </c>
      <c r="AB2563">
        <v>3</v>
      </c>
      <c r="AC2563">
        <v>0</v>
      </c>
      <c r="AD2563">
        <v>10</v>
      </c>
      <c r="AE2563">
        <v>0</v>
      </c>
      <c r="AF2563">
        <v>3</v>
      </c>
      <c r="AG2563">
        <v>2</v>
      </c>
      <c r="AH2563">
        <v>0</v>
      </c>
      <c r="AI2563" t="s">
        <v>5240</v>
      </c>
      <c r="AJ2563">
        <v>40.119925000000002</v>
      </c>
      <c r="AK2563" t="s">
        <v>5241</v>
      </c>
      <c r="AL2563">
        <v>-75.388311999999999</v>
      </c>
      <c r="AM2563">
        <v>100</v>
      </c>
      <c r="AN2563">
        <v>4700</v>
      </c>
      <c r="AO2563" t="s">
        <v>115</v>
      </c>
      <c r="AP2563">
        <v>133</v>
      </c>
      <c r="AQ2563">
        <v>127</v>
      </c>
      <c r="AR2563">
        <v>-320</v>
      </c>
      <c r="AZ2563">
        <v>3614</v>
      </c>
      <c r="BA2563">
        <v>1</v>
      </c>
      <c r="BB2563" t="str">
        <f t="shared" si="119"/>
        <v xml:space="preserve">N959MJ  </v>
      </c>
      <c r="BC2563">
        <v>1</v>
      </c>
      <c r="BE2563">
        <v>0</v>
      </c>
      <c r="BF2563">
        <v>0</v>
      </c>
      <c r="BG2563">
        <v>0</v>
      </c>
      <c r="BH2563">
        <v>4875</v>
      </c>
      <c r="BI2563">
        <v>175</v>
      </c>
      <c r="BJ2563">
        <v>1</v>
      </c>
      <c r="BK2563">
        <v>1</v>
      </c>
      <c r="BL2563">
        <v>1</v>
      </c>
      <c r="BM2563">
        <v>0</v>
      </c>
      <c r="BP2563">
        <v>0</v>
      </c>
      <c r="BQ2563">
        <v>0</v>
      </c>
      <c r="BX2563" t="str">
        <f>"14:33:03.383"</f>
        <v>14:33:03.383</v>
      </c>
      <c r="BY2563" t="str">
        <f>"383480724"</f>
        <v>383480724</v>
      </c>
      <c r="CL2563">
        <v>0</v>
      </c>
      <c r="CM2563">
        <v>2</v>
      </c>
      <c r="CN2563">
        <v>0</v>
      </c>
      <c r="CO2563">
        <v>2</v>
      </c>
      <c r="CP2563">
        <v>0</v>
      </c>
      <c r="CQ2563">
        <v>7</v>
      </c>
      <c r="CR2563" t="s">
        <v>116</v>
      </c>
      <c r="CS2563">
        <v>39</v>
      </c>
      <c r="CT2563">
        <v>0</v>
      </c>
      <c r="CU2563" t="s">
        <v>2259</v>
      </c>
      <c r="CV2563" t="s">
        <v>2260</v>
      </c>
      <c r="CY2563">
        <v>2064272</v>
      </c>
      <c r="CZ2563" t="s">
        <v>119</v>
      </c>
    </row>
    <row r="2564" spans="1:104" x14ac:dyDescent="0.25">
      <c r="A2564" t="str">
        <f>"14:33:04.430"</f>
        <v>14:33:04.430</v>
      </c>
      <c r="B2564" t="s">
        <v>108</v>
      </c>
      <c r="C2564" t="str">
        <f t="shared" si="118"/>
        <v>ffdfd3c0</v>
      </c>
      <c r="D2564" t="s">
        <v>109</v>
      </c>
      <c r="E2564">
        <v>4</v>
      </c>
      <c r="F2564">
        <v>1004</v>
      </c>
      <c r="G2564" t="s">
        <v>110</v>
      </c>
      <c r="J2564" t="s">
        <v>111</v>
      </c>
      <c r="K2564">
        <v>0</v>
      </c>
      <c r="L2564">
        <v>3</v>
      </c>
      <c r="M2564">
        <v>0</v>
      </c>
      <c r="N2564">
        <v>2</v>
      </c>
      <c r="O2564">
        <v>1</v>
      </c>
      <c r="P2564">
        <v>0</v>
      </c>
      <c r="Q2564">
        <v>0</v>
      </c>
      <c r="R2564" t="s">
        <v>112</v>
      </c>
      <c r="S2564" t="str">
        <f>"14:33:04.242"</f>
        <v>14:33:04.242</v>
      </c>
      <c r="T2564" t="str">
        <f>"14:33:03.844"</f>
        <v>14:33:03.844</v>
      </c>
      <c r="U2564" t="str">
        <f t="shared" si="120"/>
        <v>ad5732</v>
      </c>
      <c r="V2564">
        <v>0</v>
      </c>
      <c r="W2564">
        <v>0</v>
      </c>
      <c r="X2564">
        <v>1</v>
      </c>
      <c r="Z2564">
        <v>0</v>
      </c>
      <c r="AA2564">
        <v>9</v>
      </c>
      <c r="AB2564">
        <v>3</v>
      </c>
      <c r="AC2564">
        <v>0</v>
      </c>
      <c r="AD2564">
        <v>10</v>
      </c>
      <c r="AE2564">
        <v>0</v>
      </c>
      <c r="AF2564">
        <v>3</v>
      </c>
      <c r="AG2564">
        <v>2</v>
      </c>
      <c r="AH2564">
        <v>0</v>
      </c>
      <c r="AI2564" t="s">
        <v>5242</v>
      </c>
      <c r="AJ2564">
        <v>40.120440000000002</v>
      </c>
      <c r="AK2564" t="s">
        <v>5243</v>
      </c>
      <c r="AL2564">
        <v>-75.387561000000005</v>
      </c>
      <c r="AM2564">
        <v>100</v>
      </c>
      <c r="AN2564">
        <v>4700</v>
      </c>
      <c r="AO2564" t="s">
        <v>115</v>
      </c>
      <c r="AP2564">
        <v>133</v>
      </c>
      <c r="AQ2564">
        <v>128</v>
      </c>
      <c r="AR2564">
        <v>-384</v>
      </c>
      <c r="AZ2564">
        <v>3614</v>
      </c>
      <c r="BA2564">
        <v>1</v>
      </c>
      <c r="BB2564" t="str">
        <f t="shared" si="119"/>
        <v xml:space="preserve">N959MJ  </v>
      </c>
      <c r="BC2564">
        <v>1</v>
      </c>
      <c r="BE2564">
        <v>0</v>
      </c>
      <c r="BF2564">
        <v>0</v>
      </c>
      <c r="BG2564">
        <v>0</v>
      </c>
      <c r="BH2564">
        <v>4875</v>
      </c>
      <c r="BI2564">
        <v>175</v>
      </c>
      <c r="BJ2564">
        <v>1</v>
      </c>
      <c r="BK2564">
        <v>1</v>
      </c>
      <c r="BL2564">
        <v>1</v>
      </c>
      <c r="BM2564">
        <v>0</v>
      </c>
      <c r="BP2564">
        <v>0</v>
      </c>
      <c r="BQ2564">
        <v>0</v>
      </c>
      <c r="BX2564" t="str">
        <f>"14:33:04.242"</f>
        <v>14:33:04.242</v>
      </c>
      <c r="BY2564" t="str">
        <f>"245294371"</f>
        <v>245294371</v>
      </c>
      <c r="CL2564">
        <v>0</v>
      </c>
      <c r="CM2564">
        <v>2</v>
      </c>
      <c r="CN2564">
        <v>0</v>
      </c>
      <c r="CO2564">
        <v>2</v>
      </c>
      <c r="CP2564">
        <v>0</v>
      </c>
      <c r="CQ2564">
        <v>7</v>
      </c>
      <c r="CR2564" t="s">
        <v>116</v>
      </c>
      <c r="CS2564">
        <v>39</v>
      </c>
      <c r="CT2564">
        <v>0</v>
      </c>
      <c r="CU2564" t="s">
        <v>2259</v>
      </c>
      <c r="CV2564" t="s">
        <v>2260</v>
      </c>
      <c r="CY2564">
        <v>2065726</v>
      </c>
      <c r="CZ2564" t="s">
        <v>119</v>
      </c>
    </row>
    <row r="2565" spans="1:104" x14ac:dyDescent="0.25">
      <c r="A2565" t="str">
        <f>"14:33:05.438"</f>
        <v>14:33:05.438</v>
      </c>
      <c r="B2565" t="s">
        <v>108</v>
      </c>
      <c r="C2565" t="str">
        <f t="shared" si="118"/>
        <v>ffdfd3c0</v>
      </c>
      <c r="D2565" t="s">
        <v>109</v>
      </c>
      <c r="E2565">
        <v>4</v>
      </c>
      <c r="F2565">
        <v>1004</v>
      </c>
      <c r="G2565" t="s">
        <v>110</v>
      </c>
      <c r="J2565" t="s">
        <v>111</v>
      </c>
      <c r="K2565">
        <v>0</v>
      </c>
      <c r="L2565">
        <v>3</v>
      </c>
      <c r="M2565">
        <v>0</v>
      </c>
      <c r="N2565">
        <v>2</v>
      </c>
      <c r="O2565">
        <v>1</v>
      </c>
      <c r="P2565">
        <v>0</v>
      </c>
      <c r="Q2565">
        <v>0</v>
      </c>
      <c r="R2565" t="s">
        <v>112</v>
      </c>
      <c r="S2565" t="str">
        <f>"14:33:05.250"</f>
        <v>14:33:05.250</v>
      </c>
      <c r="T2565" t="str">
        <f>"14:33:04.750"</f>
        <v>14:33:04.750</v>
      </c>
      <c r="U2565" t="str">
        <f t="shared" si="120"/>
        <v>ad5732</v>
      </c>
      <c r="V2565">
        <v>0</v>
      </c>
      <c r="W2565">
        <v>0</v>
      </c>
      <c r="X2565">
        <v>1</v>
      </c>
      <c r="Z2565">
        <v>0</v>
      </c>
      <c r="AA2565">
        <v>9</v>
      </c>
      <c r="AB2565">
        <v>3</v>
      </c>
      <c r="AC2565">
        <v>0</v>
      </c>
      <c r="AD2565">
        <v>10</v>
      </c>
      <c r="AE2565">
        <v>0</v>
      </c>
      <c r="AF2565">
        <v>3</v>
      </c>
      <c r="AG2565">
        <v>2</v>
      </c>
      <c r="AH2565">
        <v>0</v>
      </c>
      <c r="AI2565" t="s">
        <v>5244</v>
      </c>
      <c r="AJ2565">
        <v>40.121040000000001</v>
      </c>
      <c r="AK2565" t="s">
        <v>5245</v>
      </c>
      <c r="AL2565">
        <v>-75.386746000000002</v>
      </c>
      <c r="AM2565">
        <v>100</v>
      </c>
      <c r="AN2565">
        <v>4700</v>
      </c>
      <c r="AO2565" t="s">
        <v>115</v>
      </c>
      <c r="AP2565">
        <v>134</v>
      </c>
      <c r="AQ2565">
        <v>128</v>
      </c>
      <c r="AR2565">
        <v>-384</v>
      </c>
      <c r="AZ2565">
        <v>3614</v>
      </c>
      <c r="BA2565">
        <v>1</v>
      </c>
      <c r="BB2565" t="str">
        <f t="shared" si="119"/>
        <v xml:space="preserve">N959MJ  </v>
      </c>
      <c r="BC2565">
        <v>1</v>
      </c>
      <c r="BE2565">
        <v>0</v>
      </c>
      <c r="BF2565">
        <v>0</v>
      </c>
      <c r="BG2565">
        <v>0</v>
      </c>
      <c r="BH2565">
        <v>4875</v>
      </c>
      <c r="BI2565">
        <v>175</v>
      </c>
      <c r="BJ2565">
        <v>1</v>
      </c>
      <c r="BK2565">
        <v>1</v>
      </c>
      <c r="BL2565">
        <v>1</v>
      </c>
      <c r="BM2565">
        <v>0</v>
      </c>
      <c r="BP2565">
        <v>0</v>
      </c>
      <c r="BQ2565">
        <v>0</v>
      </c>
      <c r="BX2565" t="str">
        <f>"14:33:05.258"</f>
        <v>14:33:05.258</v>
      </c>
      <c r="BY2565" t="str">
        <f>"256204937"</f>
        <v>256204937</v>
      </c>
      <c r="CL2565">
        <v>0</v>
      </c>
      <c r="CM2565">
        <v>2</v>
      </c>
      <c r="CN2565">
        <v>0</v>
      </c>
      <c r="CO2565">
        <v>2</v>
      </c>
      <c r="CP2565">
        <v>0</v>
      </c>
      <c r="CQ2565">
        <v>7</v>
      </c>
      <c r="CR2565" t="s">
        <v>116</v>
      </c>
      <c r="CS2565">
        <v>39</v>
      </c>
      <c r="CT2565">
        <v>0</v>
      </c>
      <c r="CU2565" t="s">
        <v>2259</v>
      </c>
      <c r="CV2565" t="s">
        <v>2260</v>
      </c>
      <c r="CY2565">
        <v>2067284</v>
      </c>
      <c r="CZ2565" t="s">
        <v>119</v>
      </c>
    </row>
    <row r="2566" spans="1:104" x14ac:dyDescent="0.25">
      <c r="A2566" t="str">
        <f>"14:33:06.547"</f>
        <v>14:33:06.547</v>
      </c>
      <c r="B2566" t="s">
        <v>108</v>
      </c>
      <c r="C2566" t="str">
        <f t="shared" si="118"/>
        <v>ffdfd3c0</v>
      </c>
      <c r="D2566" t="s">
        <v>109</v>
      </c>
      <c r="E2566">
        <v>4</v>
      </c>
      <c r="F2566">
        <v>1004</v>
      </c>
      <c r="G2566" t="s">
        <v>110</v>
      </c>
      <c r="J2566" t="s">
        <v>111</v>
      </c>
      <c r="K2566">
        <v>0</v>
      </c>
      <c r="L2566">
        <v>3</v>
      </c>
      <c r="M2566">
        <v>0</v>
      </c>
      <c r="N2566">
        <v>2</v>
      </c>
      <c r="O2566">
        <v>1</v>
      </c>
      <c r="P2566">
        <v>0</v>
      </c>
      <c r="Q2566">
        <v>0</v>
      </c>
      <c r="R2566" t="s">
        <v>112</v>
      </c>
      <c r="S2566" t="str">
        <f>"14:33:06.352"</f>
        <v>14:33:06.352</v>
      </c>
      <c r="T2566" t="str">
        <f>"14:33:05.852"</f>
        <v>14:33:05.852</v>
      </c>
      <c r="U2566" t="str">
        <f t="shared" si="120"/>
        <v>ad5732</v>
      </c>
      <c r="V2566">
        <v>0</v>
      </c>
      <c r="W2566">
        <v>0</v>
      </c>
      <c r="X2566">
        <v>1</v>
      </c>
      <c r="Z2566">
        <v>0</v>
      </c>
      <c r="AA2566">
        <v>9</v>
      </c>
      <c r="AB2566">
        <v>3</v>
      </c>
      <c r="AC2566">
        <v>0</v>
      </c>
      <c r="AD2566">
        <v>10</v>
      </c>
      <c r="AE2566">
        <v>0</v>
      </c>
      <c r="AF2566">
        <v>3</v>
      </c>
      <c r="AG2566">
        <v>2</v>
      </c>
      <c r="AH2566">
        <v>0</v>
      </c>
      <c r="AI2566" t="s">
        <v>5246</v>
      </c>
      <c r="AJ2566">
        <v>40.121662999999998</v>
      </c>
      <c r="AK2566" t="s">
        <v>5247</v>
      </c>
      <c r="AL2566">
        <v>-75.385865999999993</v>
      </c>
      <c r="AM2566">
        <v>100</v>
      </c>
      <c r="AN2566">
        <v>4700</v>
      </c>
      <c r="AO2566" t="s">
        <v>115</v>
      </c>
      <c r="AP2566">
        <v>134</v>
      </c>
      <c r="AQ2566">
        <v>128</v>
      </c>
      <c r="AR2566">
        <v>-384</v>
      </c>
      <c r="AZ2566">
        <v>3614</v>
      </c>
      <c r="BA2566">
        <v>1</v>
      </c>
      <c r="BB2566" t="str">
        <f t="shared" si="119"/>
        <v xml:space="preserve">N959MJ  </v>
      </c>
      <c r="BC2566">
        <v>1</v>
      </c>
      <c r="BE2566">
        <v>0</v>
      </c>
      <c r="BF2566">
        <v>0</v>
      </c>
      <c r="BG2566">
        <v>0</v>
      </c>
      <c r="BH2566">
        <v>4850</v>
      </c>
      <c r="BI2566">
        <v>150</v>
      </c>
      <c r="BJ2566">
        <v>1</v>
      </c>
      <c r="BK2566">
        <v>1</v>
      </c>
      <c r="BL2566">
        <v>1</v>
      </c>
      <c r="BM2566">
        <v>0</v>
      </c>
      <c r="BP2566">
        <v>0</v>
      </c>
      <c r="BQ2566">
        <v>0</v>
      </c>
      <c r="BX2566" t="str">
        <f>"14:33:06.359"</f>
        <v>14:33:06.359</v>
      </c>
      <c r="BY2566" t="str">
        <f>"357229146"</f>
        <v>357229146</v>
      </c>
      <c r="CL2566">
        <v>0</v>
      </c>
      <c r="CM2566">
        <v>2</v>
      </c>
      <c r="CN2566">
        <v>0</v>
      </c>
      <c r="CO2566">
        <v>2</v>
      </c>
      <c r="CP2566">
        <v>0</v>
      </c>
      <c r="CQ2566">
        <v>7</v>
      </c>
      <c r="CR2566" t="s">
        <v>116</v>
      </c>
      <c r="CS2566">
        <v>39</v>
      </c>
      <c r="CT2566">
        <v>0</v>
      </c>
      <c r="CU2566" t="s">
        <v>2259</v>
      </c>
      <c r="CV2566" t="s">
        <v>2260</v>
      </c>
      <c r="CY2566">
        <v>2068873</v>
      </c>
      <c r="CZ2566" t="s">
        <v>119</v>
      </c>
    </row>
    <row r="2567" spans="1:104" x14ac:dyDescent="0.25">
      <c r="A2567" t="str">
        <f>"14:33:07.555"</f>
        <v>14:33:07.555</v>
      </c>
      <c r="B2567" t="s">
        <v>108</v>
      </c>
      <c r="C2567" t="str">
        <f t="shared" si="118"/>
        <v>ffdfd3c0</v>
      </c>
      <c r="D2567" t="s">
        <v>109</v>
      </c>
      <c r="E2567">
        <v>4</v>
      </c>
      <c r="F2567">
        <v>1004</v>
      </c>
      <c r="G2567" t="s">
        <v>110</v>
      </c>
      <c r="J2567" t="s">
        <v>111</v>
      </c>
      <c r="K2567">
        <v>0</v>
      </c>
      <c r="L2567">
        <v>3</v>
      </c>
      <c r="M2567">
        <v>0</v>
      </c>
      <c r="N2567">
        <v>2</v>
      </c>
      <c r="O2567">
        <v>1</v>
      </c>
      <c r="P2567">
        <v>0</v>
      </c>
      <c r="Q2567">
        <v>0</v>
      </c>
      <c r="R2567" t="s">
        <v>112</v>
      </c>
      <c r="S2567" t="str">
        <f>"14:33:07.383"</f>
        <v>14:33:07.383</v>
      </c>
      <c r="T2567" t="str">
        <f>"14:33:06.883"</f>
        <v>14:33:06.883</v>
      </c>
      <c r="U2567" t="str">
        <f t="shared" si="120"/>
        <v>ad5732</v>
      </c>
      <c r="V2567">
        <v>0</v>
      </c>
      <c r="W2567">
        <v>0</v>
      </c>
      <c r="X2567">
        <v>1</v>
      </c>
      <c r="Z2567">
        <v>0</v>
      </c>
      <c r="AA2567">
        <v>9</v>
      </c>
      <c r="AB2567">
        <v>3</v>
      </c>
      <c r="AC2567">
        <v>0</v>
      </c>
      <c r="AD2567">
        <v>10</v>
      </c>
      <c r="AE2567">
        <v>0</v>
      </c>
      <c r="AF2567">
        <v>3</v>
      </c>
      <c r="AG2567">
        <v>2</v>
      </c>
      <c r="AH2567">
        <v>0</v>
      </c>
      <c r="AI2567" t="s">
        <v>5248</v>
      </c>
      <c r="AJ2567">
        <v>40.122262999999997</v>
      </c>
      <c r="AK2567" t="s">
        <v>5249</v>
      </c>
      <c r="AL2567">
        <v>-75.385071999999994</v>
      </c>
      <c r="AM2567">
        <v>100</v>
      </c>
      <c r="AN2567">
        <v>4700</v>
      </c>
      <c r="AO2567" t="s">
        <v>115</v>
      </c>
      <c r="AP2567">
        <v>135</v>
      </c>
      <c r="AQ2567">
        <v>128</v>
      </c>
      <c r="AR2567">
        <v>-448</v>
      </c>
      <c r="AZ2567">
        <v>3614</v>
      </c>
      <c r="BA2567">
        <v>1</v>
      </c>
      <c r="BB2567" t="str">
        <f t="shared" si="119"/>
        <v xml:space="preserve">N959MJ  </v>
      </c>
      <c r="BC2567">
        <v>1</v>
      </c>
      <c r="BE2567">
        <v>0</v>
      </c>
      <c r="BF2567">
        <v>0</v>
      </c>
      <c r="BG2567">
        <v>0</v>
      </c>
      <c r="BH2567">
        <v>4850</v>
      </c>
      <c r="BI2567">
        <v>150</v>
      </c>
      <c r="BJ2567">
        <v>1</v>
      </c>
      <c r="BK2567">
        <v>1</v>
      </c>
      <c r="BL2567">
        <v>1</v>
      </c>
      <c r="BM2567">
        <v>0</v>
      </c>
      <c r="BP2567">
        <v>0</v>
      </c>
      <c r="BQ2567">
        <v>0</v>
      </c>
      <c r="BX2567" t="str">
        <f>"14:33:07.383"</f>
        <v>14:33:07.383</v>
      </c>
      <c r="BY2567" t="str">
        <f>"386162472"</f>
        <v>386162472</v>
      </c>
      <c r="CL2567">
        <v>0</v>
      </c>
      <c r="CM2567">
        <v>2</v>
      </c>
      <c r="CN2567">
        <v>0</v>
      </c>
      <c r="CO2567">
        <v>2</v>
      </c>
      <c r="CP2567">
        <v>0</v>
      </c>
      <c r="CQ2567">
        <v>7</v>
      </c>
      <c r="CR2567" t="s">
        <v>116</v>
      </c>
      <c r="CS2567">
        <v>39</v>
      </c>
      <c r="CT2567">
        <v>0</v>
      </c>
      <c r="CU2567" t="s">
        <v>2259</v>
      </c>
      <c r="CV2567" t="s">
        <v>2260</v>
      </c>
      <c r="CY2567">
        <v>2070633</v>
      </c>
      <c r="CZ2567" t="s">
        <v>119</v>
      </c>
    </row>
    <row r="2568" spans="1:104" x14ac:dyDescent="0.25">
      <c r="A2568" t="str">
        <f>"14:33:08.617"</f>
        <v>14:33:08.617</v>
      </c>
      <c r="B2568" t="s">
        <v>108</v>
      </c>
      <c r="C2568" t="str">
        <f t="shared" si="118"/>
        <v>ffdfd3c0</v>
      </c>
      <c r="D2568" t="s">
        <v>109</v>
      </c>
      <c r="E2568">
        <v>4</v>
      </c>
      <c r="F2568">
        <v>1004</v>
      </c>
      <c r="G2568" t="s">
        <v>110</v>
      </c>
      <c r="J2568" t="s">
        <v>111</v>
      </c>
      <c r="K2568">
        <v>0</v>
      </c>
      <c r="L2568">
        <v>3</v>
      </c>
      <c r="M2568">
        <v>0</v>
      </c>
      <c r="N2568">
        <v>2</v>
      </c>
      <c r="O2568">
        <v>1</v>
      </c>
      <c r="P2568">
        <v>0</v>
      </c>
      <c r="Q2568">
        <v>0</v>
      </c>
      <c r="R2568" t="s">
        <v>112</v>
      </c>
      <c r="S2568" t="str">
        <f>"14:33:08.398"</f>
        <v>14:33:08.398</v>
      </c>
      <c r="T2568" t="str">
        <f>"14:33:08.000"</f>
        <v>14:33:08.000</v>
      </c>
      <c r="U2568" t="str">
        <f t="shared" si="120"/>
        <v>ad5732</v>
      </c>
      <c r="V2568">
        <v>0</v>
      </c>
      <c r="W2568">
        <v>0</v>
      </c>
      <c r="X2568">
        <v>1</v>
      </c>
      <c r="Z2568">
        <v>0</v>
      </c>
      <c r="AA2568">
        <v>9</v>
      </c>
      <c r="AB2568">
        <v>3</v>
      </c>
      <c r="AC2568">
        <v>0</v>
      </c>
      <c r="AD2568">
        <v>10</v>
      </c>
      <c r="AE2568">
        <v>0</v>
      </c>
      <c r="AF2568">
        <v>3</v>
      </c>
      <c r="AG2568">
        <v>2</v>
      </c>
      <c r="AH2568">
        <v>0</v>
      </c>
      <c r="AI2568" t="s">
        <v>5250</v>
      </c>
      <c r="AJ2568">
        <v>40.122843000000003</v>
      </c>
      <c r="AK2568" t="s">
        <v>5251</v>
      </c>
      <c r="AL2568">
        <v>-75.384214</v>
      </c>
      <c r="AM2568">
        <v>100</v>
      </c>
      <c r="AN2568">
        <v>4600</v>
      </c>
      <c r="AO2568" t="s">
        <v>115</v>
      </c>
      <c r="AP2568">
        <v>135</v>
      </c>
      <c r="AQ2568">
        <v>128</v>
      </c>
      <c r="AR2568">
        <v>-512</v>
      </c>
      <c r="AZ2568">
        <v>3614</v>
      </c>
      <c r="BA2568">
        <v>1</v>
      </c>
      <c r="BB2568" t="str">
        <f t="shared" si="119"/>
        <v xml:space="preserve">N959MJ  </v>
      </c>
      <c r="BC2568">
        <v>1</v>
      </c>
      <c r="BE2568">
        <v>0</v>
      </c>
      <c r="BF2568">
        <v>0</v>
      </c>
      <c r="BG2568">
        <v>0</v>
      </c>
      <c r="BH2568">
        <v>4950</v>
      </c>
      <c r="BI2568">
        <v>350</v>
      </c>
      <c r="BJ2568">
        <v>1</v>
      </c>
      <c r="BK2568">
        <v>1</v>
      </c>
      <c r="BL2568">
        <v>1</v>
      </c>
      <c r="BM2568">
        <v>0</v>
      </c>
      <c r="BP2568">
        <v>0</v>
      </c>
      <c r="BQ2568">
        <v>0</v>
      </c>
      <c r="BX2568" t="str">
        <f>"14:33:08.406"</f>
        <v>14:33:08.406</v>
      </c>
      <c r="BY2568" t="str">
        <f>"405385224"</f>
        <v>405385224</v>
      </c>
      <c r="CL2568">
        <v>0</v>
      </c>
      <c r="CM2568">
        <v>2</v>
      </c>
      <c r="CN2568">
        <v>0</v>
      </c>
      <c r="CO2568">
        <v>2</v>
      </c>
      <c r="CP2568">
        <v>0</v>
      </c>
      <c r="CQ2568">
        <v>5</v>
      </c>
      <c r="CR2568" t="s">
        <v>116</v>
      </c>
      <c r="CS2568">
        <v>408</v>
      </c>
      <c r="CT2568">
        <v>1</v>
      </c>
      <c r="CU2568" t="s">
        <v>2317</v>
      </c>
      <c r="CV2568" t="s">
        <v>2318</v>
      </c>
      <c r="CY2568">
        <v>13273765</v>
      </c>
      <c r="CZ2568" t="s">
        <v>119</v>
      </c>
    </row>
    <row r="2569" spans="1:104" x14ac:dyDescent="0.25">
      <c r="A2569" t="str">
        <f>"14:33:09.625"</f>
        <v>14:33:09.625</v>
      </c>
      <c r="B2569" t="s">
        <v>108</v>
      </c>
      <c r="C2569" t="str">
        <f t="shared" si="118"/>
        <v>ffdfd3c0</v>
      </c>
      <c r="D2569" t="s">
        <v>109</v>
      </c>
      <c r="E2569">
        <v>4</v>
      </c>
      <c r="F2569">
        <v>1004</v>
      </c>
      <c r="G2569" t="s">
        <v>110</v>
      </c>
      <c r="J2569" t="s">
        <v>111</v>
      </c>
      <c r="K2569">
        <v>0</v>
      </c>
      <c r="L2569">
        <v>3</v>
      </c>
      <c r="M2569">
        <v>0</v>
      </c>
      <c r="N2569">
        <v>2</v>
      </c>
      <c r="O2569">
        <v>1</v>
      </c>
      <c r="P2569">
        <v>0</v>
      </c>
      <c r="Q2569">
        <v>0</v>
      </c>
      <c r="R2569" t="s">
        <v>112</v>
      </c>
      <c r="S2569" t="str">
        <f>"14:33:09.453"</f>
        <v>14:33:09.453</v>
      </c>
      <c r="T2569" t="str">
        <f>"14:33:09.055"</f>
        <v>14:33:09.055</v>
      </c>
      <c r="U2569" t="str">
        <f t="shared" si="120"/>
        <v>ad5732</v>
      </c>
      <c r="V2569">
        <v>0</v>
      </c>
      <c r="W2569">
        <v>0</v>
      </c>
      <c r="X2569">
        <v>1</v>
      </c>
      <c r="Z2569">
        <v>0</v>
      </c>
      <c r="AA2569">
        <v>9</v>
      </c>
      <c r="AB2569">
        <v>3</v>
      </c>
      <c r="AC2569">
        <v>0</v>
      </c>
      <c r="AD2569">
        <v>10</v>
      </c>
      <c r="AE2569">
        <v>0</v>
      </c>
      <c r="AF2569">
        <v>3</v>
      </c>
      <c r="AG2569">
        <v>2</v>
      </c>
      <c r="AH2569">
        <v>0</v>
      </c>
      <c r="AI2569" t="s">
        <v>5252</v>
      </c>
      <c r="AJ2569">
        <v>40.123508000000001</v>
      </c>
      <c r="AK2569" t="s">
        <v>5253</v>
      </c>
      <c r="AL2569">
        <v>-75.383313000000001</v>
      </c>
      <c r="AM2569">
        <v>100</v>
      </c>
      <c r="AN2569">
        <v>4600</v>
      </c>
      <c r="AO2569" t="s">
        <v>115</v>
      </c>
      <c r="AP2569">
        <v>136</v>
      </c>
      <c r="AQ2569">
        <v>128</v>
      </c>
      <c r="AR2569">
        <v>-576</v>
      </c>
      <c r="AZ2569">
        <v>3614</v>
      </c>
      <c r="BA2569">
        <v>1</v>
      </c>
      <c r="BB2569" t="str">
        <f t="shared" si="119"/>
        <v xml:space="preserve">N959MJ  </v>
      </c>
      <c r="BC2569">
        <v>1</v>
      </c>
      <c r="BE2569">
        <v>0</v>
      </c>
      <c r="BF2569">
        <v>0</v>
      </c>
      <c r="BG2569">
        <v>0</v>
      </c>
      <c r="BH2569">
        <v>4825</v>
      </c>
      <c r="BI2569">
        <v>225</v>
      </c>
      <c r="BJ2569">
        <v>1</v>
      </c>
      <c r="BK2569">
        <v>1</v>
      </c>
      <c r="BL2569">
        <v>1</v>
      </c>
      <c r="BM2569">
        <v>0</v>
      </c>
      <c r="BP2569">
        <v>0</v>
      </c>
      <c r="BQ2569">
        <v>0</v>
      </c>
      <c r="BX2569" t="str">
        <f>"14:33:09.461"</f>
        <v>14:33:09.461</v>
      </c>
      <c r="BY2569" t="str">
        <f>"458774956"</f>
        <v>458774956</v>
      </c>
      <c r="CL2569">
        <v>0</v>
      </c>
      <c r="CM2569">
        <v>2</v>
      </c>
      <c r="CN2569">
        <v>0</v>
      </c>
      <c r="CO2569">
        <v>2</v>
      </c>
      <c r="CP2569">
        <v>0</v>
      </c>
      <c r="CQ2569">
        <v>7</v>
      </c>
      <c r="CR2569" t="s">
        <v>116</v>
      </c>
      <c r="CS2569">
        <v>39</v>
      </c>
      <c r="CT2569">
        <v>0</v>
      </c>
      <c r="CU2569" t="s">
        <v>2259</v>
      </c>
      <c r="CV2569" t="s">
        <v>2260</v>
      </c>
      <c r="CY2569">
        <v>2074026</v>
      </c>
      <c r="CZ2569" t="s">
        <v>119</v>
      </c>
    </row>
    <row r="2570" spans="1:104" x14ac:dyDescent="0.25">
      <c r="A2570" t="str">
        <f>"14:33:10.531"</f>
        <v>14:33:10.531</v>
      </c>
      <c r="B2570" t="s">
        <v>108</v>
      </c>
      <c r="C2570" t="str">
        <f t="shared" ref="C2570:C2633" si="121">"ffdfd3c0"</f>
        <v>ffdfd3c0</v>
      </c>
      <c r="D2570" t="s">
        <v>109</v>
      </c>
      <c r="E2570">
        <v>4</v>
      </c>
      <c r="F2570">
        <v>1004</v>
      </c>
      <c r="G2570" t="s">
        <v>110</v>
      </c>
      <c r="J2570" t="s">
        <v>111</v>
      </c>
      <c r="K2570">
        <v>0</v>
      </c>
      <c r="L2570">
        <v>3</v>
      </c>
      <c r="M2570">
        <v>0</v>
      </c>
      <c r="N2570">
        <v>2</v>
      </c>
      <c r="O2570">
        <v>1</v>
      </c>
      <c r="P2570">
        <v>0</v>
      </c>
      <c r="Q2570">
        <v>0</v>
      </c>
      <c r="R2570" t="s">
        <v>112</v>
      </c>
      <c r="S2570" t="str">
        <f>"14:33:10.375"</f>
        <v>14:33:10.375</v>
      </c>
      <c r="T2570" t="str">
        <f>"14:33:09.977"</f>
        <v>14:33:09.977</v>
      </c>
      <c r="U2570" t="str">
        <f t="shared" si="120"/>
        <v>ad5732</v>
      </c>
      <c r="V2570">
        <v>0</v>
      </c>
      <c r="W2570">
        <v>0</v>
      </c>
      <c r="X2570">
        <v>1</v>
      </c>
      <c r="Z2570">
        <v>0</v>
      </c>
      <c r="AA2570">
        <v>9</v>
      </c>
      <c r="AB2570">
        <v>3</v>
      </c>
      <c r="AC2570">
        <v>0</v>
      </c>
      <c r="AD2570">
        <v>10</v>
      </c>
      <c r="AE2570">
        <v>0</v>
      </c>
      <c r="AF2570">
        <v>3</v>
      </c>
      <c r="AG2570">
        <v>2</v>
      </c>
      <c r="AH2570">
        <v>0</v>
      </c>
      <c r="AI2570" t="s">
        <v>5254</v>
      </c>
      <c r="AJ2570">
        <v>40.124043999999998</v>
      </c>
      <c r="AK2570" t="s">
        <v>5255</v>
      </c>
      <c r="AL2570">
        <v>-75.382561999999993</v>
      </c>
      <c r="AM2570">
        <v>100</v>
      </c>
      <c r="AN2570">
        <v>4600</v>
      </c>
      <c r="AO2570" t="s">
        <v>115</v>
      </c>
      <c r="AP2570">
        <v>136</v>
      </c>
      <c r="AQ2570">
        <v>128</v>
      </c>
      <c r="AR2570">
        <v>-640</v>
      </c>
      <c r="AZ2570">
        <v>3614</v>
      </c>
      <c r="BA2570">
        <v>1</v>
      </c>
      <c r="BB2570" t="str">
        <f t="shared" ref="BB2570:BB2633" si="122">"N959MJ  "</f>
        <v xml:space="preserve">N959MJ  </v>
      </c>
      <c r="BC2570">
        <v>1</v>
      </c>
      <c r="BE2570">
        <v>0</v>
      </c>
      <c r="BF2570">
        <v>0</v>
      </c>
      <c r="BG2570">
        <v>0</v>
      </c>
      <c r="BH2570">
        <v>4825</v>
      </c>
      <c r="BI2570">
        <v>225</v>
      </c>
      <c r="BJ2570">
        <v>1</v>
      </c>
      <c r="BK2570">
        <v>1</v>
      </c>
      <c r="BL2570">
        <v>1</v>
      </c>
      <c r="BM2570">
        <v>0</v>
      </c>
      <c r="BP2570">
        <v>0</v>
      </c>
      <c r="BQ2570">
        <v>0</v>
      </c>
      <c r="BX2570" t="str">
        <f>"14:33:10.383"</f>
        <v>14:33:10.383</v>
      </c>
      <c r="BY2570" t="str">
        <f>"379571997"</f>
        <v>379571997</v>
      </c>
      <c r="CL2570">
        <v>0</v>
      </c>
      <c r="CM2570">
        <v>2</v>
      </c>
      <c r="CN2570">
        <v>0</v>
      </c>
      <c r="CO2570">
        <v>2</v>
      </c>
      <c r="CP2570">
        <v>0</v>
      </c>
      <c r="CQ2570">
        <v>7</v>
      </c>
      <c r="CR2570" t="s">
        <v>116</v>
      </c>
      <c r="CS2570">
        <v>39</v>
      </c>
      <c r="CT2570">
        <v>0</v>
      </c>
      <c r="CU2570" t="s">
        <v>2259</v>
      </c>
      <c r="CV2570" t="s">
        <v>2260</v>
      </c>
      <c r="CY2570">
        <v>2075378</v>
      </c>
      <c r="CZ2570" t="s">
        <v>119</v>
      </c>
    </row>
    <row r="2571" spans="1:104" x14ac:dyDescent="0.25">
      <c r="A2571" t="str">
        <f>"14:33:11.594"</f>
        <v>14:33:11.594</v>
      </c>
      <c r="B2571" t="s">
        <v>108</v>
      </c>
      <c r="C2571" t="str">
        <f t="shared" si="121"/>
        <v>ffdfd3c0</v>
      </c>
      <c r="D2571" t="s">
        <v>109</v>
      </c>
      <c r="E2571">
        <v>4</v>
      </c>
      <c r="F2571">
        <v>1004</v>
      </c>
      <c r="G2571" t="s">
        <v>110</v>
      </c>
      <c r="J2571" t="s">
        <v>111</v>
      </c>
      <c r="K2571">
        <v>0</v>
      </c>
      <c r="L2571">
        <v>3</v>
      </c>
      <c r="M2571">
        <v>0</v>
      </c>
      <c r="N2571">
        <v>2</v>
      </c>
      <c r="O2571">
        <v>1</v>
      </c>
      <c r="P2571">
        <v>0</v>
      </c>
      <c r="Q2571">
        <v>0</v>
      </c>
      <c r="R2571" t="s">
        <v>112</v>
      </c>
      <c r="S2571" t="str">
        <f>"14:33:11.406"</f>
        <v>14:33:11.406</v>
      </c>
      <c r="T2571" t="str">
        <f>"14:33:10.906"</f>
        <v>14:33:10.906</v>
      </c>
      <c r="U2571" t="str">
        <f t="shared" si="120"/>
        <v>ad5732</v>
      </c>
      <c r="V2571">
        <v>0</v>
      </c>
      <c r="W2571">
        <v>0</v>
      </c>
      <c r="X2571">
        <v>1</v>
      </c>
      <c r="Z2571">
        <v>0</v>
      </c>
      <c r="AA2571">
        <v>9</v>
      </c>
      <c r="AB2571">
        <v>3</v>
      </c>
      <c r="AC2571">
        <v>0</v>
      </c>
      <c r="AD2571">
        <v>10</v>
      </c>
      <c r="AE2571">
        <v>0</v>
      </c>
      <c r="AF2571">
        <v>3</v>
      </c>
      <c r="AG2571">
        <v>2</v>
      </c>
      <c r="AH2571">
        <v>0</v>
      </c>
      <c r="AI2571" t="s">
        <v>5256</v>
      </c>
      <c r="AJ2571">
        <v>40.124623999999997</v>
      </c>
      <c r="AK2571" t="s">
        <v>5257</v>
      </c>
      <c r="AL2571">
        <v>-75.381767999999994</v>
      </c>
      <c r="AM2571">
        <v>100</v>
      </c>
      <c r="AN2571">
        <v>4600</v>
      </c>
      <c r="AO2571" t="s">
        <v>115</v>
      </c>
      <c r="AP2571">
        <v>137</v>
      </c>
      <c r="AQ2571">
        <v>129</v>
      </c>
      <c r="AR2571">
        <v>-640</v>
      </c>
      <c r="AZ2571">
        <v>3614</v>
      </c>
      <c r="BA2571">
        <v>1</v>
      </c>
      <c r="BB2571" t="str">
        <f t="shared" si="122"/>
        <v xml:space="preserve">N959MJ  </v>
      </c>
      <c r="BC2571">
        <v>1</v>
      </c>
      <c r="BE2571">
        <v>0</v>
      </c>
      <c r="BF2571">
        <v>0</v>
      </c>
      <c r="BG2571">
        <v>0</v>
      </c>
      <c r="BH2571">
        <v>4800</v>
      </c>
      <c r="BI2571">
        <v>200</v>
      </c>
      <c r="BJ2571">
        <v>1</v>
      </c>
      <c r="BK2571">
        <v>1</v>
      </c>
      <c r="BL2571">
        <v>1</v>
      </c>
      <c r="BM2571">
        <v>0</v>
      </c>
      <c r="BP2571">
        <v>0</v>
      </c>
      <c r="BQ2571">
        <v>0</v>
      </c>
      <c r="BX2571" t="str">
        <f>"14:33:11.406"</f>
        <v>14:33:11.406</v>
      </c>
      <c r="BY2571" t="str">
        <f>"406866903"</f>
        <v>406866903</v>
      </c>
      <c r="CL2571">
        <v>0</v>
      </c>
      <c r="CM2571">
        <v>2</v>
      </c>
      <c r="CN2571">
        <v>0</v>
      </c>
      <c r="CO2571">
        <v>2</v>
      </c>
      <c r="CP2571">
        <v>0</v>
      </c>
      <c r="CQ2571">
        <v>7</v>
      </c>
      <c r="CR2571" t="s">
        <v>116</v>
      </c>
      <c r="CS2571">
        <v>39</v>
      </c>
      <c r="CT2571">
        <v>0</v>
      </c>
      <c r="CU2571" t="s">
        <v>2259</v>
      </c>
      <c r="CV2571" t="s">
        <v>2260</v>
      </c>
      <c r="CY2571">
        <v>2076967</v>
      </c>
      <c r="CZ2571" t="s">
        <v>119</v>
      </c>
    </row>
    <row r="2572" spans="1:104" x14ac:dyDescent="0.25">
      <c r="A2572" t="str">
        <f>"14:33:12.555"</f>
        <v>14:33:12.555</v>
      </c>
      <c r="B2572" t="s">
        <v>108</v>
      </c>
      <c r="C2572" t="str">
        <f t="shared" si="121"/>
        <v>ffdfd3c0</v>
      </c>
      <c r="D2572" t="s">
        <v>109</v>
      </c>
      <c r="E2572">
        <v>4</v>
      </c>
      <c r="F2572">
        <v>1004</v>
      </c>
      <c r="G2572" t="s">
        <v>110</v>
      </c>
      <c r="J2572" t="s">
        <v>111</v>
      </c>
      <c r="K2572">
        <v>0</v>
      </c>
      <c r="L2572">
        <v>3</v>
      </c>
      <c r="M2572">
        <v>0</v>
      </c>
      <c r="N2572">
        <v>2</v>
      </c>
      <c r="O2572">
        <v>1</v>
      </c>
      <c r="P2572">
        <v>0</v>
      </c>
      <c r="Q2572">
        <v>0</v>
      </c>
      <c r="R2572" t="s">
        <v>112</v>
      </c>
      <c r="S2572" t="str">
        <f>"14:33:12.391"</f>
        <v>14:33:12.391</v>
      </c>
      <c r="T2572" t="str">
        <f>"14:33:11.891"</f>
        <v>14:33:11.891</v>
      </c>
      <c r="U2572" t="str">
        <f t="shared" si="120"/>
        <v>ad5732</v>
      </c>
      <c r="V2572">
        <v>0</v>
      </c>
      <c r="W2572">
        <v>0</v>
      </c>
      <c r="X2572">
        <v>1</v>
      </c>
      <c r="Z2572">
        <v>0</v>
      </c>
      <c r="AA2572">
        <v>9</v>
      </c>
      <c r="AB2572">
        <v>3</v>
      </c>
      <c r="AC2572">
        <v>0</v>
      </c>
      <c r="AD2572">
        <v>10</v>
      </c>
      <c r="AE2572">
        <v>0</v>
      </c>
      <c r="AF2572">
        <v>3</v>
      </c>
      <c r="AG2572">
        <v>2</v>
      </c>
      <c r="AH2572">
        <v>0</v>
      </c>
      <c r="AI2572" t="s">
        <v>5258</v>
      </c>
      <c r="AJ2572">
        <v>40.125225</v>
      </c>
      <c r="AK2572" t="s">
        <v>5259</v>
      </c>
      <c r="AL2572">
        <v>-75.380931000000004</v>
      </c>
      <c r="AM2572">
        <v>100</v>
      </c>
      <c r="AN2572">
        <v>4600</v>
      </c>
      <c r="AO2572" t="s">
        <v>115</v>
      </c>
      <c r="AP2572">
        <v>138</v>
      </c>
      <c r="AQ2572">
        <v>129</v>
      </c>
      <c r="AR2572">
        <v>-640</v>
      </c>
      <c r="AZ2572">
        <v>3614</v>
      </c>
      <c r="BA2572">
        <v>1</v>
      </c>
      <c r="BB2572" t="str">
        <f t="shared" si="122"/>
        <v xml:space="preserve">N959MJ  </v>
      </c>
      <c r="BC2572">
        <v>1</v>
      </c>
      <c r="BE2572">
        <v>0</v>
      </c>
      <c r="BF2572">
        <v>0</v>
      </c>
      <c r="BG2572">
        <v>0</v>
      </c>
      <c r="BH2572">
        <v>4800</v>
      </c>
      <c r="BI2572">
        <v>200</v>
      </c>
      <c r="BJ2572">
        <v>1</v>
      </c>
      <c r="BK2572">
        <v>1</v>
      </c>
      <c r="BL2572">
        <v>1</v>
      </c>
      <c r="BM2572">
        <v>0</v>
      </c>
      <c r="BP2572">
        <v>0</v>
      </c>
      <c r="BQ2572">
        <v>0</v>
      </c>
      <c r="BX2572" t="str">
        <f>"14:33:12.398"</f>
        <v>14:33:12.398</v>
      </c>
      <c r="BY2572" t="str">
        <f>"396478001"</f>
        <v>396478001</v>
      </c>
      <c r="CL2572">
        <v>0</v>
      </c>
      <c r="CM2572">
        <v>2</v>
      </c>
      <c r="CN2572">
        <v>0</v>
      </c>
      <c r="CO2572">
        <v>2</v>
      </c>
      <c r="CP2572">
        <v>0</v>
      </c>
      <c r="CQ2572">
        <v>7</v>
      </c>
      <c r="CR2572" t="s">
        <v>116</v>
      </c>
      <c r="CS2572">
        <v>39</v>
      </c>
      <c r="CT2572">
        <v>0</v>
      </c>
      <c r="CU2572" t="s">
        <v>2259</v>
      </c>
      <c r="CV2572" t="s">
        <v>2260</v>
      </c>
      <c r="CY2572">
        <v>2078646</v>
      </c>
      <c r="CZ2572" t="s">
        <v>119</v>
      </c>
    </row>
    <row r="2573" spans="1:104" x14ac:dyDescent="0.25">
      <c r="A2573" t="str">
        <f>"14:33:13.664"</f>
        <v>14:33:13.664</v>
      </c>
      <c r="B2573" t="s">
        <v>108</v>
      </c>
      <c r="C2573" t="str">
        <f t="shared" si="121"/>
        <v>ffdfd3c0</v>
      </c>
      <c r="D2573" t="s">
        <v>109</v>
      </c>
      <c r="E2573">
        <v>4</v>
      </c>
      <c r="F2573">
        <v>1004</v>
      </c>
      <c r="G2573" t="s">
        <v>110</v>
      </c>
      <c r="J2573" t="s">
        <v>111</v>
      </c>
      <c r="K2573">
        <v>0</v>
      </c>
      <c r="L2573">
        <v>3</v>
      </c>
      <c r="M2573">
        <v>0</v>
      </c>
      <c r="N2573">
        <v>2</v>
      </c>
      <c r="O2573">
        <v>1</v>
      </c>
      <c r="P2573">
        <v>0</v>
      </c>
      <c r="Q2573">
        <v>0</v>
      </c>
      <c r="R2573" t="s">
        <v>112</v>
      </c>
      <c r="S2573" t="str">
        <f>"14:33:13.500"</f>
        <v>14:33:13.500</v>
      </c>
      <c r="T2573" t="str">
        <f>"14:33:13.000"</f>
        <v>14:33:13.000</v>
      </c>
      <c r="U2573" t="str">
        <f t="shared" si="120"/>
        <v>ad5732</v>
      </c>
      <c r="V2573">
        <v>0</v>
      </c>
      <c r="W2573">
        <v>0</v>
      </c>
      <c r="X2573">
        <v>1</v>
      </c>
      <c r="Z2573">
        <v>0</v>
      </c>
      <c r="AA2573">
        <v>9</v>
      </c>
      <c r="AB2573">
        <v>3</v>
      </c>
      <c r="AC2573">
        <v>0</v>
      </c>
      <c r="AD2573">
        <v>10</v>
      </c>
      <c r="AE2573">
        <v>0</v>
      </c>
      <c r="AF2573">
        <v>3</v>
      </c>
      <c r="AG2573">
        <v>2</v>
      </c>
      <c r="AH2573">
        <v>0</v>
      </c>
      <c r="AI2573" t="s">
        <v>5260</v>
      </c>
      <c r="AJ2573">
        <v>40.125889999999998</v>
      </c>
      <c r="AK2573" t="s">
        <v>5261</v>
      </c>
      <c r="AL2573">
        <v>-75.380008000000004</v>
      </c>
      <c r="AM2573">
        <v>100</v>
      </c>
      <c r="AN2573">
        <v>4600</v>
      </c>
      <c r="AO2573" t="s">
        <v>115</v>
      </c>
      <c r="AP2573">
        <v>138</v>
      </c>
      <c r="AQ2573">
        <v>129</v>
      </c>
      <c r="AR2573">
        <v>-640</v>
      </c>
      <c r="AZ2573">
        <v>3614</v>
      </c>
      <c r="BA2573">
        <v>1</v>
      </c>
      <c r="BB2573" t="str">
        <f t="shared" si="122"/>
        <v xml:space="preserve">N959MJ  </v>
      </c>
      <c r="BC2573">
        <v>1</v>
      </c>
      <c r="BE2573">
        <v>0</v>
      </c>
      <c r="BF2573">
        <v>0</v>
      </c>
      <c r="BG2573">
        <v>0</v>
      </c>
      <c r="BH2573">
        <v>4800</v>
      </c>
      <c r="BI2573">
        <v>200</v>
      </c>
      <c r="BJ2573">
        <v>1</v>
      </c>
      <c r="BK2573">
        <v>1</v>
      </c>
      <c r="BL2573">
        <v>1</v>
      </c>
      <c r="BM2573">
        <v>0</v>
      </c>
      <c r="BP2573">
        <v>0</v>
      </c>
      <c r="BQ2573">
        <v>0</v>
      </c>
      <c r="BX2573" t="str">
        <f>"14:33:13.508"</f>
        <v>14:33:13.508</v>
      </c>
      <c r="BY2573" t="str">
        <f>"507332735"</f>
        <v>507332735</v>
      </c>
      <c r="CL2573">
        <v>0</v>
      </c>
      <c r="CM2573">
        <v>2</v>
      </c>
      <c r="CN2573">
        <v>0</v>
      </c>
      <c r="CO2573">
        <v>2</v>
      </c>
      <c r="CP2573">
        <v>0</v>
      </c>
      <c r="CQ2573">
        <v>7</v>
      </c>
      <c r="CR2573" t="s">
        <v>116</v>
      </c>
      <c r="CS2573">
        <v>39</v>
      </c>
      <c r="CT2573">
        <v>0</v>
      </c>
      <c r="CU2573" t="s">
        <v>2259</v>
      </c>
      <c r="CV2573" t="s">
        <v>2260</v>
      </c>
      <c r="CY2573">
        <v>2080333</v>
      </c>
      <c r="CZ2573" t="s">
        <v>119</v>
      </c>
    </row>
    <row r="2574" spans="1:104" x14ac:dyDescent="0.25">
      <c r="A2574" t="str">
        <f>"14:33:14.570"</f>
        <v>14:33:14.570</v>
      </c>
      <c r="B2574" t="s">
        <v>108</v>
      </c>
      <c r="C2574" t="str">
        <f t="shared" si="121"/>
        <v>ffdfd3c0</v>
      </c>
      <c r="D2574" t="s">
        <v>109</v>
      </c>
      <c r="E2574">
        <v>4</v>
      </c>
      <c r="F2574">
        <v>1004</v>
      </c>
      <c r="G2574" t="s">
        <v>110</v>
      </c>
      <c r="J2574" t="s">
        <v>111</v>
      </c>
      <c r="K2574">
        <v>0</v>
      </c>
      <c r="L2574">
        <v>3</v>
      </c>
      <c r="M2574">
        <v>0</v>
      </c>
      <c r="N2574">
        <v>2</v>
      </c>
      <c r="O2574">
        <v>1</v>
      </c>
      <c r="P2574">
        <v>0</v>
      </c>
      <c r="Q2574">
        <v>0</v>
      </c>
      <c r="R2574" t="s">
        <v>112</v>
      </c>
      <c r="S2574" t="str">
        <f>"14:33:14.391"</f>
        <v>14:33:14.391</v>
      </c>
      <c r="T2574" t="str">
        <f>"14:33:13.992"</f>
        <v>14:33:13.992</v>
      </c>
      <c r="U2574" t="str">
        <f t="shared" si="120"/>
        <v>ad5732</v>
      </c>
      <c r="V2574">
        <v>0</v>
      </c>
      <c r="W2574">
        <v>0</v>
      </c>
      <c r="X2574">
        <v>1</v>
      </c>
      <c r="Z2574">
        <v>0</v>
      </c>
      <c r="AA2574">
        <v>9</v>
      </c>
      <c r="AB2574">
        <v>3</v>
      </c>
      <c r="AC2574">
        <v>0</v>
      </c>
      <c r="AD2574">
        <v>10</v>
      </c>
      <c r="AE2574">
        <v>0</v>
      </c>
      <c r="AF2574">
        <v>3</v>
      </c>
      <c r="AG2574">
        <v>2</v>
      </c>
      <c r="AH2574">
        <v>0</v>
      </c>
      <c r="AI2574" t="s">
        <v>5262</v>
      </c>
      <c r="AJ2574">
        <v>40.126426000000002</v>
      </c>
      <c r="AK2574" t="s">
        <v>5263</v>
      </c>
      <c r="AL2574">
        <v>-75.379278999999997</v>
      </c>
      <c r="AM2574">
        <v>100</v>
      </c>
      <c r="AN2574">
        <v>4600</v>
      </c>
      <c r="AO2574" t="s">
        <v>115</v>
      </c>
      <c r="AP2574">
        <v>139</v>
      </c>
      <c r="AQ2574">
        <v>129</v>
      </c>
      <c r="AR2574">
        <v>-640</v>
      </c>
      <c r="AZ2574">
        <v>3614</v>
      </c>
      <c r="BA2574">
        <v>1</v>
      </c>
      <c r="BB2574" t="str">
        <f t="shared" si="122"/>
        <v xml:space="preserve">N959MJ  </v>
      </c>
      <c r="BC2574">
        <v>1</v>
      </c>
      <c r="BE2574">
        <v>0</v>
      </c>
      <c r="BF2574">
        <v>0</v>
      </c>
      <c r="BG2574">
        <v>0</v>
      </c>
      <c r="BH2574">
        <v>4775</v>
      </c>
      <c r="BI2574">
        <v>175</v>
      </c>
      <c r="BJ2574">
        <v>1</v>
      </c>
      <c r="BK2574">
        <v>1</v>
      </c>
      <c r="BL2574">
        <v>1</v>
      </c>
      <c r="BM2574">
        <v>0</v>
      </c>
      <c r="BP2574">
        <v>0</v>
      </c>
      <c r="BQ2574">
        <v>0</v>
      </c>
      <c r="BX2574" t="str">
        <f>"14:33:14.398"</f>
        <v>14:33:14.398</v>
      </c>
      <c r="BY2574" t="str">
        <f>"396999616"</f>
        <v>396999616</v>
      </c>
      <c r="CL2574">
        <v>0</v>
      </c>
      <c r="CM2574">
        <v>2</v>
      </c>
      <c r="CN2574">
        <v>0</v>
      </c>
      <c r="CO2574">
        <v>2</v>
      </c>
      <c r="CP2574">
        <v>0</v>
      </c>
      <c r="CQ2574">
        <v>7</v>
      </c>
      <c r="CR2574" t="s">
        <v>116</v>
      </c>
      <c r="CS2574">
        <v>39</v>
      </c>
      <c r="CT2574">
        <v>0</v>
      </c>
      <c r="CU2574" t="s">
        <v>2259</v>
      </c>
      <c r="CV2574" t="s">
        <v>2260</v>
      </c>
      <c r="CY2574">
        <v>2081819</v>
      </c>
      <c r="CZ2574" t="s">
        <v>119</v>
      </c>
    </row>
    <row r="2575" spans="1:104" x14ac:dyDescent="0.25">
      <c r="A2575" t="str">
        <f>"14:33:15.633"</f>
        <v>14:33:15.633</v>
      </c>
      <c r="B2575" t="s">
        <v>108</v>
      </c>
      <c r="C2575" t="str">
        <f t="shared" si="121"/>
        <v>ffdfd3c0</v>
      </c>
      <c r="D2575" t="s">
        <v>109</v>
      </c>
      <c r="E2575">
        <v>4</v>
      </c>
      <c r="F2575">
        <v>1004</v>
      </c>
      <c r="G2575" t="s">
        <v>110</v>
      </c>
      <c r="J2575" t="s">
        <v>111</v>
      </c>
      <c r="K2575">
        <v>0</v>
      </c>
      <c r="L2575">
        <v>3</v>
      </c>
      <c r="M2575">
        <v>0</v>
      </c>
      <c r="N2575">
        <v>2</v>
      </c>
      <c r="O2575">
        <v>1</v>
      </c>
      <c r="P2575">
        <v>0</v>
      </c>
      <c r="Q2575">
        <v>0</v>
      </c>
      <c r="R2575" t="s">
        <v>112</v>
      </c>
      <c r="S2575" t="str">
        <f>"14:33:15.461"</f>
        <v>14:33:15.461</v>
      </c>
      <c r="T2575" t="str">
        <f>"14:33:14.961"</f>
        <v>14:33:14.961</v>
      </c>
      <c r="U2575" t="str">
        <f t="shared" si="120"/>
        <v>ad5732</v>
      </c>
      <c r="V2575">
        <v>0</v>
      </c>
      <c r="W2575">
        <v>0</v>
      </c>
      <c r="X2575">
        <v>1</v>
      </c>
      <c r="Z2575">
        <v>0</v>
      </c>
      <c r="AA2575">
        <v>9</v>
      </c>
      <c r="AB2575">
        <v>3</v>
      </c>
      <c r="AC2575">
        <v>0</v>
      </c>
      <c r="AD2575">
        <v>10</v>
      </c>
      <c r="AE2575">
        <v>0</v>
      </c>
      <c r="AF2575">
        <v>3</v>
      </c>
      <c r="AG2575">
        <v>2</v>
      </c>
      <c r="AH2575">
        <v>0</v>
      </c>
      <c r="AI2575" t="s">
        <v>5264</v>
      </c>
      <c r="AJ2575">
        <v>40.127091</v>
      </c>
      <c r="AK2575" t="s">
        <v>5265</v>
      </c>
      <c r="AL2575">
        <v>-75.378313000000006</v>
      </c>
      <c r="AM2575">
        <v>100</v>
      </c>
      <c r="AN2575">
        <v>4500</v>
      </c>
      <c r="AO2575" t="s">
        <v>115</v>
      </c>
      <c r="AP2575">
        <v>139</v>
      </c>
      <c r="AQ2575">
        <v>129</v>
      </c>
      <c r="AR2575">
        <v>-640</v>
      </c>
      <c r="AZ2575">
        <v>3614</v>
      </c>
      <c r="BA2575">
        <v>1</v>
      </c>
      <c r="BB2575" t="str">
        <f t="shared" si="122"/>
        <v xml:space="preserve">N959MJ  </v>
      </c>
      <c r="BC2575">
        <v>1</v>
      </c>
      <c r="BE2575">
        <v>0</v>
      </c>
      <c r="BF2575">
        <v>0</v>
      </c>
      <c r="BG2575">
        <v>0</v>
      </c>
      <c r="BH2575">
        <v>4775</v>
      </c>
      <c r="BI2575">
        <v>275</v>
      </c>
      <c r="BJ2575">
        <v>1</v>
      </c>
      <c r="BK2575">
        <v>1</v>
      </c>
      <c r="BL2575">
        <v>1</v>
      </c>
      <c r="BM2575">
        <v>0</v>
      </c>
      <c r="BP2575">
        <v>0</v>
      </c>
      <c r="BQ2575">
        <v>0</v>
      </c>
      <c r="BX2575" t="str">
        <f>"14:33:15.469"</f>
        <v>14:33:15.469</v>
      </c>
      <c r="BY2575" t="str">
        <f>"466893743"</f>
        <v>466893743</v>
      </c>
      <c r="CL2575">
        <v>0</v>
      </c>
      <c r="CM2575">
        <v>2</v>
      </c>
      <c r="CN2575">
        <v>0</v>
      </c>
      <c r="CO2575">
        <v>2</v>
      </c>
      <c r="CP2575">
        <v>0</v>
      </c>
      <c r="CQ2575">
        <v>7</v>
      </c>
      <c r="CR2575" t="s">
        <v>116</v>
      </c>
      <c r="CS2575">
        <v>39</v>
      </c>
      <c r="CT2575">
        <v>0</v>
      </c>
      <c r="CU2575" t="s">
        <v>2259</v>
      </c>
      <c r="CV2575" t="s">
        <v>2260</v>
      </c>
      <c r="CY2575">
        <v>2083447</v>
      </c>
      <c r="CZ2575" t="s">
        <v>119</v>
      </c>
    </row>
    <row r="2576" spans="1:104" x14ac:dyDescent="0.25">
      <c r="A2576" t="str">
        <f>"14:33:16.648"</f>
        <v>14:33:16.648</v>
      </c>
      <c r="B2576" t="s">
        <v>108</v>
      </c>
      <c r="C2576" t="str">
        <f t="shared" si="121"/>
        <v>ffdfd3c0</v>
      </c>
      <c r="D2576" t="s">
        <v>109</v>
      </c>
      <c r="E2576">
        <v>4</v>
      </c>
      <c r="F2576">
        <v>1004</v>
      </c>
      <c r="G2576" t="s">
        <v>110</v>
      </c>
      <c r="J2576" t="s">
        <v>111</v>
      </c>
      <c r="K2576">
        <v>0</v>
      </c>
      <c r="L2576">
        <v>3</v>
      </c>
      <c r="M2576">
        <v>0</v>
      </c>
      <c r="N2576">
        <v>2</v>
      </c>
      <c r="O2576">
        <v>1</v>
      </c>
      <c r="P2576">
        <v>0</v>
      </c>
      <c r="Q2576">
        <v>0</v>
      </c>
      <c r="R2576" t="s">
        <v>112</v>
      </c>
      <c r="S2576" t="str">
        <f>"14:33:16.484"</f>
        <v>14:33:16.484</v>
      </c>
      <c r="T2576" t="str">
        <f>"14:33:16.086"</f>
        <v>14:33:16.086</v>
      </c>
      <c r="U2576" t="str">
        <f t="shared" si="120"/>
        <v>ad5732</v>
      </c>
      <c r="V2576">
        <v>0</v>
      </c>
      <c r="W2576">
        <v>0</v>
      </c>
      <c r="X2576">
        <v>1</v>
      </c>
      <c r="Z2576">
        <v>0</v>
      </c>
      <c r="AA2576">
        <v>9</v>
      </c>
      <c r="AB2576">
        <v>3</v>
      </c>
      <c r="AC2576">
        <v>0</v>
      </c>
      <c r="AD2576">
        <v>10</v>
      </c>
      <c r="AE2576">
        <v>0</v>
      </c>
      <c r="AF2576">
        <v>3</v>
      </c>
      <c r="AG2576">
        <v>2</v>
      </c>
      <c r="AH2576">
        <v>0</v>
      </c>
      <c r="AI2576" t="s">
        <v>5266</v>
      </c>
      <c r="AJ2576">
        <v>40.127713999999997</v>
      </c>
      <c r="AK2576" t="s">
        <v>5267</v>
      </c>
      <c r="AL2576">
        <v>-75.377519000000007</v>
      </c>
      <c r="AM2576">
        <v>100</v>
      </c>
      <c r="AN2576">
        <v>4500</v>
      </c>
      <c r="AO2576" t="s">
        <v>115</v>
      </c>
      <c r="AP2576">
        <v>140</v>
      </c>
      <c r="AQ2576">
        <v>130</v>
      </c>
      <c r="AR2576">
        <v>-576</v>
      </c>
      <c r="AZ2576">
        <v>3614</v>
      </c>
      <c r="BA2576">
        <v>1</v>
      </c>
      <c r="BB2576" t="str">
        <f t="shared" si="122"/>
        <v xml:space="preserve">N959MJ  </v>
      </c>
      <c r="BC2576">
        <v>1</v>
      </c>
      <c r="BE2576">
        <v>0</v>
      </c>
      <c r="BF2576">
        <v>0</v>
      </c>
      <c r="BG2576">
        <v>0</v>
      </c>
      <c r="BH2576">
        <v>4750</v>
      </c>
      <c r="BI2576">
        <v>250</v>
      </c>
      <c r="BJ2576">
        <v>1</v>
      </c>
      <c r="BK2576">
        <v>1</v>
      </c>
      <c r="BL2576">
        <v>1</v>
      </c>
      <c r="BM2576">
        <v>0</v>
      </c>
      <c r="BP2576">
        <v>0</v>
      </c>
      <c r="BQ2576">
        <v>0</v>
      </c>
      <c r="BX2576" t="str">
        <f>"14:33:16.492"</f>
        <v>14:33:16.492</v>
      </c>
      <c r="BY2576" t="str">
        <f>"489273319"</f>
        <v>489273319</v>
      </c>
      <c r="CL2576">
        <v>0</v>
      </c>
      <c r="CM2576">
        <v>2</v>
      </c>
      <c r="CN2576">
        <v>0</v>
      </c>
      <c r="CO2576">
        <v>2</v>
      </c>
      <c r="CP2576">
        <v>0</v>
      </c>
      <c r="CQ2576">
        <v>7</v>
      </c>
      <c r="CR2576" t="s">
        <v>116</v>
      </c>
      <c r="CS2576">
        <v>39</v>
      </c>
      <c r="CT2576">
        <v>0</v>
      </c>
      <c r="CU2576" t="s">
        <v>2259</v>
      </c>
      <c r="CV2576" t="s">
        <v>2260</v>
      </c>
      <c r="CY2576">
        <v>2085101</v>
      </c>
      <c r="CZ2576" t="s">
        <v>119</v>
      </c>
    </row>
    <row r="2577" spans="1:104" x14ac:dyDescent="0.25">
      <c r="A2577" t="str">
        <f>"14:33:17.859"</f>
        <v>14:33:17.859</v>
      </c>
      <c r="B2577" t="s">
        <v>108</v>
      </c>
      <c r="C2577" t="str">
        <f t="shared" si="121"/>
        <v>ffdfd3c0</v>
      </c>
      <c r="D2577" t="s">
        <v>109</v>
      </c>
      <c r="E2577">
        <v>4</v>
      </c>
      <c r="F2577">
        <v>1004</v>
      </c>
      <c r="G2577" t="s">
        <v>110</v>
      </c>
      <c r="J2577" t="s">
        <v>111</v>
      </c>
      <c r="K2577">
        <v>0</v>
      </c>
      <c r="L2577">
        <v>3</v>
      </c>
      <c r="M2577">
        <v>0</v>
      </c>
      <c r="N2577">
        <v>2</v>
      </c>
      <c r="O2577">
        <v>1</v>
      </c>
      <c r="P2577">
        <v>0</v>
      </c>
      <c r="Q2577">
        <v>0</v>
      </c>
      <c r="R2577" t="s">
        <v>112</v>
      </c>
      <c r="S2577" t="str">
        <f>"14:33:17.672"</f>
        <v>14:33:17.672</v>
      </c>
      <c r="T2577" t="str">
        <f>"14:33:17.172"</f>
        <v>14:33:17.172</v>
      </c>
      <c r="U2577" t="str">
        <f t="shared" si="120"/>
        <v>ad5732</v>
      </c>
      <c r="V2577">
        <v>0</v>
      </c>
      <c r="W2577">
        <v>0</v>
      </c>
      <c r="X2577">
        <v>1</v>
      </c>
      <c r="Z2577">
        <v>0</v>
      </c>
      <c r="AA2577">
        <v>9</v>
      </c>
      <c r="AB2577">
        <v>3</v>
      </c>
      <c r="AC2577">
        <v>0</v>
      </c>
      <c r="AD2577">
        <v>10</v>
      </c>
      <c r="AE2577">
        <v>0</v>
      </c>
      <c r="AF2577">
        <v>3</v>
      </c>
      <c r="AG2577">
        <v>2</v>
      </c>
      <c r="AH2577">
        <v>0</v>
      </c>
      <c r="AI2577" t="s">
        <v>5268</v>
      </c>
      <c r="AJ2577">
        <v>40.128399999999999</v>
      </c>
      <c r="AK2577" t="s">
        <v>5269</v>
      </c>
      <c r="AL2577">
        <v>-75.376510999999994</v>
      </c>
      <c r="AM2577">
        <v>100</v>
      </c>
      <c r="AN2577">
        <v>4500</v>
      </c>
      <c r="AO2577" t="s">
        <v>115</v>
      </c>
      <c r="AP2577">
        <v>140</v>
      </c>
      <c r="AQ2577">
        <v>130</v>
      </c>
      <c r="AR2577">
        <v>-640</v>
      </c>
      <c r="AZ2577">
        <v>3614</v>
      </c>
      <c r="BA2577">
        <v>1</v>
      </c>
      <c r="BB2577" t="str">
        <f t="shared" si="122"/>
        <v xml:space="preserve">N959MJ  </v>
      </c>
      <c r="BC2577">
        <v>1</v>
      </c>
      <c r="BE2577">
        <v>0</v>
      </c>
      <c r="BF2577">
        <v>0</v>
      </c>
      <c r="BG2577">
        <v>0</v>
      </c>
      <c r="BH2577">
        <v>4750</v>
      </c>
      <c r="BI2577">
        <v>250</v>
      </c>
      <c r="BJ2577">
        <v>1</v>
      </c>
      <c r="BK2577">
        <v>1</v>
      </c>
      <c r="BL2577">
        <v>1</v>
      </c>
      <c r="BM2577">
        <v>0</v>
      </c>
      <c r="BP2577">
        <v>0</v>
      </c>
      <c r="BQ2577">
        <v>0</v>
      </c>
      <c r="BX2577" t="str">
        <f>"14:33:17.672"</f>
        <v>14:33:17.672</v>
      </c>
      <c r="BY2577" t="str">
        <f>"672218988"</f>
        <v>672218988</v>
      </c>
      <c r="CL2577">
        <v>0</v>
      </c>
      <c r="CM2577">
        <v>2</v>
      </c>
      <c r="CN2577">
        <v>0</v>
      </c>
      <c r="CO2577">
        <v>2</v>
      </c>
      <c r="CP2577">
        <v>0</v>
      </c>
      <c r="CQ2577">
        <v>7</v>
      </c>
      <c r="CR2577" t="s">
        <v>116</v>
      </c>
      <c r="CS2577">
        <v>39</v>
      </c>
      <c r="CT2577">
        <v>0</v>
      </c>
      <c r="CU2577" t="s">
        <v>2259</v>
      </c>
      <c r="CV2577" t="s">
        <v>2260</v>
      </c>
      <c r="CY2577">
        <v>2086959</v>
      </c>
      <c r="CZ2577" t="s">
        <v>119</v>
      </c>
    </row>
    <row r="2578" spans="1:104" x14ac:dyDescent="0.25">
      <c r="A2578" t="str">
        <f>"14:33:18.867"</f>
        <v>14:33:18.867</v>
      </c>
      <c r="B2578" t="s">
        <v>108</v>
      </c>
      <c r="C2578" t="str">
        <f t="shared" si="121"/>
        <v>ffdfd3c0</v>
      </c>
      <c r="D2578" t="s">
        <v>109</v>
      </c>
      <c r="E2578">
        <v>4</v>
      </c>
      <c r="F2578">
        <v>1004</v>
      </c>
      <c r="G2578" t="s">
        <v>110</v>
      </c>
      <c r="J2578" t="s">
        <v>111</v>
      </c>
      <c r="K2578">
        <v>0</v>
      </c>
      <c r="L2578">
        <v>3</v>
      </c>
      <c r="M2578">
        <v>0</v>
      </c>
      <c r="N2578">
        <v>2</v>
      </c>
      <c r="O2578">
        <v>1</v>
      </c>
      <c r="P2578">
        <v>0</v>
      </c>
      <c r="Q2578">
        <v>0</v>
      </c>
      <c r="R2578" t="s">
        <v>112</v>
      </c>
      <c r="S2578" t="str">
        <f>"14:33:18.680"</f>
        <v>14:33:18.680</v>
      </c>
      <c r="T2578" t="str">
        <f>"14:33:18.180"</f>
        <v>14:33:18.180</v>
      </c>
      <c r="U2578" t="str">
        <f t="shared" si="120"/>
        <v>ad5732</v>
      </c>
      <c r="V2578">
        <v>0</v>
      </c>
      <c r="W2578">
        <v>0</v>
      </c>
      <c r="X2578">
        <v>1</v>
      </c>
      <c r="Z2578">
        <v>0</v>
      </c>
      <c r="AA2578">
        <v>9</v>
      </c>
      <c r="AB2578">
        <v>3</v>
      </c>
      <c r="AC2578">
        <v>0</v>
      </c>
      <c r="AD2578">
        <v>10</v>
      </c>
      <c r="AE2578">
        <v>0</v>
      </c>
      <c r="AF2578">
        <v>3</v>
      </c>
      <c r="AG2578">
        <v>2</v>
      </c>
      <c r="AH2578">
        <v>0</v>
      </c>
      <c r="AI2578" t="s">
        <v>5270</v>
      </c>
      <c r="AJ2578">
        <v>40.129001000000002</v>
      </c>
      <c r="AK2578" t="s">
        <v>5271</v>
      </c>
      <c r="AL2578">
        <v>-75.375630999999998</v>
      </c>
      <c r="AM2578">
        <v>100</v>
      </c>
      <c r="AN2578">
        <v>4500</v>
      </c>
      <c r="AO2578" t="s">
        <v>115</v>
      </c>
      <c r="AP2578">
        <v>141</v>
      </c>
      <c r="AQ2578">
        <v>130</v>
      </c>
      <c r="AR2578">
        <v>-704</v>
      </c>
      <c r="AZ2578">
        <v>3614</v>
      </c>
      <c r="BA2578">
        <v>1</v>
      </c>
      <c r="BB2578" t="str">
        <f t="shared" si="122"/>
        <v xml:space="preserve">N959MJ  </v>
      </c>
      <c r="BC2578">
        <v>1</v>
      </c>
      <c r="BE2578">
        <v>0</v>
      </c>
      <c r="BF2578">
        <v>0</v>
      </c>
      <c r="BG2578">
        <v>0</v>
      </c>
      <c r="BH2578">
        <v>4725</v>
      </c>
      <c r="BI2578">
        <v>225</v>
      </c>
      <c r="BJ2578">
        <v>1</v>
      </c>
      <c r="BK2578">
        <v>1</v>
      </c>
      <c r="BL2578">
        <v>1</v>
      </c>
      <c r="BM2578">
        <v>0</v>
      </c>
      <c r="BP2578">
        <v>0</v>
      </c>
      <c r="BQ2578">
        <v>0</v>
      </c>
      <c r="BX2578" t="str">
        <f>"14:33:18.680"</f>
        <v>14:33:18.680</v>
      </c>
      <c r="BY2578" t="str">
        <f>"681491188"</f>
        <v>681491188</v>
      </c>
      <c r="CL2578">
        <v>0</v>
      </c>
      <c r="CM2578">
        <v>2</v>
      </c>
      <c r="CN2578">
        <v>0</v>
      </c>
      <c r="CO2578">
        <v>2</v>
      </c>
      <c r="CP2578">
        <v>0</v>
      </c>
      <c r="CQ2578">
        <v>7</v>
      </c>
      <c r="CR2578" t="s">
        <v>116</v>
      </c>
      <c r="CS2578">
        <v>39</v>
      </c>
      <c r="CT2578">
        <v>0</v>
      </c>
      <c r="CU2578" t="s">
        <v>2259</v>
      </c>
      <c r="CV2578" t="s">
        <v>2260</v>
      </c>
      <c r="CY2578">
        <v>2088545</v>
      </c>
      <c r="CZ2578" t="s">
        <v>119</v>
      </c>
    </row>
    <row r="2579" spans="1:104" x14ac:dyDescent="0.25">
      <c r="A2579" t="str">
        <f>"14:33:20.023"</f>
        <v>14:33:20.023</v>
      </c>
      <c r="B2579" t="s">
        <v>108</v>
      </c>
      <c r="C2579" t="str">
        <f t="shared" si="121"/>
        <v>ffdfd3c0</v>
      </c>
      <c r="D2579" t="s">
        <v>109</v>
      </c>
      <c r="E2579">
        <v>4</v>
      </c>
      <c r="F2579">
        <v>1004</v>
      </c>
      <c r="G2579" t="s">
        <v>110</v>
      </c>
      <c r="J2579" t="s">
        <v>111</v>
      </c>
      <c r="K2579">
        <v>0</v>
      </c>
      <c r="L2579">
        <v>3</v>
      </c>
      <c r="M2579">
        <v>0</v>
      </c>
      <c r="N2579">
        <v>2</v>
      </c>
      <c r="O2579">
        <v>1</v>
      </c>
      <c r="P2579">
        <v>0</v>
      </c>
      <c r="Q2579">
        <v>0</v>
      </c>
      <c r="R2579" t="s">
        <v>112</v>
      </c>
      <c r="S2579" t="str">
        <f>"14:33:19.820"</f>
        <v>14:33:19.820</v>
      </c>
      <c r="T2579" t="str">
        <f>"14:33:19.320"</f>
        <v>14:33:19.320</v>
      </c>
      <c r="U2579" t="str">
        <f t="shared" si="120"/>
        <v>ad5732</v>
      </c>
      <c r="V2579">
        <v>0</v>
      </c>
      <c r="W2579">
        <v>0</v>
      </c>
      <c r="X2579">
        <v>1</v>
      </c>
      <c r="Z2579">
        <v>0</v>
      </c>
      <c r="AA2579">
        <v>9</v>
      </c>
      <c r="AB2579">
        <v>3</v>
      </c>
      <c r="AC2579">
        <v>0</v>
      </c>
      <c r="AD2579">
        <v>10</v>
      </c>
      <c r="AE2579">
        <v>0</v>
      </c>
      <c r="AF2579">
        <v>3</v>
      </c>
      <c r="AG2579">
        <v>2</v>
      </c>
      <c r="AH2579">
        <v>0</v>
      </c>
      <c r="AI2579" t="s">
        <v>5272</v>
      </c>
      <c r="AJ2579">
        <v>40.129752000000003</v>
      </c>
      <c r="AK2579" t="s">
        <v>5273</v>
      </c>
      <c r="AL2579">
        <v>-75.374644000000004</v>
      </c>
      <c r="AM2579">
        <v>100</v>
      </c>
      <c r="AN2579">
        <v>4500</v>
      </c>
      <c r="AO2579" t="s">
        <v>115</v>
      </c>
      <c r="AP2579">
        <v>141</v>
      </c>
      <c r="AQ2579">
        <v>130</v>
      </c>
      <c r="AR2579">
        <v>-768</v>
      </c>
      <c r="AZ2579">
        <v>3614</v>
      </c>
      <c r="BA2579">
        <v>1</v>
      </c>
      <c r="BB2579" t="str">
        <f t="shared" si="122"/>
        <v xml:space="preserve">N959MJ  </v>
      </c>
      <c r="BC2579">
        <v>1</v>
      </c>
      <c r="BE2579">
        <v>0</v>
      </c>
      <c r="BF2579">
        <v>0</v>
      </c>
      <c r="BG2579">
        <v>0</v>
      </c>
      <c r="BH2579">
        <v>4725</v>
      </c>
      <c r="BI2579">
        <v>225</v>
      </c>
      <c r="BJ2579">
        <v>1</v>
      </c>
      <c r="BK2579">
        <v>1</v>
      </c>
      <c r="BL2579">
        <v>1</v>
      </c>
      <c r="BM2579">
        <v>0</v>
      </c>
      <c r="BP2579">
        <v>0</v>
      </c>
      <c r="BQ2579">
        <v>0</v>
      </c>
      <c r="BX2579" t="str">
        <f>"14:33:19.820"</f>
        <v>14:33:19.820</v>
      </c>
      <c r="BY2579" t="str">
        <f>"821837759"</f>
        <v>821837759</v>
      </c>
      <c r="CL2579">
        <v>0</v>
      </c>
      <c r="CM2579">
        <v>2</v>
      </c>
      <c r="CN2579">
        <v>0</v>
      </c>
      <c r="CO2579">
        <v>2</v>
      </c>
      <c r="CP2579">
        <v>0</v>
      </c>
      <c r="CQ2579">
        <v>7</v>
      </c>
      <c r="CR2579" t="s">
        <v>116</v>
      </c>
      <c r="CS2579">
        <v>39</v>
      </c>
      <c r="CT2579">
        <v>0</v>
      </c>
      <c r="CU2579" t="s">
        <v>2259</v>
      </c>
      <c r="CV2579" t="s">
        <v>2260</v>
      </c>
      <c r="CY2579">
        <v>2090286</v>
      </c>
      <c r="CZ2579" t="s">
        <v>119</v>
      </c>
    </row>
    <row r="2580" spans="1:104" x14ac:dyDescent="0.25">
      <c r="A2580" t="str">
        <f>"14:33:21.141"</f>
        <v>14:33:21.141</v>
      </c>
      <c r="B2580" t="s">
        <v>108</v>
      </c>
      <c r="C2580" t="str">
        <f t="shared" si="121"/>
        <v>ffdfd3c0</v>
      </c>
      <c r="D2580" t="s">
        <v>109</v>
      </c>
      <c r="E2580">
        <v>4</v>
      </c>
      <c r="F2580">
        <v>1004</v>
      </c>
      <c r="G2580" t="s">
        <v>110</v>
      </c>
      <c r="J2580" t="s">
        <v>111</v>
      </c>
      <c r="K2580">
        <v>0</v>
      </c>
      <c r="L2580">
        <v>3</v>
      </c>
      <c r="M2580">
        <v>0</v>
      </c>
      <c r="N2580">
        <v>2</v>
      </c>
      <c r="O2580">
        <v>1</v>
      </c>
      <c r="P2580">
        <v>0</v>
      </c>
      <c r="Q2580">
        <v>0</v>
      </c>
      <c r="R2580" t="s">
        <v>112</v>
      </c>
      <c r="S2580" t="str">
        <f>"14:33:20.953"</f>
        <v>14:33:20.953</v>
      </c>
      <c r="T2580" t="str">
        <f>"14:33:20.453"</f>
        <v>14:33:20.453</v>
      </c>
      <c r="U2580" t="str">
        <f t="shared" si="120"/>
        <v>ad5732</v>
      </c>
      <c r="V2580">
        <v>0</v>
      </c>
      <c r="W2580">
        <v>0</v>
      </c>
      <c r="X2580">
        <v>1</v>
      </c>
      <c r="Z2580">
        <v>0</v>
      </c>
      <c r="AA2580">
        <v>9</v>
      </c>
      <c r="AB2580">
        <v>3</v>
      </c>
      <c r="AC2580">
        <v>0</v>
      </c>
      <c r="AD2580">
        <v>10</v>
      </c>
      <c r="AE2580">
        <v>0</v>
      </c>
      <c r="AF2580">
        <v>3</v>
      </c>
      <c r="AG2580">
        <v>2</v>
      </c>
      <c r="AH2580">
        <v>0</v>
      </c>
      <c r="AI2580" t="s">
        <v>5274</v>
      </c>
      <c r="AJ2580">
        <v>40.130395999999998</v>
      </c>
      <c r="AK2580" t="s">
        <v>5275</v>
      </c>
      <c r="AL2580">
        <v>-75.373656999999994</v>
      </c>
      <c r="AM2580">
        <v>100</v>
      </c>
      <c r="AN2580">
        <v>4500</v>
      </c>
      <c r="AO2580" t="s">
        <v>115</v>
      </c>
      <c r="AP2580">
        <v>142</v>
      </c>
      <c r="AQ2580">
        <v>131</v>
      </c>
      <c r="AR2580">
        <v>-768</v>
      </c>
      <c r="AZ2580">
        <v>3614</v>
      </c>
      <c r="BA2580">
        <v>1</v>
      </c>
      <c r="BB2580" t="str">
        <f t="shared" si="122"/>
        <v xml:space="preserve">N959MJ  </v>
      </c>
      <c r="BC2580">
        <v>1</v>
      </c>
      <c r="BE2580">
        <v>0</v>
      </c>
      <c r="BF2580">
        <v>0</v>
      </c>
      <c r="BG2580">
        <v>0</v>
      </c>
      <c r="BH2580">
        <v>4700</v>
      </c>
      <c r="BI2580">
        <v>200</v>
      </c>
      <c r="BJ2580">
        <v>1</v>
      </c>
      <c r="BK2580">
        <v>1</v>
      </c>
      <c r="BL2580">
        <v>1</v>
      </c>
      <c r="BM2580">
        <v>0</v>
      </c>
      <c r="BP2580">
        <v>0</v>
      </c>
      <c r="BQ2580">
        <v>0</v>
      </c>
      <c r="BX2580" t="str">
        <f>"14:33:20.961"</f>
        <v>14:33:20.961</v>
      </c>
      <c r="BY2580" t="str">
        <f>"957268936"</f>
        <v>957268936</v>
      </c>
      <c r="CL2580">
        <v>0</v>
      </c>
      <c r="CM2580">
        <v>2</v>
      </c>
      <c r="CN2580">
        <v>0</v>
      </c>
      <c r="CO2580">
        <v>2</v>
      </c>
      <c r="CP2580">
        <v>0</v>
      </c>
      <c r="CQ2580">
        <v>7</v>
      </c>
      <c r="CR2580" t="s">
        <v>116</v>
      </c>
      <c r="CS2580">
        <v>39</v>
      </c>
      <c r="CT2580">
        <v>0</v>
      </c>
      <c r="CU2580" t="s">
        <v>2259</v>
      </c>
      <c r="CV2580" t="s">
        <v>2260</v>
      </c>
      <c r="CY2580">
        <v>2092083</v>
      </c>
      <c r="CZ2580" t="s">
        <v>119</v>
      </c>
    </row>
    <row r="2581" spans="1:104" x14ac:dyDescent="0.25">
      <c r="A2581" t="str">
        <f>"14:33:22.000"</f>
        <v>14:33:22.000</v>
      </c>
      <c r="B2581" t="s">
        <v>108</v>
      </c>
      <c r="C2581" t="str">
        <f t="shared" si="121"/>
        <v>ffdfd3c0</v>
      </c>
      <c r="D2581" t="s">
        <v>109</v>
      </c>
      <c r="E2581">
        <v>4</v>
      </c>
      <c r="F2581">
        <v>1004</v>
      </c>
      <c r="G2581" t="s">
        <v>110</v>
      </c>
      <c r="J2581" t="s">
        <v>111</v>
      </c>
      <c r="K2581">
        <v>0</v>
      </c>
      <c r="L2581">
        <v>3</v>
      </c>
      <c r="M2581">
        <v>0</v>
      </c>
      <c r="N2581">
        <v>2</v>
      </c>
      <c r="O2581">
        <v>1</v>
      </c>
      <c r="P2581">
        <v>0</v>
      </c>
      <c r="Q2581">
        <v>0</v>
      </c>
      <c r="R2581" t="s">
        <v>112</v>
      </c>
      <c r="S2581" t="str">
        <f>"14:33:21.836"</f>
        <v>14:33:21.836</v>
      </c>
      <c r="T2581" t="str">
        <f>"14:33:21.438"</f>
        <v>14:33:21.438</v>
      </c>
      <c r="U2581" t="str">
        <f t="shared" si="120"/>
        <v>ad5732</v>
      </c>
      <c r="V2581">
        <v>0</v>
      </c>
      <c r="W2581">
        <v>0</v>
      </c>
      <c r="X2581">
        <v>1</v>
      </c>
      <c r="Z2581">
        <v>0</v>
      </c>
      <c r="AA2581">
        <v>9</v>
      </c>
      <c r="AB2581">
        <v>3</v>
      </c>
      <c r="AC2581">
        <v>0</v>
      </c>
      <c r="AD2581">
        <v>10</v>
      </c>
      <c r="AE2581">
        <v>0</v>
      </c>
      <c r="AF2581">
        <v>3</v>
      </c>
      <c r="AG2581">
        <v>2</v>
      </c>
      <c r="AH2581">
        <v>0</v>
      </c>
      <c r="AI2581" t="s">
        <v>5276</v>
      </c>
      <c r="AJ2581">
        <v>40.130954000000003</v>
      </c>
      <c r="AK2581" t="s">
        <v>5277</v>
      </c>
      <c r="AL2581">
        <v>-75.372883999999999</v>
      </c>
      <c r="AM2581">
        <v>100</v>
      </c>
      <c r="AN2581">
        <v>4500</v>
      </c>
      <c r="AO2581" t="s">
        <v>115</v>
      </c>
      <c r="AP2581">
        <v>142</v>
      </c>
      <c r="AQ2581">
        <v>131</v>
      </c>
      <c r="AR2581">
        <v>-768</v>
      </c>
      <c r="AZ2581">
        <v>3614</v>
      </c>
      <c r="BA2581">
        <v>1</v>
      </c>
      <c r="BB2581" t="str">
        <f t="shared" si="122"/>
        <v xml:space="preserve">N959MJ  </v>
      </c>
      <c r="BC2581">
        <v>1</v>
      </c>
      <c r="BE2581">
        <v>0</v>
      </c>
      <c r="BF2581">
        <v>0</v>
      </c>
      <c r="BG2581">
        <v>0</v>
      </c>
      <c r="BH2581">
        <v>4700</v>
      </c>
      <c r="BI2581">
        <v>200</v>
      </c>
      <c r="BJ2581">
        <v>1</v>
      </c>
      <c r="BK2581">
        <v>1</v>
      </c>
      <c r="BL2581">
        <v>1</v>
      </c>
      <c r="BM2581">
        <v>0</v>
      </c>
      <c r="BP2581">
        <v>0</v>
      </c>
      <c r="BQ2581">
        <v>0</v>
      </c>
      <c r="BX2581" t="str">
        <f>"14:33:21.844"</f>
        <v>14:33:21.844</v>
      </c>
      <c r="BY2581" t="str">
        <f>"843659077"</f>
        <v>843659077</v>
      </c>
      <c r="CL2581">
        <v>0</v>
      </c>
      <c r="CM2581">
        <v>2</v>
      </c>
      <c r="CN2581">
        <v>0</v>
      </c>
      <c r="CO2581">
        <v>2</v>
      </c>
      <c r="CP2581">
        <v>0</v>
      </c>
      <c r="CQ2581">
        <v>7</v>
      </c>
      <c r="CR2581" t="s">
        <v>116</v>
      </c>
      <c r="CS2581">
        <v>39</v>
      </c>
      <c r="CT2581">
        <v>0</v>
      </c>
      <c r="CU2581" t="s">
        <v>2259</v>
      </c>
      <c r="CV2581" t="s">
        <v>2260</v>
      </c>
      <c r="CY2581">
        <v>2093534</v>
      </c>
      <c r="CZ2581" t="s">
        <v>119</v>
      </c>
    </row>
    <row r="2582" spans="1:104" x14ac:dyDescent="0.25">
      <c r="A2582" t="str">
        <f>"14:33:23.008"</f>
        <v>14:33:23.008</v>
      </c>
      <c r="B2582" t="s">
        <v>108</v>
      </c>
      <c r="C2582" t="str">
        <f t="shared" si="121"/>
        <v>ffdfd3c0</v>
      </c>
      <c r="D2582" t="s">
        <v>109</v>
      </c>
      <c r="E2582">
        <v>4</v>
      </c>
      <c r="F2582">
        <v>1004</v>
      </c>
      <c r="G2582" t="s">
        <v>110</v>
      </c>
      <c r="J2582" t="s">
        <v>111</v>
      </c>
      <c r="K2582">
        <v>0</v>
      </c>
      <c r="L2582">
        <v>3</v>
      </c>
      <c r="M2582">
        <v>0</v>
      </c>
      <c r="N2582">
        <v>2</v>
      </c>
      <c r="O2582">
        <v>1</v>
      </c>
      <c r="P2582">
        <v>0</v>
      </c>
      <c r="Q2582">
        <v>0</v>
      </c>
      <c r="R2582" t="s">
        <v>112</v>
      </c>
      <c r="S2582" t="str">
        <f>"14:33:22.820"</f>
        <v>14:33:22.820</v>
      </c>
      <c r="T2582" t="str">
        <f>"14:33:22.422"</f>
        <v>14:33:22.422</v>
      </c>
      <c r="U2582" t="str">
        <f t="shared" si="120"/>
        <v>ad5732</v>
      </c>
      <c r="V2582">
        <v>0</v>
      </c>
      <c r="W2582">
        <v>0</v>
      </c>
      <c r="X2582">
        <v>1</v>
      </c>
      <c r="Z2582">
        <v>0</v>
      </c>
      <c r="AA2582">
        <v>9</v>
      </c>
      <c r="AB2582">
        <v>3</v>
      </c>
      <c r="AC2582">
        <v>0</v>
      </c>
      <c r="AD2582">
        <v>10</v>
      </c>
      <c r="AE2582">
        <v>0</v>
      </c>
      <c r="AF2582">
        <v>3</v>
      </c>
      <c r="AG2582">
        <v>2</v>
      </c>
      <c r="AH2582">
        <v>0</v>
      </c>
      <c r="AI2582" t="s">
        <v>5278</v>
      </c>
      <c r="AJ2582">
        <v>40.131576000000003</v>
      </c>
      <c r="AK2582" t="s">
        <v>5279</v>
      </c>
      <c r="AL2582">
        <v>-75.372026000000005</v>
      </c>
      <c r="AM2582">
        <v>100</v>
      </c>
      <c r="AN2582">
        <v>4500</v>
      </c>
      <c r="AO2582" t="s">
        <v>115</v>
      </c>
      <c r="AP2582">
        <v>143</v>
      </c>
      <c r="AQ2582">
        <v>131</v>
      </c>
      <c r="AR2582">
        <v>-832</v>
      </c>
      <c r="AZ2582">
        <v>3614</v>
      </c>
      <c r="BA2582">
        <v>1</v>
      </c>
      <c r="BB2582" t="str">
        <f t="shared" si="122"/>
        <v xml:space="preserve">N959MJ  </v>
      </c>
      <c r="BC2582">
        <v>1</v>
      </c>
      <c r="BE2582">
        <v>0</v>
      </c>
      <c r="BF2582">
        <v>0</v>
      </c>
      <c r="BG2582">
        <v>0</v>
      </c>
      <c r="BH2582">
        <v>4675</v>
      </c>
      <c r="BI2582">
        <v>175</v>
      </c>
      <c r="BJ2582">
        <v>1</v>
      </c>
      <c r="BK2582">
        <v>1</v>
      </c>
      <c r="BL2582">
        <v>1</v>
      </c>
      <c r="BM2582">
        <v>0</v>
      </c>
      <c r="BP2582">
        <v>0</v>
      </c>
      <c r="BQ2582">
        <v>0</v>
      </c>
      <c r="BX2582" t="str">
        <f>"14:33:22.820"</f>
        <v>14:33:22.820</v>
      </c>
      <c r="BY2582" t="str">
        <f>"821801023"</f>
        <v>821801023</v>
      </c>
      <c r="CL2582">
        <v>0</v>
      </c>
      <c r="CM2582">
        <v>2</v>
      </c>
      <c r="CN2582">
        <v>0</v>
      </c>
      <c r="CO2582">
        <v>2</v>
      </c>
      <c r="CP2582">
        <v>0</v>
      </c>
      <c r="CQ2582">
        <v>7</v>
      </c>
      <c r="CR2582" t="s">
        <v>116</v>
      </c>
      <c r="CS2582">
        <v>39</v>
      </c>
      <c r="CT2582">
        <v>0</v>
      </c>
      <c r="CU2582" t="s">
        <v>2259</v>
      </c>
      <c r="CV2582" t="s">
        <v>2260</v>
      </c>
      <c r="CY2582">
        <v>2095148</v>
      </c>
      <c r="CZ2582" t="s">
        <v>119</v>
      </c>
    </row>
    <row r="2583" spans="1:104" x14ac:dyDescent="0.25">
      <c r="A2583" t="str">
        <f>"14:33:23.867"</f>
        <v>14:33:23.867</v>
      </c>
      <c r="B2583" t="s">
        <v>108</v>
      </c>
      <c r="C2583" t="str">
        <f t="shared" si="121"/>
        <v>ffdfd3c0</v>
      </c>
      <c r="D2583" t="s">
        <v>109</v>
      </c>
      <c r="E2583">
        <v>4</v>
      </c>
      <c r="F2583">
        <v>1004</v>
      </c>
      <c r="G2583" t="s">
        <v>110</v>
      </c>
      <c r="J2583" t="s">
        <v>111</v>
      </c>
      <c r="K2583">
        <v>0</v>
      </c>
      <c r="L2583">
        <v>3</v>
      </c>
      <c r="M2583">
        <v>0</v>
      </c>
      <c r="N2583">
        <v>2</v>
      </c>
      <c r="O2583">
        <v>1</v>
      </c>
      <c r="P2583">
        <v>0</v>
      </c>
      <c r="Q2583">
        <v>0</v>
      </c>
      <c r="R2583" t="s">
        <v>112</v>
      </c>
      <c r="S2583" t="str">
        <f>"14:33:23.695"</f>
        <v>14:33:23.695</v>
      </c>
      <c r="T2583" t="str">
        <f>"14:33:23.297"</f>
        <v>14:33:23.297</v>
      </c>
      <c r="U2583" t="str">
        <f t="shared" si="120"/>
        <v>ad5732</v>
      </c>
      <c r="V2583">
        <v>0</v>
      </c>
      <c r="W2583">
        <v>0</v>
      </c>
      <c r="X2583">
        <v>1</v>
      </c>
      <c r="Z2583">
        <v>0</v>
      </c>
      <c r="AA2583">
        <v>9</v>
      </c>
      <c r="AB2583">
        <v>3</v>
      </c>
      <c r="AC2583">
        <v>0</v>
      </c>
      <c r="AD2583">
        <v>10</v>
      </c>
      <c r="AE2583">
        <v>0</v>
      </c>
      <c r="AF2583">
        <v>3</v>
      </c>
      <c r="AG2583">
        <v>2</v>
      </c>
      <c r="AH2583">
        <v>0</v>
      </c>
      <c r="AI2583" t="s">
        <v>5280</v>
      </c>
      <c r="AJ2583">
        <v>40.132027000000001</v>
      </c>
      <c r="AK2583" t="s">
        <v>5281</v>
      </c>
      <c r="AL2583">
        <v>-75.371339000000006</v>
      </c>
      <c r="AM2583">
        <v>100</v>
      </c>
      <c r="AN2583">
        <v>4500</v>
      </c>
      <c r="AO2583" t="s">
        <v>115</v>
      </c>
      <c r="AP2583">
        <v>143</v>
      </c>
      <c r="AQ2583">
        <v>131</v>
      </c>
      <c r="AR2583">
        <v>-832</v>
      </c>
      <c r="AZ2583">
        <v>3614</v>
      </c>
      <c r="BA2583">
        <v>1</v>
      </c>
      <c r="BB2583" t="str">
        <f t="shared" si="122"/>
        <v xml:space="preserve">N959MJ  </v>
      </c>
      <c r="BC2583">
        <v>1</v>
      </c>
      <c r="BE2583">
        <v>0</v>
      </c>
      <c r="BF2583">
        <v>0</v>
      </c>
      <c r="BG2583">
        <v>0</v>
      </c>
      <c r="BH2583">
        <v>4675</v>
      </c>
      <c r="BI2583">
        <v>175</v>
      </c>
      <c r="BJ2583">
        <v>1</v>
      </c>
      <c r="BK2583">
        <v>1</v>
      </c>
      <c r="BL2583">
        <v>1</v>
      </c>
      <c r="BM2583">
        <v>0</v>
      </c>
      <c r="BP2583">
        <v>0</v>
      </c>
      <c r="BQ2583">
        <v>0</v>
      </c>
      <c r="BX2583" t="str">
        <f>"14:33:23.703"</f>
        <v>14:33:23.703</v>
      </c>
      <c r="BY2583" t="str">
        <f>"701637408"</f>
        <v>701637408</v>
      </c>
      <c r="CL2583">
        <v>0</v>
      </c>
      <c r="CM2583">
        <v>2</v>
      </c>
      <c r="CN2583">
        <v>0</v>
      </c>
      <c r="CO2583">
        <v>2</v>
      </c>
      <c r="CP2583">
        <v>0</v>
      </c>
      <c r="CQ2583">
        <v>7</v>
      </c>
      <c r="CR2583" t="s">
        <v>116</v>
      </c>
      <c r="CS2583">
        <v>39</v>
      </c>
      <c r="CT2583">
        <v>0</v>
      </c>
      <c r="CU2583" t="s">
        <v>2259</v>
      </c>
      <c r="CV2583" t="s">
        <v>2260</v>
      </c>
      <c r="CY2583">
        <v>2096508</v>
      </c>
      <c r="CZ2583" t="s">
        <v>119</v>
      </c>
    </row>
    <row r="2584" spans="1:104" x14ac:dyDescent="0.25">
      <c r="A2584" t="str">
        <f>"14:33:24.875"</f>
        <v>14:33:24.875</v>
      </c>
      <c r="B2584" t="s">
        <v>108</v>
      </c>
      <c r="C2584" t="str">
        <f t="shared" si="121"/>
        <v>ffdfd3c0</v>
      </c>
      <c r="D2584" t="s">
        <v>109</v>
      </c>
      <c r="E2584">
        <v>4</v>
      </c>
      <c r="F2584">
        <v>1004</v>
      </c>
      <c r="G2584" t="s">
        <v>110</v>
      </c>
      <c r="J2584" t="s">
        <v>111</v>
      </c>
      <c r="K2584">
        <v>0</v>
      </c>
      <c r="L2584">
        <v>3</v>
      </c>
      <c r="M2584">
        <v>0</v>
      </c>
      <c r="N2584">
        <v>2</v>
      </c>
      <c r="O2584">
        <v>1</v>
      </c>
      <c r="P2584">
        <v>0</v>
      </c>
      <c r="Q2584">
        <v>0</v>
      </c>
      <c r="R2584" t="s">
        <v>112</v>
      </c>
      <c r="S2584" t="str">
        <f>"14:33:24.719"</f>
        <v>14:33:24.719</v>
      </c>
      <c r="T2584" t="str">
        <f>"14:33:24.219"</f>
        <v>14:33:24.219</v>
      </c>
      <c r="U2584" t="str">
        <f t="shared" si="120"/>
        <v>ad5732</v>
      </c>
      <c r="V2584">
        <v>0</v>
      </c>
      <c r="W2584">
        <v>0</v>
      </c>
      <c r="X2584">
        <v>1</v>
      </c>
      <c r="Z2584">
        <v>0</v>
      </c>
      <c r="AA2584">
        <v>9</v>
      </c>
      <c r="AB2584">
        <v>3</v>
      </c>
      <c r="AC2584">
        <v>0</v>
      </c>
      <c r="AD2584">
        <v>10</v>
      </c>
      <c r="AE2584">
        <v>0</v>
      </c>
      <c r="AF2584">
        <v>3</v>
      </c>
      <c r="AG2584">
        <v>2</v>
      </c>
      <c r="AH2584">
        <v>0</v>
      </c>
      <c r="AI2584" t="s">
        <v>5282</v>
      </c>
      <c r="AJ2584">
        <v>40.132734999999997</v>
      </c>
      <c r="AK2584" t="s">
        <v>5283</v>
      </c>
      <c r="AL2584">
        <v>-75.370351999999997</v>
      </c>
      <c r="AM2584">
        <v>100</v>
      </c>
      <c r="AN2584">
        <v>4500</v>
      </c>
      <c r="AO2584" t="s">
        <v>115</v>
      </c>
      <c r="AP2584">
        <v>144</v>
      </c>
      <c r="AQ2584">
        <v>131</v>
      </c>
      <c r="AR2584">
        <v>-832</v>
      </c>
      <c r="AZ2584">
        <v>3614</v>
      </c>
      <c r="BA2584">
        <v>1</v>
      </c>
      <c r="BB2584" t="str">
        <f t="shared" si="122"/>
        <v xml:space="preserve">N959MJ  </v>
      </c>
      <c r="BC2584">
        <v>1</v>
      </c>
      <c r="BE2584">
        <v>0</v>
      </c>
      <c r="BF2584">
        <v>0</v>
      </c>
      <c r="BG2584">
        <v>0</v>
      </c>
      <c r="BH2584">
        <v>4650</v>
      </c>
      <c r="BI2584">
        <v>150</v>
      </c>
      <c r="BJ2584">
        <v>1</v>
      </c>
      <c r="BK2584">
        <v>1</v>
      </c>
      <c r="BL2584">
        <v>1</v>
      </c>
      <c r="BM2584">
        <v>0</v>
      </c>
      <c r="BP2584">
        <v>0</v>
      </c>
      <c r="BQ2584">
        <v>0</v>
      </c>
      <c r="BX2584" t="str">
        <f>"14:33:24.719"</f>
        <v>14:33:24.719</v>
      </c>
      <c r="BY2584" t="str">
        <f>"722378578"</f>
        <v>722378578</v>
      </c>
      <c r="CL2584">
        <v>0</v>
      </c>
      <c r="CM2584">
        <v>2</v>
      </c>
      <c r="CN2584">
        <v>0</v>
      </c>
      <c r="CO2584">
        <v>2</v>
      </c>
      <c r="CP2584">
        <v>0</v>
      </c>
      <c r="CQ2584">
        <v>7</v>
      </c>
      <c r="CR2584" t="s">
        <v>116</v>
      </c>
      <c r="CS2584">
        <v>39</v>
      </c>
      <c r="CT2584">
        <v>0</v>
      </c>
      <c r="CU2584" t="s">
        <v>2259</v>
      </c>
      <c r="CV2584" t="s">
        <v>2260</v>
      </c>
      <c r="CY2584">
        <v>2097969</v>
      </c>
      <c r="CZ2584" t="s">
        <v>119</v>
      </c>
    </row>
    <row r="2585" spans="1:104" x14ac:dyDescent="0.25">
      <c r="A2585" t="str">
        <f>"14:33:25.883"</f>
        <v>14:33:25.883</v>
      </c>
      <c r="B2585" t="s">
        <v>108</v>
      </c>
      <c r="C2585" t="str">
        <f t="shared" si="121"/>
        <v>ffdfd3c0</v>
      </c>
      <c r="D2585" t="s">
        <v>109</v>
      </c>
      <c r="E2585">
        <v>4</v>
      </c>
      <c r="F2585">
        <v>1004</v>
      </c>
      <c r="G2585" t="s">
        <v>110</v>
      </c>
      <c r="J2585" t="s">
        <v>111</v>
      </c>
      <c r="K2585">
        <v>0</v>
      </c>
      <c r="L2585">
        <v>3</v>
      </c>
      <c r="M2585">
        <v>0</v>
      </c>
      <c r="N2585">
        <v>2</v>
      </c>
      <c r="O2585">
        <v>1</v>
      </c>
      <c r="P2585">
        <v>0</v>
      </c>
      <c r="Q2585">
        <v>0</v>
      </c>
      <c r="R2585" t="s">
        <v>112</v>
      </c>
      <c r="S2585" t="str">
        <f>"14:33:25.688"</f>
        <v>14:33:25.688</v>
      </c>
      <c r="T2585" t="str">
        <f>"14:33:25.289"</f>
        <v>14:33:25.289</v>
      </c>
      <c r="U2585" t="str">
        <f t="shared" si="120"/>
        <v>ad5732</v>
      </c>
      <c r="V2585">
        <v>0</v>
      </c>
      <c r="W2585">
        <v>0</v>
      </c>
      <c r="X2585">
        <v>1</v>
      </c>
      <c r="Z2585">
        <v>0</v>
      </c>
      <c r="AA2585">
        <v>9</v>
      </c>
      <c r="AB2585">
        <v>3</v>
      </c>
      <c r="AC2585">
        <v>0</v>
      </c>
      <c r="AD2585">
        <v>10</v>
      </c>
      <c r="AE2585">
        <v>0</v>
      </c>
      <c r="AF2585">
        <v>3</v>
      </c>
      <c r="AG2585">
        <v>2</v>
      </c>
      <c r="AH2585">
        <v>0</v>
      </c>
      <c r="AI2585" t="s">
        <v>5284</v>
      </c>
      <c r="AJ2585">
        <v>40.133293000000002</v>
      </c>
      <c r="AK2585" t="s">
        <v>5285</v>
      </c>
      <c r="AL2585">
        <v>-75.369579999999999</v>
      </c>
      <c r="AM2585">
        <v>100</v>
      </c>
      <c r="AN2585">
        <v>4400</v>
      </c>
      <c r="AO2585" t="s">
        <v>115</v>
      </c>
      <c r="AP2585">
        <v>145</v>
      </c>
      <c r="AQ2585">
        <v>132</v>
      </c>
      <c r="AR2585">
        <v>-832</v>
      </c>
      <c r="AZ2585">
        <v>3614</v>
      </c>
      <c r="BA2585">
        <v>1</v>
      </c>
      <c r="BB2585" t="str">
        <f t="shared" si="122"/>
        <v xml:space="preserve">N959MJ  </v>
      </c>
      <c r="BC2585">
        <v>1</v>
      </c>
      <c r="BE2585">
        <v>0</v>
      </c>
      <c r="BF2585">
        <v>0</v>
      </c>
      <c r="BG2585">
        <v>0</v>
      </c>
      <c r="BH2585">
        <v>4650</v>
      </c>
      <c r="BI2585">
        <v>250</v>
      </c>
      <c r="BJ2585">
        <v>1</v>
      </c>
      <c r="BK2585">
        <v>1</v>
      </c>
      <c r="BL2585">
        <v>1</v>
      </c>
      <c r="BM2585">
        <v>0</v>
      </c>
      <c r="BP2585">
        <v>0</v>
      </c>
      <c r="BQ2585">
        <v>0</v>
      </c>
      <c r="BX2585" t="str">
        <f>"14:33:25.688"</f>
        <v>14:33:25.688</v>
      </c>
      <c r="BY2585" t="str">
        <f>"689126152"</f>
        <v>689126152</v>
      </c>
      <c r="CL2585">
        <v>0</v>
      </c>
      <c r="CM2585">
        <v>2</v>
      </c>
      <c r="CN2585">
        <v>0</v>
      </c>
      <c r="CO2585">
        <v>2</v>
      </c>
      <c r="CP2585">
        <v>0</v>
      </c>
      <c r="CQ2585">
        <v>5</v>
      </c>
      <c r="CR2585" t="s">
        <v>116</v>
      </c>
      <c r="CS2585">
        <v>38</v>
      </c>
      <c r="CT2585">
        <v>2</v>
      </c>
      <c r="CU2585" t="s">
        <v>4719</v>
      </c>
      <c r="CV2585" t="s">
        <v>4720</v>
      </c>
      <c r="CY2585">
        <v>10116667</v>
      </c>
      <c r="CZ2585" t="s">
        <v>119</v>
      </c>
    </row>
    <row r="2586" spans="1:104" x14ac:dyDescent="0.25">
      <c r="A2586" t="str">
        <f>"14:33:26.945"</f>
        <v>14:33:26.945</v>
      </c>
      <c r="B2586" t="s">
        <v>108</v>
      </c>
      <c r="C2586" t="str">
        <f t="shared" si="121"/>
        <v>ffdfd3c0</v>
      </c>
      <c r="D2586" t="s">
        <v>109</v>
      </c>
      <c r="E2586">
        <v>4</v>
      </c>
      <c r="F2586">
        <v>1004</v>
      </c>
      <c r="G2586" t="s">
        <v>110</v>
      </c>
      <c r="J2586" t="s">
        <v>111</v>
      </c>
      <c r="K2586">
        <v>0</v>
      </c>
      <c r="L2586">
        <v>3</v>
      </c>
      <c r="M2586">
        <v>0</v>
      </c>
      <c r="N2586">
        <v>2</v>
      </c>
      <c r="O2586">
        <v>1</v>
      </c>
      <c r="P2586">
        <v>0</v>
      </c>
      <c r="Q2586">
        <v>0</v>
      </c>
      <c r="R2586" t="s">
        <v>112</v>
      </c>
      <c r="S2586" t="str">
        <f>"14:33:26.711"</f>
        <v>14:33:26.711</v>
      </c>
      <c r="T2586" t="str">
        <f>"14:33:26.313"</f>
        <v>14:33:26.313</v>
      </c>
      <c r="U2586" t="str">
        <f t="shared" si="120"/>
        <v>ad5732</v>
      </c>
      <c r="V2586">
        <v>0</v>
      </c>
      <c r="W2586">
        <v>0</v>
      </c>
      <c r="X2586">
        <v>1</v>
      </c>
      <c r="Z2586">
        <v>0</v>
      </c>
      <c r="AA2586">
        <v>9</v>
      </c>
      <c r="AB2586">
        <v>3</v>
      </c>
      <c r="AC2586">
        <v>0</v>
      </c>
      <c r="AD2586">
        <v>10</v>
      </c>
      <c r="AE2586">
        <v>0</v>
      </c>
      <c r="AF2586">
        <v>3</v>
      </c>
      <c r="AG2586">
        <v>2</v>
      </c>
      <c r="AH2586">
        <v>0</v>
      </c>
      <c r="AI2586" t="s">
        <v>5286</v>
      </c>
      <c r="AJ2586">
        <v>40.133935999999999</v>
      </c>
      <c r="AK2586" t="s">
        <v>5287</v>
      </c>
      <c r="AL2586">
        <v>-75.368656999999999</v>
      </c>
      <c r="AM2586">
        <v>100</v>
      </c>
      <c r="AN2586">
        <v>4400</v>
      </c>
      <c r="AO2586" t="s">
        <v>115</v>
      </c>
      <c r="AP2586">
        <v>145</v>
      </c>
      <c r="AQ2586">
        <v>132</v>
      </c>
      <c r="AR2586">
        <v>-768</v>
      </c>
      <c r="AZ2586">
        <v>3614</v>
      </c>
      <c r="BA2586">
        <v>1</v>
      </c>
      <c r="BB2586" t="str">
        <f t="shared" si="122"/>
        <v xml:space="preserve">N959MJ  </v>
      </c>
      <c r="BC2586">
        <v>1</v>
      </c>
      <c r="BE2586">
        <v>0</v>
      </c>
      <c r="BF2586">
        <v>0</v>
      </c>
      <c r="BG2586">
        <v>0</v>
      </c>
      <c r="BH2586">
        <v>4625</v>
      </c>
      <c r="BI2586">
        <v>225</v>
      </c>
      <c r="BJ2586">
        <v>1</v>
      </c>
      <c r="BK2586">
        <v>1</v>
      </c>
      <c r="BL2586">
        <v>1</v>
      </c>
      <c r="BM2586">
        <v>0</v>
      </c>
      <c r="BP2586">
        <v>0</v>
      </c>
      <c r="BQ2586">
        <v>0</v>
      </c>
      <c r="BX2586" t="str">
        <f>"14:33:26.711"</f>
        <v>14:33:26.711</v>
      </c>
      <c r="BY2586" t="str">
        <f>"713085338"</f>
        <v>713085338</v>
      </c>
      <c r="CL2586">
        <v>0</v>
      </c>
      <c r="CM2586">
        <v>2</v>
      </c>
      <c r="CN2586">
        <v>0</v>
      </c>
      <c r="CO2586">
        <v>2</v>
      </c>
      <c r="CP2586">
        <v>0</v>
      </c>
      <c r="CQ2586">
        <v>5</v>
      </c>
      <c r="CR2586" t="s">
        <v>5173</v>
      </c>
      <c r="CS2586">
        <v>43</v>
      </c>
      <c r="CT2586">
        <v>0</v>
      </c>
      <c r="CU2586" t="s">
        <v>5288</v>
      </c>
      <c r="CV2586" t="s">
        <v>5289</v>
      </c>
      <c r="CY2586">
        <v>8505013</v>
      </c>
      <c r="CZ2586" t="s">
        <v>119</v>
      </c>
    </row>
    <row r="2587" spans="1:104" x14ac:dyDescent="0.25">
      <c r="A2587" t="str">
        <f>"14:33:27.953"</f>
        <v>14:33:27.953</v>
      </c>
      <c r="B2587" t="s">
        <v>108</v>
      </c>
      <c r="C2587" t="str">
        <f t="shared" si="121"/>
        <v>ffdfd3c0</v>
      </c>
      <c r="D2587" t="s">
        <v>109</v>
      </c>
      <c r="E2587">
        <v>4</v>
      </c>
      <c r="F2587">
        <v>1004</v>
      </c>
      <c r="G2587" t="s">
        <v>110</v>
      </c>
      <c r="J2587" t="s">
        <v>111</v>
      </c>
      <c r="K2587">
        <v>0</v>
      </c>
      <c r="L2587">
        <v>3</v>
      </c>
      <c r="M2587">
        <v>0</v>
      </c>
      <c r="N2587">
        <v>2</v>
      </c>
      <c r="O2587">
        <v>1</v>
      </c>
      <c r="P2587">
        <v>0</v>
      </c>
      <c r="Q2587">
        <v>0</v>
      </c>
      <c r="R2587" t="s">
        <v>112</v>
      </c>
      <c r="S2587" t="str">
        <f>"14:33:27.773"</f>
        <v>14:33:27.773</v>
      </c>
      <c r="T2587" t="str">
        <f>"14:33:27.273"</f>
        <v>14:33:27.273</v>
      </c>
      <c r="U2587" t="str">
        <f t="shared" si="120"/>
        <v>ad5732</v>
      </c>
      <c r="V2587">
        <v>0</v>
      </c>
      <c r="W2587">
        <v>0</v>
      </c>
      <c r="X2587">
        <v>1</v>
      </c>
      <c r="Z2587">
        <v>0</v>
      </c>
      <c r="AA2587">
        <v>9</v>
      </c>
      <c r="AB2587">
        <v>3</v>
      </c>
      <c r="AC2587">
        <v>0</v>
      </c>
      <c r="AD2587">
        <v>10</v>
      </c>
      <c r="AE2587">
        <v>0</v>
      </c>
      <c r="AF2587">
        <v>3</v>
      </c>
      <c r="AG2587">
        <v>2</v>
      </c>
      <c r="AH2587">
        <v>0</v>
      </c>
      <c r="AI2587" t="s">
        <v>5290</v>
      </c>
      <c r="AJ2587">
        <v>40.134559000000003</v>
      </c>
      <c r="AK2587" t="s">
        <v>5291</v>
      </c>
      <c r="AL2587">
        <v>-75.367733999999999</v>
      </c>
      <c r="AM2587">
        <v>100</v>
      </c>
      <c r="AN2587">
        <v>4400</v>
      </c>
      <c r="AO2587" t="s">
        <v>115</v>
      </c>
      <c r="AP2587">
        <v>146</v>
      </c>
      <c r="AQ2587">
        <v>132</v>
      </c>
      <c r="AR2587">
        <v>-768</v>
      </c>
      <c r="AZ2587">
        <v>3614</v>
      </c>
      <c r="BA2587">
        <v>1</v>
      </c>
      <c r="BB2587" t="str">
        <f t="shared" si="122"/>
        <v xml:space="preserve">N959MJ  </v>
      </c>
      <c r="BC2587">
        <v>1</v>
      </c>
      <c r="BE2587">
        <v>0</v>
      </c>
      <c r="BF2587">
        <v>0</v>
      </c>
      <c r="BG2587">
        <v>0</v>
      </c>
      <c r="BH2587">
        <v>4625</v>
      </c>
      <c r="BI2587">
        <v>225</v>
      </c>
      <c r="BJ2587">
        <v>1</v>
      </c>
      <c r="BK2587">
        <v>1</v>
      </c>
      <c r="BL2587">
        <v>1</v>
      </c>
      <c r="BM2587">
        <v>0</v>
      </c>
      <c r="BP2587">
        <v>0</v>
      </c>
      <c r="BQ2587">
        <v>0</v>
      </c>
      <c r="BX2587" t="str">
        <f>"14:33:27.781"</f>
        <v>14:33:27.781</v>
      </c>
      <c r="BY2587" t="str">
        <f>"779686934"</f>
        <v>779686934</v>
      </c>
      <c r="CL2587">
        <v>0</v>
      </c>
      <c r="CM2587">
        <v>2</v>
      </c>
      <c r="CN2587">
        <v>0</v>
      </c>
      <c r="CO2587">
        <v>2</v>
      </c>
      <c r="CP2587">
        <v>0</v>
      </c>
      <c r="CQ2587">
        <v>7</v>
      </c>
      <c r="CR2587" t="s">
        <v>116</v>
      </c>
      <c r="CS2587">
        <v>39</v>
      </c>
      <c r="CT2587">
        <v>0</v>
      </c>
      <c r="CU2587" t="s">
        <v>2259</v>
      </c>
      <c r="CV2587" t="s">
        <v>2260</v>
      </c>
      <c r="CY2587">
        <v>2102731</v>
      </c>
      <c r="CZ2587" t="s">
        <v>119</v>
      </c>
    </row>
    <row r="2588" spans="1:104" x14ac:dyDescent="0.25">
      <c r="A2588" t="str">
        <f>"14:33:28.961"</f>
        <v>14:33:28.961</v>
      </c>
      <c r="B2588" t="s">
        <v>108</v>
      </c>
      <c r="C2588" t="str">
        <f t="shared" si="121"/>
        <v>ffdfd3c0</v>
      </c>
      <c r="D2588" t="s">
        <v>109</v>
      </c>
      <c r="E2588">
        <v>4</v>
      </c>
      <c r="F2588">
        <v>1004</v>
      </c>
      <c r="G2588" t="s">
        <v>110</v>
      </c>
      <c r="J2588" t="s">
        <v>111</v>
      </c>
      <c r="K2588">
        <v>0</v>
      </c>
      <c r="L2588">
        <v>3</v>
      </c>
      <c r="M2588">
        <v>0</v>
      </c>
      <c r="N2588">
        <v>2</v>
      </c>
      <c r="O2588">
        <v>1</v>
      </c>
      <c r="P2588">
        <v>0</v>
      </c>
      <c r="Q2588">
        <v>0</v>
      </c>
      <c r="R2588" t="s">
        <v>112</v>
      </c>
      <c r="S2588" t="str">
        <f>"14:33:28.813"</f>
        <v>14:33:28.813</v>
      </c>
      <c r="T2588" t="str">
        <f>"14:33:28.414"</f>
        <v>14:33:28.414</v>
      </c>
      <c r="U2588" t="str">
        <f t="shared" si="120"/>
        <v>ad5732</v>
      </c>
      <c r="V2588">
        <v>0</v>
      </c>
      <c r="W2588">
        <v>0</v>
      </c>
      <c r="X2588">
        <v>1</v>
      </c>
      <c r="Z2588">
        <v>0</v>
      </c>
      <c r="AA2588">
        <v>9</v>
      </c>
      <c r="AB2588">
        <v>3</v>
      </c>
      <c r="AC2588">
        <v>0</v>
      </c>
      <c r="AD2588">
        <v>10</v>
      </c>
      <c r="AE2588">
        <v>0</v>
      </c>
      <c r="AF2588">
        <v>3</v>
      </c>
      <c r="AG2588">
        <v>2</v>
      </c>
      <c r="AH2588">
        <v>0</v>
      </c>
      <c r="AI2588" t="s">
        <v>5292</v>
      </c>
      <c r="AJ2588">
        <v>40.135244999999998</v>
      </c>
      <c r="AK2588" t="s">
        <v>5293</v>
      </c>
      <c r="AL2588">
        <v>-75.366769000000005</v>
      </c>
      <c r="AM2588">
        <v>100</v>
      </c>
      <c r="AN2588">
        <v>4400</v>
      </c>
      <c r="AO2588" t="s">
        <v>115</v>
      </c>
      <c r="AP2588">
        <v>146</v>
      </c>
      <c r="AQ2588">
        <v>132</v>
      </c>
      <c r="AR2588">
        <v>-768</v>
      </c>
      <c r="AZ2588">
        <v>3614</v>
      </c>
      <c r="BA2588">
        <v>1</v>
      </c>
      <c r="BB2588" t="str">
        <f t="shared" si="122"/>
        <v xml:space="preserve">N959MJ  </v>
      </c>
      <c r="BC2588">
        <v>1</v>
      </c>
      <c r="BE2588">
        <v>0</v>
      </c>
      <c r="BF2588">
        <v>0</v>
      </c>
      <c r="BG2588">
        <v>0</v>
      </c>
      <c r="BH2588">
        <v>4600</v>
      </c>
      <c r="BI2588">
        <v>200</v>
      </c>
      <c r="BJ2588">
        <v>1</v>
      </c>
      <c r="BK2588">
        <v>1</v>
      </c>
      <c r="BL2588">
        <v>1</v>
      </c>
      <c r="BM2588">
        <v>0</v>
      </c>
      <c r="BP2588">
        <v>0</v>
      </c>
      <c r="BQ2588">
        <v>0</v>
      </c>
      <c r="BX2588" t="str">
        <f>"14:33:28.820"</f>
        <v>14:33:28.820</v>
      </c>
      <c r="BY2588" t="str">
        <f>"816812459"</f>
        <v>816812459</v>
      </c>
      <c r="CL2588">
        <v>0</v>
      </c>
      <c r="CM2588">
        <v>2</v>
      </c>
      <c r="CN2588">
        <v>0</v>
      </c>
      <c r="CO2588">
        <v>2</v>
      </c>
      <c r="CP2588">
        <v>0</v>
      </c>
      <c r="CQ2588">
        <v>7</v>
      </c>
      <c r="CR2588" t="s">
        <v>116</v>
      </c>
      <c r="CS2588">
        <v>39</v>
      </c>
      <c r="CT2588">
        <v>0</v>
      </c>
      <c r="CU2588" t="s">
        <v>2259</v>
      </c>
      <c r="CV2588" t="s">
        <v>2260</v>
      </c>
      <c r="CY2588">
        <v>2104270</v>
      </c>
      <c r="CZ2588" t="s">
        <v>119</v>
      </c>
    </row>
    <row r="2589" spans="1:104" x14ac:dyDescent="0.25">
      <c r="A2589" t="str">
        <f>"14:33:29.922"</f>
        <v>14:33:29.922</v>
      </c>
      <c r="B2589" t="s">
        <v>108</v>
      </c>
      <c r="C2589" t="str">
        <f t="shared" si="121"/>
        <v>ffdfd3c0</v>
      </c>
      <c r="D2589" t="s">
        <v>109</v>
      </c>
      <c r="E2589">
        <v>4</v>
      </c>
      <c r="F2589">
        <v>1004</v>
      </c>
      <c r="G2589" t="s">
        <v>110</v>
      </c>
      <c r="J2589" t="s">
        <v>111</v>
      </c>
      <c r="K2589">
        <v>0</v>
      </c>
      <c r="L2589">
        <v>3</v>
      </c>
      <c r="M2589">
        <v>0</v>
      </c>
      <c r="N2589">
        <v>2</v>
      </c>
      <c r="O2589">
        <v>1</v>
      </c>
      <c r="P2589">
        <v>0</v>
      </c>
      <c r="Q2589">
        <v>0</v>
      </c>
      <c r="R2589" t="s">
        <v>112</v>
      </c>
      <c r="S2589" t="str">
        <f>"14:33:29.742"</f>
        <v>14:33:29.742</v>
      </c>
      <c r="T2589" t="str">
        <f>"14:33:29.242"</f>
        <v>14:33:29.242</v>
      </c>
      <c r="U2589" t="str">
        <f t="shared" si="120"/>
        <v>ad5732</v>
      </c>
      <c r="V2589">
        <v>0</v>
      </c>
      <c r="W2589">
        <v>0</v>
      </c>
      <c r="X2589">
        <v>1</v>
      </c>
      <c r="Z2589">
        <v>0</v>
      </c>
      <c r="AA2589">
        <v>9</v>
      </c>
      <c r="AB2589">
        <v>3</v>
      </c>
      <c r="AC2589">
        <v>0</v>
      </c>
      <c r="AD2589">
        <v>10</v>
      </c>
      <c r="AE2589">
        <v>0</v>
      </c>
      <c r="AF2589">
        <v>3</v>
      </c>
      <c r="AG2589">
        <v>2</v>
      </c>
      <c r="AH2589">
        <v>0</v>
      </c>
      <c r="AI2589" t="s">
        <v>5294</v>
      </c>
      <c r="AJ2589">
        <v>40.135759999999998</v>
      </c>
      <c r="AK2589" t="s">
        <v>5295</v>
      </c>
      <c r="AL2589">
        <v>-75.365975000000006</v>
      </c>
      <c r="AM2589">
        <v>100</v>
      </c>
      <c r="AN2589">
        <v>4400</v>
      </c>
      <c r="AO2589" t="s">
        <v>115</v>
      </c>
      <c r="AP2589">
        <v>146</v>
      </c>
      <c r="AQ2589">
        <v>132</v>
      </c>
      <c r="AR2589">
        <v>-768</v>
      </c>
      <c r="AZ2589">
        <v>3614</v>
      </c>
      <c r="BA2589">
        <v>1</v>
      </c>
      <c r="BB2589" t="str">
        <f t="shared" si="122"/>
        <v xml:space="preserve">N959MJ  </v>
      </c>
      <c r="BC2589">
        <v>1</v>
      </c>
      <c r="BE2589">
        <v>0</v>
      </c>
      <c r="BF2589">
        <v>0</v>
      </c>
      <c r="BG2589">
        <v>0</v>
      </c>
      <c r="BH2589">
        <v>4600</v>
      </c>
      <c r="BI2589">
        <v>200</v>
      </c>
      <c r="BJ2589">
        <v>1</v>
      </c>
      <c r="BK2589">
        <v>1</v>
      </c>
      <c r="BL2589">
        <v>1</v>
      </c>
      <c r="BM2589">
        <v>0</v>
      </c>
      <c r="BP2589">
        <v>0</v>
      </c>
      <c r="BQ2589">
        <v>0</v>
      </c>
      <c r="BX2589" t="str">
        <f>"14:33:29.742"</f>
        <v>14:33:29.742</v>
      </c>
      <c r="BY2589" t="str">
        <f>"742524785"</f>
        <v>742524785</v>
      </c>
      <c r="CL2589">
        <v>0</v>
      </c>
      <c r="CM2589">
        <v>2</v>
      </c>
      <c r="CN2589">
        <v>0</v>
      </c>
      <c r="CO2589">
        <v>2</v>
      </c>
      <c r="CP2589">
        <v>0</v>
      </c>
      <c r="CQ2589">
        <v>7</v>
      </c>
      <c r="CR2589" t="s">
        <v>116</v>
      </c>
      <c r="CS2589">
        <v>39</v>
      </c>
      <c r="CT2589">
        <v>0</v>
      </c>
      <c r="CU2589" t="s">
        <v>2259</v>
      </c>
      <c r="CV2589" t="s">
        <v>2260</v>
      </c>
      <c r="CY2589">
        <v>2105672</v>
      </c>
      <c r="CZ2589" t="s">
        <v>119</v>
      </c>
    </row>
    <row r="2590" spans="1:104" x14ac:dyDescent="0.25">
      <c r="A2590" t="str">
        <f>"14:33:30.984"</f>
        <v>14:33:30.984</v>
      </c>
      <c r="B2590" t="s">
        <v>108</v>
      </c>
      <c r="C2590" t="str">
        <f t="shared" si="121"/>
        <v>ffdfd3c0</v>
      </c>
      <c r="D2590" t="s">
        <v>109</v>
      </c>
      <c r="E2590">
        <v>4</v>
      </c>
      <c r="F2590">
        <v>1004</v>
      </c>
      <c r="G2590" t="s">
        <v>110</v>
      </c>
      <c r="J2590" t="s">
        <v>111</v>
      </c>
      <c r="K2590">
        <v>0</v>
      </c>
      <c r="L2590">
        <v>3</v>
      </c>
      <c r="M2590">
        <v>0</v>
      </c>
      <c r="N2590">
        <v>2</v>
      </c>
      <c r="O2590">
        <v>1</v>
      </c>
      <c r="P2590">
        <v>0</v>
      </c>
      <c r="Q2590">
        <v>0</v>
      </c>
      <c r="R2590" t="s">
        <v>112</v>
      </c>
      <c r="S2590" t="str">
        <f>"14:33:30.828"</f>
        <v>14:33:30.828</v>
      </c>
      <c r="T2590" t="str">
        <f>"14:33:30.328"</f>
        <v>14:33:30.328</v>
      </c>
      <c r="U2590" t="str">
        <f t="shared" si="120"/>
        <v>ad5732</v>
      </c>
      <c r="V2590">
        <v>0</v>
      </c>
      <c r="W2590">
        <v>0</v>
      </c>
      <c r="X2590">
        <v>1</v>
      </c>
      <c r="Z2590">
        <v>0</v>
      </c>
      <c r="AA2590">
        <v>9</v>
      </c>
      <c r="AB2590">
        <v>3</v>
      </c>
      <c r="AC2590">
        <v>0</v>
      </c>
      <c r="AD2590">
        <v>10</v>
      </c>
      <c r="AE2590">
        <v>0</v>
      </c>
      <c r="AF2590">
        <v>3</v>
      </c>
      <c r="AG2590">
        <v>2</v>
      </c>
      <c r="AH2590">
        <v>0</v>
      </c>
      <c r="AI2590" t="s">
        <v>5296</v>
      </c>
      <c r="AJ2590">
        <v>40.136446999999997</v>
      </c>
      <c r="AK2590" t="s">
        <v>5297</v>
      </c>
      <c r="AL2590">
        <v>-75.365031000000002</v>
      </c>
      <c r="AM2590">
        <v>100</v>
      </c>
      <c r="AN2590">
        <v>4400</v>
      </c>
      <c r="AO2590" t="s">
        <v>115</v>
      </c>
      <c r="AP2590">
        <v>147</v>
      </c>
      <c r="AQ2590">
        <v>132</v>
      </c>
      <c r="AR2590">
        <v>-704</v>
      </c>
      <c r="AZ2590">
        <v>3614</v>
      </c>
      <c r="BA2590">
        <v>1</v>
      </c>
      <c r="BB2590" t="str">
        <f t="shared" si="122"/>
        <v xml:space="preserve">N959MJ  </v>
      </c>
      <c r="BC2590">
        <v>1</v>
      </c>
      <c r="BE2590">
        <v>0</v>
      </c>
      <c r="BF2590">
        <v>0</v>
      </c>
      <c r="BG2590">
        <v>0</v>
      </c>
      <c r="BH2590">
        <v>4575</v>
      </c>
      <c r="BI2590">
        <v>175</v>
      </c>
      <c r="BJ2590">
        <v>1</v>
      </c>
      <c r="BK2590">
        <v>1</v>
      </c>
      <c r="BL2590">
        <v>1</v>
      </c>
      <c r="BM2590">
        <v>0</v>
      </c>
      <c r="BP2590">
        <v>0</v>
      </c>
      <c r="BQ2590">
        <v>0</v>
      </c>
      <c r="BX2590" t="str">
        <f>"14:33:30.828"</f>
        <v>14:33:30.828</v>
      </c>
      <c r="BY2590" t="str">
        <f>"830441627"</f>
        <v>830441627</v>
      </c>
      <c r="CL2590">
        <v>0</v>
      </c>
      <c r="CM2590">
        <v>2</v>
      </c>
      <c r="CN2590">
        <v>0</v>
      </c>
      <c r="CO2590">
        <v>2</v>
      </c>
      <c r="CP2590">
        <v>0</v>
      </c>
      <c r="CQ2590">
        <v>7</v>
      </c>
      <c r="CR2590" t="s">
        <v>116</v>
      </c>
      <c r="CS2590">
        <v>39</v>
      </c>
      <c r="CT2590">
        <v>0</v>
      </c>
      <c r="CU2590" t="s">
        <v>2259</v>
      </c>
      <c r="CV2590" t="s">
        <v>2260</v>
      </c>
      <c r="CY2590">
        <v>2107408</v>
      </c>
      <c r="CZ2590" t="s">
        <v>119</v>
      </c>
    </row>
    <row r="2591" spans="1:104" x14ac:dyDescent="0.25">
      <c r="A2591" t="str">
        <f>"14:33:32.148"</f>
        <v>14:33:32.148</v>
      </c>
      <c r="B2591" t="s">
        <v>108</v>
      </c>
      <c r="C2591" t="str">
        <f t="shared" si="121"/>
        <v>ffdfd3c0</v>
      </c>
      <c r="D2591" t="s">
        <v>109</v>
      </c>
      <c r="E2591">
        <v>4</v>
      </c>
      <c r="F2591">
        <v>1004</v>
      </c>
      <c r="G2591" t="s">
        <v>110</v>
      </c>
      <c r="J2591" t="s">
        <v>111</v>
      </c>
      <c r="K2591">
        <v>0</v>
      </c>
      <c r="L2591">
        <v>3</v>
      </c>
      <c r="M2591">
        <v>0</v>
      </c>
      <c r="N2591">
        <v>2</v>
      </c>
      <c r="O2591">
        <v>1</v>
      </c>
      <c r="P2591">
        <v>0</v>
      </c>
      <c r="Q2591">
        <v>0</v>
      </c>
      <c r="R2591" t="s">
        <v>112</v>
      </c>
      <c r="S2591" t="str">
        <f>"14:33:31.945"</f>
        <v>14:33:31.945</v>
      </c>
      <c r="T2591" t="str">
        <f>"14:33:31.445"</f>
        <v>14:33:31.445</v>
      </c>
      <c r="U2591" t="str">
        <f t="shared" si="120"/>
        <v>ad5732</v>
      </c>
      <c r="V2591">
        <v>0</v>
      </c>
      <c r="W2591">
        <v>0</v>
      </c>
      <c r="X2591">
        <v>1</v>
      </c>
      <c r="Z2591">
        <v>0</v>
      </c>
      <c r="AA2591">
        <v>9</v>
      </c>
      <c r="AB2591">
        <v>3</v>
      </c>
      <c r="AC2591">
        <v>0</v>
      </c>
      <c r="AD2591">
        <v>10</v>
      </c>
      <c r="AE2591">
        <v>0</v>
      </c>
      <c r="AF2591">
        <v>3</v>
      </c>
      <c r="AG2591">
        <v>2</v>
      </c>
      <c r="AH2591">
        <v>0</v>
      </c>
      <c r="AI2591" t="s">
        <v>5298</v>
      </c>
      <c r="AJ2591">
        <v>40.137134000000003</v>
      </c>
      <c r="AK2591" t="s">
        <v>5299</v>
      </c>
      <c r="AL2591">
        <v>-75.364022000000006</v>
      </c>
      <c r="AM2591">
        <v>100</v>
      </c>
      <c r="AN2591">
        <v>4300</v>
      </c>
      <c r="AO2591" t="s">
        <v>115</v>
      </c>
      <c r="AP2591">
        <v>147</v>
      </c>
      <c r="AQ2591">
        <v>133</v>
      </c>
      <c r="AR2591">
        <v>-704</v>
      </c>
      <c r="AZ2591">
        <v>3614</v>
      </c>
      <c r="BA2591">
        <v>1</v>
      </c>
      <c r="BB2591" t="str">
        <f t="shared" si="122"/>
        <v xml:space="preserve">N959MJ  </v>
      </c>
      <c r="BC2591">
        <v>1</v>
      </c>
      <c r="BE2591">
        <v>0</v>
      </c>
      <c r="BF2591">
        <v>0</v>
      </c>
      <c r="BG2591">
        <v>0</v>
      </c>
      <c r="BH2591">
        <v>4575</v>
      </c>
      <c r="BI2591">
        <v>275</v>
      </c>
      <c r="BJ2591">
        <v>1</v>
      </c>
      <c r="BK2591">
        <v>1</v>
      </c>
      <c r="BL2591">
        <v>1</v>
      </c>
      <c r="BM2591">
        <v>0</v>
      </c>
      <c r="BP2591">
        <v>0</v>
      </c>
      <c r="BQ2591">
        <v>0</v>
      </c>
      <c r="BX2591" t="str">
        <f>"14:33:31.953"</f>
        <v>14:33:31.953</v>
      </c>
      <c r="BY2591" t="str">
        <f>"949488594"</f>
        <v>949488594</v>
      </c>
      <c r="CL2591">
        <v>0</v>
      </c>
      <c r="CM2591">
        <v>2</v>
      </c>
      <c r="CN2591">
        <v>0</v>
      </c>
      <c r="CO2591">
        <v>2</v>
      </c>
      <c r="CP2591">
        <v>0</v>
      </c>
      <c r="CQ2591">
        <v>7</v>
      </c>
      <c r="CR2591" t="s">
        <v>116</v>
      </c>
      <c r="CS2591">
        <v>39</v>
      </c>
      <c r="CT2591">
        <v>0</v>
      </c>
      <c r="CU2591" t="s">
        <v>2259</v>
      </c>
      <c r="CV2591" t="s">
        <v>2260</v>
      </c>
      <c r="CY2591">
        <v>2109189</v>
      </c>
      <c r="CZ2591" t="s">
        <v>119</v>
      </c>
    </row>
    <row r="2592" spans="1:104" x14ac:dyDescent="0.25">
      <c r="A2592" t="str">
        <f>"14:33:33.102"</f>
        <v>14:33:33.102</v>
      </c>
      <c r="B2592" t="s">
        <v>108</v>
      </c>
      <c r="C2592" t="str">
        <f t="shared" si="121"/>
        <v>ffdfd3c0</v>
      </c>
      <c r="D2592" t="s">
        <v>109</v>
      </c>
      <c r="E2592">
        <v>4</v>
      </c>
      <c r="F2592">
        <v>1004</v>
      </c>
      <c r="G2592" t="s">
        <v>110</v>
      </c>
      <c r="J2592" t="s">
        <v>111</v>
      </c>
      <c r="K2592">
        <v>0</v>
      </c>
      <c r="L2592">
        <v>3</v>
      </c>
      <c r="M2592">
        <v>0</v>
      </c>
      <c r="N2592">
        <v>2</v>
      </c>
      <c r="O2592">
        <v>1</v>
      </c>
      <c r="P2592">
        <v>0</v>
      </c>
      <c r="Q2592">
        <v>0</v>
      </c>
      <c r="R2592" t="s">
        <v>112</v>
      </c>
      <c r="S2592" t="str">
        <f>"14:33:32.930"</f>
        <v>14:33:32.930</v>
      </c>
      <c r="T2592" t="str">
        <f>"14:33:32.531"</f>
        <v>14:33:32.531</v>
      </c>
      <c r="U2592" t="str">
        <f t="shared" si="120"/>
        <v>ad5732</v>
      </c>
      <c r="V2592">
        <v>0</v>
      </c>
      <c r="W2592">
        <v>0</v>
      </c>
      <c r="X2592">
        <v>1</v>
      </c>
      <c r="Z2592">
        <v>0</v>
      </c>
      <c r="AA2592">
        <v>9</v>
      </c>
      <c r="AB2592">
        <v>3</v>
      </c>
      <c r="AC2592">
        <v>0</v>
      </c>
      <c r="AD2592">
        <v>10</v>
      </c>
      <c r="AE2592">
        <v>0</v>
      </c>
      <c r="AF2592">
        <v>3</v>
      </c>
      <c r="AG2592">
        <v>2</v>
      </c>
      <c r="AH2592">
        <v>0</v>
      </c>
      <c r="AI2592" t="s">
        <v>5300</v>
      </c>
      <c r="AJ2592">
        <v>40.137734000000002</v>
      </c>
      <c r="AK2592" t="s">
        <v>5301</v>
      </c>
      <c r="AL2592">
        <v>-75.363163999999998</v>
      </c>
      <c r="AM2592">
        <v>100</v>
      </c>
      <c r="AN2592">
        <v>4300</v>
      </c>
      <c r="AO2592" t="s">
        <v>115</v>
      </c>
      <c r="AP2592">
        <v>147</v>
      </c>
      <c r="AQ2592">
        <v>133</v>
      </c>
      <c r="AR2592">
        <v>-704</v>
      </c>
      <c r="AZ2592">
        <v>3614</v>
      </c>
      <c r="BA2592">
        <v>1</v>
      </c>
      <c r="BB2592" t="str">
        <f t="shared" si="122"/>
        <v xml:space="preserve">N959MJ  </v>
      </c>
      <c r="BC2592">
        <v>1</v>
      </c>
      <c r="BE2592">
        <v>0</v>
      </c>
      <c r="BF2592">
        <v>0</v>
      </c>
      <c r="BG2592">
        <v>0</v>
      </c>
      <c r="BH2592">
        <v>4550</v>
      </c>
      <c r="BI2592">
        <v>250</v>
      </c>
      <c r="BJ2592">
        <v>1</v>
      </c>
      <c r="BK2592">
        <v>1</v>
      </c>
      <c r="BL2592">
        <v>1</v>
      </c>
      <c r="BM2592">
        <v>0</v>
      </c>
      <c r="BP2592">
        <v>0</v>
      </c>
      <c r="BQ2592">
        <v>0</v>
      </c>
      <c r="BX2592" t="str">
        <f>"14:33:32.930"</f>
        <v>14:33:32.930</v>
      </c>
      <c r="BY2592" t="str">
        <f>"932546119"</f>
        <v>932546119</v>
      </c>
      <c r="CL2592">
        <v>0</v>
      </c>
      <c r="CM2592">
        <v>2</v>
      </c>
      <c r="CN2592">
        <v>0</v>
      </c>
      <c r="CO2592">
        <v>2</v>
      </c>
      <c r="CP2592">
        <v>0</v>
      </c>
      <c r="CQ2592">
        <v>7</v>
      </c>
      <c r="CR2592" t="s">
        <v>116</v>
      </c>
      <c r="CS2592">
        <v>39</v>
      </c>
      <c r="CT2592">
        <v>0</v>
      </c>
      <c r="CU2592" t="s">
        <v>2259</v>
      </c>
      <c r="CV2592" t="s">
        <v>2260</v>
      </c>
      <c r="CY2592">
        <v>2110684</v>
      </c>
      <c r="CZ2592" t="s">
        <v>119</v>
      </c>
    </row>
    <row r="2593" spans="1:104" x14ac:dyDescent="0.25">
      <c r="A2593" t="str">
        <f>"14:33:34.266"</f>
        <v>14:33:34.266</v>
      </c>
      <c r="B2593" t="s">
        <v>108</v>
      </c>
      <c r="C2593" t="str">
        <f t="shared" si="121"/>
        <v>ffdfd3c0</v>
      </c>
      <c r="D2593" t="s">
        <v>109</v>
      </c>
      <c r="E2593">
        <v>4</v>
      </c>
      <c r="F2593">
        <v>1004</v>
      </c>
      <c r="G2593" t="s">
        <v>110</v>
      </c>
      <c r="J2593" t="s">
        <v>111</v>
      </c>
      <c r="K2593">
        <v>0</v>
      </c>
      <c r="L2593">
        <v>3</v>
      </c>
      <c r="M2593">
        <v>0</v>
      </c>
      <c r="N2593">
        <v>2</v>
      </c>
      <c r="O2593">
        <v>1</v>
      </c>
      <c r="P2593">
        <v>0</v>
      </c>
      <c r="Q2593">
        <v>0</v>
      </c>
      <c r="R2593" t="s">
        <v>112</v>
      </c>
      <c r="S2593" t="str">
        <f>"14:33:34.094"</f>
        <v>14:33:34.094</v>
      </c>
      <c r="T2593" t="str">
        <f>"14:33:33.594"</f>
        <v>14:33:33.594</v>
      </c>
      <c r="U2593" t="str">
        <f t="shared" si="120"/>
        <v>ad5732</v>
      </c>
      <c r="V2593">
        <v>0</v>
      </c>
      <c r="W2593">
        <v>0</v>
      </c>
      <c r="X2593">
        <v>1</v>
      </c>
      <c r="Z2593">
        <v>0</v>
      </c>
      <c r="AA2593">
        <v>9</v>
      </c>
      <c r="AB2593">
        <v>3</v>
      </c>
      <c r="AC2593">
        <v>0</v>
      </c>
      <c r="AD2593">
        <v>10</v>
      </c>
      <c r="AE2593">
        <v>0</v>
      </c>
      <c r="AF2593">
        <v>3</v>
      </c>
      <c r="AG2593">
        <v>2</v>
      </c>
      <c r="AH2593">
        <v>0</v>
      </c>
      <c r="AI2593" t="s">
        <v>5302</v>
      </c>
      <c r="AJ2593">
        <v>40.138399999999997</v>
      </c>
      <c r="AK2593" t="s">
        <v>5303</v>
      </c>
      <c r="AL2593">
        <v>-75.362155000000001</v>
      </c>
      <c r="AM2593">
        <v>100</v>
      </c>
      <c r="AN2593">
        <v>4300</v>
      </c>
      <c r="AO2593" t="s">
        <v>115</v>
      </c>
      <c r="AP2593">
        <v>148</v>
      </c>
      <c r="AQ2593">
        <v>133</v>
      </c>
      <c r="AR2593">
        <v>-704</v>
      </c>
      <c r="AZ2593">
        <v>3614</v>
      </c>
      <c r="BA2593">
        <v>1</v>
      </c>
      <c r="BB2593" t="str">
        <f t="shared" si="122"/>
        <v xml:space="preserve">N959MJ  </v>
      </c>
      <c r="BC2593">
        <v>1</v>
      </c>
      <c r="BE2593">
        <v>0</v>
      </c>
      <c r="BF2593">
        <v>0</v>
      </c>
      <c r="BG2593">
        <v>0</v>
      </c>
      <c r="BH2593">
        <v>4550</v>
      </c>
      <c r="BI2593">
        <v>250</v>
      </c>
      <c r="BJ2593">
        <v>1</v>
      </c>
      <c r="BK2593">
        <v>1</v>
      </c>
      <c r="BL2593">
        <v>1</v>
      </c>
      <c r="BM2593">
        <v>0</v>
      </c>
      <c r="BP2593">
        <v>0</v>
      </c>
      <c r="BQ2593">
        <v>0</v>
      </c>
      <c r="BX2593" t="str">
        <f>"14:33:34.102"</f>
        <v>14:33:34.102</v>
      </c>
      <c r="BY2593" t="str">
        <f>"100745862"</f>
        <v>100745862</v>
      </c>
      <c r="CL2593">
        <v>0</v>
      </c>
      <c r="CM2593">
        <v>2</v>
      </c>
      <c r="CN2593">
        <v>0</v>
      </c>
      <c r="CO2593">
        <v>2</v>
      </c>
      <c r="CP2593">
        <v>0</v>
      </c>
      <c r="CQ2593">
        <v>7</v>
      </c>
      <c r="CR2593" t="s">
        <v>116</v>
      </c>
      <c r="CS2593">
        <v>39</v>
      </c>
      <c r="CT2593">
        <v>0</v>
      </c>
      <c r="CU2593" t="s">
        <v>2259</v>
      </c>
      <c r="CV2593" t="s">
        <v>2260</v>
      </c>
      <c r="CY2593">
        <v>2112508</v>
      </c>
      <c r="CZ2593" t="s">
        <v>119</v>
      </c>
    </row>
    <row r="2594" spans="1:104" x14ac:dyDescent="0.25">
      <c r="A2594" t="str">
        <f>"14:33:35.227"</f>
        <v>14:33:35.227</v>
      </c>
      <c r="B2594" t="s">
        <v>108</v>
      </c>
      <c r="C2594" t="str">
        <f t="shared" si="121"/>
        <v>ffdfd3c0</v>
      </c>
      <c r="D2594" t="s">
        <v>109</v>
      </c>
      <c r="E2594">
        <v>4</v>
      </c>
      <c r="F2594">
        <v>1004</v>
      </c>
      <c r="G2594" t="s">
        <v>110</v>
      </c>
      <c r="J2594" t="s">
        <v>111</v>
      </c>
      <c r="K2594">
        <v>0</v>
      </c>
      <c r="L2594">
        <v>3</v>
      </c>
      <c r="M2594">
        <v>0</v>
      </c>
      <c r="N2594">
        <v>2</v>
      </c>
      <c r="O2594">
        <v>1</v>
      </c>
      <c r="P2594">
        <v>0</v>
      </c>
      <c r="Q2594">
        <v>0</v>
      </c>
      <c r="R2594" t="s">
        <v>112</v>
      </c>
      <c r="S2594" t="str">
        <f>"14:33:35.047"</f>
        <v>14:33:35.047</v>
      </c>
      <c r="T2594" t="str">
        <f>"14:33:34.648"</f>
        <v>14:33:34.648</v>
      </c>
      <c r="U2594" t="str">
        <f t="shared" si="120"/>
        <v>ad5732</v>
      </c>
      <c r="V2594">
        <v>0</v>
      </c>
      <c r="W2594">
        <v>0</v>
      </c>
      <c r="X2594">
        <v>1</v>
      </c>
      <c r="Z2594">
        <v>0</v>
      </c>
      <c r="AA2594">
        <v>9</v>
      </c>
      <c r="AB2594">
        <v>3</v>
      </c>
      <c r="AC2594">
        <v>0</v>
      </c>
      <c r="AD2594">
        <v>10</v>
      </c>
      <c r="AE2594">
        <v>0</v>
      </c>
      <c r="AF2594">
        <v>3</v>
      </c>
      <c r="AG2594">
        <v>2</v>
      </c>
      <c r="AH2594">
        <v>0</v>
      </c>
      <c r="AI2594" t="s">
        <v>5304</v>
      </c>
      <c r="AJ2594">
        <v>40.139065000000002</v>
      </c>
      <c r="AK2594" t="s">
        <v>5305</v>
      </c>
      <c r="AL2594">
        <v>-75.361276000000004</v>
      </c>
      <c r="AM2594">
        <v>100</v>
      </c>
      <c r="AN2594">
        <v>4300</v>
      </c>
      <c r="AO2594" t="s">
        <v>115</v>
      </c>
      <c r="AP2594">
        <v>148</v>
      </c>
      <c r="AQ2594">
        <v>134</v>
      </c>
      <c r="AR2594">
        <v>-704</v>
      </c>
      <c r="AZ2594">
        <v>3614</v>
      </c>
      <c r="BA2594">
        <v>1</v>
      </c>
      <c r="BB2594" t="str">
        <f t="shared" si="122"/>
        <v xml:space="preserve">N959MJ  </v>
      </c>
      <c r="BC2594">
        <v>1</v>
      </c>
      <c r="BE2594">
        <v>0</v>
      </c>
      <c r="BF2594">
        <v>0</v>
      </c>
      <c r="BG2594">
        <v>0</v>
      </c>
      <c r="BH2594">
        <v>4525</v>
      </c>
      <c r="BI2594">
        <v>225</v>
      </c>
      <c r="BJ2594">
        <v>1</v>
      </c>
      <c r="BK2594">
        <v>1</v>
      </c>
      <c r="BL2594">
        <v>1</v>
      </c>
      <c r="BM2594">
        <v>0</v>
      </c>
      <c r="BP2594">
        <v>0</v>
      </c>
      <c r="BQ2594">
        <v>0</v>
      </c>
      <c r="BX2594" t="str">
        <f>"14:33:35.055"</f>
        <v>14:33:35.055</v>
      </c>
      <c r="BY2594" t="str">
        <f>"054311527"</f>
        <v>054311527</v>
      </c>
      <c r="CL2594">
        <v>0</v>
      </c>
      <c r="CM2594">
        <v>2</v>
      </c>
      <c r="CN2594">
        <v>0</v>
      </c>
      <c r="CO2594">
        <v>2</v>
      </c>
      <c r="CP2594">
        <v>0</v>
      </c>
      <c r="CQ2594">
        <v>7</v>
      </c>
      <c r="CR2594" t="s">
        <v>116</v>
      </c>
      <c r="CS2594">
        <v>39</v>
      </c>
      <c r="CT2594">
        <v>0</v>
      </c>
      <c r="CU2594" t="s">
        <v>2259</v>
      </c>
      <c r="CV2594" t="s">
        <v>2260</v>
      </c>
      <c r="CY2594">
        <v>2113987</v>
      </c>
      <c r="CZ2594" t="s">
        <v>119</v>
      </c>
    </row>
    <row r="2595" spans="1:104" x14ac:dyDescent="0.25">
      <c r="A2595" t="str">
        <f>"14:33:36.086"</f>
        <v>14:33:36.086</v>
      </c>
      <c r="B2595" t="s">
        <v>108</v>
      </c>
      <c r="C2595" t="str">
        <f t="shared" si="121"/>
        <v>ffdfd3c0</v>
      </c>
      <c r="D2595" t="s">
        <v>109</v>
      </c>
      <c r="E2595">
        <v>4</v>
      </c>
      <c r="F2595">
        <v>1004</v>
      </c>
      <c r="G2595" t="s">
        <v>110</v>
      </c>
      <c r="J2595" t="s">
        <v>111</v>
      </c>
      <c r="K2595">
        <v>0</v>
      </c>
      <c r="L2595">
        <v>3</v>
      </c>
      <c r="M2595">
        <v>0</v>
      </c>
      <c r="N2595">
        <v>2</v>
      </c>
      <c r="O2595">
        <v>1</v>
      </c>
      <c r="P2595">
        <v>0</v>
      </c>
      <c r="Q2595">
        <v>0</v>
      </c>
      <c r="R2595" t="s">
        <v>112</v>
      </c>
      <c r="S2595" t="str">
        <f>"14:33:35.914"</f>
        <v>14:33:35.914</v>
      </c>
      <c r="T2595" t="str">
        <f>"14:33:35.516"</f>
        <v>14:33:35.516</v>
      </c>
      <c r="U2595" t="str">
        <f t="shared" si="120"/>
        <v>ad5732</v>
      </c>
      <c r="V2595">
        <v>0</v>
      </c>
      <c r="W2595">
        <v>0</v>
      </c>
      <c r="X2595">
        <v>1</v>
      </c>
      <c r="Z2595">
        <v>0</v>
      </c>
      <c r="AA2595">
        <v>9</v>
      </c>
      <c r="AB2595">
        <v>3</v>
      </c>
      <c r="AC2595">
        <v>0</v>
      </c>
      <c r="AD2595">
        <v>10</v>
      </c>
      <c r="AE2595">
        <v>0</v>
      </c>
      <c r="AF2595">
        <v>3</v>
      </c>
      <c r="AG2595">
        <v>2</v>
      </c>
      <c r="AH2595">
        <v>0</v>
      </c>
      <c r="AI2595" t="s">
        <v>5306</v>
      </c>
      <c r="AJ2595">
        <v>40.139600999999999</v>
      </c>
      <c r="AK2595" t="s">
        <v>5307</v>
      </c>
      <c r="AL2595">
        <v>-75.360482000000005</v>
      </c>
      <c r="AM2595">
        <v>100</v>
      </c>
      <c r="AN2595">
        <v>4300</v>
      </c>
      <c r="AO2595" t="s">
        <v>115</v>
      </c>
      <c r="AP2595">
        <v>148</v>
      </c>
      <c r="AQ2595">
        <v>134</v>
      </c>
      <c r="AR2595">
        <v>-704</v>
      </c>
      <c r="AZ2595">
        <v>3614</v>
      </c>
      <c r="BA2595">
        <v>1</v>
      </c>
      <c r="BB2595" t="str">
        <f t="shared" si="122"/>
        <v xml:space="preserve">N959MJ  </v>
      </c>
      <c r="BC2595">
        <v>1</v>
      </c>
      <c r="BE2595">
        <v>0</v>
      </c>
      <c r="BF2595">
        <v>0</v>
      </c>
      <c r="BG2595">
        <v>0</v>
      </c>
      <c r="BH2595">
        <v>4525</v>
      </c>
      <c r="BI2595">
        <v>225</v>
      </c>
      <c r="BJ2595">
        <v>1</v>
      </c>
      <c r="BK2595">
        <v>1</v>
      </c>
      <c r="BL2595">
        <v>1</v>
      </c>
      <c r="BM2595">
        <v>0</v>
      </c>
      <c r="BP2595">
        <v>0</v>
      </c>
      <c r="BQ2595">
        <v>0</v>
      </c>
      <c r="BX2595" t="str">
        <f>"14:33:35.914"</f>
        <v>14:33:35.914</v>
      </c>
      <c r="BY2595" t="str">
        <f>"916125092"</f>
        <v>916125092</v>
      </c>
      <c r="CL2595">
        <v>0</v>
      </c>
      <c r="CM2595">
        <v>2</v>
      </c>
      <c r="CN2595">
        <v>0</v>
      </c>
      <c r="CO2595">
        <v>2</v>
      </c>
      <c r="CP2595">
        <v>0</v>
      </c>
      <c r="CQ2595">
        <v>7</v>
      </c>
      <c r="CR2595" t="s">
        <v>116</v>
      </c>
      <c r="CS2595">
        <v>39</v>
      </c>
      <c r="CT2595">
        <v>0</v>
      </c>
      <c r="CU2595" t="s">
        <v>2259</v>
      </c>
      <c r="CV2595" t="s">
        <v>2260</v>
      </c>
      <c r="CY2595">
        <v>2115355</v>
      </c>
      <c r="CZ2595" t="s">
        <v>119</v>
      </c>
    </row>
    <row r="2596" spans="1:104" x14ac:dyDescent="0.25">
      <c r="A2596" t="str">
        <f>"14:33:37.094"</f>
        <v>14:33:37.094</v>
      </c>
      <c r="B2596" t="s">
        <v>108</v>
      </c>
      <c r="C2596" t="str">
        <f t="shared" si="121"/>
        <v>ffdfd3c0</v>
      </c>
      <c r="D2596" t="s">
        <v>109</v>
      </c>
      <c r="E2596">
        <v>4</v>
      </c>
      <c r="F2596">
        <v>1004</v>
      </c>
      <c r="G2596" t="s">
        <v>110</v>
      </c>
      <c r="J2596" t="s">
        <v>111</v>
      </c>
      <c r="K2596">
        <v>0</v>
      </c>
      <c r="L2596">
        <v>3</v>
      </c>
      <c r="M2596">
        <v>0</v>
      </c>
      <c r="N2596">
        <v>2</v>
      </c>
      <c r="O2596">
        <v>1</v>
      </c>
      <c r="P2596">
        <v>0</v>
      </c>
      <c r="Q2596">
        <v>0</v>
      </c>
      <c r="R2596" t="s">
        <v>112</v>
      </c>
      <c r="S2596" t="str">
        <f>"14:33:36.898"</f>
        <v>14:33:36.898</v>
      </c>
      <c r="T2596" t="str">
        <f>"14:33:36.500"</f>
        <v>14:33:36.500</v>
      </c>
      <c r="U2596" t="str">
        <f t="shared" si="120"/>
        <v>ad5732</v>
      </c>
      <c r="V2596">
        <v>0</v>
      </c>
      <c r="W2596">
        <v>0</v>
      </c>
      <c r="X2596">
        <v>1</v>
      </c>
      <c r="Z2596">
        <v>0</v>
      </c>
      <c r="AA2596">
        <v>9</v>
      </c>
      <c r="AB2596">
        <v>3</v>
      </c>
      <c r="AC2596">
        <v>0</v>
      </c>
      <c r="AD2596">
        <v>10</v>
      </c>
      <c r="AE2596">
        <v>0</v>
      </c>
      <c r="AF2596">
        <v>3</v>
      </c>
      <c r="AG2596">
        <v>2</v>
      </c>
      <c r="AH2596">
        <v>0</v>
      </c>
      <c r="AI2596" t="s">
        <v>5308</v>
      </c>
      <c r="AJ2596">
        <v>40.140180999999998</v>
      </c>
      <c r="AK2596" t="s">
        <v>5309</v>
      </c>
      <c r="AL2596">
        <v>-75.359666000000004</v>
      </c>
      <c r="AM2596">
        <v>100</v>
      </c>
      <c r="AN2596">
        <v>4300</v>
      </c>
      <c r="AO2596" t="s">
        <v>115</v>
      </c>
      <c r="AP2596">
        <v>148</v>
      </c>
      <c r="AQ2596">
        <v>134</v>
      </c>
      <c r="AR2596">
        <v>-640</v>
      </c>
      <c r="AZ2596">
        <v>3614</v>
      </c>
      <c r="BA2596">
        <v>1</v>
      </c>
      <c r="BB2596" t="str">
        <f t="shared" si="122"/>
        <v xml:space="preserve">N959MJ  </v>
      </c>
      <c r="BC2596">
        <v>1</v>
      </c>
      <c r="BE2596">
        <v>0</v>
      </c>
      <c r="BF2596">
        <v>0</v>
      </c>
      <c r="BG2596">
        <v>0</v>
      </c>
      <c r="BH2596">
        <v>4500</v>
      </c>
      <c r="BI2596">
        <v>200</v>
      </c>
      <c r="BJ2596">
        <v>1</v>
      </c>
      <c r="BK2596">
        <v>1</v>
      </c>
      <c r="BL2596">
        <v>1</v>
      </c>
      <c r="BM2596">
        <v>0</v>
      </c>
      <c r="BP2596">
        <v>0</v>
      </c>
      <c r="BQ2596">
        <v>0</v>
      </c>
      <c r="BX2596" t="str">
        <f>"14:33:36.898"</f>
        <v>14:33:36.898</v>
      </c>
      <c r="BY2596" t="str">
        <f>"900820948"</f>
        <v>900820948</v>
      </c>
      <c r="CL2596">
        <v>0</v>
      </c>
      <c r="CM2596">
        <v>2</v>
      </c>
      <c r="CN2596">
        <v>0</v>
      </c>
      <c r="CO2596">
        <v>2</v>
      </c>
      <c r="CP2596">
        <v>0</v>
      </c>
      <c r="CQ2596">
        <v>7</v>
      </c>
      <c r="CR2596" t="s">
        <v>116</v>
      </c>
      <c r="CS2596">
        <v>39</v>
      </c>
      <c r="CT2596">
        <v>0</v>
      </c>
      <c r="CU2596" t="s">
        <v>2259</v>
      </c>
      <c r="CV2596" t="s">
        <v>2260</v>
      </c>
      <c r="CY2596">
        <v>2116929</v>
      </c>
      <c r="CZ2596" t="s">
        <v>119</v>
      </c>
    </row>
    <row r="2597" spans="1:104" x14ac:dyDescent="0.25">
      <c r="A2597" t="str">
        <f>"14:33:38.055"</f>
        <v>14:33:38.055</v>
      </c>
      <c r="B2597" t="s">
        <v>108</v>
      </c>
      <c r="C2597" t="str">
        <f t="shared" si="121"/>
        <v>ffdfd3c0</v>
      </c>
      <c r="D2597" t="s">
        <v>109</v>
      </c>
      <c r="E2597">
        <v>4</v>
      </c>
      <c r="F2597">
        <v>1004</v>
      </c>
      <c r="G2597" t="s">
        <v>110</v>
      </c>
      <c r="J2597" t="s">
        <v>111</v>
      </c>
      <c r="K2597">
        <v>0</v>
      </c>
      <c r="L2597">
        <v>3</v>
      </c>
      <c r="M2597">
        <v>0</v>
      </c>
      <c r="N2597">
        <v>2</v>
      </c>
      <c r="O2597">
        <v>1</v>
      </c>
      <c r="P2597">
        <v>0</v>
      </c>
      <c r="Q2597">
        <v>0</v>
      </c>
      <c r="R2597" t="s">
        <v>112</v>
      </c>
      <c r="S2597" t="str">
        <f>"14:33:37.891"</f>
        <v>14:33:37.891</v>
      </c>
      <c r="T2597" t="str">
        <f>"14:33:37.391"</f>
        <v>14:33:37.391</v>
      </c>
      <c r="U2597" t="str">
        <f t="shared" si="120"/>
        <v>ad5732</v>
      </c>
      <c r="V2597">
        <v>0</v>
      </c>
      <c r="W2597">
        <v>0</v>
      </c>
      <c r="X2597">
        <v>1</v>
      </c>
      <c r="Z2597">
        <v>0</v>
      </c>
      <c r="AA2597">
        <v>9</v>
      </c>
      <c r="AB2597">
        <v>3</v>
      </c>
      <c r="AC2597">
        <v>0</v>
      </c>
      <c r="AD2597">
        <v>10</v>
      </c>
      <c r="AE2597">
        <v>0</v>
      </c>
      <c r="AF2597">
        <v>3</v>
      </c>
      <c r="AG2597">
        <v>2</v>
      </c>
      <c r="AH2597">
        <v>0</v>
      </c>
      <c r="AI2597" t="s">
        <v>5310</v>
      </c>
      <c r="AJ2597">
        <v>40.140780999999997</v>
      </c>
      <c r="AK2597" t="s">
        <v>5311</v>
      </c>
      <c r="AL2597">
        <v>-75.358787000000007</v>
      </c>
      <c r="AM2597">
        <v>100</v>
      </c>
      <c r="AN2597">
        <v>4300</v>
      </c>
      <c r="AO2597" t="s">
        <v>115</v>
      </c>
      <c r="AP2597">
        <v>148</v>
      </c>
      <c r="AQ2597">
        <v>134</v>
      </c>
      <c r="AR2597">
        <v>-640</v>
      </c>
      <c r="AZ2597">
        <v>3614</v>
      </c>
      <c r="BA2597">
        <v>1</v>
      </c>
      <c r="BB2597" t="str">
        <f t="shared" si="122"/>
        <v xml:space="preserve">N959MJ  </v>
      </c>
      <c r="BC2597">
        <v>1</v>
      </c>
      <c r="BE2597">
        <v>0</v>
      </c>
      <c r="BF2597">
        <v>0</v>
      </c>
      <c r="BG2597">
        <v>0</v>
      </c>
      <c r="BH2597">
        <v>4500</v>
      </c>
      <c r="BI2597">
        <v>200</v>
      </c>
      <c r="BJ2597">
        <v>1</v>
      </c>
      <c r="BK2597">
        <v>1</v>
      </c>
      <c r="BL2597">
        <v>1</v>
      </c>
      <c r="BM2597">
        <v>0</v>
      </c>
      <c r="BP2597">
        <v>0</v>
      </c>
      <c r="BQ2597">
        <v>0</v>
      </c>
      <c r="BX2597" t="str">
        <f>"14:33:37.891"</f>
        <v>14:33:37.891</v>
      </c>
      <c r="BY2597" t="str">
        <f>"893713082"</f>
        <v>893713082</v>
      </c>
      <c r="CL2597">
        <v>0</v>
      </c>
      <c r="CM2597">
        <v>2</v>
      </c>
      <c r="CN2597">
        <v>0</v>
      </c>
      <c r="CO2597">
        <v>2</v>
      </c>
      <c r="CP2597">
        <v>0</v>
      </c>
      <c r="CQ2597">
        <v>7</v>
      </c>
      <c r="CR2597" t="s">
        <v>116</v>
      </c>
      <c r="CS2597">
        <v>39</v>
      </c>
      <c r="CT2597">
        <v>0</v>
      </c>
      <c r="CU2597" t="s">
        <v>2259</v>
      </c>
      <c r="CV2597" t="s">
        <v>2260</v>
      </c>
      <c r="CY2597">
        <v>2118436</v>
      </c>
      <c r="CZ2597" t="s">
        <v>119</v>
      </c>
    </row>
    <row r="2598" spans="1:104" x14ac:dyDescent="0.25">
      <c r="A2598" t="str">
        <f>"14:33:39.063"</f>
        <v>14:33:39.063</v>
      </c>
      <c r="B2598" t="s">
        <v>108</v>
      </c>
      <c r="C2598" t="str">
        <f t="shared" si="121"/>
        <v>ffdfd3c0</v>
      </c>
      <c r="D2598" t="s">
        <v>109</v>
      </c>
      <c r="E2598">
        <v>4</v>
      </c>
      <c r="F2598">
        <v>1004</v>
      </c>
      <c r="G2598" t="s">
        <v>110</v>
      </c>
      <c r="J2598" t="s">
        <v>111</v>
      </c>
      <c r="K2598">
        <v>0</v>
      </c>
      <c r="L2598">
        <v>3</v>
      </c>
      <c r="M2598">
        <v>0</v>
      </c>
      <c r="N2598">
        <v>2</v>
      </c>
      <c r="O2598">
        <v>1</v>
      </c>
      <c r="P2598">
        <v>0</v>
      </c>
      <c r="Q2598">
        <v>0</v>
      </c>
      <c r="R2598" t="s">
        <v>112</v>
      </c>
      <c r="S2598" t="str">
        <f>"14:33:38.883"</f>
        <v>14:33:38.883</v>
      </c>
      <c r="T2598" t="str">
        <f>"14:33:38.484"</f>
        <v>14:33:38.484</v>
      </c>
      <c r="U2598" t="str">
        <f t="shared" si="120"/>
        <v>ad5732</v>
      </c>
      <c r="V2598">
        <v>0</v>
      </c>
      <c r="W2598">
        <v>0</v>
      </c>
      <c r="X2598">
        <v>1</v>
      </c>
      <c r="Z2598">
        <v>0</v>
      </c>
      <c r="AA2598">
        <v>9</v>
      </c>
      <c r="AB2598">
        <v>3</v>
      </c>
      <c r="AC2598">
        <v>0</v>
      </c>
      <c r="AD2598">
        <v>10</v>
      </c>
      <c r="AE2598">
        <v>0</v>
      </c>
      <c r="AF2598">
        <v>3</v>
      </c>
      <c r="AG2598">
        <v>2</v>
      </c>
      <c r="AH2598">
        <v>0</v>
      </c>
      <c r="AI2598" t="s">
        <v>5312</v>
      </c>
      <c r="AJ2598">
        <v>40.141382</v>
      </c>
      <c r="AK2598" t="s">
        <v>5313</v>
      </c>
      <c r="AL2598">
        <v>-75.357906999999997</v>
      </c>
      <c r="AM2598">
        <v>100</v>
      </c>
      <c r="AN2598">
        <v>4300</v>
      </c>
      <c r="AO2598" t="s">
        <v>115</v>
      </c>
      <c r="AP2598">
        <v>148</v>
      </c>
      <c r="AQ2598">
        <v>134</v>
      </c>
      <c r="AR2598">
        <v>-640</v>
      </c>
      <c r="AZ2598">
        <v>3614</v>
      </c>
      <c r="BA2598">
        <v>1</v>
      </c>
      <c r="BB2598" t="str">
        <f t="shared" si="122"/>
        <v xml:space="preserve">N959MJ  </v>
      </c>
      <c r="BC2598">
        <v>1</v>
      </c>
      <c r="BE2598">
        <v>0</v>
      </c>
      <c r="BF2598">
        <v>0</v>
      </c>
      <c r="BG2598">
        <v>0</v>
      </c>
      <c r="BH2598">
        <v>4475</v>
      </c>
      <c r="BI2598">
        <v>175</v>
      </c>
      <c r="BJ2598">
        <v>1</v>
      </c>
      <c r="BK2598">
        <v>1</v>
      </c>
      <c r="BL2598">
        <v>1</v>
      </c>
      <c r="BM2598">
        <v>0</v>
      </c>
      <c r="BP2598">
        <v>0</v>
      </c>
      <c r="BQ2598">
        <v>0</v>
      </c>
      <c r="BX2598" t="str">
        <f>"14:33:38.891"</f>
        <v>14:33:38.891</v>
      </c>
      <c r="BY2598" t="str">
        <f>"888235216"</f>
        <v>888235216</v>
      </c>
      <c r="CL2598">
        <v>0</v>
      </c>
      <c r="CM2598">
        <v>2</v>
      </c>
      <c r="CN2598">
        <v>0</v>
      </c>
      <c r="CO2598">
        <v>2</v>
      </c>
      <c r="CP2598">
        <v>0</v>
      </c>
      <c r="CQ2598">
        <v>7</v>
      </c>
      <c r="CR2598" t="s">
        <v>116</v>
      </c>
      <c r="CS2598">
        <v>39</v>
      </c>
      <c r="CT2598">
        <v>0</v>
      </c>
      <c r="CU2598" t="s">
        <v>2259</v>
      </c>
      <c r="CV2598" t="s">
        <v>2260</v>
      </c>
      <c r="CY2598">
        <v>2119923</v>
      </c>
      <c r="CZ2598" t="s">
        <v>119</v>
      </c>
    </row>
    <row r="2599" spans="1:104" x14ac:dyDescent="0.25">
      <c r="A2599" t="str">
        <f>"14:33:40.070"</f>
        <v>14:33:40.070</v>
      </c>
      <c r="B2599" t="s">
        <v>108</v>
      </c>
      <c r="C2599" t="str">
        <f t="shared" si="121"/>
        <v>ffdfd3c0</v>
      </c>
      <c r="D2599" t="s">
        <v>109</v>
      </c>
      <c r="E2599">
        <v>4</v>
      </c>
      <c r="F2599">
        <v>1004</v>
      </c>
      <c r="G2599" t="s">
        <v>110</v>
      </c>
      <c r="J2599" t="s">
        <v>111</v>
      </c>
      <c r="K2599">
        <v>0</v>
      </c>
      <c r="L2599">
        <v>3</v>
      </c>
      <c r="M2599">
        <v>0</v>
      </c>
      <c r="N2599">
        <v>2</v>
      </c>
      <c r="O2599">
        <v>1</v>
      </c>
      <c r="P2599">
        <v>0</v>
      </c>
      <c r="Q2599">
        <v>0</v>
      </c>
      <c r="R2599" t="s">
        <v>112</v>
      </c>
      <c r="S2599" t="str">
        <f>"14:33:39.875"</f>
        <v>14:33:39.875</v>
      </c>
      <c r="T2599" t="str">
        <f>"14:33:39.477"</f>
        <v>14:33:39.477</v>
      </c>
      <c r="U2599" t="str">
        <f t="shared" si="120"/>
        <v>ad5732</v>
      </c>
      <c r="V2599">
        <v>0</v>
      </c>
      <c r="W2599">
        <v>0</v>
      </c>
      <c r="X2599">
        <v>1</v>
      </c>
      <c r="Z2599">
        <v>0</v>
      </c>
      <c r="AA2599">
        <v>9</v>
      </c>
      <c r="AB2599">
        <v>3</v>
      </c>
      <c r="AC2599">
        <v>0</v>
      </c>
      <c r="AD2599">
        <v>10</v>
      </c>
      <c r="AE2599">
        <v>0</v>
      </c>
      <c r="AF2599">
        <v>3</v>
      </c>
      <c r="AG2599">
        <v>2</v>
      </c>
      <c r="AH2599">
        <v>0</v>
      </c>
      <c r="AI2599" t="s">
        <v>5314</v>
      </c>
      <c r="AJ2599">
        <v>40.142046999999998</v>
      </c>
      <c r="AK2599" t="s">
        <v>5315</v>
      </c>
      <c r="AL2599">
        <v>-75.356962999999993</v>
      </c>
      <c r="AM2599">
        <v>100</v>
      </c>
      <c r="AN2599">
        <v>4300</v>
      </c>
      <c r="AO2599" t="s">
        <v>115</v>
      </c>
      <c r="AP2599">
        <v>148</v>
      </c>
      <c r="AQ2599">
        <v>135</v>
      </c>
      <c r="AR2599">
        <v>-640</v>
      </c>
      <c r="AZ2599">
        <v>3614</v>
      </c>
      <c r="BA2599">
        <v>1</v>
      </c>
      <c r="BB2599" t="str">
        <f t="shared" si="122"/>
        <v xml:space="preserve">N959MJ  </v>
      </c>
      <c r="BC2599">
        <v>1</v>
      </c>
      <c r="BE2599">
        <v>0</v>
      </c>
      <c r="BF2599">
        <v>0</v>
      </c>
      <c r="BG2599">
        <v>0</v>
      </c>
      <c r="BH2599">
        <v>4475</v>
      </c>
      <c r="BI2599">
        <v>175</v>
      </c>
      <c r="BJ2599">
        <v>1</v>
      </c>
      <c r="BK2599">
        <v>1</v>
      </c>
      <c r="BL2599">
        <v>1</v>
      </c>
      <c r="BM2599">
        <v>0</v>
      </c>
      <c r="BP2599">
        <v>0</v>
      </c>
      <c r="BQ2599">
        <v>0</v>
      </c>
      <c r="BX2599" t="str">
        <f>"14:33:39.875"</f>
        <v>14:33:39.875</v>
      </c>
      <c r="BY2599" t="str">
        <f>"876207869"</f>
        <v>876207869</v>
      </c>
      <c r="CL2599">
        <v>0</v>
      </c>
      <c r="CM2599">
        <v>2</v>
      </c>
      <c r="CN2599">
        <v>0</v>
      </c>
      <c r="CO2599">
        <v>2</v>
      </c>
      <c r="CP2599">
        <v>0</v>
      </c>
      <c r="CQ2599">
        <v>7</v>
      </c>
      <c r="CR2599" t="s">
        <v>116</v>
      </c>
      <c r="CS2599">
        <v>39</v>
      </c>
      <c r="CT2599">
        <v>0</v>
      </c>
      <c r="CU2599" t="s">
        <v>2259</v>
      </c>
      <c r="CV2599" t="s">
        <v>2260</v>
      </c>
      <c r="CY2599">
        <v>2121508</v>
      </c>
      <c r="CZ2599" t="s">
        <v>119</v>
      </c>
    </row>
    <row r="2600" spans="1:104" x14ac:dyDescent="0.25">
      <c r="A2600" t="str">
        <f>"14:33:41.031"</f>
        <v>14:33:41.031</v>
      </c>
      <c r="B2600" t="s">
        <v>108</v>
      </c>
      <c r="C2600" t="str">
        <f t="shared" si="121"/>
        <v>ffdfd3c0</v>
      </c>
      <c r="D2600" t="s">
        <v>109</v>
      </c>
      <c r="E2600">
        <v>4</v>
      </c>
      <c r="F2600">
        <v>1004</v>
      </c>
      <c r="G2600" t="s">
        <v>110</v>
      </c>
      <c r="J2600" t="s">
        <v>111</v>
      </c>
      <c r="K2600">
        <v>0</v>
      </c>
      <c r="L2600">
        <v>3</v>
      </c>
      <c r="M2600">
        <v>0</v>
      </c>
      <c r="N2600">
        <v>2</v>
      </c>
      <c r="O2600">
        <v>1</v>
      </c>
      <c r="P2600">
        <v>0</v>
      </c>
      <c r="Q2600">
        <v>0</v>
      </c>
      <c r="R2600" t="s">
        <v>112</v>
      </c>
      <c r="S2600" t="str">
        <f>"14:33:40.844"</f>
        <v>14:33:40.844</v>
      </c>
      <c r="T2600" t="str">
        <f>"14:33:40.344"</f>
        <v>14:33:40.344</v>
      </c>
      <c r="U2600" t="str">
        <f t="shared" si="120"/>
        <v>ad5732</v>
      </c>
      <c r="V2600">
        <v>0</v>
      </c>
      <c r="W2600">
        <v>0</v>
      </c>
      <c r="X2600">
        <v>1</v>
      </c>
      <c r="Z2600">
        <v>0</v>
      </c>
      <c r="AA2600">
        <v>9</v>
      </c>
      <c r="AB2600">
        <v>3</v>
      </c>
      <c r="AC2600">
        <v>0</v>
      </c>
      <c r="AD2600">
        <v>10</v>
      </c>
      <c r="AE2600">
        <v>0</v>
      </c>
      <c r="AF2600">
        <v>3</v>
      </c>
      <c r="AG2600">
        <v>2</v>
      </c>
      <c r="AH2600">
        <v>0</v>
      </c>
      <c r="AI2600" t="s">
        <v>5316</v>
      </c>
      <c r="AJ2600">
        <v>40.142648000000001</v>
      </c>
      <c r="AK2600" t="s">
        <v>5317</v>
      </c>
      <c r="AL2600">
        <v>-75.356104000000002</v>
      </c>
      <c r="AM2600">
        <v>100</v>
      </c>
      <c r="AN2600">
        <v>4300</v>
      </c>
      <c r="AO2600" t="s">
        <v>115</v>
      </c>
      <c r="AP2600">
        <v>148</v>
      </c>
      <c r="AQ2600">
        <v>135</v>
      </c>
      <c r="AR2600">
        <v>-576</v>
      </c>
      <c r="AZ2600">
        <v>3614</v>
      </c>
      <c r="BA2600">
        <v>1</v>
      </c>
      <c r="BB2600" t="str">
        <f t="shared" si="122"/>
        <v xml:space="preserve">N959MJ  </v>
      </c>
      <c r="BC2600">
        <v>1</v>
      </c>
      <c r="BE2600">
        <v>0</v>
      </c>
      <c r="BF2600">
        <v>0</v>
      </c>
      <c r="BG2600">
        <v>0</v>
      </c>
      <c r="BH2600">
        <v>4475</v>
      </c>
      <c r="BI2600">
        <v>175</v>
      </c>
      <c r="BJ2600">
        <v>1</v>
      </c>
      <c r="BK2600">
        <v>1</v>
      </c>
      <c r="BL2600">
        <v>1</v>
      </c>
      <c r="BM2600">
        <v>0</v>
      </c>
      <c r="BP2600">
        <v>0</v>
      </c>
      <c r="BQ2600">
        <v>0</v>
      </c>
      <c r="BX2600" t="str">
        <f>"14:33:40.844"</f>
        <v>14:33:40.844</v>
      </c>
      <c r="BY2600" t="str">
        <f>"844519384"</f>
        <v>844519384</v>
      </c>
      <c r="CL2600">
        <v>0</v>
      </c>
      <c r="CM2600">
        <v>2</v>
      </c>
      <c r="CN2600">
        <v>0</v>
      </c>
      <c r="CO2600">
        <v>2</v>
      </c>
      <c r="CP2600">
        <v>0</v>
      </c>
      <c r="CQ2600">
        <v>7</v>
      </c>
      <c r="CR2600" t="s">
        <v>116</v>
      </c>
      <c r="CS2600">
        <v>39</v>
      </c>
      <c r="CT2600">
        <v>0</v>
      </c>
      <c r="CU2600" t="s">
        <v>2259</v>
      </c>
      <c r="CV2600" t="s">
        <v>2260</v>
      </c>
      <c r="CY2600">
        <v>2123088</v>
      </c>
      <c r="CZ2600" t="s">
        <v>119</v>
      </c>
    </row>
    <row r="2601" spans="1:104" x14ac:dyDescent="0.25">
      <c r="A2601" t="str">
        <f>"14:33:42.141"</f>
        <v>14:33:42.141</v>
      </c>
      <c r="B2601" t="s">
        <v>108</v>
      </c>
      <c r="C2601" t="str">
        <f t="shared" si="121"/>
        <v>ffdfd3c0</v>
      </c>
      <c r="D2601" t="s">
        <v>109</v>
      </c>
      <c r="E2601">
        <v>4</v>
      </c>
      <c r="F2601">
        <v>1004</v>
      </c>
      <c r="G2601" t="s">
        <v>110</v>
      </c>
      <c r="J2601" t="s">
        <v>111</v>
      </c>
      <c r="K2601">
        <v>0</v>
      </c>
      <c r="L2601">
        <v>3</v>
      </c>
      <c r="M2601">
        <v>0</v>
      </c>
      <c r="N2601">
        <v>2</v>
      </c>
      <c r="O2601">
        <v>1</v>
      </c>
      <c r="P2601">
        <v>0</v>
      </c>
      <c r="Q2601">
        <v>0</v>
      </c>
      <c r="R2601" t="s">
        <v>112</v>
      </c>
      <c r="S2601" t="str">
        <f>"14:33:41.969"</f>
        <v>14:33:41.969</v>
      </c>
      <c r="T2601" t="str">
        <f>"14:33:41.469"</f>
        <v>14:33:41.469</v>
      </c>
      <c r="U2601" t="str">
        <f t="shared" si="120"/>
        <v>ad5732</v>
      </c>
      <c r="V2601">
        <v>0</v>
      </c>
      <c r="W2601">
        <v>0</v>
      </c>
      <c r="X2601">
        <v>1</v>
      </c>
      <c r="Z2601">
        <v>0</v>
      </c>
      <c r="AA2601">
        <v>9</v>
      </c>
      <c r="AB2601">
        <v>3</v>
      </c>
      <c r="AC2601">
        <v>0</v>
      </c>
      <c r="AD2601">
        <v>10</v>
      </c>
      <c r="AE2601">
        <v>0</v>
      </c>
      <c r="AF2601">
        <v>3</v>
      </c>
      <c r="AG2601">
        <v>2</v>
      </c>
      <c r="AH2601">
        <v>0</v>
      </c>
      <c r="AI2601" t="s">
        <v>5318</v>
      </c>
      <c r="AJ2601">
        <v>40.143355999999997</v>
      </c>
      <c r="AK2601" t="s">
        <v>5319</v>
      </c>
      <c r="AL2601">
        <v>-75.355096000000003</v>
      </c>
      <c r="AM2601">
        <v>100</v>
      </c>
      <c r="AN2601">
        <v>4300</v>
      </c>
      <c r="AO2601" t="s">
        <v>115</v>
      </c>
      <c r="AP2601">
        <v>149</v>
      </c>
      <c r="AQ2601">
        <v>135</v>
      </c>
      <c r="AR2601">
        <v>-576</v>
      </c>
      <c r="AZ2601">
        <v>3614</v>
      </c>
      <c r="BA2601">
        <v>1</v>
      </c>
      <c r="BB2601" t="str">
        <f t="shared" si="122"/>
        <v xml:space="preserve">N959MJ  </v>
      </c>
      <c r="BC2601">
        <v>1</v>
      </c>
      <c r="BE2601">
        <v>0</v>
      </c>
      <c r="BF2601">
        <v>0</v>
      </c>
      <c r="BG2601">
        <v>0</v>
      </c>
      <c r="BH2601">
        <v>4450</v>
      </c>
      <c r="BI2601">
        <v>150</v>
      </c>
      <c r="BJ2601">
        <v>1</v>
      </c>
      <c r="BK2601">
        <v>1</v>
      </c>
      <c r="BL2601">
        <v>1</v>
      </c>
      <c r="BM2601">
        <v>0</v>
      </c>
      <c r="BP2601">
        <v>0</v>
      </c>
      <c r="BQ2601">
        <v>0</v>
      </c>
      <c r="BX2601" t="str">
        <f>"14:33:41.969"</f>
        <v>14:33:41.969</v>
      </c>
      <c r="BY2601" t="str">
        <f>"971758495"</f>
        <v>971758495</v>
      </c>
      <c r="CL2601">
        <v>0</v>
      </c>
      <c r="CM2601">
        <v>2</v>
      </c>
      <c r="CN2601">
        <v>0</v>
      </c>
      <c r="CO2601">
        <v>2</v>
      </c>
      <c r="CP2601">
        <v>0</v>
      </c>
      <c r="CQ2601">
        <v>7</v>
      </c>
      <c r="CR2601" t="s">
        <v>116</v>
      </c>
      <c r="CS2601">
        <v>39</v>
      </c>
      <c r="CT2601">
        <v>0</v>
      </c>
      <c r="CU2601" t="s">
        <v>2259</v>
      </c>
      <c r="CV2601" t="s">
        <v>2260</v>
      </c>
      <c r="CY2601">
        <v>2124860</v>
      </c>
      <c r="CZ2601" t="s">
        <v>119</v>
      </c>
    </row>
    <row r="2602" spans="1:104" x14ac:dyDescent="0.25">
      <c r="A2602" t="str">
        <f>"14:33:43.000"</f>
        <v>14:33:43.000</v>
      </c>
      <c r="B2602" t="s">
        <v>108</v>
      </c>
      <c r="C2602" t="str">
        <f t="shared" si="121"/>
        <v>ffdfd3c0</v>
      </c>
      <c r="D2602" t="s">
        <v>109</v>
      </c>
      <c r="E2602">
        <v>4</v>
      </c>
      <c r="F2602">
        <v>1004</v>
      </c>
      <c r="G2602" t="s">
        <v>110</v>
      </c>
      <c r="J2602" t="s">
        <v>111</v>
      </c>
      <c r="K2602">
        <v>0</v>
      </c>
      <c r="L2602">
        <v>3</v>
      </c>
      <c r="M2602">
        <v>0</v>
      </c>
      <c r="N2602">
        <v>2</v>
      </c>
      <c r="O2602">
        <v>1</v>
      </c>
      <c r="P2602">
        <v>0</v>
      </c>
      <c r="Q2602">
        <v>0</v>
      </c>
      <c r="R2602" t="s">
        <v>112</v>
      </c>
      <c r="S2602" t="str">
        <f>"14:33:42.820"</f>
        <v>14:33:42.820</v>
      </c>
      <c r="T2602" t="str">
        <f>"14:33:42.422"</f>
        <v>14:33:42.422</v>
      </c>
      <c r="U2602" t="str">
        <f t="shared" si="120"/>
        <v>ad5732</v>
      </c>
      <c r="V2602">
        <v>0</v>
      </c>
      <c r="W2602">
        <v>0</v>
      </c>
      <c r="X2602">
        <v>1</v>
      </c>
      <c r="Z2602">
        <v>0</v>
      </c>
      <c r="AA2602">
        <v>9</v>
      </c>
      <c r="AB2602">
        <v>3</v>
      </c>
      <c r="AC2602">
        <v>0</v>
      </c>
      <c r="AD2602">
        <v>10</v>
      </c>
      <c r="AE2602">
        <v>0</v>
      </c>
      <c r="AF2602">
        <v>3</v>
      </c>
      <c r="AG2602">
        <v>2</v>
      </c>
      <c r="AH2602">
        <v>0</v>
      </c>
      <c r="AI2602" t="s">
        <v>5320</v>
      </c>
      <c r="AJ2602">
        <v>40.143892999999998</v>
      </c>
      <c r="AK2602" t="s">
        <v>5321</v>
      </c>
      <c r="AL2602">
        <v>-75.354280000000003</v>
      </c>
      <c r="AM2602">
        <v>100</v>
      </c>
      <c r="AN2602">
        <v>4300</v>
      </c>
      <c r="AO2602" t="s">
        <v>115</v>
      </c>
      <c r="AP2602">
        <v>149</v>
      </c>
      <c r="AQ2602">
        <v>135</v>
      </c>
      <c r="AR2602">
        <v>-576</v>
      </c>
      <c r="AZ2602">
        <v>3614</v>
      </c>
      <c r="BA2602">
        <v>1</v>
      </c>
      <c r="BB2602" t="str">
        <f t="shared" si="122"/>
        <v xml:space="preserve">N959MJ  </v>
      </c>
      <c r="BC2602">
        <v>1</v>
      </c>
      <c r="BE2602">
        <v>0</v>
      </c>
      <c r="BF2602">
        <v>0</v>
      </c>
      <c r="BG2602">
        <v>0</v>
      </c>
      <c r="BH2602">
        <v>4450</v>
      </c>
      <c r="BI2602">
        <v>150</v>
      </c>
      <c r="BJ2602">
        <v>1</v>
      </c>
      <c r="BK2602">
        <v>1</v>
      </c>
      <c r="BL2602">
        <v>1</v>
      </c>
      <c r="BM2602">
        <v>0</v>
      </c>
      <c r="BP2602">
        <v>0</v>
      </c>
      <c r="BQ2602">
        <v>0</v>
      </c>
      <c r="BX2602" t="str">
        <f>"14:33:42.820"</f>
        <v>14:33:42.820</v>
      </c>
      <c r="BY2602" t="str">
        <f>"822103176"</f>
        <v>822103176</v>
      </c>
      <c r="CL2602">
        <v>0</v>
      </c>
      <c r="CM2602">
        <v>2</v>
      </c>
      <c r="CN2602">
        <v>0</v>
      </c>
      <c r="CO2602">
        <v>2</v>
      </c>
      <c r="CP2602">
        <v>0</v>
      </c>
      <c r="CQ2602">
        <v>7</v>
      </c>
      <c r="CR2602" t="s">
        <v>116</v>
      </c>
      <c r="CS2602">
        <v>39</v>
      </c>
      <c r="CT2602">
        <v>0</v>
      </c>
      <c r="CU2602" t="s">
        <v>2259</v>
      </c>
      <c r="CV2602" t="s">
        <v>2260</v>
      </c>
      <c r="CY2602">
        <v>2126146</v>
      </c>
      <c r="CZ2602" t="s">
        <v>119</v>
      </c>
    </row>
    <row r="2603" spans="1:104" x14ac:dyDescent="0.25">
      <c r="A2603" t="str">
        <f>"14:33:43.961"</f>
        <v>14:33:43.961</v>
      </c>
      <c r="B2603" t="s">
        <v>108</v>
      </c>
      <c r="C2603" t="str">
        <f t="shared" si="121"/>
        <v>ffdfd3c0</v>
      </c>
      <c r="D2603" t="s">
        <v>109</v>
      </c>
      <c r="E2603">
        <v>4</v>
      </c>
      <c r="F2603">
        <v>1004</v>
      </c>
      <c r="G2603" t="s">
        <v>110</v>
      </c>
      <c r="J2603" t="s">
        <v>111</v>
      </c>
      <c r="K2603">
        <v>0</v>
      </c>
      <c r="L2603">
        <v>3</v>
      </c>
      <c r="M2603">
        <v>0</v>
      </c>
      <c r="N2603">
        <v>2</v>
      </c>
      <c r="O2603">
        <v>1</v>
      </c>
      <c r="P2603">
        <v>0</v>
      </c>
      <c r="Q2603">
        <v>0</v>
      </c>
      <c r="R2603" t="s">
        <v>112</v>
      </c>
      <c r="S2603" t="str">
        <f>"14:33:43.766"</f>
        <v>14:33:43.766</v>
      </c>
      <c r="T2603" t="str">
        <f>"14:33:43.367"</f>
        <v>14:33:43.367</v>
      </c>
      <c r="U2603" t="str">
        <f t="shared" si="120"/>
        <v>ad5732</v>
      </c>
      <c r="V2603">
        <v>0</v>
      </c>
      <c r="W2603">
        <v>0</v>
      </c>
      <c r="X2603">
        <v>1</v>
      </c>
      <c r="Z2603">
        <v>0</v>
      </c>
      <c r="AA2603">
        <v>9</v>
      </c>
      <c r="AB2603">
        <v>3</v>
      </c>
      <c r="AC2603">
        <v>0</v>
      </c>
      <c r="AD2603">
        <v>10</v>
      </c>
      <c r="AE2603">
        <v>0</v>
      </c>
      <c r="AF2603">
        <v>3</v>
      </c>
      <c r="AG2603">
        <v>2</v>
      </c>
      <c r="AH2603">
        <v>0</v>
      </c>
      <c r="AI2603" t="s">
        <v>5322</v>
      </c>
      <c r="AJ2603">
        <v>40.144450999999997</v>
      </c>
      <c r="AK2603" t="s">
        <v>5323</v>
      </c>
      <c r="AL2603">
        <v>-75.353508000000005</v>
      </c>
      <c r="AM2603">
        <v>100</v>
      </c>
      <c r="AN2603">
        <v>4200</v>
      </c>
      <c r="AO2603" t="s">
        <v>115</v>
      </c>
      <c r="AP2603">
        <v>149</v>
      </c>
      <c r="AQ2603">
        <v>135</v>
      </c>
      <c r="AR2603">
        <v>-576</v>
      </c>
      <c r="AZ2603">
        <v>3614</v>
      </c>
      <c r="BA2603">
        <v>1</v>
      </c>
      <c r="BB2603" t="str">
        <f t="shared" si="122"/>
        <v xml:space="preserve">N959MJ  </v>
      </c>
      <c r="BC2603">
        <v>1</v>
      </c>
      <c r="BE2603">
        <v>0</v>
      </c>
      <c r="BF2603">
        <v>0</v>
      </c>
      <c r="BG2603">
        <v>0</v>
      </c>
      <c r="BH2603">
        <v>4425</v>
      </c>
      <c r="BI2603">
        <v>225</v>
      </c>
      <c r="BJ2603">
        <v>1</v>
      </c>
      <c r="BK2603">
        <v>1</v>
      </c>
      <c r="BL2603">
        <v>1</v>
      </c>
      <c r="BM2603">
        <v>0</v>
      </c>
      <c r="BP2603">
        <v>0</v>
      </c>
      <c r="BQ2603">
        <v>0</v>
      </c>
      <c r="BX2603" t="str">
        <f>"14:33:43.766"</f>
        <v>14:33:43.766</v>
      </c>
      <c r="BY2603" t="str">
        <f>"769115160"</f>
        <v>769115160</v>
      </c>
      <c r="CL2603">
        <v>0</v>
      </c>
      <c r="CM2603">
        <v>2</v>
      </c>
      <c r="CN2603">
        <v>0</v>
      </c>
      <c r="CO2603">
        <v>2</v>
      </c>
      <c r="CP2603">
        <v>0</v>
      </c>
      <c r="CQ2603">
        <v>7</v>
      </c>
      <c r="CR2603" t="s">
        <v>116</v>
      </c>
      <c r="CS2603">
        <v>39</v>
      </c>
      <c r="CT2603">
        <v>0</v>
      </c>
      <c r="CU2603" t="s">
        <v>2259</v>
      </c>
      <c r="CV2603" t="s">
        <v>2260</v>
      </c>
      <c r="CY2603">
        <v>2127588</v>
      </c>
      <c r="CZ2603" t="s">
        <v>119</v>
      </c>
    </row>
    <row r="2604" spans="1:104" x14ac:dyDescent="0.25">
      <c r="A2604" t="str">
        <f>"14:33:45.023"</f>
        <v>14:33:45.023</v>
      </c>
      <c r="B2604" t="s">
        <v>108</v>
      </c>
      <c r="C2604" t="str">
        <f t="shared" si="121"/>
        <v>ffdfd3c0</v>
      </c>
      <c r="D2604" t="s">
        <v>109</v>
      </c>
      <c r="E2604">
        <v>4</v>
      </c>
      <c r="F2604">
        <v>1004</v>
      </c>
      <c r="G2604" t="s">
        <v>110</v>
      </c>
      <c r="J2604" t="s">
        <v>111</v>
      </c>
      <c r="K2604">
        <v>0</v>
      </c>
      <c r="L2604">
        <v>3</v>
      </c>
      <c r="M2604">
        <v>0</v>
      </c>
      <c r="N2604">
        <v>2</v>
      </c>
      <c r="O2604">
        <v>1</v>
      </c>
      <c r="P2604">
        <v>0</v>
      </c>
      <c r="Q2604">
        <v>0</v>
      </c>
      <c r="R2604" t="s">
        <v>112</v>
      </c>
      <c r="S2604" t="str">
        <f>"14:33:44.859"</f>
        <v>14:33:44.859</v>
      </c>
      <c r="T2604" t="str">
        <f>"14:33:44.359"</f>
        <v>14:33:44.359</v>
      </c>
      <c r="U2604" t="str">
        <f t="shared" si="120"/>
        <v>ad5732</v>
      </c>
      <c r="V2604">
        <v>0</v>
      </c>
      <c r="W2604">
        <v>0</v>
      </c>
      <c r="X2604">
        <v>1</v>
      </c>
      <c r="Z2604">
        <v>0</v>
      </c>
      <c r="AA2604">
        <v>9</v>
      </c>
      <c r="AB2604">
        <v>3</v>
      </c>
      <c r="AC2604">
        <v>0</v>
      </c>
      <c r="AD2604">
        <v>10</v>
      </c>
      <c r="AE2604">
        <v>0</v>
      </c>
      <c r="AF2604">
        <v>3</v>
      </c>
      <c r="AG2604">
        <v>2</v>
      </c>
      <c r="AH2604">
        <v>0</v>
      </c>
      <c r="AI2604" t="s">
        <v>5324</v>
      </c>
      <c r="AJ2604">
        <v>40.145159</v>
      </c>
      <c r="AK2604" t="s">
        <v>5325</v>
      </c>
      <c r="AL2604">
        <v>-75.352478000000005</v>
      </c>
      <c r="AM2604">
        <v>100</v>
      </c>
      <c r="AN2604">
        <v>4200</v>
      </c>
      <c r="AO2604" t="s">
        <v>115</v>
      </c>
      <c r="AP2604">
        <v>149</v>
      </c>
      <c r="AQ2604">
        <v>135</v>
      </c>
      <c r="AR2604">
        <v>-576</v>
      </c>
      <c r="AZ2604">
        <v>3614</v>
      </c>
      <c r="BA2604">
        <v>1</v>
      </c>
      <c r="BB2604" t="str">
        <f t="shared" si="122"/>
        <v xml:space="preserve">N959MJ  </v>
      </c>
      <c r="BC2604">
        <v>1</v>
      </c>
      <c r="BE2604">
        <v>0</v>
      </c>
      <c r="BF2604">
        <v>0</v>
      </c>
      <c r="BG2604">
        <v>0</v>
      </c>
      <c r="BH2604">
        <v>4425</v>
      </c>
      <c r="BI2604">
        <v>225</v>
      </c>
      <c r="BJ2604">
        <v>1</v>
      </c>
      <c r="BK2604">
        <v>1</v>
      </c>
      <c r="BL2604">
        <v>1</v>
      </c>
      <c r="BM2604">
        <v>0</v>
      </c>
      <c r="BP2604">
        <v>0</v>
      </c>
      <c r="BQ2604">
        <v>0</v>
      </c>
      <c r="BX2604" t="str">
        <f>"14:33:44.867"</f>
        <v>14:33:44.867</v>
      </c>
      <c r="BY2604" t="str">
        <f>"865224020"</f>
        <v>865224020</v>
      </c>
      <c r="CL2604">
        <v>0</v>
      </c>
      <c r="CM2604">
        <v>2</v>
      </c>
      <c r="CN2604">
        <v>0</v>
      </c>
      <c r="CO2604">
        <v>2</v>
      </c>
      <c r="CP2604">
        <v>0</v>
      </c>
      <c r="CQ2604">
        <v>7</v>
      </c>
      <c r="CR2604" t="s">
        <v>116</v>
      </c>
      <c r="CS2604">
        <v>39</v>
      </c>
      <c r="CT2604">
        <v>0</v>
      </c>
      <c r="CU2604" t="s">
        <v>2259</v>
      </c>
      <c r="CV2604" t="s">
        <v>2260</v>
      </c>
      <c r="CY2604">
        <v>2129349</v>
      </c>
      <c r="CZ2604" t="s">
        <v>119</v>
      </c>
    </row>
    <row r="2605" spans="1:104" x14ac:dyDescent="0.25">
      <c r="A2605" t="str">
        <f>"14:33:46.180"</f>
        <v>14:33:46.180</v>
      </c>
      <c r="B2605" t="s">
        <v>108</v>
      </c>
      <c r="C2605" t="str">
        <f t="shared" si="121"/>
        <v>ffdfd3c0</v>
      </c>
      <c r="D2605" t="s">
        <v>109</v>
      </c>
      <c r="E2605">
        <v>4</v>
      </c>
      <c r="F2605">
        <v>1004</v>
      </c>
      <c r="G2605" t="s">
        <v>110</v>
      </c>
      <c r="J2605" t="s">
        <v>111</v>
      </c>
      <c r="K2605">
        <v>0</v>
      </c>
      <c r="L2605">
        <v>3</v>
      </c>
      <c r="M2605">
        <v>0</v>
      </c>
      <c r="N2605">
        <v>2</v>
      </c>
      <c r="O2605">
        <v>1</v>
      </c>
      <c r="P2605">
        <v>0</v>
      </c>
      <c r="Q2605">
        <v>0</v>
      </c>
      <c r="R2605" t="s">
        <v>112</v>
      </c>
      <c r="S2605" t="str">
        <f>"14:33:45.977"</f>
        <v>14:33:45.977</v>
      </c>
      <c r="T2605" t="str">
        <f>"14:33:45.477"</f>
        <v>14:33:45.477</v>
      </c>
      <c r="U2605" t="str">
        <f t="shared" si="120"/>
        <v>ad5732</v>
      </c>
      <c r="V2605">
        <v>0</v>
      </c>
      <c r="W2605">
        <v>0</v>
      </c>
      <c r="X2605">
        <v>1</v>
      </c>
      <c r="Z2605">
        <v>0</v>
      </c>
      <c r="AA2605">
        <v>9</v>
      </c>
      <c r="AB2605">
        <v>3</v>
      </c>
      <c r="AC2605">
        <v>0</v>
      </c>
      <c r="AD2605">
        <v>10</v>
      </c>
      <c r="AE2605">
        <v>0</v>
      </c>
      <c r="AF2605">
        <v>3</v>
      </c>
      <c r="AG2605">
        <v>2</v>
      </c>
      <c r="AH2605">
        <v>0</v>
      </c>
      <c r="AI2605" t="s">
        <v>5326</v>
      </c>
      <c r="AJ2605">
        <v>40.145823999999998</v>
      </c>
      <c r="AK2605" t="s">
        <v>5327</v>
      </c>
      <c r="AL2605">
        <v>-75.351490999999996</v>
      </c>
      <c r="AM2605">
        <v>100</v>
      </c>
      <c r="AN2605">
        <v>4200</v>
      </c>
      <c r="AO2605" t="s">
        <v>115</v>
      </c>
      <c r="AP2605">
        <v>149</v>
      </c>
      <c r="AQ2605">
        <v>136</v>
      </c>
      <c r="AR2605">
        <v>-576</v>
      </c>
      <c r="AZ2605">
        <v>3614</v>
      </c>
      <c r="BA2605">
        <v>1</v>
      </c>
      <c r="BB2605" t="str">
        <f t="shared" si="122"/>
        <v xml:space="preserve">N959MJ  </v>
      </c>
      <c r="BC2605">
        <v>1</v>
      </c>
      <c r="BE2605">
        <v>0</v>
      </c>
      <c r="BF2605">
        <v>0</v>
      </c>
      <c r="BG2605">
        <v>0</v>
      </c>
      <c r="BH2605">
        <v>4400</v>
      </c>
      <c r="BI2605">
        <v>200</v>
      </c>
      <c r="BJ2605">
        <v>1</v>
      </c>
      <c r="BK2605">
        <v>1</v>
      </c>
      <c r="BL2605">
        <v>1</v>
      </c>
      <c r="BM2605">
        <v>0</v>
      </c>
      <c r="BP2605">
        <v>0</v>
      </c>
      <c r="BQ2605">
        <v>0</v>
      </c>
      <c r="BX2605" t="str">
        <f>"14:33:45.977"</f>
        <v>14:33:45.977</v>
      </c>
      <c r="BY2605" t="str">
        <f>"977717330"</f>
        <v>977717330</v>
      </c>
      <c r="CL2605">
        <v>0</v>
      </c>
      <c r="CM2605">
        <v>2</v>
      </c>
      <c r="CN2605">
        <v>0</v>
      </c>
      <c r="CO2605">
        <v>2</v>
      </c>
      <c r="CP2605">
        <v>0</v>
      </c>
      <c r="CQ2605">
        <v>7</v>
      </c>
      <c r="CR2605" t="s">
        <v>116</v>
      </c>
      <c r="CS2605">
        <v>39</v>
      </c>
      <c r="CT2605">
        <v>0</v>
      </c>
      <c r="CU2605" t="s">
        <v>2259</v>
      </c>
      <c r="CV2605" t="s">
        <v>2260</v>
      </c>
      <c r="CY2605">
        <v>2131206</v>
      </c>
      <c r="CZ2605" t="s">
        <v>119</v>
      </c>
    </row>
    <row r="2606" spans="1:104" x14ac:dyDescent="0.25">
      <c r="A2606" t="str">
        <f>"14:33:47.344"</f>
        <v>14:33:47.344</v>
      </c>
      <c r="B2606" t="s">
        <v>108</v>
      </c>
      <c r="C2606" t="str">
        <f t="shared" si="121"/>
        <v>ffdfd3c0</v>
      </c>
      <c r="D2606" t="s">
        <v>109</v>
      </c>
      <c r="E2606">
        <v>4</v>
      </c>
      <c r="F2606">
        <v>1004</v>
      </c>
      <c r="G2606" t="s">
        <v>110</v>
      </c>
      <c r="J2606" t="s">
        <v>111</v>
      </c>
      <c r="K2606">
        <v>0</v>
      </c>
      <c r="L2606">
        <v>3</v>
      </c>
      <c r="M2606">
        <v>0</v>
      </c>
      <c r="N2606">
        <v>2</v>
      </c>
      <c r="O2606">
        <v>1</v>
      </c>
      <c r="P2606">
        <v>0</v>
      </c>
      <c r="Q2606">
        <v>0</v>
      </c>
      <c r="R2606" t="s">
        <v>112</v>
      </c>
      <c r="S2606" t="str">
        <f>"14:33:47.125"</f>
        <v>14:33:47.125</v>
      </c>
      <c r="T2606" t="str">
        <f>"14:33:46.625"</f>
        <v>14:33:46.625</v>
      </c>
      <c r="U2606" t="str">
        <f t="shared" si="120"/>
        <v>ad5732</v>
      </c>
      <c r="V2606">
        <v>0</v>
      </c>
      <c r="W2606">
        <v>0</v>
      </c>
      <c r="X2606">
        <v>1</v>
      </c>
      <c r="Z2606">
        <v>0</v>
      </c>
      <c r="AA2606">
        <v>9</v>
      </c>
      <c r="AB2606">
        <v>3</v>
      </c>
      <c r="AC2606">
        <v>0</v>
      </c>
      <c r="AD2606">
        <v>10</v>
      </c>
      <c r="AE2606">
        <v>0</v>
      </c>
      <c r="AF2606">
        <v>3</v>
      </c>
      <c r="AG2606">
        <v>2</v>
      </c>
      <c r="AH2606">
        <v>0</v>
      </c>
      <c r="AI2606" t="s">
        <v>5328</v>
      </c>
      <c r="AJ2606">
        <v>40.146596000000002</v>
      </c>
      <c r="AK2606" t="s">
        <v>5329</v>
      </c>
      <c r="AL2606">
        <v>-75.350460999999996</v>
      </c>
      <c r="AM2606">
        <v>100</v>
      </c>
      <c r="AN2606">
        <v>4200</v>
      </c>
      <c r="AO2606" t="s">
        <v>115</v>
      </c>
      <c r="AP2606">
        <v>149</v>
      </c>
      <c r="AQ2606">
        <v>136</v>
      </c>
      <c r="AR2606">
        <v>-640</v>
      </c>
      <c r="AZ2606">
        <v>3614</v>
      </c>
      <c r="BA2606">
        <v>1</v>
      </c>
      <c r="BB2606" t="str">
        <f t="shared" si="122"/>
        <v xml:space="preserve">N959MJ  </v>
      </c>
      <c r="BC2606">
        <v>1</v>
      </c>
      <c r="BE2606">
        <v>0</v>
      </c>
      <c r="BF2606">
        <v>0</v>
      </c>
      <c r="BG2606">
        <v>0</v>
      </c>
      <c r="BH2606">
        <v>4400</v>
      </c>
      <c r="BI2606">
        <v>200</v>
      </c>
      <c r="BJ2606">
        <v>1</v>
      </c>
      <c r="BK2606">
        <v>1</v>
      </c>
      <c r="BL2606">
        <v>1</v>
      </c>
      <c r="BM2606">
        <v>0</v>
      </c>
      <c r="BP2606">
        <v>0</v>
      </c>
      <c r="BQ2606">
        <v>0</v>
      </c>
      <c r="BX2606" t="str">
        <f>"14:33:47.125"</f>
        <v>14:33:47.125</v>
      </c>
      <c r="BY2606" t="str">
        <f>"127894393"</f>
        <v>127894393</v>
      </c>
      <c r="CL2606">
        <v>0</v>
      </c>
      <c r="CM2606">
        <v>2</v>
      </c>
      <c r="CN2606">
        <v>0</v>
      </c>
      <c r="CO2606">
        <v>2</v>
      </c>
      <c r="CP2606">
        <v>0</v>
      </c>
      <c r="CQ2606">
        <v>7</v>
      </c>
      <c r="CR2606" t="s">
        <v>116</v>
      </c>
      <c r="CS2606">
        <v>39</v>
      </c>
      <c r="CT2606">
        <v>0</v>
      </c>
      <c r="CU2606" t="s">
        <v>2259</v>
      </c>
      <c r="CV2606" t="s">
        <v>2260</v>
      </c>
      <c r="CY2606">
        <v>2132976</v>
      </c>
      <c r="CZ2606" t="s">
        <v>119</v>
      </c>
    </row>
    <row r="2607" spans="1:104" x14ac:dyDescent="0.25">
      <c r="A2607" t="str">
        <f>"14:33:48.305"</f>
        <v>14:33:48.305</v>
      </c>
      <c r="B2607" t="s">
        <v>108</v>
      </c>
      <c r="C2607" t="str">
        <f t="shared" si="121"/>
        <v>ffdfd3c0</v>
      </c>
      <c r="D2607" t="s">
        <v>109</v>
      </c>
      <c r="E2607">
        <v>4</v>
      </c>
      <c r="F2607">
        <v>1004</v>
      </c>
      <c r="G2607" t="s">
        <v>110</v>
      </c>
      <c r="J2607" t="s">
        <v>111</v>
      </c>
      <c r="K2607">
        <v>0</v>
      </c>
      <c r="L2607">
        <v>3</v>
      </c>
      <c r="M2607">
        <v>0</v>
      </c>
      <c r="N2607">
        <v>2</v>
      </c>
      <c r="O2607">
        <v>1</v>
      </c>
      <c r="P2607">
        <v>0</v>
      </c>
      <c r="Q2607">
        <v>0</v>
      </c>
      <c r="R2607" t="s">
        <v>112</v>
      </c>
      <c r="S2607" t="str">
        <f>"14:33:48.141"</f>
        <v>14:33:48.141</v>
      </c>
      <c r="T2607" t="str">
        <f>"14:33:47.742"</f>
        <v>14:33:47.742</v>
      </c>
      <c r="U2607" t="str">
        <f t="shared" si="120"/>
        <v>ad5732</v>
      </c>
      <c r="V2607">
        <v>0</v>
      </c>
      <c r="W2607">
        <v>0</v>
      </c>
      <c r="X2607">
        <v>1</v>
      </c>
      <c r="Z2607">
        <v>0</v>
      </c>
      <c r="AA2607">
        <v>9</v>
      </c>
      <c r="AB2607">
        <v>3</v>
      </c>
      <c r="AC2607">
        <v>0</v>
      </c>
      <c r="AD2607">
        <v>10</v>
      </c>
      <c r="AE2607">
        <v>0</v>
      </c>
      <c r="AF2607">
        <v>3</v>
      </c>
      <c r="AG2607">
        <v>2</v>
      </c>
      <c r="AH2607">
        <v>0</v>
      </c>
      <c r="AI2607" t="s">
        <v>5330</v>
      </c>
      <c r="AJ2607">
        <v>40.147239999999996</v>
      </c>
      <c r="AK2607" t="s">
        <v>5331</v>
      </c>
      <c r="AL2607">
        <v>-75.349537999999995</v>
      </c>
      <c r="AM2607">
        <v>100</v>
      </c>
      <c r="AN2607">
        <v>4200</v>
      </c>
      <c r="AO2607" t="s">
        <v>115</v>
      </c>
      <c r="AP2607">
        <v>149</v>
      </c>
      <c r="AQ2607">
        <v>136</v>
      </c>
      <c r="AR2607">
        <v>-704</v>
      </c>
      <c r="AZ2607">
        <v>3614</v>
      </c>
      <c r="BA2607">
        <v>1</v>
      </c>
      <c r="BB2607" t="str">
        <f t="shared" si="122"/>
        <v xml:space="preserve">N959MJ  </v>
      </c>
      <c r="BC2607">
        <v>1</v>
      </c>
      <c r="BE2607">
        <v>0</v>
      </c>
      <c r="BF2607">
        <v>0</v>
      </c>
      <c r="BG2607">
        <v>0</v>
      </c>
      <c r="BH2607">
        <v>4400</v>
      </c>
      <c r="BI2607">
        <v>200</v>
      </c>
      <c r="BJ2607">
        <v>1</v>
      </c>
      <c r="BK2607">
        <v>1</v>
      </c>
      <c r="BL2607">
        <v>1</v>
      </c>
      <c r="BM2607">
        <v>0</v>
      </c>
      <c r="BP2607">
        <v>0</v>
      </c>
      <c r="BQ2607">
        <v>0</v>
      </c>
      <c r="BX2607" t="str">
        <f>"14:33:48.141"</f>
        <v>14:33:48.141</v>
      </c>
      <c r="BY2607" t="str">
        <f>"143720393"</f>
        <v>143720393</v>
      </c>
      <c r="CL2607">
        <v>0</v>
      </c>
      <c r="CM2607">
        <v>2</v>
      </c>
      <c r="CN2607">
        <v>0</v>
      </c>
      <c r="CO2607">
        <v>2</v>
      </c>
      <c r="CP2607">
        <v>0</v>
      </c>
      <c r="CQ2607">
        <v>7</v>
      </c>
      <c r="CR2607" t="s">
        <v>116</v>
      </c>
      <c r="CS2607">
        <v>39</v>
      </c>
      <c r="CT2607">
        <v>0</v>
      </c>
      <c r="CU2607" t="s">
        <v>2259</v>
      </c>
      <c r="CV2607" t="s">
        <v>2260</v>
      </c>
      <c r="CY2607">
        <v>2134469</v>
      </c>
      <c r="CZ2607" t="s">
        <v>119</v>
      </c>
    </row>
    <row r="2608" spans="1:104" x14ac:dyDescent="0.25">
      <c r="A2608" t="str">
        <f>"14:33:49.367"</f>
        <v>14:33:49.367</v>
      </c>
      <c r="B2608" t="s">
        <v>108</v>
      </c>
      <c r="C2608" t="str">
        <f t="shared" si="121"/>
        <v>ffdfd3c0</v>
      </c>
      <c r="D2608" t="s">
        <v>109</v>
      </c>
      <c r="E2608">
        <v>4</v>
      </c>
      <c r="F2608">
        <v>1004</v>
      </c>
      <c r="G2608" t="s">
        <v>110</v>
      </c>
      <c r="J2608" t="s">
        <v>111</v>
      </c>
      <c r="K2608">
        <v>0</v>
      </c>
      <c r="L2608">
        <v>3</v>
      </c>
      <c r="M2608">
        <v>0</v>
      </c>
      <c r="N2608">
        <v>2</v>
      </c>
      <c r="O2608">
        <v>1</v>
      </c>
      <c r="P2608">
        <v>0</v>
      </c>
      <c r="Q2608">
        <v>0</v>
      </c>
      <c r="R2608" t="s">
        <v>112</v>
      </c>
      <c r="S2608" t="str">
        <f>"14:33:49.211"</f>
        <v>14:33:49.211</v>
      </c>
      <c r="T2608" t="str">
        <f>"14:33:48.711"</f>
        <v>14:33:48.711</v>
      </c>
      <c r="U2608" t="str">
        <f t="shared" si="120"/>
        <v>ad5732</v>
      </c>
      <c r="V2608">
        <v>0</v>
      </c>
      <c r="W2608">
        <v>0</v>
      </c>
      <c r="X2608">
        <v>1</v>
      </c>
      <c r="Z2608">
        <v>0</v>
      </c>
      <c r="AA2608">
        <v>9</v>
      </c>
      <c r="AB2608">
        <v>3</v>
      </c>
      <c r="AC2608">
        <v>0</v>
      </c>
      <c r="AD2608">
        <v>10</v>
      </c>
      <c r="AE2608">
        <v>0</v>
      </c>
      <c r="AF2608">
        <v>3</v>
      </c>
      <c r="AG2608">
        <v>2</v>
      </c>
      <c r="AH2608">
        <v>0</v>
      </c>
      <c r="AI2608" t="s">
        <v>5332</v>
      </c>
      <c r="AJ2608">
        <v>40.147948</v>
      </c>
      <c r="AK2608" t="s">
        <v>5333</v>
      </c>
      <c r="AL2608">
        <v>-75.348551</v>
      </c>
      <c r="AM2608">
        <v>100</v>
      </c>
      <c r="AN2608">
        <v>4200</v>
      </c>
      <c r="AO2608" t="s">
        <v>115</v>
      </c>
      <c r="AP2608">
        <v>149</v>
      </c>
      <c r="AQ2608">
        <v>136</v>
      </c>
      <c r="AR2608">
        <v>-704</v>
      </c>
      <c r="AZ2608">
        <v>3614</v>
      </c>
      <c r="BA2608">
        <v>1</v>
      </c>
      <c r="BB2608" t="str">
        <f t="shared" si="122"/>
        <v xml:space="preserve">N959MJ  </v>
      </c>
      <c r="BC2608">
        <v>1</v>
      </c>
      <c r="BE2608">
        <v>0</v>
      </c>
      <c r="BF2608">
        <v>0</v>
      </c>
      <c r="BG2608">
        <v>0</v>
      </c>
      <c r="BH2608">
        <v>4375</v>
      </c>
      <c r="BI2608">
        <v>175</v>
      </c>
      <c r="BJ2608">
        <v>1</v>
      </c>
      <c r="BK2608">
        <v>1</v>
      </c>
      <c r="BL2608">
        <v>1</v>
      </c>
      <c r="BM2608">
        <v>0</v>
      </c>
      <c r="BP2608">
        <v>0</v>
      </c>
      <c r="BQ2608">
        <v>0</v>
      </c>
      <c r="BX2608" t="str">
        <f>"14:33:49.211"</f>
        <v>14:33:49.211</v>
      </c>
      <c r="BY2608" t="str">
        <f>"213614448"</f>
        <v>213614448</v>
      </c>
      <c r="CL2608">
        <v>0</v>
      </c>
      <c r="CM2608">
        <v>2</v>
      </c>
      <c r="CN2608">
        <v>0</v>
      </c>
      <c r="CO2608">
        <v>2</v>
      </c>
      <c r="CP2608">
        <v>0</v>
      </c>
      <c r="CQ2608">
        <v>7</v>
      </c>
      <c r="CR2608" t="s">
        <v>116</v>
      </c>
      <c r="CS2608">
        <v>39</v>
      </c>
      <c r="CT2608">
        <v>0</v>
      </c>
      <c r="CU2608" t="s">
        <v>2259</v>
      </c>
      <c r="CV2608" t="s">
        <v>2260</v>
      </c>
      <c r="CY2608">
        <v>2136260</v>
      </c>
      <c r="CZ2608" t="s">
        <v>119</v>
      </c>
    </row>
    <row r="2609" spans="1:104" x14ac:dyDescent="0.25">
      <c r="A2609" t="str">
        <f>"14:33:50.320"</f>
        <v>14:33:50.320</v>
      </c>
      <c r="B2609" t="s">
        <v>108</v>
      </c>
      <c r="C2609" t="str">
        <f t="shared" si="121"/>
        <v>ffdfd3c0</v>
      </c>
      <c r="D2609" t="s">
        <v>109</v>
      </c>
      <c r="E2609">
        <v>4</v>
      </c>
      <c r="F2609">
        <v>1004</v>
      </c>
      <c r="G2609" t="s">
        <v>110</v>
      </c>
      <c r="J2609" t="s">
        <v>111</v>
      </c>
      <c r="K2609">
        <v>0</v>
      </c>
      <c r="L2609">
        <v>3</v>
      </c>
      <c r="M2609">
        <v>0</v>
      </c>
      <c r="N2609">
        <v>2</v>
      </c>
      <c r="O2609">
        <v>1</v>
      </c>
      <c r="P2609">
        <v>0</v>
      </c>
      <c r="Q2609">
        <v>0</v>
      </c>
      <c r="R2609" t="s">
        <v>112</v>
      </c>
      <c r="S2609" t="str">
        <f>"14:33:50.148"</f>
        <v>14:33:50.148</v>
      </c>
      <c r="T2609" t="str">
        <f>"14:33:49.750"</f>
        <v>14:33:49.750</v>
      </c>
      <c r="U2609" t="str">
        <f t="shared" si="120"/>
        <v>ad5732</v>
      </c>
      <c r="V2609">
        <v>0</v>
      </c>
      <c r="W2609">
        <v>0</v>
      </c>
      <c r="X2609">
        <v>1</v>
      </c>
      <c r="Z2609">
        <v>0</v>
      </c>
      <c r="AA2609">
        <v>9</v>
      </c>
      <c r="AB2609">
        <v>3</v>
      </c>
      <c r="AC2609">
        <v>0</v>
      </c>
      <c r="AD2609">
        <v>10</v>
      </c>
      <c r="AE2609">
        <v>0</v>
      </c>
      <c r="AF2609">
        <v>3</v>
      </c>
      <c r="AG2609">
        <v>2</v>
      </c>
      <c r="AH2609">
        <v>0</v>
      </c>
      <c r="AI2609" t="s">
        <v>5334</v>
      </c>
      <c r="AJ2609">
        <v>40.148485000000001</v>
      </c>
      <c r="AK2609" t="s">
        <v>5335</v>
      </c>
      <c r="AL2609">
        <v>-75.347713999999996</v>
      </c>
      <c r="AM2609">
        <v>100</v>
      </c>
      <c r="AN2609">
        <v>4200</v>
      </c>
      <c r="AO2609" t="s">
        <v>115</v>
      </c>
      <c r="AP2609">
        <v>149</v>
      </c>
      <c r="AQ2609">
        <v>137</v>
      </c>
      <c r="AR2609">
        <v>-768</v>
      </c>
      <c r="AZ2609">
        <v>3614</v>
      </c>
      <c r="BA2609">
        <v>1</v>
      </c>
      <c r="BB2609" t="str">
        <f t="shared" si="122"/>
        <v xml:space="preserve">N959MJ  </v>
      </c>
      <c r="BC2609">
        <v>1</v>
      </c>
      <c r="BE2609">
        <v>0</v>
      </c>
      <c r="BF2609">
        <v>0</v>
      </c>
      <c r="BG2609">
        <v>0</v>
      </c>
      <c r="BH2609">
        <v>4375</v>
      </c>
      <c r="BI2609">
        <v>175</v>
      </c>
      <c r="BJ2609">
        <v>1</v>
      </c>
      <c r="BK2609">
        <v>1</v>
      </c>
      <c r="BL2609">
        <v>1</v>
      </c>
      <c r="BM2609">
        <v>0</v>
      </c>
      <c r="BP2609">
        <v>0</v>
      </c>
      <c r="BQ2609">
        <v>0</v>
      </c>
      <c r="BX2609" t="str">
        <f>"14:33:50.156"</f>
        <v>14:33:50.156</v>
      </c>
      <c r="BY2609" t="str">
        <f>"154072662"</f>
        <v>154072662</v>
      </c>
      <c r="CL2609">
        <v>0</v>
      </c>
      <c r="CM2609">
        <v>2</v>
      </c>
      <c r="CN2609">
        <v>0</v>
      </c>
      <c r="CO2609">
        <v>2</v>
      </c>
      <c r="CP2609">
        <v>0</v>
      </c>
      <c r="CQ2609">
        <v>7</v>
      </c>
      <c r="CR2609" t="s">
        <v>116</v>
      </c>
      <c r="CS2609">
        <v>39</v>
      </c>
      <c r="CT2609">
        <v>0</v>
      </c>
      <c r="CU2609" t="s">
        <v>2259</v>
      </c>
      <c r="CV2609" t="s">
        <v>2260</v>
      </c>
      <c r="CY2609">
        <v>2137816</v>
      </c>
      <c r="CZ2609" t="s">
        <v>119</v>
      </c>
    </row>
    <row r="2610" spans="1:104" x14ac:dyDescent="0.25">
      <c r="A2610" t="str">
        <f>"14:33:51.180"</f>
        <v>14:33:51.180</v>
      </c>
      <c r="B2610" t="s">
        <v>108</v>
      </c>
      <c r="C2610" t="str">
        <f t="shared" si="121"/>
        <v>ffdfd3c0</v>
      </c>
      <c r="D2610" t="s">
        <v>109</v>
      </c>
      <c r="E2610">
        <v>4</v>
      </c>
      <c r="F2610">
        <v>1004</v>
      </c>
      <c r="G2610" t="s">
        <v>110</v>
      </c>
      <c r="J2610" t="s">
        <v>111</v>
      </c>
      <c r="K2610">
        <v>0</v>
      </c>
      <c r="L2610">
        <v>3</v>
      </c>
      <c r="M2610">
        <v>0</v>
      </c>
      <c r="N2610">
        <v>2</v>
      </c>
      <c r="O2610">
        <v>1</v>
      </c>
      <c r="P2610">
        <v>0</v>
      </c>
      <c r="Q2610">
        <v>0</v>
      </c>
      <c r="R2610" t="s">
        <v>112</v>
      </c>
      <c r="S2610" t="str">
        <f>"14:33:50.984"</f>
        <v>14:33:50.984</v>
      </c>
      <c r="T2610" t="str">
        <f>"14:33:50.586"</f>
        <v>14:33:50.586</v>
      </c>
      <c r="U2610" t="str">
        <f t="shared" si="120"/>
        <v>ad5732</v>
      </c>
      <c r="V2610">
        <v>0</v>
      </c>
      <c r="W2610">
        <v>0</v>
      </c>
      <c r="X2610">
        <v>1</v>
      </c>
      <c r="Z2610">
        <v>0</v>
      </c>
      <c r="AA2610">
        <v>9</v>
      </c>
      <c r="AB2610">
        <v>3</v>
      </c>
      <c r="AC2610">
        <v>0</v>
      </c>
      <c r="AD2610">
        <v>10</v>
      </c>
      <c r="AE2610">
        <v>0</v>
      </c>
      <c r="AF2610">
        <v>3</v>
      </c>
      <c r="AG2610">
        <v>2</v>
      </c>
      <c r="AH2610">
        <v>0</v>
      </c>
      <c r="AI2610" t="s">
        <v>5336</v>
      </c>
      <c r="AJ2610">
        <v>40.148978</v>
      </c>
      <c r="AK2610" t="s">
        <v>5337</v>
      </c>
      <c r="AL2610">
        <v>-75.347048999999998</v>
      </c>
      <c r="AM2610">
        <v>100</v>
      </c>
      <c r="AN2610">
        <v>4200</v>
      </c>
      <c r="AO2610" t="s">
        <v>115</v>
      </c>
      <c r="AP2610">
        <v>149</v>
      </c>
      <c r="AQ2610">
        <v>137</v>
      </c>
      <c r="AR2610">
        <v>-768</v>
      </c>
      <c r="AZ2610">
        <v>3614</v>
      </c>
      <c r="BA2610">
        <v>1</v>
      </c>
      <c r="BB2610" t="str">
        <f t="shared" si="122"/>
        <v xml:space="preserve">N959MJ  </v>
      </c>
      <c r="BC2610">
        <v>1</v>
      </c>
      <c r="BE2610">
        <v>0</v>
      </c>
      <c r="BF2610">
        <v>0</v>
      </c>
      <c r="BG2610">
        <v>0</v>
      </c>
      <c r="BH2610">
        <v>4350</v>
      </c>
      <c r="BI2610">
        <v>150</v>
      </c>
      <c r="BJ2610">
        <v>1</v>
      </c>
      <c r="BK2610">
        <v>1</v>
      </c>
      <c r="BL2610">
        <v>1</v>
      </c>
      <c r="BM2610">
        <v>0</v>
      </c>
      <c r="BP2610">
        <v>0</v>
      </c>
      <c r="BQ2610">
        <v>0</v>
      </c>
      <c r="BX2610" t="str">
        <f>"14:33:50.984"</f>
        <v>14:33:50.984</v>
      </c>
      <c r="BY2610" t="str">
        <f>"986394621"</f>
        <v>986394621</v>
      </c>
      <c r="CL2610">
        <v>0</v>
      </c>
      <c r="CM2610">
        <v>2</v>
      </c>
      <c r="CN2610">
        <v>0</v>
      </c>
      <c r="CO2610">
        <v>2</v>
      </c>
      <c r="CP2610">
        <v>0</v>
      </c>
      <c r="CQ2610">
        <v>7</v>
      </c>
      <c r="CR2610" t="s">
        <v>116</v>
      </c>
      <c r="CS2610">
        <v>39</v>
      </c>
      <c r="CT2610">
        <v>0</v>
      </c>
      <c r="CU2610" t="s">
        <v>2259</v>
      </c>
      <c r="CV2610" t="s">
        <v>2260</v>
      </c>
      <c r="CY2610">
        <v>2139077</v>
      </c>
      <c r="CZ2610" t="s">
        <v>119</v>
      </c>
    </row>
    <row r="2611" spans="1:104" x14ac:dyDescent="0.25">
      <c r="A2611" t="str">
        <f>"14:33:52.086"</f>
        <v>14:33:52.086</v>
      </c>
      <c r="B2611" t="s">
        <v>108</v>
      </c>
      <c r="C2611" t="str">
        <f t="shared" si="121"/>
        <v>ffdfd3c0</v>
      </c>
      <c r="D2611" t="s">
        <v>109</v>
      </c>
      <c r="E2611">
        <v>4</v>
      </c>
      <c r="F2611">
        <v>1004</v>
      </c>
      <c r="G2611" t="s">
        <v>110</v>
      </c>
      <c r="J2611" t="s">
        <v>111</v>
      </c>
      <c r="K2611">
        <v>0</v>
      </c>
      <c r="L2611">
        <v>3</v>
      </c>
      <c r="M2611">
        <v>0</v>
      </c>
      <c r="N2611">
        <v>2</v>
      </c>
      <c r="O2611">
        <v>1</v>
      </c>
      <c r="P2611">
        <v>0</v>
      </c>
      <c r="Q2611">
        <v>0</v>
      </c>
      <c r="R2611" t="s">
        <v>112</v>
      </c>
      <c r="S2611" t="str">
        <f>"14:33:51.922"</f>
        <v>14:33:51.922</v>
      </c>
      <c r="T2611" t="str">
        <f>"14:33:51.523"</f>
        <v>14:33:51.523</v>
      </c>
      <c r="U2611" t="str">
        <f t="shared" si="120"/>
        <v>ad5732</v>
      </c>
      <c r="V2611">
        <v>0</v>
      </c>
      <c r="W2611">
        <v>0</v>
      </c>
      <c r="X2611">
        <v>1</v>
      </c>
      <c r="Z2611">
        <v>0</v>
      </c>
      <c r="AA2611">
        <v>9</v>
      </c>
      <c r="AB2611">
        <v>3</v>
      </c>
      <c r="AC2611">
        <v>0</v>
      </c>
      <c r="AD2611">
        <v>10</v>
      </c>
      <c r="AE2611">
        <v>0</v>
      </c>
      <c r="AF2611">
        <v>3</v>
      </c>
      <c r="AG2611">
        <v>2</v>
      </c>
      <c r="AH2611">
        <v>0</v>
      </c>
      <c r="AI2611" t="s">
        <v>5338</v>
      </c>
      <c r="AJ2611">
        <v>40.149622000000001</v>
      </c>
      <c r="AK2611" t="s">
        <v>5339</v>
      </c>
      <c r="AL2611">
        <v>-75.346126999999996</v>
      </c>
      <c r="AM2611">
        <v>100</v>
      </c>
      <c r="AN2611">
        <v>4200</v>
      </c>
      <c r="AO2611" t="s">
        <v>115</v>
      </c>
      <c r="AP2611">
        <v>149</v>
      </c>
      <c r="AQ2611">
        <v>137</v>
      </c>
      <c r="AR2611">
        <v>-832</v>
      </c>
      <c r="AZ2611">
        <v>3614</v>
      </c>
      <c r="BA2611">
        <v>1</v>
      </c>
      <c r="BB2611" t="str">
        <f t="shared" si="122"/>
        <v xml:space="preserve">N959MJ  </v>
      </c>
      <c r="BC2611">
        <v>1</v>
      </c>
      <c r="BE2611">
        <v>0</v>
      </c>
      <c r="BF2611">
        <v>0</v>
      </c>
      <c r="BG2611">
        <v>0</v>
      </c>
      <c r="BH2611">
        <v>4350</v>
      </c>
      <c r="BI2611">
        <v>150</v>
      </c>
      <c r="BJ2611">
        <v>1</v>
      </c>
      <c r="BK2611">
        <v>1</v>
      </c>
      <c r="BL2611">
        <v>1</v>
      </c>
      <c r="BM2611">
        <v>0</v>
      </c>
      <c r="BP2611">
        <v>0</v>
      </c>
      <c r="BQ2611">
        <v>0</v>
      </c>
      <c r="BX2611" t="str">
        <f>"14:33:51.922"</f>
        <v>14:33:51.922</v>
      </c>
      <c r="BY2611" t="str">
        <f>"925214344"</f>
        <v>925214344</v>
      </c>
      <c r="CL2611">
        <v>0</v>
      </c>
      <c r="CM2611">
        <v>2</v>
      </c>
      <c r="CN2611">
        <v>0</v>
      </c>
      <c r="CO2611">
        <v>2</v>
      </c>
      <c r="CP2611">
        <v>0</v>
      </c>
      <c r="CQ2611">
        <v>7</v>
      </c>
      <c r="CR2611" t="s">
        <v>116</v>
      </c>
      <c r="CS2611">
        <v>39</v>
      </c>
      <c r="CT2611">
        <v>0</v>
      </c>
      <c r="CU2611" t="s">
        <v>2259</v>
      </c>
      <c r="CV2611" t="s">
        <v>2260</v>
      </c>
      <c r="CY2611">
        <v>2140395</v>
      </c>
      <c r="CZ2611" t="s">
        <v>119</v>
      </c>
    </row>
    <row r="2612" spans="1:104" x14ac:dyDescent="0.25">
      <c r="A2612" t="str">
        <f>"14:33:53.250"</f>
        <v>14:33:53.250</v>
      </c>
      <c r="B2612" t="s">
        <v>108</v>
      </c>
      <c r="C2612" t="str">
        <f t="shared" si="121"/>
        <v>ffdfd3c0</v>
      </c>
      <c r="D2612" t="s">
        <v>109</v>
      </c>
      <c r="E2612">
        <v>4</v>
      </c>
      <c r="F2612">
        <v>1004</v>
      </c>
      <c r="G2612" t="s">
        <v>110</v>
      </c>
      <c r="J2612" t="s">
        <v>111</v>
      </c>
      <c r="K2612">
        <v>0</v>
      </c>
      <c r="L2612">
        <v>3</v>
      </c>
      <c r="M2612">
        <v>0</v>
      </c>
      <c r="N2612">
        <v>2</v>
      </c>
      <c r="O2612">
        <v>1</v>
      </c>
      <c r="P2612">
        <v>0</v>
      </c>
      <c r="Q2612">
        <v>0</v>
      </c>
      <c r="R2612" t="s">
        <v>112</v>
      </c>
      <c r="S2612" t="str">
        <f>"14:33:53.055"</f>
        <v>14:33:53.055</v>
      </c>
      <c r="T2612" t="str">
        <f>"14:33:52.555"</f>
        <v>14:33:52.555</v>
      </c>
      <c r="U2612" t="str">
        <f t="shared" si="120"/>
        <v>ad5732</v>
      </c>
      <c r="V2612">
        <v>0</v>
      </c>
      <c r="W2612">
        <v>0</v>
      </c>
      <c r="X2612">
        <v>1</v>
      </c>
      <c r="Z2612">
        <v>0</v>
      </c>
      <c r="AA2612">
        <v>9</v>
      </c>
      <c r="AB2612">
        <v>3</v>
      </c>
      <c r="AC2612">
        <v>0</v>
      </c>
      <c r="AD2612">
        <v>10</v>
      </c>
      <c r="AE2612">
        <v>0</v>
      </c>
      <c r="AF2612">
        <v>3</v>
      </c>
      <c r="AG2612">
        <v>2</v>
      </c>
      <c r="AH2612">
        <v>0</v>
      </c>
      <c r="AI2612" t="s">
        <v>5340</v>
      </c>
      <c r="AJ2612">
        <v>40.150329999999997</v>
      </c>
      <c r="AK2612" t="s">
        <v>5341</v>
      </c>
      <c r="AL2612">
        <v>-75.345117999999999</v>
      </c>
      <c r="AM2612">
        <v>100</v>
      </c>
      <c r="AN2612">
        <v>4100</v>
      </c>
      <c r="AO2612" t="s">
        <v>115</v>
      </c>
      <c r="AP2612">
        <v>149</v>
      </c>
      <c r="AQ2612">
        <v>137</v>
      </c>
      <c r="AR2612">
        <v>-832</v>
      </c>
      <c r="AZ2612">
        <v>3614</v>
      </c>
      <c r="BA2612">
        <v>1</v>
      </c>
      <c r="BB2612" t="str">
        <f t="shared" si="122"/>
        <v xml:space="preserve">N959MJ  </v>
      </c>
      <c r="BC2612">
        <v>1</v>
      </c>
      <c r="BE2612">
        <v>0</v>
      </c>
      <c r="BF2612">
        <v>0</v>
      </c>
      <c r="BG2612">
        <v>0</v>
      </c>
      <c r="BH2612">
        <v>4325</v>
      </c>
      <c r="BI2612">
        <v>225</v>
      </c>
      <c r="BJ2612">
        <v>1</v>
      </c>
      <c r="BK2612">
        <v>1</v>
      </c>
      <c r="BL2612">
        <v>1</v>
      </c>
      <c r="BM2612">
        <v>0</v>
      </c>
      <c r="BP2612">
        <v>0</v>
      </c>
      <c r="BQ2612">
        <v>0</v>
      </c>
      <c r="BX2612" t="str">
        <f>"14:33:53.055"</f>
        <v>14:33:53.055</v>
      </c>
      <c r="BY2612" t="str">
        <f>"055730431"</f>
        <v>055730431</v>
      </c>
      <c r="CL2612">
        <v>0</v>
      </c>
      <c r="CM2612">
        <v>2</v>
      </c>
      <c r="CN2612">
        <v>0</v>
      </c>
      <c r="CO2612">
        <v>2</v>
      </c>
      <c r="CP2612">
        <v>0</v>
      </c>
      <c r="CQ2612">
        <v>7</v>
      </c>
      <c r="CR2612" t="s">
        <v>116</v>
      </c>
      <c r="CS2612">
        <v>39</v>
      </c>
      <c r="CT2612">
        <v>0</v>
      </c>
      <c r="CU2612" t="s">
        <v>2259</v>
      </c>
      <c r="CV2612" t="s">
        <v>2260</v>
      </c>
      <c r="CY2612">
        <v>2142122</v>
      </c>
      <c r="CZ2612" t="s">
        <v>119</v>
      </c>
    </row>
    <row r="2613" spans="1:104" x14ac:dyDescent="0.25">
      <c r="A2613" t="str">
        <f>"14:33:54.313"</f>
        <v>14:33:54.313</v>
      </c>
      <c r="B2613" t="s">
        <v>108</v>
      </c>
      <c r="C2613" t="str">
        <f t="shared" si="121"/>
        <v>ffdfd3c0</v>
      </c>
      <c r="D2613" t="s">
        <v>109</v>
      </c>
      <c r="E2613">
        <v>4</v>
      </c>
      <c r="F2613">
        <v>1004</v>
      </c>
      <c r="G2613" t="s">
        <v>110</v>
      </c>
      <c r="J2613" t="s">
        <v>111</v>
      </c>
      <c r="K2613">
        <v>0</v>
      </c>
      <c r="L2613">
        <v>3</v>
      </c>
      <c r="M2613">
        <v>0</v>
      </c>
      <c r="N2613">
        <v>2</v>
      </c>
      <c r="O2613">
        <v>1</v>
      </c>
      <c r="P2613">
        <v>0</v>
      </c>
      <c r="Q2613">
        <v>0</v>
      </c>
      <c r="R2613" t="s">
        <v>112</v>
      </c>
      <c r="S2613" t="str">
        <f>"14:33:54.125"</f>
        <v>14:33:54.125</v>
      </c>
      <c r="T2613" t="str">
        <f>"14:33:53.625"</f>
        <v>14:33:53.625</v>
      </c>
      <c r="U2613" t="str">
        <f t="shared" si="120"/>
        <v>ad5732</v>
      </c>
      <c r="V2613">
        <v>0</v>
      </c>
      <c r="W2613">
        <v>0</v>
      </c>
      <c r="X2613">
        <v>1</v>
      </c>
      <c r="Z2613">
        <v>0</v>
      </c>
      <c r="AA2613">
        <v>9</v>
      </c>
      <c r="AB2613">
        <v>3</v>
      </c>
      <c r="AC2613">
        <v>0</v>
      </c>
      <c r="AD2613">
        <v>10</v>
      </c>
      <c r="AE2613">
        <v>0</v>
      </c>
      <c r="AF2613">
        <v>3</v>
      </c>
      <c r="AG2613">
        <v>2</v>
      </c>
      <c r="AH2613">
        <v>0</v>
      </c>
      <c r="AI2613" t="s">
        <v>5342</v>
      </c>
      <c r="AJ2613">
        <v>40.151038</v>
      </c>
      <c r="AK2613" t="s">
        <v>5343</v>
      </c>
      <c r="AL2613">
        <v>-75.344110000000001</v>
      </c>
      <c r="AM2613">
        <v>100</v>
      </c>
      <c r="AN2613">
        <v>4100</v>
      </c>
      <c r="AO2613" t="s">
        <v>115</v>
      </c>
      <c r="AP2613">
        <v>149</v>
      </c>
      <c r="AQ2613">
        <v>138</v>
      </c>
      <c r="AR2613">
        <v>-768</v>
      </c>
      <c r="AZ2613">
        <v>3614</v>
      </c>
      <c r="BA2613">
        <v>1</v>
      </c>
      <c r="BB2613" t="str">
        <f t="shared" si="122"/>
        <v xml:space="preserve">N959MJ  </v>
      </c>
      <c r="BC2613">
        <v>1</v>
      </c>
      <c r="BE2613">
        <v>0</v>
      </c>
      <c r="BF2613">
        <v>0</v>
      </c>
      <c r="BG2613">
        <v>0</v>
      </c>
      <c r="BH2613">
        <v>4325</v>
      </c>
      <c r="BI2613">
        <v>225</v>
      </c>
      <c r="BJ2613">
        <v>1</v>
      </c>
      <c r="BK2613">
        <v>1</v>
      </c>
      <c r="BL2613">
        <v>1</v>
      </c>
      <c r="BM2613">
        <v>0</v>
      </c>
      <c r="BP2613">
        <v>0</v>
      </c>
      <c r="BQ2613">
        <v>0</v>
      </c>
      <c r="BX2613" t="str">
        <f>"14:33:54.133"</f>
        <v>14:33:54.133</v>
      </c>
      <c r="BY2613" t="str">
        <f>"130539722"</f>
        <v>130539722</v>
      </c>
      <c r="CL2613">
        <v>0</v>
      </c>
      <c r="CM2613">
        <v>2</v>
      </c>
      <c r="CN2613">
        <v>0</v>
      </c>
      <c r="CO2613">
        <v>2</v>
      </c>
      <c r="CP2613">
        <v>0</v>
      </c>
      <c r="CQ2613">
        <v>7</v>
      </c>
      <c r="CR2613" t="s">
        <v>116</v>
      </c>
      <c r="CS2613">
        <v>39</v>
      </c>
      <c r="CT2613">
        <v>0</v>
      </c>
      <c r="CU2613" t="s">
        <v>2259</v>
      </c>
      <c r="CV2613" t="s">
        <v>2260</v>
      </c>
      <c r="CY2613">
        <v>2143914</v>
      </c>
      <c r="CZ2613" t="s">
        <v>119</v>
      </c>
    </row>
    <row r="2614" spans="1:104" x14ac:dyDescent="0.25">
      <c r="A2614" t="str">
        <f>"14:33:55.273"</f>
        <v>14:33:55.273</v>
      </c>
      <c r="B2614" t="s">
        <v>108</v>
      </c>
      <c r="C2614" t="str">
        <f t="shared" si="121"/>
        <v>ffdfd3c0</v>
      </c>
      <c r="D2614" t="s">
        <v>109</v>
      </c>
      <c r="E2614">
        <v>4</v>
      </c>
      <c r="F2614">
        <v>1004</v>
      </c>
      <c r="G2614" t="s">
        <v>110</v>
      </c>
      <c r="J2614" t="s">
        <v>111</v>
      </c>
      <c r="K2614">
        <v>0</v>
      </c>
      <c r="L2614">
        <v>3</v>
      </c>
      <c r="M2614">
        <v>0</v>
      </c>
      <c r="N2614">
        <v>2</v>
      </c>
      <c r="O2614">
        <v>1</v>
      </c>
      <c r="P2614">
        <v>0</v>
      </c>
      <c r="Q2614">
        <v>0</v>
      </c>
      <c r="R2614" t="s">
        <v>112</v>
      </c>
      <c r="S2614" t="str">
        <f>"14:33:55.102"</f>
        <v>14:33:55.102</v>
      </c>
      <c r="T2614" t="str">
        <f>"14:33:54.602"</f>
        <v>14:33:54.602</v>
      </c>
      <c r="U2614" t="str">
        <f t="shared" si="120"/>
        <v>ad5732</v>
      </c>
      <c r="V2614">
        <v>0</v>
      </c>
      <c r="W2614">
        <v>0</v>
      </c>
      <c r="X2614">
        <v>1</v>
      </c>
      <c r="Z2614">
        <v>0</v>
      </c>
      <c r="AA2614">
        <v>9</v>
      </c>
      <c r="AB2614">
        <v>3</v>
      </c>
      <c r="AC2614">
        <v>0</v>
      </c>
      <c r="AD2614">
        <v>10</v>
      </c>
      <c r="AE2614">
        <v>0</v>
      </c>
      <c r="AF2614">
        <v>3</v>
      </c>
      <c r="AG2614">
        <v>2</v>
      </c>
      <c r="AH2614">
        <v>0</v>
      </c>
      <c r="AI2614" t="s">
        <v>5344</v>
      </c>
      <c r="AJ2614">
        <v>40.151575000000001</v>
      </c>
      <c r="AK2614" t="s">
        <v>5345</v>
      </c>
      <c r="AL2614">
        <v>-75.343359000000007</v>
      </c>
      <c r="AM2614">
        <v>100</v>
      </c>
      <c r="AN2614">
        <v>4100</v>
      </c>
      <c r="AO2614" t="s">
        <v>115</v>
      </c>
      <c r="AP2614">
        <v>149</v>
      </c>
      <c r="AQ2614">
        <v>138</v>
      </c>
      <c r="AR2614">
        <v>-768</v>
      </c>
      <c r="AZ2614">
        <v>3614</v>
      </c>
      <c r="BA2614">
        <v>1</v>
      </c>
      <c r="BB2614" t="str">
        <f t="shared" si="122"/>
        <v xml:space="preserve">N959MJ  </v>
      </c>
      <c r="BC2614">
        <v>1</v>
      </c>
      <c r="BE2614">
        <v>0</v>
      </c>
      <c r="BF2614">
        <v>0</v>
      </c>
      <c r="BG2614">
        <v>0</v>
      </c>
      <c r="BH2614">
        <v>4300</v>
      </c>
      <c r="BI2614">
        <v>200</v>
      </c>
      <c r="BJ2614">
        <v>1</v>
      </c>
      <c r="BK2614">
        <v>1</v>
      </c>
      <c r="BL2614">
        <v>1</v>
      </c>
      <c r="BM2614">
        <v>0</v>
      </c>
      <c r="BP2614">
        <v>0</v>
      </c>
      <c r="BQ2614">
        <v>0</v>
      </c>
      <c r="BX2614" t="str">
        <f>"14:33:55.102"</f>
        <v>14:33:55.102</v>
      </c>
      <c r="BY2614" t="str">
        <f>"103766505"</f>
        <v>103766505</v>
      </c>
      <c r="CL2614">
        <v>0</v>
      </c>
      <c r="CM2614">
        <v>2</v>
      </c>
      <c r="CN2614">
        <v>0</v>
      </c>
      <c r="CO2614">
        <v>2</v>
      </c>
      <c r="CP2614">
        <v>0</v>
      </c>
      <c r="CQ2614">
        <v>7</v>
      </c>
      <c r="CR2614" t="s">
        <v>116</v>
      </c>
      <c r="CS2614">
        <v>39</v>
      </c>
      <c r="CT2614">
        <v>0</v>
      </c>
      <c r="CU2614" t="s">
        <v>2259</v>
      </c>
      <c r="CV2614" t="s">
        <v>2260</v>
      </c>
      <c r="CY2614">
        <v>2145467</v>
      </c>
      <c r="CZ2614" t="s">
        <v>119</v>
      </c>
    </row>
    <row r="2615" spans="1:104" x14ac:dyDescent="0.25">
      <c r="A2615" t="str">
        <f>"14:33:56.328"</f>
        <v>14:33:56.328</v>
      </c>
      <c r="B2615" t="s">
        <v>108</v>
      </c>
      <c r="C2615" t="str">
        <f t="shared" si="121"/>
        <v>ffdfd3c0</v>
      </c>
      <c r="D2615" t="s">
        <v>109</v>
      </c>
      <c r="E2615">
        <v>4</v>
      </c>
      <c r="F2615">
        <v>1004</v>
      </c>
      <c r="G2615" t="s">
        <v>110</v>
      </c>
      <c r="J2615" t="s">
        <v>111</v>
      </c>
      <c r="K2615">
        <v>0</v>
      </c>
      <c r="L2615">
        <v>3</v>
      </c>
      <c r="M2615">
        <v>0</v>
      </c>
      <c r="N2615">
        <v>2</v>
      </c>
      <c r="O2615">
        <v>1</v>
      </c>
      <c r="P2615">
        <v>0</v>
      </c>
      <c r="Q2615">
        <v>0</v>
      </c>
      <c r="R2615" t="s">
        <v>112</v>
      </c>
      <c r="S2615" t="str">
        <f>"14:33:56.148"</f>
        <v>14:33:56.148</v>
      </c>
      <c r="T2615" t="str">
        <f>"14:33:55.750"</f>
        <v>14:33:55.750</v>
      </c>
      <c r="U2615" t="str">
        <f t="shared" si="120"/>
        <v>ad5732</v>
      </c>
      <c r="V2615">
        <v>0</v>
      </c>
      <c r="W2615">
        <v>0</v>
      </c>
      <c r="X2615">
        <v>1</v>
      </c>
      <c r="Z2615">
        <v>0</v>
      </c>
      <c r="AA2615">
        <v>9</v>
      </c>
      <c r="AB2615">
        <v>3</v>
      </c>
      <c r="AC2615">
        <v>0</v>
      </c>
      <c r="AD2615">
        <v>10</v>
      </c>
      <c r="AE2615">
        <v>0</v>
      </c>
      <c r="AF2615">
        <v>3</v>
      </c>
      <c r="AG2615">
        <v>2</v>
      </c>
      <c r="AH2615">
        <v>0</v>
      </c>
      <c r="AI2615" t="s">
        <v>5346</v>
      </c>
      <c r="AJ2615">
        <v>40.152326000000002</v>
      </c>
      <c r="AK2615" t="s">
        <v>5347</v>
      </c>
      <c r="AL2615">
        <v>-75.342349999999996</v>
      </c>
      <c r="AM2615">
        <v>100</v>
      </c>
      <c r="AN2615">
        <v>4100</v>
      </c>
      <c r="AO2615" t="s">
        <v>115</v>
      </c>
      <c r="AP2615">
        <v>149</v>
      </c>
      <c r="AQ2615">
        <v>138</v>
      </c>
      <c r="AR2615">
        <v>-704</v>
      </c>
      <c r="AZ2615">
        <v>3614</v>
      </c>
      <c r="BA2615">
        <v>1</v>
      </c>
      <c r="BB2615" t="str">
        <f t="shared" si="122"/>
        <v xml:space="preserve">N959MJ  </v>
      </c>
      <c r="BC2615">
        <v>1</v>
      </c>
      <c r="BE2615">
        <v>0</v>
      </c>
      <c r="BF2615">
        <v>0</v>
      </c>
      <c r="BG2615">
        <v>0</v>
      </c>
      <c r="BH2615">
        <v>4275</v>
      </c>
      <c r="BI2615">
        <v>175</v>
      </c>
      <c r="BJ2615">
        <v>1</v>
      </c>
      <c r="BK2615">
        <v>1</v>
      </c>
      <c r="BL2615">
        <v>1</v>
      </c>
      <c r="BM2615">
        <v>0</v>
      </c>
      <c r="BP2615">
        <v>0</v>
      </c>
      <c r="BQ2615">
        <v>0</v>
      </c>
      <c r="BX2615" t="str">
        <f>"14:33:56.148"</f>
        <v>14:33:56.148</v>
      </c>
      <c r="BY2615" t="str">
        <f>"149084237"</f>
        <v>149084237</v>
      </c>
      <c r="CL2615">
        <v>0</v>
      </c>
      <c r="CM2615">
        <v>2</v>
      </c>
      <c r="CN2615">
        <v>0</v>
      </c>
      <c r="CO2615">
        <v>2</v>
      </c>
      <c r="CP2615">
        <v>0</v>
      </c>
      <c r="CQ2615">
        <v>7</v>
      </c>
      <c r="CR2615" t="s">
        <v>116</v>
      </c>
      <c r="CS2615">
        <v>39</v>
      </c>
      <c r="CT2615">
        <v>0</v>
      </c>
      <c r="CU2615" t="s">
        <v>2259</v>
      </c>
      <c r="CV2615" t="s">
        <v>2260</v>
      </c>
      <c r="CY2615">
        <v>2147060</v>
      </c>
      <c r="CZ2615" t="s">
        <v>119</v>
      </c>
    </row>
    <row r="2616" spans="1:104" x14ac:dyDescent="0.25">
      <c r="A2616" t="str">
        <f>"14:33:57.344"</f>
        <v>14:33:57.344</v>
      </c>
      <c r="B2616" t="s">
        <v>108</v>
      </c>
      <c r="C2616" t="str">
        <f t="shared" si="121"/>
        <v>ffdfd3c0</v>
      </c>
      <c r="D2616" t="s">
        <v>109</v>
      </c>
      <c r="E2616">
        <v>4</v>
      </c>
      <c r="F2616">
        <v>1004</v>
      </c>
      <c r="G2616" t="s">
        <v>110</v>
      </c>
      <c r="J2616" t="s">
        <v>111</v>
      </c>
      <c r="K2616">
        <v>0</v>
      </c>
      <c r="L2616">
        <v>3</v>
      </c>
      <c r="M2616">
        <v>0</v>
      </c>
      <c r="N2616">
        <v>2</v>
      </c>
      <c r="O2616">
        <v>1</v>
      </c>
      <c r="P2616">
        <v>0</v>
      </c>
      <c r="Q2616">
        <v>0</v>
      </c>
      <c r="R2616" t="s">
        <v>112</v>
      </c>
      <c r="S2616" t="str">
        <f>"14:33:57.125"</f>
        <v>14:33:57.125</v>
      </c>
      <c r="T2616" t="str">
        <f>"14:33:56.625"</f>
        <v>14:33:56.625</v>
      </c>
      <c r="U2616" t="str">
        <f t="shared" si="120"/>
        <v>ad5732</v>
      </c>
      <c r="V2616">
        <v>0</v>
      </c>
      <c r="W2616">
        <v>0</v>
      </c>
      <c r="X2616">
        <v>1</v>
      </c>
      <c r="Z2616">
        <v>0</v>
      </c>
      <c r="AA2616">
        <v>9</v>
      </c>
      <c r="AB2616">
        <v>3</v>
      </c>
      <c r="AC2616">
        <v>0</v>
      </c>
      <c r="AD2616">
        <v>10</v>
      </c>
      <c r="AE2616">
        <v>0</v>
      </c>
      <c r="AF2616">
        <v>3</v>
      </c>
      <c r="AG2616">
        <v>2</v>
      </c>
      <c r="AH2616">
        <v>0</v>
      </c>
      <c r="AI2616" t="s">
        <v>5348</v>
      </c>
      <c r="AJ2616">
        <v>40.152968999999999</v>
      </c>
      <c r="AK2616" t="s">
        <v>5349</v>
      </c>
      <c r="AL2616">
        <v>-75.341426999999996</v>
      </c>
      <c r="AM2616">
        <v>100</v>
      </c>
      <c r="AN2616">
        <v>4100</v>
      </c>
      <c r="AO2616" t="s">
        <v>115</v>
      </c>
      <c r="AP2616">
        <v>149</v>
      </c>
      <c r="AQ2616">
        <v>138</v>
      </c>
      <c r="AR2616">
        <v>-640</v>
      </c>
      <c r="AZ2616">
        <v>3614</v>
      </c>
      <c r="BA2616">
        <v>1</v>
      </c>
      <c r="BB2616" t="str">
        <f t="shared" si="122"/>
        <v xml:space="preserve">N959MJ  </v>
      </c>
      <c r="BC2616">
        <v>1</v>
      </c>
      <c r="BE2616">
        <v>0</v>
      </c>
      <c r="BF2616">
        <v>0</v>
      </c>
      <c r="BG2616">
        <v>0</v>
      </c>
      <c r="BH2616">
        <v>4275</v>
      </c>
      <c r="BI2616">
        <v>175</v>
      </c>
      <c r="BJ2616">
        <v>1</v>
      </c>
      <c r="BK2616">
        <v>1</v>
      </c>
      <c r="BL2616">
        <v>1</v>
      </c>
      <c r="BM2616">
        <v>0</v>
      </c>
      <c r="BP2616">
        <v>0</v>
      </c>
      <c r="BQ2616">
        <v>0</v>
      </c>
      <c r="BX2616" t="str">
        <f>"14:33:57.125"</f>
        <v>14:33:57.125</v>
      </c>
      <c r="BY2616" t="str">
        <f>"125587847"</f>
        <v>125587847</v>
      </c>
      <c r="CL2616">
        <v>0</v>
      </c>
      <c r="CM2616">
        <v>2</v>
      </c>
      <c r="CN2616">
        <v>0</v>
      </c>
      <c r="CO2616">
        <v>2</v>
      </c>
      <c r="CP2616">
        <v>0</v>
      </c>
      <c r="CQ2616">
        <v>7</v>
      </c>
      <c r="CR2616" t="s">
        <v>116</v>
      </c>
      <c r="CS2616">
        <v>39</v>
      </c>
      <c r="CT2616">
        <v>0</v>
      </c>
      <c r="CU2616" t="s">
        <v>2259</v>
      </c>
      <c r="CV2616" t="s">
        <v>2260</v>
      </c>
      <c r="CY2616">
        <v>2148421</v>
      </c>
      <c r="CZ2616" t="s">
        <v>119</v>
      </c>
    </row>
    <row r="2617" spans="1:104" x14ac:dyDescent="0.25">
      <c r="A2617" t="str">
        <f>"14:33:58.195"</f>
        <v>14:33:58.195</v>
      </c>
      <c r="B2617" t="s">
        <v>108</v>
      </c>
      <c r="C2617" t="str">
        <f t="shared" si="121"/>
        <v>ffdfd3c0</v>
      </c>
      <c r="D2617" t="s">
        <v>109</v>
      </c>
      <c r="E2617">
        <v>4</v>
      </c>
      <c r="F2617">
        <v>1004</v>
      </c>
      <c r="G2617" t="s">
        <v>110</v>
      </c>
      <c r="J2617" t="s">
        <v>111</v>
      </c>
      <c r="K2617">
        <v>0</v>
      </c>
      <c r="L2617">
        <v>3</v>
      </c>
      <c r="M2617">
        <v>0</v>
      </c>
      <c r="N2617">
        <v>2</v>
      </c>
      <c r="O2617">
        <v>1</v>
      </c>
      <c r="P2617">
        <v>0</v>
      </c>
      <c r="Q2617">
        <v>0</v>
      </c>
      <c r="R2617" t="s">
        <v>112</v>
      </c>
      <c r="S2617" t="str">
        <f>"14:33:58.016"</f>
        <v>14:33:58.016</v>
      </c>
      <c r="T2617" t="str">
        <f>"14:33:57.617"</f>
        <v>14:33:57.617</v>
      </c>
      <c r="U2617" t="str">
        <f t="shared" si="120"/>
        <v>ad5732</v>
      </c>
      <c r="V2617">
        <v>0</v>
      </c>
      <c r="W2617">
        <v>0</v>
      </c>
      <c r="X2617">
        <v>1</v>
      </c>
      <c r="Z2617">
        <v>0</v>
      </c>
      <c r="AA2617">
        <v>9</v>
      </c>
      <c r="AB2617">
        <v>3</v>
      </c>
      <c r="AC2617">
        <v>0</v>
      </c>
      <c r="AD2617">
        <v>10</v>
      </c>
      <c r="AE2617">
        <v>0</v>
      </c>
      <c r="AF2617">
        <v>3</v>
      </c>
      <c r="AG2617">
        <v>2</v>
      </c>
      <c r="AH2617">
        <v>0</v>
      </c>
      <c r="AI2617" t="s">
        <v>5350</v>
      </c>
      <c r="AJ2617">
        <v>40.153548999999998</v>
      </c>
      <c r="AK2617" t="s">
        <v>5351</v>
      </c>
      <c r="AL2617">
        <v>-75.340611999999993</v>
      </c>
      <c r="AM2617">
        <v>100</v>
      </c>
      <c r="AN2617">
        <v>4100</v>
      </c>
      <c r="AO2617" t="s">
        <v>115</v>
      </c>
      <c r="AP2617">
        <v>149</v>
      </c>
      <c r="AQ2617">
        <v>138</v>
      </c>
      <c r="AR2617">
        <v>-576</v>
      </c>
      <c r="AZ2617">
        <v>3614</v>
      </c>
      <c r="BA2617">
        <v>1</v>
      </c>
      <c r="BB2617" t="str">
        <f t="shared" si="122"/>
        <v xml:space="preserve">N959MJ  </v>
      </c>
      <c r="BC2617">
        <v>1</v>
      </c>
      <c r="BE2617">
        <v>0</v>
      </c>
      <c r="BF2617">
        <v>0</v>
      </c>
      <c r="BG2617">
        <v>0</v>
      </c>
      <c r="BH2617">
        <v>4275</v>
      </c>
      <c r="BI2617">
        <v>175</v>
      </c>
      <c r="BJ2617">
        <v>1</v>
      </c>
      <c r="BK2617">
        <v>1</v>
      </c>
      <c r="BL2617">
        <v>1</v>
      </c>
      <c r="BM2617">
        <v>0</v>
      </c>
      <c r="BP2617">
        <v>0</v>
      </c>
      <c r="BQ2617">
        <v>0</v>
      </c>
      <c r="BX2617" t="str">
        <f>"14:33:58.016"</f>
        <v>14:33:58.016</v>
      </c>
      <c r="BY2617" t="str">
        <f>"016893178"</f>
        <v>016893178</v>
      </c>
      <c r="CL2617">
        <v>0</v>
      </c>
      <c r="CM2617">
        <v>2</v>
      </c>
      <c r="CN2617">
        <v>0</v>
      </c>
      <c r="CO2617">
        <v>2</v>
      </c>
      <c r="CP2617">
        <v>0</v>
      </c>
      <c r="CQ2617">
        <v>7</v>
      </c>
      <c r="CR2617" t="s">
        <v>116</v>
      </c>
      <c r="CS2617">
        <v>39</v>
      </c>
      <c r="CT2617">
        <v>0</v>
      </c>
      <c r="CU2617" t="s">
        <v>2259</v>
      </c>
      <c r="CV2617" t="s">
        <v>2260</v>
      </c>
      <c r="CY2617">
        <v>2149866</v>
      </c>
      <c r="CZ2617" t="s">
        <v>119</v>
      </c>
    </row>
    <row r="2618" spans="1:104" x14ac:dyDescent="0.25">
      <c r="A2618" t="str">
        <f>"14:33:59.414"</f>
        <v>14:33:59.414</v>
      </c>
      <c r="B2618" t="s">
        <v>108</v>
      </c>
      <c r="C2618" t="str">
        <f t="shared" si="121"/>
        <v>ffdfd3c0</v>
      </c>
      <c r="D2618" t="s">
        <v>109</v>
      </c>
      <c r="E2618">
        <v>4</v>
      </c>
      <c r="F2618">
        <v>1004</v>
      </c>
      <c r="G2618" t="s">
        <v>110</v>
      </c>
      <c r="J2618" t="s">
        <v>111</v>
      </c>
      <c r="K2618">
        <v>0</v>
      </c>
      <c r="L2618">
        <v>3</v>
      </c>
      <c r="M2618">
        <v>0</v>
      </c>
      <c r="N2618">
        <v>2</v>
      </c>
      <c r="O2618">
        <v>1</v>
      </c>
      <c r="P2618">
        <v>0</v>
      </c>
      <c r="Q2618">
        <v>0</v>
      </c>
      <c r="R2618" t="s">
        <v>112</v>
      </c>
      <c r="S2618" t="str">
        <f>"14:33:59.188"</f>
        <v>14:33:59.188</v>
      </c>
      <c r="T2618" t="str">
        <f>"14:33:58.688"</f>
        <v>14:33:58.688</v>
      </c>
      <c r="U2618" t="str">
        <f t="shared" si="120"/>
        <v>ad5732</v>
      </c>
      <c r="V2618">
        <v>0</v>
      </c>
      <c r="W2618">
        <v>0</v>
      </c>
      <c r="X2618">
        <v>1</v>
      </c>
      <c r="Z2618">
        <v>0</v>
      </c>
      <c r="AA2618">
        <v>9</v>
      </c>
      <c r="AB2618">
        <v>3</v>
      </c>
      <c r="AC2618">
        <v>0</v>
      </c>
      <c r="AD2618">
        <v>10</v>
      </c>
      <c r="AE2618">
        <v>0</v>
      </c>
      <c r="AF2618">
        <v>3</v>
      </c>
      <c r="AG2618">
        <v>2</v>
      </c>
      <c r="AH2618">
        <v>0</v>
      </c>
      <c r="AI2618" t="s">
        <v>5352</v>
      </c>
      <c r="AJ2618">
        <v>40.154257000000001</v>
      </c>
      <c r="AK2618" t="s">
        <v>5353</v>
      </c>
      <c r="AL2618">
        <v>-75.339668000000003</v>
      </c>
      <c r="AM2618">
        <v>100</v>
      </c>
      <c r="AN2618">
        <v>4100</v>
      </c>
      <c r="AO2618" t="s">
        <v>115</v>
      </c>
      <c r="AP2618">
        <v>149</v>
      </c>
      <c r="AQ2618">
        <v>138</v>
      </c>
      <c r="AR2618">
        <v>-512</v>
      </c>
      <c r="AZ2618">
        <v>3614</v>
      </c>
      <c r="BA2618">
        <v>1</v>
      </c>
      <c r="BB2618" t="str">
        <f t="shared" si="122"/>
        <v xml:space="preserve">N959MJ  </v>
      </c>
      <c r="BC2618">
        <v>1</v>
      </c>
      <c r="BE2618">
        <v>0</v>
      </c>
      <c r="BF2618">
        <v>0</v>
      </c>
      <c r="BG2618">
        <v>0</v>
      </c>
      <c r="BH2618">
        <v>4250</v>
      </c>
      <c r="BI2618">
        <v>150</v>
      </c>
      <c r="BJ2618">
        <v>1</v>
      </c>
      <c r="BK2618">
        <v>1</v>
      </c>
      <c r="BL2618">
        <v>1</v>
      </c>
      <c r="BM2618">
        <v>0</v>
      </c>
      <c r="BP2618">
        <v>0</v>
      </c>
      <c r="BQ2618">
        <v>0</v>
      </c>
      <c r="BX2618" t="str">
        <f>"14:33:59.188"</f>
        <v>14:33:59.188</v>
      </c>
      <c r="BY2618" t="str">
        <f>"188369910"</f>
        <v>188369910</v>
      </c>
      <c r="CL2618">
        <v>0</v>
      </c>
      <c r="CM2618">
        <v>2</v>
      </c>
      <c r="CN2618">
        <v>0</v>
      </c>
      <c r="CO2618">
        <v>2</v>
      </c>
      <c r="CP2618">
        <v>0</v>
      </c>
      <c r="CQ2618">
        <v>7</v>
      </c>
      <c r="CR2618" t="s">
        <v>116</v>
      </c>
      <c r="CS2618">
        <v>39</v>
      </c>
      <c r="CT2618">
        <v>0</v>
      </c>
      <c r="CU2618" t="s">
        <v>2259</v>
      </c>
      <c r="CV2618" t="s">
        <v>2260</v>
      </c>
      <c r="CY2618">
        <v>2151778</v>
      </c>
      <c r="CZ2618" t="s">
        <v>119</v>
      </c>
    </row>
    <row r="2619" spans="1:104" x14ac:dyDescent="0.25">
      <c r="A2619" t="str">
        <f>"14:34:00.273"</f>
        <v>14:34:00.273</v>
      </c>
      <c r="B2619" t="s">
        <v>108</v>
      </c>
      <c r="C2619" t="str">
        <f t="shared" si="121"/>
        <v>ffdfd3c0</v>
      </c>
      <c r="D2619" t="s">
        <v>109</v>
      </c>
      <c r="E2619">
        <v>4</v>
      </c>
      <c r="F2619">
        <v>1004</v>
      </c>
      <c r="G2619" t="s">
        <v>110</v>
      </c>
      <c r="J2619" t="s">
        <v>111</v>
      </c>
      <c r="K2619">
        <v>0</v>
      </c>
      <c r="L2619">
        <v>3</v>
      </c>
      <c r="M2619">
        <v>0</v>
      </c>
      <c r="N2619">
        <v>2</v>
      </c>
      <c r="O2619">
        <v>1</v>
      </c>
      <c r="P2619">
        <v>0</v>
      </c>
      <c r="Q2619">
        <v>0</v>
      </c>
      <c r="R2619" t="s">
        <v>112</v>
      </c>
      <c r="S2619" t="str">
        <f>"14:34:00.109"</f>
        <v>14:34:00.109</v>
      </c>
      <c r="T2619" t="str">
        <f>"14:33:59.211"</f>
        <v>14:33:59.211</v>
      </c>
      <c r="U2619" t="str">
        <f t="shared" si="120"/>
        <v>ad5732</v>
      </c>
      <c r="V2619">
        <v>0</v>
      </c>
      <c r="W2619">
        <v>0</v>
      </c>
      <c r="X2619">
        <v>1</v>
      </c>
      <c r="Z2619">
        <v>0</v>
      </c>
      <c r="AA2619">
        <v>9</v>
      </c>
      <c r="AB2619">
        <v>3</v>
      </c>
      <c r="AC2619">
        <v>0</v>
      </c>
      <c r="AD2619">
        <v>10</v>
      </c>
      <c r="AE2619">
        <v>0</v>
      </c>
      <c r="AF2619">
        <v>3</v>
      </c>
      <c r="AG2619">
        <v>2</v>
      </c>
      <c r="AH2619">
        <v>0</v>
      </c>
      <c r="AI2619" t="s">
        <v>5354</v>
      </c>
      <c r="AJ2619">
        <v>40.154901000000002</v>
      </c>
      <c r="AK2619" t="s">
        <v>5355</v>
      </c>
      <c r="AL2619">
        <v>-75.338745000000003</v>
      </c>
      <c r="AM2619">
        <v>100</v>
      </c>
      <c r="AN2619">
        <v>4000</v>
      </c>
      <c r="AO2619" t="s">
        <v>115</v>
      </c>
      <c r="AP2619">
        <v>149</v>
      </c>
      <c r="AQ2619">
        <v>138</v>
      </c>
      <c r="AR2619">
        <v>-512</v>
      </c>
      <c r="AZ2619">
        <v>3614</v>
      </c>
      <c r="BA2619">
        <v>1</v>
      </c>
      <c r="BB2619" t="str">
        <f t="shared" si="122"/>
        <v xml:space="preserve">N959MJ  </v>
      </c>
      <c r="BC2619">
        <v>1</v>
      </c>
      <c r="BE2619">
        <v>0</v>
      </c>
      <c r="BF2619">
        <v>0</v>
      </c>
      <c r="BG2619">
        <v>0</v>
      </c>
      <c r="BH2619">
        <v>4250</v>
      </c>
      <c r="BI2619">
        <v>250</v>
      </c>
      <c r="BJ2619">
        <v>1</v>
      </c>
      <c r="BK2619">
        <v>1</v>
      </c>
      <c r="BL2619">
        <v>1</v>
      </c>
      <c r="BM2619">
        <v>0</v>
      </c>
      <c r="BP2619">
        <v>0</v>
      </c>
      <c r="BQ2619">
        <v>0</v>
      </c>
      <c r="BX2619" t="str">
        <f>"14:34:00.117"</f>
        <v>14:34:00.117</v>
      </c>
      <c r="BY2619" t="str">
        <f>"114082321"</f>
        <v>114082321</v>
      </c>
      <c r="CL2619">
        <v>0</v>
      </c>
      <c r="CM2619">
        <v>2</v>
      </c>
      <c r="CN2619">
        <v>0</v>
      </c>
      <c r="CO2619">
        <v>2</v>
      </c>
      <c r="CP2619">
        <v>0</v>
      </c>
      <c r="CQ2619">
        <v>7</v>
      </c>
      <c r="CR2619" t="s">
        <v>116</v>
      </c>
      <c r="CS2619">
        <v>39</v>
      </c>
      <c r="CT2619">
        <v>0</v>
      </c>
      <c r="CU2619" t="s">
        <v>2259</v>
      </c>
      <c r="CV2619" t="s">
        <v>2260</v>
      </c>
      <c r="CY2619">
        <v>2153226</v>
      </c>
      <c r="CZ2619" t="s">
        <v>119</v>
      </c>
    </row>
    <row r="2620" spans="1:104" x14ac:dyDescent="0.25">
      <c r="A2620" t="str">
        <f>"14:34:01.133"</f>
        <v>14:34:01.133</v>
      </c>
      <c r="B2620" t="s">
        <v>108</v>
      </c>
      <c r="C2620" t="str">
        <f t="shared" si="121"/>
        <v>ffdfd3c0</v>
      </c>
      <c r="D2620" t="s">
        <v>109</v>
      </c>
      <c r="E2620">
        <v>4</v>
      </c>
      <c r="F2620">
        <v>1004</v>
      </c>
      <c r="G2620" t="s">
        <v>110</v>
      </c>
      <c r="J2620" t="s">
        <v>111</v>
      </c>
      <c r="K2620">
        <v>0</v>
      </c>
      <c r="L2620">
        <v>3</v>
      </c>
      <c r="M2620">
        <v>0</v>
      </c>
      <c r="N2620">
        <v>2</v>
      </c>
      <c r="O2620">
        <v>1</v>
      </c>
      <c r="P2620">
        <v>0</v>
      </c>
      <c r="Q2620">
        <v>0</v>
      </c>
      <c r="R2620" t="s">
        <v>112</v>
      </c>
      <c r="S2620" t="str">
        <f>"14:34:00.961"</f>
        <v>14:34:00.961</v>
      </c>
      <c r="T2620" t="str">
        <f>"14:34:00.563"</f>
        <v>14:34:00.563</v>
      </c>
      <c r="U2620" t="str">
        <f t="shared" si="120"/>
        <v>ad5732</v>
      </c>
      <c r="V2620">
        <v>0</v>
      </c>
      <c r="W2620">
        <v>0</v>
      </c>
      <c r="X2620">
        <v>1</v>
      </c>
      <c r="Z2620">
        <v>0</v>
      </c>
      <c r="AA2620">
        <v>9</v>
      </c>
      <c r="AB2620">
        <v>3</v>
      </c>
      <c r="AC2620">
        <v>0</v>
      </c>
      <c r="AD2620">
        <v>10</v>
      </c>
      <c r="AE2620">
        <v>0</v>
      </c>
      <c r="AF2620">
        <v>3</v>
      </c>
      <c r="AG2620">
        <v>2</v>
      </c>
      <c r="AH2620">
        <v>0</v>
      </c>
      <c r="AI2620" t="s">
        <v>5356</v>
      </c>
      <c r="AJ2620">
        <v>40.155394000000001</v>
      </c>
      <c r="AK2620" t="s">
        <v>5357</v>
      </c>
      <c r="AL2620">
        <v>-75.338015999999996</v>
      </c>
      <c r="AM2620">
        <v>100</v>
      </c>
      <c r="AN2620">
        <v>4000</v>
      </c>
      <c r="AO2620" t="s">
        <v>115</v>
      </c>
      <c r="AP2620">
        <v>149</v>
      </c>
      <c r="AQ2620">
        <v>137</v>
      </c>
      <c r="AR2620">
        <v>-512</v>
      </c>
      <c r="AZ2620">
        <v>3614</v>
      </c>
      <c r="BA2620">
        <v>1</v>
      </c>
      <c r="BB2620" t="str">
        <f t="shared" si="122"/>
        <v xml:space="preserve">N959MJ  </v>
      </c>
      <c r="BC2620">
        <v>1</v>
      </c>
      <c r="BE2620">
        <v>0</v>
      </c>
      <c r="BF2620">
        <v>0</v>
      </c>
      <c r="BG2620">
        <v>0</v>
      </c>
      <c r="BH2620">
        <v>4250</v>
      </c>
      <c r="BI2620">
        <v>250</v>
      </c>
      <c r="BJ2620">
        <v>1</v>
      </c>
      <c r="BK2620">
        <v>1</v>
      </c>
      <c r="BL2620">
        <v>1</v>
      </c>
      <c r="BM2620">
        <v>0</v>
      </c>
      <c r="BP2620">
        <v>0</v>
      </c>
      <c r="BQ2620">
        <v>0</v>
      </c>
      <c r="BX2620" t="str">
        <f>"14:34:00.961"</f>
        <v>14:34:00.961</v>
      </c>
      <c r="BY2620" t="str">
        <f>"962788477"</f>
        <v>962788477</v>
      </c>
      <c r="CL2620">
        <v>0</v>
      </c>
      <c r="CM2620">
        <v>2</v>
      </c>
      <c r="CN2620">
        <v>0</v>
      </c>
      <c r="CO2620">
        <v>2</v>
      </c>
      <c r="CP2620">
        <v>0</v>
      </c>
      <c r="CQ2620">
        <v>7</v>
      </c>
      <c r="CR2620" t="s">
        <v>116</v>
      </c>
      <c r="CS2620">
        <v>39</v>
      </c>
      <c r="CT2620">
        <v>0</v>
      </c>
      <c r="CU2620" t="s">
        <v>2259</v>
      </c>
      <c r="CV2620" t="s">
        <v>2260</v>
      </c>
      <c r="CY2620">
        <v>2154509</v>
      </c>
      <c r="CZ2620" t="s">
        <v>119</v>
      </c>
    </row>
    <row r="2621" spans="1:104" x14ac:dyDescent="0.25">
      <c r="A2621" t="str">
        <f>"14:34:02.086"</f>
        <v>14:34:02.086</v>
      </c>
      <c r="B2621" t="s">
        <v>108</v>
      </c>
      <c r="C2621" t="str">
        <f t="shared" si="121"/>
        <v>ffdfd3c0</v>
      </c>
      <c r="D2621" t="s">
        <v>109</v>
      </c>
      <c r="E2621">
        <v>4</v>
      </c>
      <c r="F2621">
        <v>1004</v>
      </c>
      <c r="G2621" t="s">
        <v>110</v>
      </c>
      <c r="J2621" t="s">
        <v>111</v>
      </c>
      <c r="K2621">
        <v>0</v>
      </c>
      <c r="L2621">
        <v>3</v>
      </c>
      <c r="M2621">
        <v>0</v>
      </c>
      <c r="N2621">
        <v>2</v>
      </c>
      <c r="O2621">
        <v>1</v>
      </c>
      <c r="P2621">
        <v>0</v>
      </c>
      <c r="Q2621">
        <v>0</v>
      </c>
      <c r="R2621" t="s">
        <v>112</v>
      </c>
      <c r="S2621" t="str">
        <f>"14:34:01.938"</f>
        <v>14:34:01.938</v>
      </c>
      <c r="T2621" t="str">
        <f>"14:34:01.438"</f>
        <v>14:34:01.438</v>
      </c>
      <c r="U2621" t="str">
        <f t="shared" si="120"/>
        <v>ad5732</v>
      </c>
      <c r="V2621">
        <v>0</v>
      </c>
      <c r="W2621">
        <v>0</v>
      </c>
      <c r="X2621">
        <v>1</v>
      </c>
      <c r="Z2621">
        <v>0</v>
      </c>
      <c r="AA2621">
        <v>9</v>
      </c>
      <c r="AB2621">
        <v>3</v>
      </c>
      <c r="AC2621">
        <v>0</v>
      </c>
      <c r="AD2621">
        <v>10</v>
      </c>
      <c r="AE2621">
        <v>0</v>
      </c>
      <c r="AF2621">
        <v>3</v>
      </c>
      <c r="AG2621">
        <v>2</v>
      </c>
      <c r="AH2621">
        <v>0</v>
      </c>
      <c r="AI2621" t="s">
        <v>5358</v>
      </c>
      <c r="AJ2621">
        <v>40.155994999999997</v>
      </c>
      <c r="AK2621" t="s">
        <v>5359</v>
      </c>
      <c r="AL2621">
        <v>-75.337157000000005</v>
      </c>
      <c r="AM2621">
        <v>100</v>
      </c>
      <c r="AN2621">
        <v>4000</v>
      </c>
      <c r="AO2621" t="s">
        <v>115</v>
      </c>
      <c r="AP2621">
        <v>149</v>
      </c>
      <c r="AQ2621">
        <v>137</v>
      </c>
      <c r="AR2621">
        <v>-512</v>
      </c>
      <c r="AZ2621">
        <v>3614</v>
      </c>
      <c r="BA2621">
        <v>1</v>
      </c>
      <c r="BB2621" t="str">
        <f t="shared" si="122"/>
        <v xml:space="preserve">N959MJ  </v>
      </c>
      <c r="BC2621">
        <v>1</v>
      </c>
      <c r="BE2621">
        <v>0</v>
      </c>
      <c r="BF2621">
        <v>0</v>
      </c>
      <c r="BG2621">
        <v>0</v>
      </c>
      <c r="BH2621">
        <v>4225</v>
      </c>
      <c r="BI2621">
        <v>225</v>
      </c>
      <c r="BJ2621">
        <v>1</v>
      </c>
      <c r="BK2621">
        <v>1</v>
      </c>
      <c r="BL2621">
        <v>1</v>
      </c>
      <c r="BM2621">
        <v>0</v>
      </c>
      <c r="BP2621">
        <v>0</v>
      </c>
      <c r="BQ2621">
        <v>0</v>
      </c>
      <c r="BX2621" t="str">
        <f>"14:34:01.938"</f>
        <v>14:34:01.938</v>
      </c>
      <c r="BY2621" t="str">
        <f>"939292142"</f>
        <v>939292142</v>
      </c>
      <c r="CL2621">
        <v>0</v>
      </c>
      <c r="CM2621">
        <v>2</v>
      </c>
      <c r="CN2621">
        <v>0</v>
      </c>
      <c r="CO2621">
        <v>2</v>
      </c>
      <c r="CP2621">
        <v>0</v>
      </c>
      <c r="CQ2621">
        <v>7</v>
      </c>
      <c r="CR2621" t="s">
        <v>116</v>
      </c>
      <c r="CS2621">
        <v>39</v>
      </c>
      <c r="CT2621">
        <v>0</v>
      </c>
      <c r="CU2621" t="s">
        <v>2259</v>
      </c>
      <c r="CV2621" t="s">
        <v>2260</v>
      </c>
      <c r="CY2621">
        <v>2155875</v>
      </c>
      <c r="CZ2621" t="s">
        <v>119</v>
      </c>
    </row>
    <row r="2622" spans="1:104" x14ac:dyDescent="0.25">
      <c r="A2622" t="str">
        <f>"14:34:03.148"</f>
        <v>14:34:03.148</v>
      </c>
      <c r="B2622" t="s">
        <v>108</v>
      </c>
      <c r="C2622" t="str">
        <f t="shared" si="121"/>
        <v>ffdfd3c0</v>
      </c>
      <c r="D2622" t="s">
        <v>109</v>
      </c>
      <c r="E2622">
        <v>4</v>
      </c>
      <c r="F2622">
        <v>1004</v>
      </c>
      <c r="G2622" t="s">
        <v>110</v>
      </c>
      <c r="J2622" t="s">
        <v>111</v>
      </c>
      <c r="K2622">
        <v>0</v>
      </c>
      <c r="L2622">
        <v>3</v>
      </c>
      <c r="M2622">
        <v>0</v>
      </c>
      <c r="N2622">
        <v>2</v>
      </c>
      <c r="O2622">
        <v>1</v>
      </c>
      <c r="P2622">
        <v>0</v>
      </c>
      <c r="Q2622">
        <v>0</v>
      </c>
      <c r="R2622" t="s">
        <v>112</v>
      </c>
      <c r="S2622" t="str">
        <f>"14:34:03.000"</f>
        <v>14:34:03.000</v>
      </c>
      <c r="T2622" t="str">
        <f>"14:34:02.500"</f>
        <v>14:34:02.500</v>
      </c>
      <c r="U2622" t="str">
        <f t="shared" si="120"/>
        <v>ad5732</v>
      </c>
      <c r="V2622">
        <v>0</v>
      </c>
      <c r="W2622">
        <v>0</v>
      </c>
      <c r="X2622">
        <v>1</v>
      </c>
      <c r="Z2622">
        <v>0</v>
      </c>
      <c r="AA2622">
        <v>9</v>
      </c>
      <c r="AB2622">
        <v>3</v>
      </c>
      <c r="AC2622">
        <v>0</v>
      </c>
      <c r="AD2622">
        <v>10</v>
      </c>
      <c r="AE2622">
        <v>0</v>
      </c>
      <c r="AF2622">
        <v>3</v>
      </c>
      <c r="AG2622">
        <v>2</v>
      </c>
      <c r="AH2622">
        <v>0</v>
      </c>
      <c r="AI2622" t="s">
        <v>5360</v>
      </c>
      <c r="AJ2622">
        <v>40.156682000000004</v>
      </c>
      <c r="AK2622" t="s">
        <v>5361</v>
      </c>
      <c r="AL2622">
        <v>-75.336235000000002</v>
      </c>
      <c r="AM2622">
        <v>100</v>
      </c>
      <c r="AN2622">
        <v>4000</v>
      </c>
      <c r="AO2622" t="s">
        <v>115</v>
      </c>
      <c r="AP2622">
        <v>149</v>
      </c>
      <c r="AQ2622">
        <v>137</v>
      </c>
      <c r="AR2622">
        <v>-512</v>
      </c>
      <c r="AZ2622">
        <v>3614</v>
      </c>
      <c r="BA2622">
        <v>1</v>
      </c>
      <c r="BB2622" t="str">
        <f t="shared" si="122"/>
        <v xml:space="preserve">N959MJ  </v>
      </c>
      <c r="BC2622">
        <v>1</v>
      </c>
      <c r="BE2622">
        <v>0</v>
      </c>
      <c r="BF2622">
        <v>0</v>
      </c>
      <c r="BG2622">
        <v>0</v>
      </c>
      <c r="BH2622">
        <v>4225</v>
      </c>
      <c r="BI2622">
        <v>225</v>
      </c>
      <c r="BJ2622">
        <v>1</v>
      </c>
      <c r="BK2622">
        <v>1</v>
      </c>
      <c r="BL2622">
        <v>1</v>
      </c>
      <c r="BM2622">
        <v>0</v>
      </c>
      <c r="BP2622">
        <v>0</v>
      </c>
      <c r="BQ2622">
        <v>0</v>
      </c>
      <c r="BX2622" t="str">
        <f>"14:34:03.000"</f>
        <v>14:34:03.000</v>
      </c>
      <c r="BY2622" t="str">
        <f>"000994114"</f>
        <v>000994114</v>
      </c>
      <c r="CL2622">
        <v>0</v>
      </c>
      <c r="CM2622">
        <v>2</v>
      </c>
      <c r="CN2622">
        <v>0</v>
      </c>
      <c r="CO2622">
        <v>2</v>
      </c>
      <c r="CP2622">
        <v>0</v>
      </c>
      <c r="CQ2622">
        <v>7</v>
      </c>
      <c r="CR2622" t="s">
        <v>116</v>
      </c>
      <c r="CS2622">
        <v>39</v>
      </c>
      <c r="CT2622">
        <v>0</v>
      </c>
      <c r="CU2622" t="s">
        <v>2259</v>
      </c>
      <c r="CV2622" t="s">
        <v>2260</v>
      </c>
      <c r="CY2622">
        <v>2157573</v>
      </c>
      <c r="CZ2622" t="s">
        <v>119</v>
      </c>
    </row>
    <row r="2623" spans="1:104" x14ac:dyDescent="0.25">
      <c r="A2623" t="str">
        <f>"14:34:04.055"</f>
        <v>14:34:04.055</v>
      </c>
      <c r="B2623" t="s">
        <v>108</v>
      </c>
      <c r="C2623" t="str">
        <f t="shared" si="121"/>
        <v>ffdfd3c0</v>
      </c>
      <c r="D2623" t="s">
        <v>109</v>
      </c>
      <c r="E2623">
        <v>4</v>
      </c>
      <c r="F2623">
        <v>1004</v>
      </c>
      <c r="G2623" t="s">
        <v>110</v>
      </c>
      <c r="J2623" t="s">
        <v>111</v>
      </c>
      <c r="K2623">
        <v>0</v>
      </c>
      <c r="L2623">
        <v>3</v>
      </c>
      <c r="M2623">
        <v>0</v>
      </c>
      <c r="N2623">
        <v>2</v>
      </c>
      <c r="O2623">
        <v>1</v>
      </c>
      <c r="P2623">
        <v>0</v>
      </c>
      <c r="Q2623">
        <v>0</v>
      </c>
      <c r="R2623" t="s">
        <v>112</v>
      </c>
      <c r="S2623" t="str">
        <f>"14:34:03.859"</f>
        <v>14:34:03.859</v>
      </c>
      <c r="T2623" t="str">
        <f>"14:34:03.461"</f>
        <v>14:34:03.461</v>
      </c>
      <c r="U2623" t="str">
        <f t="shared" si="120"/>
        <v>ad5732</v>
      </c>
      <c r="V2623">
        <v>0</v>
      </c>
      <c r="W2623">
        <v>0</v>
      </c>
      <c r="X2623">
        <v>1</v>
      </c>
      <c r="Z2623">
        <v>0</v>
      </c>
      <c r="AA2623">
        <v>9</v>
      </c>
      <c r="AB2623">
        <v>3</v>
      </c>
      <c r="AC2623">
        <v>0</v>
      </c>
      <c r="AD2623">
        <v>10</v>
      </c>
      <c r="AE2623">
        <v>0</v>
      </c>
      <c r="AF2623">
        <v>3</v>
      </c>
      <c r="AG2623">
        <v>2</v>
      </c>
      <c r="AH2623">
        <v>0</v>
      </c>
      <c r="AI2623" t="s">
        <v>5362</v>
      </c>
      <c r="AJ2623">
        <v>40.157218</v>
      </c>
      <c r="AK2623" t="s">
        <v>5363</v>
      </c>
      <c r="AL2623">
        <v>-75.335441000000003</v>
      </c>
      <c r="AM2623">
        <v>100</v>
      </c>
      <c r="AN2623">
        <v>4000</v>
      </c>
      <c r="AO2623" t="s">
        <v>115</v>
      </c>
      <c r="AP2623">
        <v>149</v>
      </c>
      <c r="AQ2623">
        <v>137</v>
      </c>
      <c r="AR2623">
        <v>-448</v>
      </c>
      <c r="AZ2623">
        <v>3614</v>
      </c>
      <c r="BA2623">
        <v>1</v>
      </c>
      <c r="BB2623" t="str">
        <f t="shared" si="122"/>
        <v xml:space="preserve">N959MJ  </v>
      </c>
      <c r="BC2623">
        <v>1</v>
      </c>
      <c r="BE2623">
        <v>0</v>
      </c>
      <c r="BF2623">
        <v>0</v>
      </c>
      <c r="BG2623">
        <v>0</v>
      </c>
      <c r="BH2623">
        <v>4225</v>
      </c>
      <c r="BI2623">
        <v>225</v>
      </c>
      <c r="BJ2623">
        <v>1</v>
      </c>
      <c r="BK2623">
        <v>1</v>
      </c>
      <c r="BL2623">
        <v>1</v>
      </c>
      <c r="BM2623">
        <v>0</v>
      </c>
      <c r="BP2623">
        <v>0</v>
      </c>
      <c r="BQ2623">
        <v>0</v>
      </c>
      <c r="BX2623" t="str">
        <f>"14:34:03.867"</f>
        <v>14:34:03.867</v>
      </c>
      <c r="BY2623" t="str">
        <f>"864545645"</f>
        <v>864545645</v>
      </c>
      <c r="CL2623">
        <v>0</v>
      </c>
      <c r="CM2623">
        <v>2</v>
      </c>
      <c r="CN2623">
        <v>0</v>
      </c>
      <c r="CO2623">
        <v>2</v>
      </c>
      <c r="CP2623">
        <v>0</v>
      </c>
      <c r="CQ2623">
        <v>5</v>
      </c>
      <c r="CR2623" t="s">
        <v>116</v>
      </c>
      <c r="CS2623">
        <v>408</v>
      </c>
      <c r="CT2623">
        <v>1</v>
      </c>
      <c r="CU2623" t="s">
        <v>2317</v>
      </c>
      <c r="CV2623" t="s">
        <v>2318</v>
      </c>
      <c r="CY2623">
        <v>13375548</v>
      </c>
      <c r="CZ2623" t="s">
        <v>119</v>
      </c>
    </row>
    <row r="2624" spans="1:104" x14ac:dyDescent="0.25">
      <c r="A2624" t="str">
        <f>"14:34:05.070"</f>
        <v>14:34:05.070</v>
      </c>
      <c r="B2624" t="s">
        <v>108</v>
      </c>
      <c r="C2624" t="str">
        <f t="shared" si="121"/>
        <v>ffdfd3c0</v>
      </c>
      <c r="D2624" t="s">
        <v>109</v>
      </c>
      <c r="E2624">
        <v>4</v>
      </c>
      <c r="F2624">
        <v>1004</v>
      </c>
      <c r="G2624" t="s">
        <v>110</v>
      </c>
      <c r="J2624" t="s">
        <v>111</v>
      </c>
      <c r="K2624">
        <v>0</v>
      </c>
      <c r="L2624">
        <v>3</v>
      </c>
      <c r="M2624">
        <v>0</v>
      </c>
      <c r="N2624">
        <v>2</v>
      </c>
      <c r="O2624">
        <v>1</v>
      </c>
      <c r="P2624">
        <v>0</v>
      </c>
      <c r="Q2624">
        <v>0</v>
      </c>
      <c r="R2624" t="s">
        <v>112</v>
      </c>
      <c r="S2624" t="str">
        <f>"14:34:04.891"</f>
        <v>14:34:04.891</v>
      </c>
      <c r="T2624" t="str">
        <f>"14:34:04.492"</f>
        <v>14:34:04.492</v>
      </c>
      <c r="U2624" t="str">
        <f t="shared" si="120"/>
        <v>ad5732</v>
      </c>
      <c r="V2624">
        <v>0</v>
      </c>
      <c r="W2624">
        <v>0</v>
      </c>
      <c r="X2624">
        <v>1</v>
      </c>
      <c r="Z2624">
        <v>0</v>
      </c>
      <c r="AA2624">
        <v>9</v>
      </c>
      <c r="AB2624">
        <v>3</v>
      </c>
      <c r="AC2624">
        <v>0</v>
      </c>
      <c r="AD2624">
        <v>10</v>
      </c>
      <c r="AE2624">
        <v>0</v>
      </c>
      <c r="AF2624">
        <v>3</v>
      </c>
      <c r="AG2624">
        <v>2</v>
      </c>
      <c r="AH2624">
        <v>0</v>
      </c>
      <c r="AI2624" t="s">
        <v>5364</v>
      </c>
      <c r="AJ2624">
        <v>40.157862000000002</v>
      </c>
      <c r="AK2624" t="s">
        <v>5365</v>
      </c>
      <c r="AL2624">
        <v>-75.334496000000001</v>
      </c>
      <c r="AM2624">
        <v>100</v>
      </c>
      <c r="AN2624">
        <v>4000</v>
      </c>
      <c r="AO2624" t="s">
        <v>115</v>
      </c>
      <c r="AP2624">
        <v>149</v>
      </c>
      <c r="AQ2624">
        <v>136</v>
      </c>
      <c r="AR2624">
        <v>-448</v>
      </c>
      <c r="AZ2624">
        <v>3614</v>
      </c>
      <c r="BA2624">
        <v>1</v>
      </c>
      <c r="BB2624" t="str">
        <f t="shared" si="122"/>
        <v xml:space="preserve">N959MJ  </v>
      </c>
      <c r="BC2624">
        <v>1</v>
      </c>
      <c r="BE2624">
        <v>0</v>
      </c>
      <c r="BF2624">
        <v>0</v>
      </c>
      <c r="BG2624">
        <v>0</v>
      </c>
      <c r="BH2624">
        <v>4200</v>
      </c>
      <c r="BI2624">
        <v>200</v>
      </c>
      <c r="BJ2624">
        <v>1</v>
      </c>
      <c r="BK2624">
        <v>1</v>
      </c>
      <c r="BL2624">
        <v>1</v>
      </c>
      <c r="BM2624">
        <v>0</v>
      </c>
      <c r="BP2624">
        <v>0</v>
      </c>
      <c r="BQ2624">
        <v>0</v>
      </c>
      <c r="BX2624" t="str">
        <f>"14:34:04.898"</f>
        <v>14:34:04.898</v>
      </c>
      <c r="BY2624" t="str">
        <f>"896656425"</f>
        <v>896656425</v>
      </c>
      <c r="CL2624">
        <v>0</v>
      </c>
      <c r="CM2624">
        <v>2</v>
      </c>
      <c r="CN2624">
        <v>0</v>
      </c>
      <c r="CO2624">
        <v>2</v>
      </c>
      <c r="CP2624">
        <v>0</v>
      </c>
      <c r="CQ2624">
        <v>7</v>
      </c>
      <c r="CR2624" t="s">
        <v>116</v>
      </c>
      <c r="CS2624">
        <v>39</v>
      </c>
      <c r="CT2624">
        <v>0</v>
      </c>
      <c r="CU2624" t="s">
        <v>2259</v>
      </c>
      <c r="CV2624" t="s">
        <v>2260</v>
      </c>
      <c r="CY2624">
        <v>2160713</v>
      </c>
      <c r="CZ2624" t="s">
        <v>119</v>
      </c>
    </row>
    <row r="2625" spans="1:104" x14ac:dyDescent="0.25">
      <c r="A2625" t="str">
        <f>"14:34:06.125"</f>
        <v>14:34:06.125</v>
      </c>
      <c r="B2625" t="s">
        <v>108</v>
      </c>
      <c r="C2625" t="str">
        <f t="shared" si="121"/>
        <v>ffdfd3c0</v>
      </c>
      <c r="D2625" t="s">
        <v>109</v>
      </c>
      <c r="E2625">
        <v>4</v>
      </c>
      <c r="F2625">
        <v>1004</v>
      </c>
      <c r="G2625" t="s">
        <v>110</v>
      </c>
      <c r="J2625" t="s">
        <v>111</v>
      </c>
      <c r="K2625">
        <v>0</v>
      </c>
      <c r="L2625">
        <v>3</v>
      </c>
      <c r="M2625">
        <v>0</v>
      </c>
      <c r="N2625">
        <v>2</v>
      </c>
      <c r="O2625">
        <v>1</v>
      </c>
      <c r="P2625">
        <v>0</v>
      </c>
      <c r="Q2625">
        <v>0</v>
      </c>
      <c r="R2625" t="s">
        <v>112</v>
      </c>
      <c r="S2625" t="str">
        <f>"14:34:05.930"</f>
        <v>14:34:05.930</v>
      </c>
      <c r="T2625" t="str">
        <f>"14:34:05.531"</f>
        <v>14:34:05.531</v>
      </c>
      <c r="U2625" t="str">
        <f t="shared" si="120"/>
        <v>ad5732</v>
      </c>
      <c r="V2625">
        <v>0</v>
      </c>
      <c r="W2625">
        <v>0</v>
      </c>
      <c r="X2625">
        <v>1</v>
      </c>
      <c r="Z2625">
        <v>0</v>
      </c>
      <c r="AA2625">
        <v>9</v>
      </c>
      <c r="AB2625">
        <v>3</v>
      </c>
      <c r="AC2625">
        <v>0</v>
      </c>
      <c r="AD2625">
        <v>10</v>
      </c>
      <c r="AE2625">
        <v>0</v>
      </c>
      <c r="AF2625">
        <v>3</v>
      </c>
      <c r="AG2625">
        <v>2</v>
      </c>
      <c r="AH2625">
        <v>0</v>
      </c>
      <c r="AI2625" t="s">
        <v>5366</v>
      </c>
      <c r="AJ2625">
        <v>40.158504999999998</v>
      </c>
      <c r="AK2625" t="s">
        <v>5367</v>
      </c>
      <c r="AL2625">
        <v>-75.333551999999997</v>
      </c>
      <c r="AM2625">
        <v>100</v>
      </c>
      <c r="AN2625">
        <v>4000</v>
      </c>
      <c r="AO2625" t="s">
        <v>115</v>
      </c>
      <c r="AP2625">
        <v>149</v>
      </c>
      <c r="AQ2625">
        <v>136</v>
      </c>
      <c r="AR2625">
        <v>-448</v>
      </c>
      <c r="AZ2625">
        <v>3614</v>
      </c>
      <c r="BA2625">
        <v>1</v>
      </c>
      <c r="BB2625" t="str">
        <f t="shared" si="122"/>
        <v xml:space="preserve">N959MJ  </v>
      </c>
      <c r="BC2625">
        <v>1</v>
      </c>
      <c r="BE2625">
        <v>0</v>
      </c>
      <c r="BF2625">
        <v>0</v>
      </c>
      <c r="BG2625">
        <v>0</v>
      </c>
      <c r="BH2625">
        <v>4200</v>
      </c>
      <c r="BI2625">
        <v>200</v>
      </c>
      <c r="BJ2625">
        <v>1</v>
      </c>
      <c r="BK2625">
        <v>1</v>
      </c>
      <c r="BL2625">
        <v>1</v>
      </c>
      <c r="BM2625">
        <v>0</v>
      </c>
      <c r="BP2625">
        <v>0</v>
      </c>
      <c r="BQ2625">
        <v>0</v>
      </c>
      <c r="BX2625" t="str">
        <f>"14:34:05.930"</f>
        <v>14:34:05.930</v>
      </c>
      <c r="BY2625" t="str">
        <f>"932143537"</f>
        <v>932143537</v>
      </c>
      <c r="CL2625">
        <v>0</v>
      </c>
      <c r="CM2625">
        <v>2</v>
      </c>
      <c r="CN2625">
        <v>0</v>
      </c>
      <c r="CO2625">
        <v>2</v>
      </c>
      <c r="CP2625">
        <v>0</v>
      </c>
      <c r="CQ2625">
        <v>7</v>
      </c>
      <c r="CR2625" t="s">
        <v>116</v>
      </c>
      <c r="CS2625">
        <v>39</v>
      </c>
      <c r="CT2625">
        <v>0</v>
      </c>
      <c r="CU2625" t="s">
        <v>2259</v>
      </c>
      <c r="CV2625" t="s">
        <v>2260</v>
      </c>
      <c r="CY2625">
        <v>2162230</v>
      </c>
      <c r="CZ2625" t="s">
        <v>119</v>
      </c>
    </row>
    <row r="2626" spans="1:104" x14ac:dyDescent="0.25">
      <c r="A2626" t="str">
        <f>"14:34:06.984"</f>
        <v>14:34:06.984</v>
      </c>
      <c r="B2626" t="s">
        <v>108</v>
      </c>
      <c r="C2626" t="str">
        <f t="shared" si="121"/>
        <v>ffdfd3c0</v>
      </c>
      <c r="D2626" t="s">
        <v>109</v>
      </c>
      <c r="E2626">
        <v>4</v>
      </c>
      <c r="F2626">
        <v>1004</v>
      </c>
      <c r="G2626" t="s">
        <v>110</v>
      </c>
      <c r="J2626" t="s">
        <v>111</v>
      </c>
      <c r="K2626">
        <v>0</v>
      </c>
      <c r="L2626">
        <v>3</v>
      </c>
      <c r="M2626">
        <v>0</v>
      </c>
      <c r="N2626">
        <v>2</v>
      </c>
      <c r="O2626">
        <v>1</v>
      </c>
      <c r="P2626">
        <v>0</v>
      </c>
      <c r="Q2626">
        <v>0</v>
      </c>
      <c r="R2626" t="s">
        <v>112</v>
      </c>
      <c r="S2626" t="str">
        <f>"14:34:06.820"</f>
        <v>14:34:06.820</v>
      </c>
      <c r="T2626" t="str">
        <f>"14:34:06.422"</f>
        <v>14:34:06.422</v>
      </c>
      <c r="U2626" t="str">
        <f t="shared" ref="U2626:U2689" si="123">"ad5732"</f>
        <v>ad5732</v>
      </c>
      <c r="V2626">
        <v>0</v>
      </c>
      <c r="W2626">
        <v>0</v>
      </c>
      <c r="X2626">
        <v>1</v>
      </c>
      <c r="Z2626">
        <v>0</v>
      </c>
      <c r="AA2626">
        <v>9</v>
      </c>
      <c r="AB2626">
        <v>3</v>
      </c>
      <c r="AC2626">
        <v>0</v>
      </c>
      <c r="AD2626">
        <v>10</v>
      </c>
      <c r="AE2626">
        <v>0</v>
      </c>
      <c r="AF2626">
        <v>3</v>
      </c>
      <c r="AG2626">
        <v>2</v>
      </c>
      <c r="AH2626">
        <v>0</v>
      </c>
      <c r="AI2626" t="s">
        <v>5368</v>
      </c>
      <c r="AJ2626">
        <v>40.159128000000003</v>
      </c>
      <c r="AK2626" t="s">
        <v>5369</v>
      </c>
      <c r="AL2626">
        <v>-75.332757999999998</v>
      </c>
      <c r="AM2626">
        <v>100</v>
      </c>
      <c r="AN2626">
        <v>4000</v>
      </c>
      <c r="AO2626" t="s">
        <v>115</v>
      </c>
      <c r="AP2626">
        <v>149</v>
      </c>
      <c r="AQ2626">
        <v>135</v>
      </c>
      <c r="AR2626">
        <v>-448</v>
      </c>
      <c r="AZ2626">
        <v>3614</v>
      </c>
      <c r="BA2626">
        <v>1</v>
      </c>
      <c r="BB2626" t="str">
        <f t="shared" si="122"/>
        <v xml:space="preserve">N959MJ  </v>
      </c>
      <c r="BC2626">
        <v>1</v>
      </c>
      <c r="BE2626">
        <v>0</v>
      </c>
      <c r="BF2626">
        <v>0</v>
      </c>
      <c r="BG2626">
        <v>0</v>
      </c>
      <c r="BH2626">
        <v>4200</v>
      </c>
      <c r="BI2626">
        <v>200</v>
      </c>
      <c r="BJ2626">
        <v>1</v>
      </c>
      <c r="BK2626">
        <v>1</v>
      </c>
      <c r="BL2626">
        <v>1</v>
      </c>
      <c r="BM2626">
        <v>0</v>
      </c>
      <c r="BP2626">
        <v>0</v>
      </c>
      <c r="BQ2626">
        <v>0</v>
      </c>
      <c r="BX2626" t="str">
        <f>"14:34:06.828"</f>
        <v>14:34:06.828</v>
      </c>
      <c r="BY2626" t="str">
        <f>"826725746"</f>
        <v>826725746</v>
      </c>
      <c r="CL2626">
        <v>0</v>
      </c>
      <c r="CM2626">
        <v>2</v>
      </c>
      <c r="CN2626">
        <v>0</v>
      </c>
      <c r="CO2626">
        <v>2</v>
      </c>
      <c r="CP2626">
        <v>0</v>
      </c>
      <c r="CQ2626">
        <v>7</v>
      </c>
      <c r="CR2626" t="s">
        <v>116</v>
      </c>
      <c r="CS2626">
        <v>39</v>
      </c>
      <c r="CT2626">
        <v>0</v>
      </c>
      <c r="CU2626" t="s">
        <v>2259</v>
      </c>
      <c r="CV2626" t="s">
        <v>2260</v>
      </c>
      <c r="CY2626">
        <v>2163567</v>
      </c>
      <c r="CZ2626" t="s">
        <v>119</v>
      </c>
    </row>
    <row r="2627" spans="1:104" x14ac:dyDescent="0.25">
      <c r="A2627" t="str">
        <f>"14:34:08.047"</f>
        <v>14:34:08.047</v>
      </c>
      <c r="B2627" t="s">
        <v>108</v>
      </c>
      <c r="C2627" t="str">
        <f t="shared" si="121"/>
        <v>ffdfd3c0</v>
      </c>
      <c r="D2627" t="s">
        <v>109</v>
      </c>
      <c r="E2627">
        <v>4</v>
      </c>
      <c r="F2627">
        <v>1004</v>
      </c>
      <c r="G2627" t="s">
        <v>110</v>
      </c>
      <c r="J2627" t="s">
        <v>111</v>
      </c>
      <c r="K2627">
        <v>0</v>
      </c>
      <c r="L2627">
        <v>3</v>
      </c>
      <c r="M2627">
        <v>0</v>
      </c>
      <c r="N2627">
        <v>2</v>
      </c>
      <c r="O2627">
        <v>1</v>
      </c>
      <c r="P2627">
        <v>0</v>
      </c>
      <c r="Q2627">
        <v>0</v>
      </c>
      <c r="R2627" t="s">
        <v>112</v>
      </c>
      <c r="S2627" t="str">
        <f>"14:34:07.875"</f>
        <v>14:34:07.875</v>
      </c>
      <c r="T2627" t="str">
        <f>"14:34:07.375"</f>
        <v>14:34:07.375</v>
      </c>
      <c r="U2627" t="str">
        <f t="shared" si="123"/>
        <v>ad5732</v>
      </c>
      <c r="V2627">
        <v>0</v>
      </c>
      <c r="W2627">
        <v>0</v>
      </c>
      <c r="X2627">
        <v>1</v>
      </c>
      <c r="Z2627">
        <v>0</v>
      </c>
      <c r="AA2627">
        <v>9</v>
      </c>
      <c r="AB2627">
        <v>3</v>
      </c>
      <c r="AC2627">
        <v>0</v>
      </c>
      <c r="AD2627">
        <v>10</v>
      </c>
      <c r="AE2627">
        <v>0</v>
      </c>
      <c r="AF2627">
        <v>3</v>
      </c>
      <c r="AG2627">
        <v>2</v>
      </c>
      <c r="AH2627">
        <v>0</v>
      </c>
      <c r="AI2627" t="s">
        <v>5370</v>
      </c>
      <c r="AJ2627">
        <v>40.159728999999999</v>
      </c>
      <c r="AK2627" t="s">
        <v>5371</v>
      </c>
      <c r="AL2627">
        <v>-75.331813999999994</v>
      </c>
      <c r="AM2627">
        <v>100</v>
      </c>
      <c r="AN2627">
        <v>4000</v>
      </c>
      <c r="AO2627" t="s">
        <v>115</v>
      </c>
      <c r="AP2627">
        <v>148</v>
      </c>
      <c r="AQ2627">
        <v>135</v>
      </c>
      <c r="AR2627">
        <v>-448</v>
      </c>
      <c r="AZ2627">
        <v>3614</v>
      </c>
      <c r="BA2627">
        <v>1</v>
      </c>
      <c r="BB2627" t="str">
        <f t="shared" si="122"/>
        <v xml:space="preserve">N959MJ  </v>
      </c>
      <c r="BC2627">
        <v>1</v>
      </c>
      <c r="BE2627">
        <v>0</v>
      </c>
      <c r="BF2627">
        <v>0</v>
      </c>
      <c r="BG2627">
        <v>0</v>
      </c>
      <c r="BH2627">
        <v>4175</v>
      </c>
      <c r="BI2627">
        <v>175</v>
      </c>
      <c r="BJ2627">
        <v>1</v>
      </c>
      <c r="BK2627">
        <v>1</v>
      </c>
      <c r="BL2627">
        <v>1</v>
      </c>
      <c r="BM2627">
        <v>0</v>
      </c>
      <c r="BP2627">
        <v>0</v>
      </c>
      <c r="BQ2627">
        <v>0</v>
      </c>
      <c r="BX2627" t="str">
        <f>"14:34:07.883"</f>
        <v>14:34:07.883</v>
      </c>
      <c r="BY2627" t="str">
        <f>"881874057"</f>
        <v>881874057</v>
      </c>
      <c r="CL2627">
        <v>0</v>
      </c>
      <c r="CM2627">
        <v>2</v>
      </c>
      <c r="CN2627">
        <v>0</v>
      </c>
      <c r="CO2627">
        <v>2</v>
      </c>
      <c r="CP2627">
        <v>0</v>
      </c>
      <c r="CQ2627">
        <v>7</v>
      </c>
      <c r="CR2627" t="s">
        <v>116</v>
      </c>
      <c r="CS2627">
        <v>39</v>
      </c>
      <c r="CT2627">
        <v>0</v>
      </c>
      <c r="CU2627" t="s">
        <v>2259</v>
      </c>
      <c r="CV2627" t="s">
        <v>2260</v>
      </c>
      <c r="CY2627">
        <v>2165301</v>
      </c>
      <c r="CZ2627" t="s">
        <v>119</v>
      </c>
    </row>
    <row r="2628" spans="1:104" x14ac:dyDescent="0.25">
      <c r="A2628" t="str">
        <f>"14:34:09.055"</f>
        <v>14:34:09.055</v>
      </c>
      <c r="B2628" t="s">
        <v>108</v>
      </c>
      <c r="C2628" t="str">
        <f t="shared" si="121"/>
        <v>ffdfd3c0</v>
      </c>
      <c r="D2628" t="s">
        <v>109</v>
      </c>
      <c r="E2628">
        <v>4</v>
      </c>
      <c r="F2628">
        <v>1004</v>
      </c>
      <c r="G2628" t="s">
        <v>110</v>
      </c>
      <c r="J2628" t="s">
        <v>111</v>
      </c>
      <c r="K2628">
        <v>0</v>
      </c>
      <c r="L2628">
        <v>3</v>
      </c>
      <c r="M2628">
        <v>0</v>
      </c>
      <c r="N2628">
        <v>2</v>
      </c>
      <c r="O2628">
        <v>1</v>
      </c>
      <c r="P2628">
        <v>0</v>
      </c>
      <c r="Q2628">
        <v>0</v>
      </c>
      <c r="R2628" t="s">
        <v>112</v>
      </c>
      <c r="S2628" t="str">
        <f>"14:34:08.883"</f>
        <v>14:34:08.883</v>
      </c>
      <c r="T2628" t="str">
        <f>"14:34:08.383"</f>
        <v>14:34:08.383</v>
      </c>
      <c r="U2628" t="str">
        <f t="shared" si="123"/>
        <v>ad5732</v>
      </c>
      <c r="V2628">
        <v>0</v>
      </c>
      <c r="W2628">
        <v>0</v>
      </c>
      <c r="X2628">
        <v>1</v>
      </c>
      <c r="Z2628">
        <v>0</v>
      </c>
      <c r="AA2628">
        <v>9</v>
      </c>
      <c r="AB2628">
        <v>3</v>
      </c>
      <c r="AC2628">
        <v>0</v>
      </c>
      <c r="AD2628">
        <v>10</v>
      </c>
      <c r="AE2628">
        <v>0</v>
      </c>
      <c r="AF2628">
        <v>3</v>
      </c>
      <c r="AG2628">
        <v>2</v>
      </c>
      <c r="AH2628">
        <v>0</v>
      </c>
      <c r="AI2628" t="s">
        <v>5372</v>
      </c>
      <c r="AJ2628">
        <v>40.160372000000002</v>
      </c>
      <c r="AK2628" t="s">
        <v>5373</v>
      </c>
      <c r="AL2628">
        <v>-75.330934999999997</v>
      </c>
      <c r="AM2628">
        <v>100</v>
      </c>
      <c r="AN2628">
        <v>4000</v>
      </c>
      <c r="AO2628" t="s">
        <v>115</v>
      </c>
      <c r="AP2628">
        <v>148</v>
      </c>
      <c r="AQ2628">
        <v>135</v>
      </c>
      <c r="AR2628">
        <v>-448</v>
      </c>
      <c r="AZ2628">
        <v>3614</v>
      </c>
      <c r="BA2628">
        <v>1</v>
      </c>
      <c r="BB2628" t="str">
        <f t="shared" si="122"/>
        <v xml:space="preserve">N959MJ  </v>
      </c>
      <c r="BC2628">
        <v>1</v>
      </c>
      <c r="BE2628">
        <v>0</v>
      </c>
      <c r="BF2628">
        <v>0</v>
      </c>
      <c r="BG2628">
        <v>0</v>
      </c>
      <c r="BH2628">
        <v>4175</v>
      </c>
      <c r="BI2628">
        <v>175</v>
      </c>
      <c r="BJ2628">
        <v>1</v>
      </c>
      <c r="BK2628">
        <v>1</v>
      </c>
      <c r="BL2628">
        <v>1</v>
      </c>
      <c r="BM2628">
        <v>0</v>
      </c>
      <c r="BP2628">
        <v>0</v>
      </c>
      <c r="BQ2628">
        <v>0</v>
      </c>
      <c r="BX2628" t="str">
        <f>"14:34:08.883"</f>
        <v>14:34:08.883</v>
      </c>
      <c r="BY2628" t="str">
        <f>"886230957"</f>
        <v>886230957</v>
      </c>
      <c r="CL2628">
        <v>0</v>
      </c>
      <c r="CM2628">
        <v>2</v>
      </c>
      <c r="CN2628">
        <v>0</v>
      </c>
      <c r="CO2628">
        <v>2</v>
      </c>
      <c r="CP2628">
        <v>0</v>
      </c>
      <c r="CQ2628">
        <v>7</v>
      </c>
      <c r="CR2628" t="s">
        <v>116</v>
      </c>
      <c r="CS2628">
        <v>39</v>
      </c>
      <c r="CT2628">
        <v>0</v>
      </c>
      <c r="CU2628" t="s">
        <v>2259</v>
      </c>
      <c r="CV2628" t="s">
        <v>2260</v>
      </c>
      <c r="CY2628">
        <v>2166969</v>
      </c>
      <c r="CZ2628" t="s">
        <v>119</v>
      </c>
    </row>
    <row r="2629" spans="1:104" x14ac:dyDescent="0.25">
      <c r="A2629" t="str">
        <f>"14:34:10.164"</f>
        <v>14:34:10.164</v>
      </c>
      <c r="B2629" t="s">
        <v>108</v>
      </c>
      <c r="C2629" t="str">
        <f t="shared" si="121"/>
        <v>ffdfd3c0</v>
      </c>
      <c r="D2629" t="s">
        <v>109</v>
      </c>
      <c r="E2629">
        <v>4</v>
      </c>
      <c r="F2629">
        <v>1004</v>
      </c>
      <c r="G2629" t="s">
        <v>110</v>
      </c>
      <c r="J2629" t="s">
        <v>111</v>
      </c>
      <c r="K2629">
        <v>0</v>
      </c>
      <c r="L2629">
        <v>3</v>
      </c>
      <c r="M2629">
        <v>0</v>
      </c>
      <c r="N2629">
        <v>2</v>
      </c>
      <c r="O2629">
        <v>1</v>
      </c>
      <c r="P2629">
        <v>0</v>
      </c>
      <c r="Q2629">
        <v>0</v>
      </c>
      <c r="R2629" t="s">
        <v>112</v>
      </c>
      <c r="S2629" t="str">
        <f>"14:34:09.961"</f>
        <v>14:34:09.961</v>
      </c>
      <c r="T2629" t="str">
        <f>"14:34:09.461"</f>
        <v>14:34:09.461</v>
      </c>
      <c r="U2629" t="str">
        <f t="shared" si="123"/>
        <v>ad5732</v>
      </c>
      <c r="V2629">
        <v>0</v>
      </c>
      <c r="W2629">
        <v>0</v>
      </c>
      <c r="X2629">
        <v>1</v>
      </c>
      <c r="Z2629">
        <v>0</v>
      </c>
      <c r="AA2629">
        <v>9</v>
      </c>
      <c r="AB2629">
        <v>3</v>
      </c>
      <c r="AC2629">
        <v>0</v>
      </c>
      <c r="AD2629">
        <v>10</v>
      </c>
      <c r="AE2629">
        <v>0</v>
      </c>
      <c r="AF2629">
        <v>3</v>
      </c>
      <c r="AG2629">
        <v>2</v>
      </c>
      <c r="AH2629">
        <v>0</v>
      </c>
      <c r="AI2629" t="s">
        <v>5374</v>
      </c>
      <c r="AJ2629">
        <v>40.161079999999998</v>
      </c>
      <c r="AK2629" t="s">
        <v>5375</v>
      </c>
      <c r="AL2629">
        <v>-75.329947000000004</v>
      </c>
      <c r="AM2629">
        <v>100</v>
      </c>
      <c r="AN2629">
        <v>4000</v>
      </c>
      <c r="AO2629" t="s">
        <v>115</v>
      </c>
      <c r="AP2629">
        <v>148</v>
      </c>
      <c r="AQ2629">
        <v>135</v>
      </c>
      <c r="AR2629">
        <v>-448</v>
      </c>
      <c r="AZ2629">
        <v>3614</v>
      </c>
      <c r="BA2629">
        <v>1</v>
      </c>
      <c r="BB2629" t="str">
        <f t="shared" si="122"/>
        <v xml:space="preserve">N959MJ  </v>
      </c>
      <c r="BC2629">
        <v>1</v>
      </c>
      <c r="BE2629">
        <v>0</v>
      </c>
      <c r="BF2629">
        <v>0</v>
      </c>
      <c r="BG2629">
        <v>0</v>
      </c>
      <c r="BH2629">
        <v>4175</v>
      </c>
      <c r="BI2629">
        <v>175</v>
      </c>
      <c r="BJ2629">
        <v>1</v>
      </c>
      <c r="BK2629">
        <v>1</v>
      </c>
      <c r="BL2629">
        <v>1</v>
      </c>
      <c r="BM2629">
        <v>0</v>
      </c>
      <c r="BP2629">
        <v>0</v>
      </c>
      <c r="BQ2629">
        <v>0</v>
      </c>
      <c r="BX2629" t="str">
        <f>"14:34:09.969"</f>
        <v>14:34:09.969</v>
      </c>
      <c r="BY2629" t="str">
        <f>"965955640"</f>
        <v>965955640</v>
      </c>
      <c r="CL2629">
        <v>0</v>
      </c>
      <c r="CM2629">
        <v>2</v>
      </c>
      <c r="CN2629">
        <v>0</v>
      </c>
      <c r="CO2629">
        <v>2</v>
      </c>
      <c r="CP2629">
        <v>0</v>
      </c>
      <c r="CQ2629">
        <v>7</v>
      </c>
      <c r="CR2629" t="s">
        <v>116</v>
      </c>
      <c r="CS2629">
        <v>39</v>
      </c>
      <c r="CT2629">
        <v>0</v>
      </c>
      <c r="CU2629" t="s">
        <v>2259</v>
      </c>
      <c r="CV2629" t="s">
        <v>2260</v>
      </c>
      <c r="CY2629">
        <v>2168640</v>
      </c>
      <c r="CZ2629" t="s">
        <v>119</v>
      </c>
    </row>
    <row r="2630" spans="1:104" x14ac:dyDescent="0.25">
      <c r="A2630" t="str">
        <f>"14:34:11.172"</f>
        <v>14:34:11.172</v>
      </c>
      <c r="B2630" t="s">
        <v>108</v>
      </c>
      <c r="C2630" t="str">
        <f t="shared" si="121"/>
        <v>ffdfd3c0</v>
      </c>
      <c r="D2630" t="s">
        <v>109</v>
      </c>
      <c r="E2630">
        <v>4</v>
      </c>
      <c r="F2630">
        <v>1004</v>
      </c>
      <c r="G2630" t="s">
        <v>110</v>
      </c>
      <c r="J2630" t="s">
        <v>111</v>
      </c>
      <c r="K2630">
        <v>0</v>
      </c>
      <c r="L2630">
        <v>3</v>
      </c>
      <c r="M2630">
        <v>0</v>
      </c>
      <c r="N2630">
        <v>2</v>
      </c>
      <c r="O2630">
        <v>1</v>
      </c>
      <c r="P2630">
        <v>0</v>
      </c>
      <c r="Q2630">
        <v>0</v>
      </c>
      <c r="R2630" t="s">
        <v>112</v>
      </c>
      <c r="S2630" t="str">
        <f>"14:34:10.969"</f>
        <v>14:34:10.969</v>
      </c>
      <c r="T2630" t="str">
        <f>"14:34:10.469"</f>
        <v>14:34:10.469</v>
      </c>
      <c r="U2630" t="str">
        <f t="shared" si="123"/>
        <v>ad5732</v>
      </c>
      <c r="V2630">
        <v>0</v>
      </c>
      <c r="W2630">
        <v>0</v>
      </c>
      <c r="X2630">
        <v>1</v>
      </c>
      <c r="Z2630">
        <v>0</v>
      </c>
      <c r="AA2630">
        <v>9</v>
      </c>
      <c r="AB2630">
        <v>3</v>
      </c>
      <c r="AC2630">
        <v>0</v>
      </c>
      <c r="AD2630">
        <v>10</v>
      </c>
      <c r="AE2630">
        <v>0</v>
      </c>
      <c r="AF2630">
        <v>3</v>
      </c>
      <c r="AG2630">
        <v>2</v>
      </c>
      <c r="AH2630">
        <v>0</v>
      </c>
      <c r="AI2630" t="s">
        <v>5376</v>
      </c>
      <c r="AJ2630">
        <v>40.161659999999998</v>
      </c>
      <c r="AK2630" t="s">
        <v>5377</v>
      </c>
      <c r="AL2630">
        <v>-75.329046000000005</v>
      </c>
      <c r="AM2630">
        <v>100</v>
      </c>
      <c r="AN2630">
        <v>4000</v>
      </c>
      <c r="AO2630" t="s">
        <v>115</v>
      </c>
      <c r="AP2630">
        <v>147</v>
      </c>
      <c r="AQ2630">
        <v>135</v>
      </c>
      <c r="AR2630">
        <v>-448</v>
      </c>
      <c r="AZ2630">
        <v>3614</v>
      </c>
      <c r="BA2630">
        <v>1</v>
      </c>
      <c r="BB2630" t="str">
        <f t="shared" si="122"/>
        <v xml:space="preserve">N959MJ  </v>
      </c>
      <c r="BC2630">
        <v>1</v>
      </c>
      <c r="BE2630">
        <v>0</v>
      </c>
      <c r="BF2630">
        <v>0</v>
      </c>
      <c r="BG2630">
        <v>0</v>
      </c>
      <c r="BH2630">
        <v>4150</v>
      </c>
      <c r="BI2630">
        <v>150</v>
      </c>
      <c r="BJ2630">
        <v>1</v>
      </c>
      <c r="BK2630">
        <v>1</v>
      </c>
      <c r="BL2630">
        <v>1</v>
      </c>
      <c r="BM2630">
        <v>0</v>
      </c>
      <c r="BP2630">
        <v>0</v>
      </c>
      <c r="BQ2630">
        <v>0</v>
      </c>
      <c r="BX2630" t="str">
        <f>"14:34:10.977"</f>
        <v>14:34:10.977</v>
      </c>
      <c r="BY2630" t="str">
        <f>"973589510"</f>
        <v>973589510</v>
      </c>
      <c r="CL2630">
        <v>0</v>
      </c>
      <c r="CM2630">
        <v>2</v>
      </c>
      <c r="CN2630">
        <v>0</v>
      </c>
      <c r="CO2630">
        <v>2</v>
      </c>
      <c r="CP2630">
        <v>0</v>
      </c>
      <c r="CQ2630">
        <v>7</v>
      </c>
      <c r="CR2630" t="s">
        <v>116</v>
      </c>
      <c r="CS2630">
        <v>39</v>
      </c>
      <c r="CT2630">
        <v>0</v>
      </c>
      <c r="CU2630" t="s">
        <v>2259</v>
      </c>
      <c r="CV2630" t="s">
        <v>2260</v>
      </c>
      <c r="CY2630">
        <v>2170247</v>
      </c>
      <c r="CZ2630" t="s">
        <v>119</v>
      </c>
    </row>
    <row r="2631" spans="1:104" x14ac:dyDescent="0.25">
      <c r="A2631" t="str">
        <f>"14:34:12.289"</f>
        <v>14:34:12.289</v>
      </c>
      <c r="B2631" t="s">
        <v>108</v>
      </c>
      <c r="C2631" t="str">
        <f t="shared" si="121"/>
        <v>ffdfd3c0</v>
      </c>
      <c r="D2631" t="s">
        <v>109</v>
      </c>
      <c r="E2631">
        <v>4</v>
      </c>
      <c r="F2631">
        <v>1004</v>
      </c>
      <c r="G2631" t="s">
        <v>110</v>
      </c>
      <c r="J2631" t="s">
        <v>111</v>
      </c>
      <c r="K2631">
        <v>0</v>
      </c>
      <c r="L2631">
        <v>3</v>
      </c>
      <c r="M2631">
        <v>0</v>
      </c>
      <c r="N2631">
        <v>2</v>
      </c>
      <c r="O2631">
        <v>1</v>
      </c>
      <c r="P2631">
        <v>0</v>
      </c>
      <c r="Q2631">
        <v>0</v>
      </c>
      <c r="R2631" t="s">
        <v>112</v>
      </c>
      <c r="S2631" t="str">
        <f>"14:34:12.078"</f>
        <v>14:34:12.078</v>
      </c>
      <c r="T2631" t="str">
        <f>"14:34:11.578"</f>
        <v>14:34:11.578</v>
      </c>
      <c r="U2631" t="str">
        <f t="shared" si="123"/>
        <v>ad5732</v>
      </c>
      <c r="V2631">
        <v>0</v>
      </c>
      <c r="W2631">
        <v>0</v>
      </c>
      <c r="X2631">
        <v>1</v>
      </c>
      <c r="Z2631">
        <v>0</v>
      </c>
      <c r="AA2631">
        <v>9</v>
      </c>
      <c r="AB2631">
        <v>3</v>
      </c>
      <c r="AC2631">
        <v>0</v>
      </c>
      <c r="AD2631">
        <v>10</v>
      </c>
      <c r="AE2631">
        <v>0</v>
      </c>
      <c r="AF2631">
        <v>3</v>
      </c>
      <c r="AG2631">
        <v>2</v>
      </c>
      <c r="AH2631">
        <v>0</v>
      </c>
      <c r="AI2631" t="s">
        <v>5378</v>
      </c>
      <c r="AJ2631">
        <v>40.162388999999997</v>
      </c>
      <c r="AK2631" t="s">
        <v>5379</v>
      </c>
      <c r="AL2631">
        <v>-75.328080999999997</v>
      </c>
      <c r="AM2631">
        <v>100</v>
      </c>
      <c r="AN2631">
        <v>4000</v>
      </c>
      <c r="AO2631" t="s">
        <v>115</v>
      </c>
      <c r="AP2631">
        <v>147</v>
      </c>
      <c r="AQ2631">
        <v>135</v>
      </c>
      <c r="AR2631">
        <v>-384</v>
      </c>
      <c r="AZ2631">
        <v>3614</v>
      </c>
      <c r="BA2631">
        <v>1</v>
      </c>
      <c r="BB2631" t="str">
        <f t="shared" si="122"/>
        <v xml:space="preserve">N959MJ  </v>
      </c>
      <c r="BC2631">
        <v>1</v>
      </c>
      <c r="BE2631">
        <v>0</v>
      </c>
      <c r="BF2631">
        <v>0</v>
      </c>
      <c r="BG2631">
        <v>0</v>
      </c>
      <c r="BH2631">
        <v>4150</v>
      </c>
      <c r="BI2631">
        <v>150</v>
      </c>
      <c r="BJ2631">
        <v>1</v>
      </c>
      <c r="BK2631">
        <v>1</v>
      </c>
      <c r="BL2631">
        <v>1</v>
      </c>
      <c r="BM2631">
        <v>0</v>
      </c>
      <c r="BP2631">
        <v>0</v>
      </c>
      <c r="BQ2631">
        <v>0</v>
      </c>
      <c r="BX2631" t="str">
        <f>"14:34:12.086"</f>
        <v>14:34:12.086</v>
      </c>
      <c r="BY2631" t="str">
        <f>"084444296"</f>
        <v>084444296</v>
      </c>
      <c r="CL2631">
        <v>0</v>
      </c>
      <c r="CM2631">
        <v>2</v>
      </c>
      <c r="CN2631">
        <v>0</v>
      </c>
      <c r="CO2631">
        <v>2</v>
      </c>
      <c r="CP2631">
        <v>0</v>
      </c>
      <c r="CQ2631">
        <v>7</v>
      </c>
      <c r="CR2631" t="s">
        <v>116</v>
      </c>
      <c r="CS2631">
        <v>39</v>
      </c>
      <c r="CT2631">
        <v>0</v>
      </c>
      <c r="CU2631" t="s">
        <v>2259</v>
      </c>
      <c r="CV2631" t="s">
        <v>2260</v>
      </c>
      <c r="CY2631">
        <v>2172108</v>
      </c>
      <c r="CZ2631" t="s">
        <v>119</v>
      </c>
    </row>
    <row r="2632" spans="1:104" x14ac:dyDescent="0.25">
      <c r="A2632" t="str">
        <f>"14:34:13.242"</f>
        <v>14:34:13.242</v>
      </c>
      <c r="B2632" t="s">
        <v>108</v>
      </c>
      <c r="C2632" t="str">
        <f t="shared" si="121"/>
        <v>ffdfd3c0</v>
      </c>
      <c r="D2632" t="s">
        <v>109</v>
      </c>
      <c r="E2632">
        <v>4</v>
      </c>
      <c r="F2632">
        <v>1004</v>
      </c>
      <c r="G2632" t="s">
        <v>110</v>
      </c>
      <c r="J2632" t="s">
        <v>111</v>
      </c>
      <c r="K2632">
        <v>0</v>
      </c>
      <c r="L2632">
        <v>3</v>
      </c>
      <c r="M2632">
        <v>0</v>
      </c>
      <c r="N2632">
        <v>2</v>
      </c>
      <c r="O2632">
        <v>1</v>
      </c>
      <c r="P2632">
        <v>0</v>
      </c>
      <c r="Q2632">
        <v>0</v>
      </c>
      <c r="R2632" t="s">
        <v>112</v>
      </c>
      <c r="S2632" t="str">
        <f>"14:34:13.039"</f>
        <v>14:34:13.039</v>
      </c>
      <c r="T2632" t="str">
        <f>"14:34:12.539"</f>
        <v>14:34:12.539</v>
      </c>
      <c r="U2632" t="str">
        <f t="shared" si="123"/>
        <v>ad5732</v>
      </c>
      <c r="V2632">
        <v>0</v>
      </c>
      <c r="W2632">
        <v>0</v>
      </c>
      <c r="X2632">
        <v>1</v>
      </c>
      <c r="Z2632">
        <v>0</v>
      </c>
      <c r="AA2632">
        <v>9</v>
      </c>
      <c r="AB2632">
        <v>3</v>
      </c>
      <c r="AC2632">
        <v>0</v>
      </c>
      <c r="AD2632">
        <v>10</v>
      </c>
      <c r="AE2632">
        <v>0</v>
      </c>
      <c r="AF2632">
        <v>3</v>
      </c>
      <c r="AG2632">
        <v>2</v>
      </c>
      <c r="AH2632">
        <v>0</v>
      </c>
      <c r="AI2632" t="s">
        <v>5380</v>
      </c>
      <c r="AJ2632">
        <v>40.162990000000001</v>
      </c>
      <c r="AK2632" t="s">
        <v>5381</v>
      </c>
      <c r="AL2632">
        <v>-75.327264999999997</v>
      </c>
      <c r="AM2632">
        <v>100</v>
      </c>
      <c r="AN2632">
        <v>4000</v>
      </c>
      <c r="AO2632" t="s">
        <v>115</v>
      </c>
      <c r="AP2632">
        <v>147</v>
      </c>
      <c r="AQ2632">
        <v>135</v>
      </c>
      <c r="AR2632">
        <v>-384</v>
      </c>
      <c r="AZ2632">
        <v>3614</v>
      </c>
      <c r="BA2632">
        <v>1</v>
      </c>
      <c r="BB2632" t="str">
        <f t="shared" si="122"/>
        <v xml:space="preserve">N959MJ  </v>
      </c>
      <c r="BC2632">
        <v>1</v>
      </c>
      <c r="BE2632">
        <v>0</v>
      </c>
      <c r="BF2632">
        <v>0</v>
      </c>
      <c r="BG2632">
        <v>0</v>
      </c>
      <c r="BH2632">
        <v>4150</v>
      </c>
      <c r="BI2632">
        <v>150</v>
      </c>
      <c r="BJ2632">
        <v>1</v>
      </c>
      <c r="BK2632">
        <v>1</v>
      </c>
      <c r="BL2632">
        <v>1</v>
      </c>
      <c r="BM2632">
        <v>0</v>
      </c>
      <c r="BP2632">
        <v>0</v>
      </c>
      <c r="BQ2632">
        <v>0</v>
      </c>
      <c r="BX2632" t="str">
        <f>"14:34:13.039"</f>
        <v>14:34:13.039</v>
      </c>
      <c r="BY2632" t="str">
        <f>"042925392"</f>
        <v>042925392</v>
      </c>
      <c r="CL2632">
        <v>0</v>
      </c>
      <c r="CM2632">
        <v>2</v>
      </c>
      <c r="CN2632">
        <v>0</v>
      </c>
      <c r="CO2632">
        <v>2</v>
      </c>
      <c r="CP2632">
        <v>0</v>
      </c>
      <c r="CQ2632">
        <v>7</v>
      </c>
      <c r="CR2632" t="s">
        <v>116</v>
      </c>
      <c r="CS2632">
        <v>39</v>
      </c>
      <c r="CT2632">
        <v>0</v>
      </c>
      <c r="CU2632" t="s">
        <v>2259</v>
      </c>
      <c r="CV2632" t="s">
        <v>2260</v>
      </c>
      <c r="CY2632">
        <v>2173689</v>
      </c>
      <c r="CZ2632" t="s">
        <v>119</v>
      </c>
    </row>
    <row r="2633" spans="1:104" x14ac:dyDescent="0.25">
      <c r="A2633" t="str">
        <f>"14:34:14.211"</f>
        <v>14:34:14.211</v>
      </c>
      <c r="B2633" t="s">
        <v>108</v>
      </c>
      <c r="C2633" t="str">
        <f t="shared" si="121"/>
        <v>ffdfd3c0</v>
      </c>
      <c r="D2633" t="s">
        <v>109</v>
      </c>
      <c r="E2633">
        <v>4</v>
      </c>
      <c r="F2633">
        <v>1004</v>
      </c>
      <c r="G2633" t="s">
        <v>110</v>
      </c>
      <c r="J2633" t="s">
        <v>111</v>
      </c>
      <c r="K2633">
        <v>0</v>
      </c>
      <c r="L2633">
        <v>3</v>
      </c>
      <c r="M2633">
        <v>0</v>
      </c>
      <c r="N2633">
        <v>2</v>
      </c>
      <c r="O2633">
        <v>1</v>
      </c>
      <c r="P2633">
        <v>0</v>
      </c>
      <c r="Q2633">
        <v>0</v>
      </c>
      <c r="R2633" t="s">
        <v>112</v>
      </c>
      <c r="S2633" t="str">
        <f>"14:34:14.039"</f>
        <v>14:34:14.039</v>
      </c>
      <c r="T2633" t="str">
        <f>"14:34:13.539"</f>
        <v>14:34:13.539</v>
      </c>
      <c r="U2633" t="str">
        <f t="shared" si="123"/>
        <v>ad5732</v>
      </c>
      <c r="V2633">
        <v>0</v>
      </c>
      <c r="W2633">
        <v>0</v>
      </c>
      <c r="X2633">
        <v>1</v>
      </c>
      <c r="Z2633">
        <v>0</v>
      </c>
      <c r="AA2633">
        <v>9</v>
      </c>
      <c r="AB2633">
        <v>3</v>
      </c>
      <c r="AC2633">
        <v>0</v>
      </c>
      <c r="AD2633">
        <v>10</v>
      </c>
      <c r="AE2633">
        <v>0</v>
      </c>
      <c r="AF2633">
        <v>3</v>
      </c>
      <c r="AG2633">
        <v>2</v>
      </c>
      <c r="AH2633">
        <v>0</v>
      </c>
      <c r="AI2633" t="s">
        <v>5382</v>
      </c>
      <c r="AJ2633">
        <v>40.163590999999997</v>
      </c>
      <c r="AK2633" t="s">
        <v>5383</v>
      </c>
      <c r="AL2633">
        <v>-75.326320999999993</v>
      </c>
      <c r="AM2633">
        <v>100</v>
      </c>
      <c r="AN2633">
        <v>4000</v>
      </c>
      <c r="AO2633" t="s">
        <v>115</v>
      </c>
      <c r="AP2633">
        <v>146</v>
      </c>
      <c r="AQ2633">
        <v>135</v>
      </c>
      <c r="AR2633">
        <v>-384</v>
      </c>
      <c r="AZ2633">
        <v>3614</v>
      </c>
      <c r="BA2633">
        <v>1</v>
      </c>
      <c r="BB2633" t="str">
        <f t="shared" si="122"/>
        <v xml:space="preserve">N959MJ  </v>
      </c>
      <c r="BC2633">
        <v>1</v>
      </c>
      <c r="BE2633">
        <v>0</v>
      </c>
      <c r="BF2633">
        <v>0</v>
      </c>
      <c r="BG2633">
        <v>0</v>
      </c>
      <c r="BH2633">
        <v>4150</v>
      </c>
      <c r="BI2633">
        <v>150</v>
      </c>
      <c r="BJ2633">
        <v>1</v>
      </c>
      <c r="BK2633">
        <v>1</v>
      </c>
      <c r="BL2633">
        <v>1</v>
      </c>
      <c r="BM2633">
        <v>0</v>
      </c>
      <c r="BP2633">
        <v>0</v>
      </c>
      <c r="BQ2633">
        <v>0</v>
      </c>
      <c r="BX2633" t="str">
        <f>"14:34:14.047"</f>
        <v>14:34:14.047</v>
      </c>
      <c r="BY2633" t="str">
        <f>"045643858"</f>
        <v>045643858</v>
      </c>
      <c r="CL2633">
        <v>0</v>
      </c>
      <c r="CM2633">
        <v>2</v>
      </c>
      <c r="CN2633">
        <v>0</v>
      </c>
      <c r="CO2633">
        <v>2</v>
      </c>
      <c r="CP2633">
        <v>0</v>
      </c>
      <c r="CQ2633">
        <v>7</v>
      </c>
      <c r="CR2633" t="s">
        <v>116</v>
      </c>
      <c r="CS2633">
        <v>39</v>
      </c>
      <c r="CT2633">
        <v>0</v>
      </c>
      <c r="CU2633" t="s">
        <v>2259</v>
      </c>
      <c r="CV2633" t="s">
        <v>2260</v>
      </c>
      <c r="CY2633">
        <v>2175329</v>
      </c>
      <c r="CZ2633" t="s">
        <v>119</v>
      </c>
    </row>
    <row r="2634" spans="1:104" x14ac:dyDescent="0.25">
      <c r="A2634" t="str">
        <f>"14:34:15.211"</f>
        <v>14:34:15.211</v>
      </c>
      <c r="B2634" t="s">
        <v>108</v>
      </c>
      <c r="C2634" t="str">
        <f t="shared" ref="C2634:C2697" si="124">"ffdfd3c0"</f>
        <v>ffdfd3c0</v>
      </c>
      <c r="D2634" t="s">
        <v>109</v>
      </c>
      <c r="E2634">
        <v>4</v>
      </c>
      <c r="F2634">
        <v>1004</v>
      </c>
      <c r="G2634" t="s">
        <v>110</v>
      </c>
      <c r="J2634" t="s">
        <v>111</v>
      </c>
      <c r="K2634">
        <v>0</v>
      </c>
      <c r="L2634">
        <v>3</v>
      </c>
      <c r="M2634">
        <v>0</v>
      </c>
      <c r="N2634">
        <v>2</v>
      </c>
      <c r="O2634">
        <v>1</v>
      </c>
      <c r="P2634">
        <v>0</v>
      </c>
      <c r="Q2634">
        <v>0</v>
      </c>
      <c r="R2634" t="s">
        <v>112</v>
      </c>
      <c r="S2634" t="str">
        <f>"14:34:15.008"</f>
        <v>14:34:15.008</v>
      </c>
      <c r="T2634" t="str">
        <f>"14:34:14.609"</f>
        <v>14:34:14.609</v>
      </c>
      <c r="U2634" t="str">
        <f t="shared" si="123"/>
        <v>ad5732</v>
      </c>
      <c r="V2634">
        <v>0</v>
      </c>
      <c r="W2634">
        <v>0</v>
      </c>
      <c r="X2634">
        <v>1</v>
      </c>
      <c r="Z2634">
        <v>0</v>
      </c>
      <c r="AA2634">
        <v>9</v>
      </c>
      <c r="AB2634">
        <v>3</v>
      </c>
      <c r="AC2634">
        <v>0</v>
      </c>
      <c r="AD2634">
        <v>10</v>
      </c>
      <c r="AE2634">
        <v>0</v>
      </c>
      <c r="AF2634">
        <v>3</v>
      </c>
      <c r="AG2634">
        <v>2</v>
      </c>
      <c r="AH2634">
        <v>0</v>
      </c>
      <c r="AI2634" t="s">
        <v>5384</v>
      </c>
      <c r="AJ2634">
        <v>40.164192</v>
      </c>
      <c r="AK2634" t="s">
        <v>5385</v>
      </c>
      <c r="AL2634">
        <v>-75.325506000000004</v>
      </c>
      <c r="AM2634">
        <v>100</v>
      </c>
      <c r="AN2634">
        <v>4000</v>
      </c>
      <c r="AO2634" t="s">
        <v>115</v>
      </c>
      <c r="AP2634">
        <v>146</v>
      </c>
      <c r="AQ2634">
        <v>135</v>
      </c>
      <c r="AR2634">
        <v>-384</v>
      </c>
      <c r="AZ2634">
        <v>3614</v>
      </c>
      <c r="BA2634">
        <v>1</v>
      </c>
      <c r="BB2634" t="str">
        <f t="shared" ref="BB2634:BB2697" si="125">"N959MJ  "</f>
        <v xml:space="preserve">N959MJ  </v>
      </c>
      <c r="BC2634">
        <v>1</v>
      </c>
      <c r="BE2634">
        <v>0</v>
      </c>
      <c r="BF2634">
        <v>0</v>
      </c>
      <c r="BG2634">
        <v>0</v>
      </c>
      <c r="BH2634">
        <v>4125</v>
      </c>
      <c r="BI2634">
        <v>125</v>
      </c>
      <c r="BJ2634">
        <v>1</v>
      </c>
      <c r="BK2634">
        <v>1</v>
      </c>
      <c r="BL2634">
        <v>1</v>
      </c>
      <c r="BM2634">
        <v>0</v>
      </c>
      <c r="BP2634">
        <v>0</v>
      </c>
      <c r="BQ2634">
        <v>0</v>
      </c>
      <c r="BX2634" t="str">
        <f>"14:34:15.008"</f>
        <v>14:34:15.008</v>
      </c>
      <c r="BY2634" t="str">
        <f>"009040047"</f>
        <v>009040047</v>
      </c>
      <c r="CL2634">
        <v>0</v>
      </c>
      <c r="CM2634">
        <v>2</v>
      </c>
      <c r="CN2634">
        <v>0</v>
      </c>
      <c r="CO2634">
        <v>2</v>
      </c>
      <c r="CP2634">
        <v>0</v>
      </c>
      <c r="CQ2634">
        <v>7</v>
      </c>
      <c r="CR2634" t="s">
        <v>116</v>
      </c>
      <c r="CS2634">
        <v>39</v>
      </c>
      <c r="CT2634">
        <v>0</v>
      </c>
      <c r="CU2634" t="s">
        <v>2259</v>
      </c>
      <c r="CV2634" t="s">
        <v>2260</v>
      </c>
      <c r="CY2634">
        <v>2176734</v>
      </c>
      <c r="CZ2634" t="s">
        <v>119</v>
      </c>
    </row>
    <row r="2635" spans="1:104" x14ac:dyDescent="0.25">
      <c r="A2635" t="str">
        <f>"14:34:16.172"</f>
        <v>14:34:16.172</v>
      </c>
      <c r="B2635" t="s">
        <v>108</v>
      </c>
      <c r="C2635" t="str">
        <f t="shared" si="124"/>
        <v>ffdfd3c0</v>
      </c>
      <c r="D2635" t="s">
        <v>109</v>
      </c>
      <c r="E2635">
        <v>4</v>
      </c>
      <c r="F2635">
        <v>1004</v>
      </c>
      <c r="G2635" t="s">
        <v>110</v>
      </c>
      <c r="J2635" t="s">
        <v>111</v>
      </c>
      <c r="K2635">
        <v>0</v>
      </c>
      <c r="L2635">
        <v>3</v>
      </c>
      <c r="M2635">
        <v>0</v>
      </c>
      <c r="N2635">
        <v>2</v>
      </c>
      <c r="O2635">
        <v>1</v>
      </c>
      <c r="P2635">
        <v>0</v>
      </c>
      <c r="Q2635">
        <v>0</v>
      </c>
      <c r="R2635" t="s">
        <v>112</v>
      </c>
      <c r="S2635" t="str">
        <f>"14:34:15.984"</f>
        <v>14:34:15.984</v>
      </c>
      <c r="T2635" t="str">
        <f>"14:34:15.586"</f>
        <v>14:34:15.586</v>
      </c>
      <c r="U2635" t="str">
        <f t="shared" si="123"/>
        <v>ad5732</v>
      </c>
      <c r="V2635">
        <v>0</v>
      </c>
      <c r="W2635">
        <v>0</v>
      </c>
      <c r="X2635">
        <v>1</v>
      </c>
      <c r="Z2635">
        <v>0</v>
      </c>
      <c r="AA2635">
        <v>9</v>
      </c>
      <c r="AB2635">
        <v>3</v>
      </c>
      <c r="AC2635">
        <v>0</v>
      </c>
      <c r="AD2635">
        <v>10</v>
      </c>
      <c r="AE2635">
        <v>0</v>
      </c>
      <c r="AF2635">
        <v>3</v>
      </c>
      <c r="AG2635">
        <v>2</v>
      </c>
      <c r="AH2635">
        <v>0</v>
      </c>
      <c r="AI2635" t="s">
        <v>5386</v>
      </c>
      <c r="AJ2635">
        <v>40.164771000000002</v>
      </c>
      <c r="AK2635" t="s">
        <v>5387</v>
      </c>
      <c r="AL2635">
        <v>-75.324646999999999</v>
      </c>
      <c r="AM2635">
        <v>100</v>
      </c>
      <c r="AN2635">
        <v>3900</v>
      </c>
      <c r="AO2635" t="s">
        <v>115</v>
      </c>
      <c r="AP2635">
        <v>146</v>
      </c>
      <c r="AQ2635">
        <v>135</v>
      </c>
      <c r="AR2635">
        <v>-384</v>
      </c>
      <c r="AZ2635">
        <v>3614</v>
      </c>
      <c r="BA2635">
        <v>1</v>
      </c>
      <c r="BB2635" t="str">
        <f t="shared" si="125"/>
        <v xml:space="preserve">N959MJ  </v>
      </c>
      <c r="BC2635">
        <v>1</v>
      </c>
      <c r="BE2635">
        <v>0</v>
      </c>
      <c r="BF2635">
        <v>0</v>
      </c>
      <c r="BG2635">
        <v>0</v>
      </c>
      <c r="BH2635">
        <v>4125</v>
      </c>
      <c r="BI2635">
        <v>225</v>
      </c>
      <c r="BJ2635">
        <v>1</v>
      </c>
      <c r="BK2635">
        <v>1</v>
      </c>
      <c r="BL2635">
        <v>1</v>
      </c>
      <c r="BM2635">
        <v>0</v>
      </c>
      <c r="BP2635">
        <v>0</v>
      </c>
      <c r="BQ2635">
        <v>0</v>
      </c>
      <c r="BX2635" t="str">
        <f>"14:34:15.984"</f>
        <v>14:34:15.984</v>
      </c>
      <c r="BY2635" t="str">
        <f>"987182087"</f>
        <v>987182087</v>
      </c>
      <c r="CL2635">
        <v>0</v>
      </c>
      <c r="CM2635">
        <v>2</v>
      </c>
      <c r="CN2635">
        <v>0</v>
      </c>
      <c r="CO2635">
        <v>2</v>
      </c>
      <c r="CP2635">
        <v>0</v>
      </c>
      <c r="CQ2635">
        <v>7</v>
      </c>
      <c r="CR2635" t="s">
        <v>116</v>
      </c>
      <c r="CS2635">
        <v>39</v>
      </c>
      <c r="CT2635">
        <v>0</v>
      </c>
      <c r="CU2635" t="s">
        <v>2259</v>
      </c>
      <c r="CV2635" t="s">
        <v>2260</v>
      </c>
      <c r="CY2635">
        <v>2178130</v>
      </c>
      <c r="CZ2635" t="s">
        <v>119</v>
      </c>
    </row>
    <row r="2636" spans="1:104" x14ac:dyDescent="0.25">
      <c r="A2636" t="str">
        <f>"14:34:17.188"</f>
        <v>14:34:17.188</v>
      </c>
      <c r="B2636" t="s">
        <v>108</v>
      </c>
      <c r="C2636" t="str">
        <f t="shared" si="124"/>
        <v>ffdfd3c0</v>
      </c>
      <c r="D2636" t="s">
        <v>109</v>
      </c>
      <c r="E2636">
        <v>4</v>
      </c>
      <c r="F2636">
        <v>1004</v>
      </c>
      <c r="G2636" t="s">
        <v>110</v>
      </c>
      <c r="J2636" t="s">
        <v>111</v>
      </c>
      <c r="K2636">
        <v>0</v>
      </c>
      <c r="L2636">
        <v>3</v>
      </c>
      <c r="M2636">
        <v>0</v>
      </c>
      <c r="N2636">
        <v>2</v>
      </c>
      <c r="O2636">
        <v>1</v>
      </c>
      <c r="P2636">
        <v>0</v>
      </c>
      <c r="Q2636">
        <v>0</v>
      </c>
      <c r="R2636" t="s">
        <v>112</v>
      </c>
      <c r="S2636" t="str">
        <f>"14:34:16.984"</f>
        <v>14:34:16.984</v>
      </c>
      <c r="T2636" t="str">
        <f>"14:34:16.484"</f>
        <v>14:34:16.484</v>
      </c>
      <c r="U2636" t="str">
        <f t="shared" si="123"/>
        <v>ad5732</v>
      </c>
      <c r="V2636">
        <v>0</v>
      </c>
      <c r="W2636">
        <v>0</v>
      </c>
      <c r="X2636">
        <v>1</v>
      </c>
      <c r="Z2636">
        <v>0</v>
      </c>
      <c r="AA2636">
        <v>9</v>
      </c>
      <c r="AB2636">
        <v>3</v>
      </c>
      <c r="AC2636">
        <v>0</v>
      </c>
      <c r="AD2636">
        <v>10</v>
      </c>
      <c r="AE2636">
        <v>0</v>
      </c>
      <c r="AF2636">
        <v>3</v>
      </c>
      <c r="AG2636">
        <v>2</v>
      </c>
      <c r="AH2636">
        <v>0</v>
      </c>
      <c r="AI2636" t="s">
        <v>5388</v>
      </c>
      <c r="AJ2636">
        <v>40.165415000000003</v>
      </c>
      <c r="AK2636" t="s">
        <v>5389</v>
      </c>
      <c r="AL2636">
        <v>-75.323789000000005</v>
      </c>
      <c r="AM2636">
        <v>100</v>
      </c>
      <c r="AN2636">
        <v>3900</v>
      </c>
      <c r="AO2636" t="s">
        <v>115</v>
      </c>
      <c r="AP2636">
        <v>146</v>
      </c>
      <c r="AQ2636">
        <v>134</v>
      </c>
      <c r="AR2636">
        <v>-384</v>
      </c>
      <c r="AZ2636">
        <v>3614</v>
      </c>
      <c r="BA2636">
        <v>1</v>
      </c>
      <c r="BB2636" t="str">
        <f t="shared" si="125"/>
        <v xml:space="preserve">N959MJ  </v>
      </c>
      <c r="BC2636">
        <v>1</v>
      </c>
      <c r="BE2636">
        <v>0</v>
      </c>
      <c r="BF2636">
        <v>0</v>
      </c>
      <c r="BG2636">
        <v>0</v>
      </c>
      <c r="BH2636">
        <v>4125</v>
      </c>
      <c r="BI2636">
        <v>225</v>
      </c>
      <c r="BJ2636">
        <v>1</v>
      </c>
      <c r="BK2636">
        <v>1</v>
      </c>
      <c r="BL2636">
        <v>1</v>
      </c>
      <c r="BM2636">
        <v>0</v>
      </c>
      <c r="BP2636">
        <v>0</v>
      </c>
      <c r="BQ2636">
        <v>0</v>
      </c>
      <c r="BX2636" t="str">
        <f>"14:34:16.984"</f>
        <v>14:34:16.984</v>
      </c>
      <c r="BY2636" t="str">
        <f>"988262183"</f>
        <v>988262183</v>
      </c>
      <c r="CL2636">
        <v>0</v>
      </c>
      <c r="CM2636">
        <v>2</v>
      </c>
      <c r="CN2636">
        <v>0</v>
      </c>
      <c r="CO2636">
        <v>2</v>
      </c>
      <c r="CP2636">
        <v>0</v>
      </c>
      <c r="CQ2636">
        <v>7</v>
      </c>
      <c r="CR2636" t="s">
        <v>116</v>
      </c>
      <c r="CS2636">
        <v>39</v>
      </c>
      <c r="CT2636">
        <v>0</v>
      </c>
      <c r="CU2636" t="s">
        <v>2259</v>
      </c>
      <c r="CV2636" t="s">
        <v>2260</v>
      </c>
      <c r="CY2636">
        <v>2179731</v>
      </c>
      <c r="CZ2636" t="s">
        <v>119</v>
      </c>
    </row>
    <row r="2637" spans="1:104" x14ac:dyDescent="0.25">
      <c r="A2637" t="str">
        <f>"14:34:18.344"</f>
        <v>14:34:18.344</v>
      </c>
      <c r="B2637" t="s">
        <v>108</v>
      </c>
      <c r="C2637" t="str">
        <f t="shared" si="124"/>
        <v>ffdfd3c0</v>
      </c>
      <c r="D2637" t="s">
        <v>109</v>
      </c>
      <c r="E2637">
        <v>4</v>
      </c>
      <c r="F2637">
        <v>1004</v>
      </c>
      <c r="G2637" t="s">
        <v>110</v>
      </c>
      <c r="J2637" t="s">
        <v>111</v>
      </c>
      <c r="K2637">
        <v>0</v>
      </c>
      <c r="L2637">
        <v>3</v>
      </c>
      <c r="M2637">
        <v>0</v>
      </c>
      <c r="N2637">
        <v>2</v>
      </c>
      <c r="O2637">
        <v>1</v>
      </c>
      <c r="P2637">
        <v>0</v>
      </c>
      <c r="Q2637">
        <v>0</v>
      </c>
      <c r="R2637" t="s">
        <v>112</v>
      </c>
      <c r="S2637" t="str">
        <f>"14:34:18.141"</f>
        <v>14:34:18.141</v>
      </c>
      <c r="T2637" t="str">
        <f>"14:34:17.641"</f>
        <v>14:34:17.641</v>
      </c>
      <c r="U2637" t="str">
        <f t="shared" si="123"/>
        <v>ad5732</v>
      </c>
      <c r="V2637">
        <v>0</v>
      </c>
      <c r="W2637">
        <v>0</v>
      </c>
      <c r="X2637">
        <v>1</v>
      </c>
      <c r="Z2637">
        <v>0</v>
      </c>
      <c r="AA2637">
        <v>9</v>
      </c>
      <c r="AB2637">
        <v>3</v>
      </c>
      <c r="AC2637">
        <v>0</v>
      </c>
      <c r="AD2637">
        <v>10</v>
      </c>
      <c r="AE2637">
        <v>0</v>
      </c>
      <c r="AF2637">
        <v>3</v>
      </c>
      <c r="AG2637">
        <v>2</v>
      </c>
      <c r="AH2637">
        <v>0</v>
      </c>
      <c r="AI2637" t="s">
        <v>5390</v>
      </c>
      <c r="AJ2637">
        <v>40.166144000000003</v>
      </c>
      <c r="AK2637" t="s">
        <v>5391</v>
      </c>
      <c r="AL2637">
        <v>-75.322759000000005</v>
      </c>
      <c r="AM2637">
        <v>100</v>
      </c>
      <c r="AN2637">
        <v>3900</v>
      </c>
      <c r="AO2637" t="s">
        <v>115</v>
      </c>
      <c r="AP2637">
        <v>145</v>
      </c>
      <c r="AQ2637">
        <v>134</v>
      </c>
      <c r="AR2637">
        <v>-384</v>
      </c>
      <c r="AZ2637">
        <v>3614</v>
      </c>
      <c r="BA2637">
        <v>1</v>
      </c>
      <c r="BB2637" t="str">
        <f t="shared" si="125"/>
        <v xml:space="preserve">N959MJ  </v>
      </c>
      <c r="BC2637">
        <v>1</v>
      </c>
      <c r="BE2637">
        <v>0</v>
      </c>
      <c r="BF2637">
        <v>0</v>
      </c>
      <c r="BG2637">
        <v>0</v>
      </c>
      <c r="BH2637">
        <v>4125</v>
      </c>
      <c r="BI2637">
        <v>225</v>
      </c>
      <c r="BJ2637">
        <v>1</v>
      </c>
      <c r="BK2637">
        <v>1</v>
      </c>
      <c r="BL2637">
        <v>1</v>
      </c>
      <c r="BM2637">
        <v>0</v>
      </c>
      <c r="BP2637">
        <v>0</v>
      </c>
      <c r="BQ2637">
        <v>0</v>
      </c>
      <c r="BX2637" t="str">
        <f>"14:34:18.148"</f>
        <v>14:34:18.148</v>
      </c>
      <c r="BY2637" t="str">
        <f>"146631516"</f>
        <v>146631516</v>
      </c>
      <c r="CL2637">
        <v>0</v>
      </c>
      <c r="CM2637">
        <v>2</v>
      </c>
      <c r="CN2637">
        <v>0</v>
      </c>
      <c r="CO2637">
        <v>2</v>
      </c>
      <c r="CP2637">
        <v>0</v>
      </c>
      <c r="CQ2637">
        <v>7</v>
      </c>
      <c r="CR2637" t="s">
        <v>116</v>
      </c>
      <c r="CS2637">
        <v>39</v>
      </c>
      <c r="CT2637">
        <v>0</v>
      </c>
      <c r="CU2637" t="s">
        <v>2259</v>
      </c>
      <c r="CV2637" t="s">
        <v>2260</v>
      </c>
      <c r="CY2637">
        <v>2181590</v>
      </c>
      <c r="CZ2637" t="s">
        <v>119</v>
      </c>
    </row>
    <row r="2638" spans="1:104" x14ac:dyDescent="0.25">
      <c r="A2638" t="str">
        <f>"14:34:19.305"</f>
        <v>14:34:19.305</v>
      </c>
      <c r="B2638" t="s">
        <v>108</v>
      </c>
      <c r="C2638" t="str">
        <f t="shared" si="124"/>
        <v>ffdfd3c0</v>
      </c>
      <c r="D2638" t="s">
        <v>109</v>
      </c>
      <c r="E2638">
        <v>4</v>
      </c>
      <c r="F2638">
        <v>1004</v>
      </c>
      <c r="G2638" t="s">
        <v>110</v>
      </c>
      <c r="J2638" t="s">
        <v>111</v>
      </c>
      <c r="K2638">
        <v>0</v>
      </c>
      <c r="L2638">
        <v>3</v>
      </c>
      <c r="M2638">
        <v>0</v>
      </c>
      <c r="N2638">
        <v>2</v>
      </c>
      <c r="O2638">
        <v>1</v>
      </c>
      <c r="P2638">
        <v>0</v>
      </c>
      <c r="Q2638">
        <v>0</v>
      </c>
      <c r="R2638" t="s">
        <v>112</v>
      </c>
      <c r="S2638" t="str">
        <f>"14:34:19.109"</f>
        <v>14:34:19.109</v>
      </c>
      <c r="T2638" t="str">
        <f>"14:34:18.609"</f>
        <v>14:34:18.609</v>
      </c>
      <c r="U2638" t="str">
        <f t="shared" si="123"/>
        <v>ad5732</v>
      </c>
      <c r="V2638">
        <v>0</v>
      </c>
      <c r="W2638">
        <v>0</v>
      </c>
      <c r="X2638">
        <v>1</v>
      </c>
      <c r="Z2638">
        <v>0</v>
      </c>
      <c r="AA2638">
        <v>9</v>
      </c>
      <c r="AB2638">
        <v>3</v>
      </c>
      <c r="AC2638">
        <v>0</v>
      </c>
      <c r="AD2638">
        <v>10</v>
      </c>
      <c r="AE2638">
        <v>0</v>
      </c>
      <c r="AF2638">
        <v>3</v>
      </c>
      <c r="AG2638">
        <v>2</v>
      </c>
      <c r="AH2638">
        <v>0</v>
      </c>
      <c r="AI2638" t="s">
        <v>5392</v>
      </c>
      <c r="AJ2638">
        <v>40.166787999999997</v>
      </c>
      <c r="AK2638" t="s">
        <v>5393</v>
      </c>
      <c r="AL2638">
        <v>-75.321900999999997</v>
      </c>
      <c r="AM2638">
        <v>100</v>
      </c>
      <c r="AN2638">
        <v>3900</v>
      </c>
      <c r="AO2638" t="s">
        <v>115</v>
      </c>
      <c r="AP2638">
        <v>145</v>
      </c>
      <c r="AQ2638">
        <v>134</v>
      </c>
      <c r="AR2638">
        <v>-320</v>
      </c>
      <c r="AZ2638">
        <v>3614</v>
      </c>
      <c r="BA2638">
        <v>1</v>
      </c>
      <c r="BB2638" t="str">
        <f t="shared" si="125"/>
        <v xml:space="preserve">N959MJ  </v>
      </c>
      <c r="BC2638">
        <v>1</v>
      </c>
      <c r="BE2638">
        <v>0</v>
      </c>
      <c r="BF2638">
        <v>0</v>
      </c>
      <c r="BG2638">
        <v>0</v>
      </c>
      <c r="BH2638">
        <v>4100</v>
      </c>
      <c r="BI2638">
        <v>200</v>
      </c>
      <c r="BJ2638">
        <v>1</v>
      </c>
      <c r="BK2638">
        <v>1</v>
      </c>
      <c r="BL2638">
        <v>1</v>
      </c>
      <c r="BM2638">
        <v>0</v>
      </c>
      <c r="BP2638">
        <v>0</v>
      </c>
      <c r="BQ2638">
        <v>0</v>
      </c>
      <c r="BX2638" t="str">
        <f>"14:34:19.117"</f>
        <v>14:34:19.117</v>
      </c>
      <c r="BY2638" t="str">
        <f>"114942979"</f>
        <v>114942979</v>
      </c>
      <c r="CL2638">
        <v>0</v>
      </c>
      <c r="CM2638">
        <v>2</v>
      </c>
      <c r="CN2638">
        <v>0</v>
      </c>
      <c r="CO2638">
        <v>2</v>
      </c>
      <c r="CP2638">
        <v>0</v>
      </c>
      <c r="CQ2638">
        <v>7</v>
      </c>
      <c r="CR2638" t="s">
        <v>116</v>
      </c>
      <c r="CS2638">
        <v>39</v>
      </c>
      <c r="CT2638">
        <v>0</v>
      </c>
      <c r="CU2638" t="s">
        <v>2259</v>
      </c>
      <c r="CV2638" t="s">
        <v>2260</v>
      </c>
      <c r="CY2638">
        <v>2183113</v>
      </c>
      <c r="CZ2638" t="s">
        <v>119</v>
      </c>
    </row>
    <row r="2639" spans="1:104" x14ac:dyDescent="0.25">
      <c r="A2639" t="str">
        <f>"14:34:20.266"</f>
        <v>14:34:20.266</v>
      </c>
      <c r="B2639" t="s">
        <v>108</v>
      </c>
      <c r="C2639" t="str">
        <f t="shared" si="124"/>
        <v>ffdfd3c0</v>
      </c>
      <c r="D2639" t="s">
        <v>109</v>
      </c>
      <c r="E2639">
        <v>4</v>
      </c>
      <c r="F2639">
        <v>1004</v>
      </c>
      <c r="G2639" t="s">
        <v>110</v>
      </c>
      <c r="J2639" t="s">
        <v>111</v>
      </c>
      <c r="K2639">
        <v>0</v>
      </c>
      <c r="L2639">
        <v>3</v>
      </c>
      <c r="M2639">
        <v>0</v>
      </c>
      <c r="N2639">
        <v>2</v>
      </c>
      <c r="O2639">
        <v>1</v>
      </c>
      <c r="P2639">
        <v>0</v>
      </c>
      <c r="Q2639">
        <v>0</v>
      </c>
      <c r="R2639" t="s">
        <v>112</v>
      </c>
      <c r="S2639" t="str">
        <f>"14:34:20.055"</f>
        <v>14:34:20.055</v>
      </c>
      <c r="T2639" t="str">
        <f>"14:34:19.656"</f>
        <v>14:34:19.656</v>
      </c>
      <c r="U2639" t="str">
        <f t="shared" si="123"/>
        <v>ad5732</v>
      </c>
      <c r="V2639">
        <v>0</v>
      </c>
      <c r="W2639">
        <v>0</v>
      </c>
      <c r="X2639">
        <v>1</v>
      </c>
      <c r="Z2639">
        <v>0</v>
      </c>
      <c r="AA2639">
        <v>9</v>
      </c>
      <c r="AB2639">
        <v>3</v>
      </c>
      <c r="AC2639">
        <v>0</v>
      </c>
      <c r="AD2639">
        <v>10</v>
      </c>
      <c r="AE2639">
        <v>0</v>
      </c>
      <c r="AF2639">
        <v>3</v>
      </c>
      <c r="AG2639">
        <v>2</v>
      </c>
      <c r="AH2639">
        <v>0</v>
      </c>
      <c r="AI2639" t="s">
        <v>5394</v>
      </c>
      <c r="AJ2639">
        <v>40.167366999999999</v>
      </c>
      <c r="AK2639" t="s">
        <v>5395</v>
      </c>
      <c r="AL2639">
        <v>-75.321084999999997</v>
      </c>
      <c r="AM2639">
        <v>100</v>
      </c>
      <c r="AN2639">
        <v>3900</v>
      </c>
      <c r="AO2639" t="s">
        <v>115</v>
      </c>
      <c r="AP2639">
        <v>145</v>
      </c>
      <c r="AQ2639">
        <v>134</v>
      </c>
      <c r="AR2639">
        <v>-256</v>
      </c>
      <c r="AZ2639">
        <v>3614</v>
      </c>
      <c r="BA2639">
        <v>1</v>
      </c>
      <c r="BB2639" t="str">
        <f t="shared" si="125"/>
        <v xml:space="preserve">N959MJ  </v>
      </c>
      <c r="BC2639">
        <v>1</v>
      </c>
      <c r="BE2639">
        <v>0</v>
      </c>
      <c r="BF2639">
        <v>0</v>
      </c>
      <c r="BG2639">
        <v>0</v>
      </c>
      <c r="BH2639">
        <v>4100</v>
      </c>
      <c r="BI2639">
        <v>200</v>
      </c>
      <c r="BJ2639">
        <v>1</v>
      </c>
      <c r="BK2639">
        <v>1</v>
      </c>
      <c r="BL2639">
        <v>1</v>
      </c>
      <c r="BM2639">
        <v>0</v>
      </c>
      <c r="BP2639">
        <v>0</v>
      </c>
      <c r="BQ2639">
        <v>0</v>
      </c>
      <c r="BX2639" t="str">
        <f>"14:34:20.063"</f>
        <v>14:34:20.063</v>
      </c>
      <c r="BY2639" t="str">
        <f>"061954915"</f>
        <v>061954915</v>
      </c>
      <c r="CL2639">
        <v>0</v>
      </c>
      <c r="CM2639">
        <v>2</v>
      </c>
      <c r="CN2639">
        <v>0</v>
      </c>
      <c r="CO2639">
        <v>2</v>
      </c>
      <c r="CP2639">
        <v>0</v>
      </c>
      <c r="CQ2639">
        <v>7</v>
      </c>
      <c r="CR2639" t="s">
        <v>116</v>
      </c>
      <c r="CS2639">
        <v>39</v>
      </c>
      <c r="CT2639">
        <v>0</v>
      </c>
      <c r="CU2639" t="s">
        <v>2259</v>
      </c>
      <c r="CV2639" t="s">
        <v>2260</v>
      </c>
      <c r="CY2639">
        <v>2184469</v>
      </c>
      <c r="CZ2639" t="s">
        <v>119</v>
      </c>
    </row>
    <row r="2640" spans="1:104" x14ac:dyDescent="0.25">
      <c r="A2640" t="str">
        <f>"14:34:21.273"</f>
        <v>14:34:21.273</v>
      </c>
      <c r="B2640" t="s">
        <v>108</v>
      </c>
      <c r="C2640" t="str">
        <f t="shared" si="124"/>
        <v>ffdfd3c0</v>
      </c>
      <c r="D2640" t="s">
        <v>109</v>
      </c>
      <c r="E2640">
        <v>4</v>
      </c>
      <c r="F2640">
        <v>1004</v>
      </c>
      <c r="G2640" t="s">
        <v>110</v>
      </c>
      <c r="J2640" t="s">
        <v>111</v>
      </c>
      <c r="K2640">
        <v>0</v>
      </c>
      <c r="L2640">
        <v>3</v>
      </c>
      <c r="M2640">
        <v>0</v>
      </c>
      <c r="N2640">
        <v>2</v>
      </c>
      <c r="O2640">
        <v>1</v>
      </c>
      <c r="P2640">
        <v>0</v>
      </c>
      <c r="Q2640">
        <v>0</v>
      </c>
      <c r="R2640" t="s">
        <v>112</v>
      </c>
      <c r="S2640" t="str">
        <f>"14:34:21.094"</f>
        <v>14:34:21.094</v>
      </c>
      <c r="T2640" t="str">
        <f>"14:34:20.695"</f>
        <v>14:34:20.695</v>
      </c>
      <c r="U2640" t="str">
        <f t="shared" si="123"/>
        <v>ad5732</v>
      </c>
      <c r="V2640">
        <v>0</v>
      </c>
      <c r="W2640">
        <v>0</v>
      </c>
      <c r="X2640">
        <v>1</v>
      </c>
      <c r="Z2640">
        <v>0</v>
      </c>
      <c r="AA2640">
        <v>9</v>
      </c>
      <c r="AB2640">
        <v>3</v>
      </c>
      <c r="AC2640">
        <v>0</v>
      </c>
      <c r="AD2640">
        <v>10</v>
      </c>
      <c r="AE2640">
        <v>0</v>
      </c>
      <c r="AF2640">
        <v>3</v>
      </c>
      <c r="AG2640">
        <v>2</v>
      </c>
      <c r="AH2640">
        <v>0</v>
      </c>
      <c r="AI2640" t="s">
        <v>5396</v>
      </c>
      <c r="AJ2640">
        <v>40.167968000000002</v>
      </c>
      <c r="AK2640" t="s">
        <v>5397</v>
      </c>
      <c r="AL2640">
        <v>-75.320205999999999</v>
      </c>
      <c r="AM2640">
        <v>100</v>
      </c>
      <c r="AN2640">
        <v>3900</v>
      </c>
      <c r="AO2640" t="s">
        <v>115</v>
      </c>
      <c r="AP2640">
        <v>144</v>
      </c>
      <c r="AQ2640">
        <v>134</v>
      </c>
      <c r="AR2640">
        <v>-320</v>
      </c>
      <c r="AZ2640">
        <v>3614</v>
      </c>
      <c r="BA2640">
        <v>1</v>
      </c>
      <c r="BB2640" t="str">
        <f t="shared" si="125"/>
        <v xml:space="preserve">N959MJ  </v>
      </c>
      <c r="BC2640">
        <v>1</v>
      </c>
      <c r="BE2640">
        <v>0</v>
      </c>
      <c r="BF2640">
        <v>0</v>
      </c>
      <c r="BG2640">
        <v>0</v>
      </c>
      <c r="BH2640">
        <v>4100</v>
      </c>
      <c r="BI2640">
        <v>200</v>
      </c>
      <c r="BJ2640">
        <v>1</v>
      </c>
      <c r="BK2640">
        <v>1</v>
      </c>
      <c r="BL2640">
        <v>1</v>
      </c>
      <c r="BM2640">
        <v>0</v>
      </c>
      <c r="BP2640">
        <v>0</v>
      </c>
      <c r="BQ2640">
        <v>0</v>
      </c>
      <c r="BX2640" t="str">
        <f>"14:34:21.102"</f>
        <v>14:34:21.102</v>
      </c>
      <c r="BY2640" t="str">
        <f>"099080442"</f>
        <v>099080442</v>
      </c>
      <c r="CL2640">
        <v>0</v>
      </c>
      <c r="CM2640">
        <v>2</v>
      </c>
      <c r="CN2640">
        <v>0</v>
      </c>
      <c r="CO2640">
        <v>2</v>
      </c>
      <c r="CP2640">
        <v>0</v>
      </c>
      <c r="CQ2640">
        <v>7</v>
      </c>
      <c r="CR2640" t="s">
        <v>116</v>
      </c>
      <c r="CS2640">
        <v>39</v>
      </c>
      <c r="CT2640">
        <v>0</v>
      </c>
      <c r="CU2640" t="s">
        <v>2259</v>
      </c>
      <c r="CV2640" t="s">
        <v>2260</v>
      </c>
      <c r="CY2640">
        <v>2186062</v>
      </c>
      <c r="CZ2640" t="s">
        <v>119</v>
      </c>
    </row>
    <row r="2641" spans="1:104" x14ac:dyDescent="0.25">
      <c r="A2641" t="str">
        <f>"14:34:22.133"</f>
        <v>14:34:22.133</v>
      </c>
      <c r="B2641" t="s">
        <v>108</v>
      </c>
      <c r="C2641" t="str">
        <f t="shared" si="124"/>
        <v>ffdfd3c0</v>
      </c>
      <c r="D2641" t="s">
        <v>109</v>
      </c>
      <c r="E2641">
        <v>4</v>
      </c>
      <c r="F2641">
        <v>1004</v>
      </c>
      <c r="G2641" t="s">
        <v>110</v>
      </c>
      <c r="J2641" t="s">
        <v>111</v>
      </c>
      <c r="K2641">
        <v>0</v>
      </c>
      <c r="L2641">
        <v>3</v>
      </c>
      <c r="M2641">
        <v>0</v>
      </c>
      <c r="N2641">
        <v>2</v>
      </c>
      <c r="O2641">
        <v>1</v>
      </c>
      <c r="P2641">
        <v>0</v>
      </c>
      <c r="Q2641">
        <v>0</v>
      </c>
      <c r="R2641" t="s">
        <v>112</v>
      </c>
      <c r="S2641" t="str">
        <f>"14:34:21.953"</f>
        <v>14:34:21.953</v>
      </c>
      <c r="T2641" t="str">
        <f>"14:34:21.555"</f>
        <v>14:34:21.555</v>
      </c>
      <c r="U2641" t="str">
        <f t="shared" si="123"/>
        <v>ad5732</v>
      </c>
      <c r="V2641">
        <v>0</v>
      </c>
      <c r="W2641">
        <v>0</v>
      </c>
      <c r="X2641">
        <v>1</v>
      </c>
      <c r="Z2641">
        <v>0</v>
      </c>
      <c r="AA2641">
        <v>9</v>
      </c>
      <c r="AB2641">
        <v>3</v>
      </c>
      <c r="AC2641">
        <v>0</v>
      </c>
      <c r="AD2641">
        <v>10</v>
      </c>
      <c r="AE2641">
        <v>0</v>
      </c>
      <c r="AF2641">
        <v>3</v>
      </c>
      <c r="AG2641">
        <v>2</v>
      </c>
      <c r="AH2641">
        <v>0</v>
      </c>
      <c r="AI2641" t="s">
        <v>5398</v>
      </c>
      <c r="AJ2641">
        <v>40.168526</v>
      </c>
      <c r="AK2641" t="s">
        <v>5399</v>
      </c>
      <c r="AL2641">
        <v>-75.319389999999999</v>
      </c>
      <c r="AM2641">
        <v>100</v>
      </c>
      <c r="AN2641">
        <v>3900</v>
      </c>
      <c r="AO2641" t="s">
        <v>115</v>
      </c>
      <c r="AP2641">
        <v>144</v>
      </c>
      <c r="AQ2641">
        <v>133</v>
      </c>
      <c r="AR2641">
        <v>-320</v>
      </c>
      <c r="AZ2641">
        <v>3614</v>
      </c>
      <c r="BA2641">
        <v>1</v>
      </c>
      <c r="BB2641" t="str">
        <f t="shared" si="125"/>
        <v xml:space="preserve">N959MJ  </v>
      </c>
      <c r="BC2641">
        <v>1</v>
      </c>
      <c r="BE2641">
        <v>0</v>
      </c>
      <c r="BF2641">
        <v>0</v>
      </c>
      <c r="BG2641">
        <v>0</v>
      </c>
      <c r="BH2641">
        <v>4100</v>
      </c>
      <c r="BI2641">
        <v>200</v>
      </c>
      <c r="BJ2641">
        <v>1</v>
      </c>
      <c r="BK2641">
        <v>1</v>
      </c>
      <c r="BL2641">
        <v>1</v>
      </c>
      <c r="BM2641">
        <v>0</v>
      </c>
      <c r="BP2641">
        <v>0</v>
      </c>
      <c r="BQ2641">
        <v>0</v>
      </c>
      <c r="BX2641" t="str">
        <f>"14:34:21.953"</f>
        <v>14:34:21.953</v>
      </c>
      <c r="BY2641" t="str">
        <f>"954340379"</f>
        <v>954340379</v>
      </c>
      <c r="CL2641">
        <v>0</v>
      </c>
      <c r="CM2641">
        <v>2</v>
      </c>
      <c r="CN2641">
        <v>0</v>
      </c>
      <c r="CO2641">
        <v>2</v>
      </c>
      <c r="CP2641">
        <v>0</v>
      </c>
      <c r="CQ2641">
        <v>7</v>
      </c>
      <c r="CR2641" t="s">
        <v>116</v>
      </c>
      <c r="CS2641">
        <v>39</v>
      </c>
      <c r="CT2641">
        <v>0</v>
      </c>
      <c r="CU2641" t="s">
        <v>2259</v>
      </c>
      <c r="CV2641" t="s">
        <v>2260</v>
      </c>
      <c r="CY2641">
        <v>2187378</v>
      </c>
      <c r="CZ2641" t="s">
        <v>119</v>
      </c>
    </row>
    <row r="2642" spans="1:104" x14ac:dyDescent="0.25">
      <c r="A2642" t="str">
        <f>"14:34:23.195"</f>
        <v>14:34:23.195</v>
      </c>
      <c r="B2642" t="s">
        <v>108</v>
      </c>
      <c r="C2642" t="str">
        <f t="shared" si="124"/>
        <v>ffdfd3c0</v>
      </c>
      <c r="D2642" t="s">
        <v>109</v>
      </c>
      <c r="E2642">
        <v>4</v>
      </c>
      <c r="F2642">
        <v>1004</v>
      </c>
      <c r="G2642" t="s">
        <v>110</v>
      </c>
      <c r="J2642" t="s">
        <v>111</v>
      </c>
      <c r="K2642">
        <v>0</v>
      </c>
      <c r="L2642">
        <v>3</v>
      </c>
      <c r="M2642">
        <v>0</v>
      </c>
      <c r="N2642">
        <v>2</v>
      </c>
      <c r="O2642">
        <v>1</v>
      </c>
      <c r="P2642">
        <v>0</v>
      </c>
      <c r="Q2642">
        <v>0</v>
      </c>
      <c r="R2642" t="s">
        <v>112</v>
      </c>
      <c r="S2642" t="str">
        <f>"14:34:22.992"</f>
        <v>14:34:22.992</v>
      </c>
      <c r="T2642" t="str">
        <f>"14:34:22.492"</f>
        <v>14:34:22.492</v>
      </c>
      <c r="U2642" t="str">
        <f t="shared" si="123"/>
        <v>ad5732</v>
      </c>
      <c r="V2642">
        <v>0</v>
      </c>
      <c r="W2642">
        <v>0</v>
      </c>
      <c r="X2642">
        <v>1</v>
      </c>
      <c r="Z2642">
        <v>0</v>
      </c>
      <c r="AA2642">
        <v>9</v>
      </c>
      <c r="AB2642">
        <v>3</v>
      </c>
      <c r="AC2642">
        <v>0</v>
      </c>
      <c r="AD2642">
        <v>10</v>
      </c>
      <c r="AE2642">
        <v>0</v>
      </c>
      <c r="AF2642">
        <v>3</v>
      </c>
      <c r="AG2642">
        <v>2</v>
      </c>
      <c r="AH2642">
        <v>0</v>
      </c>
      <c r="AI2642" t="s">
        <v>5400</v>
      </c>
      <c r="AJ2642">
        <v>40.169127000000003</v>
      </c>
      <c r="AK2642" t="s">
        <v>5401</v>
      </c>
      <c r="AL2642">
        <v>-75.318532000000005</v>
      </c>
      <c r="AM2642">
        <v>100</v>
      </c>
      <c r="AN2642">
        <v>3900</v>
      </c>
      <c r="AO2642" t="s">
        <v>115</v>
      </c>
      <c r="AP2642">
        <v>144</v>
      </c>
      <c r="AQ2642">
        <v>133</v>
      </c>
      <c r="AR2642">
        <v>-384</v>
      </c>
      <c r="AZ2642">
        <v>3614</v>
      </c>
      <c r="BA2642">
        <v>1</v>
      </c>
      <c r="BB2642" t="str">
        <f t="shared" si="125"/>
        <v xml:space="preserve">N959MJ  </v>
      </c>
      <c r="BC2642">
        <v>1</v>
      </c>
      <c r="BE2642">
        <v>0</v>
      </c>
      <c r="BF2642">
        <v>0</v>
      </c>
      <c r="BG2642">
        <v>0</v>
      </c>
      <c r="BH2642">
        <v>4100</v>
      </c>
      <c r="BI2642">
        <v>200</v>
      </c>
      <c r="BJ2642">
        <v>1</v>
      </c>
      <c r="BK2642">
        <v>1</v>
      </c>
      <c r="BL2642">
        <v>1</v>
      </c>
      <c r="BM2642">
        <v>0</v>
      </c>
      <c r="BP2642">
        <v>0</v>
      </c>
      <c r="BQ2642">
        <v>0</v>
      </c>
      <c r="BX2642" t="str">
        <f>"14:34:22.992"</f>
        <v>14:34:22.992</v>
      </c>
      <c r="BY2642" t="str">
        <f>"994742746"</f>
        <v>994742746</v>
      </c>
      <c r="CL2642">
        <v>0</v>
      </c>
      <c r="CM2642">
        <v>2</v>
      </c>
      <c r="CN2642">
        <v>0</v>
      </c>
      <c r="CO2642">
        <v>2</v>
      </c>
      <c r="CP2642">
        <v>0</v>
      </c>
      <c r="CQ2642">
        <v>7</v>
      </c>
      <c r="CR2642" t="s">
        <v>116</v>
      </c>
      <c r="CS2642">
        <v>39</v>
      </c>
      <c r="CT2642">
        <v>0</v>
      </c>
      <c r="CU2642" t="s">
        <v>2259</v>
      </c>
      <c r="CV2642" t="s">
        <v>2260</v>
      </c>
      <c r="CY2642">
        <v>2189115</v>
      </c>
      <c r="CZ2642" t="s">
        <v>119</v>
      </c>
    </row>
    <row r="2643" spans="1:104" x14ac:dyDescent="0.25">
      <c r="A2643" t="str">
        <f>"14:34:24.148"</f>
        <v>14:34:24.148</v>
      </c>
      <c r="B2643" t="s">
        <v>108</v>
      </c>
      <c r="C2643" t="str">
        <f t="shared" si="124"/>
        <v>ffdfd3c0</v>
      </c>
      <c r="D2643" t="s">
        <v>109</v>
      </c>
      <c r="E2643">
        <v>4</v>
      </c>
      <c r="F2643">
        <v>1004</v>
      </c>
      <c r="G2643" t="s">
        <v>110</v>
      </c>
      <c r="J2643" t="s">
        <v>111</v>
      </c>
      <c r="K2643">
        <v>0</v>
      </c>
      <c r="L2643">
        <v>3</v>
      </c>
      <c r="M2643">
        <v>0</v>
      </c>
      <c r="N2643">
        <v>2</v>
      </c>
      <c r="O2643">
        <v>1</v>
      </c>
      <c r="P2643">
        <v>0</v>
      </c>
      <c r="Q2643">
        <v>0</v>
      </c>
      <c r="R2643" t="s">
        <v>112</v>
      </c>
      <c r="S2643" t="str">
        <f>"14:34:23.977"</f>
        <v>14:34:23.977</v>
      </c>
      <c r="T2643" t="str">
        <f>"14:34:23.578"</f>
        <v>14:34:23.578</v>
      </c>
      <c r="U2643" t="str">
        <f t="shared" si="123"/>
        <v>ad5732</v>
      </c>
      <c r="V2643">
        <v>0</v>
      </c>
      <c r="W2643">
        <v>0</v>
      </c>
      <c r="X2643">
        <v>1</v>
      </c>
      <c r="Z2643">
        <v>0</v>
      </c>
      <c r="AA2643">
        <v>9</v>
      </c>
      <c r="AB2643">
        <v>3</v>
      </c>
      <c r="AC2643">
        <v>0</v>
      </c>
      <c r="AD2643">
        <v>10</v>
      </c>
      <c r="AE2643">
        <v>0</v>
      </c>
      <c r="AF2643">
        <v>3</v>
      </c>
      <c r="AG2643">
        <v>2</v>
      </c>
      <c r="AH2643">
        <v>0</v>
      </c>
      <c r="AI2643" t="s">
        <v>5402</v>
      </c>
      <c r="AJ2643">
        <v>40.169727999999999</v>
      </c>
      <c r="AK2643" t="s">
        <v>5403</v>
      </c>
      <c r="AL2643">
        <v>-75.317695000000001</v>
      </c>
      <c r="AM2643">
        <v>100</v>
      </c>
      <c r="AN2643">
        <v>3900</v>
      </c>
      <c r="AO2643" t="s">
        <v>115</v>
      </c>
      <c r="AP2643">
        <v>144</v>
      </c>
      <c r="AQ2643">
        <v>133</v>
      </c>
      <c r="AR2643">
        <v>-320</v>
      </c>
      <c r="AZ2643">
        <v>3614</v>
      </c>
      <c r="BA2643">
        <v>1</v>
      </c>
      <c r="BB2643" t="str">
        <f t="shared" si="125"/>
        <v xml:space="preserve">N959MJ  </v>
      </c>
      <c r="BC2643">
        <v>1</v>
      </c>
      <c r="BE2643">
        <v>0</v>
      </c>
      <c r="BF2643">
        <v>0</v>
      </c>
      <c r="BG2643">
        <v>0</v>
      </c>
      <c r="BH2643">
        <v>4075</v>
      </c>
      <c r="BI2643">
        <v>175</v>
      </c>
      <c r="BJ2643">
        <v>1</v>
      </c>
      <c r="BK2643">
        <v>1</v>
      </c>
      <c r="BL2643">
        <v>1</v>
      </c>
      <c r="BM2643">
        <v>0</v>
      </c>
      <c r="BP2643">
        <v>0</v>
      </c>
      <c r="BQ2643">
        <v>0</v>
      </c>
      <c r="BX2643" t="str">
        <f>"14:34:23.977"</f>
        <v>14:34:23.977</v>
      </c>
      <c r="BY2643" t="str">
        <f>"977800136"</f>
        <v>977800136</v>
      </c>
      <c r="CL2643">
        <v>0</v>
      </c>
      <c r="CM2643">
        <v>2</v>
      </c>
      <c r="CN2643">
        <v>0</v>
      </c>
      <c r="CO2643">
        <v>2</v>
      </c>
      <c r="CP2643">
        <v>0</v>
      </c>
      <c r="CQ2643">
        <v>7</v>
      </c>
      <c r="CR2643" t="s">
        <v>116</v>
      </c>
      <c r="CS2643">
        <v>39</v>
      </c>
      <c r="CT2643">
        <v>0</v>
      </c>
      <c r="CU2643" t="s">
        <v>2259</v>
      </c>
      <c r="CV2643" t="s">
        <v>2260</v>
      </c>
      <c r="CY2643">
        <v>2190698</v>
      </c>
      <c r="CZ2643" t="s">
        <v>119</v>
      </c>
    </row>
    <row r="2644" spans="1:104" x14ac:dyDescent="0.25">
      <c r="A2644" t="str">
        <f>"14:34:25.313"</f>
        <v>14:34:25.313</v>
      </c>
      <c r="B2644" t="s">
        <v>108</v>
      </c>
      <c r="C2644" t="str">
        <f t="shared" si="124"/>
        <v>ffdfd3c0</v>
      </c>
      <c r="D2644" t="s">
        <v>109</v>
      </c>
      <c r="E2644">
        <v>4</v>
      </c>
      <c r="F2644">
        <v>1004</v>
      </c>
      <c r="G2644" t="s">
        <v>110</v>
      </c>
      <c r="J2644" t="s">
        <v>111</v>
      </c>
      <c r="K2644">
        <v>0</v>
      </c>
      <c r="L2644">
        <v>3</v>
      </c>
      <c r="M2644">
        <v>0</v>
      </c>
      <c r="N2644">
        <v>2</v>
      </c>
      <c r="O2644">
        <v>1</v>
      </c>
      <c r="P2644">
        <v>0</v>
      </c>
      <c r="Q2644">
        <v>0</v>
      </c>
      <c r="R2644" t="s">
        <v>112</v>
      </c>
      <c r="S2644" t="str">
        <f>"14:34:25.125"</f>
        <v>14:34:25.125</v>
      </c>
      <c r="T2644" t="str">
        <f>"14:34:24.625"</f>
        <v>14:34:24.625</v>
      </c>
      <c r="U2644" t="str">
        <f t="shared" si="123"/>
        <v>ad5732</v>
      </c>
      <c r="V2644">
        <v>0</v>
      </c>
      <c r="W2644">
        <v>0</v>
      </c>
      <c r="X2644">
        <v>1</v>
      </c>
      <c r="Z2644">
        <v>0</v>
      </c>
      <c r="AA2644">
        <v>9</v>
      </c>
      <c r="AB2644">
        <v>3</v>
      </c>
      <c r="AC2644">
        <v>0</v>
      </c>
      <c r="AD2644">
        <v>10</v>
      </c>
      <c r="AE2644">
        <v>0</v>
      </c>
      <c r="AF2644">
        <v>3</v>
      </c>
      <c r="AG2644">
        <v>2</v>
      </c>
      <c r="AH2644">
        <v>0</v>
      </c>
      <c r="AI2644" t="s">
        <v>5404</v>
      </c>
      <c r="AJ2644">
        <v>40.170456999999999</v>
      </c>
      <c r="AK2644" t="s">
        <v>5405</v>
      </c>
      <c r="AL2644">
        <v>-75.316643999999997</v>
      </c>
      <c r="AM2644">
        <v>100</v>
      </c>
      <c r="AN2644">
        <v>3900</v>
      </c>
      <c r="AO2644" t="s">
        <v>115</v>
      </c>
      <c r="AP2644">
        <v>143</v>
      </c>
      <c r="AQ2644">
        <v>133</v>
      </c>
      <c r="AR2644">
        <v>-320</v>
      </c>
      <c r="AZ2644">
        <v>3614</v>
      </c>
      <c r="BA2644">
        <v>1</v>
      </c>
      <c r="BB2644" t="str">
        <f t="shared" si="125"/>
        <v xml:space="preserve">N959MJ  </v>
      </c>
      <c r="BC2644">
        <v>1</v>
      </c>
      <c r="BE2644">
        <v>0</v>
      </c>
      <c r="BF2644">
        <v>0</v>
      </c>
      <c r="BG2644">
        <v>0</v>
      </c>
      <c r="BH2644">
        <v>4075</v>
      </c>
      <c r="BI2644">
        <v>175</v>
      </c>
      <c r="BJ2644">
        <v>1</v>
      </c>
      <c r="BK2644">
        <v>1</v>
      </c>
      <c r="BL2644">
        <v>1</v>
      </c>
      <c r="BM2644">
        <v>0</v>
      </c>
      <c r="BP2644">
        <v>0</v>
      </c>
      <c r="BQ2644">
        <v>0</v>
      </c>
      <c r="BX2644" t="str">
        <f>"14:34:25.125"</f>
        <v>14:34:25.125</v>
      </c>
      <c r="BY2644" t="str">
        <f>"126338877"</f>
        <v>126338877</v>
      </c>
      <c r="CL2644">
        <v>0</v>
      </c>
      <c r="CM2644">
        <v>2</v>
      </c>
      <c r="CN2644">
        <v>0</v>
      </c>
      <c r="CO2644">
        <v>2</v>
      </c>
      <c r="CP2644">
        <v>0</v>
      </c>
      <c r="CQ2644">
        <v>6</v>
      </c>
      <c r="CR2644" t="s">
        <v>116</v>
      </c>
      <c r="CS2644">
        <v>39</v>
      </c>
      <c r="CT2644">
        <v>0</v>
      </c>
      <c r="CU2644" t="s">
        <v>2259</v>
      </c>
      <c r="CV2644" t="s">
        <v>2260</v>
      </c>
      <c r="CY2644">
        <v>2192400</v>
      </c>
      <c r="CZ2644" t="s">
        <v>119</v>
      </c>
    </row>
    <row r="2645" spans="1:104" x14ac:dyDescent="0.25">
      <c r="A2645" t="str">
        <f>"14:34:26.328"</f>
        <v>14:34:26.328</v>
      </c>
      <c r="B2645" t="s">
        <v>108</v>
      </c>
      <c r="C2645" t="str">
        <f t="shared" si="124"/>
        <v>ffdfd3c0</v>
      </c>
      <c r="D2645" t="s">
        <v>109</v>
      </c>
      <c r="E2645">
        <v>4</v>
      </c>
      <c r="F2645">
        <v>1004</v>
      </c>
      <c r="G2645" t="s">
        <v>110</v>
      </c>
      <c r="J2645" t="s">
        <v>111</v>
      </c>
      <c r="K2645">
        <v>0</v>
      </c>
      <c r="L2645">
        <v>3</v>
      </c>
      <c r="M2645">
        <v>0</v>
      </c>
      <c r="N2645">
        <v>2</v>
      </c>
      <c r="O2645">
        <v>1</v>
      </c>
      <c r="P2645">
        <v>0</v>
      </c>
      <c r="Q2645">
        <v>0</v>
      </c>
      <c r="R2645" t="s">
        <v>112</v>
      </c>
      <c r="S2645" t="str">
        <f>"14:34:26.141"</f>
        <v>14:34:26.141</v>
      </c>
      <c r="T2645" t="str">
        <f>"14:34:25.641"</f>
        <v>14:34:25.641</v>
      </c>
      <c r="U2645" t="str">
        <f t="shared" si="123"/>
        <v>ad5732</v>
      </c>
      <c r="V2645">
        <v>0</v>
      </c>
      <c r="W2645">
        <v>0</v>
      </c>
      <c r="X2645">
        <v>1</v>
      </c>
      <c r="Z2645">
        <v>0</v>
      </c>
      <c r="AA2645">
        <v>9</v>
      </c>
      <c r="AB2645">
        <v>3</v>
      </c>
      <c r="AC2645">
        <v>0</v>
      </c>
      <c r="AD2645">
        <v>10</v>
      </c>
      <c r="AE2645">
        <v>0</v>
      </c>
      <c r="AF2645">
        <v>3</v>
      </c>
      <c r="AG2645">
        <v>2</v>
      </c>
      <c r="AH2645">
        <v>0</v>
      </c>
      <c r="AI2645" t="s">
        <v>5406</v>
      </c>
      <c r="AJ2645">
        <v>40.171101</v>
      </c>
      <c r="AK2645" t="s">
        <v>5407</v>
      </c>
      <c r="AL2645">
        <v>-75.315785000000005</v>
      </c>
      <c r="AM2645">
        <v>100</v>
      </c>
      <c r="AN2645">
        <v>3900</v>
      </c>
      <c r="AO2645" t="s">
        <v>115</v>
      </c>
      <c r="AP2645">
        <v>143</v>
      </c>
      <c r="AQ2645">
        <v>133</v>
      </c>
      <c r="AR2645">
        <v>-320</v>
      </c>
      <c r="AZ2645">
        <v>3614</v>
      </c>
      <c r="BA2645">
        <v>1</v>
      </c>
      <c r="BB2645" t="str">
        <f t="shared" si="125"/>
        <v xml:space="preserve">N959MJ  </v>
      </c>
      <c r="BC2645">
        <v>1</v>
      </c>
      <c r="BE2645">
        <v>0</v>
      </c>
      <c r="BF2645">
        <v>0</v>
      </c>
      <c r="BG2645">
        <v>0</v>
      </c>
      <c r="BH2645">
        <v>4075</v>
      </c>
      <c r="BI2645">
        <v>175</v>
      </c>
      <c r="BJ2645">
        <v>1</v>
      </c>
      <c r="BK2645">
        <v>1</v>
      </c>
      <c r="BL2645">
        <v>1</v>
      </c>
      <c r="BM2645">
        <v>0</v>
      </c>
      <c r="BP2645">
        <v>0</v>
      </c>
      <c r="BQ2645">
        <v>0</v>
      </c>
      <c r="BX2645" t="str">
        <f>"14:34:26.141"</f>
        <v>14:34:26.141</v>
      </c>
      <c r="BY2645" t="str">
        <f>"143803210"</f>
        <v>143803210</v>
      </c>
      <c r="CL2645">
        <v>0</v>
      </c>
      <c r="CM2645">
        <v>2</v>
      </c>
      <c r="CN2645">
        <v>0</v>
      </c>
      <c r="CO2645">
        <v>2</v>
      </c>
      <c r="CP2645">
        <v>0</v>
      </c>
      <c r="CQ2645">
        <v>7</v>
      </c>
      <c r="CR2645" t="s">
        <v>116</v>
      </c>
      <c r="CS2645">
        <v>39</v>
      </c>
      <c r="CT2645">
        <v>0</v>
      </c>
      <c r="CU2645" t="s">
        <v>2259</v>
      </c>
      <c r="CV2645" t="s">
        <v>2260</v>
      </c>
      <c r="CY2645">
        <v>2193803</v>
      </c>
      <c r="CZ2645" t="s">
        <v>119</v>
      </c>
    </row>
    <row r="2646" spans="1:104" x14ac:dyDescent="0.25">
      <c r="A2646" t="str">
        <f>"14:34:27.180"</f>
        <v>14:34:27.180</v>
      </c>
      <c r="B2646" t="s">
        <v>108</v>
      </c>
      <c r="C2646" t="str">
        <f t="shared" si="124"/>
        <v>ffdfd3c0</v>
      </c>
      <c r="D2646" t="s">
        <v>109</v>
      </c>
      <c r="E2646">
        <v>4</v>
      </c>
      <c r="F2646">
        <v>1004</v>
      </c>
      <c r="G2646" t="s">
        <v>110</v>
      </c>
      <c r="J2646" t="s">
        <v>111</v>
      </c>
      <c r="K2646">
        <v>0</v>
      </c>
      <c r="L2646">
        <v>3</v>
      </c>
      <c r="M2646">
        <v>0</v>
      </c>
      <c r="N2646">
        <v>2</v>
      </c>
      <c r="O2646">
        <v>1</v>
      </c>
      <c r="P2646">
        <v>0</v>
      </c>
      <c r="Q2646">
        <v>0</v>
      </c>
      <c r="R2646" t="s">
        <v>112</v>
      </c>
      <c r="S2646" t="str">
        <f>"14:34:27.008"</f>
        <v>14:34:27.008</v>
      </c>
      <c r="T2646" t="str">
        <f>"14:34:26.609"</f>
        <v>14:34:26.609</v>
      </c>
      <c r="U2646" t="str">
        <f t="shared" si="123"/>
        <v>ad5732</v>
      </c>
      <c r="V2646">
        <v>0</v>
      </c>
      <c r="W2646">
        <v>0</v>
      </c>
      <c r="X2646">
        <v>1</v>
      </c>
      <c r="Z2646">
        <v>0</v>
      </c>
      <c r="AA2646">
        <v>9</v>
      </c>
      <c r="AB2646">
        <v>3</v>
      </c>
      <c r="AC2646">
        <v>0</v>
      </c>
      <c r="AD2646">
        <v>10</v>
      </c>
      <c r="AE2646">
        <v>0</v>
      </c>
      <c r="AF2646">
        <v>3</v>
      </c>
      <c r="AG2646">
        <v>2</v>
      </c>
      <c r="AH2646">
        <v>0</v>
      </c>
      <c r="AI2646" t="s">
        <v>5408</v>
      </c>
      <c r="AJ2646">
        <v>40.171595000000003</v>
      </c>
      <c r="AK2646" t="s">
        <v>5409</v>
      </c>
      <c r="AL2646">
        <v>-75.315055999999998</v>
      </c>
      <c r="AM2646">
        <v>100</v>
      </c>
      <c r="AN2646">
        <v>3900</v>
      </c>
      <c r="AO2646" t="s">
        <v>115</v>
      </c>
      <c r="AP2646">
        <v>143</v>
      </c>
      <c r="AQ2646">
        <v>132</v>
      </c>
      <c r="AR2646">
        <v>-320</v>
      </c>
      <c r="AZ2646">
        <v>3614</v>
      </c>
      <c r="BA2646">
        <v>1</v>
      </c>
      <c r="BB2646" t="str">
        <f t="shared" si="125"/>
        <v xml:space="preserve">N959MJ  </v>
      </c>
      <c r="BC2646">
        <v>1</v>
      </c>
      <c r="BE2646">
        <v>0</v>
      </c>
      <c r="BF2646">
        <v>0</v>
      </c>
      <c r="BG2646">
        <v>0</v>
      </c>
      <c r="BH2646">
        <v>4075</v>
      </c>
      <c r="BI2646">
        <v>175</v>
      </c>
      <c r="BJ2646">
        <v>1</v>
      </c>
      <c r="BK2646">
        <v>1</v>
      </c>
      <c r="BL2646">
        <v>1</v>
      </c>
      <c r="BM2646">
        <v>0</v>
      </c>
      <c r="BP2646">
        <v>0</v>
      </c>
      <c r="BQ2646">
        <v>0</v>
      </c>
      <c r="BX2646" t="str">
        <f>"14:34:27.008"</f>
        <v>14:34:27.008</v>
      </c>
      <c r="BY2646" t="str">
        <f>"008893699"</f>
        <v>008893699</v>
      </c>
      <c r="CL2646">
        <v>0</v>
      </c>
      <c r="CM2646">
        <v>2</v>
      </c>
      <c r="CN2646">
        <v>0</v>
      </c>
      <c r="CO2646">
        <v>2</v>
      </c>
      <c r="CP2646">
        <v>0</v>
      </c>
      <c r="CQ2646">
        <v>7</v>
      </c>
      <c r="CR2646" t="s">
        <v>116</v>
      </c>
      <c r="CS2646">
        <v>39</v>
      </c>
      <c r="CT2646">
        <v>0</v>
      </c>
      <c r="CU2646" t="s">
        <v>2259</v>
      </c>
      <c r="CV2646" t="s">
        <v>2260</v>
      </c>
      <c r="CY2646">
        <v>2195192</v>
      </c>
      <c r="CZ2646" t="s">
        <v>119</v>
      </c>
    </row>
    <row r="2647" spans="1:104" x14ac:dyDescent="0.25">
      <c r="A2647" t="str">
        <f>"14:34:28.188"</f>
        <v>14:34:28.188</v>
      </c>
      <c r="B2647" t="s">
        <v>108</v>
      </c>
      <c r="C2647" t="str">
        <f t="shared" si="124"/>
        <v>ffdfd3c0</v>
      </c>
      <c r="D2647" t="s">
        <v>109</v>
      </c>
      <c r="E2647">
        <v>4</v>
      </c>
      <c r="F2647">
        <v>1004</v>
      </c>
      <c r="G2647" t="s">
        <v>110</v>
      </c>
      <c r="J2647" t="s">
        <v>111</v>
      </c>
      <c r="K2647">
        <v>0</v>
      </c>
      <c r="L2647">
        <v>3</v>
      </c>
      <c r="M2647">
        <v>0</v>
      </c>
      <c r="N2647">
        <v>2</v>
      </c>
      <c r="O2647">
        <v>1</v>
      </c>
      <c r="P2647">
        <v>0</v>
      </c>
      <c r="Q2647">
        <v>0</v>
      </c>
      <c r="R2647" t="s">
        <v>112</v>
      </c>
      <c r="S2647" t="str">
        <f>"14:34:27.977"</f>
        <v>14:34:27.977</v>
      </c>
      <c r="T2647" t="str">
        <f>"14:34:27.578"</f>
        <v>14:34:27.578</v>
      </c>
      <c r="U2647" t="str">
        <f t="shared" si="123"/>
        <v>ad5732</v>
      </c>
      <c r="V2647">
        <v>0</v>
      </c>
      <c r="W2647">
        <v>0</v>
      </c>
      <c r="X2647">
        <v>1</v>
      </c>
      <c r="Z2647">
        <v>0</v>
      </c>
      <c r="AA2647">
        <v>9</v>
      </c>
      <c r="AB2647">
        <v>3</v>
      </c>
      <c r="AC2647">
        <v>0</v>
      </c>
      <c r="AD2647">
        <v>10</v>
      </c>
      <c r="AE2647">
        <v>0</v>
      </c>
      <c r="AF2647">
        <v>3</v>
      </c>
      <c r="AG2647">
        <v>2</v>
      </c>
      <c r="AH2647">
        <v>0</v>
      </c>
      <c r="AI2647" t="s">
        <v>5410</v>
      </c>
      <c r="AJ2647">
        <v>40.172195000000002</v>
      </c>
      <c r="AK2647" t="s">
        <v>5411</v>
      </c>
      <c r="AL2647">
        <v>-75.314218999999994</v>
      </c>
      <c r="AM2647">
        <v>100</v>
      </c>
      <c r="AN2647">
        <v>3900</v>
      </c>
      <c r="AO2647" t="s">
        <v>115</v>
      </c>
      <c r="AP2647">
        <v>143</v>
      </c>
      <c r="AQ2647">
        <v>132</v>
      </c>
      <c r="AR2647">
        <v>-320</v>
      </c>
      <c r="AZ2647">
        <v>3614</v>
      </c>
      <c r="BA2647">
        <v>1</v>
      </c>
      <c r="BB2647" t="str">
        <f t="shared" si="125"/>
        <v xml:space="preserve">N959MJ  </v>
      </c>
      <c r="BC2647">
        <v>1</v>
      </c>
      <c r="BE2647">
        <v>0</v>
      </c>
      <c r="BF2647">
        <v>0</v>
      </c>
      <c r="BG2647">
        <v>0</v>
      </c>
      <c r="BH2647">
        <v>4075</v>
      </c>
      <c r="BI2647">
        <v>175</v>
      </c>
      <c r="BJ2647">
        <v>1</v>
      </c>
      <c r="BK2647">
        <v>1</v>
      </c>
      <c r="BL2647">
        <v>1</v>
      </c>
      <c r="BM2647">
        <v>0</v>
      </c>
      <c r="BP2647">
        <v>0</v>
      </c>
      <c r="BQ2647">
        <v>0</v>
      </c>
      <c r="BX2647" t="str">
        <f>"14:34:27.984"</f>
        <v>14:34:27.984</v>
      </c>
      <c r="BY2647" t="str">
        <f>"982120504"</f>
        <v>982120504</v>
      </c>
      <c r="CL2647">
        <v>0</v>
      </c>
      <c r="CM2647">
        <v>2</v>
      </c>
      <c r="CN2647">
        <v>0</v>
      </c>
      <c r="CO2647">
        <v>2</v>
      </c>
      <c r="CP2647">
        <v>0</v>
      </c>
      <c r="CQ2647">
        <v>7</v>
      </c>
      <c r="CR2647" t="s">
        <v>116</v>
      </c>
      <c r="CS2647">
        <v>39</v>
      </c>
      <c r="CT2647">
        <v>0</v>
      </c>
      <c r="CU2647" t="s">
        <v>2259</v>
      </c>
      <c r="CV2647" t="s">
        <v>2260</v>
      </c>
      <c r="CY2647">
        <v>2196744</v>
      </c>
      <c r="CZ2647" t="s">
        <v>119</v>
      </c>
    </row>
    <row r="2648" spans="1:104" x14ac:dyDescent="0.25">
      <c r="A2648" t="str">
        <f>"14:34:29.297"</f>
        <v>14:34:29.297</v>
      </c>
      <c r="B2648" t="s">
        <v>108</v>
      </c>
      <c r="C2648" t="str">
        <f t="shared" si="124"/>
        <v>ffdfd3c0</v>
      </c>
      <c r="D2648" t="s">
        <v>109</v>
      </c>
      <c r="E2648">
        <v>4</v>
      </c>
      <c r="F2648">
        <v>1004</v>
      </c>
      <c r="G2648" t="s">
        <v>110</v>
      </c>
      <c r="J2648" t="s">
        <v>111</v>
      </c>
      <c r="K2648">
        <v>0</v>
      </c>
      <c r="L2648">
        <v>3</v>
      </c>
      <c r="M2648">
        <v>0</v>
      </c>
      <c r="N2648">
        <v>2</v>
      </c>
      <c r="O2648">
        <v>1</v>
      </c>
      <c r="P2648">
        <v>0</v>
      </c>
      <c r="Q2648">
        <v>0</v>
      </c>
      <c r="R2648" t="s">
        <v>112</v>
      </c>
      <c r="S2648" t="str">
        <f>"14:34:29.117"</f>
        <v>14:34:29.117</v>
      </c>
      <c r="T2648" t="str">
        <f>"14:34:28.617"</f>
        <v>14:34:28.617</v>
      </c>
      <c r="U2648" t="str">
        <f t="shared" si="123"/>
        <v>ad5732</v>
      </c>
      <c r="V2648">
        <v>0</v>
      </c>
      <c r="W2648">
        <v>0</v>
      </c>
      <c r="X2648">
        <v>1</v>
      </c>
      <c r="Z2648">
        <v>0</v>
      </c>
      <c r="AA2648">
        <v>9</v>
      </c>
      <c r="AB2648">
        <v>3</v>
      </c>
      <c r="AC2648">
        <v>0</v>
      </c>
      <c r="AD2648">
        <v>10</v>
      </c>
      <c r="AE2648">
        <v>0</v>
      </c>
      <c r="AF2648">
        <v>3</v>
      </c>
      <c r="AG2648">
        <v>2</v>
      </c>
      <c r="AH2648">
        <v>0</v>
      </c>
      <c r="AI2648" t="s">
        <v>5412</v>
      </c>
      <c r="AJ2648">
        <v>40.172924999999999</v>
      </c>
      <c r="AK2648" t="s">
        <v>5413</v>
      </c>
      <c r="AL2648">
        <v>-75.313231999999999</v>
      </c>
      <c r="AM2648">
        <v>100</v>
      </c>
      <c r="AN2648">
        <v>3800</v>
      </c>
      <c r="AO2648" t="s">
        <v>115</v>
      </c>
      <c r="AP2648">
        <v>142</v>
      </c>
      <c r="AQ2648">
        <v>132</v>
      </c>
      <c r="AR2648">
        <v>-320</v>
      </c>
      <c r="AZ2648">
        <v>3614</v>
      </c>
      <c r="BA2648">
        <v>1</v>
      </c>
      <c r="BB2648" t="str">
        <f t="shared" si="125"/>
        <v xml:space="preserve">N959MJ  </v>
      </c>
      <c r="BC2648">
        <v>1</v>
      </c>
      <c r="BE2648">
        <v>0</v>
      </c>
      <c r="BF2648">
        <v>0</v>
      </c>
      <c r="BG2648">
        <v>0</v>
      </c>
      <c r="BH2648">
        <v>4050</v>
      </c>
      <c r="BI2648">
        <v>250</v>
      </c>
      <c r="BJ2648">
        <v>1</v>
      </c>
      <c r="BK2648">
        <v>1</v>
      </c>
      <c r="BL2648">
        <v>1</v>
      </c>
      <c r="BM2648">
        <v>0</v>
      </c>
      <c r="BP2648">
        <v>0</v>
      </c>
      <c r="BQ2648">
        <v>0</v>
      </c>
      <c r="BX2648" t="str">
        <f>"14:34:29.117"</f>
        <v>14:34:29.117</v>
      </c>
      <c r="BY2648" t="str">
        <f>"120828631"</f>
        <v>120828631</v>
      </c>
      <c r="CL2648">
        <v>0</v>
      </c>
      <c r="CM2648">
        <v>2</v>
      </c>
      <c r="CN2648">
        <v>0</v>
      </c>
      <c r="CO2648">
        <v>2</v>
      </c>
      <c r="CP2648">
        <v>0</v>
      </c>
      <c r="CQ2648">
        <v>7</v>
      </c>
      <c r="CR2648" t="s">
        <v>116</v>
      </c>
      <c r="CS2648">
        <v>39</v>
      </c>
      <c r="CT2648">
        <v>0</v>
      </c>
      <c r="CU2648" t="s">
        <v>2259</v>
      </c>
      <c r="CV2648" t="s">
        <v>2260</v>
      </c>
      <c r="CY2648">
        <v>2198516</v>
      </c>
      <c r="CZ2648" t="s">
        <v>119</v>
      </c>
    </row>
    <row r="2649" spans="1:104" x14ac:dyDescent="0.25">
      <c r="A2649" t="str">
        <f>"14:34:30.414"</f>
        <v>14:34:30.414</v>
      </c>
      <c r="B2649" t="s">
        <v>108</v>
      </c>
      <c r="C2649" t="str">
        <f t="shared" si="124"/>
        <v>ffdfd3c0</v>
      </c>
      <c r="D2649" t="s">
        <v>109</v>
      </c>
      <c r="E2649">
        <v>4</v>
      </c>
      <c r="F2649">
        <v>1004</v>
      </c>
      <c r="G2649" t="s">
        <v>110</v>
      </c>
      <c r="J2649" t="s">
        <v>111</v>
      </c>
      <c r="K2649">
        <v>0</v>
      </c>
      <c r="L2649">
        <v>3</v>
      </c>
      <c r="M2649">
        <v>0</v>
      </c>
      <c r="N2649">
        <v>2</v>
      </c>
      <c r="O2649">
        <v>1</v>
      </c>
      <c r="P2649">
        <v>0</v>
      </c>
      <c r="Q2649">
        <v>0</v>
      </c>
      <c r="R2649" t="s">
        <v>112</v>
      </c>
      <c r="S2649" t="str">
        <f>"14:34:30.242"</f>
        <v>14:34:30.242</v>
      </c>
      <c r="T2649" t="str">
        <f>"14:34:29.742"</f>
        <v>14:34:29.742</v>
      </c>
      <c r="U2649" t="str">
        <f t="shared" si="123"/>
        <v>ad5732</v>
      </c>
      <c r="V2649">
        <v>0</v>
      </c>
      <c r="W2649">
        <v>0</v>
      </c>
      <c r="X2649">
        <v>1</v>
      </c>
      <c r="Z2649">
        <v>0</v>
      </c>
      <c r="AA2649">
        <v>9</v>
      </c>
      <c r="AB2649">
        <v>3</v>
      </c>
      <c r="AC2649">
        <v>0</v>
      </c>
      <c r="AD2649">
        <v>10</v>
      </c>
      <c r="AE2649">
        <v>0</v>
      </c>
      <c r="AF2649">
        <v>3</v>
      </c>
      <c r="AG2649">
        <v>2</v>
      </c>
      <c r="AH2649">
        <v>0</v>
      </c>
      <c r="AI2649" t="s">
        <v>5414</v>
      </c>
      <c r="AJ2649">
        <v>40.173611999999999</v>
      </c>
      <c r="AK2649" t="s">
        <v>5415</v>
      </c>
      <c r="AL2649">
        <v>-75.312223000000003</v>
      </c>
      <c r="AM2649">
        <v>100</v>
      </c>
      <c r="AN2649">
        <v>3800</v>
      </c>
      <c r="AO2649" t="s">
        <v>115</v>
      </c>
      <c r="AP2649">
        <v>142</v>
      </c>
      <c r="AQ2649">
        <v>132</v>
      </c>
      <c r="AR2649">
        <v>-320</v>
      </c>
      <c r="AZ2649">
        <v>3614</v>
      </c>
      <c r="BA2649">
        <v>1</v>
      </c>
      <c r="BB2649" t="str">
        <f t="shared" si="125"/>
        <v xml:space="preserve">N959MJ  </v>
      </c>
      <c r="BC2649">
        <v>1</v>
      </c>
      <c r="BE2649">
        <v>0</v>
      </c>
      <c r="BF2649">
        <v>0</v>
      </c>
      <c r="BG2649">
        <v>0</v>
      </c>
      <c r="BH2649">
        <v>4050</v>
      </c>
      <c r="BI2649">
        <v>250</v>
      </c>
      <c r="BJ2649">
        <v>1</v>
      </c>
      <c r="BK2649">
        <v>1</v>
      </c>
      <c r="BL2649">
        <v>1</v>
      </c>
      <c r="BM2649">
        <v>0</v>
      </c>
      <c r="BP2649">
        <v>0</v>
      </c>
      <c r="BQ2649">
        <v>0</v>
      </c>
      <c r="BX2649" t="str">
        <f>"14:34:30.250"</f>
        <v>14:34:30.250</v>
      </c>
      <c r="BY2649" t="str">
        <f>"246519720"</f>
        <v>246519720</v>
      </c>
      <c r="CL2649">
        <v>0</v>
      </c>
      <c r="CM2649">
        <v>2</v>
      </c>
      <c r="CN2649">
        <v>0</v>
      </c>
      <c r="CO2649">
        <v>2</v>
      </c>
      <c r="CP2649">
        <v>0</v>
      </c>
      <c r="CQ2649">
        <v>5</v>
      </c>
      <c r="CR2649" t="s">
        <v>116</v>
      </c>
      <c r="CS2649">
        <v>408</v>
      </c>
      <c r="CT2649">
        <v>0</v>
      </c>
      <c r="CU2649" t="s">
        <v>2317</v>
      </c>
      <c r="CV2649" t="s">
        <v>2318</v>
      </c>
      <c r="CY2649">
        <v>11994586</v>
      </c>
      <c r="CZ2649" t="s">
        <v>119</v>
      </c>
    </row>
    <row r="2650" spans="1:104" x14ac:dyDescent="0.25">
      <c r="A2650" t="str">
        <f>"14:34:31.422"</f>
        <v>14:34:31.422</v>
      </c>
      <c r="B2650" t="s">
        <v>108</v>
      </c>
      <c r="C2650" t="str">
        <f t="shared" si="124"/>
        <v>ffdfd3c0</v>
      </c>
      <c r="D2650" t="s">
        <v>109</v>
      </c>
      <c r="E2650">
        <v>4</v>
      </c>
      <c r="F2650">
        <v>1004</v>
      </c>
      <c r="G2650" t="s">
        <v>110</v>
      </c>
      <c r="J2650" t="s">
        <v>111</v>
      </c>
      <c r="K2650">
        <v>0</v>
      </c>
      <c r="L2650">
        <v>3</v>
      </c>
      <c r="M2650">
        <v>0</v>
      </c>
      <c r="N2650">
        <v>2</v>
      </c>
      <c r="O2650">
        <v>1</v>
      </c>
      <c r="P2650">
        <v>0</v>
      </c>
      <c r="Q2650">
        <v>0</v>
      </c>
      <c r="R2650" t="s">
        <v>112</v>
      </c>
      <c r="S2650" t="str">
        <f>"14:34:31.250"</f>
        <v>14:34:31.250</v>
      </c>
      <c r="T2650" t="str">
        <f>"14:34:30.852"</f>
        <v>14:34:30.852</v>
      </c>
      <c r="U2650" t="str">
        <f t="shared" si="123"/>
        <v>ad5732</v>
      </c>
      <c r="V2650">
        <v>0</v>
      </c>
      <c r="W2650">
        <v>0</v>
      </c>
      <c r="X2650">
        <v>1</v>
      </c>
      <c r="Z2650">
        <v>0</v>
      </c>
      <c r="AA2650">
        <v>9</v>
      </c>
      <c r="AB2650">
        <v>3</v>
      </c>
      <c r="AC2650">
        <v>0</v>
      </c>
      <c r="AD2650">
        <v>10</v>
      </c>
      <c r="AE2650">
        <v>0</v>
      </c>
      <c r="AF2650">
        <v>3</v>
      </c>
      <c r="AG2650">
        <v>2</v>
      </c>
      <c r="AH2650">
        <v>0</v>
      </c>
      <c r="AI2650" t="s">
        <v>5416</v>
      </c>
      <c r="AJ2650">
        <v>40.174211999999997</v>
      </c>
      <c r="AK2650" t="s">
        <v>5417</v>
      </c>
      <c r="AL2650">
        <v>-75.311408</v>
      </c>
      <c r="AM2650">
        <v>100</v>
      </c>
      <c r="AN2650">
        <v>3800</v>
      </c>
      <c r="AO2650" t="s">
        <v>115</v>
      </c>
      <c r="AP2650">
        <v>142</v>
      </c>
      <c r="AQ2650">
        <v>132</v>
      </c>
      <c r="AR2650">
        <v>-320</v>
      </c>
      <c r="AZ2650">
        <v>3614</v>
      </c>
      <c r="BA2650">
        <v>1</v>
      </c>
      <c r="BB2650" t="str">
        <f t="shared" si="125"/>
        <v xml:space="preserve">N959MJ  </v>
      </c>
      <c r="BC2650">
        <v>1</v>
      </c>
      <c r="BE2650">
        <v>0</v>
      </c>
      <c r="BF2650">
        <v>0</v>
      </c>
      <c r="BG2650">
        <v>0</v>
      </c>
      <c r="BH2650">
        <v>4050</v>
      </c>
      <c r="BI2650">
        <v>250</v>
      </c>
      <c r="BJ2650">
        <v>1</v>
      </c>
      <c r="BK2650">
        <v>1</v>
      </c>
      <c r="BL2650">
        <v>1</v>
      </c>
      <c r="BM2650">
        <v>0</v>
      </c>
      <c r="BP2650">
        <v>0</v>
      </c>
      <c r="BQ2650">
        <v>0</v>
      </c>
      <c r="BX2650" t="str">
        <f>"14:34:31.250"</f>
        <v>14:34:31.250</v>
      </c>
      <c r="BY2650" t="str">
        <f>"252424690"</f>
        <v>252424690</v>
      </c>
      <c r="CL2650">
        <v>0</v>
      </c>
      <c r="CM2650">
        <v>2</v>
      </c>
      <c r="CN2650">
        <v>0</v>
      </c>
      <c r="CO2650">
        <v>2</v>
      </c>
      <c r="CP2650">
        <v>0</v>
      </c>
      <c r="CQ2650">
        <v>7</v>
      </c>
      <c r="CR2650" t="s">
        <v>116</v>
      </c>
      <c r="CS2650">
        <v>39</v>
      </c>
      <c r="CT2650">
        <v>0</v>
      </c>
      <c r="CU2650" t="s">
        <v>2259</v>
      </c>
      <c r="CV2650" t="s">
        <v>2260</v>
      </c>
      <c r="CY2650">
        <v>2201694</v>
      </c>
      <c r="CZ2650" t="s">
        <v>119</v>
      </c>
    </row>
    <row r="2651" spans="1:104" x14ac:dyDescent="0.25">
      <c r="A2651" t="str">
        <f>"14:34:32.430"</f>
        <v>14:34:32.430</v>
      </c>
      <c r="B2651" t="s">
        <v>108</v>
      </c>
      <c r="C2651" t="str">
        <f t="shared" si="124"/>
        <v>ffdfd3c0</v>
      </c>
      <c r="D2651" t="s">
        <v>109</v>
      </c>
      <c r="E2651">
        <v>4</v>
      </c>
      <c r="F2651">
        <v>1004</v>
      </c>
      <c r="G2651" t="s">
        <v>110</v>
      </c>
      <c r="J2651" t="s">
        <v>111</v>
      </c>
      <c r="K2651">
        <v>0</v>
      </c>
      <c r="L2651">
        <v>3</v>
      </c>
      <c r="M2651">
        <v>0</v>
      </c>
      <c r="N2651">
        <v>2</v>
      </c>
      <c r="O2651">
        <v>1</v>
      </c>
      <c r="P2651">
        <v>0</v>
      </c>
      <c r="Q2651">
        <v>0</v>
      </c>
      <c r="R2651" t="s">
        <v>112</v>
      </c>
      <c r="S2651" t="str">
        <f>"14:34:32.250"</f>
        <v>14:34:32.250</v>
      </c>
      <c r="T2651" t="str">
        <f>"14:34:31.852"</f>
        <v>14:34:31.852</v>
      </c>
      <c r="U2651" t="str">
        <f t="shared" si="123"/>
        <v>ad5732</v>
      </c>
      <c r="V2651">
        <v>0</v>
      </c>
      <c r="W2651">
        <v>0</v>
      </c>
      <c r="X2651">
        <v>1</v>
      </c>
      <c r="Z2651">
        <v>0</v>
      </c>
      <c r="AA2651">
        <v>9</v>
      </c>
      <c r="AB2651">
        <v>3</v>
      </c>
      <c r="AC2651">
        <v>0</v>
      </c>
      <c r="AD2651">
        <v>10</v>
      </c>
      <c r="AE2651">
        <v>0</v>
      </c>
      <c r="AF2651">
        <v>3</v>
      </c>
      <c r="AG2651">
        <v>2</v>
      </c>
      <c r="AH2651">
        <v>0</v>
      </c>
      <c r="AI2651" t="s">
        <v>5418</v>
      </c>
      <c r="AJ2651">
        <v>40.174813</v>
      </c>
      <c r="AK2651" t="s">
        <v>5419</v>
      </c>
      <c r="AL2651">
        <v>-75.310528000000005</v>
      </c>
      <c r="AM2651">
        <v>100</v>
      </c>
      <c r="AN2651">
        <v>3800</v>
      </c>
      <c r="AO2651" t="s">
        <v>115</v>
      </c>
      <c r="AP2651">
        <v>141</v>
      </c>
      <c r="AQ2651">
        <v>132</v>
      </c>
      <c r="AR2651">
        <v>-384</v>
      </c>
      <c r="AZ2651">
        <v>3614</v>
      </c>
      <c r="BA2651">
        <v>1</v>
      </c>
      <c r="BB2651" t="str">
        <f t="shared" si="125"/>
        <v xml:space="preserve">N959MJ  </v>
      </c>
      <c r="BC2651">
        <v>1</v>
      </c>
      <c r="BE2651">
        <v>0</v>
      </c>
      <c r="BF2651">
        <v>0</v>
      </c>
      <c r="BG2651">
        <v>0</v>
      </c>
      <c r="BH2651">
        <v>4050</v>
      </c>
      <c r="BI2651">
        <v>250</v>
      </c>
      <c r="BJ2651">
        <v>1</v>
      </c>
      <c r="BK2651">
        <v>1</v>
      </c>
      <c r="BL2651">
        <v>1</v>
      </c>
      <c r="BM2651">
        <v>0</v>
      </c>
      <c r="BP2651">
        <v>0</v>
      </c>
      <c r="BQ2651">
        <v>0</v>
      </c>
      <c r="BX2651" t="str">
        <f>"14:34:32.250"</f>
        <v>14:34:32.250</v>
      </c>
      <c r="BY2651" t="str">
        <f>"251866451"</f>
        <v>251866451</v>
      </c>
      <c r="CL2651">
        <v>0</v>
      </c>
      <c r="CM2651">
        <v>2</v>
      </c>
      <c r="CN2651">
        <v>0</v>
      </c>
      <c r="CO2651">
        <v>2</v>
      </c>
      <c r="CP2651">
        <v>0</v>
      </c>
      <c r="CQ2651">
        <v>6</v>
      </c>
      <c r="CR2651" t="s">
        <v>116</v>
      </c>
      <c r="CS2651">
        <v>39</v>
      </c>
      <c r="CT2651">
        <v>0</v>
      </c>
      <c r="CU2651" t="s">
        <v>2259</v>
      </c>
      <c r="CV2651" t="s">
        <v>2260</v>
      </c>
      <c r="CY2651">
        <v>2203231</v>
      </c>
      <c r="CZ2651" t="s">
        <v>119</v>
      </c>
    </row>
    <row r="2652" spans="1:104" x14ac:dyDescent="0.25">
      <c r="A2652" t="str">
        <f>"14:34:33.492"</f>
        <v>14:34:33.492</v>
      </c>
      <c r="B2652" t="s">
        <v>108</v>
      </c>
      <c r="C2652" t="str">
        <f t="shared" si="124"/>
        <v>ffdfd3c0</v>
      </c>
      <c r="D2652" t="s">
        <v>109</v>
      </c>
      <c r="E2652">
        <v>4</v>
      </c>
      <c r="F2652">
        <v>1004</v>
      </c>
      <c r="G2652" t="s">
        <v>110</v>
      </c>
      <c r="J2652" t="s">
        <v>111</v>
      </c>
      <c r="K2652">
        <v>0</v>
      </c>
      <c r="L2652">
        <v>3</v>
      </c>
      <c r="M2652">
        <v>0</v>
      </c>
      <c r="N2652">
        <v>2</v>
      </c>
      <c r="O2652">
        <v>1</v>
      </c>
      <c r="P2652">
        <v>0</v>
      </c>
      <c r="Q2652">
        <v>0</v>
      </c>
      <c r="R2652" t="s">
        <v>112</v>
      </c>
      <c r="S2652" t="str">
        <f>"14:34:33.313"</f>
        <v>14:34:33.313</v>
      </c>
      <c r="T2652" t="str">
        <f>"14:34:32.914"</f>
        <v>14:34:32.914</v>
      </c>
      <c r="U2652" t="str">
        <f t="shared" si="123"/>
        <v>ad5732</v>
      </c>
      <c r="V2652">
        <v>0</v>
      </c>
      <c r="W2652">
        <v>0</v>
      </c>
      <c r="X2652">
        <v>1</v>
      </c>
      <c r="Z2652">
        <v>0</v>
      </c>
      <c r="AA2652">
        <v>9</v>
      </c>
      <c r="AB2652">
        <v>3</v>
      </c>
      <c r="AC2652">
        <v>0</v>
      </c>
      <c r="AD2652">
        <v>10</v>
      </c>
      <c r="AE2652">
        <v>0</v>
      </c>
      <c r="AF2652">
        <v>3</v>
      </c>
      <c r="AG2652">
        <v>2</v>
      </c>
      <c r="AH2652">
        <v>0</v>
      </c>
      <c r="AI2652" t="s">
        <v>5420</v>
      </c>
      <c r="AJ2652">
        <v>40.1755</v>
      </c>
      <c r="AK2652" t="s">
        <v>5421</v>
      </c>
      <c r="AL2652">
        <v>-75.309562999999997</v>
      </c>
      <c r="AM2652">
        <v>100</v>
      </c>
      <c r="AN2652">
        <v>3800</v>
      </c>
      <c r="AO2652" t="s">
        <v>115</v>
      </c>
      <c r="AP2652">
        <v>141</v>
      </c>
      <c r="AQ2652">
        <v>131</v>
      </c>
      <c r="AR2652">
        <v>-384</v>
      </c>
      <c r="AZ2652">
        <v>3614</v>
      </c>
      <c r="BA2652">
        <v>1</v>
      </c>
      <c r="BB2652" t="str">
        <f t="shared" si="125"/>
        <v xml:space="preserve">N959MJ  </v>
      </c>
      <c r="BC2652">
        <v>1</v>
      </c>
      <c r="BE2652">
        <v>0</v>
      </c>
      <c r="BF2652">
        <v>0</v>
      </c>
      <c r="BG2652">
        <v>0</v>
      </c>
      <c r="BH2652">
        <v>4025</v>
      </c>
      <c r="BI2652">
        <v>225</v>
      </c>
      <c r="BJ2652">
        <v>1</v>
      </c>
      <c r="BK2652">
        <v>1</v>
      </c>
      <c r="BL2652">
        <v>1</v>
      </c>
      <c r="BM2652">
        <v>0</v>
      </c>
      <c r="BP2652">
        <v>0</v>
      </c>
      <c r="BQ2652">
        <v>0</v>
      </c>
      <c r="BX2652" t="str">
        <f>"14:34:33.320"</f>
        <v>14:34:33.320</v>
      </c>
      <c r="BY2652" t="str">
        <f>"320122027"</f>
        <v>320122027</v>
      </c>
      <c r="CL2652">
        <v>0</v>
      </c>
      <c r="CM2652">
        <v>2</v>
      </c>
      <c r="CN2652">
        <v>0</v>
      </c>
      <c r="CO2652">
        <v>2</v>
      </c>
      <c r="CP2652">
        <v>0</v>
      </c>
      <c r="CQ2652">
        <v>7</v>
      </c>
      <c r="CR2652" t="s">
        <v>116</v>
      </c>
      <c r="CS2652">
        <v>39</v>
      </c>
      <c r="CT2652">
        <v>0</v>
      </c>
      <c r="CU2652" t="s">
        <v>2259</v>
      </c>
      <c r="CV2652" t="s">
        <v>2260</v>
      </c>
      <c r="CY2652">
        <v>2204979</v>
      </c>
      <c r="CZ2652" t="s">
        <v>119</v>
      </c>
    </row>
    <row r="2653" spans="1:104" x14ac:dyDescent="0.25">
      <c r="A2653" t="str">
        <f>"14:34:34.656"</f>
        <v>14:34:34.656</v>
      </c>
      <c r="B2653" t="s">
        <v>108</v>
      </c>
      <c r="C2653" t="str">
        <f t="shared" si="124"/>
        <v>ffdfd3c0</v>
      </c>
      <c r="D2653" t="s">
        <v>109</v>
      </c>
      <c r="E2653">
        <v>4</v>
      </c>
      <c r="F2653">
        <v>1004</v>
      </c>
      <c r="G2653" t="s">
        <v>110</v>
      </c>
      <c r="J2653" t="s">
        <v>111</v>
      </c>
      <c r="K2653">
        <v>0</v>
      </c>
      <c r="L2653">
        <v>3</v>
      </c>
      <c r="M2653">
        <v>0</v>
      </c>
      <c r="N2653">
        <v>2</v>
      </c>
      <c r="O2653">
        <v>1</v>
      </c>
      <c r="P2653">
        <v>0</v>
      </c>
      <c r="Q2653">
        <v>0</v>
      </c>
      <c r="R2653" t="s">
        <v>112</v>
      </c>
      <c r="S2653" t="str">
        <f>"14:34:34.461"</f>
        <v>14:34:34.461</v>
      </c>
      <c r="T2653" t="str">
        <f>"14:34:33.961"</f>
        <v>14:34:33.961</v>
      </c>
      <c r="U2653" t="str">
        <f t="shared" si="123"/>
        <v>ad5732</v>
      </c>
      <c r="V2653">
        <v>0</v>
      </c>
      <c r="W2653">
        <v>0</v>
      </c>
      <c r="X2653">
        <v>1</v>
      </c>
      <c r="Z2653">
        <v>0</v>
      </c>
      <c r="AA2653">
        <v>9</v>
      </c>
      <c r="AB2653">
        <v>3</v>
      </c>
      <c r="AC2653">
        <v>0</v>
      </c>
      <c r="AD2653">
        <v>10</v>
      </c>
      <c r="AE2653">
        <v>0</v>
      </c>
      <c r="AF2653">
        <v>3</v>
      </c>
      <c r="AG2653">
        <v>2</v>
      </c>
      <c r="AH2653">
        <v>0</v>
      </c>
      <c r="AI2653" t="s">
        <v>5422</v>
      </c>
      <c r="AJ2653">
        <v>40.176164999999997</v>
      </c>
      <c r="AK2653" t="s">
        <v>5423</v>
      </c>
      <c r="AL2653">
        <v>-75.308661000000001</v>
      </c>
      <c r="AM2653">
        <v>100</v>
      </c>
      <c r="AN2653">
        <v>3800</v>
      </c>
      <c r="AO2653" t="s">
        <v>115</v>
      </c>
      <c r="AP2653">
        <v>141</v>
      </c>
      <c r="AQ2653">
        <v>131</v>
      </c>
      <c r="AR2653">
        <v>-320</v>
      </c>
      <c r="AZ2653">
        <v>3614</v>
      </c>
      <c r="BA2653">
        <v>1</v>
      </c>
      <c r="BB2653" t="str">
        <f t="shared" si="125"/>
        <v xml:space="preserve">N959MJ  </v>
      </c>
      <c r="BC2653">
        <v>1</v>
      </c>
      <c r="BE2653">
        <v>0</v>
      </c>
      <c r="BF2653">
        <v>0</v>
      </c>
      <c r="BG2653">
        <v>0</v>
      </c>
      <c r="BH2653">
        <v>4025</v>
      </c>
      <c r="BI2653">
        <v>225</v>
      </c>
      <c r="BJ2653">
        <v>1</v>
      </c>
      <c r="BK2653">
        <v>1</v>
      </c>
      <c r="BL2653">
        <v>1</v>
      </c>
      <c r="BM2653">
        <v>0</v>
      </c>
      <c r="BP2653">
        <v>0</v>
      </c>
      <c r="BQ2653">
        <v>0</v>
      </c>
      <c r="BX2653" t="str">
        <f>"14:34:34.461"</f>
        <v>14:34:34.461</v>
      </c>
      <c r="BY2653" t="str">
        <f>"462107003"</f>
        <v>462107003</v>
      </c>
      <c r="CL2653">
        <v>0</v>
      </c>
      <c r="CM2653">
        <v>2</v>
      </c>
      <c r="CN2653">
        <v>0</v>
      </c>
      <c r="CO2653">
        <v>2</v>
      </c>
      <c r="CP2653">
        <v>0</v>
      </c>
      <c r="CQ2653">
        <v>7</v>
      </c>
      <c r="CR2653" t="s">
        <v>116</v>
      </c>
      <c r="CS2653">
        <v>39</v>
      </c>
      <c r="CT2653">
        <v>0</v>
      </c>
      <c r="CU2653" t="s">
        <v>2259</v>
      </c>
      <c r="CV2653" t="s">
        <v>2260</v>
      </c>
      <c r="CY2653">
        <v>2206725</v>
      </c>
      <c r="CZ2653" t="s">
        <v>119</v>
      </c>
    </row>
    <row r="2654" spans="1:104" x14ac:dyDescent="0.25">
      <c r="A2654" t="str">
        <f>"14:34:35.711"</f>
        <v>14:34:35.711</v>
      </c>
      <c r="B2654" t="s">
        <v>108</v>
      </c>
      <c r="C2654" t="str">
        <f t="shared" si="124"/>
        <v>ffdfd3c0</v>
      </c>
      <c r="D2654" t="s">
        <v>109</v>
      </c>
      <c r="E2654">
        <v>4</v>
      </c>
      <c r="F2654">
        <v>1004</v>
      </c>
      <c r="G2654" t="s">
        <v>110</v>
      </c>
      <c r="J2654" t="s">
        <v>111</v>
      </c>
      <c r="K2654">
        <v>0</v>
      </c>
      <c r="L2654">
        <v>3</v>
      </c>
      <c r="M2654">
        <v>0</v>
      </c>
      <c r="N2654">
        <v>2</v>
      </c>
      <c r="O2654">
        <v>1</v>
      </c>
      <c r="P2654">
        <v>0</v>
      </c>
      <c r="Q2654">
        <v>0</v>
      </c>
      <c r="R2654" t="s">
        <v>112</v>
      </c>
      <c r="S2654" t="str">
        <f>"14:34:35.531"</f>
        <v>14:34:35.531</v>
      </c>
      <c r="T2654" t="str">
        <f>"14:34:35.133"</f>
        <v>14:34:35.133</v>
      </c>
      <c r="U2654" t="str">
        <f t="shared" si="123"/>
        <v>ad5732</v>
      </c>
      <c r="V2654">
        <v>0</v>
      </c>
      <c r="W2654">
        <v>0</v>
      </c>
      <c r="X2654">
        <v>1</v>
      </c>
      <c r="Z2654">
        <v>0</v>
      </c>
      <c r="AA2654">
        <v>9</v>
      </c>
      <c r="AB2654">
        <v>3</v>
      </c>
      <c r="AC2654">
        <v>0</v>
      </c>
      <c r="AD2654">
        <v>10</v>
      </c>
      <c r="AE2654">
        <v>0</v>
      </c>
      <c r="AF2654">
        <v>3</v>
      </c>
      <c r="AG2654">
        <v>2</v>
      </c>
      <c r="AH2654">
        <v>0</v>
      </c>
      <c r="AI2654" t="s">
        <v>5424</v>
      </c>
      <c r="AJ2654">
        <v>40.176808999999999</v>
      </c>
      <c r="AK2654" t="s">
        <v>5425</v>
      </c>
      <c r="AL2654">
        <v>-75.307738999999998</v>
      </c>
      <c r="AM2654">
        <v>100</v>
      </c>
      <c r="AN2654">
        <v>3800</v>
      </c>
      <c r="AO2654" t="s">
        <v>115</v>
      </c>
      <c r="AP2654">
        <v>140</v>
      </c>
      <c r="AQ2654">
        <v>131</v>
      </c>
      <c r="AR2654">
        <v>-384</v>
      </c>
      <c r="AZ2654">
        <v>3614</v>
      </c>
      <c r="BA2654">
        <v>1</v>
      </c>
      <c r="BB2654" t="str">
        <f t="shared" si="125"/>
        <v xml:space="preserve">N959MJ  </v>
      </c>
      <c r="BC2654">
        <v>1</v>
      </c>
      <c r="BE2654">
        <v>0</v>
      </c>
      <c r="BF2654">
        <v>0</v>
      </c>
      <c r="BG2654">
        <v>0</v>
      </c>
      <c r="BH2654">
        <v>4025</v>
      </c>
      <c r="BI2654">
        <v>225</v>
      </c>
      <c r="BJ2654">
        <v>1</v>
      </c>
      <c r="BK2654">
        <v>1</v>
      </c>
      <c r="BL2654">
        <v>1</v>
      </c>
      <c r="BM2654">
        <v>0</v>
      </c>
      <c r="BP2654">
        <v>0</v>
      </c>
      <c r="BQ2654">
        <v>0</v>
      </c>
      <c r="BX2654" t="str">
        <f>"14:34:35.539"</f>
        <v>14:34:35.539</v>
      </c>
      <c r="BY2654" t="str">
        <f>"535277959"</f>
        <v>535277959</v>
      </c>
      <c r="CL2654">
        <v>0</v>
      </c>
      <c r="CM2654">
        <v>2</v>
      </c>
      <c r="CN2654">
        <v>0</v>
      </c>
      <c r="CO2654">
        <v>2</v>
      </c>
      <c r="CP2654">
        <v>0</v>
      </c>
      <c r="CQ2654">
        <v>7</v>
      </c>
      <c r="CR2654" t="s">
        <v>116</v>
      </c>
      <c r="CS2654">
        <v>39</v>
      </c>
      <c r="CT2654">
        <v>0</v>
      </c>
      <c r="CU2654" t="s">
        <v>2259</v>
      </c>
      <c r="CV2654" t="s">
        <v>2260</v>
      </c>
      <c r="CY2654">
        <v>2208344</v>
      </c>
      <c r="CZ2654" t="s">
        <v>119</v>
      </c>
    </row>
    <row r="2655" spans="1:104" x14ac:dyDescent="0.25">
      <c r="A2655" t="str">
        <f>"14:34:36.672"</f>
        <v>14:34:36.672</v>
      </c>
      <c r="B2655" t="s">
        <v>108</v>
      </c>
      <c r="C2655" t="str">
        <f t="shared" si="124"/>
        <v>ffdfd3c0</v>
      </c>
      <c r="D2655" t="s">
        <v>109</v>
      </c>
      <c r="E2655">
        <v>4</v>
      </c>
      <c r="F2655">
        <v>1004</v>
      </c>
      <c r="G2655" t="s">
        <v>110</v>
      </c>
      <c r="J2655" t="s">
        <v>111</v>
      </c>
      <c r="K2655">
        <v>0</v>
      </c>
      <c r="L2655">
        <v>3</v>
      </c>
      <c r="M2655">
        <v>0</v>
      </c>
      <c r="N2655">
        <v>2</v>
      </c>
      <c r="O2655">
        <v>1</v>
      </c>
      <c r="P2655">
        <v>0</v>
      </c>
      <c r="Q2655">
        <v>0</v>
      </c>
      <c r="R2655" t="s">
        <v>112</v>
      </c>
      <c r="S2655" t="str">
        <f>"14:34:36.516"</f>
        <v>14:34:36.516</v>
      </c>
      <c r="T2655" t="str">
        <f>"14:34:36.016"</f>
        <v>14:34:36.016</v>
      </c>
      <c r="U2655" t="str">
        <f t="shared" si="123"/>
        <v>ad5732</v>
      </c>
      <c r="V2655">
        <v>0</v>
      </c>
      <c r="W2655">
        <v>0</v>
      </c>
      <c r="X2655">
        <v>1</v>
      </c>
      <c r="Z2655">
        <v>0</v>
      </c>
      <c r="AA2655">
        <v>9</v>
      </c>
      <c r="AB2655">
        <v>3</v>
      </c>
      <c r="AC2655">
        <v>0</v>
      </c>
      <c r="AD2655">
        <v>10</v>
      </c>
      <c r="AE2655">
        <v>0</v>
      </c>
      <c r="AF2655">
        <v>3</v>
      </c>
      <c r="AG2655">
        <v>2</v>
      </c>
      <c r="AH2655">
        <v>0</v>
      </c>
      <c r="AI2655" t="s">
        <v>5426</v>
      </c>
      <c r="AJ2655">
        <v>40.177410000000002</v>
      </c>
      <c r="AK2655" t="s">
        <v>5427</v>
      </c>
      <c r="AL2655">
        <v>-75.306880000000007</v>
      </c>
      <c r="AM2655">
        <v>100</v>
      </c>
      <c r="AN2655">
        <v>3800</v>
      </c>
      <c r="AO2655" t="s">
        <v>115</v>
      </c>
      <c r="AP2655">
        <v>140</v>
      </c>
      <c r="AQ2655">
        <v>131</v>
      </c>
      <c r="AR2655">
        <v>-384</v>
      </c>
      <c r="AZ2655">
        <v>3614</v>
      </c>
      <c r="BA2655">
        <v>1</v>
      </c>
      <c r="BB2655" t="str">
        <f t="shared" si="125"/>
        <v xml:space="preserve">N959MJ  </v>
      </c>
      <c r="BC2655">
        <v>1</v>
      </c>
      <c r="BE2655">
        <v>0</v>
      </c>
      <c r="BF2655">
        <v>0</v>
      </c>
      <c r="BG2655">
        <v>0</v>
      </c>
      <c r="BH2655">
        <v>4025</v>
      </c>
      <c r="BI2655">
        <v>225</v>
      </c>
      <c r="BJ2655">
        <v>1</v>
      </c>
      <c r="BK2655">
        <v>1</v>
      </c>
      <c r="BL2655">
        <v>1</v>
      </c>
      <c r="BM2655">
        <v>0</v>
      </c>
      <c r="BP2655">
        <v>0</v>
      </c>
      <c r="BQ2655">
        <v>0</v>
      </c>
      <c r="BX2655" t="str">
        <f>"14:34:36.523"</f>
        <v>14:34:36.523</v>
      </c>
      <c r="BY2655" t="str">
        <f>"521612133"</f>
        <v>521612133</v>
      </c>
      <c r="CL2655">
        <v>0</v>
      </c>
      <c r="CM2655">
        <v>2</v>
      </c>
      <c r="CN2655">
        <v>0</v>
      </c>
      <c r="CO2655">
        <v>2</v>
      </c>
      <c r="CP2655">
        <v>0</v>
      </c>
      <c r="CQ2655">
        <v>7</v>
      </c>
      <c r="CR2655" t="s">
        <v>116</v>
      </c>
      <c r="CS2655">
        <v>39</v>
      </c>
      <c r="CT2655">
        <v>0</v>
      </c>
      <c r="CU2655" t="s">
        <v>2259</v>
      </c>
      <c r="CV2655" t="s">
        <v>2260</v>
      </c>
      <c r="CY2655">
        <v>2209904</v>
      </c>
      <c r="CZ2655" t="s">
        <v>119</v>
      </c>
    </row>
    <row r="2656" spans="1:104" x14ac:dyDescent="0.25">
      <c r="A2656" t="str">
        <f>"14:34:37.734"</f>
        <v>14:34:37.734</v>
      </c>
      <c r="B2656" t="s">
        <v>108</v>
      </c>
      <c r="C2656" t="str">
        <f t="shared" si="124"/>
        <v>ffdfd3c0</v>
      </c>
      <c r="D2656" t="s">
        <v>109</v>
      </c>
      <c r="E2656">
        <v>4</v>
      </c>
      <c r="F2656">
        <v>1004</v>
      </c>
      <c r="G2656" t="s">
        <v>110</v>
      </c>
      <c r="J2656" t="s">
        <v>111</v>
      </c>
      <c r="K2656">
        <v>0</v>
      </c>
      <c r="L2656">
        <v>3</v>
      </c>
      <c r="M2656">
        <v>0</v>
      </c>
      <c r="N2656">
        <v>2</v>
      </c>
      <c r="O2656">
        <v>1</v>
      </c>
      <c r="P2656">
        <v>0</v>
      </c>
      <c r="Q2656">
        <v>0</v>
      </c>
      <c r="R2656" t="s">
        <v>112</v>
      </c>
      <c r="S2656" t="str">
        <f>"14:34:37.531"</f>
        <v>14:34:37.531</v>
      </c>
      <c r="T2656" t="str">
        <f>"14:34:37.031"</f>
        <v>14:34:37.031</v>
      </c>
      <c r="U2656" t="str">
        <f t="shared" si="123"/>
        <v>ad5732</v>
      </c>
      <c r="V2656">
        <v>0</v>
      </c>
      <c r="W2656">
        <v>0</v>
      </c>
      <c r="X2656">
        <v>1</v>
      </c>
      <c r="Z2656">
        <v>0</v>
      </c>
      <c r="AA2656">
        <v>9</v>
      </c>
      <c r="AB2656">
        <v>3</v>
      </c>
      <c r="AC2656">
        <v>0</v>
      </c>
      <c r="AD2656">
        <v>10</v>
      </c>
      <c r="AE2656">
        <v>0</v>
      </c>
      <c r="AF2656">
        <v>3</v>
      </c>
      <c r="AG2656">
        <v>2</v>
      </c>
      <c r="AH2656">
        <v>0</v>
      </c>
      <c r="AI2656" t="s">
        <v>5428</v>
      </c>
      <c r="AJ2656">
        <v>40.178052999999998</v>
      </c>
      <c r="AK2656" t="s">
        <v>5429</v>
      </c>
      <c r="AL2656">
        <v>-75.306021999999999</v>
      </c>
      <c r="AM2656">
        <v>100</v>
      </c>
      <c r="AN2656">
        <v>3800</v>
      </c>
      <c r="AO2656" t="s">
        <v>115</v>
      </c>
      <c r="AP2656">
        <v>140</v>
      </c>
      <c r="AQ2656">
        <v>131</v>
      </c>
      <c r="AR2656">
        <v>-384</v>
      </c>
      <c r="AZ2656">
        <v>3614</v>
      </c>
      <c r="BA2656">
        <v>1</v>
      </c>
      <c r="BB2656" t="str">
        <f t="shared" si="125"/>
        <v xml:space="preserve">N959MJ  </v>
      </c>
      <c r="BC2656">
        <v>1</v>
      </c>
      <c r="BE2656">
        <v>0</v>
      </c>
      <c r="BF2656">
        <v>0</v>
      </c>
      <c r="BG2656">
        <v>0</v>
      </c>
      <c r="BH2656">
        <v>4000</v>
      </c>
      <c r="BI2656">
        <v>200</v>
      </c>
      <c r="BJ2656">
        <v>1</v>
      </c>
      <c r="BK2656">
        <v>1</v>
      </c>
      <c r="BL2656">
        <v>1</v>
      </c>
      <c r="BM2656">
        <v>0</v>
      </c>
      <c r="BP2656">
        <v>0</v>
      </c>
      <c r="BQ2656">
        <v>0</v>
      </c>
      <c r="BX2656" t="str">
        <f>"14:34:37.531"</f>
        <v>14:34:37.531</v>
      </c>
      <c r="BY2656" t="str">
        <f>"534161263"</f>
        <v>534161263</v>
      </c>
      <c r="CL2656">
        <v>0</v>
      </c>
      <c r="CM2656">
        <v>2</v>
      </c>
      <c r="CN2656">
        <v>0</v>
      </c>
      <c r="CO2656">
        <v>2</v>
      </c>
      <c r="CP2656">
        <v>0</v>
      </c>
      <c r="CQ2656">
        <v>7</v>
      </c>
      <c r="CR2656" t="s">
        <v>116</v>
      </c>
      <c r="CS2656">
        <v>39</v>
      </c>
      <c r="CT2656">
        <v>0</v>
      </c>
      <c r="CU2656" t="s">
        <v>2259</v>
      </c>
      <c r="CV2656" t="s">
        <v>2260</v>
      </c>
      <c r="CY2656">
        <v>2211485</v>
      </c>
      <c r="CZ2656" t="s">
        <v>119</v>
      </c>
    </row>
    <row r="2657" spans="1:104" x14ac:dyDescent="0.25">
      <c r="A2657" t="str">
        <f>"14:34:38.742"</f>
        <v>14:34:38.742</v>
      </c>
      <c r="B2657" t="s">
        <v>108</v>
      </c>
      <c r="C2657" t="str">
        <f t="shared" si="124"/>
        <v>ffdfd3c0</v>
      </c>
      <c r="D2657" t="s">
        <v>109</v>
      </c>
      <c r="E2657">
        <v>4</v>
      </c>
      <c r="F2657">
        <v>1004</v>
      </c>
      <c r="G2657" t="s">
        <v>110</v>
      </c>
      <c r="J2657" t="s">
        <v>111</v>
      </c>
      <c r="K2657">
        <v>0</v>
      </c>
      <c r="L2657">
        <v>3</v>
      </c>
      <c r="M2657">
        <v>0</v>
      </c>
      <c r="N2657">
        <v>2</v>
      </c>
      <c r="O2657">
        <v>1</v>
      </c>
      <c r="P2657">
        <v>0</v>
      </c>
      <c r="Q2657">
        <v>0</v>
      </c>
      <c r="R2657" t="s">
        <v>112</v>
      </c>
      <c r="S2657" t="str">
        <f>"14:34:38.555"</f>
        <v>14:34:38.555</v>
      </c>
      <c r="T2657" t="str">
        <f>"14:34:38.055"</f>
        <v>14:34:38.055</v>
      </c>
      <c r="U2657" t="str">
        <f t="shared" si="123"/>
        <v>ad5732</v>
      </c>
      <c r="V2657">
        <v>0</v>
      </c>
      <c r="W2657">
        <v>0</v>
      </c>
      <c r="X2657">
        <v>1</v>
      </c>
      <c r="Z2657">
        <v>0</v>
      </c>
      <c r="AA2657">
        <v>9</v>
      </c>
      <c r="AB2657">
        <v>3</v>
      </c>
      <c r="AC2657">
        <v>0</v>
      </c>
      <c r="AD2657">
        <v>10</v>
      </c>
      <c r="AE2657">
        <v>0</v>
      </c>
      <c r="AF2657">
        <v>3</v>
      </c>
      <c r="AG2657">
        <v>2</v>
      </c>
      <c r="AH2657">
        <v>0</v>
      </c>
      <c r="AI2657" t="s">
        <v>5430</v>
      </c>
      <c r="AJ2657">
        <v>40.178654000000002</v>
      </c>
      <c r="AK2657" t="s">
        <v>5431</v>
      </c>
      <c r="AL2657">
        <v>-75.305184999999994</v>
      </c>
      <c r="AM2657">
        <v>100</v>
      </c>
      <c r="AN2657">
        <v>3800</v>
      </c>
      <c r="AO2657" t="s">
        <v>115</v>
      </c>
      <c r="AP2657">
        <v>140</v>
      </c>
      <c r="AQ2657">
        <v>130</v>
      </c>
      <c r="AR2657">
        <v>-384</v>
      </c>
      <c r="AZ2657">
        <v>3614</v>
      </c>
      <c r="BA2657">
        <v>1</v>
      </c>
      <c r="BB2657" t="str">
        <f t="shared" si="125"/>
        <v xml:space="preserve">N959MJ  </v>
      </c>
      <c r="BC2657">
        <v>1</v>
      </c>
      <c r="BE2657">
        <v>0</v>
      </c>
      <c r="BF2657">
        <v>0</v>
      </c>
      <c r="BG2657">
        <v>0</v>
      </c>
      <c r="BH2657">
        <v>4000</v>
      </c>
      <c r="BI2657">
        <v>200</v>
      </c>
      <c r="BJ2657">
        <v>1</v>
      </c>
      <c r="BK2657">
        <v>1</v>
      </c>
      <c r="BL2657">
        <v>1</v>
      </c>
      <c r="BM2657">
        <v>0</v>
      </c>
      <c r="BP2657">
        <v>0</v>
      </c>
      <c r="BQ2657">
        <v>0</v>
      </c>
      <c r="BX2657" t="str">
        <f>"14:34:38.555"</f>
        <v>14:34:38.555</v>
      </c>
      <c r="BY2657" t="str">
        <f>"556540926"</f>
        <v>556540926</v>
      </c>
      <c r="CL2657">
        <v>0</v>
      </c>
      <c r="CM2657">
        <v>2</v>
      </c>
      <c r="CN2657">
        <v>0</v>
      </c>
      <c r="CO2657">
        <v>2</v>
      </c>
      <c r="CP2657">
        <v>0</v>
      </c>
      <c r="CQ2657">
        <v>7</v>
      </c>
      <c r="CR2657" t="s">
        <v>116</v>
      </c>
      <c r="CS2657">
        <v>39</v>
      </c>
      <c r="CT2657">
        <v>0</v>
      </c>
      <c r="CU2657" t="s">
        <v>2259</v>
      </c>
      <c r="CV2657" t="s">
        <v>2260</v>
      </c>
      <c r="CY2657">
        <v>2213059</v>
      </c>
      <c r="CZ2657" t="s">
        <v>119</v>
      </c>
    </row>
    <row r="2658" spans="1:104" x14ac:dyDescent="0.25">
      <c r="A2658" t="str">
        <f>"14:34:39.703"</f>
        <v>14:34:39.703</v>
      </c>
      <c r="B2658" t="s">
        <v>108</v>
      </c>
      <c r="C2658" t="str">
        <f t="shared" si="124"/>
        <v>ffdfd3c0</v>
      </c>
      <c r="D2658" t="s">
        <v>109</v>
      </c>
      <c r="E2658">
        <v>4</v>
      </c>
      <c r="F2658">
        <v>1004</v>
      </c>
      <c r="G2658" t="s">
        <v>110</v>
      </c>
      <c r="J2658" t="s">
        <v>111</v>
      </c>
      <c r="K2658">
        <v>0</v>
      </c>
      <c r="L2658">
        <v>3</v>
      </c>
      <c r="M2658">
        <v>0</v>
      </c>
      <c r="N2658">
        <v>2</v>
      </c>
      <c r="O2658">
        <v>1</v>
      </c>
      <c r="P2658">
        <v>0</v>
      </c>
      <c r="Q2658">
        <v>0</v>
      </c>
      <c r="R2658" t="s">
        <v>112</v>
      </c>
      <c r="S2658" t="str">
        <f>"14:34:39.539"</f>
        <v>14:34:39.539</v>
      </c>
      <c r="T2658" t="str">
        <f>"14:34:39.141"</f>
        <v>14:34:39.141</v>
      </c>
      <c r="U2658" t="str">
        <f t="shared" si="123"/>
        <v>ad5732</v>
      </c>
      <c r="V2658">
        <v>0</v>
      </c>
      <c r="W2658">
        <v>0</v>
      </c>
      <c r="X2658">
        <v>1</v>
      </c>
      <c r="Z2658">
        <v>0</v>
      </c>
      <c r="AA2658">
        <v>9</v>
      </c>
      <c r="AB2658">
        <v>3</v>
      </c>
      <c r="AC2658">
        <v>0</v>
      </c>
      <c r="AD2658">
        <v>10</v>
      </c>
      <c r="AE2658">
        <v>0</v>
      </c>
      <c r="AF2658">
        <v>3</v>
      </c>
      <c r="AG2658">
        <v>2</v>
      </c>
      <c r="AH2658">
        <v>0</v>
      </c>
      <c r="AI2658" t="s">
        <v>5432</v>
      </c>
      <c r="AJ2658">
        <v>40.179254999999998</v>
      </c>
      <c r="AK2658" t="s">
        <v>5433</v>
      </c>
      <c r="AL2658">
        <v>-75.304327000000001</v>
      </c>
      <c r="AM2658">
        <v>100</v>
      </c>
      <c r="AN2658">
        <v>3800</v>
      </c>
      <c r="AO2658" t="s">
        <v>115</v>
      </c>
      <c r="AP2658">
        <v>140</v>
      </c>
      <c r="AQ2658">
        <v>130</v>
      </c>
      <c r="AR2658">
        <v>-384</v>
      </c>
      <c r="AZ2658">
        <v>3614</v>
      </c>
      <c r="BA2658">
        <v>1</v>
      </c>
      <c r="BB2658" t="str">
        <f t="shared" si="125"/>
        <v xml:space="preserve">N959MJ  </v>
      </c>
      <c r="BC2658">
        <v>1</v>
      </c>
      <c r="BE2658">
        <v>0</v>
      </c>
      <c r="BF2658">
        <v>0</v>
      </c>
      <c r="BG2658">
        <v>0</v>
      </c>
      <c r="BH2658">
        <v>4000</v>
      </c>
      <c r="BI2658">
        <v>200</v>
      </c>
      <c r="BJ2658">
        <v>1</v>
      </c>
      <c r="BK2658">
        <v>1</v>
      </c>
      <c r="BL2658">
        <v>1</v>
      </c>
      <c r="BM2658">
        <v>0</v>
      </c>
      <c r="BP2658">
        <v>0</v>
      </c>
      <c r="BQ2658">
        <v>0</v>
      </c>
      <c r="BX2658" t="str">
        <f>"14:34:39.539"</f>
        <v>14:34:39.539</v>
      </c>
      <c r="BY2658" t="str">
        <f>"541236722"</f>
        <v>541236722</v>
      </c>
      <c r="CL2658">
        <v>0</v>
      </c>
      <c r="CM2658">
        <v>2</v>
      </c>
      <c r="CN2658">
        <v>0</v>
      </c>
      <c r="CO2658">
        <v>2</v>
      </c>
      <c r="CP2658">
        <v>0</v>
      </c>
      <c r="CQ2658">
        <v>7</v>
      </c>
      <c r="CR2658" t="s">
        <v>116</v>
      </c>
      <c r="CS2658">
        <v>39</v>
      </c>
      <c r="CT2658">
        <v>0</v>
      </c>
      <c r="CU2658" t="s">
        <v>2259</v>
      </c>
      <c r="CV2658" t="s">
        <v>2260</v>
      </c>
      <c r="CY2658">
        <v>2214608</v>
      </c>
      <c r="CZ2658" t="s">
        <v>119</v>
      </c>
    </row>
    <row r="2659" spans="1:104" x14ac:dyDescent="0.25">
      <c r="A2659" t="str">
        <f>"14:34:40.711"</f>
        <v>14:34:40.711</v>
      </c>
      <c r="B2659" t="s">
        <v>108</v>
      </c>
      <c r="C2659" t="str">
        <f t="shared" si="124"/>
        <v>ffdfd3c0</v>
      </c>
      <c r="D2659" t="s">
        <v>109</v>
      </c>
      <c r="E2659">
        <v>4</v>
      </c>
      <c r="F2659">
        <v>1004</v>
      </c>
      <c r="G2659" t="s">
        <v>110</v>
      </c>
      <c r="J2659" t="s">
        <v>111</v>
      </c>
      <c r="K2659">
        <v>0</v>
      </c>
      <c r="L2659">
        <v>3</v>
      </c>
      <c r="M2659">
        <v>0</v>
      </c>
      <c r="N2659">
        <v>2</v>
      </c>
      <c r="O2659">
        <v>1</v>
      </c>
      <c r="P2659">
        <v>0</v>
      </c>
      <c r="Q2659">
        <v>0</v>
      </c>
      <c r="R2659" t="s">
        <v>112</v>
      </c>
      <c r="S2659" t="str">
        <f>"14:34:40.563"</f>
        <v>14:34:40.563</v>
      </c>
      <c r="T2659" t="str">
        <f>"14:34:40.164"</f>
        <v>14:34:40.164</v>
      </c>
      <c r="U2659" t="str">
        <f t="shared" si="123"/>
        <v>ad5732</v>
      </c>
      <c r="V2659">
        <v>0</v>
      </c>
      <c r="W2659">
        <v>0</v>
      </c>
      <c r="X2659">
        <v>1</v>
      </c>
      <c r="Z2659">
        <v>0</v>
      </c>
      <c r="AA2659">
        <v>9</v>
      </c>
      <c r="AB2659">
        <v>3</v>
      </c>
      <c r="AC2659">
        <v>0</v>
      </c>
      <c r="AD2659">
        <v>10</v>
      </c>
      <c r="AE2659">
        <v>0</v>
      </c>
      <c r="AF2659">
        <v>3</v>
      </c>
      <c r="AG2659">
        <v>2</v>
      </c>
      <c r="AH2659">
        <v>0</v>
      </c>
      <c r="AI2659" t="s">
        <v>5434</v>
      </c>
      <c r="AJ2659">
        <v>40.179834</v>
      </c>
      <c r="AK2659" t="s">
        <v>5435</v>
      </c>
      <c r="AL2659">
        <v>-75.303533000000002</v>
      </c>
      <c r="AM2659">
        <v>100</v>
      </c>
      <c r="AN2659">
        <v>3800</v>
      </c>
      <c r="AO2659" t="s">
        <v>115</v>
      </c>
      <c r="AP2659">
        <v>140</v>
      </c>
      <c r="AQ2659">
        <v>130</v>
      </c>
      <c r="AR2659">
        <v>-384</v>
      </c>
      <c r="AZ2659">
        <v>3614</v>
      </c>
      <c r="BA2659">
        <v>1</v>
      </c>
      <c r="BB2659" t="str">
        <f t="shared" si="125"/>
        <v xml:space="preserve">N959MJ  </v>
      </c>
      <c r="BC2659">
        <v>1</v>
      </c>
      <c r="BE2659">
        <v>0</v>
      </c>
      <c r="BF2659">
        <v>0</v>
      </c>
      <c r="BG2659">
        <v>0</v>
      </c>
      <c r="BH2659">
        <v>3975</v>
      </c>
      <c r="BI2659">
        <v>175</v>
      </c>
      <c r="BJ2659">
        <v>1</v>
      </c>
      <c r="BK2659">
        <v>1</v>
      </c>
      <c r="BL2659">
        <v>1</v>
      </c>
      <c r="BM2659">
        <v>0</v>
      </c>
      <c r="BP2659">
        <v>0</v>
      </c>
      <c r="BQ2659">
        <v>0</v>
      </c>
      <c r="BX2659" t="str">
        <f>"14:34:40.563"</f>
        <v>14:34:40.563</v>
      </c>
      <c r="BY2659" t="str">
        <f>"565254806"</f>
        <v>565254806</v>
      </c>
      <c r="CL2659">
        <v>0</v>
      </c>
      <c r="CM2659">
        <v>2</v>
      </c>
      <c r="CN2659">
        <v>0</v>
      </c>
      <c r="CO2659">
        <v>2</v>
      </c>
      <c r="CP2659">
        <v>0</v>
      </c>
      <c r="CQ2659">
        <v>6</v>
      </c>
      <c r="CR2659" t="s">
        <v>116</v>
      </c>
      <c r="CS2659">
        <v>39</v>
      </c>
      <c r="CT2659">
        <v>0</v>
      </c>
      <c r="CU2659" t="s">
        <v>2259</v>
      </c>
      <c r="CV2659" t="s">
        <v>2260</v>
      </c>
      <c r="CY2659">
        <v>2216172</v>
      </c>
      <c r="CZ2659" t="s">
        <v>119</v>
      </c>
    </row>
    <row r="2660" spans="1:104" x14ac:dyDescent="0.25">
      <c r="A2660" t="str">
        <f>"14:34:41.773"</f>
        <v>14:34:41.773</v>
      </c>
      <c r="B2660" t="s">
        <v>108</v>
      </c>
      <c r="C2660" t="str">
        <f t="shared" si="124"/>
        <v>ffdfd3c0</v>
      </c>
      <c r="D2660" t="s">
        <v>109</v>
      </c>
      <c r="E2660">
        <v>4</v>
      </c>
      <c r="F2660">
        <v>1004</v>
      </c>
      <c r="G2660" t="s">
        <v>110</v>
      </c>
      <c r="J2660" t="s">
        <v>111</v>
      </c>
      <c r="K2660">
        <v>0</v>
      </c>
      <c r="L2660">
        <v>3</v>
      </c>
      <c r="M2660">
        <v>0</v>
      </c>
      <c r="N2660">
        <v>2</v>
      </c>
      <c r="O2660">
        <v>1</v>
      </c>
      <c r="P2660">
        <v>0</v>
      </c>
      <c r="Q2660">
        <v>0</v>
      </c>
      <c r="R2660" t="s">
        <v>112</v>
      </c>
      <c r="S2660" t="str">
        <f>"14:34:41.586"</f>
        <v>14:34:41.586</v>
      </c>
      <c r="T2660" t="str">
        <f>"14:34:41.086"</f>
        <v>14:34:41.086</v>
      </c>
      <c r="U2660" t="str">
        <f t="shared" si="123"/>
        <v>ad5732</v>
      </c>
      <c r="V2660">
        <v>0</v>
      </c>
      <c r="W2660">
        <v>0</v>
      </c>
      <c r="X2660">
        <v>1</v>
      </c>
      <c r="Z2660">
        <v>0</v>
      </c>
      <c r="AA2660">
        <v>9</v>
      </c>
      <c r="AB2660">
        <v>3</v>
      </c>
      <c r="AC2660">
        <v>0</v>
      </c>
      <c r="AD2660">
        <v>10</v>
      </c>
      <c r="AE2660">
        <v>0</v>
      </c>
      <c r="AF2660">
        <v>3</v>
      </c>
      <c r="AG2660">
        <v>2</v>
      </c>
      <c r="AH2660">
        <v>0</v>
      </c>
      <c r="AI2660" t="s">
        <v>5436</v>
      </c>
      <c r="AJ2660">
        <v>40.180435000000003</v>
      </c>
      <c r="AK2660" t="s">
        <v>5437</v>
      </c>
      <c r="AL2660">
        <v>-75.302674999999994</v>
      </c>
      <c r="AM2660">
        <v>100</v>
      </c>
      <c r="AN2660">
        <v>3800</v>
      </c>
      <c r="AO2660" t="s">
        <v>115</v>
      </c>
      <c r="AP2660">
        <v>139</v>
      </c>
      <c r="AQ2660">
        <v>130</v>
      </c>
      <c r="AR2660">
        <v>-384</v>
      </c>
      <c r="AZ2660">
        <v>3614</v>
      </c>
      <c r="BA2660">
        <v>1</v>
      </c>
      <c r="BB2660" t="str">
        <f t="shared" si="125"/>
        <v xml:space="preserve">N959MJ  </v>
      </c>
      <c r="BC2660">
        <v>1</v>
      </c>
      <c r="BE2660">
        <v>0</v>
      </c>
      <c r="BF2660">
        <v>0</v>
      </c>
      <c r="BG2660">
        <v>0</v>
      </c>
      <c r="BH2660">
        <v>3975</v>
      </c>
      <c r="BI2660">
        <v>175</v>
      </c>
      <c r="BJ2660">
        <v>1</v>
      </c>
      <c r="BK2660">
        <v>1</v>
      </c>
      <c r="BL2660">
        <v>1</v>
      </c>
      <c r="BM2660">
        <v>0</v>
      </c>
      <c r="BP2660">
        <v>0</v>
      </c>
      <c r="BQ2660">
        <v>0</v>
      </c>
      <c r="BX2660" t="str">
        <f>"14:34:41.594"</f>
        <v>14:34:41.594</v>
      </c>
      <c r="BY2660" t="str">
        <f>"592549893"</f>
        <v>592549893</v>
      </c>
      <c r="CL2660">
        <v>0</v>
      </c>
      <c r="CM2660">
        <v>2</v>
      </c>
      <c r="CN2660">
        <v>0</v>
      </c>
      <c r="CO2660">
        <v>2</v>
      </c>
      <c r="CP2660">
        <v>0</v>
      </c>
      <c r="CQ2660">
        <v>6</v>
      </c>
      <c r="CR2660" t="s">
        <v>116</v>
      </c>
      <c r="CS2660">
        <v>39</v>
      </c>
      <c r="CT2660">
        <v>0</v>
      </c>
      <c r="CU2660" t="s">
        <v>2259</v>
      </c>
      <c r="CV2660" t="s">
        <v>2260</v>
      </c>
      <c r="CY2660">
        <v>2217859</v>
      </c>
      <c r="CZ2660" t="s">
        <v>119</v>
      </c>
    </row>
    <row r="2661" spans="1:104" x14ac:dyDescent="0.25">
      <c r="A2661" t="str">
        <f>"14:34:42.781"</f>
        <v>14:34:42.781</v>
      </c>
      <c r="B2661" t="s">
        <v>108</v>
      </c>
      <c r="C2661" t="str">
        <f t="shared" si="124"/>
        <v>ffdfd3c0</v>
      </c>
      <c r="D2661" t="s">
        <v>109</v>
      </c>
      <c r="E2661">
        <v>4</v>
      </c>
      <c r="F2661">
        <v>1004</v>
      </c>
      <c r="G2661" t="s">
        <v>110</v>
      </c>
      <c r="J2661" t="s">
        <v>111</v>
      </c>
      <c r="K2661">
        <v>0</v>
      </c>
      <c r="L2661">
        <v>3</v>
      </c>
      <c r="M2661">
        <v>0</v>
      </c>
      <c r="N2661">
        <v>2</v>
      </c>
      <c r="O2661">
        <v>1</v>
      </c>
      <c r="P2661">
        <v>0</v>
      </c>
      <c r="Q2661">
        <v>0</v>
      </c>
      <c r="R2661" t="s">
        <v>112</v>
      </c>
      <c r="S2661" t="str">
        <f>"14:34:42.586"</f>
        <v>14:34:42.586</v>
      </c>
      <c r="T2661" t="str">
        <f>"14:34:42.188"</f>
        <v>14:34:42.188</v>
      </c>
      <c r="U2661" t="str">
        <f t="shared" si="123"/>
        <v>ad5732</v>
      </c>
      <c r="V2661">
        <v>0</v>
      </c>
      <c r="W2661">
        <v>0</v>
      </c>
      <c r="X2661">
        <v>1</v>
      </c>
      <c r="Z2661">
        <v>0</v>
      </c>
      <c r="AA2661">
        <v>9</v>
      </c>
      <c r="AB2661">
        <v>3</v>
      </c>
      <c r="AC2661">
        <v>0</v>
      </c>
      <c r="AD2661">
        <v>10</v>
      </c>
      <c r="AE2661">
        <v>0</v>
      </c>
      <c r="AF2661">
        <v>3</v>
      </c>
      <c r="AG2661">
        <v>2</v>
      </c>
      <c r="AH2661">
        <v>0</v>
      </c>
      <c r="AI2661" t="s">
        <v>5438</v>
      </c>
      <c r="AJ2661">
        <v>40.181078999999997</v>
      </c>
      <c r="AK2661" t="s">
        <v>5439</v>
      </c>
      <c r="AL2661">
        <v>-75.301816000000002</v>
      </c>
      <c r="AM2661">
        <v>100</v>
      </c>
      <c r="AN2661">
        <v>3800</v>
      </c>
      <c r="AO2661" t="s">
        <v>115</v>
      </c>
      <c r="AP2661">
        <v>139</v>
      </c>
      <c r="AQ2661">
        <v>130</v>
      </c>
      <c r="AR2661">
        <v>-320</v>
      </c>
      <c r="AZ2661">
        <v>3614</v>
      </c>
      <c r="BA2661">
        <v>1</v>
      </c>
      <c r="BB2661" t="str">
        <f t="shared" si="125"/>
        <v xml:space="preserve">N959MJ  </v>
      </c>
      <c r="BC2661">
        <v>1</v>
      </c>
      <c r="BE2661">
        <v>0</v>
      </c>
      <c r="BF2661">
        <v>0</v>
      </c>
      <c r="BG2661">
        <v>0</v>
      </c>
      <c r="BH2661">
        <v>3975</v>
      </c>
      <c r="BI2661">
        <v>175</v>
      </c>
      <c r="BJ2661">
        <v>1</v>
      </c>
      <c r="BK2661">
        <v>1</v>
      </c>
      <c r="BL2661">
        <v>1</v>
      </c>
      <c r="BM2661">
        <v>0</v>
      </c>
      <c r="BP2661">
        <v>0</v>
      </c>
      <c r="BQ2661">
        <v>0</v>
      </c>
      <c r="BX2661" t="str">
        <f>"14:34:42.594"</f>
        <v>14:34:42.594</v>
      </c>
      <c r="BY2661" t="str">
        <f>"593629876"</f>
        <v>593629876</v>
      </c>
      <c r="CL2661">
        <v>0</v>
      </c>
      <c r="CM2661">
        <v>2</v>
      </c>
      <c r="CN2661">
        <v>0</v>
      </c>
      <c r="CO2661">
        <v>2</v>
      </c>
      <c r="CP2661">
        <v>0</v>
      </c>
      <c r="CQ2661">
        <v>6</v>
      </c>
      <c r="CR2661" t="s">
        <v>116</v>
      </c>
      <c r="CS2661">
        <v>39</v>
      </c>
      <c r="CT2661">
        <v>0</v>
      </c>
      <c r="CU2661" t="s">
        <v>2259</v>
      </c>
      <c r="CV2661" t="s">
        <v>2260</v>
      </c>
      <c r="CY2661">
        <v>2219397</v>
      </c>
      <c r="CZ2661" t="s">
        <v>119</v>
      </c>
    </row>
    <row r="2662" spans="1:104" x14ac:dyDescent="0.25">
      <c r="A2662" t="str">
        <f>"14:34:43.789"</f>
        <v>14:34:43.789</v>
      </c>
      <c r="B2662" t="s">
        <v>108</v>
      </c>
      <c r="C2662" t="str">
        <f t="shared" si="124"/>
        <v>ffdfd3c0</v>
      </c>
      <c r="D2662" t="s">
        <v>109</v>
      </c>
      <c r="E2662">
        <v>4</v>
      </c>
      <c r="F2662">
        <v>1004</v>
      </c>
      <c r="G2662" t="s">
        <v>110</v>
      </c>
      <c r="J2662" t="s">
        <v>111</v>
      </c>
      <c r="K2662">
        <v>0</v>
      </c>
      <c r="L2662">
        <v>3</v>
      </c>
      <c r="M2662">
        <v>0</v>
      </c>
      <c r="N2662">
        <v>2</v>
      </c>
      <c r="O2662">
        <v>1</v>
      </c>
      <c r="P2662">
        <v>0</v>
      </c>
      <c r="Q2662">
        <v>0</v>
      </c>
      <c r="R2662" t="s">
        <v>112</v>
      </c>
      <c r="S2662" t="str">
        <f>"14:34:43.594"</f>
        <v>14:34:43.594</v>
      </c>
      <c r="T2662" t="str">
        <f>"14:34:43.195"</f>
        <v>14:34:43.195</v>
      </c>
      <c r="U2662" t="str">
        <f t="shared" si="123"/>
        <v>ad5732</v>
      </c>
      <c r="V2662">
        <v>0</v>
      </c>
      <c r="W2662">
        <v>0</v>
      </c>
      <c r="X2662">
        <v>1</v>
      </c>
      <c r="Z2662">
        <v>0</v>
      </c>
      <c r="AA2662">
        <v>9</v>
      </c>
      <c r="AB2662">
        <v>3</v>
      </c>
      <c r="AC2662">
        <v>0</v>
      </c>
      <c r="AD2662">
        <v>10</v>
      </c>
      <c r="AE2662">
        <v>0</v>
      </c>
      <c r="AF2662">
        <v>3</v>
      </c>
      <c r="AG2662">
        <v>2</v>
      </c>
      <c r="AH2662">
        <v>0</v>
      </c>
      <c r="AI2662" t="s">
        <v>5440</v>
      </c>
      <c r="AJ2662">
        <v>40.18168</v>
      </c>
      <c r="AK2662" t="s">
        <v>5441</v>
      </c>
      <c r="AL2662">
        <v>-75.300957999999994</v>
      </c>
      <c r="AM2662">
        <v>100</v>
      </c>
      <c r="AN2662">
        <v>3800</v>
      </c>
      <c r="AO2662" t="s">
        <v>115</v>
      </c>
      <c r="AP2662">
        <v>139</v>
      </c>
      <c r="AQ2662">
        <v>130</v>
      </c>
      <c r="AR2662">
        <v>-320</v>
      </c>
      <c r="AZ2662">
        <v>3614</v>
      </c>
      <c r="BA2662">
        <v>1</v>
      </c>
      <c r="BB2662" t="str">
        <f t="shared" si="125"/>
        <v xml:space="preserve">N959MJ  </v>
      </c>
      <c r="BC2662">
        <v>1</v>
      </c>
      <c r="BE2662">
        <v>0</v>
      </c>
      <c r="BF2662">
        <v>0</v>
      </c>
      <c r="BG2662">
        <v>0</v>
      </c>
      <c r="BH2662">
        <v>3975</v>
      </c>
      <c r="BI2662">
        <v>175</v>
      </c>
      <c r="BJ2662">
        <v>1</v>
      </c>
      <c r="BK2662">
        <v>1</v>
      </c>
      <c r="BL2662">
        <v>1</v>
      </c>
      <c r="BM2662">
        <v>0</v>
      </c>
      <c r="BP2662">
        <v>0</v>
      </c>
      <c r="BQ2662">
        <v>0</v>
      </c>
      <c r="BX2662" t="str">
        <f>"14:34:43.594"</f>
        <v>14:34:43.594</v>
      </c>
      <c r="BY2662" t="str">
        <f>"596348348"</f>
        <v>596348348</v>
      </c>
      <c r="CL2662">
        <v>0</v>
      </c>
      <c r="CM2662">
        <v>2</v>
      </c>
      <c r="CN2662">
        <v>0</v>
      </c>
      <c r="CO2662">
        <v>2</v>
      </c>
      <c r="CP2662">
        <v>0</v>
      </c>
      <c r="CQ2662">
        <v>7</v>
      </c>
      <c r="CR2662" t="s">
        <v>116</v>
      </c>
      <c r="CS2662">
        <v>39</v>
      </c>
      <c r="CT2662">
        <v>0</v>
      </c>
      <c r="CU2662" t="s">
        <v>2259</v>
      </c>
      <c r="CV2662" t="s">
        <v>2260</v>
      </c>
      <c r="CY2662">
        <v>2221032</v>
      </c>
      <c r="CZ2662" t="s">
        <v>119</v>
      </c>
    </row>
    <row r="2663" spans="1:104" x14ac:dyDescent="0.25">
      <c r="A2663" t="str">
        <f>"14:34:44.898"</f>
        <v>14:34:44.898</v>
      </c>
      <c r="B2663" t="s">
        <v>108</v>
      </c>
      <c r="C2663" t="str">
        <f t="shared" si="124"/>
        <v>ffdfd3c0</v>
      </c>
      <c r="D2663" t="s">
        <v>109</v>
      </c>
      <c r="E2663">
        <v>4</v>
      </c>
      <c r="F2663">
        <v>1004</v>
      </c>
      <c r="G2663" t="s">
        <v>110</v>
      </c>
      <c r="J2663" t="s">
        <v>111</v>
      </c>
      <c r="K2663">
        <v>0</v>
      </c>
      <c r="L2663">
        <v>3</v>
      </c>
      <c r="M2663">
        <v>0</v>
      </c>
      <c r="N2663">
        <v>2</v>
      </c>
      <c r="O2663">
        <v>1</v>
      </c>
      <c r="P2663">
        <v>0</v>
      </c>
      <c r="Q2663">
        <v>0</v>
      </c>
      <c r="R2663" t="s">
        <v>112</v>
      </c>
      <c r="S2663" t="str">
        <f>"14:34:44.711"</f>
        <v>14:34:44.711</v>
      </c>
      <c r="T2663" t="str">
        <f>"14:34:44.211"</f>
        <v>14:34:44.211</v>
      </c>
      <c r="U2663" t="str">
        <f t="shared" si="123"/>
        <v>ad5732</v>
      </c>
      <c r="V2663">
        <v>0</v>
      </c>
      <c r="W2663">
        <v>0</v>
      </c>
      <c r="X2663">
        <v>1</v>
      </c>
      <c r="Z2663">
        <v>0</v>
      </c>
      <c r="AA2663">
        <v>9</v>
      </c>
      <c r="AB2663">
        <v>3</v>
      </c>
      <c r="AC2663">
        <v>0</v>
      </c>
      <c r="AD2663">
        <v>10</v>
      </c>
      <c r="AE2663">
        <v>0</v>
      </c>
      <c r="AF2663">
        <v>3</v>
      </c>
      <c r="AG2663">
        <v>2</v>
      </c>
      <c r="AH2663">
        <v>0</v>
      </c>
      <c r="AI2663" t="s">
        <v>5442</v>
      </c>
      <c r="AJ2663">
        <v>40.182366000000002</v>
      </c>
      <c r="AK2663" t="s">
        <v>5443</v>
      </c>
      <c r="AL2663">
        <v>-75.299993000000001</v>
      </c>
      <c r="AM2663">
        <v>100</v>
      </c>
      <c r="AN2663">
        <v>3800</v>
      </c>
      <c r="AO2663" t="s">
        <v>115</v>
      </c>
      <c r="AP2663">
        <v>139</v>
      </c>
      <c r="AQ2663">
        <v>130</v>
      </c>
      <c r="AR2663">
        <v>-320</v>
      </c>
      <c r="AZ2663">
        <v>3614</v>
      </c>
      <c r="BA2663">
        <v>1</v>
      </c>
      <c r="BB2663" t="str">
        <f t="shared" si="125"/>
        <v xml:space="preserve">N959MJ  </v>
      </c>
      <c r="BC2663">
        <v>1</v>
      </c>
      <c r="BE2663">
        <v>0</v>
      </c>
      <c r="BF2663">
        <v>0</v>
      </c>
      <c r="BG2663">
        <v>0</v>
      </c>
      <c r="BH2663">
        <v>3975</v>
      </c>
      <c r="BI2663">
        <v>175</v>
      </c>
      <c r="BJ2663">
        <v>1</v>
      </c>
      <c r="BK2663">
        <v>1</v>
      </c>
      <c r="BL2663">
        <v>1</v>
      </c>
      <c r="BM2663">
        <v>0</v>
      </c>
      <c r="BP2663">
        <v>0</v>
      </c>
      <c r="BQ2663">
        <v>0</v>
      </c>
      <c r="BX2663" t="str">
        <f>"14:34:44.711"</f>
        <v>14:34:44.711</v>
      </c>
      <c r="BY2663" t="str">
        <f>"713756895"</f>
        <v>713756895</v>
      </c>
      <c r="CL2663">
        <v>0</v>
      </c>
      <c r="CM2663">
        <v>2</v>
      </c>
      <c r="CN2663">
        <v>0</v>
      </c>
      <c r="CO2663">
        <v>2</v>
      </c>
      <c r="CP2663">
        <v>0</v>
      </c>
      <c r="CQ2663">
        <v>0</v>
      </c>
      <c r="CR2663" t="s">
        <v>116</v>
      </c>
      <c r="CS2663">
        <v>39</v>
      </c>
      <c r="CT2663">
        <v>0</v>
      </c>
      <c r="CU2663" t="s">
        <v>2259</v>
      </c>
      <c r="CV2663" t="s">
        <v>2260</v>
      </c>
      <c r="CY2663">
        <v>2222835</v>
      </c>
      <c r="CZ2663" t="s">
        <v>119</v>
      </c>
    </row>
    <row r="2664" spans="1:104" x14ac:dyDescent="0.25">
      <c r="A2664" t="str">
        <f>"14:34:45.914"</f>
        <v>14:34:45.914</v>
      </c>
      <c r="B2664" t="s">
        <v>108</v>
      </c>
      <c r="C2664" t="str">
        <f t="shared" si="124"/>
        <v>ffdfd3c0</v>
      </c>
      <c r="D2664" t="s">
        <v>109</v>
      </c>
      <c r="E2664">
        <v>4</v>
      </c>
      <c r="F2664">
        <v>1004</v>
      </c>
      <c r="G2664" t="s">
        <v>110</v>
      </c>
      <c r="J2664" t="s">
        <v>111</v>
      </c>
      <c r="K2664">
        <v>0</v>
      </c>
      <c r="L2664">
        <v>3</v>
      </c>
      <c r="M2664">
        <v>0</v>
      </c>
      <c r="N2664">
        <v>2</v>
      </c>
      <c r="O2664">
        <v>1</v>
      </c>
      <c r="P2664">
        <v>0</v>
      </c>
      <c r="Q2664">
        <v>0</v>
      </c>
      <c r="R2664" t="s">
        <v>112</v>
      </c>
      <c r="S2664" t="str">
        <f>"14:34:45.734"</f>
        <v>14:34:45.734</v>
      </c>
      <c r="T2664" t="str">
        <f>"14:34:45.234"</f>
        <v>14:34:45.234</v>
      </c>
      <c r="U2664" t="str">
        <f t="shared" si="123"/>
        <v>ad5732</v>
      </c>
      <c r="V2664">
        <v>0</v>
      </c>
      <c r="W2664">
        <v>0</v>
      </c>
      <c r="X2664">
        <v>1</v>
      </c>
      <c r="Z2664">
        <v>0</v>
      </c>
      <c r="AA2664">
        <v>9</v>
      </c>
      <c r="AB2664">
        <v>3</v>
      </c>
      <c r="AC2664">
        <v>0</v>
      </c>
      <c r="AD2664">
        <v>10</v>
      </c>
      <c r="AE2664">
        <v>0</v>
      </c>
      <c r="AF2664">
        <v>3</v>
      </c>
      <c r="AG2664">
        <v>2</v>
      </c>
      <c r="AH2664">
        <v>0</v>
      </c>
      <c r="AI2664" t="s">
        <v>5444</v>
      </c>
      <c r="AJ2664">
        <v>40.182946000000001</v>
      </c>
      <c r="AK2664" t="s">
        <v>5445</v>
      </c>
      <c r="AL2664">
        <v>-75.299133999999995</v>
      </c>
      <c r="AM2664">
        <v>100</v>
      </c>
      <c r="AN2664">
        <v>3700</v>
      </c>
      <c r="AO2664" t="s">
        <v>115</v>
      </c>
      <c r="AP2664">
        <v>139</v>
      </c>
      <c r="AQ2664">
        <v>130</v>
      </c>
      <c r="AR2664">
        <v>-320</v>
      </c>
      <c r="AZ2664">
        <v>3614</v>
      </c>
      <c r="BA2664">
        <v>1</v>
      </c>
      <c r="BB2664" t="str">
        <f t="shared" si="125"/>
        <v xml:space="preserve">N959MJ  </v>
      </c>
      <c r="BC2664">
        <v>1</v>
      </c>
      <c r="BE2664">
        <v>0</v>
      </c>
      <c r="BF2664">
        <v>0</v>
      </c>
      <c r="BG2664">
        <v>0</v>
      </c>
      <c r="BH2664">
        <v>3950</v>
      </c>
      <c r="BI2664">
        <v>250</v>
      </c>
      <c r="BJ2664">
        <v>1</v>
      </c>
      <c r="BK2664">
        <v>1</v>
      </c>
      <c r="BL2664">
        <v>1</v>
      </c>
      <c r="BM2664">
        <v>0</v>
      </c>
      <c r="BP2664">
        <v>0</v>
      </c>
      <c r="BQ2664">
        <v>0</v>
      </c>
      <c r="BX2664" t="str">
        <f>"14:34:45.734"</f>
        <v>14:34:45.734</v>
      </c>
      <c r="BY2664" t="str">
        <f>"736136557"</f>
        <v>736136557</v>
      </c>
      <c r="CL2664">
        <v>0</v>
      </c>
      <c r="CM2664">
        <v>2</v>
      </c>
      <c r="CN2664">
        <v>0</v>
      </c>
      <c r="CO2664">
        <v>2</v>
      </c>
      <c r="CP2664">
        <v>0</v>
      </c>
      <c r="CQ2664">
        <v>7</v>
      </c>
      <c r="CR2664" t="s">
        <v>116</v>
      </c>
      <c r="CS2664">
        <v>39</v>
      </c>
      <c r="CT2664">
        <v>0</v>
      </c>
      <c r="CU2664" t="s">
        <v>2259</v>
      </c>
      <c r="CV2664" t="s">
        <v>2260</v>
      </c>
      <c r="CY2664">
        <v>2224423</v>
      </c>
      <c r="CZ2664" t="s">
        <v>119</v>
      </c>
    </row>
    <row r="2665" spans="1:104" x14ac:dyDescent="0.25">
      <c r="A2665" t="str">
        <f>"14:34:46.820"</f>
        <v>14:34:46.820</v>
      </c>
      <c r="B2665" t="s">
        <v>108</v>
      </c>
      <c r="C2665" t="str">
        <f t="shared" si="124"/>
        <v>ffdfd3c0</v>
      </c>
      <c r="D2665" t="s">
        <v>109</v>
      </c>
      <c r="E2665">
        <v>4</v>
      </c>
      <c r="F2665">
        <v>1004</v>
      </c>
      <c r="G2665" t="s">
        <v>110</v>
      </c>
      <c r="J2665" t="s">
        <v>111</v>
      </c>
      <c r="K2665">
        <v>0</v>
      </c>
      <c r="L2665">
        <v>3</v>
      </c>
      <c r="M2665">
        <v>0</v>
      </c>
      <c r="N2665">
        <v>2</v>
      </c>
      <c r="O2665">
        <v>1</v>
      </c>
      <c r="P2665">
        <v>0</v>
      </c>
      <c r="Q2665">
        <v>0</v>
      </c>
      <c r="R2665" t="s">
        <v>112</v>
      </c>
      <c r="S2665" t="str">
        <f>"14:34:46.656"</f>
        <v>14:34:46.656</v>
      </c>
      <c r="T2665" t="str">
        <f>"14:34:46.258"</f>
        <v>14:34:46.258</v>
      </c>
      <c r="U2665" t="str">
        <f t="shared" si="123"/>
        <v>ad5732</v>
      </c>
      <c r="V2665">
        <v>0</v>
      </c>
      <c r="W2665">
        <v>0</v>
      </c>
      <c r="X2665">
        <v>1</v>
      </c>
      <c r="Z2665">
        <v>0</v>
      </c>
      <c r="AA2665">
        <v>9</v>
      </c>
      <c r="AB2665">
        <v>3</v>
      </c>
      <c r="AC2665">
        <v>0</v>
      </c>
      <c r="AD2665">
        <v>10</v>
      </c>
      <c r="AE2665">
        <v>0</v>
      </c>
      <c r="AF2665">
        <v>3</v>
      </c>
      <c r="AG2665">
        <v>2</v>
      </c>
      <c r="AH2665">
        <v>0</v>
      </c>
      <c r="AI2665" t="s">
        <v>5446</v>
      </c>
      <c r="AJ2665">
        <v>40.183525000000003</v>
      </c>
      <c r="AK2665" t="s">
        <v>5447</v>
      </c>
      <c r="AL2665">
        <v>-75.298426000000006</v>
      </c>
      <c r="AM2665">
        <v>100</v>
      </c>
      <c r="AN2665">
        <v>3700</v>
      </c>
      <c r="AO2665" t="s">
        <v>115</v>
      </c>
      <c r="AP2665">
        <v>139</v>
      </c>
      <c r="AQ2665">
        <v>130</v>
      </c>
      <c r="AR2665">
        <v>-384</v>
      </c>
      <c r="AZ2665">
        <v>3614</v>
      </c>
      <c r="BA2665">
        <v>1</v>
      </c>
      <c r="BB2665" t="str">
        <f t="shared" si="125"/>
        <v xml:space="preserve">N959MJ  </v>
      </c>
      <c r="BC2665">
        <v>1</v>
      </c>
      <c r="BE2665">
        <v>0</v>
      </c>
      <c r="BF2665">
        <v>0</v>
      </c>
      <c r="BG2665">
        <v>0</v>
      </c>
      <c r="BH2665">
        <v>3950</v>
      </c>
      <c r="BI2665">
        <v>250</v>
      </c>
      <c r="BJ2665">
        <v>1</v>
      </c>
      <c r="BK2665">
        <v>1</v>
      </c>
      <c r="BL2665">
        <v>1</v>
      </c>
      <c r="BM2665">
        <v>0</v>
      </c>
      <c r="BP2665">
        <v>0</v>
      </c>
      <c r="BQ2665">
        <v>0</v>
      </c>
      <c r="BX2665" t="str">
        <f>"14:34:46.664"</f>
        <v>14:34:46.664</v>
      </c>
      <c r="BY2665" t="str">
        <f>"663487391"</f>
        <v>663487391</v>
      </c>
      <c r="CL2665">
        <v>0</v>
      </c>
      <c r="CM2665">
        <v>2</v>
      </c>
      <c r="CN2665">
        <v>0</v>
      </c>
      <c r="CO2665">
        <v>2</v>
      </c>
      <c r="CP2665">
        <v>0</v>
      </c>
      <c r="CQ2665">
        <v>7</v>
      </c>
      <c r="CR2665" t="s">
        <v>116</v>
      </c>
      <c r="CS2665">
        <v>39</v>
      </c>
      <c r="CT2665">
        <v>0</v>
      </c>
      <c r="CU2665" t="s">
        <v>2259</v>
      </c>
      <c r="CV2665" t="s">
        <v>2260</v>
      </c>
      <c r="CY2665">
        <v>2225820</v>
      </c>
      <c r="CZ2665" t="s">
        <v>119</v>
      </c>
    </row>
    <row r="2666" spans="1:104" x14ac:dyDescent="0.25">
      <c r="A2666" t="str">
        <f>"14:34:47.781"</f>
        <v>14:34:47.781</v>
      </c>
      <c r="B2666" t="s">
        <v>108</v>
      </c>
      <c r="C2666" t="str">
        <f t="shared" si="124"/>
        <v>ffdfd3c0</v>
      </c>
      <c r="D2666" t="s">
        <v>109</v>
      </c>
      <c r="E2666">
        <v>4</v>
      </c>
      <c r="F2666">
        <v>1004</v>
      </c>
      <c r="G2666" t="s">
        <v>110</v>
      </c>
      <c r="J2666" t="s">
        <v>111</v>
      </c>
      <c r="K2666">
        <v>0</v>
      </c>
      <c r="L2666">
        <v>3</v>
      </c>
      <c r="M2666">
        <v>0</v>
      </c>
      <c r="N2666">
        <v>2</v>
      </c>
      <c r="O2666">
        <v>1</v>
      </c>
      <c r="P2666">
        <v>0</v>
      </c>
      <c r="Q2666">
        <v>0</v>
      </c>
      <c r="R2666" t="s">
        <v>112</v>
      </c>
      <c r="S2666" t="str">
        <f>"14:34:47.578"</f>
        <v>14:34:47.578</v>
      </c>
      <c r="T2666" t="str">
        <f>"14:34:47.281"</f>
        <v>14:34:47.281</v>
      </c>
      <c r="U2666" t="str">
        <f t="shared" si="123"/>
        <v>ad5732</v>
      </c>
      <c r="V2666">
        <v>0</v>
      </c>
      <c r="W2666">
        <v>0</v>
      </c>
      <c r="X2666">
        <v>1</v>
      </c>
      <c r="Z2666">
        <v>0</v>
      </c>
      <c r="AA2666">
        <v>9</v>
      </c>
      <c r="AB2666">
        <v>3</v>
      </c>
      <c r="AC2666">
        <v>0</v>
      </c>
      <c r="AD2666">
        <v>10</v>
      </c>
      <c r="AE2666">
        <v>0</v>
      </c>
      <c r="AF2666">
        <v>3</v>
      </c>
      <c r="AG2666">
        <v>2</v>
      </c>
      <c r="AH2666">
        <v>0</v>
      </c>
      <c r="AI2666" t="s">
        <v>5448</v>
      </c>
      <c r="AJ2666">
        <v>40.184061999999997</v>
      </c>
      <c r="AK2666" t="s">
        <v>5449</v>
      </c>
      <c r="AL2666">
        <v>-75.297611000000003</v>
      </c>
      <c r="AM2666">
        <v>100</v>
      </c>
      <c r="AN2666">
        <v>3700</v>
      </c>
      <c r="AO2666" t="s">
        <v>115</v>
      </c>
      <c r="AP2666">
        <v>138</v>
      </c>
      <c r="AQ2666">
        <v>130</v>
      </c>
      <c r="AR2666">
        <v>-384</v>
      </c>
      <c r="AZ2666">
        <v>3614</v>
      </c>
      <c r="BA2666">
        <v>1</v>
      </c>
      <c r="BB2666" t="str">
        <f t="shared" si="125"/>
        <v xml:space="preserve">N959MJ  </v>
      </c>
      <c r="BC2666">
        <v>1</v>
      </c>
      <c r="BE2666">
        <v>0</v>
      </c>
      <c r="BF2666">
        <v>0</v>
      </c>
      <c r="BG2666">
        <v>0</v>
      </c>
      <c r="BH2666">
        <v>3950</v>
      </c>
      <c r="BI2666">
        <v>250</v>
      </c>
      <c r="BJ2666">
        <v>1</v>
      </c>
      <c r="BK2666">
        <v>1</v>
      </c>
      <c r="BL2666">
        <v>1</v>
      </c>
      <c r="BM2666">
        <v>0</v>
      </c>
      <c r="BP2666">
        <v>0</v>
      </c>
      <c r="BQ2666">
        <v>0</v>
      </c>
      <c r="BX2666" t="str">
        <f>"14:34:47.578"</f>
        <v>14:34:47.578</v>
      </c>
      <c r="BY2666" t="str">
        <f>"581007601"</f>
        <v>581007601</v>
      </c>
      <c r="CL2666">
        <v>0</v>
      </c>
      <c r="CM2666">
        <v>2</v>
      </c>
      <c r="CN2666">
        <v>0</v>
      </c>
      <c r="CO2666">
        <v>2</v>
      </c>
      <c r="CP2666">
        <v>0</v>
      </c>
      <c r="CQ2666">
        <v>6</v>
      </c>
      <c r="CR2666" t="s">
        <v>116</v>
      </c>
      <c r="CS2666">
        <v>39</v>
      </c>
      <c r="CT2666">
        <v>0</v>
      </c>
      <c r="CU2666" t="s">
        <v>2259</v>
      </c>
      <c r="CV2666" t="s">
        <v>2260</v>
      </c>
      <c r="CY2666">
        <v>2227215</v>
      </c>
      <c r="CZ2666" t="s">
        <v>119</v>
      </c>
    </row>
    <row r="2667" spans="1:104" x14ac:dyDescent="0.25">
      <c r="A2667" t="str">
        <f>"14:34:48.734"</f>
        <v>14:34:48.734</v>
      </c>
      <c r="B2667" t="s">
        <v>108</v>
      </c>
      <c r="C2667" t="str">
        <f t="shared" si="124"/>
        <v>ffdfd3c0</v>
      </c>
      <c r="D2667" t="s">
        <v>109</v>
      </c>
      <c r="E2667">
        <v>4</v>
      </c>
      <c r="F2667">
        <v>1004</v>
      </c>
      <c r="G2667" t="s">
        <v>110</v>
      </c>
      <c r="J2667" t="s">
        <v>111</v>
      </c>
      <c r="K2667">
        <v>0</v>
      </c>
      <c r="L2667">
        <v>3</v>
      </c>
      <c r="M2667">
        <v>0</v>
      </c>
      <c r="N2667">
        <v>2</v>
      </c>
      <c r="O2667">
        <v>1</v>
      </c>
      <c r="P2667">
        <v>0</v>
      </c>
      <c r="Q2667">
        <v>0</v>
      </c>
      <c r="R2667" t="s">
        <v>112</v>
      </c>
      <c r="S2667" t="str">
        <f>"14:34:48.578"</f>
        <v>14:34:48.578</v>
      </c>
      <c r="T2667" t="str">
        <f>"14:34:48.078"</f>
        <v>14:34:48.078</v>
      </c>
      <c r="U2667" t="str">
        <f t="shared" si="123"/>
        <v>ad5732</v>
      </c>
      <c r="V2667">
        <v>0</v>
      </c>
      <c r="W2667">
        <v>0</v>
      </c>
      <c r="X2667">
        <v>1</v>
      </c>
      <c r="Z2667">
        <v>0</v>
      </c>
      <c r="AA2667">
        <v>9</v>
      </c>
      <c r="AB2667">
        <v>3</v>
      </c>
      <c r="AC2667">
        <v>0</v>
      </c>
      <c r="AD2667">
        <v>10</v>
      </c>
      <c r="AE2667">
        <v>0</v>
      </c>
      <c r="AF2667">
        <v>3</v>
      </c>
      <c r="AG2667">
        <v>2</v>
      </c>
      <c r="AH2667">
        <v>0</v>
      </c>
      <c r="AI2667" t="s">
        <v>5450</v>
      </c>
      <c r="AJ2667">
        <v>40.184640999999999</v>
      </c>
      <c r="AK2667" t="s">
        <v>5451</v>
      </c>
      <c r="AL2667">
        <v>-75.296817000000004</v>
      </c>
      <c r="AM2667">
        <v>100</v>
      </c>
      <c r="AN2667">
        <v>3700</v>
      </c>
      <c r="AO2667" t="s">
        <v>115</v>
      </c>
      <c r="AP2667">
        <v>138</v>
      </c>
      <c r="AQ2667">
        <v>130</v>
      </c>
      <c r="AR2667">
        <v>-384</v>
      </c>
      <c r="AZ2667">
        <v>3614</v>
      </c>
      <c r="BA2667">
        <v>1</v>
      </c>
      <c r="BB2667" t="str">
        <f t="shared" si="125"/>
        <v xml:space="preserve">N959MJ  </v>
      </c>
      <c r="BC2667">
        <v>1</v>
      </c>
      <c r="BE2667">
        <v>0</v>
      </c>
      <c r="BF2667">
        <v>0</v>
      </c>
      <c r="BG2667">
        <v>0</v>
      </c>
      <c r="BH2667">
        <v>3950</v>
      </c>
      <c r="BI2667">
        <v>250</v>
      </c>
      <c r="BJ2667">
        <v>1</v>
      </c>
      <c r="BK2667">
        <v>1</v>
      </c>
      <c r="BL2667">
        <v>1</v>
      </c>
      <c r="BM2667">
        <v>0</v>
      </c>
      <c r="BP2667">
        <v>0</v>
      </c>
      <c r="BQ2667">
        <v>0</v>
      </c>
      <c r="BX2667" t="str">
        <f>"14:34:48.578"</f>
        <v>14:34:48.578</v>
      </c>
      <c r="BY2667" t="str">
        <f>"578967111"</f>
        <v>578967111</v>
      </c>
      <c r="CL2667">
        <v>0</v>
      </c>
      <c r="CM2667">
        <v>2</v>
      </c>
      <c r="CN2667">
        <v>0</v>
      </c>
      <c r="CO2667">
        <v>2</v>
      </c>
      <c r="CP2667">
        <v>0</v>
      </c>
      <c r="CQ2667">
        <v>6</v>
      </c>
      <c r="CR2667" t="s">
        <v>116</v>
      </c>
      <c r="CS2667">
        <v>40</v>
      </c>
      <c r="CT2667">
        <v>3</v>
      </c>
      <c r="CU2667" t="s">
        <v>2685</v>
      </c>
      <c r="CV2667" t="s">
        <v>2686</v>
      </c>
      <c r="CY2667">
        <v>7586417</v>
      </c>
      <c r="CZ2667" t="s">
        <v>119</v>
      </c>
    </row>
    <row r="2668" spans="1:104" x14ac:dyDescent="0.25">
      <c r="A2668" t="str">
        <f>"14:34:49.695"</f>
        <v>14:34:49.695</v>
      </c>
      <c r="B2668" t="s">
        <v>108</v>
      </c>
      <c r="C2668" t="str">
        <f t="shared" si="124"/>
        <v>ffdfd3c0</v>
      </c>
      <c r="D2668" t="s">
        <v>109</v>
      </c>
      <c r="E2668">
        <v>4</v>
      </c>
      <c r="F2668">
        <v>1004</v>
      </c>
      <c r="G2668" t="s">
        <v>110</v>
      </c>
      <c r="J2668" t="s">
        <v>111</v>
      </c>
      <c r="K2668">
        <v>0</v>
      </c>
      <c r="L2668">
        <v>3</v>
      </c>
      <c r="M2668">
        <v>0</v>
      </c>
      <c r="N2668">
        <v>2</v>
      </c>
      <c r="O2668">
        <v>1</v>
      </c>
      <c r="P2668">
        <v>0</v>
      </c>
      <c r="Q2668">
        <v>0</v>
      </c>
      <c r="R2668" t="s">
        <v>112</v>
      </c>
      <c r="S2668" t="str">
        <f>"14:34:49.531"</f>
        <v>14:34:49.531</v>
      </c>
      <c r="T2668" t="str">
        <f>"14:34:49.133"</f>
        <v>14:34:49.133</v>
      </c>
      <c r="U2668" t="str">
        <f t="shared" si="123"/>
        <v>ad5732</v>
      </c>
      <c r="V2668">
        <v>0</v>
      </c>
      <c r="W2668">
        <v>0</v>
      </c>
      <c r="X2668">
        <v>1</v>
      </c>
      <c r="Z2668">
        <v>0</v>
      </c>
      <c r="AA2668">
        <v>9</v>
      </c>
      <c r="AB2668">
        <v>3</v>
      </c>
      <c r="AC2668">
        <v>0</v>
      </c>
      <c r="AD2668">
        <v>10</v>
      </c>
      <c r="AE2668">
        <v>0</v>
      </c>
      <c r="AF2668">
        <v>3</v>
      </c>
      <c r="AG2668">
        <v>2</v>
      </c>
      <c r="AH2668">
        <v>0</v>
      </c>
      <c r="AI2668" t="s">
        <v>5452</v>
      </c>
      <c r="AJ2668">
        <v>40.185242000000002</v>
      </c>
      <c r="AK2668" t="s">
        <v>5453</v>
      </c>
      <c r="AL2668">
        <v>-75.295958999999996</v>
      </c>
      <c r="AM2668">
        <v>100</v>
      </c>
      <c r="AN2668">
        <v>3700</v>
      </c>
      <c r="AO2668" t="s">
        <v>115</v>
      </c>
      <c r="AP2668">
        <v>138</v>
      </c>
      <c r="AQ2668">
        <v>129</v>
      </c>
      <c r="AR2668">
        <v>-384</v>
      </c>
      <c r="AZ2668">
        <v>3614</v>
      </c>
      <c r="BA2668">
        <v>1</v>
      </c>
      <c r="BB2668" t="str">
        <f t="shared" si="125"/>
        <v xml:space="preserve">N959MJ  </v>
      </c>
      <c r="BC2668">
        <v>1</v>
      </c>
      <c r="BE2668">
        <v>0</v>
      </c>
      <c r="BF2668">
        <v>0</v>
      </c>
      <c r="BG2668">
        <v>0</v>
      </c>
      <c r="BH2668">
        <v>3925</v>
      </c>
      <c r="BI2668">
        <v>225</v>
      </c>
      <c r="BJ2668">
        <v>1</v>
      </c>
      <c r="BK2668">
        <v>1</v>
      </c>
      <c r="BL2668">
        <v>1</v>
      </c>
      <c r="BM2668">
        <v>0</v>
      </c>
      <c r="BP2668">
        <v>0</v>
      </c>
      <c r="BQ2668">
        <v>0</v>
      </c>
      <c r="BX2668" t="str">
        <f>"14:34:49.531"</f>
        <v>14:34:49.531</v>
      </c>
      <c r="BY2668" t="str">
        <f>"534014918"</f>
        <v>534014918</v>
      </c>
      <c r="CL2668">
        <v>0</v>
      </c>
      <c r="CM2668">
        <v>2</v>
      </c>
      <c r="CN2668">
        <v>0</v>
      </c>
      <c r="CO2668">
        <v>2</v>
      </c>
      <c r="CP2668">
        <v>0</v>
      </c>
      <c r="CQ2668">
        <v>7</v>
      </c>
      <c r="CR2668" t="s">
        <v>116</v>
      </c>
      <c r="CS2668">
        <v>39</v>
      </c>
      <c r="CT2668">
        <v>0</v>
      </c>
      <c r="CU2668" t="s">
        <v>2259</v>
      </c>
      <c r="CV2668" t="s">
        <v>2260</v>
      </c>
      <c r="CY2668">
        <v>2230346</v>
      </c>
      <c r="CZ2668" t="s">
        <v>119</v>
      </c>
    </row>
    <row r="2669" spans="1:104" x14ac:dyDescent="0.25">
      <c r="A2669" t="str">
        <f>"14:34:50.813"</f>
        <v>14:34:50.813</v>
      </c>
      <c r="B2669" t="s">
        <v>108</v>
      </c>
      <c r="C2669" t="str">
        <f t="shared" si="124"/>
        <v>ffdfd3c0</v>
      </c>
      <c r="D2669" t="s">
        <v>109</v>
      </c>
      <c r="E2669">
        <v>4</v>
      </c>
      <c r="F2669">
        <v>1004</v>
      </c>
      <c r="G2669" t="s">
        <v>110</v>
      </c>
      <c r="J2669" t="s">
        <v>111</v>
      </c>
      <c r="K2669">
        <v>0</v>
      </c>
      <c r="L2669">
        <v>3</v>
      </c>
      <c r="M2669">
        <v>0</v>
      </c>
      <c r="N2669">
        <v>2</v>
      </c>
      <c r="O2669">
        <v>1</v>
      </c>
      <c r="P2669">
        <v>0</v>
      </c>
      <c r="Q2669">
        <v>0</v>
      </c>
      <c r="R2669" t="s">
        <v>112</v>
      </c>
      <c r="S2669" t="str">
        <f>"14:34:50.641"</f>
        <v>14:34:50.641</v>
      </c>
      <c r="T2669" t="str">
        <f>"14:34:50.141"</f>
        <v>14:34:50.141</v>
      </c>
      <c r="U2669" t="str">
        <f t="shared" si="123"/>
        <v>ad5732</v>
      </c>
      <c r="V2669">
        <v>0</v>
      </c>
      <c r="W2669">
        <v>0</v>
      </c>
      <c r="X2669">
        <v>1</v>
      </c>
      <c r="Z2669">
        <v>0</v>
      </c>
      <c r="AA2669">
        <v>9</v>
      </c>
      <c r="AB2669">
        <v>3</v>
      </c>
      <c r="AC2669">
        <v>0</v>
      </c>
      <c r="AD2669">
        <v>10</v>
      </c>
      <c r="AE2669">
        <v>0</v>
      </c>
      <c r="AF2669">
        <v>3</v>
      </c>
      <c r="AG2669">
        <v>2</v>
      </c>
      <c r="AH2669">
        <v>0</v>
      </c>
      <c r="AI2669" t="s">
        <v>5454</v>
      </c>
      <c r="AJ2669">
        <v>40.185884999999999</v>
      </c>
      <c r="AK2669" t="s">
        <v>5455</v>
      </c>
      <c r="AL2669">
        <v>-75.295057</v>
      </c>
      <c r="AM2669">
        <v>100</v>
      </c>
      <c r="AN2669">
        <v>3700</v>
      </c>
      <c r="AO2669" t="s">
        <v>115</v>
      </c>
      <c r="AP2669">
        <v>138</v>
      </c>
      <c r="AQ2669">
        <v>129</v>
      </c>
      <c r="AR2669">
        <v>-320</v>
      </c>
      <c r="AZ2669">
        <v>3614</v>
      </c>
      <c r="BA2669">
        <v>1</v>
      </c>
      <c r="BB2669" t="str">
        <f t="shared" si="125"/>
        <v xml:space="preserve">N959MJ  </v>
      </c>
      <c r="BC2669">
        <v>1</v>
      </c>
      <c r="BE2669">
        <v>0</v>
      </c>
      <c r="BF2669">
        <v>0</v>
      </c>
      <c r="BG2669">
        <v>0</v>
      </c>
      <c r="BH2669">
        <v>3925</v>
      </c>
      <c r="BI2669">
        <v>225</v>
      </c>
      <c r="BJ2669">
        <v>1</v>
      </c>
      <c r="BK2669">
        <v>1</v>
      </c>
      <c r="BL2669">
        <v>1</v>
      </c>
      <c r="BM2669">
        <v>0</v>
      </c>
      <c r="BP2669">
        <v>0</v>
      </c>
      <c r="BQ2669">
        <v>0</v>
      </c>
      <c r="BX2669" t="str">
        <f>"14:34:50.648"</f>
        <v>14:34:50.648</v>
      </c>
      <c r="BY2669" t="str">
        <f>"646591803"</f>
        <v>646591803</v>
      </c>
      <c r="CL2669">
        <v>0</v>
      </c>
      <c r="CM2669">
        <v>2</v>
      </c>
      <c r="CN2669">
        <v>0</v>
      </c>
      <c r="CO2669">
        <v>2</v>
      </c>
      <c r="CP2669">
        <v>0</v>
      </c>
      <c r="CQ2669">
        <v>5</v>
      </c>
      <c r="CR2669" t="s">
        <v>116</v>
      </c>
      <c r="CS2669">
        <v>408</v>
      </c>
      <c r="CT2669">
        <v>1</v>
      </c>
      <c r="CU2669" t="s">
        <v>2317</v>
      </c>
      <c r="CV2669" t="s">
        <v>2318</v>
      </c>
      <c r="CY2669">
        <v>13461427</v>
      </c>
      <c r="CZ2669" t="s">
        <v>119</v>
      </c>
    </row>
    <row r="2670" spans="1:104" x14ac:dyDescent="0.25">
      <c r="A2670" t="str">
        <f>"14:34:51.766"</f>
        <v>14:34:51.766</v>
      </c>
      <c r="B2670" t="s">
        <v>108</v>
      </c>
      <c r="C2670" t="str">
        <f t="shared" si="124"/>
        <v>ffdfd3c0</v>
      </c>
      <c r="D2670" t="s">
        <v>109</v>
      </c>
      <c r="E2670">
        <v>4</v>
      </c>
      <c r="F2670">
        <v>1004</v>
      </c>
      <c r="G2670" t="s">
        <v>110</v>
      </c>
      <c r="J2670" t="s">
        <v>111</v>
      </c>
      <c r="K2670">
        <v>0</v>
      </c>
      <c r="L2670">
        <v>3</v>
      </c>
      <c r="M2670">
        <v>0</v>
      </c>
      <c r="N2670">
        <v>2</v>
      </c>
      <c r="O2670">
        <v>1</v>
      </c>
      <c r="P2670">
        <v>0</v>
      </c>
      <c r="Q2670">
        <v>0</v>
      </c>
      <c r="R2670" t="s">
        <v>112</v>
      </c>
      <c r="S2670" t="str">
        <f>"14:34:51.578"</f>
        <v>14:34:51.578</v>
      </c>
      <c r="T2670" t="str">
        <f>"14:34:51.180"</f>
        <v>14:34:51.180</v>
      </c>
      <c r="U2670" t="str">
        <f t="shared" si="123"/>
        <v>ad5732</v>
      </c>
      <c r="V2670">
        <v>0</v>
      </c>
      <c r="W2670">
        <v>0</v>
      </c>
      <c r="X2670">
        <v>1</v>
      </c>
      <c r="Z2670">
        <v>0</v>
      </c>
      <c r="AA2670">
        <v>9</v>
      </c>
      <c r="AB2670">
        <v>3</v>
      </c>
      <c r="AC2670">
        <v>0</v>
      </c>
      <c r="AD2670">
        <v>10</v>
      </c>
      <c r="AE2670">
        <v>0</v>
      </c>
      <c r="AF2670">
        <v>3</v>
      </c>
      <c r="AG2670">
        <v>2</v>
      </c>
      <c r="AH2670">
        <v>0</v>
      </c>
      <c r="AI2670" t="s">
        <v>5456</v>
      </c>
      <c r="AJ2670">
        <v>40.186486000000002</v>
      </c>
      <c r="AK2670" t="s">
        <v>5457</v>
      </c>
      <c r="AL2670">
        <v>-75.294306000000006</v>
      </c>
      <c r="AM2670">
        <v>100</v>
      </c>
      <c r="AN2670">
        <v>3700</v>
      </c>
      <c r="AO2670" t="s">
        <v>115</v>
      </c>
      <c r="AP2670">
        <v>138</v>
      </c>
      <c r="AQ2670">
        <v>129</v>
      </c>
      <c r="AR2670">
        <v>-384</v>
      </c>
      <c r="AZ2670">
        <v>3614</v>
      </c>
      <c r="BA2670">
        <v>1</v>
      </c>
      <c r="BB2670" t="str">
        <f t="shared" si="125"/>
        <v xml:space="preserve">N959MJ  </v>
      </c>
      <c r="BC2670">
        <v>1</v>
      </c>
      <c r="BE2670">
        <v>0</v>
      </c>
      <c r="BF2670">
        <v>0</v>
      </c>
      <c r="BG2670">
        <v>0</v>
      </c>
      <c r="BH2670">
        <v>3925</v>
      </c>
      <c r="BI2670">
        <v>225</v>
      </c>
      <c r="BJ2670">
        <v>1</v>
      </c>
      <c r="BK2670">
        <v>1</v>
      </c>
      <c r="BL2670">
        <v>1</v>
      </c>
      <c r="BM2670">
        <v>0</v>
      </c>
      <c r="BP2670">
        <v>0</v>
      </c>
      <c r="BQ2670">
        <v>0</v>
      </c>
      <c r="BX2670" t="str">
        <f>"14:34:51.578"</f>
        <v>14:34:51.578</v>
      </c>
      <c r="BY2670" t="str">
        <f>"578774203"</f>
        <v>578774203</v>
      </c>
      <c r="CL2670">
        <v>0</v>
      </c>
      <c r="CM2670">
        <v>2</v>
      </c>
      <c r="CN2670">
        <v>0</v>
      </c>
      <c r="CO2670">
        <v>2</v>
      </c>
      <c r="CP2670">
        <v>0</v>
      </c>
      <c r="CQ2670">
        <v>7</v>
      </c>
      <c r="CR2670" t="s">
        <v>116</v>
      </c>
      <c r="CS2670">
        <v>39</v>
      </c>
      <c r="CT2670">
        <v>0</v>
      </c>
      <c r="CU2670" t="s">
        <v>2259</v>
      </c>
      <c r="CV2670" t="s">
        <v>2260</v>
      </c>
      <c r="CY2670">
        <v>2233557</v>
      </c>
      <c r="CZ2670" t="s">
        <v>119</v>
      </c>
    </row>
    <row r="2671" spans="1:104" x14ac:dyDescent="0.25">
      <c r="A2671" t="str">
        <f>"14:34:52.836"</f>
        <v>14:34:52.836</v>
      </c>
      <c r="B2671" t="s">
        <v>108</v>
      </c>
      <c r="C2671" t="str">
        <f t="shared" si="124"/>
        <v>ffdfd3c0</v>
      </c>
      <c r="D2671" t="s">
        <v>109</v>
      </c>
      <c r="E2671">
        <v>4</v>
      </c>
      <c r="F2671">
        <v>1004</v>
      </c>
      <c r="G2671" t="s">
        <v>110</v>
      </c>
      <c r="J2671" t="s">
        <v>111</v>
      </c>
      <c r="K2671">
        <v>0</v>
      </c>
      <c r="L2671">
        <v>3</v>
      </c>
      <c r="M2671">
        <v>0</v>
      </c>
      <c r="N2671">
        <v>2</v>
      </c>
      <c r="O2671">
        <v>1</v>
      </c>
      <c r="P2671">
        <v>0</v>
      </c>
      <c r="Q2671">
        <v>0</v>
      </c>
      <c r="R2671" t="s">
        <v>112</v>
      </c>
      <c r="S2671" t="str">
        <f>"14:34:52.625"</f>
        <v>14:34:52.625</v>
      </c>
      <c r="T2671" t="str">
        <f>"14:34:52.125"</f>
        <v>14:34:52.125</v>
      </c>
      <c r="U2671" t="str">
        <f t="shared" si="123"/>
        <v>ad5732</v>
      </c>
      <c r="V2671">
        <v>0</v>
      </c>
      <c r="W2671">
        <v>0</v>
      </c>
      <c r="X2671">
        <v>1</v>
      </c>
      <c r="Z2671">
        <v>0</v>
      </c>
      <c r="AA2671">
        <v>9</v>
      </c>
      <c r="AB2671">
        <v>3</v>
      </c>
      <c r="AC2671">
        <v>0</v>
      </c>
      <c r="AD2671">
        <v>10</v>
      </c>
      <c r="AE2671">
        <v>0</v>
      </c>
      <c r="AF2671">
        <v>3</v>
      </c>
      <c r="AG2671">
        <v>2</v>
      </c>
      <c r="AH2671">
        <v>0</v>
      </c>
      <c r="AI2671" t="s">
        <v>5458</v>
      </c>
      <c r="AJ2671">
        <v>40.187109</v>
      </c>
      <c r="AK2671" t="s">
        <v>5459</v>
      </c>
      <c r="AL2671">
        <v>-75.293362000000002</v>
      </c>
      <c r="AM2671">
        <v>100</v>
      </c>
      <c r="AN2671">
        <v>3700</v>
      </c>
      <c r="AO2671" t="s">
        <v>115</v>
      </c>
      <c r="AP2671">
        <v>138</v>
      </c>
      <c r="AQ2671">
        <v>129</v>
      </c>
      <c r="AR2671">
        <v>-448</v>
      </c>
      <c r="AZ2671">
        <v>3614</v>
      </c>
      <c r="BA2671">
        <v>1</v>
      </c>
      <c r="BB2671" t="str">
        <f t="shared" si="125"/>
        <v xml:space="preserve">N959MJ  </v>
      </c>
      <c r="BC2671">
        <v>1</v>
      </c>
      <c r="BE2671">
        <v>0</v>
      </c>
      <c r="BF2671">
        <v>0</v>
      </c>
      <c r="BG2671">
        <v>0</v>
      </c>
      <c r="BH2671">
        <v>3925</v>
      </c>
      <c r="BI2671">
        <v>225</v>
      </c>
      <c r="BJ2671">
        <v>1</v>
      </c>
      <c r="BK2671">
        <v>1</v>
      </c>
      <c r="BL2671">
        <v>1</v>
      </c>
      <c r="BM2671">
        <v>0</v>
      </c>
      <c r="BP2671">
        <v>0</v>
      </c>
      <c r="BQ2671">
        <v>0</v>
      </c>
      <c r="BX2671" t="str">
        <f>"14:34:52.633"</f>
        <v>14:34:52.633</v>
      </c>
      <c r="BY2671" t="str">
        <f>"629008762"</f>
        <v>629008762</v>
      </c>
      <c r="CL2671">
        <v>0</v>
      </c>
      <c r="CM2671">
        <v>2</v>
      </c>
      <c r="CN2671">
        <v>0</v>
      </c>
      <c r="CO2671">
        <v>2</v>
      </c>
      <c r="CP2671">
        <v>0</v>
      </c>
      <c r="CQ2671">
        <v>5</v>
      </c>
      <c r="CR2671" t="s">
        <v>5173</v>
      </c>
      <c r="CS2671">
        <v>43</v>
      </c>
      <c r="CT2671">
        <v>0</v>
      </c>
      <c r="CU2671" t="s">
        <v>5288</v>
      </c>
      <c r="CV2671" t="s">
        <v>5289</v>
      </c>
      <c r="CY2671">
        <v>8638011</v>
      </c>
      <c r="CZ2671" t="s">
        <v>119</v>
      </c>
    </row>
    <row r="2672" spans="1:104" x14ac:dyDescent="0.25">
      <c r="A2672" t="str">
        <f>"14:34:53.836"</f>
        <v>14:34:53.836</v>
      </c>
      <c r="B2672" t="s">
        <v>108</v>
      </c>
      <c r="C2672" t="str">
        <f t="shared" si="124"/>
        <v>ffdfd3c0</v>
      </c>
      <c r="D2672" t="s">
        <v>109</v>
      </c>
      <c r="E2672">
        <v>4</v>
      </c>
      <c r="F2672">
        <v>1004</v>
      </c>
      <c r="G2672" t="s">
        <v>110</v>
      </c>
      <c r="J2672" t="s">
        <v>111</v>
      </c>
      <c r="K2672">
        <v>0</v>
      </c>
      <c r="L2672">
        <v>3</v>
      </c>
      <c r="M2672">
        <v>0</v>
      </c>
      <c r="N2672">
        <v>2</v>
      </c>
      <c r="O2672">
        <v>1</v>
      </c>
      <c r="P2672">
        <v>0</v>
      </c>
      <c r="Q2672">
        <v>0</v>
      </c>
      <c r="R2672" t="s">
        <v>112</v>
      </c>
      <c r="S2672" t="str">
        <f>"14:34:53.664"</f>
        <v>14:34:53.664</v>
      </c>
      <c r="T2672" t="str">
        <f>"14:34:53.164"</f>
        <v>14:34:53.164</v>
      </c>
      <c r="U2672" t="str">
        <f t="shared" si="123"/>
        <v>ad5732</v>
      </c>
      <c r="V2672">
        <v>0</v>
      </c>
      <c r="W2672">
        <v>0</v>
      </c>
      <c r="X2672">
        <v>1</v>
      </c>
      <c r="Z2672">
        <v>0</v>
      </c>
      <c r="AA2672">
        <v>9</v>
      </c>
      <c r="AB2672">
        <v>3</v>
      </c>
      <c r="AC2672">
        <v>0</v>
      </c>
      <c r="AD2672">
        <v>10</v>
      </c>
      <c r="AE2672">
        <v>0</v>
      </c>
      <c r="AF2672">
        <v>3</v>
      </c>
      <c r="AG2672">
        <v>2</v>
      </c>
      <c r="AH2672">
        <v>0</v>
      </c>
      <c r="AI2672" t="s">
        <v>5460</v>
      </c>
      <c r="AJ2672">
        <v>40.187708999999998</v>
      </c>
      <c r="AK2672" t="s">
        <v>5461</v>
      </c>
      <c r="AL2672">
        <v>-75.292546999999999</v>
      </c>
      <c r="AM2672">
        <v>100</v>
      </c>
      <c r="AN2672">
        <v>3700</v>
      </c>
      <c r="AO2672" t="s">
        <v>115</v>
      </c>
      <c r="AP2672">
        <v>138</v>
      </c>
      <c r="AQ2672">
        <v>129</v>
      </c>
      <c r="AR2672">
        <v>-384</v>
      </c>
      <c r="AZ2672">
        <v>3614</v>
      </c>
      <c r="BA2672">
        <v>1</v>
      </c>
      <c r="BB2672" t="str">
        <f t="shared" si="125"/>
        <v xml:space="preserve">N959MJ  </v>
      </c>
      <c r="BC2672">
        <v>1</v>
      </c>
      <c r="BE2672">
        <v>0</v>
      </c>
      <c r="BF2672">
        <v>0</v>
      </c>
      <c r="BG2672">
        <v>0</v>
      </c>
      <c r="BH2672">
        <v>3900</v>
      </c>
      <c r="BI2672">
        <v>200</v>
      </c>
      <c r="BJ2672">
        <v>1</v>
      </c>
      <c r="BK2672">
        <v>1</v>
      </c>
      <c r="BL2672">
        <v>1</v>
      </c>
      <c r="BM2672">
        <v>0</v>
      </c>
      <c r="BP2672">
        <v>0</v>
      </c>
      <c r="BQ2672">
        <v>0</v>
      </c>
      <c r="BX2672" t="str">
        <f>"14:34:53.664"</f>
        <v>14:34:53.664</v>
      </c>
      <c r="BY2672" t="str">
        <f>"664494269"</f>
        <v>664494269</v>
      </c>
      <c r="CL2672">
        <v>0</v>
      </c>
      <c r="CM2672">
        <v>2</v>
      </c>
      <c r="CN2672">
        <v>0</v>
      </c>
      <c r="CO2672">
        <v>2</v>
      </c>
      <c r="CP2672">
        <v>0</v>
      </c>
      <c r="CQ2672">
        <v>7</v>
      </c>
      <c r="CR2672" t="s">
        <v>116</v>
      </c>
      <c r="CS2672">
        <v>39</v>
      </c>
      <c r="CT2672">
        <v>0</v>
      </c>
      <c r="CU2672" t="s">
        <v>2259</v>
      </c>
      <c r="CV2672" t="s">
        <v>2260</v>
      </c>
      <c r="CY2672">
        <v>2237125</v>
      </c>
      <c r="CZ2672" t="s">
        <v>119</v>
      </c>
    </row>
    <row r="2673" spans="1:104" x14ac:dyDescent="0.25">
      <c r="A2673" t="str">
        <f>"14:34:54.750"</f>
        <v>14:34:54.750</v>
      </c>
      <c r="B2673" t="s">
        <v>108</v>
      </c>
      <c r="C2673" t="str">
        <f t="shared" si="124"/>
        <v>ffdfd3c0</v>
      </c>
      <c r="D2673" t="s">
        <v>109</v>
      </c>
      <c r="E2673">
        <v>4</v>
      </c>
      <c r="F2673">
        <v>1004</v>
      </c>
      <c r="G2673" t="s">
        <v>110</v>
      </c>
      <c r="J2673" t="s">
        <v>111</v>
      </c>
      <c r="K2673">
        <v>0</v>
      </c>
      <c r="L2673">
        <v>3</v>
      </c>
      <c r="M2673">
        <v>0</v>
      </c>
      <c r="N2673">
        <v>2</v>
      </c>
      <c r="O2673">
        <v>1</v>
      </c>
      <c r="P2673">
        <v>0</v>
      </c>
      <c r="Q2673">
        <v>0</v>
      </c>
      <c r="R2673" t="s">
        <v>112</v>
      </c>
      <c r="S2673" t="str">
        <f>"14:34:54.594"</f>
        <v>14:34:54.594</v>
      </c>
      <c r="T2673" t="str">
        <f>"14:34:54.094"</f>
        <v>14:34:54.094</v>
      </c>
      <c r="U2673" t="str">
        <f t="shared" si="123"/>
        <v>ad5732</v>
      </c>
      <c r="V2673">
        <v>0</v>
      </c>
      <c r="W2673">
        <v>0</v>
      </c>
      <c r="X2673">
        <v>1</v>
      </c>
      <c r="Z2673">
        <v>0</v>
      </c>
      <c r="AA2673">
        <v>9</v>
      </c>
      <c r="AB2673">
        <v>3</v>
      </c>
      <c r="AC2673">
        <v>0</v>
      </c>
      <c r="AD2673">
        <v>10</v>
      </c>
      <c r="AE2673">
        <v>0</v>
      </c>
      <c r="AF2673">
        <v>3</v>
      </c>
      <c r="AG2673">
        <v>2</v>
      </c>
      <c r="AH2673">
        <v>0</v>
      </c>
      <c r="AI2673" t="s">
        <v>5462</v>
      </c>
      <c r="AJ2673">
        <v>40.188267000000003</v>
      </c>
      <c r="AK2673" t="s">
        <v>5463</v>
      </c>
      <c r="AL2673">
        <v>-75.291816999999995</v>
      </c>
      <c r="AM2673">
        <v>100</v>
      </c>
      <c r="AN2673">
        <v>3700</v>
      </c>
      <c r="AO2673" t="s">
        <v>115</v>
      </c>
      <c r="AP2673">
        <v>138</v>
      </c>
      <c r="AQ2673">
        <v>129</v>
      </c>
      <c r="AR2673">
        <v>-384</v>
      </c>
      <c r="AZ2673">
        <v>3614</v>
      </c>
      <c r="BA2673">
        <v>1</v>
      </c>
      <c r="BB2673" t="str">
        <f t="shared" si="125"/>
        <v xml:space="preserve">N959MJ  </v>
      </c>
      <c r="BC2673">
        <v>1</v>
      </c>
      <c r="BE2673">
        <v>0</v>
      </c>
      <c r="BF2673">
        <v>0</v>
      </c>
      <c r="BG2673">
        <v>0</v>
      </c>
      <c r="BH2673">
        <v>3900</v>
      </c>
      <c r="BI2673">
        <v>200</v>
      </c>
      <c r="BJ2673">
        <v>1</v>
      </c>
      <c r="BK2673">
        <v>1</v>
      </c>
      <c r="BL2673">
        <v>1</v>
      </c>
      <c r="BM2673">
        <v>0</v>
      </c>
      <c r="BP2673">
        <v>0</v>
      </c>
      <c r="BQ2673">
        <v>0</v>
      </c>
      <c r="BX2673" t="str">
        <f>"14:34:54.594"</f>
        <v>14:34:54.594</v>
      </c>
      <c r="BY2673" t="str">
        <f>"596760426"</f>
        <v>596760426</v>
      </c>
      <c r="CL2673">
        <v>0</v>
      </c>
      <c r="CM2673">
        <v>2</v>
      </c>
      <c r="CN2673">
        <v>0</v>
      </c>
      <c r="CO2673">
        <v>2</v>
      </c>
      <c r="CP2673">
        <v>0</v>
      </c>
      <c r="CQ2673">
        <v>6</v>
      </c>
      <c r="CR2673" t="s">
        <v>116</v>
      </c>
      <c r="CS2673">
        <v>39</v>
      </c>
      <c r="CT2673">
        <v>0</v>
      </c>
      <c r="CU2673" t="s">
        <v>2259</v>
      </c>
      <c r="CV2673" t="s">
        <v>2260</v>
      </c>
      <c r="CY2673">
        <v>2238572</v>
      </c>
      <c r="CZ2673" t="s">
        <v>119</v>
      </c>
    </row>
    <row r="2674" spans="1:104" x14ac:dyDescent="0.25">
      <c r="A2674" t="str">
        <f>"14:34:55.656"</f>
        <v>14:34:55.656</v>
      </c>
      <c r="B2674" t="s">
        <v>108</v>
      </c>
      <c r="C2674" t="str">
        <f t="shared" si="124"/>
        <v>ffdfd3c0</v>
      </c>
      <c r="D2674" t="s">
        <v>109</v>
      </c>
      <c r="E2674">
        <v>4</v>
      </c>
      <c r="F2674">
        <v>1004</v>
      </c>
      <c r="G2674" t="s">
        <v>110</v>
      </c>
      <c r="J2674" t="s">
        <v>111</v>
      </c>
      <c r="K2674">
        <v>0</v>
      </c>
      <c r="L2674">
        <v>3</v>
      </c>
      <c r="M2674">
        <v>0</v>
      </c>
      <c r="N2674">
        <v>2</v>
      </c>
      <c r="O2674">
        <v>1</v>
      </c>
      <c r="P2674">
        <v>0</v>
      </c>
      <c r="Q2674">
        <v>0</v>
      </c>
      <c r="R2674" t="s">
        <v>112</v>
      </c>
      <c r="S2674" t="str">
        <f>"14:34:55.477"</f>
        <v>14:34:55.477</v>
      </c>
      <c r="T2674" t="str">
        <f>"14:34:55.078"</f>
        <v>14:34:55.078</v>
      </c>
      <c r="U2674" t="str">
        <f t="shared" si="123"/>
        <v>ad5732</v>
      </c>
      <c r="V2674">
        <v>0</v>
      </c>
      <c r="W2674">
        <v>0</v>
      </c>
      <c r="X2674">
        <v>1</v>
      </c>
      <c r="Z2674">
        <v>0</v>
      </c>
      <c r="AA2674">
        <v>9</v>
      </c>
      <c r="AB2674">
        <v>3</v>
      </c>
      <c r="AC2674">
        <v>0</v>
      </c>
      <c r="AD2674">
        <v>10</v>
      </c>
      <c r="AE2674">
        <v>0</v>
      </c>
      <c r="AF2674">
        <v>3</v>
      </c>
      <c r="AG2674">
        <v>2</v>
      </c>
      <c r="AH2674">
        <v>0</v>
      </c>
      <c r="AI2674" t="s">
        <v>5464</v>
      </c>
      <c r="AJ2674">
        <v>40.188782000000003</v>
      </c>
      <c r="AK2674" t="s">
        <v>5465</v>
      </c>
      <c r="AL2674">
        <v>-75.291044999999997</v>
      </c>
      <c r="AM2674">
        <v>100</v>
      </c>
      <c r="AN2674">
        <v>3700</v>
      </c>
      <c r="AO2674" t="s">
        <v>115</v>
      </c>
      <c r="AP2674">
        <v>138</v>
      </c>
      <c r="AQ2674">
        <v>129</v>
      </c>
      <c r="AR2674">
        <v>-384</v>
      </c>
      <c r="AZ2674">
        <v>3614</v>
      </c>
      <c r="BA2674">
        <v>1</v>
      </c>
      <c r="BB2674" t="str">
        <f t="shared" si="125"/>
        <v xml:space="preserve">N959MJ  </v>
      </c>
      <c r="BC2674">
        <v>1</v>
      </c>
      <c r="BE2674">
        <v>0</v>
      </c>
      <c r="BF2674">
        <v>0</v>
      </c>
      <c r="BG2674">
        <v>0</v>
      </c>
      <c r="BH2674">
        <v>3900</v>
      </c>
      <c r="BI2674">
        <v>200</v>
      </c>
      <c r="BJ2674">
        <v>1</v>
      </c>
      <c r="BK2674">
        <v>1</v>
      </c>
      <c r="BL2674">
        <v>1</v>
      </c>
      <c r="BM2674">
        <v>0</v>
      </c>
      <c r="BP2674">
        <v>0</v>
      </c>
      <c r="BQ2674">
        <v>0</v>
      </c>
      <c r="BX2674" t="str">
        <f>"14:34:55.477"</f>
        <v>14:34:55.477</v>
      </c>
      <c r="BY2674" t="str">
        <f>"479890570"</f>
        <v>479890570</v>
      </c>
      <c r="CL2674">
        <v>0</v>
      </c>
      <c r="CM2674">
        <v>2</v>
      </c>
      <c r="CN2674">
        <v>0</v>
      </c>
      <c r="CO2674">
        <v>2</v>
      </c>
      <c r="CP2674">
        <v>0</v>
      </c>
      <c r="CQ2674">
        <v>5</v>
      </c>
      <c r="CR2674" t="s">
        <v>116</v>
      </c>
      <c r="CS2674">
        <v>38</v>
      </c>
      <c r="CT2674">
        <v>2</v>
      </c>
      <c r="CU2674" t="s">
        <v>4719</v>
      </c>
      <c r="CV2674" t="s">
        <v>4720</v>
      </c>
      <c r="CY2674">
        <v>10262399</v>
      </c>
      <c r="CZ2674" t="s">
        <v>119</v>
      </c>
    </row>
    <row r="2675" spans="1:104" x14ac:dyDescent="0.25">
      <c r="A2675" t="str">
        <f>"14:34:56.711"</f>
        <v>14:34:56.711</v>
      </c>
      <c r="B2675" t="s">
        <v>108</v>
      </c>
      <c r="C2675" t="str">
        <f t="shared" si="124"/>
        <v>ffdfd3c0</v>
      </c>
      <c r="D2675" t="s">
        <v>109</v>
      </c>
      <c r="E2675">
        <v>4</v>
      </c>
      <c r="F2675">
        <v>1004</v>
      </c>
      <c r="G2675" t="s">
        <v>110</v>
      </c>
      <c r="J2675" t="s">
        <v>111</v>
      </c>
      <c r="K2675">
        <v>0</v>
      </c>
      <c r="L2675">
        <v>3</v>
      </c>
      <c r="M2675">
        <v>0</v>
      </c>
      <c r="N2675">
        <v>2</v>
      </c>
      <c r="O2675">
        <v>1</v>
      </c>
      <c r="P2675">
        <v>0</v>
      </c>
      <c r="Q2675">
        <v>0</v>
      </c>
      <c r="R2675" t="s">
        <v>112</v>
      </c>
      <c r="S2675" t="str">
        <f>"14:34:56.516"</f>
        <v>14:34:56.516</v>
      </c>
      <c r="T2675" t="str">
        <f>"14:34:56.016"</f>
        <v>14:34:56.016</v>
      </c>
      <c r="U2675" t="str">
        <f t="shared" si="123"/>
        <v>ad5732</v>
      </c>
      <c r="V2675">
        <v>0</v>
      </c>
      <c r="W2675">
        <v>0</v>
      </c>
      <c r="X2675">
        <v>1</v>
      </c>
      <c r="Z2675">
        <v>0</v>
      </c>
      <c r="AA2675">
        <v>9</v>
      </c>
      <c r="AB2675">
        <v>3</v>
      </c>
      <c r="AC2675">
        <v>0</v>
      </c>
      <c r="AD2675">
        <v>10</v>
      </c>
      <c r="AE2675">
        <v>0</v>
      </c>
      <c r="AF2675">
        <v>3</v>
      </c>
      <c r="AG2675">
        <v>2</v>
      </c>
      <c r="AH2675">
        <v>0</v>
      </c>
      <c r="AI2675" t="s">
        <v>5466</v>
      </c>
      <c r="AJ2675">
        <v>40.189447000000001</v>
      </c>
      <c r="AK2675" t="s">
        <v>5467</v>
      </c>
      <c r="AL2675">
        <v>-75.290101000000007</v>
      </c>
      <c r="AM2675">
        <v>100</v>
      </c>
      <c r="AN2675">
        <v>3700</v>
      </c>
      <c r="AO2675" t="s">
        <v>115</v>
      </c>
      <c r="AP2675">
        <v>138</v>
      </c>
      <c r="AQ2675">
        <v>129</v>
      </c>
      <c r="AR2675">
        <v>-384</v>
      </c>
      <c r="AZ2675">
        <v>3614</v>
      </c>
      <c r="BA2675">
        <v>1</v>
      </c>
      <c r="BB2675" t="str">
        <f t="shared" si="125"/>
        <v xml:space="preserve">N959MJ  </v>
      </c>
      <c r="BC2675">
        <v>1</v>
      </c>
      <c r="BE2675">
        <v>0</v>
      </c>
      <c r="BF2675">
        <v>0</v>
      </c>
      <c r="BG2675">
        <v>0</v>
      </c>
      <c r="BH2675">
        <v>3875</v>
      </c>
      <c r="BI2675">
        <v>175</v>
      </c>
      <c r="BJ2675">
        <v>1</v>
      </c>
      <c r="BK2675">
        <v>1</v>
      </c>
      <c r="BL2675">
        <v>1</v>
      </c>
      <c r="BM2675">
        <v>0</v>
      </c>
      <c r="BP2675">
        <v>0</v>
      </c>
      <c r="BQ2675">
        <v>0</v>
      </c>
      <c r="BX2675" t="str">
        <f>"14:34:56.523"</f>
        <v>14:34:56.523</v>
      </c>
      <c r="BY2675" t="str">
        <f>"521916918"</f>
        <v>521916918</v>
      </c>
      <c r="CL2675">
        <v>0</v>
      </c>
      <c r="CM2675">
        <v>2</v>
      </c>
      <c r="CN2675">
        <v>0</v>
      </c>
      <c r="CO2675">
        <v>2</v>
      </c>
      <c r="CP2675">
        <v>0</v>
      </c>
      <c r="CQ2675">
        <v>6</v>
      </c>
      <c r="CR2675" t="s">
        <v>116</v>
      </c>
      <c r="CS2675">
        <v>39</v>
      </c>
      <c r="CT2675">
        <v>0</v>
      </c>
      <c r="CU2675" t="s">
        <v>2259</v>
      </c>
      <c r="CV2675" t="s">
        <v>2260</v>
      </c>
      <c r="CY2675">
        <v>2241555</v>
      </c>
      <c r="CZ2675" t="s">
        <v>119</v>
      </c>
    </row>
    <row r="2676" spans="1:104" x14ac:dyDescent="0.25">
      <c r="A2676" t="str">
        <f>"14:34:57.570"</f>
        <v>14:34:57.570</v>
      </c>
      <c r="B2676" t="s">
        <v>108</v>
      </c>
      <c r="C2676" t="str">
        <f t="shared" si="124"/>
        <v>ffdfd3c0</v>
      </c>
      <c r="D2676" t="s">
        <v>109</v>
      </c>
      <c r="E2676">
        <v>4</v>
      </c>
      <c r="F2676">
        <v>1004</v>
      </c>
      <c r="G2676" t="s">
        <v>110</v>
      </c>
      <c r="J2676" t="s">
        <v>111</v>
      </c>
      <c r="K2676">
        <v>0</v>
      </c>
      <c r="L2676">
        <v>3</v>
      </c>
      <c r="M2676">
        <v>0</v>
      </c>
      <c r="N2676">
        <v>2</v>
      </c>
      <c r="O2676">
        <v>1</v>
      </c>
      <c r="P2676">
        <v>0</v>
      </c>
      <c r="Q2676">
        <v>0</v>
      </c>
      <c r="R2676" t="s">
        <v>112</v>
      </c>
      <c r="S2676" t="str">
        <f>"14:34:57.398"</f>
        <v>14:34:57.398</v>
      </c>
      <c r="T2676" t="str">
        <f>"14:34:57.000"</f>
        <v>14:34:57.000</v>
      </c>
      <c r="U2676" t="str">
        <f t="shared" si="123"/>
        <v>ad5732</v>
      </c>
      <c r="V2676">
        <v>0</v>
      </c>
      <c r="W2676">
        <v>0</v>
      </c>
      <c r="X2676">
        <v>1</v>
      </c>
      <c r="Z2676">
        <v>0</v>
      </c>
      <c r="AA2676">
        <v>9</v>
      </c>
      <c r="AB2676">
        <v>3</v>
      </c>
      <c r="AC2676">
        <v>0</v>
      </c>
      <c r="AD2676">
        <v>10</v>
      </c>
      <c r="AE2676">
        <v>0</v>
      </c>
      <c r="AF2676">
        <v>3</v>
      </c>
      <c r="AG2676">
        <v>2</v>
      </c>
      <c r="AH2676">
        <v>0</v>
      </c>
      <c r="AI2676" t="s">
        <v>5468</v>
      </c>
      <c r="AJ2676">
        <v>40.189919000000003</v>
      </c>
      <c r="AK2676" t="s">
        <v>5469</v>
      </c>
      <c r="AL2676">
        <v>-75.289434999999997</v>
      </c>
      <c r="AM2676">
        <v>100</v>
      </c>
      <c r="AN2676">
        <v>3700</v>
      </c>
      <c r="AO2676" t="s">
        <v>115</v>
      </c>
      <c r="AP2676">
        <v>138</v>
      </c>
      <c r="AQ2676">
        <v>129</v>
      </c>
      <c r="AR2676">
        <v>-384</v>
      </c>
      <c r="AZ2676">
        <v>3614</v>
      </c>
      <c r="BA2676">
        <v>1</v>
      </c>
      <c r="BB2676" t="str">
        <f t="shared" si="125"/>
        <v xml:space="preserve">N959MJ  </v>
      </c>
      <c r="BC2676">
        <v>1</v>
      </c>
      <c r="BE2676">
        <v>0</v>
      </c>
      <c r="BF2676">
        <v>0</v>
      </c>
      <c r="BG2676">
        <v>0</v>
      </c>
      <c r="BH2676">
        <v>3875</v>
      </c>
      <c r="BI2676">
        <v>175</v>
      </c>
      <c r="BJ2676">
        <v>1</v>
      </c>
      <c r="BK2676">
        <v>1</v>
      </c>
      <c r="BL2676">
        <v>1</v>
      </c>
      <c r="BM2676">
        <v>0</v>
      </c>
      <c r="BP2676">
        <v>0</v>
      </c>
      <c r="BQ2676">
        <v>0</v>
      </c>
      <c r="BX2676" t="str">
        <f>"14:34:57.398"</f>
        <v>14:34:57.398</v>
      </c>
      <c r="BY2676" t="str">
        <f>"398473868"</f>
        <v>398473868</v>
      </c>
      <c r="CL2676">
        <v>0</v>
      </c>
      <c r="CM2676">
        <v>2</v>
      </c>
      <c r="CN2676">
        <v>0</v>
      </c>
      <c r="CO2676">
        <v>2</v>
      </c>
      <c r="CP2676">
        <v>0</v>
      </c>
      <c r="CQ2676">
        <v>6</v>
      </c>
      <c r="CR2676" t="s">
        <v>116</v>
      </c>
      <c r="CS2676">
        <v>39</v>
      </c>
      <c r="CT2676">
        <v>0</v>
      </c>
      <c r="CU2676" t="s">
        <v>2259</v>
      </c>
      <c r="CV2676" t="s">
        <v>2260</v>
      </c>
      <c r="CY2676">
        <v>2243033</v>
      </c>
      <c r="CZ2676" t="s">
        <v>119</v>
      </c>
    </row>
    <row r="2677" spans="1:104" x14ac:dyDescent="0.25">
      <c r="A2677" t="str">
        <f>"14:34:58.531"</f>
        <v>14:34:58.531</v>
      </c>
      <c r="B2677" t="s">
        <v>108</v>
      </c>
      <c r="C2677" t="str">
        <f t="shared" si="124"/>
        <v>ffdfd3c0</v>
      </c>
      <c r="D2677" t="s">
        <v>109</v>
      </c>
      <c r="E2677">
        <v>4</v>
      </c>
      <c r="F2677">
        <v>1004</v>
      </c>
      <c r="G2677" t="s">
        <v>110</v>
      </c>
      <c r="J2677" t="s">
        <v>111</v>
      </c>
      <c r="K2677">
        <v>0</v>
      </c>
      <c r="L2677">
        <v>3</v>
      </c>
      <c r="M2677">
        <v>0</v>
      </c>
      <c r="N2677">
        <v>2</v>
      </c>
      <c r="O2677">
        <v>1</v>
      </c>
      <c r="P2677">
        <v>0</v>
      </c>
      <c r="Q2677">
        <v>0</v>
      </c>
      <c r="R2677" t="s">
        <v>112</v>
      </c>
      <c r="S2677" t="str">
        <f>"14:34:58.344"</f>
        <v>14:34:58.344</v>
      </c>
      <c r="T2677" t="str">
        <f>"14:34:57.844"</f>
        <v>14:34:57.844</v>
      </c>
      <c r="U2677" t="str">
        <f t="shared" si="123"/>
        <v>ad5732</v>
      </c>
      <c r="V2677">
        <v>0</v>
      </c>
      <c r="W2677">
        <v>0</v>
      </c>
      <c r="X2677">
        <v>1</v>
      </c>
      <c r="Z2677">
        <v>0</v>
      </c>
      <c r="AA2677">
        <v>9</v>
      </c>
      <c r="AB2677">
        <v>3</v>
      </c>
      <c r="AC2677">
        <v>0</v>
      </c>
      <c r="AD2677">
        <v>10</v>
      </c>
      <c r="AE2677">
        <v>0</v>
      </c>
      <c r="AF2677">
        <v>3</v>
      </c>
      <c r="AG2677">
        <v>2</v>
      </c>
      <c r="AH2677">
        <v>0</v>
      </c>
      <c r="AI2677" t="s">
        <v>5470</v>
      </c>
      <c r="AJ2677">
        <v>40.190499000000003</v>
      </c>
      <c r="AK2677" t="s">
        <v>5471</v>
      </c>
      <c r="AL2677">
        <v>-75.288640999999998</v>
      </c>
      <c r="AM2677">
        <v>100</v>
      </c>
      <c r="AN2677">
        <v>3700</v>
      </c>
      <c r="AO2677" t="s">
        <v>115</v>
      </c>
      <c r="AP2677">
        <v>138</v>
      </c>
      <c r="AQ2677">
        <v>129</v>
      </c>
      <c r="AR2677">
        <v>-384</v>
      </c>
      <c r="AZ2677">
        <v>3614</v>
      </c>
      <c r="BA2677">
        <v>1</v>
      </c>
      <c r="BB2677" t="str">
        <f t="shared" si="125"/>
        <v xml:space="preserve">N959MJ  </v>
      </c>
      <c r="BC2677">
        <v>1</v>
      </c>
      <c r="BE2677">
        <v>0</v>
      </c>
      <c r="BF2677">
        <v>0</v>
      </c>
      <c r="BG2677">
        <v>0</v>
      </c>
      <c r="BH2677">
        <v>3875</v>
      </c>
      <c r="BI2677">
        <v>175</v>
      </c>
      <c r="BJ2677">
        <v>1</v>
      </c>
      <c r="BK2677">
        <v>1</v>
      </c>
      <c r="BL2677">
        <v>1</v>
      </c>
      <c r="BM2677">
        <v>0</v>
      </c>
      <c r="BP2677">
        <v>0</v>
      </c>
      <c r="BQ2677">
        <v>0</v>
      </c>
      <c r="BX2677" t="str">
        <f>"14:34:58.352"</f>
        <v>14:34:58.352</v>
      </c>
      <c r="BY2677" t="str">
        <f>"348762655"</f>
        <v>348762655</v>
      </c>
      <c r="CL2677">
        <v>0</v>
      </c>
      <c r="CM2677">
        <v>2</v>
      </c>
      <c r="CN2677">
        <v>0</v>
      </c>
      <c r="CO2677">
        <v>2</v>
      </c>
      <c r="CP2677">
        <v>0</v>
      </c>
      <c r="CQ2677">
        <v>6</v>
      </c>
      <c r="CR2677" t="s">
        <v>116</v>
      </c>
      <c r="CS2677">
        <v>39</v>
      </c>
      <c r="CT2677">
        <v>0</v>
      </c>
      <c r="CU2677" t="s">
        <v>2259</v>
      </c>
      <c r="CV2677" t="s">
        <v>2260</v>
      </c>
      <c r="CY2677">
        <v>2244666</v>
      </c>
      <c r="CZ2677" t="s">
        <v>119</v>
      </c>
    </row>
    <row r="2678" spans="1:104" x14ac:dyDescent="0.25">
      <c r="A2678" t="str">
        <f>"14:34:59.391"</f>
        <v>14:34:59.391</v>
      </c>
      <c r="B2678" t="s">
        <v>108</v>
      </c>
      <c r="C2678" t="str">
        <f t="shared" si="124"/>
        <v>ffdfd3c0</v>
      </c>
      <c r="D2678" t="s">
        <v>109</v>
      </c>
      <c r="E2678">
        <v>4</v>
      </c>
      <c r="F2678">
        <v>1004</v>
      </c>
      <c r="G2678" t="s">
        <v>110</v>
      </c>
      <c r="J2678" t="s">
        <v>111</v>
      </c>
      <c r="K2678">
        <v>0</v>
      </c>
      <c r="L2678">
        <v>3</v>
      </c>
      <c r="M2678">
        <v>0</v>
      </c>
      <c r="N2678">
        <v>2</v>
      </c>
      <c r="O2678">
        <v>1</v>
      </c>
      <c r="P2678">
        <v>0</v>
      </c>
      <c r="Q2678">
        <v>0</v>
      </c>
      <c r="R2678" t="s">
        <v>112</v>
      </c>
      <c r="S2678" t="str">
        <f>"14:34:59.227"</f>
        <v>14:34:59.227</v>
      </c>
      <c r="T2678" t="str">
        <f>"14:34:58.828"</f>
        <v>14:34:58.828</v>
      </c>
      <c r="U2678" t="str">
        <f t="shared" si="123"/>
        <v>ad5732</v>
      </c>
      <c r="V2678">
        <v>0</v>
      </c>
      <c r="W2678">
        <v>0</v>
      </c>
      <c r="X2678">
        <v>1</v>
      </c>
      <c r="Z2678">
        <v>0</v>
      </c>
      <c r="AA2678">
        <v>9</v>
      </c>
      <c r="AB2678">
        <v>3</v>
      </c>
      <c r="AC2678">
        <v>0</v>
      </c>
      <c r="AD2678">
        <v>10</v>
      </c>
      <c r="AE2678">
        <v>0</v>
      </c>
      <c r="AF2678">
        <v>3</v>
      </c>
      <c r="AG2678">
        <v>2</v>
      </c>
      <c r="AH2678">
        <v>0</v>
      </c>
      <c r="AI2678" t="s">
        <v>5472</v>
      </c>
      <c r="AJ2678">
        <v>40.191057000000001</v>
      </c>
      <c r="AK2678" t="s">
        <v>5473</v>
      </c>
      <c r="AL2678">
        <v>-75.287869000000001</v>
      </c>
      <c r="AM2678">
        <v>100</v>
      </c>
      <c r="AN2678">
        <v>3700</v>
      </c>
      <c r="AO2678" t="s">
        <v>115</v>
      </c>
      <c r="AP2678">
        <v>138</v>
      </c>
      <c r="AQ2678">
        <v>129</v>
      </c>
      <c r="AR2678">
        <v>-384</v>
      </c>
      <c r="AZ2678">
        <v>3614</v>
      </c>
      <c r="BA2678">
        <v>1</v>
      </c>
      <c r="BB2678" t="str">
        <f t="shared" si="125"/>
        <v xml:space="preserve">N959MJ  </v>
      </c>
      <c r="BC2678">
        <v>1</v>
      </c>
      <c r="BE2678">
        <v>0</v>
      </c>
      <c r="BF2678">
        <v>0</v>
      </c>
      <c r="BG2678">
        <v>0</v>
      </c>
      <c r="BH2678">
        <v>3875</v>
      </c>
      <c r="BI2678">
        <v>175</v>
      </c>
      <c r="BJ2678">
        <v>1</v>
      </c>
      <c r="BK2678">
        <v>1</v>
      </c>
      <c r="BL2678">
        <v>1</v>
      </c>
      <c r="BM2678">
        <v>0</v>
      </c>
      <c r="BP2678">
        <v>0</v>
      </c>
      <c r="BQ2678">
        <v>0</v>
      </c>
      <c r="BX2678" t="str">
        <f>"14:34:59.227"</f>
        <v>14:34:59.227</v>
      </c>
      <c r="BY2678" t="str">
        <f>"228599012"</f>
        <v>228599012</v>
      </c>
      <c r="CL2678">
        <v>0</v>
      </c>
      <c r="CM2678">
        <v>2</v>
      </c>
      <c r="CN2678">
        <v>0</v>
      </c>
      <c r="CO2678">
        <v>2</v>
      </c>
      <c r="CP2678">
        <v>0</v>
      </c>
      <c r="CQ2678">
        <v>6</v>
      </c>
      <c r="CR2678" t="s">
        <v>116</v>
      </c>
      <c r="CS2678">
        <v>39</v>
      </c>
      <c r="CT2678">
        <v>0</v>
      </c>
      <c r="CU2678" t="s">
        <v>2259</v>
      </c>
      <c r="CV2678" t="s">
        <v>2260</v>
      </c>
      <c r="CY2678">
        <v>2246011</v>
      </c>
      <c r="CZ2678" t="s">
        <v>119</v>
      </c>
    </row>
    <row r="2679" spans="1:104" x14ac:dyDescent="0.25">
      <c r="A2679" t="str">
        <f>"14:35:00.453"</f>
        <v>14:35:00.453</v>
      </c>
      <c r="B2679" t="s">
        <v>108</v>
      </c>
      <c r="C2679" t="str">
        <f t="shared" si="124"/>
        <v>ffdfd3c0</v>
      </c>
      <c r="D2679" t="s">
        <v>109</v>
      </c>
      <c r="E2679">
        <v>4</v>
      </c>
      <c r="F2679">
        <v>1004</v>
      </c>
      <c r="G2679" t="s">
        <v>110</v>
      </c>
      <c r="J2679" t="s">
        <v>111</v>
      </c>
      <c r="K2679">
        <v>0</v>
      </c>
      <c r="L2679">
        <v>3</v>
      </c>
      <c r="M2679">
        <v>0</v>
      </c>
      <c r="N2679">
        <v>2</v>
      </c>
      <c r="O2679">
        <v>1</v>
      </c>
      <c r="P2679">
        <v>0</v>
      </c>
      <c r="Q2679">
        <v>0</v>
      </c>
      <c r="R2679" t="s">
        <v>112</v>
      </c>
      <c r="S2679" t="str">
        <f>"14:35:00.273"</f>
        <v>14:35:00.273</v>
      </c>
      <c r="T2679" t="str">
        <f>"14:34:59.875"</f>
        <v>14:34:59.875</v>
      </c>
      <c r="U2679" t="str">
        <f t="shared" si="123"/>
        <v>ad5732</v>
      </c>
      <c r="V2679">
        <v>0</v>
      </c>
      <c r="W2679">
        <v>0</v>
      </c>
      <c r="X2679">
        <v>1</v>
      </c>
      <c r="Z2679">
        <v>0</v>
      </c>
      <c r="AA2679">
        <v>9</v>
      </c>
      <c r="AB2679">
        <v>3</v>
      </c>
      <c r="AC2679">
        <v>0</v>
      </c>
      <c r="AD2679">
        <v>10</v>
      </c>
      <c r="AE2679">
        <v>0</v>
      </c>
      <c r="AF2679">
        <v>3</v>
      </c>
      <c r="AG2679">
        <v>2</v>
      </c>
      <c r="AH2679">
        <v>0</v>
      </c>
      <c r="AI2679" t="s">
        <v>5474</v>
      </c>
      <c r="AJ2679">
        <v>40.191657999999997</v>
      </c>
      <c r="AK2679" t="s">
        <v>5475</v>
      </c>
      <c r="AL2679">
        <v>-75.287053999999998</v>
      </c>
      <c r="AM2679">
        <v>100</v>
      </c>
      <c r="AN2679">
        <v>3700</v>
      </c>
      <c r="AO2679" t="s">
        <v>115</v>
      </c>
      <c r="AP2679">
        <v>138</v>
      </c>
      <c r="AQ2679">
        <v>129</v>
      </c>
      <c r="AR2679">
        <v>-384</v>
      </c>
      <c r="AZ2679">
        <v>3614</v>
      </c>
      <c r="BA2679">
        <v>1</v>
      </c>
      <c r="BB2679" t="str">
        <f t="shared" si="125"/>
        <v xml:space="preserve">N959MJ  </v>
      </c>
      <c r="BC2679">
        <v>1</v>
      </c>
      <c r="BE2679">
        <v>0</v>
      </c>
      <c r="BF2679">
        <v>0</v>
      </c>
      <c r="BG2679">
        <v>0</v>
      </c>
      <c r="BH2679">
        <v>3875</v>
      </c>
      <c r="BI2679">
        <v>175</v>
      </c>
      <c r="BJ2679">
        <v>1</v>
      </c>
      <c r="BK2679">
        <v>1</v>
      </c>
      <c r="BL2679">
        <v>1</v>
      </c>
      <c r="BM2679">
        <v>0</v>
      </c>
      <c r="BP2679">
        <v>0</v>
      </c>
      <c r="BQ2679">
        <v>0</v>
      </c>
      <c r="BX2679" t="str">
        <f>"14:35:00.281"</f>
        <v>14:35:00.281</v>
      </c>
      <c r="BY2679" t="str">
        <f>"278933013"</f>
        <v>278933013</v>
      </c>
      <c r="CL2679">
        <v>0</v>
      </c>
      <c r="CM2679">
        <v>2</v>
      </c>
      <c r="CN2679">
        <v>0</v>
      </c>
      <c r="CO2679">
        <v>2</v>
      </c>
      <c r="CP2679">
        <v>0</v>
      </c>
      <c r="CQ2679">
        <v>5</v>
      </c>
      <c r="CR2679" t="s">
        <v>116</v>
      </c>
      <c r="CS2679">
        <v>409</v>
      </c>
      <c r="CT2679">
        <v>2</v>
      </c>
      <c r="CU2679" t="s">
        <v>5087</v>
      </c>
      <c r="CV2679" t="s">
        <v>5088</v>
      </c>
      <c r="CY2679">
        <v>16561749</v>
      </c>
      <c r="CZ2679" t="s">
        <v>119</v>
      </c>
    </row>
    <row r="2680" spans="1:104" x14ac:dyDescent="0.25">
      <c r="A2680" t="str">
        <f>"14:35:01.516"</f>
        <v>14:35:01.516</v>
      </c>
      <c r="B2680" t="s">
        <v>108</v>
      </c>
      <c r="C2680" t="str">
        <f t="shared" si="124"/>
        <v>ffdfd3c0</v>
      </c>
      <c r="D2680" t="s">
        <v>109</v>
      </c>
      <c r="E2680">
        <v>4</v>
      </c>
      <c r="F2680">
        <v>1004</v>
      </c>
      <c r="G2680" t="s">
        <v>110</v>
      </c>
      <c r="J2680" t="s">
        <v>111</v>
      </c>
      <c r="K2680">
        <v>0</v>
      </c>
      <c r="L2680">
        <v>3</v>
      </c>
      <c r="M2680">
        <v>0</v>
      </c>
      <c r="N2680">
        <v>2</v>
      </c>
      <c r="O2680">
        <v>1</v>
      </c>
      <c r="P2680">
        <v>0</v>
      </c>
      <c r="Q2680">
        <v>0</v>
      </c>
      <c r="R2680" t="s">
        <v>112</v>
      </c>
      <c r="S2680" t="str">
        <f>"14:35:01.352"</f>
        <v>14:35:01.352</v>
      </c>
      <c r="T2680" t="str">
        <f>"14:35:00.852"</f>
        <v>14:35:00.852</v>
      </c>
      <c r="U2680" t="str">
        <f t="shared" si="123"/>
        <v>ad5732</v>
      </c>
      <c r="V2680">
        <v>0</v>
      </c>
      <c r="W2680">
        <v>0</v>
      </c>
      <c r="X2680">
        <v>1</v>
      </c>
      <c r="Z2680">
        <v>0</v>
      </c>
      <c r="AA2680">
        <v>9</v>
      </c>
      <c r="AB2680">
        <v>3</v>
      </c>
      <c r="AC2680">
        <v>0</v>
      </c>
      <c r="AD2680">
        <v>10</v>
      </c>
      <c r="AE2680">
        <v>0</v>
      </c>
      <c r="AF2680">
        <v>3</v>
      </c>
      <c r="AG2680">
        <v>2</v>
      </c>
      <c r="AH2680">
        <v>0</v>
      </c>
      <c r="AI2680" t="s">
        <v>5476</v>
      </c>
      <c r="AJ2680">
        <v>40.192301</v>
      </c>
      <c r="AK2680" t="s">
        <v>5477</v>
      </c>
      <c r="AL2680">
        <v>-75.286130999999997</v>
      </c>
      <c r="AM2680">
        <v>100</v>
      </c>
      <c r="AN2680">
        <v>3700</v>
      </c>
      <c r="AO2680" t="s">
        <v>115</v>
      </c>
      <c r="AP2680">
        <v>138</v>
      </c>
      <c r="AQ2680">
        <v>128</v>
      </c>
      <c r="AR2680">
        <v>-448</v>
      </c>
      <c r="AZ2680">
        <v>3614</v>
      </c>
      <c r="BA2680">
        <v>1</v>
      </c>
      <c r="BB2680" t="str">
        <f t="shared" si="125"/>
        <v xml:space="preserve">N959MJ  </v>
      </c>
      <c r="BC2680">
        <v>1</v>
      </c>
      <c r="BE2680">
        <v>0</v>
      </c>
      <c r="BF2680">
        <v>0</v>
      </c>
      <c r="BG2680">
        <v>0</v>
      </c>
      <c r="BH2680">
        <v>3850</v>
      </c>
      <c r="BI2680">
        <v>150</v>
      </c>
      <c r="BJ2680">
        <v>1</v>
      </c>
      <c r="BK2680">
        <v>1</v>
      </c>
      <c r="BL2680">
        <v>1</v>
      </c>
      <c r="BM2680">
        <v>0</v>
      </c>
      <c r="BP2680">
        <v>0</v>
      </c>
      <c r="BQ2680">
        <v>0</v>
      </c>
      <c r="BX2680" t="str">
        <f>"14:35:01.352"</f>
        <v>14:35:01.352</v>
      </c>
      <c r="BY2680" t="str">
        <f>"355293329"</f>
        <v>355293329</v>
      </c>
      <c r="CL2680">
        <v>0</v>
      </c>
      <c r="CM2680">
        <v>2</v>
      </c>
      <c r="CN2680">
        <v>0</v>
      </c>
      <c r="CO2680">
        <v>2</v>
      </c>
      <c r="CP2680">
        <v>0</v>
      </c>
      <c r="CQ2680">
        <v>6</v>
      </c>
      <c r="CR2680" t="s">
        <v>116</v>
      </c>
      <c r="CS2680">
        <v>38</v>
      </c>
      <c r="CT2680">
        <v>3</v>
      </c>
      <c r="CU2680" t="s">
        <v>4719</v>
      </c>
      <c r="CV2680" t="s">
        <v>4720</v>
      </c>
      <c r="CY2680">
        <v>10015787</v>
      </c>
      <c r="CZ2680" t="s">
        <v>119</v>
      </c>
    </row>
    <row r="2681" spans="1:104" x14ac:dyDescent="0.25">
      <c r="A2681" t="str">
        <f>"14:35:02.570"</f>
        <v>14:35:02.570</v>
      </c>
      <c r="B2681" t="s">
        <v>108</v>
      </c>
      <c r="C2681" t="str">
        <f t="shared" si="124"/>
        <v>ffdfd3c0</v>
      </c>
      <c r="D2681" t="s">
        <v>109</v>
      </c>
      <c r="E2681">
        <v>4</v>
      </c>
      <c r="F2681">
        <v>1004</v>
      </c>
      <c r="G2681" t="s">
        <v>110</v>
      </c>
      <c r="J2681" t="s">
        <v>111</v>
      </c>
      <c r="K2681">
        <v>0</v>
      </c>
      <c r="L2681">
        <v>3</v>
      </c>
      <c r="M2681">
        <v>0</v>
      </c>
      <c r="N2681">
        <v>2</v>
      </c>
      <c r="O2681">
        <v>1</v>
      </c>
      <c r="P2681">
        <v>0</v>
      </c>
      <c r="Q2681">
        <v>0</v>
      </c>
      <c r="R2681" t="s">
        <v>112</v>
      </c>
      <c r="S2681" t="str">
        <f>"14:35:02.414"</f>
        <v>14:35:02.414</v>
      </c>
      <c r="T2681" t="str">
        <f>"14:35:01.914"</f>
        <v>14:35:01.914</v>
      </c>
      <c r="U2681" t="str">
        <f t="shared" si="123"/>
        <v>ad5732</v>
      </c>
      <c r="V2681">
        <v>0</v>
      </c>
      <c r="W2681">
        <v>0</v>
      </c>
      <c r="X2681">
        <v>1</v>
      </c>
      <c r="Z2681">
        <v>0</v>
      </c>
      <c r="AA2681">
        <v>9</v>
      </c>
      <c r="AB2681">
        <v>3</v>
      </c>
      <c r="AC2681">
        <v>0</v>
      </c>
      <c r="AD2681">
        <v>10</v>
      </c>
      <c r="AE2681">
        <v>0</v>
      </c>
      <c r="AF2681">
        <v>3</v>
      </c>
      <c r="AG2681">
        <v>2</v>
      </c>
      <c r="AH2681">
        <v>0</v>
      </c>
      <c r="AI2681" t="s">
        <v>5478</v>
      </c>
      <c r="AJ2681">
        <v>40.192965999999998</v>
      </c>
      <c r="AK2681" t="s">
        <v>5479</v>
      </c>
      <c r="AL2681">
        <v>-75.285186999999993</v>
      </c>
      <c r="AM2681">
        <v>100</v>
      </c>
      <c r="AN2681">
        <v>3700</v>
      </c>
      <c r="AO2681" t="s">
        <v>115</v>
      </c>
      <c r="AP2681">
        <v>138</v>
      </c>
      <c r="AQ2681">
        <v>128</v>
      </c>
      <c r="AR2681">
        <v>-448</v>
      </c>
      <c r="AZ2681">
        <v>3614</v>
      </c>
      <c r="BA2681">
        <v>1</v>
      </c>
      <c r="BB2681" t="str">
        <f t="shared" si="125"/>
        <v xml:space="preserve">N959MJ  </v>
      </c>
      <c r="BC2681">
        <v>1</v>
      </c>
      <c r="BE2681">
        <v>0</v>
      </c>
      <c r="BF2681">
        <v>0</v>
      </c>
      <c r="BG2681">
        <v>0</v>
      </c>
      <c r="BH2681">
        <v>3850</v>
      </c>
      <c r="BI2681">
        <v>150</v>
      </c>
      <c r="BJ2681">
        <v>1</v>
      </c>
      <c r="BK2681">
        <v>1</v>
      </c>
      <c r="BL2681">
        <v>1</v>
      </c>
      <c r="BM2681">
        <v>0</v>
      </c>
      <c r="BP2681">
        <v>0</v>
      </c>
      <c r="BQ2681">
        <v>0</v>
      </c>
      <c r="BX2681" t="str">
        <f>"14:35:02.414"</f>
        <v>14:35:02.414</v>
      </c>
      <c r="BY2681" t="str">
        <f>"415343354"</f>
        <v>415343354</v>
      </c>
      <c r="CL2681">
        <v>0</v>
      </c>
      <c r="CM2681">
        <v>2</v>
      </c>
      <c r="CN2681">
        <v>0</v>
      </c>
      <c r="CO2681">
        <v>2</v>
      </c>
      <c r="CP2681">
        <v>0</v>
      </c>
      <c r="CQ2681">
        <v>6</v>
      </c>
      <c r="CR2681" t="s">
        <v>116</v>
      </c>
      <c r="CS2681">
        <v>39</v>
      </c>
      <c r="CT2681">
        <v>0</v>
      </c>
      <c r="CU2681" t="s">
        <v>2259</v>
      </c>
      <c r="CV2681" t="s">
        <v>2260</v>
      </c>
      <c r="CY2681">
        <v>2251181</v>
      </c>
      <c r="CZ2681" t="s">
        <v>119</v>
      </c>
    </row>
    <row r="2682" spans="1:104" x14ac:dyDescent="0.25">
      <c r="A2682" t="str">
        <f>"14:35:03.633"</f>
        <v>14:35:03.633</v>
      </c>
      <c r="B2682" t="s">
        <v>108</v>
      </c>
      <c r="C2682" t="str">
        <f t="shared" si="124"/>
        <v>ffdfd3c0</v>
      </c>
      <c r="D2682" t="s">
        <v>109</v>
      </c>
      <c r="E2682">
        <v>4</v>
      </c>
      <c r="F2682">
        <v>1004</v>
      </c>
      <c r="G2682" t="s">
        <v>110</v>
      </c>
      <c r="J2682" t="s">
        <v>111</v>
      </c>
      <c r="K2682">
        <v>0</v>
      </c>
      <c r="L2682">
        <v>3</v>
      </c>
      <c r="M2682">
        <v>0</v>
      </c>
      <c r="N2682">
        <v>2</v>
      </c>
      <c r="O2682">
        <v>1</v>
      </c>
      <c r="P2682">
        <v>0</v>
      </c>
      <c r="Q2682">
        <v>0</v>
      </c>
      <c r="R2682" t="s">
        <v>112</v>
      </c>
      <c r="S2682" t="str">
        <f>"14:35:03.469"</f>
        <v>14:35:03.469</v>
      </c>
      <c r="T2682" t="str">
        <f>"14:35:02.969"</f>
        <v>14:35:02.969</v>
      </c>
      <c r="U2682" t="str">
        <f t="shared" si="123"/>
        <v>ad5732</v>
      </c>
      <c r="V2682">
        <v>0</v>
      </c>
      <c r="W2682">
        <v>0</v>
      </c>
      <c r="X2682">
        <v>1</v>
      </c>
      <c r="Z2682">
        <v>0</v>
      </c>
      <c r="AA2682">
        <v>9</v>
      </c>
      <c r="AB2682">
        <v>3</v>
      </c>
      <c r="AC2682">
        <v>0</v>
      </c>
      <c r="AD2682">
        <v>10</v>
      </c>
      <c r="AE2682">
        <v>0</v>
      </c>
      <c r="AF2682">
        <v>3</v>
      </c>
      <c r="AG2682">
        <v>2</v>
      </c>
      <c r="AH2682">
        <v>0</v>
      </c>
      <c r="AI2682" t="s">
        <v>5480</v>
      </c>
      <c r="AJ2682">
        <v>40.193523999999996</v>
      </c>
      <c r="AK2682" t="s">
        <v>5481</v>
      </c>
      <c r="AL2682">
        <v>-75.284370999999993</v>
      </c>
      <c r="AM2682">
        <v>100</v>
      </c>
      <c r="AN2682">
        <v>3700</v>
      </c>
      <c r="AO2682" t="s">
        <v>115</v>
      </c>
      <c r="AP2682">
        <v>138</v>
      </c>
      <c r="AQ2682">
        <v>128</v>
      </c>
      <c r="AR2682">
        <v>-384</v>
      </c>
      <c r="AZ2682">
        <v>3614</v>
      </c>
      <c r="BA2682">
        <v>1</v>
      </c>
      <c r="BB2682" t="str">
        <f t="shared" si="125"/>
        <v xml:space="preserve">N959MJ  </v>
      </c>
      <c r="BC2682">
        <v>1</v>
      </c>
      <c r="BE2682">
        <v>0</v>
      </c>
      <c r="BF2682">
        <v>0</v>
      </c>
      <c r="BG2682">
        <v>0</v>
      </c>
      <c r="BH2682">
        <v>3850</v>
      </c>
      <c r="BI2682">
        <v>150</v>
      </c>
      <c r="BJ2682">
        <v>1</v>
      </c>
      <c r="BK2682">
        <v>1</v>
      </c>
      <c r="BL2682">
        <v>1</v>
      </c>
      <c r="BM2682">
        <v>0</v>
      </c>
      <c r="BP2682">
        <v>0</v>
      </c>
      <c r="BQ2682">
        <v>0</v>
      </c>
      <c r="BX2682" t="str">
        <f>"14:35:03.477"</f>
        <v>14:35:03.477</v>
      </c>
      <c r="BY2682" t="str">
        <f>"473780625"</f>
        <v>473780625</v>
      </c>
      <c r="CL2682">
        <v>0</v>
      </c>
      <c r="CM2682">
        <v>2</v>
      </c>
      <c r="CN2682">
        <v>0</v>
      </c>
      <c r="CO2682">
        <v>2</v>
      </c>
      <c r="CP2682">
        <v>0</v>
      </c>
      <c r="CQ2682">
        <v>6</v>
      </c>
      <c r="CR2682" t="s">
        <v>116</v>
      </c>
      <c r="CS2682">
        <v>38</v>
      </c>
      <c r="CT2682">
        <v>3</v>
      </c>
      <c r="CU2682" t="s">
        <v>4719</v>
      </c>
      <c r="CV2682" t="s">
        <v>4720</v>
      </c>
      <c r="CY2682">
        <v>10019780</v>
      </c>
      <c r="CZ2682" t="s">
        <v>119</v>
      </c>
    </row>
    <row r="2683" spans="1:104" x14ac:dyDescent="0.25">
      <c r="A2683" t="str">
        <f>"14:35:04.648"</f>
        <v>14:35:04.648</v>
      </c>
      <c r="B2683" t="s">
        <v>108</v>
      </c>
      <c r="C2683" t="str">
        <f t="shared" si="124"/>
        <v>ffdfd3c0</v>
      </c>
      <c r="D2683" t="s">
        <v>109</v>
      </c>
      <c r="E2683">
        <v>4</v>
      </c>
      <c r="F2683">
        <v>1004</v>
      </c>
      <c r="G2683" t="s">
        <v>110</v>
      </c>
      <c r="J2683" t="s">
        <v>111</v>
      </c>
      <c r="K2683">
        <v>0</v>
      </c>
      <c r="L2683">
        <v>3</v>
      </c>
      <c r="M2683">
        <v>0</v>
      </c>
      <c r="N2683">
        <v>2</v>
      </c>
      <c r="O2683">
        <v>1</v>
      </c>
      <c r="P2683">
        <v>0</v>
      </c>
      <c r="Q2683">
        <v>0</v>
      </c>
      <c r="R2683" t="s">
        <v>112</v>
      </c>
      <c r="S2683" t="str">
        <f>"14:35:04.492"</f>
        <v>14:35:04.492</v>
      </c>
      <c r="T2683" t="str">
        <f>"14:35:04.094"</f>
        <v>14:35:04.094</v>
      </c>
      <c r="U2683" t="str">
        <f t="shared" si="123"/>
        <v>ad5732</v>
      </c>
      <c r="V2683">
        <v>0</v>
      </c>
      <c r="W2683">
        <v>0</v>
      </c>
      <c r="X2683">
        <v>1</v>
      </c>
      <c r="Z2683">
        <v>0</v>
      </c>
      <c r="AA2683">
        <v>9</v>
      </c>
      <c r="AB2683">
        <v>3</v>
      </c>
      <c r="AC2683">
        <v>0</v>
      </c>
      <c r="AD2683">
        <v>10</v>
      </c>
      <c r="AE2683">
        <v>0</v>
      </c>
      <c r="AF2683">
        <v>3</v>
      </c>
      <c r="AG2683">
        <v>2</v>
      </c>
      <c r="AH2683">
        <v>0</v>
      </c>
      <c r="AI2683" t="s">
        <v>5482</v>
      </c>
      <c r="AJ2683">
        <v>40.194125</v>
      </c>
      <c r="AK2683" t="s">
        <v>5483</v>
      </c>
      <c r="AL2683">
        <v>-75.283556000000004</v>
      </c>
      <c r="AM2683">
        <v>100</v>
      </c>
      <c r="AN2683">
        <v>3600</v>
      </c>
      <c r="AO2683" t="s">
        <v>115</v>
      </c>
      <c r="AP2683">
        <v>138</v>
      </c>
      <c r="AQ2683">
        <v>128</v>
      </c>
      <c r="AR2683">
        <v>-320</v>
      </c>
      <c r="AZ2683">
        <v>3614</v>
      </c>
      <c r="BA2683">
        <v>1</v>
      </c>
      <c r="BB2683" t="str">
        <f t="shared" si="125"/>
        <v xml:space="preserve">N959MJ  </v>
      </c>
      <c r="BC2683">
        <v>1</v>
      </c>
      <c r="BE2683">
        <v>0</v>
      </c>
      <c r="BF2683">
        <v>0</v>
      </c>
      <c r="BG2683">
        <v>0</v>
      </c>
      <c r="BH2683">
        <v>3825</v>
      </c>
      <c r="BI2683">
        <v>225</v>
      </c>
      <c r="BJ2683">
        <v>1</v>
      </c>
      <c r="BK2683">
        <v>1</v>
      </c>
      <c r="BL2683">
        <v>1</v>
      </c>
      <c r="BM2683">
        <v>0</v>
      </c>
      <c r="BP2683">
        <v>0</v>
      </c>
      <c r="BQ2683">
        <v>0</v>
      </c>
      <c r="BX2683" t="str">
        <f>"14:35:04.492"</f>
        <v>14:35:04.492</v>
      </c>
      <c r="BY2683" t="str">
        <f>"494509763"</f>
        <v>494509763</v>
      </c>
      <c r="CL2683">
        <v>0</v>
      </c>
      <c r="CM2683">
        <v>2</v>
      </c>
      <c r="CN2683">
        <v>0</v>
      </c>
      <c r="CO2683">
        <v>2</v>
      </c>
      <c r="CP2683">
        <v>0</v>
      </c>
      <c r="CQ2683">
        <v>6</v>
      </c>
      <c r="CR2683" t="s">
        <v>116</v>
      </c>
      <c r="CS2683">
        <v>39</v>
      </c>
      <c r="CT2683">
        <v>0</v>
      </c>
      <c r="CU2683" t="s">
        <v>2259</v>
      </c>
      <c r="CV2683" t="s">
        <v>2260</v>
      </c>
      <c r="CY2683">
        <v>2254502</v>
      </c>
      <c r="CZ2683" t="s">
        <v>119</v>
      </c>
    </row>
    <row r="2684" spans="1:104" x14ac:dyDescent="0.25">
      <c r="A2684" t="str">
        <f>"14:35:05.703"</f>
        <v>14:35:05.703</v>
      </c>
      <c r="B2684" t="s">
        <v>108</v>
      </c>
      <c r="C2684" t="str">
        <f t="shared" si="124"/>
        <v>ffdfd3c0</v>
      </c>
      <c r="D2684" t="s">
        <v>109</v>
      </c>
      <c r="E2684">
        <v>4</v>
      </c>
      <c r="F2684">
        <v>1004</v>
      </c>
      <c r="G2684" t="s">
        <v>110</v>
      </c>
      <c r="J2684" t="s">
        <v>111</v>
      </c>
      <c r="K2684">
        <v>0</v>
      </c>
      <c r="L2684">
        <v>3</v>
      </c>
      <c r="M2684">
        <v>0</v>
      </c>
      <c r="N2684">
        <v>2</v>
      </c>
      <c r="O2684">
        <v>1</v>
      </c>
      <c r="P2684">
        <v>0</v>
      </c>
      <c r="Q2684">
        <v>0</v>
      </c>
      <c r="R2684" t="s">
        <v>112</v>
      </c>
      <c r="S2684" t="str">
        <f>"14:35:05.508"</f>
        <v>14:35:05.508</v>
      </c>
      <c r="T2684" t="str">
        <f>"14:35:05.109"</f>
        <v>14:35:05.109</v>
      </c>
      <c r="U2684" t="str">
        <f t="shared" si="123"/>
        <v>ad5732</v>
      </c>
      <c r="V2684">
        <v>0</v>
      </c>
      <c r="W2684">
        <v>0</v>
      </c>
      <c r="X2684">
        <v>1</v>
      </c>
      <c r="Z2684">
        <v>0</v>
      </c>
      <c r="AA2684">
        <v>9</v>
      </c>
      <c r="AB2684">
        <v>3</v>
      </c>
      <c r="AC2684">
        <v>0</v>
      </c>
      <c r="AD2684">
        <v>10</v>
      </c>
      <c r="AE2684">
        <v>0</v>
      </c>
      <c r="AF2684">
        <v>3</v>
      </c>
      <c r="AG2684">
        <v>2</v>
      </c>
      <c r="AH2684">
        <v>0</v>
      </c>
      <c r="AI2684" t="s">
        <v>5484</v>
      </c>
      <c r="AJ2684">
        <v>40.194747</v>
      </c>
      <c r="AK2684" t="s">
        <v>5485</v>
      </c>
      <c r="AL2684">
        <v>-75.282697999999996</v>
      </c>
      <c r="AM2684">
        <v>100</v>
      </c>
      <c r="AN2684">
        <v>3600</v>
      </c>
      <c r="AO2684" t="s">
        <v>115</v>
      </c>
      <c r="AP2684">
        <v>138</v>
      </c>
      <c r="AQ2684">
        <v>128</v>
      </c>
      <c r="AR2684">
        <v>-192</v>
      </c>
      <c r="AZ2684">
        <v>3614</v>
      </c>
      <c r="BA2684">
        <v>1</v>
      </c>
      <c r="BB2684" t="str">
        <f t="shared" si="125"/>
        <v xml:space="preserve">N959MJ  </v>
      </c>
      <c r="BC2684">
        <v>1</v>
      </c>
      <c r="BE2684">
        <v>0</v>
      </c>
      <c r="BF2684">
        <v>0</v>
      </c>
      <c r="BG2684">
        <v>0</v>
      </c>
      <c r="BH2684">
        <v>3825</v>
      </c>
      <c r="BI2684">
        <v>225</v>
      </c>
      <c r="BJ2684">
        <v>1</v>
      </c>
      <c r="BK2684">
        <v>1</v>
      </c>
      <c r="BL2684">
        <v>1</v>
      </c>
      <c r="BM2684">
        <v>0</v>
      </c>
      <c r="BP2684">
        <v>0</v>
      </c>
      <c r="BQ2684">
        <v>0</v>
      </c>
      <c r="BX2684" t="str">
        <f>"14:35:05.508"</f>
        <v>14:35:05.508</v>
      </c>
      <c r="BY2684" t="str">
        <f>"508697241"</f>
        <v>508697241</v>
      </c>
      <c r="CL2684">
        <v>0</v>
      </c>
      <c r="CM2684">
        <v>2</v>
      </c>
      <c r="CN2684">
        <v>0</v>
      </c>
      <c r="CO2684">
        <v>2</v>
      </c>
      <c r="CP2684">
        <v>0</v>
      </c>
      <c r="CQ2684">
        <v>6</v>
      </c>
      <c r="CR2684" t="s">
        <v>116</v>
      </c>
      <c r="CS2684">
        <v>39</v>
      </c>
      <c r="CT2684">
        <v>0</v>
      </c>
      <c r="CU2684" t="s">
        <v>2259</v>
      </c>
      <c r="CV2684" t="s">
        <v>2260</v>
      </c>
      <c r="CY2684">
        <v>2256137</v>
      </c>
      <c r="CZ2684" t="s">
        <v>119</v>
      </c>
    </row>
    <row r="2685" spans="1:104" x14ac:dyDescent="0.25">
      <c r="A2685" t="str">
        <f>"14:35:06.664"</f>
        <v>14:35:06.664</v>
      </c>
      <c r="B2685" t="s">
        <v>108</v>
      </c>
      <c r="C2685" t="str">
        <f t="shared" si="124"/>
        <v>ffdfd3c0</v>
      </c>
      <c r="D2685" t="s">
        <v>109</v>
      </c>
      <c r="E2685">
        <v>4</v>
      </c>
      <c r="F2685">
        <v>1004</v>
      </c>
      <c r="G2685" t="s">
        <v>110</v>
      </c>
      <c r="J2685" t="s">
        <v>111</v>
      </c>
      <c r="K2685">
        <v>0</v>
      </c>
      <c r="L2685">
        <v>3</v>
      </c>
      <c r="M2685">
        <v>0</v>
      </c>
      <c r="N2685">
        <v>2</v>
      </c>
      <c r="O2685">
        <v>1</v>
      </c>
      <c r="P2685">
        <v>0</v>
      </c>
      <c r="Q2685">
        <v>0</v>
      </c>
      <c r="R2685" t="s">
        <v>112</v>
      </c>
      <c r="S2685" t="str">
        <f>"14:35:06.492"</f>
        <v>14:35:06.492</v>
      </c>
      <c r="T2685" t="str">
        <f>"14:35:06.094"</f>
        <v>14:35:06.094</v>
      </c>
      <c r="U2685" t="str">
        <f t="shared" si="123"/>
        <v>ad5732</v>
      </c>
      <c r="V2685">
        <v>0</v>
      </c>
      <c r="W2685">
        <v>0</v>
      </c>
      <c r="X2685">
        <v>1</v>
      </c>
      <c r="Z2685">
        <v>0</v>
      </c>
      <c r="AA2685">
        <v>9</v>
      </c>
      <c r="AB2685">
        <v>3</v>
      </c>
      <c r="AC2685">
        <v>0</v>
      </c>
      <c r="AD2685">
        <v>10</v>
      </c>
      <c r="AE2685">
        <v>0</v>
      </c>
      <c r="AF2685">
        <v>3</v>
      </c>
      <c r="AG2685">
        <v>2</v>
      </c>
      <c r="AH2685">
        <v>0</v>
      </c>
      <c r="AI2685" t="s">
        <v>5486</v>
      </c>
      <c r="AJ2685">
        <v>40.195348000000003</v>
      </c>
      <c r="AK2685" t="s">
        <v>5487</v>
      </c>
      <c r="AL2685">
        <v>-75.281881999999996</v>
      </c>
      <c r="AM2685">
        <v>100</v>
      </c>
      <c r="AN2685">
        <v>3600</v>
      </c>
      <c r="AO2685" t="s">
        <v>115</v>
      </c>
      <c r="AP2685">
        <v>138</v>
      </c>
      <c r="AQ2685">
        <v>128</v>
      </c>
      <c r="AR2685">
        <v>-128</v>
      </c>
      <c r="AZ2685">
        <v>3614</v>
      </c>
      <c r="BA2685">
        <v>1</v>
      </c>
      <c r="BB2685" t="str">
        <f t="shared" si="125"/>
        <v xml:space="preserve">N959MJ  </v>
      </c>
      <c r="BC2685">
        <v>1</v>
      </c>
      <c r="BE2685">
        <v>0</v>
      </c>
      <c r="BF2685">
        <v>0</v>
      </c>
      <c r="BG2685">
        <v>0</v>
      </c>
      <c r="BH2685">
        <v>3825</v>
      </c>
      <c r="BI2685">
        <v>225</v>
      </c>
      <c r="BJ2685">
        <v>1</v>
      </c>
      <c r="BK2685">
        <v>1</v>
      </c>
      <c r="BL2685">
        <v>1</v>
      </c>
      <c r="BM2685">
        <v>0</v>
      </c>
      <c r="BP2685">
        <v>0</v>
      </c>
      <c r="BQ2685">
        <v>0</v>
      </c>
      <c r="BX2685" t="str">
        <f>"14:35:06.492"</f>
        <v>14:35:06.492</v>
      </c>
      <c r="BY2685" t="str">
        <f>"493606984"</f>
        <v>493606984</v>
      </c>
      <c r="CL2685">
        <v>0</v>
      </c>
      <c r="CM2685">
        <v>2</v>
      </c>
      <c r="CN2685">
        <v>0</v>
      </c>
      <c r="CO2685">
        <v>2</v>
      </c>
      <c r="CP2685">
        <v>0</v>
      </c>
      <c r="CQ2685">
        <v>5</v>
      </c>
      <c r="CR2685" t="s">
        <v>116</v>
      </c>
      <c r="CS2685">
        <v>41</v>
      </c>
      <c r="CT2685">
        <v>0</v>
      </c>
      <c r="CU2685" t="s">
        <v>4525</v>
      </c>
      <c r="CV2685" t="s">
        <v>4526</v>
      </c>
      <c r="CY2685">
        <v>396767</v>
      </c>
      <c r="CZ2685" t="s">
        <v>119</v>
      </c>
    </row>
    <row r="2686" spans="1:104" x14ac:dyDescent="0.25">
      <c r="A2686" t="str">
        <f>"14:35:07.570"</f>
        <v>14:35:07.570</v>
      </c>
      <c r="B2686" t="s">
        <v>108</v>
      </c>
      <c r="C2686" t="str">
        <f t="shared" si="124"/>
        <v>ffdfd3c0</v>
      </c>
      <c r="D2686" t="s">
        <v>109</v>
      </c>
      <c r="E2686">
        <v>4</v>
      </c>
      <c r="F2686">
        <v>1004</v>
      </c>
      <c r="G2686" t="s">
        <v>110</v>
      </c>
      <c r="J2686" t="s">
        <v>111</v>
      </c>
      <c r="K2686">
        <v>0</v>
      </c>
      <c r="L2686">
        <v>3</v>
      </c>
      <c r="M2686">
        <v>0</v>
      </c>
      <c r="N2686">
        <v>2</v>
      </c>
      <c r="O2686">
        <v>1</v>
      </c>
      <c r="P2686">
        <v>0</v>
      </c>
      <c r="Q2686">
        <v>0</v>
      </c>
      <c r="R2686" t="s">
        <v>112</v>
      </c>
      <c r="S2686" t="str">
        <f>"14:35:07.359"</f>
        <v>14:35:07.359</v>
      </c>
      <c r="T2686" t="str">
        <f>"14:35:06.961"</f>
        <v>14:35:06.961</v>
      </c>
      <c r="U2686" t="str">
        <f t="shared" si="123"/>
        <v>ad5732</v>
      </c>
      <c r="V2686">
        <v>0</v>
      </c>
      <c r="W2686">
        <v>0</v>
      </c>
      <c r="X2686">
        <v>1</v>
      </c>
      <c r="Z2686">
        <v>0</v>
      </c>
      <c r="AA2686">
        <v>9</v>
      </c>
      <c r="AB2686">
        <v>3</v>
      </c>
      <c r="AC2686">
        <v>0</v>
      </c>
      <c r="AD2686">
        <v>10</v>
      </c>
      <c r="AE2686">
        <v>0</v>
      </c>
      <c r="AF2686">
        <v>3</v>
      </c>
      <c r="AG2686">
        <v>2</v>
      </c>
      <c r="AH2686">
        <v>0</v>
      </c>
      <c r="AI2686" t="s">
        <v>5488</v>
      </c>
      <c r="AJ2686">
        <v>40.195863000000003</v>
      </c>
      <c r="AK2686" t="s">
        <v>5489</v>
      </c>
      <c r="AL2686">
        <v>-75.281131000000002</v>
      </c>
      <c r="AM2686">
        <v>100</v>
      </c>
      <c r="AN2686">
        <v>3600</v>
      </c>
      <c r="AO2686" t="s">
        <v>115</v>
      </c>
      <c r="AP2686">
        <v>137</v>
      </c>
      <c r="AQ2686">
        <v>128</v>
      </c>
      <c r="AR2686">
        <v>0</v>
      </c>
      <c r="AZ2686">
        <v>3614</v>
      </c>
      <c r="BA2686">
        <v>1</v>
      </c>
      <c r="BB2686" t="str">
        <f t="shared" si="125"/>
        <v xml:space="preserve">N959MJ  </v>
      </c>
      <c r="BC2686">
        <v>1</v>
      </c>
      <c r="BE2686">
        <v>0</v>
      </c>
      <c r="BF2686">
        <v>0</v>
      </c>
      <c r="BG2686">
        <v>0</v>
      </c>
      <c r="BH2686">
        <v>3825</v>
      </c>
      <c r="BI2686">
        <v>225</v>
      </c>
      <c r="BJ2686">
        <v>1</v>
      </c>
      <c r="BK2686">
        <v>1</v>
      </c>
      <c r="BL2686">
        <v>1</v>
      </c>
      <c r="BM2686">
        <v>0</v>
      </c>
      <c r="BP2686">
        <v>0</v>
      </c>
      <c r="BQ2686">
        <v>0</v>
      </c>
      <c r="BX2686" t="str">
        <f>"14:35:07.367"</f>
        <v>14:35:07.367</v>
      </c>
      <c r="BY2686" t="str">
        <f>"366685479"</f>
        <v>366685479</v>
      </c>
      <c r="CL2686">
        <v>0</v>
      </c>
      <c r="CM2686">
        <v>2</v>
      </c>
      <c r="CN2686">
        <v>0</v>
      </c>
      <c r="CO2686">
        <v>2</v>
      </c>
      <c r="CP2686">
        <v>0</v>
      </c>
      <c r="CQ2686">
        <v>5</v>
      </c>
      <c r="CR2686" t="s">
        <v>116</v>
      </c>
      <c r="CS2686">
        <v>38</v>
      </c>
      <c r="CT2686">
        <v>2</v>
      </c>
      <c r="CU2686" t="s">
        <v>4719</v>
      </c>
      <c r="CV2686" t="s">
        <v>4720</v>
      </c>
      <c r="CY2686">
        <v>10282727</v>
      </c>
      <c r="CZ2686" t="s">
        <v>119</v>
      </c>
    </row>
    <row r="2687" spans="1:104" x14ac:dyDescent="0.25">
      <c r="A2687" t="str">
        <f>"14:35:08.633"</f>
        <v>14:35:08.633</v>
      </c>
      <c r="B2687" t="s">
        <v>108</v>
      </c>
      <c r="C2687" t="str">
        <f t="shared" si="124"/>
        <v>ffdfd3c0</v>
      </c>
      <c r="D2687" t="s">
        <v>109</v>
      </c>
      <c r="E2687">
        <v>4</v>
      </c>
      <c r="F2687">
        <v>1004</v>
      </c>
      <c r="G2687" t="s">
        <v>110</v>
      </c>
      <c r="J2687" t="s">
        <v>111</v>
      </c>
      <c r="K2687">
        <v>0</v>
      </c>
      <c r="L2687">
        <v>3</v>
      </c>
      <c r="M2687">
        <v>0</v>
      </c>
      <c r="N2687">
        <v>2</v>
      </c>
      <c r="O2687">
        <v>1</v>
      </c>
      <c r="P2687">
        <v>0</v>
      </c>
      <c r="Q2687">
        <v>0</v>
      </c>
      <c r="R2687" t="s">
        <v>112</v>
      </c>
      <c r="S2687" t="str">
        <f>"14:35:08.430"</f>
        <v>14:35:08.430</v>
      </c>
      <c r="T2687" t="str">
        <f>"14:35:07.930"</f>
        <v>14:35:07.930</v>
      </c>
      <c r="U2687" t="str">
        <f t="shared" si="123"/>
        <v>ad5732</v>
      </c>
      <c r="V2687">
        <v>0</v>
      </c>
      <c r="W2687">
        <v>0</v>
      </c>
      <c r="X2687">
        <v>1</v>
      </c>
      <c r="Z2687">
        <v>0</v>
      </c>
      <c r="AA2687">
        <v>9</v>
      </c>
      <c r="AB2687">
        <v>3</v>
      </c>
      <c r="AC2687">
        <v>0</v>
      </c>
      <c r="AD2687">
        <v>10</v>
      </c>
      <c r="AE2687">
        <v>0</v>
      </c>
      <c r="AF2687">
        <v>3</v>
      </c>
      <c r="AG2687">
        <v>2</v>
      </c>
      <c r="AH2687">
        <v>0</v>
      </c>
      <c r="AI2687" t="s">
        <v>5490</v>
      </c>
      <c r="AJ2687">
        <v>40.196506999999997</v>
      </c>
      <c r="AK2687" t="s">
        <v>5491</v>
      </c>
      <c r="AL2687">
        <v>-75.280186999999998</v>
      </c>
      <c r="AM2687">
        <v>100</v>
      </c>
      <c r="AN2687">
        <v>3600</v>
      </c>
      <c r="AO2687" t="s">
        <v>115</v>
      </c>
      <c r="AP2687">
        <v>137</v>
      </c>
      <c r="AQ2687">
        <v>128</v>
      </c>
      <c r="AR2687">
        <v>64</v>
      </c>
      <c r="AZ2687">
        <v>3614</v>
      </c>
      <c r="BA2687">
        <v>1</v>
      </c>
      <c r="BB2687" t="str">
        <f t="shared" si="125"/>
        <v xml:space="preserve">N959MJ  </v>
      </c>
      <c r="BC2687">
        <v>1</v>
      </c>
      <c r="BE2687">
        <v>0</v>
      </c>
      <c r="BF2687">
        <v>0</v>
      </c>
      <c r="BG2687">
        <v>0</v>
      </c>
      <c r="BH2687">
        <v>3825</v>
      </c>
      <c r="BI2687">
        <v>225</v>
      </c>
      <c r="BJ2687">
        <v>1</v>
      </c>
      <c r="BK2687">
        <v>1</v>
      </c>
      <c r="BL2687">
        <v>1</v>
      </c>
      <c r="BM2687">
        <v>0</v>
      </c>
      <c r="BP2687">
        <v>0</v>
      </c>
      <c r="BQ2687">
        <v>0</v>
      </c>
      <c r="BX2687" t="str">
        <f>"14:35:08.430"</f>
        <v>14:35:08.430</v>
      </c>
      <c r="BY2687" t="str">
        <f>"433292952"</f>
        <v>433292952</v>
      </c>
      <c r="CL2687">
        <v>0</v>
      </c>
      <c r="CM2687">
        <v>2</v>
      </c>
      <c r="CN2687">
        <v>0</v>
      </c>
      <c r="CO2687">
        <v>2</v>
      </c>
      <c r="CP2687">
        <v>0</v>
      </c>
      <c r="CQ2687">
        <v>7</v>
      </c>
      <c r="CR2687" t="s">
        <v>116</v>
      </c>
      <c r="CS2687">
        <v>39</v>
      </c>
      <c r="CT2687">
        <v>0</v>
      </c>
      <c r="CU2687" t="s">
        <v>2259</v>
      </c>
      <c r="CV2687" t="s">
        <v>2260</v>
      </c>
      <c r="CY2687">
        <v>2260948</v>
      </c>
      <c r="CZ2687" t="s">
        <v>119</v>
      </c>
    </row>
    <row r="2688" spans="1:104" x14ac:dyDescent="0.25">
      <c r="A2688" t="str">
        <f>"14:35:09.594"</f>
        <v>14:35:09.594</v>
      </c>
      <c r="B2688" t="s">
        <v>108</v>
      </c>
      <c r="C2688" t="str">
        <f t="shared" si="124"/>
        <v>ffdfd3c0</v>
      </c>
      <c r="D2688" t="s">
        <v>109</v>
      </c>
      <c r="E2688">
        <v>4</v>
      </c>
      <c r="F2688">
        <v>1004</v>
      </c>
      <c r="G2688" t="s">
        <v>110</v>
      </c>
      <c r="J2688" t="s">
        <v>111</v>
      </c>
      <c r="K2688">
        <v>0</v>
      </c>
      <c r="L2688">
        <v>3</v>
      </c>
      <c r="M2688">
        <v>0</v>
      </c>
      <c r="N2688">
        <v>2</v>
      </c>
      <c r="O2688">
        <v>1</v>
      </c>
      <c r="P2688">
        <v>0</v>
      </c>
      <c r="Q2688">
        <v>0</v>
      </c>
      <c r="R2688" t="s">
        <v>112</v>
      </c>
      <c r="S2688" t="str">
        <f>"14:35:09.406"</f>
        <v>14:35:09.406</v>
      </c>
      <c r="T2688" t="str">
        <f>"14:35:09.008"</f>
        <v>14:35:09.008</v>
      </c>
      <c r="U2688" t="str">
        <f t="shared" si="123"/>
        <v>ad5732</v>
      </c>
      <c r="V2688">
        <v>0</v>
      </c>
      <c r="W2688">
        <v>0</v>
      </c>
      <c r="X2688">
        <v>1</v>
      </c>
      <c r="Z2688">
        <v>0</v>
      </c>
      <c r="AA2688">
        <v>9</v>
      </c>
      <c r="AB2688">
        <v>3</v>
      </c>
      <c r="AC2688">
        <v>0</v>
      </c>
      <c r="AD2688">
        <v>10</v>
      </c>
      <c r="AE2688">
        <v>0</v>
      </c>
      <c r="AF2688">
        <v>3</v>
      </c>
      <c r="AG2688">
        <v>2</v>
      </c>
      <c r="AH2688">
        <v>0</v>
      </c>
      <c r="AI2688" t="s">
        <v>5492</v>
      </c>
      <c r="AJ2688">
        <v>40.197108</v>
      </c>
      <c r="AK2688" t="s">
        <v>5493</v>
      </c>
      <c r="AL2688">
        <v>-75.279371999999995</v>
      </c>
      <c r="AM2688">
        <v>100</v>
      </c>
      <c r="AN2688">
        <v>3600</v>
      </c>
      <c r="AO2688" t="s">
        <v>115</v>
      </c>
      <c r="AP2688">
        <v>136</v>
      </c>
      <c r="AQ2688">
        <v>127</v>
      </c>
      <c r="AR2688">
        <v>64</v>
      </c>
      <c r="AZ2688">
        <v>3614</v>
      </c>
      <c r="BA2688">
        <v>1</v>
      </c>
      <c r="BB2688" t="str">
        <f t="shared" si="125"/>
        <v xml:space="preserve">N959MJ  </v>
      </c>
      <c r="BC2688">
        <v>1</v>
      </c>
      <c r="BE2688">
        <v>0</v>
      </c>
      <c r="BF2688">
        <v>0</v>
      </c>
      <c r="BG2688">
        <v>0</v>
      </c>
      <c r="BH2688">
        <v>3825</v>
      </c>
      <c r="BI2688">
        <v>225</v>
      </c>
      <c r="BJ2688">
        <v>1</v>
      </c>
      <c r="BK2688">
        <v>1</v>
      </c>
      <c r="BL2688">
        <v>1</v>
      </c>
      <c r="BM2688">
        <v>0</v>
      </c>
      <c r="BP2688">
        <v>0</v>
      </c>
      <c r="BQ2688">
        <v>0</v>
      </c>
      <c r="BX2688" t="str">
        <f>"14:35:09.414"</f>
        <v>14:35:09.414</v>
      </c>
      <c r="BY2688" t="str">
        <f>"413073534"</f>
        <v>413073534</v>
      </c>
      <c r="CL2688">
        <v>0</v>
      </c>
      <c r="CM2688">
        <v>2</v>
      </c>
      <c r="CN2688">
        <v>0</v>
      </c>
      <c r="CO2688">
        <v>2</v>
      </c>
      <c r="CP2688">
        <v>0</v>
      </c>
      <c r="CQ2688">
        <v>7</v>
      </c>
      <c r="CR2688" t="s">
        <v>116</v>
      </c>
      <c r="CS2688">
        <v>39</v>
      </c>
      <c r="CT2688">
        <v>0</v>
      </c>
      <c r="CU2688" t="s">
        <v>2259</v>
      </c>
      <c r="CV2688" t="s">
        <v>2260</v>
      </c>
      <c r="CY2688">
        <v>2262436</v>
      </c>
      <c r="CZ2688" t="s">
        <v>119</v>
      </c>
    </row>
    <row r="2689" spans="1:104" x14ac:dyDescent="0.25">
      <c r="A2689" t="str">
        <f>"14:35:10.500"</f>
        <v>14:35:10.500</v>
      </c>
      <c r="B2689" t="s">
        <v>108</v>
      </c>
      <c r="C2689" t="str">
        <f t="shared" si="124"/>
        <v>ffdfd3c0</v>
      </c>
      <c r="D2689" t="s">
        <v>109</v>
      </c>
      <c r="E2689">
        <v>4</v>
      </c>
      <c r="F2689">
        <v>1004</v>
      </c>
      <c r="G2689" t="s">
        <v>110</v>
      </c>
      <c r="J2689" t="s">
        <v>111</v>
      </c>
      <c r="K2689">
        <v>0</v>
      </c>
      <c r="L2689">
        <v>3</v>
      </c>
      <c r="M2689">
        <v>0</v>
      </c>
      <c r="N2689">
        <v>2</v>
      </c>
      <c r="O2689">
        <v>1</v>
      </c>
      <c r="P2689">
        <v>0</v>
      </c>
      <c r="Q2689">
        <v>0</v>
      </c>
      <c r="R2689" t="s">
        <v>112</v>
      </c>
      <c r="S2689" t="str">
        <f>"14:35:10.320"</f>
        <v>14:35:10.320</v>
      </c>
      <c r="T2689" t="str">
        <f>"14:35:09.922"</f>
        <v>14:35:09.922</v>
      </c>
      <c r="U2689" t="str">
        <f t="shared" si="123"/>
        <v>ad5732</v>
      </c>
      <c r="V2689">
        <v>0</v>
      </c>
      <c r="W2689">
        <v>0</v>
      </c>
      <c r="X2689">
        <v>1</v>
      </c>
      <c r="Z2689">
        <v>0</v>
      </c>
      <c r="AA2689">
        <v>9</v>
      </c>
      <c r="AB2689">
        <v>3</v>
      </c>
      <c r="AC2689">
        <v>0</v>
      </c>
      <c r="AD2689">
        <v>10</v>
      </c>
      <c r="AE2689">
        <v>0</v>
      </c>
      <c r="AF2689">
        <v>3</v>
      </c>
      <c r="AG2689">
        <v>2</v>
      </c>
      <c r="AH2689">
        <v>0</v>
      </c>
      <c r="AI2689" t="s">
        <v>5494</v>
      </c>
      <c r="AJ2689">
        <v>40.197643999999997</v>
      </c>
      <c r="AK2689" t="s">
        <v>5495</v>
      </c>
      <c r="AL2689">
        <v>-75.278621000000001</v>
      </c>
      <c r="AM2689">
        <v>100</v>
      </c>
      <c r="AN2689">
        <v>3600</v>
      </c>
      <c r="AO2689" t="s">
        <v>115</v>
      </c>
      <c r="AP2689">
        <v>136</v>
      </c>
      <c r="AQ2689">
        <v>127</v>
      </c>
      <c r="AR2689">
        <v>64</v>
      </c>
      <c r="AZ2689">
        <v>3614</v>
      </c>
      <c r="BA2689">
        <v>1</v>
      </c>
      <c r="BB2689" t="str">
        <f t="shared" si="125"/>
        <v xml:space="preserve">N959MJ  </v>
      </c>
      <c r="BC2689">
        <v>1</v>
      </c>
      <c r="BE2689">
        <v>0</v>
      </c>
      <c r="BF2689">
        <v>0</v>
      </c>
      <c r="BG2689">
        <v>0</v>
      </c>
      <c r="BH2689">
        <v>3825</v>
      </c>
      <c r="BI2689">
        <v>225</v>
      </c>
      <c r="BJ2689">
        <v>1</v>
      </c>
      <c r="BK2689">
        <v>1</v>
      </c>
      <c r="BL2689">
        <v>1</v>
      </c>
      <c r="BM2689">
        <v>0</v>
      </c>
      <c r="BP2689">
        <v>0</v>
      </c>
      <c r="BQ2689">
        <v>0</v>
      </c>
      <c r="BX2689" t="str">
        <f>"14:35:10.328"</f>
        <v>14:35:10.328</v>
      </c>
      <c r="BY2689" t="str">
        <f>"325686431"</f>
        <v>325686431</v>
      </c>
      <c r="CL2689">
        <v>0</v>
      </c>
      <c r="CM2689">
        <v>2</v>
      </c>
      <c r="CN2689">
        <v>0</v>
      </c>
      <c r="CO2689">
        <v>2</v>
      </c>
      <c r="CP2689">
        <v>0</v>
      </c>
      <c r="CQ2689">
        <v>6</v>
      </c>
      <c r="CR2689" t="s">
        <v>116</v>
      </c>
      <c r="CS2689">
        <v>38</v>
      </c>
      <c r="CT2689">
        <v>3</v>
      </c>
      <c r="CU2689" t="s">
        <v>4719</v>
      </c>
      <c r="CV2689" t="s">
        <v>4720</v>
      </c>
      <c r="CY2689">
        <v>10031812</v>
      </c>
      <c r="CZ2689" t="s">
        <v>119</v>
      </c>
    </row>
    <row r="2690" spans="1:104" x14ac:dyDescent="0.25">
      <c r="A2690" t="str">
        <f>"14:35:11.406"</f>
        <v>14:35:11.406</v>
      </c>
      <c r="B2690" t="s">
        <v>108</v>
      </c>
      <c r="C2690" t="str">
        <f t="shared" si="124"/>
        <v>ffdfd3c0</v>
      </c>
      <c r="D2690" t="s">
        <v>109</v>
      </c>
      <c r="E2690">
        <v>4</v>
      </c>
      <c r="F2690">
        <v>1004</v>
      </c>
      <c r="G2690" t="s">
        <v>110</v>
      </c>
      <c r="J2690" t="s">
        <v>111</v>
      </c>
      <c r="K2690">
        <v>0</v>
      </c>
      <c r="L2690">
        <v>3</v>
      </c>
      <c r="M2690">
        <v>0</v>
      </c>
      <c r="N2690">
        <v>2</v>
      </c>
      <c r="O2690">
        <v>1</v>
      </c>
      <c r="P2690">
        <v>0</v>
      </c>
      <c r="Q2690">
        <v>0</v>
      </c>
      <c r="R2690" t="s">
        <v>112</v>
      </c>
      <c r="S2690" t="str">
        <f>"14:35:11.219"</f>
        <v>14:35:11.219</v>
      </c>
      <c r="T2690" t="str">
        <f>"14:35:10.820"</f>
        <v>14:35:10.820</v>
      </c>
      <c r="U2690" t="str">
        <f t="shared" ref="U2690:U2753" si="126">"ad5732"</f>
        <v>ad5732</v>
      </c>
      <c r="V2690">
        <v>0</v>
      </c>
      <c r="W2690">
        <v>0</v>
      </c>
      <c r="X2690">
        <v>1</v>
      </c>
      <c r="Z2690">
        <v>0</v>
      </c>
      <c r="AA2690">
        <v>9</v>
      </c>
      <c r="AB2690">
        <v>3</v>
      </c>
      <c r="AC2690">
        <v>0</v>
      </c>
      <c r="AD2690">
        <v>10</v>
      </c>
      <c r="AE2690">
        <v>0</v>
      </c>
      <c r="AF2690">
        <v>3</v>
      </c>
      <c r="AG2690">
        <v>2</v>
      </c>
      <c r="AH2690">
        <v>0</v>
      </c>
      <c r="AI2690" t="s">
        <v>5496</v>
      </c>
      <c r="AJ2690">
        <v>40.198180999999998</v>
      </c>
      <c r="AK2690" t="s">
        <v>5497</v>
      </c>
      <c r="AL2690">
        <v>-75.277956000000003</v>
      </c>
      <c r="AM2690">
        <v>100</v>
      </c>
      <c r="AN2690">
        <v>3600</v>
      </c>
      <c r="AO2690" t="s">
        <v>115</v>
      </c>
      <c r="AP2690">
        <v>135</v>
      </c>
      <c r="AQ2690">
        <v>127</v>
      </c>
      <c r="AR2690">
        <v>64</v>
      </c>
      <c r="AZ2690">
        <v>3614</v>
      </c>
      <c r="BA2690">
        <v>1</v>
      </c>
      <c r="BB2690" t="str">
        <f t="shared" si="125"/>
        <v xml:space="preserve">N959MJ  </v>
      </c>
      <c r="BC2690">
        <v>1</v>
      </c>
      <c r="BE2690">
        <v>0</v>
      </c>
      <c r="BF2690">
        <v>0</v>
      </c>
      <c r="BG2690">
        <v>0</v>
      </c>
      <c r="BH2690">
        <v>3825</v>
      </c>
      <c r="BI2690">
        <v>225</v>
      </c>
      <c r="BJ2690">
        <v>1</v>
      </c>
      <c r="BK2690">
        <v>1</v>
      </c>
      <c r="BL2690">
        <v>1</v>
      </c>
      <c r="BM2690">
        <v>0</v>
      </c>
      <c r="BP2690">
        <v>0</v>
      </c>
      <c r="BQ2690">
        <v>0</v>
      </c>
      <c r="BX2690" t="str">
        <f>"14:35:11.227"</f>
        <v>14:35:11.227</v>
      </c>
      <c r="BY2690" t="str">
        <f>"223537479"</f>
        <v>223537479</v>
      </c>
      <c r="CL2690">
        <v>0</v>
      </c>
      <c r="CM2690">
        <v>2</v>
      </c>
      <c r="CN2690">
        <v>0</v>
      </c>
      <c r="CO2690">
        <v>2</v>
      </c>
      <c r="CP2690">
        <v>0</v>
      </c>
      <c r="CQ2690">
        <v>7</v>
      </c>
      <c r="CR2690" t="s">
        <v>116</v>
      </c>
      <c r="CS2690">
        <v>39</v>
      </c>
      <c r="CT2690">
        <v>0</v>
      </c>
      <c r="CU2690" t="s">
        <v>2259</v>
      </c>
      <c r="CV2690" t="s">
        <v>2260</v>
      </c>
      <c r="CY2690">
        <v>2265281</v>
      </c>
      <c r="CZ2690" t="s">
        <v>119</v>
      </c>
    </row>
    <row r="2691" spans="1:104" x14ac:dyDescent="0.25">
      <c r="A2691" t="str">
        <f>"14:35:12.313"</f>
        <v>14:35:12.313</v>
      </c>
      <c r="B2691" t="s">
        <v>108</v>
      </c>
      <c r="C2691" t="str">
        <f t="shared" si="124"/>
        <v>ffdfd3c0</v>
      </c>
      <c r="D2691" t="s">
        <v>109</v>
      </c>
      <c r="E2691">
        <v>4</v>
      </c>
      <c r="F2691">
        <v>1004</v>
      </c>
      <c r="G2691" t="s">
        <v>110</v>
      </c>
      <c r="J2691" t="s">
        <v>111</v>
      </c>
      <c r="K2691">
        <v>0</v>
      </c>
      <c r="L2691">
        <v>3</v>
      </c>
      <c r="M2691">
        <v>0</v>
      </c>
      <c r="N2691">
        <v>2</v>
      </c>
      <c r="O2691">
        <v>1</v>
      </c>
      <c r="P2691">
        <v>0</v>
      </c>
      <c r="Q2691">
        <v>0</v>
      </c>
      <c r="R2691" t="s">
        <v>112</v>
      </c>
      <c r="S2691" t="str">
        <f>"14:35:12.156"</f>
        <v>14:35:12.156</v>
      </c>
      <c r="T2691" t="str">
        <f>"14:35:11.758"</f>
        <v>14:35:11.758</v>
      </c>
      <c r="U2691" t="str">
        <f t="shared" si="126"/>
        <v>ad5732</v>
      </c>
      <c r="V2691">
        <v>0</v>
      </c>
      <c r="W2691">
        <v>0</v>
      </c>
      <c r="X2691">
        <v>1</v>
      </c>
      <c r="Z2691">
        <v>0</v>
      </c>
      <c r="AA2691">
        <v>9</v>
      </c>
      <c r="AB2691">
        <v>3</v>
      </c>
      <c r="AC2691">
        <v>0</v>
      </c>
      <c r="AD2691">
        <v>10</v>
      </c>
      <c r="AE2691">
        <v>0</v>
      </c>
      <c r="AF2691">
        <v>3</v>
      </c>
      <c r="AG2691">
        <v>2</v>
      </c>
      <c r="AH2691">
        <v>0</v>
      </c>
      <c r="AI2691" t="s">
        <v>5498</v>
      </c>
      <c r="AJ2691">
        <v>40.198695999999998</v>
      </c>
      <c r="AK2691" t="s">
        <v>5499</v>
      </c>
      <c r="AL2691">
        <v>-75.277225999999999</v>
      </c>
      <c r="AM2691">
        <v>100</v>
      </c>
      <c r="AN2691">
        <v>3600</v>
      </c>
      <c r="AO2691" t="s">
        <v>115</v>
      </c>
      <c r="AP2691">
        <v>135</v>
      </c>
      <c r="AQ2691">
        <v>127</v>
      </c>
      <c r="AR2691">
        <v>64</v>
      </c>
      <c r="AZ2691">
        <v>3614</v>
      </c>
      <c r="BA2691">
        <v>1</v>
      </c>
      <c r="BB2691" t="str">
        <f t="shared" si="125"/>
        <v xml:space="preserve">N959MJ  </v>
      </c>
      <c r="BC2691">
        <v>1</v>
      </c>
      <c r="BE2691">
        <v>0</v>
      </c>
      <c r="BF2691">
        <v>0</v>
      </c>
      <c r="BG2691">
        <v>0</v>
      </c>
      <c r="BH2691">
        <v>3825</v>
      </c>
      <c r="BI2691">
        <v>225</v>
      </c>
      <c r="BJ2691">
        <v>1</v>
      </c>
      <c r="BK2691">
        <v>1</v>
      </c>
      <c r="BL2691">
        <v>1</v>
      </c>
      <c r="BM2691">
        <v>0</v>
      </c>
      <c r="BP2691">
        <v>0</v>
      </c>
      <c r="BQ2691">
        <v>0</v>
      </c>
      <c r="BX2691" t="str">
        <f>"14:35:12.156"</f>
        <v>14:35:12.156</v>
      </c>
      <c r="BY2691" t="str">
        <f>"157441974"</f>
        <v>157441974</v>
      </c>
      <c r="CL2691">
        <v>0</v>
      </c>
      <c r="CM2691">
        <v>2</v>
      </c>
      <c r="CN2691">
        <v>0</v>
      </c>
      <c r="CO2691">
        <v>2</v>
      </c>
      <c r="CP2691">
        <v>0</v>
      </c>
      <c r="CQ2691">
        <v>6</v>
      </c>
      <c r="CR2691" t="s">
        <v>116</v>
      </c>
      <c r="CS2691">
        <v>39</v>
      </c>
      <c r="CT2691">
        <v>0</v>
      </c>
      <c r="CU2691" t="s">
        <v>2259</v>
      </c>
      <c r="CV2691" t="s">
        <v>2260</v>
      </c>
      <c r="CY2691">
        <v>2266918</v>
      </c>
      <c r="CZ2691" t="s">
        <v>119</v>
      </c>
    </row>
    <row r="2692" spans="1:104" x14ac:dyDescent="0.25">
      <c r="A2692" t="str">
        <f>"14:35:13.430"</f>
        <v>14:35:13.430</v>
      </c>
      <c r="B2692" t="s">
        <v>108</v>
      </c>
      <c r="C2692" t="str">
        <f t="shared" si="124"/>
        <v>ffdfd3c0</v>
      </c>
      <c r="D2692" t="s">
        <v>109</v>
      </c>
      <c r="E2692">
        <v>4</v>
      </c>
      <c r="F2692">
        <v>1004</v>
      </c>
      <c r="G2692" t="s">
        <v>110</v>
      </c>
      <c r="J2692" t="s">
        <v>111</v>
      </c>
      <c r="K2692">
        <v>0</v>
      </c>
      <c r="L2692">
        <v>3</v>
      </c>
      <c r="M2692">
        <v>0</v>
      </c>
      <c r="N2692">
        <v>2</v>
      </c>
      <c r="O2692">
        <v>1</v>
      </c>
      <c r="P2692">
        <v>0</v>
      </c>
      <c r="Q2692">
        <v>0</v>
      </c>
      <c r="R2692" t="s">
        <v>112</v>
      </c>
      <c r="S2692" t="str">
        <f>"14:35:13.234"</f>
        <v>14:35:13.234</v>
      </c>
      <c r="T2692" t="str">
        <f>"14:35:12.836"</f>
        <v>14:35:12.836</v>
      </c>
      <c r="U2692" t="str">
        <f t="shared" si="126"/>
        <v>ad5732</v>
      </c>
      <c r="V2692">
        <v>0</v>
      </c>
      <c r="W2692">
        <v>0</v>
      </c>
      <c r="X2692">
        <v>1</v>
      </c>
      <c r="Z2692">
        <v>0</v>
      </c>
      <c r="AA2692">
        <v>9</v>
      </c>
      <c r="AB2692">
        <v>3</v>
      </c>
      <c r="AC2692">
        <v>0</v>
      </c>
      <c r="AD2692">
        <v>10</v>
      </c>
      <c r="AE2692">
        <v>0</v>
      </c>
      <c r="AF2692">
        <v>3</v>
      </c>
      <c r="AG2692">
        <v>2</v>
      </c>
      <c r="AH2692">
        <v>0</v>
      </c>
      <c r="AI2692" t="s">
        <v>5500</v>
      </c>
      <c r="AJ2692">
        <v>40.199339000000002</v>
      </c>
      <c r="AK2692" t="s">
        <v>5501</v>
      </c>
      <c r="AL2692">
        <v>-75.276325</v>
      </c>
      <c r="AM2692">
        <v>100</v>
      </c>
      <c r="AN2692">
        <v>3600</v>
      </c>
      <c r="AO2692" t="s">
        <v>115</v>
      </c>
      <c r="AP2692">
        <v>134</v>
      </c>
      <c r="AQ2692">
        <v>127</v>
      </c>
      <c r="AR2692">
        <v>64</v>
      </c>
      <c r="AZ2692">
        <v>3614</v>
      </c>
      <c r="BA2692">
        <v>1</v>
      </c>
      <c r="BB2692" t="str">
        <f t="shared" si="125"/>
        <v xml:space="preserve">N959MJ  </v>
      </c>
      <c r="BC2692">
        <v>1</v>
      </c>
      <c r="BE2692">
        <v>0</v>
      </c>
      <c r="BF2692">
        <v>0</v>
      </c>
      <c r="BG2692">
        <v>0</v>
      </c>
      <c r="BH2692">
        <v>3825</v>
      </c>
      <c r="BI2692">
        <v>225</v>
      </c>
      <c r="BJ2692">
        <v>1</v>
      </c>
      <c r="BK2692">
        <v>1</v>
      </c>
      <c r="BL2692">
        <v>1</v>
      </c>
      <c r="BM2692">
        <v>0</v>
      </c>
      <c r="BP2692">
        <v>0</v>
      </c>
      <c r="BQ2692">
        <v>0</v>
      </c>
      <c r="BX2692" t="str">
        <f>"14:35:13.234"</f>
        <v>14:35:13.234</v>
      </c>
      <c r="BY2692" t="str">
        <f>"237172952"</f>
        <v>237172952</v>
      </c>
      <c r="CL2692">
        <v>0</v>
      </c>
      <c r="CM2692">
        <v>2</v>
      </c>
      <c r="CN2692">
        <v>0</v>
      </c>
      <c r="CO2692">
        <v>2</v>
      </c>
      <c r="CP2692">
        <v>0</v>
      </c>
      <c r="CQ2692">
        <v>6</v>
      </c>
      <c r="CR2692" t="s">
        <v>116</v>
      </c>
      <c r="CS2692">
        <v>38</v>
      </c>
      <c r="CT2692">
        <v>3</v>
      </c>
      <c r="CU2692" t="s">
        <v>4719</v>
      </c>
      <c r="CV2692" t="s">
        <v>4720</v>
      </c>
      <c r="CY2692">
        <v>10037129</v>
      </c>
      <c r="CZ2692" t="s">
        <v>119</v>
      </c>
    </row>
    <row r="2693" spans="1:104" x14ac:dyDescent="0.25">
      <c r="A2693" t="str">
        <f>"14:35:14.539"</f>
        <v>14:35:14.539</v>
      </c>
      <c r="B2693" t="s">
        <v>108</v>
      </c>
      <c r="C2693" t="str">
        <f t="shared" si="124"/>
        <v>ffdfd3c0</v>
      </c>
      <c r="D2693" t="s">
        <v>109</v>
      </c>
      <c r="E2693">
        <v>4</v>
      </c>
      <c r="F2693">
        <v>1004</v>
      </c>
      <c r="G2693" t="s">
        <v>110</v>
      </c>
      <c r="J2693" t="s">
        <v>111</v>
      </c>
      <c r="K2693">
        <v>0</v>
      </c>
      <c r="L2693">
        <v>3</v>
      </c>
      <c r="M2693">
        <v>0</v>
      </c>
      <c r="N2693">
        <v>2</v>
      </c>
      <c r="O2693">
        <v>1</v>
      </c>
      <c r="P2693">
        <v>0</v>
      </c>
      <c r="Q2693">
        <v>0</v>
      </c>
      <c r="R2693" t="s">
        <v>112</v>
      </c>
      <c r="S2693" t="str">
        <f>"14:35:14.352"</f>
        <v>14:35:14.352</v>
      </c>
      <c r="T2693" t="str">
        <f>"14:35:13.852"</f>
        <v>14:35:13.852</v>
      </c>
      <c r="U2693" t="str">
        <f t="shared" si="126"/>
        <v>ad5732</v>
      </c>
      <c r="V2693">
        <v>0</v>
      </c>
      <c r="W2693">
        <v>0</v>
      </c>
      <c r="X2693">
        <v>1</v>
      </c>
      <c r="Z2693">
        <v>0</v>
      </c>
      <c r="AA2693">
        <v>9</v>
      </c>
      <c r="AB2693">
        <v>3</v>
      </c>
      <c r="AC2693">
        <v>0</v>
      </c>
      <c r="AD2693">
        <v>10</v>
      </c>
      <c r="AE2693">
        <v>0</v>
      </c>
      <c r="AF2693">
        <v>3</v>
      </c>
      <c r="AG2693">
        <v>2</v>
      </c>
      <c r="AH2693">
        <v>0</v>
      </c>
      <c r="AI2693" t="s">
        <v>5502</v>
      </c>
      <c r="AJ2693">
        <v>40.199983000000003</v>
      </c>
      <c r="AK2693" t="s">
        <v>5503</v>
      </c>
      <c r="AL2693">
        <v>-75.275380999999996</v>
      </c>
      <c r="AM2693">
        <v>100</v>
      </c>
      <c r="AN2693">
        <v>3600</v>
      </c>
      <c r="AO2693" t="s">
        <v>115</v>
      </c>
      <c r="AP2693">
        <v>134</v>
      </c>
      <c r="AQ2693">
        <v>127</v>
      </c>
      <c r="AR2693">
        <v>64</v>
      </c>
      <c r="AZ2693">
        <v>3614</v>
      </c>
      <c r="BA2693">
        <v>1</v>
      </c>
      <c r="BB2693" t="str">
        <f t="shared" si="125"/>
        <v xml:space="preserve">N959MJ  </v>
      </c>
      <c r="BC2693">
        <v>1</v>
      </c>
      <c r="BE2693">
        <v>0</v>
      </c>
      <c r="BF2693">
        <v>0</v>
      </c>
      <c r="BG2693">
        <v>0</v>
      </c>
      <c r="BH2693">
        <v>3825</v>
      </c>
      <c r="BI2693">
        <v>225</v>
      </c>
      <c r="BJ2693">
        <v>1</v>
      </c>
      <c r="BK2693">
        <v>1</v>
      </c>
      <c r="BL2693">
        <v>1</v>
      </c>
      <c r="BM2693">
        <v>0</v>
      </c>
      <c r="BP2693">
        <v>0</v>
      </c>
      <c r="BQ2693">
        <v>0</v>
      </c>
      <c r="BX2693" t="str">
        <f>"14:35:14.359"</f>
        <v>14:35:14.359</v>
      </c>
      <c r="BY2693" t="str">
        <f>"356213641"</f>
        <v>356213641</v>
      </c>
      <c r="CL2693">
        <v>0</v>
      </c>
      <c r="CM2693">
        <v>2</v>
      </c>
      <c r="CN2693">
        <v>0</v>
      </c>
      <c r="CO2693">
        <v>2</v>
      </c>
      <c r="CP2693">
        <v>0</v>
      </c>
      <c r="CQ2693">
        <v>6</v>
      </c>
      <c r="CR2693" t="s">
        <v>116</v>
      </c>
      <c r="CS2693">
        <v>39</v>
      </c>
      <c r="CT2693">
        <v>0</v>
      </c>
      <c r="CU2693" t="s">
        <v>2259</v>
      </c>
      <c r="CV2693" t="s">
        <v>2260</v>
      </c>
      <c r="CY2693">
        <v>2270284</v>
      </c>
      <c r="CZ2693" t="s">
        <v>119</v>
      </c>
    </row>
    <row r="2694" spans="1:104" x14ac:dyDescent="0.25">
      <c r="A2694" t="str">
        <f>"14:35:15.492"</f>
        <v>14:35:15.492</v>
      </c>
      <c r="B2694" t="s">
        <v>108</v>
      </c>
      <c r="C2694" t="str">
        <f t="shared" si="124"/>
        <v>ffdfd3c0</v>
      </c>
      <c r="D2694" t="s">
        <v>109</v>
      </c>
      <c r="E2694">
        <v>4</v>
      </c>
      <c r="F2694">
        <v>1004</v>
      </c>
      <c r="G2694" t="s">
        <v>110</v>
      </c>
      <c r="J2694" t="s">
        <v>111</v>
      </c>
      <c r="K2694">
        <v>0</v>
      </c>
      <c r="L2694">
        <v>3</v>
      </c>
      <c r="M2694">
        <v>0</v>
      </c>
      <c r="N2694">
        <v>2</v>
      </c>
      <c r="O2694">
        <v>1</v>
      </c>
      <c r="P2694">
        <v>0</v>
      </c>
      <c r="Q2694">
        <v>0</v>
      </c>
      <c r="R2694" t="s">
        <v>112</v>
      </c>
      <c r="S2694" t="str">
        <f>"14:35:15.336"</f>
        <v>14:35:15.336</v>
      </c>
      <c r="T2694" t="str">
        <f>"14:35:14.438"</f>
        <v>14:35:14.438</v>
      </c>
      <c r="U2694" t="str">
        <f t="shared" si="126"/>
        <v>ad5732</v>
      </c>
      <c r="V2694">
        <v>0</v>
      </c>
      <c r="W2694">
        <v>0</v>
      </c>
      <c r="X2694">
        <v>1</v>
      </c>
      <c r="Z2694">
        <v>0</v>
      </c>
      <c r="AA2694">
        <v>9</v>
      </c>
      <c r="AB2694">
        <v>3</v>
      </c>
      <c r="AC2694">
        <v>0</v>
      </c>
      <c r="AD2694">
        <v>10</v>
      </c>
      <c r="AE2694">
        <v>0</v>
      </c>
      <c r="AF2694">
        <v>3</v>
      </c>
      <c r="AG2694">
        <v>2</v>
      </c>
      <c r="AH2694">
        <v>0</v>
      </c>
      <c r="AI2694" t="s">
        <v>5504</v>
      </c>
      <c r="AJ2694">
        <v>40.200583999999999</v>
      </c>
      <c r="AK2694" t="s">
        <v>5505</v>
      </c>
      <c r="AL2694">
        <v>-75.274586999999997</v>
      </c>
      <c r="AM2694">
        <v>100</v>
      </c>
      <c r="AN2694">
        <v>3600</v>
      </c>
      <c r="AO2694" t="s">
        <v>115</v>
      </c>
      <c r="AP2694">
        <v>133</v>
      </c>
      <c r="AQ2694">
        <v>127</v>
      </c>
      <c r="AR2694">
        <v>64</v>
      </c>
      <c r="AZ2694">
        <v>3614</v>
      </c>
      <c r="BA2694">
        <v>1</v>
      </c>
      <c r="BB2694" t="str">
        <f t="shared" si="125"/>
        <v xml:space="preserve">N959MJ  </v>
      </c>
      <c r="BC2694">
        <v>1</v>
      </c>
      <c r="BE2694">
        <v>0</v>
      </c>
      <c r="BF2694">
        <v>0</v>
      </c>
      <c r="BG2694">
        <v>0</v>
      </c>
      <c r="BH2694">
        <v>3825</v>
      </c>
      <c r="BI2694">
        <v>225</v>
      </c>
      <c r="BJ2694">
        <v>1</v>
      </c>
      <c r="BK2694">
        <v>1</v>
      </c>
      <c r="BL2694">
        <v>1</v>
      </c>
      <c r="BM2694">
        <v>0</v>
      </c>
      <c r="BP2694">
        <v>0</v>
      </c>
      <c r="BQ2694">
        <v>0</v>
      </c>
      <c r="BX2694" t="str">
        <f>"14:35:15.344"</f>
        <v>14:35:15.344</v>
      </c>
      <c r="BY2694" t="str">
        <f>"340914412"</f>
        <v>340914412</v>
      </c>
      <c r="CL2694">
        <v>0</v>
      </c>
      <c r="CM2694">
        <v>2</v>
      </c>
      <c r="CN2694">
        <v>0</v>
      </c>
      <c r="CO2694">
        <v>2</v>
      </c>
      <c r="CP2694">
        <v>0</v>
      </c>
      <c r="CQ2694">
        <v>6</v>
      </c>
      <c r="CR2694" t="s">
        <v>116</v>
      </c>
      <c r="CS2694">
        <v>38</v>
      </c>
      <c r="CT2694">
        <v>3</v>
      </c>
      <c r="CU2694" t="s">
        <v>4719</v>
      </c>
      <c r="CV2694" t="s">
        <v>4720</v>
      </c>
      <c r="CY2694">
        <v>10040609</v>
      </c>
      <c r="CZ2694" t="s">
        <v>119</v>
      </c>
    </row>
    <row r="2695" spans="1:104" x14ac:dyDescent="0.25">
      <c r="A2695" t="str">
        <f>"14:35:16.406"</f>
        <v>14:35:16.406</v>
      </c>
      <c r="B2695" t="s">
        <v>108</v>
      </c>
      <c r="C2695" t="str">
        <f t="shared" si="124"/>
        <v>ffdfd3c0</v>
      </c>
      <c r="D2695" t="s">
        <v>109</v>
      </c>
      <c r="E2695">
        <v>4</v>
      </c>
      <c r="F2695">
        <v>1004</v>
      </c>
      <c r="G2695" t="s">
        <v>110</v>
      </c>
      <c r="J2695" t="s">
        <v>111</v>
      </c>
      <c r="K2695">
        <v>0</v>
      </c>
      <c r="L2695">
        <v>3</v>
      </c>
      <c r="M2695">
        <v>0</v>
      </c>
      <c r="N2695">
        <v>2</v>
      </c>
      <c r="O2695">
        <v>1</v>
      </c>
      <c r="P2695">
        <v>0</v>
      </c>
      <c r="Q2695">
        <v>0</v>
      </c>
      <c r="R2695" t="s">
        <v>112</v>
      </c>
      <c r="S2695" t="str">
        <f>"14:35:16.227"</f>
        <v>14:35:16.227</v>
      </c>
      <c r="T2695" t="str">
        <f>"14:35:15.828"</f>
        <v>14:35:15.828</v>
      </c>
      <c r="U2695" t="str">
        <f t="shared" si="126"/>
        <v>ad5732</v>
      </c>
      <c r="V2695">
        <v>0</v>
      </c>
      <c r="W2695">
        <v>0</v>
      </c>
      <c r="X2695">
        <v>1</v>
      </c>
      <c r="Z2695">
        <v>0</v>
      </c>
      <c r="AA2695">
        <v>9</v>
      </c>
      <c r="AB2695">
        <v>3</v>
      </c>
      <c r="AC2695">
        <v>0</v>
      </c>
      <c r="AD2695">
        <v>10</v>
      </c>
      <c r="AE2695">
        <v>0</v>
      </c>
      <c r="AF2695">
        <v>3</v>
      </c>
      <c r="AG2695">
        <v>2</v>
      </c>
      <c r="AH2695">
        <v>0</v>
      </c>
      <c r="AI2695" t="s">
        <v>5506</v>
      </c>
      <c r="AJ2695">
        <v>40.201120000000003</v>
      </c>
      <c r="AK2695" t="s">
        <v>5507</v>
      </c>
      <c r="AL2695">
        <v>-75.273878999999994</v>
      </c>
      <c r="AM2695">
        <v>100</v>
      </c>
      <c r="AN2695">
        <v>3600</v>
      </c>
      <c r="AO2695" t="s">
        <v>115</v>
      </c>
      <c r="AP2695">
        <v>133</v>
      </c>
      <c r="AQ2695">
        <v>127</v>
      </c>
      <c r="AR2695">
        <v>64</v>
      </c>
      <c r="AZ2695">
        <v>3614</v>
      </c>
      <c r="BA2695">
        <v>1</v>
      </c>
      <c r="BB2695" t="str">
        <f t="shared" si="125"/>
        <v xml:space="preserve">N959MJ  </v>
      </c>
      <c r="BC2695">
        <v>1</v>
      </c>
      <c r="BE2695">
        <v>0</v>
      </c>
      <c r="BF2695">
        <v>0</v>
      </c>
      <c r="BG2695">
        <v>0</v>
      </c>
      <c r="BH2695">
        <v>3825</v>
      </c>
      <c r="BI2695">
        <v>225</v>
      </c>
      <c r="BJ2695">
        <v>1</v>
      </c>
      <c r="BK2695">
        <v>1</v>
      </c>
      <c r="BL2695">
        <v>1</v>
      </c>
      <c r="BM2695">
        <v>0</v>
      </c>
      <c r="BP2695">
        <v>0</v>
      </c>
      <c r="BQ2695">
        <v>0</v>
      </c>
      <c r="BX2695" t="str">
        <f>"14:35:16.234"</f>
        <v>14:35:16.234</v>
      </c>
      <c r="BY2695" t="str">
        <f>"233853206"</f>
        <v>233853206</v>
      </c>
      <c r="CL2695">
        <v>0</v>
      </c>
      <c r="CM2695">
        <v>2</v>
      </c>
      <c r="CN2695">
        <v>0</v>
      </c>
      <c r="CO2695">
        <v>2</v>
      </c>
      <c r="CP2695">
        <v>0</v>
      </c>
      <c r="CQ2695">
        <v>6</v>
      </c>
      <c r="CR2695" t="s">
        <v>116</v>
      </c>
      <c r="CS2695">
        <v>39</v>
      </c>
      <c r="CT2695">
        <v>0</v>
      </c>
      <c r="CU2695" t="s">
        <v>2259</v>
      </c>
      <c r="CV2695" t="s">
        <v>2260</v>
      </c>
      <c r="CY2695">
        <v>2273343</v>
      </c>
      <c r="CZ2695" t="s">
        <v>119</v>
      </c>
    </row>
    <row r="2696" spans="1:104" x14ac:dyDescent="0.25">
      <c r="A2696" t="str">
        <f>"14:35:17.414"</f>
        <v>14:35:17.414</v>
      </c>
      <c r="B2696" t="s">
        <v>108</v>
      </c>
      <c r="C2696" t="str">
        <f t="shared" si="124"/>
        <v>ffdfd3c0</v>
      </c>
      <c r="D2696" t="s">
        <v>109</v>
      </c>
      <c r="E2696">
        <v>4</v>
      </c>
      <c r="F2696">
        <v>1004</v>
      </c>
      <c r="G2696" t="s">
        <v>110</v>
      </c>
      <c r="J2696" t="s">
        <v>111</v>
      </c>
      <c r="K2696">
        <v>0</v>
      </c>
      <c r="L2696">
        <v>3</v>
      </c>
      <c r="M2696">
        <v>0</v>
      </c>
      <c r="N2696">
        <v>2</v>
      </c>
      <c r="O2696">
        <v>1</v>
      </c>
      <c r="P2696">
        <v>0</v>
      </c>
      <c r="Q2696">
        <v>0</v>
      </c>
      <c r="R2696" t="s">
        <v>112</v>
      </c>
      <c r="S2696" t="str">
        <f>"14:35:17.227"</f>
        <v>14:35:17.227</v>
      </c>
      <c r="T2696" t="str">
        <f>"14:35:16.828"</f>
        <v>14:35:16.828</v>
      </c>
      <c r="U2696" t="str">
        <f t="shared" si="126"/>
        <v>ad5732</v>
      </c>
      <c r="V2696">
        <v>0</v>
      </c>
      <c r="W2696">
        <v>0</v>
      </c>
      <c r="X2696">
        <v>1</v>
      </c>
      <c r="Z2696">
        <v>0</v>
      </c>
      <c r="AA2696">
        <v>9</v>
      </c>
      <c r="AB2696">
        <v>3</v>
      </c>
      <c r="AC2696">
        <v>0</v>
      </c>
      <c r="AD2696">
        <v>10</v>
      </c>
      <c r="AE2696">
        <v>0</v>
      </c>
      <c r="AF2696">
        <v>3</v>
      </c>
      <c r="AG2696">
        <v>2</v>
      </c>
      <c r="AH2696">
        <v>0</v>
      </c>
      <c r="AI2696" t="s">
        <v>5508</v>
      </c>
      <c r="AJ2696">
        <v>40.201720999999999</v>
      </c>
      <c r="AK2696" t="s">
        <v>5509</v>
      </c>
      <c r="AL2696">
        <v>-75.273084999999995</v>
      </c>
      <c r="AM2696">
        <v>100</v>
      </c>
      <c r="AN2696">
        <v>3600</v>
      </c>
      <c r="AO2696" t="s">
        <v>115</v>
      </c>
      <c r="AP2696">
        <v>132</v>
      </c>
      <c r="AQ2696">
        <v>127</v>
      </c>
      <c r="AR2696">
        <v>64</v>
      </c>
      <c r="AZ2696">
        <v>3614</v>
      </c>
      <c r="BA2696">
        <v>1</v>
      </c>
      <c r="BB2696" t="str">
        <f t="shared" si="125"/>
        <v xml:space="preserve">N959MJ  </v>
      </c>
      <c r="BC2696">
        <v>1</v>
      </c>
      <c r="BE2696">
        <v>0</v>
      </c>
      <c r="BF2696">
        <v>0</v>
      </c>
      <c r="BG2696">
        <v>0</v>
      </c>
      <c r="BH2696">
        <v>3825</v>
      </c>
      <c r="BI2696">
        <v>225</v>
      </c>
      <c r="BJ2696">
        <v>1</v>
      </c>
      <c r="BK2696">
        <v>1</v>
      </c>
      <c r="BL2696">
        <v>1</v>
      </c>
      <c r="BM2696">
        <v>0</v>
      </c>
      <c r="BP2696">
        <v>0</v>
      </c>
      <c r="BQ2696">
        <v>0</v>
      </c>
      <c r="BX2696" t="str">
        <f>"14:35:17.234"</f>
        <v>14:35:17.234</v>
      </c>
      <c r="BY2696" t="str">
        <f>"231656510"</f>
        <v>231656510</v>
      </c>
      <c r="CL2696">
        <v>0</v>
      </c>
      <c r="CM2696">
        <v>2</v>
      </c>
      <c r="CN2696">
        <v>0</v>
      </c>
      <c r="CO2696">
        <v>2</v>
      </c>
      <c r="CP2696">
        <v>0</v>
      </c>
      <c r="CQ2696">
        <v>7</v>
      </c>
      <c r="CR2696" t="s">
        <v>116</v>
      </c>
      <c r="CS2696">
        <v>39</v>
      </c>
      <c r="CT2696">
        <v>0</v>
      </c>
      <c r="CU2696" t="s">
        <v>2259</v>
      </c>
      <c r="CV2696" t="s">
        <v>2260</v>
      </c>
      <c r="CY2696">
        <v>2275054</v>
      </c>
      <c r="CZ2696" t="s">
        <v>119</v>
      </c>
    </row>
    <row r="2697" spans="1:104" x14ac:dyDescent="0.25">
      <c r="A2697" t="str">
        <f>"14:35:18.477"</f>
        <v>14:35:18.477</v>
      </c>
      <c r="B2697" t="s">
        <v>108</v>
      </c>
      <c r="C2697" t="str">
        <f t="shared" si="124"/>
        <v>ffdfd3c0</v>
      </c>
      <c r="D2697" t="s">
        <v>109</v>
      </c>
      <c r="E2697">
        <v>4</v>
      </c>
      <c r="F2697">
        <v>1004</v>
      </c>
      <c r="G2697" t="s">
        <v>110</v>
      </c>
      <c r="J2697" t="s">
        <v>111</v>
      </c>
      <c r="K2697">
        <v>0</v>
      </c>
      <c r="L2697">
        <v>3</v>
      </c>
      <c r="M2697">
        <v>0</v>
      </c>
      <c r="N2697">
        <v>2</v>
      </c>
      <c r="O2697">
        <v>1</v>
      </c>
      <c r="P2697">
        <v>0</v>
      </c>
      <c r="Q2697">
        <v>0</v>
      </c>
      <c r="R2697" t="s">
        <v>112</v>
      </c>
      <c r="S2697" t="str">
        <f>"14:35:18.281"</f>
        <v>14:35:18.281</v>
      </c>
      <c r="T2697" t="str">
        <f>"14:35:17.781"</f>
        <v>14:35:17.781</v>
      </c>
      <c r="U2697" t="str">
        <f t="shared" si="126"/>
        <v>ad5732</v>
      </c>
      <c r="V2697">
        <v>0</v>
      </c>
      <c r="W2697">
        <v>0</v>
      </c>
      <c r="X2697">
        <v>1</v>
      </c>
      <c r="Z2697">
        <v>0</v>
      </c>
      <c r="AA2697">
        <v>9</v>
      </c>
      <c r="AB2697">
        <v>3</v>
      </c>
      <c r="AC2697">
        <v>0</v>
      </c>
      <c r="AD2697">
        <v>10</v>
      </c>
      <c r="AE2697">
        <v>0</v>
      </c>
      <c r="AF2697">
        <v>3</v>
      </c>
      <c r="AG2697">
        <v>2</v>
      </c>
      <c r="AH2697">
        <v>0</v>
      </c>
      <c r="AI2697" t="s">
        <v>5510</v>
      </c>
      <c r="AJ2697">
        <v>40.202278999999997</v>
      </c>
      <c r="AK2697" t="s">
        <v>5511</v>
      </c>
      <c r="AL2697">
        <v>-75.272268999999994</v>
      </c>
      <c r="AM2697">
        <v>100</v>
      </c>
      <c r="AN2697">
        <v>3600</v>
      </c>
      <c r="AO2697" t="s">
        <v>115</v>
      </c>
      <c r="AP2697">
        <v>132</v>
      </c>
      <c r="AQ2697">
        <v>127</v>
      </c>
      <c r="AR2697">
        <v>64</v>
      </c>
      <c r="AZ2697">
        <v>3614</v>
      </c>
      <c r="BA2697">
        <v>1</v>
      </c>
      <c r="BB2697" t="str">
        <f t="shared" si="125"/>
        <v xml:space="preserve">N959MJ  </v>
      </c>
      <c r="BC2697">
        <v>1</v>
      </c>
      <c r="BE2697">
        <v>0</v>
      </c>
      <c r="BF2697">
        <v>0</v>
      </c>
      <c r="BG2697">
        <v>0</v>
      </c>
      <c r="BH2697">
        <v>3825</v>
      </c>
      <c r="BI2697">
        <v>225</v>
      </c>
      <c r="BJ2697">
        <v>1</v>
      </c>
      <c r="BK2697">
        <v>1</v>
      </c>
      <c r="BL2697">
        <v>1</v>
      </c>
      <c r="BM2697">
        <v>0</v>
      </c>
      <c r="BP2697">
        <v>0</v>
      </c>
      <c r="BQ2697">
        <v>0</v>
      </c>
      <c r="BX2697" t="str">
        <f>"14:35:18.289"</f>
        <v>14:35:18.289</v>
      </c>
      <c r="BY2697" t="str">
        <f>"288443103"</f>
        <v>288443103</v>
      </c>
      <c r="CL2697">
        <v>0</v>
      </c>
      <c r="CM2697">
        <v>2</v>
      </c>
      <c r="CN2697">
        <v>0</v>
      </c>
      <c r="CO2697">
        <v>2</v>
      </c>
      <c r="CP2697">
        <v>0</v>
      </c>
      <c r="CQ2697">
        <v>6</v>
      </c>
      <c r="CR2697" t="s">
        <v>116</v>
      </c>
      <c r="CS2697">
        <v>39</v>
      </c>
      <c r="CT2697">
        <v>0</v>
      </c>
      <c r="CU2697" t="s">
        <v>2259</v>
      </c>
      <c r="CV2697" t="s">
        <v>2260</v>
      </c>
      <c r="CY2697">
        <v>2276674</v>
      </c>
      <c r="CZ2697" t="s">
        <v>119</v>
      </c>
    </row>
    <row r="2698" spans="1:104" x14ac:dyDescent="0.25">
      <c r="A2698" t="str">
        <f>"14:35:19.586"</f>
        <v>14:35:19.586</v>
      </c>
      <c r="B2698" t="s">
        <v>108</v>
      </c>
      <c r="C2698" t="str">
        <f t="shared" ref="C2698:C2761" si="127">"ffdfd3c0"</f>
        <v>ffdfd3c0</v>
      </c>
      <c r="D2698" t="s">
        <v>109</v>
      </c>
      <c r="E2698">
        <v>4</v>
      </c>
      <c r="F2698">
        <v>1004</v>
      </c>
      <c r="G2698" t="s">
        <v>110</v>
      </c>
      <c r="J2698" t="s">
        <v>111</v>
      </c>
      <c r="K2698">
        <v>0</v>
      </c>
      <c r="L2698">
        <v>3</v>
      </c>
      <c r="M2698">
        <v>0</v>
      </c>
      <c r="N2698">
        <v>2</v>
      </c>
      <c r="O2698">
        <v>1</v>
      </c>
      <c r="P2698">
        <v>0</v>
      </c>
      <c r="Q2698">
        <v>0</v>
      </c>
      <c r="R2698" t="s">
        <v>112</v>
      </c>
      <c r="S2698" t="str">
        <f>"14:35:19.383"</f>
        <v>14:35:19.383</v>
      </c>
      <c r="T2698" t="str">
        <f>"14:35:18.883"</f>
        <v>14:35:18.883</v>
      </c>
      <c r="U2698" t="str">
        <f t="shared" si="126"/>
        <v>ad5732</v>
      </c>
      <c r="V2698">
        <v>0</v>
      </c>
      <c r="W2698">
        <v>0</v>
      </c>
      <c r="X2698">
        <v>1</v>
      </c>
      <c r="Z2698">
        <v>0</v>
      </c>
      <c r="AA2698">
        <v>9</v>
      </c>
      <c r="AB2698">
        <v>3</v>
      </c>
      <c r="AC2698">
        <v>0</v>
      </c>
      <c r="AD2698">
        <v>10</v>
      </c>
      <c r="AE2698">
        <v>0</v>
      </c>
      <c r="AF2698">
        <v>3</v>
      </c>
      <c r="AG2698">
        <v>2</v>
      </c>
      <c r="AH2698">
        <v>0</v>
      </c>
      <c r="AI2698" t="s">
        <v>5512</v>
      </c>
      <c r="AJ2698">
        <v>40.202900999999997</v>
      </c>
      <c r="AK2698" t="s">
        <v>5513</v>
      </c>
      <c r="AL2698">
        <v>-75.271432000000004</v>
      </c>
      <c r="AM2698">
        <v>100</v>
      </c>
      <c r="AN2698">
        <v>3600</v>
      </c>
      <c r="AO2698" t="s">
        <v>115</v>
      </c>
      <c r="AP2698">
        <v>131</v>
      </c>
      <c r="AQ2698">
        <v>127</v>
      </c>
      <c r="AR2698">
        <v>128</v>
      </c>
      <c r="AZ2698">
        <v>3614</v>
      </c>
      <c r="BA2698">
        <v>1</v>
      </c>
      <c r="BB2698" t="str">
        <f t="shared" ref="BB2698:BB2761" si="128">"N959MJ  "</f>
        <v xml:space="preserve">N959MJ  </v>
      </c>
      <c r="BC2698">
        <v>1</v>
      </c>
      <c r="BE2698">
        <v>0</v>
      </c>
      <c r="BF2698">
        <v>0</v>
      </c>
      <c r="BG2698">
        <v>0</v>
      </c>
      <c r="BH2698">
        <v>3850</v>
      </c>
      <c r="BI2698">
        <v>250</v>
      </c>
      <c r="BJ2698">
        <v>1</v>
      </c>
      <c r="BK2698">
        <v>1</v>
      </c>
      <c r="BL2698">
        <v>1</v>
      </c>
      <c r="BM2698">
        <v>0</v>
      </c>
      <c r="BP2698">
        <v>0</v>
      </c>
      <c r="BQ2698">
        <v>0</v>
      </c>
      <c r="BX2698" t="str">
        <f>"14:35:19.383"</f>
        <v>14:35:19.383</v>
      </c>
      <c r="BY2698" t="str">
        <f>"386190500"</f>
        <v>386190500</v>
      </c>
      <c r="CL2698">
        <v>0</v>
      </c>
      <c r="CM2698">
        <v>2</v>
      </c>
      <c r="CN2698">
        <v>0</v>
      </c>
      <c r="CO2698">
        <v>2</v>
      </c>
      <c r="CP2698">
        <v>0</v>
      </c>
      <c r="CQ2698">
        <v>6</v>
      </c>
      <c r="CR2698" t="s">
        <v>116</v>
      </c>
      <c r="CS2698">
        <v>39</v>
      </c>
      <c r="CT2698">
        <v>0</v>
      </c>
      <c r="CU2698" t="s">
        <v>2259</v>
      </c>
      <c r="CV2698" t="s">
        <v>2260</v>
      </c>
      <c r="CY2698">
        <v>2278361</v>
      </c>
      <c r="CZ2698" t="s">
        <v>119</v>
      </c>
    </row>
    <row r="2699" spans="1:104" x14ac:dyDescent="0.25">
      <c r="A2699" t="str">
        <f>"14:35:20.547"</f>
        <v>14:35:20.547</v>
      </c>
      <c r="B2699" t="s">
        <v>108</v>
      </c>
      <c r="C2699" t="str">
        <f t="shared" si="127"/>
        <v>ffdfd3c0</v>
      </c>
      <c r="D2699" t="s">
        <v>109</v>
      </c>
      <c r="E2699">
        <v>4</v>
      </c>
      <c r="F2699">
        <v>1004</v>
      </c>
      <c r="G2699" t="s">
        <v>110</v>
      </c>
      <c r="J2699" t="s">
        <v>111</v>
      </c>
      <c r="K2699">
        <v>0</v>
      </c>
      <c r="L2699">
        <v>3</v>
      </c>
      <c r="M2699">
        <v>0</v>
      </c>
      <c r="N2699">
        <v>2</v>
      </c>
      <c r="O2699">
        <v>1</v>
      </c>
      <c r="P2699">
        <v>0</v>
      </c>
      <c r="Q2699">
        <v>0</v>
      </c>
      <c r="R2699" t="s">
        <v>112</v>
      </c>
      <c r="S2699" t="str">
        <f>"14:35:20.375"</f>
        <v>14:35:20.375</v>
      </c>
      <c r="T2699" t="str">
        <f>"14:35:19.977"</f>
        <v>14:35:19.977</v>
      </c>
      <c r="U2699" t="str">
        <f t="shared" si="126"/>
        <v>ad5732</v>
      </c>
      <c r="V2699">
        <v>0</v>
      </c>
      <c r="W2699">
        <v>0</v>
      </c>
      <c r="X2699">
        <v>1</v>
      </c>
      <c r="Z2699">
        <v>0</v>
      </c>
      <c r="AA2699">
        <v>9</v>
      </c>
      <c r="AB2699">
        <v>3</v>
      </c>
      <c r="AC2699">
        <v>0</v>
      </c>
      <c r="AD2699">
        <v>10</v>
      </c>
      <c r="AE2699">
        <v>0</v>
      </c>
      <c r="AF2699">
        <v>3</v>
      </c>
      <c r="AG2699">
        <v>2</v>
      </c>
      <c r="AH2699">
        <v>0</v>
      </c>
      <c r="AI2699" t="s">
        <v>5514</v>
      </c>
      <c r="AJ2699">
        <v>40.203502</v>
      </c>
      <c r="AK2699" t="s">
        <v>5515</v>
      </c>
      <c r="AL2699">
        <v>-75.270638000000005</v>
      </c>
      <c r="AM2699">
        <v>100</v>
      </c>
      <c r="AN2699">
        <v>3600</v>
      </c>
      <c r="AO2699" t="s">
        <v>115</v>
      </c>
      <c r="AP2699">
        <v>131</v>
      </c>
      <c r="AQ2699">
        <v>127</v>
      </c>
      <c r="AR2699">
        <v>64</v>
      </c>
      <c r="AZ2699">
        <v>3614</v>
      </c>
      <c r="BA2699">
        <v>1</v>
      </c>
      <c r="BB2699" t="str">
        <f t="shared" si="128"/>
        <v xml:space="preserve">N959MJ  </v>
      </c>
      <c r="BC2699">
        <v>1</v>
      </c>
      <c r="BE2699">
        <v>0</v>
      </c>
      <c r="BF2699">
        <v>0</v>
      </c>
      <c r="BG2699">
        <v>0</v>
      </c>
      <c r="BH2699">
        <v>3850</v>
      </c>
      <c r="BI2699">
        <v>250</v>
      </c>
      <c r="BJ2699">
        <v>1</v>
      </c>
      <c r="BK2699">
        <v>1</v>
      </c>
      <c r="BL2699">
        <v>1</v>
      </c>
      <c r="BM2699">
        <v>0</v>
      </c>
      <c r="BP2699">
        <v>0</v>
      </c>
      <c r="BQ2699">
        <v>0</v>
      </c>
      <c r="BX2699" t="str">
        <f>"14:35:20.383"</f>
        <v>14:35:20.383</v>
      </c>
      <c r="BY2699" t="str">
        <f>"382355304"</f>
        <v>382355304</v>
      </c>
      <c r="CL2699">
        <v>0</v>
      </c>
      <c r="CM2699">
        <v>2</v>
      </c>
      <c r="CN2699">
        <v>0</v>
      </c>
      <c r="CO2699">
        <v>2</v>
      </c>
      <c r="CP2699">
        <v>0</v>
      </c>
      <c r="CQ2699">
        <v>6</v>
      </c>
      <c r="CR2699" t="s">
        <v>116</v>
      </c>
      <c r="CS2699">
        <v>39</v>
      </c>
      <c r="CT2699">
        <v>0</v>
      </c>
      <c r="CU2699" t="s">
        <v>2259</v>
      </c>
      <c r="CV2699" t="s">
        <v>2260</v>
      </c>
      <c r="CY2699">
        <v>2280053</v>
      </c>
      <c r="CZ2699" t="s">
        <v>119</v>
      </c>
    </row>
    <row r="2700" spans="1:104" x14ac:dyDescent="0.25">
      <c r="A2700" t="str">
        <f>"14:35:21.508"</f>
        <v>14:35:21.508</v>
      </c>
      <c r="B2700" t="s">
        <v>108</v>
      </c>
      <c r="C2700" t="str">
        <f t="shared" si="127"/>
        <v>ffdfd3c0</v>
      </c>
      <c r="D2700" t="s">
        <v>109</v>
      </c>
      <c r="E2700">
        <v>4</v>
      </c>
      <c r="F2700">
        <v>1004</v>
      </c>
      <c r="G2700" t="s">
        <v>110</v>
      </c>
      <c r="J2700" t="s">
        <v>111</v>
      </c>
      <c r="K2700">
        <v>0</v>
      </c>
      <c r="L2700">
        <v>3</v>
      </c>
      <c r="M2700">
        <v>0</v>
      </c>
      <c r="N2700">
        <v>2</v>
      </c>
      <c r="O2700">
        <v>1</v>
      </c>
      <c r="P2700">
        <v>0</v>
      </c>
      <c r="Q2700">
        <v>0</v>
      </c>
      <c r="R2700" t="s">
        <v>112</v>
      </c>
      <c r="S2700" t="str">
        <f>"14:35:21.313"</f>
        <v>14:35:21.313</v>
      </c>
      <c r="T2700" t="str">
        <f>"14:35:20.914"</f>
        <v>14:35:20.914</v>
      </c>
      <c r="U2700" t="str">
        <f t="shared" si="126"/>
        <v>ad5732</v>
      </c>
      <c r="V2700">
        <v>0</v>
      </c>
      <c r="W2700">
        <v>0</v>
      </c>
      <c r="X2700">
        <v>1</v>
      </c>
      <c r="Z2700">
        <v>0</v>
      </c>
      <c r="AA2700">
        <v>9</v>
      </c>
      <c r="AB2700">
        <v>3</v>
      </c>
      <c r="AC2700">
        <v>0</v>
      </c>
      <c r="AD2700">
        <v>10</v>
      </c>
      <c r="AE2700">
        <v>0</v>
      </c>
      <c r="AF2700">
        <v>3</v>
      </c>
      <c r="AG2700">
        <v>2</v>
      </c>
      <c r="AH2700">
        <v>0</v>
      </c>
      <c r="AI2700" t="s">
        <v>5516</v>
      </c>
      <c r="AJ2700">
        <v>40.204103000000003</v>
      </c>
      <c r="AK2700" t="s">
        <v>5517</v>
      </c>
      <c r="AL2700">
        <v>-75.269845000000004</v>
      </c>
      <c r="AM2700">
        <v>100</v>
      </c>
      <c r="AN2700">
        <v>3600</v>
      </c>
      <c r="AO2700" t="s">
        <v>115</v>
      </c>
      <c r="AP2700">
        <v>131</v>
      </c>
      <c r="AQ2700">
        <v>126</v>
      </c>
      <c r="AR2700">
        <v>64</v>
      </c>
      <c r="AZ2700">
        <v>3614</v>
      </c>
      <c r="BA2700">
        <v>1</v>
      </c>
      <c r="BB2700" t="str">
        <f t="shared" si="128"/>
        <v xml:space="preserve">N959MJ  </v>
      </c>
      <c r="BC2700">
        <v>1</v>
      </c>
      <c r="BE2700">
        <v>0</v>
      </c>
      <c r="BF2700">
        <v>0</v>
      </c>
      <c r="BG2700">
        <v>0</v>
      </c>
      <c r="BH2700">
        <v>3850</v>
      </c>
      <c r="BI2700">
        <v>250</v>
      </c>
      <c r="BJ2700">
        <v>1</v>
      </c>
      <c r="BK2700">
        <v>1</v>
      </c>
      <c r="BL2700">
        <v>1</v>
      </c>
      <c r="BM2700">
        <v>0</v>
      </c>
      <c r="BP2700">
        <v>0</v>
      </c>
      <c r="BQ2700">
        <v>0</v>
      </c>
      <c r="BX2700" t="str">
        <f>"14:35:21.313"</f>
        <v>14:35:21.313</v>
      </c>
      <c r="BY2700" t="str">
        <f>"312982949"</f>
        <v>312982949</v>
      </c>
      <c r="CL2700">
        <v>0</v>
      </c>
      <c r="CM2700">
        <v>2</v>
      </c>
      <c r="CN2700">
        <v>0</v>
      </c>
      <c r="CO2700">
        <v>2</v>
      </c>
      <c r="CP2700">
        <v>0</v>
      </c>
      <c r="CQ2700">
        <v>6</v>
      </c>
      <c r="CR2700" t="s">
        <v>116</v>
      </c>
      <c r="CS2700">
        <v>39</v>
      </c>
      <c r="CT2700">
        <v>0</v>
      </c>
      <c r="CU2700" t="s">
        <v>2259</v>
      </c>
      <c r="CV2700" t="s">
        <v>2260</v>
      </c>
      <c r="CY2700">
        <v>2281774</v>
      </c>
      <c r="CZ2700" t="s">
        <v>119</v>
      </c>
    </row>
    <row r="2701" spans="1:104" x14ac:dyDescent="0.25">
      <c r="A2701" t="str">
        <f>"14:35:22.461"</f>
        <v>14:35:22.461</v>
      </c>
      <c r="B2701" t="s">
        <v>108</v>
      </c>
      <c r="C2701" t="str">
        <f t="shared" si="127"/>
        <v>ffdfd3c0</v>
      </c>
      <c r="D2701" t="s">
        <v>109</v>
      </c>
      <c r="E2701">
        <v>4</v>
      </c>
      <c r="F2701">
        <v>1004</v>
      </c>
      <c r="G2701" t="s">
        <v>110</v>
      </c>
      <c r="J2701" t="s">
        <v>111</v>
      </c>
      <c r="K2701">
        <v>0</v>
      </c>
      <c r="L2701">
        <v>3</v>
      </c>
      <c r="M2701">
        <v>0</v>
      </c>
      <c r="N2701">
        <v>2</v>
      </c>
      <c r="O2701">
        <v>1</v>
      </c>
      <c r="P2701">
        <v>0</v>
      </c>
      <c r="Q2701">
        <v>0</v>
      </c>
      <c r="R2701" t="s">
        <v>112</v>
      </c>
      <c r="S2701" t="str">
        <f>"14:35:22.297"</f>
        <v>14:35:22.297</v>
      </c>
      <c r="T2701" t="str">
        <f>"14:35:21.797"</f>
        <v>14:35:21.797</v>
      </c>
      <c r="U2701" t="str">
        <f t="shared" si="126"/>
        <v>ad5732</v>
      </c>
      <c r="V2701">
        <v>0</v>
      </c>
      <c r="W2701">
        <v>0</v>
      </c>
      <c r="X2701">
        <v>1</v>
      </c>
      <c r="Z2701">
        <v>0</v>
      </c>
      <c r="AA2701">
        <v>9</v>
      </c>
      <c r="AB2701">
        <v>3</v>
      </c>
      <c r="AC2701">
        <v>0</v>
      </c>
      <c r="AD2701">
        <v>10</v>
      </c>
      <c r="AE2701">
        <v>0</v>
      </c>
      <c r="AF2701">
        <v>3</v>
      </c>
      <c r="AG2701">
        <v>2</v>
      </c>
      <c r="AH2701">
        <v>0</v>
      </c>
      <c r="AI2701" t="s">
        <v>5518</v>
      </c>
      <c r="AJ2701">
        <v>40.204618000000004</v>
      </c>
      <c r="AK2701" t="s">
        <v>5519</v>
      </c>
      <c r="AL2701">
        <v>-75.269136000000003</v>
      </c>
      <c r="AM2701">
        <v>100</v>
      </c>
      <c r="AN2701">
        <v>3600</v>
      </c>
      <c r="AO2701" t="s">
        <v>115</v>
      </c>
      <c r="AP2701">
        <v>130</v>
      </c>
      <c r="AQ2701">
        <v>126</v>
      </c>
      <c r="AR2701">
        <v>128</v>
      </c>
      <c r="AZ2701">
        <v>3614</v>
      </c>
      <c r="BA2701">
        <v>1</v>
      </c>
      <c r="BB2701" t="str">
        <f t="shared" si="128"/>
        <v xml:space="preserve">N959MJ  </v>
      </c>
      <c r="BC2701">
        <v>1</v>
      </c>
      <c r="BE2701">
        <v>0</v>
      </c>
      <c r="BF2701">
        <v>0</v>
      </c>
      <c r="BG2701">
        <v>0</v>
      </c>
      <c r="BH2701">
        <v>3850</v>
      </c>
      <c r="BI2701">
        <v>250</v>
      </c>
      <c r="BJ2701">
        <v>1</v>
      </c>
      <c r="BK2701">
        <v>1</v>
      </c>
      <c r="BL2701">
        <v>1</v>
      </c>
      <c r="BM2701">
        <v>0</v>
      </c>
      <c r="BP2701">
        <v>0</v>
      </c>
      <c r="BQ2701">
        <v>0</v>
      </c>
      <c r="BX2701" t="str">
        <f>"14:35:22.305"</f>
        <v>14:35:22.305</v>
      </c>
      <c r="BY2701" t="str">
        <f>"304232458"</f>
        <v>304232458</v>
      </c>
      <c r="CL2701">
        <v>0</v>
      </c>
      <c r="CM2701">
        <v>2</v>
      </c>
      <c r="CN2701">
        <v>0</v>
      </c>
      <c r="CO2701">
        <v>2</v>
      </c>
      <c r="CP2701">
        <v>0</v>
      </c>
      <c r="CQ2701">
        <v>6</v>
      </c>
      <c r="CR2701" t="s">
        <v>116</v>
      </c>
      <c r="CS2701">
        <v>39</v>
      </c>
      <c r="CT2701">
        <v>0</v>
      </c>
      <c r="CU2701" t="s">
        <v>2259</v>
      </c>
      <c r="CV2701" t="s">
        <v>2260</v>
      </c>
      <c r="CY2701">
        <v>2283418</v>
      </c>
      <c r="CZ2701" t="s">
        <v>119</v>
      </c>
    </row>
    <row r="2702" spans="1:104" x14ac:dyDescent="0.25">
      <c r="A2702" t="str">
        <f>"14:35:23.578"</f>
        <v>14:35:23.578</v>
      </c>
      <c r="B2702" t="s">
        <v>108</v>
      </c>
      <c r="C2702" t="str">
        <f t="shared" si="127"/>
        <v>ffdfd3c0</v>
      </c>
      <c r="D2702" t="s">
        <v>109</v>
      </c>
      <c r="E2702">
        <v>4</v>
      </c>
      <c r="F2702">
        <v>1004</v>
      </c>
      <c r="G2702" t="s">
        <v>110</v>
      </c>
      <c r="J2702" t="s">
        <v>111</v>
      </c>
      <c r="K2702">
        <v>0</v>
      </c>
      <c r="L2702">
        <v>3</v>
      </c>
      <c r="M2702">
        <v>0</v>
      </c>
      <c r="N2702">
        <v>2</v>
      </c>
      <c r="O2702">
        <v>1</v>
      </c>
      <c r="P2702">
        <v>0</v>
      </c>
      <c r="Q2702">
        <v>0</v>
      </c>
      <c r="R2702" t="s">
        <v>112</v>
      </c>
      <c r="S2702" t="str">
        <f>"14:35:23.375"</f>
        <v>14:35:23.375</v>
      </c>
      <c r="T2702" t="str">
        <f>"14:35:22.875"</f>
        <v>14:35:22.875</v>
      </c>
      <c r="U2702" t="str">
        <f t="shared" si="126"/>
        <v>ad5732</v>
      </c>
      <c r="V2702">
        <v>0</v>
      </c>
      <c r="W2702">
        <v>0</v>
      </c>
      <c r="X2702">
        <v>1</v>
      </c>
      <c r="Z2702">
        <v>0</v>
      </c>
      <c r="AA2702">
        <v>9</v>
      </c>
      <c r="AB2702">
        <v>3</v>
      </c>
      <c r="AC2702">
        <v>0</v>
      </c>
      <c r="AD2702">
        <v>10</v>
      </c>
      <c r="AE2702">
        <v>0</v>
      </c>
      <c r="AF2702">
        <v>3</v>
      </c>
      <c r="AG2702">
        <v>2</v>
      </c>
      <c r="AH2702">
        <v>0</v>
      </c>
      <c r="AI2702" t="s">
        <v>5520</v>
      </c>
      <c r="AJ2702">
        <v>40.205283000000001</v>
      </c>
      <c r="AK2702" t="s">
        <v>5521</v>
      </c>
      <c r="AL2702">
        <v>-75.268257000000006</v>
      </c>
      <c r="AM2702">
        <v>100</v>
      </c>
      <c r="AN2702">
        <v>3600</v>
      </c>
      <c r="AO2702" t="s">
        <v>115</v>
      </c>
      <c r="AP2702">
        <v>130</v>
      </c>
      <c r="AQ2702">
        <v>126</v>
      </c>
      <c r="AR2702">
        <v>128</v>
      </c>
      <c r="AZ2702">
        <v>3614</v>
      </c>
      <c r="BA2702">
        <v>1</v>
      </c>
      <c r="BB2702" t="str">
        <f t="shared" si="128"/>
        <v xml:space="preserve">N959MJ  </v>
      </c>
      <c r="BC2702">
        <v>1</v>
      </c>
      <c r="BE2702">
        <v>0</v>
      </c>
      <c r="BF2702">
        <v>0</v>
      </c>
      <c r="BG2702">
        <v>0</v>
      </c>
      <c r="BH2702">
        <v>3850</v>
      </c>
      <c r="BI2702">
        <v>250</v>
      </c>
      <c r="BJ2702">
        <v>1</v>
      </c>
      <c r="BK2702">
        <v>1</v>
      </c>
      <c r="BL2702">
        <v>1</v>
      </c>
      <c r="BM2702">
        <v>0</v>
      </c>
      <c r="BP2702">
        <v>0</v>
      </c>
      <c r="BQ2702">
        <v>0</v>
      </c>
      <c r="BX2702" t="str">
        <f>"14:35:23.375"</f>
        <v>14:35:23.375</v>
      </c>
      <c r="BY2702" t="str">
        <f>"377403423"</f>
        <v>377403423</v>
      </c>
      <c r="CL2702">
        <v>0</v>
      </c>
      <c r="CM2702">
        <v>2</v>
      </c>
      <c r="CN2702">
        <v>0</v>
      </c>
      <c r="CO2702">
        <v>2</v>
      </c>
      <c r="CP2702">
        <v>0</v>
      </c>
      <c r="CQ2702">
        <v>6</v>
      </c>
      <c r="CR2702" t="s">
        <v>116</v>
      </c>
      <c r="CS2702">
        <v>39</v>
      </c>
      <c r="CT2702">
        <v>0</v>
      </c>
      <c r="CU2702" t="s">
        <v>2259</v>
      </c>
      <c r="CV2702" t="s">
        <v>2260</v>
      </c>
      <c r="CY2702">
        <v>2285078</v>
      </c>
      <c r="CZ2702" t="s">
        <v>119</v>
      </c>
    </row>
    <row r="2703" spans="1:104" x14ac:dyDescent="0.25">
      <c r="A2703" t="str">
        <f>"14:35:24.484"</f>
        <v>14:35:24.484</v>
      </c>
      <c r="B2703" t="s">
        <v>108</v>
      </c>
      <c r="C2703" t="str">
        <f t="shared" si="127"/>
        <v>ffdfd3c0</v>
      </c>
      <c r="D2703" t="s">
        <v>109</v>
      </c>
      <c r="E2703">
        <v>4</v>
      </c>
      <c r="F2703">
        <v>1004</v>
      </c>
      <c r="G2703" t="s">
        <v>110</v>
      </c>
      <c r="J2703" t="s">
        <v>111</v>
      </c>
      <c r="K2703">
        <v>0</v>
      </c>
      <c r="L2703">
        <v>3</v>
      </c>
      <c r="M2703">
        <v>0</v>
      </c>
      <c r="N2703">
        <v>2</v>
      </c>
      <c r="O2703">
        <v>1</v>
      </c>
      <c r="P2703">
        <v>0</v>
      </c>
      <c r="Q2703">
        <v>0</v>
      </c>
      <c r="R2703" t="s">
        <v>112</v>
      </c>
      <c r="S2703" t="str">
        <f>"14:35:24.320"</f>
        <v>14:35:24.320</v>
      </c>
      <c r="T2703" t="str">
        <f>"14:35:23.820"</f>
        <v>14:35:23.820</v>
      </c>
      <c r="U2703" t="str">
        <f t="shared" si="126"/>
        <v>ad5732</v>
      </c>
      <c r="V2703">
        <v>0</v>
      </c>
      <c r="W2703">
        <v>0</v>
      </c>
      <c r="X2703">
        <v>1</v>
      </c>
      <c r="Z2703">
        <v>0</v>
      </c>
      <c r="AA2703">
        <v>9</v>
      </c>
      <c r="AB2703">
        <v>3</v>
      </c>
      <c r="AC2703">
        <v>0</v>
      </c>
      <c r="AD2703">
        <v>10</v>
      </c>
      <c r="AE2703">
        <v>0</v>
      </c>
      <c r="AF2703">
        <v>3</v>
      </c>
      <c r="AG2703">
        <v>2</v>
      </c>
      <c r="AH2703">
        <v>0</v>
      </c>
      <c r="AI2703" t="s">
        <v>5522</v>
      </c>
      <c r="AJ2703">
        <v>40.205840999999999</v>
      </c>
      <c r="AK2703" t="s">
        <v>5523</v>
      </c>
      <c r="AL2703">
        <v>-75.267463000000006</v>
      </c>
      <c r="AM2703">
        <v>100</v>
      </c>
      <c r="AN2703">
        <v>3600</v>
      </c>
      <c r="AO2703" t="s">
        <v>115</v>
      </c>
      <c r="AP2703">
        <v>130</v>
      </c>
      <c r="AQ2703">
        <v>126</v>
      </c>
      <c r="AR2703">
        <v>128</v>
      </c>
      <c r="AZ2703">
        <v>3614</v>
      </c>
      <c r="BA2703">
        <v>1</v>
      </c>
      <c r="BB2703" t="str">
        <f t="shared" si="128"/>
        <v xml:space="preserve">N959MJ  </v>
      </c>
      <c r="BC2703">
        <v>1</v>
      </c>
      <c r="BE2703">
        <v>0</v>
      </c>
      <c r="BF2703">
        <v>0</v>
      </c>
      <c r="BG2703">
        <v>0</v>
      </c>
      <c r="BH2703">
        <v>3850</v>
      </c>
      <c r="BI2703">
        <v>250</v>
      </c>
      <c r="BJ2703">
        <v>1</v>
      </c>
      <c r="BK2703">
        <v>1</v>
      </c>
      <c r="BL2703">
        <v>1</v>
      </c>
      <c r="BM2703">
        <v>0</v>
      </c>
      <c r="BP2703">
        <v>0</v>
      </c>
      <c r="BQ2703">
        <v>0</v>
      </c>
      <c r="BX2703" t="str">
        <f>"14:35:24.328"</f>
        <v>14:35:24.328</v>
      </c>
      <c r="BY2703" t="str">
        <f>"324415344"</f>
        <v>324415344</v>
      </c>
      <c r="CL2703">
        <v>0</v>
      </c>
      <c r="CM2703">
        <v>2</v>
      </c>
      <c r="CN2703">
        <v>0</v>
      </c>
      <c r="CO2703">
        <v>2</v>
      </c>
      <c r="CP2703">
        <v>0</v>
      </c>
      <c r="CQ2703">
        <v>6</v>
      </c>
      <c r="CR2703" t="s">
        <v>116</v>
      </c>
      <c r="CS2703">
        <v>39</v>
      </c>
      <c r="CT2703">
        <v>0</v>
      </c>
      <c r="CU2703" t="s">
        <v>2259</v>
      </c>
      <c r="CV2703" t="s">
        <v>2260</v>
      </c>
      <c r="CY2703">
        <v>2286503</v>
      </c>
      <c r="CZ2703" t="s">
        <v>119</v>
      </c>
    </row>
    <row r="2704" spans="1:104" x14ac:dyDescent="0.25">
      <c r="A2704" t="str">
        <f>"14:35:25.492"</f>
        <v>14:35:25.492</v>
      </c>
      <c r="B2704" t="s">
        <v>108</v>
      </c>
      <c r="C2704" t="str">
        <f t="shared" si="127"/>
        <v>ffdfd3c0</v>
      </c>
      <c r="D2704" t="s">
        <v>109</v>
      </c>
      <c r="E2704">
        <v>4</v>
      </c>
      <c r="F2704">
        <v>1004</v>
      </c>
      <c r="G2704" t="s">
        <v>110</v>
      </c>
      <c r="J2704" t="s">
        <v>111</v>
      </c>
      <c r="K2704">
        <v>0</v>
      </c>
      <c r="L2704">
        <v>3</v>
      </c>
      <c r="M2704">
        <v>0</v>
      </c>
      <c r="N2704">
        <v>2</v>
      </c>
      <c r="O2704">
        <v>1</v>
      </c>
      <c r="P2704">
        <v>0</v>
      </c>
      <c r="Q2704">
        <v>0</v>
      </c>
      <c r="R2704" t="s">
        <v>112</v>
      </c>
      <c r="S2704" t="str">
        <f>"14:35:25.320"</f>
        <v>14:35:25.320</v>
      </c>
      <c r="T2704" t="str">
        <f>"14:35:24.820"</f>
        <v>14:35:24.820</v>
      </c>
      <c r="U2704" t="str">
        <f t="shared" si="126"/>
        <v>ad5732</v>
      </c>
      <c r="V2704">
        <v>0</v>
      </c>
      <c r="W2704">
        <v>0</v>
      </c>
      <c r="X2704">
        <v>1</v>
      </c>
      <c r="Z2704">
        <v>0</v>
      </c>
      <c r="AA2704">
        <v>9</v>
      </c>
      <c r="AB2704">
        <v>3</v>
      </c>
      <c r="AC2704">
        <v>0</v>
      </c>
      <c r="AD2704">
        <v>10</v>
      </c>
      <c r="AE2704">
        <v>0</v>
      </c>
      <c r="AF2704">
        <v>3</v>
      </c>
      <c r="AG2704">
        <v>2</v>
      </c>
      <c r="AH2704">
        <v>0</v>
      </c>
      <c r="AI2704" t="s">
        <v>5524</v>
      </c>
      <c r="AJ2704">
        <v>40.206442000000003</v>
      </c>
      <c r="AK2704" t="s">
        <v>5525</v>
      </c>
      <c r="AL2704">
        <v>-75.266733000000002</v>
      </c>
      <c r="AM2704">
        <v>100</v>
      </c>
      <c r="AN2704">
        <v>3600</v>
      </c>
      <c r="AO2704" t="s">
        <v>115</v>
      </c>
      <c r="AP2704">
        <v>130</v>
      </c>
      <c r="AQ2704">
        <v>125</v>
      </c>
      <c r="AR2704">
        <v>64</v>
      </c>
      <c r="AZ2704">
        <v>3614</v>
      </c>
      <c r="BA2704">
        <v>1</v>
      </c>
      <c r="BB2704" t="str">
        <f t="shared" si="128"/>
        <v xml:space="preserve">N959MJ  </v>
      </c>
      <c r="BC2704">
        <v>1</v>
      </c>
      <c r="BE2704">
        <v>0</v>
      </c>
      <c r="BF2704">
        <v>0</v>
      </c>
      <c r="BG2704">
        <v>0</v>
      </c>
      <c r="BH2704">
        <v>3850</v>
      </c>
      <c r="BI2704">
        <v>250</v>
      </c>
      <c r="BJ2704">
        <v>1</v>
      </c>
      <c r="BK2704">
        <v>1</v>
      </c>
      <c r="BL2704">
        <v>1</v>
      </c>
      <c r="BM2704">
        <v>0</v>
      </c>
      <c r="BP2704">
        <v>0</v>
      </c>
      <c r="BQ2704">
        <v>0</v>
      </c>
      <c r="BX2704" t="str">
        <f>"14:35:25.320"</f>
        <v>14:35:25.320</v>
      </c>
      <c r="BY2704" t="str">
        <f>"322218574"</f>
        <v>322218574</v>
      </c>
      <c r="CL2704">
        <v>0</v>
      </c>
      <c r="CM2704">
        <v>2</v>
      </c>
      <c r="CN2704">
        <v>0</v>
      </c>
      <c r="CO2704">
        <v>2</v>
      </c>
      <c r="CP2704">
        <v>0</v>
      </c>
      <c r="CQ2704">
        <v>6</v>
      </c>
      <c r="CR2704" t="s">
        <v>116</v>
      </c>
      <c r="CS2704">
        <v>39</v>
      </c>
      <c r="CT2704">
        <v>0</v>
      </c>
      <c r="CU2704" t="s">
        <v>2259</v>
      </c>
      <c r="CV2704" t="s">
        <v>2260</v>
      </c>
      <c r="CY2704">
        <v>2288193</v>
      </c>
      <c r="CZ2704" t="s">
        <v>119</v>
      </c>
    </row>
    <row r="2705" spans="1:104" x14ac:dyDescent="0.25">
      <c r="A2705" t="str">
        <f>"14:35:26.359"</f>
        <v>14:35:26.359</v>
      </c>
      <c r="B2705" t="s">
        <v>108</v>
      </c>
      <c r="C2705" t="str">
        <f t="shared" si="127"/>
        <v>ffdfd3c0</v>
      </c>
      <c r="D2705" t="s">
        <v>109</v>
      </c>
      <c r="E2705">
        <v>4</v>
      </c>
      <c r="F2705">
        <v>1004</v>
      </c>
      <c r="G2705" t="s">
        <v>110</v>
      </c>
      <c r="J2705" t="s">
        <v>111</v>
      </c>
      <c r="K2705">
        <v>0</v>
      </c>
      <c r="L2705">
        <v>3</v>
      </c>
      <c r="M2705">
        <v>0</v>
      </c>
      <c r="N2705">
        <v>2</v>
      </c>
      <c r="O2705">
        <v>1</v>
      </c>
      <c r="P2705">
        <v>0</v>
      </c>
      <c r="Q2705">
        <v>0</v>
      </c>
      <c r="R2705" t="s">
        <v>112</v>
      </c>
      <c r="S2705" t="str">
        <f>"14:35:26.156"</f>
        <v>14:35:26.156</v>
      </c>
      <c r="T2705" t="str">
        <f>"14:35:25.758"</f>
        <v>14:35:25.758</v>
      </c>
      <c r="U2705" t="str">
        <f t="shared" si="126"/>
        <v>ad5732</v>
      </c>
      <c r="V2705">
        <v>0</v>
      </c>
      <c r="W2705">
        <v>0</v>
      </c>
      <c r="X2705">
        <v>1</v>
      </c>
      <c r="Z2705">
        <v>0</v>
      </c>
      <c r="AA2705">
        <v>9</v>
      </c>
      <c r="AB2705">
        <v>3</v>
      </c>
      <c r="AC2705">
        <v>0</v>
      </c>
      <c r="AD2705">
        <v>10</v>
      </c>
      <c r="AE2705">
        <v>0</v>
      </c>
      <c r="AF2705">
        <v>3</v>
      </c>
      <c r="AG2705">
        <v>2</v>
      </c>
      <c r="AH2705">
        <v>0</v>
      </c>
      <c r="AI2705" t="s">
        <v>5526</v>
      </c>
      <c r="AJ2705">
        <v>40.206892000000003</v>
      </c>
      <c r="AK2705" t="s">
        <v>5527</v>
      </c>
      <c r="AL2705">
        <v>-75.266110999999995</v>
      </c>
      <c r="AM2705">
        <v>100</v>
      </c>
      <c r="AN2705">
        <v>3600</v>
      </c>
      <c r="AO2705" t="s">
        <v>115</v>
      </c>
      <c r="AP2705">
        <v>130</v>
      </c>
      <c r="AQ2705">
        <v>125</v>
      </c>
      <c r="AR2705">
        <v>128</v>
      </c>
      <c r="AZ2705">
        <v>3614</v>
      </c>
      <c r="BA2705">
        <v>1</v>
      </c>
      <c r="BB2705" t="str">
        <f t="shared" si="128"/>
        <v xml:space="preserve">N959MJ  </v>
      </c>
      <c r="BC2705">
        <v>1</v>
      </c>
      <c r="BE2705">
        <v>0</v>
      </c>
      <c r="BF2705">
        <v>0</v>
      </c>
      <c r="BG2705">
        <v>0</v>
      </c>
      <c r="BH2705">
        <v>3850</v>
      </c>
      <c r="BI2705">
        <v>250</v>
      </c>
      <c r="BJ2705">
        <v>1</v>
      </c>
      <c r="BK2705">
        <v>1</v>
      </c>
      <c r="BL2705">
        <v>1</v>
      </c>
      <c r="BM2705">
        <v>0</v>
      </c>
      <c r="BP2705">
        <v>0</v>
      </c>
      <c r="BQ2705">
        <v>0</v>
      </c>
      <c r="BX2705" t="str">
        <f>"14:35:26.164"</f>
        <v>14:35:26.164</v>
      </c>
      <c r="BY2705" t="str">
        <f>"162732626"</f>
        <v>162732626</v>
      </c>
      <c r="CL2705">
        <v>0</v>
      </c>
      <c r="CM2705">
        <v>2</v>
      </c>
      <c r="CN2705">
        <v>0</v>
      </c>
      <c r="CO2705">
        <v>2</v>
      </c>
      <c r="CP2705">
        <v>0</v>
      </c>
      <c r="CQ2705">
        <v>6</v>
      </c>
      <c r="CR2705" t="s">
        <v>116</v>
      </c>
      <c r="CS2705">
        <v>39</v>
      </c>
      <c r="CT2705">
        <v>0</v>
      </c>
      <c r="CU2705" t="s">
        <v>2259</v>
      </c>
      <c r="CV2705" t="s">
        <v>2260</v>
      </c>
      <c r="CY2705">
        <v>2289567</v>
      </c>
      <c r="CZ2705" t="s">
        <v>119</v>
      </c>
    </row>
    <row r="2706" spans="1:104" x14ac:dyDescent="0.25">
      <c r="A2706" t="str">
        <f>"14:35:27.211"</f>
        <v>14:35:27.211</v>
      </c>
      <c r="B2706" t="s">
        <v>108</v>
      </c>
      <c r="C2706" t="str">
        <f t="shared" si="127"/>
        <v>ffdfd3c0</v>
      </c>
      <c r="D2706" t="s">
        <v>109</v>
      </c>
      <c r="E2706">
        <v>4</v>
      </c>
      <c r="F2706">
        <v>1004</v>
      </c>
      <c r="G2706" t="s">
        <v>110</v>
      </c>
      <c r="J2706" t="s">
        <v>111</v>
      </c>
      <c r="K2706">
        <v>0</v>
      </c>
      <c r="L2706">
        <v>3</v>
      </c>
      <c r="M2706">
        <v>0</v>
      </c>
      <c r="N2706">
        <v>2</v>
      </c>
      <c r="O2706">
        <v>1</v>
      </c>
      <c r="P2706">
        <v>0</v>
      </c>
      <c r="Q2706">
        <v>0</v>
      </c>
      <c r="R2706" t="s">
        <v>112</v>
      </c>
      <c r="S2706" t="str">
        <f>"14:35:27.016"</f>
        <v>14:35:27.016</v>
      </c>
      <c r="T2706" t="str">
        <f>"14:35:26.617"</f>
        <v>14:35:26.617</v>
      </c>
      <c r="U2706" t="str">
        <f t="shared" si="126"/>
        <v>ad5732</v>
      </c>
      <c r="V2706">
        <v>0</v>
      </c>
      <c r="W2706">
        <v>0</v>
      </c>
      <c r="X2706">
        <v>1</v>
      </c>
      <c r="Z2706">
        <v>0</v>
      </c>
      <c r="AA2706">
        <v>9</v>
      </c>
      <c r="AB2706">
        <v>3</v>
      </c>
      <c r="AC2706">
        <v>0</v>
      </c>
      <c r="AD2706">
        <v>10</v>
      </c>
      <c r="AE2706">
        <v>0</v>
      </c>
      <c r="AF2706">
        <v>3</v>
      </c>
      <c r="AG2706">
        <v>2</v>
      </c>
      <c r="AH2706">
        <v>0</v>
      </c>
      <c r="AI2706" t="s">
        <v>5528</v>
      </c>
      <c r="AJ2706">
        <v>40.207407000000003</v>
      </c>
      <c r="AK2706" t="s">
        <v>5529</v>
      </c>
      <c r="AL2706">
        <v>-75.265403000000006</v>
      </c>
      <c r="AM2706">
        <v>100</v>
      </c>
      <c r="AN2706">
        <v>3600</v>
      </c>
      <c r="AO2706" t="s">
        <v>115</v>
      </c>
      <c r="AP2706">
        <v>129</v>
      </c>
      <c r="AQ2706">
        <v>125</v>
      </c>
      <c r="AR2706">
        <v>128</v>
      </c>
      <c r="AZ2706">
        <v>3614</v>
      </c>
      <c r="BA2706">
        <v>1</v>
      </c>
      <c r="BB2706" t="str">
        <f t="shared" si="128"/>
        <v xml:space="preserve">N959MJ  </v>
      </c>
      <c r="BC2706">
        <v>1</v>
      </c>
      <c r="BE2706">
        <v>0</v>
      </c>
      <c r="BF2706">
        <v>0</v>
      </c>
      <c r="BG2706">
        <v>0</v>
      </c>
      <c r="BH2706">
        <v>3850</v>
      </c>
      <c r="BI2706">
        <v>250</v>
      </c>
      <c r="BJ2706">
        <v>1</v>
      </c>
      <c r="BK2706">
        <v>1</v>
      </c>
      <c r="BL2706">
        <v>1</v>
      </c>
      <c r="BM2706">
        <v>0</v>
      </c>
      <c r="BP2706">
        <v>0</v>
      </c>
      <c r="BQ2706">
        <v>0</v>
      </c>
      <c r="BX2706" t="str">
        <f>"14:35:27.023"</f>
        <v>14:35:27.023</v>
      </c>
      <c r="BY2706" t="str">
        <f>"019630957"</f>
        <v>019630957</v>
      </c>
      <c r="CL2706">
        <v>0</v>
      </c>
      <c r="CM2706">
        <v>2</v>
      </c>
      <c r="CN2706">
        <v>0</v>
      </c>
      <c r="CO2706">
        <v>2</v>
      </c>
      <c r="CP2706">
        <v>0</v>
      </c>
      <c r="CQ2706">
        <v>6</v>
      </c>
      <c r="CR2706" t="s">
        <v>116</v>
      </c>
      <c r="CS2706">
        <v>39</v>
      </c>
      <c r="CT2706">
        <v>0</v>
      </c>
      <c r="CU2706" t="s">
        <v>2259</v>
      </c>
      <c r="CV2706" t="s">
        <v>2260</v>
      </c>
      <c r="CY2706">
        <v>2290932</v>
      </c>
      <c r="CZ2706" t="s">
        <v>119</v>
      </c>
    </row>
    <row r="2707" spans="1:104" x14ac:dyDescent="0.25">
      <c r="A2707" t="str">
        <f>"14:35:28.117"</f>
        <v>14:35:28.117</v>
      </c>
      <c r="B2707" t="s">
        <v>108</v>
      </c>
      <c r="C2707" t="str">
        <f t="shared" si="127"/>
        <v>ffdfd3c0</v>
      </c>
      <c r="D2707" t="s">
        <v>109</v>
      </c>
      <c r="E2707">
        <v>4</v>
      </c>
      <c r="F2707">
        <v>1004</v>
      </c>
      <c r="G2707" t="s">
        <v>110</v>
      </c>
      <c r="J2707" t="s">
        <v>111</v>
      </c>
      <c r="K2707">
        <v>0</v>
      </c>
      <c r="L2707">
        <v>3</v>
      </c>
      <c r="M2707">
        <v>0</v>
      </c>
      <c r="N2707">
        <v>2</v>
      </c>
      <c r="O2707">
        <v>1</v>
      </c>
      <c r="P2707">
        <v>0</v>
      </c>
      <c r="Q2707">
        <v>0</v>
      </c>
      <c r="R2707" t="s">
        <v>112</v>
      </c>
      <c r="S2707" t="str">
        <f>"14:35:27.938"</f>
        <v>14:35:27.938</v>
      </c>
      <c r="T2707" t="str">
        <f>"14:35:27.539"</f>
        <v>14:35:27.539</v>
      </c>
      <c r="U2707" t="str">
        <f t="shared" si="126"/>
        <v>ad5732</v>
      </c>
      <c r="V2707">
        <v>0</v>
      </c>
      <c r="W2707">
        <v>0</v>
      </c>
      <c r="X2707">
        <v>1</v>
      </c>
      <c r="Z2707">
        <v>0</v>
      </c>
      <c r="AA2707">
        <v>9</v>
      </c>
      <c r="AB2707">
        <v>3</v>
      </c>
      <c r="AC2707">
        <v>0</v>
      </c>
      <c r="AD2707">
        <v>10</v>
      </c>
      <c r="AE2707">
        <v>0</v>
      </c>
      <c r="AF2707">
        <v>3</v>
      </c>
      <c r="AG2707">
        <v>2</v>
      </c>
      <c r="AH2707">
        <v>0</v>
      </c>
      <c r="AI2707" t="s">
        <v>5530</v>
      </c>
      <c r="AJ2707">
        <v>40.207901</v>
      </c>
      <c r="AK2707" t="s">
        <v>5531</v>
      </c>
      <c r="AL2707">
        <v>-75.264716000000007</v>
      </c>
      <c r="AM2707">
        <v>100</v>
      </c>
      <c r="AN2707">
        <v>3600</v>
      </c>
      <c r="AO2707" t="s">
        <v>115</v>
      </c>
      <c r="AP2707">
        <v>129</v>
      </c>
      <c r="AQ2707">
        <v>124</v>
      </c>
      <c r="AR2707">
        <v>64</v>
      </c>
      <c r="AZ2707">
        <v>3614</v>
      </c>
      <c r="BA2707">
        <v>1</v>
      </c>
      <c r="BB2707" t="str">
        <f t="shared" si="128"/>
        <v xml:space="preserve">N959MJ  </v>
      </c>
      <c r="BC2707">
        <v>1</v>
      </c>
      <c r="BE2707">
        <v>0</v>
      </c>
      <c r="BF2707">
        <v>0</v>
      </c>
      <c r="BG2707">
        <v>0</v>
      </c>
      <c r="BH2707">
        <v>3850</v>
      </c>
      <c r="BI2707">
        <v>250</v>
      </c>
      <c r="BJ2707">
        <v>1</v>
      </c>
      <c r="BK2707">
        <v>1</v>
      </c>
      <c r="BL2707">
        <v>1</v>
      </c>
      <c r="BM2707">
        <v>0</v>
      </c>
      <c r="BP2707">
        <v>0</v>
      </c>
      <c r="BQ2707">
        <v>0</v>
      </c>
      <c r="BX2707" t="str">
        <f>"14:35:27.945"</f>
        <v>14:35:27.945</v>
      </c>
      <c r="BY2707" t="str">
        <f>"943704888"</f>
        <v>943704888</v>
      </c>
      <c r="CL2707">
        <v>0</v>
      </c>
      <c r="CM2707">
        <v>2</v>
      </c>
      <c r="CN2707">
        <v>0</v>
      </c>
      <c r="CO2707">
        <v>2</v>
      </c>
      <c r="CP2707">
        <v>0</v>
      </c>
      <c r="CQ2707">
        <v>6</v>
      </c>
      <c r="CR2707" t="s">
        <v>116</v>
      </c>
      <c r="CS2707">
        <v>39</v>
      </c>
      <c r="CT2707">
        <v>0</v>
      </c>
      <c r="CU2707" t="s">
        <v>2259</v>
      </c>
      <c r="CV2707" t="s">
        <v>2260</v>
      </c>
      <c r="CY2707">
        <v>2292451</v>
      </c>
      <c r="CZ2707" t="s">
        <v>119</v>
      </c>
    </row>
    <row r="2708" spans="1:104" x14ac:dyDescent="0.25">
      <c r="A2708" t="str">
        <f>"14:35:29.023"</f>
        <v>14:35:29.023</v>
      </c>
      <c r="B2708" t="s">
        <v>108</v>
      </c>
      <c r="C2708" t="str">
        <f t="shared" si="127"/>
        <v>ffdfd3c0</v>
      </c>
      <c r="D2708" t="s">
        <v>109</v>
      </c>
      <c r="E2708">
        <v>4</v>
      </c>
      <c r="F2708">
        <v>1004</v>
      </c>
      <c r="G2708" t="s">
        <v>110</v>
      </c>
      <c r="J2708" t="s">
        <v>111</v>
      </c>
      <c r="K2708">
        <v>0</v>
      </c>
      <c r="L2708">
        <v>3</v>
      </c>
      <c r="M2708">
        <v>0</v>
      </c>
      <c r="N2708">
        <v>2</v>
      </c>
      <c r="O2708">
        <v>1</v>
      </c>
      <c r="P2708">
        <v>0</v>
      </c>
      <c r="Q2708">
        <v>0</v>
      </c>
      <c r="R2708" t="s">
        <v>112</v>
      </c>
      <c r="S2708" t="str">
        <f>"14:35:28.852"</f>
        <v>14:35:28.852</v>
      </c>
      <c r="T2708" t="str">
        <f>"14:35:28.453"</f>
        <v>14:35:28.453</v>
      </c>
      <c r="U2708" t="str">
        <f t="shared" si="126"/>
        <v>ad5732</v>
      </c>
      <c r="V2708">
        <v>0</v>
      </c>
      <c r="W2708">
        <v>0</v>
      </c>
      <c r="X2708">
        <v>1</v>
      </c>
      <c r="Z2708">
        <v>0</v>
      </c>
      <c r="AA2708">
        <v>9</v>
      </c>
      <c r="AB2708">
        <v>3</v>
      </c>
      <c r="AC2708">
        <v>0</v>
      </c>
      <c r="AD2708">
        <v>10</v>
      </c>
      <c r="AE2708">
        <v>0</v>
      </c>
      <c r="AF2708">
        <v>3</v>
      </c>
      <c r="AG2708">
        <v>2</v>
      </c>
      <c r="AH2708">
        <v>0</v>
      </c>
      <c r="AI2708" t="s">
        <v>5532</v>
      </c>
      <c r="AJ2708">
        <v>40.208416</v>
      </c>
      <c r="AK2708" t="s">
        <v>5533</v>
      </c>
      <c r="AL2708">
        <v>-75.263964999999999</v>
      </c>
      <c r="AM2708">
        <v>100</v>
      </c>
      <c r="AN2708">
        <v>3600</v>
      </c>
      <c r="AO2708" t="s">
        <v>115</v>
      </c>
      <c r="AP2708">
        <v>129</v>
      </c>
      <c r="AQ2708">
        <v>124</v>
      </c>
      <c r="AR2708">
        <v>0</v>
      </c>
      <c r="AZ2708">
        <v>3614</v>
      </c>
      <c r="BA2708">
        <v>1</v>
      </c>
      <c r="BB2708" t="str">
        <f t="shared" si="128"/>
        <v xml:space="preserve">N959MJ  </v>
      </c>
      <c r="BC2708">
        <v>1</v>
      </c>
      <c r="BE2708">
        <v>0</v>
      </c>
      <c r="BF2708">
        <v>0</v>
      </c>
      <c r="BG2708">
        <v>0</v>
      </c>
      <c r="BH2708">
        <v>3850</v>
      </c>
      <c r="BI2708">
        <v>250</v>
      </c>
      <c r="BJ2708">
        <v>1</v>
      </c>
      <c r="BK2708">
        <v>1</v>
      </c>
      <c r="BL2708">
        <v>1</v>
      </c>
      <c r="BM2708">
        <v>0</v>
      </c>
      <c r="BP2708">
        <v>0</v>
      </c>
      <c r="BQ2708">
        <v>0</v>
      </c>
      <c r="BX2708" t="str">
        <f>"14:35:28.852"</f>
        <v>14:35:28.852</v>
      </c>
      <c r="BY2708" t="str">
        <f>"853032953"</f>
        <v>853032953</v>
      </c>
      <c r="CL2708">
        <v>0</v>
      </c>
      <c r="CM2708">
        <v>2</v>
      </c>
      <c r="CN2708">
        <v>0</v>
      </c>
      <c r="CO2708">
        <v>2</v>
      </c>
      <c r="CP2708">
        <v>0</v>
      </c>
      <c r="CQ2708">
        <v>6</v>
      </c>
      <c r="CR2708" t="s">
        <v>116</v>
      </c>
      <c r="CS2708">
        <v>39</v>
      </c>
      <c r="CT2708">
        <v>0</v>
      </c>
      <c r="CU2708" t="s">
        <v>2259</v>
      </c>
      <c r="CV2708" t="s">
        <v>2260</v>
      </c>
      <c r="CY2708">
        <v>2293833</v>
      </c>
      <c r="CZ2708" t="s">
        <v>119</v>
      </c>
    </row>
    <row r="2709" spans="1:104" x14ac:dyDescent="0.25">
      <c r="A2709" t="str">
        <f>"14:35:30.039"</f>
        <v>14:35:30.039</v>
      </c>
      <c r="B2709" t="s">
        <v>108</v>
      </c>
      <c r="C2709" t="str">
        <f t="shared" si="127"/>
        <v>ffdfd3c0</v>
      </c>
      <c r="D2709" t="s">
        <v>109</v>
      </c>
      <c r="E2709">
        <v>4</v>
      </c>
      <c r="F2709">
        <v>1004</v>
      </c>
      <c r="G2709" t="s">
        <v>110</v>
      </c>
      <c r="J2709" t="s">
        <v>111</v>
      </c>
      <c r="K2709">
        <v>0</v>
      </c>
      <c r="L2709">
        <v>3</v>
      </c>
      <c r="M2709">
        <v>0</v>
      </c>
      <c r="N2709">
        <v>2</v>
      </c>
      <c r="O2709">
        <v>1</v>
      </c>
      <c r="P2709">
        <v>0</v>
      </c>
      <c r="Q2709">
        <v>0</v>
      </c>
      <c r="R2709" t="s">
        <v>112</v>
      </c>
      <c r="S2709" t="str">
        <f>"14:35:29.875"</f>
        <v>14:35:29.875</v>
      </c>
      <c r="T2709" t="str">
        <f>"14:35:29.477"</f>
        <v>14:35:29.477</v>
      </c>
      <c r="U2709" t="str">
        <f t="shared" si="126"/>
        <v>ad5732</v>
      </c>
      <c r="V2709">
        <v>0</v>
      </c>
      <c r="W2709">
        <v>0</v>
      </c>
      <c r="X2709">
        <v>1</v>
      </c>
      <c r="Z2709">
        <v>0</v>
      </c>
      <c r="AA2709">
        <v>9</v>
      </c>
      <c r="AB2709">
        <v>3</v>
      </c>
      <c r="AC2709">
        <v>0</v>
      </c>
      <c r="AD2709">
        <v>10</v>
      </c>
      <c r="AE2709">
        <v>0</v>
      </c>
      <c r="AF2709">
        <v>3</v>
      </c>
      <c r="AG2709">
        <v>2</v>
      </c>
      <c r="AH2709">
        <v>0</v>
      </c>
      <c r="AI2709" t="s">
        <v>5534</v>
      </c>
      <c r="AJ2709">
        <v>40.209038</v>
      </c>
      <c r="AK2709" t="s">
        <v>5535</v>
      </c>
      <c r="AL2709">
        <v>-75.263214000000005</v>
      </c>
      <c r="AM2709">
        <v>100</v>
      </c>
      <c r="AN2709">
        <v>3600</v>
      </c>
      <c r="AO2709" t="s">
        <v>115</v>
      </c>
      <c r="AP2709">
        <v>129</v>
      </c>
      <c r="AQ2709">
        <v>124</v>
      </c>
      <c r="AR2709">
        <v>0</v>
      </c>
      <c r="AZ2709">
        <v>3614</v>
      </c>
      <c r="BA2709">
        <v>1</v>
      </c>
      <c r="BB2709" t="str">
        <f t="shared" si="128"/>
        <v xml:space="preserve">N959MJ  </v>
      </c>
      <c r="BC2709">
        <v>1</v>
      </c>
      <c r="BE2709">
        <v>0</v>
      </c>
      <c r="BF2709">
        <v>0</v>
      </c>
      <c r="BG2709">
        <v>0</v>
      </c>
      <c r="BH2709">
        <v>3850</v>
      </c>
      <c r="BI2709">
        <v>250</v>
      </c>
      <c r="BJ2709">
        <v>1</v>
      </c>
      <c r="BK2709">
        <v>1</v>
      </c>
      <c r="BL2709">
        <v>1</v>
      </c>
      <c r="BM2709">
        <v>0</v>
      </c>
      <c r="BP2709">
        <v>0</v>
      </c>
      <c r="BQ2709">
        <v>0</v>
      </c>
      <c r="BX2709" t="str">
        <f>"14:35:29.875"</f>
        <v>14:35:29.875</v>
      </c>
      <c r="BY2709" t="str">
        <f>"877051043"</f>
        <v>877051043</v>
      </c>
      <c r="CL2709">
        <v>0</v>
      </c>
      <c r="CM2709">
        <v>2</v>
      </c>
      <c r="CN2709">
        <v>0</v>
      </c>
      <c r="CO2709">
        <v>2</v>
      </c>
      <c r="CP2709">
        <v>0</v>
      </c>
      <c r="CQ2709">
        <v>7</v>
      </c>
      <c r="CR2709" t="s">
        <v>116</v>
      </c>
      <c r="CS2709">
        <v>39</v>
      </c>
      <c r="CT2709">
        <v>0</v>
      </c>
      <c r="CU2709" t="s">
        <v>2259</v>
      </c>
      <c r="CV2709" t="s">
        <v>2260</v>
      </c>
      <c r="CY2709">
        <v>2295613</v>
      </c>
      <c r="CZ2709" t="s">
        <v>119</v>
      </c>
    </row>
    <row r="2710" spans="1:104" x14ac:dyDescent="0.25">
      <c r="A2710" t="str">
        <f>"14:35:30.891"</f>
        <v>14:35:30.891</v>
      </c>
      <c r="B2710" t="s">
        <v>108</v>
      </c>
      <c r="C2710" t="str">
        <f t="shared" si="127"/>
        <v>ffdfd3c0</v>
      </c>
      <c r="D2710" t="s">
        <v>109</v>
      </c>
      <c r="E2710">
        <v>4</v>
      </c>
      <c r="F2710">
        <v>1004</v>
      </c>
      <c r="G2710" t="s">
        <v>110</v>
      </c>
      <c r="J2710" t="s">
        <v>111</v>
      </c>
      <c r="K2710">
        <v>0</v>
      </c>
      <c r="L2710">
        <v>3</v>
      </c>
      <c r="M2710">
        <v>0</v>
      </c>
      <c r="N2710">
        <v>2</v>
      </c>
      <c r="O2710">
        <v>1</v>
      </c>
      <c r="P2710">
        <v>0</v>
      </c>
      <c r="Q2710">
        <v>0</v>
      </c>
      <c r="R2710" t="s">
        <v>112</v>
      </c>
      <c r="S2710" t="str">
        <f>"14:35:30.703"</f>
        <v>14:35:30.703</v>
      </c>
      <c r="T2710" t="str">
        <f>"14:35:30.305"</f>
        <v>14:35:30.305</v>
      </c>
      <c r="U2710" t="str">
        <f t="shared" si="126"/>
        <v>ad5732</v>
      </c>
      <c r="V2710">
        <v>0</v>
      </c>
      <c r="W2710">
        <v>0</v>
      </c>
      <c r="X2710">
        <v>1</v>
      </c>
      <c r="Z2710">
        <v>0</v>
      </c>
      <c r="AA2710">
        <v>9</v>
      </c>
      <c r="AB2710">
        <v>3</v>
      </c>
      <c r="AC2710">
        <v>0</v>
      </c>
      <c r="AD2710">
        <v>10</v>
      </c>
      <c r="AE2710">
        <v>0</v>
      </c>
      <c r="AF2710">
        <v>3</v>
      </c>
      <c r="AG2710">
        <v>2</v>
      </c>
      <c r="AH2710">
        <v>0</v>
      </c>
      <c r="AI2710" t="s">
        <v>5536</v>
      </c>
      <c r="AJ2710">
        <v>40.209488999999998</v>
      </c>
      <c r="AK2710" t="s">
        <v>5537</v>
      </c>
      <c r="AL2710">
        <v>-75.262591999999998</v>
      </c>
      <c r="AM2710">
        <v>100</v>
      </c>
      <c r="AN2710">
        <v>3600</v>
      </c>
      <c r="AO2710" t="s">
        <v>115</v>
      </c>
      <c r="AP2710">
        <v>129</v>
      </c>
      <c r="AQ2710">
        <v>124</v>
      </c>
      <c r="AR2710">
        <v>-64</v>
      </c>
      <c r="AZ2710">
        <v>3614</v>
      </c>
      <c r="BA2710">
        <v>1</v>
      </c>
      <c r="BB2710" t="str">
        <f t="shared" si="128"/>
        <v xml:space="preserve">N959MJ  </v>
      </c>
      <c r="BC2710">
        <v>1</v>
      </c>
      <c r="BE2710">
        <v>0</v>
      </c>
      <c r="BF2710">
        <v>0</v>
      </c>
      <c r="BG2710">
        <v>0</v>
      </c>
      <c r="BH2710">
        <v>3850</v>
      </c>
      <c r="BI2710">
        <v>250</v>
      </c>
      <c r="BJ2710">
        <v>1</v>
      </c>
      <c r="BK2710">
        <v>1</v>
      </c>
      <c r="BL2710">
        <v>1</v>
      </c>
      <c r="BM2710">
        <v>0</v>
      </c>
      <c r="BP2710">
        <v>0</v>
      </c>
      <c r="BQ2710">
        <v>0</v>
      </c>
      <c r="BX2710" t="str">
        <f>"14:35:30.703"</f>
        <v>14:35:30.703</v>
      </c>
      <c r="BY2710" t="str">
        <f>"704457660"</f>
        <v>704457660</v>
      </c>
      <c r="CL2710">
        <v>0</v>
      </c>
      <c r="CM2710">
        <v>2</v>
      </c>
      <c r="CN2710">
        <v>0</v>
      </c>
      <c r="CO2710">
        <v>2</v>
      </c>
      <c r="CP2710">
        <v>0</v>
      </c>
      <c r="CQ2710">
        <v>7</v>
      </c>
      <c r="CR2710" t="s">
        <v>116</v>
      </c>
      <c r="CS2710">
        <v>39</v>
      </c>
      <c r="CT2710">
        <v>0</v>
      </c>
      <c r="CU2710" t="s">
        <v>2259</v>
      </c>
      <c r="CV2710" t="s">
        <v>2260</v>
      </c>
      <c r="CY2710">
        <v>2297113</v>
      </c>
      <c r="CZ2710" t="s">
        <v>119</v>
      </c>
    </row>
    <row r="2711" spans="1:104" x14ac:dyDescent="0.25">
      <c r="A2711" t="str">
        <f>"14:35:31.953"</f>
        <v>14:35:31.953</v>
      </c>
      <c r="B2711" t="s">
        <v>108</v>
      </c>
      <c r="C2711" t="str">
        <f t="shared" si="127"/>
        <v>ffdfd3c0</v>
      </c>
      <c r="D2711" t="s">
        <v>109</v>
      </c>
      <c r="E2711">
        <v>4</v>
      </c>
      <c r="F2711">
        <v>1004</v>
      </c>
      <c r="G2711" t="s">
        <v>110</v>
      </c>
      <c r="J2711" t="s">
        <v>111</v>
      </c>
      <c r="K2711">
        <v>0</v>
      </c>
      <c r="L2711">
        <v>3</v>
      </c>
      <c r="M2711">
        <v>0</v>
      </c>
      <c r="N2711">
        <v>2</v>
      </c>
      <c r="O2711">
        <v>1</v>
      </c>
      <c r="P2711">
        <v>0</v>
      </c>
      <c r="Q2711">
        <v>0</v>
      </c>
      <c r="R2711" t="s">
        <v>112</v>
      </c>
      <c r="S2711" t="str">
        <f>"14:35:31.734"</f>
        <v>14:35:31.734</v>
      </c>
      <c r="T2711" t="str">
        <f>"14:35:31.234"</f>
        <v>14:35:31.234</v>
      </c>
      <c r="U2711" t="str">
        <f t="shared" si="126"/>
        <v>ad5732</v>
      </c>
      <c r="V2711">
        <v>0</v>
      </c>
      <c r="W2711">
        <v>0</v>
      </c>
      <c r="X2711">
        <v>1</v>
      </c>
      <c r="Z2711">
        <v>0</v>
      </c>
      <c r="AA2711">
        <v>9</v>
      </c>
      <c r="AB2711">
        <v>3</v>
      </c>
      <c r="AC2711">
        <v>0</v>
      </c>
      <c r="AD2711">
        <v>10</v>
      </c>
      <c r="AE2711">
        <v>0</v>
      </c>
      <c r="AF2711">
        <v>3</v>
      </c>
      <c r="AG2711">
        <v>2</v>
      </c>
      <c r="AH2711">
        <v>0</v>
      </c>
      <c r="AI2711" t="s">
        <v>5538</v>
      </c>
      <c r="AJ2711">
        <v>40.210090000000001</v>
      </c>
      <c r="AK2711" t="s">
        <v>5539</v>
      </c>
      <c r="AL2711">
        <v>-75.261712000000003</v>
      </c>
      <c r="AM2711">
        <v>100</v>
      </c>
      <c r="AN2711">
        <v>3600</v>
      </c>
      <c r="AO2711" t="s">
        <v>115</v>
      </c>
      <c r="AP2711">
        <v>129</v>
      </c>
      <c r="AQ2711">
        <v>124</v>
      </c>
      <c r="AR2711">
        <v>0</v>
      </c>
      <c r="AZ2711">
        <v>3614</v>
      </c>
      <c r="BA2711">
        <v>1</v>
      </c>
      <c r="BB2711" t="str">
        <f t="shared" si="128"/>
        <v xml:space="preserve">N959MJ  </v>
      </c>
      <c r="BC2711">
        <v>1</v>
      </c>
      <c r="BE2711">
        <v>0</v>
      </c>
      <c r="BF2711">
        <v>0</v>
      </c>
      <c r="BG2711">
        <v>0</v>
      </c>
      <c r="BH2711">
        <v>3850</v>
      </c>
      <c r="BI2711">
        <v>250</v>
      </c>
      <c r="BJ2711">
        <v>1</v>
      </c>
      <c r="BK2711">
        <v>1</v>
      </c>
      <c r="BL2711">
        <v>1</v>
      </c>
      <c r="BM2711">
        <v>0</v>
      </c>
      <c r="BP2711">
        <v>0</v>
      </c>
      <c r="BQ2711">
        <v>0</v>
      </c>
      <c r="BX2711" t="str">
        <f>"14:35:31.734"</f>
        <v>14:35:31.734</v>
      </c>
      <c r="BY2711" t="str">
        <f>"735029470"</f>
        <v>735029470</v>
      </c>
      <c r="CL2711">
        <v>0</v>
      </c>
      <c r="CM2711">
        <v>2</v>
      </c>
      <c r="CN2711">
        <v>0</v>
      </c>
      <c r="CO2711">
        <v>2</v>
      </c>
      <c r="CP2711">
        <v>0</v>
      </c>
      <c r="CQ2711">
        <v>7</v>
      </c>
      <c r="CR2711" t="s">
        <v>116</v>
      </c>
      <c r="CS2711">
        <v>39</v>
      </c>
      <c r="CT2711">
        <v>0</v>
      </c>
      <c r="CU2711" t="s">
        <v>2259</v>
      </c>
      <c r="CV2711" t="s">
        <v>2260</v>
      </c>
      <c r="CY2711">
        <v>2298803</v>
      </c>
      <c r="CZ2711" t="s">
        <v>119</v>
      </c>
    </row>
    <row r="2712" spans="1:104" x14ac:dyDescent="0.25">
      <c r="A2712" t="str">
        <f>"14:35:33.016"</f>
        <v>14:35:33.016</v>
      </c>
      <c r="B2712" t="s">
        <v>108</v>
      </c>
      <c r="C2712" t="str">
        <f t="shared" si="127"/>
        <v>ffdfd3c0</v>
      </c>
      <c r="D2712" t="s">
        <v>109</v>
      </c>
      <c r="E2712">
        <v>4</v>
      </c>
      <c r="F2712">
        <v>1004</v>
      </c>
      <c r="G2712" t="s">
        <v>110</v>
      </c>
      <c r="J2712" t="s">
        <v>111</v>
      </c>
      <c r="K2712">
        <v>0</v>
      </c>
      <c r="L2712">
        <v>3</v>
      </c>
      <c r="M2712">
        <v>0</v>
      </c>
      <c r="N2712">
        <v>2</v>
      </c>
      <c r="O2712">
        <v>1</v>
      </c>
      <c r="P2712">
        <v>0</v>
      </c>
      <c r="Q2712">
        <v>0</v>
      </c>
      <c r="R2712" t="s">
        <v>112</v>
      </c>
      <c r="S2712" t="str">
        <f>"14:35:32.820"</f>
        <v>14:35:32.820</v>
      </c>
      <c r="T2712" t="str">
        <f>"14:35:32.320"</f>
        <v>14:35:32.320</v>
      </c>
      <c r="U2712" t="str">
        <f t="shared" si="126"/>
        <v>ad5732</v>
      </c>
      <c r="V2712">
        <v>0</v>
      </c>
      <c r="W2712">
        <v>0</v>
      </c>
      <c r="X2712">
        <v>1</v>
      </c>
      <c r="Z2712">
        <v>0</v>
      </c>
      <c r="AA2712">
        <v>9</v>
      </c>
      <c r="AB2712">
        <v>3</v>
      </c>
      <c r="AC2712">
        <v>0</v>
      </c>
      <c r="AD2712">
        <v>10</v>
      </c>
      <c r="AE2712">
        <v>0</v>
      </c>
      <c r="AF2712">
        <v>3</v>
      </c>
      <c r="AG2712">
        <v>2</v>
      </c>
      <c r="AH2712">
        <v>0</v>
      </c>
      <c r="AI2712" t="s">
        <v>5540</v>
      </c>
      <c r="AJ2712">
        <v>40.210754999999999</v>
      </c>
      <c r="AK2712" t="s">
        <v>5541</v>
      </c>
      <c r="AL2712">
        <v>-75.260831999999994</v>
      </c>
      <c r="AM2712">
        <v>100</v>
      </c>
      <c r="AN2712">
        <v>3600</v>
      </c>
      <c r="AO2712" t="s">
        <v>115</v>
      </c>
      <c r="AP2712">
        <v>129</v>
      </c>
      <c r="AQ2712">
        <v>124</v>
      </c>
      <c r="AR2712">
        <v>-64</v>
      </c>
      <c r="AZ2712">
        <v>3614</v>
      </c>
      <c r="BA2712">
        <v>1</v>
      </c>
      <c r="BB2712" t="str">
        <f t="shared" si="128"/>
        <v xml:space="preserve">N959MJ  </v>
      </c>
      <c r="BC2712">
        <v>1</v>
      </c>
      <c r="BE2712">
        <v>0</v>
      </c>
      <c r="BF2712">
        <v>0</v>
      </c>
      <c r="BG2712">
        <v>0</v>
      </c>
      <c r="BH2712">
        <v>3850</v>
      </c>
      <c r="BI2712">
        <v>250</v>
      </c>
      <c r="BJ2712">
        <v>1</v>
      </c>
      <c r="BK2712">
        <v>1</v>
      </c>
      <c r="BL2712">
        <v>1</v>
      </c>
      <c r="BM2712">
        <v>0</v>
      </c>
      <c r="BP2712">
        <v>0</v>
      </c>
      <c r="BQ2712">
        <v>0</v>
      </c>
      <c r="BX2712" t="str">
        <f>"14:35:32.820"</f>
        <v>14:35:32.820</v>
      </c>
      <c r="BY2712" t="str">
        <f>"822946286"</f>
        <v>822946286</v>
      </c>
      <c r="CL2712">
        <v>0</v>
      </c>
      <c r="CM2712">
        <v>2</v>
      </c>
      <c r="CN2712">
        <v>0</v>
      </c>
      <c r="CO2712">
        <v>2</v>
      </c>
      <c r="CP2712">
        <v>0</v>
      </c>
      <c r="CQ2712">
        <v>7</v>
      </c>
      <c r="CR2712" t="s">
        <v>116</v>
      </c>
      <c r="CS2712">
        <v>39</v>
      </c>
      <c r="CT2712">
        <v>0</v>
      </c>
      <c r="CU2712" t="s">
        <v>2259</v>
      </c>
      <c r="CV2712" t="s">
        <v>2260</v>
      </c>
      <c r="CY2712">
        <v>2300598</v>
      </c>
      <c r="CZ2712" t="s">
        <v>119</v>
      </c>
    </row>
    <row r="2713" spans="1:104" x14ac:dyDescent="0.25">
      <c r="A2713" t="str">
        <f>"14:35:34.078"</f>
        <v>14:35:34.078</v>
      </c>
      <c r="B2713" t="s">
        <v>108</v>
      </c>
      <c r="C2713" t="str">
        <f t="shared" si="127"/>
        <v>ffdfd3c0</v>
      </c>
      <c r="D2713" t="s">
        <v>109</v>
      </c>
      <c r="E2713">
        <v>4</v>
      </c>
      <c r="F2713">
        <v>1004</v>
      </c>
      <c r="G2713" t="s">
        <v>110</v>
      </c>
      <c r="J2713" t="s">
        <v>111</v>
      </c>
      <c r="K2713">
        <v>0</v>
      </c>
      <c r="L2713">
        <v>3</v>
      </c>
      <c r="M2713">
        <v>0</v>
      </c>
      <c r="N2713">
        <v>2</v>
      </c>
      <c r="O2713">
        <v>1</v>
      </c>
      <c r="P2713">
        <v>0</v>
      </c>
      <c r="Q2713">
        <v>0</v>
      </c>
      <c r="R2713" t="s">
        <v>112</v>
      </c>
      <c r="S2713" t="str">
        <f>"14:35:33.883"</f>
        <v>14:35:33.883</v>
      </c>
      <c r="T2713" t="str">
        <f>"14:35:33.383"</f>
        <v>14:35:33.383</v>
      </c>
      <c r="U2713" t="str">
        <f t="shared" si="126"/>
        <v>ad5732</v>
      </c>
      <c r="V2713">
        <v>0</v>
      </c>
      <c r="W2713">
        <v>0</v>
      </c>
      <c r="X2713">
        <v>1</v>
      </c>
      <c r="Z2713">
        <v>0</v>
      </c>
      <c r="AA2713">
        <v>9</v>
      </c>
      <c r="AB2713">
        <v>3</v>
      </c>
      <c r="AC2713">
        <v>0</v>
      </c>
      <c r="AD2713">
        <v>10</v>
      </c>
      <c r="AE2713">
        <v>0</v>
      </c>
      <c r="AF2713">
        <v>3</v>
      </c>
      <c r="AG2713">
        <v>2</v>
      </c>
      <c r="AH2713">
        <v>0</v>
      </c>
      <c r="AI2713" t="s">
        <v>5542</v>
      </c>
      <c r="AJ2713">
        <v>40.211312999999997</v>
      </c>
      <c r="AK2713" t="s">
        <v>5543</v>
      </c>
      <c r="AL2713">
        <v>-75.260103000000001</v>
      </c>
      <c r="AM2713">
        <v>100</v>
      </c>
      <c r="AN2713">
        <v>3600</v>
      </c>
      <c r="AO2713" t="s">
        <v>115</v>
      </c>
      <c r="AP2713">
        <v>129</v>
      </c>
      <c r="AQ2713">
        <v>124</v>
      </c>
      <c r="AR2713">
        <v>-64</v>
      </c>
      <c r="AZ2713">
        <v>3614</v>
      </c>
      <c r="BA2713">
        <v>1</v>
      </c>
      <c r="BB2713" t="str">
        <f t="shared" si="128"/>
        <v xml:space="preserve">N959MJ  </v>
      </c>
      <c r="BC2713">
        <v>1</v>
      </c>
      <c r="BE2713">
        <v>0</v>
      </c>
      <c r="BF2713">
        <v>0</v>
      </c>
      <c r="BG2713">
        <v>0</v>
      </c>
      <c r="BH2713">
        <v>3850</v>
      </c>
      <c r="BI2713">
        <v>250</v>
      </c>
      <c r="BJ2713">
        <v>1</v>
      </c>
      <c r="BK2713">
        <v>1</v>
      </c>
      <c r="BL2713">
        <v>1</v>
      </c>
      <c r="BM2713">
        <v>0</v>
      </c>
      <c r="BP2713">
        <v>0</v>
      </c>
      <c r="BQ2713">
        <v>0</v>
      </c>
      <c r="BX2713" t="str">
        <f>"14:35:33.883"</f>
        <v>14:35:33.883</v>
      </c>
      <c r="BY2713" t="str">
        <f>"886286675"</f>
        <v>886286675</v>
      </c>
      <c r="CL2713">
        <v>0</v>
      </c>
      <c r="CM2713">
        <v>2</v>
      </c>
      <c r="CN2713">
        <v>0</v>
      </c>
      <c r="CO2713">
        <v>2</v>
      </c>
      <c r="CP2713">
        <v>0</v>
      </c>
      <c r="CQ2713">
        <v>7</v>
      </c>
      <c r="CR2713" t="s">
        <v>116</v>
      </c>
      <c r="CS2713">
        <v>39</v>
      </c>
      <c r="CT2713">
        <v>0</v>
      </c>
      <c r="CU2713" t="s">
        <v>2259</v>
      </c>
      <c r="CV2713" t="s">
        <v>2260</v>
      </c>
      <c r="CY2713">
        <v>2302232</v>
      </c>
      <c r="CZ2713" t="s">
        <v>119</v>
      </c>
    </row>
    <row r="2714" spans="1:104" x14ac:dyDescent="0.25">
      <c r="A2714" t="str">
        <f>"14:35:34.930"</f>
        <v>14:35:34.930</v>
      </c>
      <c r="B2714" t="s">
        <v>108</v>
      </c>
      <c r="C2714" t="str">
        <f t="shared" si="127"/>
        <v>ffdfd3c0</v>
      </c>
      <c r="D2714" t="s">
        <v>109</v>
      </c>
      <c r="E2714">
        <v>4</v>
      </c>
      <c r="F2714">
        <v>1004</v>
      </c>
      <c r="G2714" t="s">
        <v>110</v>
      </c>
      <c r="J2714" t="s">
        <v>111</v>
      </c>
      <c r="K2714">
        <v>0</v>
      </c>
      <c r="L2714">
        <v>3</v>
      </c>
      <c r="M2714">
        <v>0</v>
      </c>
      <c r="N2714">
        <v>2</v>
      </c>
      <c r="O2714">
        <v>1</v>
      </c>
      <c r="P2714">
        <v>0</v>
      </c>
      <c r="Q2714">
        <v>0</v>
      </c>
      <c r="R2714" t="s">
        <v>112</v>
      </c>
      <c r="S2714" t="str">
        <f>"14:35:34.758"</f>
        <v>14:35:34.758</v>
      </c>
      <c r="T2714" t="str">
        <f>"14:35:34.359"</f>
        <v>14:35:34.359</v>
      </c>
      <c r="U2714" t="str">
        <f t="shared" si="126"/>
        <v>ad5732</v>
      </c>
      <c r="V2714">
        <v>0</v>
      </c>
      <c r="W2714">
        <v>0</v>
      </c>
      <c r="X2714">
        <v>1</v>
      </c>
      <c r="Z2714">
        <v>0</v>
      </c>
      <c r="AA2714">
        <v>9</v>
      </c>
      <c r="AB2714">
        <v>3</v>
      </c>
      <c r="AC2714">
        <v>0</v>
      </c>
      <c r="AD2714">
        <v>10</v>
      </c>
      <c r="AE2714">
        <v>0</v>
      </c>
      <c r="AF2714">
        <v>3</v>
      </c>
      <c r="AG2714">
        <v>2</v>
      </c>
      <c r="AH2714">
        <v>0</v>
      </c>
      <c r="AI2714" t="s">
        <v>5544</v>
      </c>
      <c r="AJ2714">
        <v>40.211827999999997</v>
      </c>
      <c r="AK2714" t="s">
        <v>5545</v>
      </c>
      <c r="AL2714">
        <v>-75.259394999999998</v>
      </c>
      <c r="AM2714">
        <v>100</v>
      </c>
      <c r="AN2714">
        <v>3600</v>
      </c>
      <c r="AO2714" t="s">
        <v>115</v>
      </c>
      <c r="AP2714">
        <v>129</v>
      </c>
      <c r="AQ2714">
        <v>124</v>
      </c>
      <c r="AR2714">
        <v>0</v>
      </c>
      <c r="AZ2714">
        <v>3614</v>
      </c>
      <c r="BA2714">
        <v>1</v>
      </c>
      <c r="BB2714" t="str">
        <f t="shared" si="128"/>
        <v xml:space="preserve">N959MJ  </v>
      </c>
      <c r="BC2714">
        <v>1</v>
      </c>
      <c r="BE2714">
        <v>0</v>
      </c>
      <c r="BF2714">
        <v>0</v>
      </c>
      <c r="BG2714">
        <v>0</v>
      </c>
      <c r="BH2714">
        <v>3850</v>
      </c>
      <c r="BI2714">
        <v>250</v>
      </c>
      <c r="BJ2714">
        <v>1</v>
      </c>
      <c r="BK2714">
        <v>1</v>
      </c>
      <c r="BL2714">
        <v>1</v>
      </c>
      <c r="BM2714">
        <v>0</v>
      </c>
      <c r="BP2714">
        <v>0</v>
      </c>
      <c r="BQ2714">
        <v>0</v>
      </c>
      <c r="BX2714" t="str">
        <f>"14:35:34.758"</f>
        <v>14:35:34.758</v>
      </c>
      <c r="BY2714" t="str">
        <f>"761207725"</f>
        <v>761207725</v>
      </c>
      <c r="CL2714">
        <v>0</v>
      </c>
      <c r="CM2714">
        <v>2</v>
      </c>
      <c r="CN2714">
        <v>0</v>
      </c>
      <c r="CO2714">
        <v>2</v>
      </c>
      <c r="CP2714">
        <v>0</v>
      </c>
      <c r="CQ2714">
        <v>7</v>
      </c>
      <c r="CR2714" t="s">
        <v>116</v>
      </c>
      <c r="CS2714">
        <v>39</v>
      </c>
      <c r="CT2714">
        <v>0</v>
      </c>
      <c r="CU2714" t="s">
        <v>2259</v>
      </c>
      <c r="CV2714" t="s">
        <v>2260</v>
      </c>
      <c r="CY2714">
        <v>2303783</v>
      </c>
      <c r="CZ2714" t="s">
        <v>119</v>
      </c>
    </row>
    <row r="2715" spans="1:104" x14ac:dyDescent="0.25">
      <c r="A2715" t="str">
        <f>"14:35:35.945"</f>
        <v>14:35:35.945</v>
      </c>
      <c r="B2715" t="s">
        <v>108</v>
      </c>
      <c r="C2715" t="str">
        <f t="shared" si="127"/>
        <v>ffdfd3c0</v>
      </c>
      <c r="D2715" t="s">
        <v>109</v>
      </c>
      <c r="E2715">
        <v>4</v>
      </c>
      <c r="F2715">
        <v>1004</v>
      </c>
      <c r="G2715" t="s">
        <v>110</v>
      </c>
      <c r="J2715" t="s">
        <v>111</v>
      </c>
      <c r="K2715">
        <v>0</v>
      </c>
      <c r="L2715">
        <v>3</v>
      </c>
      <c r="M2715">
        <v>0</v>
      </c>
      <c r="N2715">
        <v>2</v>
      </c>
      <c r="O2715">
        <v>1</v>
      </c>
      <c r="P2715">
        <v>0</v>
      </c>
      <c r="Q2715">
        <v>0</v>
      </c>
      <c r="R2715" t="s">
        <v>112</v>
      </c>
      <c r="S2715" t="str">
        <f>"14:35:35.750"</f>
        <v>14:35:35.750</v>
      </c>
      <c r="T2715" t="str">
        <f>"14:35:35.352"</f>
        <v>14:35:35.352</v>
      </c>
      <c r="U2715" t="str">
        <f t="shared" si="126"/>
        <v>ad5732</v>
      </c>
      <c r="V2715">
        <v>0</v>
      </c>
      <c r="W2715">
        <v>0</v>
      </c>
      <c r="X2715">
        <v>1</v>
      </c>
      <c r="Z2715">
        <v>0</v>
      </c>
      <c r="AA2715">
        <v>9</v>
      </c>
      <c r="AB2715">
        <v>3</v>
      </c>
      <c r="AC2715">
        <v>0</v>
      </c>
      <c r="AD2715">
        <v>10</v>
      </c>
      <c r="AE2715">
        <v>0</v>
      </c>
      <c r="AF2715">
        <v>3</v>
      </c>
      <c r="AG2715">
        <v>2</v>
      </c>
      <c r="AH2715">
        <v>0</v>
      </c>
      <c r="AI2715" t="s">
        <v>5546</v>
      </c>
      <c r="AJ2715">
        <v>40.212386000000002</v>
      </c>
      <c r="AK2715" t="s">
        <v>5547</v>
      </c>
      <c r="AL2715">
        <v>-75.258600999999999</v>
      </c>
      <c r="AM2715">
        <v>100</v>
      </c>
      <c r="AN2715">
        <v>3600</v>
      </c>
      <c r="AO2715" t="s">
        <v>115</v>
      </c>
      <c r="AP2715">
        <v>129</v>
      </c>
      <c r="AQ2715">
        <v>123</v>
      </c>
      <c r="AR2715">
        <v>0</v>
      </c>
      <c r="AZ2715">
        <v>3614</v>
      </c>
      <c r="BA2715">
        <v>1</v>
      </c>
      <c r="BB2715" t="str">
        <f t="shared" si="128"/>
        <v xml:space="preserve">N959MJ  </v>
      </c>
      <c r="BC2715">
        <v>1</v>
      </c>
      <c r="BE2715">
        <v>0</v>
      </c>
      <c r="BF2715">
        <v>0</v>
      </c>
      <c r="BG2715">
        <v>0</v>
      </c>
      <c r="BH2715">
        <v>3850</v>
      </c>
      <c r="BI2715">
        <v>250</v>
      </c>
      <c r="BJ2715">
        <v>1</v>
      </c>
      <c r="BK2715">
        <v>1</v>
      </c>
      <c r="BL2715">
        <v>1</v>
      </c>
      <c r="BM2715">
        <v>0</v>
      </c>
      <c r="BP2715">
        <v>0</v>
      </c>
      <c r="BQ2715">
        <v>0</v>
      </c>
      <c r="BX2715" t="str">
        <f>"14:35:35.750"</f>
        <v>14:35:35.750</v>
      </c>
      <c r="BY2715" t="str">
        <f>"750818807"</f>
        <v>750818807</v>
      </c>
      <c r="CL2715">
        <v>0</v>
      </c>
      <c r="CM2715">
        <v>2</v>
      </c>
      <c r="CN2715">
        <v>0</v>
      </c>
      <c r="CO2715">
        <v>2</v>
      </c>
      <c r="CP2715">
        <v>0</v>
      </c>
      <c r="CQ2715">
        <v>6</v>
      </c>
      <c r="CR2715" t="s">
        <v>116</v>
      </c>
      <c r="CS2715">
        <v>39</v>
      </c>
      <c r="CT2715">
        <v>0</v>
      </c>
      <c r="CU2715" t="s">
        <v>2259</v>
      </c>
      <c r="CV2715" t="s">
        <v>2260</v>
      </c>
      <c r="CY2715">
        <v>2305444</v>
      </c>
      <c r="CZ2715" t="s">
        <v>119</v>
      </c>
    </row>
    <row r="2716" spans="1:104" x14ac:dyDescent="0.25">
      <c r="A2716" t="str">
        <f>"14:35:36.805"</f>
        <v>14:35:36.805</v>
      </c>
      <c r="B2716" t="s">
        <v>108</v>
      </c>
      <c r="C2716" t="str">
        <f t="shared" si="127"/>
        <v>ffdfd3c0</v>
      </c>
      <c r="D2716" t="s">
        <v>109</v>
      </c>
      <c r="E2716">
        <v>4</v>
      </c>
      <c r="F2716">
        <v>1004</v>
      </c>
      <c r="G2716" t="s">
        <v>110</v>
      </c>
      <c r="J2716" t="s">
        <v>111</v>
      </c>
      <c r="K2716">
        <v>0</v>
      </c>
      <c r="L2716">
        <v>3</v>
      </c>
      <c r="M2716">
        <v>0</v>
      </c>
      <c r="N2716">
        <v>2</v>
      </c>
      <c r="O2716">
        <v>1</v>
      </c>
      <c r="P2716">
        <v>0</v>
      </c>
      <c r="Q2716">
        <v>0</v>
      </c>
      <c r="R2716" t="s">
        <v>112</v>
      </c>
      <c r="S2716" t="str">
        <f>"14:35:36.641"</f>
        <v>14:35:36.641</v>
      </c>
      <c r="T2716" t="str">
        <f>"14:35:36.242"</f>
        <v>14:35:36.242</v>
      </c>
      <c r="U2716" t="str">
        <f t="shared" si="126"/>
        <v>ad5732</v>
      </c>
      <c r="V2716">
        <v>0</v>
      </c>
      <c r="W2716">
        <v>0</v>
      </c>
      <c r="X2716">
        <v>1</v>
      </c>
      <c r="Z2716">
        <v>0</v>
      </c>
      <c r="AA2716">
        <v>9</v>
      </c>
      <c r="AB2716">
        <v>3</v>
      </c>
      <c r="AC2716">
        <v>0</v>
      </c>
      <c r="AD2716">
        <v>10</v>
      </c>
      <c r="AE2716">
        <v>0</v>
      </c>
      <c r="AF2716">
        <v>3</v>
      </c>
      <c r="AG2716">
        <v>2</v>
      </c>
      <c r="AH2716">
        <v>0</v>
      </c>
      <c r="AI2716" t="s">
        <v>5548</v>
      </c>
      <c r="AJ2716">
        <v>40.212901000000002</v>
      </c>
      <c r="AK2716" t="s">
        <v>5549</v>
      </c>
      <c r="AL2716">
        <v>-75.257914</v>
      </c>
      <c r="AM2716">
        <v>100</v>
      </c>
      <c r="AN2716">
        <v>3600</v>
      </c>
      <c r="AO2716" t="s">
        <v>115</v>
      </c>
      <c r="AP2716">
        <v>129</v>
      </c>
      <c r="AQ2716">
        <v>123</v>
      </c>
      <c r="AR2716">
        <v>0</v>
      </c>
      <c r="AZ2716">
        <v>3614</v>
      </c>
      <c r="BA2716">
        <v>1</v>
      </c>
      <c r="BB2716" t="str">
        <f t="shared" si="128"/>
        <v xml:space="preserve">N959MJ  </v>
      </c>
      <c r="BC2716">
        <v>1</v>
      </c>
      <c r="BE2716">
        <v>0</v>
      </c>
      <c r="BF2716">
        <v>0</v>
      </c>
      <c r="BG2716">
        <v>0</v>
      </c>
      <c r="BH2716">
        <v>3850</v>
      </c>
      <c r="BI2716">
        <v>250</v>
      </c>
      <c r="BJ2716">
        <v>1</v>
      </c>
      <c r="BK2716">
        <v>1</v>
      </c>
      <c r="BL2716">
        <v>1</v>
      </c>
      <c r="BM2716">
        <v>0</v>
      </c>
      <c r="BP2716">
        <v>0</v>
      </c>
      <c r="BQ2716">
        <v>0</v>
      </c>
      <c r="BX2716" t="str">
        <f>"14:35:36.648"</f>
        <v>14:35:36.648</v>
      </c>
      <c r="BY2716" t="str">
        <f>"645401070"</f>
        <v>645401070</v>
      </c>
      <c r="CL2716">
        <v>0</v>
      </c>
      <c r="CM2716">
        <v>2</v>
      </c>
      <c r="CN2716">
        <v>0</v>
      </c>
      <c r="CO2716">
        <v>2</v>
      </c>
      <c r="CP2716">
        <v>0</v>
      </c>
      <c r="CQ2716">
        <v>7</v>
      </c>
      <c r="CR2716" t="s">
        <v>116</v>
      </c>
      <c r="CS2716">
        <v>39</v>
      </c>
      <c r="CT2716">
        <v>0</v>
      </c>
      <c r="CU2716" t="s">
        <v>2259</v>
      </c>
      <c r="CV2716" t="s">
        <v>2260</v>
      </c>
      <c r="CY2716">
        <v>2306854</v>
      </c>
      <c r="CZ2716" t="s">
        <v>119</v>
      </c>
    </row>
    <row r="2717" spans="1:104" x14ac:dyDescent="0.25">
      <c r="A2717" t="str">
        <f>"14:35:37.813"</f>
        <v>14:35:37.813</v>
      </c>
      <c r="B2717" t="s">
        <v>108</v>
      </c>
      <c r="C2717" t="str">
        <f t="shared" si="127"/>
        <v>ffdfd3c0</v>
      </c>
      <c r="D2717" t="s">
        <v>109</v>
      </c>
      <c r="E2717">
        <v>4</v>
      </c>
      <c r="F2717">
        <v>1004</v>
      </c>
      <c r="G2717" t="s">
        <v>110</v>
      </c>
      <c r="J2717" t="s">
        <v>111</v>
      </c>
      <c r="K2717">
        <v>0</v>
      </c>
      <c r="L2717">
        <v>3</v>
      </c>
      <c r="M2717">
        <v>0</v>
      </c>
      <c r="N2717">
        <v>2</v>
      </c>
      <c r="O2717">
        <v>1</v>
      </c>
      <c r="P2717">
        <v>0</v>
      </c>
      <c r="Q2717">
        <v>0</v>
      </c>
      <c r="R2717" t="s">
        <v>112</v>
      </c>
      <c r="S2717" t="str">
        <f>"14:35:37.617"</f>
        <v>14:35:37.617</v>
      </c>
      <c r="T2717" t="str">
        <f>"14:35:37.117"</f>
        <v>14:35:37.117</v>
      </c>
      <c r="U2717" t="str">
        <f t="shared" si="126"/>
        <v>ad5732</v>
      </c>
      <c r="V2717">
        <v>0</v>
      </c>
      <c r="W2717">
        <v>0</v>
      </c>
      <c r="X2717">
        <v>1</v>
      </c>
      <c r="Z2717">
        <v>0</v>
      </c>
      <c r="AA2717">
        <v>9</v>
      </c>
      <c r="AB2717">
        <v>3</v>
      </c>
      <c r="AC2717">
        <v>0</v>
      </c>
      <c r="AD2717">
        <v>10</v>
      </c>
      <c r="AE2717">
        <v>0</v>
      </c>
      <c r="AF2717">
        <v>3</v>
      </c>
      <c r="AG2717">
        <v>2</v>
      </c>
      <c r="AH2717">
        <v>0</v>
      </c>
      <c r="AI2717" t="s">
        <v>5550</v>
      </c>
      <c r="AJ2717">
        <v>40.213501000000001</v>
      </c>
      <c r="AK2717" t="s">
        <v>5551</v>
      </c>
      <c r="AL2717">
        <v>-75.257098999999997</v>
      </c>
      <c r="AM2717">
        <v>100</v>
      </c>
      <c r="AN2717">
        <v>3600</v>
      </c>
      <c r="AO2717" t="s">
        <v>115</v>
      </c>
      <c r="AP2717">
        <v>129</v>
      </c>
      <c r="AQ2717">
        <v>123</v>
      </c>
      <c r="AR2717">
        <v>0</v>
      </c>
      <c r="AZ2717">
        <v>3614</v>
      </c>
      <c r="BA2717">
        <v>1</v>
      </c>
      <c r="BB2717" t="str">
        <f t="shared" si="128"/>
        <v xml:space="preserve">N959MJ  </v>
      </c>
      <c r="BC2717">
        <v>1</v>
      </c>
      <c r="BE2717">
        <v>0</v>
      </c>
      <c r="BF2717">
        <v>0</v>
      </c>
      <c r="BG2717">
        <v>0</v>
      </c>
      <c r="BH2717">
        <v>3850</v>
      </c>
      <c r="BI2717">
        <v>250</v>
      </c>
      <c r="BJ2717">
        <v>1</v>
      </c>
      <c r="BK2717">
        <v>1</v>
      </c>
      <c r="BL2717">
        <v>1</v>
      </c>
      <c r="BM2717">
        <v>0</v>
      </c>
      <c r="BP2717">
        <v>0</v>
      </c>
      <c r="BQ2717">
        <v>0</v>
      </c>
      <c r="BX2717" t="str">
        <f>"14:35:37.625"</f>
        <v>14:35:37.625</v>
      </c>
      <c r="BY2717" t="str">
        <f>"621974515"</f>
        <v>621974515</v>
      </c>
      <c r="CL2717">
        <v>0</v>
      </c>
      <c r="CM2717">
        <v>2</v>
      </c>
      <c r="CN2717">
        <v>0</v>
      </c>
      <c r="CO2717">
        <v>2</v>
      </c>
      <c r="CP2717">
        <v>0</v>
      </c>
      <c r="CQ2717">
        <v>5</v>
      </c>
      <c r="CR2717" t="s">
        <v>116</v>
      </c>
      <c r="CS2717">
        <v>408</v>
      </c>
      <c r="CT2717">
        <v>0</v>
      </c>
      <c r="CU2717" t="s">
        <v>2317</v>
      </c>
      <c r="CV2717" t="s">
        <v>2318</v>
      </c>
      <c r="CY2717">
        <v>12115144</v>
      </c>
      <c r="CZ2717" t="s">
        <v>119</v>
      </c>
    </row>
    <row r="2718" spans="1:104" x14ac:dyDescent="0.25">
      <c r="A2718" t="str">
        <f>"14:35:38.820"</f>
        <v>14:35:38.820</v>
      </c>
      <c r="B2718" t="s">
        <v>108</v>
      </c>
      <c r="C2718" t="str">
        <f t="shared" si="127"/>
        <v>ffdfd3c0</v>
      </c>
      <c r="D2718" t="s">
        <v>109</v>
      </c>
      <c r="E2718">
        <v>4</v>
      </c>
      <c r="F2718">
        <v>1004</v>
      </c>
      <c r="G2718" t="s">
        <v>110</v>
      </c>
      <c r="J2718" t="s">
        <v>111</v>
      </c>
      <c r="K2718">
        <v>0</v>
      </c>
      <c r="L2718">
        <v>3</v>
      </c>
      <c r="M2718">
        <v>0</v>
      </c>
      <c r="N2718">
        <v>2</v>
      </c>
      <c r="O2718">
        <v>1</v>
      </c>
      <c r="P2718">
        <v>0</v>
      </c>
      <c r="Q2718">
        <v>0</v>
      </c>
      <c r="R2718" t="s">
        <v>112</v>
      </c>
      <c r="S2718" t="str">
        <f>"14:35:38.664"</f>
        <v>14:35:38.664</v>
      </c>
      <c r="T2718" t="str">
        <f>"14:35:38.164"</f>
        <v>14:35:38.164</v>
      </c>
      <c r="U2718" t="str">
        <f t="shared" si="126"/>
        <v>ad5732</v>
      </c>
      <c r="V2718">
        <v>0</v>
      </c>
      <c r="W2718">
        <v>0</v>
      </c>
      <c r="X2718">
        <v>1</v>
      </c>
      <c r="Z2718">
        <v>0</v>
      </c>
      <c r="AA2718">
        <v>9</v>
      </c>
      <c r="AB2718">
        <v>3</v>
      </c>
      <c r="AC2718">
        <v>0</v>
      </c>
      <c r="AD2718">
        <v>10</v>
      </c>
      <c r="AE2718">
        <v>0</v>
      </c>
      <c r="AF2718">
        <v>3</v>
      </c>
      <c r="AG2718">
        <v>2</v>
      </c>
      <c r="AH2718">
        <v>0</v>
      </c>
      <c r="AI2718" t="s">
        <v>5552</v>
      </c>
      <c r="AJ2718">
        <v>40.214058999999999</v>
      </c>
      <c r="AK2718" t="s">
        <v>5553</v>
      </c>
      <c r="AL2718">
        <v>-75.256348000000003</v>
      </c>
      <c r="AM2718">
        <v>100</v>
      </c>
      <c r="AN2718">
        <v>3600</v>
      </c>
      <c r="AO2718" t="s">
        <v>115</v>
      </c>
      <c r="AP2718">
        <v>129</v>
      </c>
      <c r="AQ2718">
        <v>123</v>
      </c>
      <c r="AR2718">
        <v>64</v>
      </c>
      <c r="AZ2718">
        <v>3614</v>
      </c>
      <c r="BA2718">
        <v>1</v>
      </c>
      <c r="BB2718" t="str">
        <f t="shared" si="128"/>
        <v xml:space="preserve">N959MJ  </v>
      </c>
      <c r="BC2718">
        <v>1</v>
      </c>
      <c r="BE2718">
        <v>0</v>
      </c>
      <c r="BF2718">
        <v>0</v>
      </c>
      <c r="BG2718">
        <v>0</v>
      </c>
      <c r="BH2718">
        <v>3850</v>
      </c>
      <c r="BI2718">
        <v>250</v>
      </c>
      <c r="BJ2718">
        <v>1</v>
      </c>
      <c r="BK2718">
        <v>1</v>
      </c>
      <c r="BL2718">
        <v>1</v>
      </c>
      <c r="BM2718">
        <v>0</v>
      </c>
      <c r="BP2718">
        <v>0</v>
      </c>
      <c r="BQ2718">
        <v>0</v>
      </c>
      <c r="BX2718" t="str">
        <f>"14:35:38.664"</f>
        <v>14:35:38.664</v>
      </c>
      <c r="BY2718" t="str">
        <f>"667222356"</f>
        <v>667222356</v>
      </c>
      <c r="CL2718">
        <v>0</v>
      </c>
      <c r="CM2718">
        <v>2</v>
      </c>
      <c r="CN2718">
        <v>0</v>
      </c>
      <c r="CO2718">
        <v>2</v>
      </c>
      <c r="CP2718">
        <v>0</v>
      </c>
      <c r="CQ2718">
        <v>7</v>
      </c>
      <c r="CR2718" t="s">
        <v>116</v>
      </c>
      <c r="CS2718">
        <v>39</v>
      </c>
      <c r="CT2718">
        <v>0</v>
      </c>
      <c r="CU2718" t="s">
        <v>2259</v>
      </c>
      <c r="CV2718" t="s">
        <v>2260</v>
      </c>
      <c r="CY2718">
        <v>2310052</v>
      </c>
      <c r="CZ2718" t="s">
        <v>119</v>
      </c>
    </row>
    <row r="2719" spans="1:104" x14ac:dyDescent="0.25">
      <c r="A2719" t="str">
        <f>"14:35:39.828"</f>
        <v>14:35:39.828</v>
      </c>
      <c r="B2719" t="s">
        <v>108</v>
      </c>
      <c r="C2719" t="str">
        <f t="shared" si="127"/>
        <v>ffdfd3c0</v>
      </c>
      <c r="D2719" t="s">
        <v>109</v>
      </c>
      <c r="E2719">
        <v>4</v>
      </c>
      <c r="F2719">
        <v>1004</v>
      </c>
      <c r="G2719" t="s">
        <v>110</v>
      </c>
      <c r="J2719" t="s">
        <v>111</v>
      </c>
      <c r="K2719">
        <v>0</v>
      </c>
      <c r="L2719">
        <v>3</v>
      </c>
      <c r="M2719">
        <v>0</v>
      </c>
      <c r="N2719">
        <v>2</v>
      </c>
      <c r="O2719">
        <v>1</v>
      </c>
      <c r="P2719">
        <v>0</v>
      </c>
      <c r="Q2719">
        <v>0</v>
      </c>
      <c r="R2719" t="s">
        <v>112</v>
      </c>
      <c r="S2719" t="str">
        <f>"14:35:39.641"</f>
        <v>14:35:39.641</v>
      </c>
      <c r="T2719" t="str">
        <f>"14:35:39.242"</f>
        <v>14:35:39.242</v>
      </c>
      <c r="U2719" t="str">
        <f t="shared" si="126"/>
        <v>ad5732</v>
      </c>
      <c r="V2719">
        <v>0</v>
      </c>
      <c r="W2719">
        <v>0</v>
      </c>
      <c r="X2719">
        <v>1</v>
      </c>
      <c r="Z2719">
        <v>0</v>
      </c>
      <c r="AA2719">
        <v>9</v>
      </c>
      <c r="AB2719">
        <v>3</v>
      </c>
      <c r="AC2719">
        <v>0</v>
      </c>
      <c r="AD2719">
        <v>10</v>
      </c>
      <c r="AE2719">
        <v>0</v>
      </c>
      <c r="AF2719">
        <v>3</v>
      </c>
      <c r="AG2719">
        <v>2</v>
      </c>
      <c r="AH2719">
        <v>0</v>
      </c>
      <c r="AI2719" t="s">
        <v>5554</v>
      </c>
      <c r="AJ2719">
        <v>40.214616999999997</v>
      </c>
      <c r="AK2719" t="s">
        <v>5555</v>
      </c>
      <c r="AL2719">
        <v>-75.255532000000002</v>
      </c>
      <c r="AM2719">
        <v>100</v>
      </c>
      <c r="AN2719">
        <v>3600</v>
      </c>
      <c r="AO2719" t="s">
        <v>115</v>
      </c>
      <c r="AP2719">
        <v>129</v>
      </c>
      <c r="AQ2719">
        <v>123</v>
      </c>
      <c r="AR2719">
        <v>128</v>
      </c>
      <c r="AZ2719">
        <v>3614</v>
      </c>
      <c r="BA2719">
        <v>1</v>
      </c>
      <c r="BB2719" t="str">
        <f t="shared" si="128"/>
        <v xml:space="preserve">N959MJ  </v>
      </c>
      <c r="BC2719">
        <v>1</v>
      </c>
      <c r="BE2719">
        <v>0</v>
      </c>
      <c r="BF2719">
        <v>0</v>
      </c>
      <c r="BG2719">
        <v>0</v>
      </c>
      <c r="BH2719">
        <v>3850</v>
      </c>
      <c r="BI2719">
        <v>250</v>
      </c>
      <c r="BJ2719">
        <v>1</v>
      </c>
      <c r="BK2719">
        <v>1</v>
      </c>
      <c r="BL2719">
        <v>1</v>
      </c>
      <c r="BM2719">
        <v>0</v>
      </c>
      <c r="BP2719">
        <v>0</v>
      </c>
      <c r="BQ2719">
        <v>0</v>
      </c>
      <c r="BX2719" t="str">
        <f>"14:35:39.641"</f>
        <v>14:35:39.641</v>
      </c>
      <c r="BY2719" t="str">
        <f>"643726010"</f>
        <v>643726010</v>
      </c>
      <c r="CL2719">
        <v>0</v>
      </c>
      <c r="CM2719">
        <v>2</v>
      </c>
      <c r="CN2719">
        <v>0</v>
      </c>
      <c r="CO2719">
        <v>2</v>
      </c>
      <c r="CP2719">
        <v>0</v>
      </c>
      <c r="CQ2719">
        <v>7</v>
      </c>
      <c r="CR2719" t="s">
        <v>116</v>
      </c>
      <c r="CS2719">
        <v>39</v>
      </c>
      <c r="CT2719">
        <v>0</v>
      </c>
      <c r="CU2719" t="s">
        <v>2259</v>
      </c>
      <c r="CV2719" t="s">
        <v>2260</v>
      </c>
      <c r="CY2719">
        <v>2311865</v>
      </c>
      <c r="CZ2719" t="s">
        <v>119</v>
      </c>
    </row>
    <row r="2720" spans="1:104" x14ac:dyDescent="0.25">
      <c r="A2720" t="str">
        <f>"14:35:40.992"</f>
        <v>14:35:40.992</v>
      </c>
      <c r="B2720" t="s">
        <v>108</v>
      </c>
      <c r="C2720" t="str">
        <f t="shared" si="127"/>
        <v>ffdfd3c0</v>
      </c>
      <c r="D2720" t="s">
        <v>109</v>
      </c>
      <c r="E2720">
        <v>4</v>
      </c>
      <c r="F2720">
        <v>1004</v>
      </c>
      <c r="G2720" t="s">
        <v>110</v>
      </c>
      <c r="J2720" t="s">
        <v>111</v>
      </c>
      <c r="K2720">
        <v>0</v>
      </c>
      <c r="L2720">
        <v>3</v>
      </c>
      <c r="M2720">
        <v>0</v>
      </c>
      <c r="N2720">
        <v>2</v>
      </c>
      <c r="O2720">
        <v>1</v>
      </c>
      <c r="P2720">
        <v>0</v>
      </c>
      <c r="Q2720">
        <v>0</v>
      </c>
      <c r="R2720" t="s">
        <v>112</v>
      </c>
      <c r="S2720" t="str">
        <f>"14:35:40.789"</f>
        <v>14:35:40.789</v>
      </c>
      <c r="T2720" t="str">
        <f>"14:35:40.289"</f>
        <v>14:35:40.289</v>
      </c>
      <c r="U2720" t="str">
        <f t="shared" si="126"/>
        <v>ad5732</v>
      </c>
      <c r="V2720">
        <v>0</v>
      </c>
      <c r="W2720">
        <v>0</v>
      </c>
      <c r="X2720">
        <v>1</v>
      </c>
      <c r="Z2720">
        <v>0</v>
      </c>
      <c r="AA2720">
        <v>9</v>
      </c>
      <c r="AB2720">
        <v>3</v>
      </c>
      <c r="AC2720">
        <v>0</v>
      </c>
      <c r="AD2720">
        <v>10</v>
      </c>
      <c r="AE2720">
        <v>0</v>
      </c>
      <c r="AF2720">
        <v>3</v>
      </c>
      <c r="AG2720">
        <v>2</v>
      </c>
      <c r="AH2720">
        <v>0</v>
      </c>
      <c r="AI2720" t="s">
        <v>5556</v>
      </c>
      <c r="AJ2720">
        <v>40.215260999999998</v>
      </c>
      <c r="AK2720" t="s">
        <v>5557</v>
      </c>
      <c r="AL2720">
        <v>-75.254694999999998</v>
      </c>
      <c r="AM2720">
        <v>100</v>
      </c>
      <c r="AN2720">
        <v>3600</v>
      </c>
      <c r="AO2720" t="s">
        <v>115</v>
      </c>
      <c r="AP2720">
        <v>129</v>
      </c>
      <c r="AQ2720">
        <v>122</v>
      </c>
      <c r="AR2720">
        <v>128</v>
      </c>
      <c r="AZ2720">
        <v>3614</v>
      </c>
      <c r="BA2720">
        <v>1</v>
      </c>
      <c r="BB2720" t="str">
        <f t="shared" si="128"/>
        <v xml:space="preserve">N959MJ  </v>
      </c>
      <c r="BC2720">
        <v>1</v>
      </c>
      <c r="BE2720">
        <v>0</v>
      </c>
      <c r="BF2720">
        <v>0</v>
      </c>
      <c r="BG2720">
        <v>0</v>
      </c>
      <c r="BH2720">
        <v>3850</v>
      </c>
      <c r="BI2720">
        <v>250</v>
      </c>
      <c r="BJ2720">
        <v>1</v>
      </c>
      <c r="BK2720">
        <v>1</v>
      </c>
      <c r="BL2720">
        <v>1</v>
      </c>
      <c r="BM2720">
        <v>0</v>
      </c>
      <c r="BP2720">
        <v>0</v>
      </c>
      <c r="BQ2720">
        <v>0</v>
      </c>
      <c r="BX2720" t="str">
        <f>"14:35:40.789"</f>
        <v>14:35:40.789</v>
      </c>
      <c r="BY2720" t="str">
        <f>"790626275"</f>
        <v>790626275</v>
      </c>
      <c r="CL2720">
        <v>0</v>
      </c>
      <c r="CM2720">
        <v>2</v>
      </c>
      <c r="CN2720">
        <v>0</v>
      </c>
      <c r="CO2720">
        <v>2</v>
      </c>
      <c r="CP2720">
        <v>0</v>
      </c>
      <c r="CQ2720">
        <v>6</v>
      </c>
      <c r="CR2720" t="s">
        <v>116</v>
      </c>
      <c r="CS2720">
        <v>39</v>
      </c>
      <c r="CT2720">
        <v>0</v>
      </c>
      <c r="CU2720" t="s">
        <v>2259</v>
      </c>
      <c r="CV2720" t="s">
        <v>2260</v>
      </c>
      <c r="CY2720">
        <v>2313849</v>
      </c>
      <c r="CZ2720" t="s">
        <v>119</v>
      </c>
    </row>
    <row r="2721" spans="1:104" x14ac:dyDescent="0.25">
      <c r="A2721" t="str">
        <f>"14:35:41.898"</f>
        <v>14:35:41.898</v>
      </c>
      <c r="B2721" t="s">
        <v>108</v>
      </c>
      <c r="C2721" t="str">
        <f t="shared" si="127"/>
        <v>ffdfd3c0</v>
      </c>
      <c r="D2721" t="s">
        <v>109</v>
      </c>
      <c r="E2721">
        <v>4</v>
      </c>
      <c r="F2721">
        <v>1004</v>
      </c>
      <c r="G2721" t="s">
        <v>110</v>
      </c>
      <c r="J2721" t="s">
        <v>111</v>
      </c>
      <c r="K2721">
        <v>0</v>
      </c>
      <c r="L2721">
        <v>3</v>
      </c>
      <c r="M2721">
        <v>0</v>
      </c>
      <c r="N2721">
        <v>2</v>
      </c>
      <c r="O2721">
        <v>1</v>
      </c>
      <c r="P2721">
        <v>0</v>
      </c>
      <c r="Q2721">
        <v>0</v>
      </c>
      <c r="R2721" t="s">
        <v>112</v>
      </c>
      <c r="S2721" t="str">
        <f>"14:35:41.703"</f>
        <v>14:35:41.703</v>
      </c>
      <c r="T2721" t="str">
        <f>"14:35:41.305"</f>
        <v>14:35:41.305</v>
      </c>
      <c r="U2721" t="str">
        <f t="shared" si="126"/>
        <v>ad5732</v>
      </c>
      <c r="V2721">
        <v>0</v>
      </c>
      <c r="W2721">
        <v>0</v>
      </c>
      <c r="X2721">
        <v>1</v>
      </c>
      <c r="Z2721">
        <v>0</v>
      </c>
      <c r="AA2721">
        <v>9</v>
      </c>
      <c r="AB2721">
        <v>3</v>
      </c>
      <c r="AC2721">
        <v>0</v>
      </c>
      <c r="AD2721">
        <v>10</v>
      </c>
      <c r="AE2721">
        <v>0</v>
      </c>
      <c r="AF2721">
        <v>3</v>
      </c>
      <c r="AG2721">
        <v>2</v>
      </c>
      <c r="AH2721">
        <v>0</v>
      </c>
      <c r="AI2721" t="s">
        <v>5558</v>
      </c>
      <c r="AJ2721">
        <v>40.215775999999998</v>
      </c>
      <c r="AK2721" t="s">
        <v>5559</v>
      </c>
      <c r="AL2721">
        <v>-75.253966000000005</v>
      </c>
      <c r="AM2721">
        <v>100</v>
      </c>
      <c r="AN2721">
        <v>3600</v>
      </c>
      <c r="AO2721" t="s">
        <v>115</v>
      </c>
      <c r="AP2721">
        <v>129</v>
      </c>
      <c r="AQ2721">
        <v>122</v>
      </c>
      <c r="AR2721">
        <v>128</v>
      </c>
      <c r="AZ2721">
        <v>3614</v>
      </c>
      <c r="BA2721">
        <v>1</v>
      </c>
      <c r="BB2721" t="str">
        <f t="shared" si="128"/>
        <v xml:space="preserve">N959MJ  </v>
      </c>
      <c r="BC2721">
        <v>1</v>
      </c>
      <c r="BE2721">
        <v>0</v>
      </c>
      <c r="BF2721">
        <v>0</v>
      </c>
      <c r="BG2721">
        <v>0</v>
      </c>
      <c r="BH2721">
        <v>3850</v>
      </c>
      <c r="BI2721">
        <v>250</v>
      </c>
      <c r="BJ2721">
        <v>1</v>
      </c>
      <c r="BK2721">
        <v>1</v>
      </c>
      <c r="BL2721">
        <v>1</v>
      </c>
      <c r="BM2721">
        <v>0</v>
      </c>
      <c r="BP2721">
        <v>0</v>
      </c>
      <c r="BQ2721">
        <v>0</v>
      </c>
      <c r="BX2721" t="str">
        <f>"14:35:41.703"</f>
        <v>14:35:41.703</v>
      </c>
      <c r="BY2721" t="str">
        <f>"706508105"</f>
        <v>706508105</v>
      </c>
      <c r="CL2721">
        <v>0</v>
      </c>
      <c r="CM2721">
        <v>2</v>
      </c>
      <c r="CN2721">
        <v>0</v>
      </c>
      <c r="CO2721">
        <v>2</v>
      </c>
      <c r="CP2721">
        <v>0</v>
      </c>
      <c r="CQ2721">
        <v>7</v>
      </c>
      <c r="CR2721" t="s">
        <v>116</v>
      </c>
      <c r="CS2721">
        <v>39</v>
      </c>
      <c r="CT2721">
        <v>0</v>
      </c>
      <c r="CU2721" t="s">
        <v>2259</v>
      </c>
      <c r="CV2721" t="s">
        <v>2260</v>
      </c>
      <c r="CY2721">
        <v>2315361</v>
      </c>
      <c r="CZ2721" t="s">
        <v>119</v>
      </c>
    </row>
    <row r="2722" spans="1:104" x14ac:dyDescent="0.25">
      <c r="A2722" t="str">
        <f>"14:35:42.961"</f>
        <v>14:35:42.961</v>
      </c>
      <c r="B2722" t="s">
        <v>108</v>
      </c>
      <c r="C2722" t="str">
        <f t="shared" si="127"/>
        <v>ffdfd3c0</v>
      </c>
      <c r="D2722" t="s">
        <v>109</v>
      </c>
      <c r="E2722">
        <v>4</v>
      </c>
      <c r="F2722">
        <v>1004</v>
      </c>
      <c r="G2722" t="s">
        <v>110</v>
      </c>
      <c r="J2722" t="s">
        <v>111</v>
      </c>
      <c r="K2722">
        <v>0</v>
      </c>
      <c r="L2722">
        <v>3</v>
      </c>
      <c r="M2722">
        <v>0</v>
      </c>
      <c r="N2722">
        <v>2</v>
      </c>
      <c r="O2722">
        <v>1</v>
      </c>
      <c r="P2722">
        <v>0</v>
      </c>
      <c r="Q2722">
        <v>0</v>
      </c>
      <c r="R2722" t="s">
        <v>112</v>
      </c>
      <c r="S2722" t="str">
        <f>"14:35:42.773"</f>
        <v>14:35:42.773</v>
      </c>
      <c r="T2722" t="str">
        <f>"14:35:42.273"</f>
        <v>14:35:42.273</v>
      </c>
      <c r="U2722" t="str">
        <f t="shared" si="126"/>
        <v>ad5732</v>
      </c>
      <c r="V2722">
        <v>0</v>
      </c>
      <c r="W2722">
        <v>0</v>
      </c>
      <c r="X2722">
        <v>1</v>
      </c>
      <c r="Z2722">
        <v>0</v>
      </c>
      <c r="AA2722">
        <v>9</v>
      </c>
      <c r="AB2722">
        <v>3</v>
      </c>
      <c r="AC2722">
        <v>0</v>
      </c>
      <c r="AD2722">
        <v>10</v>
      </c>
      <c r="AE2722">
        <v>0</v>
      </c>
      <c r="AF2722">
        <v>3</v>
      </c>
      <c r="AG2722">
        <v>2</v>
      </c>
      <c r="AH2722">
        <v>0</v>
      </c>
      <c r="AI2722" t="s">
        <v>5560</v>
      </c>
      <c r="AJ2722">
        <v>40.216377000000001</v>
      </c>
      <c r="AK2722" t="s">
        <v>5561</v>
      </c>
      <c r="AL2722">
        <v>-75.253172000000006</v>
      </c>
      <c r="AM2722">
        <v>100</v>
      </c>
      <c r="AN2722">
        <v>3700</v>
      </c>
      <c r="AO2722" t="s">
        <v>115</v>
      </c>
      <c r="AP2722">
        <v>129</v>
      </c>
      <c r="AQ2722">
        <v>122</v>
      </c>
      <c r="AR2722">
        <v>128</v>
      </c>
      <c r="AZ2722">
        <v>3614</v>
      </c>
      <c r="BA2722">
        <v>1</v>
      </c>
      <c r="BB2722" t="str">
        <f t="shared" si="128"/>
        <v xml:space="preserve">N959MJ  </v>
      </c>
      <c r="BC2722">
        <v>1</v>
      </c>
      <c r="BE2722">
        <v>0</v>
      </c>
      <c r="BF2722">
        <v>0</v>
      </c>
      <c r="BG2722">
        <v>0</v>
      </c>
      <c r="BH2722">
        <v>3850</v>
      </c>
      <c r="BI2722">
        <v>150</v>
      </c>
      <c r="BJ2722">
        <v>1</v>
      </c>
      <c r="BK2722">
        <v>1</v>
      </c>
      <c r="BL2722">
        <v>1</v>
      </c>
      <c r="BM2722">
        <v>0</v>
      </c>
      <c r="BP2722">
        <v>0</v>
      </c>
      <c r="BQ2722">
        <v>0</v>
      </c>
      <c r="BX2722" t="str">
        <f>"14:35:42.773"</f>
        <v>14:35:42.773</v>
      </c>
      <c r="BY2722" t="str">
        <f>"774763732"</f>
        <v>774763732</v>
      </c>
      <c r="CL2722">
        <v>0</v>
      </c>
      <c r="CM2722">
        <v>2</v>
      </c>
      <c r="CN2722">
        <v>0</v>
      </c>
      <c r="CO2722">
        <v>2</v>
      </c>
      <c r="CP2722">
        <v>0</v>
      </c>
      <c r="CQ2722">
        <v>6</v>
      </c>
      <c r="CR2722" t="s">
        <v>116</v>
      </c>
      <c r="CS2722">
        <v>39</v>
      </c>
      <c r="CT2722">
        <v>0</v>
      </c>
      <c r="CU2722" t="s">
        <v>2259</v>
      </c>
      <c r="CV2722" t="s">
        <v>2260</v>
      </c>
      <c r="CY2722">
        <v>2317068</v>
      </c>
      <c r="CZ2722" t="s">
        <v>119</v>
      </c>
    </row>
    <row r="2723" spans="1:104" x14ac:dyDescent="0.25">
      <c r="A2723" t="str">
        <f>"14:35:44.070"</f>
        <v>14:35:44.070</v>
      </c>
      <c r="B2723" t="s">
        <v>108</v>
      </c>
      <c r="C2723" t="str">
        <f t="shared" si="127"/>
        <v>ffdfd3c0</v>
      </c>
      <c r="D2723" t="s">
        <v>109</v>
      </c>
      <c r="E2723">
        <v>4</v>
      </c>
      <c r="F2723">
        <v>1004</v>
      </c>
      <c r="G2723" t="s">
        <v>110</v>
      </c>
      <c r="J2723" t="s">
        <v>111</v>
      </c>
      <c r="K2723">
        <v>0</v>
      </c>
      <c r="L2723">
        <v>3</v>
      </c>
      <c r="M2723">
        <v>0</v>
      </c>
      <c r="N2723">
        <v>2</v>
      </c>
      <c r="O2723">
        <v>1</v>
      </c>
      <c r="P2723">
        <v>0</v>
      </c>
      <c r="Q2723">
        <v>0</v>
      </c>
      <c r="R2723" t="s">
        <v>112</v>
      </c>
      <c r="S2723" t="str">
        <f>"14:35:43.875"</f>
        <v>14:35:43.875</v>
      </c>
      <c r="T2723" t="str">
        <f>"14:35:43.375"</f>
        <v>14:35:43.375</v>
      </c>
      <c r="U2723" t="str">
        <f t="shared" si="126"/>
        <v>ad5732</v>
      </c>
      <c r="V2723">
        <v>0</v>
      </c>
      <c r="W2723">
        <v>0</v>
      </c>
      <c r="X2723">
        <v>1</v>
      </c>
      <c r="Z2723">
        <v>0</v>
      </c>
      <c r="AA2723">
        <v>9</v>
      </c>
      <c r="AB2723">
        <v>3</v>
      </c>
      <c r="AC2723">
        <v>0</v>
      </c>
      <c r="AD2723">
        <v>10</v>
      </c>
      <c r="AE2723">
        <v>0</v>
      </c>
      <c r="AF2723">
        <v>3</v>
      </c>
      <c r="AG2723">
        <v>2</v>
      </c>
      <c r="AH2723">
        <v>0</v>
      </c>
      <c r="AI2723" t="s">
        <v>5562</v>
      </c>
      <c r="AJ2723">
        <v>40.216999000000001</v>
      </c>
      <c r="AK2723" t="s">
        <v>5563</v>
      </c>
      <c r="AL2723">
        <v>-75.252291999999997</v>
      </c>
      <c r="AM2723">
        <v>100</v>
      </c>
      <c r="AN2723">
        <v>3700</v>
      </c>
      <c r="AO2723" t="s">
        <v>115</v>
      </c>
      <c r="AP2723">
        <v>129</v>
      </c>
      <c r="AQ2723">
        <v>122</v>
      </c>
      <c r="AR2723">
        <v>256</v>
      </c>
      <c r="AZ2723">
        <v>3614</v>
      </c>
      <c r="BA2723">
        <v>1</v>
      </c>
      <c r="BB2723" t="str">
        <f t="shared" si="128"/>
        <v xml:space="preserve">N959MJ  </v>
      </c>
      <c r="BC2723">
        <v>1</v>
      </c>
      <c r="BE2723">
        <v>0</v>
      </c>
      <c r="BF2723">
        <v>0</v>
      </c>
      <c r="BG2723">
        <v>0</v>
      </c>
      <c r="BH2723">
        <v>3775</v>
      </c>
      <c r="BI2723">
        <v>75</v>
      </c>
      <c r="BJ2723">
        <v>1</v>
      </c>
      <c r="BK2723">
        <v>1</v>
      </c>
      <c r="BL2723">
        <v>1</v>
      </c>
      <c r="BM2723">
        <v>0</v>
      </c>
      <c r="BP2723">
        <v>0</v>
      </c>
      <c r="BQ2723">
        <v>0</v>
      </c>
      <c r="BX2723" t="str">
        <f>"14:35:43.883"</f>
        <v>14:35:43.883</v>
      </c>
      <c r="BY2723" t="str">
        <f>"879064813"</f>
        <v>879064813</v>
      </c>
      <c r="CL2723">
        <v>0</v>
      </c>
      <c r="CM2723">
        <v>2</v>
      </c>
      <c r="CN2723">
        <v>0</v>
      </c>
      <c r="CO2723">
        <v>2</v>
      </c>
      <c r="CP2723">
        <v>0</v>
      </c>
      <c r="CQ2723">
        <v>4</v>
      </c>
      <c r="CR2723" t="s">
        <v>116</v>
      </c>
      <c r="CS2723">
        <v>39</v>
      </c>
      <c r="CT2723">
        <v>3</v>
      </c>
      <c r="CU2723" t="s">
        <v>2259</v>
      </c>
      <c r="CV2723" t="s">
        <v>2260</v>
      </c>
      <c r="CY2723">
        <v>11688603</v>
      </c>
      <c r="CZ2723" t="s">
        <v>119</v>
      </c>
    </row>
    <row r="2724" spans="1:104" x14ac:dyDescent="0.25">
      <c r="A2724" t="str">
        <f>"14:35:45.133"</f>
        <v>14:35:45.133</v>
      </c>
      <c r="B2724" t="s">
        <v>108</v>
      </c>
      <c r="C2724" t="str">
        <f t="shared" si="127"/>
        <v>ffdfd3c0</v>
      </c>
      <c r="D2724" t="s">
        <v>109</v>
      </c>
      <c r="E2724">
        <v>4</v>
      </c>
      <c r="F2724">
        <v>1004</v>
      </c>
      <c r="G2724" t="s">
        <v>110</v>
      </c>
      <c r="J2724" t="s">
        <v>111</v>
      </c>
      <c r="K2724">
        <v>0</v>
      </c>
      <c r="L2724">
        <v>3</v>
      </c>
      <c r="M2724">
        <v>0</v>
      </c>
      <c r="N2724">
        <v>2</v>
      </c>
      <c r="O2724">
        <v>1</v>
      </c>
      <c r="P2724">
        <v>0</v>
      </c>
      <c r="Q2724">
        <v>0</v>
      </c>
      <c r="R2724" t="s">
        <v>112</v>
      </c>
      <c r="S2724" t="str">
        <f>"14:35:44.930"</f>
        <v>14:35:44.930</v>
      </c>
      <c r="T2724" t="str">
        <f>"14:35:44.531"</f>
        <v>14:35:44.531</v>
      </c>
      <c r="U2724" t="str">
        <f t="shared" si="126"/>
        <v>ad5732</v>
      </c>
      <c r="V2724">
        <v>0</v>
      </c>
      <c r="W2724">
        <v>0</v>
      </c>
      <c r="X2724">
        <v>1</v>
      </c>
      <c r="Z2724">
        <v>0</v>
      </c>
      <c r="AA2724">
        <v>9</v>
      </c>
      <c r="AB2724">
        <v>3</v>
      </c>
      <c r="AC2724">
        <v>0</v>
      </c>
      <c r="AD2724">
        <v>10</v>
      </c>
      <c r="AE2724">
        <v>0</v>
      </c>
      <c r="AF2724">
        <v>3</v>
      </c>
      <c r="AG2724">
        <v>2</v>
      </c>
      <c r="AH2724">
        <v>0</v>
      </c>
      <c r="AI2724" t="s">
        <v>5564</v>
      </c>
      <c r="AJ2724">
        <v>40.217599999999997</v>
      </c>
      <c r="AK2724" t="s">
        <v>5565</v>
      </c>
      <c r="AL2724">
        <v>-75.251455000000007</v>
      </c>
      <c r="AM2724">
        <v>100</v>
      </c>
      <c r="AN2724">
        <v>3700</v>
      </c>
      <c r="AO2724" t="s">
        <v>115</v>
      </c>
      <c r="AP2724">
        <v>128</v>
      </c>
      <c r="AQ2724">
        <v>122</v>
      </c>
      <c r="AR2724">
        <v>192</v>
      </c>
      <c r="AZ2724">
        <v>3614</v>
      </c>
      <c r="BA2724">
        <v>1</v>
      </c>
      <c r="BB2724" t="str">
        <f t="shared" si="128"/>
        <v xml:space="preserve">N959MJ  </v>
      </c>
      <c r="BC2724">
        <v>1</v>
      </c>
      <c r="BE2724">
        <v>0</v>
      </c>
      <c r="BF2724">
        <v>0</v>
      </c>
      <c r="BG2724">
        <v>0</v>
      </c>
      <c r="BH2724">
        <v>3875</v>
      </c>
      <c r="BI2724">
        <v>175</v>
      </c>
      <c r="BJ2724">
        <v>1</v>
      </c>
      <c r="BK2724">
        <v>1</v>
      </c>
      <c r="BL2724">
        <v>1</v>
      </c>
      <c r="BM2724">
        <v>0</v>
      </c>
      <c r="BP2724">
        <v>0</v>
      </c>
      <c r="BQ2724">
        <v>0</v>
      </c>
      <c r="BX2724" t="str">
        <f>"14:35:44.938"</f>
        <v>14:35:44.938</v>
      </c>
      <c r="BY2724" t="str">
        <f>"937489996"</f>
        <v>937489996</v>
      </c>
      <c r="CL2724">
        <v>0</v>
      </c>
      <c r="CM2724">
        <v>2</v>
      </c>
      <c r="CN2724">
        <v>0</v>
      </c>
      <c r="CO2724">
        <v>2</v>
      </c>
      <c r="CP2724">
        <v>0</v>
      </c>
      <c r="CQ2724">
        <v>6</v>
      </c>
      <c r="CR2724" t="s">
        <v>116</v>
      </c>
      <c r="CS2724">
        <v>39</v>
      </c>
      <c r="CT2724">
        <v>0</v>
      </c>
      <c r="CU2724" t="s">
        <v>2259</v>
      </c>
      <c r="CV2724" t="s">
        <v>2260</v>
      </c>
      <c r="CY2724">
        <v>2320823</v>
      </c>
      <c r="CZ2724" t="s">
        <v>119</v>
      </c>
    </row>
    <row r="2725" spans="1:104" x14ac:dyDescent="0.25">
      <c r="A2725" t="str">
        <f>"14:35:46.094"</f>
        <v>14:35:46.094</v>
      </c>
      <c r="B2725" t="s">
        <v>108</v>
      </c>
      <c r="C2725" t="str">
        <f t="shared" si="127"/>
        <v>ffdfd3c0</v>
      </c>
      <c r="D2725" t="s">
        <v>109</v>
      </c>
      <c r="E2725">
        <v>4</v>
      </c>
      <c r="F2725">
        <v>1004</v>
      </c>
      <c r="G2725" t="s">
        <v>110</v>
      </c>
      <c r="J2725" t="s">
        <v>111</v>
      </c>
      <c r="K2725">
        <v>0</v>
      </c>
      <c r="L2725">
        <v>3</v>
      </c>
      <c r="M2725">
        <v>0</v>
      </c>
      <c r="N2725">
        <v>2</v>
      </c>
      <c r="O2725">
        <v>1</v>
      </c>
      <c r="P2725">
        <v>0</v>
      </c>
      <c r="Q2725">
        <v>0</v>
      </c>
      <c r="R2725" t="s">
        <v>112</v>
      </c>
      <c r="S2725" t="str">
        <f>"14:35:45.938"</f>
        <v>14:35:45.938</v>
      </c>
      <c r="T2725" t="str">
        <f>"14:35:45.438"</f>
        <v>14:35:45.438</v>
      </c>
      <c r="U2725" t="str">
        <f t="shared" si="126"/>
        <v>ad5732</v>
      </c>
      <c r="V2725">
        <v>0</v>
      </c>
      <c r="W2725">
        <v>0</v>
      </c>
      <c r="X2725">
        <v>1</v>
      </c>
      <c r="Z2725">
        <v>0</v>
      </c>
      <c r="AA2725">
        <v>9</v>
      </c>
      <c r="AB2725">
        <v>3</v>
      </c>
      <c r="AC2725">
        <v>0</v>
      </c>
      <c r="AD2725">
        <v>10</v>
      </c>
      <c r="AE2725">
        <v>0</v>
      </c>
      <c r="AF2725">
        <v>3</v>
      </c>
      <c r="AG2725">
        <v>2</v>
      </c>
      <c r="AH2725">
        <v>0</v>
      </c>
      <c r="AI2725" t="s">
        <v>5566</v>
      </c>
      <c r="AJ2725">
        <v>40.218158000000003</v>
      </c>
      <c r="AK2725" t="s">
        <v>5567</v>
      </c>
      <c r="AL2725">
        <v>-75.250660999999994</v>
      </c>
      <c r="AM2725">
        <v>100</v>
      </c>
      <c r="AN2725">
        <v>3700</v>
      </c>
      <c r="AO2725" t="s">
        <v>115</v>
      </c>
      <c r="AP2725">
        <v>128</v>
      </c>
      <c r="AQ2725">
        <v>121</v>
      </c>
      <c r="AR2725">
        <v>128</v>
      </c>
      <c r="AZ2725">
        <v>3614</v>
      </c>
      <c r="BA2725">
        <v>1</v>
      </c>
      <c r="BB2725" t="str">
        <f t="shared" si="128"/>
        <v xml:space="preserve">N959MJ  </v>
      </c>
      <c r="BC2725">
        <v>1</v>
      </c>
      <c r="BE2725">
        <v>0</v>
      </c>
      <c r="BF2725">
        <v>0</v>
      </c>
      <c r="BG2725">
        <v>0</v>
      </c>
      <c r="BH2725">
        <v>3875</v>
      </c>
      <c r="BI2725">
        <v>175</v>
      </c>
      <c r="BJ2725">
        <v>1</v>
      </c>
      <c r="BK2725">
        <v>1</v>
      </c>
      <c r="BL2725">
        <v>1</v>
      </c>
      <c r="BM2725">
        <v>0</v>
      </c>
      <c r="BP2725">
        <v>0</v>
      </c>
      <c r="BQ2725">
        <v>0</v>
      </c>
      <c r="BX2725" t="str">
        <f>"14:35:45.945"</f>
        <v>14:35:45.945</v>
      </c>
      <c r="BY2725" t="str">
        <f>"941846920"</f>
        <v>941846920</v>
      </c>
      <c r="CL2725">
        <v>0</v>
      </c>
      <c r="CM2725">
        <v>2</v>
      </c>
      <c r="CN2725">
        <v>0</v>
      </c>
      <c r="CO2725">
        <v>2</v>
      </c>
      <c r="CP2725">
        <v>0</v>
      </c>
      <c r="CQ2725">
        <v>6</v>
      </c>
      <c r="CR2725" t="s">
        <v>116</v>
      </c>
      <c r="CS2725">
        <v>39</v>
      </c>
      <c r="CT2725">
        <v>0</v>
      </c>
      <c r="CU2725" t="s">
        <v>2259</v>
      </c>
      <c r="CV2725" t="s">
        <v>2260</v>
      </c>
      <c r="CY2725">
        <v>2322399</v>
      </c>
      <c r="CZ2725" t="s">
        <v>119</v>
      </c>
    </row>
    <row r="2726" spans="1:104" x14ac:dyDescent="0.25">
      <c r="A2726" t="str">
        <f>"14:35:47.102"</f>
        <v>14:35:47.102</v>
      </c>
      <c r="B2726" t="s">
        <v>108</v>
      </c>
      <c r="C2726" t="str">
        <f t="shared" si="127"/>
        <v>ffdfd3c0</v>
      </c>
      <c r="D2726" t="s">
        <v>109</v>
      </c>
      <c r="E2726">
        <v>4</v>
      </c>
      <c r="F2726">
        <v>1004</v>
      </c>
      <c r="G2726" t="s">
        <v>110</v>
      </c>
      <c r="J2726" t="s">
        <v>111</v>
      </c>
      <c r="K2726">
        <v>0</v>
      </c>
      <c r="L2726">
        <v>3</v>
      </c>
      <c r="M2726">
        <v>0</v>
      </c>
      <c r="N2726">
        <v>2</v>
      </c>
      <c r="O2726">
        <v>1</v>
      </c>
      <c r="P2726">
        <v>0</v>
      </c>
      <c r="Q2726">
        <v>0</v>
      </c>
      <c r="R2726" t="s">
        <v>112</v>
      </c>
      <c r="S2726" t="str">
        <f>"14:35:46.891"</f>
        <v>14:35:46.891</v>
      </c>
      <c r="T2726" t="str">
        <f>"14:35:46.492"</f>
        <v>14:35:46.492</v>
      </c>
      <c r="U2726" t="str">
        <f t="shared" si="126"/>
        <v>ad5732</v>
      </c>
      <c r="V2726">
        <v>0</v>
      </c>
      <c r="W2726">
        <v>0</v>
      </c>
      <c r="X2726">
        <v>1</v>
      </c>
      <c r="Z2726">
        <v>0</v>
      </c>
      <c r="AA2726">
        <v>9</v>
      </c>
      <c r="AB2726">
        <v>3</v>
      </c>
      <c r="AC2726">
        <v>0</v>
      </c>
      <c r="AD2726">
        <v>10</v>
      </c>
      <c r="AE2726">
        <v>0</v>
      </c>
      <c r="AF2726">
        <v>3</v>
      </c>
      <c r="AG2726">
        <v>2</v>
      </c>
      <c r="AH2726">
        <v>0</v>
      </c>
      <c r="AI2726" t="s">
        <v>5568</v>
      </c>
      <c r="AJ2726">
        <v>40.218673000000003</v>
      </c>
      <c r="AK2726" t="s">
        <v>5569</v>
      </c>
      <c r="AL2726">
        <v>-75.249975000000006</v>
      </c>
      <c r="AM2726">
        <v>100</v>
      </c>
      <c r="AN2726">
        <v>3700</v>
      </c>
      <c r="AO2726" t="s">
        <v>115</v>
      </c>
      <c r="AP2726">
        <v>128</v>
      </c>
      <c r="AQ2726">
        <v>122</v>
      </c>
      <c r="AR2726">
        <v>0</v>
      </c>
      <c r="AZ2726">
        <v>3614</v>
      </c>
      <c r="BA2726">
        <v>1</v>
      </c>
      <c r="BB2726" t="str">
        <f t="shared" si="128"/>
        <v xml:space="preserve">N959MJ  </v>
      </c>
      <c r="BC2726">
        <v>1</v>
      </c>
      <c r="BE2726">
        <v>0</v>
      </c>
      <c r="BF2726">
        <v>0</v>
      </c>
      <c r="BG2726">
        <v>0</v>
      </c>
      <c r="BH2726">
        <v>3875</v>
      </c>
      <c r="BI2726">
        <v>175</v>
      </c>
      <c r="BJ2726">
        <v>1</v>
      </c>
      <c r="BK2726">
        <v>1</v>
      </c>
      <c r="BL2726">
        <v>1</v>
      </c>
      <c r="BM2726">
        <v>0</v>
      </c>
      <c r="BP2726">
        <v>0</v>
      </c>
      <c r="BQ2726">
        <v>0</v>
      </c>
      <c r="BX2726" t="str">
        <f>"14:35:46.891"</f>
        <v>14:35:46.891</v>
      </c>
      <c r="BY2726" t="str">
        <f>"892135682"</f>
        <v>892135682</v>
      </c>
      <c r="CL2726">
        <v>0</v>
      </c>
      <c r="CM2726">
        <v>2</v>
      </c>
      <c r="CN2726">
        <v>0</v>
      </c>
      <c r="CO2726">
        <v>2</v>
      </c>
      <c r="CP2726">
        <v>0</v>
      </c>
      <c r="CQ2726">
        <v>6</v>
      </c>
      <c r="CR2726" t="s">
        <v>116</v>
      </c>
      <c r="CS2726">
        <v>39</v>
      </c>
      <c r="CT2726">
        <v>0</v>
      </c>
      <c r="CU2726" t="s">
        <v>2259</v>
      </c>
      <c r="CV2726" t="s">
        <v>2260</v>
      </c>
      <c r="CY2726">
        <v>2323891</v>
      </c>
      <c r="CZ2726" t="s">
        <v>119</v>
      </c>
    </row>
    <row r="2727" spans="1:104" x14ac:dyDescent="0.25">
      <c r="A2727" t="str">
        <f>"14:35:48.008"</f>
        <v>14:35:48.008</v>
      </c>
      <c r="B2727" t="s">
        <v>108</v>
      </c>
      <c r="C2727" t="str">
        <f t="shared" si="127"/>
        <v>ffdfd3c0</v>
      </c>
      <c r="D2727" t="s">
        <v>109</v>
      </c>
      <c r="E2727">
        <v>4</v>
      </c>
      <c r="F2727">
        <v>1004</v>
      </c>
      <c r="G2727" t="s">
        <v>110</v>
      </c>
      <c r="J2727" t="s">
        <v>111</v>
      </c>
      <c r="K2727">
        <v>0</v>
      </c>
      <c r="L2727">
        <v>3</v>
      </c>
      <c r="M2727">
        <v>0</v>
      </c>
      <c r="N2727">
        <v>2</v>
      </c>
      <c r="O2727">
        <v>1</v>
      </c>
      <c r="P2727">
        <v>0</v>
      </c>
      <c r="Q2727">
        <v>0</v>
      </c>
      <c r="R2727" t="s">
        <v>112</v>
      </c>
      <c r="S2727" t="str">
        <f>"14:35:47.820"</f>
        <v>14:35:47.820</v>
      </c>
      <c r="T2727" t="str">
        <f>"14:35:47.422"</f>
        <v>14:35:47.422</v>
      </c>
      <c r="U2727" t="str">
        <f t="shared" si="126"/>
        <v>ad5732</v>
      </c>
      <c r="V2727">
        <v>0</v>
      </c>
      <c r="W2727">
        <v>0</v>
      </c>
      <c r="X2727">
        <v>1</v>
      </c>
      <c r="Z2727">
        <v>0</v>
      </c>
      <c r="AA2727">
        <v>9</v>
      </c>
      <c r="AB2727">
        <v>3</v>
      </c>
      <c r="AC2727">
        <v>0</v>
      </c>
      <c r="AD2727">
        <v>10</v>
      </c>
      <c r="AE2727">
        <v>0</v>
      </c>
      <c r="AF2727">
        <v>3</v>
      </c>
      <c r="AG2727">
        <v>2</v>
      </c>
      <c r="AH2727">
        <v>0</v>
      </c>
      <c r="AI2727" t="s">
        <v>5570</v>
      </c>
      <c r="AJ2727">
        <v>40.219273999999999</v>
      </c>
      <c r="AK2727" t="s">
        <v>5571</v>
      </c>
      <c r="AL2727">
        <v>-75.249159000000006</v>
      </c>
      <c r="AM2727">
        <v>100</v>
      </c>
      <c r="AN2727">
        <v>3700</v>
      </c>
      <c r="AO2727" t="s">
        <v>115</v>
      </c>
      <c r="AP2727">
        <v>128</v>
      </c>
      <c r="AQ2727">
        <v>122</v>
      </c>
      <c r="AR2727">
        <v>-64</v>
      </c>
      <c r="AZ2727">
        <v>3614</v>
      </c>
      <c r="BA2727">
        <v>1</v>
      </c>
      <c r="BB2727" t="str">
        <f t="shared" si="128"/>
        <v xml:space="preserve">N959MJ  </v>
      </c>
      <c r="BC2727">
        <v>1</v>
      </c>
      <c r="BE2727">
        <v>0</v>
      </c>
      <c r="BF2727">
        <v>0</v>
      </c>
      <c r="BG2727">
        <v>0</v>
      </c>
      <c r="BH2727">
        <v>3875</v>
      </c>
      <c r="BI2727">
        <v>175</v>
      </c>
      <c r="BJ2727">
        <v>1</v>
      </c>
      <c r="BK2727">
        <v>1</v>
      </c>
      <c r="BL2727">
        <v>1</v>
      </c>
      <c r="BM2727">
        <v>0</v>
      </c>
      <c r="BP2727">
        <v>0</v>
      </c>
      <c r="BQ2727">
        <v>0</v>
      </c>
      <c r="BX2727" t="str">
        <f>"14:35:47.828"</f>
        <v>14:35:47.828</v>
      </c>
      <c r="BY2727" t="str">
        <f>"827678626"</f>
        <v>827678626</v>
      </c>
      <c r="CL2727">
        <v>0</v>
      </c>
      <c r="CM2727">
        <v>2</v>
      </c>
      <c r="CN2727">
        <v>0</v>
      </c>
      <c r="CO2727">
        <v>2</v>
      </c>
      <c r="CP2727">
        <v>0</v>
      </c>
      <c r="CQ2727">
        <v>6</v>
      </c>
      <c r="CR2727" t="s">
        <v>116</v>
      </c>
      <c r="CS2727">
        <v>39</v>
      </c>
      <c r="CT2727">
        <v>0</v>
      </c>
      <c r="CU2727" t="s">
        <v>2259</v>
      </c>
      <c r="CV2727" t="s">
        <v>2260</v>
      </c>
      <c r="CY2727">
        <v>2325294</v>
      </c>
      <c r="CZ2727" t="s">
        <v>119</v>
      </c>
    </row>
    <row r="2728" spans="1:104" x14ac:dyDescent="0.25">
      <c r="A2728" t="str">
        <f>"14:35:49.172"</f>
        <v>14:35:49.172</v>
      </c>
      <c r="B2728" t="s">
        <v>108</v>
      </c>
      <c r="C2728" t="str">
        <f t="shared" si="127"/>
        <v>ffdfd3c0</v>
      </c>
      <c r="D2728" t="s">
        <v>109</v>
      </c>
      <c r="E2728">
        <v>4</v>
      </c>
      <c r="F2728">
        <v>1004</v>
      </c>
      <c r="G2728" t="s">
        <v>110</v>
      </c>
      <c r="J2728" t="s">
        <v>111</v>
      </c>
      <c r="K2728">
        <v>0</v>
      </c>
      <c r="L2728">
        <v>3</v>
      </c>
      <c r="M2728">
        <v>0</v>
      </c>
      <c r="N2728">
        <v>2</v>
      </c>
      <c r="O2728">
        <v>1</v>
      </c>
      <c r="P2728">
        <v>0</v>
      </c>
      <c r="Q2728">
        <v>0</v>
      </c>
      <c r="R2728" t="s">
        <v>112</v>
      </c>
      <c r="S2728" t="str">
        <f>"14:35:48.945"</f>
        <v>14:35:48.945</v>
      </c>
      <c r="T2728" t="str">
        <f>"14:35:48.445"</f>
        <v>14:35:48.445</v>
      </c>
      <c r="U2728" t="str">
        <f t="shared" si="126"/>
        <v>ad5732</v>
      </c>
      <c r="V2728">
        <v>0</v>
      </c>
      <c r="W2728">
        <v>0</v>
      </c>
      <c r="X2728">
        <v>1</v>
      </c>
      <c r="Z2728">
        <v>0</v>
      </c>
      <c r="AA2728">
        <v>9</v>
      </c>
      <c r="AB2728">
        <v>3</v>
      </c>
      <c r="AC2728">
        <v>0</v>
      </c>
      <c r="AD2728">
        <v>10</v>
      </c>
      <c r="AE2728">
        <v>0</v>
      </c>
      <c r="AF2728">
        <v>3</v>
      </c>
      <c r="AG2728">
        <v>2</v>
      </c>
      <c r="AH2728">
        <v>0</v>
      </c>
      <c r="AI2728" t="s">
        <v>5572</v>
      </c>
      <c r="AJ2728">
        <v>40.219853000000001</v>
      </c>
      <c r="AK2728" t="s">
        <v>5573</v>
      </c>
      <c r="AL2728">
        <v>-75.248344000000003</v>
      </c>
      <c r="AM2728">
        <v>100</v>
      </c>
      <c r="AN2728">
        <v>3700</v>
      </c>
      <c r="AO2728" t="s">
        <v>115</v>
      </c>
      <c r="AP2728">
        <v>128</v>
      </c>
      <c r="AQ2728">
        <v>122</v>
      </c>
      <c r="AR2728">
        <v>-128</v>
      </c>
      <c r="AZ2728">
        <v>3614</v>
      </c>
      <c r="BA2728">
        <v>1</v>
      </c>
      <c r="BB2728" t="str">
        <f t="shared" si="128"/>
        <v xml:space="preserve">N959MJ  </v>
      </c>
      <c r="BC2728">
        <v>1</v>
      </c>
      <c r="BE2728">
        <v>0</v>
      </c>
      <c r="BF2728">
        <v>0</v>
      </c>
      <c r="BG2728">
        <v>0</v>
      </c>
      <c r="BH2728">
        <v>3875</v>
      </c>
      <c r="BI2728">
        <v>175</v>
      </c>
      <c r="BJ2728">
        <v>1</v>
      </c>
      <c r="BK2728">
        <v>1</v>
      </c>
      <c r="BL2728">
        <v>1</v>
      </c>
      <c r="BM2728">
        <v>0</v>
      </c>
      <c r="BP2728">
        <v>0</v>
      </c>
      <c r="BQ2728">
        <v>0</v>
      </c>
      <c r="BX2728" t="str">
        <f>"14:35:48.953"</f>
        <v>14:35:48.953</v>
      </c>
      <c r="BY2728" t="str">
        <f>"951707317"</f>
        <v>951707317</v>
      </c>
      <c r="CL2728">
        <v>0</v>
      </c>
      <c r="CM2728">
        <v>2</v>
      </c>
      <c r="CN2728">
        <v>0</v>
      </c>
      <c r="CO2728">
        <v>2</v>
      </c>
      <c r="CP2728">
        <v>0</v>
      </c>
      <c r="CQ2728">
        <v>5</v>
      </c>
      <c r="CR2728" t="s">
        <v>116</v>
      </c>
      <c r="CS2728">
        <v>408</v>
      </c>
      <c r="CT2728">
        <v>0</v>
      </c>
      <c r="CU2728" t="s">
        <v>2317</v>
      </c>
      <c r="CV2728" t="s">
        <v>2318</v>
      </c>
      <c r="CY2728">
        <v>12135368</v>
      </c>
      <c r="CZ2728" t="s">
        <v>119</v>
      </c>
    </row>
    <row r="2729" spans="1:104" x14ac:dyDescent="0.25">
      <c r="A2729" t="str">
        <f>"14:35:50.031"</f>
        <v>14:35:50.031</v>
      </c>
      <c r="B2729" t="s">
        <v>108</v>
      </c>
      <c r="C2729" t="str">
        <f t="shared" si="127"/>
        <v>ffdfd3c0</v>
      </c>
      <c r="D2729" t="s">
        <v>109</v>
      </c>
      <c r="E2729">
        <v>4</v>
      </c>
      <c r="F2729">
        <v>1004</v>
      </c>
      <c r="G2729" t="s">
        <v>110</v>
      </c>
      <c r="J2729" t="s">
        <v>111</v>
      </c>
      <c r="K2729">
        <v>0</v>
      </c>
      <c r="L2729">
        <v>3</v>
      </c>
      <c r="M2729">
        <v>0</v>
      </c>
      <c r="N2729">
        <v>2</v>
      </c>
      <c r="O2729">
        <v>1</v>
      </c>
      <c r="P2729">
        <v>0</v>
      </c>
      <c r="Q2729">
        <v>0</v>
      </c>
      <c r="R2729" t="s">
        <v>112</v>
      </c>
      <c r="S2729" t="str">
        <f>"14:35:49.859"</f>
        <v>14:35:49.859</v>
      </c>
      <c r="T2729" t="str">
        <f>"14:35:49.359"</f>
        <v>14:35:49.359</v>
      </c>
      <c r="U2729" t="str">
        <f t="shared" si="126"/>
        <v>ad5732</v>
      </c>
      <c r="V2729">
        <v>0</v>
      </c>
      <c r="W2729">
        <v>0</v>
      </c>
      <c r="X2729">
        <v>1</v>
      </c>
      <c r="Z2729">
        <v>0</v>
      </c>
      <c r="AA2729">
        <v>9</v>
      </c>
      <c r="AB2729">
        <v>3</v>
      </c>
      <c r="AC2729">
        <v>0</v>
      </c>
      <c r="AD2729">
        <v>10</v>
      </c>
      <c r="AE2729">
        <v>0</v>
      </c>
      <c r="AF2729">
        <v>3</v>
      </c>
      <c r="AG2729">
        <v>2</v>
      </c>
      <c r="AH2729">
        <v>0</v>
      </c>
      <c r="AI2729" t="s">
        <v>5574</v>
      </c>
      <c r="AJ2729">
        <v>40.220388999999997</v>
      </c>
      <c r="AK2729" t="s">
        <v>5575</v>
      </c>
      <c r="AL2729">
        <v>-75.247679000000005</v>
      </c>
      <c r="AM2729">
        <v>100</v>
      </c>
      <c r="AN2729">
        <v>3700</v>
      </c>
      <c r="AO2729" t="s">
        <v>115</v>
      </c>
      <c r="AP2729">
        <v>128</v>
      </c>
      <c r="AQ2729">
        <v>122</v>
      </c>
      <c r="AR2729">
        <v>-192</v>
      </c>
      <c r="AZ2729">
        <v>3614</v>
      </c>
      <c r="BA2729">
        <v>1</v>
      </c>
      <c r="BB2729" t="str">
        <f t="shared" si="128"/>
        <v xml:space="preserve">N959MJ  </v>
      </c>
      <c r="BC2729">
        <v>1</v>
      </c>
      <c r="BE2729">
        <v>0</v>
      </c>
      <c r="BF2729">
        <v>0</v>
      </c>
      <c r="BG2729">
        <v>0</v>
      </c>
      <c r="BH2729">
        <v>3875</v>
      </c>
      <c r="BI2729">
        <v>175</v>
      </c>
      <c r="BJ2729">
        <v>1</v>
      </c>
      <c r="BK2729">
        <v>1</v>
      </c>
      <c r="BL2729">
        <v>1</v>
      </c>
      <c r="BM2729">
        <v>0</v>
      </c>
      <c r="BP2729">
        <v>0</v>
      </c>
      <c r="BQ2729">
        <v>0</v>
      </c>
      <c r="BX2729" t="str">
        <f>"14:35:49.867"</f>
        <v>14:35:49.867</v>
      </c>
      <c r="BY2729" t="str">
        <f>"865884402"</f>
        <v>865884402</v>
      </c>
      <c r="CL2729">
        <v>0</v>
      </c>
      <c r="CM2729">
        <v>2</v>
      </c>
      <c r="CN2729">
        <v>0</v>
      </c>
      <c r="CO2729">
        <v>2</v>
      </c>
      <c r="CP2729">
        <v>0</v>
      </c>
      <c r="CQ2729">
        <v>7</v>
      </c>
      <c r="CR2729" t="s">
        <v>116</v>
      </c>
      <c r="CS2729">
        <v>39</v>
      </c>
      <c r="CT2729">
        <v>0</v>
      </c>
      <c r="CU2729" t="s">
        <v>2259</v>
      </c>
      <c r="CV2729" t="s">
        <v>2260</v>
      </c>
      <c r="CY2729">
        <v>2328829</v>
      </c>
      <c r="CZ2729" t="s">
        <v>119</v>
      </c>
    </row>
    <row r="2730" spans="1:104" x14ac:dyDescent="0.25">
      <c r="A2730" t="str">
        <f>"14:35:50.992"</f>
        <v>14:35:50.992</v>
      </c>
      <c r="B2730" t="s">
        <v>108</v>
      </c>
      <c r="C2730" t="str">
        <f t="shared" si="127"/>
        <v>ffdfd3c0</v>
      </c>
      <c r="D2730" t="s">
        <v>109</v>
      </c>
      <c r="E2730">
        <v>4</v>
      </c>
      <c r="F2730">
        <v>1004</v>
      </c>
      <c r="G2730" t="s">
        <v>110</v>
      </c>
      <c r="J2730" t="s">
        <v>111</v>
      </c>
      <c r="K2730">
        <v>0</v>
      </c>
      <c r="L2730">
        <v>3</v>
      </c>
      <c r="M2730">
        <v>0</v>
      </c>
      <c r="N2730">
        <v>2</v>
      </c>
      <c r="O2730">
        <v>1</v>
      </c>
      <c r="P2730">
        <v>0</v>
      </c>
      <c r="Q2730">
        <v>0</v>
      </c>
      <c r="R2730" t="s">
        <v>112</v>
      </c>
      <c r="S2730" t="str">
        <f>"14:35:50.820"</f>
        <v>14:35:50.820</v>
      </c>
      <c r="T2730" t="str">
        <f>"14:35:50.320"</f>
        <v>14:35:50.320</v>
      </c>
      <c r="U2730" t="str">
        <f t="shared" si="126"/>
        <v>ad5732</v>
      </c>
      <c r="V2730">
        <v>0</v>
      </c>
      <c r="W2730">
        <v>0</v>
      </c>
      <c r="X2730">
        <v>1</v>
      </c>
      <c r="Z2730">
        <v>0</v>
      </c>
      <c r="AA2730">
        <v>9</v>
      </c>
      <c r="AB2730">
        <v>3</v>
      </c>
      <c r="AC2730">
        <v>0</v>
      </c>
      <c r="AD2730">
        <v>10</v>
      </c>
      <c r="AE2730">
        <v>0</v>
      </c>
      <c r="AF2730">
        <v>3</v>
      </c>
      <c r="AG2730">
        <v>2</v>
      </c>
      <c r="AH2730">
        <v>0</v>
      </c>
      <c r="AI2730" t="s">
        <v>5576</v>
      </c>
      <c r="AJ2730">
        <v>40.220947000000002</v>
      </c>
      <c r="AK2730" t="s">
        <v>5577</v>
      </c>
      <c r="AL2730">
        <v>-75.246863000000005</v>
      </c>
      <c r="AM2730">
        <v>100</v>
      </c>
      <c r="AN2730">
        <v>3700</v>
      </c>
      <c r="AO2730" t="s">
        <v>115</v>
      </c>
      <c r="AP2730">
        <v>128</v>
      </c>
      <c r="AQ2730">
        <v>122</v>
      </c>
      <c r="AR2730">
        <v>-192</v>
      </c>
      <c r="AZ2730">
        <v>3614</v>
      </c>
      <c r="BA2730">
        <v>1</v>
      </c>
      <c r="BB2730" t="str">
        <f t="shared" si="128"/>
        <v xml:space="preserve">N959MJ  </v>
      </c>
      <c r="BC2730">
        <v>1</v>
      </c>
      <c r="BE2730">
        <v>0</v>
      </c>
      <c r="BF2730">
        <v>0</v>
      </c>
      <c r="BG2730">
        <v>0</v>
      </c>
      <c r="BH2730">
        <v>3875</v>
      </c>
      <c r="BI2730">
        <v>175</v>
      </c>
      <c r="BJ2730">
        <v>1</v>
      </c>
      <c r="BK2730">
        <v>1</v>
      </c>
      <c r="BL2730">
        <v>1</v>
      </c>
      <c r="BM2730">
        <v>0</v>
      </c>
      <c r="BP2730">
        <v>0</v>
      </c>
      <c r="BQ2730">
        <v>0</v>
      </c>
      <c r="BX2730" t="str">
        <f>"14:35:50.820"</f>
        <v>14:35:50.820</v>
      </c>
      <c r="BY2730" t="str">
        <f>"822726773"</f>
        <v>822726773</v>
      </c>
      <c r="CL2730">
        <v>0</v>
      </c>
      <c r="CM2730">
        <v>2</v>
      </c>
      <c r="CN2730">
        <v>0</v>
      </c>
      <c r="CO2730">
        <v>2</v>
      </c>
      <c r="CP2730">
        <v>0</v>
      </c>
      <c r="CQ2730">
        <v>7</v>
      </c>
      <c r="CR2730" t="s">
        <v>116</v>
      </c>
      <c r="CS2730">
        <v>39</v>
      </c>
      <c r="CT2730">
        <v>0</v>
      </c>
      <c r="CU2730" t="s">
        <v>2259</v>
      </c>
      <c r="CV2730" t="s">
        <v>2260</v>
      </c>
      <c r="CY2730">
        <v>2330407</v>
      </c>
      <c r="CZ2730" t="s">
        <v>119</v>
      </c>
    </row>
    <row r="2731" spans="1:104" x14ac:dyDescent="0.25">
      <c r="A2731" t="str">
        <f>"14:35:51.945"</f>
        <v>14:35:51.945</v>
      </c>
      <c r="B2731" t="s">
        <v>108</v>
      </c>
      <c r="C2731" t="str">
        <f t="shared" si="127"/>
        <v>ffdfd3c0</v>
      </c>
      <c r="D2731" t="s">
        <v>109</v>
      </c>
      <c r="E2731">
        <v>4</v>
      </c>
      <c r="F2731">
        <v>1004</v>
      </c>
      <c r="G2731" t="s">
        <v>110</v>
      </c>
      <c r="J2731" t="s">
        <v>111</v>
      </c>
      <c r="K2731">
        <v>0</v>
      </c>
      <c r="L2731">
        <v>3</v>
      </c>
      <c r="M2731">
        <v>0</v>
      </c>
      <c r="N2731">
        <v>2</v>
      </c>
      <c r="O2731">
        <v>1</v>
      </c>
      <c r="P2731">
        <v>0</v>
      </c>
      <c r="Q2731">
        <v>0</v>
      </c>
      <c r="R2731" t="s">
        <v>112</v>
      </c>
      <c r="S2731" t="str">
        <f>"14:35:51.742"</f>
        <v>14:35:51.742</v>
      </c>
      <c r="T2731" t="str">
        <f>"14:35:51.242"</f>
        <v>14:35:51.242</v>
      </c>
      <c r="U2731" t="str">
        <f t="shared" si="126"/>
        <v>ad5732</v>
      </c>
      <c r="V2731">
        <v>0</v>
      </c>
      <c r="W2731">
        <v>0</v>
      </c>
      <c r="X2731">
        <v>1</v>
      </c>
      <c r="Z2731">
        <v>0</v>
      </c>
      <c r="AA2731">
        <v>9</v>
      </c>
      <c r="AB2731">
        <v>3</v>
      </c>
      <c r="AC2731">
        <v>0</v>
      </c>
      <c r="AD2731">
        <v>10</v>
      </c>
      <c r="AE2731">
        <v>0</v>
      </c>
      <c r="AF2731">
        <v>3</v>
      </c>
      <c r="AG2731">
        <v>2</v>
      </c>
      <c r="AH2731">
        <v>0</v>
      </c>
      <c r="AI2731" t="s">
        <v>5578</v>
      </c>
      <c r="AJ2731">
        <v>40.221440999999999</v>
      </c>
      <c r="AK2731" t="s">
        <v>5579</v>
      </c>
      <c r="AL2731">
        <v>-75.246155000000002</v>
      </c>
      <c r="AM2731">
        <v>100</v>
      </c>
      <c r="AN2731">
        <v>3700</v>
      </c>
      <c r="AO2731" t="s">
        <v>115</v>
      </c>
      <c r="AP2731">
        <v>128</v>
      </c>
      <c r="AQ2731">
        <v>122</v>
      </c>
      <c r="AR2731">
        <v>-192</v>
      </c>
      <c r="AZ2731">
        <v>3614</v>
      </c>
      <c r="BA2731">
        <v>1</v>
      </c>
      <c r="BB2731" t="str">
        <f t="shared" si="128"/>
        <v xml:space="preserve">N959MJ  </v>
      </c>
      <c r="BC2731">
        <v>1</v>
      </c>
      <c r="BE2731">
        <v>0</v>
      </c>
      <c r="BF2731">
        <v>0</v>
      </c>
      <c r="BG2731">
        <v>0</v>
      </c>
      <c r="BH2731">
        <v>3850</v>
      </c>
      <c r="BI2731">
        <v>150</v>
      </c>
      <c r="BJ2731">
        <v>1</v>
      </c>
      <c r="BK2731">
        <v>1</v>
      </c>
      <c r="BL2731">
        <v>1</v>
      </c>
      <c r="BM2731">
        <v>0</v>
      </c>
      <c r="BP2731">
        <v>0</v>
      </c>
      <c r="BQ2731">
        <v>0</v>
      </c>
      <c r="BX2731" t="str">
        <f>"14:35:51.742"</f>
        <v>14:35:51.742</v>
      </c>
      <c r="BY2731" t="str">
        <f>"745162275"</f>
        <v>745162275</v>
      </c>
      <c r="CL2731">
        <v>0</v>
      </c>
      <c r="CM2731">
        <v>2</v>
      </c>
      <c r="CN2731">
        <v>0</v>
      </c>
      <c r="CO2731">
        <v>2</v>
      </c>
      <c r="CP2731">
        <v>0</v>
      </c>
      <c r="CQ2731">
        <v>7</v>
      </c>
      <c r="CR2731" t="s">
        <v>116</v>
      </c>
      <c r="CS2731">
        <v>39</v>
      </c>
      <c r="CT2731">
        <v>0</v>
      </c>
      <c r="CU2731" t="s">
        <v>2259</v>
      </c>
      <c r="CV2731" t="s">
        <v>2260</v>
      </c>
      <c r="CY2731">
        <v>2331823</v>
      </c>
      <c r="CZ2731" t="s">
        <v>119</v>
      </c>
    </row>
    <row r="2732" spans="1:104" x14ac:dyDescent="0.25">
      <c r="A2732" t="str">
        <f>"14:35:52.906"</f>
        <v>14:35:52.906</v>
      </c>
      <c r="B2732" t="s">
        <v>108</v>
      </c>
      <c r="C2732" t="str">
        <f t="shared" si="127"/>
        <v>ffdfd3c0</v>
      </c>
      <c r="D2732" t="s">
        <v>109</v>
      </c>
      <c r="E2732">
        <v>4</v>
      </c>
      <c r="F2732">
        <v>1004</v>
      </c>
      <c r="G2732" t="s">
        <v>110</v>
      </c>
      <c r="J2732" t="s">
        <v>111</v>
      </c>
      <c r="K2732">
        <v>0</v>
      </c>
      <c r="L2732">
        <v>3</v>
      </c>
      <c r="M2732">
        <v>0</v>
      </c>
      <c r="N2732">
        <v>2</v>
      </c>
      <c r="O2732">
        <v>1</v>
      </c>
      <c r="P2732">
        <v>0</v>
      </c>
      <c r="Q2732">
        <v>0</v>
      </c>
      <c r="R2732" t="s">
        <v>112</v>
      </c>
      <c r="S2732" t="str">
        <f>"14:35:52.727"</f>
        <v>14:35:52.727</v>
      </c>
      <c r="T2732" t="str">
        <f>"14:35:51.828"</f>
        <v>14:35:51.828</v>
      </c>
      <c r="U2732" t="str">
        <f t="shared" si="126"/>
        <v>ad5732</v>
      </c>
      <c r="V2732">
        <v>0</v>
      </c>
      <c r="W2732">
        <v>0</v>
      </c>
      <c r="X2732">
        <v>1</v>
      </c>
      <c r="Z2732">
        <v>0</v>
      </c>
      <c r="AA2732">
        <v>9</v>
      </c>
      <c r="AB2732">
        <v>3</v>
      </c>
      <c r="AC2732">
        <v>0</v>
      </c>
      <c r="AD2732">
        <v>10</v>
      </c>
      <c r="AE2732">
        <v>0</v>
      </c>
      <c r="AF2732">
        <v>3</v>
      </c>
      <c r="AG2732">
        <v>2</v>
      </c>
      <c r="AH2732">
        <v>0</v>
      </c>
      <c r="AI2732" t="s">
        <v>5580</v>
      </c>
      <c r="AJ2732">
        <v>40.221998999999997</v>
      </c>
      <c r="AK2732" t="s">
        <v>5581</v>
      </c>
      <c r="AL2732">
        <v>-75.245425999999995</v>
      </c>
      <c r="AM2732">
        <v>100</v>
      </c>
      <c r="AN2732">
        <v>3700</v>
      </c>
      <c r="AO2732" t="s">
        <v>115</v>
      </c>
      <c r="AP2732">
        <v>128</v>
      </c>
      <c r="AQ2732">
        <v>122</v>
      </c>
      <c r="AR2732">
        <v>-128</v>
      </c>
      <c r="AZ2732">
        <v>3614</v>
      </c>
      <c r="BA2732">
        <v>1</v>
      </c>
      <c r="BB2732" t="str">
        <f t="shared" si="128"/>
        <v xml:space="preserve">N959MJ  </v>
      </c>
      <c r="BC2732">
        <v>1</v>
      </c>
      <c r="BE2732">
        <v>0</v>
      </c>
      <c r="BF2732">
        <v>0</v>
      </c>
      <c r="BG2732">
        <v>0</v>
      </c>
      <c r="BH2732">
        <v>3850</v>
      </c>
      <c r="BI2732">
        <v>150</v>
      </c>
      <c r="BJ2732">
        <v>1</v>
      </c>
      <c r="BK2732">
        <v>1</v>
      </c>
      <c r="BL2732">
        <v>1</v>
      </c>
      <c r="BM2732">
        <v>0</v>
      </c>
      <c r="BP2732">
        <v>0</v>
      </c>
      <c r="BQ2732">
        <v>0</v>
      </c>
      <c r="BX2732" t="str">
        <f>"14:35:52.734"</f>
        <v>14:35:52.734</v>
      </c>
      <c r="BY2732" t="str">
        <f>"731496512"</f>
        <v>731496512</v>
      </c>
      <c r="CL2732">
        <v>0</v>
      </c>
      <c r="CM2732">
        <v>2</v>
      </c>
      <c r="CN2732">
        <v>0</v>
      </c>
      <c r="CO2732">
        <v>2</v>
      </c>
      <c r="CP2732">
        <v>0</v>
      </c>
      <c r="CQ2732">
        <v>7</v>
      </c>
      <c r="CR2732" t="s">
        <v>116</v>
      </c>
      <c r="CS2732">
        <v>39</v>
      </c>
      <c r="CT2732">
        <v>0</v>
      </c>
      <c r="CU2732" t="s">
        <v>2259</v>
      </c>
      <c r="CV2732" t="s">
        <v>2260</v>
      </c>
      <c r="CY2732">
        <v>2333407</v>
      </c>
      <c r="CZ2732" t="s">
        <v>119</v>
      </c>
    </row>
    <row r="2733" spans="1:104" x14ac:dyDescent="0.25">
      <c r="A2733" t="str">
        <f>"14:35:53.914"</f>
        <v>14:35:53.914</v>
      </c>
      <c r="B2733" t="s">
        <v>108</v>
      </c>
      <c r="C2733" t="str">
        <f t="shared" si="127"/>
        <v>ffdfd3c0</v>
      </c>
      <c r="D2733" t="s">
        <v>109</v>
      </c>
      <c r="E2733">
        <v>4</v>
      </c>
      <c r="F2733">
        <v>1004</v>
      </c>
      <c r="G2733" t="s">
        <v>110</v>
      </c>
      <c r="J2733" t="s">
        <v>111</v>
      </c>
      <c r="K2733">
        <v>0</v>
      </c>
      <c r="L2733">
        <v>3</v>
      </c>
      <c r="M2733">
        <v>0</v>
      </c>
      <c r="N2733">
        <v>2</v>
      </c>
      <c r="O2733">
        <v>1</v>
      </c>
      <c r="P2733">
        <v>0</v>
      </c>
      <c r="Q2733">
        <v>0</v>
      </c>
      <c r="R2733" t="s">
        <v>112</v>
      </c>
      <c r="S2733" t="str">
        <f>"14:35:53.703"</f>
        <v>14:35:53.703</v>
      </c>
      <c r="T2733" t="str">
        <f>"14:35:53.203"</f>
        <v>14:35:53.203</v>
      </c>
      <c r="U2733" t="str">
        <f t="shared" si="126"/>
        <v>ad5732</v>
      </c>
      <c r="V2733">
        <v>0</v>
      </c>
      <c r="W2733">
        <v>0</v>
      </c>
      <c r="X2733">
        <v>1</v>
      </c>
      <c r="Z2733">
        <v>0</v>
      </c>
      <c r="AA2733">
        <v>9</v>
      </c>
      <c r="AB2733">
        <v>3</v>
      </c>
      <c r="AC2733">
        <v>0</v>
      </c>
      <c r="AD2733">
        <v>10</v>
      </c>
      <c r="AE2733">
        <v>0</v>
      </c>
      <c r="AF2733">
        <v>3</v>
      </c>
      <c r="AG2733">
        <v>2</v>
      </c>
      <c r="AH2733">
        <v>0</v>
      </c>
      <c r="AI2733" t="s">
        <v>5582</v>
      </c>
      <c r="AJ2733">
        <v>40.222535000000001</v>
      </c>
      <c r="AK2733" t="s">
        <v>5583</v>
      </c>
      <c r="AL2733">
        <v>-75.244738999999996</v>
      </c>
      <c r="AM2733">
        <v>100</v>
      </c>
      <c r="AN2733">
        <v>3700</v>
      </c>
      <c r="AO2733" t="s">
        <v>115</v>
      </c>
      <c r="AP2733">
        <v>128</v>
      </c>
      <c r="AQ2733">
        <v>122</v>
      </c>
      <c r="AR2733">
        <v>-64</v>
      </c>
      <c r="AZ2733">
        <v>3614</v>
      </c>
      <c r="BA2733">
        <v>1</v>
      </c>
      <c r="BB2733" t="str">
        <f t="shared" si="128"/>
        <v xml:space="preserve">N959MJ  </v>
      </c>
      <c r="BC2733">
        <v>1</v>
      </c>
      <c r="BE2733">
        <v>0</v>
      </c>
      <c r="BF2733">
        <v>0</v>
      </c>
      <c r="BG2733">
        <v>0</v>
      </c>
      <c r="BH2733">
        <v>3850</v>
      </c>
      <c r="BI2733">
        <v>150</v>
      </c>
      <c r="BJ2733">
        <v>1</v>
      </c>
      <c r="BK2733">
        <v>1</v>
      </c>
      <c r="BL2733">
        <v>1</v>
      </c>
      <c r="BM2733">
        <v>0</v>
      </c>
      <c r="BP2733">
        <v>0</v>
      </c>
      <c r="BQ2733">
        <v>0</v>
      </c>
      <c r="BX2733" t="str">
        <f>"14:35:53.703"</f>
        <v>14:35:53.703</v>
      </c>
      <c r="BY2733" t="str">
        <f>"706689300"</f>
        <v>706689300</v>
      </c>
      <c r="CL2733">
        <v>0</v>
      </c>
      <c r="CM2733">
        <v>2</v>
      </c>
      <c r="CN2733">
        <v>0</v>
      </c>
      <c r="CO2733">
        <v>2</v>
      </c>
      <c r="CP2733">
        <v>0</v>
      </c>
      <c r="CQ2733">
        <v>4</v>
      </c>
      <c r="CR2733" t="s">
        <v>116</v>
      </c>
      <c r="CS2733">
        <v>148</v>
      </c>
      <c r="CT2733">
        <v>1</v>
      </c>
      <c r="CU2733" t="s">
        <v>470</v>
      </c>
      <c r="CV2733" t="s">
        <v>471</v>
      </c>
      <c r="CY2733">
        <v>9484845</v>
      </c>
      <c r="CZ2733" t="s">
        <v>119</v>
      </c>
    </row>
    <row r="2734" spans="1:104" x14ac:dyDescent="0.25">
      <c r="A2734" t="str">
        <f>"14:35:54.875"</f>
        <v>14:35:54.875</v>
      </c>
      <c r="B2734" t="s">
        <v>108</v>
      </c>
      <c r="C2734" t="str">
        <f t="shared" si="127"/>
        <v>ffdfd3c0</v>
      </c>
      <c r="D2734" t="s">
        <v>109</v>
      </c>
      <c r="E2734">
        <v>4</v>
      </c>
      <c r="F2734">
        <v>1004</v>
      </c>
      <c r="G2734" t="s">
        <v>110</v>
      </c>
      <c r="J2734" t="s">
        <v>111</v>
      </c>
      <c r="K2734">
        <v>0</v>
      </c>
      <c r="L2734">
        <v>3</v>
      </c>
      <c r="M2734">
        <v>0</v>
      </c>
      <c r="N2734">
        <v>2</v>
      </c>
      <c r="O2734">
        <v>1</v>
      </c>
      <c r="P2734">
        <v>0</v>
      </c>
      <c r="Q2734">
        <v>0</v>
      </c>
      <c r="R2734" t="s">
        <v>112</v>
      </c>
      <c r="S2734" t="str">
        <f>"14:35:54.711"</f>
        <v>14:35:54.711</v>
      </c>
      <c r="T2734" t="str">
        <f>"14:35:54.313"</f>
        <v>14:35:54.313</v>
      </c>
      <c r="U2734" t="str">
        <f t="shared" si="126"/>
        <v>ad5732</v>
      </c>
      <c r="V2734">
        <v>0</v>
      </c>
      <c r="W2734">
        <v>0</v>
      </c>
      <c r="X2734">
        <v>1</v>
      </c>
      <c r="Z2734">
        <v>0</v>
      </c>
      <c r="AA2734">
        <v>9</v>
      </c>
      <c r="AB2734">
        <v>3</v>
      </c>
      <c r="AC2734">
        <v>0</v>
      </c>
      <c r="AD2734">
        <v>10</v>
      </c>
      <c r="AE2734">
        <v>0</v>
      </c>
      <c r="AF2734">
        <v>3</v>
      </c>
      <c r="AG2734">
        <v>2</v>
      </c>
      <c r="AH2734">
        <v>0</v>
      </c>
      <c r="AI2734" t="s">
        <v>5584</v>
      </c>
      <c r="AJ2734">
        <v>40.223135999999997</v>
      </c>
      <c r="AK2734" t="s">
        <v>5585</v>
      </c>
      <c r="AL2734">
        <v>-75.243837999999997</v>
      </c>
      <c r="AM2734">
        <v>100</v>
      </c>
      <c r="AN2734">
        <v>3700</v>
      </c>
      <c r="AO2734" t="s">
        <v>115</v>
      </c>
      <c r="AP2734">
        <v>128</v>
      </c>
      <c r="AQ2734">
        <v>122</v>
      </c>
      <c r="AR2734">
        <v>-64</v>
      </c>
      <c r="AZ2734">
        <v>3614</v>
      </c>
      <c r="BA2734">
        <v>1</v>
      </c>
      <c r="BB2734" t="str">
        <f t="shared" si="128"/>
        <v xml:space="preserve">N959MJ  </v>
      </c>
      <c r="BC2734">
        <v>1</v>
      </c>
      <c r="BE2734">
        <v>0</v>
      </c>
      <c r="BF2734">
        <v>0</v>
      </c>
      <c r="BG2734">
        <v>0</v>
      </c>
      <c r="BH2734">
        <v>3850</v>
      </c>
      <c r="BI2734">
        <v>150</v>
      </c>
      <c r="BJ2734">
        <v>1</v>
      </c>
      <c r="BK2734">
        <v>1</v>
      </c>
      <c r="BL2734">
        <v>1</v>
      </c>
      <c r="BM2734">
        <v>0</v>
      </c>
      <c r="BP2734">
        <v>0</v>
      </c>
      <c r="BQ2734">
        <v>0</v>
      </c>
      <c r="BX2734" t="str">
        <f>"14:35:54.711"</f>
        <v>14:35:54.711</v>
      </c>
      <c r="BY2734" t="str">
        <f>"713995559"</f>
        <v>713995559</v>
      </c>
      <c r="CL2734">
        <v>0</v>
      </c>
      <c r="CM2734">
        <v>2</v>
      </c>
      <c r="CN2734">
        <v>0</v>
      </c>
      <c r="CO2734">
        <v>2</v>
      </c>
      <c r="CP2734">
        <v>0</v>
      </c>
      <c r="CQ2734">
        <v>6</v>
      </c>
      <c r="CR2734" t="s">
        <v>116</v>
      </c>
      <c r="CS2734">
        <v>39</v>
      </c>
      <c r="CT2734">
        <v>0</v>
      </c>
      <c r="CU2734" t="s">
        <v>2259</v>
      </c>
      <c r="CV2734" t="s">
        <v>2260</v>
      </c>
      <c r="CY2734">
        <v>2336841</v>
      </c>
      <c r="CZ2734" t="s">
        <v>119</v>
      </c>
    </row>
    <row r="2735" spans="1:104" x14ac:dyDescent="0.25">
      <c r="A2735" t="str">
        <f>"14:35:55.836"</f>
        <v>14:35:55.836</v>
      </c>
      <c r="B2735" t="s">
        <v>108</v>
      </c>
      <c r="C2735" t="str">
        <f t="shared" si="127"/>
        <v>ffdfd3c0</v>
      </c>
      <c r="D2735" t="s">
        <v>109</v>
      </c>
      <c r="E2735">
        <v>4</v>
      </c>
      <c r="F2735">
        <v>1004</v>
      </c>
      <c r="G2735" t="s">
        <v>110</v>
      </c>
      <c r="J2735" t="s">
        <v>111</v>
      </c>
      <c r="K2735">
        <v>0</v>
      </c>
      <c r="L2735">
        <v>3</v>
      </c>
      <c r="M2735">
        <v>0</v>
      </c>
      <c r="N2735">
        <v>2</v>
      </c>
      <c r="O2735">
        <v>1</v>
      </c>
      <c r="P2735">
        <v>0</v>
      </c>
      <c r="Q2735">
        <v>0</v>
      </c>
      <c r="R2735" t="s">
        <v>112</v>
      </c>
      <c r="S2735" t="str">
        <f>"14:35:55.672"</f>
        <v>14:35:55.672</v>
      </c>
      <c r="T2735" t="str">
        <f>"14:35:55.172"</f>
        <v>14:35:55.172</v>
      </c>
      <c r="U2735" t="str">
        <f t="shared" si="126"/>
        <v>ad5732</v>
      </c>
      <c r="V2735">
        <v>0</v>
      </c>
      <c r="W2735">
        <v>0</v>
      </c>
      <c r="X2735">
        <v>1</v>
      </c>
      <c r="Z2735">
        <v>0</v>
      </c>
      <c r="AA2735">
        <v>9</v>
      </c>
      <c r="AB2735">
        <v>3</v>
      </c>
      <c r="AC2735">
        <v>0</v>
      </c>
      <c r="AD2735">
        <v>10</v>
      </c>
      <c r="AE2735">
        <v>0</v>
      </c>
      <c r="AF2735">
        <v>3</v>
      </c>
      <c r="AG2735">
        <v>2</v>
      </c>
      <c r="AH2735">
        <v>0</v>
      </c>
      <c r="AI2735" t="s">
        <v>5586</v>
      </c>
      <c r="AJ2735">
        <v>40.223650999999997</v>
      </c>
      <c r="AK2735" t="s">
        <v>5587</v>
      </c>
      <c r="AL2735">
        <v>-75.243172999999999</v>
      </c>
      <c r="AM2735">
        <v>100</v>
      </c>
      <c r="AN2735">
        <v>3700</v>
      </c>
      <c r="AO2735" t="s">
        <v>115</v>
      </c>
      <c r="AP2735">
        <v>128</v>
      </c>
      <c r="AQ2735">
        <v>122</v>
      </c>
      <c r="AR2735">
        <v>0</v>
      </c>
      <c r="AZ2735">
        <v>3614</v>
      </c>
      <c r="BA2735">
        <v>1</v>
      </c>
      <c r="BB2735" t="str">
        <f t="shared" si="128"/>
        <v xml:space="preserve">N959MJ  </v>
      </c>
      <c r="BC2735">
        <v>1</v>
      </c>
      <c r="BE2735">
        <v>0</v>
      </c>
      <c r="BF2735">
        <v>0</v>
      </c>
      <c r="BG2735">
        <v>0</v>
      </c>
      <c r="BH2735">
        <v>3850</v>
      </c>
      <c r="BI2735">
        <v>150</v>
      </c>
      <c r="BJ2735">
        <v>1</v>
      </c>
      <c r="BK2735">
        <v>1</v>
      </c>
      <c r="BL2735">
        <v>1</v>
      </c>
      <c r="BM2735">
        <v>0</v>
      </c>
      <c r="BP2735">
        <v>0</v>
      </c>
      <c r="BQ2735">
        <v>0</v>
      </c>
      <c r="BX2735" t="str">
        <f>"14:35:55.672"</f>
        <v>14:35:55.672</v>
      </c>
      <c r="BY2735" t="str">
        <f>"675753411"</f>
        <v>675753411</v>
      </c>
      <c r="CL2735">
        <v>0</v>
      </c>
      <c r="CM2735">
        <v>2</v>
      </c>
      <c r="CN2735">
        <v>0</v>
      </c>
      <c r="CO2735">
        <v>2</v>
      </c>
      <c r="CP2735">
        <v>0</v>
      </c>
      <c r="CQ2735">
        <v>6</v>
      </c>
      <c r="CR2735" t="s">
        <v>116</v>
      </c>
      <c r="CS2735">
        <v>39</v>
      </c>
      <c r="CT2735">
        <v>0</v>
      </c>
      <c r="CU2735" t="s">
        <v>2259</v>
      </c>
      <c r="CV2735" t="s">
        <v>2260</v>
      </c>
      <c r="CY2735">
        <v>2338397</v>
      </c>
      <c r="CZ2735" t="s">
        <v>119</v>
      </c>
    </row>
    <row r="2736" spans="1:104" x14ac:dyDescent="0.25">
      <c r="A2736" t="str">
        <f>"14:35:56.945"</f>
        <v>14:35:56.945</v>
      </c>
      <c r="B2736" t="s">
        <v>108</v>
      </c>
      <c r="C2736" t="str">
        <f t="shared" si="127"/>
        <v>ffdfd3c0</v>
      </c>
      <c r="D2736" t="s">
        <v>109</v>
      </c>
      <c r="E2736">
        <v>4</v>
      </c>
      <c r="F2736">
        <v>1004</v>
      </c>
      <c r="G2736" t="s">
        <v>110</v>
      </c>
      <c r="J2736" t="s">
        <v>111</v>
      </c>
      <c r="K2736">
        <v>0</v>
      </c>
      <c r="L2736">
        <v>3</v>
      </c>
      <c r="M2736">
        <v>0</v>
      </c>
      <c r="N2736">
        <v>2</v>
      </c>
      <c r="O2736">
        <v>1</v>
      </c>
      <c r="P2736">
        <v>0</v>
      </c>
      <c r="Q2736">
        <v>0</v>
      </c>
      <c r="R2736" t="s">
        <v>112</v>
      </c>
      <c r="S2736" t="str">
        <f>"14:35:56.766"</f>
        <v>14:35:56.766</v>
      </c>
      <c r="T2736" t="str">
        <f>"14:35:56.266"</f>
        <v>14:35:56.266</v>
      </c>
      <c r="U2736" t="str">
        <f t="shared" si="126"/>
        <v>ad5732</v>
      </c>
      <c r="V2736">
        <v>0</v>
      </c>
      <c r="W2736">
        <v>0</v>
      </c>
      <c r="X2736">
        <v>1</v>
      </c>
      <c r="Z2736">
        <v>0</v>
      </c>
      <c r="AA2736">
        <v>9</v>
      </c>
      <c r="AB2736">
        <v>3</v>
      </c>
      <c r="AC2736">
        <v>0</v>
      </c>
      <c r="AD2736">
        <v>10</v>
      </c>
      <c r="AE2736">
        <v>0</v>
      </c>
      <c r="AF2736">
        <v>3</v>
      </c>
      <c r="AG2736">
        <v>2</v>
      </c>
      <c r="AH2736">
        <v>0</v>
      </c>
      <c r="AI2736" t="s">
        <v>5588</v>
      </c>
      <c r="AJ2736">
        <v>40.224294999999998</v>
      </c>
      <c r="AK2736" t="s">
        <v>5589</v>
      </c>
      <c r="AL2736">
        <v>-75.242313999999993</v>
      </c>
      <c r="AM2736">
        <v>100</v>
      </c>
      <c r="AN2736">
        <v>3700</v>
      </c>
      <c r="AO2736" t="s">
        <v>115</v>
      </c>
      <c r="AP2736">
        <v>128</v>
      </c>
      <c r="AQ2736">
        <v>122</v>
      </c>
      <c r="AR2736">
        <v>64</v>
      </c>
      <c r="AZ2736">
        <v>3614</v>
      </c>
      <c r="BA2736">
        <v>1</v>
      </c>
      <c r="BB2736" t="str">
        <f t="shared" si="128"/>
        <v xml:space="preserve">N959MJ  </v>
      </c>
      <c r="BC2736">
        <v>1</v>
      </c>
      <c r="BE2736">
        <v>0</v>
      </c>
      <c r="BF2736">
        <v>0</v>
      </c>
      <c r="BG2736">
        <v>0</v>
      </c>
      <c r="BH2736">
        <v>3850</v>
      </c>
      <c r="BI2736">
        <v>150</v>
      </c>
      <c r="BJ2736">
        <v>1</v>
      </c>
      <c r="BK2736">
        <v>1</v>
      </c>
      <c r="BL2736">
        <v>1</v>
      </c>
      <c r="BM2736">
        <v>0</v>
      </c>
      <c r="BP2736">
        <v>0</v>
      </c>
      <c r="BQ2736">
        <v>0</v>
      </c>
      <c r="BX2736" t="str">
        <f>"14:35:56.773"</f>
        <v>14:35:56.773</v>
      </c>
      <c r="BY2736" t="str">
        <f>"770223967"</f>
        <v>770223967</v>
      </c>
      <c r="CL2736">
        <v>0</v>
      </c>
      <c r="CM2736">
        <v>2</v>
      </c>
      <c r="CN2736">
        <v>0</v>
      </c>
      <c r="CO2736">
        <v>2</v>
      </c>
      <c r="CP2736">
        <v>0</v>
      </c>
      <c r="CQ2736">
        <v>6</v>
      </c>
      <c r="CR2736" t="s">
        <v>116</v>
      </c>
      <c r="CS2736">
        <v>39</v>
      </c>
      <c r="CT2736">
        <v>0</v>
      </c>
      <c r="CU2736" t="s">
        <v>2259</v>
      </c>
      <c r="CV2736" t="s">
        <v>2260</v>
      </c>
      <c r="CY2736">
        <v>2340114</v>
      </c>
      <c r="CZ2736" t="s">
        <v>119</v>
      </c>
    </row>
    <row r="2737" spans="1:104" x14ac:dyDescent="0.25">
      <c r="A2737" t="str">
        <f>"14:35:58.055"</f>
        <v>14:35:58.055</v>
      </c>
      <c r="B2737" t="s">
        <v>108</v>
      </c>
      <c r="C2737" t="str">
        <f t="shared" si="127"/>
        <v>ffdfd3c0</v>
      </c>
      <c r="D2737" t="s">
        <v>109</v>
      </c>
      <c r="E2737">
        <v>4</v>
      </c>
      <c r="F2737">
        <v>1004</v>
      </c>
      <c r="G2737" t="s">
        <v>110</v>
      </c>
      <c r="J2737" t="s">
        <v>111</v>
      </c>
      <c r="K2737">
        <v>0</v>
      </c>
      <c r="L2737">
        <v>3</v>
      </c>
      <c r="M2737">
        <v>0</v>
      </c>
      <c r="N2737">
        <v>2</v>
      </c>
      <c r="O2737">
        <v>1</v>
      </c>
      <c r="P2737">
        <v>0</v>
      </c>
      <c r="Q2737">
        <v>0</v>
      </c>
      <c r="R2737" t="s">
        <v>112</v>
      </c>
      <c r="S2737" t="str">
        <f>"14:35:57.875"</f>
        <v>14:35:57.875</v>
      </c>
      <c r="T2737" t="str">
        <f>"14:35:57.375"</f>
        <v>14:35:57.375</v>
      </c>
      <c r="U2737" t="str">
        <f t="shared" si="126"/>
        <v>ad5732</v>
      </c>
      <c r="V2737">
        <v>0</v>
      </c>
      <c r="W2737">
        <v>0</v>
      </c>
      <c r="X2737">
        <v>1</v>
      </c>
      <c r="Z2737">
        <v>0</v>
      </c>
      <c r="AA2737">
        <v>9</v>
      </c>
      <c r="AB2737">
        <v>3</v>
      </c>
      <c r="AC2737">
        <v>0</v>
      </c>
      <c r="AD2737">
        <v>10</v>
      </c>
      <c r="AE2737">
        <v>0</v>
      </c>
      <c r="AF2737">
        <v>3</v>
      </c>
      <c r="AG2737">
        <v>2</v>
      </c>
      <c r="AH2737">
        <v>0</v>
      </c>
      <c r="AI2737" t="s">
        <v>5590</v>
      </c>
      <c r="AJ2737">
        <v>40.224894999999997</v>
      </c>
      <c r="AK2737" t="s">
        <v>5591</v>
      </c>
      <c r="AL2737">
        <v>-75.241434999999996</v>
      </c>
      <c r="AM2737">
        <v>100</v>
      </c>
      <c r="AN2737">
        <v>3700</v>
      </c>
      <c r="AO2737" t="s">
        <v>115</v>
      </c>
      <c r="AP2737">
        <v>128</v>
      </c>
      <c r="AQ2737">
        <v>122</v>
      </c>
      <c r="AR2737">
        <v>128</v>
      </c>
      <c r="AZ2737">
        <v>3614</v>
      </c>
      <c r="BA2737">
        <v>1</v>
      </c>
      <c r="BB2737" t="str">
        <f t="shared" si="128"/>
        <v xml:space="preserve">N959MJ  </v>
      </c>
      <c r="BC2737">
        <v>1</v>
      </c>
      <c r="BE2737">
        <v>0</v>
      </c>
      <c r="BF2737">
        <v>0</v>
      </c>
      <c r="BG2737">
        <v>0</v>
      </c>
      <c r="BH2737">
        <v>3850</v>
      </c>
      <c r="BI2737">
        <v>150</v>
      </c>
      <c r="BJ2737">
        <v>1</v>
      </c>
      <c r="BK2737">
        <v>1</v>
      </c>
      <c r="BL2737">
        <v>1</v>
      </c>
      <c r="BM2737">
        <v>0</v>
      </c>
      <c r="BP2737">
        <v>0</v>
      </c>
      <c r="BQ2737">
        <v>0</v>
      </c>
      <c r="BX2737" t="str">
        <f>"14:35:57.883"</f>
        <v>14:35:57.883</v>
      </c>
      <c r="BY2737" t="str">
        <f>"881078802"</f>
        <v>881078802</v>
      </c>
      <c r="CL2737">
        <v>0</v>
      </c>
      <c r="CM2737">
        <v>2</v>
      </c>
      <c r="CN2737">
        <v>0</v>
      </c>
      <c r="CO2737">
        <v>2</v>
      </c>
      <c r="CP2737">
        <v>0</v>
      </c>
      <c r="CQ2737">
        <v>6</v>
      </c>
      <c r="CR2737" t="s">
        <v>116</v>
      </c>
      <c r="CS2737">
        <v>39</v>
      </c>
      <c r="CT2737">
        <v>0</v>
      </c>
      <c r="CU2737" t="s">
        <v>2259</v>
      </c>
      <c r="CV2737" t="s">
        <v>2260</v>
      </c>
      <c r="CY2737">
        <v>2342032</v>
      </c>
      <c r="CZ2737" t="s">
        <v>119</v>
      </c>
    </row>
    <row r="2738" spans="1:104" x14ac:dyDescent="0.25">
      <c r="A2738" t="str">
        <f>"14:35:58.914"</f>
        <v>14:35:58.914</v>
      </c>
      <c r="B2738" t="s">
        <v>108</v>
      </c>
      <c r="C2738" t="str">
        <f t="shared" si="127"/>
        <v>ffdfd3c0</v>
      </c>
      <c r="D2738" t="s">
        <v>109</v>
      </c>
      <c r="E2738">
        <v>4</v>
      </c>
      <c r="F2738">
        <v>1004</v>
      </c>
      <c r="G2738" t="s">
        <v>110</v>
      </c>
      <c r="J2738" t="s">
        <v>111</v>
      </c>
      <c r="K2738">
        <v>0</v>
      </c>
      <c r="L2738">
        <v>3</v>
      </c>
      <c r="M2738">
        <v>0</v>
      </c>
      <c r="N2738">
        <v>2</v>
      </c>
      <c r="O2738">
        <v>1</v>
      </c>
      <c r="P2738">
        <v>0</v>
      </c>
      <c r="Q2738">
        <v>0</v>
      </c>
      <c r="R2738" t="s">
        <v>112</v>
      </c>
      <c r="S2738" t="str">
        <f>"14:35:58.711"</f>
        <v>14:35:58.711</v>
      </c>
      <c r="T2738" t="str">
        <f>"14:35:58.313"</f>
        <v>14:35:58.313</v>
      </c>
      <c r="U2738" t="str">
        <f t="shared" si="126"/>
        <v>ad5732</v>
      </c>
      <c r="V2738">
        <v>0</v>
      </c>
      <c r="W2738">
        <v>0</v>
      </c>
      <c r="X2738">
        <v>1</v>
      </c>
      <c r="Z2738">
        <v>0</v>
      </c>
      <c r="AA2738">
        <v>9</v>
      </c>
      <c r="AB2738">
        <v>3</v>
      </c>
      <c r="AC2738">
        <v>0</v>
      </c>
      <c r="AD2738">
        <v>10</v>
      </c>
      <c r="AE2738">
        <v>0</v>
      </c>
      <c r="AF2738">
        <v>3</v>
      </c>
      <c r="AG2738">
        <v>2</v>
      </c>
      <c r="AH2738">
        <v>0</v>
      </c>
      <c r="AI2738" t="s">
        <v>5592</v>
      </c>
      <c r="AJ2738">
        <v>40.225389</v>
      </c>
      <c r="AK2738" t="s">
        <v>5593</v>
      </c>
      <c r="AL2738">
        <v>-75.240791000000002</v>
      </c>
      <c r="AM2738">
        <v>100</v>
      </c>
      <c r="AN2738">
        <v>3700</v>
      </c>
      <c r="AO2738" t="s">
        <v>115</v>
      </c>
      <c r="AP2738">
        <v>128</v>
      </c>
      <c r="AQ2738">
        <v>122</v>
      </c>
      <c r="AR2738">
        <v>128</v>
      </c>
      <c r="AZ2738">
        <v>3614</v>
      </c>
      <c r="BA2738">
        <v>1</v>
      </c>
      <c r="BB2738" t="str">
        <f t="shared" si="128"/>
        <v xml:space="preserve">N959MJ  </v>
      </c>
      <c r="BC2738">
        <v>1</v>
      </c>
      <c r="BE2738">
        <v>0</v>
      </c>
      <c r="BF2738">
        <v>0</v>
      </c>
      <c r="BG2738">
        <v>0</v>
      </c>
      <c r="BH2738">
        <v>3850</v>
      </c>
      <c r="BI2738">
        <v>150</v>
      </c>
      <c r="BJ2738">
        <v>1</v>
      </c>
      <c r="BK2738">
        <v>1</v>
      </c>
      <c r="BL2738">
        <v>1</v>
      </c>
      <c r="BM2738">
        <v>0</v>
      </c>
      <c r="BP2738">
        <v>0</v>
      </c>
      <c r="BQ2738">
        <v>0</v>
      </c>
      <c r="BX2738" t="str">
        <f>"14:35:58.719"</f>
        <v>14:35:58.719</v>
      </c>
      <c r="BY2738" t="str">
        <f>"716744894"</f>
        <v>716744894</v>
      </c>
      <c r="CL2738">
        <v>0</v>
      </c>
      <c r="CM2738">
        <v>2</v>
      </c>
      <c r="CN2738">
        <v>0</v>
      </c>
      <c r="CO2738">
        <v>2</v>
      </c>
      <c r="CP2738">
        <v>0</v>
      </c>
      <c r="CQ2738">
        <v>2</v>
      </c>
      <c r="CR2738" t="s">
        <v>116</v>
      </c>
      <c r="CS2738">
        <v>409</v>
      </c>
      <c r="CT2738">
        <v>3</v>
      </c>
      <c r="CU2738" t="s">
        <v>5087</v>
      </c>
      <c r="CV2738" t="s">
        <v>5088</v>
      </c>
      <c r="CY2738">
        <v>10108831</v>
      </c>
      <c r="CZ2738" t="s">
        <v>119</v>
      </c>
    </row>
    <row r="2739" spans="1:104" x14ac:dyDescent="0.25">
      <c r="A2739" t="str">
        <f>"14:35:59.875"</f>
        <v>14:35:59.875</v>
      </c>
      <c r="B2739" t="s">
        <v>108</v>
      </c>
      <c r="C2739" t="str">
        <f t="shared" si="127"/>
        <v>ffdfd3c0</v>
      </c>
      <c r="D2739" t="s">
        <v>109</v>
      </c>
      <c r="E2739">
        <v>4</v>
      </c>
      <c r="F2739">
        <v>1004</v>
      </c>
      <c r="G2739" t="s">
        <v>110</v>
      </c>
      <c r="J2739" t="s">
        <v>111</v>
      </c>
      <c r="K2739">
        <v>0</v>
      </c>
      <c r="L2739">
        <v>3</v>
      </c>
      <c r="M2739">
        <v>0</v>
      </c>
      <c r="N2739">
        <v>2</v>
      </c>
      <c r="O2739">
        <v>1</v>
      </c>
      <c r="P2739">
        <v>0</v>
      </c>
      <c r="Q2739">
        <v>0</v>
      </c>
      <c r="R2739" t="s">
        <v>112</v>
      </c>
      <c r="S2739" t="str">
        <f>"14:35:59.688"</f>
        <v>14:35:59.688</v>
      </c>
      <c r="T2739" t="str">
        <f>"14:35:59.289"</f>
        <v>14:35:59.289</v>
      </c>
      <c r="U2739" t="str">
        <f t="shared" si="126"/>
        <v>ad5732</v>
      </c>
      <c r="V2739">
        <v>0</v>
      </c>
      <c r="W2739">
        <v>0</v>
      </c>
      <c r="X2739">
        <v>1</v>
      </c>
      <c r="Z2739">
        <v>0</v>
      </c>
      <c r="AA2739">
        <v>9</v>
      </c>
      <c r="AB2739">
        <v>3</v>
      </c>
      <c r="AC2739">
        <v>0</v>
      </c>
      <c r="AD2739">
        <v>10</v>
      </c>
      <c r="AE2739">
        <v>0</v>
      </c>
      <c r="AF2739">
        <v>3</v>
      </c>
      <c r="AG2739">
        <v>2</v>
      </c>
      <c r="AH2739">
        <v>0</v>
      </c>
      <c r="AI2739" t="s">
        <v>5594</v>
      </c>
      <c r="AJ2739">
        <v>40.225924999999997</v>
      </c>
      <c r="AK2739" t="s">
        <v>5595</v>
      </c>
      <c r="AL2739">
        <v>-75.240060999999997</v>
      </c>
      <c r="AM2739">
        <v>100</v>
      </c>
      <c r="AN2739">
        <v>3700</v>
      </c>
      <c r="AO2739" t="s">
        <v>115</v>
      </c>
      <c r="AP2739">
        <v>128</v>
      </c>
      <c r="AQ2739">
        <v>121</v>
      </c>
      <c r="AR2739">
        <v>128</v>
      </c>
      <c r="AZ2739">
        <v>3614</v>
      </c>
      <c r="BA2739">
        <v>1</v>
      </c>
      <c r="BB2739" t="str">
        <f t="shared" si="128"/>
        <v xml:space="preserve">N959MJ  </v>
      </c>
      <c r="BC2739">
        <v>1</v>
      </c>
      <c r="BE2739">
        <v>0</v>
      </c>
      <c r="BF2739">
        <v>0</v>
      </c>
      <c r="BG2739">
        <v>0</v>
      </c>
      <c r="BH2739">
        <v>3850</v>
      </c>
      <c r="BI2739">
        <v>150</v>
      </c>
      <c r="BJ2739">
        <v>1</v>
      </c>
      <c r="BK2739">
        <v>1</v>
      </c>
      <c r="BL2739">
        <v>1</v>
      </c>
      <c r="BM2739">
        <v>0</v>
      </c>
      <c r="BP2739">
        <v>0</v>
      </c>
      <c r="BQ2739">
        <v>0</v>
      </c>
      <c r="BX2739" t="str">
        <f>"14:35:59.695"</f>
        <v>14:35:59.695</v>
      </c>
      <c r="BY2739" t="str">
        <f>"691609570"</f>
        <v>691609570</v>
      </c>
      <c r="CL2739">
        <v>0</v>
      </c>
      <c r="CM2739">
        <v>2</v>
      </c>
      <c r="CN2739">
        <v>0</v>
      </c>
      <c r="CO2739">
        <v>2</v>
      </c>
      <c r="CP2739">
        <v>0</v>
      </c>
      <c r="CQ2739">
        <v>5</v>
      </c>
      <c r="CR2739" t="s">
        <v>116</v>
      </c>
      <c r="CS2739">
        <v>409</v>
      </c>
      <c r="CT2739">
        <v>2</v>
      </c>
      <c r="CU2739" t="s">
        <v>5087</v>
      </c>
      <c r="CV2739" t="s">
        <v>5088</v>
      </c>
      <c r="CY2739">
        <v>16674919</v>
      </c>
      <c r="CZ2739" t="s">
        <v>119</v>
      </c>
    </row>
    <row r="2740" spans="1:104" x14ac:dyDescent="0.25">
      <c r="A2740" t="str">
        <f>"14:36:01.031"</f>
        <v>14:36:01.031</v>
      </c>
      <c r="B2740" t="s">
        <v>108</v>
      </c>
      <c r="C2740" t="str">
        <f t="shared" si="127"/>
        <v>ffdfd3c0</v>
      </c>
      <c r="D2740" t="s">
        <v>109</v>
      </c>
      <c r="E2740">
        <v>4</v>
      </c>
      <c r="F2740">
        <v>1004</v>
      </c>
      <c r="G2740" t="s">
        <v>110</v>
      </c>
      <c r="J2740" t="s">
        <v>111</v>
      </c>
      <c r="K2740">
        <v>0</v>
      </c>
      <c r="L2740">
        <v>3</v>
      </c>
      <c r="M2740">
        <v>0</v>
      </c>
      <c r="N2740">
        <v>2</v>
      </c>
      <c r="O2740">
        <v>1</v>
      </c>
      <c r="P2740">
        <v>0</v>
      </c>
      <c r="Q2740">
        <v>0</v>
      </c>
      <c r="R2740" t="s">
        <v>112</v>
      </c>
      <c r="S2740" t="str">
        <f>"14:36:00.852"</f>
        <v>14:36:00.852</v>
      </c>
      <c r="T2740" t="str">
        <f>"14:36:00.352"</f>
        <v>14:36:00.352</v>
      </c>
      <c r="U2740" t="str">
        <f t="shared" si="126"/>
        <v>ad5732</v>
      </c>
      <c r="V2740">
        <v>0</v>
      </c>
      <c r="W2740">
        <v>0</v>
      </c>
      <c r="X2740">
        <v>1</v>
      </c>
      <c r="Z2740">
        <v>0</v>
      </c>
      <c r="AA2740">
        <v>9</v>
      </c>
      <c r="AB2740">
        <v>3</v>
      </c>
      <c r="AC2740">
        <v>0</v>
      </c>
      <c r="AD2740">
        <v>10</v>
      </c>
      <c r="AE2740">
        <v>0</v>
      </c>
      <c r="AF2740">
        <v>3</v>
      </c>
      <c r="AG2740">
        <v>2</v>
      </c>
      <c r="AH2740">
        <v>0</v>
      </c>
      <c r="AI2740" t="s">
        <v>5596</v>
      </c>
      <c r="AJ2740">
        <v>40.226590999999999</v>
      </c>
      <c r="AK2740" t="s">
        <v>5597</v>
      </c>
      <c r="AL2740">
        <v>-75.239116999999993</v>
      </c>
      <c r="AM2740">
        <v>100</v>
      </c>
      <c r="AN2740">
        <v>3700</v>
      </c>
      <c r="AO2740" t="s">
        <v>115</v>
      </c>
      <c r="AP2740">
        <v>128</v>
      </c>
      <c r="AQ2740">
        <v>121</v>
      </c>
      <c r="AR2740">
        <v>128</v>
      </c>
      <c r="AZ2740">
        <v>3614</v>
      </c>
      <c r="BA2740">
        <v>1</v>
      </c>
      <c r="BB2740" t="str">
        <f t="shared" si="128"/>
        <v xml:space="preserve">N959MJ  </v>
      </c>
      <c r="BC2740">
        <v>1</v>
      </c>
      <c r="BE2740">
        <v>0</v>
      </c>
      <c r="BF2740">
        <v>0</v>
      </c>
      <c r="BG2740">
        <v>0</v>
      </c>
      <c r="BH2740">
        <v>3875</v>
      </c>
      <c r="BI2740">
        <v>175</v>
      </c>
      <c r="BJ2740">
        <v>1</v>
      </c>
      <c r="BK2740">
        <v>1</v>
      </c>
      <c r="BL2740">
        <v>1</v>
      </c>
      <c r="BM2740">
        <v>0</v>
      </c>
      <c r="BP2740">
        <v>0</v>
      </c>
      <c r="BQ2740">
        <v>0</v>
      </c>
      <c r="BX2740" t="str">
        <f>"14:36:00.852"</f>
        <v>14:36:00.852</v>
      </c>
      <c r="BY2740" t="str">
        <f>"853188945"</f>
        <v>853188945</v>
      </c>
      <c r="CL2740">
        <v>0</v>
      </c>
      <c r="CM2740">
        <v>2</v>
      </c>
      <c r="CN2740">
        <v>0</v>
      </c>
      <c r="CO2740">
        <v>2</v>
      </c>
      <c r="CP2740">
        <v>0</v>
      </c>
      <c r="CQ2740">
        <v>6</v>
      </c>
      <c r="CR2740" t="s">
        <v>116</v>
      </c>
      <c r="CS2740">
        <v>39</v>
      </c>
      <c r="CT2740">
        <v>0</v>
      </c>
      <c r="CU2740" t="s">
        <v>2259</v>
      </c>
      <c r="CV2740" t="s">
        <v>2260</v>
      </c>
      <c r="CY2740">
        <v>2346772</v>
      </c>
      <c r="CZ2740" t="s">
        <v>119</v>
      </c>
    </row>
    <row r="2741" spans="1:104" x14ac:dyDescent="0.25">
      <c r="A2741" t="str">
        <f>"14:36:01.992"</f>
        <v>14:36:01.992</v>
      </c>
      <c r="B2741" t="s">
        <v>108</v>
      </c>
      <c r="C2741" t="str">
        <f t="shared" si="127"/>
        <v>ffdfd3c0</v>
      </c>
      <c r="D2741" t="s">
        <v>109</v>
      </c>
      <c r="E2741">
        <v>4</v>
      </c>
      <c r="F2741">
        <v>1004</v>
      </c>
      <c r="G2741" t="s">
        <v>110</v>
      </c>
      <c r="J2741" t="s">
        <v>111</v>
      </c>
      <c r="K2741">
        <v>0</v>
      </c>
      <c r="L2741">
        <v>3</v>
      </c>
      <c r="M2741">
        <v>0</v>
      </c>
      <c r="N2741">
        <v>2</v>
      </c>
      <c r="O2741">
        <v>1</v>
      </c>
      <c r="P2741">
        <v>0</v>
      </c>
      <c r="Q2741">
        <v>0</v>
      </c>
      <c r="R2741" t="s">
        <v>112</v>
      </c>
      <c r="S2741" t="str">
        <f>"14:36:01.813"</f>
        <v>14:36:01.813</v>
      </c>
      <c r="T2741" t="str">
        <f>"14:36:01.313"</f>
        <v>14:36:01.313</v>
      </c>
      <c r="U2741" t="str">
        <f t="shared" si="126"/>
        <v>ad5732</v>
      </c>
      <c r="V2741">
        <v>0</v>
      </c>
      <c r="W2741">
        <v>0</v>
      </c>
      <c r="X2741">
        <v>1</v>
      </c>
      <c r="Z2741">
        <v>0</v>
      </c>
      <c r="AA2741">
        <v>9</v>
      </c>
      <c r="AB2741">
        <v>3</v>
      </c>
      <c r="AC2741">
        <v>0</v>
      </c>
      <c r="AD2741">
        <v>10</v>
      </c>
      <c r="AE2741">
        <v>0</v>
      </c>
      <c r="AF2741">
        <v>3</v>
      </c>
      <c r="AG2741">
        <v>2</v>
      </c>
      <c r="AH2741">
        <v>0</v>
      </c>
      <c r="AI2741" t="s">
        <v>5598</v>
      </c>
      <c r="AJ2741">
        <v>40.227148999999997</v>
      </c>
      <c r="AK2741" t="s">
        <v>5599</v>
      </c>
      <c r="AL2741">
        <v>-75.238365999999999</v>
      </c>
      <c r="AM2741">
        <v>100</v>
      </c>
      <c r="AN2741">
        <v>3700</v>
      </c>
      <c r="AO2741" t="s">
        <v>115</v>
      </c>
      <c r="AP2741">
        <v>128</v>
      </c>
      <c r="AQ2741">
        <v>121</v>
      </c>
      <c r="AR2741">
        <v>128</v>
      </c>
      <c r="AZ2741">
        <v>3614</v>
      </c>
      <c r="BA2741">
        <v>1</v>
      </c>
      <c r="BB2741" t="str">
        <f t="shared" si="128"/>
        <v xml:space="preserve">N959MJ  </v>
      </c>
      <c r="BC2741">
        <v>1</v>
      </c>
      <c r="BE2741">
        <v>0</v>
      </c>
      <c r="BF2741">
        <v>0</v>
      </c>
      <c r="BG2741">
        <v>0</v>
      </c>
      <c r="BH2741">
        <v>3875</v>
      </c>
      <c r="BI2741">
        <v>175</v>
      </c>
      <c r="BJ2741">
        <v>1</v>
      </c>
      <c r="BK2741">
        <v>1</v>
      </c>
      <c r="BL2741">
        <v>1</v>
      </c>
      <c r="BM2741">
        <v>0</v>
      </c>
      <c r="BP2741">
        <v>0</v>
      </c>
      <c r="BQ2741">
        <v>0</v>
      </c>
      <c r="BX2741" t="str">
        <f>"14:36:01.820"</f>
        <v>14:36:01.820</v>
      </c>
      <c r="BY2741" t="str">
        <f>"818223546"</f>
        <v>818223546</v>
      </c>
      <c r="CL2741">
        <v>0</v>
      </c>
      <c r="CM2741">
        <v>2</v>
      </c>
      <c r="CN2741">
        <v>0</v>
      </c>
      <c r="CO2741">
        <v>2</v>
      </c>
      <c r="CP2741">
        <v>0</v>
      </c>
      <c r="CQ2741">
        <v>6</v>
      </c>
      <c r="CR2741" t="s">
        <v>116</v>
      </c>
      <c r="CS2741">
        <v>39</v>
      </c>
      <c r="CT2741">
        <v>0</v>
      </c>
      <c r="CU2741" t="s">
        <v>2259</v>
      </c>
      <c r="CV2741" t="s">
        <v>2260</v>
      </c>
      <c r="CY2741">
        <v>2348270</v>
      </c>
      <c r="CZ2741" t="s">
        <v>119</v>
      </c>
    </row>
    <row r="2742" spans="1:104" x14ac:dyDescent="0.25">
      <c r="A2742" t="str">
        <f>"14:36:02.953"</f>
        <v>14:36:02.953</v>
      </c>
      <c r="B2742" t="s">
        <v>108</v>
      </c>
      <c r="C2742" t="str">
        <f t="shared" si="127"/>
        <v>ffdfd3c0</v>
      </c>
      <c r="D2742" t="s">
        <v>109</v>
      </c>
      <c r="E2742">
        <v>4</v>
      </c>
      <c r="F2742">
        <v>1004</v>
      </c>
      <c r="G2742" t="s">
        <v>110</v>
      </c>
      <c r="J2742" t="s">
        <v>111</v>
      </c>
      <c r="K2742">
        <v>0</v>
      </c>
      <c r="L2742">
        <v>3</v>
      </c>
      <c r="M2742">
        <v>0</v>
      </c>
      <c r="N2742">
        <v>2</v>
      </c>
      <c r="O2742">
        <v>1</v>
      </c>
      <c r="P2742">
        <v>0</v>
      </c>
      <c r="Q2742">
        <v>0</v>
      </c>
      <c r="R2742" t="s">
        <v>112</v>
      </c>
      <c r="S2742" t="str">
        <f>"14:36:02.781"</f>
        <v>14:36:02.781</v>
      </c>
      <c r="T2742" t="str">
        <f>"14:36:02.383"</f>
        <v>14:36:02.383</v>
      </c>
      <c r="U2742" t="str">
        <f t="shared" si="126"/>
        <v>ad5732</v>
      </c>
      <c r="V2742">
        <v>0</v>
      </c>
      <c r="W2742">
        <v>0</v>
      </c>
      <c r="X2742">
        <v>1</v>
      </c>
      <c r="Z2742">
        <v>0</v>
      </c>
      <c r="AA2742">
        <v>9</v>
      </c>
      <c r="AB2742">
        <v>3</v>
      </c>
      <c r="AC2742">
        <v>0</v>
      </c>
      <c r="AD2742">
        <v>10</v>
      </c>
      <c r="AE2742">
        <v>0</v>
      </c>
      <c r="AF2742">
        <v>3</v>
      </c>
      <c r="AG2742">
        <v>2</v>
      </c>
      <c r="AH2742">
        <v>0</v>
      </c>
      <c r="AI2742" t="s">
        <v>5600</v>
      </c>
      <c r="AJ2742">
        <v>40.227620999999999</v>
      </c>
      <c r="AK2742" t="s">
        <v>5601</v>
      </c>
      <c r="AL2742">
        <v>-75.237679</v>
      </c>
      <c r="AM2742">
        <v>100</v>
      </c>
      <c r="AN2742">
        <v>3700</v>
      </c>
      <c r="AO2742" t="s">
        <v>115</v>
      </c>
      <c r="AP2742">
        <v>128</v>
      </c>
      <c r="AQ2742">
        <v>121</v>
      </c>
      <c r="AR2742">
        <v>64</v>
      </c>
      <c r="AZ2742">
        <v>3614</v>
      </c>
      <c r="BA2742">
        <v>1</v>
      </c>
      <c r="BB2742" t="str">
        <f t="shared" si="128"/>
        <v xml:space="preserve">N959MJ  </v>
      </c>
      <c r="BC2742">
        <v>1</v>
      </c>
      <c r="BE2742">
        <v>0</v>
      </c>
      <c r="BF2742">
        <v>0</v>
      </c>
      <c r="BG2742">
        <v>0</v>
      </c>
      <c r="BH2742">
        <v>3875</v>
      </c>
      <c r="BI2742">
        <v>175</v>
      </c>
      <c r="BJ2742">
        <v>1</v>
      </c>
      <c r="BK2742">
        <v>1</v>
      </c>
      <c r="BL2742">
        <v>1</v>
      </c>
      <c r="BM2742">
        <v>0</v>
      </c>
      <c r="BP2742">
        <v>0</v>
      </c>
      <c r="BQ2742">
        <v>0</v>
      </c>
      <c r="BX2742" t="str">
        <f>"14:36:02.781"</f>
        <v>14:36:02.781</v>
      </c>
      <c r="BY2742" t="str">
        <f>"783258251"</f>
        <v>783258251</v>
      </c>
      <c r="CL2742">
        <v>0</v>
      </c>
      <c r="CM2742">
        <v>2</v>
      </c>
      <c r="CN2742">
        <v>0</v>
      </c>
      <c r="CO2742">
        <v>2</v>
      </c>
      <c r="CP2742">
        <v>0</v>
      </c>
      <c r="CQ2742">
        <v>6</v>
      </c>
      <c r="CR2742" t="s">
        <v>116</v>
      </c>
      <c r="CS2742">
        <v>39</v>
      </c>
      <c r="CT2742">
        <v>0</v>
      </c>
      <c r="CU2742" t="s">
        <v>2259</v>
      </c>
      <c r="CV2742" t="s">
        <v>2260</v>
      </c>
      <c r="CY2742">
        <v>2349919</v>
      </c>
      <c r="CZ2742" t="s">
        <v>119</v>
      </c>
    </row>
    <row r="2743" spans="1:104" x14ac:dyDescent="0.25">
      <c r="A2743" t="str">
        <f>"14:36:03.914"</f>
        <v>14:36:03.914</v>
      </c>
      <c r="B2743" t="s">
        <v>108</v>
      </c>
      <c r="C2743" t="str">
        <f t="shared" si="127"/>
        <v>ffdfd3c0</v>
      </c>
      <c r="D2743" t="s">
        <v>109</v>
      </c>
      <c r="E2743">
        <v>4</v>
      </c>
      <c r="F2743">
        <v>1004</v>
      </c>
      <c r="G2743" t="s">
        <v>110</v>
      </c>
      <c r="J2743" t="s">
        <v>111</v>
      </c>
      <c r="K2743">
        <v>0</v>
      </c>
      <c r="L2743">
        <v>3</v>
      </c>
      <c r="M2743">
        <v>0</v>
      </c>
      <c r="N2743">
        <v>2</v>
      </c>
      <c r="O2743">
        <v>1</v>
      </c>
      <c r="P2743">
        <v>0</v>
      </c>
      <c r="Q2743">
        <v>0</v>
      </c>
      <c r="R2743" t="s">
        <v>112</v>
      </c>
      <c r="S2743" t="str">
        <f>"14:36:03.734"</f>
        <v>14:36:03.734</v>
      </c>
      <c r="T2743" t="str">
        <f>"14:36:03.234"</f>
        <v>14:36:03.234</v>
      </c>
      <c r="U2743" t="str">
        <f t="shared" si="126"/>
        <v>ad5732</v>
      </c>
      <c r="V2743">
        <v>0</v>
      </c>
      <c r="W2743">
        <v>0</v>
      </c>
      <c r="X2743">
        <v>1</v>
      </c>
      <c r="Z2743">
        <v>0</v>
      </c>
      <c r="AA2743">
        <v>9</v>
      </c>
      <c r="AB2743">
        <v>3</v>
      </c>
      <c r="AC2743">
        <v>0</v>
      </c>
      <c r="AD2743">
        <v>10</v>
      </c>
      <c r="AE2743">
        <v>0</v>
      </c>
      <c r="AF2743">
        <v>3</v>
      </c>
      <c r="AG2743">
        <v>2</v>
      </c>
      <c r="AH2743">
        <v>0</v>
      </c>
      <c r="AI2743" t="s">
        <v>5602</v>
      </c>
      <c r="AJ2743">
        <v>40.228178999999997</v>
      </c>
      <c r="AK2743" t="s">
        <v>5603</v>
      </c>
      <c r="AL2743">
        <v>-75.236885999999998</v>
      </c>
      <c r="AM2743">
        <v>100</v>
      </c>
      <c r="AN2743">
        <v>3700</v>
      </c>
      <c r="AO2743" t="s">
        <v>115</v>
      </c>
      <c r="AP2743">
        <v>128</v>
      </c>
      <c r="AQ2743">
        <v>120</v>
      </c>
      <c r="AR2743">
        <v>64</v>
      </c>
      <c r="AZ2743">
        <v>3614</v>
      </c>
      <c r="BA2743">
        <v>1</v>
      </c>
      <c r="BB2743" t="str">
        <f t="shared" si="128"/>
        <v xml:space="preserve">N959MJ  </v>
      </c>
      <c r="BC2743">
        <v>1</v>
      </c>
      <c r="BE2743">
        <v>0</v>
      </c>
      <c r="BF2743">
        <v>0</v>
      </c>
      <c r="BG2743">
        <v>0</v>
      </c>
      <c r="BH2743">
        <v>3875</v>
      </c>
      <c r="BI2743">
        <v>175</v>
      </c>
      <c r="BJ2743">
        <v>1</v>
      </c>
      <c r="BK2743">
        <v>1</v>
      </c>
      <c r="BL2743">
        <v>1</v>
      </c>
      <c r="BM2743">
        <v>0</v>
      </c>
      <c r="BP2743">
        <v>0</v>
      </c>
      <c r="BQ2743">
        <v>0</v>
      </c>
      <c r="BX2743" t="str">
        <f>"14:36:03.734"</f>
        <v>14:36:03.734</v>
      </c>
      <c r="BY2743" t="str">
        <f>"736823778"</f>
        <v>736823778</v>
      </c>
      <c r="CL2743">
        <v>0</v>
      </c>
      <c r="CM2743">
        <v>2</v>
      </c>
      <c r="CN2743">
        <v>0</v>
      </c>
      <c r="CO2743">
        <v>2</v>
      </c>
      <c r="CP2743">
        <v>0</v>
      </c>
      <c r="CQ2743">
        <v>6</v>
      </c>
      <c r="CR2743" t="s">
        <v>116</v>
      </c>
      <c r="CS2743">
        <v>39</v>
      </c>
      <c r="CT2743">
        <v>0</v>
      </c>
      <c r="CU2743" t="s">
        <v>2259</v>
      </c>
      <c r="CV2743" t="s">
        <v>2260</v>
      </c>
      <c r="CY2743">
        <v>2351503</v>
      </c>
      <c r="CZ2743" t="s">
        <v>119</v>
      </c>
    </row>
    <row r="2744" spans="1:104" x14ac:dyDescent="0.25">
      <c r="A2744" t="str">
        <f>"14:36:04.875"</f>
        <v>14:36:04.875</v>
      </c>
      <c r="B2744" t="s">
        <v>108</v>
      </c>
      <c r="C2744" t="str">
        <f t="shared" si="127"/>
        <v>ffdfd3c0</v>
      </c>
      <c r="D2744" t="s">
        <v>109</v>
      </c>
      <c r="E2744">
        <v>4</v>
      </c>
      <c r="F2744">
        <v>1004</v>
      </c>
      <c r="G2744" t="s">
        <v>110</v>
      </c>
      <c r="J2744" t="s">
        <v>111</v>
      </c>
      <c r="K2744">
        <v>0</v>
      </c>
      <c r="L2744">
        <v>3</v>
      </c>
      <c r="M2744">
        <v>0</v>
      </c>
      <c r="N2744">
        <v>2</v>
      </c>
      <c r="O2744">
        <v>1</v>
      </c>
      <c r="P2744">
        <v>0</v>
      </c>
      <c r="Q2744">
        <v>0</v>
      </c>
      <c r="R2744" t="s">
        <v>112</v>
      </c>
      <c r="S2744" t="str">
        <f>"14:36:04.711"</f>
        <v>14:36:04.711</v>
      </c>
      <c r="T2744" t="str">
        <f>"14:36:04.313"</f>
        <v>14:36:04.313</v>
      </c>
      <c r="U2744" t="str">
        <f t="shared" si="126"/>
        <v>ad5732</v>
      </c>
      <c r="V2744">
        <v>0</v>
      </c>
      <c r="W2744">
        <v>0</v>
      </c>
      <c r="X2744">
        <v>1</v>
      </c>
      <c r="Z2744">
        <v>0</v>
      </c>
      <c r="AA2744">
        <v>9</v>
      </c>
      <c r="AB2744">
        <v>3</v>
      </c>
      <c r="AC2744">
        <v>0</v>
      </c>
      <c r="AD2744">
        <v>10</v>
      </c>
      <c r="AE2744">
        <v>0</v>
      </c>
      <c r="AF2744">
        <v>3</v>
      </c>
      <c r="AG2744">
        <v>2</v>
      </c>
      <c r="AH2744">
        <v>0</v>
      </c>
      <c r="AI2744" t="s">
        <v>5604</v>
      </c>
      <c r="AJ2744">
        <v>40.228779000000003</v>
      </c>
      <c r="AK2744" t="s">
        <v>5605</v>
      </c>
      <c r="AL2744">
        <v>-75.236135000000004</v>
      </c>
      <c r="AM2744">
        <v>100</v>
      </c>
      <c r="AN2744">
        <v>3700</v>
      </c>
      <c r="AO2744" t="s">
        <v>115</v>
      </c>
      <c r="AP2744">
        <v>128</v>
      </c>
      <c r="AQ2744">
        <v>120</v>
      </c>
      <c r="AR2744">
        <v>0</v>
      </c>
      <c r="AZ2744">
        <v>3614</v>
      </c>
      <c r="BA2744">
        <v>1</v>
      </c>
      <c r="BB2744" t="str">
        <f t="shared" si="128"/>
        <v xml:space="preserve">N959MJ  </v>
      </c>
      <c r="BC2744">
        <v>1</v>
      </c>
      <c r="BE2744">
        <v>0</v>
      </c>
      <c r="BF2744">
        <v>0</v>
      </c>
      <c r="BG2744">
        <v>0</v>
      </c>
      <c r="BH2744">
        <v>3875</v>
      </c>
      <c r="BI2744">
        <v>175</v>
      </c>
      <c r="BJ2744">
        <v>1</v>
      </c>
      <c r="BK2744">
        <v>1</v>
      </c>
      <c r="BL2744">
        <v>1</v>
      </c>
      <c r="BM2744">
        <v>0</v>
      </c>
      <c r="BP2744">
        <v>0</v>
      </c>
      <c r="BQ2744">
        <v>0</v>
      </c>
      <c r="BX2744" t="str">
        <f>"14:36:04.719"</f>
        <v>14:36:04.719</v>
      </c>
      <c r="BY2744" t="str">
        <f>"718242827"</f>
        <v>718242827</v>
      </c>
      <c r="CL2744">
        <v>0</v>
      </c>
      <c r="CM2744">
        <v>2</v>
      </c>
      <c r="CN2744">
        <v>0</v>
      </c>
      <c r="CO2744">
        <v>2</v>
      </c>
      <c r="CP2744">
        <v>0</v>
      </c>
      <c r="CQ2744">
        <v>6</v>
      </c>
      <c r="CR2744" t="s">
        <v>116</v>
      </c>
      <c r="CS2744">
        <v>39</v>
      </c>
      <c r="CT2744">
        <v>0</v>
      </c>
      <c r="CU2744" t="s">
        <v>2259</v>
      </c>
      <c r="CV2744" t="s">
        <v>2260</v>
      </c>
      <c r="CY2744">
        <v>2353106</v>
      </c>
      <c r="CZ2744" t="s">
        <v>119</v>
      </c>
    </row>
    <row r="2745" spans="1:104" x14ac:dyDescent="0.25">
      <c r="A2745" t="str">
        <f>"14:36:05.883"</f>
        <v>14:36:05.883</v>
      </c>
      <c r="B2745" t="s">
        <v>108</v>
      </c>
      <c r="C2745" t="str">
        <f t="shared" si="127"/>
        <v>ffdfd3c0</v>
      </c>
      <c r="D2745" t="s">
        <v>109</v>
      </c>
      <c r="E2745">
        <v>4</v>
      </c>
      <c r="F2745">
        <v>1004</v>
      </c>
      <c r="G2745" t="s">
        <v>110</v>
      </c>
      <c r="J2745" t="s">
        <v>111</v>
      </c>
      <c r="K2745">
        <v>0</v>
      </c>
      <c r="L2745">
        <v>3</v>
      </c>
      <c r="M2745">
        <v>0</v>
      </c>
      <c r="N2745">
        <v>2</v>
      </c>
      <c r="O2745">
        <v>1</v>
      </c>
      <c r="P2745">
        <v>0</v>
      </c>
      <c r="Q2745">
        <v>0</v>
      </c>
      <c r="R2745" t="s">
        <v>112</v>
      </c>
      <c r="S2745" t="str">
        <f>"14:36:05.703"</f>
        <v>14:36:05.703</v>
      </c>
      <c r="T2745" t="str">
        <f>"14:36:05.203"</f>
        <v>14:36:05.203</v>
      </c>
      <c r="U2745" t="str">
        <f t="shared" si="126"/>
        <v>ad5732</v>
      </c>
      <c r="V2745">
        <v>0</v>
      </c>
      <c r="W2745">
        <v>0</v>
      </c>
      <c r="X2745">
        <v>1</v>
      </c>
      <c r="Z2745">
        <v>0</v>
      </c>
      <c r="AA2745">
        <v>9</v>
      </c>
      <c r="AB2745">
        <v>3</v>
      </c>
      <c r="AC2745">
        <v>0</v>
      </c>
      <c r="AD2745">
        <v>10</v>
      </c>
      <c r="AE2745">
        <v>0</v>
      </c>
      <c r="AF2745">
        <v>3</v>
      </c>
      <c r="AG2745">
        <v>2</v>
      </c>
      <c r="AH2745">
        <v>0</v>
      </c>
      <c r="AI2745" t="s">
        <v>5606</v>
      </c>
      <c r="AJ2745">
        <v>40.229272999999999</v>
      </c>
      <c r="AK2745" t="s">
        <v>5607</v>
      </c>
      <c r="AL2745">
        <v>-75.235426000000004</v>
      </c>
      <c r="AM2745">
        <v>100</v>
      </c>
      <c r="AN2745">
        <v>3700</v>
      </c>
      <c r="AO2745" t="s">
        <v>115</v>
      </c>
      <c r="AP2745">
        <v>128</v>
      </c>
      <c r="AQ2745">
        <v>120</v>
      </c>
      <c r="AR2745">
        <v>0</v>
      </c>
      <c r="AZ2745">
        <v>3614</v>
      </c>
      <c r="BA2745">
        <v>1</v>
      </c>
      <c r="BB2745" t="str">
        <f t="shared" si="128"/>
        <v xml:space="preserve">N959MJ  </v>
      </c>
      <c r="BC2745">
        <v>1</v>
      </c>
      <c r="BE2745">
        <v>0</v>
      </c>
      <c r="BF2745">
        <v>0</v>
      </c>
      <c r="BG2745">
        <v>0</v>
      </c>
      <c r="BH2745">
        <v>3875</v>
      </c>
      <c r="BI2745">
        <v>175</v>
      </c>
      <c r="BJ2745">
        <v>1</v>
      </c>
      <c r="BK2745">
        <v>1</v>
      </c>
      <c r="BL2745">
        <v>1</v>
      </c>
      <c r="BM2745">
        <v>0</v>
      </c>
      <c r="BP2745">
        <v>0</v>
      </c>
      <c r="BQ2745">
        <v>0</v>
      </c>
      <c r="BX2745" t="str">
        <f>"14:36:05.711"</f>
        <v>14:36:05.711</v>
      </c>
      <c r="BY2745" t="str">
        <f>"709684973"</f>
        <v>709684973</v>
      </c>
      <c r="CL2745">
        <v>0</v>
      </c>
      <c r="CM2745">
        <v>2</v>
      </c>
      <c r="CN2745">
        <v>0</v>
      </c>
      <c r="CO2745">
        <v>2</v>
      </c>
      <c r="CP2745">
        <v>0</v>
      </c>
      <c r="CQ2745">
        <v>5</v>
      </c>
      <c r="CR2745" t="s">
        <v>116</v>
      </c>
      <c r="CS2745">
        <v>41</v>
      </c>
      <c r="CT2745">
        <v>3</v>
      </c>
      <c r="CU2745" t="s">
        <v>4525</v>
      </c>
      <c r="CV2745" t="s">
        <v>4526</v>
      </c>
      <c r="CY2745">
        <v>14741838</v>
      </c>
      <c r="CZ2745" t="s">
        <v>119</v>
      </c>
    </row>
    <row r="2746" spans="1:104" x14ac:dyDescent="0.25">
      <c r="A2746" t="str">
        <f>"14:36:06.789"</f>
        <v>14:36:06.789</v>
      </c>
      <c r="B2746" t="s">
        <v>108</v>
      </c>
      <c r="C2746" t="str">
        <f t="shared" si="127"/>
        <v>ffdfd3c0</v>
      </c>
      <c r="D2746" t="s">
        <v>109</v>
      </c>
      <c r="E2746">
        <v>4</v>
      </c>
      <c r="F2746">
        <v>1004</v>
      </c>
      <c r="G2746" t="s">
        <v>110</v>
      </c>
      <c r="J2746" t="s">
        <v>111</v>
      </c>
      <c r="K2746">
        <v>0</v>
      </c>
      <c r="L2746">
        <v>3</v>
      </c>
      <c r="M2746">
        <v>0</v>
      </c>
      <c r="N2746">
        <v>2</v>
      </c>
      <c r="O2746">
        <v>1</v>
      </c>
      <c r="P2746">
        <v>0</v>
      </c>
      <c r="Q2746">
        <v>0</v>
      </c>
      <c r="R2746" t="s">
        <v>112</v>
      </c>
      <c r="S2746" t="str">
        <f>"14:36:06.617"</f>
        <v>14:36:06.617</v>
      </c>
      <c r="T2746" t="str">
        <f>"14:36:06.219"</f>
        <v>14:36:06.219</v>
      </c>
      <c r="U2746" t="str">
        <f t="shared" si="126"/>
        <v>ad5732</v>
      </c>
      <c r="V2746">
        <v>0</v>
      </c>
      <c r="W2746">
        <v>0</v>
      </c>
      <c r="X2746">
        <v>1</v>
      </c>
      <c r="Z2746">
        <v>0</v>
      </c>
      <c r="AA2746">
        <v>9</v>
      </c>
      <c r="AB2746">
        <v>3</v>
      </c>
      <c r="AC2746">
        <v>0</v>
      </c>
      <c r="AD2746">
        <v>10</v>
      </c>
      <c r="AE2746">
        <v>0</v>
      </c>
      <c r="AF2746">
        <v>3</v>
      </c>
      <c r="AG2746">
        <v>2</v>
      </c>
      <c r="AH2746">
        <v>0</v>
      </c>
      <c r="AI2746" t="s">
        <v>5608</v>
      </c>
      <c r="AJ2746">
        <v>40.229787999999999</v>
      </c>
      <c r="AK2746" t="s">
        <v>5609</v>
      </c>
      <c r="AL2746">
        <v>-75.234632000000005</v>
      </c>
      <c r="AM2746">
        <v>100</v>
      </c>
      <c r="AN2746">
        <v>3700</v>
      </c>
      <c r="AO2746" t="s">
        <v>115</v>
      </c>
      <c r="AP2746">
        <v>128</v>
      </c>
      <c r="AQ2746">
        <v>120</v>
      </c>
      <c r="AR2746">
        <v>-128</v>
      </c>
      <c r="AZ2746">
        <v>3614</v>
      </c>
      <c r="BA2746">
        <v>1</v>
      </c>
      <c r="BB2746" t="str">
        <f t="shared" si="128"/>
        <v xml:space="preserve">N959MJ  </v>
      </c>
      <c r="BC2746">
        <v>1</v>
      </c>
      <c r="BE2746">
        <v>0</v>
      </c>
      <c r="BF2746">
        <v>0</v>
      </c>
      <c r="BG2746">
        <v>0</v>
      </c>
      <c r="BH2746">
        <v>3875</v>
      </c>
      <c r="BI2746">
        <v>175</v>
      </c>
      <c r="BJ2746">
        <v>1</v>
      </c>
      <c r="BK2746">
        <v>1</v>
      </c>
      <c r="BL2746">
        <v>1</v>
      </c>
      <c r="BM2746">
        <v>0</v>
      </c>
      <c r="BP2746">
        <v>0</v>
      </c>
      <c r="BQ2746">
        <v>0</v>
      </c>
      <c r="BX2746" t="str">
        <f>"14:36:06.617"</f>
        <v>14:36:06.617</v>
      </c>
      <c r="BY2746" t="str">
        <f>"620458810"</f>
        <v>620458810</v>
      </c>
      <c r="CL2746">
        <v>0</v>
      </c>
      <c r="CM2746">
        <v>2</v>
      </c>
      <c r="CN2746">
        <v>0</v>
      </c>
      <c r="CO2746">
        <v>2</v>
      </c>
      <c r="CP2746">
        <v>0</v>
      </c>
      <c r="CQ2746">
        <v>6</v>
      </c>
      <c r="CR2746" t="s">
        <v>116</v>
      </c>
      <c r="CS2746">
        <v>39</v>
      </c>
      <c r="CT2746">
        <v>0</v>
      </c>
      <c r="CU2746" t="s">
        <v>2259</v>
      </c>
      <c r="CV2746" t="s">
        <v>2260</v>
      </c>
      <c r="CY2746">
        <v>2355975</v>
      </c>
      <c r="CZ2746" t="s">
        <v>119</v>
      </c>
    </row>
    <row r="2747" spans="1:104" x14ac:dyDescent="0.25">
      <c r="A2747" t="str">
        <f>"14:36:07.953"</f>
        <v>14:36:07.953</v>
      </c>
      <c r="B2747" t="s">
        <v>108</v>
      </c>
      <c r="C2747" t="str">
        <f t="shared" si="127"/>
        <v>ffdfd3c0</v>
      </c>
      <c r="D2747" t="s">
        <v>109</v>
      </c>
      <c r="E2747">
        <v>4</v>
      </c>
      <c r="F2747">
        <v>1004</v>
      </c>
      <c r="G2747" t="s">
        <v>110</v>
      </c>
      <c r="J2747" t="s">
        <v>111</v>
      </c>
      <c r="K2747">
        <v>0</v>
      </c>
      <c r="L2747">
        <v>3</v>
      </c>
      <c r="M2747">
        <v>0</v>
      </c>
      <c r="N2747">
        <v>2</v>
      </c>
      <c r="O2747">
        <v>1</v>
      </c>
      <c r="P2747">
        <v>0</v>
      </c>
      <c r="Q2747">
        <v>0</v>
      </c>
      <c r="R2747" t="s">
        <v>112</v>
      </c>
      <c r="S2747" t="str">
        <f>"14:36:07.734"</f>
        <v>14:36:07.734</v>
      </c>
      <c r="T2747" t="str">
        <f>"14:36:06.633"</f>
        <v>14:36:06.633</v>
      </c>
      <c r="U2747" t="str">
        <f t="shared" si="126"/>
        <v>ad5732</v>
      </c>
      <c r="V2747">
        <v>0</v>
      </c>
      <c r="W2747">
        <v>0</v>
      </c>
      <c r="X2747">
        <v>1</v>
      </c>
      <c r="Z2747">
        <v>0</v>
      </c>
      <c r="AA2747">
        <v>9</v>
      </c>
      <c r="AB2747">
        <v>3</v>
      </c>
      <c r="AC2747">
        <v>0</v>
      </c>
      <c r="AD2747">
        <v>10</v>
      </c>
      <c r="AE2747">
        <v>0</v>
      </c>
      <c r="AF2747">
        <v>3</v>
      </c>
      <c r="AG2747">
        <v>2</v>
      </c>
      <c r="AH2747">
        <v>0</v>
      </c>
      <c r="AI2747" t="s">
        <v>5610</v>
      </c>
      <c r="AJ2747">
        <v>40.230432</v>
      </c>
      <c r="AK2747" t="s">
        <v>5611</v>
      </c>
      <c r="AL2747">
        <v>-75.233817000000002</v>
      </c>
      <c r="AM2747">
        <v>100</v>
      </c>
      <c r="AN2747">
        <v>3700</v>
      </c>
      <c r="AO2747" t="s">
        <v>115</v>
      </c>
      <c r="AP2747">
        <v>128</v>
      </c>
      <c r="AQ2747">
        <v>120</v>
      </c>
      <c r="AR2747">
        <v>-128</v>
      </c>
      <c r="AZ2747">
        <v>3614</v>
      </c>
      <c r="BA2747">
        <v>1</v>
      </c>
      <c r="BB2747" t="str">
        <f t="shared" si="128"/>
        <v xml:space="preserve">N959MJ  </v>
      </c>
      <c r="BC2747">
        <v>1</v>
      </c>
      <c r="BE2747">
        <v>0</v>
      </c>
      <c r="BF2747">
        <v>0</v>
      </c>
      <c r="BG2747">
        <v>0</v>
      </c>
      <c r="BH2747">
        <v>3875</v>
      </c>
      <c r="BI2747">
        <v>175</v>
      </c>
      <c r="BJ2747">
        <v>1</v>
      </c>
      <c r="BK2747">
        <v>1</v>
      </c>
      <c r="BL2747">
        <v>1</v>
      </c>
      <c r="BM2747">
        <v>0</v>
      </c>
      <c r="BP2747">
        <v>0</v>
      </c>
      <c r="BQ2747">
        <v>0</v>
      </c>
      <c r="BX2747" t="str">
        <f>"14:36:07.742"</f>
        <v>14:36:07.742</v>
      </c>
      <c r="BY2747" t="str">
        <f>"741144265"</f>
        <v>741144265</v>
      </c>
      <c r="CL2747">
        <v>0</v>
      </c>
      <c r="CM2747">
        <v>2</v>
      </c>
      <c r="CN2747">
        <v>0</v>
      </c>
      <c r="CO2747">
        <v>2</v>
      </c>
      <c r="CP2747">
        <v>0</v>
      </c>
      <c r="CQ2747">
        <v>5</v>
      </c>
      <c r="CR2747" t="s">
        <v>116</v>
      </c>
      <c r="CS2747">
        <v>39</v>
      </c>
      <c r="CT2747">
        <v>3</v>
      </c>
      <c r="CU2747" t="s">
        <v>2259</v>
      </c>
      <c r="CV2747" t="s">
        <v>2260</v>
      </c>
      <c r="CY2747">
        <v>11728064</v>
      </c>
      <c r="CZ2747" t="s">
        <v>119</v>
      </c>
    </row>
    <row r="2748" spans="1:104" x14ac:dyDescent="0.25">
      <c r="A2748" t="str">
        <f>"14:36:08.859"</f>
        <v>14:36:08.859</v>
      </c>
      <c r="B2748" t="s">
        <v>108</v>
      </c>
      <c r="C2748" t="str">
        <f t="shared" si="127"/>
        <v>ffdfd3c0</v>
      </c>
      <c r="D2748" t="s">
        <v>109</v>
      </c>
      <c r="E2748">
        <v>4</v>
      </c>
      <c r="F2748">
        <v>1004</v>
      </c>
      <c r="G2748" t="s">
        <v>110</v>
      </c>
      <c r="J2748" t="s">
        <v>111</v>
      </c>
      <c r="K2748">
        <v>0</v>
      </c>
      <c r="L2748">
        <v>3</v>
      </c>
      <c r="M2748">
        <v>0</v>
      </c>
      <c r="N2748">
        <v>2</v>
      </c>
      <c r="O2748">
        <v>1</v>
      </c>
      <c r="P2748">
        <v>0</v>
      </c>
      <c r="Q2748">
        <v>0</v>
      </c>
      <c r="R2748" t="s">
        <v>112</v>
      </c>
      <c r="S2748" t="str">
        <f>"14:36:08.680"</f>
        <v>14:36:08.680</v>
      </c>
      <c r="T2748" t="str">
        <f>"14:36:08.281"</f>
        <v>14:36:08.281</v>
      </c>
      <c r="U2748" t="str">
        <f t="shared" si="126"/>
        <v>ad5732</v>
      </c>
      <c r="V2748">
        <v>0</v>
      </c>
      <c r="W2748">
        <v>0</v>
      </c>
      <c r="X2748">
        <v>1</v>
      </c>
      <c r="Z2748">
        <v>0</v>
      </c>
      <c r="AA2748">
        <v>9</v>
      </c>
      <c r="AB2748">
        <v>3</v>
      </c>
      <c r="AC2748">
        <v>0</v>
      </c>
      <c r="AD2748">
        <v>10</v>
      </c>
      <c r="AE2748">
        <v>0</v>
      </c>
      <c r="AF2748">
        <v>3</v>
      </c>
      <c r="AG2748">
        <v>2</v>
      </c>
      <c r="AH2748">
        <v>0</v>
      </c>
      <c r="AI2748" t="s">
        <v>5612</v>
      </c>
      <c r="AJ2748">
        <v>40.230904000000002</v>
      </c>
      <c r="AK2748" t="s">
        <v>5613</v>
      </c>
      <c r="AL2748">
        <v>-75.233130000000003</v>
      </c>
      <c r="AM2748">
        <v>100</v>
      </c>
      <c r="AN2748">
        <v>3700</v>
      </c>
      <c r="AO2748" t="s">
        <v>115</v>
      </c>
      <c r="AP2748">
        <v>128</v>
      </c>
      <c r="AQ2748">
        <v>120</v>
      </c>
      <c r="AR2748">
        <v>-128</v>
      </c>
      <c r="AZ2748">
        <v>3614</v>
      </c>
      <c r="BA2748">
        <v>1</v>
      </c>
      <c r="BB2748" t="str">
        <f t="shared" si="128"/>
        <v xml:space="preserve">N959MJ  </v>
      </c>
      <c r="BC2748">
        <v>1</v>
      </c>
      <c r="BE2748">
        <v>0</v>
      </c>
      <c r="BF2748">
        <v>0</v>
      </c>
      <c r="BG2748">
        <v>0</v>
      </c>
      <c r="BH2748">
        <v>3850</v>
      </c>
      <c r="BI2748">
        <v>150</v>
      </c>
      <c r="BJ2748">
        <v>1</v>
      </c>
      <c r="BK2748">
        <v>1</v>
      </c>
      <c r="BL2748">
        <v>1</v>
      </c>
      <c r="BM2748">
        <v>0</v>
      </c>
      <c r="BP2748">
        <v>0</v>
      </c>
      <c r="BQ2748">
        <v>0</v>
      </c>
      <c r="BX2748" t="str">
        <f>"14:36:08.680"</f>
        <v>14:36:08.680</v>
      </c>
      <c r="BY2748" t="str">
        <f>"679963994"</f>
        <v>679963994</v>
      </c>
      <c r="CL2748">
        <v>0</v>
      </c>
      <c r="CM2748">
        <v>2</v>
      </c>
      <c r="CN2748">
        <v>0</v>
      </c>
      <c r="CO2748">
        <v>2</v>
      </c>
      <c r="CP2748">
        <v>0</v>
      </c>
      <c r="CQ2748">
        <v>6</v>
      </c>
      <c r="CR2748" t="s">
        <v>116</v>
      </c>
      <c r="CS2748">
        <v>39</v>
      </c>
      <c r="CT2748">
        <v>0</v>
      </c>
      <c r="CU2748" t="s">
        <v>2259</v>
      </c>
      <c r="CV2748" t="s">
        <v>2260</v>
      </c>
      <c r="CY2748">
        <v>2359344</v>
      </c>
      <c r="CZ2748" t="s">
        <v>119</v>
      </c>
    </row>
    <row r="2749" spans="1:104" x14ac:dyDescent="0.25">
      <c r="A2749" t="str">
        <f>"14:36:09.922"</f>
        <v>14:36:09.922</v>
      </c>
      <c r="B2749" t="s">
        <v>108</v>
      </c>
      <c r="C2749" t="str">
        <f t="shared" si="127"/>
        <v>ffdfd3c0</v>
      </c>
      <c r="D2749" t="s">
        <v>109</v>
      </c>
      <c r="E2749">
        <v>4</v>
      </c>
      <c r="F2749">
        <v>1004</v>
      </c>
      <c r="G2749" t="s">
        <v>110</v>
      </c>
      <c r="J2749" t="s">
        <v>111</v>
      </c>
      <c r="K2749">
        <v>0</v>
      </c>
      <c r="L2749">
        <v>3</v>
      </c>
      <c r="M2749">
        <v>0</v>
      </c>
      <c r="N2749">
        <v>2</v>
      </c>
      <c r="O2749">
        <v>1</v>
      </c>
      <c r="P2749">
        <v>0</v>
      </c>
      <c r="Q2749">
        <v>0</v>
      </c>
      <c r="R2749" t="s">
        <v>112</v>
      </c>
      <c r="S2749" t="str">
        <f>"14:36:09.695"</f>
        <v>14:36:09.695</v>
      </c>
      <c r="T2749" t="str">
        <f>"14:36:09.195"</f>
        <v>14:36:09.195</v>
      </c>
      <c r="U2749" t="str">
        <f t="shared" si="126"/>
        <v>ad5732</v>
      </c>
      <c r="V2749">
        <v>0</v>
      </c>
      <c r="W2749">
        <v>0</v>
      </c>
      <c r="X2749">
        <v>1</v>
      </c>
      <c r="Z2749">
        <v>0</v>
      </c>
      <c r="AA2749">
        <v>9</v>
      </c>
      <c r="AB2749">
        <v>3</v>
      </c>
      <c r="AC2749">
        <v>0</v>
      </c>
      <c r="AD2749">
        <v>10</v>
      </c>
      <c r="AE2749">
        <v>0</v>
      </c>
      <c r="AF2749">
        <v>3</v>
      </c>
      <c r="AG2749">
        <v>2</v>
      </c>
      <c r="AH2749">
        <v>0</v>
      </c>
      <c r="AI2749" t="s">
        <v>5614</v>
      </c>
      <c r="AJ2749">
        <v>40.231462000000001</v>
      </c>
      <c r="AK2749" t="s">
        <v>5615</v>
      </c>
      <c r="AL2749">
        <v>-75.232315</v>
      </c>
      <c r="AM2749">
        <v>100</v>
      </c>
      <c r="AN2749">
        <v>3700</v>
      </c>
      <c r="AO2749" t="s">
        <v>115</v>
      </c>
      <c r="AP2749">
        <v>128</v>
      </c>
      <c r="AQ2749">
        <v>120</v>
      </c>
      <c r="AR2749">
        <v>-192</v>
      </c>
      <c r="AZ2749">
        <v>3614</v>
      </c>
      <c r="BA2749">
        <v>1</v>
      </c>
      <c r="BB2749" t="str">
        <f t="shared" si="128"/>
        <v xml:space="preserve">N959MJ  </v>
      </c>
      <c r="BC2749">
        <v>1</v>
      </c>
      <c r="BE2749">
        <v>0</v>
      </c>
      <c r="BF2749">
        <v>0</v>
      </c>
      <c r="BG2749">
        <v>0</v>
      </c>
      <c r="BH2749">
        <v>3850</v>
      </c>
      <c r="BI2749">
        <v>150</v>
      </c>
      <c r="BJ2749">
        <v>1</v>
      </c>
      <c r="BK2749">
        <v>1</v>
      </c>
      <c r="BL2749">
        <v>1</v>
      </c>
      <c r="BM2749">
        <v>0</v>
      </c>
      <c r="BP2749">
        <v>0</v>
      </c>
      <c r="BQ2749">
        <v>0</v>
      </c>
      <c r="BX2749" t="str">
        <f>"14:36:09.695"</f>
        <v>14:36:09.695</v>
      </c>
      <c r="BY2749" t="str">
        <f>"695789944"</f>
        <v>695789944</v>
      </c>
      <c r="CL2749">
        <v>0</v>
      </c>
      <c r="CM2749">
        <v>2</v>
      </c>
      <c r="CN2749">
        <v>0</v>
      </c>
      <c r="CO2749">
        <v>2</v>
      </c>
      <c r="CP2749">
        <v>0</v>
      </c>
      <c r="CQ2749">
        <v>6</v>
      </c>
      <c r="CR2749" t="s">
        <v>116</v>
      </c>
      <c r="CS2749">
        <v>39</v>
      </c>
      <c r="CT2749">
        <v>0</v>
      </c>
      <c r="CU2749" t="s">
        <v>2259</v>
      </c>
      <c r="CV2749" t="s">
        <v>2260</v>
      </c>
      <c r="CY2749">
        <v>2361024</v>
      </c>
      <c r="CZ2749" t="s">
        <v>119</v>
      </c>
    </row>
    <row r="2750" spans="1:104" x14ac:dyDescent="0.25">
      <c r="A2750" t="str">
        <f>"14:36:10.781"</f>
        <v>14:36:10.781</v>
      </c>
      <c r="B2750" t="s">
        <v>108</v>
      </c>
      <c r="C2750" t="str">
        <f t="shared" si="127"/>
        <v>ffdfd3c0</v>
      </c>
      <c r="D2750" t="s">
        <v>109</v>
      </c>
      <c r="E2750">
        <v>4</v>
      </c>
      <c r="F2750">
        <v>1004</v>
      </c>
      <c r="G2750" t="s">
        <v>110</v>
      </c>
      <c r="J2750" t="s">
        <v>111</v>
      </c>
      <c r="K2750">
        <v>0</v>
      </c>
      <c r="L2750">
        <v>3</v>
      </c>
      <c r="M2750">
        <v>0</v>
      </c>
      <c r="N2750">
        <v>2</v>
      </c>
      <c r="O2750">
        <v>1</v>
      </c>
      <c r="P2750">
        <v>0</v>
      </c>
      <c r="Q2750">
        <v>0</v>
      </c>
      <c r="R2750" t="s">
        <v>112</v>
      </c>
      <c r="S2750" t="str">
        <f>"14:36:10.594"</f>
        <v>14:36:10.594</v>
      </c>
      <c r="T2750" t="str">
        <f>"14:36:10.195"</f>
        <v>14:36:10.195</v>
      </c>
      <c r="U2750" t="str">
        <f t="shared" si="126"/>
        <v>ad5732</v>
      </c>
      <c r="V2750">
        <v>0</v>
      </c>
      <c r="W2750">
        <v>0</v>
      </c>
      <c r="X2750">
        <v>1</v>
      </c>
      <c r="Z2750">
        <v>0</v>
      </c>
      <c r="AA2750">
        <v>9</v>
      </c>
      <c r="AB2750">
        <v>3</v>
      </c>
      <c r="AC2750">
        <v>0</v>
      </c>
      <c r="AD2750">
        <v>10</v>
      </c>
      <c r="AE2750">
        <v>0</v>
      </c>
      <c r="AF2750">
        <v>3</v>
      </c>
      <c r="AG2750">
        <v>2</v>
      </c>
      <c r="AH2750">
        <v>0</v>
      </c>
      <c r="AI2750" t="s">
        <v>5616</v>
      </c>
      <c r="AJ2750">
        <v>40.231977000000001</v>
      </c>
      <c r="AK2750" t="s">
        <v>5617</v>
      </c>
      <c r="AL2750">
        <v>-75.231628000000001</v>
      </c>
      <c r="AM2750">
        <v>100</v>
      </c>
      <c r="AN2750">
        <v>3700</v>
      </c>
      <c r="AO2750" t="s">
        <v>115</v>
      </c>
      <c r="AP2750">
        <v>128</v>
      </c>
      <c r="AQ2750">
        <v>121</v>
      </c>
      <c r="AR2750">
        <v>-192</v>
      </c>
      <c r="AZ2750">
        <v>3614</v>
      </c>
      <c r="BA2750">
        <v>1</v>
      </c>
      <c r="BB2750" t="str">
        <f t="shared" si="128"/>
        <v xml:space="preserve">N959MJ  </v>
      </c>
      <c r="BC2750">
        <v>1</v>
      </c>
      <c r="BE2750">
        <v>0</v>
      </c>
      <c r="BF2750">
        <v>0</v>
      </c>
      <c r="BG2750">
        <v>0</v>
      </c>
      <c r="BH2750">
        <v>3850</v>
      </c>
      <c r="BI2750">
        <v>150</v>
      </c>
      <c r="BJ2750">
        <v>1</v>
      </c>
      <c r="BK2750">
        <v>1</v>
      </c>
      <c r="BL2750">
        <v>1</v>
      </c>
      <c r="BM2750">
        <v>0</v>
      </c>
      <c r="BP2750">
        <v>0</v>
      </c>
      <c r="BQ2750">
        <v>0</v>
      </c>
      <c r="BX2750" t="str">
        <f>"14:36:10.602"</f>
        <v>14:36:10.602</v>
      </c>
      <c r="BY2750" t="str">
        <f>"600263538"</f>
        <v>600263538</v>
      </c>
      <c r="CL2750">
        <v>0</v>
      </c>
      <c r="CM2750">
        <v>2</v>
      </c>
      <c r="CN2750">
        <v>0</v>
      </c>
      <c r="CO2750">
        <v>2</v>
      </c>
      <c r="CP2750">
        <v>0</v>
      </c>
      <c r="CQ2750">
        <v>3</v>
      </c>
      <c r="CR2750" t="s">
        <v>116</v>
      </c>
      <c r="CS2750">
        <v>409</v>
      </c>
      <c r="CT2750">
        <v>1</v>
      </c>
      <c r="CU2750" t="s">
        <v>5087</v>
      </c>
      <c r="CV2750" t="s">
        <v>5088</v>
      </c>
      <c r="CY2750">
        <v>2903259</v>
      </c>
      <c r="CZ2750" t="s">
        <v>119</v>
      </c>
    </row>
    <row r="2751" spans="1:104" x14ac:dyDescent="0.25">
      <c r="A2751" t="str">
        <f>"14:36:11.633"</f>
        <v>14:36:11.633</v>
      </c>
      <c r="B2751" t="s">
        <v>108</v>
      </c>
      <c r="C2751" t="str">
        <f t="shared" si="127"/>
        <v>ffdfd3c0</v>
      </c>
      <c r="D2751" t="s">
        <v>109</v>
      </c>
      <c r="E2751">
        <v>4</v>
      </c>
      <c r="F2751">
        <v>1004</v>
      </c>
      <c r="G2751" t="s">
        <v>110</v>
      </c>
      <c r="J2751" t="s">
        <v>111</v>
      </c>
      <c r="K2751">
        <v>0</v>
      </c>
      <c r="L2751">
        <v>3</v>
      </c>
      <c r="M2751">
        <v>0</v>
      </c>
      <c r="N2751">
        <v>2</v>
      </c>
      <c r="O2751">
        <v>1</v>
      </c>
      <c r="P2751">
        <v>0</v>
      </c>
      <c r="Q2751">
        <v>0</v>
      </c>
      <c r="R2751" t="s">
        <v>112</v>
      </c>
      <c r="S2751" t="str">
        <f>"14:36:11.438"</f>
        <v>14:36:11.438</v>
      </c>
      <c r="T2751" t="str">
        <f>"14:36:11.039"</f>
        <v>14:36:11.039</v>
      </c>
      <c r="U2751" t="str">
        <f t="shared" si="126"/>
        <v>ad5732</v>
      </c>
      <c r="V2751">
        <v>0</v>
      </c>
      <c r="W2751">
        <v>0</v>
      </c>
      <c r="X2751">
        <v>1</v>
      </c>
      <c r="Z2751">
        <v>0</v>
      </c>
      <c r="AA2751">
        <v>9</v>
      </c>
      <c r="AB2751">
        <v>3</v>
      </c>
      <c r="AC2751">
        <v>0</v>
      </c>
      <c r="AD2751">
        <v>10</v>
      </c>
      <c r="AE2751">
        <v>0</v>
      </c>
      <c r="AF2751">
        <v>3</v>
      </c>
      <c r="AG2751">
        <v>2</v>
      </c>
      <c r="AH2751">
        <v>0</v>
      </c>
      <c r="AI2751" t="s">
        <v>5618</v>
      </c>
      <c r="AJ2751">
        <v>40.232491000000003</v>
      </c>
      <c r="AK2751" t="s">
        <v>5619</v>
      </c>
      <c r="AL2751">
        <v>-75.230877000000007</v>
      </c>
      <c r="AM2751">
        <v>100</v>
      </c>
      <c r="AN2751">
        <v>3700</v>
      </c>
      <c r="AO2751" t="s">
        <v>115</v>
      </c>
      <c r="AP2751">
        <v>128</v>
      </c>
      <c r="AQ2751">
        <v>120</v>
      </c>
      <c r="AR2751">
        <v>-128</v>
      </c>
      <c r="AZ2751">
        <v>3614</v>
      </c>
      <c r="BA2751">
        <v>1</v>
      </c>
      <c r="BB2751" t="str">
        <f t="shared" si="128"/>
        <v xml:space="preserve">N959MJ  </v>
      </c>
      <c r="BC2751">
        <v>1</v>
      </c>
      <c r="BE2751">
        <v>0</v>
      </c>
      <c r="BF2751">
        <v>0</v>
      </c>
      <c r="BG2751">
        <v>0</v>
      </c>
      <c r="BH2751">
        <v>3850</v>
      </c>
      <c r="BI2751">
        <v>150</v>
      </c>
      <c r="BJ2751">
        <v>1</v>
      </c>
      <c r="BK2751">
        <v>1</v>
      </c>
      <c r="BL2751">
        <v>1</v>
      </c>
      <c r="BM2751">
        <v>0</v>
      </c>
      <c r="BP2751">
        <v>0</v>
      </c>
      <c r="BQ2751">
        <v>0</v>
      </c>
      <c r="BX2751" t="str">
        <f>"14:36:11.445"</f>
        <v>14:36:11.445</v>
      </c>
      <c r="BY2751" t="str">
        <f>"443993637"</f>
        <v>443993637</v>
      </c>
      <c r="CL2751">
        <v>0</v>
      </c>
      <c r="CM2751">
        <v>2</v>
      </c>
      <c r="CN2751">
        <v>0</v>
      </c>
      <c r="CO2751">
        <v>2</v>
      </c>
      <c r="CP2751">
        <v>0</v>
      </c>
      <c r="CQ2751">
        <v>6</v>
      </c>
      <c r="CR2751" t="s">
        <v>116</v>
      </c>
      <c r="CS2751">
        <v>39</v>
      </c>
      <c r="CT2751">
        <v>0</v>
      </c>
      <c r="CU2751" t="s">
        <v>2259</v>
      </c>
      <c r="CV2751" t="s">
        <v>2260</v>
      </c>
      <c r="CY2751">
        <v>2363768</v>
      </c>
      <c r="CZ2751" t="s">
        <v>119</v>
      </c>
    </row>
    <row r="2752" spans="1:104" x14ac:dyDescent="0.25">
      <c r="A2752" t="str">
        <f>"14:36:12.703"</f>
        <v>14:36:12.703</v>
      </c>
      <c r="B2752" t="s">
        <v>108</v>
      </c>
      <c r="C2752" t="str">
        <f t="shared" si="127"/>
        <v>ffdfd3c0</v>
      </c>
      <c r="D2752" t="s">
        <v>109</v>
      </c>
      <c r="E2752">
        <v>4</v>
      </c>
      <c r="F2752">
        <v>1004</v>
      </c>
      <c r="G2752" t="s">
        <v>110</v>
      </c>
      <c r="J2752" t="s">
        <v>111</v>
      </c>
      <c r="K2752">
        <v>0</v>
      </c>
      <c r="L2752">
        <v>3</v>
      </c>
      <c r="M2752">
        <v>0</v>
      </c>
      <c r="N2752">
        <v>2</v>
      </c>
      <c r="O2752">
        <v>1</v>
      </c>
      <c r="P2752">
        <v>0</v>
      </c>
      <c r="Q2752">
        <v>0</v>
      </c>
      <c r="R2752" t="s">
        <v>112</v>
      </c>
      <c r="S2752" t="str">
        <f>"14:36:12.516"</f>
        <v>14:36:12.516</v>
      </c>
      <c r="T2752" t="str">
        <f>"14:36:12.117"</f>
        <v>14:36:12.117</v>
      </c>
      <c r="U2752" t="str">
        <f t="shared" si="126"/>
        <v>ad5732</v>
      </c>
      <c r="V2752">
        <v>0</v>
      </c>
      <c r="W2752">
        <v>0</v>
      </c>
      <c r="X2752">
        <v>1</v>
      </c>
      <c r="Z2752">
        <v>0</v>
      </c>
      <c r="AA2752">
        <v>9</v>
      </c>
      <c r="AB2752">
        <v>3</v>
      </c>
      <c r="AC2752">
        <v>0</v>
      </c>
      <c r="AD2752">
        <v>10</v>
      </c>
      <c r="AE2752">
        <v>0</v>
      </c>
      <c r="AF2752">
        <v>3</v>
      </c>
      <c r="AG2752">
        <v>2</v>
      </c>
      <c r="AH2752">
        <v>0</v>
      </c>
      <c r="AI2752" t="s">
        <v>5620</v>
      </c>
      <c r="AJ2752">
        <v>40.233114</v>
      </c>
      <c r="AK2752" t="s">
        <v>5621</v>
      </c>
      <c r="AL2752">
        <v>-75.230041</v>
      </c>
      <c r="AM2752">
        <v>100</v>
      </c>
      <c r="AN2752">
        <v>3700</v>
      </c>
      <c r="AO2752" t="s">
        <v>115</v>
      </c>
      <c r="AP2752">
        <v>128</v>
      </c>
      <c r="AQ2752">
        <v>121</v>
      </c>
      <c r="AR2752">
        <v>-128</v>
      </c>
      <c r="AZ2752">
        <v>3614</v>
      </c>
      <c r="BA2752">
        <v>1</v>
      </c>
      <c r="BB2752" t="str">
        <f t="shared" si="128"/>
        <v xml:space="preserve">N959MJ  </v>
      </c>
      <c r="BC2752">
        <v>1</v>
      </c>
      <c r="BE2752">
        <v>0</v>
      </c>
      <c r="BF2752">
        <v>0</v>
      </c>
      <c r="BG2752">
        <v>0</v>
      </c>
      <c r="BH2752">
        <v>3850</v>
      </c>
      <c r="BI2752">
        <v>150</v>
      </c>
      <c r="BJ2752">
        <v>1</v>
      </c>
      <c r="BK2752">
        <v>1</v>
      </c>
      <c r="BL2752">
        <v>1</v>
      </c>
      <c r="BM2752">
        <v>0</v>
      </c>
      <c r="BP2752">
        <v>0</v>
      </c>
      <c r="BQ2752">
        <v>0</v>
      </c>
      <c r="BX2752" t="str">
        <f>"14:36:12.523"</f>
        <v>14:36:12.523</v>
      </c>
      <c r="BY2752" t="str">
        <f>"520501205"</f>
        <v>520501205</v>
      </c>
      <c r="CL2752">
        <v>0</v>
      </c>
      <c r="CM2752">
        <v>2</v>
      </c>
      <c r="CN2752">
        <v>0</v>
      </c>
      <c r="CO2752">
        <v>2</v>
      </c>
      <c r="CP2752">
        <v>0</v>
      </c>
      <c r="CQ2752">
        <v>5</v>
      </c>
      <c r="CR2752" t="s">
        <v>116</v>
      </c>
      <c r="CS2752">
        <v>409</v>
      </c>
      <c r="CT2752">
        <v>2</v>
      </c>
      <c r="CU2752" t="s">
        <v>5087</v>
      </c>
      <c r="CV2752" t="s">
        <v>5088</v>
      </c>
      <c r="CY2752">
        <v>16699297</v>
      </c>
      <c r="CZ2752" t="s">
        <v>119</v>
      </c>
    </row>
    <row r="2753" spans="1:104" x14ac:dyDescent="0.25">
      <c r="A2753" t="str">
        <f>"14:36:13.656"</f>
        <v>14:36:13.656</v>
      </c>
      <c r="B2753" t="s">
        <v>108</v>
      </c>
      <c r="C2753" t="str">
        <f t="shared" si="127"/>
        <v>ffdfd3c0</v>
      </c>
      <c r="D2753" t="s">
        <v>109</v>
      </c>
      <c r="E2753">
        <v>4</v>
      </c>
      <c r="F2753">
        <v>1004</v>
      </c>
      <c r="G2753" t="s">
        <v>110</v>
      </c>
      <c r="J2753" t="s">
        <v>111</v>
      </c>
      <c r="K2753">
        <v>0</v>
      </c>
      <c r="L2753">
        <v>3</v>
      </c>
      <c r="M2753">
        <v>0</v>
      </c>
      <c r="N2753">
        <v>2</v>
      </c>
      <c r="O2753">
        <v>1</v>
      </c>
      <c r="P2753">
        <v>0</v>
      </c>
      <c r="Q2753">
        <v>0</v>
      </c>
      <c r="R2753" t="s">
        <v>112</v>
      </c>
      <c r="S2753" t="str">
        <f>"14:36:13.461"</f>
        <v>14:36:13.461</v>
      </c>
      <c r="T2753" t="str">
        <f>"14:36:13.063"</f>
        <v>14:36:13.063</v>
      </c>
      <c r="U2753" t="str">
        <f t="shared" si="126"/>
        <v>ad5732</v>
      </c>
      <c r="V2753">
        <v>0</v>
      </c>
      <c r="W2753">
        <v>0</v>
      </c>
      <c r="X2753">
        <v>1</v>
      </c>
      <c r="Z2753">
        <v>0</v>
      </c>
      <c r="AA2753">
        <v>9</v>
      </c>
      <c r="AB2753">
        <v>3</v>
      </c>
      <c r="AC2753">
        <v>0</v>
      </c>
      <c r="AD2753">
        <v>10</v>
      </c>
      <c r="AE2753">
        <v>0</v>
      </c>
      <c r="AF2753">
        <v>3</v>
      </c>
      <c r="AG2753">
        <v>2</v>
      </c>
      <c r="AH2753">
        <v>0</v>
      </c>
      <c r="AI2753" t="s">
        <v>5622</v>
      </c>
      <c r="AJ2753">
        <v>40.233606999999999</v>
      </c>
      <c r="AK2753" t="s">
        <v>5623</v>
      </c>
      <c r="AL2753">
        <v>-75.229375000000005</v>
      </c>
      <c r="AM2753">
        <v>100</v>
      </c>
      <c r="AN2753">
        <v>3700</v>
      </c>
      <c r="AO2753" t="s">
        <v>115</v>
      </c>
      <c r="AP2753">
        <v>128</v>
      </c>
      <c r="AQ2753">
        <v>121</v>
      </c>
      <c r="AR2753">
        <v>0</v>
      </c>
      <c r="AZ2753">
        <v>3614</v>
      </c>
      <c r="BA2753">
        <v>1</v>
      </c>
      <c r="BB2753" t="str">
        <f t="shared" si="128"/>
        <v xml:space="preserve">N959MJ  </v>
      </c>
      <c r="BC2753">
        <v>1</v>
      </c>
      <c r="BE2753">
        <v>0</v>
      </c>
      <c r="BF2753">
        <v>0</v>
      </c>
      <c r="BG2753">
        <v>0</v>
      </c>
      <c r="BH2753">
        <v>3850</v>
      </c>
      <c r="BI2753">
        <v>150</v>
      </c>
      <c r="BJ2753">
        <v>1</v>
      </c>
      <c r="BK2753">
        <v>1</v>
      </c>
      <c r="BL2753">
        <v>1</v>
      </c>
      <c r="BM2753">
        <v>0</v>
      </c>
      <c r="BP2753">
        <v>0</v>
      </c>
      <c r="BQ2753">
        <v>0</v>
      </c>
      <c r="BX2753" t="str">
        <f>"14:36:13.469"</f>
        <v>14:36:13.469</v>
      </c>
      <c r="BY2753" t="str">
        <f>"465815004"</f>
        <v>465815004</v>
      </c>
      <c r="CL2753">
        <v>0</v>
      </c>
      <c r="CM2753">
        <v>2</v>
      </c>
      <c r="CN2753">
        <v>0</v>
      </c>
      <c r="CO2753">
        <v>2</v>
      </c>
      <c r="CP2753">
        <v>0</v>
      </c>
      <c r="CQ2753">
        <v>6</v>
      </c>
      <c r="CR2753" t="s">
        <v>116</v>
      </c>
      <c r="CS2753">
        <v>39</v>
      </c>
      <c r="CT2753">
        <v>0</v>
      </c>
      <c r="CU2753" t="s">
        <v>2259</v>
      </c>
      <c r="CV2753" t="s">
        <v>2260</v>
      </c>
      <c r="CY2753">
        <v>2366963</v>
      </c>
      <c r="CZ2753" t="s">
        <v>119</v>
      </c>
    </row>
    <row r="2754" spans="1:104" x14ac:dyDescent="0.25">
      <c r="A2754" t="str">
        <f>"14:36:14.516"</f>
        <v>14:36:14.516</v>
      </c>
      <c r="B2754" t="s">
        <v>108</v>
      </c>
      <c r="C2754" t="str">
        <f t="shared" si="127"/>
        <v>ffdfd3c0</v>
      </c>
      <c r="D2754" t="s">
        <v>109</v>
      </c>
      <c r="E2754">
        <v>4</v>
      </c>
      <c r="F2754">
        <v>1004</v>
      </c>
      <c r="G2754" t="s">
        <v>110</v>
      </c>
      <c r="J2754" t="s">
        <v>111</v>
      </c>
      <c r="K2754">
        <v>0</v>
      </c>
      <c r="L2754">
        <v>3</v>
      </c>
      <c r="M2754">
        <v>0</v>
      </c>
      <c r="N2754">
        <v>2</v>
      </c>
      <c r="O2754">
        <v>1</v>
      </c>
      <c r="P2754">
        <v>0</v>
      </c>
      <c r="Q2754">
        <v>0</v>
      </c>
      <c r="R2754" t="s">
        <v>112</v>
      </c>
      <c r="S2754" t="str">
        <f>"14:36:14.352"</f>
        <v>14:36:14.352</v>
      </c>
      <c r="T2754" t="str">
        <f>"14:36:13.953"</f>
        <v>14:36:13.953</v>
      </c>
      <c r="U2754" t="str">
        <f t="shared" ref="U2754:U2817" si="129">"ad5732"</f>
        <v>ad5732</v>
      </c>
      <c r="V2754">
        <v>0</v>
      </c>
      <c r="W2754">
        <v>0</v>
      </c>
      <c r="X2754">
        <v>1</v>
      </c>
      <c r="Z2754">
        <v>0</v>
      </c>
      <c r="AA2754">
        <v>9</v>
      </c>
      <c r="AB2754">
        <v>3</v>
      </c>
      <c r="AC2754">
        <v>0</v>
      </c>
      <c r="AD2754">
        <v>10</v>
      </c>
      <c r="AE2754">
        <v>0</v>
      </c>
      <c r="AF2754">
        <v>3</v>
      </c>
      <c r="AG2754">
        <v>2</v>
      </c>
      <c r="AH2754">
        <v>0</v>
      </c>
      <c r="AI2754" t="s">
        <v>5624</v>
      </c>
      <c r="AJ2754">
        <v>40.234121999999999</v>
      </c>
      <c r="AK2754" t="s">
        <v>5625</v>
      </c>
      <c r="AL2754">
        <v>-75.228645999999998</v>
      </c>
      <c r="AM2754">
        <v>100</v>
      </c>
      <c r="AN2754">
        <v>3700</v>
      </c>
      <c r="AO2754" t="s">
        <v>115</v>
      </c>
      <c r="AP2754">
        <v>128</v>
      </c>
      <c r="AQ2754">
        <v>121</v>
      </c>
      <c r="AR2754">
        <v>0</v>
      </c>
      <c r="AZ2754">
        <v>3614</v>
      </c>
      <c r="BA2754">
        <v>1</v>
      </c>
      <c r="BB2754" t="str">
        <f t="shared" si="128"/>
        <v xml:space="preserve">N959MJ  </v>
      </c>
      <c r="BC2754">
        <v>1</v>
      </c>
      <c r="BE2754">
        <v>0</v>
      </c>
      <c r="BF2754">
        <v>0</v>
      </c>
      <c r="BG2754">
        <v>0</v>
      </c>
      <c r="BH2754">
        <v>3850</v>
      </c>
      <c r="BI2754">
        <v>150</v>
      </c>
      <c r="BJ2754">
        <v>1</v>
      </c>
      <c r="BK2754">
        <v>1</v>
      </c>
      <c r="BL2754">
        <v>1</v>
      </c>
      <c r="BM2754">
        <v>0</v>
      </c>
      <c r="BP2754">
        <v>0</v>
      </c>
      <c r="BQ2754">
        <v>0</v>
      </c>
      <c r="BX2754" t="str">
        <f>"14:36:14.352"</f>
        <v>14:36:14.352</v>
      </c>
      <c r="BY2754" t="str">
        <f>"352205010"</f>
        <v>352205010</v>
      </c>
      <c r="CL2754">
        <v>0</v>
      </c>
      <c r="CM2754">
        <v>2</v>
      </c>
      <c r="CN2754">
        <v>0</v>
      </c>
      <c r="CO2754">
        <v>2</v>
      </c>
      <c r="CP2754">
        <v>0</v>
      </c>
      <c r="CQ2754">
        <v>6</v>
      </c>
      <c r="CR2754" t="s">
        <v>116</v>
      </c>
      <c r="CS2754">
        <v>39</v>
      </c>
      <c r="CT2754">
        <v>0</v>
      </c>
      <c r="CU2754" t="s">
        <v>2259</v>
      </c>
      <c r="CV2754" t="s">
        <v>2260</v>
      </c>
      <c r="CY2754">
        <v>2368432</v>
      </c>
      <c r="CZ2754" t="s">
        <v>119</v>
      </c>
    </row>
    <row r="2755" spans="1:104" x14ac:dyDescent="0.25">
      <c r="A2755" t="str">
        <f>"14:36:15.375"</f>
        <v>14:36:15.375</v>
      </c>
      <c r="B2755" t="s">
        <v>108</v>
      </c>
      <c r="C2755" t="str">
        <f t="shared" si="127"/>
        <v>ffdfd3c0</v>
      </c>
      <c r="D2755" t="s">
        <v>109</v>
      </c>
      <c r="E2755">
        <v>4</v>
      </c>
      <c r="F2755">
        <v>1004</v>
      </c>
      <c r="G2755" t="s">
        <v>110</v>
      </c>
      <c r="J2755" t="s">
        <v>111</v>
      </c>
      <c r="K2755">
        <v>0</v>
      </c>
      <c r="L2755">
        <v>3</v>
      </c>
      <c r="M2755">
        <v>0</v>
      </c>
      <c r="N2755">
        <v>2</v>
      </c>
      <c r="O2755">
        <v>1</v>
      </c>
      <c r="P2755">
        <v>0</v>
      </c>
      <c r="Q2755">
        <v>0</v>
      </c>
      <c r="R2755" t="s">
        <v>112</v>
      </c>
      <c r="S2755" t="str">
        <f>"14:36:15.211"</f>
        <v>14:36:15.211</v>
      </c>
      <c r="T2755" t="str">
        <f>"14:36:14.813"</f>
        <v>14:36:14.813</v>
      </c>
      <c r="U2755" t="str">
        <f t="shared" si="129"/>
        <v>ad5732</v>
      </c>
      <c r="V2755">
        <v>0</v>
      </c>
      <c r="W2755">
        <v>0</v>
      </c>
      <c r="X2755">
        <v>1</v>
      </c>
      <c r="Z2755">
        <v>0</v>
      </c>
      <c r="AA2755">
        <v>9</v>
      </c>
      <c r="AB2755">
        <v>3</v>
      </c>
      <c r="AC2755">
        <v>0</v>
      </c>
      <c r="AD2755">
        <v>10</v>
      </c>
      <c r="AE2755">
        <v>0</v>
      </c>
      <c r="AF2755">
        <v>3</v>
      </c>
      <c r="AG2755">
        <v>2</v>
      </c>
      <c r="AH2755">
        <v>0</v>
      </c>
      <c r="AI2755" t="s">
        <v>5626</v>
      </c>
      <c r="AJ2755">
        <v>40.234636999999999</v>
      </c>
      <c r="AK2755" t="s">
        <v>5627</v>
      </c>
      <c r="AL2755">
        <v>-75.227937999999995</v>
      </c>
      <c r="AM2755">
        <v>100</v>
      </c>
      <c r="AN2755">
        <v>3700</v>
      </c>
      <c r="AO2755" t="s">
        <v>115</v>
      </c>
      <c r="AP2755">
        <v>128</v>
      </c>
      <c r="AQ2755">
        <v>121</v>
      </c>
      <c r="AR2755">
        <v>64</v>
      </c>
      <c r="AZ2755">
        <v>3614</v>
      </c>
      <c r="BA2755">
        <v>1</v>
      </c>
      <c r="BB2755" t="str">
        <f t="shared" si="128"/>
        <v xml:space="preserve">N959MJ  </v>
      </c>
      <c r="BC2755">
        <v>1</v>
      </c>
      <c r="BE2755">
        <v>0</v>
      </c>
      <c r="BF2755">
        <v>0</v>
      </c>
      <c r="BG2755">
        <v>0</v>
      </c>
      <c r="BH2755">
        <v>3850</v>
      </c>
      <c r="BI2755">
        <v>150</v>
      </c>
      <c r="BJ2755">
        <v>1</v>
      </c>
      <c r="BK2755">
        <v>1</v>
      </c>
      <c r="BL2755">
        <v>1</v>
      </c>
      <c r="BM2755">
        <v>0</v>
      </c>
      <c r="BP2755">
        <v>0</v>
      </c>
      <c r="BQ2755">
        <v>0</v>
      </c>
      <c r="BX2755" t="str">
        <f>"14:36:15.219"</f>
        <v>14:36:15.219</v>
      </c>
      <c r="BY2755" t="str">
        <f>"215657166"</f>
        <v>215657166</v>
      </c>
      <c r="CL2755">
        <v>0</v>
      </c>
      <c r="CM2755">
        <v>2</v>
      </c>
      <c r="CN2755">
        <v>0</v>
      </c>
      <c r="CO2755">
        <v>2</v>
      </c>
      <c r="CP2755">
        <v>0</v>
      </c>
      <c r="CQ2755">
        <v>6</v>
      </c>
      <c r="CR2755" t="s">
        <v>116</v>
      </c>
      <c r="CS2755">
        <v>39</v>
      </c>
      <c r="CT2755">
        <v>0</v>
      </c>
      <c r="CU2755" t="s">
        <v>2259</v>
      </c>
      <c r="CV2755" t="s">
        <v>2260</v>
      </c>
      <c r="CY2755">
        <v>2369834</v>
      </c>
      <c r="CZ2755" t="s">
        <v>119</v>
      </c>
    </row>
    <row r="2756" spans="1:104" x14ac:dyDescent="0.25">
      <c r="A2756" t="str">
        <f>"14:36:16.281"</f>
        <v>14:36:16.281</v>
      </c>
      <c r="B2756" t="s">
        <v>108</v>
      </c>
      <c r="C2756" t="str">
        <f t="shared" si="127"/>
        <v>ffdfd3c0</v>
      </c>
      <c r="D2756" t="s">
        <v>109</v>
      </c>
      <c r="E2756">
        <v>4</v>
      </c>
      <c r="F2756">
        <v>1004</v>
      </c>
      <c r="G2756" t="s">
        <v>110</v>
      </c>
      <c r="J2756" t="s">
        <v>111</v>
      </c>
      <c r="K2756">
        <v>0</v>
      </c>
      <c r="L2756">
        <v>3</v>
      </c>
      <c r="M2756">
        <v>0</v>
      </c>
      <c r="N2756">
        <v>2</v>
      </c>
      <c r="O2756">
        <v>1</v>
      </c>
      <c r="P2756">
        <v>0</v>
      </c>
      <c r="Q2756">
        <v>0</v>
      </c>
      <c r="R2756" t="s">
        <v>112</v>
      </c>
      <c r="S2756" t="str">
        <f>"14:36:16.102"</f>
        <v>14:36:16.102</v>
      </c>
      <c r="T2756" t="str">
        <f>"14:36:15.703"</f>
        <v>14:36:15.703</v>
      </c>
      <c r="U2756" t="str">
        <f t="shared" si="129"/>
        <v>ad5732</v>
      </c>
      <c r="V2756">
        <v>0</v>
      </c>
      <c r="W2756">
        <v>0</v>
      </c>
      <c r="X2756">
        <v>1</v>
      </c>
      <c r="Z2756">
        <v>0</v>
      </c>
      <c r="AA2756">
        <v>9</v>
      </c>
      <c r="AB2756">
        <v>3</v>
      </c>
      <c r="AC2756">
        <v>0</v>
      </c>
      <c r="AD2756">
        <v>10</v>
      </c>
      <c r="AE2756">
        <v>0</v>
      </c>
      <c r="AF2756">
        <v>3</v>
      </c>
      <c r="AG2756">
        <v>2</v>
      </c>
      <c r="AH2756">
        <v>0</v>
      </c>
      <c r="AI2756" t="s">
        <v>5628</v>
      </c>
      <c r="AJ2756">
        <v>40.235045</v>
      </c>
      <c r="AK2756" t="s">
        <v>5629</v>
      </c>
      <c r="AL2756">
        <v>-75.227379999999997</v>
      </c>
      <c r="AM2756">
        <v>100</v>
      </c>
      <c r="AN2756">
        <v>3700</v>
      </c>
      <c r="AO2756" t="s">
        <v>115</v>
      </c>
      <c r="AP2756">
        <v>128</v>
      </c>
      <c r="AQ2756">
        <v>121</v>
      </c>
      <c r="AR2756">
        <v>64</v>
      </c>
      <c r="AZ2756">
        <v>3614</v>
      </c>
      <c r="BA2756">
        <v>1</v>
      </c>
      <c r="BB2756" t="str">
        <f t="shared" si="128"/>
        <v xml:space="preserve">N959MJ  </v>
      </c>
      <c r="BC2756">
        <v>1</v>
      </c>
      <c r="BE2756">
        <v>0</v>
      </c>
      <c r="BF2756">
        <v>0</v>
      </c>
      <c r="BG2756">
        <v>0</v>
      </c>
      <c r="BH2756">
        <v>3850</v>
      </c>
      <c r="BI2756">
        <v>150</v>
      </c>
      <c r="BJ2756">
        <v>1</v>
      </c>
      <c r="BK2756">
        <v>1</v>
      </c>
      <c r="BL2756">
        <v>1</v>
      </c>
      <c r="BM2756">
        <v>0</v>
      </c>
      <c r="BP2756">
        <v>0</v>
      </c>
      <c r="BQ2756">
        <v>0</v>
      </c>
      <c r="BX2756" t="str">
        <f>"14:36:16.102"</f>
        <v>14:36:16.102</v>
      </c>
      <c r="BY2756" t="str">
        <f>"103685565"</f>
        <v>103685565</v>
      </c>
      <c r="CL2756">
        <v>0</v>
      </c>
      <c r="CM2756">
        <v>2</v>
      </c>
      <c r="CN2756">
        <v>0</v>
      </c>
      <c r="CO2756">
        <v>2</v>
      </c>
      <c r="CP2756">
        <v>0</v>
      </c>
      <c r="CQ2756">
        <v>6</v>
      </c>
      <c r="CR2756" t="s">
        <v>116</v>
      </c>
      <c r="CS2756">
        <v>39</v>
      </c>
      <c r="CT2756">
        <v>0</v>
      </c>
      <c r="CU2756" t="s">
        <v>2259</v>
      </c>
      <c r="CV2756" t="s">
        <v>2260</v>
      </c>
      <c r="CY2756">
        <v>2371273</v>
      </c>
      <c r="CZ2756" t="s">
        <v>119</v>
      </c>
    </row>
    <row r="2757" spans="1:104" x14ac:dyDescent="0.25">
      <c r="A2757" t="str">
        <f>"14:36:17.289"</f>
        <v>14:36:17.289</v>
      </c>
      <c r="B2757" t="s">
        <v>108</v>
      </c>
      <c r="C2757" t="str">
        <f t="shared" si="127"/>
        <v>ffdfd3c0</v>
      </c>
      <c r="D2757" t="s">
        <v>109</v>
      </c>
      <c r="E2757">
        <v>4</v>
      </c>
      <c r="F2757">
        <v>1004</v>
      </c>
      <c r="G2757" t="s">
        <v>110</v>
      </c>
      <c r="J2757" t="s">
        <v>111</v>
      </c>
      <c r="K2757">
        <v>0</v>
      </c>
      <c r="L2757">
        <v>3</v>
      </c>
      <c r="M2757">
        <v>0</v>
      </c>
      <c r="N2757">
        <v>2</v>
      </c>
      <c r="O2757">
        <v>1</v>
      </c>
      <c r="P2757">
        <v>0</v>
      </c>
      <c r="Q2757">
        <v>0</v>
      </c>
      <c r="R2757" t="s">
        <v>112</v>
      </c>
      <c r="S2757" t="str">
        <f>"14:36:17.094"</f>
        <v>14:36:17.094</v>
      </c>
      <c r="T2757" t="str">
        <f>"14:36:16.695"</f>
        <v>14:36:16.695</v>
      </c>
      <c r="U2757" t="str">
        <f t="shared" si="129"/>
        <v>ad5732</v>
      </c>
      <c r="V2757">
        <v>0</v>
      </c>
      <c r="W2757">
        <v>0</v>
      </c>
      <c r="X2757">
        <v>1</v>
      </c>
      <c r="Z2757">
        <v>0</v>
      </c>
      <c r="AA2757">
        <v>9</v>
      </c>
      <c r="AB2757">
        <v>3</v>
      </c>
      <c r="AC2757">
        <v>0</v>
      </c>
      <c r="AD2757">
        <v>10</v>
      </c>
      <c r="AE2757">
        <v>0</v>
      </c>
      <c r="AF2757">
        <v>3</v>
      </c>
      <c r="AG2757">
        <v>2</v>
      </c>
      <c r="AH2757">
        <v>0</v>
      </c>
      <c r="AI2757" t="s">
        <v>5630</v>
      </c>
      <c r="AJ2757">
        <v>40.235602999999998</v>
      </c>
      <c r="AK2757" t="s">
        <v>5631</v>
      </c>
      <c r="AL2757">
        <v>-75.226563999999996</v>
      </c>
      <c r="AM2757">
        <v>100</v>
      </c>
      <c r="AN2757">
        <v>3700</v>
      </c>
      <c r="AO2757" t="s">
        <v>115</v>
      </c>
      <c r="AP2757">
        <v>128</v>
      </c>
      <c r="AQ2757">
        <v>121</v>
      </c>
      <c r="AR2757">
        <v>64</v>
      </c>
      <c r="AZ2757">
        <v>3614</v>
      </c>
      <c r="BA2757">
        <v>1</v>
      </c>
      <c r="BB2757" t="str">
        <f t="shared" si="128"/>
        <v xml:space="preserve">N959MJ  </v>
      </c>
      <c r="BC2757">
        <v>1</v>
      </c>
      <c r="BE2757">
        <v>0</v>
      </c>
      <c r="BF2757">
        <v>0</v>
      </c>
      <c r="BG2757">
        <v>0</v>
      </c>
      <c r="BH2757">
        <v>3850</v>
      </c>
      <c r="BI2757">
        <v>150</v>
      </c>
      <c r="BJ2757">
        <v>1</v>
      </c>
      <c r="BK2757">
        <v>1</v>
      </c>
      <c r="BL2757">
        <v>1</v>
      </c>
      <c r="BM2757">
        <v>0</v>
      </c>
      <c r="BP2757">
        <v>0</v>
      </c>
      <c r="BQ2757">
        <v>0</v>
      </c>
      <c r="BX2757" t="str">
        <f>"14:36:17.102"</f>
        <v>14:36:17.102</v>
      </c>
      <c r="BY2757" t="str">
        <f>"098269349"</f>
        <v>098269349</v>
      </c>
      <c r="CL2757">
        <v>0</v>
      </c>
      <c r="CM2757">
        <v>2</v>
      </c>
      <c r="CN2757">
        <v>0</v>
      </c>
      <c r="CO2757">
        <v>2</v>
      </c>
      <c r="CP2757">
        <v>0</v>
      </c>
      <c r="CQ2757">
        <v>5</v>
      </c>
      <c r="CR2757" t="s">
        <v>116</v>
      </c>
      <c r="CS2757">
        <v>409</v>
      </c>
      <c r="CT2757">
        <v>2</v>
      </c>
      <c r="CU2757" t="s">
        <v>5087</v>
      </c>
      <c r="CV2757" t="s">
        <v>5088</v>
      </c>
      <c r="CY2757">
        <v>16708033</v>
      </c>
      <c r="CZ2757" t="s">
        <v>119</v>
      </c>
    </row>
    <row r="2758" spans="1:104" x14ac:dyDescent="0.25">
      <c r="A2758" t="str">
        <f>"14:36:18.297"</f>
        <v>14:36:18.297</v>
      </c>
      <c r="B2758" t="s">
        <v>108</v>
      </c>
      <c r="C2758" t="str">
        <f t="shared" si="127"/>
        <v>ffdfd3c0</v>
      </c>
      <c r="D2758" t="s">
        <v>109</v>
      </c>
      <c r="E2758">
        <v>4</v>
      </c>
      <c r="F2758">
        <v>1004</v>
      </c>
      <c r="G2758" t="s">
        <v>110</v>
      </c>
      <c r="J2758" t="s">
        <v>111</v>
      </c>
      <c r="K2758">
        <v>0</v>
      </c>
      <c r="L2758">
        <v>3</v>
      </c>
      <c r="M2758">
        <v>0</v>
      </c>
      <c r="N2758">
        <v>2</v>
      </c>
      <c r="O2758">
        <v>1</v>
      </c>
      <c r="P2758">
        <v>0</v>
      </c>
      <c r="Q2758">
        <v>0</v>
      </c>
      <c r="R2758" t="s">
        <v>112</v>
      </c>
      <c r="S2758" t="str">
        <f>"14:36:18.125"</f>
        <v>14:36:18.125</v>
      </c>
      <c r="T2758" t="str">
        <f>"14:36:17.727"</f>
        <v>14:36:17.727</v>
      </c>
      <c r="U2758" t="str">
        <f t="shared" si="129"/>
        <v>ad5732</v>
      </c>
      <c r="V2758">
        <v>0</v>
      </c>
      <c r="W2758">
        <v>0</v>
      </c>
      <c r="X2758">
        <v>1</v>
      </c>
      <c r="Z2758">
        <v>0</v>
      </c>
      <c r="AA2758">
        <v>9</v>
      </c>
      <c r="AB2758">
        <v>3</v>
      </c>
      <c r="AC2758">
        <v>0</v>
      </c>
      <c r="AD2758">
        <v>10</v>
      </c>
      <c r="AE2758">
        <v>0</v>
      </c>
      <c r="AF2758">
        <v>3</v>
      </c>
      <c r="AG2758">
        <v>2</v>
      </c>
      <c r="AH2758">
        <v>0</v>
      </c>
      <c r="AI2758" t="s">
        <v>5632</v>
      </c>
      <c r="AJ2758">
        <v>40.236246999999999</v>
      </c>
      <c r="AK2758" t="s">
        <v>5633</v>
      </c>
      <c r="AL2758">
        <v>-75.225706000000002</v>
      </c>
      <c r="AM2758">
        <v>100</v>
      </c>
      <c r="AN2758">
        <v>3700</v>
      </c>
      <c r="AO2758" t="s">
        <v>115</v>
      </c>
      <c r="AP2758">
        <v>128</v>
      </c>
      <c r="AQ2758">
        <v>121</v>
      </c>
      <c r="AR2758">
        <v>64</v>
      </c>
      <c r="AZ2758">
        <v>3614</v>
      </c>
      <c r="BA2758">
        <v>1</v>
      </c>
      <c r="BB2758" t="str">
        <f t="shared" si="128"/>
        <v xml:space="preserve">N959MJ  </v>
      </c>
      <c r="BC2758">
        <v>1</v>
      </c>
      <c r="BE2758">
        <v>0</v>
      </c>
      <c r="BF2758">
        <v>0</v>
      </c>
      <c r="BG2758">
        <v>0</v>
      </c>
      <c r="BH2758">
        <v>3850</v>
      </c>
      <c r="BI2758">
        <v>150</v>
      </c>
      <c r="BJ2758">
        <v>1</v>
      </c>
      <c r="BK2758">
        <v>1</v>
      </c>
      <c r="BL2758">
        <v>1</v>
      </c>
      <c r="BM2758">
        <v>0</v>
      </c>
      <c r="BP2758">
        <v>0</v>
      </c>
      <c r="BQ2758">
        <v>0</v>
      </c>
      <c r="BX2758" t="str">
        <f>"14:36:18.125"</f>
        <v>14:36:18.125</v>
      </c>
      <c r="BY2758" t="str">
        <f>"125476879"</f>
        <v>125476879</v>
      </c>
      <c r="CL2758">
        <v>0</v>
      </c>
      <c r="CM2758">
        <v>2</v>
      </c>
      <c r="CN2758">
        <v>0</v>
      </c>
      <c r="CO2758">
        <v>2</v>
      </c>
      <c r="CP2758">
        <v>0</v>
      </c>
      <c r="CQ2758">
        <v>6</v>
      </c>
      <c r="CR2758" t="s">
        <v>116</v>
      </c>
      <c r="CS2758">
        <v>38</v>
      </c>
      <c r="CT2758">
        <v>3</v>
      </c>
      <c r="CU2758" t="s">
        <v>4719</v>
      </c>
      <c r="CV2758" t="s">
        <v>4720</v>
      </c>
      <c r="CY2758">
        <v>10154001</v>
      </c>
      <c r="CZ2758" t="s">
        <v>119</v>
      </c>
    </row>
    <row r="2759" spans="1:104" x14ac:dyDescent="0.25">
      <c r="A2759" t="str">
        <f>"14:36:19.258"</f>
        <v>14:36:19.258</v>
      </c>
      <c r="B2759" t="s">
        <v>108</v>
      </c>
      <c r="C2759" t="str">
        <f t="shared" si="127"/>
        <v>ffdfd3c0</v>
      </c>
      <c r="D2759" t="s">
        <v>109</v>
      </c>
      <c r="E2759">
        <v>4</v>
      </c>
      <c r="F2759">
        <v>1004</v>
      </c>
      <c r="G2759" t="s">
        <v>110</v>
      </c>
      <c r="J2759" t="s">
        <v>111</v>
      </c>
      <c r="K2759">
        <v>0</v>
      </c>
      <c r="L2759">
        <v>3</v>
      </c>
      <c r="M2759">
        <v>0</v>
      </c>
      <c r="N2759">
        <v>2</v>
      </c>
      <c r="O2759">
        <v>1</v>
      </c>
      <c r="P2759">
        <v>0</v>
      </c>
      <c r="Q2759">
        <v>0</v>
      </c>
      <c r="R2759" t="s">
        <v>112</v>
      </c>
      <c r="S2759" t="str">
        <f>"14:36:19.070"</f>
        <v>14:36:19.070</v>
      </c>
      <c r="T2759" t="str">
        <f>"14:36:18.672"</f>
        <v>14:36:18.672</v>
      </c>
      <c r="U2759" t="str">
        <f t="shared" si="129"/>
        <v>ad5732</v>
      </c>
      <c r="V2759">
        <v>0</v>
      </c>
      <c r="W2759">
        <v>0</v>
      </c>
      <c r="X2759">
        <v>1</v>
      </c>
      <c r="Z2759">
        <v>0</v>
      </c>
      <c r="AA2759">
        <v>9</v>
      </c>
      <c r="AB2759">
        <v>3</v>
      </c>
      <c r="AC2759">
        <v>0</v>
      </c>
      <c r="AD2759">
        <v>10</v>
      </c>
      <c r="AE2759">
        <v>0</v>
      </c>
      <c r="AF2759">
        <v>3</v>
      </c>
      <c r="AG2759">
        <v>2</v>
      </c>
      <c r="AH2759">
        <v>0</v>
      </c>
      <c r="AI2759" t="s">
        <v>5634</v>
      </c>
      <c r="AJ2759">
        <v>40.236719000000001</v>
      </c>
      <c r="AK2759" t="s">
        <v>5635</v>
      </c>
      <c r="AL2759">
        <v>-75.225083999999995</v>
      </c>
      <c r="AM2759">
        <v>100</v>
      </c>
      <c r="AN2759">
        <v>3700</v>
      </c>
      <c r="AO2759" t="s">
        <v>115</v>
      </c>
      <c r="AP2759">
        <v>128</v>
      </c>
      <c r="AQ2759">
        <v>121</v>
      </c>
      <c r="AR2759">
        <v>64</v>
      </c>
      <c r="AZ2759">
        <v>3614</v>
      </c>
      <c r="BA2759">
        <v>1</v>
      </c>
      <c r="BB2759" t="str">
        <f t="shared" si="128"/>
        <v xml:space="preserve">N959MJ  </v>
      </c>
      <c r="BC2759">
        <v>1</v>
      </c>
      <c r="BE2759">
        <v>0</v>
      </c>
      <c r="BF2759">
        <v>0</v>
      </c>
      <c r="BG2759">
        <v>0</v>
      </c>
      <c r="BH2759">
        <v>3850</v>
      </c>
      <c r="BI2759">
        <v>150</v>
      </c>
      <c r="BJ2759">
        <v>1</v>
      </c>
      <c r="BK2759">
        <v>1</v>
      </c>
      <c r="BL2759">
        <v>1</v>
      </c>
      <c r="BM2759">
        <v>0</v>
      </c>
      <c r="BP2759">
        <v>0</v>
      </c>
      <c r="BQ2759">
        <v>0</v>
      </c>
      <c r="BX2759" t="str">
        <f>"14:36:19.070"</f>
        <v>14:36:19.070</v>
      </c>
      <c r="BY2759" t="str">
        <f>"074126732"</f>
        <v>074126732</v>
      </c>
      <c r="CL2759">
        <v>0</v>
      </c>
      <c r="CM2759">
        <v>2</v>
      </c>
      <c r="CN2759">
        <v>0</v>
      </c>
      <c r="CO2759">
        <v>2</v>
      </c>
      <c r="CP2759">
        <v>0</v>
      </c>
      <c r="CQ2759">
        <v>6</v>
      </c>
      <c r="CR2759" t="s">
        <v>116</v>
      </c>
      <c r="CS2759">
        <v>38</v>
      </c>
      <c r="CT2759">
        <v>3</v>
      </c>
      <c r="CU2759" t="s">
        <v>4719</v>
      </c>
      <c r="CV2759" t="s">
        <v>4720</v>
      </c>
      <c r="CY2759">
        <v>10155622</v>
      </c>
      <c r="CZ2759" t="s">
        <v>119</v>
      </c>
    </row>
    <row r="2760" spans="1:104" x14ac:dyDescent="0.25">
      <c r="A2760" t="str">
        <f>"14:36:20.172"</f>
        <v>14:36:20.172</v>
      </c>
      <c r="B2760" t="s">
        <v>108</v>
      </c>
      <c r="C2760" t="str">
        <f t="shared" si="127"/>
        <v>ffdfd3c0</v>
      </c>
      <c r="D2760" t="s">
        <v>109</v>
      </c>
      <c r="E2760">
        <v>4</v>
      </c>
      <c r="F2760">
        <v>1004</v>
      </c>
      <c r="G2760" t="s">
        <v>110</v>
      </c>
      <c r="J2760" t="s">
        <v>111</v>
      </c>
      <c r="K2760">
        <v>0</v>
      </c>
      <c r="L2760">
        <v>3</v>
      </c>
      <c r="M2760">
        <v>0</v>
      </c>
      <c r="N2760">
        <v>2</v>
      </c>
      <c r="O2760">
        <v>1</v>
      </c>
      <c r="P2760">
        <v>0</v>
      </c>
      <c r="Q2760">
        <v>0</v>
      </c>
      <c r="R2760" t="s">
        <v>112</v>
      </c>
      <c r="S2760" t="str">
        <f>"14:36:19.992"</f>
        <v>14:36:19.992</v>
      </c>
      <c r="T2760" t="str">
        <f>"14:36:19.594"</f>
        <v>14:36:19.594</v>
      </c>
      <c r="U2760" t="str">
        <f t="shared" si="129"/>
        <v>ad5732</v>
      </c>
      <c r="V2760">
        <v>0</v>
      </c>
      <c r="W2760">
        <v>0</v>
      </c>
      <c r="X2760">
        <v>1</v>
      </c>
      <c r="Z2760">
        <v>0</v>
      </c>
      <c r="AA2760">
        <v>9</v>
      </c>
      <c r="AB2760">
        <v>3</v>
      </c>
      <c r="AC2760">
        <v>0</v>
      </c>
      <c r="AD2760">
        <v>10</v>
      </c>
      <c r="AE2760">
        <v>0</v>
      </c>
      <c r="AF2760">
        <v>3</v>
      </c>
      <c r="AG2760">
        <v>2</v>
      </c>
      <c r="AH2760">
        <v>0</v>
      </c>
      <c r="AI2760" t="s">
        <v>5636</v>
      </c>
      <c r="AJ2760">
        <v>40.237234000000001</v>
      </c>
      <c r="AK2760" t="s">
        <v>5637</v>
      </c>
      <c r="AL2760">
        <v>-75.224376000000007</v>
      </c>
      <c r="AM2760">
        <v>100</v>
      </c>
      <c r="AN2760">
        <v>3700</v>
      </c>
      <c r="AO2760" t="s">
        <v>115</v>
      </c>
      <c r="AP2760">
        <v>128</v>
      </c>
      <c r="AQ2760">
        <v>121</v>
      </c>
      <c r="AR2760">
        <v>64</v>
      </c>
      <c r="AZ2760">
        <v>3614</v>
      </c>
      <c r="BA2760">
        <v>1</v>
      </c>
      <c r="BB2760" t="str">
        <f t="shared" si="128"/>
        <v xml:space="preserve">N959MJ  </v>
      </c>
      <c r="BC2760">
        <v>1</v>
      </c>
      <c r="BE2760">
        <v>0</v>
      </c>
      <c r="BF2760">
        <v>0</v>
      </c>
      <c r="BG2760">
        <v>0</v>
      </c>
      <c r="BH2760">
        <v>3850</v>
      </c>
      <c r="BI2760">
        <v>150</v>
      </c>
      <c r="BJ2760">
        <v>1</v>
      </c>
      <c r="BK2760">
        <v>1</v>
      </c>
      <c r="BL2760">
        <v>1</v>
      </c>
      <c r="BM2760">
        <v>0</v>
      </c>
      <c r="BP2760">
        <v>0</v>
      </c>
      <c r="BQ2760">
        <v>0</v>
      </c>
      <c r="BX2760" t="str">
        <f>"14:36:19.992"</f>
        <v>14:36:19.992</v>
      </c>
      <c r="BY2760" t="str">
        <f>"993315905"</f>
        <v>993315905</v>
      </c>
      <c r="CL2760">
        <v>0</v>
      </c>
      <c r="CM2760">
        <v>2</v>
      </c>
      <c r="CN2760">
        <v>0</v>
      </c>
      <c r="CO2760">
        <v>2</v>
      </c>
      <c r="CP2760">
        <v>0</v>
      </c>
      <c r="CQ2760">
        <v>6</v>
      </c>
      <c r="CR2760" t="s">
        <v>116</v>
      </c>
      <c r="CS2760">
        <v>39</v>
      </c>
      <c r="CT2760">
        <v>0</v>
      </c>
      <c r="CU2760" t="s">
        <v>2259</v>
      </c>
      <c r="CV2760" t="s">
        <v>2260</v>
      </c>
      <c r="CY2760">
        <v>2377520</v>
      </c>
      <c r="CZ2760" t="s">
        <v>119</v>
      </c>
    </row>
    <row r="2761" spans="1:104" x14ac:dyDescent="0.25">
      <c r="A2761" t="str">
        <f>"14:36:21.227"</f>
        <v>14:36:21.227</v>
      </c>
      <c r="B2761" t="s">
        <v>108</v>
      </c>
      <c r="C2761" t="str">
        <f t="shared" si="127"/>
        <v>ffdfd3c0</v>
      </c>
      <c r="D2761" t="s">
        <v>109</v>
      </c>
      <c r="E2761">
        <v>4</v>
      </c>
      <c r="F2761">
        <v>1004</v>
      </c>
      <c r="G2761" t="s">
        <v>110</v>
      </c>
      <c r="J2761" t="s">
        <v>111</v>
      </c>
      <c r="K2761">
        <v>0</v>
      </c>
      <c r="L2761">
        <v>3</v>
      </c>
      <c r="M2761">
        <v>0</v>
      </c>
      <c r="N2761">
        <v>2</v>
      </c>
      <c r="O2761">
        <v>1</v>
      </c>
      <c r="P2761">
        <v>0</v>
      </c>
      <c r="Q2761">
        <v>0</v>
      </c>
      <c r="R2761" t="s">
        <v>112</v>
      </c>
      <c r="S2761" t="str">
        <f>"14:36:21.055"</f>
        <v>14:36:21.055</v>
      </c>
      <c r="T2761" t="str">
        <f>"14:36:20.656"</f>
        <v>14:36:20.656</v>
      </c>
      <c r="U2761" t="str">
        <f t="shared" si="129"/>
        <v>ad5732</v>
      </c>
      <c r="V2761">
        <v>0</v>
      </c>
      <c r="W2761">
        <v>0</v>
      </c>
      <c r="X2761">
        <v>1</v>
      </c>
      <c r="Z2761">
        <v>0</v>
      </c>
      <c r="AA2761">
        <v>9</v>
      </c>
      <c r="AB2761">
        <v>3</v>
      </c>
      <c r="AC2761">
        <v>0</v>
      </c>
      <c r="AD2761">
        <v>10</v>
      </c>
      <c r="AE2761">
        <v>0</v>
      </c>
      <c r="AF2761">
        <v>3</v>
      </c>
      <c r="AG2761">
        <v>2</v>
      </c>
      <c r="AH2761">
        <v>0</v>
      </c>
      <c r="AI2761" t="s">
        <v>5638</v>
      </c>
      <c r="AJ2761">
        <v>40.237856000000001</v>
      </c>
      <c r="AK2761" t="s">
        <v>5639</v>
      </c>
      <c r="AL2761">
        <v>-75.223517000000001</v>
      </c>
      <c r="AM2761">
        <v>100</v>
      </c>
      <c r="AN2761">
        <v>3700</v>
      </c>
      <c r="AO2761" t="s">
        <v>115</v>
      </c>
      <c r="AP2761">
        <v>128</v>
      </c>
      <c r="AQ2761">
        <v>121</v>
      </c>
      <c r="AR2761">
        <v>64</v>
      </c>
      <c r="AZ2761">
        <v>3614</v>
      </c>
      <c r="BA2761">
        <v>1</v>
      </c>
      <c r="BB2761" t="str">
        <f t="shared" si="128"/>
        <v xml:space="preserve">N959MJ  </v>
      </c>
      <c r="BC2761">
        <v>1</v>
      </c>
      <c r="BE2761">
        <v>0</v>
      </c>
      <c r="BF2761">
        <v>0</v>
      </c>
      <c r="BG2761">
        <v>0</v>
      </c>
      <c r="BH2761">
        <v>3850</v>
      </c>
      <c r="BI2761">
        <v>150</v>
      </c>
      <c r="BJ2761">
        <v>1</v>
      </c>
      <c r="BK2761">
        <v>1</v>
      </c>
      <c r="BL2761">
        <v>1</v>
      </c>
      <c r="BM2761">
        <v>0</v>
      </c>
      <c r="BP2761">
        <v>0</v>
      </c>
      <c r="BQ2761">
        <v>0</v>
      </c>
      <c r="BX2761" t="str">
        <f>"14:36:21.063"</f>
        <v>14:36:21.063</v>
      </c>
      <c r="BY2761" t="str">
        <f>"059933201"</f>
        <v>059933201</v>
      </c>
      <c r="CL2761">
        <v>0</v>
      </c>
      <c r="CM2761">
        <v>2</v>
      </c>
      <c r="CN2761">
        <v>0</v>
      </c>
      <c r="CO2761">
        <v>2</v>
      </c>
      <c r="CP2761">
        <v>0</v>
      </c>
      <c r="CQ2761">
        <v>6</v>
      </c>
      <c r="CR2761" t="s">
        <v>116</v>
      </c>
      <c r="CS2761">
        <v>39</v>
      </c>
      <c r="CT2761">
        <v>0</v>
      </c>
      <c r="CU2761" t="s">
        <v>2259</v>
      </c>
      <c r="CV2761" t="s">
        <v>2260</v>
      </c>
      <c r="CY2761">
        <v>2379282</v>
      </c>
      <c r="CZ2761" t="s">
        <v>119</v>
      </c>
    </row>
    <row r="2762" spans="1:104" x14ac:dyDescent="0.25">
      <c r="A2762" t="str">
        <f>"14:36:22.086"</f>
        <v>14:36:22.086</v>
      </c>
      <c r="B2762" t="s">
        <v>108</v>
      </c>
      <c r="C2762" t="str">
        <f t="shared" ref="C2762:C2825" si="130">"ffdfd3c0"</f>
        <v>ffdfd3c0</v>
      </c>
      <c r="D2762" t="s">
        <v>109</v>
      </c>
      <c r="E2762">
        <v>4</v>
      </c>
      <c r="F2762">
        <v>1004</v>
      </c>
      <c r="G2762" t="s">
        <v>110</v>
      </c>
      <c r="J2762" t="s">
        <v>111</v>
      </c>
      <c r="K2762">
        <v>0</v>
      </c>
      <c r="L2762">
        <v>3</v>
      </c>
      <c r="M2762">
        <v>0</v>
      </c>
      <c r="N2762">
        <v>2</v>
      </c>
      <c r="O2762">
        <v>1</v>
      </c>
      <c r="P2762">
        <v>0</v>
      </c>
      <c r="Q2762">
        <v>0</v>
      </c>
      <c r="R2762" t="s">
        <v>112</v>
      </c>
      <c r="S2762" t="str">
        <f>"14:36:21.891"</f>
        <v>14:36:21.891</v>
      </c>
      <c r="T2762" t="str">
        <f>"14:36:21.492"</f>
        <v>14:36:21.492</v>
      </c>
      <c r="U2762" t="str">
        <f t="shared" si="129"/>
        <v>ad5732</v>
      </c>
      <c r="V2762">
        <v>0</v>
      </c>
      <c r="W2762">
        <v>0</v>
      </c>
      <c r="X2762">
        <v>1</v>
      </c>
      <c r="Z2762">
        <v>0</v>
      </c>
      <c r="AA2762">
        <v>9</v>
      </c>
      <c r="AB2762">
        <v>3</v>
      </c>
      <c r="AC2762">
        <v>0</v>
      </c>
      <c r="AD2762">
        <v>10</v>
      </c>
      <c r="AE2762">
        <v>0</v>
      </c>
      <c r="AF2762">
        <v>3</v>
      </c>
      <c r="AG2762">
        <v>2</v>
      </c>
      <c r="AH2762">
        <v>0</v>
      </c>
      <c r="AI2762" t="s">
        <v>5640</v>
      </c>
      <c r="AJ2762">
        <v>40.238306999999999</v>
      </c>
      <c r="AK2762" t="s">
        <v>5641</v>
      </c>
      <c r="AL2762">
        <v>-75.222894999999994</v>
      </c>
      <c r="AM2762">
        <v>100</v>
      </c>
      <c r="AN2762">
        <v>3700</v>
      </c>
      <c r="AO2762" t="s">
        <v>115</v>
      </c>
      <c r="AP2762">
        <v>128</v>
      </c>
      <c r="AQ2762">
        <v>121</v>
      </c>
      <c r="AR2762">
        <v>64</v>
      </c>
      <c r="AZ2762">
        <v>3614</v>
      </c>
      <c r="BA2762">
        <v>1</v>
      </c>
      <c r="BB2762" t="str">
        <f t="shared" ref="BB2762:BB2825" si="131">"N959MJ  "</f>
        <v xml:space="preserve">N959MJ  </v>
      </c>
      <c r="BC2762">
        <v>1</v>
      </c>
      <c r="BE2762">
        <v>0</v>
      </c>
      <c r="BF2762">
        <v>0</v>
      </c>
      <c r="BG2762">
        <v>0</v>
      </c>
      <c r="BH2762">
        <v>3850</v>
      </c>
      <c r="BI2762">
        <v>150</v>
      </c>
      <c r="BJ2762">
        <v>1</v>
      </c>
      <c r="BK2762">
        <v>1</v>
      </c>
      <c r="BL2762">
        <v>1</v>
      </c>
      <c r="BM2762">
        <v>0</v>
      </c>
      <c r="BP2762">
        <v>0</v>
      </c>
      <c r="BQ2762">
        <v>0</v>
      </c>
      <c r="BX2762" t="str">
        <f>"14:36:21.898"</f>
        <v>14:36:21.898</v>
      </c>
      <c r="BY2762" t="str">
        <f>"897170347"</f>
        <v>897170347</v>
      </c>
      <c r="CL2762">
        <v>0</v>
      </c>
      <c r="CM2762">
        <v>2</v>
      </c>
      <c r="CN2762">
        <v>0</v>
      </c>
      <c r="CO2762">
        <v>2</v>
      </c>
      <c r="CP2762">
        <v>0</v>
      </c>
      <c r="CQ2762">
        <v>6</v>
      </c>
      <c r="CR2762" t="s">
        <v>116</v>
      </c>
      <c r="CS2762">
        <v>39</v>
      </c>
      <c r="CT2762">
        <v>0</v>
      </c>
      <c r="CU2762" t="s">
        <v>2259</v>
      </c>
      <c r="CV2762" t="s">
        <v>2260</v>
      </c>
      <c r="CY2762">
        <v>2380633</v>
      </c>
      <c r="CZ2762" t="s">
        <v>119</v>
      </c>
    </row>
    <row r="2763" spans="1:104" x14ac:dyDescent="0.25">
      <c r="A2763" t="str">
        <f>"14:36:22.898"</f>
        <v>14:36:22.898</v>
      </c>
      <c r="B2763" t="s">
        <v>108</v>
      </c>
      <c r="C2763" t="str">
        <f t="shared" si="130"/>
        <v>ffdfd3c0</v>
      </c>
      <c r="D2763" t="s">
        <v>109</v>
      </c>
      <c r="E2763">
        <v>4</v>
      </c>
      <c r="F2763">
        <v>1004</v>
      </c>
      <c r="G2763" t="s">
        <v>110</v>
      </c>
      <c r="J2763" t="s">
        <v>111</v>
      </c>
      <c r="K2763">
        <v>0</v>
      </c>
      <c r="L2763">
        <v>3</v>
      </c>
      <c r="M2763">
        <v>0</v>
      </c>
      <c r="N2763">
        <v>2</v>
      </c>
      <c r="O2763">
        <v>1</v>
      </c>
      <c r="P2763">
        <v>0</v>
      </c>
      <c r="Q2763">
        <v>0</v>
      </c>
      <c r="R2763" t="s">
        <v>112</v>
      </c>
      <c r="S2763" t="str">
        <f>"14:36:22.734"</f>
        <v>14:36:22.734</v>
      </c>
      <c r="T2763" t="str">
        <f>"14:36:22.336"</f>
        <v>14:36:22.336</v>
      </c>
      <c r="U2763" t="str">
        <f t="shared" si="129"/>
        <v>ad5732</v>
      </c>
      <c r="V2763">
        <v>0</v>
      </c>
      <c r="W2763">
        <v>0</v>
      </c>
      <c r="X2763">
        <v>1</v>
      </c>
      <c r="Z2763">
        <v>0</v>
      </c>
      <c r="AA2763">
        <v>9</v>
      </c>
      <c r="AB2763">
        <v>3</v>
      </c>
      <c r="AC2763">
        <v>0</v>
      </c>
      <c r="AD2763">
        <v>10</v>
      </c>
      <c r="AE2763">
        <v>0</v>
      </c>
      <c r="AF2763">
        <v>3</v>
      </c>
      <c r="AG2763">
        <v>2</v>
      </c>
      <c r="AH2763">
        <v>0</v>
      </c>
      <c r="AI2763" t="s">
        <v>5642</v>
      </c>
      <c r="AJ2763">
        <v>40.238799999999998</v>
      </c>
      <c r="AK2763" t="s">
        <v>5643</v>
      </c>
      <c r="AL2763">
        <v>-75.222166000000001</v>
      </c>
      <c r="AM2763">
        <v>100</v>
      </c>
      <c r="AN2763">
        <v>3700</v>
      </c>
      <c r="AO2763" t="s">
        <v>115</v>
      </c>
      <c r="AP2763">
        <v>127</v>
      </c>
      <c r="AQ2763">
        <v>121</v>
      </c>
      <c r="AR2763">
        <v>64</v>
      </c>
      <c r="AZ2763">
        <v>3614</v>
      </c>
      <c r="BA2763">
        <v>1</v>
      </c>
      <c r="BB2763" t="str">
        <f t="shared" si="131"/>
        <v xml:space="preserve">N959MJ  </v>
      </c>
      <c r="BC2763">
        <v>1</v>
      </c>
      <c r="BE2763">
        <v>0</v>
      </c>
      <c r="BF2763">
        <v>0</v>
      </c>
      <c r="BG2763">
        <v>0</v>
      </c>
      <c r="BH2763">
        <v>3850</v>
      </c>
      <c r="BI2763">
        <v>150</v>
      </c>
      <c r="BJ2763">
        <v>1</v>
      </c>
      <c r="BK2763">
        <v>1</v>
      </c>
      <c r="BL2763">
        <v>1</v>
      </c>
      <c r="BM2763">
        <v>0</v>
      </c>
      <c r="BP2763">
        <v>0</v>
      </c>
      <c r="BQ2763">
        <v>0</v>
      </c>
      <c r="BX2763" t="str">
        <f>"14:36:22.742"</f>
        <v>14:36:22.742</v>
      </c>
      <c r="BY2763" t="str">
        <f>"739322836"</f>
        <v>739322836</v>
      </c>
      <c r="CL2763">
        <v>0</v>
      </c>
      <c r="CM2763">
        <v>2</v>
      </c>
      <c r="CN2763">
        <v>0</v>
      </c>
      <c r="CO2763">
        <v>2</v>
      </c>
      <c r="CP2763">
        <v>0</v>
      </c>
      <c r="CQ2763">
        <v>6</v>
      </c>
      <c r="CR2763" t="s">
        <v>116</v>
      </c>
      <c r="CS2763">
        <v>39</v>
      </c>
      <c r="CT2763">
        <v>0</v>
      </c>
      <c r="CU2763" t="s">
        <v>2259</v>
      </c>
      <c r="CV2763" t="s">
        <v>2260</v>
      </c>
      <c r="CY2763">
        <v>2381915</v>
      </c>
      <c r="CZ2763" t="s">
        <v>119</v>
      </c>
    </row>
    <row r="2764" spans="1:104" x14ac:dyDescent="0.25">
      <c r="A2764" t="str">
        <f>"14:36:24.008"</f>
        <v>14:36:24.008</v>
      </c>
      <c r="B2764" t="s">
        <v>108</v>
      </c>
      <c r="C2764" t="str">
        <f t="shared" si="130"/>
        <v>ffdfd3c0</v>
      </c>
      <c r="D2764" t="s">
        <v>109</v>
      </c>
      <c r="E2764">
        <v>4</v>
      </c>
      <c r="F2764">
        <v>1004</v>
      </c>
      <c r="G2764" t="s">
        <v>110</v>
      </c>
      <c r="J2764" t="s">
        <v>111</v>
      </c>
      <c r="K2764">
        <v>0</v>
      </c>
      <c r="L2764">
        <v>3</v>
      </c>
      <c r="M2764">
        <v>0</v>
      </c>
      <c r="N2764">
        <v>2</v>
      </c>
      <c r="O2764">
        <v>1</v>
      </c>
      <c r="P2764">
        <v>0</v>
      </c>
      <c r="Q2764">
        <v>0</v>
      </c>
      <c r="R2764" t="s">
        <v>112</v>
      </c>
      <c r="S2764" t="str">
        <f>"14:36:23.844"</f>
        <v>14:36:23.844</v>
      </c>
      <c r="T2764" t="str">
        <f>"14:36:23.344"</f>
        <v>14:36:23.344</v>
      </c>
      <c r="U2764" t="str">
        <f t="shared" si="129"/>
        <v>ad5732</v>
      </c>
      <c r="V2764">
        <v>0</v>
      </c>
      <c r="W2764">
        <v>0</v>
      </c>
      <c r="X2764">
        <v>1</v>
      </c>
      <c r="Z2764">
        <v>0</v>
      </c>
      <c r="AA2764">
        <v>9</v>
      </c>
      <c r="AB2764">
        <v>3</v>
      </c>
      <c r="AC2764">
        <v>0</v>
      </c>
      <c r="AD2764">
        <v>10</v>
      </c>
      <c r="AE2764">
        <v>0</v>
      </c>
      <c r="AF2764">
        <v>3</v>
      </c>
      <c r="AG2764">
        <v>2</v>
      </c>
      <c r="AH2764">
        <v>0</v>
      </c>
      <c r="AI2764" t="s">
        <v>5644</v>
      </c>
      <c r="AJ2764">
        <v>40.239421999999998</v>
      </c>
      <c r="AK2764" t="s">
        <v>5645</v>
      </c>
      <c r="AL2764">
        <v>-75.221328999999997</v>
      </c>
      <c r="AM2764">
        <v>100</v>
      </c>
      <c r="AN2764">
        <v>3700</v>
      </c>
      <c r="AO2764" t="s">
        <v>115</v>
      </c>
      <c r="AP2764">
        <v>127</v>
      </c>
      <c r="AQ2764">
        <v>121</v>
      </c>
      <c r="AR2764">
        <v>64</v>
      </c>
      <c r="AZ2764">
        <v>3614</v>
      </c>
      <c r="BA2764">
        <v>1</v>
      </c>
      <c r="BB2764" t="str">
        <f t="shared" si="131"/>
        <v xml:space="preserve">N959MJ  </v>
      </c>
      <c r="BC2764">
        <v>1</v>
      </c>
      <c r="BE2764">
        <v>0</v>
      </c>
      <c r="BF2764">
        <v>0</v>
      </c>
      <c r="BG2764">
        <v>0</v>
      </c>
      <c r="BH2764">
        <v>3875</v>
      </c>
      <c r="BI2764">
        <v>175</v>
      </c>
      <c r="BJ2764">
        <v>1</v>
      </c>
      <c r="BK2764">
        <v>1</v>
      </c>
      <c r="BL2764">
        <v>1</v>
      </c>
      <c r="BM2764">
        <v>0</v>
      </c>
      <c r="BP2764">
        <v>0</v>
      </c>
      <c r="BQ2764">
        <v>0</v>
      </c>
      <c r="BX2764" t="str">
        <f>"14:36:23.844"</f>
        <v>14:36:23.844</v>
      </c>
      <c r="BY2764" t="str">
        <f>"845229334"</f>
        <v>845229334</v>
      </c>
      <c r="CL2764">
        <v>0</v>
      </c>
      <c r="CM2764">
        <v>2</v>
      </c>
      <c r="CN2764">
        <v>0</v>
      </c>
      <c r="CO2764">
        <v>2</v>
      </c>
      <c r="CP2764">
        <v>0</v>
      </c>
      <c r="CQ2764">
        <v>6</v>
      </c>
      <c r="CR2764" t="s">
        <v>116</v>
      </c>
      <c r="CS2764">
        <v>38</v>
      </c>
      <c r="CT2764">
        <v>3</v>
      </c>
      <c r="CU2764" t="s">
        <v>4719</v>
      </c>
      <c r="CV2764" t="s">
        <v>4720</v>
      </c>
      <c r="CY2764">
        <v>10163878</v>
      </c>
      <c r="CZ2764" t="s">
        <v>119</v>
      </c>
    </row>
    <row r="2765" spans="1:104" x14ac:dyDescent="0.25">
      <c r="A2765" t="str">
        <f>"14:36:25.164"</f>
        <v>14:36:25.164</v>
      </c>
      <c r="B2765" t="s">
        <v>108</v>
      </c>
      <c r="C2765" t="str">
        <f t="shared" si="130"/>
        <v>ffdfd3c0</v>
      </c>
      <c r="D2765" t="s">
        <v>109</v>
      </c>
      <c r="E2765">
        <v>4</v>
      </c>
      <c r="F2765">
        <v>1004</v>
      </c>
      <c r="G2765" t="s">
        <v>110</v>
      </c>
      <c r="J2765" t="s">
        <v>111</v>
      </c>
      <c r="K2765">
        <v>0</v>
      </c>
      <c r="L2765">
        <v>3</v>
      </c>
      <c r="M2765">
        <v>0</v>
      </c>
      <c r="N2765">
        <v>2</v>
      </c>
      <c r="O2765">
        <v>1</v>
      </c>
      <c r="P2765">
        <v>0</v>
      </c>
      <c r="Q2765">
        <v>0</v>
      </c>
      <c r="R2765" t="s">
        <v>112</v>
      </c>
      <c r="S2765" t="str">
        <f>"14:36:24.961"</f>
        <v>14:36:24.961</v>
      </c>
      <c r="T2765" t="str">
        <f>"14:36:24.461"</f>
        <v>14:36:24.461</v>
      </c>
      <c r="U2765" t="str">
        <f t="shared" si="129"/>
        <v>ad5732</v>
      </c>
      <c r="V2765">
        <v>0</v>
      </c>
      <c r="W2765">
        <v>0</v>
      </c>
      <c r="X2765">
        <v>1</v>
      </c>
      <c r="Z2765">
        <v>0</v>
      </c>
      <c r="AA2765">
        <v>9</v>
      </c>
      <c r="AB2765">
        <v>3</v>
      </c>
      <c r="AC2765">
        <v>0</v>
      </c>
      <c r="AD2765">
        <v>10</v>
      </c>
      <c r="AE2765">
        <v>0</v>
      </c>
      <c r="AF2765">
        <v>3</v>
      </c>
      <c r="AG2765">
        <v>2</v>
      </c>
      <c r="AH2765">
        <v>0</v>
      </c>
      <c r="AI2765" t="s">
        <v>5646</v>
      </c>
      <c r="AJ2765">
        <v>40.240045000000002</v>
      </c>
      <c r="AK2765" t="s">
        <v>5647</v>
      </c>
      <c r="AL2765">
        <v>-75.220449000000002</v>
      </c>
      <c r="AM2765">
        <v>100</v>
      </c>
      <c r="AN2765">
        <v>3700</v>
      </c>
      <c r="AO2765" t="s">
        <v>115</v>
      </c>
      <c r="AP2765">
        <v>127</v>
      </c>
      <c r="AQ2765">
        <v>121</v>
      </c>
      <c r="AR2765">
        <v>0</v>
      </c>
      <c r="AZ2765">
        <v>3614</v>
      </c>
      <c r="BA2765">
        <v>1</v>
      </c>
      <c r="BB2765" t="str">
        <f t="shared" si="131"/>
        <v xml:space="preserve">N959MJ  </v>
      </c>
      <c r="BC2765">
        <v>1</v>
      </c>
      <c r="BE2765">
        <v>0</v>
      </c>
      <c r="BF2765">
        <v>0</v>
      </c>
      <c r="BG2765">
        <v>0</v>
      </c>
      <c r="BH2765">
        <v>3875</v>
      </c>
      <c r="BI2765">
        <v>175</v>
      </c>
      <c r="BJ2765">
        <v>1</v>
      </c>
      <c r="BK2765">
        <v>1</v>
      </c>
      <c r="BL2765">
        <v>1</v>
      </c>
      <c r="BM2765">
        <v>0</v>
      </c>
      <c r="BP2765">
        <v>0</v>
      </c>
      <c r="BQ2765">
        <v>0</v>
      </c>
      <c r="BX2765" t="str">
        <f>"14:36:24.961"</f>
        <v>14:36:24.961</v>
      </c>
      <c r="BY2765" t="str">
        <f>"962723911"</f>
        <v>962723911</v>
      </c>
      <c r="CL2765">
        <v>0</v>
      </c>
      <c r="CM2765">
        <v>2</v>
      </c>
      <c r="CN2765">
        <v>0</v>
      </c>
      <c r="CO2765">
        <v>2</v>
      </c>
      <c r="CP2765">
        <v>0</v>
      </c>
      <c r="CQ2765">
        <v>5</v>
      </c>
      <c r="CR2765" t="s">
        <v>116</v>
      </c>
      <c r="CS2765">
        <v>409</v>
      </c>
      <c r="CT2765">
        <v>2</v>
      </c>
      <c r="CU2765" t="s">
        <v>5087</v>
      </c>
      <c r="CV2765" t="s">
        <v>5088</v>
      </c>
      <c r="CY2765">
        <v>16722869</v>
      </c>
      <c r="CZ2765" t="s">
        <v>119</v>
      </c>
    </row>
    <row r="2766" spans="1:104" x14ac:dyDescent="0.25">
      <c r="A2766" t="str">
        <f>"14:36:26.180"</f>
        <v>14:36:26.180</v>
      </c>
      <c r="B2766" t="s">
        <v>108</v>
      </c>
      <c r="C2766" t="str">
        <f t="shared" si="130"/>
        <v>ffdfd3c0</v>
      </c>
      <c r="D2766" t="s">
        <v>109</v>
      </c>
      <c r="E2766">
        <v>4</v>
      </c>
      <c r="F2766">
        <v>1004</v>
      </c>
      <c r="G2766" t="s">
        <v>110</v>
      </c>
      <c r="J2766" t="s">
        <v>111</v>
      </c>
      <c r="K2766">
        <v>0</v>
      </c>
      <c r="L2766">
        <v>3</v>
      </c>
      <c r="M2766">
        <v>0</v>
      </c>
      <c r="N2766">
        <v>2</v>
      </c>
      <c r="O2766">
        <v>1</v>
      </c>
      <c r="P2766">
        <v>0</v>
      </c>
      <c r="Q2766">
        <v>0</v>
      </c>
      <c r="R2766" t="s">
        <v>112</v>
      </c>
      <c r="S2766" t="str">
        <f>"14:36:25.984"</f>
        <v>14:36:25.984</v>
      </c>
      <c r="T2766" t="str">
        <f>"14:36:25.484"</f>
        <v>14:36:25.484</v>
      </c>
      <c r="U2766" t="str">
        <f t="shared" si="129"/>
        <v>ad5732</v>
      </c>
      <c r="V2766">
        <v>0</v>
      </c>
      <c r="W2766">
        <v>0</v>
      </c>
      <c r="X2766">
        <v>1</v>
      </c>
      <c r="Z2766">
        <v>0</v>
      </c>
      <c r="AA2766">
        <v>9</v>
      </c>
      <c r="AB2766">
        <v>3</v>
      </c>
      <c r="AC2766">
        <v>0</v>
      </c>
      <c r="AD2766">
        <v>10</v>
      </c>
      <c r="AE2766">
        <v>0</v>
      </c>
      <c r="AF2766">
        <v>3</v>
      </c>
      <c r="AG2766">
        <v>2</v>
      </c>
      <c r="AH2766">
        <v>0</v>
      </c>
      <c r="AI2766" t="s">
        <v>5648</v>
      </c>
      <c r="AJ2766">
        <v>40.240623999999997</v>
      </c>
      <c r="AK2766" t="s">
        <v>5649</v>
      </c>
      <c r="AL2766">
        <v>-75.219718999999998</v>
      </c>
      <c r="AM2766">
        <v>100</v>
      </c>
      <c r="AN2766">
        <v>3700</v>
      </c>
      <c r="AO2766" t="s">
        <v>115</v>
      </c>
      <c r="AP2766">
        <v>127</v>
      </c>
      <c r="AQ2766">
        <v>121</v>
      </c>
      <c r="AR2766">
        <v>64</v>
      </c>
      <c r="AZ2766">
        <v>3614</v>
      </c>
      <c r="BA2766">
        <v>1</v>
      </c>
      <c r="BB2766" t="str">
        <f t="shared" si="131"/>
        <v xml:space="preserve">N959MJ  </v>
      </c>
      <c r="BC2766">
        <v>1</v>
      </c>
      <c r="BE2766">
        <v>0</v>
      </c>
      <c r="BF2766">
        <v>0</v>
      </c>
      <c r="BG2766">
        <v>0</v>
      </c>
      <c r="BH2766">
        <v>3875</v>
      </c>
      <c r="BI2766">
        <v>175</v>
      </c>
      <c r="BJ2766">
        <v>1</v>
      </c>
      <c r="BK2766">
        <v>1</v>
      </c>
      <c r="BL2766">
        <v>1</v>
      </c>
      <c r="BM2766">
        <v>0</v>
      </c>
      <c r="BP2766">
        <v>0</v>
      </c>
      <c r="BQ2766">
        <v>0</v>
      </c>
      <c r="BX2766" t="str">
        <f>"14:36:25.992"</f>
        <v>14:36:25.992</v>
      </c>
      <c r="BY2766" t="str">
        <f>"988327467"</f>
        <v>988327467</v>
      </c>
      <c r="CL2766">
        <v>0</v>
      </c>
      <c r="CM2766">
        <v>2</v>
      </c>
      <c r="CN2766">
        <v>0</v>
      </c>
      <c r="CO2766">
        <v>2</v>
      </c>
      <c r="CP2766">
        <v>0</v>
      </c>
      <c r="CQ2766">
        <v>6</v>
      </c>
      <c r="CR2766" t="s">
        <v>116</v>
      </c>
      <c r="CS2766">
        <v>39</v>
      </c>
      <c r="CT2766">
        <v>0</v>
      </c>
      <c r="CU2766" t="s">
        <v>2259</v>
      </c>
      <c r="CV2766" t="s">
        <v>2260</v>
      </c>
      <c r="CY2766">
        <v>2387021</v>
      </c>
      <c r="CZ2766" t="s">
        <v>119</v>
      </c>
    </row>
    <row r="2767" spans="1:104" x14ac:dyDescent="0.25">
      <c r="A2767" t="str">
        <f>"14:36:27.234"</f>
        <v>14:36:27.234</v>
      </c>
      <c r="B2767" t="s">
        <v>108</v>
      </c>
      <c r="C2767" t="str">
        <f t="shared" si="130"/>
        <v>ffdfd3c0</v>
      </c>
      <c r="D2767" t="s">
        <v>109</v>
      </c>
      <c r="E2767">
        <v>4</v>
      </c>
      <c r="F2767">
        <v>1004</v>
      </c>
      <c r="G2767" t="s">
        <v>110</v>
      </c>
      <c r="J2767" t="s">
        <v>111</v>
      </c>
      <c r="K2767">
        <v>0</v>
      </c>
      <c r="L2767">
        <v>3</v>
      </c>
      <c r="M2767">
        <v>0</v>
      </c>
      <c r="N2767">
        <v>2</v>
      </c>
      <c r="O2767">
        <v>1</v>
      </c>
      <c r="P2767">
        <v>0</v>
      </c>
      <c r="Q2767">
        <v>0</v>
      </c>
      <c r="R2767" t="s">
        <v>112</v>
      </c>
      <c r="S2767" t="str">
        <f>"14:36:27.039"</f>
        <v>14:36:27.039</v>
      </c>
      <c r="T2767" t="str">
        <f>"14:36:26.539"</f>
        <v>14:36:26.539</v>
      </c>
      <c r="U2767" t="str">
        <f t="shared" si="129"/>
        <v>ad5732</v>
      </c>
      <c r="V2767">
        <v>0</v>
      </c>
      <c r="W2767">
        <v>0</v>
      </c>
      <c r="X2767">
        <v>1</v>
      </c>
      <c r="Z2767">
        <v>0</v>
      </c>
      <c r="AA2767">
        <v>9</v>
      </c>
      <c r="AB2767">
        <v>3</v>
      </c>
      <c r="AC2767">
        <v>0</v>
      </c>
      <c r="AD2767">
        <v>10</v>
      </c>
      <c r="AE2767">
        <v>0</v>
      </c>
      <c r="AF2767">
        <v>3</v>
      </c>
      <c r="AG2767">
        <v>2</v>
      </c>
      <c r="AH2767">
        <v>0</v>
      </c>
      <c r="AI2767" t="s">
        <v>5650</v>
      </c>
      <c r="AJ2767">
        <v>40.241245999999997</v>
      </c>
      <c r="AK2767" t="s">
        <v>5651</v>
      </c>
      <c r="AL2767">
        <v>-75.218903999999995</v>
      </c>
      <c r="AM2767">
        <v>100</v>
      </c>
      <c r="AN2767">
        <v>3700</v>
      </c>
      <c r="AO2767" t="s">
        <v>115</v>
      </c>
      <c r="AP2767">
        <v>127</v>
      </c>
      <c r="AQ2767">
        <v>121</v>
      </c>
      <c r="AR2767">
        <v>64</v>
      </c>
      <c r="AZ2767">
        <v>3614</v>
      </c>
      <c r="BA2767">
        <v>1</v>
      </c>
      <c r="BB2767" t="str">
        <f t="shared" si="131"/>
        <v xml:space="preserve">N959MJ  </v>
      </c>
      <c r="BC2767">
        <v>1</v>
      </c>
      <c r="BE2767">
        <v>0</v>
      </c>
      <c r="BF2767">
        <v>0</v>
      </c>
      <c r="BG2767">
        <v>0</v>
      </c>
      <c r="BH2767">
        <v>3875</v>
      </c>
      <c r="BI2767">
        <v>175</v>
      </c>
      <c r="BJ2767">
        <v>1</v>
      </c>
      <c r="BK2767">
        <v>1</v>
      </c>
      <c r="BL2767">
        <v>1</v>
      </c>
      <c r="BM2767">
        <v>0</v>
      </c>
      <c r="BP2767">
        <v>0</v>
      </c>
      <c r="BQ2767">
        <v>0</v>
      </c>
      <c r="BX2767" t="str">
        <f>"14:36:27.047"</f>
        <v>14:36:27.047</v>
      </c>
      <c r="BY2767" t="str">
        <f>"045170599"</f>
        <v>045170599</v>
      </c>
      <c r="CL2767">
        <v>0</v>
      </c>
      <c r="CM2767">
        <v>2</v>
      </c>
      <c r="CN2767">
        <v>0</v>
      </c>
      <c r="CO2767">
        <v>2</v>
      </c>
      <c r="CP2767">
        <v>0</v>
      </c>
      <c r="CQ2767">
        <v>5</v>
      </c>
      <c r="CR2767" t="s">
        <v>116</v>
      </c>
      <c r="CS2767">
        <v>408</v>
      </c>
      <c r="CT2767">
        <v>1</v>
      </c>
      <c r="CU2767" t="s">
        <v>2317</v>
      </c>
      <c r="CV2767" t="s">
        <v>2318</v>
      </c>
      <c r="CY2767">
        <v>13645829</v>
      </c>
      <c r="CZ2767" t="s">
        <v>119</v>
      </c>
    </row>
    <row r="2768" spans="1:104" x14ac:dyDescent="0.25">
      <c r="A2768" t="str">
        <f>"14:36:28.148"</f>
        <v>14:36:28.148</v>
      </c>
      <c r="B2768" t="s">
        <v>108</v>
      </c>
      <c r="C2768" t="str">
        <f t="shared" si="130"/>
        <v>ffdfd3c0</v>
      </c>
      <c r="D2768" t="s">
        <v>109</v>
      </c>
      <c r="E2768">
        <v>4</v>
      </c>
      <c r="F2768">
        <v>1004</v>
      </c>
      <c r="G2768" t="s">
        <v>110</v>
      </c>
      <c r="J2768" t="s">
        <v>111</v>
      </c>
      <c r="K2768">
        <v>0</v>
      </c>
      <c r="L2768">
        <v>3</v>
      </c>
      <c r="M2768">
        <v>0</v>
      </c>
      <c r="N2768">
        <v>2</v>
      </c>
      <c r="O2768">
        <v>1</v>
      </c>
      <c r="P2768">
        <v>0</v>
      </c>
      <c r="Q2768">
        <v>0</v>
      </c>
      <c r="R2768" t="s">
        <v>112</v>
      </c>
      <c r="S2768" t="str">
        <f>"14:36:27.984"</f>
        <v>14:36:27.984</v>
      </c>
      <c r="T2768" t="str">
        <f>"14:36:27.586"</f>
        <v>14:36:27.586</v>
      </c>
      <c r="U2768" t="str">
        <f t="shared" si="129"/>
        <v>ad5732</v>
      </c>
      <c r="V2768">
        <v>0</v>
      </c>
      <c r="W2768">
        <v>0</v>
      </c>
      <c r="X2768">
        <v>1</v>
      </c>
      <c r="Z2768">
        <v>0</v>
      </c>
      <c r="AA2768">
        <v>9</v>
      </c>
      <c r="AB2768">
        <v>3</v>
      </c>
      <c r="AC2768">
        <v>0</v>
      </c>
      <c r="AD2768">
        <v>10</v>
      </c>
      <c r="AE2768">
        <v>0</v>
      </c>
      <c r="AF2768">
        <v>3</v>
      </c>
      <c r="AG2768">
        <v>2</v>
      </c>
      <c r="AH2768">
        <v>0</v>
      </c>
      <c r="AI2768" t="s">
        <v>5652</v>
      </c>
      <c r="AJ2768">
        <v>40.24174</v>
      </c>
      <c r="AK2768" t="s">
        <v>5653</v>
      </c>
      <c r="AL2768">
        <v>-75.218196000000006</v>
      </c>
      <c r="AM2768">
        <v>100</v>
      </c>
      <c r="AN2768">
        <v>3700</v>
      </c>
      <c r="AO2768" t="s">
        <v>115</v>
      </c>
      <c r="AP2768">
        <v>127</v>
      </c>
      <c r="AQ2768">
        <v>121</v>
      </c>
      <c r="AR2768">
        <v>64</v>
      </c>
      <c r="AZ2768">
        <v>3614</v>
      </c>
      <c r="BA2768">
        <v>1</v>
      </c>
      <c r="BB2768" t="str">
        <f t="shared" si="131"/>
        <v xml:space="preserve">N959MJ  </v>
      </c>
      <c r="BC2768">
        <v>1</v>
      </c>
      <c r="BE2768">
        <v>0</v>
      </c>
      <c r="BF2768">
        <v>0</v>
      </c>
      <c r="BG2768">
        <v>0</v>
      </c>
      <c r="BH2768">
        <v>3875</v>
      </c>
      <c r="BI2768">
        <v>175</v>
      </c>
      <c r="BJ2768">
        <v>1</v>
      </c>
      <c r="BK2768">
        <v>1</v>
      </c>
      <c r="BL2768">
        <v>1</v>
      </c>
      <c r="BM2768">
        <v>0</v>
      </c>
      <c r="BP2768">
        <v>0</v>
      </c>
      <c r="BQ2768">
        <v>0</v>
      </c>
      <c r="BX2768" t="str">
        <f>"14:36:27.984"</f>
        <v>14:36:27.984</v>
      </c>
      <c r="BY2768" t="str">
        <f>"985572680"</f>
        <v>985572680</v>
      </c>
      <c r="CL2768">
        <v>0</v>
      </c>
      <c r="CM2768">
        <v>2</v>
      </c>
      <c r="CN2768">
        <v>0</v>
      </c>
      <c r="CO2768">
        <v>2</v>
      </c>
      <c r="CP2768">
        <v>0</v>
      </c>
      <c r="CQ2768">
        <v>6</v>
      </c>
      <c r="CR2768" t="s">
        <v>116</v>
      </c>
      <c r="CS2768">
        <v>39</v>
      </c>
      <c r="CT2768">
        <v>0</v>
      </c>
      <c r="CU2768" t="s">
        <v>2259</v>
      </c>
      <c r="CV2768" t="s">
        <v>2260</v>
      </c>
      <c r="CY2768">
        <v>2390232</v>
      </c>
      <c r="CZ2768" t="s">
        <v>119</v>
      </c>
    </row>
    <row r="2769" spans="1:104" x14ac:dyDescent="0.25">
      <c r="A2769" t="str">
        <f>"14:36:29.156"</f>
        <v>14:36:29.156</v>
      </c>
      <c r="B2769" t="s">
        <v>108</v>
      </c>
      <c r="C2769" t="str">
        <f t="shared" si="130"/>
        <v>ffdfd3c0</v>
      </c>
      <c r="D2769" t="s">
        <v>109</v>
      </c>
      <c r="E2769">
        <v>4</v>
      </c>
      <c r="F2769">
        <v>1004</v>
      </c>
      <c r="G2769" t="s">
        <v>110</v>
      </c>
      <c r="J2769" t="s">
        <v>111</v>
      </c>
      <c r="K2769">
        <v>0</v>
      </c>
      <c r="L2769">
        <v>3</v>
      </c>
      <c r="M2769">
        <v>0</v>
      </c>
      <c r="N2769">
        <v>2</v>
      </c>
      <c r="O2769">
        <v>1</v>
      </c>
      <c r="P2769">
        <v>0</v>
      </c>
      <c r="Q2769">
        <v>0</v>
      </c>
      <c r="R2769" t="s">
        <v>112</v>
      </c>
      <c r="S2769" t="str">
        <f>"14:36:28.961"</f>
        <v>14:36:28.961</v>
      </c>
      <c r="T2769" t="str">
        <f>"14:36:28.461"</f>
        <v>14:36:28.461</v>
      </c>
      <c r="U2769" t="str">
        <f t="shared" si="129"/>
        <v>ad5732</v>
      </c>
      <c r="V2769">
        <v>0</v>
      </c>
      <c r="W2769">
        <v>0</v>
      </c>
      <c r="X2769">
        <v>1</v>
      </c>
      <c r="Z2769">
        <v>0</v>
      </c>
      <c r="AA2769">
        <v>9</v>
      </c>
      <c r="AB2769">
        <v>3</v>
      </c>
      <c r="AC2769">
        <v>0</v>
      </c>
      <c r="AD2769">
        <v>10</v>
      </c>
      <c r="AE2769">
        <v>0</v>
      </c>
      <c r="AF2769">
        <v>3</v>
      </c>
      <c r="AG2769">
        <v>2</v>
      </c>
      <c r="AH2769">
        <v>0</v>
      </c>
      <c r="AI2769" t="s">
        <v>5654</v>
      </c>
      <c r="AJ2769">
        <v>40.242275999999997</v>
      </c>
      <c r="AK2769" t="s">
        <v>5655</v>
      </c>
      <c r="AL2769">
        <v>-75.217402000000007</v>
      </c>
      <c r="AM2769">
        <v>100</v>
      </c>
      <c r="AN2769">
        <v>3700</v>
      </c>
      <c r="AO2769" t="s">
        <v>115</v>
      </c>
      <c r="AP2769">
        <v>127</v>
      </c>
      <c r="AQ2769">
        <v>120</v>
      </c>
      <c r="AR2769">
        <v>0</v>
      </c>
      <c r="AZ2769">
        <v>3614</v>
      </c>
      <c r="BA2769">
        <v>1</v>
      </c>
      <c r="BB2769" t="str">
        <f t="shared" si="131"/>
        <v xml:space="preserve">N959MJ  </v>
      </c>
      <c r="BC2769">
        <v>1</v>
      </c>
      <c r="BE2769">
        <v>0</v>
      </c>
      <c r="BF2769">
        <v>0</v>
      </c>
      <c r="BG2769">
        <v>0</v>
      </c>
      <c r="BH2769">
        <v>3875</v>
      </c>
      <c r="BI2769">
        <v>175</v>
      </c>
      <c r="BJ2769">
        <v>1</v>
      </c>
      <c r="BK2769">
        <v>1</v>
      </c>
      <c r="BL2769">
        <v>1</v>
      </c>
      <c r="BM2769">
        <v>0</v>
      </c>
      <c r="BP2769">
        <v>0</v>
      </c>
      <c r="BQ2769">
        <v>0</v>
      </c>
      <c r="BX2769" t="str">
        <f>"14:36:28.961"</f>
        <v>14:36:28.961</v>
      </c>
      <c r="BY2769" t="str">
        <f>"962076046"</f>
        <v>962076046</v>
      </c>
      <c r="CL2769">
        <v>0</v>
      </c>
      <c r="CM2769">
        <v>2</v>
      </c>
      <c r="CN2769">
        <v>0</v>
      </c>
      <c r="CO2769">
        <v>2</v>
      </c>
      <c r="CP2769">
        <v>0</v>
      </c>
      <c r="CQ2769">
        <v>6</v>
      </c>
      <c r="CR2769" t="s">
        <v>116</v>
      </c>
      <c r="CS2769">
        <v>39</v>
      </c>
      <c r="CT2769">
        <v>0</v>
      </c>
      <c r="CU2769" t="s">
        <v>2259</v>
      </c>
      <c r="CV2769" t="s">
        <v>2260</v>
      </c>
      <c r="CY2769">
        <v>2391765</v>
      </c>
      <c r="CZ2769" t="s">
        <v>119</v>
      </c>
    </row>
    <row r="2770" spans="1:104" x14ac:dyDescent="0.25">
      <c r="A2770" t="str">
        <f>"14:36:30.117"</f>
        <v>14:36:30.117</v>
      </c>
      <c r="B2770" t="s">
        <v>108</v>
      </c>
      <c r="C2770" t="str">
        <f t="shared" si="130"/>
        <v>ffdfd3c0</v>
      </c>
      <c r="D2770" t="s">
        <v>109</v>
      </c>
      <c r="E2770">
        <v>4</v>
      </c>
      <c r="F2770">
        <v>1004</v>
      </c>
      <c r="G2770" t="s">
        <v>110</v>
      </c>
      <c r="J2770" t="s">
        <v>111</v>
      </c>
      <c r="K2770">
        <v>0</v>
      </c>
      <c r="L2770">
        <v>3</v>
      </c>
      <c r="M2770">
        <v>0</v>
      </c>
      <c r="N2770">
        <v>2</v>
      </c>
      <c r="O2770">
        <v>1</v>
      </c>
      <c r="P2770">
        <v>0</v>
      </c>
      <c r="Q2770">
        <v>0</v>
      </c>
      <c r="R2770" t="s">
        <v>112</v>
      </c>
      <c r="S2770" t="str">
        <f>"14:36:29.891"</f>
        <v>14:36:29.891</v>
      </c>
      <c r="T2770" t="str">
        <f>"14:36:29.492"</f>
        <v>14:36:29.492</v>
      </c>
      <c r="U2770" t="str">
        <f t="shared" si="129"/>
        <v>ad5732</v>
      </c>
      <c r="V2770">
        <v>0</v>
      </c>
      <c r="W2770">
        <v>0</v>
      </c>
      <c r="X2770">
        <v>1</v>
      </c>
      <c r="Z2770">
        <v>0</v>
      </c>
      <c r="AA2770">
        <v>9</v>
      </c>
      <c r="AB2770">
        <v>3</v>
      </c>
      <c r="AC2770">
        <v>0</v>
      </c>
      <c r="AD2770">
        <v>10</v>
      </c>
      <c r="AE2770">
        <v>0</v>
      </c>
      <c r="AF2770">
        <v>3</v>
      </c>
      <c r="AG2770">
        <v>2</v>
      </c>
      <c r="AH2770">
        <v>0</v>
      </c>
      <c r="AI2770" t="s">
        <v>5656</v>
      </c>
      <c r="AJ2770">
        <v>40.24277</v>
      </c>
      <c r="AK2770" t="s">
        <v>5657</v>
      </c>
      <c r="AL2770">
        <v>-75.216714999999994</v>
      </c>
      <c r="AM2770">
        <v>100</v>
      </c>
      <c r="AN2770">
        <v>3700</v>
      </c>
      <c r="AO2770" t="s">
        <v>115</v>
      </c>
      <c r="AP2770">
        <v>127</v>
      </c>
      <c r="AQ2770">
        <v>120</v>
      </c>
      <c r="AR2770">
        <v>-64</v>
      </c>
      <c r="AZ2770">
        <v>3614</v>
      </c>
      <c r="BA2770">
        <v>1</v>
      </c>
      <c r="BB2770" t="str">
        <f t="shared" si="131"/>
        <v xml:space="preserve">N959MJ  </v>
      </c>
      <c r="BC2770">
        <v>1</v>
      </c>
      <c r="BE2770">
        <v>0</v>
      </c>
      <c r="BF2770">
        <v>0</v>
      </c>
      <c r="BG2770">
        <v>0</v>
      </c>
      <c r="BH2770">
        <v>3875</v>
      </c>
      <c r="BI2770">
        <v>175</v>
      </c>
      <c r="BJ2770">
        <v>1</v>
      </c>
      <c r="BK2770">
        <v>1</v>
      </c>
      <c r="BL2770">
        <v>1</v>
      </c>
      <c r="BM2770">
        <v>0</v>
      </c>
      <c r="BP2770">
        <v>0</v>
      </c>
      <c r="BQ2770">
        <v>0</v>
      </c>
      <c r="BX2770" t="str">
        <f>"14:36:29.891"</f>
        <v>14:36:29.891</v>
      </c>
      <c r="BY2770" t="str">
        <f>"892703691"</f>
        <v>892703691</v>
      </c>
      <c r="CL2770">
        <v>0</v>
      </c>
      <c r="CM2770">
        <v>2</v>
      </c>
      <c r="CN2770">
        <v>0</v>
      </c>
      <c r="CO2770">
        <v>2</v>
      </c>
      <c r="CP2770">
        <v>0</v>
      </c>
      <c r="CQ2770">
        <v>6</v>
      </c>
      <c r="CR2770" t="s">
        <v>116</v>
      </c>
      <c r="CS2770">
        <v>39</v>
      </c>
      <c r="CT2770">
        <v>0</v>
      </c>
      <c r="CU2770" t="s">
        <v>2259</v>
      </c>
      <c r="CV2770" t="s">
        <v>2260</v>
      </c>
      <c r="CY2770">
        <v>2393297</v>
      </c>
      <c r="CZ2770" t="s">
        <v>119</v>
      </c>
    </row>
    <row r="2771" spans="1:104" x14ac:dyDescent="0.25">
      <c r="A2771" t="str">
        <f>"14:36:31.227"</f>
        <v>14:36:31.227</v>
      </c>
      <c r="B2771" t="s">
        <v>108</v>
      </c>
      <c r="C2771" t="str">
        <f t="shared" si="130"/>
        <v>ffdfd3c0</v>
      </c>
      <c r="D2771" t="s">
        <v>109</v>
      </c>
      <c r="E2771">
        <v>4</v>
      </c>
      <c r="F2771">
        <v>1004</v>
      </c>
      <c r="G2771" t="s">
        <v>110</v>
      </c>
      <c r="J2771" t="s">
        <v>111</v>
      </c>
      <c r="K2771">
        <v>0</v>
      </c>
      <c r="L2771">
        <v>3</v>
      </c>
      <c r="M2771">
        <v>0</v>
      </c>
      <c r="N2771">
        <v>2</v>
      </c>
      <c r="O2771">
        <v>1</v>
      </c>
      <c r="P2771">
        <v>0</v>
      </c>
      <c r="Q2771">
        <v>0</v>
      </c>
      <c r="R2771" t="s">
        <v>112</v>
      </c>
      <c r="S2771" t="str">
        <f>"14:36:31.055"</f>
        <v>14:36:31.055</v>
      </c>
      <c r="T2771" t="str">
        <f>"14:36:30.555"</f>
        <v>14:36:30.555</v>
      </c>
      <c r="U2771" t="str">
        <f t="shared" si="129"/>
        <v>ad5732</v>
      </c>
      <c r="V2771">
        <v>0</v>
      </c>
      <c r="W2771">
        <v>0</v>
      </c>
      <c r="X2771">
        <v>1</v>
      </c>
      <c r="Z2771">
        <v>0</v>
      </c>
      <c r="AA2771">
        <v>9</v>
      </c>
      <c r="AB2771">
        <v>3</v>
      </c>
      <c r="AC2771">
        <v>0</v>
      </c>
      <c r="AD2771">
        <v>10</v>
      </c>
      <c r="AE2771">
        <v>0</v>
      </c>
      <c r="AF2771">
        <v>3</v>
      </c>
      <c r="AG2771">
        <v>2</v>
      </c>
      <c r="AH2771">
        <v>0</v>
      </c>
      <c r="AI2771" t="s">
        <v>5658</v>
      </c>
      <c r="AJ2771">
        <v>40.243478000000003</v>
      </c>
      <c r="AK2771" t="s">
        <v>5659</v>
      </c>
      <c r="AL2771">
        <v>-75.215771000000004</v>
      </c>
      <c r="AM2771">
        <v>100</v>
      </c>
      <c r="AN2771">
        <v>3700</v>
      </c>
      <c r="AO2771" t="s">
        <v>115</v>
      </c>
      <c r="AP2771">
        <v>127</v>
      </c>
      <c r="AQ2771">
        <v>120</v>
      </c>
      <c r="AR2771">
        <v>-64</v>
      </c>
      <c r="AZ2771">
        <v>3614</v>
      </c>
      <c r="BA2771">
        <v>1</v>
      </c>
      <c r="BB2771" t="str">
        <f t="shared" si="131"/>
        <v xml:space="preserve">N959MJ  </v>
      </c>
      <c r="BC2771">
        <v>1</v>
      </c>
      <c r="BE2771">
        <v>0</v>
      </c>
      <c r="BF2771">
        <v>0</v>
      </c>
      <c r="BG2771">
        <v>0</v>
      </c>
      <c r="BH2771">
        <v>3875</v>
      </c>
      <c r="BI2771">
        <v>175</v>
      </c>
      <c r="BJ2771">
        <v>1</v>
      </c>
      <c r="BK2771">
        <v>1</v>
      </c>
      <c r="BL2771">
        <v>1</v>
      </c>
      <c r="BM2771">
        <v>0</v>
      </c>
      <c r="BP2771">
        <v>0</v>
      </c>
      <c r="BQ2771">
        <v>0</v>
      </c>
      <c r="BX2771" t="str">
        <f>"14:36:31.063"</f>
        <v>14:36:31.063</v>
      </c>
      <c r="BY2771" t="str">
        <f>"059265116"</f>
        <v>059265116</v>
      </c>
      <c r="CL2771">
        <v>0</v>
      </c>
      <c r="CM2771">
        <v>2</v>
      </c>
      <c r="CN2771">
        <v>0</v>
      </c>
      <c r="CO2771">
        <v>2</v>
      </c>
      <c r="CP2771">
        <v>0</v>
      </c>
      <c r="CQ2771">
        <v>6</v>
      </c>
      <c r="CR2771" t="s">
        <v>116</v>
      </c>
      <c r="CS2771">
        <v>39</v>
      </c>
      <c r="CT2771">
        <v>0</v>
      </c>
      <c r="CU2771" t="s">
        <v>2259</v>
      </c>
      <c r="CV2771" t="s">
        <v>2260</v>
      </c>
      <c r="CY2771">
        <v>2395227</v>
      </c>
      <c r="CZ2771" t="s">
        <v>119</v>
      </c>
    </row>
    <row r="2772" spans="1:104" x14ac:dyDescent="0.25">
      <c r="A2772" t="str">
        <f>"14:36:32.234"</f>
        <v>14:36:32.234</v>
      </c>
      <c r="B2772" t="s">
        <v>108</v>
      </c>
      <c r="C2772" t="str">
        <f t="shared" si="130"/>
        <v>ffdfd3c0</v>
      </c>
      <c r="D2772" t="s">
        <v>109</v>
      </c>
      <c r="E2772">
        <v>4</v>
      </c>
      <c r="F2772">
        <v>1004</v>
      </c>
      <c r="G2772" t="s">
        <v>110</v>
      </c>
      <c r="J2772" t="s">
        <v>111</v>
      </c>
      <c r="K2772">
        <v>0</v>
      </c>
      <c r="L2772">
        <v>3</v>
      </c>
      <c r="M2772">
        <v>0</v>
      </c>
      <c r="N2772">
        <v>2</v>
      </c>
      <c r="O2772">
        <v>1</v>
      </c>
      <c r="P2772">
        <v>0</v>
      </c>
      <c r="Q2772">
        <v>0</v>
      </c>
      <c r="R2772" t="s">
        <v>112</v>
      </c>
      <c r="S2772" t="str">
        <f>"14:36:32.047"</f>
        <v>14:36:32.047</v>
      </c>
      <c r="T2772" t="str">
        <f>"14:36:31.648"</f>
        <v>14:36:31.648</v>
      </c>
      <c r="U2772" t="str">
        <f t="shared" si="129"/>
        <v>ad5732</v>
      </c>
      <c r="V2772">
        <v>0</v>
      </c>
      <c r="W2772">
        <v>0</v>
      </c>
      <c r="X2772">
        <v>1</v>
      </c>
      <c r="Z2772">
        <v>0</v>
      </c>
      <c r="AA2772">
        <v>9</v>
      </c>
      <c r="AB2772">
        <v>3</v>
      </c>
      <c r="AC2772">
        <v>0</v>
      </c>
      <c r="AD2772">
        <v>10</v>
      </c>
      <c r="AE2772">
        <v>0</v>
      </c>
      <c r="AF2772">
        <v>3</v>
      </c>
      <c r="AG2772">
        <v>2</v>
      </c>
      <c r="AH2772">
        <v>0</v>
      </c>
      <c r="AI2772" t="s">
        <v>5660</v>
      </c>
      <c r="AJ2772">
        <v>40.244036000000001</v>
      </c>
      <c r="AK2772" t="s">
        <v>5661</v>
      </c>
      <c r="AL2772">
        <v>-75.215019999999996</v>
      </c>
      <c r="AM2772">
        <v>100</v>
      </c>
      <c r="AN2772">
        <v>3700</v>
      </c>
      <c r="AO2772" t="s">
        <v>115</v>
      </c>
      <c r="AP2772">
        <v>128</v>
      </c>
      <c r="AQ2772">
        <v>120</v>
      </c>
      <c r="AR2772">
        <v>-64</v>
      </c>
      <c r="AZ2772">
        <v>3614</v>
      </c>
      <c r="BA2772">
        <v>1</v>
      </c>
      <c r="BB2772" t="str">
        <f t="shared" si="131"/>
        <v xml:space="preserve">N959MJ  </v>
      </c>
      <c r="BC2772">
        <v>1</v>
      </c>
      <c r="BE2772">
        <v>0</v>
      </c>
      <c r="BF2772">
        <v>0</v>
      </c>
      <c r="BG2772">
        <v>0</v>
      </c>
      <c r="BH2772">
        <v>3850</v>
      </c>
      <c r="BI2772">
        <v>150</v>
      </c>
      <c r="BJ2772">
        <v>1</v>
      </c>
      <c r="BK2772">
        <v>1</v>
      </c>
      <c r="BL2772">
        <v>1</v>
      </c>
      <c r="BM2772">
        <v>0</v>
      </c>
      <c r="BP2772">
        <v>0</v>
      </c>
      <c r="BQ2772">
        <v>0</v>
      </c>
      <c r="BX2772" t="str">
        <f>"14:36:32.055"</f>
        <v>14:36:32.055</v>
      </c>
      <c r="BY2772" t="str">
        <f>"052115596"</f>
        <v>052115596</v>
      </c>
      <c r="CL2772">
        <v>0</v>
      </c>
      <c r="CM2772">
        <v>2</v>
      </c>
      <c r="CN2772">
        <v>0</v>
      </c>
      <c r="CO2772">
        <v>2</v>
      </c>
      <c r="CP2772">
        <v>0</v>
      </c>
      <c r="CQ2772">
        <v>6</v>
      </c>
      <c r="CR2772" t="s">
        <v>116</v>
      </c>
      <c r="CS2772">
        <v>38</v>
      </c>
      <c r="CT2772">
        <v>3</v>
      </c>
      <c r="CU2772" t="s">
        <v>4719</v>
      </c>
      <c r="CV2772" t="s">
        <v>4720</v>
      </c>
      <c r="CY2772">
        <v>10178369</v>
      </c>
      <c r="CZ2772" t="s">
        <v>119</v>
      </c>
    </row>
    <row r="2773" spans="1:104" x14ac:dyDescent="0.25">
      <c r="A2773" t="str">
        <f>"14:36:33.195"</f>
        <v>14:36:33.195</v>
      </c>
      <c r="B2773" t="s">
        <v>108</v>
      </c>
      <c r="C2773" t="str">
        <f t="shared" si="130"/>
        <v>ffdfd3c0</v>
      </c>
      <c r="D2773" t="s">
        <v>109</v>
      </c>
      <c r="E2773">
        <v>4</v>
      </c>
      <c r="F2773">
        <v>1004</v>
      </c>
      <c r="G2773" t="s">
        <v>110</v>
      </c>
      <c r="J2773" t="s">
        <v>111</v>
      </c>
      <c r="K2773">
        <v>0</v>
      </c>
      <c r="L2773">
        <v>3</v>
      </c>
      <c r="M2773">
        <v>0</v>
      </c>
      <c r="N2773">
        <v>2</v>
      </c>
      <c r="O2773">
        <v>1</v>
      </c>
      <c r="P2773">
        <v>0</v>
      </c>
      <c r="Q2773">
        <v>0</v>
      </c>
      <c r="R2773" t="s">
        <v>112</v>
      </c>
      <c r="S2773" t="str">
        <f>"14:36:33.016"</f>
        <v>14:36:33.016</v>
      </c>
      <c r="T2773" t="str">
        <f>"14:36:32.117"</f>
        <v>14:36:32.117</v>
      </c>
      <c r="U2773" t="str">
        <f t="shared" si="129"/>
        <v>ad5732</v>
      </c>
      <c r="V2773">
        <v>0</v>
      </c>
      <c r="W2773">
        <v>0</v>
      </c>
      <c r="X2773">
        <v>1</v>
      </c>
      <c r="Z2773">
        <v>0</v>
      </c>
      <c r="AA2773">
        <v>9</v>
      </c>
      <c r="AB2773">
        <v>3</v>
      </c>
      <c r="AC2773">
        <v>0</v>
      </c>
      <c r="AD2773">
        <v>10</v>
      </c>
      <c r="AE2773">
        <v>0</v>
      </c>
      <c r="AF2773">
        <v>3</v>
      </c>
      <c r="AG2773">
        <v>2</v>
      </c>
      <c r="AH2773">
        <v>0</v>
      </c>
      <c r="AI2773" t="s">
        <v>5662</v>
      </c>
      <c r="AJ2773">
        <v>40.244551000000001</v>
      </c>
      <c r="AK2773" t="s">
        <v>5663</v>
      </c>
      <c r="AL2773">
        <v>-75.214269000000002</v>
      </c>
      <c r="AM2773">
        <v>100</v>
      </c>
      <c r="AN2773">
        <v>3700</v>
      </c>
      <c r="AO2773" t="s">
        <v>115</v>
      </c>
      <c r="AP2773">
        <v>128</v>
      </c>
      <c r="AQ2773">
        <v>120</v>
      </c>
      <c r="AR2773">
        <v>-64</v>
      </c>
      <c r="AZ2773">
        <v>3614</v>
      </c>
      <c r="BA2773">
        <v>1</v>
      </c>
      <c r="BB2773" t="str">
        <f t="shared" si="131"/>
        <v xml:space="preserve">N959MJ  </v>
      </c>
      <c r="BC2773">
        <v>1</v>
      </c>
      <c r="BE2773">
        <v>0</v>
      </c>
      <c r="BF2773">
        <v>0</v>
      </c>
      <c r="BG2773">
        <v>0</v>
      </c>
      <c r="BH2773">
        <v>3850</v>
      </c>
      <c r="BI2773">
        <v>150</v>
      </c>
      <c r="BJ2773">
        <v>1</v>
      </c>
      <c r="BK2773">
        <v>1</v>
      </c>
      <c r="BL2773">
        <v>1</v>
      </c>
      <c r="BM2773">
        <v>0</v>
      </c>
      <c r="BP2773">
        <v>0</v>
      </c>
      <c r="BQ2773">
        <v>0</v>
      </c>
      <c r="BX2773" t="str">
        <f>"14:36:33.023"</f>
        <v>14:36:33.023</v>
      </c>
      <c r="BY2773" t="str">
        <f>"022103144"</f>
        <v>022103144</v>
      </c>
      <c r="CL2773">
        <v>0</v>
      </c>
      <c r="CM2773">
        <v>2</v>
      </c>
      <c r="CN2773">
        <v>0</v>
      </c>
      <c r="CO2773">
        <v>2</v>
      </c>
      <c r="CP2773">
        <v>0</v>
      </c>
      <c r="CQ2773">
        <v>6</v>
      </c>
      <c r="CR2773" t="s">
        <v>116</v>
      </c>
      <c r="CS2773">
        <v>39</v>
      </c>
      <c r="CT2773">
        <v>0</v>
      </c>
      <c r="CU2773" t="s">
        <v>2259</v>
      </c>
      <c r="CV2773" t="s">
        <v>2260</v>
      </c>
      <c r="CY2773">
        <v>2398332</v>
      </c>
      <c r="CZ2773" t="s">
        <v>119</v>
      </c>
    </row>
    <row r="2774" spans="1:104" x14ac:dyDescent="0.25">
      <c r="A2774" t="str">
        <f>"14:36:34.258"</f>
        <v>14:36:34.258</v>
      </c>
      <c r="B2774" t="s">
        <v>108</v>
      </c>
      <c r="C2774" t="str">
        <f t="shared" si="130"/>
        <v>ffdfd3c0</v>
      </c>
      <c r="D2774" t="s">
        <v>109</v>
      </c>
      <c r="E2774">
        <v>4</v>
      </c>
      <c r="F2774">
        <v>1004</v>
      </c>
      <c r="G2774" t="s">
        <v>110</v>
      </c>
      <c r="J2774" t="s">
        <v>111</v>
      </c>
      <c r="K2774">
        <v>0</v>
      </c>
      <c r="L2774">
        <v>3</v>
      </c>
      <c r="M2774">
        <v>0</v>
      </c>
      <c r="N2774">
        <v>2</v>
      </c>
      <c r="O2774">
        <v>1</v>
      </c>
      <c r="P2774">
        <v>0</v>
      </c>
      <c r="Q2774">
        <v>0</v>
      </c>
      <c r="R2774" t="s">
        <v>112</v>
      </c>
      <c r="S2774" t="str">
        <f>"14:36:34.086"</f>
        <v>14:36:34.086</v>
      </c>
      <c r="T2774" t="str">
        <f>"14:36:33.586"</f>
        <v>14:36:33.586</v>
      </c>
      <c r="U2774" t="str">
        <f t="shared" si="129"/>
        <v>ad5732</v>
      </c>
      <c r="V2774">
        <v>0</v>
      </c>
      <c r="W2774">
        <v>0</v>
      </c>
      <c r="X2774">
        <v>1</v>
      </c>
      <c r="Z2774">
        <v>0</v>
      </c>
      <c r="AA2774">
        <v>9</v>
      </c>
      <c r="AB2774">
        <v>3</v>
      </c>
      <c r="AC2774">
        <v>0</v>
      </c>
      <c r="AD2774">
        <v>10</v>
      </c>
      <c r="AE2774">
        <v>0</v>
      </c>
      <c r="AF2774">
        <v>3</v>
      </c>
      <c r="AG2774">
        <v>2</v>
      </c>
      <c r="AH2774">
        <v>0</v>
      </c>
      <c r="AI2774" t="s">
        <v>5664</v>
      </c>
      <c r="AJ2774">
        <v>40.245108999999999</v>
      </c>
      <c r="AK2774" t="s">
        <v>5665</v>
      </c>
      <c r="AL2774">
        <v>-75.213453999999999</v>
      </c>
      <c r="AM2774">
        <v>100</v>
      </c>
      <c r="AN2774">
        <v>3700</v>
      </c>
      <c r="AO2774" t="s">
        <v>115</v>
      </c>
      <c r="AP2774">
        <v>128</v>
      </c>
      <c r="AQ2774">
        <v>120</v>
      </c>
      <c r="AR2774">
        <v>-64</v>
      </c>
      <c r="AZ2774">
        <v>3614</v>
      </c>
      <c r="BA2774">
        <v>1</v>
      </c>
      <c r="BB2774" t="str">
        <f t="shared" si="131"/>
        <v xml:space="preserve">N959MJ  </v>
      </c>
      <c r="BC2774">
        <v>1</v>
      </c>
      <c r="BE2774">
        <v>0</v>
      </c>
      <c r="BF2774">
        <v>0</v>
      </c>
      <c r="BG2774">
        <v>0</v>
      </c>
      <c r="BH2774">
        <v>3850</v>
      </c>
      <c r="BI2774">
        <v>150</v>
      </c>
      <c r="BJ2774">
        <v>1</v>
      </c>
      <c r="BK2774">
        <v>1</v>
      </c>
      <c r="BL2774">
        <v>1</v>
      </c>
      <c r="BM2774">
        <v>0</v>
      </c>
      <c r="BP2774">
        <v>0</v>
      </c>
      <c r="BQ2774">
        <v>0</v>
      </c>
      <c r="BX2774" t="str">
        <f>"14:36:34.094"</f>
        <v>14:36:34.094</v>
      </c>
      <c r="BY2774" t="str">
        <f>"093683529"</f>
        <v>093683529</v>
      </c>
      <c r="CL2774">
        <v>0</v>
      </c>
      <c r="CM2774">
        <v>2</v>
      </c>
      <c r="CN2774">
        <v>0</v>
      </c>
      <c r="CO2774">
        <v>2</v>
      </c>
      <c r="CP2774">
        <v>0</v>
      </c>
      <c r="CQ2774">
        <v>5</v>
      </c>
      <c r="CR2774" t="s">
        <v>116</v>
      </c>
      <c r="CS2774">
        <v>409</v>
      </c>
      <c r="CT2774">
        <v>2</v>
      </c>
      <c r="CU2774" t="s">
        <v>5087</v>
      </c>
      <c r="CV2774" t="s">
        <v>5088</v>
      </c>
      <c r="CY2774">
        <v>16739764</v>
      </c>
      <c r="CZ2774" t="s">
        <v>119</v>
      </c>
    </row>
    <row r="2775" spans="1:104" x14ac:dyDescent="0.25">
      <c r="A2775" t="str">
        <f>"14:36:35.313"</f>
        <v>14:36:35.313</v>
      </c>
      <c r="B2775" t="s">
        <v>108</v>
      </c>
      <c r="C2775" t="str">
        <f t="shared" si="130"/>
        <v>ffdfd3c0</v>
      </c>
      <c r="D2775" t="s">
        <v>109</v>
      </c>
      <c r="E2775">
        <v>4</v>
      </c>
      <c r="F2775">
        <v>1004</v>
      </c>
      <c r="G2775" t="s">
        <v>110</v>
      </c>
      <c r="J2775" t="s">
        <v>111</v>
      </c>
      <c r="K2775">
        <v>0</v>
      </c>
      <c r="L2775">
        <v>3</v>
      </c>
      <c r="M2775">
        <v>0</v>
      </c>
      <c r="N2775">
        <v>2</v>
      </c>
      <c r="O2775">
        <v>1</v>
      </c>
      <c r="P2775">
        <v>0</v>
      </c>
      <c r="Q2775">
        <v>0</v>
      </c>
      <c r="R2775" t="s">
        <v>112</v>
      </c>
      <c r="S2775" t="str">
        <f>"14:36:35.156"</f>
        <v>14:36:35.156</v>
      </c>
      <c r="T2775" t="str">
        <f>"14:36:34.656"</f>
        <v>14:36:34.656</v>
      </c>
      <c r="U2775" t="str">
        <f t="shared" si="129"/>
        <v>ad5732</v>
      </c>
      <c r="V2775">
        <v>0</v>
      </c>
      <c r="W2775">
        <v>0</v>
      </c>
      <c r="X2775">
        <v>1</v>
      </c>
      <c r="Z2775">
        <v>0</v>
      </c>
      <c r="AA2775">
        <v>9</v>
      </c>
      <c r="AB2775">
        <v>3</v>
      </c>
      <c r="AC2775">
        <v>0</v>
      </c>
      <c r="AD2775">
        <v>10</v>
      </c>
      <c r="AE2775">
        <v>0</v>
      </c>
      <c r="AF2775">
        <v>3</v>
      </c>
      <c r="AG2775">
        <v>2</v>
      </c>
      <c r="AH2775">
        <v>0</v>
      </c>
      <c r="AI2775" t="s">
        <v>5666</v>
      </c>
      <c r="AJ2775">
        <v>40.245708999999998</v>
      </c>
      <c r="AK2775" t="s">
        <v>5667</v>
      </c>
      <c r="AL2775">
        <v>-75.212637999999998</v>
      </c>
      <c r="AM2775">
        <v>100</v>
      </c>
      <c r="AN2775">
        <v>3700</v>
      </c>
      <c r="AO2775" t="s">
        <v>115</v>
      </c>
      <c r="AP2775">
        <v>128</v>
      </c>
      <c r="AQ2775">
        <v>120</v>
      </c>
      <c r="AR2775">
        <v>0</v>
      </c>
      <c r="AZ2775">
        <v>3614</v>
      </c>
      <c r="BA2775">
        <v>1</v>
      </c>
      <c r="BB2775" t="str">
        <f t="shared" si="131"/>
        <v xml:space="preserve">N959MJ  </v>
      </c>
      <c r="BC2775">
        <v>1</v>
      </c>
      <c r="BE2775">
        <v>0</v>
      </c>
      <c r="BF2775">
        <v>0</v>
      </c>
      <c r="BG2775">
        <v>0</v>
      </c>
      <c r="BH2775">
        <v>3875</v>
      </c>
      <c r="BI2775">
        <v>175</v>
      </c>
      <c r="BJ2775">
        <v>1</v>
      </c>
      <c r="BK2775">
        <v>1</v>
      </c>
      <c r="BL2775">
        <v>1</v>
      </c>
      <c r="BM2775">
        <v>0</v>
      </c>
      <c r="BP2775">
        <v>0</v>
      </c>
      <c r="BQ2775">
        <v>0</v>
      </c>
      <c r="BX2775" t="str">
        <f>"14:36:35.156"</f>
        <v>14:36:35.156</v>
      </c>
      <c r="BY2775" t="str">
        <f>"158614422"</f>
        <v>158614422</v>
      </c>
      <c r="CL2775">
        <v>0</v>
      </c>
      <c r="CM2775">
        <v>2</v>
      </c>
      <c r="CN2775">
        <v>0</v>
      </c>
      <c r="CO2775">
        <v>2</v>
      </c>
      <c r="CP2775">
        <v>0</v>
      </c>
      <c r="CQ2775">
        <v>6</v>
      </c>
      <c r="CR2775" t="s">
        <v>116</v>
      </c>
      <c r="CS2775">
        <v>39</v>
      </c>
      <c r="CT2775">
        <v>0</v>
      </c>
      <c r="CU2775" t="s">
        <v>2259</v>
      </c>
      <c r="CV2775" t="s">
        <v>2260</v>
      </c>
      <c r="CY2775">
        <v>2401815</v>
      </c>
      <c r="CZ2775" t="s">
        <v>119</v>
      </c>
    </row>
    <row r="2776" spans="1:104" x14ac:dyDescent="0.25">
      <c r="A2776" t="str">
        <f>"14:36:36.375"</f>
        <v>14:36:36.375</v>
      </c>
      <c r="B2776" t="s">
        <v>108</v>
      </c>
      <c r="C2776" t="str">
        <f t="shared" si="130"/>
        <v>ffdfd3c0</v>
      </c>
      <c r="D2776" t="s">
        <v>109</v>
      </c>
      <c r="E2776">
        <v>4</v>
      </c>
      <c r="F2776">
        <v>1004</v>
      </c>
      <c r="G2776" t="s">
        <v>110</v>
      </c>
      <c r="J2776" t="s">
        <v>111</v>
      </c>
      <c r="K2776">
        <v>0</v>
      </c>
      <c r="L2776">
        <v>3</v>
      </c>
      <c r="M2776">
        <v>0</v>
      </c>
      <c r="N2776">
        <v>2</v>
      </c>
      <c r="O2776">
        <v>1</v>
      </c>
      <c r="P2776">
        <v>0</v>
      </c>
      <c r="Q2776">
        <v>0</v>
      </c>
      <c r="R2776" t="s">
        <v>112</v>
      </c>
      <c r="S2776" t="str">
        <f>"14:36:36.195"</f>
        <v>14:36:36.195</v>
      </c>
      <c r="T2776" t="str">
        <f>"14:36:35.797"</f>
        <v>14:36:35.797</v>
      </c>
      <c r="U2776" t="str">
        <f t="shared" si="129"/>
        <v>ad5732</v>
      </c>
      <c r="V2776">
        <v>0</v>
      </c>
      <c r="W2776">
        <v>0</v>
      </c>
      <c r="X2776">
        <v>1</v>
      </c>
      <c r="Z2776">
        <v>0</v>
      </c>
      <c r="AA2776">
        <v>9</v>
      </c>
      <c r="AB2776">
        <v>3</v>
      </c>
      <c r="AC2776">
        <v>0</v>
      </c>
      <c r="AD2776">
        <v>10</v>
      </c>
      <c r="AE2776">
        <v>0</v>
      </c>
      <c r="AF2776">
        <v>3</v>
      </c>
      <c r="AG2776">
        <v>2</v>
      </c>
      <c r="AH2776">
        <v>0</v>
      </c>
      <c r="AI2776" t="s">
        <v>5668</v>
      </c>
      <c r="AJ2776">
        <v>40.246310000000001</v>
      </c>
      <c r="AK2776" t="s">
        <v>5669</v>
      </c>
      <c r="AL2776">
        <v>-75.211843999999999</v>
      </c>
      <c r="AM2776">
        <v>100</v>
      </c>
      <c r="AN2776">
        <v>3700</v>
      </c>
      <c r="AO2776" t="s">
        <v>115</v>
      </c>
      <c r="AP2776">
        <v>128</v>
      </c>
      <c r="AQ2776">
        <v>120</v>
      </c>
      <c r="AR2776">
        <v>0</v>
      </c>
      <c r="AZ2776">
        <v>3614</v>
      </c>
      <c r="BA2776">
        <v>1</v>
      </c>
      <c r="BB2776" t="str">
        <f t="shared" si="131"/>
        <v xml:space="preserve">N959MJ  </v>
      </c>
      <c r="BC2776">
        <v>1</v>
      </c>
      <c r="BE2776">
        <v>0</v>
      </c>
      <c r="BF2776">
        <v>0</v>
      </c>
      <c r="BG2776">
        <v>0</v>
      </c>
      <c r="BH2776">
        <v>3875</v>
      </c>
      <c r="BI2776">
        <v>175</v>
      </c>
      <c r="BJ2776">
        <v>1</v>
      </c>
      <c r="BK2776">
        <v>1</v>
      </c>
      <c r="BL2776">
        <v>1</v>
      </c>
      <c r="BM2776">
        <v>0</v>
      </c>
      <c r="BP2776">
        <v>0</v>
      </c>
      <c r="BQ2776">
        <v>0</v>
      </c>
      <c r="BX2776" t="str">
        <f>"14:36:36.203"</f>
        <v>14:36:36.203</v>
      </c>
      <c r="BY2776" t="str">
        <f>"200615461"</f>
        <v>200615461</v>
      </c>
      <c r="CL2776">
        <v>0</v>
      </c>
      <c r="CM2776">
        <v>2</v>
      </c>
      <c r="CN2776">
        <v>0</v>
      </c>
      <c r="CO2776">
        <v>2</v>
      </c>
      <c r="CP2776">
        <v>0</v>
      </c>
      <c r="CQ2776">
        <v>6</v>
      </c>
      <c r="CR2776" t="s">
        <v>116</v>
      </c>
      <c r="CS2776">
        <v>38</v>
      </c>
      <c r="CT2776">
        <v>3</v>
      </c>
      <c r="CU2776" t="s">
        <v>4719</v>
      </c>
      <c r="CV2776" t="s">
        <v>4720</v>
      </c>
      <c r="CY2776">
        <v>10185672</v>
      </c>
      <c r="CZ2776" t="s">
        <v>119</v>
      </c>
    </row>
    <row r="2777" spans="1:104" x14ac:dyDescent="0.25">
      <c r="A2777" t="str">
        <f>"14:36:37.484"</f>
        <v>14:36:37.484</v>
      </c>
      <c r="B2777" t="s">
        <v>108</v>
      </c>
      <c r="C2777" t="str">
        <f t="shared" si="130"/>
        <v>ffdfd3c0</v>
      </c>
      <c r="D2777" t="s">
        <v>109</v>
      </c>
      <c r="E2777">
        <v>4</v>
      </c>
      <c r="F2777">
        <v>1004</v>
      </c>
      <c r="G2777" t="s">
        <v>110</v>
      </c>
      <c r="J2777" t="s">
        <v>111</v>
      </c>
      <c r="K2777">
        <v>0</v>
      </c>
      <c r="L2777">
        <v>3</v>
      </c>
      <c r="M2777">
        <v>0</v>
      </c>
      <c r="N2777">
        <v>2</v>
      </c>
      <c r="O2777">
        <v>1</v>
      </c>
      <c r="P2777">
        <v>0</v>
      </c>
      <c r="Q2777">
        <v>0</v>
      </c>
      <c r="R2777" t="s">
        <v>112</v>
      </c>
      <c r="S2777" t="str">
        <f>"14:36:37.328"</f>
        <v>14:36:37.328</v>
      </c>
      <c r="T2777" t="str">
        <f>"14:36:36.828"</f>
        <v>14:36:36.828</v>
      </c>
      <c r="U2777" t="str">
        <f t="shared" si="129"/>
        <v>ad5732</v>
      </c>
      <c r="V2777">
        <v>0</v>
      </c>
      <c r="W2777">
        <v>0</v>
      </c>
      <c r="X2777">
        <v>1</v>
      </c>
      <c r="Z2777">
        <v>0</v>
      </c>
      <c r="AA2777">
        <v>9</v>
      </c>
      <c r="AB2777">
        <v>3</v>
      </c>
      <c r="AC2777">
        <v>0</v>
      </c>
      <c r="AD2777">
        <v>10</v>
      </c>
      <c r="AE2777">
        <v>0</v>
      </c>
      <c r="AF2777">
        <v>3</v>
      </c>
      <c r="AG2777">
        <v>2</v>
      </c>
      <c r="AH2777">
        <v>0</v>
      </c>
      <c r="AI2777" t="s">
        <v>5670</v>
      </c>
      <c r="AJ2777">
        <v>40.246954000000002</v>
      </c>
      <c r="AK2777" t="s">
        <v>5671</v>
      </c>
      <c r="AL2777">
        <v>-75.210879000000006</v>
      </c>
      <c r="AM2777">
        <v>100</v>
      </c>
      <c r="AN2777">
        <v>3700</v>
      </c>
      <c r="AO2777" t="s">
        <v>115</v>
      </c>
      <c r="AP2777">
        <v>128</v>
      </c>
      <c r="AQ2777">
        <v>120</v>
      </c>
      <c r="AR2777">
        <v>64</v>
      </c>
      <c r="AZ2777">
        <v>3614</v>
      </c>
      <c r="BA2777">
        <v>1</v>
      </c>
      <c r="BB2777" t="str">
        <f t="shared" si="131"/>
        <v xml:space="preserve">N959MJ  </v>
      </c>
      <c r="BC2777">
        <v>1</v>
      </c>
      <c r="BE2777">
        <v>0</v>
      </c>
      <c r="BF2777">
        <v>0</v>
      </c>
      <c r="BG2777">
        <v>0</v>
      </c>
      <c r="BH2777">
        <v>3875</v>
      </c>
      <c r="BI2777">
        <v>175</v>
      </c>
      <c r="BJ2777">
        <v>1</v>
      </c>
      <c r="BK2777">
        <v>1</v>
      </c>
      <c r="BL2777">
        <v>1</v>
      </c>
      <c r="BM2777">
        <v>0</v>
      </c>
      <c r="BP2777">
        <v>0</v>
      </c>
      <c r="BQ2777">
        <v>0</v>
      </c>
      <c r="BX2777" t="str">
        <f>"14:36:37.336"</f>
        <v>14:36:37.336</v>
      </c>
      <c r="BY2777" t="str">
        <f>"332769273"</f>
        <v>332769273</v>
      </c>
      <c r="CL2777">
        <v>0</v>
      </c>
      <c r="CM2777">
        <v>2</v>
      </c>
      <c r="CN2777">
        <v>0</v>
      </c>
      <c r="CO2777">
        <v>2</v>
      </c>
      <c r="CP2777">
        <v>0</v>
      </c>
      <c r="CQ2777">
        <v>6</v>
      </c>
      <c r="CR2777" t="s">
        <v>116</v>
      </c>
      <c r="CS2777">
        <v>38</v>
      </c>
      <c r="CT2777">
        <v>3</v>
      </c>
      <c r="CU2777" t="s">
        <v>4719</v>
      </c>
      <c r="CV2777" t="s">
        <v>4720</v>
      </c>
      <c r="CY2777">
        <v>10187550</v>
      </c>
      <c r="CZ2777" t="s">
        <v>119</v>
      </c>
    </row>
    <row r="2778" spans="1:104" x14ac:dyDescent="0.25">
      <c r="A2778" t="str">
        <f>"14:36:38.648"</f>
        <v>14:36:38.648</v>
      </c>
      <c r="B2778" t="s">
        <v>108</v>
      </c>
      <c r="C2778" t="str">
        <f t="shared" si="130"/>
        <v>ffdfd3c0</v>
      </c>
      <c r="D2778" t="s">
        <v>109</v>
      </c>
      <c r="E2778">
        <v>4</v>
      </c>
      <c r="F2778">
        <v>1004</v>
      </c>
      <c r="G2778" t="s">
        <v>110</v>
      </c>
      <c r="J2778" t="s">
        <v>111</v>
      </c>
      <c r="K2778">
        <v>0</v>
      </c>
      <c r="L2778">
        <v>3</v>
      </c>
      <c r="M2778">
        <v>0</v>
      </c>
      <c r="N2778">
        <v>2</v>
      </c>
      <c r="O2778">
        <v>1</v>
      </c>
      <c r="P2778">
        <v>0</v>
      </c>
      <c r="Q2778">
        <v>0</v>
      </c>
      <c r="R2778" t="s">
        <v>112</v>
      </c>
      <c r="S2778" t="str">
        <f>"14:36:38.445"</f>
        <v>14:36:38.445</v>
      </c>
      <c r="T2778" t="str">
        <f>"14:36:37.945"</f>
        <v>14:36:37.945</v>
      </c>
      <c r="U2778" t="str">
        <f t="shared" si="129"/>
        <v>ad5732</v>
      </c>
      <c r="V2778">
        <v>0</v>
      </c>
      <c r="W2778">
        <v>0</v>
      </c>
      <c r="X2778">
        <v>1</v>
      </c>
      <c r="Z2778">
        <v>0</v>
      </c>
      <c r="AA2778">
        <v>9</v>
      </c>
      <c r="AB2778">
        <v>3</v>
      </c>
      <c r="AC2778">
        <v>0</v>
      </c>
      <c r="AD2778">
        <v>10</v>
      </c>
      <c r="AE2778">
        <v>0</v>
      </c>
      <c r="AF2778">
        <v>3</v>
      </c>
      <c r="AG2778">
        <v>2</v>
      </c>
      <c r="AH2778">
        <v>0</v>
      </c>
      <c r="AI2778" t="s">
        <v>5672</v>
      </c>
      <c r="AJ2778">
        <v>40.247576000000002</v>
      </c>
      <c r="AK2778" t="s">
        <v>5673</v>
      </c>
      <c r="AL2778">
        <v>-75.210020999999998</v>
      </c>
      <c r="AM2778">
        <v>100</v>
      </c>
      <c r="AN2778">
        <v>3700</v>
      </c>
      <c r="AO2778" t="s">
        <v>115</v>
      </c>
      <c r="AP2778">
        <v>128</v>
      </c>
      <c r="AQ2778">
        <v>120</v>
      </c>
      <c r="AR2778">
        <v>64</v>
      </c>
      <c r="AZ2778">
        <v>3614</v>
      </c>
      <c r="BA2778">
        <v>1</v>
      </c>
      <c r="BB2778" t="str">
        <f t="shared" si="131"/>
        <v xml:space="preserve">N959MJ  </v>
      </c>
      <c r="BC2778">
        <v>1</v>
      </c>
      <c r="BE2778">
        <v>0</v>
      </c>
      <c r="BF2778">
        <v>0</v>
      </c>
      <c r="BG2778">
        <v>0</v>
      </c>
      <c r="BH2778">
        <v>3875</v>
      </c>
      <c r="BI2778">
        <v>175</v>
      </c>
      <c r="BJ2778">
        <v>1</v>
      </c>
      <c r="BK2778">
        <v>1</v>
      </c>
      <c r="BL2778">
        <v>1</v>
      </c>
      <c r="BM2778">
        <v>0</v>
      </c>
      <c r="BP2778">
        <v>0</v>
      </c>
      <c r="BQ2778">
        <v>0</v>
      </c>
      <c r="BX2778" t="str">
        <f>"14:36:38.445"</f>
        <v>14:36:38.445</v>
      </c>
      <c r="BY2778" t="str">
        <f>"448538855"</f>
        <v>448538855</v>
      </c>
      <c r="CL2778">
        <v>0</v>
      </c>
      <c r="CM2778">
        <v>2</v>
      </c>
      <c r="CN2778">
        <v>0</v>
      </c>
      <c r="CO2778">
        <v>2</v>
      </c>
      <c r="CP2778">
        <v>0</v>
      </c>
      <c r="CQ2778">
        <v>6</v>
      </c>
      <c r="CR2778" t="s">
        <v>116</v>
      </c>
      <c r="CS2778">
        <v>38</v>
      </c>
      <c r="CT2778">
        <v>3</v>
      </c>
      <c r="CU2778" t="s">
        <v>4719</v>
      </c>
      <c r="CV2778" t="s">
        <v>4720</v>
      </c>
      <c r="CY2778">
        <v>10189439</v>
      </c>
      <c r="CZ2778" t="s">
        <v>119</v>
      </c>
    </row>
    <row r="2779" spans="1:104" x14ac:dyDescent="0.25">
      <c r="A2779" t="str">
        <f>"14:36:39.656"</f>
        <v>14:36:39.656</v>
      </c>
      <c r="B2779" t="s">
        <v>108</v>
      </c>
      <c r="C2779" t="str">
        <f t="shared" si="130"/>
        <v>ffdfd3c0</v>
      </c>
      <c r="D2779" t="s">
        <v>109</v>
      </c>
      <c r="E2779">
        <v>4</v>
      </c>
      <c r="F2779">
        <v>1004</v>
      </c>
      <c r="G2779" t="s">
        <v>110</v>
      </c>
      <c r="J2779" t="s">
        <v>111</v>
      </c>
      <c r="K2779">
        <v>0</v>
      </c>
      <c r="L2779">
        <v>3</v>
      </c>
      <c r="M2779">
        <v>0</v>
      </c>
      <c r="N2779">
        <v>2</v>
      </c>
      <c r="O2779">
        <v>1</v>
      </c>
      <c r="P2779">
        <v>0</v>
      </c>
      <c r="Q2779">
        <v>0</v>
      </c>
      <c r="R2779" t="s">
        <v>112</v>
      </c>
      <c r="S2779" t="str">
        <f>"14:36:39.477"</f>
        <v>14:36:39.477</v>
      </c>
      <c r="T2779" t="str">
        <f>"14:36:39.078"</f>
        <v>14:36:39.078</v>
      </c>
      <c r="U2779" t="str">
        <f t="shared" si="129"/>
        <v>ad5732</v>
      </c>
      <c r="V2779">
        <v>0</v>
      </c>
      <c r="W2779">
        <v>0</v>
      </c>
      <c r="X2779">
        <v>1</v>
      </c>
      <c r="Z2779">
        <v>0</v>
      </c>
      <c r="AA2779">
        <v>9</v>
      </c>
      <c r="AB2779">
        <v>3</v>
      </c>
      <c r="AC2779">
        <v>0</v>
      </c>
      <c r="AD2779">
        <v>10</v>
      </c>
      <c r="AE2779">
        <v>0</v>
      </c>
      <c r="AF2779">
        <v>3</v>
      </c>
      <c r="AG2779">
        <v>2</v>
      </c>
      <c r="AH2779">
        <v>0</v>
      </c>
      <c r="AI2779" t="s">
        <v>5674</v>
      </c>
      <c r="AJ2779">
        <v>40.248134</v>
      </c>
      <c r="AK2779" t="s">
        <v>5675</v>
      </c>
      <c r="AL2779">
        <v>-75.209290999999993</v>
      </c>
      <c r="AM2779">
        <v>100</v>
      </c>
      <c r="AN2779">
        <v>3700</v>
      </c>
      <c r="AO2779" t="s">
        <v>115</v>
      </c>
      <c r="AP2779">
        <v>128</v>
      </c>
      <c r="AQ2779">
        <v>120</v>
      </c>
      <c r="AR2779">
        <v>128</v>
      </c>
      <c r="AZ2779">
        <v>3614</v>
      </c>
      <c r="BA2779">
        <v>1</v>
      </c>
      <c r="BB2779" t="str">
        <f t="shared" si="131"/>
        <v xml:space="preserve">N959MJ  </v>
      </c>
      <c r="BC2779">
        <v>1</v>
      </c>
      <c r="BE2779">
        <v>0</v>
      </c>
      <c r="BF2779">
        <v>0</v>
      </c>
      <c r="BG2779">
        <v>0</v>
      </c>
      <c r="BH2779">
        <v>3875</v>
      </c>
      <c r="BI2779">
        <v>175</v>
      </c>
      <c r="BJ2779">
        <v>1</v>
      </c>
      <c r="BK2779">
        <v>1</v>
      </c>
      <c r="BL2779">
        <v>1</v>
      </c>
      <c r="BM2779">
        <v>0</v>
      </c>
      <c r="BP2779">
        <v>0</v>
      </c>
      <c r="BQ2779">
        <v>0</v>
      </c>
      <c r="BX2779" t="str">
        <f>"14:36:39.477"</f>
        <v>14:36:39.477</v>
      </c>
      <c r="BY2779" t="str">
        <f>"479151705"</f>
        <v>479151705</v>
      </c>
      <c r="CL2779">
        <v>0</v>
      </c>
      <c r="CM2779">
        <v>2</v>
      </c>
      <c r="CN2779">
        <v>0</v>
      </c>
      <c r="CO2779">
        <v>2</v>
      </c>
      <c r="CP2779">
        <v>0</v>
      </c>
      <c r="CQ2779">
        <v>6</v>
      </c>
      <c r="CR2779" t="s">
        <v>116</v>
      </c>
      <c r="CS2779">
        <v>39</v>
      </c>
      <c r="CT2779">
        <v>0</v>
      </c>
      <c r="CU2779" t="s">
        <v>2259</v>
      </c>
      <c r="CV2779" t="s">
        <v>2260</v>
      </c>
      <c r="CY2779">
        <v>2408587</v>
      </c>
      <c r="CZ2779" t="s">
        <v>119</v>
      </c>
    </row>
    <row r="2780" spans="1:104" x14ac:dyDescent="0.25">
      <c r="A2780" t="str">
        <f>"14:36:40.563"</f>
        <v>14:36:40.563</v>
      </c>
      <c r="B2780" t="s">
        <v>108</v>
      </c>
      <c r="C2780" t="str">
        <f t="shared" si="130"/>
        <v>ffdfd3c0</v>
      </c>
      <c r="D2780" t="s">
        <v>109</v>
      </c>
      <c r="E2780">
        <v>4</v>
      </c>
      <c r="F2780">
        <v>1004</v>
      </c>
      <c r="G2780" t="s">
        <v>110</v>
      </c>
      <c r="J2780" t="s">
        <v>111</v>
      </c>
      <c r="K2780">
        <v>0</v>
      </c>
      <c r="L2780">
        <v>3</v>
      </c>
      <c r="M2780">
        <v>0</v>
      </c>
      <c r="N2780">
        <v>2</v>
      </c>
      <c r="O2780">
        <v>1</v>
      </c>
      <c r="P2780">
        <v>0</v>
      </c>
      <c r="Q2780">
        <v>0</v>
      </c>
      <c r="R2780" t="s">
        <v>112</v>
      </c>
      <c r="S2780" t="str">
        <f>"14:36:40.398"</f>
        <v>14:36:40.398</v>
      </c>
      <c r="T2780" t="str">
        <f>"14:36:40.000"</f>
        <v>14:36:40.000</v>
      </c>
      <c r="U2780" t="str">
        <f t="shared" si="129"/>
        <v>ad5732</v>
      </c>
      <c r="V2780">
        <v>0</v>
      </c>
      <c r="W2780">
        <v>0</v>
      </c>
      <c r="X2780">
        <v>1</v>
      </c>
      <c r="Z2780">
        <v>0</v>
      </c>
      <c r="AA2780">
        <v>9</v>
      </c>
      <c r="AB2780">
        <v>3</v>
      </c>
      <c r="AC2780">
        <v>0</v>
      </c>
      <c r="AD2780">
        <v>10</v>
      </c>
      <c r="AE2780">
        <v>0</v>
      </c>
      <c r="AF2780">
        <v>3</v>
      </c>
      <c r="AG2780">
        <v>2</v>
      </c>
      <c r="AH2780">
        <v>0</v>
      </c>
      <c r="AI2780" t="s">
        <v>5676</v>
      </c>
      <c r="AJ2780">
        <v>40.248649</v>
      </c>
      <c r="AK2780" t="s">
        <v>5677</v>
      </c>
      <c r="AL2780">
        <v>-75.208625999999995</v>
      </c>
      <c r="AM2780">
        <v>100</v>
      </c>
      <c r="AN2780">
        <v>3700</v>
      </c>
      <c r="AO2780" t="s">
        <v>115</v>
      </c>
      <c r="AP2780">
        <v>128</v>
      </c>
      <c r="AQ2780">
        <v>120</v>
      </c>
      <c r="AR2780">
        <v>64</v>
      </c>
      <c r="AZ2780">
        <v>3614</v>
      </c>
      <c r="BA2780">
        <v>1</v>
      </c>
      <c r="BB2780" t="str">
        <f t="shared" si="131"/>
        <v xml:space="preserve">N959MJ  </v>
      </c>
      <c r="BC2780">
        <v>1</v>
      </c>
      <c r="BE2780">
        <v>0</v>
      </c>
      <c r="BF2780">
        <v>0</v>
      </c>
      <c r="BG2780">
        <v>0</v>
      </c>
      <c r="BH2780">
        <v>3875</v>
      </c>
      <c r="BI2780">
        <v>175</v>
      </c>
      <c r="BJ2780">
        <v>1</v>
      </c>
      <c r="BK2780">
        <v>1</v>
      </c>
      <c r="BL2780">
        <v>1</v>
      </c>
      <c r="BM2780">
        <v>0</v>
      </c>
      <c r="BP2780">
        <v>0</v>
      </c>
      <c r="BQ2780">
        <v>0</v>
      </c>
      <c r="BX2780" t="str">
        <f>"14:36:40.406"</f>
        <v>14:36:40.406</v>
      </c>
      <c r="BY2780" t="str">
        <f>"403225646"</f>
        <v>403225646</v>
      </c>
      <c r="CL2780">
        <v>0</v>
      </c>
      <c r="CM2780">
        <v>2</v>
      </c>
      <c r="CN2780">
        <v>0</v>
      </c>
      <c r="CO2780">
        <v>2</v>
      </c>
      <c r="CP2780">
        <v>0</v>
      </c>
      <c r="CQ2780">
        <v>6</v>
      </c>
      <c r="CR2780" t="s">
        <v>116</v>
      </c>
      <c r="CS2780">
        <v>39</v>
      </c>
      <c r="CT2780">
        <v>0</v>
      </c>
      <c r="CU2780" t="s">
        <v>2259</v>
      </c>
      <c r="CV2780" t="s">
        <v>2260</v>
      </c>
      <c r="CY2780">
        <v>2410104</v>
      </c>
      <c r="CZ2780" t="s">
        <v>119</v>
      </c>
    </row>
    <row r="2781" spans="1:104" x14ac:dyDescent="0.25">
      <c r="A2781" t="str">
        <f>"14:36:41.523"</f>
        <v>14:36:41.523</v>
      </c>
      <c r="B2781" t="s">
        <v>108</v>
      </c>
      <c r="C2781" t="str">
        <f t="shared" si="130"/>
        <v>ffdfd3c0</v>
      </c>
      <c r="D2781" t="s">
        <v>109</v>
      </c>
      <c r="E2781">
        <v>4</v>
      </c>
      <c r="F2781">
        <v>1004</v>
      </c>
      <c r="G2781" t="s">
        <v>110</v>
      </c>
      <c r="J2781" t="s">
        <v>111</v>
      </c>
      <c r="K2781">
        <v>0</v>
      </c>
      <c r="L2781">
        <v>3</v>
      </c>
      <c r="M2781">
        <v>0</v>
      </c>
      <c r="N2781">
        <v>2</v>
      </c>
      <c r="O2781">
        <v>1</v>
      </c>
      <c r="P2781">
        <v>0</v>
      </c>
      <c r="Q2781">
        <v>0</v>
      </c>
      <c r="R2781" t="s">
        <v>112</v>
      </c>
      <c r="S2781" t="str">
        <f>"14:36:41.352"</f>
        <v>14:36:41.352</v>
      </c>
      <c r="T2781" t="str">
        <f>"14:36:40.953"</f>
        <v>14:36:40.953</v>
      </c>
      <c r="U2781" t="str">
        <f t="shared" si="129"/>
        <v>ad5732</v>
      </c>
      <c r="V2781">
        <v>0</v>
      </c>
      <c r="W2781">
        <v>0</v>
      </c>
      <c r="X2781">
        <v>1</v>
      </c>
      <c r="Z2781">
        <v>0</v>
      </c>
      <c r="AA2781">
        <v>9</v>
      </c>
      <c r="AB2781">
        <v>3</v>
      </c>
      <c r="AC2781">
        <v>0</v>
      </c>
      <c r="AD2781">
        <v>10</v>
      </c>
      <c r="AE2781">
        <v>0</v>
      </c>
      <c r="AF2781">
        <v>3</v>
      </c>
      <c r="AG2781">
        <v>2</v>
      </c>
      <c r="AH2781">
        <v>0</v>
      </c>
      <c r="AI2781" t="s">
        <v>5678</v>
      </c>
      <c r="AJ2781">
        <v>40.249186000000002</v>
      </c>
      <c r="AK2781" t="s">
        <v>5679</v>
      </c>
      <c r="AL2781">
        <v>-75.207831999999996</v>
      </c>
      <c r="AM2781">
        <v>100</v>
      </c>
      <c r="AN2781">
        <v>3700</v>
      </c>
      <c r="AO2781" t="s">
        <v>115</v>
      </c>
      <c r="AP2781">
        <v>127</v>
      </c>
      <c r="AQ2781">
        <v>120</v>
      </c>
      <c r="AR2781">
        <v>0</v>
      </c>
      <c r="AZ2781">
        <v>3614</v>
      </c>
      <c r="BA2781">
        <v>1</v>
      </c>
      <c r="BB2781" t="str">
        <f t="shared" si="131"/>
        <v xml:space="preserve">N959MJ  </v>
      </c>
      <c r="BC2781">
        <v>1</v>
      </c>
      <c r="BE2781">
        <v>0</v>
      </c>
      <c r="BF2781">
        <v>0</v>
      </c>
      <c r="BG2781">
        <v>0</v>
      </c>
      <c r="BH2781">
        <v>3875</v>
      </c>
      <c r="BI2781">
        <v>175</v>
      </c>
      <c r="BJ2781">
        <v>1</v>
      </c>
      <c r="BK2781">
        <v>1</v>
      </c>
      <c r="BL2781">
        <v>1</v>
      </c>
      <c r="BM2781">
        <v>0</v>
      </c>
      <c r="BP2781">
        <v>0</v>
      </c>
      <c r="BQ2781">
        <v>0</v>
      </c>
      <c r="BX2781" t="str">
        <f>"14:36:41.352"</f>
        <v>14:36:41.352</v>
      </c>
      <c r="BY2781" t="str">
        <f>"355152848"</f>
        <v>355152848</v>
      </c>
      <c r="CL2781">
        <v>0</v>
      </c>
      <c r="CM2781">
        <v>2</v>
      </c>
      <c r="CN2781">
        <v>0</v>
      </c>
      <c r="CO2781">
        <v>2</v>
      </c>
      <c r="CP2781">
        <v>0</v>
      </c>
      <c r="CQ2781">
        <v>6</v>
      </c>
      <c r="CR2781" t="s">
        <v>116</v>
      </c>
      <c r="CS2781">
        <v>39</v>
      </c>
      <c r="CT2781">
        <v>0</v>
      </c>
      <c r="CU2781" t="s">
        <v>2259</v>
      </c>
      <c r="CV2781" t="s">
        <v>2260</v>
      </c>
      <c r="CY2781">
        <v>2411568</v>
      </c>
      <c r="CZ2781" t="s">
        <v>119</v>
      </c>
    </row>
    <row r="2782" spans="1:104" x14ac:dyDescent="0.25">
      <c r="A2782" t="str">
        <f>"14:36:42.430"</f>
        <v>14:36:42.430</v>
      </c>
      <c r="B2782" t="s">
        <v>108</v>
      </c>
      <c r="C2782" t="str">
        <f t="shared" si="130"/>
        <v>ffdfd3c0</v>
      </c>
      <c r="D2782" t="s">
        <v>109</v>
      </c>
      <c r="E2782">
        <v>4</v>
      </c>
      <c r="F2782">
        <v>1004</v>
      </c>
      <c r="G2782" t="s">
        <v>110</v>
      </c>
      <c r="J2782" t="s">
        <v>111</v>
      </c>
      <c r="K2782">
        <v>0</v>
      </c>
      <c r="L2782">
        <v>3</v>
      </c>
      <c r="M2782">
        <v>0</v>
      </c>
      <c r="N2782">
        <v>2</v>
      </c>
      <c r="O2782">
        <v>1</v>
      </c>
      <c r="P2782">
        <v>0</v>
      </c>
      <c r="Q2782">
        <v>0</v>
      </c>
      <c r="R2782" t="s">
        <v>112</v>
      </c>
      <c r="S2782" t="str">
        <f>"14:36:42.234"</f>
        <v>14:36:42.234</v>
      </c>
      <c r="T2782" t="str">
        <f>"14:36:41.836"</f>
        <v>14:36:41.836</v>
      </c>
      <c r="U2782" t="str">
        <f t="shared" si="129"/>
        <v>ad5732</v>
      </c>
      <c r="V2782">
        <v>0</v>
      </c>
      <c r="W2782">
        <v>0</v>
      </c>
      <c r="X2782">
        <v>1</v>
      </c>
      <c r="Z2782">
        <v>0</v>
      </c>
      <c r="AA2782">
        <v>9</v>
      </c>
      <c r="AB2782">
        <v>3</v>
      </c>
      <c r="AC2782">
        <v>0</v>
      </c>
      <c r="AD2782">
        <v>10</v>
      </c>
      <c r="AE2782">
        <v>0</v>
      </c>
      <c r="AF2782">
        <v>3</v>
      </c>
      <c r="AG2782">
        <v>2</v>
      </c>
      <c r="AH2782">
        <v>0</v>
      </c>
      <c r="AI2782" t="s">
        <v>5680</v>
      </c>
      <c r="AJ2782">
        <v>40.249679</v>
      </c>
      <c r="AK2782" t="s">
        <v>5681</v>
      </c>
      <c r="AL2782">
        <v>-75.207166999999998</v>
      </c>
      <c r="AM2782">
        <v>100</v>
      </c>
      <c r="AN2782">
        <v>3700</v>
      </c>
      <c r="AO2782" t="s">
        <v>115</v>
      </c>
      <c r="AP2782">
        <v>127</v>
      </c>
      <c r="AQ2782">
        <v>120</v>
      </c>
      <c r="AR2782">
        <v>-128</v>
      </c>
      <c r="AZ2782">
        <v>3614</v>
      </c>
      <c r="BA2782">
        <v>1</v>
      </c>
      <c r="BB2782" t="str">
        <f t="shared" si="131"/>
        <v xml:space="preserve">N959MJ  </v>
      </c>
      <c r="BC2782">
        <v>1</v>
      </c>
      <c r="BE2782">
        <v>0</v>
      </c>
      <c r="BF2782">
        <v>0</v>
      </c>
      <c r="BG2782">
        <v>0</v>
      </c>
      <c r="BH2782">
        <v>3875</v>
      </c>
      <c r="BI2782">
        <v>175</v>
      </c>
      <c r="BJ2782">
        <v>1</v>
      </c>
      <c r="BK2782">
        <v>1</v>
      </c>
      <c r="BL2782">
        <v>1</v>
      </c>
      <c r="BM2782">
        <v>0</v>
      </c>
      <c r="BP2782">
        <v>0</v>
      </c>
      <c r="BQ2782">
        <v>0</v>
      </c>
      <c r="BX2782" t="str">
        <f>"14:36:42.234"</f>
        <v>14:36:42.234</v>
      </c>
      <c r="BY2782" t="str">
        <f>"234989207"</f>
        <v>234989207</v>
      </c>
      <c r="CL2782">
        <v>0</v>
      </c>
      <c r="CM2782">
        <v>2</v>
      </c>
      <c r="CN2782">
        <v>0</v>
      </c>
      <c r="CO2782">
        <v>2</v>
      </c>
      <c r="CP2782">
        <v>0</v>
      </c>
      <c r="CQ2782">
        <v>6</v>
      </c>
      <c r="CR2782" t="s">
        <v>116</v>
      </c>
      <c r="CS2782">
        <v>39</v>
      </c>
      <c r="CT2782">
        <v>0</v>
      </c>
      <c r="CU2782" t="s">
        <v>2259</v>
      </c>
      <c r="CV2782" t="s">
        <v>2260</v>
      </c>
      <c r="CY2782">
        <v>2412955</v>
      </c>
      <c r="CZ2782" t="s">
        <v>119</v>
      </c>
    </row>
    <row r="2783" spans="1:104" x14ac:dyDescent="0.25">
      <c r="A2783" t="str">
        <f>"14:36:43.492"</f>
        <v>14:36:43.492</v>
      </c>
      <c r="B2783" t="s">
        <v>108</v>
      </c>
      <c r="C2783" t="str">
        <f t="shared" si="130"/>
        <v>ffdfd3c0</v>
      </c>
      <c r="D2783" t="s">
        <v>109</v>
      </c>
      <c r="E2783">
        <v>4</v>
      </c>
      <c r="F2783">
        <v>1004</v>
      </c>
      <c r="G2783" t="s">
        <v>110</v>
      </c>
      <c r="J2783" t="s">
        <v>111</v>
      </c>
      <c r="K2783">
        <v>0</v>
      </c>
      <c r="L2783">
        <v>3</v>
      </c>
      <c r="M2783">
        <v>0</v>
      </c>
      <c r="N2783">
        <v>2</v>
      </c>
      <c r="O2783">
        <v>1</v>
      </c>
      <c r="P2783">
        <v>0</v>
      </c>
      <c r="Q2783">
        <v>0</v>
      </c>
      <c r="R2783" t="s">
        <v>112</v>
      </c>
      <c r="S2783" t="str">
        <f>"14:36:43.320"</f>
        <v>14:36:43.320</v>
      </c>
      <c r="T2783" t="str">
        <f>"14:36:42.820"</f>
        <v>14:36:42.820</v>
      </c>
      <c r="U2783" t="str">
        <f t="shared" si="129"/>
        <v>ad5732</v>
      </c>
      <c r="V2783">
        <v>0</v>
      </c>
      <c r="W2783">
        <v>0</v>
      </c>
      <c r="X2783">
        <v>1</v>
      </c>
      <c r="Z2783">
        <v>0</v>
      </c>
      <c r="AA2783">
        <v>9</v>
      </c>
      <c r="AB2783">
        <v>3</v>
      </c>
      <c r="AC2783">
        <v>0</v>
      </c>
      <c r="AD2783">
        <v>10</v>
      </c>
      <c r="AE2783">
        <v>0</v>
      </c>
      <c r="AF2783">
        <v>3</v>
      </c>
      <c r="AG2783">
        <v>2</v>
      </c>
      <c r="AH2783">
        <v>0</v>
      </c>
      <c r="AI2783" t="s">
        <v>5682</v>
      </c>
      <c r="AJ2783">
        <v>40.250279999999997</v>
      </c>
      <c r="AK2783" t="s">
        <v>5683</v>
      </c>
      <c r="AL2783">
        <v>-75.206308000000007</v>
      </c>
      <c r="AM2783">
        <v>100</v>
      </c>
      <c r="AN2783">
        <v>3700</v>
      </c>
      <c r="AO2783" t="s">
        <v>115</v>
      </c>
      <c r="AP2783">
        <v>127</v>
      </c>
      <c r="AQ2783">
        <v>120</v>
      </c>
      <c r="AR2783">
        <v>-128</v>
      </c>
      <c r="AZ2783">
        <v>3614</v>
      </c>
      <c r="BA2783">
        <v>1</v>
      </c>
      <c r="BB2783" t="str">
        <f t="shared" si="131"/>
        <v xml:space="preserve">N959MJ  </v>
      </c>
      <c r="BC2783">
        <v>1</v>
      </c>
      <c r="BE2783">
        <v>0</v>
      </c>
      <c r="BF2783">
        <v>0</v>
      </c>
      <c r="BG2783">
        <v>0</v>
      </c>
      <c r="BH2783">
        <v>3850</v>
      </c>
      <c r="BI2783">
        <v>150</v>
      </c>
      <c r="BJ2783">
        <v>1</v>
      </c>
      <c r="BK2783">
        <v>1</v>
      </c>
      <c r="BL2783">
        <v>1</v>
      </c>
      <c r="BM2783">
        <v>0</v>
      </c>
      <c r="BP2783">
        <v>0</v>
      </c>
      <c r="BQ2783">
        <v>0</v>
      </c>
      <c r="BX2783" t="str">
        <f>"14:36:43.328"</f>
        <v>14:36:43.328</v>
      </c>
      <c r="BY2783" t="str">
        <f>"326139244"</f>
        <v>326139244</v>
      </c>
      <c r="CL2783">
        <v>0</v>
      </c>
      <c r="CM2783">
        <v>2</v>
      </c>
      <c r="CN2783">
        <v>0</v>
      </c>
      <c r="CO2783">
        <v>2</v>
      </c>
      <c r="CP2783">
        <v>0</v>
      </c>
      <c r="CQ2783">
        <v>6</v>
      </c>
      <c r="CR2783" t="s">
        <v>116</v>
      </c>
      <c r="CS2783">
        <v>38</v>
      </c>
      <c r="CT2783">
        <v>3</v>
      </c>
      <c r="CU2783" t="s">
        <v>4719</v>
      </c>
      <c r="CV2783" t="s">
        <v>4720</v>
      </c>
      <c r="CY2783">
        <v>10198276</v>
      </c>
      <c r="CZ2783" t="s">
        <v>119</v>
      </c>
    </row>
    <row r="2784" spans="1:104" x14ac:dyDescent="0.25">
      <c r="A2784" t="str">
        <f>"14:36:44.500"</f>
        <v>14:36:44.500</v>
      </c>
      <c r="B2784" t="s">
        <v>108</v>
      </c>
      <c r="C2784" t="str">
        <f t="shared" si="130"/>
        <v>ffdfd3c0</v>
      </c>
      <c r="D2784" t="s">
        <v>109</v>
      </c>
      <c r="E2784">
        <v>4</v>
      </c>
      <c r="F2784">
        <v>1004</v>
      </c>
      <c r="G2784" t="s">
        <v>110</v>
      </c>
      <c r="J2784" t="s">
        <v>111</v>
      </c>
      <c r="K2784">
        <v>0</v>
      </c>
      <c r="L2784">
        <v>3</v>
      </c>
      <c r="M2784">
        <v>0</v>
      </c>
      <c r="N2784">
        <v>2</v>
      </c>
      <c r="O2784">
        <v>1</v>
      </c>
      <c r="P2784">
        <v>0</v>
      </c>
      <c r="Q2784">
        <v>0</v>
      </c>
      <c r="R2784" t="s">
        <v>112</v>
      </c>
      <c r="S2784" t="str">
        <f>"14:36:44.336"</f>
        <v>14:36:44.336</v>
      </c>
      <c r="T2784" t="str">
        <f>"14:36:43.836"</f>
        <v>14:36:43.836</v>
      </c>
      <c r="U2784" t="str">
        <f t="shared" si="129"/>
        <v>ad5732</v>
      </c>
      <c r="V2784">
        <v>0</v>
      </c>
      <c r="W2784">
        <v>0</v>
      </c>
      <c r="X2784">
        <v>1</v>
      </c>
      <c r="Z2784">
        <v>0</v>
      </c>
      <c r="AA2784">
        <v>9</v>
      </c>
      <c r="AB2784">
        <v>3</v>
      </c>
      <c r="AC2784">
        <v>0</v>
      </c>
      <c r="AD2784">
        <v>10</v>
      </c>
      <c r="AE2784">
        <v>0</v>
      </c>
      <c r="AF2784">
        <v>3</v>
      </c>
      <c r="AG2784">
        <v>2</v>
      </c>
      <c r="AH2784">
        <v>0</v>
      </c>
      <c r="AI2784" t="s">
        <v>5684</v>
      </c>
      <c r="AJ2784">
        <v>40.250881</v>
      </c>
      <c r="AK2784" t="s">
        <v>5685</v>
      </c>
      <c r="AL2784">
        <v>-75.205513999999994</v>
      </c>
      <c r="AM2784">
        <v>100</v>
      </c>
      <c r="AN2784">
        <v>3700</v>
      </c>
      <c r="AO2784" t="s">
        <v>115</v>
      </c>
      <c r="AP2784">
        <v>127</v>
      </c>
      <c r="AQ2784">
        <v>121</v>
      </c>
      <c r="AR2784">
        <v>-128</v>
      </c>
      <c r="AZ2784">
        <v>3614</v>
      </c>
      <c r="BA2784">
        <v>1</v>
      </c>
      <c r="BB2784" t="str">
        <f t="shared" si="131"/>
        <v xml:space="preserve">N959MJ  </v>
      </c>
      <c r="BC2784">
        <v>1</v>
      </c>
      <c r="BE2784">
        <v>0</v>
      </c>
      <c r="BF2784">
        <v>0</v>
      </c>
      <c r="BG2784">
        <v>0</v>
      </c>
      <c r="BH2784">
        <v>3850</v>
      </c>
      <c r="BI2784">
        <v>150</v>
      </c>
      <c r="BJ2784">
        <v>1</v>
      </c>
      <c r="BK2784">
        <v>1</v>
      </c>
      <c r="BL2784">
        <v>1</v>
      </c>
      <c r="BM2784">
        <v>0</v>
      </c>
      <c r="BP2784">
        <v>0</v>
      </c>
      <c r="BQ2784">
        <v>0</v>
      </c>
      <c r="BX2784" t="str">
        <f>"14:36:44.344"</f>
        <v>14:36:44.344</v>
      </c>
      <c r="BY2784" t="str">
        <f>"340370448"</f>
        <v>340370448</v>
      </c>
      <c r="CL2784">
        <v>0</v>
      </c>
      <c r="CM2784">
        <v>2</v>
      </c>
      <c r="CN2784">
        <v>0</v>
      </c>
      <c r="CO2784">
        <v>2</v>
      </c>
      <c r="CP2784">
        <v>0</v>
      </c>
      <c r="CQ2784">
        <v>6</v>
      </c>
      <c r="CR2784" t="s">
        <v>116</v>
      </c>
      <c r="CS2784">
        <v>39</v>
      </c>
      <c r="CT2784">
        <v>0</v>
      </c>
      <c r="CU2784" t="s">
        <v>2259</v>
      </c>
      <c r="CV2784" t="s">
        <v>2260</v>
      </c>
      <c r="CY2784">
        <v>2416394</v>
      </c>
      <c r="CZ2784" t="s">
        <v>119</v>
      </c>
    </row>
    <row r="2785" spans="1:104" x14ac:dyDescent="0.25">
      <c r="A2785" t="str">
        <f>"14:36:45.516"</f>
        <v>14:36:45.516</v>
      </c>
      <c r="B2785" t="s">
        <v>108</v>
      </c>
      <c r="C2785" t="str">
        <f t="shared" si="130"/>
        <v>ffdfd3c0</v>
      </c>
      <c r="D2785" t="s">
        <v>109</v>
      </c>
      <c r="E2785">
        <v>4</v>
      </c>
      <c r="F2785">
        <v>1004</v>
      </c>
      <c r="G2785" t="s">
        <v>110</v>
      </c>
      <c r="J2785" t="s">
        <v>111</v>
      </c>
      <c r="K2785">
        <v>0</v>
      </c>
      <c r="L2785">
        <v>3</v>
      </c>
      <c r="M2785">
        <v>0</v>
      </c>
      <c r="N2785">
        <v>2</v>
      </c>
      <c r="O2785">
        <v>1</v>
      </c>
      <c r="P2785">
        <v>0</v>
      </c>
      <c r="Q2785">
        <v>0</v>
      </c>
      <c r="R2785" t="s">
        <v>112</v>
      </c>
      <c r="S2785" t="str">
        <f>"14:36:45.320"</f>
        <v>14:36:45.320</v>
      </c>
      <c r="T2785" t="str">
        <f>"14:36:44.820"</f>
        <v>14:36:44.820</v>
      </c>
      <c r="U2785" t="str">
        <f t="shared" si="129"/>
        <v>ad5732</v>
      </c>
      <c r="V2785">
        <v>0</v>
      </c>
      <c r="W2785">
        <v>0</v>
      </c>
      <c r="X2785">
        <v>1</v>
      </c>
      <c r="Z2785">
        <v>0</v>
      </c>
      <c r="AA2785">
        <v>9</v>
      </c>
      <c r="AB2785">
        <v>3</v>
      </c>
      <c r="AC2785">
        <v>0</v>
      </c>
      <c r="AD2785">
        <v>10</v>
      </c>
      <c r="AE2785">
        <v>0</v>
      </c>
      <c r="AF2785">
        <v>3</v>
      </c>
      <c r="AG2785">
        <v>2</v>
      </c>
      <c r="AH2785">
        <v>0</v>
      </c>
      <c r="AI2785" t="s">
        <v>5686</v>
      </c>
      <c r="AJ2785">
        <v>40.251438999999998</v>
      </c>
      <c r="AK2785" t="s">
        <v>5687</v>
      </c>
      <c r="AL2785">
        <v>-75.204763</v>
      </c>
      <c r="AM2785">
        <v>100</v>
      </c>
      <c r="AN2785">
        <v>3700</v>
      </c>
      <c r="AO2785" t="s">
        <v>115</v>
      </c>
      <c r="AP2785">
        <v>127</v>
      </c>
      <c r="AQ2785">
        <v>121</v>
      </c>
      <c r="AR2785">
        <v>-256</v>
      </c>
      <c r="AZ2785">
        <v>3614</v>
      </c>
      <c r="BA2785">
        <v>1</v>
      </c>
      <c r="BB2785" t="str">
        <f t="shared" si="131"/>
        <v xml:space="preserve">N959MJ  </v>
      </c>
      <c r="BC2785">
        <v>1</v>
      </c>
      <c r="BE2785">
        <v>0</v>
      </c>
      <c r="BF2785">
        <v>0</v>
      </c>
      <c r="BG2785">
        <v>0</v>
      </c>
      <c r="BH2785">
        <v>3850</v>
      </c>
      <c r="BI2785">
        <v>150</v>
      </c>
      <c r="BJ2785">
        <v>1</v>
      </c>
      <c r="BK2785">
        <v>1</v>
      </c>
      <c r="BL2785">
        <v>1</v>
      </c>
      <c r="BM2785">
        <v>0</v>
      </c>
      <c r="BP2785">
        <v>0</v>
      </c>
      <c r="BQ2785">
        <v>0</v>
      </c>
      <c r="BX2785" t="str">
        <f>"14:36:45.320"</f>
        <v>14:36:45.320</v>
      </c>
      <c r="BY2785" t="str">
        <f>"323383097"</f>
        <v>323383097</v>
      </c>
      <c r="CL2785">
        <v>0</v>
      </c>
      <c r="CM2785">
        <v>2</v>
      </c>
      <c r="CN2785">
        <v>0</v>
      </c>
      <c r="CO2785">
        <v>2</v>
      </c>
      <c r="CP2785">
        <v>0</v>
      </c>
      <c r="CQ2785">
        <v>6</v>
      </c>
      <c r="CR2785" t="s">
        <v>116</v>
      </c>
      <c r="CS2785">
        <v>38</v>
      </c>
      <c r="CT2785">
        <v>3</v>
      </c>
      <c r="CU2785" t="s">
        <v>4719</v>
      </c>
      <c r="CV2785" t="s">
        <v>4720</v>
      </c>
      <c r="CY2785">
        <v>10202149</v>
      </c>
      <c r="CZ2785" t="s">
        <v>119</v>
      </c>
    </row>
    <row r="2786" spans="1:104" x14ac:dyDescent="0.25">
      <c r="A2786" t="str">
        <f>"14:36:46.625"</f>
        <v>14:36:46.625</v>
      </c>
      <c r="B2786" t="s">
        <v>108</v>
      </c>
      <c r="C2786" t="str">
        <f t="shared" si="130"/>
        <v>ffdfd3c0</v>
      </c>
      <c r="D2786" t="s">
        <v>109</v>
      </c>
      <c r="E2786">
        <v>4</v>
      </c>
      <c r="F2786">
        <v>1004</v>
      </c>
      <c r="G2786" t="s">
        <v>110</v>
      </c>
      <c r="J2786" t="s">
        <v>111</v>
      </c>
      <c r="K2786">
        <v>0</v>
      </c>
      <c r="L2786">
        <v>3</v>
      </c>
      <c r="M2786">
        <v>0</v>
      </c>
      <c r="N2786">
        <v>2</v>
      </c>
      <c r="O2786">
        <v>1</v>
      </c>
      <c r="P2786">
        <v>0</v>
      </c>
      <c r="Q2786">
        <v>0</v>
      </c>
      <c r="R2786" t="s">
        <v>112</v>
      </c>
      <c r="S2786" t="str">
        <f>"14:36:46.445"</f>
        <v>14:36:46.445</v>
      </c>
      <c r="T2786" t="str">
        <f>"14:36:45.945"</f>
        <v>14:36:45.945</v>
      </c>
      <c r="U2786" t="str">
        <f t="shared" si="129"/>
        <v>ad5732</v>
      </c>
      <c r="V2786">
        <v>0</v>
      </c>
      <c r="W2786">
        <v>0</v>
      </c>
      <c r="X2786">
        <v>1</v>
      </c>
      <c r="Z2786">
        <v>0</v>
      </c>
      <c r="AA2786">
        <v>9</v>
      </c>
      <c r="AB2786">
        <v>3</v>
      </c>
      <c r="AC2786">
        <v>0</v>
      </c>
      <c r="AD2786">
        <v>10</v>
      </c>
      <c r="AE2786">
        <v>0</v>
      </c>
      <c r="AF2786">
        <v>3</v>
      </c>
      <c r="AG2786">
        <v>2</v>
      </c>
      <c r="AH2786">
        <v>0</v>
      </c>
      <c r="AI2786" t="s">
        <v>5688</v>
      </c>
      <c r="AJ2786">
        <v>40.252039000000003</v>
      </c>
      <c r="AK2786" t="s">
        <v>5689</v>
      </c>
      <c r="AL2786">
        <v>-75.203905000000006</v>
      </c>
      <c r="AM2786">
        <v>100</v>
      </c>
      <c r="AN2786">
        <v>3700</v>
      </c>
      <c r="AO2786" t="s">
        <v>115</v>
      </c>
      <c r="AP2786">
        <v>127</v>
      </c>
      <c r="AQ2786">
        <v>121</v>
      </c>
      <c r="AR2786">
        <v>-128</v>
      </c>
      <c r="AZ2786">
        <v>3614</v>
      </c>
      <c r="BA2786">
        <v>1</v>
      </c>
      <c r="BB2786" t="str">
        <f t="shared" si="131"/>
        <v xml:space="preserve">N959MJ  </v>
      </c>
      <c r="BC2786">
        <v>1</v>
      </c>
      <c r="BE2786">
        <v>0</v>
      </c>
      <c r="BF2786">
        <v>0</v>
      </c>
      <c r="BG2786">
        <v>0</v>
      </c>
      <c r="BH2786">
        <v>3850</v>
      </c>
      <c r="BI2786">
        <v>150</v>
      </c>
      <c r="BJ2786">
        <v>1</v>
      </c>
      <c r="BK2786">
        <v>1</v>
      </c>
      <c r="BL2786">
        <v>1</v>
      </c>
      <c r="BM2786">
        <v>0</v>
      </c>
      <c r="BP2786">
        <v>0</v>
      </c>
      <c r="BQ2786">
        <v>0</v>
      </c>
      <c r="BX2786" t="str">
        <f>"14:36:46.453"</f>
        <v>14:36:46.453</v>
      </c>
      <c r="BY2786" t="str">
        <f>"452260109"</f>
        <v>452260109</v>
      </c>
      <c r="CL2786">
        <v>0</v>
      </c>
      <c r="CM2786">
        <v>2</v>
      </c>
      <c r="CN2786">
        <v>0</v>
      </c>
      <c r="CO2786">
        <v>2</v>
      </c>
      <c r="CP2786">
        <v>0</v>
      </c>
      <c r="CQ2786">
        <v>6</v>
      </c>
      <c r="CR2786" t="s">
        <v>116</v>
      </c>
      <c r="CS2786">
        <v>38</v>
      </c>
      <c r="CT2786">
        <v>3</v>
      </c>
      <c r="CU2786" t="s">
        <v>4719</v>
      </c>
      <c r="CV2786" t="s">
        <v>4720</v>
      </c>
      <c r="CY2786">
        <v>10204066</v>
      </c>
      <c r="CZ2786" t="s">
        <v>119</v>
      </c>
    </row>
    <row r="2787" spans="1:104" x14ac:dyDescent="0.25">
      <c r="A2787" t="str">
        <f>"14:36:47.484"</f>
        <v>14:36:47.484</v>
      </c>
      <c r="B2787" t="s">
        <v>108</v>
      </c>
      <c r="C2787" t="str">
        <f t="shared" si="130"/>
        <v>ffdfd3c0</v>
      </c>
      <c r="D2787" t="s">
        <v>109</v>
      </c>
      <c r="E2787">
        <v>4</v>
      </c>
      <c r="F2787">
        <v>1004</v>
      </c>
      <c r="G2787" t="s">
        <v>110</v>
      </c>
      <c r="J2787" t="s">
        <v>111</v>
      </c>
      <c r="K2787">
        <v>0</v>
      </c>
      <c r="L2787">
        <v>3</v>
      </c>
      <c r="M2787">
        <v>0</v>
      </c>
      <c r="N2787">
        <v>2</v>
      </c>
      <c r="O2787">
        <v>1</v>
      </c>
      <c r="P2787">
        <v>0</v>
      </c>
      <c r="Q2787">
        <v>0</v>
      </c>
      <c r="R2787" t="s">
        <v>112</v>
      </c>
      <c r="S2787" t="str">
        <f>"14:36:47.297"</f>
        <v>14:36:47.297</v>
      </c>
      <c r="T2787" t="str">
        <f>"14:36:46.500"</f>
        <v>14:36:46.500</v>
      </c>
      <c r="U2787" t="str">
        <f t="shared" si="129"/>
        <v>ad5732</v>
      </c>
      <c r="V2787">
        <v>0</v>
      </c>
      <c r="W2787">
        <v>0</v>
      </c>
      <c r="X2787">
        <v>1</v>
      </c>
      <c r="Z2787">
        <v>0</v>
      </c>
      <c r="AA2787">
        <v>9</v>
      </c>
      <c r="AB2787">
        <v>3</v>
      </c>
      <c r="AC2787">
        <v>0</v>
      </c>
      <c r="AD2787">
        <v>10</v>
      </c>
      <c r="AE2787">
        <v>0</v>
      </c>
      <c r="AF2787">
        <v>3</v>
      </c>
      <c r="AG2787">
        <v>2</v>
      </c>
      <c r="AH2787">
        <v>0</v>
      </c>
      <c r="AI2787" t="s">
        <v>5690</v>
      </c>
      <c r="AJ2787">
        <v>40.252468999999998</v>
      </c>
      <c r="AK2787" t="s">
        <v>5691</v>
      </c>
      <c r="AL2787">
        <v>-75.203282999999999</v>
      </c>
      <c r="AM2787">
        <v>100</v>
      </c>
      <c r="AN2787">
        <v>3700</v>
      </c>
      <c r="AO2787" t="s">
        <v>115</v>
      </c>
      <c r="AP2787">
        <v>127</v>
      </c>
      <c r="AQ2787">
        <v>121</v>
      </c>
      <c r="AR2787">
        <v>-128</v>
      </c>
      <c r="AZ2787">
        <v>3614</v>
      </c>
      <c r="BA2787">
        <v>1</v>
      </c>
      <c r="BB2787" t="str">
        <f t="shared" si="131"/>
        <v xml:space="preserve">N959MJ  </v>
      </c>
      <c r="BC2787">
        <v>1</v>
      </c>
      <c r="BE2787">
        <v>0</v>
      </c>
      <c r="BF2787">
        <v>0</v>
      </c>
      <c r="BG2787">
        <v>0</v>
      </c>
      <c r="BH2787">
        <v>3850</v>
      </c>
      <c r="BI2787">
        <v>150</v>
      </c>
      <c r="BJ2787">
        <v>1</v>
      </c>
      <c r="BK2787">
        <v>1</v>
      </c>
      <c r="BL2787">
        <v>1</v>
      </c>
      <c r="BM2787">
        <v>0</v>
      </c>
      <c r="BP2787">
        <v>0</v>
      </c>
      <c r="BQ2787">
        <v>0</v>
      </c>
      <c r="BX2787" t="str">
        <f>"14:36:47.297"</f>
        <v>14:36:47.297</v>
      </c>
      <c r="BY2787" t="str">
        <f>"299373195"</f>
        <v>299373195</v>
      </c>
      <c r="CL2787">
        <v>0</v>
      </c>
      <c r="CM2787">
        <v>2</v>
      </c>
      <c r="CN2787">
        <v>0</v>
      </c>
      <c r="CO2787">
        <v>2</v>
      </c>
      <c r="CP2787">
        <v>0</v>
      </c>
      <c r="CQ2787">
        <v>6</v>
      </c>
      <c r="CR2787" t="s">
        <v>116</v>
      </c>
      <c r="CS2787">
        <v>39</v>
      </c>
      <c r="CT2787">
        <v>0</v>
      </c>
      <c r="CU2787" t="s">
        <v>2259</v>
      </c>
      <c r="CV2787" t="s">
        <v>2260</v>
      </c>
      <c r="CY2787">
        <v>2420990</v>
      </c>
      <c r="CZ2787" t="s">
        <v>119</v>
      </c>
    </row>
    <row r="2788" spans="1:104" x14ac:dyDescent="0.25">
      <c r="A2788" t="str">
        <f>"14:36:48.594"</f>
        <v>14:36:48.594</v>
      </c>
      <c r="B2788" t="s">
        <v>108</v>
      </c>
      <c r="C2788" t="str">
        <f t="shared" si="130"/>
        <v>ffdfd3c0</v>
      </c>
      <c r="D2788" t="s">
        <v>109</v>
      </c>
      <c r="E2788">
        <v>4</v>
      </c>
      <c r="F2788">
        <v>1004</v>
      </c>
      <c r="G2788" t="s">
        <v>110</v>
      </c>
      <c r="J2788" t="s">
        <v>111</v>
      </c>
      <c r="K2788">
        <v>0</v>
      </c>
      <c r="L2788">
        <v>3</v>
      </c>
      <c r="M2788">
        <v>0</v>
      </c>
      <c r="N2788">
        <v>2</v>
      </c>
      <c r="O2788">
        <v>1</v>
      </c>
      <c r="P2788">
        <v>0</v>
      </c>
      <c r="Q2788">
        <v>0</v>
      </c>
      <c r="R2788" t="s">
        <v>112</v>
      </c>
      <c r="S2788" t="str">
        <f>"14:36:48.391"</f>
        <v>14:36:48.391</v>
      </c>
      <c r="T2788" t="str">
        <f>"14:36:47.891"</f>
        <v>14:36:47.891</v>
      </c>
      <c r="U2788" t="str">
        <f t="shared" si="129"/>
        <v>ad5732</v>
      </c>
      <c r="V2788">
        <v>0</v>
      </c>
      <c r="W2788">
        <v>0</v>
      </c>
      <c r="X2788">
        <v>1</v>
      </c>
      <c r="Z2788">
        <v>0</v>
      </c>
      <c r="AA2788">
        <v>9</v>
      </c>
      <c r="AB2788">
        <v>3</v>
      </c>
      <c r="AC2788">
        <v>0</v>
      </c>
      <c r="AD2788">
        <v>10</v>
      </c>
      <c r="AE2788">
        <v>0</v>
      </c>
      <c r="AF2788">
        <v>3</v>
      </c>
      <c r="AG2788">
        <v>2</v>
      </c>
      <c r="AH2788">
        <v>0</v>
      </c>
      <c r="AI2788" t="s">
        <v>5692</v>
      </c>
      <c r="AJ2788">
        <v>40.253090999999998</v>
      </c>
      <c r="AK2788" t="s">
        <v>5693</v>
      </c>
      <c r="AL2788">
        <v>-75.202445999999995</v>
      </c>
      <c r="AM2788">
        <v>100</v>
      </c>
      <c r="AN2788">
        <v>3700</v>
      </c>
      <c r="AO2788" t="s">
        <v>115</v>
      </c>
      <c r="AP2788">
        <v>127</v>
      </c>
      <c r="AQ2788">
        <v>121</v>
      </c>
      <c r="AR2788">
        <v>-64</v>
      </c>
      <c r="AZ2788">
        <v>3614</v>
      </c>
      <c r="BA2788">
        <v>1</v>
      </c>
      <c r="BB2788" t="str">
        <f t="shared" si="131"/>
        <v xml:space="preserve">N959MJ  </v>
      </c>
      <c r="BC2788">
        <v>1</v>
      </c>
      <c r="BE2788">
        <v>0</v>
      </c>
      <c r="BF2788">
        <v>0</v>
      </c>
      <c r="BG2788">
        <v>0</v>
      </c>
      <c r="BH2788">
        <v>3850</v>
      </c>
      <c r="BI2788">
        <v>150</v>
      </c>
      <c r="BJ2788">
        <v>1</v>
      </c>
      <c r="BK2788">
        <v>1</v>
      </c>
      <c r="BL2788">
        <v>1</v>
      </c>
      <c r="BM2788">
        <v>0</v>
      </c>
      <c r="BP2788">
        <v>0</v>
      </c>
      <c r="BQ2788">
        <v>0</v>
      </c>
      <c r="BX2788" t="str">
        <f>"14:36:48.398"</f>
        <v>14:36:48.398</v>
      </c>
      <c r="BY2788" t="str">
        <f>"395482166"</f>
        <v>395482166</v>
      </c>
      <c r="CL2788">
        <v>0</v>
      </c>
      <c r="CM2788">
        <v>2</v>
      </c>
      <c r="CN2788">
        <v>0</v>
      </c>
      <c r="CO2788">
        <v>2</v>
      </c>
      <c r="CP2788">
        <v>0</v>
      </c>
      <c r="CQ2788">
        <v>6</v>
      </c>
      <c r="CR2788" t="s">
        <v>116</v>
      </c>
      <c r="CS2788">
        <v>39</v>
      </c>
      <c r="CT2788">
        <v>0</v>
      </c>
      <c r="CU2788" t="s">
        <v>2259</v>
      </c>
      <c r="CV2788" t="s">
        <v>2260</v>
      </c>
      <c r="CY2788">
        <v>2422662</v>
      </c>
      <c r="CZ2788" t="s">
        <v>119</v>
      </c>
    </row>
    <row r="2789" spans="1:104" x14ac:dyDescent="0.25">
      <c r="A2789" t="str">
        <f>"14:36:49.648"</f>
        <v>14:36:49.648</v>
      </c>
      <c r="B2789" t="s">
        <v>108</v>
      </c>
      <c r="C2789" t="str">
        <f t="shared" si="130"/>
        <v>ffdfd3c0</v>
      </c>
      <c r="D2789" t="s">
        <v>109</v>
      </c>
      <c r="E2789">
        <v>4</v>
      </c>
      <c r="F2789">
        <v>1004</v>
      </c>
      <c r="G2789" t="s">
        <v>110</v>
      </c>
      <c r="J2789" t="s">
        <v>111</v>
      </c>
      <c r="K2789">
        <v>0</v>
      </c>
      <c r="L2789">
        <v>3</v>
      </c>
      <c r="M2789">
        <v>0</v>
      </c>
      <c r="N2789">
        <v>2</v>
      </c>
      <c r="O2789">
        <v>1</v>
      </c>
      <c r="P2789">
        <v>0</v>
      </c>
      <c r="Q2789">
        <v>0</v>
      </c>
      <c r="R2789" t="s">
        <v>112</v>
      </c>
      <c r="S2789" t="str">
        <f>"14:36:49.469"</f>
        <v>14:36:49.469</v>
      </c>
      <c r="T2789" t="str">
        <f>"14:36:48.969"</f>
        <v>14:36:48.969</v>
      </c>
      <c r="U2789" t="str">
        <f t="shared" si="129"/>
        <v>ad5732</v>
      </c>
      <c r="V2789">
        <v>0</v>
      </c>
      <c r="W2789">
        <v>0</v>
      </c>
      <c r="X2789">
        <v>1</v>
      </c>
      <c r="Z2789">
        <v>0</v>
      </c>
      <c r="AA2789">
        <v>9</v>
      </c>
      <c r="AB2789">
        <v>3</v>
      </c>
      <c r="AC2789">
        <v>0</v>
      </c>
      <c r="AD2789">
        <v>10</v>
      </c>
      <c r="AE2789">
        <v>0</v>
      </c>
      <c r="AF2789">
        <v>3</v>
      </c>
      <c r="AG2789">
        <v>2</v>
      </c>
      <c r="AH2789">
        <v>0</v>
      </c>
      <c r="AI2789" t="s">
        <v>5694</v>
      </c>
      <c r="AJ2789">
        <v>40.25367</v>
      </c>
      <c r="AK2789" t="s">
        <v>5695</v>
      </c>
      <c r="AL2789">
        <v>-75.201609000000005</v>
      </c>
      <c r="AM2789">
        <v>100</v>
      </c>
      <c r="AN2789">
        <v>3700</v>
      </c>
      <c r="AO2789" t="s">
        <v>115</v>
      </c>
      <c r="AP2789">
        <v>127</v>
      </c>
      <c r="AQ2789">
        <v>121</v>
      </c>
      <c r="AR2789">
        <v>0</v>
      </c>
      <c r="AZ2789">
        <v>3614</v>
      </c>
      <c r="BA2789">
        <v>1</v>
      </c>
      <c r="BB2789" t="str">
        <f t="shared" si="131"/>
        <v xml:space="preserve">N959MJ  </v>
      </c>
      <c r="BC2789">
        <v>1</v>
      </c>
      <c r="BE2789">
        <v>0</v>
      </c>
      <c r="BF2789">
        <v>0</v>
      </c>
      <c r="BG2789">
        <v>0</v>
      </c>
      <c r="BH2789">
        <v>3850</v>
      </c>
      <c r="BI2789">
        <v>150</v>
      </c>
      <c r="BJ2789">
        <v>1</v>
      </c>
      <c r="BK2789">
        <v>1</v>
      </c>
      <c r="BL2789">
        <v>1</v>
      </c>
      <c r="BM2789">
        <v>0</v>
      </c>
      <c r="BP2789">
        <v>0</v>
      </c>
      <c r="BQ2789">
        <v>0</v>
      </c>
      <c r="BX2789" t="str">
        <f>"14:36:49.469"</f>
        <v>14:36:49.469</v>
      </c>
      <c r="BY2789" t="str">
        <f>"470244667"</f>
        <v>470244667</v>
      </c>
      <c r="CL2789">
        <v>0</v>
      </c>
      <c r="CM2789">
        <v>2</v>
      </c>
      <c r="CN2789">
        <v>0</v>
      </c>
      <c r="CO2789">
        <v>2</v>
      </c>
      <c r="CP2789">
        <v>0</v>
      </c>
      <c r="CQ2789">
        <v>6</v>
      </c>
      <c r="CR2789" t="s">
        <v>116</v>
      </c>
      <c r="CS2789">
        <v>38</v>
      </c>
      <c r="CT2789">
        <v>3</v>
      </c>
      <c r="CU2789" t="s">
        <v>4719</v>
      </c>
      <c r="CV2789" t="s">
        <v>4720</v>
      </c>
      <c r="CY2789">
        <v>10209489</v>
      </c>
      <c r="CZ2789" t="s">
        <v>119</v>
      </c>
    </row>
    <row r="2790" spans="1:104" x14ac:dyDescent="0.25">
      <c r="A2790" t="str">
        <f>"14:36:50.711"</f>
        <v>14:36:50.711</v>
      </c>
      <c r="B2790" t="s">
        <v>108</v>
      </c>
      <c r="C2790" t="str">
        <f t="shared" si="130"/>
        <v>ffdfd3c0</v>
      </c>
      <c r="D2790" t="s">
        <v>109</v>
      </c>
      <c r="E2790">
        <v>4</v>
      </c>
      <c r="F2790">
        <v>1004</v>
      </c>
      <c r="G2790" t="s">
        <v>110</v>
      </c>
      <c r="J2790" t="s">
        <v>111</v>
      </c>
      <c r="K2790">
        <v>0</v>
      </c>
      <c r="L2790">
        <v>3</v>
      </c>
      <c r="M2790">
        <v>0</v>
      </c>
      <c r="N2790">
        <v>2</v>
      </c>
      <c r="O2790">
        <v>1</v>
      </c>
      <c r="P2790">
        <v>0</v>
      </c>
      <c r="Q2790">
        <v>0</v>
      </c>
      <c r="R2790" t="s">
        <v>112</v>
      </c>
      <c r="S2790" t="str">
        <f>"14:36:50.508"</f>
        <v>14:36:50.508</v>
      </c>
      <c r="T2790" t="str">
        <f>"14:36:50.109"</f>
        <v>14:36:50.109</v>
      </c>
      <c r="U2790" t="str">
        <f t="shared" si="129"/>
        <v>ad5732</v>
      </c>
      <c r="V2790">
        <v>0</v>
      </c>
      <c r="W2790">
        <v>0</v>
      </c>
      <c r="X2790">
        <v>1</v>
      </c>
      <c r="Z2790">
        <v>0</v>
      </c>
      <c r="AA2790">
        <v>9</v>
      </c>
      <c r="AB2790">
        <v>3</v>
      </c>
      <c r="AC2790">
        <v>0</v>
      </c>
      <c r="AD2790">
        <v>10</v>
      </c>
      <c r="AE2790">
        <v>0</v>
      </c>
      <c r="AF2790">
        <v>3</v>
      </c>
      <c r="AG2790">
        <v>2</v>
      </c>
      <c r="AH2790">
        <v>0</v>
      </c>
      <c r="AI2790" t="s">
        <v>5696</v>
      </c>
      <c r="AJ2790">
        <v>40.254314000000001</v>
      </c>
      <c r="AK2790" t="s">
        <v>5697</v>
      </c>
      <c r="AL2790">
        <v>-75.200750999999997</v>
      </c>
      <c r="AM2790">
        <v>100</v>
      </c>
      <c r="AN2790">
        <v>3700</v>
      </c>
      <c r="AO2790" t="s">
        <v>115</v>
      </c>
      <c r="AP2790">
        <v>127</v>
      </c>
      <c r="AQ2790">
        <v>121</v>
      </c>
      <c r="AR2790">
        <v>64</v>
      </c>
      <c r="AZ2790">
        <v>3614</v>
      </c>
      <c r="BA2790">
        <v>1</v>
      </c>
      <c r="BB2790" t="str">
        <f t="shared" si="131"/>
        <v xml:space="preserve">N959MJ  </v>
      </c>
      <c r="BC2790">
        <v>1</v>
      </c>
      <c r="BE2790">
        <v>0</v>
      </c>
      <c r="BF2790">
        <v>0</v>
      </c>
      <c r="BG2790">
        <v>0</v>
      </c>
      <c r="BH2790">
        <v>3850</v>
      </c>
      <c r="BI2790">
        <v>150</v>
      </c>
      <c r="BJ2790">
        <v>1</v>
      </c>
      <c r="BK2790">
        <v>1</v>
      </c>
      <c r="BL2790">
        <v>1</v>
      </c>
      <c r="BM2790">
        <v>0</v>
      </c>
      <c r="BP2790">
        <v>0</v>
      </c>
      <c r="BQ2790">
        <v>0</v>
      </c>
      <c r="BX2790" t="str">
        <f>"14:36:50.516"</f>
        <v>14:36:50.516</v>
      </c>
      <c r="BY2790" t="str">
        <f>"513923320"</f>
        <v>513923320</v>
      </c>
      <c r="CL2790">
        <v>0</v>
      </c>
      <c r="CM2790">
        <v>2</v>
      </c>
      <c r="CN2790">
        <v>0</v>
      </c>
      <c r="CO2790">
        <v>2</v>
      </c>
      <c r="CP2790">
        <v>0</v>
      </c>
      <c r="CQ2790">
        <v>5</v>
      </c>
      <c r="CR2790" t="s">
        <v>116</v>
      </c>
      <c r="CS2790">
        <v>38</v>
      </c>
      <c r="CT2790">
        <v>2</v>
      </c>
      <c r="CU2790" t="s">
        <v>4719</v>
      </c>
      <c r="CV2790" t="s">
        <v>4720</v>
      </c>
      <c r="CY2790">
        <v>10455513</v>
      </c>
      <c r="CZ2790" t="s">
        <v>119</v>
      </c>
    </row>
    <row r="2791" spans="1:104" x14ac:dyDescent="0.25">
      <c r="A2791" t="str">
        <f>"14:36:51.820"</f>
        <v>14:36:51.820</v>
      </c>
      <c r="B2791" t="s">
        <v>108</v>
      </c>
      <c r="C2791" t="str">
        <f t="shared" si="130"/>
        <v>ffdfd3c0</v>
      </c>
      <c r="D2791" t="s">
        <v>109</v>
      </c>
      <c r="E2791">
        <v>4</v>
      </c>
      <c r="F2791">
        <v>1004</v>
      </c>
      <c r="G2791" t="s">
        <v>110</v>
      </c>
      <c r="J2791" t="s">
        <v>111</v>
      </c>
      <c r="K2791">
        <v>0</v>
      </c>
      <c r="L2791">
        <v>3</v>
      </c>
      <c r="M2791">
        <v>0</v>
      </c>
      <c r="N2791">
        <v>2</v>
      </c>
      <c r="O2791">
        <v>1</v>
      </c>
      <c r="P2791">
        <v>0</v>
      </c>
      <c r="Q2791">
        <v>0</v>
      </c>
      <c r="R2791" t="s">
        <v>112</v>
      </c>
      <c r="S2791" t="str">
        <f>"14:36:51.602"</f>
        <v>14:36:51.602</v>
      </c>
      <c r="T2791" t="str">
        <f>"14:36:51.102"</f>
        <v>14:36:51.102</v>
      </c>
      <c r="U2791" t="str">
        <f t="shared" si="129"/>
        <v>ad5732</v>
      </c>
      <c r="V2791">
        <v>0</v>
      </c>
      <c r="W2791">
        <v>0</v>
      </c>
      <c r="X2791">
        <v>1</v>
      </c>
      <c r="Z2791">
        <v>0</v>
      </c>
      <c r="AA2791">
        <v>9</v>
      </c>
      <c r="AB2791">
        <v>3</v>
      </c>
      <c r="AC2791">
        <v>0</v>
      </c>
      <c r="AD2791">
        <v>10</v>
      </c>
      <c r="AE2791">
        <v>0</v>
      </c>
      <c r="AF2791">
        <v>3</v>
      </c>
      <c r="AG2791">
        <v>2</v>
      </c>
      <c r="AH2791">
        <v>0</v>
      </c>
      <c r="AI2791" t="s">
        <v>5698</v>
      </c>
      <c r="AJ2791">
        <v>40.254871999999999</v>
      </c>
      <c r="AK2791" t="s">
        <v>5699</v>
      </c>
      <c r="AL2791">
        <v>-75.200021000000007</v>
      </c>
      <c r="AM2791">
        <v>100</v>
      </c>
      <c r="AN2791">
        <v>3700</v>
      </c>
      <c r="AO2791" t="s">
        <v>115</v>
      </c>
      <c r="AP2791">
        <v>127</v>
      </c>
      <c r="AQ2791">
        <v>120</v>
      </c>
      <c r="AR2791">
        <v>64</v>
      </c>
      <c r="AZ2791">
        <v>3614</v>
      </c>
      <c r="BA2791">
        <v>1</v>
      </c>
      <c r="BB2791" t="str">
        <f t="shared" si="131"/>
        <v xml:space="preserve">N959MJ  </v>
      </c>
      <c r="BC2791">
        <v>1</v>
      </c>
      <c r="BE2791">
        <v>0</v>
      </c>
      <c r="BF2791">
        <v>0</v>
      </c>
      <c r="BG2791">
        <v>0</v>
      </c>
      <c r="BH2791">
        <v>3850</v>
      </c>
      <c r="BI2791">
        <v>150</v>
      </c>
      <c r="BJ2791">
        <v>1</v>
      </c>
      <c r="BK2791">
        <v>1</v>
      </c>
      <c r="BL2791">
        <v>1</v>
      </c>
      <c r="BM2791">
        <v>0</v>
      </c>
      <c r="BP2791">
        <v>0</v>
      </c>
      <c r="BQ2791">
        <v>0</v>
      </c>
      <c r="BX2791" t="str">
        <f>"14:36:51.609"</f>
        <v>14:36:51.609</v>
      </c>
      <c r="BY2791" t="str">
        <f>"606802946"</f>
        <v>606802946</v>
      </c>
      <c r="CL2791">
        <v>0</v>
      </c>
      <c r="CM2791">
        <v>2</v>
      </c>
      <c r="CN2791">
        <v>0</v>
      </c>
      <c r="CO2791">
        <v>2</v>
      </c>
      <c r="CP2791">
        <v>0</v>
      </c>
      <c r="CQ2791">
        <v>6</v>
      </c>
      <c r="CR2791" t="s">
        <v>116</v>
      </c>
      <c r="CS2791">
        <v>39</v>
      </c>
      <c r="CT2791">
        <v>0</v>
      </c>
      <c r="CU2791" t="s">
        <v>2259</v>
      </c>
      <c r="CV2791" t="s">
        <v>2260</v>
      </c>
      <c r="CY2791">
        <v>2427708</v>
      </c>
      <c r="CZ2791" t="s">
        <v>119</v>
      </c>
    </row>
    <row r="2792" spans="1:104" x14ac:dyDescent="0.25">
      <c r="A2792" t="str">
        <f>"14:36:52.836"</f>
        <v>14:36:52.836</v>
      </c>
      <c r="B2792" t="s">
        <v>108</v>
      </c>
      <c r="C2792" t="str">
        <f t="shared" si="130"/>
        <v>ffdfd3c0</v>
      </c>
      <c r="D2792" t="s">
        <v>109</v>
      </c>
      <c r="E2792">
        <v>4</v>
      </c>
      <c r="F2792">
        <v>1004</v>
      </c>
      <c r="G2792" t="s">
        <v>110</v>
      </c>
      <c r="J2792" t="s">
        <v>111</v>
      </c>
      <c r="K2792">
        <v>0</v>
      </c>
      <c r="L2792">
        <v>3</v>
      </c>
      <c r="M2792">
        <v>0</v>
      </c>
      <c r="N2792">
        <v>2</v>
      </c>
      <c r="O2792">
        <v>1</v>
      </c>
      <c r="P2792">
        <v>0</v>
      </c>
      <c r="Q2792">
        <v>0</v>
      </c>
      <c r="R2792" t="s">
        <v>112</v>
      </c>
      <c r="S2792" t="str">
        <f>"14:36:52.641"</f>
        <v>14:36:52.641</v>
      </c>
      <c r="T2792" t="str">
        <f>"14:36:52.242"</f>
        <v>14:36:52.242</v>
      </c>
      <c r="U2792" t="str">
        <f t="shared" si="129"/>
        <v>ad5732</v>
      </c>
      <c r="V2792">
        <v>0</v>
      </c>
      <c r="W2792">
        <v>0</v>
      </c>
      <c r="X2792">
        <v>1</v>
      </c>
      <c r="Z2792">
        <v>0</v>
      </c>
      <c r="AA2792">
        <v>9</v>
      </c>
      <c r="AB2792">
        <v>3</v>
      </c>
      <c r="AC2792">
        <v>0</v>
      </c>
      <c r="AD2792">
        <v>10</v>
      </c>
      <c r="AE2792">
        <v>0</v>
      </c>
      <c r="AF2792">
        <v>3</v>
      </c>
      <c r="AG2792">
        <v>2</v>
      </c>
      <c r="AH2792">
        <v>0</v>
      </c>
      <c r="AI2792" t="s">
        <v>5700</v>
      </c>
      <c r="AJ2792">
        <v>40.255493999999999</v>
      </c>
      <c r="AK2792" t="s">
        <v>5701</v>
      </c>
      <c r="AL2792">
        <v>-75.199162999999999</v>
      </c>
      <c r="AM2792">
        <v>100</v>
      </c>
      <c r="AN2792">
        <v>3700</v>
      </c>
      <c r="AO2792" t="s">
        <v>115</v>
      </c>
      <c r="AP2792">
        <v>127</v>
      </c>
      <c r="AQ2792">
        <v>120</v>
      </c>
      <c r="AR2792">
        <v>128</v>
      </c>
      <c r="AZ2792">
        <v>3614</v>
      </c>
      <c r="BA2792">
        <v>1</v>
      </c>
      <c r="BB2792" t="str">
        <f t="shared" si="131"/>
        <v xml:space="preserve">N959MJ  </v>
      </c>
      <c r="BC2792">
        <v>1</v>
      </c>
      <c r="BE2792">
        <v>0</v>
      </c>
      <c r="BF2792">
        <v>0</v>
      </c>
      <c r="BG2792">
        <v>0</v>
      </c>
      <c r="BH2792">
        <v>3850</v>
      </c>
      <c r="BI2792">
        <v>150</v>
      </c>
      <c r="BJ2792">
        <v>1</v>
      </c>
      <c r="BK2792">
        <v>1</v>
      </c>
      <c r="BL2792">
        <v>1</v>
      </c>
      <c r="BM2792">
        <v>0</v>
      </c>
      <c r="BP2792">
        <v>0</v>
      </c>
      <c r="BQ2792">
        <v>0</v>
      </c>
      <c r="BX2792" t="str">
        <f>"14:36:52.641"</f>
        <v>14:36:52.641</v>
      </c>
      <c r="BY2792" t="str">
        <f>"640651635"</f>
        <v>640651635</v>
      </c>
      <c r="CL2792">
        <v>0</v>
      </c>
      <c r="CM2792">
        <v>2</v>
      </c>
      <c r="CN2792">
        <v>0</v>
      </c>
      <c r="CO2792">
        <v>2</v>
      </c>
      <c r="CP2792">
        <v>0</v>
      </c>
      <c r="CQ2792">
        <v>6</v>
      </c>
      <c r="CR2792" t="s">
        <v>116</v>
      </c>
      <c r="CS2792">
        <v>39</v>
      </c>
      <c r="CT2792">
        <v>0</v>
      </c>
      <c r="CU2792" t="s">
        <v>2259</v>
      </c>
      <c r="CV2792" t="s">
        <v>2260</v>
      </c>
      <c r="CY2792">
        <v>2429296</v>
      </c>
      <c r="CZ2792" t="s">
        <v>119</v>
      </c>
    </row>
    <row r="2793" spans="1:104" x14ac:dyDescent="0.25">
      <c r="A2793" t="str">
        <f>"14:36:53.742"</f>
        <v>14:36:53.742</v>
      </c>
      <c r="B2793" t="s">
        <v>108</v>
      </c>
      <c r="C2793" t="str">
        <f t="shared" si="130"/>
        <v>ffdfd3c0</v>
      </c>
      <c r="D2793" t="s">
        <v>109</v>
      </c>
      <c r="E2793">
        <v>4</v>
      </c>
      <c r="F2793">
        <v>1004</v>
      </c>
      <c r="G2793" t="s">
        <v>110</v>
      </c>
      <c r="J2793" t="s">
        <v>111</v>
      </c>
      <c r="K2793">
        <v>0</v>
      </c>
      <c r="L2793">
        <v>3</v>
      </c>
      <c r="M2793">
        <v>0</v>
      </c>
      <c r="N2793">
        <v>2</v>
      </c>
      <c r="O2793">
        <v>1</v>
      </c>
      <c r="P2793">
        <v>0</v>
      </c>
      <c r="Q2793">
        <v>0</v>
      </c>
      <c r="R2793" t="s">
        <v>112</v>
      </c>
      <c r="S2793" t="str">
        <f>"14:36:53.531"</f>
        <v>14:36:53.531</v>
      </c>
      <c r="T2793" t="str">
        <f>"14:36:53.133"</f>
        <v>14:36:53.133</v>
      </c>
      <c r="U2793" t="str">
        <f t="shared" si="129"/>
        <v>ad5732</v>
      </c>
      <c r="V2793">
        <v>0</v>
      </c>
      <c r="W2793">
        <v>0</v>
      </c>
      <c r="X2793">
        <v>1</v>
      </c>
      <c r="Z2793">
        <v>0</v>
      </c>
      <c r="AA2793">
        <v>9</v>
      </c>
      <c r="AB2793">
        <v>3</v>
      </c>
      <c r="AC2793">
        <v>0</v>
      </c>
      <c r="AD2793">
        <v>10</v>
      </c>
      <c r="AE2793">
        <v>0</v>
      </c>
      <c r="AF2793">
        <v>3</v>
      </c>
      <c r="AG2793">
        <v>2</v>
      </c>
      <c r="AH2793">
        <v>0</v>
      </c>
      <c r="AI2793" t="s">
        <v>5702</v>
      </c>
      <c r="AJ2793">
        <v>40.256008999999999</v>
      </c>
      <c r="AK2793" t="s">
        <v>5703</v>
      </c>
      <c r="AL2793">
        <v>-75.198432999999994</v>
      </c>
      <c r="AM2793">
        <v>100</v>
      </c>
      <c r="AN2793">
        <v>3700</v>
      </c>
      <c r="AO2793" t="s">
        <v>115</v>
      </c>
      <c r="AP2793">
        <v>127</v>
      </c>
      <c r="AQ2793">
        <v>120</v>
      </c>
      <c r="AR2793">
        <v>128</v>
      </c>
      <c r="AZ2793">
        <v>3614</v>
      </c>
      <c r="BA2793">
        <v>1</v>
      </c>
      <c r="BB2793" t="str">
        <f t="shared" si="131"/>
        <v xml:space="preserve">N959MJ  </v>
      </c>
      <c r="BC2793">
        <v>1</v>
      </c>
      <c r="BE2793">
        <v>0</v>
      </c>
      <c r="BF2793">
        <v>0</v>
      </c>
      <c r="BG2793">
        <v>0</v>
      </c>
      <c r="BH2793">
        <v>3850</v>
      </c>
      <c r="BI2793">
        <v>150</v>
      </c>
      <c r="BJ2793">
        <v>1</v>
      </c>
      <c r="BK2793">
        <v>1</v>
      </c>
      <c r="BL2793">
        <v>1</v>
      </c>
      <c r="BM2793">
        <v>0</v>
      </c>
      <c r="BP2793">
        <v>0</v>
      </c>
      <c r="BQ2793">
        <v>0</v>
      </c>
      <c r="BX2793" t="str">
        <f>"14:36:53.531"</f>
        <v>14:36:53.531</v>
      </c>
      <c r="BY2793" t="str">
        <f>"533546320"</f>
        <v>533546320</v>
      </c>
      <c r="CL2793">
        <v>0</v>
      </c>
      <c r="CM2793">
        <v>2</v>
      </c>
      <c r="CN2793">
        <v>0</v>
      </c>
      <c r="CO2793">
        <v>2</v>
      </c>
      <c r="CP2793">
        <v>0</v>
      </c>
      <c r="CQ2793">
        <v>6</v>
      </c>
      <c r="CR2793" t="s">
        <v>116</v>
      </c>
      <c r="CS2793">
        <v>38</v>
      </c>
      <c r="CT2793">
        <v>3</v>
      </c>
      <c r="CU2793" t="s">
        <v>4719</v>
      </c>
      <c r="CV2793" t="s">
        <v>4720</v>
      </c>
      <c r="CY2793">
        <v>10216775</v>
      </c>
      <c r="CZ2793" t="s">
        <v>119</v>
      </c>
    </row>
    <row r="2794" spans="1:104" x14ac:dyDescent="0.25">
      <c r="A2794" t="str">
        <f>"14:36:54.703"</f>
        <v>14:36:54.703</v>
      </c>
      <c r="B2794" t="s">
        <v>108</v>
      </c>
      <c r="C2794" t="str">
        <f t="shared" si="130"/>
        <v>ffdfd3c0</v>
      </c>
      <c r="D2794" t="s">
        <v>109</v>
      </c>
      <c r="E2794">
        <v>4</v>
      </c>
      <c r="F2794">
        <v>1004</v>
      </c>
      <c r="G2794" t="s">
        <v>110</v>
      </c>
      <c r="J2794" t="s">
        <v>111</v>
      </c>
      <c r="K2794">
        <v>0</v>
      </c>
      <c r="L2794">
        <v>3</v>
      </c>
      <c r="M2794">
        <v>0</v>
      </c>
      <c r="N2794">
        <v>2</v>
      </c>
      <c r="O2794">
        <v>1</v>
      </c>
      <c r="P2794">
        <v>0</v>
      </c>
      <c r="Q2794">
        <v>0</v>
      </c>
      <c r="R2794" t="s">
        <v>112</v>
      </c>
      <c r="S2794" t="str">
        <f>"14:36:54.539"</f>
        <v>14:36:54.539</v>
      </c>
      <c r="T2794" t="str">
        <f>"14:36:54.039"</f>
        <v>14:36:54.039</v>
      </c>
      <c r="U2794" t="str">
        <f t="shared" si="129"/>
        <v>ad5732</v>
      </c>
      <c r="V2794">
        <v>0</v>
      </c>
      <c r="W2794">
        <v>0</v>
      </c>
      <c r="X2794">
        <v>1</v>
      </c>
      <c r="Z2794">
        <v>0</v>
      </c>
      <c r="AA2794">
        <v>9</v>
      </c>
      <c r="AB2794">
        <v>3</v>
      </c>
      <c r="AC2794">
        <v>0</v>
      </c>
      <c r="AD2794">
        <v>10</v>
      </c>
      <c r="AE2794">
        <v>0</v>
      </c>
      <c r="AF2794">
        <v>3</v>
      </c>
      <c r="AG2794">
        <v>2</v>
      </c>
      <c r="AH2794">
        <v>0</v>
      </c>
      <c r="AI2794" t="s">
        <v>5704</v>
      </c>
      <c r="AJ2794">
        <v>40.256566999999997</v>
      </c>
      <c r="AK2794" t="s">
        <v>5705</v>
      </c>
      <c r="AL2794">
        <v>-75.197682</v>
      </c>
      <c r="AM2794">
        <v>100</v>
      </c>
      <c r="AN2794">
        <v>3700</v>
      </c>
      <c r="AO2794" t="s">
        <v>115</v>
      </c>
      <c r="AP2794">
        <v>127</v>
      </c>
      <c r="AQ2794">
        <v>120</v>
      </c>
      <c r="AR2794">
        <v>128</v>
      </c>
      <c r="AZ2794">
        <v>3614</v>
      </c>
      <c r="BA2794">
        <v>1</v>
      </c>
      <c r="BB2794" t="str">
        <f t="shared" si="131"/>
        <v xml:space="preserve">N959MJ  </v>
      </c>
      <c r="BC2794">
        <v>1</v>
      </c>
      <c r="BE2794">
        <v>0</v>
      </c>
      <c r="BF2794">
        <v>0</v>
      </c>
      <c r="BG2794">
        <v>0</v>
      </c>
      <c r="BH2794">
        <v>3850</v>
      </c>
      <c r="BI2794">
        <v>150</v>
      </c>
      <c r="BJ2794">
        <v>1</v>
      </c>
      <c r="BK2794">
        <v>1</v>
      </c>
      <c r="BL2794">
        <v>1</v>
      </c>
      <c r="BM2794">
        <v>0</v>
      </c>
      <c r="BP2794">
        <v>0</v>
      </c>
      <c r="BQ2794">
        <v>0</v>
      </c>
      <c r="BX2794" t="str">
        <f>"14:36:54.539"</f>
        <v>14:36:54.539</v>
      </c>
      <c r="BY2794" t="str">
        <f>"539541176"</f>
        <v>539541176</v>
      </c>
      <c r="CL2794">
        <v>0</v>
      </c>
      <c r="CM2794">
        <v>2</v>
      </c>
      <c r="CN2794">
        <v>0</v>
      </c>
      <c r="CO2794">
        <v>2</v>
      </c>
      <c r="CP2794">
        <v>0</v>
      </c>
      <c r="CQ2794">
        <v>6</v>
      </c>
      <c r="CR2794" t="s">
        <v>116</v>
      </c>
      <c r="CS2794">
        <v>38</v>
      </c>
      <c r="CT2794">
        <v>3</v>
      </c>
      <c r="CU2794" t="s">
        <v>4719</v>
      </c>
      <c r="CV2794" t="s">
        <v>4720</v>
      </c>
      <c r="CY2794">
        <v>10218716</v>
      </c>
      <c r="CZ2794" t="s">
        <v>119</v>
      </c>
    </row>
    <row r="2795" spans="1:104" x14ac:dyDescent="0.25">
      <c r="A2795" t="str">
        <f>"14:36:55.656"</f>
        <v>14:36:55.656</v>
      </c>
      <c r="B2795" t="s">
        <v>108</v>
      </c>
      <c r="C2795" t="str">
        <f t="shared" si="130"/>
        <v>ffdfd3c0</v>
      </c>
      <c r="D2795" t="s">
        <v>109</v>
      </c>
      <c r="E2795">
        <v>4</v>
      </c>
      <c r="F2795">
        <v>1004</v>
      </c>
      <c r="G2795" t="s">
        <v>110</v>
      </c>
      <c r="J2795" t="s">
        <v>111</v>
      </c>
      <c r="K2795">
        <v>0</v>
      </c>
      <c r="L2795">
        <v>3</v>
      </c>
      <c r="M2795">
        <v>0</v>
      </c>
      <c r="N2795">
        <v>2</v>
      </c>
      <c r="O2795">
        <v>1</v>
      </c>
      <c r="P2795">
        <v>0</v>
      </c>
      <c r="Q2795">
        <v>0</v>
      </c>
      <c r="R2795" t="s">
        <v>112</v>
      </c>
      <c r="S2795" t="str">
        <f>"14:36:55.461"</f>
        <v>14:36:55.461</v>
      </c>
      <c r="T2795" t="str">
        <f>"14:36:55.063"</f>
        <v>14:36:55.063</v>
      </c>
      <c r="U2795" t="str">
        <f t="shared" si="129"/>
        <v>ad5732</v>
      </c>
      <c r="V2795">
        <v>0</v>
      </c>
      <c r="W2795">
        <v>0</v>
      </c>
      <c r="X2795">
        <v>1</v>
      </c>
      <c r="Z2795">
        <v>0</v>
      </c>
      <c r="AA2795">
        <v>9</v>
      </c>
      <c r="AB2795">
        <v>3</v>
      </c>
      <c r="AC2795">
        <v>0</v>
      </c>
      <c r="AD2795">
        <v>10</v>
      </c>
      <c r="AE2795">
        <v>0</v>
      </c>
      <c r="AF2795">
        <v>3</v>
      </c>
      <c r="AG2795">
        <v>2</v>
      </c>
      <c r="AH2795">
        <v>0</v>
      </c>
      <c r="AI2795" t="s">
        <v>5706</v>
      </c>
      <c r="AJ2795">
        <v>40.257018000000002</v>
      </c>
      <c r="AK2795" t="s">
        <v>5707</v>
      </c>
      <c r="AL2795">
        <v>-75.197039000000004</v>
      </c>
      <c r="AM2795">
        <v>100</v>
      </c>
      <c r="AN2795">
        <v>3700</v>
      </c>
      <c r="AO2795" t="s">
        <v>115</v>
      </c>
      <c r="AP2795">
        <v>127</v>
      </c>
      <c r="AQ2795">
        <v>120</v>
      </c>
      <c r="AR2795">
        <v>64</v>
      </c>
      <c r="AZ2795">
        <v>3614</v>
      </c>
      <c r="BA2795">
        <v>1</v>
      </c>
      <c r="BB2795" t="str">
        <f t="shared" si="131"/>
        <v xml:space="preserve">N959MJ  </v>
      </c>
      <c r="BC2795">
        <v>1</v>
      </c>
      <c r="BE2795">
        <v>0</v>
      </c>
      <c r="BF2795">
        <v>0</v>
      </c>
      <c r="BG2795">
        <v>0</v>
      </c>
      <c r="BH2795">
        <v>3850</v>
      </c>
      <c r="BI2795">
        <v>150</v>
      </c>
      <c r="BJ2795">
        <v>1</v>
      </c>
      <c r="BK2795">
        <v>1</v>
      </c>
      <c r="BL2795">
        <v>1</v>
      </c>
      <c r="BM2795">
        <v>0</v>
      </c>
      <c r="BP2795">
        <v>0</v>
      </c>
      <c r="BQ2795">
        <v>0</v>
      </c>
      <c r="BX2795" t="str">
        <f>"14:36:55.469"</f>
        <v>14:36:55.469</v>
      </c>
      <c r="BY2795" t="str">
        <f>"468580070"</f>
        <v>468580070</v>
      </c>
      <c r="CL2795">
        <v>0</v>
      </c>
      <c r="CM2795">
        <v>2</v>
      </c>
      <c r="CN2795">
        <v>0</v>
      </c>
      <c r="CO2795">
        <v>2</v>
      </c>
      <c r="CP2795">
        <v>0</v>
      </c>
      <c r="CQ2795">
        <v>6</v>
      </c>
      <c r="CR2795" t="s">
        <v>116</v>
      </c>
      <c r="CS2795">
        <v>39</v>
      </c>
      <c r="CT2795">
        <v>0</v>
      </c>
      <c r="CU2795" t="s">
        <v>2259</v>
      </c>
      <c r="CV2795" t="s">
        <v>2260</v>
      </c>
      <c r="CY2795">
        <v>2434019</v>
      </c>
      <c r="CZ2795" t="s">
        <v>119</v>
      </c>
    </row>
    <row r="2796" spans="1:104" x14ac:dyDescent="0.25">
      <c r="A2796" t="str">
        <f>"14:36:56.719"</f>
        <v>14:36:56.719</v>
      </c>
      <c r="B2796" t="s">
        <v>108</v>
      </c>
      <c r="C2796" t="str">
        <f t="shared" si="130"/>
        <v>ffdfd3c0</v>
      </c>
      <c r="D2796" t="s">
        <v>109</v>
      </c>
      <c r="E2796">
        <v>4</v>
      </c>
      <c r="F2796">
        <v>1004</v>
      </c>
      <c r="G2796" t="s">
        <v>110</v>
      </c>
      <c r="J2796" t="s">
        <v>111</v>
      </c>
      <c r="K2796">
        <v>0</v>
      </c>
      <c r="L2796">
        <v>3</v>
      </c>
      <c r="M2796">
        <v>0</v>
      </c>
      <c r="N2796">
        <v>2</v>
      </c>
      <c r="O2796">
        <v>1</v>
      </c>
      <c r="P2796">
        <v>0</v>
      </c>
      <c r="Q2796">
        <v>0</v>
      </c>
      <c r="R2796" t="s">
        <v>112</v>
      </c>
      <c r="S2796" t="str">
        <f>"14:36:56.516"</f>
        <v>14:36:56.516</v>
      </c>
      <c r="T2796" t="str">
        <f>"14:36:56.016"</f>
        <v>14:36:56.016</v>
      </c>
      <c r="U2796" t="str">
        <f t="shared" si="129"/>
        <v>ad5732</v>
      </c>
      <c r="V2796">
        <v>0</v>
      </c>
      <c r="W2796">
        <v>0</v>
      </c>
      <c r="X2796">
        <v>1</v>
      </c>
      <c r="Z2796">
        <v>0</v>
      </c>
      <c r="AA2796">
        <v>9</v>
      </c>
      <c r="AB2796">
        <v>3</v>
      </c>
      <c r="AC2796">
        <v>0</v>
      </c>
      <c r="AD2796">
        <v>10</v>
      </c>
      <c r="AE2796">
        <v>0</v>
      </c>
      <c r="AF2796">
        <v>3</v>
      </c>
      <c r="AG2796">
        <v>2</v>
      </c>
      <c r="AH2796">
        <v>0</v>
      </c>
      <c r="AI2796" t="s">
        <v>5708</v>
      </c>
      <c r="AJ2796">
        <v>40.257660999999999</v>
      </c>
      <c r="AK2796" t="s">
        <v>5709</v>
      </c>
      <c r="AL2796">
        <v>-75.196158999999994</v>
      </c>
      <c r="AM2796">
        <v>100</v>
      </c>
      <c r="AN2796">
        <v>3700</v>
      </c>
      <c r="AO2796" t="s">
        <v>115</v>
      </c>
      <c r="AP2796">
        <v>127</v>
      </c>
      <c r="AQ2796">
        <v>120</v>
      </c>
      <c r="AR2796">
        <v>64</v>
      </c>
      <c r="AZ2796">
        <v>3614</v>
      </c>
      <c r="BA2796">
        <v>1</v>
      </c>
      <c r="BB2796" t="str">
        <f t="shared" si="131"/>
        <v xml:space="preserve">N959MJ  </v>
      </c>
      <c r="BC2796">
        <v>1</v>
      </c>
      <c r="BE2796">
        <v>0</v>
      </c>
      <c r="BF2796">
        <v>0</v>
      </c>
      <c r="BG2796">
        <v>0</v>
      </c>
      <c r="BH2796">
        <v>3875</v>
      </c>
      <c r="BI2796">
        <v>175</v>
      </c>
      <c r="BJ2796">
        <v>1</v>
      </c>
      <c r="BK2796">
        <v>1</v>
      </c>
      <c r="BL2796">
        <v>1</v>
      </c>
      <c r="BM2796">
        <v>0</v>
      </c>
      <c r="BP2796">
        <v>0</v>
      </c>
      <c r="BQ2796">
        <v>0</v>
      </c>
      <c r="BX2796" t="str">
        <f>"14:36:56.523"</f>
        <v>14:36:56.523</v>
      </c>
      <c r="BY2796" t="str">
        <f>"520400770"</f>
        <v>520400770</v>
      </c>
      <c r="CL2796">
        <v>0</v>
      </c>
      <c r="CM2796">
        <v>2</v>
      </c>
      <c r="CN2796">
        <v>0</v>
      </c>
      <c r="CO2796">
        <v>2</v>
      </c>
      <c r="CP2796">
        <v>0</v>
      </c>
      <c r="CQ2796">
        <v>6</v>
      </c>
      <c r="CR2796" t="s">
        <v>116</v>
      </c>
      <c r="CS2796">
        <v>38</v>
      </c>
      <c r="CT2796">
        <v>3</v>
      </c>
      <c r="CU2796" t="s">
        <v>4719</v>
      </c>
      <c r="CV2796" t="s">
        <v>4720</v>
      </c>
      <c r="CY2796">
        <v>10222042</v>
      </c>
      <c r="CZ2796" t="s">
        <v>119</v>
      </c>
    </row>
    <row r="2797" spans="1:104" x14ac:dyDescent="0.25">
      <c r="A2797" t="str">
        <f>"14:36:57.680"</f>
        <v>14:36:57.680</v>
      </c>
      <c r="B2797" t="s">
        <v>108</v>
      </c>
      <c r="C2797" t="str">
        <f t="shared" si="130"/>
        <v>ffdfd3c0</v>
      </c>
      <c r="D2797" t="s">
        <v>109</v>
      </c>
      <c r="E2797">
        <v>4</v>
      </c>
      <c r="F2797">
        <v>1004</v>
      </c>
      <c r="G2797" t="s">
        <v>110</v>
      </c>
      <c r="J2797" t="s">
        <v>111</v>
      </c>
      <c r="K2797">
        <v>0</v>
      </c>
      <c r="L2797">
        <v>3</v>
      </c>
      <c r="M2797">
        <v>0</v>
      </c>
      <c r="N2797">
        <v>2</v>
      </c>
      <c r="O2797">
        <v>1</v>
      </c>
      <c r="P2797">
        <v>0</v>
      </c>
      <c r="Q2797">
        <v>0</v>
      </c>
      <c r="R2797" t="s">
        <v>112</v>
      </c>
      <c r="S2797" t="str">
        <f>"14:36:57.516"</f>
        <v>14:36:57.516</v>
      </c>
      <c r="T2797" t="str">
        <f>"14:36:57.016"</f>
        <v>14:36:57.016</v>
      </c>
      <c r="U2797" t="str">
        <f t="shared" si="129"/>
        <v>ad5732</v>
      </c>
      <c r="V2797">
        <v>0</v>
      </c>
      <c r="W2797">
        <v>0</v>
      </c>
      <c r="X2797">
        <v>1</v>
      </c>
      <c r="Z2797">
        <v>0</v>
      </c>
      <c r="AA2797">
        <v>9</v>
      </c>
      <c r="AB2797">
        <v>3</v>
      </c>
      <c r="AC2797">
        <v>0</v>
      </c>
      <c r="AD2797">
        <v>10</v>
      </c>
      <c r="AE2797">
        <v>0</v>
      </c>
      <c r="AF2797">
        <v>3</v>
      </c>
      <c r="AG2797">
        <v>2</v>
      </c>
      <c r="AH2797">
        <v>0</v>
      </c>
      <c r="AI2797" t="s">
        <v>5710</v>
      </c>
      <c r="AJ2797">
        <v>40.258218999999997</v>
      </c>
      <c r="AK2797" t="s">
        <v>5711</v>
      </c>
      <c r="AL2797">
        <v>-75.195429000000004</v>
      </c>
      <c r="AM2797">
        <v>100</v>
      </c>
      <c r="AN2797">
        <v>3700</v>
      </c>
      <c r="AO2797" t="s">
        <v>115</v>
      </c>
      <c r="AP2797">
        <v>127</v>
      </c>
      <c r="AQ2797">
        <v>119</v>
      </c>
      <c r="AR2797">
        <v>64</v>
      </c>
      <c r="AZ2797">
        <v>3614</v>
      </c>
      <c r="BA2797">
        <v>1</v>
      </c>
      <c r="BB2797" t="str">
        <f t="shared" si="131"/>
        <v xml:space="preserve">N959MJ  </v>
      </c>
      <c r="BC2797">
        <v>1</v>
      </c>
      <c r="BE2797">
        <v>0</v>
      </c>
      <c r="BF2797">
        <v>0</v>
      </c>
      <c r="BG2797">
        <v>0</v>
      </c>
      <c r="BH2797">
        <v>3875</v>
      </c>
      <c r="BI2797">
        <v>175</v>
      </c>
      <c r="BJ2797">
        <v>1</v>
      </c>
      <c r="BK2797">
        <v>1</v>
      </c>
      <c r="BL2797">
        <v>1</v>
      </c>
      <c r="BM2797">
        <v>0</v>
      </c>
      <c r="BP2797">
        <v>0</v>
      </c>
      <c r="BQ2797">
        <v>0</v>
      </c>
      <c r="BX2797" t="str">
        <f>"14:36:57.516"</f>
        <v>14:36:57.516</v>
      </c>
      <c r="BY2797" t="str">
        <f>"518254777"</f>
        <v>518254777</v>
      </c>
      <c r="CL2797">
        <v>0</v>
      </c>
      <c r="CM2797">
        <v>2</v>
      </c>
      <c r="CN2797">
        <v>0</v>
      </c>
      <c r="CO2797">
        <v>2</v>
      </c>
      <c r="CP2797">
        <v>0</v>
      </c>
      <c r="CQ2797">
        <v>6</v>
      </c>
      <c r="CR2797" t="s">
        <v>116</v>
      </c>
      <c r="CS2797">
        <v>39</v>
      </c>
      <c r="CT2797">
        <v>0</v>
      </c>
      <c r="CU2797" t="s">
        <v>2259</v>
      </c>
      <c r="CV2797" t="s">
        <v>2260</v>
      </c>
      <c r="CY2797">
        <v>2437134</v>
      </c>
      <c r="CZ2797" t="s">
        <v>119</v>
      </c>
    </row>
    <row r="2798" spans="1:104" x14ac:dyDescent="0.25">
      <c r="A2798" t="str">
        <f>"14:36:58.586"</f>
        <v>14:36:58.586</v>
      </c>
      <c r="B2798" t="s">
        <v>108</v>
      </c>
      <c r="C2798" t="str">
        <f t="shared" si="130"/>
        <v>ffdfd3c0</v>
      </c>
      <c r="D2798" t="s">
        <v>109</v>
      </c>
      <c r="E2798">
        <v>4</v>
      </c>
      <c r="F2798">
        <v>1004</v>
      </c>
      <c r="G2798" t="s">
        <v>110</v>
      </c>
      <c r="J2798" t="s">
        <v>111</v>
      </c>
      <c r="K2798">
        <v>0</v>
      </c>
      <c r="L2798">
        <v>3</v>
      </c>
      <c r="M2798">
        <v>0</v>
      </c>
      <c r="N2798">
        <v>2</v>
      </c>
      <c r="O2798">
        <v>1</v>
      </c>
      <c r="P2798">
        <v>0</v>
      </c>
      <c r="Q2798">
        <v>0</v>
      </c>
      <c r="R2798" t="s">
        <v>112</v>
      </c>
      <c r="S2798" t="str">
        <f>"14:36:58.406"</f>
        <v>14:36:58.406</v>
      </c>
      <c r="T2798" t="str">
        <f>"14:36:58.008"</f>
        <v>14:36:58.008</v>
      </c>
      <c r="U2798" t="str">
        <f t="shared" si="129"/>
        <v>ad5732</v>
      </c>
      <c r="V2798">
        <v>0</v>
      </c>
      <c r="W2798">
        <v>0</v>
      </c>
      <c r="X2798">
        <v>1</v>
      </c>
      <c r="Z2798">
        <v>0</v>
      </c>
      <c r="AA2798">
        <v>9</v>
      </c>
      <c r="AB2798">
        <v>3</v>
      </c>
      <c r="AC2798">
        <v>0</v>
      </c>
      <c r="AD2798">
        <v>10</v>
      </c>
      <c r="AE2798">
        <v>0</v>
      </c>
      <c r="AF2798">
        <v>3</v>
      </c>
      <c r="AG2798">
        <v>2</v>
      </c>
      <c r="AH2798">
        <v>0</v>
      </c>
      <c r="AI2798" t="s">
        <v>5712</v>
      </c>
      <c r="AJ2798">
        <v>40.258626999999997</v>
      </c>
      <c r="AK2798" t="s">
        <v>5713</v>
      </c>
      <c r="AL2798">
        <v>-75.194764000000006</v>
      </c>
      <c r="AM2798">
        <v>100</v>
      </c>
      <c r="AN2798">
        <v>3700</v>
      </c>
      <c r="AO2798" t="s">
        <v>115</v>
      </c>
      <c r="AP2798">
        <v>127</v>
      </c>
      <c r="AQ2798">
        <v>119</v>
      </c>
      <c r="AR2798">
        <v>0</v>
      </c>
      <c r="AZ2798">
        <v>3614</v>
      </c>
      <c r="BA2798">
        <v>1</v>
      </c>
      <c r="BB2798" t="str">
        <f t="shared" si="131"/>
        <v xml:space="preserve">N959MJ  </v>
      </c>
      <c r="BC2798">
        <v>1</v>
      </c>
      <c r="BE2798">
        <v>0</v>
      </c>
      <c r="BF2798">
        <v>0</v>
      </c>
      <c r="BG2798">
        <v>0</v>
      </c>
      <c r="BH2798">
        <v>3875</v>
      </c>
      <c r="BI2798">
        <v>175</v>
      </c>
      <c r="BJ2798">
        <v>1</v>
      </c>
      <c r="BK2798">
        <v>1</v>
      </c>
      <c r="BL2798">
        <v>1</v>
      </c>
      <c r="BM2798">
        <v>0</v>
      </c>
      <c r="BP2798">
        <v>0</v>
      </c>
      <c r="BQ2798">
        <v>0</v>
      </c>
      <c r="BX2798" t="str">
        <f>"14:36:58.406"</f>
        <v>14:36:58.406</v>
      </c>
      <c r="BY2798" t="str">
        <f>"406318118"</f>
        <v>406318118</v>
      </c>
      <c r="CL2798">
        <v>0</v>
      </c>
      <c r="CM2798">
        <v>2</v>
      </c>
      <c r="CN2798">
        <v>0</v>
      </c>
      <c r="CO2798">
        <v>2</v>
      </c>
      <c r="CP2798">
        <v>0</v>
      </c>
      <c r="CQ2798">
        <v>5</v>
      </c>
      <c r="CR2798" t="s">
        <v>116</v>
      </c>
      <c r="CS2798">
        <v>409</v>
      </c>
      <c r="CT2798">
        <v>2</v>
      </c>
      <c r="CU2798" t="s">
        <v>5087</v>
      </c>
      <c r="CV2798" t="s">
        <v>5088</v>
      </c>
      <c r="CY2798">
        <v>8290</v>
      </c>
      <c r="CZ2798" t="s">
        <v>119</v>
      </c>
    </row>
    <row r="2799" spans="1:104" x14ac:dyDescent="0.25">
      <c r="A2799" t="str">
        <f>"14:36:59.695"</f>
        <v>14:36:59.695</v>
      </c>
      <c r="B2799" t="s">
        <v>108</v>
      </c>
      <c r="C2799" t="str">
        <f t="shared" si="130"/>
        <v>ffdfd3c0</v>
      </c>
      <c r="D2799" t="s">
        <v>109</v>
      </c>
      <c r="E2799">
        <v>4</v>
      </c>
      <c r="F2799">
        <v>1004</v>
      </c>
      <c r="G2799" t="s">
        <v>110</v>
      </c>
      <c r="J2799" t="s">
        <v>111</v>
      </c>
      <c r="K2799">
        <v>0</v>
      </c>
      <c r="L2799">
        <v>3</v>
      </c>
      <c r="M2799">
        <v>0</v>
      </c>
      <c r="N2799">
        <v>2</v>
      </c>
      <c r="O2799">
        <v>1</v>
      </c>
      <c r="P2799">
        <v>0</v>
      </c>
      <c r="Q2799">
        <v>0</v>
      </c>
      <c r="R2799" t="s">
        <v>112</v>
      </c>
      <c r="S2799" t="str">
        <f>"14:36:59.484"</f>
        <v>14:36:59.484</v>
      </c>
      <c r="T2799" t="str">
        <f>"14:36:58.984"</f>
        <v>14:36:58.984</v>
      </c>
      <c r="U2799" t="str">
        <f t="shared" si="129"/>
        <v>ad5732</v>
      </c>
      <c r="V2799">
        <v>0</v>
      </c>
      <c r="W2799">
        <v>0</v>
      </c>
      <c r="X2799">
        <v>1</v>
      </c>
      <c r="Z2799">
        <v>0</v>
      </c>
      <c r="AA2799">
        <v>9</v>
      </c>
      <c r="AB2799">
        <v>3</v>
      </c>
      <c r="AC2799">
        <v>0</v>
      </c>
      <c r="AD2799">
        <v>10</v>
      </c>
      <c r="AE2799">
        <v>0</v>
      </c>
      <c r="AF2799">
        <v>3</v>
      </c>
      <c r="AG2799">
        <v>2</v>
      </c>
      <c r="AH2799">
        <v>0</v>
      </c>
      <c r="AI2799" t="s">
        <v>5714</v>
      </c>
      <c r="AJ2799">
        <v>40.259248999999997</v>
      </c>
      <c r="AK2799" t="s">
        <v>5715</v>
      </c>
      <c r="AL2799">
        <v>-75.193927000000002</v>
      </c>
      <c r="AM2799">
        <v>100</v>
      </c>
      <c r="AN2799">
        <v>3700</v>
      </c>
      <c r="AO2799" t="s">
        <v>115</v>
      </c>
      <c r="AP2799">
        <v>127</v>
      </c>
      <c r="AQ2799">
        <v>119</v>
      </c>
      <c r="AR2799">
        <v>-64</v>
      </c>
      <c r="AZ2799">
        <v>3614</v>
      </c>
      <c r="BA2799">
        <v>1</v>
      </c>
      <c r="BB2799" t="str">
        <f t="shared" si="131"/>
        <v xml:space="preserve">N959MJ  </v>
      </c>
      <c r="BC2799">
        <v>1</v>
      </c>
      <c r="BE2799">
        <v>0</v>
      </c>
      <c r="BF2799">
        <v>0</v>
      </c>
      <c r="BG2799">
        <v>0</v>
      </c>
      <c r="BH2799">
        <v>3875</v>
      </c>
      <c r="BI2799">
        <v>175</v>
      </c>
      <c r="BJ2799">
        <v>1</v>
      </c>
      <c r="BK2799">
        <v>1</v>
      </c>
      <c r="BL2799">
        <v>1</v>
      </c>
      <c r="BM2799">
        <v>0</v>
      </c>
      <c r="BP2799">
        <v>0</v>
      </c>
      <c r="BQ2799">
        <v>0</v>
      </c>
      <c r="BX2799" t="str">
        <f>"14:36:59.492"</f>
        <v>14:36:59.492</v>
      </c>
      <c r="BY2799" t="str">
        <f>"490923214"</f>
        <v>490923214</v>
      </c>
      <c r="CL2799">
        <v>0</v>
      </c>
      <c r="CM2799">
        <v>2</v>
      </c>
      <c r="CN2799">
        <v>0</v>
      </c>
      <c r="CO2799">
        <v>2</v>
      </c>
      <c r="CP2799">
        <v>0</v>
      </c>
      <c r="CQ2799">
        <v>6</v>
      </c>
      <c r="CR2799" t="s">
        <v>116</v>
      </c>
      <c r="CS2799">
        <v>39</v>
      </c>
      <c r="CT2799">
        <v>0</v>
      </c>
      <c r="CU2799" t="s">
        <v>2259</v>
      </c>
      <c r="CV2799" t="s">
        <v>2260</v>
      </c>
      <c r="CY2799">
        <v>2440367</v>
      </c>
      <c r="CZ2799" t="s">
        <v>119</v>
      </c>
    </row>
    <row r="2800" spans="1:104" x14ac:dyDescent="0.25">
      <c r="A2800" t="str">
        <f>"14:37:00.656"</f>
        <v>14:37:00.656</v>
      </c>
      <c r="B2800" t="s">
        <v>108</v>
      </c>
      <c r="C2800" t="str">
        <f t="shared" si="130"/>
        <v>ffdfd3c0</v>
      </c>
      <c r="D2800" t="s">
        <v>109</v>
      </c>
      <c r="E2800">
        <v>4</v>
      </c>
      <c r="F2800">
        <v>1004</v>
      </c>
      <c r="G2800" t="s">
        <v>110</v>
      </c>
      <c r="J2800" t="s">
        <v>111</v>
      </c>
      <c r="K2800">
        <v>0</v>
      </c>
      <c r="L2800">
        <v>3</v>
      </c>
      <c r="M2800">
        <v>0</v>
      </c>
      <c r="N2800">
        <v>2</v>
      </c>
      <c r="O2800">
        <v>1</v>
      </c>
      <c r="P2800">
        <v>0</v>
      </c>
      <c r="Q2800">
        <v>0</v>
      </c>
      <c r="R2800" t="s">
        <v>112</v>
      </c>
      <c r="S2800" t="str">
        <f>"14:37:00.477"</f>
        <v>14:37:00.477</v>
      </c>
      <c r="T2800" t="str">
        <f>"14:37:00.078"</f>
        <v>14:37:00.078</v>
      </c>
      <c r="U2800" t="str">
        <f t="shared" si="129"/>
        <v>ad5732</v>
      </c>
      <c r="V2800">
        <v>0</v>
      </c>
      <c r="W2800">
        <v>0</v>
      </c>
      <c r="X2800">
        <v>1</v>
      </c>
      <c r="Z2800">
        <v>0</v>
      </c>
      <c r="AA2800">
        <v>9</v>
      </c>
      <c r="AB2800">
        <v>3</v>
      </c>
      <c r="AC2800">
        <v>0</v>
      </c>
      <c r="AD2800">
        <v>10</v>
      </c>
      <c r="AE2800">
        <v>0</v>
      </c>
      <c r="AF2800">
        <v>3</v>
      </c>
      <c r="AG2800">
        <v>2</v>
      </c>
      <c r="AH2800">
        <v>0</v>
      </c>
      <c r="AI2800" t="s">
        <v>5716</v>
      </c>
      <c r="AJ2800">
        <v>40.259763999999997</v>
      </c>
      <c r="AK2800" t="s">
        <v>5717</v>
      </c>
      <c r="AL2800">
        <v>-75.193175999999994</v>
      </c>
      <c r="AM2800">
        <v>100</v>
      </c>
      <c r="AN2800">
        <v>3700</v>
      </c>
      <c r="AO2800" t="s">
        <v>115</v>
      </c>
      <c r="AP2800">
        <v>127</v>
      </c>
      <c r="AQ2800">
        <v>119</v>
      </c>
      <c r="AR2800">
        <v>0</v>
      </c>
      <c r="AZ2800">
        <v>3614</v>
      </c>
      <c r="BA2800">
        <v>1</v>
      </c>
      <c r="BB2800" t="str">
        <f t="shared" si="131"/>
        <v xml:space="preserve">N959MJ  </v>
      </c>
      <c r="BC2800">
        <v>1</v>
      </c>
      <c r="BE2800">
        <v>0</v>
      </c>
      <c r="BF2800">
        <v>0</v>
      </c>
      <c r="BG2800">
        <v>0</v>
      </c>
      <c r="BH2800">
        <v>3875</v>
      </c>
      <c r="BI2800">
        <v>175</v>
      </c>
      <c r="BJ2800">
        <v>1</v>
      </c>
      <c r="BK2800">
        <v>1</v>
      </c>
      <c r="BL2800">
        <v>1</v>
      </c>
      <c r="BM2800">
        <v>0</v>
      </c>
      <c r="BP2800">
        <v>0</v>
      </c>
      <c r="BQ2800">
        <v>0</v>
      </c>
      <c r="BX2800" t="str">
        <f>"14:37:00.484"</f>
        <v>14:37:00.484</v>
      </c>
      <c r="BY2800" t="str">
        <f>"482119942"</f>
        <v>482119942</v>
      </c>
      <c r="CL2800">
        <v>0</v>
      </c>
      <c r="CM2800">
        <v>2</v>
      </c>
      <c r="CN2800">
        <v>0</v>
      </c>
      <c r="CO2800">
        <v>2</v>
      </c>
      <c r="CP2800">
        <v>0</v>
      </c>
      <c r="CQ2800">
        <v>6</v>
      </c>
      <c r="CR2800" t="s">
        <v>116</v>
      </c>
      <c r="CS2800">
        <v>38</v>
      </c>
      <c r="CT2800">
        <v>3</v>
      </c>
      <c r="CU2800" t="s">
        <v>4719</v>
      </c>
      <c r="CV2800" t="s">
        <v>4720</v>
      </c>
      <c r="CY2800">
        <v>10229111</v>
      </c>
      <c r="CZ2800" t="s">
        <v>119</v>
      </c>
    </row>
    <row r="2801" spans="1:104" x14ac:dyDescent="0.25">
      <c r="A2801" t="str">
        <f>"14:37:01.617"</f>
        <v>14:37:01.617</v>
      </c>
      <c r="B2801" t="s">
        <v>108</v>
      </c>
      <c r="C2801" t="str">
        <f t="shared" si="130"/>
        <v>ffdfd3c0</v>
      </c>
      <c r="D2801" t="s">
        <v>109</v>
      </c>
      <c r="E2801">
        <v>4</v>
      </c>
      <c r="F2801">
        <v>1004</v>
      </c>
      <c r="G2801" t="s">
        <v>110</v>
      </c>
      <c r="J2801" t="s">
        <v>111</v>
      </c>
      <c r="K2801">
        <v>0</v>
      </c>
      <c r="L2801">
        <v>3</v>
      </c>
      <c r="M2801">
        <v>0</v>
      </c>
      <c r="N2801">
        <v>2</v>
      </c>
      <c r="O2801">
        <v>1</v>
      </c>
      <c r="P2801">
        <v>0</v>
      </c>
      <c r="Q2801">
        <v>0</v>
      </c>
      <c r="R2801" t="s">
        <v>112</v>
      </c>
      <c r="S2801" t="str">
        <f>"14:37:01.438"</f>
        <v>14:37:01.438</v>
      </c>
      <c r="T2801" t="str">
        <f>"14:37:00.938"</f>
        <v>14:37:00.938</v>
      </c>
      <c r="U2801" t="str">
        <f t="shared" si="129"/>
        <v>ad5732</v>
      </c>
      <c r="V2801">
        <v>0</v>
      </c>
      <c r="W2801">
        <v>0</v>
      </c>
      <c r="X2801">
        <v>1</v>
      </c>
      <c r="Z2801">
        <v>0</v>
      </c>
      <c r="AA2801">
        <v>9</v>
      </c>
      <c r="AB2801">
        <v>3</v>
      </c>
      <c r="AC2801">
        <v>0</v>
      </c>
      <c r="AD2801">
        <v>10</v>
      </c>
      <c r="AE2801">
        <v>0</v>
      </c>
      <c r="AF2801">
        <v>3</v>
      </c>
      <c r="AG2801">
        <v>2</v>
      </c>
      <c r="AH2801">
        <v>0</v>
      </c>
      <c r="AI2801" t="s">
        <v>5718</v>
      </c>
      <c r="AJ2801">
        <v>40.260322000000002</v>
      </c>
      <c r="AK2801" t="s">
        <v>5719</v>
      </c>
      <c r="AL2801">
        <v>-75.192425</v>
      </c>
      <c r="AM2801">
        <v>100</v>
      </c>
      <c r="AN2801">
        <v>3700</v>
      </c>
      <c r="AO2801" t="s">
        <v>115</v>
      </c>
      <c r="AP2801">
        <v>127</v>
      </c>
      <c r="AQ2801">
        <v>119</v>
      </c>
      <c r="AR2801">
        <v>-64</v>
      </c>
      <c r="AZ2801">
        <v>3614</v>
      </c>
      <c r="BA2801">
        <v>1</v>
      </c>
      <c r="BB2801" t="str">
        <f t="shared" si="131"/>
        <v xml:space="preserve">N959MJ  </v>
      </c>
      <c r="BC2801">
        <v>1</v>
      </c>
      <c r="BE2801">
        <v>0</v>
      </c>
      <c r="BF2801">
        <v>0</v>
      </c>
      <c r="BG2801">
        <v>0</v>
      </c>
      <c r="BH2801">
        <v>3875</v>
      </c>
      <c r="BI2801">
        <v>175</v>
      </c>
      <c r="BJ2801">
        <v>1</v>
      </c>
      <c r="BK2801">
        <v>1</v>
      </c>
      <c r="BL2801">
        <v>1</v>
      </c>
      <c r="BM2801">
        <v>0</v>
      </c>
      <c r="BP2801">
        <v>0</v>
      </c>
      <c r="BQ2801">
        <v>0</v>
      </c>
      <c r="BX2801" t="str">
        <f>"14:37:01.438"</f>
        <v>14:37:01.438</v>
      </c>
      <c r="BY2801" t="str">
        <f>"440653710"</f>
        <v>440653710</v>
      </c>
      <c r="CL2801">
        <v>0</v>
      </c>
      <c r="CM2801">
        <v>2</v>
      </c>
      <c r="CN2801">
        <v>0</v>
      </c>
      <c r="CO2801">
        <v>2</v>
      </c>
      <c r="CP2801">
        <v>0</v>
      </c>
      <c r="CQ2801">
        <v>6</v>
      </c>
      <c r="CR2801" t="s">
        <v>116</v>
      </c>
      <c r="CS2801">
        <v>39</v>
      </c>
      <c r="CT2801">
        <v>0</v>
      </c>
      <c r="CU2801" t="s">
        <v>2259</v>
      </c>
      <c r="CV2801" t="s">
        <v>2260</v>
      </c>
      <c r="CY2801">
        <v>2443221</v>
      </c>
      <c r="CZ2801" t="s">
        <v>119</v>
      </c>
    </row>
    <row r="2802" spans="1:104" x14ac:dyDescent="0.25">
      <c r="A2802" t="str">
        <f>"14:37:02.578"</f>
        <v>14:37:02.578</v>
      </c>
      <c r="B2802" t="s">
        <v>108</v>
      </c>
      <c r="C2802" t="str">
        <f t="shared" si="130"/>
        <v>ffdfd3c0</v>
      </c>
      <c r="D2802" t="s">
        <v>109</v>
      </c>
      <c r="E2802">
        <v>4</v>
      </c>
      <c r="F2802">
        <v>1004</v>
      </c>
      <c r="G2802" t="s">
        <v>110</v>
      </c>
      <c r="J2802" t="s">
        <v>111</v>
      </c>
      <c r="K2802">
        <v>0</v>
      </c>
      <c r="L2802">
        <v>3</v>
      </c>
      <c r="M2802">
        <v>0</v>
      </c>
      <c r="N2802">
        <v>2</v>
      </c>
      <c r="O2802">
        <v>1</v>
      </c>
      <c r="P2802">
        <v>0</v>
      </c>
      <c r="Q2802">
        <v>0</v>
      </c>
      <c r="R2802" t="s">
        <v>112</v>
      </c>
      <c r="S2802" t="str">
        <f>"14:37:02.398"</f>
        <v>14:37:02.398</v>
      </c>
      <c r="T2802" t="str">
        <f>"14:37:01.898"</f>
        <v>14:37:01.898</v>
      </c>
      <c r="U2802" t="str">
        <f t="shared" si="129"/>
        <v>ad5732</v>
      </c>
      <c r="V2802">
        <v>0</v>
      </c>
      <c r="W2802">
        <v>0</v>
      </c>
      <c r="X2802">
        <v>1</v>
      </c>
      <c r="Z2802">
        <v>0</v>
      </c>
      <c r="AA2802">
        <v>9</v>
      </c>
      <c r="AB2802">
        <v>3</v>
      </c>
      <c r="AC2802">
        <v>0</v>
      </c>
      <c r="AD2802">
        <v>10</v>
      </c>
      <c r="AE2802">
        <v>0</v>
      </c>
      <c r="AF2802">
        <v>3</v>
      </c>
      <c r="AG2802">
        <v>2</v>
      </c>
      <c r="AH2802">
        <v>0</v>
      </c>
      <c r="AI2802" t="s">
        <v>5720</v>
      </c>
      <c r="AJ2802">
        <v>40.260815999999998</v>
      </c>
      <c r="AK2802" t="s">
        <v>5721</v>
      </c>
      <c r="AL2802">
        <v>-75.191716999999997</v>
      </c>
      <c r="AM2802">
        <v>100</v>
      </c>
      <c r="AN2802">
        <v>3700</v>
      </c>
      <c r="AO2802" t="s">
        <v>115</v>
      </c>
      <c r="AP2802">
        <v>127</v>
      </c>
      <c r="AQ2802">
        <v>119</v>
      </c>
      <c r="AR2802">
        <v>-128</v>
      </c>
      <c r="AZ2802">
        <v>3614</v>
      </c>
      <c r="BA2802">
        <v>1</v>
      </c>
      <c r="BB2802" t="str">
        <f t="shared" si="131"/>
        <v xml:space="preserve">N959MJ  </v>
      </c>
      <c r="BC2802">
        <v>1</v>
      </c>
      <c r="BE2802">
        <v>0</v>
      </c>
      <c r="BF2802">
        <v>0</v>
      </c>
      <c r="BG2802">
        <v>0</v>
      </c>
      <c r="BH2802">
        <v>3875</v>
      </c>
      <c r="BI2802">
        <v>175</v>
      </c>
      <c r="BJ2802">
        <v>1</v>
      </c>
      <c r="BK2802">
        <v>1</v>
      </c>
      <c r="BL2802">
        <v>1</v>
      </c>
      <c r="BM2802">
        <v>0</v>
      </c>
      <c r="BP2802">
        <v>0</v>
      </c>
      <c r="BQ2802">
        <v>0</v>
      </c>
      <c r="BX2802" t="str">
        <f>"14:37:02.406"</f>
        <v>14:37:02.406</v>
      </c>
      <c r="BY2802" t="str">
        <f>"402357696"</f>
        <v>402357696</v>
      </c>
      <c r="CL2802">
        <v>0</v>
      </c>
      <c r="CM2802">
        <v>2</v>
      </c>
      <c r="CN2802">
        <v>0</v>
      </c>
      <c r="CO2802">
        <v>2</v>
      </c>
      <c r="CP2802">
        <v>0</v>
      </c>
      <c r="CQ2802">
        <v>6</v>
      </c>
      <c r="CR2802" t="s">
        <v>116</v>
      </c>
      <c r="CS2802">
        <v>38</v>
      </c>
      <c r="CT2802">
        <v>3</v>
      </c>
      <c r="CU2802" t="s">
        <v>4719</v>
      </c>
      <c r="CV2802" t="s">
        <v>4720</v>
      </c>
      <c r="CY2802">
        <v>10232472</v>
      </c>
      <c r="CZ2802" t="s">
        <v>119</v>
      </c>
    </row>
    <row r="2803" spans="1:104" x14ac:dyDescent="0.25">
      <c r="A2803" t="str">
        <f>"14:37:03.688"</f>
        <v>14:37:03.688</v>
      </c>
      <c r="B2803" t="s">
        <v>108</v>
      </c>
      <c r="C2803" t="str">
        <f t="shared" si="130"/>
        <v>ffdfd3c0</v>
      </c>
      <c r="D2803" t="s">
        <v>109</v>
      </c>
      <c r="E2803">
        <v>4</v>
      </c>
      <c r="F2803">
        <v>1004</v>
      </c>
      <c r="G2803" t="s">
        <v>110</v>
      </c>
      <c r="J2803" t="s">
        <v>111</v>
      </c>
      <c r="K2803">
        <v>0</v>
      </c>
      <c r="L2803">
        <v>3</v>
      </c>
      <c r="M2803">
        <v>0</v>
      </c>
      <c r="N2803">
        <v>2</v>
      </c>
      <c r="O2803">
        <v>1</v>
      </c>
      <c r="P2803">
        <v>0</v>
      </c>
      <c r="Q2803">
        <v>0</v>
      </c>
      <c r="R2803" t="s">
        <v>112</v>
      </c>
      <c r="S2803" t="str">
        <f>"14:37:03.516"</f>
        <v>14:37:03.516</v>
      </c>
      <c r="T2803" t="str">
        <f>"14:37:03.016"</f>
        <v>14:37:03.016</v>
      </c>
      <c r="U2803" t="str">
        <f t="shared" si="129"/>
        <v>ad5732</v>
      </c>
      <c r="V2803">
        <v>0</v>
      </c>
      <c r="W2803">
        <v>0</v>
      </c>
      <c r="X2803">
        <v>1</v>
      </c>
      <c r="Z2803">
        <v>0</v>
      </c>
      <c r="AA2803">
        <v>9</v>
      </c>
      <c r="AB2803">
        <v>3</v>
      </c>
      <c r="AC2803">
        <v>0</v>
      </c>
      <c r="AD2803">
        <v>10</v>
      </c>
      <c r="AE2803">
        <v>0</v>
      </c>
      <c r="AF2803">
        <v>3</v>
      </c>
      <c r="AG2803">
        <v>2</v>
      </c>
      <c r="AH2803">
        <v>0</v>
      </c>
      <c r="AI2803" t="s">
        <v>5722</v>
      </c>
      <c r="AJ2803">
        <v>40.261502</v>
      </c>
      <c r="AK2803" t="s">
        <v>5723</v>
      </c>
      <c r="AL2803">
        <v>-75.190793999999997</v>
      </c>
      <c r="AM2803">
        <v>100</v>
      </c>
      <c r="AN2803">
        <v>3700</v>
      </c>
      <c r="AO2803" t="s">
        <v>115</v>
      </c>
      <c r="AP2803">
        <v>128</v>
      </c>
      <c r="AQ2803">
        <v>119</v>
      </c>
      <c r="AR2803">
        <v>-128</v>
      </c>
      <c r="AZ2803">
        <v>3614</v>
      </c>
      <c r="BA2803">
        <v>1</v>
      </c>
      <c r="BB2803" t="str">
        <f t="shared" si="131"/>
        <v xml:space="preserve">N959MJ  </v>
      </c>
      <c r="BC2803">
        <v>1</v>
      </c>
      <c r="BE2803">
        <v>0</v>
      </c>
      <c r="BF2803">
        <v>0</v>
      </c>
      <c r="BG2803">
        <v>0</v>
      </c>
      <c r="BH2803">
        <v>3850</v>
      </c>
      <c r="BI2803">
        <v>150</v>
      </c>
      <c r="BJ2803">
        <v>1</v>
      </c>
      <c r="BK2803">
        <v>1</v>
      </c>
      <c r="BL2803">
        <v>1</v>
      </c>
      <c r="BM2803">
        <v>0</v>
      </c>
      <c r="BP2803">
        <v>0</v>
      </c>
      <c r="BQ2803">
        <v>0</v>
      </c>
      <c r="BX2803" t="str">
        <f>"14:37:03.516"</f>
        <v>14:37:03.516</v>
      </c>
      <c r="BY2803" t="str">
        <f>"516543223"</f>
        <v>516543223</v>
      </c>
      <c r="CL2803">
        <v>0</v>
      </c>
      <c r="CM2803">
        <v>2</v>
      </c>
      <c r="CN2803">
        <v>0</v>
      </c>
      <c r="CO2803">
        <v>2</v>
      </c>
      <c r="CP2803">
        <v>0</v>
      </c>
      <c r="CQ2803">
        <v>6</v>
      </c>
      <c r="CR2803" t="s">
        <v>116</v>
      </c>
      <c r="CS2803">
        <v>39</v>
      </c>
      <c r="CT2803">
        <v>0</v>
      </c>
      <c r="CU2803" t="s">
        <v>2259</v>
      </c>
      <c r="CV2803" t="s">
        <v>2260</v>
      </c>
      <c r="CY2803">
        <v>2446485</v>
      </c>
      <c r="CZ2803" t="s">
        <v>119</v>
      </c>
    </row>
    <row r="2804" spans="1:104" x14ac:dyDescent="0.25">
      <c r="A2804" t="str">
        <f>"14:37:04.797"</f>
        <v>14:37:04.797</v>
      </c>
      <c r="B2804" t="s">
        <v>108</v>
      </c>
      <c r="C2804" t="str">
        <f t="shared" si="130"/>
        <v>ffdfd3c0</v>
      </c>
      <c r="D2804" t="s">
        <v>109</v>
      </c>
      <c r="E2804">
        <v>4</v>
      </c>
      <c r="F2804">
        <v>1004</v>
      </c>
      <c r="G2804" t="s">
        <v>110</v>
      </c>
      <c r="J2804" t="s">
        <v>111</v>
      </c>
      <c r="K2804">
        <v>0</v>
      </c>
      <c r="L2804">
        <v>3</v>
      </c>
      <c r="M2804">
        <v>0</v>
      </c>
      <c r="N2804">
        <v>2</v>
      </c>
      <c r="O2804">
        <v>1</v>
      </c>
      <c r="P2804">
        <v>0</v>
      </c>
      <c r="Q2804">
        <v>0</v>
      </c>
      <c r="R2804" t="s">
        <v>112</v>
      </c>
      <c r="S2804" t="str">
        <f>"14:37:04.633"</f>
        <v>14:37:04.633</v>
      </c>
      <c r="T2804" t="str">
        <f>"14:37:04.133"</f>
        <v>14:37:04.133</v>
      </c>
      <c r="U2804" t="str">
        <f t="shared" si="129"/>
        <v>ad5732</v>
      </c>
      <c r="V2804">
        <v>0</v>
      </c>
      <c r="W2804">
        <v>0</v>
      </c>
      <c r="X2804">
        <v>1</v>
      </c>
      <c r="Z2804">
        <v>0</v>
      </c>
      <c r="AA2804">
        <v>9</v>
      </c>
      <c r="AB2804">
        <v>3</v>
      </c>
      <c r="AC2804">
        <v>0</v>
      </c>
      <c r="AD2804">
        <v>10</v>
      </c>
      <c r="AE2804">
        <v>0</v>
      </c>
      <c r="AF2804">
        <v>3</v>
      </c>
      <c r="AG2804">
        <v>2</v>
      </c>
      <c r="AH2804">
        <v>0</v>
      </c>
      <c r="AI2804" t="s">
        <v>5724</v>
      </c>
      <c r="AJ2804">
        <v>40.262103000000003</v>
      </c>
      <c r="AK2804" t="s">
        <v>5725</v>
      </c>
      <c r="AL2804">
        <v>-75.189936000000003</v>
      </c>
      <c r="AM2804">
        <v>100</v>
      </c>
      <c r="AN2804">
        <v>3700</v>
      </c>
      <c r="AO2804" t="s">
        <v>115</v>
      </c>
      <c r="AP2804">
        <v>128</v>
      </c>
      <c r="AQ2804">
        <v>119</v>
      </c>
      <c r="AR2804">
        <v>0</v>
      </c>
      <c r="AZ2804">
        <v>3614</v>
      </c>
      <c r="BA2804">
        <v>1</v>
      </c>
      <c r="BB2804" t="str">
        <f t="shared" si="131"/>
        <v xml:space="preserve">N959MJ  </v>
      </c>
      <c r="BC2804">
        <v>1</v>
      </c>
      <c r="BE2804">
        <v>0</v>
      </c>
      <c r="BF2804">
        <v>0</v>
      </c>
      <c r="BG2804">
        <v>0</v>
      </c>
      <c r="BH2804">
        <v>3850</v>
      </c>
      <c r="BI2804">
        <v>150</v>
      </c>
      <c r="BJ2804">
        <v>1</v>
      </c>
      <c r="BK2804">
        <v>1</v>
      </c>
      <c r="BL2804">
        <v>1</v>
      </c>
      <c r="BM2804">
        <v>0</v>
      </c>
      <c r="BP2804">
        <v>0</v>
      </c>
      <c r="BQ2804">
        <v>0</v>
      </c>
      <c r="BX2804" t="str">
        <f>"14:37:04.633"</f>
        <v>14:37:04.633</v>
      </c>
      <c r="BY2804" t="str">
        <f>"633896726"</f>
        <v>633896726</v>
      </c>
      <c r="CL2804">
        <v>0</v>
      </c>
      <c r="CM2804">
        <v>2</v>
      </c>
      <c r="CN2804">
        <v>0</v>
      </c>
      <c r="CO2804">
        <v>2</v>
      </c>
      <c r="CP2804">
        <v>0</v>
      </c>
      <c r="CQ2804">
        <v>6</v>
      </c>
      <c r="CR2804" t="s">
        <v>116</v>
      </c>
      <c r="CS2804">
        <v>38</v>
      </c>
      <c r="CT2804">
        <v>3</v>
      </c>
      <c r="CU2804" t="s">
        <v>4719</v>
      </c>
      <c r="CV2804" t="s">
        <v>4720</v>
      </c>
      <c r="CY2804">
        <v>10236532</v>
      </c>
      <c r="CZ2804" t="s">
        <v>119</v>
      </c>
    </row>
    <row r="2805" spans="1:104" x14ac:dyDescent="0.25">
      <c r="A2805" t="str">
        <f>"14:37:06.008"</f>
        <v>14:37:06.008</v>
      </c>
      <c r="B2805" t="s">
        <v>108</v>
      </c>
      <c r="C2805" t="str">
        <f t="shared" si="130"/>
        <v>ffdfd3c0</v>
      </c>
      <c r="D2805" t="s">
        <v>109</v>
      </c>
      <c r="E2805">
        <v>4</v>
      </c>
      <c r="F2805">
        <v>1004</v>
      </c>
      <c r="G2805" t="s">
        <v>110</v>
      </c>
      <c r="J2805" t="s">
        <v>111</v>
      </c>
      <c r="K2805">
        <v>0</v>
      </c>
      <c r="L2805">
        <v>3</v>
      </c>
      <c r="M2805">
        <v>0</v>
      </c>
      <c r="N2805">
        <v>2</v>
      </c>
      <c r="O2805">
        <v>1</v>
      </c>
      <c r="P2805">
        <v>0</v>
      </c>
      <c r="Q2805">
        <v>0</v>
      </c>
      <c r="R2805" t="s">
        <v>112</v>
      </c>
      <c r="S2805" t="str">
        <f>"14:37:05.797"</f>
        <v>14:37:05.797</v>
      </c>
      <c r="T2805" t="str">
        <f>"14:37:05.297"</f>
        <v>14:37:05.297</v>
      </c>
      <c r="U2805" t="str">
        <f t="shared" si="129"/>
        <v>ad5732</v>
      </c>
      <c r="V2805">
        <v>0</v>
      </c>
      <c r="W2805">
        <v>0</v>
      </c>
      <c r="X2805">
        <v>1</v>
      </c>
      <c r="Z2805">
        <v>0</v>
      </c>
      <c r="AA2805">
        <v>9</v>
      </c>
      <c r="AB2805">
        <v>3</v>
      </c>
      <c r="AC2805">
        <v>0</v>
      </c>
      <c r="AD2805">
        <v>10</v>
      </c>
      <c r="AE2805">
        <v>0</v>
      </c>
      <c r="AF2805">
        <v>3</v>
      </c>
      <c r="AG2805">
        <v>2</v>
      </c>
      <c r="AH2805">
        <v>0</v>
      </c>
      <c r="AI2805" t="s">
        <v>5726</v>
      </c>
      <c r="AJ2805">
        <v>40.262703999999999</v>
      </c>
      <c r="AK2805" t="s">
        <v>5727</v>
      </c>
      <c r="AL2805">
        <v>-75.189077999999995</v>
      </c>
      <c r="AM2805">
        <v>100</v>
      </c>
      <c r="AN2805">
        <v>3700</v>
      </c>
      <c r="AO2805" t="s">
        <v>115</v>
      </c>
      <c r="AP2805">
        <v>128</v>
      </c>
      <c r="AQ2805">
        <v>119</v>
      </c>
      <c r="AR2805">
        <v>64</v>
      </c>
      <c r="AZ2805">
        <v>3614</v>
      </c>
      <c r="BA2805">
        <v>1</v>
      </c>
      <c r="BB2805" t="str">
        <f t="shared" si="131"/>
        <v xml:space="preserve">N959MJ  </v>
      </c>
      <c r="BC2805">
        <v>1</v>
      </c>
      <c r="BE2805">
        <v>0</v>
      </c>
      <c r="BF2805">
        <v>0</v>
      </c>
      <c r="BG2805">
        <v>0</v>
      </c>
      <c r="BH2805">
        <v>3850</v>
      </c>
      <c r="BI2805">
        <v>150</v>
      </c>
      <c r="BJ2805">
        <v>1</v>
      </c>
      <c r="BK2805">
        <v>1</v>
      </c>
      <c r="BL2805">
        <v>1</v>
      </c>
      <c r="BM2805">
        <v>0</v>
      </c>
      <c r="BP2805">
        <v>0</v>
      </c>
      <c r="BQ2805">
        <v>0</v>
      </c>
      <c r="BX2805" t="str">
        <f>"14:37:05.797"</f>
        <v>14:37:05.797</v>
      </c>
      <c r="BY2805" t="str">
        <f>"798874862"</f>
        <v>798874862</v>
      </c>
      <c r="CL2805">
        <v>0</v>
      </c>
      <c r="CM2805">
        <v>2</v>
      </c>
      <c r="CN2805">
        <v>0</v>
      </c>
      <c r="CO2805">
        <v>2</v>
      </c>
      <c r="CP2805">
        <v>0</v>
      </c>
      <c r="CQ2805">
        <v>6</v>
      </c>
      <c r="CR2805" t="s">
        <v>116</v>
      </c>
      <c r="CS2805">
        <v>39</v>
      </c>
      <c r="CT2805">
        <v>0</v>
      </c>
      <c r="CU2805" t="s">
        <v>2259</v>
      </c>
      <c r="CV2805" t="s">
        <v>2260</v>
      </c>
      <c r="CY2805">
        <v>2449946</v>
      </c>
      <c r="CZ2805" t="s">
        <v>119</v>
      </c>
    </row>
    <row r="2806" spans="1:104" x14ac:dyDescent="0.25">
      <c r="A2806" t="str">
        <f>"14:37:06.914"</f>
        <v>14:37:06.914</v>
      </c>
      <c r="B2806" t="s">
        <v>108</v>
      </c>
      <c r="C2806" t="str">
        <f t="shared" si="130"/>
        <v>ffdfd3c0</v>
      </c>
      <c r="D2806" t="s">
        <v>109</v>
      </c>
      <c r="E2806">
        <v>4</v>
      </c>
      <c r="F2806">
        <v>1004</v>
      </c>
      <c r="G2806" t="s">
        <v>110</v>
      </c>
      <c r="J2806" t="s">
        <v>111</v>
      </c>
      <c r="K2806">
        <v>0</v>
      </c>
      <c r="L2806">
        <v>3</v>
      </c>
      <c r="M2806">
        <v>0</v>
      </c>
      <c r="N2806">
        <v>2</v>
      </c>
      <c r="O2806">
        <v>1</v>
      </c>
      <c r="P2806">
        <v>0</v>
      </c>
      <c r="Q2806">
        <v>0</v>
      </c>
      <c r="R2806" t="s">
        <v>112</v>
      </c>
      <c r="S2806" t="str">
        <f>"14:37:06.734"</f>
        <v>14:37:06.734</v>
      </c>
      <c r="T2806" t="str">
        <f>"14:37:06.234"</f>
        <v>14:37:06.234</v>
      </c>
      <c r="U2806" t="str">
        <f t="shared" si="129"/>
        <v>ad5732</v>
      </c>
      <c r="V2806">
        <v>0</v>
      </c>
      <c r="W2806">
        <v>0</v>
      </c>
      <c r="X2806">
        <v>1</v>
      </c>
      <c r="Z2806">
        <v>0</v>
      </c>
      <c r="AA2806">
        <v>9</v>
      </c>
      <c r="AB2806">
        <v>3</v>
      </c>
      <c r="AC2806">
        <v>0</v>
      </c>
      <c r="AD2806">
        <v>10</v>
      </c>
      <c r="AE2806">
        <v>0</v>
      </c>
      <c r="AF2806">
        <v>3</v>
      </c>
      <c r="AG2806">
        <v>2</v>
      </c>
      <c r="AH2806">
        <v>0</v>
      </c>
      <c r="AI2806" t="s">
        <v>5728</v>
      </c>
      <c r="AJ2806">
        <v>40.263240000000003</v>
      </c>
      <c r="AK2806" t="s">
        <v>5729</v>
      </c>
      <c r="AL2806">
        <v>-75.188283999999996</v>
      </c>
      <c r="AM2806">
        <v>100</v>
      </c>
      <c r="AN2806">
        <v>3700</v>
      </c>
      <c r="AO2806" t="s">
        <v>115</v>
      </c>
      <c r="AP2806">
        <v>128</v>
      </c>
      <c r="AQ2806">
        <v>119</v>
      </c>
      <c r="AR2806">
        <v>128</v>
      </c>
      <c r="AZ2806">
        <v>3614</v>
      </c>
      <c r="BA2806">
        <v>1</v>
      </c>
      <c r="BB2806" t="str">
        <f t="shared" si="131"/>
        <v xml:space="preserve">N959MJ  </v>
      </c>
      <c r="BC2806">
        <v>1</v>
      </c>
      <c r="BE2806">
        <v>0</v>
      </c>
      <c r="BF2806">
        <v>0</v>
      </c>
      <c r="BG2806">
        <v>0</v>
      </c>
      <c r="BH2806">
        <v>3850</v>
      </c>
      <c r="BI2806">
        <v>150</v>
      </c>
      <c r="BJ2806">
        <v>1</v>
      </c>
      <c r="BK2806">
        <v>1</v>
      </c>
      <c r="BL2806">
        <v>1</v>
      </c>
      <c r="BM2806">
        <v>0</v>
      </c>
      <c r="BP2806">
        <v>0</v>
      </c>
      <c r="BQ2806">
        <v>0</v>
      </c>
      <c r="BX2806" t="str">
        <f>"14:37:06.742"</f>
        <v>14:37:06.742</v>
      </c>
      <c r="BY2806" t="str">
        <f>"741001648"</f>
        <v>741001648</v>
      </c>
      <c r="CL2806">
        <v>0</v>
      </c>
      <c r="CM2806">
        <v>2</v>
      </c>
      <c r="CN2806">
        <v>0</v>
      </c>
      <c r="CO2806">
        <v>2</v>
      </c>
      <c r="CP2806">
        <v>0</v>
      </c>
      <c r="CQ2806">
        <v>5</v>
      </c>
      <c r="CR2806" t="s">
        <v>116</v>
      </c>
      <c r="CS2806">
        <v>409</v>
      </c>
      <c r="CT2806">
        <v>2</v>
      </c>
      <c r="CU2806" t="s">
        <v>5087</v>
      </c>
      <c r="CV2806" t="s">
        <v>5088</v>
      </c>
      <c r="CY2806">
        <v>23935</v>
      </c>
      <c r="CZ2806" t="s">
        <v>119</v>
      </c>
    </row>
    <row r="2807" spans="1:104" x14ac:dyDescent="0.25">
      <c r="A2807" t="str">
        <f>"14:37:07.977"</f>
        <v>14:37:07.977</v>
      </c>
      <c r="B2807" t="s">
        <v>108</v>
      </c>
      <c r="C2807" t="str">
        <f t="shared" si="130"/>
        <v>ffdfd3c0</v>
      </c>
      <c r="D2807" t="s">
        <v>109</v>
      </c>
      <c r="E2807">
        <v>4</v>
      </c>
      <c r="F2807">
        <v>1004</v>
      </c>
      <c r="G2807" t="s">
        <v>110</v>
      </c>
      <c r="J2807" t="s">
        <v>111</v>
      </c>
      <c r="K2807">
        <v>0</v>
      </c>
      <c r="L2807">
        <v>3</v>
      </c>
      <c r="M2807">
        <v>0</v>
      </c>
      <c r="N2807">
        <v>2</v>
      </c>
      <c r="O2807">
        <v>1</v>
      </c>
      <c r="P2807">
        <v>0</v>
      </c>
      <c r="Q2807">
        <v>0</v>
      </c>
      <c r="R2807" t="s">
        <v>112</v>
      </c>
      <c r="S2807" t="str">
        <f>"14:37:07.820"</f>
        <v>14:37:07.820</v>
      </c>
      <c r="T2807" t="str">
        <f>"14:37:07.320"</f>
        <v>14:37:07.320</v>
      </c>
      <c r="U2807" t="str">
        <f t="shared" si="129"/>
        <v>ad5732</v>
      </c>
      <c r="V2807">
        <v>0</v>
      </c>
      <c r="W2807">
        <v>0</v>
      </c>
      <c r="X2807">
        <v>1</v>
      </c>
      <c r="Z2807">
        <v>0</v>
      </c>
      <c r="AA2807">
        <v>9</v>
      </c>
      <c r="AB2807">
        <v>3</v>
      </c>
      <c r="AC2807">
        <v>0</v>
      </c>
      <c r="AD2807">
        <v>10</v>
      </c>
      <c r="AE2807">
        <v>0</v>
      </c>
      <c r="AF2807">
        <v>3</v>
      </c>
      <c r="AG2807">
        <v>2</v>
      </c>
      <c r="AH2807">
        <v>0</v>
      </c>
      <c r="AI2807" t="s">
        <v>5730</v>
      </c>
      <c r="AJ2807">
        <v>40.263863000000001</v>
      </c>
      <c r="AK2807" t="s">
        <v>5731</v>
      </c>
      <c r="AL2807">
        <v>-75.187489999999997</v>
      </c>
      <c r="AM2807">
        <v>100</v>
      </c>
      <c r="AN2807">
        <v>3700</v>
      </c>
      <c r="AO2807" t="s">
        <v>115</v>
      </c>
      <c r="AP2807">
        <v>128</v>
      </c>
      <c r="AQ2807">
        <v>119</v>
      </c>
      <c r="AR2807">
        <v>64</v>
      </c>
      <c r="AZ2807">
        <v>3614</v>
      </c>
      <c r="BA2807">
        <v>1</v>
      </c>
      <c r="BB2807" t="str">
        <f t="shared" si="131"/>
        <v xml:space="preserve">N959MJ  </v>
      </c>
      <c r="BC2807">
        <v>1</v>
      </c>
      <c r="BE2807">
        <v>0</v>
      </c>
      <c r="BF2807">
        <v>0</v>
      </c>
      <c r="BG2807">
        <v>0</v>
      </c>
      <c r="BH2807">
        <v>3850</v>
      </c>
      <c r="BI2807">
        <v>150</v>
      </c>
      <c r="BJ2807">
        <v>1</v>
      </c>
      <c r="BK2807">
        <v>1</v>
      </c>
      <c r="BL2807">
        <v>1</v>
      </c>
      <c r="BM2807">
        <v>0</v>
      </c>
      <c r="BP2807">
        <v>0</v>
      </c>
      <c r="BQ2807">
        <v>0</v>
      </c>
      <c r="BX2807" t="str">
        <f>"14:37:07.820"</f>
        <v>14:37:07.820</v>
      </c>
      <c r="BY2807" t="str">
        <f>"823973100"</f>
        <v>823973100</v>
      </c>
      <c r="CL2807">
        <v>0</v>
      </c>
      <c r="CM2807">
        <v>2</v>
      </c>
      <c r="CN2807">
        <v>0</v>
      </c>
      <c r="CO2807">
        <v>2</v>
      </c>
      <c r="CP2807">
        <v>0</v>
      </c>
      <c r="CQ2807">
        <v>6</v>
      </c>
      <c r="CR2807" t="s">
        <v>116</v>
      </c>
      <c r="CS2807">
        <v>39</v>
      </c>
      <c r="CT2807">
        <v>0</v>
      </c>
      <c r="CU2807" t="s">
        <v>2259</v>
      </c>
      <c r="CV2807" t="s">
        <v>2260</v>
      </c>
      <c r="CY2807">
        <v>2453114</v>
      </c>
      <c r="CZ2807" t="s">
        <v>119</v>
      </c>
    </row>
    <row r="2808" spans="1:104" x14ac:dyDescent="0.25">
      <c r="A2808" t="str">
        <f>"14:37:08.836"</f>
        <v>14:37:08.836</v>
      </c>
      <c r="B2808" t="s">
        <v>108</v>
      </c>
      <c r="C2808" t="str">
        <f t="shared" si="130"/>
        <v>ffdfd3c0</v>
      </c>
      <c r="D2808" t="s">
        <v>109</v>
      </c>
      <c r="E2808">
        <v>4</v>
      </c>
      <c r="F2808">
        <v>1004</v>
      </c>
      <c r="G2808" t="s">
        <v>110</v>
      </c>
      <c r="J2808" t="s">
        <v>111</v>
      </c>
      <c r="K2808">
        <v>0</v>
      </c>
      <c r="L2808">
        <v>3</v>
      </c>
      <c r="M2808">
        <v>0</v>
      </c>
      <c r="N2808">
        <v>2</v>
      </c>
      <c r="O2808">
        <v>1</v>
      </c>
      <c r="P2808">
        <v>0</v>
      </c>
      <c r="Q2808">
        <v>0</v>
      </c>
      <c r="R2808" t="s">
        <v>112</v>
      </c>
      <c r="S2808" t="str">
        <f>"14:37:08.641"</f>
        <v>14:37:08.641</v>
      </c>
      <c r="T2808" t="str">
        <f>"14:37:08.242"</f>
        <v>14:37:08.242</v>
      </c>
      <c r="U2808" t="str">
        <f t="shared" si="129"/>
        <v>ad5732</v>
      </c>
      <c r="V2808">
        <v>0</v>
      </c>
      <c r="W2808">
        <v>0</v>
      </c>
      <c r="X2808">
        <v>1</v>
      </c>
      <c r="Z2808">
        <v>0</v>
      </c>
      <c r="AA2808">
        <v>9</v>
      </c>
      <c r="AB2808">
        <v>3</v>
      </c>
      <c r="AC2808">
        <v>0</v>
      </c>
      <c r="AD2808">
        <v>10</v>
      </c>
      <c r="AE2808">
        <v>0</v>
      </c>
      <c r="AF2808">
        <v>3</v>
      </c>
      <c r="AG2808">
        <v>2</v>
      </c>
      <c r="AH2808">
        <v>0</v>
      </c>
      <c r="AI2808" t="s">
        <v>5732</v>
      </c>
      <c r="AJ2808">
        <v>40.264335000000003</v>
      </c>
      <c r="AK2808" t="s">
        <v>5733</v>
      </c>
      <c r="AL2808">
        <v>-75.186868000000004</v>
      </c>
      <c r="AM2808">
        <v>100</v>
      </c>
      <c r="AN2808">
        <v>3700</v>
      </c>
      <c r="AO2808" t="s">
        <v>115</v>
      </c>
      <c r="AP2808">
        <v>128</v>
      </c>
      <c r="AQ2808">
        <v>119</v>
      </c>
      <c r="AR2808">
        <v>192</v>
      </c>
      <c r="AZ2808">
        <v>3614</v>
      </c>
      <c r="BA2808">
        <v>1</v>
      </c>
      <c r="BB2808" t="str">
        <f t="shared" si="131"/>
        <v xml:space="preserve">N959MJ  </v>
      </c>
      <c r="BC2808">
        <v>1</v>
      </c>
      <c r="BE2808">
        <v>0</v>
      </c>
      <c r="BF2808">
        <v>0</v>
      </c>
      <c r="BG2808">
        <v>0</v>
      </c>
      <c r="BH2808">
        <v>3850</v>
      </c>
      <c r="BI2808">
        <v>150</v>
      </c>
      <c r="BJ2808">
        <v>1</v>
      </c>
      <c r="BK2808">
        <v>1</v>
      </c>
      <c r="BL2808">
        <v>1</v>
      </c>
      <c r="BM2808">
        <v>0</v>
      </c>
      <c r="BP2808">
        <v>0</v>
      </c>
      <c r="BQ2808">
        <v>0</v>
      </c>
      <c r="BX2808" t="str">
        <f>"14:37:08.648"</f>
        <v>14:37:08.648</v>
      </c>
      <c r="BY2808" t="str">
        <f>"644825963"</f>
        <v>644825963</v>
      </c>
      <c r="CL2808">
        <v>0</v>
      </c>
      <c r="CM2808">
        <v>2</v>
      </c>
      <c r="CN2808">
        <v>0</v>
      </c>
      <c r="CO2808">
        <v>2</v>
      </c>
      <c r="CP2808">
        <v>0</v>
      </c>
      <c r="CQ2808">
        <v>6</v>
      </c>
      <c r="CR2808" t="s">
        <v>116</v>
      </c>
      <c r="CS2808">
        <v>39</v>
      </c>
      <c r="CT2808">
        <v>0</v>
      </c>
      <c r="CU2808" t="s">
        <v>2259</v>
      </c>
      <c r="CV2808" t="s">
        <v>2260</v>
      </c>
      <c r="CY2808">
        <v>2454467</v>
      </c>
      <c r="CZ2808" t="s">
        <v>119</v>
      </c>
    </row>
    <row r="2809" spans="1:104" x14ac:dyDescent="0.25">
      <c r="A2809" t="str">
        <f>"14:37:09.742"</f>
        <v>14:37:09.742</v>
      </c>
      <c r="B2809" t="s">
        <v>108</v>
      </c>
      <c r="C2809" t="str">
        <f t="shared" si="130"/>
        <v>ffdfd3c0</v>
      </c>
      <c r="D2809" t="s">
        <v>109</v>
      </c>
      <c r="E2809">
        <v>4</v>
      </c>
      <c r="F2809">
        <v>1004</v>
      </c>
      <c r="G2809" t="s">
        <v>110</v>
      </c>
      <c r="J2809" t="s">
        <v>111</v>
      </c>
      <c r="K2809">
        <v>0</v>
      </c>
      <c r="L2809">
        <v>3</v>
      </c>
      <c r="M2809">
        <v>0</v>
      </c>
      <c r="N2809">
        <v>2</v>
      </c>
      <c r="O2809">
        <v>1</v>
      </c>
      <c r="P2809">
        <v>0</v>
      </c>
      <c r="Q2809">
        <v>0</v>
      </c>
      <c r="R2809" t="s">
        <v>112</v>
      </c>
      <c r="S2809" t="str">
        <f>"14:37:09.563"</f>
        <v>14:37:09.563</v>
      </c>
      <c r="T2809" t="str">
        <f>"14:37:09.063"</f>
        <v>14:37:09.063</v>
      </c>
      <c r="U2809" t="str">
        <f t="shared" si="129"/>
        <v>ad5732</v>
      </c>
      <c r="V2809">
        <v>0</v>
      </c>
      <c r="W2809">
        <v>0</v>
      </c>
      <c r="X2809">
        <v>1</v>
      </c>
      <c r="Z2809">
        <v>0</v>
      </c>
      <c r="AA2809">
        <v>9</v>
      </c>
      <c r="AB2809">
        <v>3</v>
      </c>
      <c r="AC2809">
        <v>0</v>
      </c>
      <c r="AD2809">
        <v>10</v>
      </c>
      <c r="AE2809">
        <v>0</v>
      </c>
      <c r="AF2809">
        <v>3</v>
      </c>
      <c r="AG2809">
        <v>2</v>
      </c>
      <c r="AH2809">
        <v>0</v>
      </c>
      <c r="AI2809" t="s">
        <v>5734</v>
      </c>
      <c r="AJ2809">
        <v>40.264806999999998</v>
      </c>
      <c r="AK2809" t="s">
        <v>5735</v>
      </c>
      <c r="AL2809">
        <v>-75.186160000000001</v>
      </c>
      <c r="AM2809">
        <v>100</v>
      </c>
      <c r="AN2809">
        <v>3700</v>
      </c>
      <c r="AO2809" t="s">
        <v>115</v>
      </c>
      <c r="AP2809">
        <v>127</v>
      </c>
      <c r="AQ2809">
        <v>118</v>
      </c>
      <c r="AR2809">
        <v>256</v>
      </c>
      <c r="AZ2809">
        <v>3614</v>
      </c>
      <c r="BA2809">
        <v>1</v>
      </c>
      <c r="BB2809" t="str">
        <f t="shared" si="131"/>
        <v xml:space="preserve">N959MJ  </v>
      </c>
      <c r="BC2809">
        <v>1</v>
      </c>
      <c r="BE2809">
        <v>0</v>
      </c>
      <c r="BF2809">
        <v>0</v>
      </c>
      <c r="BG2809">
        <v>0</v>
      </c>
      <c r="BH2809">
        <v>3875</v>
      </c>
      <c r="BI2809">
        <v>175</v>
      </c>
      <c r="BJ2809">
        <v>1</v>
      </c>
      <c r="BK2809">
        <v>1</v>
      </c>
      <c r="BL2809">
        <v>1</v>
      </c>
      <c r="BM2809">
        <v>0</v>
      </c>
      <c r="BP2809">
        <v>0</v>
      </c>
      <c r="BQ2809">
        <v>0</v>
      </c>
      <c r="BX2809" t="str">
        <f>"14:37:09.570"</f>
        <v>14:37:09.570</v>
      </c>
      <c r="BY2809" t="str">
        <f>"567261476"</f>
        <v>567261476</v>
      </c>
      <c r="CL2809">
        <v>0</v>
      </c>
      <c r="CM2809">
        <v>2</v>
      </c>
      <c r="CN2809">
        <v>0</v>
      </c>
      <c r="CO2809">
        <v>2</v>
      </c>
      <c r="CP2809">
        <v>0</v>
      </c>
      <c r="CQ2809">
        <v>6</v>
      </c>
      <c r="CR2809" t="s">
        <v>116</v>
      </c>
      <c r="CS2809">
        <v>39</v>
      </c>
      <c r="CT2809">
        <v>0</v>
      </c>
      <c r="CU2809" t="s">
        <v>2259</v>
      </c>
      <c r="CV2809" t="s">
        <v>2260</v>
      </c>
      <c r="CY2809">
        <v>2455968</v>
      </c>
      <c r="CZ2809" t="s">
        <v>119</v>
      </c>
    </row>
    <row r="2810" spans="1:104" x14ac:dyDescent="0.25">
      <c r="A2810" t="str">
        <f>"14:37:10.750"</f>
        <v>14:37:10.750</v>
      </c>
      <c r="B2810" t="s">
        <v>108</v>
      </c>
      <c r="C2810" t="str">
        <f t="shared" si="130"/>
        <v>ffdfd3c0</v>
      </c>
      <c r="D2810" t="s">
        <v>109</v>
      </c>
      <c r="E2810">
        <v>4</v>
      </c>
      <c r="F2810">
        <v>1004</v>
      </c>
      <c r="G2810" t="s">
        <v>110</v>
      </c>
      <c r="J2810" t="s">
        <v>111</v>
      </c>
      <c r="K2810">
        <v>0</v>
      </c>
      <c r="L2810">
        <v>3</v>
      </c>
      <c r="M2810">
        <v>0</v>
      </c>
      <c r="N2810">
        <v>2</v>
      </c>
      <c r="O2810">
        <v>1</v>
      </c>
      <c r="P2810">
        <v>0</v>
      </c>
      <c r="Q2810">
        <v>0</v>
      </c>
      <c r="R2810" t="s">
        <v>112</v>
      </c>
      <c r="S2810" t="str">
        <f>"14:37:10.594"</f>
        <v>14:37:10.594</v>
      </c>
      <c r="T2810" t="str">
        <f>"14:37:10.094"</f>
        <v>14:37:10.094</v>
      </c>
      <c r="U2810" t="str">
        <f t="shared" si="129"/>
        <v>ad5732</v>
      </c>
      <c r="V2810">
        <v>0</v>
      </c>
      <c r="W2810">
        <v>0</v>
      </c>
      <c r="X2810">
        <v>1</v>
      </c>
      <c r="Z2810">
        <v>0</v>
      </c>
      <c r="AA2810">
        <v>9</v>
      </c>
      <c r="AB2810">
        <v>3</v>
      </c>
      <c r="AC2810">
        <v>0</v>
      </c>
      <c r="AD2810">
        <v>10</v>
      </c>
      <c r="AE2810">
        <v>0</v>
      </c>
      <c r="AF2810">
        <v>3</v>
      </c>
      <c r="AG2810">
        <v>2</v>
      </c>
      <c r="AH2810">
        <v>0</v>
      </c>
      <c r="AI2810" t="s">
        <v>5736</v>
      </c>
      <c r="AJ2810">
        <v>40.265343000000001</v>
      </c>
      <c r="AK2810" t="s">
        <v>5737</v>
      </c>
      <c r="AL2810">
        <v>-75.185366000000002</v>
      </c>
      <c r="AM2810">
        <v>100</v>
      </c>
      <c r="AN2810">
        <v>3700</v>
      </c>
      <c r="AO2810" t="s">
        <v>115</v>
      </c>
      <c r="AP2810">
        <v>127</v>
      </c>
      <c r="AQ2810">
        <v>118</v>
      </c>
      <c r="AR2810">
        <v>256</v>
      </c>
      <c r="AZ2810">
        <v>3614</v>
      </c>
      <c r="BA2810">
        <v>1</v>
      </c>
      <c r="BB2810" t="str">
        <f t="shared" si="131"/>
        <v xml:space="preserve">N959MJ  </v>
      </c>
      <c r="BC2810">
        <v>1</v>
      </c>
      <c r="BE2810">
        <v>0</v>
      </c>
      <c r="BF2810">
        <v>0</v>
      </c>
      <c r="BG2810">
        <v>0</v>
      </c>
      <c r="BH2810">
        <v>3875</v>
      </c>
      <c r="BI2810">
        <v>175</v>
      </c>
      <c r="BJ2810">
        <v>1</v>
      </c>
      <c r="BK2810">
        <v>1</v>
      </c>
      <c r="BL2810">
        <v>1</v>
      </c>
      <c r="BM2810">
        <v>0</v>
      </c>
      <c r="BP2810">
        <v>0</v>
      </c>
      <c r="BQ2810">
        <v>0</v>
      </c>
      <c r="BX2810" t="str">
        <f>"14:37:10.594"</f>
        <v>14:37:10.594</v>
      </c>
      <c r="BY2810" t="str">
        <f>"596136711"</f>
        <v>596136711</v>
      </c>
      <c r="CL2810">
        <v>0</v>
      </c>
      <c r="CM2810">
        <v>2</v>
      </c>
      <c r="CN2810">
        <v>0</v>
      </c>
      <c r="CO2810">
        <v>2</v>
      </c>
      <c r="CP2810">
        <v>0</v>
      </c>
      <c r="CQ2810">
        <v>5</v>
      </c>
      <c r="CR2810" t="s">
        <v>116</v>
      </c>
      <c r="CS2810">
        <v>38</v>
      </c>
      <c r="CT2810">
        <v>3</v>
      </c>
      <c r="CU2810" t="s">
        <v>4719</v>
      </c>
      <c r="CV2810" t="s">
        <v>4720</v>
      </c>
      <c r="CY2810">
        <v>10246759</v>
      </c>
      <c r="CZ2810" t="s">
        <v>119</v>
      </c>
    </row>
    <row r="2811" spans="1:104" x14ac:dyDescent="0.25">
      <c r="A2811" t="str">
        <f>"14:37:11.867"</f>
        <v>14:37:11.867</v>
      </c>
      <c r="B2811" t="s">
        <v>108</v>
      </c>
      <c r="C2811" t="str">
        <f t="shared" si="130"/>
        <v>ffdfd3c0</v>
      </c>
      <c r="D2811" t="s">
        <v>109</v>
      </c>
      <c r="E2811">
        <v>4</v>
      </c>
      <c r="F2811">
        <v>1004</v>
      </c>
      <c r="G2811" t="s">
        <v>110</v>
      </c>
      <c r="J2811" t="s">
        <v>111</v>
      </c>
      <c r="K2811">
        <v>0</v>
      </c>
      <c r="L2811">
        <v>3</v>
      </c>
      <c r="M2811">
        <v>0</v>
      </c>
      <c r="N2811">
        <v>2</v>
      </c>
      <c r="O2811">
        <v>1</v>
      </c>
      <c r="P2811">
        <v>0</v>
      </c>
      <c r="Q2811">
        <v>0</v>
      </c>
      <c r="R2811" t="s">
        <v>112</v>
      </c>
      <c r="S2811" t="str">
        <f>"14:37:11.672"</f>
        <v>14:37:11.672</v>
      </c>
      <c r="T2811" t="str">
        <f>"14:37:11.172"</f>
        <v>14:37:11.172</v>
      </c>
      <c r="U2811" t="str">
        <f t="shared" si="129"/>
        <v>ad5732</v>
      </c>
      <c r="V2811">
        <v>0</v>
      </c>
      <c r="W2811">
        <v>0</v>
      </c>
      <c r="X2811">
        <v>1</v>
      </c>
      <c r="Z2811">
        <v>0</v>
      </c>
      <c r="AA2811">
        <v>9</v>
      </c>
      <c r="AB2811">
        <v>3</v>
      </c>
      <c r="AC2811">
        <v>0</v>
      </c>
      <c r="AD2811">
        <v>10</v>
      </c>
      <c r="AE2811">
        <v>0</v>
      </c>
      <c r="AF2811">
        <v>3</v>
      </c>
      <c r="AG2811">
        <v>2</v>
      </c>
      <c r="AH2811">
        <v>0</v>
      </c>
      <c r="AI2811" t="s">
        <v>5738</v>
      </c>
      <c r="AJ2811">
        <v>40.265965000000001</v>
      </c>
      <c r="AK2811" t="s">
        <v>5739</v>
      </c>
      <c r="AL2811">
        <v>-75.184572000000003</v>
      </c>
      <c r="AM2811">
        <v>100</v>
      </c>
      <c r="AN2811">
        <v>3700</v>
      </c>
      <c r="AO2811" t="s">
        <v>115</v>
      </c>
      <c r="AP2811">
        <v>127</v>
      </c>
      <c r="AQ2811">
        <v>118</v>
      </c>
      <c r="AR2811">
        <v>256</v>
      </c>
      <c r="AZ2811">
        <v>3614</v>
      </c>
      <c r="BA2811">
        <v>1</v>
      </c>
      <c r="BB2811" t="str">
        <f t="shared" si="131"/>
        <v xml:space="preserve">N959MJ  </v>
      </c>
      <c r="BC2811">
        <v>1</v>
      </c>
      <c r="BE2811">
        <v>0</v>
      </c>
      <c r="BF2811">
        <v>0</v>
      </c>
      <c r="BG2811">
        <v>0</v>
      </c>
      <c r="BH2811">
        <v>3875</v>
      </c>
      <c r="BI2811">
        <v>175</v>
      </c>
      <c r="BJ2811">
        <v>1</v>
      </c>
      <c r="BK2811">
        <v>1</v>
      </c>
      <c r="BL2811">
        <v>1</v>
      </c>
      <c r="BM2811">
        <v>0</v>
      </c>
      <c r="BP2811">
        <v>0</v>
      </c>
      <c r="BQ2811">
        <v>0</v>
      </c>
      <c r="BX2811" t="str">
        <f>"14:37:11.680"</f>
        <v>14:37:11.680</v>
      </c>
      <c r="BY2811" t="str">
        <f>"677585552"</f>
        <v>677585552</v>
      </c>
      <c r="CL2811">
        <v>0</v>
      </c>
      <c r="CM2811">
        <v>2</v>
      </c>
      <c r="CN2811">
        <v>0</v>
      </c>
      <c r="CO2811">
        <v>2</v>
      </c>
      <c r="CP2811">
        <v>0</v>
      </c>
      <c r="CQ2811">
        <v>5</v>
      </c>
      <c r="CR2811" t="s">
        <v>116</v>
      </c>
      <c r="CS2811">
        <v>409</v>
      </c>
      <c r="CT2811">
        <v>2</v>
      </c>
      <c r="CU2811" t="s">
        <v>5087</v>
      </c>
      <c r="CV2811" t="s">
        <v>5088</v>
      </c>
      <c r="CY2811">
        <v>33346</v>
      </c>
      <c r="CZ2811" t="s">
        <v>119</v>
      </c>
    </row>
    <row r="2812" spans="1:104" x14ac:dyDescent="0.25">
      <c r="A2812" t="str">
        <f>"14:37:12.820"</f>
        <v>14:37:12.820</v>
      </c>
      <c r="B2812" t="s">
        <v>108</v>
      </c>
      <c r="C2812" t="str">
        <f t="shared" si="130"/>
        <v>ffdfd3c0</v>
      </c>
      <c r="D2812" t="s">
        <v>109</v>
      </c>
      <c r="E2812">
        <v>4</v>
      </c>
      <c r="F2812">
        <v>1004</v>
      </c>
      <c r="G2812" t="s">
        <v>110</v>
      </c>
      <c r="J2812" t="s">
        <v>111</v>
      </c>
      <c r="K2812">
        <v>0</v>
      </c>
      <c r="L2812">
        <v>3</v>
      </c>
      <c r="M2812">
        <v>0</v>
      </c>
      <c r="N2812">
        <v>2</v>
      </c>
      <c r="O2812">
        <v>1</v>
      </c>
      <c r="P2812">
        <v>0</v>
      </c>
      <c r="Q2812">
        <v>0</v>
      </c>
      <c r="R2812" t="s">
        <v>112</v>
      </c>
      <c r="S2812" t="str">
        <f>"14:37:12.648"</f>
        <v>14:37:12.648</v>
      </c>
      <c r="T2812" t="str">
        <f>"14:37:12.250"</f>
        <v>14:37:12.250</v>
      </c>
      <c r="U2812" t="str">
        <f t="shared" si="129"/>
        <v>ad5732</v>
      </c>
      <c r="V2812">
        <v>0</v>
      </c>
      <c r="W2812">
        <v>0</v>
      </c>
      <c r="X2812">
        <v>1</v>
      </c>
      <c r="Z2812">
        <v>0</v>
      </c>
      <c r="AA2812">
        <v>9</v>
      </c>
      <c r="AB2812">
        <v>3</v>
      </c>
      <c r="AC2812">
        <v>0</v>
      </c>
      <c r="AD2812">
        <v>10</v>
      </c>
      <c r="AE2812">
        <v>0</v>
      </c>
      <c r="AF2812">
        <v>3</v>
      </c>
      <c r="AG2812">
        <v>2</v>
      </c>
      <c r="AH2812">
        <v>0</v>
      </c>
      <c r="AI2812" t="s">
        <v>5740</v>
      </c>
      <c r="AJ2812">
        <v>40.266522999999999</v>
      </c>
      <c r="AK2812" t="s">
        <v>5741</v>
      </c>
      <c r="AL2812">
        <v>-75.183756000000002</v>
      </c>
      <c r="AM2812">
        <v>100</v>
      </c>
      <c r="AN2812">
        <v>3700</v>
      </c>
      <c r="AO2812" t="s">
        <v>115</v>
      </c>
      <c r="AP2812">
        <v>127</v>
      </c>
      <c r="AQ2812">
        <v>118</v>
      </c>
      <c r="AR2812">
        <v>64</v>
      </c>
      <c r="AZ2812">
        <v>3614</v>
      </c>
      <c r="BA2812">
        <v>1</v>
      </c>
      <c r="BB2812" t="str">
        <f t="shared" si="131"/>
        <v xml:space="preserve">N959MJ  </v>
      </c>
      <c r="BC2812">
        <v>1</v>
      </c>
      <c r="BE2812">
        <v>0</v>
      </c>
      <c r="BF2812">
        <v>0</v>
      </c>
      <c r="BG2812">
        <v>0</v>
      </c>
      <c r="BH2812">
        <v>3875</v>
      </c>
      <c r="BI2812">
        <v>175</v>
      </c>
      <c r="BJ2812">
        <v>1</v>
      </c>
      <c r="BK2812">
        <v>1</v>
      </c>
      <c r="BL2812">
        <v>1</v>
      </c>
      <c r="BM2812">
        <v>0</v>
      </c>
      <c r="BP2812">
        <v>0</v>
      </c>
      <c r="BQ2812">
        <v>0</v>
      </c>
      <c r="BX2812" t="str">
        <f>"14:37:12.656"</f>
        <v>14:37:12.656</v>
      </c>
      <c r="BY2812" t="str">
        <f>"655640883"</f>
        <v>655640883</v>
      </c>
      <c r="CL2812">
        <v>0</v>
      </c>
      <c r="CM2812">
        <v>2</v>
      </c>
      <c r="CN2812">
        <v>0</v>
      </c>
      <c r="CO2812">
        <v>2</v>
      </c>
      <c r="CP2812">
        <v>0</v>
      </c>
      <c r="CQ2812">
        <v>6</v>
      </c>
      <c r="CR2812" t="s">
        <v>116</v>
      </c>
      <c r="CS2812">
        <v>38</v>
      </c>
      <c r="CT2812">
        <v>3</v>
      </c>
      <c r="CU2812" t="s">
        <v>4719</v>
      </c>
      <c r="CV2812" t="s">
        <v>4720</v>
      </c>
      <c r="CY2812">
        <v>10250561</v>
      </c>
      <c r="CZ2812" t="s">
        <v>119</v>
      </c>
    </row>
    <row r="2813" spans="1:104" x14ac:dyDescent="0.25">
      <c r="A2813" t="str">
        <f>"14:37:13.930"</f>
        <v>14:37:13.930</v>
      </c>
      <c r="B2813" t="s">
        <v>108</v>
      </c>
      <c r="C2813" t="str">
        <f t="shared" si="130"/>
        <v>ffdfd3c0</v>
      </c>
      <c r="D2813" t="s">
        <v>109</v>
      </c>
      <c r="E2813">
        <v>4</v>
      </c>
      <c r="F2813">
        <v>1004</v>
      </c>
      <c r="G2813" t="s">
        <v>110</v>
      </c>
      <c r="J2813" t="s">
        <v>111</v>
      </c>
      <c r="K2813">
        <v>0</v>
      </c>
      <c r="L2813">
        <v>3</v>
      </c>
      <c r="M2813">
        <v>0</v>
      </c>
      <c r="N2813">
        <v>2</v>
      </c>
      <c r="O2813">
        <v>1</v>
      </c>
      <c r="P2813">
        <v>0</v>
      </c>
      <c r="Q2813">
        <v>0</v>
      </c>
      <c r="R2813" t="s">
        <v>112</v>
      </c>
      <c r="S2813" t="str">
        <f>"14:37:13.758"</f>
        <v>14:37:13.758</v>
      </c>
      <c r="T2813" t="str">
        <f>"14:37:13.258"</f>
        <v>14:37:13.258</v>
      </c>
      <c r="U2813" t="str">
        <f t="shared" si="129"/>
        <v>ad5732</v>
      </c>
      <c r="V2813">
        <v>0</v>
      </c>
      <c r="W2813">
        <v>0</v>
      </c>
      <c r="X2813">
        <v>1</v>
      </c>
      <c r="Z2813">
        <v>0</v>
      </c>
      <c r="AA2813">
        <v>9</v>
      </c>
      <c r="AB2813">
        <v>3</v>
      </c>
      <c r="AC2813">
        <v>0</v>
      </c>
      <c r="AD2813">
        <v>10</v>
      </c>
      <c r="AE2813">
        <v>0</v>
      </c>
      <c r="AF2813">
        <v>3</v>
      </c>
      <c r="AG2813">
        <v>2</v>
      </c>
      <c r="AH2813">
        <v>0</v>
      </c>
      <c r="AI2813" t="s">
        <v>5742</v>
      </c>
      <c r="AJ2813">
        <v>40.267080999999997</v>
      </c>
      <c r="AK2813" t="s">
        <v>5743</v>
      </c>
      <c r="AL2813">
        <v>-75.182919999999996</v>
      </c>
      <c r="AM2813">
        <v>100</v>
      </c>
      <c r="AN2813">
        <v>3700</v>
      </c>
      <c r="AO2813" t="s">
        <v>115</v>
      </c>
      <c r="AP2813">
        <v>127</v>
      </c>
      <c r="AQ2813">
        <v>119</v>
      </c>
      <c r="AR2813">
        <v>-64</v>
      </c>
      <c r="AZ2813">
        <v>3614</v>
      </c>
      <c r="BA2813">
        <v>1</v>
      </c>
      <c r="BB2813" t="str">
        <f t="shared" si="131"/>
        <v xml:space="preserve">N959MJ  </v>
      </c>
      <c r="BC2813">
        <v>1</v>
      </c>
      <c r="BE2813">
        <v>0</v>
      </c>
      <c r="BF2813">
        <v>0</v>
      </c>
      <c r="BG2813">
        <v>0</v>
      </c>
      <c r="BH2813">
        <v>3875</v>
      </c>
      <c r="BI2813">
        <v>175</v>
      </c>
      <c r="BJ2813">
        <v>1</v>
      </c>
      <c r="BK2813">
        <v>1</v>
      </c>
      <c r="BL2813">
        <v>1</v>
      </c>
      <c r="BM2813">
        <v>0</v>
      </c>
      <c r="BP2813">
        <v>0</v>
      </c>
      <c r="BQ2813">
        <v>0</v>
      </c>
      <c r="BX2813" t="str">
        <f>"14:37:13.766"</f>
        <v>14:37:13.766</v>
      </c>
      <c r="BY2813" t="str">
        <f>"763278132"</f>
        <v>763278132</v>
      </c>
      <c r="CL2813">
        <v>0</v>
      </c>
      <c r="CM2813">
        <v>2</v>
      </c>
      <c r="CN2813">
        <v>0</v>
      </c>
      <c r="CO2813">
        <v>2</v>
      </c>
      <c r="CP2813">
        <v>0</v>
      </c>
      <c r="CQ2813">
        <v>6</v>
      </c>
      <c r="CR2813" t="s">
        <v>116</v>
      </c>
      <c r="CS2813">
        <v>39</v>
      </c>
      <c r="CT2813">
        <v>0</v>
      </c>
      <c r="CU2813" t="s">
        <v>2259</v>
      </c>
      <c r="CV2813" t="s">
        <v>2260</v>
      </c>
      <c r="CY2813">
        <v>2462439</v>
      </c>
      <c r="CZ2813" t="s">
        <v>119</v>
      </c>
    </row>
    <row r="2814" spans="1:104" x14ac:dyDescent="0.25">
      <c r="A2814" t="str">
        <f>"14:37:14.844"</f>
        <v>14:37:14.844</v>
      </c>
      <c r="B2814" t="s">
        <v>108</v>
      </c>
      <c r="C2814" t="str">
        <f t="shared" si="130"/>
        <v>ffdfd3c0</v>
      </c>
      <c r="D2814" t="s">
        <v>109</v>
      </c>
      <c r="E2814">
        <v>4</v>
      </c>
      <c r="F2814">
        <v>1004</v>
      </c>
      <c r="G2814" t="s">
        <v>110</v>
      </c>
      <c r="J2814" t="s">
        <v>111</v>
      </c>
      <c r="K2814">
        <v>0</v>
      </c>
      <c r="L2814">
        <v>3</v>
      </c>
      <c r="M2814">
        <v>0</v>
      </c>
      <c r="N2814">
        <v>2</v>
      </c>
      <c r="O2814">
        <v>1</v>
      </c>
      <c r="P2814">
        <v>0</v>
      </c>
      <c r="Q2814">
        <v>0</v>
      </c>
      <c r="R2814" t="s">
        <v>112</v>
      </c>
      <c r="S2814" t="str">
        <f>"14:37:14.664"</f>
        <v>14:37:14.664</v>
      </c>
      <c r="T2814" t="str">
        <f>"14:37:14.266"</f>
        <v>14:37:14.266</v>
      </c>
      <c r="U2814" t="str">
        <f t="shared" si="129"/>
        <v>ad5732</v>
      </c>
      <c r="V2814">
        <v>0</v>
      </c>
      <c r="W2814">
        <v>0</v>
      </c>
      <c r="X2814">
        <v>1</v>
      </c>
      <c r="Z2814">
        <v>0</v>
      </c>
      <c r="AA2814">
        <v>9</v>
      </c>
      <c r="AB2814">
        <v>3</v>
      </c>
      <c r="AC2814">
        <v>0</v>
      </c>
      <c r="AD2814">
        <v>10</v>
      </c>
      <c r="AE2814">
        <v>0</v>
      </c>
      <c r="AF2814">
        <v>3</v>
      </c>
      <c r="AG2814">
        <v>2</v>
      </c>
      <c r="AH2814">
        <v>0</v>
      </c>
      <c r="AI2814" t="s">
        <v>5744</v>
      </c>
      <c r="AJ2814">
        <v>40.267595999999998</v>
      </c>
      <c r="AK2814" t="s">
        <v>5745</v>
      </c>
      <c r="AL2814">
        <v>-75.182254</v>
      </c>
      <c r="AM2814">
        <v>100</v>
      </c>
      <c r="AN2814">
        <v>3700</v>
      </c>
      <c r="AO2814" t="s">
        <v>115</v>
      </c>
      <c r="AP2814">
        <v>126</v>
      </c>
      <c r="AQ2814">
        <v>119</v>
      </c>
      <c r="AR2814">
        <v>-128</v>
      </c>
      <c r="AZ2814">
        <v>3614</v>
      </c>
      <c r="BA2814">
        <v>1</v>
      </c>
      <c r="BB2814" t="str">
        <f t="shared" si="131"/>
        <v xml:space="preserve">N959MJ  </v>
      </c>
      <c r="BC2814">
        <v>1</v>
      </c>
      <c r="BE2814">
        <v>0</v>
      </c>
      <c r="BF2814">
        <v>0</v>
      </c>
      <c r="BG2814">
        <v>0</v>
      </c>
      <c r="BH2814">
        <v>3875</v>
      </c>
      <c r="BI2814">
        <v>175</v>
      </c>
      <c r="BJ2814">
        <v>1</v>
      </c>
      <c r="BK2814">
        <v>1</v>
      </c>
      <c r="BL2814">
        <v>1</v>
      </c>
      <c r="BM2814">
        <v>0</v>
      </c>
      <c r="BP2814">
        <v>0</v>
      </c>
      <c r="BQ2814">
        <v>0</v>
      </c>
      <c r="BX2814" t="str">
        <f>"14:37:14.664"</f>
        <v>14:37:14.664</v>
      </c>
      <c r="BY2814" t="str">
        <f>"664414073"</f>
        <v>664414073</v>
      </c>
      <c r="CL2814">
        <v>0</v>
      </c>
      <c r="CM2814">
        <v>2</v>
      </c>
      <c r="CN2814">
        <v>0</v>
      </c>
      <c r="CO2814">
        <v>2</v>
      </c>
      <c r="CP2814">
        <v>0</v>
      </c>
      <c r="CQ2814">
        <v>6</v>
      </c>
      <c r="CR2814" t="s">
        <v>116</v>
      </c>
      <c r="CS2814">
        <v>39</v>
      </c>
      <c r="CT2814">
        <v>0</v>
      </c>
      <c r="CU2814" t="s">
        <v>2259</v>
      </c>
      <c r="CV2814" t="s">
        <v>2260</v>
      </c>
      <c r="CY2814">
        <v>2463781</v>
      </c>
      <c r="CZ2814" t="s">
        <v>119</v>
      </c>
    </row>
    <row r="2815" spans="1:104" x14ac:dyDescent="0.25">
      <c r="A2815" t="str">
        <f>"14:37:15.852"</f>
        <v>14:37:15.852</v>
      </c>
      <c r="B2815" t="s">
        <v>108</v>
      </c>
      <c r="C2815" t="str">
        <f t="shared" si="130"/>
        <v>ffdfd3c0</v>
      </c>
      <c r="D2815" t="s">
        <v>109</v>
      </c>
      <c r="E2815">
        <v>4</v>
      </c>
      <c r="F2815">
        <v>1004</v>
      </c>
      <c r="G2815" t="s">
        <v>110</v>
      </c>
      <c r="J2815" t="s">
        <v>111</v>
      </c>
      <c r="K2815">
        <v>0</v>
      </c>
      <c r="L2815">
        <v>3</v>
      </c>
      <c r="M2815">
        <v>0</v>
      </c>
      <c r="N2815">
        <v>2</v>
      </c>
      <c r="O2815">
        <v>1</v>
      </c>
      <c r="P2815">
        <v>0</v>
      </c>
      <c r="Q2815">
        <v>0</v>
      </c>
      <c r="R2815" t="s">
        <v>112</v>
      </c>
      <c r="S2815" t="str">
        <f>"14:37:15.656"</f>
        <v>14:37:15.656</v>
      </c>
      <c r="T2815" t="str">
        <f>"14:37:15.258"</f>
        <v>14:37:15.258</v>
      </c>
      <c r="U2815" t="str">
        <f t="shared" si="129"/>
        <v>ad5732</v>
      </c>
      <c r="V2815">
        <v>0</v>
      </c>
      <c r="W2815">
        <v>0</v>
      </c>
      <c r="X2815">
        <v>1</v>
      </c>
      <c r="Z2815">
        <v>0</v>
      </c>
      <c r="AA2815">
        <v>9</v>
      </c>
      <c r="AB2815">
        <v>3</v>
      </c>
      <c r="AC2815">
        <v>0</v>
      </c>
      <c r="AD2815">
        <v>10</v>
      </c>
      <c r="AE2815">
        <v>0</v>
      </c>
      <c r="AF2815">
        <v>3</v>
      </c>
      <c r="AG2815">
        <v>2</v>
      </c>
      <c r="AH2815">
        <v>0</v>
      </c>
      <c r="AI2815" t="s">
        <v>5746</v>
      </c>
      <c r="AJ2815">
        <v>40.268154000000003</v>
      </c>
      <c r="AK2815" t="s">
        <v>5747</v>
      </c>
      <c r="AL2815">
        <v>-75.181503000000006</v>
      </c>
      <c r="AM2815">
        <v>100</v>
      </c>
      <c r="AN2815">
        <v>3700</v>
      </c>
      <c r="AO2815" t="s">
        <v>115</v>
      </c>
      <c r="AP2815">
        <v>126</v>
      </c>
      <c r="AQ2815">
        <v>119</v>
      </c>
      <c r="AR2815">
        <v>-192</v>
      </c>
      <c r="AZ2815">
        <v>3614</v>
      </c>
      <c r="BA2815">
        <v>1</v>
      </c>
      <c r="BB2815" t="str">
        <f t="shared" si="131"/>
        <v xml:space="preserve">N959MJ  </v>
      </c>
      <c r="BC2815">
        <v>1</v>
      </c>
      <c r="BE2815">
        <v>0</v>
      </c>
      <c r="BF2815">
        <v>0</v>
      </c>
      <c r="BG2815">
        <v>0</v>
      </c>
      <c r="BH2815">
        <v>3875</v>
      </c>
      <c r="BI2815">
        <v>175</v>
      </c>
      <c r="BJ2815">
        <v>1</v>
      </c>
      <c r="BK2815">
        <v>1</v>
      </c>
      <c r="BL2815">
        <v>1</v>
      </c>
      <c r="BM2815">
        <v>0</v>
      </c>
      <c r="BP2815">
        <v>0</v>
      </c>
      <c r="BQ2815">
        <v>0</v>
      </c>
      <c r="BX2815" t="str">
        <f>"14:37:15.664"</f>
        <v>14:37:15.664</v>
      </c>
      <c r="BY2815" t="str">
        <f>"663855878"</f>
        <v>663855878</v>
      </c>
      <c r="CL2815">
        <v>0</v>
      </c>
      <c r="CM2815">
        <v>2</v>
      </c>
      <c r="CN2815">
        <v>0</v>
      </c>
      <c r="CO2815">
        <v>2</v>
      </c>
      <c r="CP2815">
        <v>0</v>
      </c>
      <c r="CQ2815">
        <v>6</v>
      </c>
      <c r="CR2815" t="s">
        <v>116</v>
      </c>
      <c r="CS2815">
        <v>39</v>
      </c>
      <c r="CT2815">
        <v>0</v>
      </c>
      <c r="CU2815" t="s">
        <v>2259</v>
      </c>
      <c r="CV2815" t="s">
        <v>2260</v>
      </c>
      <c r="CY2815">
        <v>2465168</v>
      </c>
      <c r="CZ2815" t="s">
        <v>119</v>
      </c>
    </row>
    <row r="2816" spans="1:104" x14ac:dyDescent="0.25">
      <c r="A2816" t="str">
        <f>"14:37:16.859"</f>
        <v>14:37:16.859</v>
      </c>
      <c r="B2816" t="s">
        <v>108</v>
      </c>
      <c r="C2816" t="str">
        <f t="shared" si="130"/>
        <v>ffdfd3c0</v>
      </c>
      <c r="D2816" t="s">
        <v>109</v>
      </c>
      <c r="E2816">
        <v>4</v>
      </c>
      <c r="F2816">
        <v>1004</v>
      </c>
      <c r="G2816" t="s">
        <v>110</v>
      </c>
      <c r="J2816" t="s">
        <v>111</v>
      </c>
      <c r="K2816">
        <v>0</v>
      </c>
      <c r="L2816">
        <v>3</v>
      </c>
      <c r="M2816">
        <v>0</v>
      </c>
      <c r="N2816">
        <v>2</v>
      </c>
      <c r="O2816">
        <v>1</v>
      </c>
      <c r="P2816">
        <v>0</v>
      </c>
      <c r="Q2816">
        <v>0</v>
      </c>
      <c r="R2816" t="s">
        <v>112</v>
      </c>
      <c r="S2816" t="str">
        <f>"14:37:16.680"</f>
        <v>14:37:16.680</v>
      </c>
      <c r="T2816" t="str">
        <f>"14:37:16.180"</f>
        <v>14:37:16.180</v>
      </c>
      <c r="U2816" t="str">
        <f t="shared" si="129"/>
        <v>ad5732</v>
      </c>
      <c r="V2816">
        <v>0</v>
      </c>
      <c r="W2816">
        <v>0</v>
      </c>
      <c r="X2816">
        <v>1</v>
      </c>
      <c r="Z2816">
        <v>0</v>
      </c>
      <c r="AA2816">
        <v>9</v>
      </c>
      <c r="AB2816">
        <v>3</v>
      </c>
      <c r="AC2816">
        <v>0</v>
      </c>
      <c r="AD2816">
        <v>10</v>
      </c>
      <c r="AE2816">
        <v>0</v>
      </c>
      <c r="AF2816">
        <v>3</v>
      </c>
      <c r="AG2816">
        <v>2</v>
      </c>
      <c r="AH2816">
        <v>0</v>
      </c>
      <c r="AI2816" t="s">
        <v>5748</v>
      </c>
      <c r="AJ2816">
        <v>40.268712000000001</v>
      </c>
      <c r="AK2816" t="s">
        <v>5749</v>
      </c>
      <c r="AL2816">
        <v>-75.180688000000004</v>
      </c>
      <c r="AM2816">
        <v>100</v>
      </c>
      <c r="AN2816">
        <v>3700</v>
      </c>
      <c r="AO2816" t="s">
        <v>115</v>
      </c>
      <c r="AP2816">
        <v>126</v>
      </c>
      <c r="AQ2816">
        <v>120</v>
      </c>
      <c r="AR2816">
        <v>-256</v>
      </c>
      <c r="AZ2816">
        <v>3614</v>
      </c>
      <c r="BA2816">
        <v>1</v>
      </c>
      <c r="BB2816" t="str">
        <f t="shared" si="131"/>
        <v xml:space="preserve">N959MJ  </v>
      </c>
      <c r="BC2816">
        <v>1</v>
      </c>
      <c r="BE2816">
        <v>0</v>
      </c>
      <c r="BF2816">
        <v>0</v>
      </c>
      <c r="BG2816">
        <v>0</v>
      </c>
      <c r="BH2816">
        <v>3875</v>
      </c>
      <c r="BI2816">
        <v>175</v>
      </c>
      <c r="BJ2816">
        <v>1</v>
      </c>
      <c r="BK2816">
        <v>1</v>
      </c>
      <c r="BL2816">
        <v>1</v>
      </c>
      <c r="BM2816">
        <v>0</v>
      </c>
      <c r="BP2816">
        <v>0</v>
      </c>
      <c r="BQ2816">
        <v>0</v>
      </c>
      <c r="BX2816" t="str">
        <f>"14:37:16.680"</f>
        <v>14:37:16.680</v>
      </c>
      <c r="BY2816" t="str">
        <f>"681258810"</f>
        <v>681258810</v>
      </c>
      <c r="CL2816">
        <v>0</v>
      </c>
      <c r="CM2816">
        <v>2</v>
      </c>
      <c r="CN2816">
        <v>0</v>
      </c>
      <c r="CO2816">
        <v>2</v>
      </c>
      <c r="CP2816">
        <v>0</v>
      </c>
      <c r="CQ2816">
        <v>6</v>
      </c>
      <c r="CR2816" t="s">
        <v>116</v>
      </c>
      <c r="CS2816">
        <v>38</v>
      </c>
      <c r="CT2816">
        <v>3</v>
      </c>
      <c r="CU2816" t="s">
        <v>4719</v>
      </c>
      <c r="CV2816" t="s">
        <v>4720</v>
      </c>
      <c r="CY2816">
        <v>10257461</v>
      </c>
      <c r="CZ2816" t="s">
        <v>119</v>
      </c>
    </row>
    <row r="2817" spans="1:104" x14ac:dyDescent="0.25">
      <c r="A2817" t="str">
        <f>"14:37:17.922"</f>
        <v>14:37:17.922</v>
      </c>
      <c r="B2817" t="s">
        <v>108</v>
      </c>
      <c r="C2817" t="str">
        <f t="shared" si="130"/>
        <v>ffdfd3c0</v>
      </c>
      <c r="D2817" t="s">
        <v>109</v>
      </c>
      <c r="E2817">
        <v>4</v>
      </c>
      <c r="F2817">
        <v>1004</v>
      </c>
      <c r="G2817" t="s">
        <v>110</v>
      </c>
      <c r="J2817" t="s">
        <v>111</v>
      </c>
      <c r="K2817">
        <v>0</v>
      </c>
      <c r="L2817">
        <v>3</v>
      </c>
      <c r="M2817">
        <v>0</v>
      </c>
      <c r="N2817">
        <v>2</v>
      </c>
      <c r="O2817">
        <v>1</v>
      </c>
      <c r="P2817">
        <v>0</v>
      </c>
      <c r="Q2817">
        <v>0</v>
      </c>
      <c r="R2817" t="s">
        <v>112</v>
      </c>
      <c r="S2817" t="str">
        <f>"14:37:17.758"</f>
        <v>14:37:17.758</v>
      </c>
      <c r="T2817" t="str">
        <f>"14:37:17.359"</f>
        <v>14:37:17.359</v>
      </c>
      <c r="U2817" t="str">
        <f t="shared" si="129"/>
        <v>ad5732</v>
      </c>
      <c r="V2817">
        <v>0</v>
      </c>
      <c r="W2817">
        <v>0</v>
      </c>
      <c r="X2817">
        <v>1</v>
      </c>
      <c r="Z2817">
        <v>0</v>
      </c>
      <c r="AA2817">
        <v>9</v>
      </c>
      <c r="AB2817">
        <v>3</v>
      </c>
      <c r="AC2817">
        <v>0</v>
      </c>
      <c r="AD2817">
        <v>10</v>
      </c>
      <c r="AE2817">
        <v>0</v>
      </c>
      <c r="AF2817">
        <v>3</v>
      </c>
      <c r="AG2817">
        <v>2</v>
      </c>
      <c r="AH2817">
        <v>0</v>
      </c>
      <c r="AI2817" t="s">
        <v>5750</v>
      </c>
      <c r="AJ2817">
        <v>40.269334000000001</v>
      </c>
      <c r="AK2817" t="s">
        <v>5751</v>
      </c>
      <c r="AL2817">
        <v>-75.179873000000001</v>
      </c>
      <c r="AM2817">
        <v>100</v>
      </c>
      <c r="AN2817">
        <v>3700</v>
      </c>
      <c r="AO2817" t="s">
        <v>115</v>
      </c>
      <c r="AP2817">
        <v>127</v>
      </c>
      <c r="AQ2817">
        <v>120</v>
      </c>
      <c r="AR2817">
        <v>-320</v>
      </c>
      <c r="AZ2817">
        <v>3614</v>
      </c>
      <c r="BA2817">
        <v>1</v>
      </c>
      <c r="BB2817" t="str">
        <f t="shared" si="131"/>
        <v xml:space="preserve">N959MJ  </v>
      </c>
      <c r="BC2817">
        <v>1</v>
      </c>
      <c r="BE2817">
        <v>0</v>
      </c>
      <c r="BF2817">
        <v>0</v>
      </c>
      <c r="BG2817">
        <v>0</v>
      </c>
      <c r="BH2817">
        <v>3850</v>
      </c>
      <c r="BI2817">
        <v>150</v>
      </c>
      <c r="BJ2817">
        <v>1</v>
      </c>
      <c r="BK2817">
        <v>1</v>
      </c>
      <c r="BL2817">
        <v>1</v>
      </c>
      <c r="BM2817">
        <v>0</v>
      </c>
      <c r="BP2817">
        <v>0</v>
      </c>
      <c r="BQ2817">
        <v>0</v>
      </c>
      <c r="BX2817" t="str">
        <f>"14:37:17.766"</f>
        <v>14:37:17.766</v>
      </c>
      <c r="BY2817" t="str">
        <f>"764259803"</f>
        <v>764259803</v>
      </c>
      <c r="CL2817">
        <v>0</v>
      </c>
      <c r="CM2817">
        <v>2</v>
      </c>
      <c r="CN2817">
        <v>0</v>
      </c>
      <c r="CO2817">
        <v>2</v>
      </c>
      <c r="CP2817">
        <v>0</v>
      </c>
      <c r="CQ2817">
        <v>6</v>
      </c>
      <c r="CR2817" t="s">
        <v>116</v>
      </c>
      <c r="CS2817">
        <v>38</v>
      </c>
      <c r="CT2817">
        <v>3</v>
      </c>
      <c r="CU2817" t="s">
        <v>4719</v>
      </c>
      <c r="CV2817" t="s">
        <v>4720</v>
      </c>
      <c r="CY2817">
        <v>10259432</v>
      </c>
      <c r="CZ2817" t="s">
        <v>119</v>
      </c>
    </row>
    <row r="2818" spans="1:104" x14ac:dyDescent="0.25">
      <c r="A2818" t="str">
        <f>"14:37:18.781"</f>
        <v>14:37:18.781</v>
      </c>
      <c r="B2818" t="s">
        <v>108</v>
      </c>
      <c r="C2818" t="str">
        <f t="shared" si="130"/>
        <v>ffdfd3c0</v>
      </c>
      <c r="D2818" t="s">
        <v>109</v>
      </c>
      <c r="E2818">
        <v>4</v>
      </c>
      <c r="F2818">
        <v>1004</v>
      </c>
      <c r="G2818" t="s">
        <v>110</v>
      </c>
      <c r="J2818" t="s">
        <v>111</v>
      </c>
      <c r="K2818">
        <v>0</v>
      </c>
      <c r="L2818">
        <v>3</v>
      </c>
      <c r="M2818">
        <v>0</v>
      </c>
      <c r="N2818">
        <v>2</v>
      </c>
      <c r="O2818">
        <v>1</v>
      </c>
      <c r="P2818">
        <v>0</v>
      </c>
      <c r="Q2818">
        <v>0</v>
      </c>
      <c r="R2818" t="s">
        <v>112</v>
      </c>
      <c r="S2818" t="str">
        <f>"14:37:18.594"</f>
        <v>14:37:18.594</v>
      </c>
      <c r="T2818" t="str">
        <f>"14:37:18.195"</f>
        <v>14:37:18.195</v>
      </c>
      <c r="U2818" t="str">
        <f t="shared" ref="U2818:U2881" si="132">"ad5732"</f>
        <v>ad5732</v>
      </c>
      <c r="V2818">
        <v>0</v>
      </c>
      <c r="W2818">
        <v>0</v>
      </c>
      <c r="X2818">
        <v>1</v>
      </c>
      <c r="Z2818">
        <v>0</v>
      </c>
      <c r="AA2818">
        <v>9</v>
      </c>
      <c r="AB2818">
        <v>3</v>
      </c>
      <c r="AC2818">
        <v>0</v>
      </c>
      <c r="AD2818">
        <v>10</v>
      </c>
      <c r="AE2818">
        <v>0</v>
      </c>
      <c r="AF2818">
        <v>3</v>
      </c>
      <c r="AG2818">
        <v>2</v>
      </c>
      <c r="AH2818">
        <v>0</v>
      </c>
      <c r="AI2818" t="s">
        <v>5752</v>
      </c>
      <c r="AJ2818">
        <v>40.269784999999999</v>
      </c>
      <c r="AK2818" t="s">
        <v>5753</v>
      </c>
      <c r="AL2818">
        <v>-75.179249999999996</v>
      </c>
      <c r="AM2818">
        <v>100</v>
      </c>
      <c r="AN2818">
        <v>3700</v>
      </c>
      <c r="AO2818" t="s">
        <v>115</v>
      </c>
      <c r="AP2818">
        <v>127</v>
      </c>
      <c r="AQ2818">
        <v>120</v>
      </c>
      <c r="AR2818">
        <v>-256</v>
      </c>
      <c r="AZ2818">
        <v>3614</v>
      </c>
      <c r="BA2818">
        <v>1</v>
      </c>
      <c r="BB2818" t="str">
        <f t="shared" si="131"/>
        <v xml:space="preserve">N959MJ  </v>
      </c>
      <c r="BC2818">
        <v>1</v>
      </c>
      <c r="BE2818">
        <v>0</v>
      </c>
      <c r="BF2818">
        <v>0</v>
      </c>
      <c r="BG2818">
        <v>0</v>
      </c>
      <c r="BH2818">
        <v>3850</v>
      </c>
      <c r="BI2818">
        <v>150</v>
      </c>
      <c r="BJ2818">
        <v>1</v>
      </c>
      <c r="BK2818">
        <v>1</v>
      </c>
      <c r="BL2818">
        <v>1</v>
      </c>
      <c r="BM2818">
        <v>0</v>
      </c>
      <c r="BP2818">
        <v>0</v>
      </c>
      <c r="BQ2818">
        <v>0</v>
      </c>
      <c r="BX2818" t="str">
        <f>"14:37:18.602"</f>
        <v>14:37:18.602</v>
      </c>
      <c r="BY2818" t="str">
        <f>"599920537"</f>
        <v>599920537</v>
      </c>
      <c r="CL2818">
        <v>0</v>
      </c>
      <c r="CM2818">
        <v>2</v>
      </c>
      <c r="CN2818">
        <v>0</v>
      </c>
      <c r="CO2818">
        <v>2</v>
      </c>
      <c r="CP2818">
        <v>0</v>
      </c>
      <c r="CQ2818">
        <v>6</v>
      </c>
      <c r="CR2818" t="s">
        <v>116</v>
      </c>
      <c r="CS2818">
        <v>39</v>
      </c>
      <c r="CT2818">
        <v>0</v>
      </c>
      <c r="CU2818" t="s">
        <v>2259</v>
      </c>
      <c r="CV2818" t="s">
        <v>2260</v>
      </c>
      <c r="CY2818">
        <v>2469872</v>
      </c>
      <c r="CZ2818" t="s">
        <v>119</v>
      </c>
    </row>
    <row r="2819" spans="1:104" x14ac:dyDescent="0.25">
      <c r="A2819" t="str">
        <f>"14:37:19.688"</f>
        <v>14:37:19.688</v>
      </c>
      <c r="B2819" t="s">
        <v>108</v>
      </c>
      <c r="C2819" t="str">
        <f t="shared" si="130"/>
        <v>ffdfd3c0</v>
      </c>
      <c r="D2819" t="s">
        <v>109</v>
      </c>
      <c r="E2819">
        <v>4</v>
      </c>
      <c r="F2819">
        <v>1004</v>
      </c>
      <c r="G2819" t="s">
        <v>110</v>
      </c>
      <c r="J2819" t="s">
        <v>111</v>
      </c>
      <c r="K2819">
        <v>0</v>
      </c>
      <c r="L2819">
        <v>3</v>
      </c>
      <c r="M2819">
        <v>0</v>
      </c>
      <c r="N2819">
        <v>2</v>
      </c>
      <c r="O2819">
        <v>1</v>
      </c>
      <c r="P2819">
        <v>0</v>
      </c>
      <c r="Q2819">
        <v>0</v>
      </c>
      <c r="R2819" t="s">
        <v>112</v>
      </c>
      <c r="S2819" t="str">
        <f>"14:37:19.492"</f>
        <v>14:37:19.492</v>
      </c>
      <c r="T2819" t="str">
        <f>"14:37:19.094"</f>
        <v>14:37:19.094</v>
      </c>
      <c r="U2819" t="str">
        <f t="shared" si="132"/>
        <v>ad5732</v>
      </c>
      <c r="V2819">
        <v>0</v>
      </c>
      <c r="W2819">
        <v>0</v>
      </c>
      <c r="X2819">
        <v>1</v>
      </c>
      <c r="Z2819">
        <v>0</v>
      </c>
      <c r="AA2819">
        <v>9</v>
      </c>
      <c r="AB2819">
        <v>3</v>
      </c>
      <c r="AC2819">
        <v>0</v>
      </c>
      <c r="AD2819">
        <v>10</v>
      </c>
      <c r="AE2819">
        <v>0</v>
      </c>
      <c r="AF2819">
        <v>3</v>
      </c>
      <c r="AG2819">
        <v>2</v>
      </c>
      <c r="AH2819">
        <v>0</v>
      </c>
      <c r="AI2819" t="s">
        <v>5754</v>
      </c>
      <c r="AJ2819">
        <v>40.270299999999999</v>
      </c>
      <c r="AK2819" t="s">
        <v>5755</v>
      </c>
      <c r="AL2819">
        <v>-75.178563999999994</v>
      </c>
      <c r="AM2819">
        <v>100</v>
      </c>
      <c r="AN2819">
        <v>3700</v>
      </c>
      <c r="AO2819" t="s">
        <v>115</v>
      </c>
      <c r="AP2819">
        <v>127</v>
      </c>
      <c r="AQ2819">
        <v>120</v>
      </c>
      <c r="AR2819">
        <v>-128</v>
      </c>
      <c r="AZ2819">
        <v>3614</v>
      </c>
      <c r="BA2819">
        <v>1</v>
      </c>
      <c r="BB2819" t="str">
        <f t="shared" si="131"/>
        <v xml:space="preserve">N959MJ  </v>
      </c>
      <c r="BC2819">
        <v>1</v>
      </c>
      <c r="BE2819">
        <v>0</v>
      </c>
      <c r="BF2819">
        <v>0</v>
      </c>
      <c r="BG2819">
        <v>0</v>
      </c>
      <c r="BH2819">
        <v>3850</v>
      </c>
      <c r="BI2819">
        <v>150</v>
      </c>
      <c r="BJ2819">
        <v>1</v>
      </c>
      <c r="BK2819">
        <v>1</v>
      </c>
      <c r="BL2819">
        <v>1</v>
      </c>
      <c r="BM2819">
        <v>0</v>
      </c>
      <c r="BP2819">
        <v>0</v>
      </c>
      <c r="BQ2819">
        <v>0</v>
      </c>
      <c r="BX2819" t="str">
        <f>"14:37:19.500"</f>
        <v>14:37:19.500</v>
      </c>
      <c r="BY2819" t="str">
        <f>"499441377"</f>
        <v>499441377</v>
      </c>
      <c r="CL2819">
        <v>0</v>
      </c>
      <c r="CM2819">
        <v>2</v>
      </c>
      <c r="CN2819">
        <v>0</v>
      </c>
      <c r="CO2819">
        <v>2</v>
      </c>
      <c r="CP2819">
        <v>0</v>
      </c>
      <c r="CQ2819">
        <v>6</v>
      </c>
      <c r="CR2819" t="s">
        <v>116</v>
      </c>
      <c r="CS2819">
        <v>409</v>
      </c>
      <c r="CT2819">
        <v>2</v>
      </c>
      <c r="CU2819" t="s">
        <v>5087</v>
      </c>
      <c r="CV2819" t="s">
        <v>5088</v>
      </c>
      <c r="CY2819">
        <v>48355</v>
      </c>
      <c r="CZ2819" t="s">
        <v>119</v>
      </c>
    </row>
    <row r="2820" spans="1:104" x14ac:dyDescent="0.25">
      <c r="A2820" t="str">
        <f>"14:37:20.750"</f>
        <v>14:37:20.750</v>
      </c>
      <c r="B2820" t="s">
        <v>108</v>
      </c>
      <c r="C2820" t="str">
        <f t="shared" si="130"/>
        <v>ffdfd3c0</v>
      </c>
      <c r="D2820" t="s">
        <v>109</v>
      </c>
      <c r="E2820">
        <v>4</v>
      </c>
      <c r="F2820">
        <v>1004</v>
      </c>
      <c r="G2820" t="s">
        <v>110</v>
      </c>
      <c r="J2820" t="s">
        <v>111</v>
      </c>
      <c r="K2820">
        <v>0</v>
      </c>
      <c r="L2820">
        <v>3</v>
      </c>
      <c r="M2820">
        <v>0</v>
      </c>
      <c r="N2820">
        <v>2</v>
      </c>
      <c r="O2820">
        <v>1</v>
      </c>
      <c r="P2820">
        <v>0</v>
      </c>
      <c r="Q2820">
        <v>0</v>
      </c>
      <c r="R2820" t="s">
        <v>112</v>
      </c>
      <c r="S2820" t="str">
        <f>"14:37:20.555"</f>
        <v>14:37:20.555</v>
      </c>
      <c r="T2820" t="str">
        <f>"14:37:19.555"</f>
        <v>14:37:19.555</v>
      </c>
      <c r="U2820" t="str">
        <f t="shared" si="132"/>
        <v>ad5732</v>
      </c>
      <c r="V2820">
        <v>0</v>
      </c>
      <c r="W2820">
        <v>0</v>
      </c>
      <c r="X2820">
        <v>1</v>
      </c>
      <c r="Z2820">
        <v>0</v>
      </c>
      <c r="AA2820">
        <v>9</v>
      </c>
      <c r="AB2820">
        <v>3</v>
      </c>
      <c r="AC2820">
        <v>0</v>
      </c>
      <c r="AD2820">
        <v>10</v>
      </c>
      <c r="AE2820">
        <v>0</v>
      </c>
      <c r="AF2820">
        <v>3</v>
      </c>
      <c r="AG2820">
        <v>2</v>
      </c>
      <c r="AH2820">
        <v>0</v>
      </c>
      <c r="AI2820" t="s">
        <v>5756</v>
      </c>
      <c r="AJ2820">
        <v>40.270879000000001</v>
      </c>
      <c r="AK2820" t="s">
        <v>5757</v>
      </c>
      <c r="AL2820">
        <v>-75.177727000000004</v>
      </c>
      <c r="AM2820">
        <v>100</v>
      </c>
      <c r="AN2820">
        <v>3700</v>
      </c>
      <c r="AO2820" t="s">
        <v>115</v>
      </c>
      <c r="AP2820">
        <v>127</v>
      </c>
      <c r="AQ2820">
        <v>121</v>
      </c>
      <c r="AR2820">
        <v>-64</v>
      </c>
      <c r="AZ2820">
        <v>3614</v>
      </c>
      <c r="BA2820">
        <v>1</v>
      </c>
      <c r="BB2820" t="str">
        <f t="shared" si="131"/>
        <v xml:space="preserve">N959MJ  </v>
      </c>
      <c r="BC2820">
        <v>1</v>
      </c>
      <c r="BE2820">
        <v>0</v>
      </c>
      <c r="BF2820">
        <v>0</v>
      </c>
      <c r="BG2820">
        <v>0</v>
      </c>
      <c r="BH2820">
        <v>3850</v>
      </c>
      <c r="BI2820">
        <v>150</v>
      </c>
      <c r="BJ2820">
        <v>1</v>
      </c>
      <c r="BK2820">
        <v>1</v>
      </c>
      <c r="BL2820">
        <v>1</v>
      </c>
      <c r="BM2820">
        <v>0</v>
      </c>
      <c r="BP2820">
        <v>0</v>
      </c>
      <c r="BQ2820">
        <v>0</v>
      </c>
      <c r="BX2820" t="str">
        <f>"14:37:20.563"</f>
        <v>14:37:20.563</v>
      </c>
      <c r="BY2820" t="str">
        <f>"559418201"</f>
        <v>559418201</v>
      </c>
      <c r="CL2820">
        <v>0</v>
      </c>
      <c r="CM2820">
        <v>2</v>
      </c>
      <c r="CN2820">
        <v>0</v>
      </c>
      <c r="CO2820">
        <v>2</v>
      </c>
      <c r="CP2820">
        <v>0</v>
      </c>
      <c r="CQ2820">
        <v>6</v>
      </c>
      <c r="CR2820" t="s">
        <v>116</v>
      </c>
      <c r="CS2820">
        <v>38</v>
      </c>
      <c r="CT2820">
        <v>3</v>
      </c>
      <c r="CU2820" t="s">
        <v>4719</v>
      </c>
      <c r="CV2820" t="s">
        <v>4720</v>
      </c>
      <c r="CY2820">
        <v>10264296</v>
      </c>
      <c r="CZ2820" t="s">
        <v>119</v>
      </c>
    </row>
    <row r="2821" spans="1:104" x14ac:dyDescent="0.25">
      <c r="A2821" t="str">
        <f>"14:37:21.711"</f>
        <v>14:37:21.711</v>
      </c>
      <c r="B2821" t="s">
        <v>108</v>
      </c>
      <c r="C2821" t="str">
        <f t="shared" si="130"/>
        <v>ffdfd3c0</v>
      </c>
      <c r="D2821" t="s">
        <v>109</v>
      </c>
      <c r="E2821">
        <v>4</v>
      </c>
      <c r="F2821">
        <v>1004</v>
      </c>
      <c r="G2821" t="s">
        <v>110</v>
      </c>
      <c r="J2821" t="s">
        <v>111</v>
      </c>
      <c r="K2821">
        <v>0</v>
      </c>
      <c r="L2821">
        <v>3</v>
      </c>
      <c r="M2821">
        <v>0</v>
      </c>
      <c r="N2821">
        <v>2</v>
      </c>
      <c r="O2821">
        <v>1</v>
      </c>
      <c r="P2821">
        <v>0</v>
      </c>
      <c r="Q2821">
        <v>0</v>
      </c>
      <c r="R2821" t="s">
        <v>112</v>
      </c>
      <c r="S2821" t="str">
        <f>"14:37:21.539"</f>
        <v>14:37:21.539</v>
      </c>
      <c r="T2821" t="str">
        <f>"14:37:21.141"</f>
        <v>14:37:21.141</v>
      </c>
      <c r="U2821" t="str">
        <f t="shared" si="132"/>
        <v>ad5732</v>
      </c>
      <c r="V2821">
        <v>0</v>
      </c>
      <c r="W2821">
        <v>0</v>
      </c>
      <c r="X2821">
        <v>1</v>
      </c>
      <c r="Z2821">
        <v>0</v>
      </c>
      <c r="AA2821">
        <v>9</v>
      </c>
      <c r="AB2821">
        <v>3</v>
      </c>
      <c r="AC2821">
        <v>0</v>
      </c>
      <c r="AD2821">
        <v>10</v>
      </c>
      <c r="AE2821">
        <v>0</v>
      </c>
      <c r="AF2821">
        <v>3</v>
      </c>
      <c r="AG2821">
        <v>2</v>
      </c>
      <c r="AH2821">
        <v>0</v>
      </c>
      <c r="AI2821" t="s">
        <v>5758</v>
      </c>
      <c r="AJ2821">
        <v>40.271436999999999</v>
      </c>
      <c r="AK2821" t="s">
        <v>5759</v>
      </c>
      <c r="AL2821">
        <v>-75.176933000000005</v>
      </c>
      <c r="AM2821">
        <v>100</v>
      </c>
      <c r="AN2821">
        <v>3700</v>
      </c>
      <c r="AO2821" t="s">
        <v>115</v>
      </c>
      <c r="AP2821">
        <v>127</v>
      </c>
      <c r="AQ2821">
        <v>120</v>
      </c>
      <c r="AR2821">
        <v>0</v>
      </c>
      <c r="AZ2821">
        <v>3614</v>
      </c>
      <c r="BA2821">
        <v>1</v>
      </c>
      <c r="BB2821" t="str">
        <f t="shared" si="131"/>
        <v xml:space="preserve">N959MJ  </v>
      </c>
      <c r="BC2821">
        <v>1</v>
      </c>
      <c r="BE2821">
        <v>0</v>
      </c>
      <c r="BF2821">
        <v>0</v>
      </c>
      <c r="BG2821">
        <v>0</v>
      </c>
      <c r="BH2821">
        <v>3850</v>
      </c>
      <c r="BI2821">
        <v>150</v>
      </c>
      <c r="BJ2821">
        <v>1</v>
      </c>
      <c r="BK2821">
        <v>1</v>
      </c>
      <c r="BL2821">
        <v>1</v>
      </c>
      <c r="BM2821">
        <v>0</v>
      </c>
      <c r="BP2821">
        <v>0</v>
      </c>
      <c r="BQ2821">
        <v>0</v>
      </c>
      <c r="BX2821" t="str">
        <f>"14:37:21.539"</f>
        <v>14:37:21.539</v>
      </c>
      <c r="BY2821" t="str">
        <f>"539262135"</f>
        <v>539262135</v>
      </c>
      <c r="CL2821">
        <v>0</v>
      </c>
      <c r="CM2821">
        <v>2</v>
      </c>
      <c r="CN2821">
        <v>0</v>
      </c>
      <c r="CO2821">
        <v>2</v>
      </c>
      <c r="CP2821">
        <v>0</v>
      </c>
      <c r="CQ2821">
        <v>6</v>
      </c>
      <c r="CR2821" t="s">
        <v>116</v>
      </c>
      <c r="CS2821">
        <v>39</v>
      </c>
      <c r="CT2821">
        <v>0</v>
      </c>
      <c r="CU2821" t="s">
        <v>2259</v>
      </c>
      <c r="CV2821" t="s">
        <v>2260</v>
      </c>
      <c r="CY2821">
        <v>2474383</v>
      </c>
      <c r="CZ2821" t="s">
        <v>119</v>
      </c>
    </row>
    <row r="2822" spans="1:104" x14ac:dyDescent="0.25">
      <c r="A2822" t="str">
        <f>"14:37:22.664"</f>
        <v>14:37:22.664</v>
      </c>
      <c r="B2822" t="s">
        <v>108</v>
      </c>
      <c r="C2822" t="str">
        <f t="shared" si="130"/>
        <v>ffdfd3c0</v>
      </c>
      <c r="D2822" t="s">
        <v>109</v>
      </c>
      <c r="E2822">
        <v>4</v>
      </c>
      <c r="F2822">
        <v>1004</v>
      </c>
      <c r="G2822" t="s">
        <v>110</v>
      </c>
      <c r="J2822" t="s">
        <v>111</v>
      </c>
      <c r="K2822">
        <v>0</v>
      </c>
      <c r="L2822">
        <v>3</v>
      </c>
      <c r="M2822">
        <v>0</v>
      </c>
      <c r="N2822">
        <v>2</v>
      </c>
      <c r="O2822">
        <v>1</v>
      </c>
      <c r="P2822">
        <v>0</v>
      </c>
      <c r="Q2822">
        <v>0</v>
      </c>
      <c r="R2822" t="s">
        <v>112</v>
      </c>
      <c r="S2822" t="str">
        <f>"14:37:22.484"</f>
        <v>14:37:22.484</v>
      </c>
      <c r="T2822" t="str">
        <f>"14:37:21.984"</f>
        <v>14:37:21.984</v>
      </c>
      <c r="U2822" t="str">
        <f t="shared" si="132"/>
        <v>ad5732</v>
      </c>
      <c r="V2822">
        <v>0</v>
      </c>
      <c r="W2822">
        <v>0</v>
      </c>
      <c r="X2822">
        <v>1</v>
      </c>
      <c r="Z2822">
        <v>0</v>
      </c>
      <c r="AA2822">
        <v>9</v>
      </c>
      <c r="AB2822">
        <v>3</v>
      </c>
      <c r="AC2822">
        <v>0</v>
      </c>
      <c r="AD2822">
        <v>10</v>
      </c>
      <c r="AE2822">
        <v>0</v>
      </c>
      <c r="AF2822">
        <v>3</v>
      </c>
      <c r="AG2822">
        <v>2</v>
      </c>
      <c r="AH2822">
        <v>0</v>
      </c>
      <c r="AI2822" t="s">
        <v>5760</v>
      </c>
      <c r="AJ2822">
        <v>40.271974</v>
      </c>
      <c r="AK2822" t="s">
        <v>5761</v>
      </c>
      <c r="AL2822">
        <v>-75.176267999999993</v>
      </c>
      <c r="AM2822">
        <v>100</v>
      </c>
      <c r="AN2822">
        <v>3700</v>
      </c>
      <c r="AO2822" t="s">
        <v>115</v>
      </c>
      <c r="AP2822">
        <v>127</v>
      </c>
      <c r="AQ2822">
        <v>120</v>
      </c>
      <c r="AR2822">
        <v>64</v>
      </c>
      <c r="AZ2822">
        <v>3614</v>
      </c>
      <c r="BA2822">
        <v>1</v>
      </c>
      <c r="BB2822" t="str">
        <f t="shared" si="131"/>
        <v xml:space="preserve">N959MJ  </v>
      </c>
      <c r="BC2822">
        <v>1</v>
      </c>
      <c r="BE2822">
        <v>0</v>
      </c>
      <c r="BF2822">
        <v>0</v>
      </c>
      <c r="BG2822">
        <v>0</v>
      </c>
      <c r="BH2822">
        <v>3850</v>
      </c>
      <c r="BI2822">
        <v>150</v>
      </c>
      <c r="BJ2822">
        <v>1</v>
      </c>
      <c r="BK2822">
        <v>1</v>
      </c>
      <c r="BL2822">
        <v>1</v>
      </c>
      <c r="BM2822">
        <v>0</v>
      </c>
      <c r="BP2822">
        <v>0</v>
      </c>
      <c r="BQ2822">
        <v>0</v>
      </c>
      <c r="BX2822" t="str">
        <f>"14:37:22.492"</f>
        <v>14:37:22.492</v>
      </c>
      <c r="BY2822" t="str">
        <f>"491125028"</f>
        <v>491125028</v>
      </c>
      <c r="CL2822">
        <v>0</v>
      </c>
      <c r="CM2822">
        <v>2</v>
      </c>
      <c r="CN2822">
        <v>0</v>
      </c>
      <c r="CO2822">
        <v>2</v>
      </c>
      <c r="CP2822">
        <v>0</v>
      </c>
      <c r="CQ2822">
        <v>6</v>
      </c>
      <c r="CR2822" t="s">
        <v>116</v>
      </c>
      <c r="CS2822">
        <v>38</v>
      </c>
      <c r="CT2822">
        <v>3</v>
      </c>
      <c r="CU2822" t="s">
        <v>4719</v>
      </c>
      <c r="CV2822" t="s">
        <v>4720</v>
      </c>
      <c r="CY2822">
        <v>10267775</v>
      </c>
      <c r="CZ2822" t="s">
        <v>119</v>
      </c>
    </row>
    <row r="2823" spans="1:104" x14ac:dyDescent="0.25">
      <c r="A2823" t="str">
        <f>"14:37:23.727"</f>
        <v>14:37:23.727</v>
      </c>
      <c r="B2823" t="s">
        <v>108</v>
      </c>
      <c r="C2823" t="str">
        <f t="shared" si="130"/>
        <v>ffdfd3c0</v>
      </c>
      <c r="D2823" t="s">
        <v>109</v>
      </c>
      <c r="E2823">
        <v>4</v>
      </c>
      <c r="F2823">
        <v>1004</v>
      </c>
      <c r="G2823" t="s">
        <v>110</v>
      </c>
      <c r="J2823" t="s">
        <v>111</v>
      </c>
      <c r="K2823">
        <v>0</v>
      </c>
      <c r="L2823">
        <v>3</v>
      </c>
      <c r="M2823">
        <v>0</v>
      </c>
      <c r="N2823">
        <v>2</v>
      </c>
      <c r="O2823">
        <v>1</v>
      </c>
      <c r="P2823">
        <v>0</v>
      </c>
      <c r="Q2823">
        <v>0</v>
      </c>
      <c r="R2823" t="s">
        <v>112</v>
      </c>
      <c r="S2823" t="str">
        <f>"14:37:23.547"</f>
        <v>14:37:23.547</v>
      </c>
      <c r="T2823" t="str">
        <f>"14:37:23.047"</f>
        <v>14:37:23.047</v>
      </c>
      <c r="U2823" t="str">
        <f t="shared" si="132"/>
        <v>ad5732</v>
      </c>
      <c r="V2823">
        <v>0</v>
      </c>
      <c r="W2823">
        <v>0</v>
      </c>
      <c r="X2823">
        <v>1</v>
      </c>
      <c r="Z2823">
        <v>0</v>
      </c>
      <c r="AA2823">
        <v>9</v>
      </c>
      <c r="AB2823">
        <v>3</v>
      </c>
      <c r="AC2823">
        <v>0</v>
      </c>
      <c r="AD2823">
        <v>10</v>
      </c>
      <c r="AE2823">
        <v>0</v>
      </c>
      <c r="AF2823">
        <v>3</v>
      </c>
      <c r="AG2823">
        <v>2</v>
      </c>
      <c r="AH2823">
        <v>0</v>
      </c>
      <c r="AI2823" t="s">
        <v>5762</v>
      </c>
      <c r="AJ2823">
        <v>40.272531999999998</v>
      </c>
      <c r="AK2823" t="s">
        <v>5763</v>
      </c>
      <c r="AL2823">
        <v>-75.175409000000002</v>
      </c>
      <c r="AM2823">
        <v>100</v>
      </c>
      <c r="AN2823">
        <v>3700</v>
      </c>
      <c r="AO2823" t="s">
        <v>115</v>
      </c>
      <c r="AP2823">
        <v>127</v>
      </c>
      <c r="AQ2823">
        <v>120</v>
      </c>
      <c r="AR2823">
        <v>64</v>
      </c>
      <c r="AZ2823">
        <v>3614</v>
      </c>
      <c r="BA2823">
        <v>1</v>
      </c>
      <c r="BB2823" t="str">
        <f t="shared" si="131"/>
        <v xml:space="preserve">N959MJ  </v>
      </c>
      <c r="BC2823">
        <v>1</v>
      </c>
      <c r="BE2823">
        <v>0</v>
      </c>
      <c r="BF2823">
        <v>0</v>
      </c>
      <c r="BG2823">
        <v>0</v>
      </c>
      <c r="BH2823">
        <v>3850</v>
      </c>
      <c r="BI2823">
        <v>150</v>
      </c>
      <c r="BJ2823">
        <v>1</v>
      </c>
      <c r="BK2823">
        <v>1</v>
      </c>
      <c r="BL2823">
        <v>1</v>
      </c>
      <c r="BM2823">
        <v>0</v>
      </c>
      <c r="BP2823">
        <v>0</v>
      </c>
      <c r="BQ2823">
        <v>0</v>
      </c>
      <c r="BX2823" t="str">
        <f>"14:37:23.555"</f>
        <v>14:37:23.555</v>
      </c>
      <c r="BY2823" t="str">
        <f>"551252942"</f>
        <v>551252942</v>
      </c>
      <c r="CL2823">
        <v>0</v>
      </c>
      <c r="CM2823">
        <v>2</v>
      </c>
      <c r="CN2823">
        <v>0</v>
      </c>
      <c r="CO2823">
        <v>2</v>
      </c>
      <c r="CP2823">
        <v>0</v>
      </c>
      <c r="CQ2823">
        <v>6</v>
      </c>
      <c r="CR2823" t="s">
        <v>116</v>
      </c>
      <c r="CS2823">
        <v>39</v>
      </c>
      <c r="CT2823">
        <v>0</v>
      </c>
      <c r="CU2823" t="s">
        <v>2259</v>
      </c>
      <c r="CV2823" t="s">
        <v>2260</v>
      </c>
      <c r="CY2823">
        <v>2477562</v>
      </c>
      <c r="CZ2823" t="s">
        <v>119</v>
      </c>
    </row>
    <row r="2824" spans="1:104" x14ac:dyDescent="0.25">
      <c r="A2824" t="str">
        <f>"14:37:24.688"</f>
        <v>14:37:24.688</v>
      </c>
      <c r="B2824" t="s">
        <v>108</v>
      </c>
      <c r="C2824" t="str">
        <f t="shared" si="130"/>
        <v>ffdfd3c0</v>
      </c>
      <c r="D2824" t="s">
        <v>109</v>
      </c>
      <c r="E2824">
        <v>4</v>
      </c>
      <c r="F2824">
        <v>1004</v>
      </c>
      <c r="G2824" t="s">
        <v>110</v>
      </c>
      <c r="J2824" t="s">
        <v>111</v>
      </c>
      <c r="K2824">
        <v>0</v>
      </c>
      <c r="L2824">
        <v>3</v>
      </c>
      <c r="M2824">
        <v>0</v>
      </c>
      <c r="N2824">
        <v>2</v>
      </c>
      <c r="O2824">
        <v>1</v>
      </c>
      <c r="P2824">
        <v>0</v>
      </c>
      <c r="Q2824">
        <v>0</v>
      </c>
      <c r="R2824" t="s">
        <v>112</v>
      </c>
      <c r="S2824" t="str">
        <f>"14:37:24.492"</f>
        <v>14:37:24.492</v>
      </c>
      <c r="T2824" t="str">
        <f>"14:37:24.094"</f>
        <v>14:37:24.094</v>
      </c>
      <c r="U2824" t="str">
        <f t="shared" si="132"/>
        <v>ad5732</v>
      </c>
      <c r="V2824">
        <v>0</v>
      </c>
      <c r="W2824">
        <v>0</v>
      </c>
      <c r="X2824">
        <v>1</v>
      </c>
      <c r="Z2824">
        <v>0</v>
      </c>
      <c r="AA2824">
        <v>9</v>
      </c>
      <c r="AB2824">
        <v>3</v>
      </c>
      <c r="AC2824">
        <v>0</v>
      </c>
      <c r="AD2824">
        <v>10</v>
      </c>
      <c r="AE2824">
        <v>0</v>
      </c>
      <c r="AF2824">
        <v>3</v>
      </c>
      <c r="AG2824">
        <v>2</v>
      </c>
      <c r="AH2824">
        <v>0</v>
      </c>
      <c r="AI2824" t="s">
        <v>5764</v>
      </c>
      <c r="AJ2824">
        <v>40.273046000000001</v>
      </c>
      <c r="AK2824" t="s">
        <v>5765</v>
      </c>
      <c r="AL2824">
        <v>-75.174766000000005</v>
      </c>
      <c r="AM2824">
        <v>100</v>
      </c>
      <c r="AN2824">
        <v>3700</v>
      </c>
      <c r="AO2824" t="s">
        <v>115</v>
      </c>
      <c r="AP2824">
        <v>127</v>
      </c>
      <c r="AQ2824">
        <v>120</v>
      </c>
      <c r="AR2824">
        <v>64</v>
      </c>
      <c r="AZ2824">
        <v>3614</v>
      </c>
      <c r="BA2824">
        <v>1</v>
      </c>
      <c r="BB2824" t="str">
        <f t="shared" si="131"/>
        <v xml:space="preserve">N959MJ  </v>
      </c>
      <c r="BC2824">
        <v>1</v>
      </c>
      <c r="BE2824">
        <v>0</v>
      </c>
      <c r="BF2824">
        <v>0</v>
      </c>
      <c r="BG2824">
        <v>0</v>
      </c>
      <c r="BH2824">
        <v>3850</v>
      </c>
      <c r="BI2824">
        <v>150</v>
      </c>
      <c r="BJ2824">
        <v>1</v>
      </c>
      <c r="BK2824">
        <v>1</v>
      </c>
      <c r="BL2824">
        <v>1</v>
      </c>
      <c r="BM2824">
        <v>0</v>
      </c>
      <c r="BP2824">
        <v>0</v>
      </c>
      <c r="BQ2824">
        <v>0</v>
      </c>
      <c r="BX2824" t="str">
        <f>"14:37:24.492"</f>
        <v>14:37:24.492</v>
      </c>
      <c r="BY2824" t="str">
        <f>"494922601"</f>
        <v>494922601</v>
      </c>
      <c r="CL2824">
        <v>0</v>
      </c>
      <c r="CM2824">
        <v>2</v>
      </c>
      <c r="CN2824">
        <v>0</v>
      </c>
      <c r="CO2824">
        <v>2</v>
      </c>
      <c r="CP2824">
        <v>0</v>
      </c>
      <c r="CQ2824">
        <v>6</v>
      </c>
      <c r="CR2824" t="s">
        <v>116</v>
      </c>
      <c r="CS2824">
        <v>38</v>
      </c>
      <c r="CT2824">
        <v>3</v>
      </c>
      <c r="CU2824" t="s">
        <v>4719</v>
      </c>
      <c r="CV2824" t="s">
        <v>4720</v>
      </c>
      <c r="CY2824">
        <v>10271023</v>
      </c>
      <c r="CZ2824" t="s">
        <v>119</v>
      </c>
    </row>
    <row r="2825" spans="1:104" x14ac:dyDescent="0.25">
      <c r="A2825" t="str">
        <f>"14:37:25.648"</f>
        <v>14:37:25.648</v>
      </c>
      <c r="B2825" t="s">
        <v>108</v>
      </c>
      <c r="C2825" t="str">
        <f t="shared" si="130"/>
        <v>ffdfd3c0</v>
      </c>
      <c r="D2825" t="s">
        <v>109</v>
      </c>
      <c r="E2825">
        <v>4</v>
      </c>
      <c r="F2825">
        <v>1004</v>
      </c>
      <c r="G2825" t="s">
        <v>110</v>
      </c>
      <c r="J2825" t="s">
        <v>111</v>
      </c>
      <c r="K2825">
        <v>0</v>
      </c>
      <c r="L2825">
        <v>3</v>
      </c>
      <c r="M2825">
        <v>0</v>
      </c>
      <c r="N2825">
        <v>2</v>
      </c>
      <c r="O2825">
        <v>1</v>
      </c>
      <c r="P2825">
        <v>0</v>
      </c>
      <c r="Q2825">
        <v>0</v>
      </c>
      <c r="R2825" t="s">
        <v>112</v>
      </c>
      <c r="S2825" t="str">
        <f>"14:37:25.430"</f>
        <v>14:37:25.430</v>
      </c>
      <c r="T2825" t="str">
        <f>"14:37:24.930"</f>
        <v>14:37:24.930</v>
      </c>
      <c r="U2825" t="str">
        <f t="shared" si="132"/>
        <v>ad5732</v>
      </c>
      <c r="V2825">
        <v>0</v>
      </c>
      <c r="W2825">
        <v>0</v>
      </c>
      <c r="X2825">
        <v>1</v>
      </c>
      <c r="Z2825">
        <v>0</v>
      </c>
      <c r="AA2825">
        <v>9</v>
      </c>
      <c r="AB2825">
        <v>3</v>
      </c>
      <c r="AC2825">
        <v>0</v>
      </c>
      <c r="AD2825">
        <v>10</v>
      </c>
      <c r="AE2825">
        <v>0</v>
      </c>
      <c r="AF2825">
        <v>3</v>
      </c>
      <c r="AG2825">
        <v>2</v>
      </c>
      <c r="AH2825">
        <v>0</v>
      </c>
      <c r="AI2825" t="s">
        <v>5766</v>
      </c>
      <c r="AJ2825">
        <v>40.273603999999999</v>
      </c>
      <c r="AK2825" t="s">
        <v>5767</v>
      </c>
      <c r="AL2825">
        <v>-75.173950000000005</v>
      </c>
      <c r="AM2825">
        <v>100</v>
      </c>
      <c r="AN2825">
        <v>3700</v>
      </c>
      <c r="AO2825" t="s">
        <v>115</v>
      </c>
      <c r="AP2825">
        <v>127</v>
      </c>
      <c r="AQ2825">
        <v>120</v>
      </c>
      <c r="AR2825">
        <v>64</v>
      </c>
      <c r="AZ2825">
        <v>3614</v>
      </c>
      <c r="BA2825">
        <v>1</v>
      </c>
      <c r="BB2825" t="str">
        <f t="shared" si="131"/>
        <v xml:space="preserve">N959MJ  </v>
      </c>
      <c r="BC2825">
        <v>1</v>
      </c>
      <c r="BE2825">
        <v>0</v>
      </c>
      <c r="BF2825">
        <v>0</v>
      </c>
      <c r="BG2825">
        <v>0</v>
      </c>
      <c r="BH2825">
        <v>3850</v>
      </c>
      <c r="BI2825">
        <v>150</v>
      </c>
      <c r="BJ2825">
        <v>1</v>
      </c>
      <c r="BK2825">
        <v>1</v>
      </c>
      <c r="BL2825">
        <v>1</v>
      </c>
      <c r="BM2825">
        <v>0</v>
      </c>
      <c r="BP2825">
        <v>0</v>
      </c>
      <c r="BQ2825">
        <v>0</v>
      </c>
      <c r="BX2825" t="str">
        <f>"14:37:25.430"</f>
        <v>14:37:25.430</v>
      </c>
      <c r="BY2825" t="str">
        <f>"432103493"</f>
        <v>432103493</v>
      </c>
      <c r="CL2825">
        <v>0</v>
      </c>
      <c r="CM2825">
        <v>2</v>
      </c>
      <c r="CN2825">
        <v>0</v>
      </c>
      <c r="CO2825">
        <v>2</v>
      </c>
      <c r="CP2825">
        <v>0</v>
      </c>
      <c r="CQ2825">
        <v>6</v>
      </c>
      <c r="CR2825" t="s">
        <v>116</v>
      </c>
      <c r="CS2825">
        <v>38</v>
      </c>
      <c r="CT2825">
        <v>3</v>
      </c>
      <c r="CU2825" t="s">
        <v>4719</v>
      </c>
      <c r="CV2825" t="s">
        <v>4720</v>
      </c>
      <c r="CY2825">
        <v>10272636</v>
      </c>
      <c r="CZ2825" t="s">
        <v>119</v>
      </c>
    </row>
    <row r="2826" spans="1:104" x14ac:dyDescent="0.25">
      <c r="A2826" t="str">
        <f>"14:37:26.656"</f>
        <v>14:37:26.656</v>
      </c>
      <c r="B2826" t="s">
        <v>108</v>
      </c>
      <c r="C2826" t="str">
        <f t="shared" ref="C2826:C2889" si="133">"ffdfd3c0"</f>
        <v>ffdfd3c0</v>
      </c>
      <c r="D2826" t="s">
        <v>109</v>
      </c>
      <c r="E2826">
        <v>4</v>
      </c>
      <c r="F2826">
        <v>1004</v>
      </c>
      <c r="G2826" t="s">
        <v>110</v>
      </c>
      <c r="J2826" t="s">
        <v>111</v>
      </c>
      <c r="K2826">
        <v>0</v>
      </c>
      <c r="L2826">
        <v>3</v>
      </c>
      <c r="M2826">
        <v>0</v>
      </c>
      <c r="N2826">
        <v>2</v>
      </c>
      <c r="O2826">
        <v>1</v>
      </c>
      <c r="P2826">
        <v>0</v>
      </c>
      <c r="Q2826">
        <v>0</v>
      </c>
      <c r="R2826" t="s">
        <v>112</v>
      </c>
      <c r="S2826" t="str">
        <f>"14:37:26.453"</f>
        <v>14:37:26.453</v>
      </c>
      <c r="T2826" t="str">
        <f>"14:37:26.055"</f>
        <v>14:37:26.055</v>
      </c>
      <c r="U2826" t="str">
        <f t="shared" si="132"/>
        <v>ad5732</v>
      </c>
      <c r="V2826">
        <v>0</v>
      </c>
      <c r="W2826">
        <v>0</v>
      </c>
      <c r="X2826">
        <v>1</v>
      </c>
      <c r="Z2826">
        <v>0</v>
      </c>
      <c r="AA2826">
        <v>9</v>
      </c>
      <c r="AB2826">
        <v>3</v>
      </c>
      <c r="AC2826">
        <v>0</v>
      </c>
      <c r="AD2826">
        <v>10</v>
      </c>
      <c r="AE2826">
        <v>0</v>
      </c>
      <c r="AF2826">
        <v>3</v>
      </c>
      <c r="AG2826">
        <v>2</v>
      </c>
      <c r="AH2826">
        <v>0</v>
      </c>
      <c r="AI2826" t="s">
        <v>5768</v>
      </c>
      <c r="AJ2826">
        <v>40.274161999999997</v>
      </c>
      <c r="AK2826" t="s">
        <v>5769</v>
      </c>
      <c r="AL2826">
        <v>-75.173198999999997</v>
      </c>
      <c r="AM2826">
        <v>100</v>
      </c>
      <c r="AN2826">
        <v>3700</v>
      </c>
      <c r="AO2826" t="s">
        <v>115</v>
      </c>
      <c r="AP2826">
        <v>127</v>
      </c>
      <c r="AQ2826">
        <v>120</v>
      </c>
      <c r="AR2826">
        <v>64</v>
      </c>
      <c r="AZ2826">
        <v>3614</v>
      </c>
      <c r="BA2826">
        <v>1</v>
      </c>
      <c r="BB2826" t="str">
        <f t="shared" ref="BB2826:BB2889" si="134">"N959MJ  "</f>
        <v xml:space="preserve">N959MJ  </v>
      </c>
      <c r="BC2826">
        <v>1</v>
      </c>
      <c r="BE2826">
        <v>0</v>
      </c>
      <c r="BF2826">
        <v>0</v>
      </c>
      <c r="BG2826">
        <v>0</v>
      </c>
      <c r="BH2826">
        <v>3850</v>
      </c>
      <c r="BI2826">
        <v>150</v>
      </c>
      <c r="BJ2826">
        <v>1</v>
      </c>
      <c r="BK2826">
        <v>1</v>
      </c>
      <c r="BL2826">
        <v>1</v>
      </c>
      <c r="BM2826">
        <v>0</v>
      </c>
      <c r="BP2826">
        <v>0</v>
      </c>
      <c r="BQ2826">
        <v>0</v>
      </c>
      <c r="BX2826" t="str">
        <f>"14:37:26.453"</f>
        <v>14:37:26.453</v>
      </c>
      <c r="BY2826" t="str">
        <f>"454482649"</f>
        <v>454482649</v>
      </c>
      <c r="CL2826">
        <v>0</v>
      </c>
      <c r="CM2826">
        <v>2</v>
      </c>
      <c r="CN2826">
        <v>0</v>
      </c>
      <c r="CO2826">
        <v>2</v>
      </c>
      <c r="CP2826">
        <v>0</v>
      </c>
      <c r="CQ2826">
        <v>6</v>
      </c>
      <c r="CR2826" t="s">
        <v>116</v>
      </c>
      <c r="CS2826">
        <v>38</v>
      </c>
      <c r="CT2826">
        <v>3</v>
      </c>
      <c r="CU2826" t="s">
        <v>4719</v>
      </c>
      <c r="CV2826" t="s">
        <v>4720</v>
      </c>
      <c r="CY2826">
        <v>10274269</v>
      </c>
      <c r="CZ2826" t="s">
        <v>119</v>
      </c>
    </row>
    <row r="2827" spans="1:104" x14ac:dyDescent="0.25">
      <c r="A2827" t="str">
        <f>"14:37:27.664"</f>
        <v>14:37:27.664</v>
      </c>
      <c r="B2827" t="s">
        <v>108</v>
      </c>
      <c r="C2827" t="str">
        <f t="shared" si="133"/>
        <v>ffdfd3c0</v>
      </c>
      <c r="D2827" t="s">
        <v>109</v>
      </c>
      <c r="E2827">
        <v>4</v>
      </c>
      <c r="F2827">
        <v>1004</v>
      </c>
      <c r="G2827" t="s">
        <v>110</v>
      </c>
      <c r="J2827" t="s">
        <v>111</v>
      </c>
      <c r="K2827">
        <v>0</v>
      </c>
      <c r="L2827">
        <v>3</v>
      </c>
      <c r="M2827">
        <v>0</v>
      </c>
      <c r="N2827">
        <v>2</v>
      </c>
      <c r="O2827">
        <v>1</v>
      </c>
      <c r="P2827">
        <v>0</v>
      </c>
      <c r="Q2827">
        <v>0</v>
      </c>
      <c r="R2827" t="s">
        <v>112</v>
      </c>
      <c r="S2827" t="str">
        <f>"14:37:27.461"</f>
        <v>14:37:27.461</v>
      </c>
      <c r="T2827" t="str">
        <f>"14:37:26.961"</f>
        <v>14:37:26.961</v>
      </c>
      <c r="U2827" t="str">
        <f t="shared" si="132"/>
        <v>ad5732</v>
      </c>
      <c r="V2827">
        <v>0</v>
      </c>
      <c r="W2827">
        <v>0</v>
      </c>
      <c r="X2827">
        <v>1</v>
      </c>
      <c r="Z2827">
        <v>0</v>
      </c>
      <c r="AA2827">
        <v>9</v>
      </c>
      <c r="AB2827">
        <v>3</v>
      </c>
      <c r="AC2827">
        <v>0</v>
      </c>
      <c r="AD2827">
        <v>10</v>
      </c>
      <c r="AE2827">
        <v>0</v>
      </c>
      <c r="AF2827">
        <v>3</v>
      </c>
      <c r="AG2827">
        <v>2</v>
      </c>
      <c r="AH2827">
        <v>0</v>
      </c>
      <c r="AI2827" t="s">
        <v>5770</v>
      </c>
      <c r="AJ2827">
        <v>40.274720000000002</v>
      </c>
      <c r="AK2827" t="s">
        <v>5771</v>
      </c>
      <c r="AL2827">
        <v>-75.172448000000003</v>
      </c>
      <c r="AM2827">
        <v>100</v>
      </c>
      <c r="AN2827">
        <v>3700</v>
      </c>
      <c r="AO2827" t="s">
        <v>115</v>
      </c>
      <c r="AP2827">
        <v>127</v>
      </c>
      <c r="AQ2827">
        <v>120</v>
      </c>
      <c r="AR2827">
        <v>64</v>
      </c>
      <c r="AZ2827">
        <v>3614</v>
      </c>
      <c r="BA2827">
        <v>1</v>
      </c>
      <c r="BB2827" t="str">
        <f t="shared" si="134"/>
        <v xml:space="preserve">N959MJ  </v>
      </c>
      <c r="BC2827">
        <v>1</v>
      </c>
      <c r="BE2827">
        <v>0</v>
      </c>
      <c r="BF2827">
        <v>0</v>
      </c>
      <c r="BG2827">
        <v>0</v>
      </c>
      <c r="BH2827">
        <v>3875</v>
      </c>
      <c r="BI2827">
        <v>175</v>
      </c>
      <c r="BJ2827">
        <v>1</v>
      </c>
      <c r="BK2827">
        <v>1</v>
      </c>
      <c r="BL2827">
        <v>1</v>
      </c>
      <c r="BM2827">
        <v>0</v>
      </c>
      <c r="BP2827">
        <v>0</v>
      </c>
      <c r="BQ2827">
        <v>0</v>
      </c>
      <c r="BX2827" t="str">
        <f>"14:37:27.469"</f>
        <v>14:37:27.469</v>
      </c>
      <c r="BY2827" t="str">
        <f>"467031243"</f>
        <v>467031243</v>
      </c>
      <c r="CL2827">
        <v>0</v>
      </c>
      <c r="CM2827">
        <v>2</v>
      </c>
      <c r="CN2827">
        <v>0</v>
      </c>
      <c r="CO2827">
        <v>2</v>
      </c>
      <c r="CP2827">
        <v>0</v>
      </c>
      <c r="CQ2827">
        <v>6</v>
      </c>
      <c r="CR2827" t="s">
        <v>116</v>
      </c>
      <c r="CS2827">
        <v>38</v>
      </c>
      <c r="CT2827">
        <v>3</v>
      </c>
      <c r="CU2827" t="s">
        <v>4719</v>
      </c>
      <c r="CV2827" t="s">
        <v>4720</v>
      </c>
      <c r="CY2827">
        <v>10276127</v>
      </c>
      <c r="CZ2827" t="s">
        <v>119</v>
      </c>
    </row>
    <row r="2828" spans="1:104" x14ac:dyDescent="0.25">
      <c r="A2828" t="str">
        <f>"14:37:28.727"</f>
        <v>14:37:28.727</v>
      </c>
      <c r="B2828" t="s">
        <v>108</v>
      </c>
      <c r="C2828" t="str">
        <f t="shared" si="133"/>
        <v>ffdfd3c0</v>
      </c>
      <c r="D2828" t="s">
        <v>109</v>
      </c>
      <c r="E2828">
        <v>4</v>
      </c>
      <c r="F2828">
        <v>1004</v>
      </c>
      <c r="G2828" t="s">
        <v>110</v>
      </c>
      <c r="J2828" t="s">
        <v>111</v>
      </c>
      <c r="K2828">
        <v>0</v>
      </c>
      <c r="L2828">
        <v>3</v>
      </c>
      <c r="M2828">
        <v>0</v>
      </c>
      <c r="N2828">
        <v>2</v>
      </c>
      <c r="O2828">
        <v>1</v>
      </c>
      <c r="P2828">
        <v>0</v>
      </c>
      <c r="Q2828">
        <v>0</v>
      </c>
      <c r="R2828" t="s">
        <v>112</v>
      </c>
      <c r="S2828" t="str">
        <f>"14:37:28.523"</f>
        <v>14:37:28.523</v>
      </c>
      <c r="T2828" t="str">
        <f>"14:37:28.125"</f>
        <v>14:37:28.125</v>
      </c>
      <c r="U2828" t="str">
        <f t="shared" si="132"/>
        <v>ad5732</v>
      </c>
      <c r="V2828">
        <v>0</v>
      </c>
      <c r="W2828">
        <v>0</v>
      </c>
      <c r="X2828">
        <v>1</v>
      </c>
      <c r="Z2828">
        <v>0</v>
      </c>
      <c r="AA2828">
        <v>9</v>
      </c>
      <c r="AB2828">
        <v>3</v>
      </c>
      <c r="AC2828">
        <v>0</v>
      </c>
      <c r="AD2828">
        <v>10</v>
      </c>
      <c r="AE2828">
        <v>0</v>
      </c>
      <c r="AF2828">
        <v>3</v>
      </c>
      <c r="AG2828">
        <v>2</v>
      </c>
      <c r="AH2828">
        <v>0</v>
      </c>
      <c r="AI2828" t="s">
        <v>5772</v>
      </c>
      <c r="AJ2828">
        <v>40.275320999999998</v>
      </c>
      <c r="AK2828" t="s">
        <v>5773</v>
      </c>
      <c r="AL2828">
        <v>-75.171567999999994</v>
      </c>
      <c r="AM2828">
        <v>100</v>
      </c>
      <c r="AN2828">
        <v>3700</v>
      </c>
      <c r="AO2828" t="s">
        <v>115</v>
      </c>
      <c r="AP2828">
        <v>127</v>
      </c>
      <c r="AQ2828">
        <v>119</v>
      </c>
      <c r="AR2828">
        <v>64</v>
      </c>
      <c r="AZ2828">
        <v>3614</v>
      </c>
      <c r="BA2828">
        <v>1</v>
      </c>
      <c r="BB2828" t="str">
        <f t="shared" si="134"/>
        <v xml:space="preserve">N959MJ  </v>
      </c>
      <c r="BC2828">
        <v>1</v>
      </c>
      <c r="BE2828">
        <v>0</v>
      </c>
      <c r="BF2828">
        <v>0</v>
      </c>
      <c r="BG2828">
        <v>0</v>
      </c>
      <c r="BH2828">
        <v>3875</v>
      </c>
      <c r="BI2828">
        <v>175</v>
      </c>
      <c r="BJ2828">
        <v>1</v>
      </c>
      <c r="BK2828">
        <v>1</v>
      </c>
      <c r="BL2828">
        <v>1</v>
      </c>
      <c r="BM2828">
        <v>0</v>
      </c>
      <c r="BP2828">
        <v>0</v>
      </c>
      <c r="BQ2828">
        <v>0</v>
      </c>
      <c r="BX2828" t="str">
        <f>"14:37:28.531"</f>
        <v>14:37:28.531</v>
      </c>
      <c r="BY2828" t="str">
        <f>"528841878"</f>
        <v>528841878</v>
      </c>
      <c r="CL2828">
        <v>0</v>
      </c>
      <c r="CM2828">
        <v>2</v>
      </c>
      <c r="CN2828">
        <v>0</v>
      </c>
      <c r="CO2828">
        <v>2</v>
      </c>
      <c r="CP2828">
        <v>0</v>
      </c>
      <c r="CQ2828">
        <v>5</v>
      </c>
      <c r="CR2828" t="s">
        <v>116</v>
      </c>
      <c r="CS2828">
        <v>408</v>
      </c>
      <c r="CT2828">
        <v>1</v>
      </c>
      <c r="CU2828" t="s">
        <v>2317</v>
      </c>
      <c r="CV2828" t="s">
        <v>2318</v>
      </c>
      <c r="CY2828">
        <v>13761908</v>
      </c>
      <c r="CZ2828" t="s">
        <v>119</v>
      </c>
    </row>
    <row r="2829" spans="1:104" x14ac:dyDescent="0.25">
      <c r="A2829" t="str">
        <f>"14:37:29.781"</f>
        <v>14:37:29.781</v>
      </c>
      <c r="B2829" t="s">
        <v>108</v>
      </c>
      <c r="C2829" t="str">
        <f t="shared" si="133"/>
        <v>ffdfd3c0</v>
      </c>
      <c r="D2829" t="s">
        <v>109</v>
      </c>
      <c r="E2829">
        <v>4</v>
      </c>
      <c r="F2829">
        <v>1004</v>
      </c>
      <c r="G2829" t="s">
        <v>110</v>
      </c>
      <c r="J2829" t="s">
        <v>111</v>
      </c>
      <c r="K2829">
        <v>0</v>
      </c>
      <c r="L2829">
        <v>3</v>
      </c>
      <c r="M2829">
        <v>0</v>
      </c>
      <c r="N2829">
        <v>2</v>
      </c>
      <c r="O2829">
        <v>1</v>
      </c>
      <c r="P2829">
        <v>0</v>
      </c>
      <c r="Q2829">
        <v>0</v>
      </c>
      <c r="R2829" t="s">
        <v>112</v>
      </c>
      <c r="S2829" t="str">
        <f>"14:37:29.594"</f>
        <v>14:37:29.594</v>
      </c>
      <c r="T2829" t="str">
        <f>"14:37:29.094"</f>
        <v>14:37:29.094</v>
      </c>
      <c r="U2829" t="str">
        <f t="shared" si="132"/>
        <v>ad5732</v>
      </c>
      <c r="V2829">
        <v>0</v>
      </c>
      <c r="W2829">
        <v>0</v>
      </c>
      <c r="X2829">
        <v>1</v>
      </c>
      <c r="Z2829">
        <v>0</v>
      </c>
      <c r="AA2829">
        <v>9</v>
      </c>
      <c r="AB2829">
        <v>3</v>
      </c>
      <c r="AC2829">
        <v>0</v>
      </c>
      <c r="AD2829">
        <v>10</v>
      </c>
      <c r="AE2829">
        <v>0</v>
      </c>
      <c r="AF2829">
        <v>3</v>
      </c>
      <c r="AG2829">
        <v>2</v>
      </c>
      <c r="AH2829">
        <v>0</v>
      </c>
      <c r="AI2829" t="s">
        <v>5774</v>
      </c>
      <c r="AJ2829">
        <v>40.275879000000003</v>
      </c>
      <c r="AK2829" t="s">
        <v>5775</v>
      </c>
      <c r="AL2829">
        <v>-75.170839000000001</v>
      </c>
      <c r="AM2829">
        <v>100</v>
      </c>
      <c r="AN2829">
        <v>3700</v>
      </c>
      <c r="AO2829" t="s">
        <v>115</v>
      </c>
      <c r="AP2829">
        <v>127</v>
      </c>
      <c r="AQ2829">
        <v>119</v>
      </c>
      <c r="AR2829">
        <v>0</v>
      </c>
      <c r="AZ2829">
        <v>3614</v>
      </c>
      <c r="BA2829">
        <v>1</v>
      </c>
      <c r="BB2829" t="str">
        <f t="shared" si="134"/>
        <v xml:space="preserve">N959MJ  </v>
      </c>
      <c r="BC2829">
        <v>1</v>
      </c>
      <c r="BE2829">
        <v>0</v>
      </c>
      <c r="BF2829">
        <v>0</v>
      </c>
      <c r="BG2829">
        <v>0</v>
      </c>
      <c r="BH2829">
        <v>3875</v>
      </c>
      <c r="BI2829">
        <v>175</v>
      </c>
      <c r="BJ2829">
        <v>1</v>
      </c>
      <c r="BK2829">
        <v>1</v>
      </c>
      <c r="BL2829">
        <v>1</v>
      </c>
      <c r="BM2829">
        <v>0</v>
      </c>
      <c r="BP2829">
        <v>0</v>
      </c>
      <c r="BQ2829">
        <v>0</v>
      </c>
      <c r="BX2829" t="str">
        <f>"14:37:29.594"</f>
        <v>14:37:29.594</v>
      </c>
      <c r="BY2829" t="str">
        <f>"593779111"</f>
        <v>593779111</v>
      </c>
      <c r="CL2829">
        <v>0</v>
      </c>
      <c r="CM2829">
        <v>2</v>
      </c>
      <c r="CN2829">
        <v>0</v>
      </c>
      <c r="CO2829">
        <v>2</v>
      </c>
      <c r="CP2829">
        <v>0</v>
      </c>
      <c r="CQ2829">
        <v>6</v>
      </c>
      <c r="CR2829" t="s">
        <v>116</v>
      </c>
      <c r="CS2829">
        <v>39</v>
      </c>
      <c r="CT2829">
        <v>0</v>
      </c>
      <c r="CU2829" t="s">
        <v>2259</v>
      </c>
      <c r="CV2829" t="s">
        <v>2260</v>
      </c>
      <c r="CY2829">
        <v>2486517</v>
      </c>
      <c r="CZ2829" t="s">
        <v>119</v>
      </c>
    </row>
    <row r="2830" spans="1:104" x14ac:dyDescent="0.25">
      <c r="A2830" t="str">
        <f>"14:37:30.742"</f>
        <v>14:37:30.742</v>
      </c>
      <c r="B2830" t="s">
        <v>108</v>
      </c>
      <c r="C2830" t="str">
        <f t="shared" si="133"/>
        <v>ffdfd3c0</v>
      </c>
      <c r="D2830" t="s">
        <v>109</v>
      </c>
      <c r="E2830">
        <v>4</v>
      </c>
      <c r="F2830">
        <v>1004</v>
      </c>
      <c r="G2830" t="s">
        <v>110</v>
      </c>
      <c r="J2830" t="s">
        <v>111</v>
      </c>
      <c r="K2830">
        <v>0</v>
      </c>
      <c r="L2830">
        <v>3</v>
      </c>
      <c r="M2830">
        <v>0</v>
      </c>
      <c r="N2830">
        <v>2</v>
      </c>
      <c r="O2830">
        <v>1</v>
      </c>
      <c r="P2830">
        <v>0</v>
      </c>
      <c r="Q2830">
        <v>0</v>
      </c>
      <c r="R2830" t="s">
        <v>112</v>
      </c>
      <c r="S2830" t="str">
        <f>"14:37:30.578"</f>
        <v>14:37:30.578</v>
      </c>
      <c r="T2830" t="str">
        <f>"14:37:30.180"</f>
        <v>14:37:30.180</v>
      </c>
      <c r="U2830" t="str">
        <f t="shared" si="132"/>
        <v>ad5732</v>
      </c>
      <c r="V2830">
        <v>0</v>
      </c>
      <c r="W2830">
        <v>0</v>
      </c>
      <c r="X2830">
        <v>1</v>
      </c>
      <c r="Z2830">
        <v>0</v>
      </c>
      <c r="AA2830">
        <v>9</v>
      </c>
      <c r="AB2830">
        <v>3</v>
      </c>
      <c r="AC2830">
        <v>0</v>
      </c>
      <c r="AD2830">
        <v>10</v>
      </c>
      <c r="AE2830">
        <v>0</v>
      </c>
      <c r="AF2830">
        <v>3</v>
      </c>
      <c r="AG2830">
        <v>2</v>
      </c>
      <c r="AH2830">
        <v>0</v>
      </c>
      <c r="AI2830" t="s">
        <v>5776</v>
      </c>
      <c r="AJ2830">
        <v>40.276437000000001</v>
      </c>
      <c r="AK2830" t="s">
        <v>5777</v>
      </c>
      <c r="AL2830">
        <v>-75.170045000000002</v>
      </c>
      <c r="AM2830">
        <v>100</v>
      </c>
      <c r="AN2830">
        <v>3700</v>
      </c>
      <c r="AO2830" t="s">
        <v>115</v>
      </c>
      <c r="AP2830">
        <v>128</v>
      </c>
      <c r="AQ2830">
        <v>119</v>
      </c>
      <c r="AR2830">
        <v>-64</v>
      </c>
      <c r="AZ2830">
        <v>3614</v>
      </c>
      <c r="BA2830">
        <v>1</v>
      </c>
      <c r="BB2830" t="str">
        <f t="shared" si="134"/>
        <v xml:space="preserve">N959MJ  </v>
      </c>
      <c r="BC2830">
        <v>1</v>
      </c>
      <c r="BE2830">
        <v>0</v>
      </c>
      <c r="BF2830">
        <v>0</v>
      </c>
      <c r="BG2830">
        <v>0</v>
      </c>
      <c r="BH2830">
        <v>3875</v>
      </c>
      <c r="BI2830">
        <v>175</v>
      </c>
      <c r="BJ2830">
        <v>1</v>
      </c>
      <c r="BK2830">
        <v>1</v>
      </c>
      <c r="BL2830">
        <v>1</v>
      </c>
      <c r="BM2830">
        <v>0</v>
      </c>
      <c r="BP2830">
        <v>0</v>
      </c>
      <c r="BQ2830">
        <v>0</v>
      </c>
      <c r="BX2830" t="str">
        <f>"14:37:30.578"</f>
        <v>14:37:30.578</v>
      </c>
      <c r="BY2830" t="str">
        <f>"580044729"</f>
        <v>580044729</v>
      </c>
      <c r="CL2830">
        <v>0</v>
      </c>
      <c r="CM2830">
        <v>2</v>
      </c>
      <c r="CN2830">
        <v>0</v>
      </c>
      <c r="CO2830">
        <v>2</v>
      </c>
      <c r="CP2830">
        <v>0</v>
      </c>
      <c r="CQ2830">
        <v>6</v>
      </c>
      <c r="CR2830" t="s">
        <v>116</v>
      </c>
      <c r="CS2830">
        <v>38</v>
      </c>
      <c r="CT2830">
        <v>3</v>
      </c>
      <c r="CU2830" t="s">
        <v>4719</v>
      </c>
      <c r="CV2830" t="s">
        <v>4720</v>
      </c>
      <c r="CY2830">
        <v>10281493</v>
      </c>
      <c r="CZ2830" t="s">
        <v>119</v>
      </c>
    </row>
    <row r="2831" spans="1:104" x14ac:dyDescent="0.25">
      <c r="A2831" t="str">
        <f>"14:37:31.703"</f>
        <v>14:37:31.703</v>
      </c>
      <c r="B2831" t="s">
        <v>108</v>
      </c>
      <c r="C2831" t="str">
        <f t="shared" si="133"/>
        <v>ffdfd3c0</v>
      </c>
      <c r="D2831" t="s">
        <v>109</v>
      </c>
      <c r="E2831">
        <v>4</v>
      </c>
      <c r="F2831">
        <v>1004</v>
      </c>
      <c r="G2831" t="s">
        <v>110</v>
      </c>
      <c r="J2831" t="s">
        <v>111</v>
      </c>
      <c r="K2831">
        <v>0</v>
      </c>
      <c r="L2831">
        <v>3</v>
      </c>
      <c r="M2831">
        <v>0</v>
      </c>
      <c r="N2831">
        <v>2</v>
      </c>
      <c r="O2831">
        <v>1</v>
      </c>
      <c r="P2831">
        <v>0</v>
      </c>
      <c r="Q2831">
        <v>0</v>
      </c>
      <c r="R2831" t="s">
        <v>112</v>
      </c>
      <c r="S2831" t="str">
        <f>"14:37:31.547"</f>
        <v>14:37:31.547</v>
      </c>
      <c r="T2831" t="str">
        <f>"14:37:31.148"</f>
        <v>14:37:31.148</v>
      </c>
      <c r="U2831" t="str">
        <f t="shared" si="132"/>
        <v>ad5732</v>
      </c>
      <c r="V2831">
        <v>0</v>
      </c>
      <c r="W2831">
        <v>0</v>
      </c>
      <c r="X2831">
        <v>1</v>
      </c>
      <c r="Z2831">
        <v>0</v>
      </c>
      <c r="AA2831">
        <v>9</v>
      </c>
      <c r="AB2831">
        <v>3</v>
      </c>
      <c r="AC2831">
        <v>0</v>
      </c>
      <c r="AD2831">
        <v>10</v>
      </c>
      <c r="AE2831">
        <v>0</v>
      </c>
      <c r="AF2831">
        <v>3</v>
      </c>
      <c r="AG2831">
        <v>2</v>
      </c>
      <c r="AH2831">
        <v>0</v>
      </c>
      <c r="AI2831" t="s">
        <v>5778</v>
      </c>
      <c r="AJ2831">
        <v>40.276972999999998</v>
      </c>
      <c r="AK2831" t="s">
        <v>5779</v>
      </c>
      <c r="AL2831">
        <v>-75.169251000000003</v>
      </c>
      <c r="AM2831">
        <v>100</v>
      </c>
      <c r="AN2831">
        <v>3700</v>
      </c>
      <c r="AO2831" t="s">
        <v>115</v>
      </c>
      <c r="AP2831">
        <v>128</v>
      </c>
      <c r="AQ2831">
        <v>119</v>
      </c>
      <c r="AR2831">
        <v>-64</v>
      </c>
      <c r="AZ2831">
        <v>3614</v>
      </c>
      <c r="BA2831">
        <v>1</v>
      </c>
      <c r="BB2831" t="str">
        <f t="shared" si="134"/>
        <v xml:space="preserve">N959MJ  </v>
      </c>
      <c r="BC2831">
        <v>1</v>
      </c>
      <c r="BE2831">
        <v>0</v>
      </c>
      <c r="BF2831">
        <v>0</v>
      </c>
      <c r="BG2831">
        <v>0</v>
      </c>
      <c r="BH2831">
        <v>3850</v>
      </c>
      <c r="BI2831">
        <v>150</v>
      </c>
      <c r="BJ2831">
        <v>1</v>
      </c>
      <c r="BK2831">
        <v>1</v>
      </c>
      <c r="BL2831">
        <v>1</v>
      </c>
      <c r="BM2831">
        <v>0</v>
      </c>
      <c r="BP2831">
        <v>0</v>
      </c>
      <c r="BQ2831">
        <v>0</v>
      </c>
      <c r="BX2831" t="str">
        <f>"14:37:31.555"</f>
        <v>14:37:31.555</v>
      </c>
      <c r="BY2831" t="str">
        <f>"553271138"</f>
        <v>553271138</v>
      </c>
      <c r="CL2831">
        <v>0</v>
      </c>
      <c r="CM2831">
        <v>2</v>
      </c>
      <c r="CN2831">
        <v>0</v>
      </c>
      <c r="CO2831">
        <v>2</v>
      </c>
      <c r="CP2831">
        <v>0</v>
      </c>
      <c r="CQ2831">
        <v>6</v>
      </c>
      <c r="CR2831" t="s">
        <v>116</v>
      </c>
      <c r="CS2831">
        <v>38</v>
      </c>
      <c r="CT2831">
        <v>3</v>
      </c>
      <c r="CU2831" t="s">
        <v>4719</v>
      </c>
      <c r="CV2831" t="s">
        <v>4720</v>
      </c>
      <c r="CY2831">
        <v>10283281</v>
      </c>
      <c r="CZ2831" t="s">
        <v>119</v>
      </c>
    </row>
    <row r="2832" spans="1:104" x14ac:dyDescent="0.25">
      <c r="A2832" t="str">
        <f>"14:37:32.813"</f>
        <v>14:37:32.813</v>
      </c>
      <c r="B2832" t="s">
        <v>108</v>
      </c>
      <c r="C2832" t="str">
        <f t="shared" si="133"/>
        <v>ffdfd3c0</v>
      </c>
      <c r="D2832" t="s">
        <v>109</v>
      </c>
      <c r="E2832">
        <v>4</v>
      </c>
      <c r="F2832">
        <v>1004</v>
      </c>
      <c r="G2832" t="s">
        <v>110</v>
      </c>
      <c r="J2832" t="s">
        <v>111</v>
      </c>
      <c r="K2832">
        <v>0</v>
      </c>
      <c r="L2832">
        <v>3</v>
      </c>
      <c r="M2832">
        <v>0</v>
      </c>
      <c r="N2832">
        <v>2</v>
      </c>
      <c r="O2832">
        <v>1</v>
      </c>
      <c r="P2832">
        <v>0</v>
      </c>
      <c r="Q2832">
        <v>0</v>
      </c>
      <c r="R2832" t="s">
        <v>112</v>
      </c>
      <c r="S2832" t="str">
        <f>"14:37:32.625"</f>
        <v>14:37:32.625</v>
      </c>
      <c r="T2832" t="str">
        <f>"14:37:32.125"</f>
        <v>14:37:32.125</v>
      </c>
      <c r="U2832" t="str">
        <f t="shared" si="132"/>
        <v>ad5732</v>
      </c>
      <c r="V2832">
        <v>0</v>
      </c>
      <c r="W2832">
        <v>0</v>
      </c>
      <c r="X2832">
        <v>1</v>
      </c>
      <c r="Z2832">
        <v>0</v>
      </c>
      <c r="AA2832">
        <v>9</v>
      </c>
      <c r="AB2832">
        <v>3</v>
      </c>
      <c r="AC2832">
        <v>0</v>
      </c>
      <c r="AD2832">
        <v>10</v>
      </c>
      <c r="AE2832">
        <v>0</v>
      </c>
      <c r="AF2832">
        <v>3</v>
      </c>
      <c r="AG2832">
        <v>2</v>
      </c>
      <c r="AH2832">
        <v>0</v>
      </c>
      <c r="AI2832" t="s">
        <v>5780</v>
      </c>
      <c r="AJ2832">
        <v>40.277596000000003</v>
      </c>
      <c r="AK2832" t="s">
        <v>5781</v>
      </c>
      <c r="AL2832">
        <v>-75.168392999999995</v>
      </c>
      <c r="AM2832">
        <v>100</v>
      </c>
      <c r="AN2832">
        <v>3700</v>
      </c>
      <c r="AO2832" t="s">
        <v>115</v>
      </c>
      <c r="AP2832">
        <v>128</v>
      </c>
      <c r="AQ2832">
        <v>119</v>
      </c>
      <c r="AR2832">
        <v>0</v>
      </c>
      <c r="AZ2832">
        <v>3614</v>
      </c>
      <c r="BA2832">
        <v>1</v>
      </c>
      <c r="BB2832" t="str">
        <f t="shared" si="134"/>
        <v xml:space="preserve">N959MJ  </v>
      </c>
      <c r="BC2832">
        <v>1</v>
      </c>
      <c r="BE2832">
        <v>0</v>
      </c>
      <c r="BF2832">
        <v>0</v>
      </c>
      <c r="BG2832">
        <v>0</v>
      </c>
      <c r="BH2832">
        <v>3850</v>
      </c>
      <c r="BI2832">
        <v>150</v>
      </c>
      <c r="BJ2832">
        <v>1</v>
      </c>
      <c r="BK2832">
        <v>1</v>
      </c>
      <c r="BL2832">
        <v>1</v>
      </c>
      <c r="BM2832">
        <v>0</v>
      </c>
      <c r="BP2832">
        <v>0</v>
      </c>
      <c r="BQ2832">
        <v>0</v>
      </c>
      <c r="BX2832" t="str">
        <f>"14:37:32.625"</f>
        <v>14:37:32.625</v>
      </c>
      <c r="BY2832" t="str">
        <f>"625036437"</f>
        <v>625036437</v>
      </c>
      <c r="CL2832">
        <v>0</v>
      </c>
      <c r="CM2832">
        <v>2</v>
      </c>
      <c r="CN2832">
        <v>0</v>
      </c>
      <c r="CO2832">
        <v>2</v>
      </c>
      <c r="CP2832">
        <v>0</v>
      </c>
      <c r="CQ2832">
        <v>5</v>
      </c>
      <c r="CR2832" t="s">
        <v>116</v>
      </c>
      <c r="CS2832">
        <v>41</v>
      </c>
      <c r="CT2832">
        <v>3</v>
      </c>
      <c r="CU2832" t="s">
        <v>4525</v>
      </c>
      <c r="CV2832" t="s">
        <v>4526</v>
      </c>
      <c r="CY2832">
        <v>14904286</v>
      </c>
      <c r="CZ2832" t="s">
        <v>119</v>
      </c>
    </row>
    <row r="2833" spans="1:104" x14ac:dyDescent="0.25">
      <c r="A2833" t="str">
        <f>"14:37:33.773"</f>
        <v>14:37:33.773</v>
      </c>
      <c r="B2833" t="s">
        <v>108</v>
      </c>
      <c r="C2833" t="str">
        <f t="shared" si="133"/>
        <v>ffdfd3c0</v>
      </c>
      <c r="D2833" t="s">
        <v>109</v>
      </c>
      <c r="E2833">
        <v>4</v>
      </c>
      <c r="F2833">
        <v>1004</v>
      </c>
      <c r="G2833" t="s">
        <v>110</v>
      </c>
      <c r="J2833" t="s">
        <v>111</v>
      </c>
      <c r="K2833">
        <v>0</v>
      </c>
      <c r="L2833">
        <v>3</v>
      </c>
      <c r="M2833">
        <v>0</v>
      </c>
      <c r="N2833">
        <v>2</v>
      </c>
      <c r="O2833">
        <v>1</v>
      </c>
      <c r="P2833">
        <v>0</v>
      </c>
      <c r="Q2833">
        <v>0</v>
      </c>
      <c r="R2833" t="s">
        <v>112</v>
      </c>
      <c r="S2833" t="str">
        <f>"14:37:33.594"</f>
        <v>14:37:33.594</v>
      </c>
      <c r="T2833" t="str">
        <f>"14:37:33.094"</f>
        <v>14:37:33.094</v>
      </c>
      <c r="U2833" t="str">
        <f t="shared" si="132"/>
        <v>ad5732</v>
      </c>
      <c r="V2833">
        <v>0</v>
      </c>
      <c r="W2833">
        <v>0</v>
      </c>
      <c r="X2833">
        <v>1</v>
      </c>
      <c r="Z2833">
        <v>0</v>
      </c>
      <c r="AA2833">
        <v>9</v>
      </c>
      <c r="AB2833">
        <v>3</v>
      </c>
      <c r="AC2833">
        <v>0</v>
      </c>
      <c r="AD2833">
        <v>10</v>
      </c>
      <c r="AE2833">
        <v>0</v>
      </c>
      <c r="AF2833">
        <v>3</v>
      </c>
      <c r="AG2833">
        <v>2</v>
      </c>
      <c r="AH2833">
        <v>0</v>
      </c>
      <c r="AI2833" t="s">
        <v>5782</v>
      </c>
      <c r="AJ2833">
        <v>40.278067999999998</v>
      </c>
      <c r="AK2833" t="s">
        <v>5783</v>
      </c>
      <c r="AL2833">
        <v>-75.167726999999999</v>
      </c>
      <c r="AM2833">
        <v>100</v>
      </c>
      <c r="AN2833">
        <v>3700</v>
      </c>
      <c r="AO2833" t="s">
        <v>115</v>
      </c>
      <c r="AP2833">
        <v>128</v>
      </c>
      <c r="AQ2833">
        <v>119</v>
      </c>
      <c r="AR2833">
        <v>0</v>
      </c>
      <c r="AZ2833">
        <v>3614</v>
      </c>
      <c r="BA2833">
        <v>1</v>
      </c>
      <c r="BB2833" t="str">
        <f t="shared" si="134"/>
        <v xml:space="preserve">N959MJ  </v>
      </c>
      <c r="BC2833">
        <v>1</v>
      </c>
      <c r="BE2833">
        <v>0</v>
      </c>
      <c r="BF2833">
        <v>0</v>
      </c>
      <c r="BG2833">
        <v>0</v>
      </c>
      <c r="BH2833">
        <v>3875</v>
      </c>
      <c r="BI2833">
        <v>175</v>
      </c>
      <c r="BJ2833">
        <v>1</v>
      </c>
      <c r="BK2833">
        <v>1</v>
      </c>
      <c r="BL2833">
        <v>1</v>
      </c>
      <c r="BM2833">
        <v>0</v>
      </c>
      <c r="BP2833">
        <v>0</v>
      </c>
      <c r="BQ2833">
        <v>0</v>
      </c>
      <c r="BX2833" t="str">
        <f>"14:37:33.594"</f>
        <v>14:37:33.594</v>
      </c>
      <c r="BY2833" t="str">
        <f>"596461554"</f>
        <v>596461554</v>
      </c>
      <c r="CL2833">
        <v>0</v>
      </c>
      <c r="CM2833">
        <v>2</v>
      </c>
      <c r="CN2833">
        <v>0</v>
      </c>
      <c r="CO2833">
        <v>2</v>
      </c>
      <c r="CP2833">
        <v>0</v>
      </c>
      <c r="CQ2833">
        <v>6</v>
      </c>
      <c r="CR2833" t="s">
        <v>116</v>
      </c>
      <c r="CS2833">
        <v>39</v>
      </c>
      <c r="CT2833">
        <v>0</v>
      </c>
      <c r="CU2833" t="s">
        <v>2259</v>
      </c>
      <c r="CV2833" t="s">
        <v>2260</v>
      </c>
      <c r="CY2833">
        <v>2492790</v>
      </c>
      <c r="CZ2833" t="s">
        <v>119</v>
      </c>
    </row>
    <row r="2834" spans="1:104" x14ac:dyDescent="0.25">
      <c r="A2834" t="str">
        <f>"14:37:34.680"</f>
        <v>14:37:34.680</v>
      </c>
      <c r="B2834" t="s">
        <v>108</v>
      </c>
      <c r="C2834" t="str">
        <f t="shared" si="133"/>
        <v>ffdfd3c0</v>
      </c>
      <c r="D2834" t="s">
        <v>109</v>
      </c>
      <c r="E2834">
        <v>4</v>
      </c>
      <c r="F2834">
        <v>1004</v>
      </c>
      <c r="G2834" t="s">
        <v>110</v>
      </c>
      <c r="J2834" t="s">
        <v>111</v>
      </c>
      <c r="K2834">
        <v>0</v>
      </c>
      <c r="L2834">
        <v>3</v>
      </c>
      <c r="M2834">
        <v>0</v>
      </c>
      <c r="N2834">
        <v>2</v>
      </c>
      <c r="O2834">
        <v>1</v>
      </c>
      <c r="P2834">
        <v>0</v>
      </c>
      <c r="Q2834">
        <v>0</v>
      </c>
      <c r="R2834" t="s">
        <v>112</v>
      </c>
      <c r="S2834" t="str">
        <f>"14:37:34.531"</f>
        <v>14:37:34.531</v>
      </c>
      <c r="T2834" t="str">
        <f>"14:37:34.133"</f>
        <v>14:37:34.133</v>
      </c>
      <c r="U2834" t="str">
        <f t="shared" si="132"/>
        <v>ad5732</v>
      </c>
      <c r="V2834">
        <v>0</v>
      </c>
      <c r="W2834">
        <v>0</v>
      </c>
      <c r="X2834">
        <v>1</v>
      </c>
      <c r="Z2834">
        <v>0</v>
      </c>
      <c r="AA2834">
        <v>9</v>
      </c>
      <c r="AB2834">
        <v>3</v>
      </c>
      <c r="AC2834">
        <v>0</v>
      </c>
      <c r="AD2834">
        <v>10</v>
      </c>
      <c r="AE2834">
        <v>0</v>
      </c>
      <c r="AF2834">
        <v>3</v>
      </c>
      <c r="AG2834">
        <v>2</v>
      </c>
      <c r="AH2834">
        <v>0</v>
      </c>
      <c r="AI2834" t="s">
        <v>5784</v>
      </c>
      <c r="AJ2834">
        <v>40.278624999999998</v>
      </c>
      <c r="AK2834" t="s">
        <v>5785</v>
      </c>
      <c r="AL2834">
        <v>-75.166933999999998</v>
      </c>
      <c r="AM2834">
        <v>100</v>
      </c>
      <c r="AN2834">
        <v>3700</v>
      </c>
      <c r="AO2834" t="s">
        <v>115</v>
      </c>
      <c r="AP2834">
        <v>128</v>
      </c>
      <c r="AQ2834">
        <v>118</v>
      </c>
      <c r="AR2834">
        <v>-64</v>
      </c>
      <c r="AZ2834">
        <v>3614</v>
      </c>
      <c r="BA2834">
        <v>1</v>
      </c>
      <c r="BB2834" t="str">
        <f t="shared" si="134"/>
        <v xml:space="preserve">N959MJ  </v>
      </c>
      <c r="BC2834">
        <v>1</v>
      </c>
      <c r="BE2834">
        <v>0</v>
      </c>
      <c r="BF2834">
        <v>0</v>
      </c>
      <c r="BG2834">
        <v>0</v>
      </c>
      <c r="BH2834">
        <v>3875</v>
      </c>
      <c r="BI2834">
        <v>175</v>
      </c>
      <c r="BJ2834">
        <v>1</v>
      </c>
      <c r="BK2834">
        <v>1</v>
      </c>
      <c r="BL2834">
        <v>1</v>
      </c>
      <c r="BM2834">
        <v>0</v>
      </c>
      <c r="BP2834">
        <v>0</v>
      </c>
      <c r="BQ2834">
        <v>0</v>
      </c>
      <c r="BX2834" t="str">
        <f>"14:37:34.539"</f>
        <v>14:37:34.539</v>
      </c>
      <c r="BY2834" t="str">
        <f>"535280905"</f>
        <v>535280905</v>
      </c>
      <c r="CL2834">
        <v>0</v>
      </c>
      <c r="CM2834">
        <v>2</v>
      </c>
      <c r="CN2834">
        <v>0</v>
      </c>
      <c r="CO2834">
        <v>2</v>
      </c>
      <c r="CP2834">
        <v>0</v>
      </c>
      <c r="CQ2834">
        <v>6</v>
      </c>
      <c r="CR2834" t="s">
        <v>116</v>
      </c>
      <c r="CS2834">
        <v>39</v>
      </c>
      <c r="CT2834">
        <v>0</v>
      </c>
      <c r="CU2834" t="s">
        <v>2259</v>
      </c>
      <c r="CV2834" t="s">
        <v>2260</v>
      </c>
      <c r="CY2834">
        <v>2494301</v>
      </c>
      <c r="CZ2834" t="s">
        <v>119</v>
      </c>
    </row>
    <row r="2835" spans="1:104" x14ac:dyDescent="0.25">
      <c r="A2835" t="str">
        <f>"14:37:35.789"</f>
        <v>14:37:35.789</v>
      </c>
      <c r="B2835" t="s">
        <v>108</v>
      </c>
      <c r="C2835" t="str">
        <f t="shared" si="133"/>
        <v>ffdfd3c0</v>
      </c>
      <c r="D2835" t="s">
        <v>109</v>
      </c>
      <c r="E2835">
        <v>4</v>
      </c>
      <c r="F2835">
        <v>1004</v>
      </c>
      <c r="G2835" t="s">
        <v>110</v>
      </c>
      <c r="J2835" t="s">
        <v>111</v>
      </c>
      <c r="K2835">
        <v>0</v>
      </c>
      <c r="L2835">
        <v>3</v>
      </c>
      <c r="M2835">
        <v>0</v>
      </c>
      <c r="N2835">
        <v>2</v>
      </c>
      <c r="O2835">
        <v>1</v>
      </c>
      <c r="P2835">
        <v>0</v>
      </c>
      <c r="Q2835">
        <v>0</v>
      </c>
      <c r="R2835" t="s">
        <v>112</v>
      </c>
      <c r="S2835" t="str">
        <f>"14:37:35.625"</f>
        <v>14:37:35.625</v>
      </c>
      <c r="T2835" t="str">
        <f>"14:37:35.125"</f>
        <v>14:37:35.125</v>
      </c>
      <c r="U2835" t="str">
        <f t="shared" si="132"/>
        <v>ad5732</v>
      </c>
      <c r="V2835">
        <v>0</v>
      </c>
      <c r="W2835">
        <v>0</v>
      </c>
      <c r="X2835">
        <v>1</v>
      </c>
      <c r="Z2835">
        <v>0</v>
      </c>
      <c r="AA2835">
        <v>9</v>
      </c>
      <c r="AB2835">
        <v>3</v>
      </c>
      <c r="AC2835">
        <v>0</v>
      </c>
      <c r="AD2835">
        <v>10</v>
      </c>
      <c r="AE2835">
        <v>0</v>
      </c>
      <c r="AF2835">
        <v>3</v>
      </c>
      <c r="AG2835">
        <v>2</v>
      </c>
      <c r="AH2835">
        <v>0</v>
      </c>
      <c r="AI2835" t="s">
        <v>5786</v>
      </c>
      <c r="AJ2835">
        <v>40.279226000000001</v>
      </c>
      <c r="AK2835" t="s">
        <v>5787</v>
      </c>
      <c r="AL2835">
        <v>-75.166075000000006</v>
      </c>
      <c r="AM2835">
        <v>100</v>
      </c>
      <c r="AN2835">
        <v>3700</v>
      </c>
      <c r="AO2835" t="s">
        <v>115</v>
      </c>
      <c r="AP2835">
        <v>128</v>
      </c>
      <c r="AQ2835">
        <v>118</v>
      </c>
      <c r="AR2835">
        <v>-128</v>
      </c>
      <c r="AZ2835">
        <v>3614</v>
      </c>
      <c r="BA2835">
        <v>1</v>
      </c>
      <c r="BB2835" t="str">
        <f t="shared" si="134"/>
        <v xml:space="preserve">N959MJ  </v>
      </c>
      <c r="BC2835">
        <v>1</v>
      </c>
      <c r="BE2835">
        <v>0</v>
      </c>
      <c r="BF2835">
        <v>0</v>
      </c>
      <c r="BG2835">
        <v>0</v>
      </c>
      <c r="BH2835">
        <v>3850</v>
      </c>
      <c r="BI2835">
        <v>150</v>
      </c>
      <c r="BJ2835">
        <v>1</v>
      </c>
      <c r="BK2835">
        <v>1</v>
      </c>
      <c r="BL2835">
        <v>1</v>
      </c>
      <c r="BM2835">
        <v>0</v>
      </c>
      <c r="BP2835">
        <v>0</v>
      </c>
      <c r="BQ2835">
        <v>0</v>
      </c>
      <c r="BX2835" t="str">
        <f>"14:37:35.625"</f>
        <v>14:37:35.625</v>
      </c>
      <c r="BY2835" t="str">
        <f>"628041895"</f>
        <v>628041895</v>
      </c>
      <c r="CL2835">
        <v>0</v>
      </c>
      <c r="CM2835">
        <v>2</v>
      </c>
      <c r="CN2835">
        <v>0</v>
      </c>
      <c r="CO2835">
        <v>2</v>
      </c>
      <c r="CP2835">
        <v>0</v>
      </c>
      <c r="CQ2835">
        <v>6</v>
      </c>
      <c r="CR2835" t="s">
        <v>116</v>
      </c>
      <c r="CS2835">
        <v>38</v>
      </c>
      <c r="CT2835">
        <v>3</v>
      </c>
      <c r="CU2835" t="s">
        <v>4719</v>
      </c>
      <c r="CV2835" t="s">
        <v>4720</v>
      </c>
      <c r="CY2835">
        <v>10290375</v>
      </c>
      <c r="CZ2835" t="s">
        <v>119</v>
      </c>
    </row>
    <row r="2836" spans="1:104" x14ac:dyDescent="0.25">
      <c r="A2836" t="str">
        <f>"14:37:36.852"</f>
        <v>14:37:36.852</v>
      </c>
      <c r="B2836" t="s">
        <v>108</v>
      </c>
      <c r="C2836" t="str">
        <f t="shared" si="133"/>
        <v>ffdfd3c0</v>
      </c>
      <c r="D2836" t="s">
        <v>109</v>
      </c>
      <c r="E2836">
        <v>4</v>
      </c>
      <c r="F2836">
        <v>1004</v>
      </c>
      <c r="G2836" t="s">
        <v>110</v>
      </c>
      <c r="J2836" t="s">
        <v>111</v>
      </c>
      <c r="K2836">
        <v>0</v>
      </c>
      <c r="L2836">
        <v>3</v>
      </c>
      <c r="M2836">
        <v>0</v>
      </c>
      <c r="N2836">
        <v>2</v>
      </c>
      <c r="O2836">
        <v>1</v>
      </c>
      <c r="P2836">
        <v>0</v>
      </c>
      <c r="Q2836">
        <v>0</v>
      </c>
      <c r="R2836" t="s">
        <v>112</v>
      </c>
      <c r="S2836" t="str">
        <f>"14:37:36.680"</f>
        <v>14:37:36.680</v>
      </c>
      <c r="T2836" t="str">
        <f>"14:37:36.281"</f>
        <v>14:37:36.281</v>
      </c>
      <c r="U2836" t="str">
        <f t="shared" si="132"/>
        <v>ad5732</v>
      </c>
      <c r="V2836">
        <v>0</v>
      </c>
      <c r="W2836">
        <v>0</v>
      </c>
      <c r="X2836">
        <v>1</v>
      </c>
      <c r="Z2836">
        <v>0</v>
      </c>
      <c r="AA2836">
        <v>9</v>
      </c>
      <c r="AB2836">
        <v>3</v>
      </c>
      <c r="AC2836">
        <v>0</v>
      </c>
      <c r="AD2836">
        <v>10</v>
      </c>
      <c r="AE2836">
        <v>0</v>
      </c>
      <c r="AF2836">
        <v>3</v>
      </c>
      <c r="AG2836">
        <v>2</v>
      </c>
      <c r="AH2836">
        <v>0</v>
      </c>
      <c r="AI2836" t="s">
        <v>5788</v>
      </c>
      <c r="AJ2836">
        <v>40.279783999999999</v>
      </c>
      <c r="AK2836" t="s">
        <v>5789</v>
      </c>
      <c r="AL2836">
        <v>-75.165346</v>
      </c>
      <c r="AM2836">
        <v>100</v>
      </c>
      <c r="AN2836">
        <v>3700</v>
      </c>
      <c r="AO2836" t="s">
        <v>115</v>
      </c>
      <c r="AP2836">
        <v>128</v>
      </c>
      <c r="AQ2836">
        <v>118</v>
      </c>
      <c r="AR2836">
        <v>-128</v>
      </c>
      <c r="AZ2836">
        <v>3614</v>
      </c>
      <c r="BA2836">
        <v>1</v>
      </c>
      <c r="BB2836" t="str">
        <f t="shared" si="134"/>
        <v xml:space="preserve">N959MJ  </v>
      </c>
      <c r="BC2836">
        <v>1</v>
      </c>
      <c r="BE2836">
        <v>0</v>
      </c>
      <c r="BF2836">
        <v>0</v>
      </c>
      <c r="BG2836">
        <v>0</v>
      </c>
      <c r="BH2836">
        <v>3850</v>
      </c>
      <c r="BI2836">
        <v>150</v>
      </c>
      <c r="BJ2836">
        <v>1</v>
      </c>
      <c r="BK2836">
        <v>1</v>
      </c>
      <c r="BL2836">
        <v>1</v>
      </c>
      <c r="BM2836">
        <v>0</v>
      </c>
      <c r="BP2836">
        <v>0</v>
      </c>
      <c r="BQ2836">
        <v>0</v>
      </c>
      <c r="BX2836" t="str">
        <f>"14:37:36.680"</f>
        <v>14:37:36.680</v>
      </c>
      <c r="BY2836" t="str">
        <f>"681622885"</f>
        <v>681622885</v>
      </c>
      <c r="CL2836">
        <v>0</v>
      </c>
      <c r="CM2836">
        <v>2</v>
      </c>
      <c r="CN2836">
        <v>0</v>
      </c>
      <c r="CO2836">
        <v>2</v>
      </c>
      <c r="CP2836">
        <v>0</v>
      </c>
      <c r="CQ2836">
        <v>6</v>
      </c>
      <c r="CR2836" t="s">
        <v>116</v>
      </c>
      <c r="CS2836">
        <v>39</v>
      </c>
      <c r="CT2836">
        <v>0</v>
      </c>
      <c r="CU2836" t="s">
        <v>2259</v>
      </c>
      <c r="CV2836" t="s">
        <v>2260</v>
      </c>
      <c r="CY2836">
        <v>2497631</v>
      </c>
      <c r="CZ2836" t="s">
        <v>119</v>
      </c>
    </row>
    <row r="2837" spans="1:104" x14ac:dyDescent="0.25">
      <c r="A2837" t="str">
        <f>"14:37:37.813"</f>
        <v>14:37:37.813</v>
      </c>
      <c r="B2837" t="s">
        <v>108</v>
      </c>
      <c r="C2837" t="str">
        <f t="shared" si="133"/>
        <v>ffdfd3c0</v>
      </c>
      <c r="D2837" t="s">
        <v>109</v>
      </c>
      <c r="E2837">
        <v>4</v>
      </c>
      <c r="F2837">
        <v>1004</v>
      </c>
      <c r="G2837" t="s">
        <v>110</v>
      </c>
      <c r="J2837" t="s">
        <v>111</v>
      </c>
      <c r="K2837">
        <v>0</v>
      </c>
      <c r="L2837">
        <v>3</v>
      </c>
      <c r="M2837">
        <v>0</v>
      </c>
      <c r="N2837">
        <v>2</v>
      </c>
      <c r="O2837">
        <v>1</v>
      </c>
      <c r="P2837">
        <v>0</v>
      </c>
      <c r="Q2837">
        <v>0</v>
      </c>
      <c r="R2837" t="s">
        <v>112</v>
      </c>
      <c r="S2837" t="str">
        <f>"14:37:37.641"</f>
        <v>14:37:37.641</v>
      </c>
      <c r="T2837" t="str">
        <f>"14:37:37.242"</f>
        <v>14:37:37.242</v>
      </c>
      <c r="U2837" t="str">
        <f t="shared" si="132"/>
        <v>ad5732</v>
      </c>
      <c r="V2837">
        <v>0</v>
      </c>
      <c r="W2837">
        <v>0</v>
      </c>
      <c r="X2837">
        <v>1</v>
      </c>
      <c r="Z2837">
        <v>0</v>
      </c>
      <c r="AA2837">
        <v>9</v>
      </c>
      <c r="AB2837">
        <v>3</v>
      </c>
      <c r="AC2837">
        <v>0</v>
      </c>
      <c r="AD2837">
        <v>10</v>
      </c>
      <c r="AE2837">
        <v>0</v>
      </c>
      <c r="AF2837">
        <v>3</v>
      </c>
      <c r="AG2837">
        <v>2</v>
      </c>
      <c r="AH2837">
        <v>0</v>
      </c>
      <c r="AI2837" t="s">
        <v>5790</v>
      </c>
      <c r="AJ2837">
        <v>40.280341999999997</v>
      </c>
      <c r="AK2837" t="s">
        <v>5791</v>
      </c>
      <c r="AL2837">
        <v>-75.164529999999999</v>
      </c>
      <c r="AM2837">
        <v>100</v>
      </c>
      <c r="AN2837">
        <v>3700</v>
      </c>
      <c r="AO2837" t="s">
        <v>115</v>
      </c>
      <c r="AP2837">
        <v>129</v>
      </c>
      <c r="AQ2837">
        <v>118</v>
      </c>
      <c r="AR2837">
        <v>-64</v>
      </c>
      <c r="AZ2837">
        <v>3614</v>
      </c>
      <c r="BA2837">
        <v>1</v>
      </c>
      <c r="BB2837" t="str">
        <f t="shared" si="134"/>
        <v xml:space="preserve">N959MJ  </v>
      </c>
      <c r="BC2837">
        <v>1</v>
      </c>
      <c r="BE2837">
        <v>0</v>
      </c>
      <c r="BF2837">
        <v>0</v>
      </c>
      <c r="BG2837">
        <v>0</v>
      </c>
      <c r="BH2837">
        <v>3850</v>
      </c>
      <c r="BI2837">
        <v>150</v>
      </c>
      <c r="BJ2837">
        <v>1</v>
      </c>
      <c r="BK2837">
        <v>1</v>
      </c>
      <c r="BL2837">
        <v>1</v>
      </c>
      <c r="BM2837">
        <v>0</v>
      </c>
      <c r="BP2837">
        <v>0</v>
      </c>
      <c r="BQ2837">
        <v>0</v>
      </c>
      <c r="BX2837" t="str">
        <f>"14:37:37.641"</f>
        <v>14:37:37.641</v>
      </c>
      <c r="BY2837" t="str">
        <f>"641670049"</f>
        <v>641670049</v>
      </c>
      <c r="CL2837">
        <v>0</v>
      </c>
      <c r="CM2837">
        <v>2</v>
      </c>
      <c r="CN2837">
        <v>0</v>
      </c>
      <c r="CO2837">
        <v>2</v>
      </c>
      <c r="CP2837">
        <v>0</v>
      </c>
      <c r="CQ2837">
        <v>6</v>
      </c>
      <c r="CR2837" t="s">
        <v>116</v>
      </c>
      <c r="CS2837">
        <v>38</v>
      </c>
      <c r="CT2837">
        <v>3</v>
      </c>
      <c r="CU2837" t="s">
        <v>4719</v>
      </c>
      <c r="CV2837" t="s">
        <v>4720</v>
      </c>
      <c r="CY2837">
        <v>10293862</v>
      </c>
      <c r="CZ2837" t="s">
        <v>119</v>
      </c>
    </row>
    <row r="2838" spans="1:104" x14ac:dyDescent="0.25">
      <c r="A2838" t="str">
        <f>"14:37:38.875"</f>
        <v>14:37:38.875</v>
      </c>
      <c r="B2838" t="s">
        <v>108</v>
      </c>
      <c r="C2838" t="str">
        <f t="shared" si="133"/>
        <v>ffdfd3c0</v>
      </c>
      <c r="D2838" t="s">
        <v>109</v>
      </c>
      <c r="E2838">
        <v>4</v>
      </c>
      <c r="F2838">
        <v>1004</v>
      </c>
      <c r="G2838" t="s">
        <v>110</v>
      </c>
      <c r="J2838" t="s">
        <v>111</v>
      </c>
      <c r="K2838">
        <v>0</v>
      </c>
      <c r="L2838">
        <v>3</v>
      </c>
      <c r="M2838">
        <v>0</v>
      </c>
      <c r="N2838">
        <v>2</v>
      </c>
      <c r="O2838">
        <v>1</v>
      </c>
      <c r="P2838">
        <v>0</v>
      </c>
      <c r="Q2838">
        <v>0</v>
      </c>
      <c r="R2838" t="s">
        <v>112</v>
      </c>
      <c r="S2838" t="str">
        <f>"14:37:38.680"</f>
        <v>14:37:38.680</v>
      </c>
      <c r="T2838" t="str">
        <f>"14:37:38.180"</f>
        <v>14:37:38.180</v>
      </c>
      <c r="U2838" t="str">
        <f t="shared" si="132"/>
        <v>ad5732</v>
      </c>
      <c r="V2838">
        <v>0</v>
      </c>
      <c r="W2838">
        <v>0</v>
      </c>
      <c r="X2838">
        <v>1</v>
      </c>
      <c r="Z2838">
        <v>0</v>
      </c>
      <c r="AA2838">
        <v>9</v>
      </c>
      <c r="AB2838">
        <v>3</v>
      </c>
      <c r="AC2838">
        <v>0</v>
      </c>
      <c r="AD2838">
        <v>10</v>
      </c>
      <c r="AE2838">
        <v>0</v>
      </c>
      <c r="AF2838">
        <v>3</v>
      </c>
      <c r="AG2838">
        <v>2</v>
      </c>
      <c r="AH2838">
        <v>0</v>
      </c>
      <c r="AI2838" t="s">
        <v>5792</v>
      </c>
      <c r="AJ2838">
        <v>40.280856999999997</v>
      </c>
      <c r="AK2838" t="s">
        <v>5793</v>
      </c>
      <c r="AL2838">
        <v>-75.163779000000005</v>
      </c>
      <c r="AM2838">
        <v>100</v>
      </c>
      <c r="AN2838">
        <v>3700</v>
      </c>
      <c r="AO2838" t="s">
        <v>115</v>
      </c>
      <c r="AP2838">
        <v>129</v>
      </c>
      <c r="AQ2838">
        <v>118</v>
      </c>
      <c r="AR2838">
        <v>-64</v>
      </c>
      <c r="AZ2838">
        <v>3614</v>
      </c>
      <c r="BA2838">
        <v>1</v>
      </c>
      <c r="BB2838" t="str">
        <f t="shared" si="134"/>
        <v xml:space="preserve">N959MJ  </v>
      </c>
      <c r="BC2838">
        <v>1</v>
      </c>
      <c r="BE2838">
        <v>0</v>
      </c>
      <c r="BF2838">
        <v>0</v>
      </c>
      <c r="BG2838">
        <v>0</v>
      </c>
      <c r="BH2838">
        <v>3850</v>
      </c>
      <c r="BI2838">
        <v>150</v>
      </c>
      <c r="BJ2838">
        <v>1</v>
      </c>
      <c r="BK2838">
        <v>1</v>
      </c>
      <c r="BL2838">
        <v>1</v>
      </c>
      <c r="BM2838">
        <v>0</v>
      </c>
      <c r="BP2838">
        <v>0</v>
      </c>
      <c r="BQ2838">
        <v>0</v>
      </c>
      <c r="BX2838" t="str">
        <f>"14:37:38.688"</f>
        <v>14:37:38.688</v>
      </c>
      <c r="BY2838" t="str">
        <f>"683710356"</f>
        <v>683710356</v>
      </c>
      <c r="CL2838">
        <v>0</v>
      </c>
      <c r="CM2838">
        <v>2</v>
      </c>
      <c r="CN2838">
        <v>0</v>
      </c>
      <c r="CO2838">
        <v>2</v>
      </c>
      <c r="CP2838">
        <v>0</v>
      </c>
      <c r="CQ2838">
        <v>6</v>
      </c>
      <c r="CR2838" t="s">
        <v>116</v>
      </c>
      <c r="CS2838">
        <v>38</v>
      </c>
      <c r="CT2838">
        <v>3</v>
      </c>
      <c r="CU2838" t="s">
        <v>4719</v>
      </c>
      <c r="CV2838" t="s">
        <v>4720</v>
      </c>
      <c r="CY2838">
        <v>10295560</v>
      </c>
      <c r="CZ2838" t="s">
        <v>119</v>
      </c>
    </row>
    <row r="2839" spans="1:104" x14ac:dyDescent="0.25">
      <c r="A2839" t="str">
        <f>"14:37:39.781"</f>
        <v>14:37:39.781</v>
      </c>
      <c r="B2839" t="s">
        <v>108</v>
      </c>
      <c r="C2839" t="str">
        <f t="shared" si="133"/>
        <v>ffdfd3c0</v>
      </c>
      <c r="D2839" t="s">
        <v>109</v>
      </c>
      <c r="E2839">
        <v>4</v>
      </c>
      <c r="F2839">
        <v>1004</v>
      </c>
      <c r="G2839" t="s">
        <v>110</v>
      </c>
      <c r="J2839" t="s">
        <v>111</v>
      </c>
      <c r="K2839">
        <v>0</v>
      </c>
      <c r="L2839">
        <v>3</v>
      </c>
      <c r="M2839">
        <v>0</v>
      </c>
      <c r="N2839">
        <v>2</v>
      </c>
      <c r="O2839">
        <v>1</v>
      </c>
      <c r="P2839">
        <v>0</v>
      </c>
      <c r="Q2839">
        <v>0</v>
      </c>
      <c r="R2839" t="s">
        <v>112</v>
      </c>
      <c r="S2839" t="str">
        <f>"14:37:39.594"</f>
        <v>14:37:39.594</v>
      </c>
      <c r="T2839" t="str">
        <f>"14:37:39.195"</f>
        <v>14:37:39.195</v>
      </c>
      <c r="U2839" t="str">
        <f t="shared" si="132"/>
        <v>ad5732</v>
      </c>
      <c r="V2839">
        <v>0</v>
      </c>
      <c r="W2839">
        <v>0</v>
      </c>
      <c r="X2839">
        <v>1</v>
      </c>
      <c r="Z2839">
        <v>0</v>
      </c>
      <c r="AA2839">
        <v>9</v>
      </c>
      <c r="AB2839">
        <v>3</v>
      </c>
      <c r="AC2839">
        <v>0</v>
      </c>
      <c r="AD2839">
        <v>10</v>
      </c>
      <c r="AE2839">
        <v>0</v>
      </c>
      <c r="AF2839">
        <v>3</v>
      </c>
      <c r="AG2839">
        <v>2</v>
      </c>
      <c r="AH2839">
        <v>0</v>
      </c>
      <c r="AI2839" t="s">
        <v>5794</v>
      </c>
      <c r="AJ2839">
        <v>40.281371999999998</v>
      </c>
      <c r="AK2839" t="s">
        <v>5795</v>
      </c>
      <c r="AL2839">
        <v>-75.163093000000003</v>
      </c>
      <c r="AM2839">
        <v>100</v>
      </c>
      <c r="AN2839">
        <v>3700</v>
      </c>
      <c r="AO2839" t="s">
        <v>115</v>
      </c>
      <c r="AP2839">
        <v>128</v>
      </c>
      <c r="AQ2839">
        <v>119</v>
      </c>
      <c r="AR2839">
        <v>0</v>
      </c>
      <c r="AZ2839">
        <v>3614</v>
      </c>
      <c r="BA2839">
        <v>1</v>
      </c>
      <c r="BB2839" t="str">
        <f t="shared" si="134"/>
        <v xml:space="preserve">N959MJ  </v>
      </c>
      <c r="BC2839">
        <v>1</v>
      </c>
      <c r="BE2839">
        <v>0</v>
      </c>
      <c r="BF2839">
        <v>0</v>
      </c>
      <c r="BG2839">
        <v>0</v>
      </c>
      <c r="BH2839">
        <v>3850</v>
      </c>
      <c r="BI2839">
        <v>150</v>
      </c>
      <c r="BJ2839">
        <v>1</v>
      </c>
      <c r="BK2839">
        <v>1</v>
      </c>
      <c r="BL2839">
        <v>1</v>
      </c>
      <c r="BM2839">
        <v>0</v>
      </c>
      <c r="BP2839">
        <v>0</v>
      </c>
      <c r="BQ2839">
        <v>0</v>
      </c>
      <c r="BX2839" t="str">
        <f>"14:37:39.602"</f>
        <v>14:37:39.602</v>
      </c>
      <c r="BY2839" t="str">
        <f>"599664927"</f>
        <v>599664927</v>
      </c>
      <c r="CL2839">
        <v>0</v>
      </c>
      <c r="CM2839">
        <v>2</v>
      </c>
      <c r="CN2839">
        <v>0</v>
      </c>
      <c r="CO2839">
        <v>2</v>
      </c>
      <c r="CP2839">
        <v>0</v>
      </c>
      <c r="CQ2839">
        <v>6</v>
      </c>
      <c r="CR2839" t="s">
        <v>116</v>
      </c>
      <c r="CS2839">
        <v>39</v>
      </c>
      <c r="CT2839">
        <v>0</v>
      </c>
      <c r="CU2839" t="s">
        <v>2259</v>
      </c>
      <c r="CV2839" t="s">
        <v>2260</v>
      </c>
      <c r="CY2839">
        <v>2502006</v>
      </c>
      <c r="CZ2839" t="s">
        <v>119</v>
      </c>
    </row>
    <row r="2840" spans="1:104" x14ac:dyDescent="0.25">
      <c r="A2840" t="str">
        <f>"14:37:40.742"</f>
        <v>14:37:40.742</v>
      </c>
      <c r="B2840" t="s">
        <v>108</v>
      </c>
      <c r="C2840" t="str">
        <f t="shared" si="133"/>
        <v>ffdfd3c0</v>
      </c>
      <c r="D2840" t="s">
        <v>109</v>
      </c>
      <c r="E2840">
        <v>4</v>
      </c>
      <c r="F2840">
        <v>1004</v>
      </c>
      <c r="G2840" t="s">
        <v>110</v>
      </c>
      <c r="J2840" t="s">
        <v>111</v>
      </c>
      <c r="K2840">
        <v>0</v>
      </c>
      <c r="L2840">
        <v>3</v>
      </c>
      <c r="M2840">
        <v>0</v>
      </c>
      <c r="N2840">
        <v>2</v>
      </c>
      <c r="O2840">
        <v>1</v>
      </c>
      <c r="P2840">
        <v>0</v>
      </c>
      <c r="Q2840">
        <v>0</v>
      </c>
      <c r="R2840" t="s">
        <v>112</v>
      </c>
      <c r="S2840" t="str">
        <f>"14:37:40.563"</f>
        <v>14:37:40.563</v>
      </c>
      <c r="T2840" t="str">
        <f>"14:37:40.063"</f>
        <v>14:37:40.063</v>
      </c>
      <c r="U2840" t="str">
        <f t="shared" si="132"/>
        <v>ad5732</v>
      </c>
      <c r="V2840">
        <v>0</v>
      </c>
      <c r="W2840">
        <v>0</v>
      </c>
      <c r="X2840">
        <v>1</v>
      </c>
      <c r="Z2840">
        <v>0</v>
      </c>
      <c r="AA2840">
        <v>9</v>
      </c>
      <c r="AB2840">
        <v>3</v>
      </c>
      <c r="AC2840">
        <v>0</v>
      </c>
      <c r="AD2840">
        <v>10</v>
      </c>
      <c r="AE2840">
        <v>0</v>
      </c>
      <c r="AF2840">
        <v>3</v>
      </c>
      <c r="AG2840">
        <v>2</v>
      </c>
      <c r="AH2840">
        <v>0</v>
      </c>
      <c r="AI2840" t="s">
        <v>5796</v>
      </c>
      <c r="AJ2840">
        <v>40.281930000000003</v>
      </c>
      <c r="AK2840" t="s">
        <v>5797</v>
      </c>
      <c r="AL2840">
        <v>-75.162299000000004</v>
      </c>
      <c r="AM2840">
        <v>100</v>
      </c>
      <c r="AN2840">
        <v>3700</v>
      </c>
      <c r="AO2840" t="s">
        <v>115</v>
      </c>
      <c r="AP2840">
        <v>128</v>
      </c>
      <c r="AQ2840">
        <v>119</v>
      </c>
      <c r="AR2840">
        <v>256</v>
      </c>
      <c r="AZ2840">
        <v>3614</v>
      </c>
      <c r="BA2840">
        <v>1</v>
      </c>
      <c r="BB2840" t="str">
        <f t="shared" si="134"/>
        <v xml:space="preserve">N959MJ  </v>
      </c>
      <c r="BC2840">
        <v>1</v>
      </c>
      <c r="BE2840">
        <v>0</v>
      </c>
      <c r="BF2840">
        <v>0</v>
      </c>
      <c r="BG2840">
        <v>0</v>
      </c>
      <c r="BH2840">
        <v>3850</v>
      </c>
      <c r="BI2840">
        <v>150</v>
      </c>
      <c r="BJ2840">
        <v>1</v>
      </c>
      <c r="BK2840">
        <v>1</v>
      </c>
      <c r="BL2840">
        <v>1</v>
      </c>
      <c r="BM2840">
        <v>0</v>
      </c>
      <c r="BP2840">
        <v>0</v>
      </c>
      <c r="BQ2840">
        <v>0</v>
      </c>
      <c r="BX2840" t="str">
        <f>"14:37:40.563"</f>
        <v>14:37:40.563</v>
      </c>
      <c r="BY2840" t="str">
        <f>"564699616"</f>
        <v>564699616</v>
      </c>
      <c r="CL2840">
        <v>0</v>
      </c>
      <c r="CM2840">
        <v>2</v>
      </c>
      <c r="CN2840">
        <v>0</v>
      </c>
      <c r="CO2840">
        <v>2</v>
      </c>
      <c r="CP2840">
        <v>0</v>
      </c>
      <c r="CQ2840">
        <v>6</v>
      </c>
      <c r="CR2840" t="s">
        <v>116</v>
      </c>
      <c r="CS2840">
        <v>39</v>
      </c>
      <c r="CT2840">
        <v>0</v>
      </c>
      <c r="CU2840" t="s">
        <v>2259</v>
      </c>
      <c r="CV2840" t="s">
        <v>2260</v>
      </c>
      <c r="CY2840">
        <v>2503461</v>
      </c>
      <c r="CZ2840" t="s">
        <v>119</v>
      </c>
    </row>
    <row r="2841" spans="1:104" x14ac:dyDescent="0.25">
      <c r="A2841" t="str">
        <f>"14:37:41.797"</f>
        <v>14:37:41.797</v>
      </c>
      <c r="B2841" t="s">
        <v>108</v>
      </c>
      <c r="C2841" t="str">
        <f t="shared" si="133"/>
        <v>ffdfd3c0</v>
      </c>
      <c r="D2841" t="s">
        <v>109</v>
      </c>
      <c r="E2841">
        <v>4</v>
      </c>
      <c r="F2841">
        <v>1004</v>
      </c>
      <c r="G2841" t="s">
        <v>110</v>
      </c>
      <c r="J2841" t="s">
        <v>111</v>
      </c>
      <c r="K2841">
        <v>0</v>
      </c>
      <c r="L2841">
        <v>3</v>
      </c>
      <c r="M2841">
        <v>0</v>
      </c>
      <c r="N2841">
        <v>2</v>
      </c>
      <c r="O2841">
        <v>1</v>
      </c>
      <c r="P2841">
        <v>0</v>
      </c>
      <c r="Q2841">
        <v>0</v>
      </c>
      <c r="R2841" t="s">
        <v>112</v>
      </c>
      <c r="S2841" t="str">
        <f>"14:37:41.625"</f>
        <v>14:37:41.625</v>
      </c>
      <c r="T2841" t="str">
        <f>"14:37:41.125"</f>
        <v>14:37:41.125</v>
      </c>
      <c r="U2841" t="str">
        <f t="shared" si="132"/>
        <v>ad5732</v>
      </c>
      <c r="V2841">
        <v>0</v>
      </c>
      <c r="W2841">
        <v>0</v>
      </c>
      <c r="X2841">
        <v>1</v>
      </c>
      <c r="Z2841">
        <v>0</v>
      </c>
      <c r="AA2841">
        <v>9</v>
      </c>
      <c r="AB2841">
        <v>3</v>
      </c>
      <c r="AC2841">
        <v>0</v>
      </c>
      <c r="AD2841">
        <v>10</v>
      </c>
      <c r="AE2841">
        <v>0</v>
      </c>
      <c r="AF2841">
        <v>3</v>
      </c>
      <c r="AG2841">
        <v>2</v>
      </c>
      <c r="AH2841">
        <v>0</v>
      </c>
      <c r="AI2841" t="s">
        <v>5798</v>
      </c>
      <c r="AJ2841">
        <v>40.282530999999999</v>
      </c>
      <c r="AK2841" t="s">
        <v>5799</v>
      </c>
      <c r="AL2841">
        <v>-75.161462</v>
      </c>
      <c r="AM2841">
        <v>100</v>
      </c>
      <c r="AN2841">
        <v>3700</v>
      </c>
      <c r="AO2841" t="s">
        <v>115</v>
      </c>
      <c r="AP2841">
        <v>128</v>
      </c>
      <c r="AQ2841">
        <v>119</v>
      </c>
      <c r="AR2841">
        <v>256</v>
      </c>
      <c r="AZ2841">
        <v>3614</v>
      </c>
      <c r="BA2841">
        <v>1</v>
      </c>
      <c r="BB2841" t="str">
        <f t="shared" si="134"/>
        <v xml:space="preserve">N959MJ  </v>
      </c>
      <c r="BC2841">
        <v>1</v>
      </c>
      <c r="BE2841">
        <v>0</v>
      </c>
      <c r="BF2841">
        <v>0</v>
      </c>
      <c r="BG2841">
        <v>0</v>
      </c>
      <c r="BH2841">
        <v>3850</v>
      </c>
      <c r="BI2841">
        <v>150</v>
      </c>
      <c r="BJ2841">
        <v>1</v>
      </c>
      <c r="BK2841">
        <v>1</v>
      </c>
      <c r="BL2841">
        <v>1</v>
      </c>
      <c r="BM2841">
        <v>0</v>
      </c>
      <c r="BP2841">
        <v>0</v>
      </c>
      <c r="BQ2841">
        <v>0</v>
      </c>
      <c r="BX2841" t="str">
        <f>"14:37:41.625"</f>
        <v>14:37:41.625</v>
      </c>
      <c r="BY2841" t="str">
        <f>"627965812"</f>
        <v>627965812</v>
      </c>
      <c r="CL2841">
        <v>0</v>
      </c>
      <c r="CM2841">
        <v>2</v>
      </c>
      <c r="CN2841">
        <v>0</v>
      </c>
      <c r="CO2841">
        <v>2</v>
      </c>
      <c r="CP2841">
        <v>0</v>
      </c>
      <c r="CQ2841">
        <v>6</v>
      </c>
      <c r="CR2841" t="s">
        <v>116</v>
      </c>
      <c r="CS2841">
        <v>38</v>
      </c>
      <c r="CT2841">
        <v>3</v>
      </c>
      <c r="CU2841" t="s">
        <v>4719</v>
      </c>
      <c r="CV2841" t="s">
        <v>4720</v>
      </c>
      <c r="CY2841">
        <v>10300738</v>
      </c>
      <c r="CZ2841" t="s">
        <v>119</v>
      </c>
    </row>
    <row r="2842" spans="1:104" x14ac:dyDescent="0.25">
      <c r="A2842" t="str">
        <f>"14:37:42.758"</f>
        <v>14:37:42.758</v>
      </c>
      <c r="B2842" t="s">
        <v>108</v>
      </c>
      <c r="C2842" t="str">
        <f t="shared" si="133"/>
        <v>ffdfd3c0</v>
      </c>
      <c r="D2842" t="s">
        <v>109</v>
      </c>
      <c r="E2842">
        <v>4</v>
      </c>
      <c r="F2842">
        <v>1004</v>
      </c>
      <c r="G2842" t="s">
        <v>110</v>
      </c>
      <c r="J2842" t="s">
        <v>111</v>
      </c>
      <c r="K2842">
        <v>0</v>
      </c>
      <c r="L2842">
        <v>3</v>
      </c>
      <c r="M2842">
        <v>0</v>
      </c>
      <c r="N2842">
        <v>2</v>
      </c>
      <c r="O2842">
        <v>1</v>
      </c>
      <c r="P2842">
        <v>0</v>
      </c>
      <c r="Q2842">
        <v>0</v>
      </c>
      <c r="R2842" t="s">
        <v>112</v>
      </c>
      <c r="S2842" t="str">
        <f>"14:37:42.609"</f>
        <v>14:37:42.609</v>
      </c>
      <c r="T2842" t="str">
        <f>"14:37:42.109"</f>
        <v>14:37:42.109</v>
      </c>
      <c r="U2842" t="str">
        <f t="shared" si="132"/>
        <v>ad5732</v>
      </c>
      <c r="V2842">
        <v>0</v>
      </c>
      <c r="W2842">
        <v>0</v>
      </c>
      <c r="X2842">
        <v>1</v>
      </c>
      <c r="Z2842">
        <v>0</v>
      </c>
      <c r="AA2842">
        <v>9</v>
      </c>
      <c r="AB2842">
        <v>3</v>
      </c>
      <c r="AC2842">
        <v>0</v>
      </c>
      <c r="AD2842">
        <v>10</v>
      </c>
      <c r="AE2842">
        <v>0</v>
      </c>
      <c r="AF2842">
        <v>3</v>
      </c>
      <c r="AG2842">
        <v>2</v>
      </c>
      <c r="AH2842">
        <v>0</v>
      </c>
      <c r="AI2842" t="s">
        <v>5800</v>
      </c>
      <c r="AJ2842">
        <v>40.283023999999997</v>
      </c>
      <c r="AK2842" t="s">
        <v>5801</v>
      </c>
      <c r="AL2842">
        <v>-75.160775000000001</v>
      </c>
      <c r="AM2842">
        <v>100</v>
      </c>
      <c r="AN2842">
        <v>3700</v>
      </c>
      <c r="AO2842" t="s">
        <v>115</v>
      </c>
      <c r="AP2842">
        <v>127</v>
      </c>
      <c r="AQ2842">
        <v>119</v>
      </c>
      <c r="AR2842">
        <v>256</v>
      </c>
      <c r="AZ2842">
        <v>3614</v>
      </c>
      <c r="BA2842">
        <v>1</v>
      </c>
      <c r="BB2842" t="str">
        <f t="shared" si="134"/>
        <v xml:space="preserve">N959MJ  </v>
      </c>
      <c r="BC2842">
        <v>1</v>
      </c>
      <c r="BE2842">
        <v>0</v>
      </c>
      <c r="BF2842">
        <v>0</v>
      </c>
      <c r="BG2842">
        <v>0</v>
      </c>
      <c r="BH2842">
        <v>3875</v>
      </c>
      <c r="BI2842">
        <v>175</v>
      </c>
      <c r="BJ2842">
        <v>1</v>
      </c>
      <c r="BK2842">
        <v>1</v>
      </c>
      <c r="BL2842">
        <v>1</v>
      </c>
      <c r="BM2842">
        <v>0</v>
      </c>
      <c r="BP2842">
        <v>0</v>
      </c>
      <c r="BQ2842">
        <v>0</v>
      </c>
      <c r="BX2842" t="str">
        <f>"14:37:42.609"</f>
        <v>14:37:42.609</v>
      </c>
      <c r="BY2842" t="str">
        <f>"609384199"</f>
        <v>609384199</v>
      </c>
      <c r="CL2842">
        <v>0</v>
      </c>
      <c r="CM2842">
        <v>2</v>
      </c>
      <c r="CN2842">
        <v>0</v>
      </c>
      <c r="CO2842">
        <v>2</v>
      </c>
      <c r="CP2842">
        <v>0</v>
      </c>
      <c r="CQ2842">
        <v>6</v>
      </c>
      <c r="CR2842" t="s">
        <v>116</v>
      </c>
      <c r="CS2842">
        <v>38</v>
      </c>
      <c r="CT2842">
        <v>3</v>
      </c>
      <c r="CU2842" t="s">
        <v>4719</v>
      </c>
      <c r="CV2842" t="s">
        <v>4720</v>
      </c>
      <c r="CY2842">
        <v>10302442</v>
      </c>
      <c r="CZ2842" t="s">
        <v>119</v>
      </c>
    </row>
    <row r="2843" spans="1:104" x14ac:dyDescent="0.25">
      <c r="A2843" t="str">
        <f>"14:37:43.922"</f>
        <v>14:37:43.922</v>
      </c>
      <c r="B2843" t="s">
        <v>108</v>
      </c>
      <c r="C2843" t="str">
        <f t="shared" si="133"/>
        <v>ffdfd3c0</v>
      </c>
      <c r="D2843" t="s">
        <v>109</v>
      </c>
      <c r="E2843">
        <v>4</v>
      </c>
      <c r="F2843">
        <v>1004</v>
      </c>
      <c r="G2843" t="s">
        <v>110</v>
      </c>
      <c r="J2843" t="s">
        <v>111</v>
      </c>
      <c r="K2843">
        <v>0</v>
      </c>
      <c r="L2843">
        <v>3</v>
      </c>
      <c r="M2843">
        <v>0</v>
      </c>
      <c r="N2843">
        <v>2</v>
      </c>
      <c r="O2843">
        <v>1</v>
      </c>
      <c r="P2843">
        <v>0</v>
      </c>
      <c r="Q2843">
        <v>0</v>
      </c>
      <c r="R2843" t="s">
        <v>112</v>
      </c>
      <c r="S2843" t="str">
        <f>"14:37:43.680"</f>
        <v>14:37:43.680</v>
      </c>
      <c r="T2843" t="str">
        <f>"14:37:43.281"</f>
        <v>14:37:43.281</v>
      </c>
      <c r="U2843" t="str">
        <f t="shared" si="132"/>
        <v>ad5732</v>
      </c>
      <c r="V2843">
        <v>0</v>
      </c>
      <c r="W2843">
        <v>0</v>
      </c>
      <c r="X2843">
        <v>1</v>
      </c>
      <c r="Z2843">
        <v>0</v>
      </c>
      <c r="AA2843">
        <v>9</v>
      </c>
      <c r="AB2843">
        <v>3</v>
      </c>
      <c r="AC2843">
        <v>0</v>
      </c>
      <c r="AD2843">
        <v>10</v>
      </c>
      <c r="AE2843">
        <v>0</v>
      </c>
      <c r="AF2843">
        <v>3</v>
      </c>
      <c r="AG2843">
        <v>2</v>
      </c>
      <c r="AH2843">
        <v>0</v>
      </c>
      <c r="AI2843" t="s">
        <v>5802</v>
      </c>
      <c r="AJ2843">
        <v>40.283647000000002</v>
      </c>
      <c r="AK2843" t="s">
        <v>5803</v>
      </c>
      <c r="AL2843">
        <v>-75.159895000000006</v>
      </c>
      <c r="AM2843">
        <v>100</v>
      </c>
      <c r="AN2843">
        <v>3700</v>
      </c>
      <c r="AO2843" t="s">
        <v>115</v>
      </c>
      <c r="AP2843">
        <v>127</v>
      </c>
      <c r="AQ2843">
        <v>119</v>
      </c>
      <c r="AR2843">
        <v>192</v>
      </c>
      <c r="AZ2843">
        <v>3614</v>
      </c>
      <c r="BA2843">
        <v>1</v>
      </c>
      <c r="BB2843" t="str">
        <f t="shared" si="134"/>
        <v xml:space="preserve">N959MJ  </v>
      </c>
      <c r="BC2843">
        <v>1</v>
      </c>
      <c r="BE2843">
        <v>0</v>
      </c>
      <c r="BF2843">
        <v>0</v>
      </c>
      <c r="BG2843">
        <v>0</v>
      </c>
      <c r="BH2843">
        <v>3875</v>
      </c>
      <c r="BI2843">
        <v>175</v>
      </c>
      <c r="BJ2843">
        <v>1</v>
      </c>
      <c r="BK2843">
        <v>1</v>
      </c>
      <c r="BL2843">
        <v>1</v>
      </c>
      <c r="BM2843">
        <v>0</v>
      </c>
      <c r="BP2843">
        <v>0</v>
      </c>
      <c r="BQ2843">
        <v>0</v>
      </c>
      <c r="BX2843" t="str">
        <f>"14:37:43.688"</f>
        <v>14:37:43.688</v>
      </c>
      <c r="BY2843" t="str">
        <f>"685831585"</f>
        <v>685831585</v>
      </c>
      <c r="CL2843">
        <v>0</v>
      </c>
      <c r="CM2843">
        <v>2</v>
      </c>
      <c r="CN2843">
        <v>0</v>
      </c>
      <c r="CO2843">
        <v>2</v>
      </c>
      <c r="CP2843">
        <v>0</v>
      </c>
      <c r="CQ2843">
        <v>5</v>
      </c>
      <c r="CR2843" t="s">
        <v>116</v>
      </c>
      <c r="CS2843">
        <v>38</v>
      </c>
      <c r="CT2843">
        <v>2</v>
      </c>
      <c r="CU2843" t="s">
        <v>4719</v>
      </c>
      <c r="CV2843" t="s">
        <v>4720</v>
      </c>
      <c r="CY2843">
        <v>10544703</v>
      </c>
      <c r="CZ2843" t="s">
        <v>119</v>
      </c>
    </row>
    <row r="2844" spans="1:104" x14ac:dyDescent="0.25">
      <c r="A2844" t="str">
        <f>"14:37:44.828"</f>
        <v>14:37:44.828</v>
      </c>
      <c r="B2844" t="s">
        <v>108</v>
      </c>
      <c r="C2844" t="str">
        <f t="shared" si="133"/>
        <v>ffdfd3c0</v>
      </c>
      <c r="D2844" t="s">
        <v>109</v>
      </c>
      <c r="E2844">
        <v>4</v>
      </c>
      <c r="F2844">
        <v>1004</v>
      </c>
      <c r="G2844" t="s">
        <v>110</v>
      </c>
      <c r="J2844" t="s">
        <v>111</v>
      </c>
      <c r="K2844">
        <v>0</v>
      </c>
      <c r="L2844">
        <v>3</v>
      </c>
      <c r="M2844">
        <v>0</v>
      </c>
      <c r="N2844">
        <v>2</v>
      </c>
      <c r="O2844">
        <v>1</v>
      </c>
      <c r="P2844">
        <v>0</v>
      </c>
      <c r="Q2844">
        <v>0</v>
      </c>
      <c r="R2844" t="s">
        <v>112</v>
      </c>
      <c r="S2844" t="str">
        <f>"14:37:44.641"</f>
        <v>14:37:44.641</v>
      </c>
      <c r="T2844" t="str">
        <f>"14:37:44.242"</f>
        <v>14:37:44.242</v>
      </c>
      <c r="U2844" t="str">
        <f t="shared" si="132"/>
        <v>ad5732</v>
      </c>
      <c r="V2844">
        <v>0</v>
      </c>
      <c r="W2844">
        <v>0</v>
      </c>
      <c r="X2844">
        <v>1</v>
      </c>
      <c r="Z2844">
        <v>0</v>
      </c>
      <c r="AA2844">
        <v>9</v>
      </c>
      <c r="AB2844">
        <v>3</v>
      </c>
      <c r="AC2844">
        <v>0</v>
      </c>
      <c r="AD2844">
        <v>10</v>
      </c>
      <c r="AE2844">
        <v>0</v>
      </c>
      <c r="AF2844">
        <v>3</v>
      </c>
      <c r="AG2844">
        <v>2</v>
      </c>
      <c r="AH2844">
        <v>0</v>
      </c>
      <c r="AI2844" t="s">
        <v>5804</v>
      </c>
      <c r="AJ2844">
        <v>40.284162000000002</v>
      </c>
      <c r="AK2844" t="s">
        <v>5805</v>
      </c>
      <c r="AL2844">
        <v>-75.159165999999999</v>
      </c>
      <c r="AM2844">
        <v>100</v>
      </c>
      <c r="AN2844">
        <v>3700</v>
      </c>
      <c r="AO2844" t="s">
        <v>115</v>
      </c>
      <c r="AP2844">
        <v>126</v>
      </c>
      <c r="AQ2844">
        <v>120</v>
      </c>
      <c r="AR2844">
        <v>64</v>
      </c>
      <c r="AZ2844">
        <v>3614</v>
      </c>
      <c r="BA2844">
        <v>1</v>
      </c>
      <c r="BB2844" t="str">
        <f t="shared" si="134"/>
        <v xml:space="preserve">N959MJ  </v>
      </c>
      <c r="BC2844">
        <v>1</v>
      </c>
      <c r="BE2844">
        <v>0</v>
      </c>
      <c r="BF2844">
        <v>0</v>
      </c>
      <c r="BG2844">
        <v>0</v>
      </c>
      <c r="BH2844">
        <v>3875</v>
      </c>
      <c r="BI2844">
        <v>175</v>
      </c>
      <c r="BJ2844">
        <v>1</v>
      </c>
      <c r="BK2844">
        <v>1</v>
      </c>
      <c r="BL2844">
        <v>1</v>
      </c>
      <c r="BM2844">
        <v>0</v>
      </c>
      <c r="BP2844">
        <v>0</v>
      </c>
      <c r="BQ2844">
        <v>0</v>
      </c>
      <c r="BX2844" t="str">
        <f>"14:37:44.648"</f>
        <v>14:37:44.648</v>
      </c>
      <c r="BY2844" t="str">
        <f>"647664733"</f>
        <v>647664733</v>
      </c>
      <c r="CL2844">
        <v>0</v>
      </c>
      <c r="CM2844">
        <v>2</v>
      </c>
      <c r="CN2844">
        <v>0</v>
      </c>
      <c r="CO2844">
        <v>2</v>
      </c>
      <c r="CP2844">
        <v>0</v>
      </c>
      <c r="CQ2844">
        <v>6</v>
      </c>
      <c r="CR2844" t="s">
        <v>116</v>
      </c>
      <c r="CS2844">
        <v>39</v>
      </c>
      <c r="CT2844">
        <v>0</v>
      </c>
      <c r="CU2844" t="s">
        <v>2259</v>
      </c>
      <c r="CV2844" t="s">
        <v>2260</v>
      </c>
      <c r="CY2844">
        <v>2509660</v>
      </c>
      <c r="CZ2844" t="s">
        <v>119</v>
      </c>
    </row>
    <row r="2845" spans="1:104" x14ac:dyDescent="0.25">
      <c r="A2845" t="str">
        <f>"14:37:45.742"</f>
        <v>14:37:45.742</v>
      </c>
      <c r="B2845" t="s">
        <v>108</v>
      </c>
      <c r="C2845" t="str">
        <f t="shared" si="133"/>
        <v>ffdfd3c0</v>
      </c>
      <c r="D2845" t="s">
        <v>109</v>
      </c>
      <c r="E2845">
        <v>4</v>
      </c>
      <c r="F2845">
        <v>1004</v>
      </c>
      <c r="G2845" t="s">
        <v>110</v>
      </c>
      <c r="J2845" t="s">
        <v>111</v>
      </c>
      <c r="K2845">
        <v>0</v>
      </c>
      <c r="L2845">
        <v>3</v>
      </c>
      <c r="M2845">
        <v>0</v>
      </c>
      <c r="N2845">
        <v>2</v>
      </c>
      <c r="O2845">
        <v>1</v>
      </c>
      <c r="P2845">
        <v>0</v>
      </c>
      <c r="Q2845">
        <v>0</v>
      </c>
      <c r="R2845" t="s">
        <v>112</v>
      </c>
      <c r="S2845" t="str">
        <f>"14:37:45.570"</f>
        <v>14:37:45.570</v>
      </c>
      <c r="T2845" t="str">
        <f>"14:37:45.172"</f>
        <v>14:37:45.172</v>
      </c>
      <c r="U2845" t="str">
        <f t="shared" si="132"/>
        <v>ad5732</v>
      </c>
      <c r="V2845">
        <v>0</v>
      </c>
      <c r="W2845">
        <v>0</v>
      </c>
      <c r="X2845">
        <v>1</v>
      </c>
      <c r="Z2845">
        <v>0</v>
      </c>
      <c r="AA2845">
        <v>9</v>
      </c>
      <c r="AB2845">
        <v>3</v>
      </c>
      <c r="AC2845">
        <v>0</v>
      </c>
      <c r="AD2845">
        <v>10</v>
      </c>
      <c r="AE2845">
        <v>0</v>
      </c>
      <c r="AF2845">
        <v>3</v>
      </c>
      <c r="AG2845">
        <v>2</v>
      </c>
      <c r="AH2845">
        <v>0</v>
      </c>
      <c r="AI2845" t="s">
        <v>5806</v>
      </c>
      <c r="AJ2845">
        <v>40.284677000000002</v>
      </c>
      <c r="AK2845" t="s">
        <v>5807</v>
      </c>
      <c r="AL2845">
        <v>-75.158457999999996</v>
      </c>
      <c r="AM2845">
        <v>100</v>
      </c>
      <c r="AN2845">
        <v>3700</v>
      </c>
      <c r="AO2845" t="s">
        <v>115</v>
      </c>
      <c r="AP2845">
        <v>126</v>
      </c>
      <c r="AQ2845">
        <v>120</v>
      </c>
      <c r="AR2845">
        <v>0</v>
      </c>
      <c r="AZ2845">
        <v>3614</v>
      </c>
      <c r="BA2845">
        <v>1</v>
      </c>
      <c r="BB2845" t="str">
        <f t="shared" si="134"/>
        <v xml:space="preserve">N959MJ  </v>
      </c>
      <c r="BC2845">
        <v>1</v>
      </c>
      <c r="BE2845">
        <v>0</v>
      </c>
      <c r="BF2845">
        <v>0</v>
      </c>
      <c r="BG2845">
        <v>0</v>
      </c>
      <c r="BH2845">
        <v>3875</v>
      </c>
      <c r="BI2845">
        <v>175</v>
      </c>
      <c r="BJ2845">
        <v>1</v>
      </c>
      <c r="BK2845">
        <v>1</v>
      </c>
      <c r="BL2845">
        <v>1</v>
      </c>
      <c r="BM2845">
        <v>0</v>
      </c>
      <c r="BP2845">
        <v>0</v>
      </c>
      <c r="BQ2845">
        <v>0</v>
      </c>
      <c r="BX2845" t="str">
        <f>"14:37:45.570"</f>
        <v>14:37:45.570</v>
      </c>
      <c r="BY2845" t="str">
        <f>"571662399"</f>
        <v>571662399</v>
      </c>
      <c r="CL2845">
        <v>0</v>
      </c>
      <c r="CM2845">
        <v>2</v>
      </c>
      <c r="CN2845">
        <v>0</v>
      </c>
      <c r="CO2845">
        <v>2</v>
      </c>
      <c r="CP2845">
        <v>0</v>
      </c>
      <c r="CQ2845">
        <v>6</v>
      </c>
      <c r="CR2845" t="s">
        <v>116</v>
      </c>
      <c r="CS2845">
        <v>38</v>
      </c>
      <c r="CT2845">
        <v>3</v>
      </c>
      <c r="CU2845" t="s">
        <v>4719</v>
      </c>
      <c r="CV2845" t="s">
        <v>4720</v>
      </c>
      <c r="CY2845">
        <v>10307415</v>
      </c>
      <c r="CZ2845" t="s">
        <v>119</v>
      </c>
    </row>
    <row r="2846" spans="1:104" x14ac:dyDescent="0.25">
      <c r="A2846" t="str">
        <f>"14:37:46.797"</f>
        <v>14:37:46.797</v>
      </c>
      <c r="B2846" t="s">
        <v>108</v>
      </c>
      <c r="C2846" t="str">
        <f t="shared" si="133"/>
        <v>ffdfd3c0</v>
      </c>
      <c r="D2846" t="s">
        <v>109</v>
      </c>
      <c r="E2846">
        <v>4</v>
      </c>
      <c r="F2846">
        <v>1004</v>
      </c>
      <c r="G2846" t="s">
        <v>110</v>
      </c>
      <c r="J2846" t="s">
        <v>111</v>
      </c>
      <c r="K2846">
        <v>0</v>
      </c>
      <c r="L2846">
        <v>3</v>
      </c>
      <c r="M2846">
        <v>0</v>
      </c>
      <c r="N2846">
        <v>2</v>
      </c>
      <c r="O2846">
        <v>1</v>
      </c>
      <c r="P2846">
        <v>0</v>
      </c>
      <c r="Q2846">
        <v>0</v>
      </c>
      <c r="R2846" t="s">
        <v>112</v>
      </c>
      <c r="S2846" t="str">
        <f>"14:37:46.609"</f>
        <v>14:37:46.609</v>
      </c>
      <c r="T2846" t="str">
        <f>"14:37:46.109"</f>
        <v>14:37:46.109</v>
      </c>
      <c r="U2846" t="str">
        <f t="shared" si="132"/>
        <v>ad5732</v>
      </c>
      <c r="V2846">
        <v>0</v>
      </c>
      <c r="W2846">
        <v>0</v>
      </c>
      <c r="X2846">
        <v>1</v>
      </c>
      <c r="Z2846">
        <v>0</v>
      </c>
      <c r="AA2846">
        <v>9</v>
      </c>
      <c r="AB2846">
        <v>3</v>
      </c>
      <c r="AC2846">
        <v>0</v>
      </c>
      <c r="AD2846">
        <v>10</v>
      </c>
      <c r="AE2846">
        <v>0</v>
      </c>
      <c r="AF2846">
        <v>3</v>
      </c>
      <c r="AG2846">
        <v>2</v>
      </c>
      <c r="AH2846">
        <v>0</v>
      </c>
      <c r="AI2846" t="s">
        <v>5808</v>
      </c>
      <c r="AJ2846">
        <v>40.285277000000001</v>
      </c>
      <c r="AK2846" t="s">
        <v>5809</v>
      </c>
      <c r="AL2846">
        <v>-75.157599000000005</v>
      </c>
      <c r="AM2846">
        <v>100</v>
      </c>
      <c r="AN2846">
        <v>3700</v>
      </c>
      <c r="AO2846" t="s">
        <v>115</v>
      </c>
      <c r="AP2846">
        <v>126</v>
      </c>
      <c r="AQ2846">
        <v>120</v>
      </c>
      <c r="AR2846">
        <v>0</v>
      </c>
      <c r="AZ2846">
        <v>3614</v>
      </c>
      <c r="BA2846">
        <v>1</v>
      </c>
      <c r="BB2846" t="str">
        <f t="shared" si="134"/>
        <v xml:space="preserve">N959MJ  </v>
      </c>
      <c r="BC2846">
        <v>1</v>
      </c>
      <c r="BE2846">
        <v>0</v>
      </c>
      <c r="BF2846">
        <v>0</v>
      </c>
      <c r="BG2846">
        <v>0</v>
      </c>
      <c r="BH2846">
        <v>3875</v>
      </c>
      <c r="BI2846">
        <v>175</v>
      </c>
      <c r="BJ2846">
        <v>1</v>
      </c>
      <c r="BK2846">
        <v>1</v>
      </c>
      <c r="BL2846">
        <v>1</v>
      </c>
      <c r="BM2846">
        <v>0</v>
      </c>
      <c r="BP2846">
        <v>0</v>
      </c>
      <c r="BQ2846">
        <v>0</v>
      </c>
      <c r="BX2846" t="str">
        <f>"14:37:46.617"</f>
        <v>14:37:46.617</v>
      </c>
      <c r="BY2846" t="str">
        <f>"617056456"</f>
        <v>617056456</v>
      </c>
      <c r="CL2846">
        <v>0</v>
      </c>
      <c r="CM2846">
        <v>2</v>
      </c>
      <c r="CN2846">
        <v>0</v>
      </c>
      <c r="CO2846">
        <v>2</v>
      </c>
      <c r="CP2846">
        <v>0</v>
      </c>
      <c r="CQ2846">
        <v>6</v>
      </c>
      <c r="CR2846" t="s">
        <v>116</v>
      </c>
      <c r="CS2846">
        <v>39</v>
      </c>
      <c r="CT2846">
        <v>0</v>
      </c>
      <c r="CU2846" t="s">
        <v>2259</v>
      </c>
      <c r="CV2846" t="s">
        <v>2260</v>
      </c>
      <c r="CY2846">
        <v>2512880</v>
      </c>
      <c r="CZ2846" t="s">
        <v>119</v>
      </c>
    </row>
    <row r="2847" spans="1:104" x14ac:dyDescent="0.25">
      <c r="A2847" t="str">
        <f>"14:37:47.961"</f>
        <v>14:37:47.961</v>
      </c>
      <c r="B2847" t="s">
        <v>108</v>
      </c>
      <c r="C2847" t="str">
        <f t="shared" si="133"/>
        <v>ffdfd3c0</v>
      </c>
      <c r="D2847" t="s">
        <v>109</v>
      </c>
      <c r="E2847">
        <v>4</v>
      </c>
      <c r="F2847">
        <v>1004</v>
      </c>
      <c r="G2847" t="s">
        <v>110</v>
      </c>
      <c r="J2847" t="s">
        <v>111</v>
      </c>
      <c r="K2847">
        <v>0</v>
      </c>
      <c r="L2847">
        <v>3</v>
      </c>
      <c r="M2847">
        <v>0</v>
      </c>
      <c r="N2847">
        <v>2</v>
      </c>
      <c r="O2847">
        <v>1</v>
      </c>
      <c r="P2847">
        <v>0</v>
      </c>
      <c r="Q2847">
        <v>0</v>
      </c>
      <c r="R2847" t="s">
        <v>112</v>
      </c>
      <c r="S2847" t="str">
        <f>"14:37:47.773"</f>
        <v>14:37:47.773</v>
      </c>
      <c r="T2847" t="str">
        <f>"14:37:47.273"</f>
        <v>14:37:47.273</v>
      </c>
      <c r="U2847" t="str">
        <f t="shared" si="132"/>
        <v>ad5732</v>
      </c>
      <c r="V2847">
        <v>0</v>
      </c>
      <c r="W2847">
        <v>0</v>
      </c>
      <c r="X2847">
        <v>1</v>
      </c>
      <c r="Z2847">
        <v>0</v>
      </c>
      <c r="AA2847">
        <v>9</v>
      </c>
      <c r="AB2847">
        <v>3</v>
      </c>
      <c r="AC2847">
        <v>0</v>
      </c>
      <c r="AD2847">
        <v>10</v>
      </c>
      <c r="AE2847">
        <v>0</v>
      </c>
      <c r="AF2847">
        <v>3</v>
      </c>
      <c r="AG2847">
        <v>2</v>
      </c>
      <c r="AH2847">
        <v>0</v>
      </c>
      <c r="AI2847" t="s">
        <v>5810</v>
      </c>
      <c r="AJ2847">
        <v>40.285899999999998</v>
      </c>
      <c r="AK2847" t="s">
        <v>5811</v>
      </c>
      <c r="AL2847">
        <v>-75.156740999999997</v>
      </c>
      <c r="AM2847">
        <v>100</v>
      </c>
      <c r="AN2847">
        <v>3700</v>
      </c>
      <c r="AO2847" t="s">
        <v>115</v>
      </c>
      <c r="AP2847">
        <v>127</v>
      </c>
      <c r="AQ2847">
        <v>120</v>
      </c>
      <c r="AR2847">
        <v>-128</v>
      </c>
      <c r="AZ2847">
        <v>3614</v>
      </c>
      <c r="BA2847">
        <v>1</v>
      </c>
      <c r="BB2847" t="str">
        <f t="shared" si="134"/>
        <v xml:space="preserve">N959MJ  </v>
      </c>
      <c r="BC2847">
        <v>1</v>
      </c>
      <c r="BE2847">
        <v>0</v>
      </c>
      <c r="BF2847">
        <v>0</v>
      </c>
      <c r="BG2847">
        <v>0</v>
      </c>
      <c r="BH2847">
        <v>3875</v>
      </c>
      <c r="BI2847">
        <v>175</v>
      </c>
      <c r="BJ2847">
        <v>1</v>
      </c>
      <c r="BK2847">
        <v>1</v>
      </c>
      <c r="BL2847">
        <v>1</v>
      </c>
      <c r="BM2847">
        <v>0</v>
      </c>
      <c r="BP2847">
        <v>0</v>
      </c>
      <c r="BQ2847">
        <v>0</v>
      </c>
      <c r="BX2847" t="str">
        <f>"14:37:47.781"</f>
        <v>14:37:47.781</v>
      </c>
      <c r="BY2847" t="str">
        <f>"778625068"</f>
        <v>778625068</v>
      </c>
      <c r="CL2847">
        <v>0</v>
      </c>
      <c r="CM2847">
        <v>2</v>
      </c>
      <c r="CN2847">
        <v>0</v>
      </c>
      <c r="CO2847">
        <v>2</v>
      </c>
      <c r="CP2847">
        <v>0</v>
      </c>
      <c r="CQ2847">
        <v>6</v>
      </c>
      <c r="CR2847" t="s">
        <v>116</v>
      </c>
      <c r="CS2847">
        <v>38</v>
      </c>
      <c r="CT2847">
        <v>3</v>
      </c>
      <c r="CU2847" t="s">
        <v>4719</v>
      </c>
      <c r="CV2847" t="s">
        <v>4720</v>
      </c>
      <c r="CY2847">
        <v>10311192</v>
      </c>
      <c r="CZ2847" t="s">
        <v>119</v>
      </c>
    </row>
    <row r="2848" spans="1:104" x14ac:dyDescent="0.25">
      <c r="A2848" t="str">
        <f>"14:37:49.078"</f>
        <v>14:37:49.078</v>
      </c>
      <c r="B2848" t="s">
        <v>108</v>
      </c>
      <c r="C2848" t="str">
        <f t="shared" si="133"/>
        <v>ffdfd3c0</v>
      </c>
      <c r="D2848" t="s">
        <v>109</v>
      </c>
      <c r="E2848">
        <v>4</v>
      </c>
      <c r="F2848">
        <v>1004</v>
      </c>
      <c r="G2848" t="s">
        <v>110</v>
      </c>
      <c r="J2848" t="s">
        <v>111</v>
      </c>
      <c r="K2848">
        <v>0</v>
      </c>
      <c r="L2848">
        <v>3</v>
      </c>
      <c r="M2848">
        <v>0</v>
      </c>
      <c r="N2848">
        <v>2</v>
      </c>
      <c r="O2848">
        <v>1</v>
      </c>
      <c r="P2848">
        <v>0</v>
      </c>
      <c r="Q2848">
        <v>0</v>
      </c>
      <c r="R2848" t="s">
        <v>112</v>
      </c>
      <c r="S2848" t="str">
        <f>"14:37:48.875"</f>
        <v>14:37:48.875</v>
      </c>
      <c r="T2848" t="str">
        <f>"14:37:48.375"</f>
        <v>14:37:48.375</v>
      </c>
      <c r="U2848" t="str">
        <f t="shared" si="132"/>
        <v>ad5732</v>
      </c>
      <c r="V2848">
        <v>0</v>
      </c>
      <c r="W2848">
        <v>0</v>
      </c>
      <c r="X2848">
        <v>1</v>
      </c>
      <c r="Z2848">
        <v>0</v>
      </c>
      <c r="AA2848">
        <v>9</v>
      </c>
      <c r="AB2848">
        <v>3</v>
      </c>
      <c r="AC2848">
        <v>0</v>
      </c>
      <c r="AD2848">
        <v>10</v>
      </c>
      <c r="AE2848">
        <v>0</v>
      </c>
      <c r="AF2848">
        <v>3</v>
      </c>
      <c r="AG2848">
        <v>2</v>
      </c>
      <c r="AH2848">
        <v>0</v>
      </c>
      <c r="AI2848" t="s">
        <v>5812</v>
      </c>
      <c r="AJ2848">
        <v>40.286499999999997</v>
      </c>
      <c r="AK2848" t="s">
        <v>5813</v>
      </c>
      <c r="AL2848">
        <v>-75.155904000000007</v>
      </c>
      <c r="AM2848">
        <v>100</v>
      </c>
      <c r="AN2848">
        <v>3700</v>
      </c>
      <c r="AO2848" t="s">
        <v>115</v>
      </c>
      <c r="AP2848">
        <v>127</v>
      </c>
      <c r="AQ2848">
        <v>119</v>
      </c>
      <c r="AR2848">
        <v>-192</v>
      </c>
      <c r="AZ2848">
        <v>3614</v>
      </c>
      <c r="BA2848">
        <v>1</v>
      </c>
      <c r="BB2848" t="str">
        <f t="shared" si="134"/>
        <v xml:space="preserve">N959MJ  </v>
      </c>
      <c r="BC2848">
        <v>1</v>
      </c>
      <c r="BE2848">
        <v>0</v>
      </c>
      <c r="BF2848">
        <v>0</v>
      </c>
      <c r="BG2848">
        <v>0</v>
      </c>
      <c r="BH2848">
        <v>3875</v>
      </c>
      <c r="BI2848">
        <v>175</v>
      </c>
      <c r="BJ2848">
        <v>1</v>
      </c>
      <c r="BK2848">
        <v>1</v>
      </c>
      <c r="BL2848">
        <v>1</v>
      </c>
      <c r="BM2848">
        <v>0</v>
      </c>
      <c r="BP2848">
        <v>0</v>
      </c>
      <c r="BQ2848">
        <v>0</v>
      </c>
      <c r="BX2848" t="str">
        <f>"14:37:48.875"</f>
        <v>14:37:48.875</v>
      </c>
      <c r="BY2848" t="str">
        <f>"878010384"</f>
        <v>878010384</v>
      </c>
      <c r="CL2848">
        <v>0</v>
      </c>
      <c r="CM2848">
        <v>2</v>
      </c>
      <c r="CN2848">
        <v>0</v>
      </c>
      <c r="CO2848">
        <v>2</v>
      </c>
      <c r="CP2848">
        <v>0</v>
      </c>
      <c r="CQ2848">
        <v>6</v>
      </c>
      <c r="CR2848" t="s">
        <v>116</v>
      </c>
      <c r="CS2848">
        <v>38</v>
      </c>
      <c r="CT2848">
        <v>3</v>
      </c>
      <c r="CU2848" t="s">
        <v>4719</v>
      </c>
      <c r="CV2848" t="s">
        <v>4720</v>
      </c>
      <c r="CY2848">
        <v>10313141</v>
      </c>
      <c r="CZ2848" t="s">
        <v>119</v>
      </c>
    </row>
    <row r="2849" spans="1:104" x14ac:dyDescent="0.25">
      <c r="A2849" t="str">
        <f>"14:37:50.031"</f>
        <v>14:37:50.031</v>
      </c>
      <c r="B2849" t="s">
        <v>108</v>
      </c>
      <c r="C2849" t="str">
        <f t="shared" si="133"/>
        <v>ffdfd3c0</v>
      </c>
      <c r="D2849" t="s">
        <v>109</v>
      </c>
      <c r="E2849">
        <v>4</v>
      </c>
      <c r="F2849">
        <v>1004</v>
      </c>
      <c r="G2849" t="s">
        <v>110</v>
      </c>
      <c r="J2849" t="s">
        <v>111</v>
      </c>
      <c r="K2849">
        <v>0</v>
      </c>
      <c r="L2849">
        <v>3</v>
      </c>
      <c r="M2849">
        <v>0</v>
      </c>
      <c r="N2849">
        <v>2</v>
      </c>
      <c r="O2849">
        <v>1</v>
      </c>
      <c r="P2849">
        <v>0</v>
      </c>
      <c r="Q2849">
        <v>0</v>
      </c>
      <c r="R2849" t="s">
        <v>112</v>
      </c>
      <c r="S2849" t="str">
        <f>"14:37:49.828"</f>
        <v>14:37:49.828</v>
      </c>
      <c r="T2849" t="str">
        <f>"14:37:49.328"</f>
        <v>14:37:49.328</v>
      </c>
      <c r="U2849" t="str">
        <f t="shared" si="132"/>
        <v>ad5732</v>
      </c>
      <c r="V2849">
        <v>0</v>
      </c>
      <c r="W2849">
        <v>0</v>
      </c>
      <c r="X2849">
        <v>1</v>
      </c>
      <c r="Z2849">
        <v>0</v>
      </c>
      <c r="AA2849">
        <v>9</v>
      </c>
      <c r="AB2849">
        <v>3</v>
      </c>
      <c r="AC2849">
        <v>0</v>
      </c>
      <c r="AD2849">
        <v>10</v>
      </c>
      <c r="AE2849">
        <v>0</v>
      </c>
      <c r="AF2849">
        <v>3</v>
      </c>
      <c r="AG2849">
        <v>2</v>
      </c>
      <c r="AH2849">
        <v>0</v>
      </c>
      <c r="AI2849" t="s">
        <v>5814</v>
      </c>
      <c r="AJ2849">
        <v>40.287058000000002</v>
      </c>
      <c r="AK2849" t="s">
        <v>5815</v>
      </c>
      <c r="AL2849">
        <v>-75.155152999999999</v>
      </c>
      <c r="AM2849">
        <v>100</v>
      </c>
      <c r="AN2849">
        <v>3700</v>
      </c>
      <c r="AO2849" t="s">
        <v>115</v>
      </c>
      <c r="AP2849">
        <v>127</v>
      </c>
      <c r="AQ2849">
        <v>120</v>
      </c>
      <c r="AR2849">
        <v>-192</v>
      </c>
      <c r="AZ2849">
        <v>3614</v>
      </c>
      <c r="BA2849">
        <v>1</v>
      </c>
      <c r="BB2849" t="str">
        <f t="shared" si="134"/>
        <v xml:space="preserve">N959MJ  </v>
      </c>
      <c r="BC2849">
        <v>1</v>
      </c>
      <c r="BE2849">
        <v>0</v>
      </c>
      <c r="BF2849">
        <v>0</v>
      </c>
      <c r="BG2849">
        <v>0</v>
      </c>
      <c r="BH2849">
        <v>3875</v>
      </c>
      <c r="BI2849">
        <v>175</v>
      </c>
      <c r="BJ2849">
        <v>1</v>
      </c>
      <c r="BK2849">
        <v>1</v>
      </c>
      <c r="BL2849">
        <v>1</v>
      </c>
      <c r="BM2849">
        <v>0</v>
      </c>
      <c r="BP2849">
        <v>0</v>
      </c>
      <c r="BQ2849">
        <v>0</v>
      </c>
      <c r="BX2849" t="str">
        <f>"14:37:49.836"</f>
        <v>14:37:49.836</v>
      </c>
      <c r="BY2849" t="str">
        <f>"834930925"</f>
        <v>834930925</v>
      </c>
      <c r="CL2849">
        <v>0</v>
      </c>
      <c r="CM2849">
        <v>2</v>
      </c>
      <c r="CN2849">
        <v>0</v>
      </c>
      <c r="CO2849">
        <v>2</v>
      </c>
      <c r="CP2849">
        <v>0</v>
      </c>
      <c r="CQ2849">
        <v>6</v>
      </c>
      <c r="CR2849" t="s">
        <v>116</v>
      </c>
      <c r="CS2849">
        <v>39</v>
      </c>
      <c r="CT2849">
        <v>0</v>
      </c>
      <c r="CU2849" t="s">
        <v>2259</v>
      </c>
      <c r="CV2849" t="s">
        <v>2260</v>
      </c>
      <c r="CY2849">
        <v>2517869</v>
      </c>
      <c r="CZ2849" t="s">
        <v>119</v>
      </c>
    </row>
    <row r="2850" spans="1:104" x14ac:dyDescent="0.25">
      <c r="A2850" t="str">
        <f>"14:37:51.094"</f>
        <v>14:37:51.094</v>
      </c>
      <c r="B2850" t="s">
        <v>108</v>
      </c>
      <c r="C2850" t="str">
        <f t="shared" si="133"/>
        <v>ffdfd3c0</v>
      </c>
      <c r="D2850" t="s">
        <v>109</v>
      </c>
      <c r="E2850">
        <v>4</v>
      </c>
      <c r="F2850">
        <v>1004</v>
      </c>
      <c r="G2850" t="s">
        <v>110</v>
      </c>
      <c r="J2850" t="s">
        <v>111</v>
      </c>
      <c r="K2850">
        <v>0</v>
      </c>
      <c r="L2850">
        <v>3</v>
      </c>
      <c r="M2850">
        <v>0</v>
      </c>
      <c r="N2850">
        <v>2</v>
      </c>
      <c r="O2850">
        <v>1</v>
      </c>
      <c r="P2850">
        <v>0</v>
      </c>
      <c r="Q2850">
        <v>0</v>
      </c>
      <c r="R2850" t="s">
        <v>112</v>
      </c>
      <c r="S2850" t="str">
        <f>"14:37:50.914"</f>
        <v>14:37:50.914</v>
      </c>
      <c r="T2850" t="str">
        <f>"14:37:50.414"</f>
        <v>14:37:50.414</v>
      </c>
      <c r="U2850" t="str">
        <f t="shared" si="132"/>
        <v>ad5732</v>
      </c>
      <c r="V2850">
        <v>0</v>
      </c>
      <c r="W2850">
        <v>0</v>
      </c>
      <c r="X2850">
        <v>1</v>
      </c>
      <c r="Z2850">
        <v>0</v>
      </c>
      <c r="AA2850">
        <v>9</v>
      </c>
      <c r="AB2850">
        <v>3</v>
      </c>
      <c r="AC2850">
        <v>0</v>
      </c>
      <c r="AD2850">
        <v>10</v>
      </c>
      <c r="AE2850">
        <v>0</v>
      </c>
      <c r="AF2850">
        <v>3</v>
      </c>
      <c r="AG2850">
        <v>2</v>
      </c>
      <c r="AH2850">
        <v>0</v>
      </c>
      <c r="AI2850" t="s">
        <v>5816</v>
      </c>
      <c r="AJ2850">
        <v>40.287680999999999</v>
      </c>
      <c r="AK2850" t="s">
        <v>5817</v>
      </c>
      <c r="AL2850">
        <v>-75.154295000000005</v>
      </c>
      <c r="AM2850">
        <v>100</v>
      </c>
      <c r="AN2850">
        <v>3700</v>
      </c>
      <c r="AO2850" t="s">
        <v>115</v>
      </c>
      <c r="AP2850">
        <v>127</v>
      </c>
      <c r="AQ2850">
        <v>120</v>
      </c>
      <c r="AR2850">
        <v>-128</v>
      </c>
      <c r="AZ2850">
        <v>3614</v>
      </c>
      <c r="BA2850">
        <v>1</v>
      </c>
      <c r="BB2850" t="str">
        <f t="shared" si="134"/>
        <v xml:space="preserve">N959MJ  </v>
      </c>
      <c r="BC2850">
        <v>1</v>
      </c>
      <c r="BE2850">
        <v>0</v>
      </c>
      <c r="BF2850">
        <v>0</v>
      </c>
      <c r="BG2850">
        <v>0</v>
      </c>
      <c r="BH2850">
        <v>3875</v>
      </c>
      <c r="BI2850">
        <v>175</v>
      </c>
      <c r="BJ2850">
        <v>1</v>
      </c>
      <c r="BK2850">
        <v>1</v>
      </c>
      <c r="BL2850">
        <v>1</v>
      </c>
      <c r="BM2850">
        <v>0</v>
      </c>
      <c r="BP2850">
        <v>0</v>
      </c>
      <c r="BQ2850">
        <v>0</v>
      </c>
      <c r="BX2850" t="str">
        <f>"14:37:50.922"</f>
        <v>14:37:50.922</v>
      </c>
      <c r="BY2850" t="str">
        <f>"921130310"</f>
        <v>921130310</v>
      </c>
      <c r="CL2850">
        <v>0</v>
      </c>
      <c r="CM2850">
        <v>2</v>
      </c>
      <c r="CN2850">
        <v>0</v>
      </c>
      <c r="CO2850">
        <v>2</v>
      </c>
      <c r="CP2850">
        <v>0</v>
      </c>
      <c r="CQ2850">
        <v>6</v>
      </c>
      <c r="CR2850" t="s">
        <v>116</v>
      </c>
      <c r="CS2850">
        <v>38</v>
      </c>
      <c r="CT2850">
        <v>3</v>
      </c>
      <c r="CU2850" t="s">
        <v>4719</v>
      </c>
      <c r="CV2850" t="s">
        <v>4720</v>
      </c>
      <c r="CY2850">
        <v>10316770</v>
      </c>
      <c r="CZ2850" t="s">
        <v>119</v>
      </c>
    </row>
    <row r="2851" spans="1:104" x14ac:dyDescent="0.25">
      <c r="A2851" t="str">
        <f>"14:37:52.203"</f>
        <v>14:37:52.203</v>
      </c>
      <c r="B2851" t="s">
        <v>108</v>
      </c>
      <c r="C2851" t="str">
        <f t="shared" si="133"/>
        <v>ffdfd3c0</v>
      </c>
      <c r="D2851" t="s">
        <v>109</v>
      </c>
      <c r="E2851">
        <v>4</v>
      </c>
      <c r="F2851">
        <v>1004</v>
      </c>
      <c r="G2851" t="s">
        <v>110</v>
      </c>
      <c r="J2851" t="s">
        <v>111</v>
      </c>
      <c r="K2851">
        <v>0</v>
      </c>
      <c r="L2851">
        <v>3</v>
      </c>
      <c r="M2851">
        <v>0</v>
      </c>
      <c r="N2851">
        <v>2</v>
      </c>
      <c r="O2851">
        <v>1</v>
      </c>
      <c r="P2851">
        <v>0</v>
      </c>
      <c r="Q2851">
        <v>0</v>
      </c>
      <c r="R2851" t="s">
        <v>112</v>
      </c>
      <c r="S2851" t="str">
        <f>"14:37:51.992"</f>
        <v>14:37:51.992</v>
      </c>
      <c r="T2851" t="str">
        <f>"14:37:51.492"</f>
        <v>14:37:51.492</v>
      </c>
      <c r="U2851" t="str">
        <f t="shared" si="132"/>
        <v>ad5732</v>
      </c>
      <c r="V2851">
        <v>0</v>
      </c>
      <c r="W2851">
        <v>0</v>
      </c>
      <c r="X2851">
        <v>1</v>
      </c>
      <c r="Z2851">
        <v>0</v>
      </c>
      <c r="AA2851">
        <v>9</v>
      </c>
      <c r="AB2851">
        <v>3</v>
      </c>
      <c r="AC2851">
        <v>0</v>
      </c>
      <c r="AD2851">
        <v>10</v>
      </c>
      <c r="AE2851">
        <v>0</v>
      </c>
      <c r="AF2851">
        <v>3</v>
      </c>
      <c r="AG2851">
        <v>2</v>
      </c>
      <c r="AH2851">
        <v>0</v>
      </c>
      <c r="AI2851" t="s">
        <v>5818</v>
      </c>
      <c r="AJ2851">
        <v>40.288238999999997</v>
      </c>
      <c r="AK2851" t="s">
        <v>5819</v>
      </c>
      <c r="AL2851">
        <v>-75.153565</v>
      </c>
      <c r="AM2851">
        <v>100</v>
      </c>
      <c r="AN2851">
        <v>3700</v>
      </c>
      <c r="AO2851" t="s">
        <v>115</v>
      </c>
      <c r="AP2851">
        <v>127</v>
      </c>
      <c r="AQ2851">
        <v>120</v>
      </c>
      <c r="AR2851">
        <v>-64</v>
      </c>
      <c r="AZ2851">
        <v>3614</v>
      </c>
      <c r="BA2851">
        <v>1</v>
      </c>
      <c r="BB2851" t="str">
        <f t="shared" si="134"/>
        <v xml:space="preserve">N959MJ  </v>
      </c>
      <c r="BC2851">
        <v>1</v>
      </c>
      <c r="BE2851">
        <v>0</v>
      </c>
      <c r="BF2851">
        <v>0</v>
      </c>
      <c r="BG2851">
        <v>0</v>
      </c>
      <c r="BH2851">
        <v>3850</v>
      </c>
      <c r="BI2851">
        <v>150</v>
      </c>
      <c r="BJ2851">
        <v>1</v>
      </c>
      <c r="BK2851">
        <v>1</v>
      </c>
      <c r="BL2851">
        <v>1</v>
      </c>
      <c r="BM2851">
        <v>0</v>
      </c>
      <c r="BP2851">
        <v>0</v>
      </c>
      <c r="BQ2851">
        <v>0</v>
      </c>
      <c r="BX2851" t="str">
        <f>"14:37:51.992"</f>
        <v>14:37:51.992</v>
      </c>
      <c r="BY2851" t="str">
        <f>"996018799"</f>
        <v>996018799</v>
      </c>
      <c r="CL2851">
        <v>0</v>
      </c>
      <c r="CM2851">
        <v>2</v>
      </c>
      <c r="CN2851">
        <v>0</v>
      </c>
      <c r="CO2851">
        <v>2</v>
      </c>
      <c r="CP2851">
        <v>0</v>
      </c>
      <c r="CQ2851">
        <v>6</v>
      </c>
      <c r="CR2851" t="s">
        <v>116</v>
      </c>
      <c r="CS2851">
        <v>39</v>
      </c>
      <c r="CT2851">
        <v>0</v>
      </c>
      <c r="CU2851" t="s">
        <v>2259</v>
      </c>
      <c r="CV2851" t="s">
        <v>2260</v>
      </c>
      <c r="CY2851">
        <v>2521184</v>
      </c>
      <c r="CZ2851" t="s">
        <v>119</v>
      </c>
    </row>
    <row r="2852" spans="1:104" x14ac:dyDescent="0.25">
      <c r="A2852" t="str">
        <f>"14:37:53.313"</f>
        <v>14:37:53.313</v>
      </c>
      <c r="B2852" t="s">
        <v>108</v>
      </c>
      <c r="C2852" t="str">
        <f t="shared" si="133"/>
        <v>ffdfd3c0</v>
      </c>
      <c r="D2852" t="s">
        <v>109</v>
      </c>
      <c r="E2852">
        <v>4</v>
      </c>
      <c r="F2852">
        <v>1004</v>
      </c>
      <c r="G2852" t="s">
        <v>110</v>
      </c>
      <c r="J2852" t="s">
        <v>111</v>
      </c>
      <c r="K2852">
        <v>0</v>
      </c>
      <c r="L2852">
        <v>3</v>
      </c>
      <c r="M2852">
        <v>0</v>
      </c>
      <c r="N2852">
        <v>2</v>
      </c>
      <c r="O2852">
        <v>1</v>
      </c>
      <c r="P2852">
        <v>0</v>
      </c>
      <c r="Q2852">
        <v>0</v>
      </c>
      <c r="R2852" t="s">
        <v>112</v>
      </c>
      <c r="S2852" t="str">
        <f>"14:37:53.117"</f>
        <v>14:37:53.117</v>
      </c>
      <c r="T2852" t="str">
        <f>"14:37:52.617"</f>
        <v>14:37:52.617</v>
      </c>
      <c r="U2852" t="str">
        <f t="shared" si="132"/>
        <v>ad5732</v>
      </c>
      <c r="V2852">
        <v>0</v>
      </c>
      <c r="W2852">
        <v>0</v>
      </c>
      <c r="X2852">
        <v>1</v>
      </c>
      <c r="Z2852">
        <v>0</v>
      </c>
      <c r="AA2852">
        <v>9</v>
      </c>
      <c r="AB2852">
        <v>3</v>
      </c>
      <c r="AC2852">
        <v>0</v>
      </c>
      <c r="AD2852">
        <v>10</v>
      </c>
      <c r="AE2852">
        <v>0</v>
      </c>
      <c r="AF2852">
        <v>3</v>
      </c>
      <c r="AG2852">
        <v>2</v>
      </c>
      <c r="AH2852">
        <v>0</v>
      </c>
      <c r="AI2852" t="s">
        <v>5820</v>
      </c>
      <c r="AJ2852">
        <v>40.288882000000001</v>
      </c>
      <c r="AK2852" t="s">
        <v>5821</v>
      </c>
      <c r="AL2852">
        <v>-75.152578000000005</v>
      </c>
      <c r="AM2852">
        <v>100</v>
      </c>
      <c r="AN2852">
        <v>3700</v>
      </c>
      <c r="AO2852" t="s">
        <v>115</v>
      </c>
      <c r="AP2852">
        <v>127</v>
      </c>
      <c r="AQ2852">
        <v>120</v>
      </c>
      <c r="AR2852">
        <v>-64</v>
      </c>
      <c r="AZ2852">
        <v>3614</v>
      </c>
      <c r="BA2852">
        <v>1</v>
      </c>
      <c r="BB2852" t="str">
        <f t="shared" si="134"/>
        <v xml:space="preserve">N959MJ  </v>
      </c>
      <c r="BC2852">
        <v>1</v>
      </c>
      <c r="BE2852">
        <v>0</v>
      </c>
      <c r="BF2852">
        <v>0</v>
      </c>
      <c r="BG2852">
        <v>0</v>
      </c>
      <c r="BH2852">
        <v>3850</v>
      </c>
      <c r="BI2852">
        <v>150</v>
      </c>
      <c r="BJ2852">
        <v>1</v>
      </c>
      <c r="BK2852">
        <v>1</v>
      </c>
      <c r="BL2852">
        <v>1</v>
      </c>
      <c r="BM2852">
        <v>0</v>
      </c>
      <c r="BP2852">
        <v>0</v>
      </c>
      <c r="BQ2852">
        <v>0</v>
      </c>
      <c r="BX2852" t="str">
        <f>"14:37:53.125"</f>
        <v>14:37:53.125</v>
      </c>
      <c r="BY2852" t="str">
        <f>"121539351"</f>
        <v>121539351</v>
      </c>
      <c r="CL2852">
        <v>0</v>
      </c>
      <c r="CM2852">
        <v>2</v>
      </c>
      <c r="CN2852">
        <v>0</v>
      </c>
      <c r="CO2852">
        <v>2</v>
      </c>
      <c r="CP2852">
        <v>0</v>
      </c>
      <c r="CQ2852">
        <v>6</v>
      </c>
      <c r="CR2852" t="s">
        <v>116</v>
      </c>
      <c r="CS2852">
        <v>38</v>
      </c>
      <c r="CT2852">
        <v>3</v>
      </c>
      <c r="CU2852" t="s">
        <v>4719</v>
      </c>
      <c r="CV2852" t="s">
        <v>4720</v>
      </c>
      <c r="CY2852">
        <v>10320539</v>
      </c>
      <c r="CZ2852" t="s">
        <v>119</v>
      </c>
    </row>
    <row r="2853" spans="1:104" x14ac:dyDescent="0.25">
      <c r="A2853" t="str">
        <f>"14:37:54.273"</f>
        <v>14:37:54.273</v>
      </c>
      <c r="B2853" t="s">
        <v>108</v>
      </c>
      <c r="C2853" t="str">
        <f t="shared" si="133"/>
        <v>ffdfd3c0</v>
      </c>
      <c r="D2853" t="s">
        <v>109</v>
      </c>
      <c r="E2853">
        <v>4</v>
      </c>
      <c r="F2853">
        <v>1004</v>
      </c>
      <c r="G2853" t="s">
        <v>110</v>
      </c>
      <c r="J2853" t="s">
        <v>111</v>
      </c>
      <c r="K2853">
        <v>0</v>
      </c>
      <c r="L2853">
        <v>3</v>
      </c>
      <c r="M2853">
        <v>0</v>
      </c>
      <c r="N2853">
        <v>2</v>
      </c>
      <c r="O2853">
        <v>1</v>
      </c>
      <c r="P2853">
        <v>0</v>
      </c>
      <c r="Q2853">
        <v>0</v>
      </c>
      <c r="R2853" t="s">
        <v>112</v>
      </c>
      <c r="S2853" t="str">
        <f>"14:37:54.086"</f>
        <v>14:37:54.086</v>
      </c>
      <c r="T2853" t="str">
        <f>"14:37:53.688"</f>
        <v>14:37:53.688</v>
      </c>
      <c r="U2853" t="str">
        <f t="shared" si="132"/>
        <v>ad5732</v>
      </c>
      <c r="V2853">
        <v>0</v>
      </c>
      <c r="W2853">
        <v>0</v>
      </c>
      <c r="X2853">
        <v>1</v>
      </c>
      <c r="Z2853">
        <v>0</v>
      </c>
      <c r="AA2853">
        <v>9</v>
      </c>
      <c r="AB2853">
        <v>3</v>
      </c>
      <c r="AC2853">
        <v>0</v>
      </c>
      <c r="AD2853">
        <v>10</v>
      </c>
      <c r="AE2853">
        <v>0</v>
      </c>
      <c r="AF2853">
        <v>3</v>
      </c>
      <c r="AG2853">
        <v>2</v>
      </c>
      <c r="AH2853">
        <v>0</v>
      </c>
      <c r="AI2853" t="s">
        <v>5822</v>
      </c>
      <c r="AJ2853">
        <v>40.289375999999997</v>
      </c>
      <c r="AK2853" t="s">
        <v>5823</v>
      </c>
      <c r="AL2853">
        <v>-75.151912999999993</v>
      </c>
      <c r="AM2853">
        <v>100</v>
      </c>
      <c r="AN2853">
        <v>3700</v>
      </c>
      <c r="AO2853" t="s">
        <v>115</v>
      </c>
      <c r="AP2853">
        <v>127</v>
      </c>
      <c r="AQ2853">
        <v>120</v>
      </c>
      <c r="AR2853">
        <v>64</v>
      </c>
      <c r="AZ2853">
        <v>3614</v>
      </c>
      <c r="BA2853">
        <v>1</v>
      </c>
      <c r="BB2853" t="str">
        <f t="shared" si="134"/>
        <v xml:space="preserve">N959MJ  </v>
      </c>
      <c r="BC2853">
        <v>1</v>
      </c>
      <c r="BE2853">
        <v>0</v>
      </c>
      <c r="BF2853">
        <v>0</v>
      </c>
      <c r="BG2853">
        <v>0</v>
      </c>
      <c r="BH2853">
        <v>3850</v>
      </c>
      <c r="BI2853">
        <v>150</v>
      </c>
      <c r="BJ2853">
        <v>1</v>
      </c>
      <c r="BK2853">
        <v>1</v>
      </c>
      <c r="BL2853">
        <v>1</v>
      </c>
      <c r="BM2853">
        <v>0</v>
      </c>
      <c r="BP2853">
        <v>0</v>
      </c>
      <c r="BQ2853">
        <v>0</v>
      </c>
      <c r="BX2853" t="str">
        <f>"14:37:54.094"</f>
        <v>14:37:54.094</v>
      </c>
      <c r="BY2853" t="str">
        <f>"089850395"</f>
        <v>089850395</v>
      </c>
      <c r="CL2853">
        <v>0</v>
      </c>
      <c r="CM2853">
        <v>2</v>
      </c>
      <c r="CN2853">
        <v>0</v>
      </c>
      <c r="CO2853">
        <v>2</v>
      </c>
      <c r="CP2853">
        <v>0</v>
      </c>
      <c r="CQ2853">
        <v>6</v>
      </c>
      <c r="CR2853" t="s">
        <v>116</v>
      </c>
      <c r="CS2853">
        <v>38</v>
      </c>
      <c r="CT2853">
        <v>3</v>
      </c>
      <c r="CU2853" t="s">
        <v>4719</v>
      </c>
      <c r="CV2853" t="s">
        <v>4720</v>
      </c>
      <c r="CY2853">
        <v>10322208</v>
      </c>
      <c r="CZ2853" t="s">
        <v>119</v>
      </c>
    </row>
    <row r="2854" spans="1:104" x14ac:dyDescent="0.25">
      <c r="A2854" t="str">
        <f>"14:37:55.234"</f>
        <v>14:37:55.234</v>
      </c>
      <c r="B2854" t="s">
        <v>108</v>
      </c>
      <c r="C2854" t="str">
        <f t="shared" si="133"/>
        <v>ffdfd3c0</v>
      </c>
      <c r="D2854" t="s">
        <v>109</v>
      </c>
      <c r="E2854">
        <v>4</v>
      </c>
      <c r="F2854">
        <v>1004</v>
      </c>
      <c r="G2854" t="s">
        <v>110</v>
      </c>
      <c r="J2854" t="s">
        <v>111</v>
      </c>
      <c r="K2854">
        <v>0</v>
      </c>
      <c r="L2854">
        <v>3</v>
      </c>
      <c r="M2854">
        <v>0</v>
      </c>
      <c r="N2854">
        <v>2</v>
      </c>
      <c r="O2854">
        <v>1</v>
      </c>
      <c r="P2854">
        <v>0</v>
      </c>
      <c r="Q2854">
        <v>0</v>
      </c>
      <c r="R2854" t="s">
        <v>112</v>
      </c>
      <c r="S2854" t="str">
        <f>"14:37:55.070"</f>
        <v>14:37:55.070</v>
      </c>
      <c r="T2854" t="str">
        <f>"14:37:54.672"</f>
        <v>14:37:54.672</v>
      </c>
      <c r="U2854" t="str">
        <f t="shared" si="132"/>
        <v>ad5732</v>
      </c>
      <c r="V2854">
        <v>0</v>
      </c>
      <c r="W2854">
        <v>0</v>
      </c>
      <c r="X2854">
        <v>1</v>
      </c>
      <c r="Z2854">
        <v>0</v>
      </c>
      <c r="AA2854">
        <v>9</v>
      </c>
      <c r="AB2854">
        <v>3</v>
      </c>
      <c r="AC2854">
        <v>0</v>
      </c>
      <c r="AD2854">
        <v>10</v>
      </c>
      <c r="AE2854">
        <v>0</v>
      </c>
      <c r="AF2854">
        <v>3</v>
      </c>
      <c r="AG2854">
        <v>2</v>
      </c>
      <c r="AH2854">
        <v>0</v>
      </c>
      <c r="AI2854" t="s">
        <v>5824</v>
      </c>
      <c r="AJ2854">
        <v>40.289934000000002</v>
      </c>
      <c r="AK2854" t="s">
        <v>5825</v>
      </c>
      <c r="AL2854">
        <v>-75.151161999999999</v>
      </c>
      <c r="AM2854">
        <v>100</v>
      </c>
      <c r="AN2854">
        <v>3700</v>
      </c>
      <c r="AO2854" t="s">
        <v>115</v>
      </c>
      <c r="AP2854">
        <v>127</v>
      </c>
      <c r="AQ2854">
        <v>120</v>
      </c>
      <c r="AR2854">
        <v>128</v>
      </c>
      <c r="AZ2854">
        <v>3614</v>
      </c>
      <c r="BA2854">
        <v>1</v>
      </c>
      <c r="BB2854" t="str">
        <f t="shared" si="134"/>
        <v xml:space="preserve">N959MJ  </v>
      </c>
      <c r="BC2854">
        <v>1</v>
      </c>
      <c r="BE2854">
        <v>0</v>
      </c>
      <c r="BF2854">
        <v>0</v>
      </c>
      <c r="BG2854">
        <v>0</v>
      </c>
      <c r="BH2854">
        <v>3850</v>
      </c>
      <c r="BI2854">
        <v>150</v>
      </c>
      <c r="BJ2854">
        <v>1</v>
      </c>
      <c r="BK2854">
        <v>1</v>
      </c>
      <c r="BL2854">
        <v>1</v>
      </c>
      <c r="BM2854">
        <v>0</v>
      </c>
      <c r="BP2854">
        <v>0</v>
      </c>
      <c r="BQ2854">
        <v>0</v>
      </c>
      <c r="BX2854" t="str">
        <f>"14:37:55.078"</f>
        <v>14:37:55.078</v>
      </c>
      <c r="BY2854" t="str">
        <f>"074626922"</f>
        <v>074626922</v>
      </c>
      <c r="CL2854">
        <v>0</v>
      </c>
      <c r="CM2854">
        <v>2</v>
      </c>
      <c r="CN2854">
        <v>0</v>
      </c>
      <c r="CO2854">
        <v>2</v>
      </c>
      <c r="CP2854">
        <v>0</v>
      </c>
      <c r="CQ2854">
        <v>6</v>
      </c>
      <c r="CR2854" t="s">
        <v>116</v>
      </c>
      <c r="CS2854">
        <v>39</v>
      </c>
      <c r="CT2854">
        <v>0</v>
      </c>
      <c r="CU2854" t="s">
        <v>2259</v>
      </c>
      <c r="CV2854" t="s">
        <v>2260</v>
      </c>
      <c r="CY2854">
        <v>2525934</v>
      </c>
      <c r="CZ2854" t="s">
        <v>119</v>
      </c>
    </row>
    <row r="2855" spans="1:104" x14ac:dyDescent="0.25">
      <c r="A2855" t="str">
        <f>"14:37:56.289"</f>
        <v>14:37:56.289</v>
      </c>
      <c r="B2855" t="s">
        <v>108</v>
      </c>
      <c r="C2855" t="str">
        <f t="shared" si="133"/>
        <v>ffdfd3c0</v>
      </c>
      <c r="D2855" t="s">
        <v>109</v>
      </c>
      <c r="E2855">
        <v>4</v>
      </c>
      <c r="F2855">
        <v>1004</v>
      </c>
      <c r="G2855" t="s">
        <v>110</v>
      </c>
      <c r="J2855" t="s">
        <v>111</v>
      </c>
      <c r="K2855">
        <v>0</v>
      </c>
      <c r="L2855">
        <v>3</v>
      </c>
      <c r="M2855">
        <v>0</v>
      </c>
      <c r="N2855">
        <v>2</v>
      </c>
      <c r="O2855">
        <v>1</v>
      </c>
      <c r="P2855">
        <v>0</v>
      </c>
      <c r="Q2855">
        <v>0</v>
      </c>
      <c r="R2855" t="s">
        <v>112</v>
      </c>
      <c r="S2855" t="str">
        <f>"14:37:56.125"</f>
        <v>14:37:56.125</v>
      </c>
      <c r="T2855" t="str">
        <f>"14:37:55.625"</f>
        <v>14:37:55.625</v>
      </c>
      <c r="U2855" t="str">
        <f t="shared" si="132"/>
        <v>ad5732</v>
      </c>
      <c r="V2855">
        <v>0</v>
      </c>
      <c r="W2855">
        <v>0</v>
      </c>
      <c r="X2855">
        <v>1</v>
      </c>
      <c r="Z2855">
        <v>0</v>
      </c>
      <c r="AA2855">
        <v>9</v>
      </c>
      <c r="AB2855">
        <v>3</v>
      </c>
      <c r="AC2855">
        <v>0</v>
      </c>
      <c r="AD2855">
        <v>10</v>
      </c>
      <c r="AE2855">
        <v>0</v>
      </c>
      <c r="AF2855">
        <v>3</v>
      </c>
      <c r="AG2855">
        <v>2</v>
      </c>
      <c r="AH2855">
        <v>0</v>
      </c>
      <c r="AI2855" t="s">
        <v>5826</v>
      </c>
      <c r="AJ2855">
        <v>40.290576999999999</v>
      </c>
      <c r="AK2855" t="s">
        <v>5827</v>
      </c>
      <c r="AL2855">
        <v>-75.150324999999995</v>
      </c>
      <c r="AM2855">
        <v>100</v>
      </c>
      <c r="AN2855">
        <v>3700</v>
      </c>
      <c r="AO2855" t="s">
        <v>115</v>
      </c>
      <c r="AP2855">
        <v>127</v>
      </c>
      <c r="AQ2855">
        <v>120</v>
      </c>
      <c r="AR2855">
        <v>0</v>
      </c>
      <c r="AZ2855">
        <v>3614</v>
      </c>
      <c r="BA2855">
        <v>1</v>
      </c>
      <c r="BB2855" t="str">
        <f t="shared" si="134"/>
        <v xml:space="preserve">N959MJ  </v>
      </c>
      <c r="BC2855">
        <v>1</v>
      </c>
      <c r="BE2855">
        <v>0</v>
      </c>
      <c r="BF2855">
        <v>0</v>
      </c>
      <c r="BG2855">
        <v>0</v>
      </c>
      <c r="BH2855">
        <v>3850</v>
      </c>
      <c r="BI2855">
        <v>150</v>
      </c>
      <c r="BJ2855">
        <v>1</v>
      </c>
      <c r="BK2855">
        <v>1</v>
      </c>
      <c r="BL2855">
        <v>1</v>
      </c>
      <c r="BM2855">
        <v>0</v>
      </c>
      <c r="BP2855">
        <v>0</v>
      </c>
      <c r="BQ2855">
        <v>0</v>
      </c>
      <c r="BX2855" t="str">
        <f>"14:37:56.125"</f>
        <v>14:37:56.125</v>
      </c>
      <c r="BY2855" t="str">
        <f>"126416622"</f>
        <v>126416622</v>
      </c>
      <c r="CL2855">
        <v>0</v>
      </c>
      <c r="CM2855">
        <v>2</v>
      </c>
      <c r="CN2855">
        <v>0</v>
      </c>
      <c r="CO2855">
        <v>2</v>
      </c>
      <c r="CP2855">
        <v>0</v>
      </c>
      <c r="CQ2855">
        <v>6</v>
      </c>
      <c r="CR2855" t="s">
        <v>116</v>
      </c>
      <c r="CS2855">
        <v>38</v>
      </c>
      <c r="CT2855">
        <v>3</v>
      </c>
      <c r="CU2855" t="s">
        <v>4719</v>
      </c>
      <c r="CV2855" t="s">
        <v>4720</v>
      </c>
      <c r="CY2855">
        <v>10325757</v>
      </c>
      <c r="CZ2855" t="s">
        <v>119</v>
      </c>
    </row>
    <row r="2856" spans="1:104" x14ac:dyDescent="0.25">
      <c r="A2856" t="str">
        <f>"14:37:57.352"</f>
        <v>14:37:57.352</v>
      </c>
      <c r="B2856" t="s">
        <v>108</v>
      </c>
      <c r="C2856" t="str">
        <f t="shared" si="133"/>
        <v>ffdfd3c0</v>
      </c>
      <c r="D2856" t="s">
        <v>109</v>
      </c>
      <c r="E2856">
        <v>4</v>
      </c>
      <c r="F2856">
        <v>1004</v>
      </c>
      <c r="G2856" t="s">
        <v>110</v>
      </c>
      <c r="J2856" t="s">
        <v>111</v>
      </c>
      <c r="K2856">
        <v>0</v>
      </c>
      <c r="L2856">
        <v>3</v>
      </c>
      <c r="M2856">
        <v>0</v>
      </c>
      <c r="N2856">
        <v>2</v>
      </c>
      <c r="O2856">
        <v>1</v>
      </c>
      <c r="P2856">
        <v>0</v>
      </c>
      <c r="Q2856">
        <v>0</v>
      </c>
      <c r="R2856" t="s">
        <v>112</v>
      </c>
      <c r="S2856" t="str">
        <f>"14:37:57.156"</f>
        <v>14:37:57.156</v>
      </c>
      <c r="T2856" t="str">
        <f>"14:37:56.656"</f>
        <v>14:37:56.656</v>
      </c>
      <c r="U2856" t="str">
        <f t="shared" si="132"/>
        <v>ad5732</v>
      </c>
      <c r="V2856">
        <v>0</v>
      </c>
      <c r="W2856">
        <v>0</v>
      </c>
      <c r="X2856">
        <v>1</v>
      </c>
      <c r="Z2856">
        <v>0</v>
      </c>
      <c r="AA2856">
        <v>9</v>
      </c>
      <c r="AB2856">
        <v>3</v>
      </c>
      <c r="AC2856">
        <v>0</v>
      </c>
      <c r="AD2856">
        <v>10</v>
      </c>
      <c r="AE2856">
        <v>0</v>
      </c>
      <c r="AF2856">
        <v>3</v>
      </c>
      <c r="AG2856">
        <v>2</v>
      </c>
      <c r="AH2856">
        <v>0</v>
      </c>
      <c r="AI2856" t="s">
        <v>5828</v>
      </c>
      <c r="AJ2856">
        <v>40.291114</v>
      </c>
      <c r="AK2856" t="s">
        <v>5829</v>
      </c>
      <c r="AL2856">
        <v>-75.149530999999996</v>
      </c>
      <c r="AM2856">
        <v>100</v>
      </c>
      <c r="AN2856">
        <v>3700</v>
      </c>
      <c r="AO2856" t="s">
        <v>115</v>
      </c>
      <c r="AP2856">
        <v>127</v>
      </c>
      <c r="AQ2856">
        <v>120</v>
      </c>
      <c r="AR2856">
        <v>0</v>
      </c>
      <c r="AZ2856">
        <v>3614</v>
      </c>
      <c r="BA2856">
        <v>1</v>
      </c>
      <c r="BB2856" t="str">
        <f t="shared" si="134"/>
        <v xml:space="preserve">N959MJ  </v>
      </c>
      <c r="BC2856">
        <v>1</v>
      </c>
      <c r="BE2856">
        <v>0</v>
      </c>
      <c r="BF2856">
        <v>0</v>
      </c>
      <c r="BG2856">
        <v>0</v>
      </c>
      <c r="BH2856">
        <v>3850</v>
      </c>
      <c r="BI2856">
        <v>150</v>
      </c>
      <c r="BJ2856">
        <v>1</v>
      </c>
      <c r="BK2856">
        <v>1</v>
      </c>
      <c r="BL2856">
        <v>1</v>
      </c>
      <c r="BM2856">
        <v>0</v>
      </c>
      <c r="BP2856">
        <v>0</v>
      </c>
      <c r="BQ2856">
        <v>0</v>
      </c>
      <c r="BX2856" t="str">
        <f>"14:37:57.164"</f>
        <v>14:37:57.164</v>
      </c>
      <c r="BY2856" t="str">
        <f>"163623966"</f>
        <v>163623966</v>
      </c>
      <c r="CL2856">
        <v>0</v>
      </c>
      <c r="CM2856">
        <v>2</v>
      </c>
      <c r="CN2856">
        <v>0</v>
      </c>
      <c r="CO2856">
        <v>2</v>
      </c>
      <c r="CP2856">
        <v>0</v>
      </c>
      <c r="CQ2856">
        <v>6</v>
      </c>
      <c r="CR2856" t="s">
        <v>116</v>
      </c>
      <c r="CS2856">
        <v>39</v>
      </c>
      <c r="CT2856">
        <v>0</v>
      </c>
      <c r="CU2856" t="s">
        <v>2259</v>
      </c>
      <c r="CV2856" t="s">
        <v>2260</v>
      </c>
      <c r="CY2856">
        <v>2529119</v>
      </c>
      <c r="CZ2856" t="s">
        <v>119</v>
      </c>
    </row>
    <row r="2857" spans="1:104" x14ac:dyDescent="0.25">
      <c r="A2857" t="str">
        <f>"14:37:58.313"</f>
        <v>14:37:58.313</v>
      </c>
      <c r="B2857" t="s">
        <v>108</v>
      </c>
      <c r="C2857" t="str">
        <f t="shared" si="133"/>
        <v>ffdfd3c0</v>
      </c>
      <c r="D2857" t="s">
        <v>109</v>
      </c>
      <c r="E2857">
        <v>4</v>
      </c>
      <c r="F2857">
        <v>1004</v>
      </c>
      <c r="G2857" t="s">
        <v>110</v>
      </c>
      <c r="J2857" t="s">
        <v>111</v>
      </c>
      <c r="K2857">
        <v>0</v>
      </c>
      <c r="L2857">
        <v>3</v>
      </c>
      <c r="M2857">
        <v>0</v>
      </c>
      <c r="N2857">
        <v>2</v>
      </c>
      <c r="O2857">
        <v>1</v>
      </c>
      <c r="P2857">
        <v>0</v>
      </c>
      <c r="Q2857">
        <v>0</v>
      </c>
      <c r="R2857" t="s">
        <v>112</v>
      </c>
      <c r="S2857" t="str">
        <f>"14:37:58.156"</f>
        <v>14:37:58.156</v>
      </c>
      <c r="T2857" t="str">
        <f>"14:37:57.656"</f>
        <v>14:37:57.656</v>
      </c>
      <c r="U2857" t="str">
        <f t="shared" si="132"/>
        <v>ad5732</v>
      </c>
      <c r="V2857">
        <v>0</v>
      </c>
      <c r="W2857">
        <v>0</v>
      </c>
      <c r="X2857">
        <v>1</v>
      </c>
      <c r="Z2857">
        <v>0</v>
      </c>
      <c r="AA2857">
        <v>9</v>
      </c>
      <c r="AB2857">
        <v>3</v>
      </c>
      <c r="AC2857">
        <v>0</v>
      </c>
      <c r="AD2857">
        <v>10</v>
      </c>
      <c r="AE2857">
        <v>0</v>
      </c>
      <c r="AF2857">
        <v>3</v>
      </c>
      <c r="AG2857">
        <v>2</v>
      </c>
      <c r="AH2857">
        <v>0</v>
      </c>
      <c r="AI2857" t="s">
        <v>5830</v>
      </c>
      <c r="AJ2857">
        <v>40.291671999999998</v>
      </c>
      <c r="AK2857" t="s">
        <v>5831</v>
      </c>
      <c r="AL2857">
        <v>-75.148736999999997</v>
      </c>
      <c r="AM2857">
        <v>100</v>
      </c>
      <c r="AN2857">
        <v>3700</v>
      </c>
      <c r="AO2857" t="s">
        <v>115</v>
      </c>
      <c r="AP2857">
        <v>127</v>
      </c>
      <c r="AQ2857">
        <v>119</v>
      </c>
      <c r="AR2857">
        <v>-64</v>
      </c>
      <c r="AZ2857">
        <v>3614</v>
      </c>
      <c r="BA2857">
        <v>1</v>
      </c>
      <c r="BB2857" t="str">
        <f t="shared" si="134"/>
        <v xml:space="preserve">N959MJ  </v>
      </c>
      <c r="BC2857">
        <v>1</v>
      </c>
      <c r="BE2857">
        <v>0</v>
      </c>
      <c r="BF2857">
        <v>0</v>
      </c>
      <c r="BG2857">
        <v>0</v>
      </c>
      <c r="BH2857">
        <v>3875</v>
      </c>
      <c r="BI2857">
        <v>175</v>
      </c>
      <c r="BJ2857">
        <v>1</v>
      </c>
      <c r="BK2857">
        <v>1</v>
      </c>
      <c r="BL2857">
        <v>1</v>
      </c>
      <c r="BM2857">
        <v>0</v>
      </c>
      <c r="BP2857">
        <v>0</v>
      </c>
      <c r="BQ2857">
        <v>0</v>
      </c>
      <c r="BX2857" t="str">
        <f>"14:37:58.156"</f>
        <v>14:37:58.156</v>
      </c>
      <c r="BY2857" t="str">
        <f>"156429132"</f>
        <v>156429132</v>
      </c>
      <c r="CL2857">
        <v>0</v>
      </c>
      <c r="CM2857">
        <v>2</v>
      </c>
      <c r="CN2857">
        <v>0</v>
      </c>
      <c r="CO2857">
        <v>2</v>
      </c>
      <c r="CP2857">
        <v>0</v>
      </c>
      <c r="CQ2857">
        <v>6</v>
      </c>
      <c r="CR2857" t="s">
        <v>116</v>
      </c>
      <c r="CS2857">
        <v>38</v>
      </c>
      <c r="CT2857">
        <v>3</v>
      </c>
      <c r="CU2857" t="s">
        <v>4719</v>
      </c>
      <c r="CV2857" t="s">
        <v>4720</v>
      </c>
      <c r="CY2857">
        <v>10329277</v>
      </c>
      <c r="CZ2857" t="s">
        <v>119</v>
      </c>
    </row>
    <row r="2858" spans="1:104" x14ac:dyDescent="0.25">
      <c r="A2858" t="str">
        <f>"14:37:59.266"</f>
        <v>14:37:59.266</v>
      </c>
      <c r="B2858" t="s">
        <v>108</v>
      </c>
      <c r="C2858" t="str">
        <f t="shared" si="133"/>
        <v>ffdfd3c0</v>
      </c>
      <c r="D2858" t="s">
        <v>109</v>
      </c>
      <c r="E2858">
        <v>4</v>
      </c>
      <c r="F2858">
        <v>1004</v>
      </c>
      <c r="G2858" t="s">
        <v>110</v>
      </c>
      <c r="J2858" t="s">
        <v>111</v>
      </c>
      <c r="K2858">
        <v>0</v>
      </c>
      <c r="L2858">
        <v>3</v>
      </c>
      <c r="M2858">
        <v>0</v>
      </c>
      <c r="N2858">
        <v>2</v>
      </c>
      <c r="O2858">
        <v>1</v>
      </c>
      <c r="P2858">
        <v>0</v>
      </c>
      <c r="Q2858">
        <v>0</v>
      </c>
      <c r="R2858" t="s">
        <v>112</v>
      </c>
      <c r="S2858" t="str">
        <f>"14:37:59.109"</f>
        <v>14:37:59.109</v>
      </c>
      <c r="T2858" t="str">
        <f>"14:37:58.711"</f>
        <v>14:37:58.711</v>
      </c>
      <c r="U2858" t="str">
        <f t="shared" si="132"/>
        <v>ad5732</v>
      </c>
      <c r="V2858">
        <v>0</v>
      </c>
      <c r="W2858">
        <v>0</v>
      </c>
      <c r="X2858">
        <v>1</v>
      </c>
      <c r="Z2858">
        <v>0</v>
      </c>
      <c r="AA2858">
        <v>9</v>
      </c>
      <c r="AB2858">
        <v>3</v>
      </c>
      <c r="AC2858">
        <v>0</v>
      </c>
      <c r="AD2858">
        <v>10</v>
      </c>
      <c r="AE2858">
        <v>0</v>
      </c>
      <c r="AF2858">
        <v>3</v>
      </c>
      <c r="AG2858">
        <v>2</v>
      </c>
      <c r="AH2858">
        <v>0</v>
      </c>
      <c r="AI2858" t="s">
        <v>5832</v>
      </c>
      <c r="AJ2858">
        <v>40.292164999999997</v>
      </c>
      <c r="AK2858" t="s">
        <v>5833</v>
      </c>
      <c r="AL2858">
        <v>-75.148050999999995</v>
      </c>
      <c r="AM2858">
        <v>100</v>
      </c>
      <c r="AN2858">
        <v>3700</v>
      </c>
      <c r="AO2858" t="s">
        <v>115</v>
      </c>
      <c r="AP2858">
        <v>128</v>
      </c>
      <c r="AQ2858">
        <v>119</v>
      </c>
      <c r="AR2858">
        <v>-64</v>
      </c>
      <c r="AZ2858">
        <v>3614</v>
      </c>
      <c r="BA2858">
        <v>1</v>
      </c>
      <c r="BB2858" t="str">
        <f t="shared" si="134"/>
        <v xml:space="preserve">N959MJ  </v>
      </c>
      <c r="BC2858">
        <v>1</v>
      </c>
      <c r="BE2858">
        <v>0</v>
      </c>
      <c r="BF2858">
        <v>0</v>
      </c>
      <c r="BG2858">
        <v>0</v>
      </c>
      <c r="BH2858">
        <v>3850</v>
      </c>
      <c r="BI2858">
        <v>150</v>
      </c>
      <c r="BJ2858">
        <v>1</v>
      </c>
      <c r="BK2858">
        <v>1</v>
      </c>
      <c r="BL2858">
        <v>1</v>
      </c>
      <c r="BM2858">
        <v>0</v>
      </c>
      <c r="BP2858">
        <v>0</v>
      </c>
      <c r="BQ2858">
        <v>0</v>
      </c>
      <c r="BX2858" t="str">
        <f>"14:37:59.109"</f>
        <v>14:37:59.109</v>
      </c>
      <c r="BY2858" t="str">
        <f>"111632770"</f>
        <v>111632770</v>
      </c>
      <c r="CL2858">
        <v>0</v>
      </c>
      <c r="CM2858">
        <v>2</v>
      </c>
      <c r="CN2858">
        <v>0</v>
      </c>
      <c r="CO2858">
        <v>2</v>
      </c>
      <c r="CP2858">
        <v>0</v>
      </c>
      <c r="CQ2858">
        <v>6</v>
      </c>
      <c r="CR2858" t="s">
        <v>116</v>
      </c>
      <c r="CS2858">
        <v>38</v>
      </c>
      <c r="CT2858">
        <v>3</v>
      </c>
      <c r="CU2858" t="s">
        <v>4719</v>
      </c>
      <c r="CV2858" t="s">
        <v>4720</v>
      </c>
      <c r="CY2858">
        <v>10331026</v>
      </c>
      <c r="CZ2858" t="s">
        <v>119</v>
      </c>
    </row>
    <row r="2859" spans="1:104" x14ac:dyDescent="0.25">
      <c r="A2859" t="str">
        <f>"14:38:00.430"</f>
        <v>14:38:00.430</v>
      </c>
      <c r="B2859" t="s">
        <v>108</v>
      </c>
      <c r="C2859" t="str">
        <f t="shared" si="133"/>
        <v>ffdfd3c0</v>
      </c>
      <c r="D2859" t="s">
        <v>109</v>
      </c>
      <c r="E2859">
        <v>4</v>
      </c>
      <c r="F2859">
        <v>1004</v>
      </c>
      <c r="G2859" t="s">
        <v>110</v>
      </c>
      <c r="J2859" t="s">
        <v>111</v>
      </c>
      <c r="K2859">
        <v>0</v>
      </c>
      <c r="L2859">
        <v>3</v>
      </c>
      <c r="M2859">
        <v>0</v>
      </c>
      <c r="N2859">
        <v>2</v>
      </c>
      <c r="O2859">
        <v>1</v>
      </c>
      <c r="P2859">
        <v>0</v>
      </c>
      <c r="Q2859">
        <v>0</v>
      </c>
      <c r="R2859" t="s">
        <v>112</v>
      </c>
      <c r="S2859" t="str">
        <f>"14:38:00.227"</f>
        <v>14:38:00.227</v>
      </c>
      <c r="T2859" t="str">
        <f>"14:37:59.727"</f>
        <v>14:37:59.727</v>
      </c>
      <c r="U2859" t="str">
        <f t="shared" si="132"/>
        <v>ad5732</v>
      </c>
      <c r="V2859">
        <v>0</v>
      </c>
      <c r="W2859">
        <v>0</v>
      </c>
      <c r="X2859">
        <v>1</v>
      </c>
      <c r="Z2859">
        <v>0</v>
      </c>
      <c r="AA2859">
        <v>9</v>
      </c>
      <c r="AB2859">
        <v>3</v>
      </c>
      <c r="AC2859">
        <v>0</v>
      </c>
      <c r="AD2859">
        <v>10</v>
      </c>
      <c r="AE2859">
        <v>0</v>
      </c>
      <c r="AF2859">
        <v>3</v>
      </c>
      <c r="AG2859">
        <v>2</v>
      </c>
      <c r="AH2859">
        <v>0</v>
      </c>
      <c r="AI2859" t="s">
        <v>5834</v>
      </c>
      <c r="AJ2859">
        <v>40.292830000000002</v>
      </c>
      <c r="AK2859" t="s">
        <v>5835</v>
      </c>
      <c r="AL2859">
        <v>-75.147171</v>
      </c>
      <c r="AM2859">
        <v>100</v>
      </c>
      <c r="AN2859">
        <v>3700</v>
      </c>
      <c r="AO2859" t="s">
        <v>115</v>
      </c>
      <c r="AP2859">
        <v>128</v>
      </c>
      <c r="AQ2859">
        <v>119</v>
      </c>
      <c r="AR2859">
        <v>0</v>
      </c>
      <c r="AZ2859">
        <v>3614</v>
      </c>
      <c r="BA2859">
        <v>1</v>
      </c>
      <c r="BB2859" t="str">
        <f t="shared" si="134"/>
        <v xml:space="preserve">N959MJ  </v>
      </c>
      <c r="BC2859">
        <v>1</v>
      </c>
      <c r="BE2859">
        <v>0</v>
      </c>
      <c r="BF2859">
        <v>0</v>
      </c>
      <c r="BG2859">
        <v>0</v>
      </c>
      <c r="BH2859">
        <v>3875</v>
      </c>
      <c r="BI2859">
        <v>175</v>
      </c>
      <c r="BJ2859">
        <v>1</v>
      </c>
      <c r="BK2859">
        <v>1</v>
      </c>
      <c r="BL2859">
        <v>1</v>
      </c>
      <c r="BM2859">
        <v>0</v>
      </c>
      <c r="BP2859">
        <v>0</v>
      </c>
      <c r="BQ2859">
        <v>0</v>
      </c>
      <c r="BX2859" t="str">
        <f>"14:38:00.234"</f>
        <v>14:38:00.234</v>
      </c>
      <c r="BY2859" t="str">
        <f>"234039882"</f>
        <v>234039882</v>
      </c>
      <c r="CL2859">
        <v>0</v>
      </c>
      <c r="CM2859">
        <v>2</v>
      </c>
      <c r="CN2859">
        <v>0</v>
      </c>
      <c r="CO2859">
        <v>2</v>
      </c>
      <c r="CP2859">
        <v>0</v>
      </c>
      <c r="CQ2859">
        <v>6</v>
      </c>
      <c r="CR2859" t="s">
        <v>116</v>
      </c>
      <c r="CS2859">
        <v>39</v>
      </c>
      <c r="CT2859">
        <v>0</v>
      </c>
      <c r="CU2859" t="s">
        <v>2259</v>
      </c>
      <c r="CV2859" t="s">
        <v>2260</v>
      </c>
      <c r="CY2859">
        <v>2534122</v>
      </c>
      <c r="CZ2859" t="s">
        <v>119</v>
      </c>
    </row>
    <row r="2860" spans="1:104" x14ac:dyDescent="0.25">
      <c r="A2860" t="str">
        <f>"14:38:01.391"</f>
        <v>14:38:01.391</v>
      </c>
      <c r="B2860" t="s">
        <v>108</v>
      </c>
      <c r="C2860" t="str">
        <f t="shared" si="133"/>
        <v>ffdfd3c0</v>
      </c>
      <c r="D2860" t="s">
        <v>109</v>
      </c>
      <c r="E2860">
        <v>4</v>
      </c>
      <c r="F2860">
        <v>1004</v>
      </c>
      <c r="G2860" t="s">
        <v>110</v>
      </c>
      <c r="J2860" t="s">
        <v>111</v>
      </c>
      <c r="K2860">
        <v>0</v>
      </c>
      <c r="L2860">
        <v>3</v>
      </c>
      <c r="M2860">
        <v>0</v>
      </c>
      <c r="N2860">
        <v>2</v>
      </c>
      <c r="O2860">
        <v>1</v>
      </c>
      <c r="P2860">
        <v>0</v>
      </c>
      <c r="Q2860">
        <v>0</v>
      </c>
      <c r="R2860" t="s">
        <v>112</v>
      </c>
      <c r="S2860" t="str">
        <f>"14:38:01.195"</f>
        <v>14:38:01.195</v>
      </c>
      <c r="T2860" t="str">
        <f>"14:38:00.695"</f>
        <v>14:38:00.695</v>
      </c>
      <c r="U2860" t="str">
        <f t="shared" si="132"/>
        <v>ad5732</v>
      </c>
      <c r="V2860">
        <v>0</v>
      </c>
      <c r="W2860">
        <v>0</v>
      </c>
      <c r="X2860">
        <v>1</v>
      </c>
      <c r="Z2860">
        <v>0</v>
      </c>
      <c r="AA2860">
        <v>9</v>
      </c>
      <c r="AB2860">
        <v>3</v>
      </c>
      <c r="AC2860">
        <v>0</v>
      </c>
      <c r="AD2860">
        <v>10</v>
      </c>
      <c r="AE2860">
        <v>0</v>
      </c>
      <c r="AF2860">
        <v>3</v>
      </c>
      <c r="AG2860">
        <v>2</v>
      </c>
      <c r="AH2860">
        <v>0</v>
      </c>
      <c r="AI2860" t="s">
        <v>5836</v>
      </c>
      <c r="AJ2860">
        <v>40.293323999999998</v>
      </c>
      <c r="AK2860" t="s">
        <v>5837</v>
      </c>
      <c r="AL2860">
        <v>-75.146420000000006</v>
      </c>
      <c r="AM2860">
        <v>100</v>
      </c>
      <c r="AN2860">
        <v>3700</v>
      </c>
      <c r="AO2860" t="s">
        <v>115</v>
      </c>
      <c r="AP2860">
        <v>128</v>
      </c>
      <c r="AQ2860">
        <v>119</v>
      </c>
      <c r="AR2860">
        <v>0</v>
      </c>
      <c r="AZ2860">
        <v>3614</v>
      </c>
      <c r="BA2860">
        <v>1</v>
      </c>
      <c r="BB2860" t="str">
        <f t="shared" si="134"/>
        <v xml:space="preserve">N959MJ  </v>
      </c>
      <c r="BC2860">
        <v>1</v>
      </c>
      <c r="BE2860">
        <v>0</v>
      </c>
      <c r="BF2860">
        <v>0</v>
      </c>
      <c r="BG2860">
        <v>0</v>
      </c>
      <c r="BH2860">
        <v>3875</v>
      </c>
      <c r="BI2860">
        <v>175</v>
      </c>
      <c r="BJ2860">
        <v>1</v>
      </c>
      <c r="BK2860">
        <v>1</v>
      </c>
      <c r="BL2860">
        <v>1</v>
      </c>
      <c r="BM2860">
        <v>0</v>
      </c>
      <c r="BP2860">
        <v>0</v>
      </c>
      <c r="BQ2860">
        <v>0</v>
      </c>
      <c r="BX2860" t="str">
        <f>"14:38:01.203"</f>
        <v>14:38:01.203</v>
      </c>
      <c r="BY2860" t="str">
        <f>"200628748"</f>
        <v>200628748</v>
      </c>
      <c r="CL2860">
        <v>0</v>
      </c>
      <c r="CM2860">
        <v>2</v>
      </c>
      <c r="CN2860">
        <v>0</v>
      </c>
      <c r="CO2860">
        <v>2</v>
      </c>
      <c r="CP2860">
        <v>0</v>
      </c>
      <c r="CQ2860">
        <v>7</v>
      </c>
      <c r="CR2860" t="s">
        <v>116</v>
      </c>
      <c r="CS2860">
        <v>38</v>
      </c>
      <c r="CT2860">
        <v>3</v>
      </c>
      <c r="CU2860" t="s">
        <v>4719</v>
      </c>
      <c r="CV2860" t="s">
        <v>4720</v>
      </c>
      <c r="CY2860">
        <v>10334773</v>
      </c>
      <c r="CZ2860" t="s">
        <v>119</v>
      </c>
    </row>
    <row r="2861" spans="1:104" x14ac:dyDescent="0.25">
      <c r="A2861" t="str">
        <f>"14:38:02.398"</f>
        <v>14:38:02.398</v>
      </c>
      <c r="B2861" t="s">
        <v>108</v>
      </c>
      <c r="C2861" t="str">
        <f t="shared" si="133"/>
        <v>ffdfd3c0</v>
      </c>
      <c r="D2861" t="s">
        <v>109</v>
      </c>
      <c r="E2861">
        <v>4</v>
      </c>
      <c r="F2861">
        <v>1004</v>
      </c>
      <c r="G2861" t="s">
        <v>110</v>
      </c>
      <c r="J2861" t="s">
        <v>111</v>
      </c>
      <c r="K2861">
        <v>0</v>
      </c>
      <c r="L2861">
        <v>3</v>
      </c>
      <c r="M2861">
        <v>0</v>
      </c>
      <c r="N2861">
        <v>2</v>
      </c>
      <c r="O2861">
        <v>1</v>
      </c>
      <c r="P2861">
        <v>0</v>
      </c>
      <c r="Q2861">
        <v>0</v>
      </c>
      <c r="R2861" t="s">
        <v>112</v>
      </c>
      <c r="S2861" t="str">
        <f>"14:38:02.234"</f>
        <v>14:38:02.234</v>
      </c>
      <c r="T2861" t="str">
        <f>"14:38:01.734"</f>
        <v>14:38:01.734</v>
      </c>
      <c r="U2861" t="str">
        <f t="shared" si="132"/>
        <v>ad5732</v>
      </c>
      <c r="V2861">
        <v>0</v>
      </c>
      <c r="W2861">
        <v>0</v>
      </c>
      <c r="X2861">
        <v>1</v>
      </c>
      <c r="Z2861">
        <v>0</v>
      </c>
      <c r="AA2861">
        <v>9</v>
      </c>
      <c r="AB2861">
        <v>3</v>
      </c>
      <c r="AC2861">
        <v>0</v>
      </c>
      <c r="AD2861">
        <v>10</v>
      </c>
      <c r="AE2861">
        <v>0</v>
      </c>
      <c r="AF2861">
        <v>3</v>
      </c>
      <c r="AG2861">
        <v>2</v>
      </c>
      <c r="AH2861">
        <v>0</v>
      </c>
      <c r="AI2861" t="s">
        <v>5838</v>
      </c>
      <c r="AJ2861">
        <v>40.293945999999998</v>
      </c>
      <c r="AK2861" t="s">
        <v>5839</v>
      </c>
      <c r="AL2861">
        <v>-75.145605000000003</v>
      </c>
      <c r="AM2861">
        <v>100</v>
      </c>
      <c r="AN2861">
        <v>3700</v>
      </c>
      <c r="AO2861" t="s">
        <v>115</v>
      </c>
      <c r="AP2861">
        <v>128</v>
      </c>
      <c r="AQ2861">
        <v>119</v>
      </c>
      <c r="AR2861">
        <v>-64</v>
      </c>
      <c r="AZ2861">
        <v>3614</v>
      </c>
      <c r="BA2861">
        <v>1</v>
      </c>
      <c r="BB2861" t="str">
        <f t="shared" si="134"/>
        <v xml:space="preserve">N959MJ  </v>
      </c>
      <c r="BC2861">
        <v>1</v>
      </c>
      <c r="BE2861">
        <v>0</v>
      </c>
      <c r="BF2861">
        <v>0</v>
      </c>
      <c r="BG2861">
        <v>0</v>
      </c>
      <c r="BH2861">
        <v>3850</v>
      </c>
      <c r="BI2861">
        <v>150</v>
      </c>
      <c r="BJ2861">
        <v>1</v>
      </c>
      <c r="BK2861">
        <v>1</v>
      </c>
      <c r="BL2861">
        <v>1</v>
      </c>
      <c r="BM2861">
        <v>0</v>
      </c>
      <c r="BP2861">
        <v>0</v>
      </c>
      <c r="BQ2861">
        <v>0</v>
      </c>
      <c r="BX2861" t="str">
        <f>"14:38:02.234"</f>
        <v>14:38:02.234</v>
      </c>
      <c r="BY2861" t="str">
        <f>"237753741"</f>
        <v>237753741</v>
      </c>
      <c r="CL2861">
        <v>0</v>
      </c>
      <c r="CM2861">
        <v>2</v>
      </c>
      <c r="CN2861">
        <v>0</v>
      </c>
      <c r="CO2861">
        <v>2</v>
      </c>
      <c r="CP2861">
        <v>0</v>
      </c>
      <c r="CQ2861">
        <v>7</v>
      </c>
      <c r="CR2861" t="s">
        <v>116</v>
      </c>
      <c r="CS2861">
        <v>38</v>
      </c>
      <c r="CT2861">
        <v>3</v>
      </c>
      <c r="CU2861" t="s">
        <v>4719</v>
      </c>
      <c r="CV2861" t="s">
        <v>4720</v>
      </c>
      <c r="CY2861">
        <v>10336557</v>
      </c>
      <c r="CZ2861" t="s">
        <v>119</v>
      </c>
    </row>
    <row r="2862" spans="1:104" x14ac:dyDescent="0.25">
      <c r="A2862" t="str">
        <f>"14:38:03.461"</f>
        <v>14:38:03.461</v>
      </c>
      <c r="B2862" t="s">
        <v>108</v>
      </c>
      <c r="C2862" t="str">
        <f t="shared" si="133"/>
        <v>ffdfd3c0</v>
      </c>
      <c r="D2862" t="s">
        <v>109</v>
      </c>
      <c r="E2862">
        <v>4</v>
      </c>
      <c r="F2862">
        <v>1004</v>
      </c>
      <c r="G2862" t="s">
        <v>110</v>
      </c>
      <c r="J2862" t="s">
        <v>111</v>
      </c>
      <c r="K2862">
        <v>0</v>
      </c>
      <c r="L2862">
        <v>3</v>
      </c>
      <c r="M2862">
        <v>0</v>
      </c>
      <c r="N2862">
        <v>2</v>
      </c>
      <c r="O2862">
        <v>1</v>
      </c>
      <c r="P2862">
        <v>0</v>
      </c>
      <c r="Q2862">
        <v>0</v>
      </c>
      <c r="R2862" t="s">
        <v>112</v>
      </c>
      <c r="S2862" t="str">
        <f>"14:38:03.266"</f>
        <v>14:38:03.266</v>
      </c>
      <c r="T2862" t="str">
        <f>"14:38:02.867"</f>
        <v>14:38:02.867</v>
      </c>
      <c r="U2862" t="str">
        <f t="shared" si="132"/>
        <v>ad5732</v>
      </c>
      <c r="V2862">
        <v>0</v>
      </c>
      <c r="W2862">
        <v>0</v>
      </c>
      <c r="X2862">
        <v>1</v>
      </c>
      <c r="Z2862">
        <v>0</v>
      </c>
      <c r="AA2862">
        <v>9</v>
      </c>
      <c r="AB2862">
        <v>3</v>
      </c>
      <c r="AC2862">
        <v>0</v>
      </c>
      <c r="AD2862">
        <v>10</v>
      </c>
      <c r="AE2862">
        <v>0</v>
      </c>
      <c r="AF2862">
        <v>3</v>
      </c>
      <c r="AG2862">
        <v>2</v>
      </c>
      <c r="AH2862">
        <v>0</v>
      </c>
      <c r="AI2862" t="s">
        <v>5840</v>
      </c>
      <c r="AJ2862">
        <v>40.294504000000003</v>
      </c>
      <c r="AK2862" t="s">
        <v>5841</v>
      </c>
      <c r="AL2862">
        <v>-75.144789000000003</v>
      </c>
      <c r="AM2862">
        <v>100</v>
      </c>
      <c r="AN2862">
        <v>3700</v>
      </c>
      <c r="AO2862" t="s">
        <v>115</v>
      </c>
      <c r="AP2862">
        <v>128</v>
      </c>
      <c r="AQ2862">
        <v>118</v>
      </c>
      <c r="AR2862">
        <v>-64</v>
      </c>
      <c r="AZ2862">
        <v>3614</v>
      </c>
      <c r="BA2862">
        <v>1</v>
      </c>
      <c r="BB2862" t="str">
        <f t="shared" si="134"/>
        <v xml:space="preserve">N959MJ  </v>
      </c>
      <c r="BC2862">
        <v>1</v>
      </c>
      <c r="BE2862">
        <v>0</v>
      </c>
      <c r="BF2862">
        <v>0</v>
      </c>
      <c r="BG2862">
        <v>0</v>
      </c>
      <c r="BH2862">
        <v>3850</v>
      </c>
      <c r="BI2862">
        <v>150</v>
      </c>
      <c r="BJ2862">
        <v>1</v>
      </c>
      <c r="BK2862">
        <v>1</v>
      </c>
      <c r="BL2862">
        <v>1</v>
      </c>
      <c r="BM2862">
        <v>0</v>
      </c>
      <c r="BP2862">
        <v>0</v>
      </c>
      <c r="BQ2862">
        <v>0</v>
      </c>
      <c r="BX2862" t="str">
        <f>"14:38:03.273"</f>
        <v>14:38:03.273</v>
      </c>
      <c r="BY2862" t="str">
        <f>"269963498"</f>
        <v>269963498</v>
      </c>
      <c r="CL2862">
        <v>0</v>
      </c>
      <c r="CM2862">
        <v>2</v>
      </c>
      <c r="CN2862">
        <v>0</v>
      </c>
      <c r="CO2862">
        <v>2</v>
      </c>
      <c r="CP2862">
        <v>0</v>
      </c>
      <c r="CQ2862">
        <v>7</v>
      </c>
      <c r="CR2862" t="s">
        <v>116</v>
      </c>
      <c r="CS2862">
        <v>38</v>
      </c>
      <c r="CT2862">
        <v>3</v>
      </c>
      <c r="CU2862" t="s">
        <v>4719</v>
      </c>
      <c r="CV2862" t="s">
        <v>4720</v>
      </c>
      <c r="CY2862">
        <v>10338267</v>
      </c>
      <c r="CZ2862" t="s">
        <v>119</v>
      </c>
    </row>
    <row r="2863" spans="1:104" x14ac:dyDescent="0.25">
      <c r="A2863" t="str">
        <f>"14:38:04.469"</f>
        <v>14:38:04.469</v>
      </c>
      <c r="B2863" t="s">
        <v>108</v>
      </c>
      <c r="C2863" t="str">
        <f t="shared" si="133"/>
        <v>ffdfd3c0</v>
      </c>
      <c r="D2863" t="s">
        <v>109</v>
      </c>
      <c r="E2863">
        <v>4</v>
      </c>
      <c r="F2863">
        <v>1004</v>
      </c>
      <c r="G2863" t="s">
        <v>110</v>
      </c>
      <c r="J2863" t="s">
        <v>111</v>
      </c>
      <c r="K2863">
        <v>0</v>
      </c>
      <c r="L2863">
        <v>3</v>
      </c>
      <c r="M2863">
        <v>0</v>
      </c>
      <c r="N2863">
        <v>2</v>
      </c>
      <c r="O2863">
        <v>1</v>
      </c>
      <c r="P2863">
        <v>0</v>
      </c>
      <c r="Q2863">
        <v>0</v>
      </c>
      <c r="R2863" t="s">
        <v>112</v>
      </c>
      <c r="S2863" t="str">
        <f>"14:38:04.273"</f>
        <v>14:38:04.273</v>
      </c>
      <c r="T2863" t="str">
        <f>"14:38:03.875"</f>
        <v>14:38:03.875</v>
      </c>
      <c r="U2863" t="str">
        <f t="shared" si="132"/>
        <v>ad5732</v>
      </c>
      <c r="V2863">
        <v>0</v>
      </c>
      <c r="W2863">
        <v>0</v>
      </c>
      <c r="X2863">
        <v>1</v>
      </c>
      <c r="Z2863">
        <v>0</v>
      </c>
      <c r="AA2863">
        <v>9</v>
      </c>
      <c r="AB2863">
        <v>3</v>
      </c>
      <c r="AC2863">
        <v>0</v>
      </c>
      <c r="AD2863">
        <v>10</v>
      </c>
      <c r="AE2863">
        <v>0</v>
      </c>
      <c r="AF2863">
        <v>3</v>
      </c>
      <c r="AG2863">
        <v>2</v>
      </c>
      <c r="AH2863">
        <v>0</v>
      </c>
      <c r="AI2863" t="s">
        <v>5842</v>
      </c>
      <c r="AJ2863">
        <v>40.295019000000003</v>
      </c>
      <c r="AK2863" t="s">
        <v>5843</v>
      </c>
      <c r="AL2863">
        <v>-75.144059999999996</v>
      </c>
      <c r="AM2863">
        <v>100</v>
      </c>
      <c r="AN2863">
        <v>3700</v>
      </c>
      <c r="AO2863" t="s">
        <v>115</v>
      </c>
      <c r="AP2863">
        <v>128</v>
      </c>
      <c r="AQ2863">
        <v>118</v>
      </c>
      <c r="AR2863">
        <v>0</v>
      </c>
      <c r="AZ2863">
        <v>3614</v>
      </c>
      <c r="BA2863">
        <v>1</v>
      </c>
      <c r="BB2863" t="str">
        <f t="shared" si="134"/>
        <v xml:space="preserve">N959MJ  </v>
      </c>
      <c r="BC2863">
        <v>1</v>
      </c>
      <c r="BE2863">
        <v>0</v>
      </c>
      <c r="BF2863">
        <v>0</v>
      </c>
      <c r="BG2863">
        <v>0</v>
      </c>
      <c r="BH2863">
        <v>3850</v>
      </c>
      <c r="BI2863">
        <v>150</v>
      </c>
      <c r="BJ2863">
        <v>1</v>
      </c>
      <c r="BK2863">
        <v>1</v>
      </c>
      <c r="BL2863">
        <v>1</v>
      </c>
      <c r="BM2863">
        <v>0</v>
      </c>
      <c r="BP2863">
        <v>0</v>
      </c>
      <c r="BQ2863">
        <v>0</v>
      </c>
      <c r="BX2863" t="str">
        <f>"14:38:04.281"</f>
        <v>14:38:04.281</v>
      </c>
      <c r="BY2863" t="str">
        <f>"280873735"</f>
        <v>280873735</v>
      </c>
      <c r="CL2863">
        <v>0</v>
      </c>
      <c r="CM2863">
        <v>2</v>
      </c>
      <c r="CN2863">
        <v>0</v>
      </c>
      <c r="CO2863">
        <v>2</v>
      </c>
      <c r="CP2863">
        <v>0</v>
      </c>
      <c r="CQ2863">
        <v>6</v>
      </c>
      <c r="CR2863" t="s">
        <v>116</v>
      </c>
      <c r="CS2863">
        <v>38</v>
      </c>
      <c r="CT2863">
        <v>3</v>
      </c>
      <c r="CU2863" t="s">
        <v>4719</v>
      </c>
      <c r="CV2863" t="s">
        <v>4720</v>
      </c>
      <c r="CY2863">
        <v>10340193</v>
      </c>
      <c r="CZ2863" t="s">
        <v>119</v>
      </c>
    </row>
    <row r="2864" spans="1:104" x14ac:dyDescent="0.25">
      <c r="A2864" t="str">
        <f>"14:38:05.430"</f>
        <v>14:38:05.430</v>
      </c>
      <c r="B2864" t="s">
        <v>108</v>
      </c>
      <c r="C2864" t="str">
        <f t="shared" si="133"/>
        <v>ffdfd3c0</v>
      </c>
      <c r="D2864" t="s">
        <v>109</v>
      </c>
      <c r="E2864">
        <v>4</v>
      </c>
      <c r="F2864">
        <v>1004</v>
      </c>
      <c r="G2864" t="s">
        <v>110</v>
      </c>
      <c r="J2864" t="s">
        <v>111</v>
      </c>
      <c r="K2864">
        <v>0</v>
      </c>
      <c r="L2864">
        <v>3</v>
      </c>
      <c r="M2864">
        <v>0</v>
      </c>
      <c r="N2864">
        <v>2</v>
      </c>
      <c r="O2864">
        <v>1</v>
      </c>
      <c r="P2864">
        <v>0</v>
      </c>
      <c r="Q2864">
        <v>0</v>
      </c>
      <c r="R2864" t="s">
        <v>112</v>
      </c>
      <c r="S2864" t="str">
        <f>"14:38:05.258"</f>
        <v>14:38:05.258</v>
      </c>
      <c r="T2864" t="str">
        <f>"14:38:04.758"</f>
        <v>14:38:04.758</v>
      </c>
      <c r="U2864" t="str">
        <f t="shared" si="132"/>
        <v>ad5732</v>
      </c>
      <c r="V2864">
        <v>0</v>
      </c>
      <c r="W2864">
        <v>0</v>
      </c>
      <c r="X2864">
        <v>1</v>
      </c>
      <c r="Z2864">
        <v>0</v>
      </c>
      <c r="AA2864">
        <v>9</v>
      </c>
      <c r="AB2864">
        <v>3</v>
      </c>
      <c r="AC2864">
        <v>0</v>
      </c>
      <c r="AD2864">
        <v>10</v>
      </c>
      <c r="AE2864">
        <v>0</v>
      </c>
      <c r="AF2864">
        <v>3</v>
      </c>
      <c r="AG2864">
        <v>2</v>
      </c>
      <c r="AH2864">
        <v>0</v>
      </c>
      <c r="AI2864" t="s">
        <v>5844</v>
      </c>
      <c r="AJ2864">
        <v>40.295577000000002</v>
      </c>
      <c r="AK2864" t="s">
        <v>5845</v>
      </c>
      <c r="AL2864">
        <v>-75.143243999999996</v>
      </c>
      <c r="AM2864">
        <v>100</v>
      </c>
      <c r="AN2864">
        <v>3700</v>
      </c>
      <c r="AO2864" t="s">
        <v>115</v>
      </c>
      <c r="AP2864">
        <v>128</v>
      </c>
      <c r="AQ2864">
        <v>118</v>
      </c>
      <c r="AR2864">
        <v>0</v>
      </c>
      <c r="AZ2864">
        <v>3614</v>
      </c>
      <c r="BA2864">
        <v>1</v>
      </c>
      <c r="BB2864" t="str">
        <f t="shared" si="134"/>
        <v xml:space="preserve">N959MJ  </v>
      </c>
      <c r="BC2864">
        <v>1</v>
      </c>
      <c r="BE2864">
        <v>0</v>
      </c>
      <c r="BF2864">
        <v>0</v>
      </c>
      <c r="BG2864">
        <v>0</v>
      </c>
      <c r="BH2864">
        <v>3850</v>
      </c>
      <c r="BI2864">
        <v>150</v>
      </c>
      <c r="BJ2864">
        <v>1</v>
      </c>
      <c r="BK2864">
        <v>1</v>
      </c>
      <c r="BL2864">
        <v>1</v>
      </c>
      <c r="BM2864">
        <v>0</v>
      </c>
      <c r="BP2864">
        <v>0</v>
      </c>
      <c r="BQ2864">
        <v>0</v>
      </c>
      <c r="BX2864" t="str">
        <f>"14:38:05.258"</f>
        <v>14:38:05.258</v>
      </c>
      <c r="BY2864" t="str">
        <f>"259101638"</f>
        <v>259101638</v>
      </c>
      <c r="CL2864">
        <v>0</v>
      </c>
      <c r="CM2864">
        <v>2</v>
      </c>
      <c r="CN2864">
        <v>0</v>
      </c>
      <c r="CO2864">
        <v>2</v>
      </c>
      <c r="CP2864">
        <v>0</v>
      </c>
      <c r="CQ2864">
        <v>6</v>
      </c>
      <c r="CR2864" t="s">
        <v>116</v>
      </c>
      <c r="CS2864">
        <v>39</v>
      </c>
      <c r="CT2864">
        <v>0</v>
      </c>
      <c r="CU2864" t="s">
        <v>2259</v>
      </c>
      <c r="CV2864" t="s">
        <v>2260</v>
      </c>
      <c r="CY2864">
        <v>2541989</v>
      </c>
      <c r="CZ2864" t="s">
        <v>119</v>
      </c>
    </row>
    <row r="2865" spans="1:104" x14ac:dyDescent="0.25">
      <c r="A2865" t="str">
        <f>"14:38:06.289"</f>
        <v>14:38:06.289</v>
      </c>
      <c r="B2865" t="s">
        <v>108</v>
      </c>
      <c r="C2865" t="str">
        <f t="shared" si="133"/>
        <v>ffdfd3c0</v>
      </c>
      <c r="D2865" t="s">
        <v>109</v>
      </c>
      <c r="E2865">
        <v>4</v>
      </c>
      <c r="F2865">
        <v>1004</v>
      </c>
      <c r="G2865" t="s">
        <v>110</v>
      </c>
      <c r="J2865" t="s">
        <v>111</v>
      </c>
      <c r="K2865">
        <v>0</v>
      </c>
      <c r="L2865">
        <v>3</v>
      </c>
      <c r="M2865">
        <v>0</v>
      </c>
      <c r="N2865">
        <v>2</v>
      </c>
      <c r="O2865">
        <v>1</v>
      </c>
      <c r="P2865">
        <v>0</v>
      </c>
      <c r="Q2865">
        <v>0</v>
      </c>
      <c r="R2865" t="s">
        <v>112</v>
      </c>
      <c r="S2865" t="str">
        <f>"14:38:06.133"</f>
        <v>14:38:06.133</v>
      </c>
      <c r="T2865" t="str">
        <f>"14:38:05.734"</f>
        <v>14:38:05.734</v>
      </c>
      <c r="U2865" t="str">
        <f t="shared" si="132"/>
        <v>ad5732</v>
      </c>
      <c r="V2865">
        <v>0</v>
      </c>
      <c r="W2865">
        <v>0</v>
      </c>
      <c r="X2865">
        <v>1</v>
      </c>
      <c r="Z2865">
        <v>0</v>
      </c>
      <c r="AA2865">
        <v>9</v>
      </c>
      <c r="AB2865">
        <v>3</v>
      </c>
      <c r="AC2865">
        <v>0</v>
      </c>
      <c r="AD2865">
        <v>10</v>
      </c>
      <c r="AE2865">
        <v>0</v>
      </c>
      <c r="AF2865">
        <v>3</v>
      </c>
      <c r="AG2865">
        <v>2</v>
      </c>
      <c r="AH2865">
        <v>0</v>
      </c>
      <c r="AI2865" t="s">
        <v>5846</v>
      </c>
      <c r="AJ2865">
        <v>40.296070999999998</v>
      </c>
      <c r="AK2865" t="s">
        <v>5847</v>
      </c>
      <c r="AL2865">
        <v>-75.142578999999998</v>
      </c>
      <c r="AM2865">
        <v>100</v>
      </c>
      <c r="AN2865">
        <v>3700</v>
      </c>
      <c r="AO2865" t="s">
        <v>115</v>
      </c>
      <c r="AP2865">
        <v>128</v>
      </c>
      <c r="AQ2865">
        <v>118</v>
      </c>
      <c r="AR2865">
        <v>0</v>
      </c>
      <c r="AZ2865">
        <v>3614</v>
      </c>
      <c r="BA2865">
        <v>1</v>
      </c>
      <c r="BB2865" t="str">
        <f t="shared" si="134"/>
        <v xml:space="preserve">N959MJ  </v>
      </c>
      <c r="BC2865">
        <v>1</v>
      </c>
      <c r="BE2865">
        <v>0</v>
      </c>
      <c r="BF2865">
        <v>0</v>
      </c>
      <c r="BG2865">
        <v>0</v>
      </c>
      <c r="BH2865">
        <v>3850</v>
      </c>
      <c r="BI2865">
        <v>150</v>
      </c>
      <c r="BJ2865">
        <v>1</v>
      </c>
      <c r="BK2865">
        <v>1</v>
      </c>
      <c r="BL2865">
        <v>1</v>
      </c>
      <c r="BM2865">
        <v>0</v>
      </c>
      <c r="BP2865">
        <v>0</v>
      </c>
      <c r="BQ2865">
        <v>0</v>
      </c>
      <c r="BX2865" t="str">
        <f>"14:38:06.133"</f>
        <v>14:38:06.133</v>
      </c>
      <c r="BY2865" t="str">
        <f>"133936067"</f>
        <v>133936067</v>
      </c>
      <c r="CL2865">
        <v>0</v>
      </c>
      <c r="CM2865">
        <v>2</v>
      </c>
      <c r="CN2865">
        <v>0</v>
      </c>
      <c r="CO2865">
        <v>2</v>
      </c>
      <c r="CP2865">
        <v>0</v>
      </c>
      <c r="CQ2865">
        <v>6</v>
      </c>
      <c r="CR2865" t="s">
        <v>116</v>
      </c>
      <c r="CS2865">
        <v>38</v>
      </c>
      <c r="CT2865">
        <v>3</v>
      </c>
      <c r="CU2865" t="s">
        <v>4719</v>
      </c>
      <c r="CV2865" t="s">
        <v>4720</v>
      </c>
      <c r="CY2865">
        <v>10343242</v>
      </c>
      <c r="CZ2865" t="s">
        <v>119</v>
      </c>
    </row>
    <row r="2866" spans="1:104" x14ac:dyDescent="0.25">
      <c r="A2866" t="str">
        <f>"14:38:07.344"</f>
        <v>14:38:07.344</v>
      </c>
      <c r="B2866" t="s">
        <v>108</v>
      </c>
      <c r="C2866" t="str">
        <f t="shared" si="133"/>
        <v>ffdfd3c0</v>
      </c>
      <c r="D2866" t="s">
        <v>109</v>
      </c>
      <c r="E2866">
        <v>4</v>
      </c>
      <c r="F2866">
        <v>1004</v>
      </c>
      <c r="G2866" t="s">
        <v>110</v>
      </c>
      <c r="J2866" t="s">
        <v>111</v>
      </c>
      <c r="K2866">
        <v>0</v>
      </c>
      <c r="L2866">
        <v>3</v>
      </c>
      <c r="M2866">
        <v>0</v>
      </c>
      <c r="N2866">
        <v>2</v>
      </c>
      <c r="O2866">
        <v>1</v>
      </c>
      <c r="P2866">
        <v>0</v>
      </c>
      <c r="Q2866">
        <v>0</v>
      </c>
      <c r="R2866" t="s">
        <v>112</v>
      </c>
      <c r="S2866" t="str">
        <f>"14:38:07.172"</f>
        <v>14:38:07.172</v>
      </c>
      <c r="T2866" t="str">
        <f>"14:38:06.672"</f>
        <v>14:38:06.672</v>
      </c>
      <c r="U2866" t="str">
        <f t="shared" si="132"/>
        <v>ad5732</v>
      </c>
      <c r="V2866">
        <v>0</v>
      </c>
      <c r="W2866">
        <v>0</v>
      </c>
      <c r="X2866">
        <v>1</v>
      </c>
      <c r="Z2866">
        <v>0</v>
      </c>
      <c r="AA2866">
        <v>9</v>
      </c>
      <c r="AB2866">
        <v>3</v>
      </c>
      <c r="AC2866">
        <v>0</v>
      </c>
      <c r="AD2866">
        <v>10</v>
      </c>
      <c r="AE2866">
        <v>0</v>
      </c>
      <c r="AF2866">
        <v>3</v>
      </c>
      <c r="AG2866">
        <v>2</v>
      </c>
      <c r="AH2866">
        <v>0</v>
      </c>
      <c r="AI2866" t="s">
        <v>5848</v>
      </c>
      <c r="AJ2866">
        <v>40.296607000000002</v>
      </c>
      <c r="AK2866" t="s">
        <v>5849</v>
      </c>
      <c r="AL2866">
        <v>-75.141784999999999</v>
      </c>
      <c r="AM2866">
        <v>100</v>
      </c>
      <c r="AN2866">
        <v>3700</v>
      </c>
      <c r="AO2866" t="s">
        <v>115</v>
      </c>
      <c r="AP2866">
        <v>128</v>
      </c>
      <c r="AQ2866">
        <v>119</v>
      </c>
      <c r="AR2866">
        <v>0</v>
      </c>
      <c r="AZ2866">
        <v>3614</v>
      </c>
      <c r="BA2866">
        <v>1</v>
      </c>
      <c r="BB2866" t="str">
        <f t="shared" si="134"/>
        <v xml:space="preserve">N959MJ  </v>
      </c>
      <c r="BC2866">
        <v>1</v>
      </c>
      <c r="BE2866">
        <v>0</v>
      </c>
      <c r="BF2866">
        <v>0</v>
      </c>
      <c r="BG2866">
        <v>0</v>
      </c>
      <c r="BH2866">
        <v>3850</v>
      </c>
      <c r="BI2866">
        <v>150</v>
      </c>
      <c r="BJ2866">
        <v>1</v>
      </c>
      <c r="BK2866">
        <v>1</v>
      </c>
      <c r="BL2866">
        <v>1</v>
      </c>
      <c r="BM2866">
        <v>0</v>
      </c>
      <c r="BP2866">
        <v>0</v>
      </c>
      <c r="BQ2866">
        <v>0</v>
      </c>
      <c r="BX2866" t="str">
        <f>"14:38:07.180"</f>
        <v>14:38:07.180</v>
      </c>
      <c r="BY2866" t="str">
        <f>"177614726"</f>
        <v>177614726</v>
      </c>
      <c r="CL2866">
        <v>0</v>
      </c>
      <c r="CM2866">
        <v>2</v>
      </c>
      <c r="CN2866">
        <v>0</v>
      </c>
      <c r="CO2866">
        <v>2</v>
      </c>
      <c r="CP2866">
        <v>0</v>
      </c>
      <c r="CQ2866">
        <v>7</v>
      </c>
      <c r="CR2866" t="s">
        <v>116</v>
      </c>
      <c r="CS2866">
        <v>38</v>
      </c>
      <c r="CT2866">
        <v>3</v>
      </c>
      <c r="CU2866" t="s">
        <v>4719</v>
      </c>
      <c r="CV2866" t="s">
        <v>4720</v>
      </c>
      <c r="CY2866">
        <v>10345172</v>
      </c>
      <c r="CZ2866" t="s">
        <v>119</v>
      </c>
    </row>
    <row r="2867" spans="1:104" x14ac:dyDescent="0.25">
      <c r="A2867" t="str">
        <f>"14:38:08.359"</f>
        <v>14:38:08.359</v>
      </c>
      <c r="B2867" t="s">
        <v>108</v>
      </c>
      <c r="C2867" t="str">
        <f t="shared" si="133"/>
        <v>ffdfd3c0</v>
      </c>
      <c r="D2867" t="s">
        <v>109</v>
      </c>
      <c r="E2867">
        <v>4</v>
      </c>
      <c r="F2867">
        <v>1004</v>
      </c>
      <c r="G2867" t="s">
        <v>110</v>
      </c>
      <c r="J2867" t="s">
        <v>111</v>
      </c>
      <c r="K2867">
        <v>0</v>
      </c>
      <c r="L2867">
        <v>3</v>
      </c>
      <c r="M2867">
        <v>0</v>
      </c>
      <c r="N2867">
        <v>2</v>
      </c>
      <c r="O2867">
        <v>1</v>
      </c>
      <c r="P2867">
        <v>0</v>
      </c>
      <c r="Q2867">
        <v>0</v>
      </c>
      <c r="R2867" t="s">
        <v>112</v>
      </c>
      <c r="S2867" t="str">
        <f>"14:38:08.188"</f>
        <v>14:38:08.188</v>
      </c>
      <c r="T2867" t="str">
        <f>"14:38:07.688"</f>
        <v>14:38:07.688</v>
      </c>
      <c r="U2867" t="str">
        <f t="shared" si="132"/>
        <v>ad5732</v>
      </c>
      <c r="V2867">
        <v>0</v>
      </c>
      <c r="W2867">
        <v>0</v>
      </c>
      <c r="X2867">
        <v>1</v>
      </c>
      <c r="Z2867">
        <v>0</v>
      </c>
      <c r="AA2867">
        <v>9</v>
      </c>
      <c r="AB2867">
        <v>3</v>
      </c>
      <c r="AC2867">
        <v>0</v>
      </c>
      <c r="AD2867">
        <v>10</v>
      </c>
      <c r="AE2867">
        <v>0</v>
      </c>
      <c r="AF2867">
        <v>3</v>
      </c>
      <c r="AG2867">
        <v>2</v>
      </c>
      <c r="AH2867">
        <v>0</v>
      </c>
      <c r="AI2867" t="s">
        <v>5850</v>
      </c>
      <c r="AJ2867">
        <v>40.297165</v>
      </c>
      <c r="AK2867" t="s">
        <v>5851</v>
      </c>
      <c r="AL2867">
        <v>-75.140991</v>
      </c>
      <c r="AM2867">
        <v>100</v>
      </c>
      <c r="AN2867">
        <v>3700</v>
      </c>
      <c r="AO2867" t="s">
        <v>115</v>
      </c>
      <c r="AP2867">
        <v>128</v>
      </c>
      <c r="AQ2867">
        <v>119</v>
      </c>
      <c r="AR2867">
        <v>64</v>
      </c>
      <c r="AZ2867">
        <v>3614</v>
      </c>
      <c r="BA2867">
        <v>1</v>
      </c>
      <c r="BB2867" t="str">
        <f t="shared" si="134"/>
        <v xml:space="preserve">N959MJ  </v>
      </c>
      <c r="BC2867">
        <v>1</v>
      </c>
      <c r="BE2867">
        <v>0</v>
      </c>
      <c r="BF2867">
        <v>0</v>
      </c>
      <c r="BG2867">
        <v>0</v>
      </c>
      <c r="BH2867">
        <v>3850</v>
      </c>
      <c r="BI2867">
        <v>150</v>
      </c>
      <c r="BJ2867">
        <v>1</v>
      </c>
      <c r="BK2867">
        <v>1</v>
      </c>
      <c r="BL2867">
        <v>1</v>
      </c>
      <c r="BM2867">
        <v>0</v>
      </c>
      <c r="BP2867">
        <v>0</v>
      </c>
      <c r="BQ2867">
        <v>0</v>
      </c>
      <c r="BX2867" t="str">
        <f>"14:38:08.188"</f>
        <v>14:38:08.188</v>
      </c>
      <c r="BY2867" t="str">
        <f>"188645907"</f>
        <v>188645907</v>
      </c>
      <c r="CL2867">
        <v>0</v>
      </c>
      <c r="CM2867">
        <v>2</v>
      </c>
      <c r="CN2867">
        <v>0</v>
      </c>
      <c r="CO2867">
        <v>2</v>
      </c>
      <c r="CP2867">
        <v>0</v>
      </c>
      <c r="CQ2867">
        <v>4</v>
      </c>
      <c r="CR2867" t="s">
        <v>116</v>
      </c>
      <c r="CS2867">
        <v>408</v>
      </c>
      <c r="CT2867">
        <v>0</v>
      </c>
      <c r="CU2867" t="s">
        <v>2317</v>
      </c>
      <c r="CV2867" t="s">
        <v>2318</v>
      </c>
      <c r="CY2867">
        <v>12380596</v>
      </c>
      <c r="CZ2867" t="s">
        <v>119</v>
      </c>
    </row>
    <row r="2868" spans="1:104" x14ac:dyDescent="0.25">
      <c r="A2868" t="str">
        <f>"14:38:09.367"</f>
        <v>14:38:09.367</v>
      </c>
      <c r="B2868" t="s">
        <v>108</v>
      </c>
      <c r="C2868" t="str">
        <f t="shared" si="133"/>
        <v>ffdfd3c0</v>
      </c>
      <c r="D2868" t="s">
        <v>109</v>
      </c>
      <c r="E2868">
        <v>4</v>
      </c>
      <c r="F2868">
        <v>1004</v>
      </c>
      <c r="G2868" t="s">
        <v>110</v>
      </c>
      <c r="J2868" t="s">
        <v>111</v>
      </c>
      <c r="K2868">
        <v>0</v>
      </c>
      <c r="L2868">
        <v>3</v>
      </c>
      <c r="M2868">
        <v>0</v>
      </c>
      <c r="N2868">
        <v>2</v>
      </c>
      <c r="O2868">
        <v>1</v>
      </c>
      <c r="P2868">
        <v>0</v>
      </c>
      <c r="Q2868">
        <v>0</v>
      </c>
      <c r="R2868" t="s">
        <v>112</v>
      </c>
      <c r="S2868" t="str">
        <f>"14:38:09.172"</f>
        <v>14:38:09.172</v>
      </c>
      <c r="T2868" t="str">
        <f>"14:38:08.773"</f>
        <v>14:38:08.773</v>
      </c>
      <c r="U2868" t="str">
        <f t="shared" si="132"/>
        <v>ad5732</v>
      </c>
      <c r="V2868">
        <v>0</v>
      </c>
      <c r="W2868">
        <v>0</v>
      </c>
      <c r="X2868">
        <v>1</v>
      </c>
      <c r="Z2868">
        <v>0</v>
      </c>
      <c r="AA2868">
        <v>9</v>
      </c>
      <c r="AB2868">
        <v>3</v>
      </c>
      <c r="AC2868">
        <v>0</v>
      </c>
      <c r="AD2868">
        <v>10</v>
      </c>
      <c r="AE2868">
        <v>0</v>
      </c>
      <c r="AF2868">
        <v>3</v>
      </c>
      <c r="AG2868">
        <v>2</v>
      </c>
      <c r="AH2868">
        <v>0</v>
      </c>
      <c r="AI2868" t="s">
        <v>5852</v>
      </c>
      <c r="AJ2868">
        <v>40.297722999999998</v>
      </c>
      <c r="AK2868" t="s">
        <v>5853</v>
      </c>
      <c r="AL2868">
        <v>-75.140262000000007</v>
      </c>
      <c r="AM2868">
        <v>100</v>
      </c>
      <c r="AN2868">
        <v>3700</v>
      </c>
      <c r="AO2868" t="s">
        <v>115</v>
      </c>
      <c r="AP2868">
        <v>128</v>
      </c>
      <c r="AQ2868">
        <v>119</v>
      </c>
      <c r="AR2868">
        <v>128</v>
      </c>
      <c r="AZ2868">
        <v>3614</v>
      </c>
      <c r="BA2868">
        <v>1</v>
      </c>
      <c r="BB2868" t="str">
        <f t="shared" si="134"/>
        <v xml:space="preserve">N959MJ  </v>
      </c>
      <c r="BC2868">
        <v>1</v>
      </c>
      <c r="BE2868">
        <v>0</v>
      </c>
      <c r="BF2868">
        <v>0</v>
      </c>
      <c r="BG2868">
        <v>0</v>
      </c>
      <c r="BH2868">
        <v>3850</v>
      </c>
      <c r="BI2868">
        <v>150</v>
      </c>
      <c r="BJ2868">
        <v>1</v>
      </c>
      <c r="BK2868">
        <v>1</v>
      </c>
      <c r="BL2868">
        <v>1</v>
      </c>
      <c r="BM2868">
        <v>0</v>
      </c>
      <c r="BP2868">
        <v>0</v>
      </c>
      <c r="BQ2868">
        <v>0</v>
      </c>
      <c r="BX2868" t="str">
        <f>"14:38:09.180"</f>
        <v>14:38:09.180</v>
      </c>
      <c r="BY2868" t="str">
        <f>"178135547"</f>
        <v>178135547</v>
      </c>
      <c r="CL2868">
        <v>0</v>
      </c>
      <c r="CM2868">
        <v>2</v>
      </c>
      <c r="CN2868">
        <v>0</v>
      </c>
      <c r="CO2868">
        <v>2</v>
      </c>
      <c r="CP2868">
        <v>0</v>
      </c>
      <c r="CQ2868">
        <v>6</v>
      </c>
      <c r="CR2868" t="s">
        <v>116</v>
      </c>
      <c r="CS2868">
        <v>38</v>
      </c>
      <c r="CT2868">
        <v>3</v>
      </c>
      <c r="CU2868" t="s">
        <v>4719</v>
      </c>
      <c r="CV2868" t="s">
        <v>4720</v>
      </c>
      <c r="CY2868">
        <v>10348637</v>
      </c>
      <c r="CZ2868" t="s">
        <v>119</v>
      </c>
    </row>
    <row r="2869" spans="1:104" x14ac:dyDescent="0.25">
      <c r="A2869" t="str">
        <f>"14:38:10.273"</f>
        <v>14:38:10.273</v>
      </c>
      <c r="B2869" t="s">
        <v>108</v>
      </c>
      <c r="C2869" t="str">
        <f t="shared" si="133"/>
        <v>ffdfd3c0</v>
      </c>
      <c r="D2869" t="s">
        <v>109</v>
      </c>
      <c r="E2869">
        <v>4</v>
      </c>
      <c r="F2869">
        <v>1004</v>
      </c>
      <c r="G2869" t="s">
        <v>110</v>
      </c>
      <c r="J2869" t="s">
        <v>111</v>
      </c>
      <c r="K2869">
        <v>0</v>
      </c>
      <c r="L2869">
        <v>3</v>
      </c>
      <c r="M2869">
        <v>0</v>
      </c>
      <c r="N2869">
        <v>2</v>
      </c>
      <c r="O2869">
        <v>1</v>
      </c>
      <c r="P2869">
        <v>0</v>
      </c>
      <c r="Q2869">
        <v>0</v>
      </c>
      <c r="R2869" t="s">
        <v>112</v>
      </c>
      <c r="S2869" t="str">
        <f>"14:38:10.109"</f>
        <v>14:38:10.109</v>
      </c>
      <c r="T2869" t="str">
        <f>"14:38:09.711"</f>
        <v>14:38:09.711</v>
      </c>
      <c r="U2869" t="str">
        <f t="shared" si="132"/>
        <v>ad5732</v>
      </c>
      <c r="V2869">
        <v>0</v>
      </c>
      <c r="W2869">
        <v>0</v>
      </c>
      <c r="X2869">
        <v>1</v>
      </c>
      <c r="Z2869">
        <v>0</v>
      </c>
      <c r="AA2869">
        <v>9</v>
      </c>
      <c r="AB2869">
        <v>3</v>
      </c>
      <c r="AC2869">
        <v>0</v>
      </c>
      <c r="AD2869">
        <v>10</v>
      </c>
      <c r="AE2869">
        <v>0</v>
      </c>
      <c r="AF2869">
        <v>3</v>
      </c>
      <c r="AG2869">
        <v>2</v>
      </c>
      <c r="AH2869">
        <v>0</v>
      </c>
      <c r="AI2869" t="s">
        <v>5854</v>
      </c>
      <c r="AJ2869">
        <v>40.298215999999996</v>
      </c>
      <c r="AK2869" t="s">
        <v>5855</v>
      </c>
      <c r="AL2869">
        <v>-75.139554000000004</v>
      </c>
      <c r="AM2869">
        <v>100</v>
      </c>
      <c r="AN2869">
        <v>3700</v>
      </c>
      <c r="AO2869" t="s">
        <v>115</v>
      </c>
      <c r="AP2869">
        <v>128</v>
      </c>
      <c r="AQ2869">
        <v>119</v>
      </c>
      <c r="AR2869">
        <v>128</v>
      </c>
      <c r="AZ2869">
        <v>3614</v>
      </c>
      <c r="BA2869">
        <v>1</v>
      </c>
      <c r="BB2869" t="str">
        <f t="shared" si="134"/>
        <v xml:space="preserve">N959MJ  </v>
      </c>
      <c r="BC2869">
        <v>1</v>
      </c>
      <c r="BE2869">
        <v>0</v>
      </c>
      <c r="BF2869">
        <v>0</v>
      </c>
      <c r="BG2869">
        <v>0</v>
      </c>
      <c r="BH2869">
        <v>3850</v>
      </c>
      <c r="BI2869">
        <v>150</v>
      </c>
      <c r="BJ2869">
        <v>1</v>
      </c>
      <c r="BK2869">
        <v>1</v>
      </c>
      <c r="BL2869">
        <v>1</v>
      </c>
      <c r="BM2869">
        <v>0</v>
      </c>
      <c r="BP2869">
        <v>0</v>
      </c>
      <c r="BQ2869">
        <v>0</v>
      </c>
      <c r="BX2869" t="str">
        <f>"14:38:10.109"</f>
        <v>14:38:10.109</v>
      </c>
      <c r="BY2869" t="str">
        <f>"112039684"</f>
        <v>112039684</v>
      </c>
      <c r="CL2869">
        <v>0</v>
      </c>
      <c r="CM2869">
        <v>2</v>
      </c>
      <c r="CN2869">
        <v>0</v>
      </c>
      <c r="CO2869">
        <v>2</v>
      </c>
      <c r="CP2869">
        <v>0</v>
      </c>
      <c r="CQ2869">
        <v>7</v>
      </c>
      <c r="CR2869" t="s">
        <v>116</v>
      </c>
      <c r="CS2869">
        <v>38</v>
      </c>
      <c r="CT2869">
        <v>3</v>
      </c>
      <c r="CU2869" t="s">
        <v>4719</v>
      </c>
      <c r="CV2869" t="s">
        <v>4720</v>
      </c>
      <c r="CY2869">
        <v>10350268</v>
      </c>
      <c r="CZ2869" t="s">
        <v>119</v>
      </c>
    </row>
    <row r="2870" spans="1:104" x14ac:dyDescent="0.25">
      <c r="A2870" t="str">
        <f>"14:38:11.336"</f>
        <v>14:38:11.336</v>
      </c>
      <c r="B2870" t="s">
        <v>108</v>
      </c>
      <c r="C2870" t="str">
        <f t="shared" si="133"/>
        <v>ffdfd3c0</v>
      </c>
      <c r="D2870" t="s">
        <v>109</v>
      </c>
      <c r="E2870">
        <v>4</v>
      </c>
      <c r="F2870">
        <v>1004</v>
      </c>
      <c r="G2870" t="s">
        <v>110</v>
      </c>
      <c r="J2870" t="s">
        <v>111</v>
      </c>
      <c r="K2870">
        <v>0</v>
      </c>
      <c r="L2870">
        <v>3</v>
      </c>
      <c r="M2870">
        <v>0</v>
      </c>
      <c r="N2870">
        <v>2</v>
      </c>
      <c r="O2870">
        <v>1</v>
      </c>
      <c r="P2870">
        <v>0</v>
      </c>
      <c r="Q2870">
        <v>0</v>
      </c>
      <c r="R2870" t="s">
        <v>112</v>
      </c>
      <c r="S2870" t="str">
        <f>"14:38:11.188"</f>
        <v>14:38:11.188</v>
      </c>
      <c r="T2870" t="str">
        <f>"14:38:10.789"</f>
        <v>14:38:10.789</v>
      </c>
      <c r="U2870" t="str">
        <f t="shared" si="132"/>
        <v>ad5732</v>
      </c>
      <c r="V2870">
        <v>0</v>
      </c>
      <c r="W2870">
        <v>0</v>
      </c>
      <c r="X2870">
        <v>1</v>
      </c>
      <c r="Z2870">
        <v>0</v>
      </c>
      <c r="AA2870">
        <v>9</v>
      </c>
      <c r="AB2870">
        <v>3</v>
      </c>
      <c r="AC2870">
        <v>0</v>
      </c>
      <c r="AD2870">
        <v>10</v>
      </c>
      <c r="AE2870">
        <v>0</v>
      </c>
      <c r="AF2870">
        <v>3</v>
      </c>
      <c r="AG2870">
        <v>2</v>
      </c>
      <c r="AH2870">
        <v>0</v>
      </c>
      <c r="AI2870" t="s">
        <v>5856</v>
      </c>
      <c r="AJ2870">
        <v>40.298817</v>
      </c>
      <c r="AK2870" t="s">
        <v>5857</v>
      </c>
      <c r="AL2870">
        <v>-75.138673999999995</v>
      </c>
      <c r="AM2870">
        <v>100</v>
      </c>
      <c r="AN2870">
        <v>3700</v>
      </c>
      <c r="AO2870" t="s">
        <v>115</v>
      </c>
      <c r="AP2870">
        <v>128</v>
      </c>
      <c r="AQ2870">
        <v>119</v>
      </c>
      <c r="AR2870">
        <v>128</v>
      </c>
      <c r="AZ2870">
        <v>3614</v>
      </c>
      <c r="BA2870">
        <v>1</v>
      </c>
      <c r="BB2870" t="str">
        <f t="shared" si="134"/>
        <v xml:space="preserve">N959MJ  </v>
      </c>
      <c r="BC2870">
        <v>1</v>
      </c>
      <c r="BE2870">
        <v>0</v>
      </c>
      <c r="BF2870">
        <v>0</v>
      </c>
      <c r="BG2870">
        <v>0</v>
      </c>
      <c r="BH2870">
        <v>3875</v>
      </c>
      <c r="BI2870">
        <v>175</v>
      </c>
      <c r="BJ2870">
        <v>1</v>
      </c>
      <c r="BK2870">
        <v>1</v>
      </c>
      <c r="BL2870">
        <v>1</v>
      </c>
      <c r="BM2870">
        <v>0</v>
      </c>
      <c r="BP2870">
        <v>0</v>
      </c>
      <c r="BQ2870">
        <v>0</v>
      </c>
      <c r="BX2870" t="str">
        <f>"14:38:11.195"</f>
        <v>14:38:11.195</v>
      </c>
      <c r="BY2870" t="str">
        <f>"191763798"</f>
        <v>191763798</v>
      </c>
      <c r="CL2870">
        <v>0</v>
      </c>
      <c r="CM2870">
        <v>2</v>
      </c>
      <c r="CN2870">
        <v>0</v>
      </c>
      <c r="CO2870">
        <v>2</v>
      </c>
      <c r="CP2870">
        <v>0</v>
      </c>
      <c r="CQ2870">
        <v>7</v>
      </c>
      <c r="CR2870" t="s">
        <v>116</v>
      </c>
      <c r="CS2870">
        <v>38</v>
      </c>
      <c r="CT2870">
        <v>3</v>
      </c>
      <c r="CU2870" t="s">
        <v>4719</v>
      </c>
      <c r="CV2870" t="s">
        <v>4720</v>
      </c>
      <c r="CY2870">
        <v>10352151</v>
      </c>
      <c r="CZ2870" t="s">
        <v>119</v>
      </c>
    </row>
    <row r="2871" spans="1:104" x14ac:dyDescent="0.25">
      <c r="A2871" t="str">
        <f>"14:38:12.344"</f>
        <v>14:38:12.344</v>
      </c>
      <c r="B2871" t="s">
        <v>108</v>
      </c>
      <c r="C2871" t="str">
        <f t="shared" si="133"/>
        <v>ffdfd3c0</v>
      </c>
      <c r="D2871" t="s">
        <v>109</v>
      </c>
      <c r="E2871">
        <v>4</v>
      </c>
      <c r="F2871">
        <v>1004</v>
      </c>
      <c r="G2871" t="s">
        <v>110</v>
      </c>
      <c r="J2871" t="s">
        <v>111</v>
      </c>
      <c r="K2871">
        <v>0</v>
      </c>
      <c r="L2871">
        <v>3</v>
      </c>
      <c r="M2871">
        <v>0</v>
      </c>
      <c r="N2871">
        <v>2</v>
      </c>
      <c r="O2871">
        <v>1</v>
      </c>
      <c r="P2871">
        <v>0</v>
      </c>
      <c r="Q2871">
        <v>0</v>
      </c>
      <c r="R2871" t="s">
        <v>112</v>
      </c>
      <c r="S2871" t="str">
        <f>"14:38:12.156"</f>
        <v>14:38:12.156</v>
      </c>
      <c r="T2871" t="str">
        <f>"14:38:11.758"</f>
        <v>14:38:11.758</v>
      </c>
      <c r="U2871" t="str">
        <f t="shared" si="132"/>
        <v>ad5732</v>
      </c>
      <c r="V2871">
        <v>0</v>
      </c>
      <c r="W2871">
        <v>0</v>
      </c>
      <c r="X2871">
        <v>1</v>
      </c>
      <c r="Z2871">
        <v>0</v>
      </c>
      <c r="AA2871">
        <v>9</v>
      </c>
      <c r="AB2871">
        <v>3</v>
      </c>
      <c r="AC2871">
        <v>0</v>
      </c>
      <c r="AD2871">
        <v>10</v>
      </c>
      <c r="AE2871">
        <v>0</v>
      </c>
      <c r="AF2871">
        <v>3</v>
      </c>
      <c r="AG2871">
        <v>2</v>
      </c>
      <c r="AH2871">
        <v>0</v>
      </c>
      <c r="AI2871" t="s">
        <v>5858</v>
      </c>
      <c r="AJ2871">
        <v>40.299354000000001</v>
      </c>
      <c r="AK2871" t="s">
        <v>5859</v>
      </c>
      <c r="AL2871">
        <v>-75.137944000000005</v>
      </c>
      <c r="AM2871">
        <v>100</v>
      </c>
      <c r="AN2871">
        <v>3700</v>
      </c>
      <c r="AO2871" t="s">
        <v>115</v>
      </c>
      <c r="AP2871">
        <v>127</v>
      </c>
      <c r="AQ2871">
        <v>119</v>
      </c>
      <c r="AR2871">
        <v>64</v>
      </c>
      <c r="AZ2871">
        <v>3614</v>
      </c>
      <c r="BA2871">
        <v>1</v>
      </c>
      <c r="BB2871" t="str">
        <f t="shared" si="134"/>
        <v xml:space="preserve">N959MJ  </v>
      </c>
      <c r="BC2871">
        <v>1</v>
      </c>
      <c r="BE2871">
        <v>0</v>
      </c>
      <c r="BF2871">
        <v>0</v>
      </c>
      <c r="BG2871">
        <v>0</v>
      </c>
      <c r="BH2871">
        <v>3875</v>
      </c>
      <c r="BI2871">
        <v>175</v>
      </c>
      <c r="BJ2871">
        <v>1</v>
      </c>
      <c r="BK2871">
        <v>1</v>
      </c>
      <c r="BL2871">
        <v>1</v>
      </c>
      <c r="BM2871">
        <v>0</v>
      </c>
      <c r="BP2871">
        <v>0</v>
      </c>
      <c r="BQ2871">
        <v>0</v>
      </c>
      <c r="BX2871" t="str">
        <f>"14:38:12.164"</f>
        <v>14:38:12.164</v>
      </c>
      <c r="BY2871" t="str">
        <f>"161713406"</f>
        <v>161713406</v>
      </c>
      <c r="CL2871">
        <v>0</v>
      </c>
      <c r="CM2871">
        <v>2</v>
      </c>
      <c r="CN2871">
        <v>0</v>
      </c>
      <c r="CO2871">
        <v>2</v>
      </c>
      <c r="CP2871">
        <v>0</v>
      </c>
      <c r="CQ2871">
        <v>7</v>
      </c>
      <c r="CR2871" t="s">
        <v>116</v>
      </c>
      <c r="CS2871">
        <v>38</v>
      </c>
      <c r="CT2871">
        <v>3</v>
      </c>
      <c r="CU2871" t="s">
        <v>4719</v>
      </c>
      <c r="CV2871" t="s">
        <v>4720</v>
      </c>
      <c r="CY2871">
        <v>10353839</v>
      </c>
      <c r="CZ2871" t="s">
        <v>119</v>
      </c>
    </row>
    <row r="2872" spans="1:104" x14ac:dyDescent="0.25">
      <c r="A2872" t="str">
        <f>"14:38:13.250"</f>
        <v>14:38:13.250</v>
      </c>
      <c r="B2872" t="s">
        <v>108</v>
      </c>
      <c r="C2872" t="str">
        <f t="shared" si="133"/>
        <v>ffdfd3c0</v>
      </c>
      <c r="D2872" t="s">
        <v>109</v>
      </c>
      <c r="E2872">
        <v>4</v>
      </c>
      <c r="F2872">
        <v>1004</v>
      </c>
      <c r="G2872" t="s">
        <v>110</v>
      </c>
      <c r="J2872" t="s">
        <v>111</v>
      </c>
      <c r="K2872">
        <v>0</v>
      </c>
      <c r="L2872">
        <v>3</v>
      </c>
      <c r="M2872">
        <v>0</v>
      </c>
      <c r="N2872">
        <v>2</v>
      </c>
      <c r="O2872">
        <v>1</v>
      </c>
      <c r="P2872">
        <v>0</v>
      </c>
      <c r="Q2872">
        <v>0</v>
      </c>
      <c r="R2872" t="s">
        <v>112</v>
      </c>
      <c r="S2872" t="str">
        <f>"14:38:13.094"</f>
        <v>14:38:13.094</v>
      </c>
      <c r="T2872" t="str">
        <f>"14:38:12.695"</f>
        <v>14:38:12.695</v>
      </c>
      <c r="U2872" t="str">
        <f t="shared" si="132"/>
        <v>ad5732</v>
      </c>
      <c r="V2872">
        <v>0</v>
      </c>
      <c r="W2872">
        <v>0</v>
      </c>
      <c r="X2872">
        <v>1</v>
      </c>
      <c r="Z2872">
        <v>0</v>
      </c>
      <c r="AA2872">
        <v>9</v>
      </c>
      <c r="AB2872">
        <v>3</v>
      </c>
      <c r="AC2872">
        <v>0</v>
      </c>
      <c r="AD2872">
        <v>10</v>
      </c>
      <c r="AE2872">
        <v>0</v>
      </c>
      <c r="AF2872">
        <v>3</v>
      </c>
      <c r="AG2872">
        <v>2</v>
      </c>
      <c r="AH2872">
        <v>0</v>
      </c>
      <c r="AI2872" t="s">
        <v>5860</v>
      </c>
      <c r="AJ2872">
        <v>40.299847</v>
      </c>
      <c r="AK2872" t="s">
        <v>5861</v>
      </c>
      <c r="AL2872">
        <v>-75.137236000000001</v>
      </c>
      <c r="AM2872">
        <v>100</v>
      </c>
      <c r="AN2872">
        <v>3700</v>
      </c>
      <c r="AO2872" t="s">
        <v>115</v>
      </c>
      <c r="AP2872">
        <v>127</v>
      </c>
      <c r="AQ2872">
        <v>120</v>
      </c>
      <c r="AR2872">
        <v>0</v>
      </c>
      <c r="AZ2872">
        <v>3614</v>
      </c>
      <c r="BA2872">
        <v>1</v>
      </c>
      <c r="BB2872" t="str">
        <f t="shared" si="134"/>
        <v xml:space="preserve">N959MJ  </v>
      </c>
      <c r="BC2872">
        <v>1</v>
      </c>
      <c r="BE2872">
        <v>0</v>
      </c>
      <c r="BF2872">
        <v>0</v>
      </c>
      <c r="BG2872">
        <v>0</v>
      </c>
      <c r="BH2872">
        <v>3875</v>
      </c>
      <c r="BI2872">
        <v>175</v>
      </c>
      <c r="BJ2872">
        <v>1</v>
      </c>
      <c r="BK2872">
        <v>1</v>
      </c>
      <c r="BL2872">
        <v>1</v>
      </c>
      <c r="BM2872">
        <v>0</v>
      </c>
      <c r="BP2872">
        <v>0</v>
      </c>
      <c r="BQ2872">
        <v>0</v>
      </c>
      <c r="BX2872" t="str">
        <f>"14:38:13.094"</f>
        <v>14:38:13.094</v>
      </c>
      <c r="BY2872" t="str">
        <f>"094069246"</f>
        <v>094069246</v>
      </c>
      <c r="CL2872">
        <v>0</v>
      </c>
      <c r="CM2872">
        <v>2</v>
      </c>
      <c r="CN2872">
        <v>0</v>
      </c>
      <c r="CO2872">
        <v>2</v>
      </c>
      <c r="CP2872">
        <v>0</v>
      </c>
      <c r="CQ2872">
        <v>6</v>
      </c>
      <c r="CR2872" t="s">
        <v>116</v>
      </c>
      <c r="CS2872">
        <v>39</v>
      </c>
      <c r="CT2872">
        <v>0</v>
      </c>
      <c r="CU2872" t="s">
        <v>2259</v>
      </c>
      <c r="CV2872" t="s">
        <v>2260</v>
      </c>
      <c r="CY2872">
        <v>2554230</v>
      </c>
      <c r="CZ2872" t="s">
        <v>119</v>
      </c>
    </row>
    <row r="2873" spans="1:104" x14ac:dyDescent="0.25">
      <c r="A2873" t="str">
        <f>"14:38:14.211"</f>
        <v>14:38:14.211</v>
      </c>
      <c r="B2873" t="s">
        <v>108</v>
      </c>
      <c r="C2873" t="str">
        <f t="shared" si="133"/>
        <v>ffdfd3c0</v>
      </c>
      <c r="D2873" t="s">
        <v>109</v>
      </c>
      <c r="E2873">
        <v>4</v>
      </c>
      <c r="F2873">
        <v>1004</v>
      </c>
      <c r="G2873" t="s">
        <v>110</v>
      </c>
      <c r="J2873" t="s">
        <v>111</v>
      </c>
      <c r="K2873">
        <v>0</v>
      </c>
      <c r="L2873">
        <v>3</v>
      </c>
      <c r="M2873">
        <v>0</v>
      </c>
      <c r="N2873">
        <v>2</v>
      </c>
      <c r="O2873">
        <v>1</v>
      </c>
      <c r="P2873">
        <v>0</v>
      </c>
      <c r="Q2873">
        <v>0</v>
      </c>
      <c r="R2873" t="s">
        <v>112</v>
      </c>
      <c r="S2873" t="str">
        <f>"14:38:14.016"</f>
        <v>14:38:14.016</v>
      </c>
      <c r="T2873" t="str">
        <f>"14:38:13.617"</f>
        <v>14:38:13.617</v>
      </c>
      <c r="U2873" t="str">
        <f t="shared" si="132"/>
        <v>ad5732</v>
      </c>
      <c r="V2873">
        <v>0</v>
      </c>
      <c r="W2873">
        <v>0</v>
      </c>
      <c r="X2873">
        <v>1</v>
      </c>
      <c r="Z2873">
        <v>0</v>
      </c>
      <c r="AA2873">
        <v>9</v>
      </c>
      <c r="AB2873">
        <v>3</v>
      </c>
      <c r="AC2873">
        <v>0</v>
      </c>
      <c r="AD2873">
        <v>10</v>
      </c>
      <c r="AE2873">
        <v>0</v>
      </c>
      <c r="AF2873">
        <v>3</v>
      </c>
      <c r="AG2873">
        <v>2</v>
      </c>
      <c r="AH2873">
        <v>0</v>
      </c>
      <c r="AI2873" t="s">
        <v>5862</v>
      </c>
      <c r="AJ2873">
        <v>40.300404999999998</v>
      </c>
      <c r="AK2873" t="s">
        <v>5863</v>
      </c>
      <c r="AL2873">
        <v>-75.136442000000002</v>
      </c>
      <c r="AM2873">
        <v>100</v>
      </c>
      <c r="AN2873">
        <v>3700</v>
      </c>
      <c r="AO2873" t="s">
        <v>115</v>
      </c>
      <c r="AP2873">
        <v>127</v>
      </c>
      <c r="AQ2873">
        <v>120</v>
      </c>
      <c r="AR2873">
        <v>0</v>
      </c>
      <c r="AZ2873">
        <v>3614</v>
      </c>
      <c r="BA2873">
        <v>1</v>
      </c>
      <c r="BB2873" t="str">
        <f t="shared" si="134"/>
        <v xml:space="preserve">N959MJ  </v>
      </c>
      <c r="BC2873">
        <v>1</v>
      </c>
      <c r="BE2873">
        <v>0</v>
      </c>
      <c r="BF2873">
        <v>0</v>
      </c>
      <c r="BG2873">
        <v>0</v>
      </c>
      <c r="BH2873">
        <v>3875</v>
      </c>
      <c r="BI2873">
        <v>175</v>
      </c>
      <c r="BJ2873">
        <v>1</v>
      </c>
      <c r="BK2873">
        <v>1</v>
      </c>
      <c r="BL2873">
        <v>1</v>
      </c>
      <c r="BM2873">
        <v>0</v>
      </c>
      <c r="BP2873">
        <v>0</v>
      </c>
      <c r="BQ2873">
        <v>0</v>
      </c>
      <c r="BX2873" t="str">
        <f>"14:38:14.023"</f>
        <v>14:38:14.023</v>
      </c>
      <c r="BY2873" t="str">
        <f>"021329307"</f>
        <v>021329307</v>
      </c>
      <c r="CL2873">
        <v>0</v>
      </c>
      <c r="CM2873">
        <v>2</v>
      </c>
      <c r="CN2873">
        <v>0</v>
      </c>
      <c r="CO2873">
        <v>2</v>
      </c>
      <c r="CP2873">
        <v>0</v>
      </c>
      <c r="CQ2873">
        <v>7</v>
      </c>
      <c r="CR2873" t="s">
        <v>116</v>
      </c>
      <c r="CS2873">
        <v>38</v>
      </c>
      <c r="CT2873">
        <v>3</v>
      </c>
      <c r="CU2873" t="s">
        <v>4719</v>
      </c>
      <c r="CV2873" t="s">
        <v>4720</v>
      </c>
      <c r="CY2873">
        <v>10356976</v>
      </c>
      <c r="CZ2873" t="s">
        <v>119</v>
      </c>
    </row>
    <row r="2874" spans="1:104" x14ac:dyDescent="0.25">
      <c r="A2874" t="str">
        <f>"14:38:15.227"</f>
        <v>14:38:15.227</v>
      </c>
      <c r="B2874" t="s">
        <v>108</v>
      </c>
      <c r="C2874" t="str">
        <f t="shared" si="133"/>
        <v>ffdfd3c0</v>
      </c>
      <c r="D2874" t="s">
        <v>109</v>
      </c>
      <c r="E2874">
        <v>4</v>
      </c>
      <c r="F2874">
        <v>1004</v>
      </c>
      <c r="G2874" t="s">
        <v>110</v>
      </c>
      <c r="J2874" t="s">
        <v>111</v>
      </c>
      <c r="K2874">
        <v>0</v>
      </c>
      <c r="L2874">
        <v>3</v>
      </c>
      <c r="M2874">
        <v>0</v>
      </c>
      <c r="N2874">
        <v>2</v>
      </c>
      <c r="O2874">
        <v>1</v>
      </c>
      <c r="P2874">
        <v>0</v>
      </c>
      <c r="Q2874">
        <v>0</v>
      </c>
      <c r="R2874" t="s">
        <v>112</v>
      </c>
      <c r="S2874" t="str">
        <f>"14:38:15.023"</f>
        <v>14:38:15.023</v>
      </c>
      <c r="T2874" t="str">
        <f>"14:38:14.625"</f>
        <v>14:38:14.625</v>
      </c>
      <c r="U2874" t="str">
        <f t="shared" si="132"/>
        <v>ad5732</v>
      </c>
      <c r="V2874">
        <v>0</v>
      </c>
      <c r="W2874">
        <v>0</v>
      </c>
      <c r="X2874">
        <v>1</v>
      </c>
      <c r="Z2874">
        <v>0</v>
      </c>
      <c r="AA2874">
        <v>9</v>
      </c>
      <c r="AB2874">
        <v>3</v>
      </c>
      <c r="AC2874">
        <v>0</v>
      </c>
      <c r="AD2874">
        <v>10</v>
      </c>
      <c r="AE2874">
        <v>0</v>
      </c>
      <c r="AF2874">
        <v>3</v>
      </c>
      <c r="AG2874">
        <v>2</v>
      </c>
      <c r="AH2874">
        <v>0</v>
      </c>
      <c r="AI2874" t="s">
        <v>5864</v>
      </c>
      <c r="AJ2874">
        <v>40.300963000000003</v>
      </c>
      <c r="AK2874" t="s">
        <v>5865</v>
      </c>
      <c r="AL2874">
        <v>-75.135690999999994</v>
      </c>
      <c r="AM2874">
        <v>100</v>
      </c>
      <c r="AN2874">
        <v>3700</v>
      </c>
      <c r="AO2874" t="s">
        <v>115</v>
      </c>
      <c r="AP2874">
        <v>127</v>
      </c>
      <c r="AQ2874">
        <v>120</v>
      </c>
      <c r="AR2874">
        <v>-64</v>
      </c>
      <c r="AZ2874">
        <v>3614</v>
      </c>
      <c r="BA2874">
        <v>1</v>
      </c>
      <c r="BB2874" t="str">
        <f t="shared" si="134"/>
        <v xml:space="preserve">N959MJ  </v>
      </c>
      <c r="BC2874">
        <v>1</v>
      </c>
      <c r="BE2874">
        <v>0</v>
      </c>
      <c r="BF2874">
        <v>0</v>
      </c>
      <c r="BG2874">
        <v>0</v>
      </c>
      <c r="BH2874">
        <v>3875</v>
      </c>
      <c r="BI2874">
        <v>175</v>
      </c>
      <c r="BJ2874">
        <v>1</v>
      </c>
      <c r="BK2874">
        <v>1</v>
      </c>
      <c r="BL2874">
        <v>1</v>
      </c>
      <c r="BM2874">
        <v>0</v>
      </c>
      <c r="BP2874">
        <v>0</v>
      </c>
      <c r="BQ2874">
        <v>0</v>
      </c>
      <c r="BX2874" t="str">
        <f>"14:38:15.031"</f>
        <v>14:38:15.031</v>
      </c>
      <c r="BY2874" t="str">
        <f>"030601075"</f>
        <v>030601075</v>
      </c>
      <c r="CL2874">
        <v>0</v>
      </c>
      <c r="CM2874">
        <v>2</v>
      </c>
      <c r="CN2874">
        <v>0</v>
      </c>
      <c r="CO2874">
        <v>2</v>
      </c>
      <c r="CP2874">
        <v>0</v>
      </c>
      <c r="CQ2874">
        <v>7</v>
      </c>
      <c r="CR2874" t="s">
        <v>116</v>
      </c>
      <c r="CS2874">
        <v>38</v>
      </c>
      <c r="CT2874">
        <v>3</v>
      </c>
      <c r="CU2874" t="s">
        <v>4719</v>
      </c>
      <c r="CV2874" t="s">
        <v>4720</v>
      </c>
      <c r="CY2874">
        <v>10358655</v>
      </c>
      <c r="CZ2874" t="s">
        <v>119</v>
      </c>
    </row>
    <row r="2875" spans="1:104" x14ac:dyDescent="0.25">
      <c r="A2875" t="str">
        <f>"14:38:16.086"</f>
        <v>14:38:16.086</v>
      </c>
      <c r="B2875" t="s">
        <v>108</v>
      </c>
      <c r="C2875" t="str">
        <f t="shared" si="133"/>
        <v>ffdfd3c0</v>
      </c>
      <c r="D2875" t="s">
        <v>109</v>
      </c>
      <c r="E2875">
        <v>4</v>
      </c>
      <c r="F2875">
        <v>1004</v>
      </c>
      <c r="G2875" t="s">
        <v>110</v>
      </c>
      <c r="J2875" t="s">
        <v>111</v>
      </c>
      <c r="K2875">
        <v>0</v>
      </c>
      <c r="L2875">
        <v>3</v>
      </c>
      <c r="M2875">
        <v>0</v>
      </c>
      <c r="N2875">
        <v>2</v>
      </c>
      <c r="O2875">
        <v>1</v>
      </c>
      <c r="P2875">
        <v>0</v>
      </c>
      <c r="Q2875">
        <v>0</v>
      </c>
      <c r="R2875" t="s">
        <v>112</v>
      </c>
      <c r="S2875" t="str">
        <f>"14:38:15.906"</f>
        <v>14:38:15.906</v>
      </c>
      <c r="T2875" t="str">
        <f>"14:38:15.508"</f>
        <v>14:38:15.508</v>
      </c>
      <c r="U2875" t="str">
        <f t="shared" si="132"/>
        <v>ad5732</v>
      </c>
      <c r="V2875">
        <v>0</v>
      </c>
      <c r="W2875">
        <v>0</v>
      </c>
      <c r="X2875">
        <v>1</v>
      </c>
      <c r="Z2875">
        <v>0</v>
      </c>
      <c r="AA2875">
        <v>9</v>
      </c>
      <c r="AB2875">
        <v>3</v>
      </c>
      <c r="AC2875">
        <v>0</v>
      </c>
      <c r="AD2875">
        <v>10</v>
      </c>
      <c r="AE2875">
        <v>0</v>
      </c>
      <c r="AF2875">
        <v>3</v>
      </c>
      <c r="AG2875">
        <v>2</v>
      </c>
      <c r="AH2875">
        <v>0</v>
      </c>
      <c r="AI2875" t="s">
        <v>5866</v>
      </c>
      <c r="AJ2875">
        <v>40.301434999999998</v>
      </c>
      <c r="AK2875" t="s">
        <v>5867</v>
      </c>
      <c r="AL2875">
        <v>-75.135069000000001</v>
      </c>
      <c r="AM2875">
        <v>100</v>
      </c>
      <c r="AN2875">
        <v>3700</v>
      </c>
      <c r="AO2875" t="s">
        <v>115</v>
      </c>
      <c r="AP2875">
        <v>127</v>
      </c>
      <c r="AQ2875">
        <v>120</v>
      </c>
      <c r="AR2875">
        <v>-64</v>
      </c>
      <c r="AZ2875">
        <v>3614</v>
      </c>
      <c r="BA2875">
        <v>1</v>
      </c>
      <c r="BB2875" t="str">
        <f t="shared" si="134"/>
        <v xml:space="preserve">N959MJ  </v>
      </c>
      <c r="BC2875">
        <v>1</v>
      </c>
      <c r="BE2875">
        <v>0</v>
      </c>
      <c r="BF2875">
        <v>0</v>
      </c>
      <c r="BG2875">
        <v>0</v>
      </c>
      <c r="BH2875">
        <v>3875</v>
      </c>
      <c r="BI2875">
        <v>175</v>
      </c>
      <c r="BJ2875">
        <v>1</v>
      </c>
      <c r="BK2875">
        <v>1</v>
      </c>
      <c r="BL2875">
        <v>1</v>
      </c>
      <c r="BM2875">
        <v>0</v>
      </c>
      <c r="BP2875">
        <v>0</v>
      </c>
      <c r="BQ2875">
        <v>0</v>
      </c>
      <c r="BX2875" t="str">
        <f>"14:38:15.914"</f>
        <v>14:38:15.914</v>
      </c>
      <c r="BY2875" t="str">
        <f>"913713882"</f>
        <v>913713882</v>
      </c>
      <c r="CL2875">
        <v>0</v>
      </c>
      <c r="CM2875">
        <v>2</v>
      </c>
      <c r="CN2875">
        <v>0</v>
      </c>
      <c r="CO2875">
        <v>2</v>
      </c>
      <c r="CP2875">
        <v>0</v>
      </c>
      <c r="CQ2875">
        <v>7</v>
      </c>
      <c r="CR2875" t="s">
        <v>116</v>
      </c>
      <c r="CS2875">
        <v>38</v>
      </c>
      <c r="CT2875">
        <v>3</v>
      </c>
      <c r="CU2875" t="s">
        <v>4719</v>
      </c>
      <c r="CV2875" t="s">
        <v>4720</v>
      </c>
      <c r="CY2875">
        <v>10360162</v>
      </c>
      <c r="CZ2875" t="s">
        <v>119</v>
      </c>
    </row>
    <row r="2876" spans="1:104" x14ac:dyDescent="0.25">
      <c r="A2876" t="str">
        <f>"14:38:17.039"</f>
        <v>14:38:17.039</v>
      </c>
      <c r="B2876" t="s">
        <v>108</v>
      </c>
      <c r="C2876" t="str">
        <f t="shared" si="133"/>
        <v>ffdfd3c0</v>
      </c>
      <c r="D2876" t="s">
        <v>109</v>
      </c>
      <c r="E2876">
        <v>4</v>
      </c>
      <c r="F2876">
        <v>1004</v>
      </c>
      <c r="G2876" t="s">
        <v>110</v>
      </c>
      <c r="J2876" t="s">
        <v>111</v>
      </c>
      <c r="K2876">
        <v>0</v>
      </c>
      <c r="L2876">
        <v>3</v>
      </c>
      <c r="M2876">
        <v>0</v>
      </c>
      <c r="N2876">
        <v>2</v>
      </c>
      <c r="O2876">
        <v>1</v>
      </c>
      <c r="P2876">
        <v>0</v>
      </c>
      <c r="Q2876">
        <v>0</v>
      </c>
      <c r="R2876" t="s">
        <v>112</v>
      </c>
      <c r="S2876" t="str">
        <f>"14:38:16.844"</f>
        <v>14:38:16.844</v>
      </c>
      <c r="T2876" t="str">
        <f>"14:38:16.445"</f>
        <v>14:38:16.445</v>
      </c>
      <c r="U2876" t="str">
        <f t="shared" si="132"/>
        <v>ad5732</v>
      </c>
      <c r="V2876">
        <v>0</v>
      </c>
      <c r="W2876">
        <v>0</v>
      </c>
      <c r="X2876">
        <v>1</v>
      </c>
      <c r="Z2876">
        <v>0</v>
      </c>
      <c r="AA2876">
        <v>9</v>
      </c>
      <c r="AB2876">
        <v>3</v>
      </c>
      <c r="AC2876">
        <v>0</v>
      </c>
      <c r="AD2876">
        <v>10</v>
      </c>
      <c r="AE2876">
        <v>0</v>
      </c>
      <c r="AF2876">
        <v>3</v>
      </c>
      <c r="AG2876">
        <v>2</v>
      </c>
      <c r="AH2876">
        <v>0</v>
      </c>
      <c r="AI2876" t="s">
        <v>5868</v>
      </c>
      <c r="AJ2876">
        <v>40.301993000000003</v>
      </c>
      <c r="AK2876" t="s">
        <v>5869</v>
      </c>
      <c r="AL2876">
        <v>-75.134317999999993</v>
      </c>
      <c r="AM2876">
        <v>100</v>
      </c>
      <c r="AN2876">
        <v>3700</v>
      </c>
      <c r="AO2876" t="s">
        <v>115</v>
      </c>
      <c r="AP2876">
        <v>127</v>
      </c>
      <c r="AQ2876">
        <v>121</v>
      </c>
      <c r="AR2876">
        <v>-128</v>
      </c>
      <c r="AZ2876">
        <v>3614</v>
      </c>
      <c r="BA2876">
        <v>1</v>
      </c>
      <c r="BB2876" t="str">
        <f t="shared" si="134"/>
        <v xml:space="preserve">N959MJ  </v>
      </c>
      <c r="BC2876">
        <v>1</v>
      </c>
      <c r="BE2876">
        <v>0</v>
      </c>
      <c r="BF2876">
        <v>0</v>
      </c>
      <c r="BG2876">
        <v>0</v>
      </c>
      <c r="BH2876">
        <v>3850</v>
      </c>
      <c r="BI2876">
        <v>150</v>
      </c>
      <c r="BJ2876">
        <v>1</v>
      </c>
      <c r="BK2876">
        <v>1</v>
      </c>
      <c r="BL2876">
        <v>1</v>
      </c>
      <c r="BM2876">
        <v>0</v>
      </c>
      <c r="BP2876">
        <v>0</v>
      </c>
      <c r="BQ2876">
        <v>0</v>
      </c>
      <c r="BX2876" t="str">
        <f>"14:38:16.852"</f>
        <v>14:38:16.852</v>
      </c>
      <c r="BY2876" t="str">
        <f>"847710044"</f>
        <v>847710044</v>
      </c>
      <c r="CL2876">
        <v>0</v>
      </c>
      <c r="CM2876">
        <v>2</v>
      </c>
      <c r="CN2876">
        <v>0</v>
      </c>
      <c r="CO2876">
        <v>2</v>
      </c>
      <c r="CP2876">
        <v>0</v>
      </c>
      <c r="CQ2876">
        <v>6</v>
      </c>
      <c r="CR2876" t="s">
        <v>116</v>
      </c>
      <c r="CS2876">
        <v>39</v>
      </c>
      <c r="CT2876">
        <v>0</v>
      </c>
      <c r="CU2876" t="s">
        <v>2259</v>
      </c>
      <c r="CV2876" t="s">
        <v>2260</v>
      </c>
      <c r="CY2876">
        <v>2560063</v>
      </c>
      <c r="CZ2876" t="s">
        <v>119</v>
      </c>
    </row>
    <row r="2877" spans="1:104" x14ac:dyDescent="0.25">
      <c r="A2877" t="str">
        <f>"14:38:18.047"</f>
        <v>14:38:18.047</v>
      </c>
      <c r="B2877" t="s">
        <v>108</v>
      </c>
      <c r="C2877" t="str">
        <f t="shared" si="133"/>
        <v>ffdfd3c0</v>
      </c>
      <c r="D2877" t="s">
        <v>109</v>
      </c>
      <c r="E2877">
        <v>4</v>
      </c>
      <c r="F2877">
        <v>1004</v>
      </c>
      <c r="G2877" t="s">
        <v>110</v>
      </c>
      <c r="J2877" t="s">
        <v>111</v>
      </c>
      <c r="K2877">
        <v>0</v>
      </c>
      <c r="L2877">
        <v>3</v>
      </c>
      <c r="M2877">
        <v>0</v>
      </c>
      <c r="N2877">
        <v>2</v>
      </c>
      <c r="O2877">
        <v>1</v>
      </c>
      <c r="P2877">
        <v>0</v>
      </c>
      <c r="Q2877">
        <v>0</v>
      </c>
      <c r="R2877" t="s">
        <v>112</v>
      </c>
      <c r="S2877" t="str">
        <f>"14:38:17.875"</f>
        <v>14:38:17.875</v>
      </c>
      <c r="T2877" t="str">
        <f>"14:38:17.375"</f>
        <v>14:38:17.375</v>
      </c>
      <c r="U2877" t="str">
        <f t="shared" si="132"/>
        <v>ad5732</v>
      </c>
      <c r="V2877">
        <v>0</v>
      </c>
      <c r="W2877">
        <v>0</v>
      </c>
      <c r="X2877">
        <v>1</v>
      </c>
      <c r="Z2877">
        <v>0</v>
      </c>
      <c r="AA2877">
        <v>9</v>
      </c>
      <c r="AB2877">
        <v>3</v>
      </c>
      <c r="AC2877">
        <v>0</v>
      </c>
      <c r="AD2877">
        <v>10</v>
      </c>
      <c r="AE2877">
        <v>0</v>
      </c>
      <c r="AF2877">
        <v>3</v>
      </c>
      <c r="AG2877">
        <v>2</v>
      </c>
      <c r="AH2877">
        <v>0</v>
      </c>
      <c r="AI2877" t="s">
        <v>5870</v>
      </c>
      <c r="AJ2877">
        <v>40.302551000000001</v>
      </c>
      <c r="AK2877" t="s">
        <v>5871</v>
      </c>
      <c r="AL2877">
        <v>-75.133566999999999</v>
      </c>
      <c r="AM2877">
        <v>100</v>
      </c>
      <c r="AN2877">
        <v>3700</v>
      </c>
      <c r="AO2877" t="s">
        <v>115</v>
      </c>
      <c r="AP2877">
        <v>127</v>
      </c>
      <c r="AQ2877">
        <v>121</v>
      </c>
      <c r="AR2877">
        <v>-64</v>
      </c>
      <c r="AZ2877">
        <v>3614</v>
      </c>
      <c r="BA2877">
        <v>1</v>
      </c>
      <c r="BB2877" t="str">
        <f t="shared" si="134"/>
        <v xml:space="preserve">N959MJ  </v>
      </c>
      <c r="BC2877">
        <v>1</v>
      </c>
      <c r="BE2877">
        <v>0</v>
      </c>
      <c r="BF2877">
        <v>0</v>
      </c>
      <c r="BG2877">
        <v>0</v>
      </c>
      <c r="BH2877">
        <v>3850</v>
      </c>
      <c r="BI2877">
        <v>150</v>
      </c>
      <c r="BJ2877">
        <v>1</v>
      </c>
      <c r="BK2877">
        <v>1</v>
      </c>
      <c r="BL2877">
        <v>1</v>
      </c>
      <c r="BM2877">
        <v>0</v>
      </c>
      <c r="BP2877">
        <v>0</v>
      </c>
      <c r="BQ2877">
        <v>0</v>
      </c>
      <c r="BX2877" t="str">
        <f>"14:38:17.875"</f>
        <v>14:38:17.875</v>
      </c>
      <c r="BY2877" t="str">
        <f>"878189297"</f>
        <v>878189297</v>
      </c>
      <c r="CL2877">
        <v>0</v>
      </c>
      <c r="CM2877">
        <v>2</v>
      </c>
      <c r="CN2877">
        <v>0</v>
      </c>
      <c r="CO2877">
        <v>2</v>
      </c>
      <c r="CP2877">
        <v>0</v>
      </c>
      <c r="CQ2877">
        <v>7</v>
      </c>
      <c r="CR2877" t="s">
        <v>116</v>
      </c>
      <c r="CS2877">
        <v>38</v>
      </c>
      <c r="CT2877">
        <v>3</v>
      </c>
      <c r="CU2877" t="s">
        <v>4719</v>
      </c>
      <c r="CV2877" t="s">
        <v>4720</v>
      </c>
      <c r="CY2877">
        <v>10363570</v>
      </c>
      <c r="CZ2877" t="s">
        <v>119</v>
      </c>
    </row>
    <row r="2878" spans="1:104" x14ac:dyDescent="0.25">
      <c r="A2878" t="str">
        <f>"14:38:19.109"</f>
        <v>14:38:19.109</v>
      </c>
      <c r="B2878" t="s">
        <v>108</v>
      </c>
      <c r="C2878" t="str">
        <f t="shared" si="133"/>
        <v>ffdfd3c0</v>
      </c>
      <c r="D2878" t="s">
        <v>109</v>
      </c>
      <c r="E2878">
        <v>4</v>
      </c>
      <c r="F2878">
        <v>1004</v>
      </c>
      <c r="G2878" t="s">
        <v>110</v>
      </c>
      <c r="J2878" t="s">
        <v>111</v>
      </c>
      <c r="K2878">
        <v>0</v>
      </c>
      <c r="L2878">
        <v>3</v>
      </c>
      <c r="M2878">
        <v>0</v>
      </c>
      <c r="N2878">
        <v>2</v>
      </c>
      <c r="O2878">
        <v>1</v>
      </c>
      <c r="P2878">
        <v>0</v>
      </c>
      <c r="Q2878">
        <v>0</v>
      </c>
      <c r="R2878" t="s">
        <v>112</v>
      </c>
      <c r="S2878" t="str">
        <f>"14:38:18.922"</f>
        <v>14:38:18.922</v>
      </c>
      <c r="T2878" t="str">
        <f>"14:38:18.422"</f>
        <v>14:38:18.422</v>
      </c>
      <c r="U2878" t="str">
        <f t="shared" si="132"/>
        <v>ad5732</v>
      </c>
      <c r="V2878">
        <v>0</v>
      </c>
      <c r="W2878">
        <v>0</v>
      </c>
      <c r="X2878">
        <v>1</v>
      </c>
      <c r="Z2878">
        <v>0</v>
      </c>
      <c r="AA2878">
        <v>9</v>
      </c>
      <c r="AB2878">
        <v>3</v>
      </c>
      <c r="AC2878">
        <v>0</v>
      </c>
      <c r="AD2878">
        <v>10</v>
      </c>
      <c r="AE2878">
        <v>0</v>
      </c>
      <c r="AF2878">
        <v>3</v>
      </c>
      <c r="AG2878">
        <v>2</v>
      </c>
      <c r="AH2878">
        <v>0</v>
      </c>
      <c r="AI2878" t="s">
        <v>5872</v>
      </c>
      <c r="AJ2878">
        <v>40.303151999999997</v>
      </c>
      <c r="AK2878" t="s">
        <v>5873</v>
      </c>
      <c r="AL2878">
        <v>-75.132687000000004</v>
      </c>
      <c r="AM2878">
        <v>100</v>
      </c>
      <c r="AN2878">
        <v>3700</v>
      </c>
      <c r="AO2878" t="s">
        <v>115</v>
      </c>
      <c r="AP2878">
        <v>127</v>
      </c>
      <c r="AQ2878">
        <v>121</v>
      </c>
      <c r="AR2878">
        <v>-64</v>
      </c>
      <c r="AZ2878">
        <v>3614</v>
      </c>
      <c r="BA2878">
        <v>1</v>
      </c>
      <c r="BB2878" t="str">
        <f t="shared" si="134"/>
        <v xml:space="preserve">N959MJ  </v>
      </c>
      <c r="BC2878">
        <v>1</v>
      </c>
      <c r="BE2878">
        <v>0</v>
      </c>
      <c r="BF2878">
        <v>0</v>
      </c>
      <c r="BG2878">
        <v>0</v>
      </c>
      <c r="BH2878">
        <v>3850</v>
      </c>
      <c r="BI2878">
        <v>150</v>
      </c>
      <c r="BJ2878">
        <v>1</v>
      </c>
      <c r="BK2878">
        <v>1</v>
      </c>
      <c r="BL2878">
        <v>1</v>
      </c>
      <c r="BM2878">
        <v>0</v>
      </c>
      <c r="BP2878">
        <v>0</v>
      </c>
      <c r="BQ2878">
        <v>0</v>
      </c>
      <c r="BX2878" t="str">
        <f>"14:38:18.930"</f>
        <v>14:38:18.930</v>
      </c>
      <c r="BY2878" t="str">
        <f>"928421783"</f>
        <v>928421783</v>
      </c>
      <c r="CL2878">
        <v>0</v>
      </c>
      <c r="CM2878">
        <v>2</v>
      </c>
      <c r="CN2878">
        <v>0</v>
      </c>
      <c r="CO2878">
        <v>2</v>
      </c>
      <c r="CP2878">
        <v>0</v>
      </c>
      <c r="CQ2878">
        <v>7</v>
      </c>
      <c r="CR2878" t="s">
        <v>116</v>
      </c>
      <c r="CS2878">
        <v>38</v>
      </c>
      <c r="CT2878">
        <v>3</v>
      </c>
      <c r="CU2878" t="s">
        <v>4719</v>
      </c>
      <c r="CV2878" t="s">
        <v>4720</v>
      </c>
      <c r="CY2878">
        <v>10365375</v>
      </c>
      <c r="CZ2878" t="s">
        <v>119</v>
      </c>
    </row>
    <row r="2879" spans="1:104" x14ac:dyDescent="0.25">
      <c r="A2879" t="str">
        <f>"14:38:20.117"</f>
        <v>14:38:20.117</v>
      </c>
      <c r="B2879" t="s">
        <v>108</v>
      </c>
      <c r="C2879" t="str">
        <f t="shared" si="133"/>
        <v>ffdfd3c0</v>
      </c>
      <c r="D2879" t="s">
        <v>109</v>
      </c>
      <c r="E2879">
        <v>4</v>
      </c>
      <c r="F2879">
        <v>1004</v>
      </c>
      <c r="G2879" t="s">
        <v>110</v>
      </c>
      <c r="J2879" t="s">
        <v>111</v>
      </c>
      <c r="K2879">
        <v>0</v>
      </c>
      <c r="L2879">
        <v>3</v>
      </c>
      <c r="M2879">
        <v>0</v>
      </c>
      <c r="N2879">
        <v>2</v>
      </c>
      <c r="O2879">
        <v>1</v>
      </c>
      <c r="P2879">
        <v>0</v>
      </c>
      <c r="Q2879">
        <v>0</v>
      </c>
      <c r="R2879" t="s">
        <v>112</v>
      </c>
      <c r="S2879" t="str">
        <f>"14:38:19.906"</f>
        <v>14:38:19.906</v>
      </c>
      <c r="T2879" t="str">
        <f>"14:38:19.508"</f>
        <v>14:38:19.508</v>
      </c>
      <c r="U2879" t="str">
        <f t="shared" si="132"/>
        <v>ad5732</v>
      </c>
      <c r="V2879">
        <v>0</v>
      </c>
      <c r="W2879">
        <v>0</v>
      </c>
      <c r="X2879">
        <v>1</v>
      </c>
      <c r="Z2879">
        <v>0</v>
      </c>
      <c r="AA2879">
        <v>9</v>
      </c>
      <c r="AB2879">
        <v>3</v>
      </c>
      <c r="AC2879">
        <v>0</v>
      </c>
      <c r="AD2879">
        <v>10</v>
      </c>
      <c r="AE2879">
        <v>0</v>
      </c>
      <c r="AF2879">
        <v>3</v>
      </c>
      <c r="AG2879">
        <v>2</v>
      </c>
      <c r="AH2879">
        <v>0</v>
      </c>
      <c r="AI2879" t="s">
        <v>5874</v>
      </c>
      <c r="AJ2879">
        <v>40.303666999999997</v>
      </c>
      <c r="AK2879" t="s">
        <v>5875</v>
      </c>
      <c r="AL2879">
        <v>-75.132000000000005</v>
      </c>
      <c r="AM2879">
        <v>100</v>
      </c>
      <c r="AN2879">
        <v>3700</v>
      </c>
      <c r="AO2879" t="s">
        <v>115</v>
      </c>
      <c r="AP2879">
        <v>127</v>
      </c>
      <c r="AQ2879">
        <v>121</v>
      </c>
      <c r="AR2879">
        <v>0</v>
      </c>
      <c r="AZ2879">
        <v>3614</v>
      </c>
      <c r="BA2879">
        <v>1</v>
      </c>
      <c r="BB2879" t="str">
        <f t="shared" si="134"/>
        <v xml:space="preserve">N959MJ  </v>
      </c>
      <c r="BC2879">
        <v>1</v>
      </c>
      <c r="BE2879">
        <v>0</v>
      </c>
      <c r="BF2879">
        <v>0</v>
      </c>
      <c r="BG2879">
        <v>0</v>
      </c>
      <c r="BH2879">
        <v>3850</v>
      </c>
      <c r="BI2879">
        <v>150</v>
      </c>
      <c r="BJ2879">
        <v>1</v>
      </c>
      <c r="BK2879">
        <v>1</v>
      </c>
      <c r="BL2879">
        <v>1</v>
      </c>
      <c r="BM2879">
        <v>0</v>
      </c>
      <c r="BP2879">
        <v>0</v>
      </c>
      <c r="BQ2879">
        <v>0</v>
      </c>
      <c r="BX2879" t="str">
        <f>"14:38:19.906"</f>
        <v>14:38:19.906</v>
      </c>
      <c r="BY2879" t="str">
        <f>"909840322"</f>
        <v>909840322</v>
      </c>
      <c r="CL2879">
        <v>0</v>
      </c>
      <c r="CM2879">
        <v>2</v>
      </c>
      <c r="CN2879">
        <v>0</v>
      </c>
      <c r="CO2879">
        <v>2</v>
      </c>
      <c r="CP2879">
        <v>0</v>
      </c>
      <c r="CQ2879">
        <v>6</v>
      </c>
      <c r="CR2879" t="s">
        <v>116</v>
      </c>
      <c r="CS2879">
        <v>38</v>
      </c>
      <c r="CT2879">
        <v>3</v>
      </c>
      <c r="CU2879" t="s">
        <v>4719</v>
      </c>
      <c r="CV2879" t="s">
        <v>4720</v>
      </c>
      <c r="CY2879">
        <v>10366955</v>
      </c>
      <c r="CZ2879" t="s">
        <v>119</v>
      </c>
    </row>
    <row r="2880" spans="1:104" x14ac:dyDescent="0.25">
      <c r="A2880" t="str">
        <f>"14:38:21.234"</f>
        <v>14:38:21.234</v>
      </c>
      <c r="B2880" t="s">
        <v>108</v>
      </c>
      <c r="C2880" t="str">
        <f t="shared" si="133"/>
        <v>ffdfd3c0</v>
      </c>
      <c r="D2880" t="s">
        <v>109</v>
      </c>
      <c r="E2880">
        <v>4</v>
      </c>
      <c r="F2880">
        <v>1004</v>
      </c>
      <c r="G2880" t="s">
        <v>110</v>
      </c>
      <c r="J2880" t="s">
        <v>111</v>
      </c>
      <c r="K2880">
        <v>0</v>
      </c>
      <c r="L2880">
        <v>3</v>
      </c>
      <c r="M2880">
        <v>0</v>
      </c>
      <c r="N2880">
        <v>2</v>
      </c>
      <c r="O2880">
        <v>1</v>
      </c>
      <c r="P2880">
        <v>0</v>
      </c>
      <c r="Q2880">
        <v>0</v>
      </c>
      <c r="R2880" t="s">
        <v>112</v>
      </c>
      <c r="S2880" t="str">
        <f>"14:38:21.039"</f>
        <v>14:38:21.039</v>
      </c>
      <c r="T2880" t="str">
        <f>"14:38:20.539"</f>
        <v>14:38:20.539</v>
      </c>
      <c r="U2880" t="str">
        <f t="shared" si="132"/>
        <v>ad5732</v>
      </c>
      <c r="V2880">
        <v>0</v>
      </c>
      <c r="W2880">
        <v>0</v>
      </c>
      <c r="X2880">
        <v>1</v>
      </c>
      <c r="Z2880">
        <v>0</v>
      </c>
      <c r="AA2880">
        <v>9</v>
      </c>
      <c r="AB2880">
        <v>3</v>
      </c>
      <c r="AC2880">
        <v>0</v>
      </c>
      <c r="AD2880">
        <v>10</v>
      </c>
      <c r="AE2880">
        <v>0</v>
      </c>
      <c r="AF2880">
        <v>3</v>
      </c>
      <c r="AG2880">
        <v>2</v>
      </c>
      <c r="AH2880">
        <v>0</v>
      </c>
      <c r="AI2880" t="s">
        <v>5876</v>
      </c>
      <c r="AJ2880">
        <v>40.304332000000002</v>
      </c>
      <c r="AK2880" t="s">
        <v>5877</v>
      </c>
      <c r="AL2880">
        <v>-75.131056000000001</v>
      </c>
      <c r="AM2880">
        <v>100</v>
      </c>
      <c r="AN2880">
        <v>3700</v>
      </c>
      <c r="AO2880" t="s">
        <v>115</v>
      </c>
      <c r="AP2880">
        <v>127</v>
      </c>
      <c r="AQ2880">
        <v>121</v>
      </c>
      <c r="AR2880">
        <v>64</v>
      </c>
      <c r="AZ2880">
        <v>3614</v>
      </c>
      <c r="BA2880">
        <v>1</v>
      </c>
      <c r="BB2880" t="str">
        <f t="shared" si="134"/>
        <v xml:space="preserve">N959MJ  </v>
      </c>
      <c r="BC2880">
        <v>1</v>
      </c>
      <c r="BE2880">
        <v>0</v>
      </c>
      <c r="BF2880">
        <v>0</v>
      </c>
      <c r="BG2880">
        <v>0</v>
      </c>
      <c r="BH2880">
        <v>3850</v>
      </c>
      <c r="BI2880">
        <v>150</v>
      </c>
      <c r="BJ2880">
        <v>1</v>
      </c>
      <c r="BK2880">
        <v>1</v>
      </c>
      <c r="BL2880">
        <v>1</v>
      </c>
      <c r="BM2880">
        <v>0</v>
      </c>
      <c r="BP2880">
        <v>0</v>
      </c>
      <c r="BQ2880">
        <v>0</v>
      </c>
      <c r="BX2880" t="str">
        <f>"14:38:21.047"</f>
        <v>14:38:21.047</v>
      </c>
      <c r="BY2880" t="str">
        <f>"045271038"</f>
        <v>045271038</v>
      </c>
      <c r="CL2880">
        <v>0</v>
      </c>
      <c r="CM2880">
        <v>2</v>
      </c>
      <c r="CN2880">
        <v>0</v>
      </c>
      <c r="CO2880">
        <v>2</v>
      </c>
      <c r="CP2880">
        <v>0</v>
      </c>
      <c r="CQ2880">
        <v>7</v>
      </c>
      <c r="CR2880" t="s">
        <v>116</v>
      </c>
      <c r="CS2880">
        <v>38</v>
      </c>
      <c r="CT2880">
        <v>3</v>
      </c>
      <c r="CU2880" t="s">
        <v>4719</v>
      </c>
      <c r="CV2880" t="s">
        <v>4720</v>
      </c>
      <c r="CY2880">
        <v>10369049</v>
      </c>
      <c r="CZ2880" t="s">
        <v>119</v>
      </c>
    </row>
    <row r="2881" spans="1:104" x14ac:dyDescent="0.25">
      <c r="A2881" t="str">
        <f>"14:38:22.289"</f>
        <v>14:38:22.289</v>
      </c>
      <c r="B2881" t="s">
        <v>108</v>
      </c>
      <c r="C2881" t="str">
        <f t="shared" si="133"/>
        <v>ffdfd3c0</v>
      </c>
      <c r="D2881" t="s">
        <v>109</v>
      </c>
      <c r="E2881">
        <v>4</v>
      </c>
      <c r="F2881">
        <v>1004</v>
      </c>
      <c r="G2881" t="s">
        <v>110</v>
      </c>
      <c r="J2881" t="s">
        <v>111</v>
      </c>
      <c r="K2881">
        <v>0</v>
      </c>
      <c r="L2881">
        <v>3</v>
      </c>
      <c r="M2881">
        <v>0</v>
      </c>
      <c r="N2881">
        <v>2</v>
      </c>
      <c r="O2881">
        <v>1</v>
      </c>
      <c r="P2881">
        <v>0</v>
      </c>
      <c r="Q2881">
        <v>0</v>
      </c>
      <c r="R2881" t="s">
        <v>112</v>
      </c>
      <c r="S2881" t="str">
        <f>"14:38:22.133"</f>
        <v>14:38:22.133</v>
      </c>
      <c r="T2881" t="str">
        <f>"14:38:21.633"</f>
        <v>14:38:21.633</v>
      </c>
      <c r="U2881" t="str">
        <f t="shared" si="132"/>
        <v>ad5732</v>
      </c>
      <c r="V2881">
        <v>0</v>
      </c>
      <c r="W2881">
        <v>0</v>
      </c>
      <c r="X2881">
        <v>1</v>
      </c>
      <c r="Z2881">
        <v>0</v>
      </c>
      <c r="AA2881">
        <v>9</v>
      </c>
      <c r="AB2881">
        <v>3</v>
      </c>
      <c r="AC2881">
        <v>0</v>
      </c>
      <c r="AD2881">
        <v>10</v>
      </c>
      <c r="AE2881">
        <v>0</v>
      </c>
      <c r="AF2881">
        <v>3</v>
      </c>
      <c r="AG2881">
        <v>2</v>
      </c>
      <c r="AH2881">
        <v>0</v>
      </c>
      <c r="AI2881" t="s">
        <v>5878</v>
      </c>
      <c r="AJ2881">
        <v>40.304954000000002</v>
      </c>
      <c r="AK2881" t="s">
        <v>5879</v>
      </c>
      <c r="AL2881">
        <v>-75.130240999999998</v>
      </c>
      <c r="AM2881">
        <v>100</v>
      </c>
      <c r="AN2881">
        <v>3700</v>
      </c>
      <c r="AO2881" t="s">
        <v>115</v>
      </c>
      <c r="AP2881">
        <v>127</v>
      </c>
      <c r="AQ2881">
        <v>120</v>
      </c>
      <c r="AR2881">
        <v>64</v>
      </c>
      <c r="AZ2881">
        <v>3614</v>
      </c>
      <c r="BA2881">
        <v>1</v>
      </c>
      <c r="BB2881" t="str">
        <f t="shared" si="134"/>
        <v xml:space="preserve">N959MJ  </v>
      </c>
      <c r="BC2881">
        <v>1</v>
      </c>
      <c r="BE2881">
        <v>0</v>
      </c>
      <c r="BF2881">
        <v>0</v>
      </c>
      <c r="BG2881">
        <v>0</v>
      </c>
      <c r="BH2881">
        <v>3850</v>
      </c>
      <c r="BI2881">
        <v>150</v>
      </c>
      <c r="BJ2881">
        <v>1</v>
      </c>
      <c r="BK2881">
        <v>1</v>
      </c>
      <c r="BL2881">
        <v>1</v>
      </c>
      <c r="BM2881">
        <v>0</v>
      </c>
      <c r="BP2881">
        <v>0</v>
      </c>
      <c r="BQ2881">
        <v>0</v>
      </c>
      <c r="BX2881" t="str">
        <f>"14:38:22.133"</f>
        <v>14:38:22.133</v>
      </c>
      <c r="BY2881" t="str">
        <f>"135081439"</f>
        <v>135081439</v>
      </c>
      <c r="CL2881">
        <v>0</v>
      </c>
      <c r="CM2881">
        <v>2</v>
      </c>
      <c r="CN2881">
        <v>0</v>
      </c>
      <c r="CO2881">
        <v>2</v>
      </c>
      <c r="CP2881">
        <v>0</v>
      </c>
      <c r="CQ2881">
        <v>5</v>
      </c>
      <c r="CR2881" t="s">
        <v>116</v>
      </c>
      <c r="CS2881">
        <v>81</v>
      </c>
      <c r="CT2881">
        <v>2</v>
      </c>
      <c r="CU2881" t="s">
        <v>3715</v>
      </c>
      <c r="CV2881" t="s">
        <v>3716</v>
      </c>
      <c r="CY2881">
        <v>8873553</v>
      </c>
      <c r="CZ2881" t="s">
        <v>119</v>
      </c>
    </row>
    <row r="2882" spans="1:104" x14ac:dyDescent="0.25">
      <c r="A2882" t="str">
        <f>"14:38:23.305"</f>
        <v>14:38:23.305</v>
      </c>
      <c r="B2882" t="s">
        <v>108</v>
      </c>
      <c r="C2882" t="str">
        <f t="shared" si="133"/>
        <v>ffdfd3c0</v>
      </c>
      <c r="D2882" t="s">
        <v>109</v>
      </c>
      <c r="E2882">
        <v>4</v>
      </c>
      <c r="F2882">
        <v>1004</v>
      </c>
      <c r="G2882" t="s">
        <v>110</v>
      </c>
      <c r="J2882" t="s">
        <v>111</v>
      </c>
      <c r="K2882">
        <v>0</v>
      </c>
      <c r="L2882">
        <v>3</v>
      </c>
      <c r="M2882">
        <v>0</v>
      </c>
      <c r="N2882">
        <v>2</v>
      </c>
      <c r="O2882">
        <v>1</v>
      </c>
      <c r="P2882">
        <v>0</v>
      </c>
      <c r="Q2882">
        <v>0</v>
      </c>
      <c r="R2882" t="s">
        <v>112</v>
      </c>
      <c r="S2882" t="str">
        <f>"14:38:23.141"</f>
        <v>14:38:23.141</v>
      </c>
      <c r="T2882" t="str">
        <f>"14:38:22.641"</f>
        <v>14:38:22.641</v>
      </c>
      <c r="U2882" t="str">
        <f t="shared" ref="U2882:U2945" si="135">"ad5732"</f>
        <v>ad5732</v>
      </c>
      <c r="V2882">
        <v>0</v>
      </c>
      <c r="W2882">
        <v>0</v>
      </c>
      <c r="X2882">
        <v>1</v>
      </c>
      <c r="Z2882">
        <v>0</v>
      </c>
      <c r="AA2882">
        <v>9</v>
      </c>
      <c r="AB2882">
        <v>3</v>
      </c>
      <c r="AC2882">
        <v>0</v>
      </c>
      <c r="AD2882">
        <v>10</v>
      </c>
      <c r="AE2882">
        <v>0</v>
      </c>
      <c r="AF2882">
        <v>3</v>
      </c>
      <c r="AG2882">
        <v>2</v>
      </c>
      <c r="AH2882">
        <v>0</v>
      </c>
      <c r="AI2882" t="s">
        <v>5880</v>
      </c>
      <c r="AJ2882">
        <v>40.305489999999999</v>
      </c>
      <c r="AK2882" t="s">
        <v>5881</v>
      </c>
      <c r="AL2882">
        <v>-75.129446999999999</v>
      </c>
      <c r="AM2882">
        <v>100</v>
      </c>
      <c r="AN2882">
        <v>3700</v>
      </c>
      <c r="AO2882" t="s">
        <v>115</v>
      </c>
      <c r="AP2882">
        <v>127</v>
      </c>
      <c r="AQ2882">
        <v>120</v>
      </c>
      <c r="AR2882">
        <v>64</v>
      </c>
      <c r="AZ2882">
        <v>3614</v>
      </c>
      <c r="BA2882">
        <v>1</v>
      </c>
      <c r="BB2882" t="str">
        <f t="shared" si="134"/>
        <v xml:space="preserve">N959MJ  </v>
      </c>
      <c r="BC2882">
        <v>1</v>
      </c>
      <c r="BE2882">
        <v>0</v>
      </c>
      <c r="BF2882">
        <v>0</v>
      </c>
      <c r="BG2882">
        <v>0</v>
      </c>
      <c r="BH2882">
        <v>3875</v>
      </c>
      <c r="BI2882">
        <v>175</v>
      </c>
      <c r="BJ2882">
        <v>1</v>
      </c>
      <c r="BK2882">
        <v>1</v>
      </c>
      <c r="BL2882">
        <v>1</v>
      </c>
      <c r="BM2882">
        <v>0</v>
      </c>
      <c r="BP2882">
        <v>0</v>
      </c>
      <c r="BQ2882">
        <v>0</v>
      </c>
      <c r="BX2882" t="str">
        <f>"14:38:23.141"</f>
        <v>14:38:23.141</v>
      </c>
      <c r="BY2882" t="str">
        <f>"140820727"</f>
        <v>140820727</v>
      </c>
      <c r="CL2882">
        <v>0</v>
      </c>
      <c r="CM2882">
        <v>2</v>
      </c>
      <c r="CN2882">
        <v>0</v>
      </c>
      <c r="CO2882">
        <v>2</v>
      </c>
      <c r="CP2882">
        <v>0</v>
      </c>
      <c r="CQ2882">
        <v>7</v>
      </c>
      <c r="CR2882" t="s">
        <v>116</v>
      </c>
      <c r="CS2882">
        <v>38</v>
      </c>
      <c r="CT2882">
        <v>3</v>
      </c>
      <c r="CU2882" t="s">
        <v>4719</v>
      </c>
      <c r="CV2882" t="s">
        <v>4720</v>
      </c>
      <c r="CY2882">
        <v>10372694</v>
      </c>
      <c r="CZ2882" t="s">
        <v>119</v>
      </c>
    </row>
    <row r="2883" spans="1:104" x14ac:dyDescent="0.25">
      <c r="A2883" t="str">
        <f>"14:38:24.359"</f>
        <v>14:38:24.359</v>
      </c>
      <c r="B2883" t="s">
        <v>108</v>
      </c>
      <c r="C2883" t="str">
        <f t="shared" si="133"/>
        <v>ffdfd3c0</v>
      </c>
      <c r="D2883" t="s">
        <v>109</v>
      </c>
      <c r="E2883">
        <v>4</v>
      </c>
      <c r="F2883">
        <v>1004</v>
      </c>
      <c r="G2883" t="s">
        <v>110</v>
      </c>
      <c r="J2883" t="s">
        <v>111</v>
      </c>
      <c r="K2883">
        <v>0</v>
      </c>
      <c r="L2883">
        <v>3</v>
      </c>
      <c r="M2883">
        <v>0</v>
      </c>
      <c r="N2883">
        <v>2</v>
      </c>
      <c r="O2883">
        <v>1</v>
      </c>
      <c r="P2883">
        <v>0</v>
      </c>
      <c r="Q2883">
        <v>0</v>
      </c>
      <c r="R2883" t="s">
        <v>112</v>
      </c>
      <c r="S2883" t="str">
        <f>"14:38:24.164"</f>
        <v>14:38:24.164</v>
      </c>
      <c r="T2883" t="str">
        <f>"14:38:23.664"</f>
        <v>14:38:23.664</v>
      </c>
      <c r="U2883" t="str">
        <f t="shared" si="135"/>
        <v>ad5732</v>
      </c>
      <c r="V2883">
        <v>0</v>
      </c>
      <c r="W2883">
        <v>0</v>
      </c>
      <c r="X2883">
        <v>1</v>
      </c>
      <c r="Z2883">
        <v>0</v>
      </c>
      <c r="AA2883">
        <v>9</v>
      </c>
      <c r="AB2883">
        <v>3</v>
      </c>
      <c r="AC2883">
        <v>0</v>
      </c>
      <c r="AD2883">
        <v>10</v>
      </c>
      <c r="AE2883">
        <v>0</v>
      </c>
      <c r="AF2883">
        <v>3</v>
      </c>
      <c r="AG2883">
        <v>2</v>
      </c>
      <c r="AH2883">
        <v>0</v>
      </c>
      <c r="AI2883" t="s">
        <v>5882</v>
      </c>
      <c r="AJ2883">
        <v>40.306047999999997</v>
      </c>
      <c r="AK2883" t="s">
        <v>5883</v>
      </c>
      <c r="AL2883">
        <v>-75.128716999999995</v>
      </c>
      <c r="AM2883">
        <v>100</v>
      </c>
      <c r="AN2883">
        <v>3700</v>
      </c>
      <c r="AO2883" t="s">
        <v>115</v>
      </c>
      <c r="AP2883">
        <v>127</v>
      </c>
      <c r="AQ2883">
        <v>120</v>
      </c>
      <c r="AR2883">
        <v>192</v>
      </c>
      <c r="AZ2883">
        <v>3614</v>
      </c>
      <c r="BA2883">
        <v>1</v>
      </c>
      <c r="BB2883" t="str">
        <f t="shared" si="134"/>
        <v xml:space="preserve">N959MJ  </v>
      </c>
      <c r="BC2883">
        <v>1</v>
      </c>
      <c r="BE2883">
        <v>0</v>
      </c>
      <c r="BF2883">
        <v>0</v>
      </c>
      <c r="BG2883">
        <v>0</v>
      </c>
      <c r="BH2883">
        <v>3875</v>
      </c>
      <c r="BI2883">
        <v>175</v>
      </c>
      <c r="BJ2883">
        <v>1</v>
      </c>
      <c r="BK2883">
        <v>1</v>
      </c>
      <c r="BL2883">
        <v>1</v>
      </c>
      <c r="BM2883">
        <v>0</v>
      </c>
      <c r="BP2883">
        <v>0</v>
      </c>
      <c r="BQ2883">
        <v>0</v>
      </c>
      <c r="BX2883" t="str">
        <f>"14:38:24.164"</f>
        <v>14:38:24.164</v>
      </c>
      <c r="BY2883" t="str">
        <f>"166476789"</f>
        <v>166476789</v>
      </c>
      <c r="CL2883">
        <v>0</v>
      </c>
      <c r="CM2883">
        <v>2</v>
      </c>
      <c r="CN2883">
        <v>0</v>
      </c>
      <c r="CO2883">
        <v>2</v>
      </c>
      <c r="CP2883">
        <v>0</v>
      </c>
      <c r="CQ2883">
        <v>7</v>
      </c>
      <c r="CR2883" t="s">
        <v>116</v>
      </c>
      <c r="CS2883">
        <v>38</v>
      </c>
      <c r="CT2883">
        <v>3</v>
      </c>
      <c r="CU2883" t="s">
        <v>4719</v>
      </c>
      <c r="CV2883" t="s">
        <v>4720</v>
      </c>
      <c r="CY2883">
        <v>10374560</v>
      </c>
      <c r="CZ2883" t="s">
        <v>119</v>
      </c>
    </row>
    <row r="2884" spans="1:104" x14ac:dyDescent="0.25">
      <c r="A2884" t="str">
        <f>"14:38:25.172"</f>
        <v>14:38:25.172</v>
      </c>
      <c r="B2884" t="s">
        <v>108</v>
      </c>
      <c r="C2884" t="str">
        <f t="shared" si="133"/>
        <v>ffdfd3c0</v>
      </c>
      <c r="D2884" t="s">
        <v>109</v>
      </c>
      <c r="E2884">
        <v>4</v>
      </c>
      <c r="F2884">
        <v>1004</v>
      </c>
      <c r="G2884" t="s">
        <v>110</v>
      </c>
      <c r="J2884" t="s">
        <v>111</v>
      </c>
      <c r="K2884">
        <v>0</v>
      </c>
      <c r="L2884">
        <v>3</v>
      </c>
      <c r="M2884">
        <v>0</v>
      </c>
      <c r="N2884">
        <v>2</v>
      </c>
      <c r="O2884">
        <v>1</v>
      </c>
      <c r="P2884">
        <v>0</v>
      </c>
      <c r="Q2884">
        <v>0</v>
      </c>
      <c r="R2884" t="s">
        <v>112</v>
      </c>
      <c r="S2884" t="str">
        <f>"14:38:24.977"</f>
        <v>14:38:24.977</v>
      </c>
      <c r="T2884" t="str">
        <f>"14:38:24.578"</f>
        <v>14:38:24.578</v>
      </c>
      <c r="U2884" t="str">
        <f t="shared" si="135"/>
        <v>ad5732</v>
      </c>
      <c r="V2884">
        <v>0</v>
      </c>
      <c r="W2884">
        <v>0</v>
      </c>
      <c r="X2884">
        <v>1</v>
      </c>
      <c r="Z2884">
        <v>0</v>
      </c>
      <c r="AA2884">
        <v>9</v>
      </c>
      <c r="AB2884">
        <v>3</v>
      </c>
      <c r="AC2884">
        <v>0</v>
      </c>
      <c r="AD2884">
        <v>10</v>
      </c>
      <c r="AE2884">
        <v>0</v>
      </c>
      <c r="AF2884">
        <v>3</v>
      </c>
      <c r="AG2884">
        <v>2</v>
      </c>
      <c r="AH2884">
        <v>0</v>
      </c>
      <c r="AI2884" t="s">
        <v>5884</v>
      </c>
      <c r="AJ2884">
        <v>40.306499000000002</v>
      </c>
      <c r="AK2884" t="s">
        <v>5885</v>
      </c>
      <c r="AL2884">
        <v>-75.128117000000003</v>
      </c>
      <c r="AM2884">
        <v>100</v>
      </c>
      <c r="AN2884">
        <v>3700</v>
      </c>
      <c r="AO2884" t="s">
        <v>115</v>
      </c>
      <c r="AP2884">
        <v>127</v>
      </c>
      <c r="AQ2884">
        <v>121</v>
      </c>
      <c r="AR2884">
        <v>128</v>
      </c>
      <c r="AZ2884">
        <v>3614</v>
      </c>
      <c r="BA2884">
        <v>1</v>
      </c>
      <c r="BB2884" t="str">
        <f t="shared" si="134"/>
        <v xml:space="preserve">N959MJ  </v>
      </c>
      <c r="BC2884">
        <v>1</v>
      </c>
      <c r="BE2884">
        <v>0</v>
      </c>
      <c r="BF2884">
        <v>0</v>
      </c>
      <c r="BG2884">
        <v>0</v>
      </c>
      <c r="BH2884">
        <v>3875</v>
      </c>
      <c r="BI2884">
        <v>175</v>
      </c>
      <c r="BJ2884">
        <v>1</v>
      </c>
      <c r="BK2884">
        <v>1</v>
      </c>
      <c r="BL2884">
        <v>1</v>
      </c>
      <c r="BM2884">
        <v>0</v>
      </c>
      <c r="BP2884">
        <v>0</v>
      </c>
      <c r="BQ2884">
        <v>0</v>
      </c>
      <c r="BX2884" t="str">
        <f>"14:38:24.977"</f>
        <v>14:38:24.977</v>
      </c>
      <c r="BY2884" t="str">
        <f>"977498768"</f>
        <v>977498768</v>
      </c>
      <c r="CL2884">
        <v>0</v>
      </c>
      <c r="CM2884">
        <v>2</v>
      </c>
      <c r="CN2884">
        <v>0</v>
      </c>
      <c r="CO2884">
        <v>2</v>
      </c>
      <c r="CP2884">
        <v>0</v>
      </c>
      <c r="CQ2884">
        <v>7</v>
      </c>
      <c r="CR2884" t="s">
        <v>116</v>
      </c>
      <c r="CS2884">
        <v>38</v>
      </c>
      <c r="CT2884">
        <v>3</v>
      </c>
      <c r="CU2884" t="s">
        <v>4719</v>
      </c>
      <c r="CV2884" t="s">
        <v>4720</v>
      </c>
      <c r="CY2884">
        <v>10375975</v>
      </c>
      <c r="CZ2884" t="s">
        <v>119</v>
      </c>
    </row>
    <row r="2885" spans="1:104" x14ac:dyDescent="0.25">
      <c r="A2885" t="str">
        <f>"14:38:26.133"</f>
        <v>14:38:26.133</v>
      </c>
      <c r="B2885" t="s">
        <v>108</v>
      </c>
      <c r="C2885" t="str">
        <f t="shared" si="133"/>
        <v>ffdfd3c0</v>
      </c>
      <c r="D2885" t="s">
        <v>109</v>
      </c>
      <c r="E2885">
        <v>4</v>
      </c>
      <c r="F2885">
        <v>1004</v>
      </c>
      <c r="G2885" t="s">
        <v>110</v>
      </c>
      <c r="J2885" t="s">
        <v>111</v>
      </c>
      <c r="K2885">
        <v>0</v>
      </c>
      <c r="L2885">
        <v>3</v>
      </c>
      <c r="M2885">
        <v>0</v>
      </c>
      <c r="N2885">
        <v>2</v>
      </c>
      <c r="O2885">
        <v>1</v>
      </c>
      <c r="P2885">
        <v>0</v>
      </c>
      <c r="Q2885">
        <v>0</v>
      </c>
      <c r="R2885" t="s">
        <v>112</v>
      </c>
      <c r="S2885" t="str">
        <f>"14:38:25.938"</f>
        <v>14:38:25.938</v>
      </c>
      <c r="T2885" t="str">
        <f>"14:38:25.539"</f>
        <v>14:38:25.539</v>
      </c>
      <c r="U2885" t="str">
        <f t="shared" si="135"/>
        <v>ad5732</v>
      </c>
      <c r="V2885">
        <v>0</v>
      </c>
      <c r="W2885">
        <v>0</v>
      </c>
      <c r="X2885">
        <v>1</v>
      </c>
      <c r="Z2885">
        <v>0</v>
      </c>
      <c r="AA2885">
        <v>9</v>
      </c>
      <c r="AB2885">
        <v>3</v>
      </c>
      <c r="AC2885">
        <v>0</v>
      </c>
      <c r="AD2885">
        <v>10</v>
      </c>
      <c r="AE2885">
        <v>0</v>
      </c>
      <c r="AF2885">
        <v>3</v>
      </c>
      <c r="AG2885">
        <v>2</v>
      </c>
      <c r="AH2885">
        <v>0</v>
      </c>
      <c r="AI2885" t="s">
        <v>5886</v>
      </c>
      <c r="AJ2885">
        <v>40.307099999999998</v>
      </c>
      <c r="AK2885" t="s">
        <v>5887</v>
      </c>
      <c r="AL2885">
        <v>-75.127323000000004</v>
      </c>
      <c r="AM2885">
        <v>100</v>
      </c>
      <c r="AN2885">
        <v>3700</v>
      </c>
      <c r="AO2885" t="s">
        <v>115</v>
      </c>
      <c r="AP2885">
        <v>126</v>
      </c>
      <c r="AQ2885">
        <v>121</v>
      </c>
      <c r="AR2885">
        <v>0</v>
      </c>
      <c r="AZ2885">
        <v>3614</v>
      </c>
      <c r="BA2885">
        <v>1</v>
      </c>
      <c r="BB2885" t="str">
        <f t="shared" si="134"/>
        <v xml:space="preserve">N959MJ  </v>
      </c>
      <c r="BC2885">
        <v>1</v>
      </c>
      <c r="BE2885">
        <v>0</v>
      </c>
      <c r="BF2885">
        <v>0</v>
      </c>
      <c r="BG2885">
        <v>0</v>
      </c>
      <c r="BH2885">
        <v>3875</v>
      </c>
      <c r="BI2885">
        <v>175</v>
      </c>
      <c r="BJ2885">
        <v>1</v>
      </c>
      <c r="BK2885">
        <v>1</v>
      </c>
      <c r="BL2885">
        <v>1</v>
      </c>
      <c r="BM2885">
        <v>0</v>
      </c>
      <c r="BP2885">
        <v>0</v>
      </c>
      <c r="BQ2885">
        <v>0</v>
      </c>
      <c r="BX2885" t="str">
        <f>"14:38:25.938"</f>
        <v>14:38:25.938</v>
      </c>
      <c r="BY2885" t="str">
        <f>"940894574"</f>
        <v>940894574</v>
      </c>
      <c r="CL2885">
        <v>0</v>
      </c>
      <c r="CM2885">
        <v>2</v>
      </c>
      <c r="CN2885">
        <v>0</v>
      </c>
      <c r="CO2885">
        <v>2</v>
      </c>
      <c r="CP2885">
        <v>0</v>
      </c>
      <c r="CQ2885">
        <v>7</v>
      </c>
      <c r="CR2885" t="s">
        <v>116</v>
      </c>
      <c r="CS2885">
        <v>38</v>
      </c>
      <c r="CT2885">
        <v>3</v>
      </c>
      <c r="CU2885" t="s">
        <v>4719</v>
      </c>
      <c r="CV2885" t="s">
        <v>4720</v>
      </c>
      <c r="CY2885">
        <v>10377629</v>
      </c>
      <c r="CZ2885" t="s">
        <v>119</v>
      </c>
    </row>
    <row r="2886" spans="1:104" x14ac:dyDescent="0.25">
      <c r="A2886" t="str">
        <f>"14:38:27.242"</f>
        <v>14:38:27.242</v>
      </c>
      <c r="B2886" t="s">
        <v>108</v>
      </c>
      <c r="C2886" t="str">
        <f t="shared" si="133"/>
        <v>ffdfd3c0</v>
      </c>
      <c r="D2886" t="s">
        <v>109</v>
      </c>
      <c r="E2886">
        <v>4</v>
      </c>
      <c r="F2886">
        <v>1004</v>
      </c>
      <c r="G2886" t="s">
        <v>110</v>
      </c>
      <c r="J2886" t="s">
        <v>111</v>
      </c>
      <c r="K2886">
        <v>0</v>
      </c>
      <c r="L2886">
        <v>3</v>
      </c>
      <c r="M2886">
        <v>0</v>
      </c>
      <c r="N2886">
        <v>2</v>
      </c>
      <c r="O2886">
        <v>1</v>
      </c>
      <c r="P2886">
        <v>0</v>
      </c>
      <c r="Q2886">
        <v>0</v>
      </c>
      <c r="R2886" t="s">
        <v>112</v>
      </c>
      <c r="S2886" t="str">
        <f>"14:38:27.039"</f>
        <v>14:38:27.039</v>
      </c>
      <c r="T2886" t="str">
        <f>"14:38:26.539"</f>
        <v>14:38:26.539</v>
      </c>
      <c r="U2886" t="str">
        <f t="shared" si="135"/>
        <v>ad5732</v>
      </c>
      <c r="V2886">
        <v>0</v>
      </c>
      <c r="W2886">
        <v>0</v>
      </c>
      <c r="X2886">
        <v>1</v>
      </c>
      <c r="Z2886">
        <v>0</v>
      </c>
      <c r="AA2886">
        <v>9</v>
      </c>
      <c r="AB2886">
        <v>3</v>
      </c>
      <c r="AC2886">
        <v>0</v>
      </c>
      <c r="AD2886">
        <v>10</v>
      </c>
      <c r="AE2886">
        <v>0</v>
      </c>
      <c r="AF2886">
        <v>3</v>
      </c>
      <c r="AG2886">
        <v>2</v>
      </c>
      <c r="AH2886">
        <v>0</v>
      </c>
      <c r="AI2886" t="s">
        <v>5888</v>
      </c>
      <c r="AJ2886">
        <v>40.307679</v>
      </c>
      <c r="AK2886" t="s">
        <v>5889</v>
      </c>
      <c r="AL2886">
        <v>-75.126507000000004</v>
      </c>
      <c r="AM2886">
        <v>100</v>
      </c>
      <c r="AN2886">
        <v>3700</v>
      </c>
      <c r="AO2886" t="s">
        <v>115</v>
      </c>
      <c r="AP2886">
        <v>126</v>
      </c>
      <c r="AQ2886">
        <v>121</v>
      </c>
      <c r="AR2886">
        <v>-64</v>
      </c>
      <c r="AZ2886">
        <v>3614</v>
      </c>
      <c r="BA2886">
        <v>1</v>
      </c>
      <c r="BB2886" t="str">
        <f t="shared" si="134"/>
        <v xml:space="preserve">N959MJ  </v>
      </c>
      <c r="BC2886">
        <v>1</v>
      </c>
      <c r="BE2886">
        <v>0</v>
      </c>
      <c r="BF2886">
        <v>0</v>
      </c>
      <c r="BG2886">
        <v>0</v>
      </c>
      <c r="BH2886">
        <v>3875</v>
      </c>
      <c r="BI2886">
        <v>175</v>
      </c>
      <c r="BJ2886">
        <v>1</v>
      </c>
      <c r="BK2886">
        <v>1</v>
      </c>
      <c r="BL2886">
        <v>1</v>
      </c>
      <c r="BM2886">
        <v>0</v>
      </c>
      <c r="BP2886">
        <v>0</v>
      </c>
      <c r="BQ2886">
        <v>0</v>
      </c>
      <c r="BX2886" t="str">
        <f>"14:38:27.047"</f>
        <v>14:38:27.047</v>
      </c>
      <c r="BY2886" t="str">
        <f>"043556927"</f>
        <v>043556927</v>
      </c>
      <c r="CL2886">
        <v>0</v>
      </c>
      <c r="CM2886">
        <v>2</v>
      </c>
      <c r="CN2886">
        <v>0</v>
      </c>
      <c r="CO2886">
        <v>2</v>
      </c>
      <c r="CP2886">
        <v>0</v>
      </c>
      <c r="CQ2886">
        <v>5</v>
      </c>
      <c r="CR2886" t="s">
        <v>116</v>
      </c>
      <c r="CS2886">
        <v>38</v>
      </c>
      <c r="CT2886">
        <v>2</v>
      </c>
      <c r="CU2886" t="s">
        <v>4719</v>
      </c>
      <c r="CV2886" t="s">
        <v>4720</v>
      </c>
      <c r="CY2886">
        <v>10617190</v>
      </c>
      <c r="CZ2886" t="s">
        <v>119</v>
      </c>
    </row>
    <row r="2887" spans="1:104" x14ac:dyDescent="0.25">
      <c r="A2887" t="str">
        <f>"14:38:28.102"</f>
        <v>14:38:28.102</v>
      </c>
      <c r="B2887" t="s">
        <v>108</v>
      </c>
      <c r="C2887" t="str">
        <f t="shared" si="133"/>
        <v>ffdfd3c0</v>
      </c>
      <c r="D2887" t="s">
        <v>109</v>
      </c>
      <c r="E2887">
        <v>4</v>
      </c>
      <c r="F2887">
        <v>1004</v>
      </c>
      <c r="G2887" t="s">
        <v>110</v>
      </c>
      <c r="J2887" t="s">
        <v>111</v>
      </c>
      <c r="K2887">
        <v>0</v>
      </c>
      <c r="L2887">
        <v>3</v>
      </c>
      <c r="M2887">
        <v>0</v>
      </c>
      <c r="N2887">
        <v>2</v>
      </c>
      <c r="O2887">
        <v>1</v>
      </c>
      <c r="P2887">
        <v>0</v>
      </c>
      <c r="Q2887">
        <v>0</v>
      </c>
      <c r="R2887" t="s">
        <v>112</v>
      </c>
      <c r="S2887" t="str">
        <f>"14:38:27.922"</f>
        <v>14:38:27.922</v>
      </c>
      <c r="T2887" t="str">
        <f>"14:38:27.523"</f>
        <v>14:38:27.523</v>
      </c>
      <c r="U2887" t="str">
        <f t="shared" si="135"/>
        <v>ad5732</v>
      </c>
      <c r="V2887">
        <v>0</v>
      </c>
      <c r="W2887">
        <v>0</v>
      </c>
      <c r="X2887">
        <v>1</v>
      </c>
      <c r="Z2887">
        <v>0</v>
      </c>
      <c r="AA2887">
        <v>9</v>
      </c>
      <c r="AB2887">
        <v>3</v>
      </c>
      <c r="AC2887">
        <v>0</v>
      </c>
      <c r="AD2887">
        <v>10</v>
      </c>
      <c r="AE2887">
        <v>0</v>
      </c>
      <c r="AF2887">
        <v>3</v>
      </c>
      <c r="AG2887">
        <v>2</v>
      </c>
      <c r="AH2887">
        <v>0</v>
      </c>
      <c r="AI2887" t="s">
        <v>5890</v>
      </c>
      <c r="AJ2887">
        <v>40.308194</v>
      </c>
      <c r="AK2887" t="s">
        <v>5891</v>
      </c>
      <c r="AL2887">
        <v>-75.125799000000001</v>
      </c>
      <c r="AM2887">
        <v>100</v>
      </c>
      <c r="AN2887">
        <v>3700</v>
      </c>
      <c r="AO2887" t="s">
        <v>115</v>
      </c>
      <c r="AP2887">
        <v>126</v>
      </c>
      <c r="AQ2887">
        <v>121</v>
      </c>
      <c r="AR2887">
        <v>-128</v>
      </c>
      <c r="AZ2887">
        <v>3614</v>
      </c>
      <c r="BA2887">
        <v>1</v>
      </c>
      <c r="BB2887" t="str">
        <f t="shared" si="134"/>
        <v xml:space="preserve">N959MJ  </v>
      </c>
      <c r="BC2887">
        <v>1</v>
      </c>
      <c r="BE2887">
        <v>0</v>
      </c>
      <c r="BF2887">
        <v>0</v>
      </c>
      <c r="BG2887">
        <v>0</v>
      </c>
      <c r="BH2887">
        <v>3875</v>
      </c>
      <c r="BI2887">
        <v>175</v>
      </c>
      <c r="BJ2887">
        <v>1</v>
      </c>
      <c r="BK2887">
        <v>1</v>
      </c>
      <c r="BL2887">
        <v>1</v>
      </c>
      <c r="BM2887">
        <v>0</v>
      </c>
      <c r="BP2887">
        <v>0</v>
      </c>
      <c r="BQ2887">
        <v>0</v>
      </c>
      <c r="BX2887" t="str">
        <f>"14:38:27.922"</f>
        <v>14:38:27.922</v>
      </c>
      <c r="BY2887" t="str">
        <f>"925031181"</f>
        <v>925031181</v>
      </c>
      <c r="CL2887">
        <v>0</v>
      </c>
      <c r="CM2887">
        <v>2</v>
      </c>
      <c r="CN2887">
        <v>0</v>
      </c>
      <c r="CO2887">
        <v>2</v>
      </c>
      <c r="CP2887">
        <v>0</v>
      </c>
      <c r="CQ2887">
        <v>7</v>
      </c>
      <c r="CR2887" t="s">
        <v>116</v>
      </c>
      <c r="CS2887">
        <v>38</v>
      </c>
      <c r="CT2887">
        <v>3</v>
      </c>
      <c r="CU2887" t="s">
        <v>4719</v>
      </c>
      <c r="CV2887" t="s">
        <v>4720</v>
      </c>
      <c r="CY2887">
        <v>10381074</v>
      </c>
      <c r="CZ2887" t="s">
        <v>119</v>
      </c>
    </row>
    <row r="2888" spans="1:104" x14ac:dyDescent="0.25">
      <c r="A2888" t="str">
        <f>"14:38:29.008"</f>
        <v>14:38:29.008</v>
      </c>
      <c r="B2888" t="s">
        <v>108</v>
      </c>
      <c r="C2888" t="str">
        <f t="shared" si="133"/>
        <v>ffdfd3c0</v>
      </c>
      <c r="D2888" t="s">
        <v>109</v>
      </c>
      <c r="E2888">
        <v>4</v>
      </c>
      <c r="F2888">
        <v>1004</v>
      </c>
      <c r="G2888" t="s">
        <v>110</v>
      </c>
      <c r="J2888" t="s">
        <v>111</v>
      </c>
      <c r="K2888">
        <v>0</v>
      </c>
      <c r="L2888">
        <v>3</v>
      </c>
      <c r="M2888">
        <v>0</v>
      </c>
      <c r="N2888">
        <v>2</v>
      </c>
      <c r="O2888">
        <v>1</v>
      </c>
      <c r="P2888">
        <v>0</v>
      </c>
      <c r="Q2888">
        <v>0</v>
      </c>
      <c r="R2888" t="s">
        <v>112</v>
      </c>
      <c r="S2888" t="str">
        <f>"14:38:28.828"</f>
        <v>14:38:28.828</v>
      </c>
      <c r="T2888" t="str">
        <f>"14:38:28.430"</f>
        <v>14:38:28.430</v>
      </c>
      <c r="U2888" t="str">
        <f t="shared" si="135"/>
        <v>ad5732</v>
      </c>
      <c r="V2888">
        <v>0</v>
      </c>
      <c r="W2888">
        <v>0</v>
      </c>
      <c r="X2888">
        <v>1</v>
      </c>
      <c r="Z2888">
        <v>0</v>
      </c>
      <c r="AA2888">
        <v>9</v>
      </c>
      <c r="AB2888">
        <v>3</v>
      </c>
      <c r="AC2888">
        <v>0</v>
      </c>
      <c r="AD2888">
        <v>10</v>
      </c>
      <c r="AE2888">
        <v>0</v>
      </c>
      <c r="AF2888">
        <v>3</v>
      </c>
      <c r="AG2888">
        <v>2</v>
      </c>
      <c r="AH2888">
        <v>0</v>
      </c>
      <c r="AI2888" t="s">
        <v>5892</v>
      </c>
      <c r="AJ2888">
        <v>40.308687999999997</v>
      </c>
      <c r="AK2888" t="s">
        <v>5893</v>
      </c>
      <c r="AL2888">
        <v>-75.125134000000003</v>
      </c>
      <c r="AM2888">
        <v>100</v>
      </c>
      <c r="AN2888">
        <v>3700</v>
      </c>
      <c r="AO2888" t="s">
        <v>115</v>
      </c>
      <c r="AP2888">
        <v>126</v>
      </c>
      <c r="AQ2888">
        <v>121</v>
      </c>
      <c r="AR2888">
        <v>-128</v>
      </c>
      <c r="AZ2888">
        <v>3614</v>
      </c>
      <c r="BA2888">
        <v>1</v>
      </c>
      <c r="BB2888" t="str">
        <f t="shared" si="134"/>
        <v xml:space="preserve">N959MJ  </v>
      </c>
      <c r="BC2888">
        <v>1</v>
      </c>
      <c r="BE2888">
        <v>0</v>
      </c>
      <c r="BF2888">
        <v>0</v>
      </c>
      <c r="BG2888">
        <v>0</v>
      </c>
      <c r="BH2888">
        <v>3875</v>
      </c>
      <c r="BI2888">
        <v>175</v>
      </c>
      <c r="BJ2888">
        <v>1</v>
      </c>
      <c r="BK2888">
        <v>1</v>
      </c>
      <c r="BL2888">
        <v>1</v>
      </c>
      <c r="BM2888">
        <v>0</v>
      </c>
      <c r="BP2888">
        <v>0</v>
      </c>
      <c r="BQ2888">
        <v>0</v>
      </c>
      <c r="BX2888" t="str">
        <f>"14:38:28.836"</f>
        <v>14:38:28.836</v>
      </c>
      <c r="BY2888" t="str">
        <f>"832720479"</f>
        <v>832720479</v>
      </c>
      <c r="CL2888">
        <v>0</v>
      </c>
      <c r="CM2888">
        <v>2</v>
      </c>
      <c r="CN2888">
        <v>0</v>
      </c>
      <c r="CO2888">
        <v>2</v>
      </c>
      <c r="CP2888">
        <v>0</v>
      </c>
      <c r="CQ2888">
        <v>7</v>
      </c>
      <c r="CR2888" t="s">
        <v>116</v>
      </c>
      <c r="CS2888">
        <v>38</v>
      </c>
      <c r="CT2888">
        <v>3</v>
      </c>
      <c r="CU2888" t="s">
        <v>4719</v>
      </c>
      <c r="CV2888" t="s">
        <v>4720</v>
      </c>
      <c r="CY2888">
        <v>10382630</v>
      </c>
      <c r="CZ2888" t="s">
        <v>119</v>
      </c>
    </row>
    <row r="2889" spans="1:104" x14ac:dyDescent="0.25">
      <c r="A2889" t="str">
        <f>"14:38:29.914"</f>
        <v>14:38:29.914</v>
      </c>
      <c r="B2889" t="s">
        <v>108</v>
      </c>
      <c r="C2889" t="str">
        <f t="shared" si="133"/>
        <v>ffdfd3c0</v>
      </c>
      <c r="D2889" t="s">
        <v>109</v>
      </c>
      <c r="E2889">
        <v>4</v>
      </c>
      <c r="F2889">
        <v>1004</v>
      </c>
      <c r="G2889" t="s">
        <v>110</v>
      </c>
      <c r="J2889" t="s">
        <v>111</v>
      </c>
      <c r="K2889">
        <v>0</v>
      </c>
      <c r="L2889">
        <v>3</v>
      </c>
      <c r="M2889">
        <v>0</v>
      </c>
      <c r="N2889">
        <v>2</v>
      </c>
      <c r="O2889">
        <v>1</v>
      </c>
      <c r="P2889">
        <v>0</v>
      </c>
      <c r="Q2889">
        <v>0</v>
      </c>
      <c r="R2889" t="s">
        <v>112</v>
      </c>
      <c r="S2889" t="str">
        <f>"14:38:29.742"</f>
        <v>14:38:29.742</v>
      </c>
      <c r="T2889" t="str">
        <f>"14:38:29.344"</f>
        <v>14:38:29.344</v>
      </c>
      <c r="U2889" t="str">
        <f t="shared" si="135"/>
        <v>ad5732</v>
      </c>
      <c r="V2889">
        <v>0</v>
      </c>
      <c r="W2889">
        <v>0</v>
      </c>
      <c r="X2889">
        <v>1</v>
      </c>
      <c r="Z2889">
        <v>0</v>
      </c>
      <c r="AA2889">
        <v>9</v>
      </c>
      <c r="AB2889">
        <v>3</v>
      </c>
      <c r="AC2889">
        <v>0</v>
      </c>
      <c r="AD2889">
        <v>10</v>
      </c>
      <c r="AE2889">
        <v>0</v>
      </c>
      <c r="AF2889">
        <v>3</v>
      </c>
      <c r="AG2889">
        <v>2</v>
      </c>
      <c r="AH2889">
        <v>0</v>
      </c>
      <c r="AI2889" t="s">
        <v>5894</v>
      </c>
      <c r="AJ2889">
        <v>40.309202999999997</v>
      </c>
      <c r="AK2889" t="s">
        <v>5895</v>
      </c>
      <c r="AL2889">
        <v>-75.124447000000004</v>
      </c>
      <c r="AM2889">
        <v>100</v>
      </c>
      <c r="AN2889">
        <v>3700</v>
      </c>
      <c r="AO2889" t="s">
        <v>115</v>
      </c>
      <c r="AP2889">
        <v>126</v>
      </c>
      <c r="AQ2889">
        <v>122</v>
      </c>
      <c r="AR2889">
        <v>-128</v>
      </c>
      <c r="AZ2889">
        <v>3614</v>
      </c>
      <c r="BA2889">
        <v>1</v>
      </c>
      <c r="BB2889" t="str">
        <f t="shared" si="134"/>
        <v xml:space="preserve">N959MJ  </v>
      </c>
      <c r="BC2889">
        <v>1</v>
      </c>
      <c r="BE2889">
        <v>0</v>
      </c>
      <c r="BF2889">
        <v>0</v>
      </c>
      <c r="BG2889">
        <v>0</v>
      </c>
      <c r="BH2889">
        <v>3850</v>
      </c>
      <c r="BI2889">
        <v>150</v>
      </c>
      <c r="BJ2889">
        <v>1</v>
      </c>
      <c r="BK2889">
        <v>1</v>
      </c>
      <c r="BL2889">
        <v>1</v>
      </c>
      <c r="BM2889">
        <v>0</v>
      </c>
      <c r="BP2889">
        <v>0</v>
      </c>
      <c r="BQ2889">
        <v>0</v>
      </c>
      <c r="BX2889" t="str">
        <f>"14:38:29.742"</f>
        <v>14:38:29.742</v>
      </c>
      <c r="BY2889" t="str">
        <f>"743686522"</f>
        <v>743686522</v>
      </c>
      <c r="CL2889">
        <v>0</v>
      </c>
      <c r="CM2889">
        <v>2</v>
      </c>
      <c r="CN2889">
        <v>0</v>
      </c>
      <c r="CO2889">
        <v>2</v>
      </c>
      <c r="CP2889">
        <v>0</v>
      </c>
      <c r="CQ2889">
        <v>7</v>
      </c>
      <c r="CR2889" t="s">
        <v>116</v>
      </c>
      <c r="CS2889">
        <v>38</v>
      </c>
      <c r="CT2889">
        <v>3</v>
      </c>
      <c r="CU2889" t="s">
        <v>4719</v>
      </c>
      <c r="CV2889" t="s">
        <v>4720</v>
      </c>
      <c r="CY2889">
        <v>10384350</v>
      </c>
      <c r="CZ2889" t="s">
        <v>119</v>
      </c>
    </row>
    <row r="2890" spans="1:104" x14ac:dyDescent="0.25">
      <c r="A2890" t="str">
        <f>"14:38:31.023"</f>
        <v>14:38:31.023</v>
      </c>
      <c r="B2890" t="s">
        <v>108</v>
      </c>
      <c r="C2890" t="str">
        <f t="shared" ref="C2890:C2953" si="136">"ffdfd3c0"</f>
        <v>ffdfd3c0</v>
      </c>
      <c r="D2890" t="s">
        <v>109</v>
      </c>
      <c r="E2890">
        <v>4</v>
      </c>
      <c r="F2890">
        <v>1004</v>
      </c>
      <c r="G2890" t="s">
        <v>110</v>
      </c>
      <c r="J2890" t="s">
        <v>111</v>
      </c>
      <c r="K2890">
        <v>0</v>
      </c>
      <c r="L2890">
        <v>3</v>
      </c>
      <c r="M2890">
        <v>0</v>
      </c>
      <c r="N2890">
        <v>2</v>
      </c>
      <c r="O2890">
        <v>1</v>
      </c>
      <c r="P2890">
        <v>0</v>
      </c>
      <c r="Q2890">
        <v>0</v>
      </c>
      <c r="R2890" t="s">
        <v>112</v>
      </c>
      <c r="S2890" t="str">
        <f>"14:38:30.820"</f>
        <v>14:38:30.820</v>
      </c>
      <c r="T2890" t="str">
        <f>"14:38:30.320"</f>
        <v>14:38:30.320</v>
      </c>
      <c r="U2890" t="str">
        <f t="shared" si="135"/>
        <v>ad5732</v>
      </c>
      <c r="V2890">
        <v>0</v>
      </c>
      <c r="W2890">
        <v>0</v>
      </c>
      <c r="X2890">
        <v>1</v>
      </c>
      <c r="Z2890">
        <v>0</v>
      </c>
      <c r="AA2890">
        <v>9</v>
      </c>
      <c r="AB2890">
        <v>3</v>
      </c>
      <c r="AC2890">
        <v>0</v>
      </c>
      <c r="AD2890">
        <v>10</v>
      </c>
      <c r="AE2890">
        <v>0</v>
      </c>
      <c r="AF2890">
        <v>3</v>
      </c>
      <c r="AG2890">
        <v>2</v>
      </c>
      <c r="AH2890">
        <v>0</v>
      </c>
      <c r="AI2890" t="s">
        <v>5896</v>
      </c>
      <c r="AJ2890">
        <v>40.309824999999996</v>
      </c>
      <c r="AK2890" t="s">
        <v>5897</v>
      </c>
      <c r="AL2890">
        <v>-75.123568000000006</v>
      </c>
      <c r="AM2890">
        <v>100</v>
      </c>
      <c r="AN2890">
        <v>3700</v>
      </c>
      <c r="AO2890" t="s">
        <v>115</v>
      </c>
      <c r="AP2890">
        <v>126</v>
      </c>
      <c r="AQ2890">
        <v>122</v>
      </c>
      <c r="AR2890">
        <v>-128</v>
      </c>
      <c r="AZ2890">
        <v>3614</v>
      </c>
      <c r="BA2890">
        <v>1</v>
      </c>
      <c r="BB2890" t="str">
        <f t="shared" ref="BB2890:BB2953" si="137">"N959MJ  "</f>
        <v xml:space="preserve">N959MJ  </v>
      </c>
      <c r="BC2890">
        <v>1</v>
      </c>
      <c r="BE2890">
        <v>0</v>
      </c>
      <c r="BF2890">
        <v>0</v>
      </c>
      <c r="BG2890">
        <v>0</v>
      </c>
      <c r="BH2890">
        <v>3850</v>
      </c>
      <c r="BI2890">
        <v>150</v>
      </c>
      <c r="BJ2890">
        <v>1</v>
      </c>
      <c r="BK2890">
        <v>1</v>
      </c>
      <c r="BL2890">
        <v>1</v>
      </c>
      <c r="BM2890">
        <v>0</v>
      </c>
      <c r="BP2890">
        <v>0</v>
      </c>
      <c r="BQ2890">
        <v>0</v>
      </c>
      <c r="BX2890" t="str">
        <f>"14:38:30.828"</f>
        <v>14:38:30.828</v>
      </c>
      <c r="BY2890" t="str">
        <f>"825049190"</f>
        <v>825049190</v>
      </c>
      <c r="CL2890">
        <v>0</v>
      </c>
      <c r="CM2890">
        <v>2</v>
      </c>
      <c r="CN2890">
        <v>0</v>
      </c>
      <c r="CO2890">
        <v>2</v>
      </c>
      <c r="CP2890">
        <v>0</v>
      </c>
      <c r="CQ2890">
        <v>7</v>
      </c>
      <c r="CR2890" t="s">
        <v>116</v>
      </c>
      <c r="CS2890">
        <v>38</v>
      </c>
      <c r="CT2890">
        <v>3</v>
      </c>
      <c r="CU2890" t="s">
        <v>4719</v>
      </c>
      <c r="CV2890" t="s">
        <v>4720</v>
      </c>
      <c r="CY2890">
        <v>10386236</v>
      </c>
      <c r="CZ2890" t="s">
        <v>119</v>
      </c>
    </row>
    <row r="2891" spans="1:104" x14ac:dyDescent="0.25">
      <c r="A2891" t="str">
        <f>"14:38:32.039"</f>
        <v>14:38:32.039</v>
      </c>
      <c r="B2891" t="s">
        <v>108</v>
      </c>
      <c r="C2891" t="str">
        <f t="shared" si="136"/>
        <v>ffdfd3c0</v>
      </c>
      <c r="D2891" t="s">
        <v>109</v>
      </c>
      <c r="E2891">
        <v>4</v>
      </c>
      <c r="F2891">
        <v>1004</v>
      </c>
      <c r="G2891" t="s">
        <v>110</v>
      </c>
      <c r="J2891" t="s">
        <v>111</v>
      </c>
      <c r="K2891">
        <v>0</v>
      </c>
      <c r="L2891">
        <v>3</v>
      </c>
      <c r="M2891">
        <v>0</v>
      </c>
      <c r="N2891">
        <v>2</v>
      </c>
      <c r="O2891">
        <v>1</v>
      </c>
      <c r="P2891">
        <v>0</v>
      </c>
      <c r="Q2891">
        <v>0</v>
      </c>
      <c r="R2891" t="s">
        <v>112</v>
      </c>
      <c r="S2891" t="str">
        <f>"14:38:31.844"</f>
        <v>14:38:31.844</v>
      </c>
      <c r="T2891" t="str">
        <f>"14:38:31.344"</f>
        <v>14:38:31.344</v>
      </c>
      <c r="U2891" t="str">
        <f t="shared" si="135"/>
        <v>ad5732</v>
      </c>
      <c r="V2891">
        <v>0</v>
      </c>
      <c r="W2891">
        <v>0</v>
      </c>
      <c r="X2891">
        <v>1</v>
      </c>
      <c r="Z2891">
        <v>0</v>
      </c>
      <c r="AA2891">
        <v>9</v>
      </c>
      <c r="AB2891">
        <v>3</v>
      </c>
      <c r="AC2891">
        <v>0</v>
      </c>
      <c r="AD2891">
        <v>10</v>
      </c>
      <c r="AE2891">
        <v>0</v>
      </c>
      <c r="AF2891">
        <v>3</v>
      </c>
      <c r="AG2891">
        <v>2</v>
      </c>
      <c r="AH2891">
        <v>0</v>
      </c>
      <c r="AI2891" t="s">
        <v>5898</v>
      </c>
      <c r="AJ2891">
        <v>40.310383000000002</v>
      </c>
      <c r="AK2891" t="s">
        <v>5899</v>
      </c>
      <c r="AL2891">
        <v>-75.122816999999998</v>
      </c>
      <c r="AM2891">
        <v>100</v>
      </c>
      <c r="AN2891">
        <v>3700</v>
      </c>
      <c r="AO2891" t="s">
        <v>115</v>
      </c>
      <c r="AP2891">
        <v>127</v>
      </c>
      <c r="AQ2891">
        <v>121</v>
      </c>
      <c r="AR2891">
        <v>-128</v>
      </c>
      <c r="AZ2891">
        <v>3614</v>
      </c>
      <c r="BA2891">
        <v>1</v>
      </c>
      <c r="BB2891" t="str">
        <f t="shared" si="137"/>
        <v xml:space="preserve">N959MJ  </v>
      </c>
      <c r="BC2891">
        <v>1</v>
      </c>
      <c r="BE2891">
        <v>0</v>
      </c>
      <c r="BF2891">
        <v>0</v>
      </c>
      <c r="BG2891">
        <v>0</v>
      </c>
      <c r="BH2891">
        <v>3850</v>
      </c>
      <c r="BI2891">
        <v>150</v>
      </c>
      <c r="BJ2891">
        <v>1</v>
      </c>
      <c r="BK2891">
        <v>1</v>
      </c>
      <c r="BL2891">
        <v>1</v>
      </c>
      <c r="BM2891">
        <v>0</v>
      </c>
      <c r="BP2891">
        <v>0</v>
      </c>
      <c r="BQ2891">
        <v>0</v>
      </c>
      <c r="BX2891" t="str">
        <f>"14:38:31.844"</f>
        <v>14:38:31.844</v>
      </c>
      <c r="BY2891" t="str">
        <f>"845789881"</f>
        <v>845789881</v>
      </c>
      <c r="CL2891">
        <v>0</v>
      </c>
      <c r="CM2891">
        <v>2</v>
      </c>
      <c r="CN2891">
        <v>0</v>
      </c>
      <c r="CO2891">
        <v>2</v>
      </c>
      <c r="CP2891">
        <v>0</v>
      </c>
      <c r="CQ2891">
        <v>7</v>
      </c>
      <c r="CR2891" t="s">
        <v>116</v>
      </c>
      <c r="CS2891">
        <v>38</v>
      </c>
      <c r="CT2891">
        <v>3</v>
      </c>
      <c r="CU2891" t="s">
        <v>4719</v>
      </c>
      <c r="CV2891" t="s">
        <v>4720</v>
      </c>
      <c r="CY2891">
        <v>10387953</v>
      </c>
      <c r="CZ2891" t="s">
        <v>119</v>
      </c>
    </row>
    <row r="2892" spans="1:104" x14ac:dyDescent="0.25">
      <c r="A2892" t="str">
        <f>"14:38:33.047"</f>
        <v>14:38:33.047</v>
      </c>
      <c r="B2892" t="s">
        <v>108</v>
      </c>
      <c r="C2892" t="str">
        <f t="shared" si="136"/>
        <v>ffdfd3c0</v>
      </c>
      <c r="D2892" t="s">
        <v>109</v>
      </c>
      <c r="E2892">
        <v>4</v>
      </c>
      <c r="F2892">
        <v>1004</v>
      </c>
      <c r="G2892" t="s">
        <v>110</v>
      </c>
      <c r="J2892" t="s">
        <v>111</v>
      </c>
      <c r="K2892">
        <v>0</v>
      </c>
      <c r="L2892">
        <v>3</v>
      </c>
      <c r="M2892">
        <v>0</v>
      </c>
      <c r="N2892">
        <v>2</v>
      </c>
      <c r="O2892">
        <v>1</v>
      </c>
      <c r="P2892">
        <v>0</v>
      </c>
      <c r="Q2892">
        <v>0</v>
      </c>
      <c r="R2892" t="s">
        <v>112</v>
      </c>
      <c r="S2892" t="str">
        <f>"14:38:32.852"</f>
        <v>14:38:32.852</v>
      </c>
      <c r="T2892" t="str">
        <f>"14:38:32.453"</f>
        <v>14:38:32.453</v>
      </c>
      <c r="U2892" t="str">
        <f t="shared" si="135"/>
        <v>ad5732</v>
      </c>
      <c r="V2892">
        <v>0</v>
      </c>
      <c r="W2892">
        <v>0</v>
      </c>
      <c r="X2892">
        <v>1</v>
      </c>
      <c r="Z2892">
        <v>0</v>
      </c>
      <c r="AA2892">
        <v>9</v>
      </c>
      <c r="AB2892">
        <v>3</v>
      </c>
      <c r="AC2892">
        <v>0</v>
      </c>
      <c r="AD2892">
        <v>10</v>
      </c>
      <c r="AE2892">
        <v>0</v>
      </c>
      <c r="AF2892">
        <v>3</v>
      </c>
      <c r="AG2892">
        <v>2</v>
      </c>
      <c r="AH2892">
        <v>0</v>
      </c>
      <c r="AI2892" t="s">
        <v>5900</v>
      </c>
      <c r="AJ2892">
        <v>40.310941</v>
      </c>
      <c r="AK2892" t="s">
        <v>5901</v>
      </c>
      <c r="AL2892">
        <v>-75.122086999999993</v>
      </c>
      <c r="AM2892">
        <v>100</v>
      </c>
      <c r="AN2892">
        <v>3700</v>
      </c>
      <c r="AO2892" t="s">
        <v>115</v>
      </c>
      <c r="AP2892">
        <v>127</v>
      </c>
      <c r="AQ2892">
        <v>121</v>
      </c>
      <c r="AR2892">
        <v>0</v>
      </c>
      <c r="AZ2892">
        <v>3614</v>
      </c>
      <c r="BA2892">
        <v>1</v>
      </c>
      <c r="BB2892" t="str">
        <f t="shared" si="137"/>
        <v xml:space="preserve">N959MJ  </v>
      </c>
      <c r="BC2892">
        <v>1</v>
      </c>
      <c r="BE2892">
        <v>0</v>
      </c>
      <c r="BF2892">
        <v>0</v>
      </c>
      <c r="BG2892">
        <v>0</v>
      </c>
      <c r="BH2892">
        <v>3850</v>
      </c>
      <c r="BI2892">
        <v>150</v>
      </c>
      <c r="BJ2892">
        <v>1</v>
      </c>
      <c r="BK2892">
        <v>1</v>
      </c>
      <c r="BL2892">
        <v>1</v>
      </c>
      <c r="BM2892">
        <v>0</v>
      </c>
      <c r="BP2892">
        <v>0</v>
      </c>
      <c r="BQ2892">
        <v>0</v>
      </c>
      <c r="BX2892" t="str">
        <f>"14:38:32.852"</f>
        <v>14:38:32.852</v>
      </c>
      <c r="BY2892" t="str">
        <f>"851884801"</f>
        <v>851884801</v>
      </c>
      <c r="CL2892">
        <v>0</v>
      </c>
      <c r="CM2892">
        <v>2</v>
      </c>
      <c r="CN2892">
        <v>0</v>
      </c>
      <c r="CO2892">
        <v>2</v>
      </c>
      <c r="CP2892">
        <v>0</v>
      </c>
      <c r="CQ2892">
        <v>6</v>
      </c>
      <c r="CR2892" t="s">
        <v>116</v>
      </c>
      <c r="CS2892">
        <v>39</v>
      </c>
      <c r="CT2892">
        <v>0</v>
      </c>
      <c r="CU2892" t="s">
        <v>2259</v>
      </c>
      <c r="CV2892" t="s">
        <v>2260</v>
      </c>
      <c r="CY2892">
        <v>2585140</v>
      </c>
      <c r="CZ2892" t="s">
        <v>119</v>
      </c>
    </row>
    <row r="2893" spans="1:104" x14ac:dyDescent="0.25">
      <c r="A2893" t="str">
        <f>"14:38:34.063"</f>
        <v>14:38:34.063</v>
      </c>
      <c r="B2893" t="s">
        <v>108</v>
      </c>
      <c r="C2893" t="str">
        <f t="shared" si="136"/>
        <v>ffdfd3c0</v>
      </c>
      <c r="D2893" t="s">
        <v>109</v>
      </c>
      <c r="E2893">
        <v>4</v>
      </c>
      <c r="F2893">
        <v>1004</v>
      </c>
      <c r="G2893" t="s">
        <v>110</v>
      </c>
      <c r="J2893" t="s">
        <v>111</v>
      </c>
      <c r="K2893">
        <v>0</v>
      </c>
      <c r="L2893">
        <v>3</v>
      </c>
      <c r="M2893">
        <v>0</v>
      </c>
      <c r="N2893">
        <v>2</v>
      </c>
      <c r="O2893">
        <v>1</v>
      </c>
      <c r="P2893">
        <v>0</v>
      </c>
      <c r="Q2893">
        <v>0</v>
      </c>
      <c r="R2893" t="s">
        <v>112</v>
      </c>
      <c r="S2893" t="str">
        <f>"14:38:33.883"</f>
        <v>14:38:33.883</v>
      </c>
      <c r="T2893" t="str">
        <f>"14:38:33.484"</f>
        <v>14:38:33.484</v>
      </c>
      <c r="U2893" t="str">
        <f t="shared" si="135"/>
        <v>ad5732</v>
      </c>
      <c r="V2893">
        <v>0</v>
      </c>
      <c r="W2893">
        <v>0</v>
      </c>
      <c r="X2893">
        <v>1</v>
      </c>
      <c r="Z2893">
        <v>0</v>
      </c>
      <c r="AA2893">
        <v>9</v>
      </c>
      <c r="AB2893">
        <v>3</v>
      </c>
      <c r="AC2893">
        <v>0</v>
      </c>
      <c r="AD2893">
        <v>10</v>
      </c>
      <c r="AE2893">
        <v>0</v>
      </c>
      <c r="AF2893">
        <v>3</v>
      </c>
      <c r="AG2893">
        <v>2</v>
      </c>
      <c r="AH2893">
        <v>0</v>
      </c>
      <c r="AI2893" t="s">
        <v>5902</v>
      </c>
      <c r="AJ2893">
        <v>40.311498999999998</v>
      </c>
      <c r="AK2893" t="s">
        <v>5903</v>
      </c>
      <c r="AL2893">
        <v>-75.121272000000005</v>
      </c>
      <c r="AM2893">
        <v>100</v>
      </c>
      <c r="AN2893">
        <v>3700</v>
      </c>
      <c r="AO2893" t="s">
        <v>115</v>
      </c>
      <c r="AP2893">
        <v>127</v>
      </c>
      <c r="AQ2893">
        <v>121</v>
      </c>
      <c r="AR2893">
        <v>0</v>
      </c>
      <c r="AZ2893">
        <v>3614</v>
      </c>
      <c r="BA2893">
        <v>1</v>
      </c>
      <c r="BB2893" t="str">
        <f t="shared" si="137"/>
        <v xml:space="preserve">N959MJ  </v>
      </c>
      <c r="BC2893">
        <v>1</v>
      </c>
      <c r="BE2893">
        <v>0</v>
      </c>
      <c r="BF2893">
        <v>0</v>
      </c>
      <c r="BG2893">
        <v>0</v>
      </c>
      <c r="BH2893">
        <v>3850</v>
      </c>
      <c r="BI2893">
        <v>150</v>
      </c>
      <c r="BJ2893">
        <v>1</v>
      </c>
      <c r="BK2893">
        <v>1</v>
      </c>
      <c r="BL2893">
        <v>1</v>
      </c>
      <c r="BM2893">
        <v>0</v>
      </c>
      <c r="BP2893">
        <v>0</v>
      </c>
      <c r="BQ2893">
        <v>0</v>
      </c>
      <c r="BX2893" t="str">
        <f>"14:38:33.891"</f>
        <v>14:38:33.891</v>
      </c>
      <c r="BY2893" t="str">
        <f>"890548405"</f>
        <v>890548405</v>
      </c>
      <c r="CL2893">
        <v>0</v>
      </c>
      <c r="CM2893">
        <v>2</v>
      </c>
      <c r="CN2893">
        <v>0</v>
      </c>
      <c r="CO2893">
        <v>2</v>
      </c>
      <c r="CP2893">
        <v>0</v>
      </c>
      <c r="CQ2893">
        <v>7</v>
      </c>
      <c r="CR2893" t="s">
        <v>116</v>
      </c>
      <c r="CS2893">
        <v>38</v>
      </c>
      <c r="CT2893">
        <v>3</v>
      </c>
      <c r="CU2893" t="s">
        <v>4719</v>
      </c>
      <c r="CV2893" t="s">
        <v>4720</v>
      </c>
      <c r="CY2893">
        <v>10391471</v>
      </c>
      <c r="CZ2893" t="s">
        <v>119</v>
      </c>
    </row>
    <row r="2894" spans="1:104" x14ac:dyDescent="0.25">
      <c r="A2894" t="str">
        <f>"14:38:35.063"</f>
        <v>14:38:35.063</v>
      </c>
      <c r="B2894" t="s">
        <v>108</v>
      </c>
      <c r="C2894" t="str">
        <f t="shared" si="136"/>
        <v>ffdfd3c0</v>
      </c>
      <c r="D2894" t="s">
        <v>109</v>
      </c>
      <c r="E2894">
        <v>4</v>
      </c>
      <c r="F2894">
        <v>1004</v>
      </c>
      <c r="G2894" t="s">
        <v>110</v>
      </c>
      <c r="J2894" t="s">
        <v>111</v>
      </c>
      <c r="K2894">
        <v>0</v>
      </c>
      <c r="L2894">
        <v>3</v>
      </c>
      <c r="M2894">
        <v>0</v>
      </c>
      <c r="N2894">
        <v>2</v>
      </c>
      <c r="O2894">
        <v>1</v>
      </c>
      <c r="P2894">
        <v>0</v>
      </c>
      <c r="Q2894">
        <v>0</v>
      </c>
      <c r="R2894" t="s">
        <v>112</v>
      </c>
      <c r="S2894" t="str">
        <f>"14:38:34.883"</f>
        <v>14:38:34.883</v>
      </c>
      <c r="T2894" t="str">
        <f>"14:38:34.383"</f>
        <v>14:38:34.383</v>
      </c>
      <c r="U2894" t="str">
        <f t="shared" si="135"/>
        <v>ad5732</v>
      </c>
      <c r="V2894">
        <v>0</v>
      </c>
      <c r="W2894">
        <v>0</v>
      </c>
      <c r="X2894">
        <v>1</v>
      </c>
      <c r="Z2894">
        <v>0</v>
      </c>
      <c r="AA2894">
        <v>9</v>
      </c>
      <c r="AB2894">
        <v>3</v>
      </c>
      <c r="AC2894">
        <v>0</v>
      </c>
      <c r="AD2894">
        <v>10</v>
      </c>
      <c r="AE2894">
        <v>0</v>
      </c>
      <c r="AF2894">
        <v>3</v>
      </c>
      <c r="AG2894">
        <v>2</v>
      </c>
      <c r="AH2894">
        <v>0</v>
      </c>
      <c r="AI2894" t="s">
        <v>5904</v>
      </c>
      <c r="AJ2894">
        <v>40.312057000000003</v>
      </c>
      <c r="AK2894" t="s">
        <v>5905</v>
      </c>
      <c r="AL2894">
        <v>-75.120520999999997</v>
      </c>
      <c r="AM2894">
        <v>100</v>
      </c>
      <c r="AN2894">
        <v>3700</v>
      </c>
      <c r="AO2894" t="s">
        <v>115</v>
      </c>
      <c r="AP2894">
        <v>127</v>
      </c>
      <c r="AQ2894">
        <v>121</v>
      </c>
      <c r="AR2894">
        <v>64</v>
      </c>
      <c r="AZ2894">
        <v>3614</v>
      </c>
      <c r="BA2894">
        <v>1</v>
      </c>
      <c r="BB2894" t="str">
        <f t="shared" si="137"/>
        <v xml:space="preserve">N959MJ  </v>
      </c>
      <c r="BC2894">
        <v>1</v>
      </c>
      <c r="BE2894">
        <v>0</v>
      </c>
      <c r="BF2894">
        <v>0</v>
      </c>
      <c r="BG2894">
        <v>0</v>
      </c>
      <c r="BH2894">
        <v>3850</v>
      </c>
      <c r="BI2894">
        <v>150</v>
      </c>
      <c r="BJ2894">
        <v>1</v>
      </c>
      <c r="BK2894">
        <v>1</v>
      </c>
      <c r="BL2894">
        <v>1</v>
      </c>
      <c r="BM2894">
        <v>0</v>
      </c>
      <c r="BP2894">
        <v>0</v>
      </c>
      <c r="BQ2894">
        <v>0</v>
      </c>
      <c r="BX2894" t="str">
        <f>"14:38:34.883"</f>
        <v>14:38:34.883</v>
      </c>
      <c r="BY2894" t="str">
        <f>"885175222"</f>
        <v>885175222</v>
      </c>
      <c r="CL2894">
        <v>0</v>
      </c>
      <c r="CM2894">
        <v>2</v>
      </c>
      <c r="CN2894">
        <v>0</v>
      </c>
      <c r="CO2894">
        <v>2</v>
      </c>
      <c r="CP2894">
        <v>0</v>
      </c>
      <c r="CQ2894">
        <v>6</v>
      </c>
      <c r="CR2894" t="s">
        <v>116</v>
      </c>
      <c r="CS2894">
        <v>39</v>
      </c>
      <c r="CT2894">
        <v>0</v>
      </c>
      <c r="CU2894" t="s">
        <v>2259</v>
      </c>
      <c r="CV2894" t="s">
        <v>2260</v>
      </c>
      <c r="CY2894">
        <v>2588372</v>
      </c>
      <c r="CZ2894" t="s">
        <v>119</v>
      </c>
    </row>
    <row r="2895" spans="1:104" x14ac:dyDescent="0.25">
      <c r="A2895" t="str">
        <f>"14:38:35.977"</f>
        <v>14:38:35.977</v>
      </c>
      <c r="B2895" t="s">
        <v>108</v>
      </c>
      <c r="C2895" t="str">
        <f t="shared" si="136"/>
        <v>ffdfd3c0</v>
      </c>
      <c r="D2895" t="s">
        <v>109</v>
      </c>
      <c r="E2895">
        <v>4</v>
      </c>
      <c r="F2895">
        <v>1004</v>
      </c>
      <c r="G2895" t="s">
        <v>110</v>
      </c>
      <c r="J2895" t="s">
        <v>111</v>
      </c>
      <c r="K2895">
        <v>0</v>
      </c>
      <c r="L2895">
        <v>3</v>
      </c>
      <c r="M2895">
        <v>0</v>
      </c>
      <c r="N2895">
        <v>2</v>
      </c>
      <c r="O2895">
        <v>1</v>
      </c>
      <c r="P2895">
        <v>0</v>
      </c>
      <c r="Q2895">
        <v>0</v>
      </c>
      <c r="R2895" t="s">
        <v>112</v>
      </c>
      <c r="S2895" t="str">
        <f>"14:38:35.797"</f>
        <v>14:38:35.797</v>
      </c>
      <c r="T2895" t="str">
        <f>"14:38:35.398"</f>
        <v>14:38:35.398</v>
      </c>
      <c r="U2895" t="str">
        <f t="shared" si="135"/>
        <v>ad5732</v>
      </c>
      <c r="V2895">
        <v>0</v>
      </c>
      <c r="W2895">
        <v>0</v>
      </c>
      <c r="X2895">
        <v>1</v>
      </c>
      <c r="Z2895">
        <v>0</v>
      </c>
      <c r="AA2895">
        <v>9</v>
      </c>
      <c r="AB2895">
        <v>3</v>
      </c>
      <c r="AC2895">
        <v>0</v>
      </c>
      <c r="AD2895">
        <v>10</v>
      </c>
      <c r="AE2895">
        <v>0</v>
      </c>
      <c r="AF2895">
        <v>3</v>
      </c>
      <c r="AG2895">
        <v>2</v>
      </c>
      <c r="AH2895">
        <v>0</v>
      </c>
      <c r="AI2895" t="s">
        <v>5906</v>
      </c>
      <c r="AJ2895">
        <v>40.312593</v>
      </c>
      <c r="AK2895" t="s">
        <v>5907</v>
      </c>
      <c r="AL2895">
        <v>-75.119811999999996</v>
      </c>
      <c r="AM2895">
        <v>100</v>
      </c>
      <c r="AN2895">
        <v>3700</v>
      </c>
      <c r="AO2895" t="s">
        <v>115</v>
      </c>
      <c r="AP2895">
        <v>127</v>
      </c>
      <c r="AQ2895">
        <v>120</v>
      </c>
      <c r="AR2895">
        <v>128</v>
      </c>
      <c r="AZ2895">
        <v>3614</v>
      </c>
      <c r="BA2895">
        <v>1</v>
      </c>
      <c r="BB2895" t="str">
        <f t="shared" si="137"/>
        <v xml:space="preserve">N959MJ  </v>
      </c>
      <c r="BC2895">
        <v>1</v>
      </c>
      <c r="BE2895">
        <v>0</v>
      </c>
      <c r="BF2895">
        <v>0</v>
      </c>
      <c r="BG2895">
        <v>0</v>
      </c>
      <c r="BH2895">
        <v>3850</v>
      </c>
      <c r="BI2895">
        <v>150</v>
      </c>
      <c r="BJ2895">
        <v>1</v>
      </c>
      <c r="BK2895">
        <v>1</v>
      </c>
      <c r="BL2895">
        <v>1</v>
      </c>
      <c r="BM2895">
        <v>0</v>
      </c>
      <c r="BP2895">
        <v>0</v>
      </c>
      <c r="BQ2895">
        <v>0</v>
      </c>
      <c r="BX2895" t="str">
        <f>"14:38:35.805"</f>
        <v>14:38:35.805</v>
      </c>
      <c r="BY2895" t="str">
        <f>"802594053"</f>
        <v>802594053</v>
      </c>
      <c r="CL2895">
        <v>0</v>
      </c>
      <c r="CM2895">
        <v>2</v>
      </c>
      <c r="CN2895">
        <v>0</v>
      </c>
      <c r="CO2895">
        <v>2</v>
      </c>
      <c r="CP2895">
        <v>0</v>
      </c>
      <c r="CQ2895">
        <v>7</v>
      </c>
      <c r="CR2895" t="s">
        <v>116</v>
      </c>
      <c r="CS2895">
        <v>38</v>
      </c>
      <c r="CT2895">
        <v>3</v>
      </c>
      <c r="CU2895" t="s">
        <v>4719</v>
      </c>
      <c r="CV2895" t="s">
        <v>4720</v>
      </c>
      <c r="CY2895">
        <v>10394875</v>
      </c>
      <c r="CZ2895" t="s">
        <v>119</v>
      </c>
    </row>
    <row r="2896" spans="1:104" x14ac:dyDescent="0.25">
      <c r="A2896" t="str">
        <f>"14:38:37.133"</f>
        <v>14:38:37.133</v>
      </c>
      <c r="B2896" t="s">
        <v>108</v>
      </c>
      <c r="C2896" t="str">
        <f t="shared" si="136"/>
        <v>ffdfd3c0</v>
      </c>
      <c r="D2896" t="s">
        <v>109</v>
      </c>
      <c r="E2896">
        <v>4</v>
      </c>
      <c r="F2896">
        <v>1004</v>
      </c>
      <c r="G2896" t="s">
        <v>110</v>
      </c>
      <c r="J2896" t="s">
        <v>111</v>
      </c>
      <c r="K2896">
        <v>0</v>
      </c>
      <c r="L2896">
        <v>3</v>
      </c>
      <c r="M2896">
        <v>0</v>
      </c>
      <c r="N2896">
        <v>2</v>
      </c>
      <c r="O2896">
        <v>1</v>
      </c>
      <c r="P2896">
        <v>0</v>
      </c>
      <c r="Q2896">
        <v>0</v>
      </c>
      <c r="R2896" t="s">
        <v>112</v>
      </c>
      <c r="S2896" t="str">
        <f>"14:38:36.945"</f>
        <v>14:38:36.945</v>
      </c>
      <c r="T2896" t="str">
        <f>"14:38:36.445"</f>
        <v>14:38:36.445</v>
      </c>
      <c r="U2896" t="str">
        <f t="shared" si="135"/>
        <v>ad5732</v>
      </c>
      <c r="V2896">
        <v>0</v>
      </c>
      <c r="W2896">
        <v>0</v>
      </c>
      <c r="X2896">
        <v>1</v>
      </c>
      <c r="Z2896">
        <v>0</v>
      </c>
      <c r="AA2896">
        <v>9</v>
      </c>
      <c r="AB2896">
        <v>3</v>
      </c>
      <c r="AC2896">
        <v>0</v>
      </c>
      <c r="AD2896">
        <v>10</v>
      </c>
      <c r="AE2896">
        <v>0</v>
      </c>
      <c r="AF2896">
        <v>3</v>
      </c>
      <c r="AG2896">
        <v>2</v>
      </c>
      <c r="AH2896">
        <v>0</v>
      </c>
      <c r="AI2896" t="s">
        <v>5908</v>
      </c>
      <c r="AJ2896">
        <v>40.313237000000001</v>
      </c>
      <c r="AK2896" t="s">
        <v>5909</v>
      </c>
      <c r="AL2896">
        <v>-75.118889999999993</v>
      </c>
      <c r="AM2896">
        <v>100</v>
      </c>
      <c r="AN2896">
        <v>3700</v>
      </c>
      <c r="AO2896" t="s">
        <v>115</v>
      </c>
      <c r="AP2896">
        <v>127</v>
      </c>
      <c r="AQ2896">
        <v>120</v>
      </c>
      <c r="AR2896">
        <v>128</v>
      </c>
      <c r="AZ2896">
        <v>3614</v>
      </c>
      <c r="BA2896">
        <v>1</v>
      </c>
      <c r="BB2896" t="str">
        <f t="shared" si="137"/>
        <v xml:space="preserve">N959MJ  </v>
      </c>
      <c r="BC2896">
        <v>1</v>
      </c>
      <c r="BE2896">
        <v>0</v>
      </c>
      <c r="BF2896">
        <v>0</v>
      </c>
      <c r="BG2896">
        <v>0</v>
      </c>
      <c r="BH2896">
        <v>3875</v>
      </c>
      <c r="BI2896">
        <v>175</v>
      </c>
      <c r="BJ2896">
        <v>1</v>
      </c>
      <c r="BK2896">
        <v>1</v>
      </c>
      <c r="BL2896">
        <v>1</v>
      </c>
      <c r="BM2896">
        <v>0</v>
      </c>
      <c r="BP2896">
        <v>0</v>
      </c>
      <c r="BQ2896">
        <v>0</v>
      </c>
      <c r="BX2896" t="str">
        <f>"14:38:36.945"</f>
        <v>14:38:36.945</v>
      </c>
      <c r="BY2896" t="str">
        <f>"946216961"</f>
        <v>946216961</v>
      </c>
      <c r="CL2896">
        <v>0</v>
      </c>
      <c r="CM2896">
        <v>2</v>
      </c>
      <c r="CN2896">
        <v>0</v>
      </c>
      <c r="CO2896">
        <v>2</v>
      </c>
      <c r="CP2896">
        <v>0</v>
      </c>
      <c r="CQ2896">
        <v>7</v>
      </c>
      <c r="CR2896" t="s">
        <v>116</v>
      </c>
      <c r="CS2896">
        <v>38</v>
      </c>
      <c r="CT2896">
        <v>3</v>
      </c>
      <c r="CU2896" t="s">
        <v>4719</v>
      </c>
      <c r="CV2896" t="s">
        <v>4720</v>
      </c>
      <c r="CY2896">
        <v>10396807</v>
      </c>
      <c r="CZ2896" t="s">
        <v>119</v>
      </c>
    </row>
    <row r="2897" spans="1:104" x14ac:dyDescent="0.25">
      <c r="A2897" t="str">
        <f>"14:38:38.148"</f>
        <v>14:38:38.148</v>
      </c>
      <c r="B2897" t="s">
        <v>108</v>
      </c>
      <c r="C2897" t="str">
        <f t="shared" si="136"/>
        <v>ffdfd3c0</v>
      </c>
      <c r="D2897" t="s">
        <v>109</v>
      </c>
      <c r="E2897">
        <v>4</v>
      </c>
      <c r="F2897">
        <v>1004</v>
      </c>
      <c r="G2897" t="s">
        <v>110</v>
      </c>
      <c r="J2897" t="s">
        <v>111</v>
      </c>
      <c r="K2897">
        <v>0</v>
      </c>
      <c r="L2897">
        <v>3</v>
      </c>
      <c r="M2897">
        <v>0</v>
      </c>
      <c r="N2897">
        <v>2</v>
      </c>
      <c r="O2897">
        <v>1</v>
      </c>
      <c r="P2897">
        <v>0</v>
      </c>
      <c r="Q2897">
        <v>0</v>
      </c>
      <c r="R2897" t="s">
        <v>112</v>
      </c>
      <c r="S2897" t="str">
        <f>"14:38:37.977"</f>
        <v>14:38:37.977</v>
      </c>
      <c r="T2897" t="str">
        <f>"14:38:37.477"</f>
        <v>14:38:37.477</v>
      </c>
      <c r="U2897" t="str">
        <f t="shared" si="135"/>
        <v>ad5732</v>
      </c>
      <c r="V2897">
        <v>0</v>
      </c>
      <c r="W2897">
        <v>0</v>
      </c>
      <c r="X2897">
        <v>1</v>
      </c>
      <c r="Z2897">
        <v>0</v>
      </c>
      <c r="AA2897">
        <v>9</v>
      </c>
      <c r="AB2897">
        <v>3</v>
      </c>
      <c r="AC2897">
        <v>0</v>
      </c>
      <c r="AD2897">
        <v>10</v>
      </c>
      <c r="AE2897">
        <v>0</v>
      </c>
      <c r="AF2897">
        <v>3</v>
      </c>
      <c r="AG2897">
        <v>2</v>
      </c>
      <c r="AH2897">
        <v>0</v>
      </c>
      <c r="AI2897" t="s">
        <v>5910</v>
      </c>
      <c r="AJ2897">
        <v>40.313772999999998</v>
      </c>
      <c r="AK2897" t="s">
        <v>5911</v>
      </c>
      <c r="AL2897">
        <v>-75.118095999999994</v>
      </c>
      <c r="AM2897">
        <v>100</v>
      </c>
      <c r="AN2897">
        <v>3700</v>
      </c>
      <c r="AO2897" t="s">
        <v>115</v>
      </c>
      <c r="AP2897">
        <v>127</v>
      </c>
      <c r="AQ2897">
        <v>120</v>
      </c>
      <c r="AR2897">
        <v>128</v>
      </c>
      <c r="AZ2897">
        <v>3614</v>
      </c>
      <c r="BA2897">
        <v>1</v>
      </c>
      <c r="BB2897" t="str">
        <f t="shared" si="137"/>
        <v xml:space="preserve">N959MJ  </v>
      </c>
      <c r="BC2897">
        <v>1</v>
      </c>
      <c r="BE2897">
        <v>0</v>
      </c>
      <c r="BF2897">
        <v>0</v>
      </c>
      <c r="BG2897">
        <v>0</v>
      </c>
      <c r="BH2897">
        <v>3875</v>
      </c>
      <c r="BI2897">
        <v>175</v>
      </c>
      <c r="BJ2897">
        <v>1</v>
      </c>
      <c r="BK2897">
        <v>1</v>
      </c>
      <c r="BL2897">
        <v>1</v>
      </c>
      <c r="BM2897">
        <v>0</v>
      </c>
      <c r="BP2897">
        <v>0</v>
      </c>
      <c r="BQ2897">
        <v>0</v>
      </c>
      <c r="BX2897" t="str">
        <f>"14:38:37.977"</f>
        <v>14:38:37.977</v>
      </c>
      <c r="BY2897" t="str">
        <f>"978426747"</f>
        <v>978426747</v>
      </c>
      <c r="CL2897">
        <v>0</v>
      </c>
      <c r="CM2897">
        <v>2</v>
      </c>
      <c r="CN2897">
        <v>0</v>
      </c>
      <c r="CO2897">
        <v>2</v>
      </c>
      <c r="CP2897">
        <v>0</v>
      </c>
      <c r="CQ2897">
        <v>7</v>
      </c>
      <c r="CR2897" t="s">
        <v>116</v>
      </c>
      <c r="CS2897">
        <v>38</v>
      </c>
      <c r="CT2897">
        <v>3</v>
      </c>
      <c r="CU2897" t="s">
        <v>4719</v>
      </c>
      <c r="CV2897" t="s">
        <v>4720</v>
      </c>
      <c r="CY2897">
        <v>10398630</v>
      </c>
      <c r="CZ2897" t="s">
        <v>119</v>
      </c>
    </row>
    <row r="2898" spans="1:104" x14ac:dyDescent="0.25">
      <c r="A2898" t="str">
        <f>"14:38:39.156"</f>
        <v>14:38:39.156</v>
      </c>
      <c r="B2898" t="s">
        <v>108</v>
      </c>
      <c r="C2898" t="str">
        <f t="shared" si="136"/>
        <v>ffdfd3c0</v>
      </c>
      <c r="D2898" t="s">
        <v>109</v>
      </c>
      <c r="E2898">
        <v>4</v>
      </c>
      <c r="F2898">
        <v>1004</v>
      </c>
      <c r="G2898" t="s">
        <v>110</v>
      </c>
      <c r="J2898" t="s">
        <v>111</v>
      </c>
      <c r="K2898">
        <v>0</v>
      </c>
      <c r="L2898">
        <v>3</v>
      </c>
      <c r="M2898">
        <v>0</v>
      </c>
      <c r="N2898">
        <v>2</v>
      </c>
      <c r="O2898">
        <v>1</v>
      </c>
      <c r="P2898">
        <v>0</v>
      </c>
      <c r="Q2898">
        <v>0</v>
      </c>
      <c r="R2898" t="s">
        <v>112</v>
      </c>
      <c r="S2898" t="str">
        <f>"14:38:38.945"</f>
        <v>14:38:38.945</v>
      </c>
      <c r="T2898" t="str">
        <f>"14:38:38.547"</f>
        <v>14:38:38.547</v>
      </c>
      <c r="U2898" t="str">
        <f t="shared" si="135"/>
        <v>ad5732</v>
      </c>
      <c r="V2898">
        <v>0</v>
      </c>
      <c r="W2898">
        <v>0</v>
      </c>
      <c r="X2898">
        <v>1</v>
      </c>
      <c r="Z2898">
        <v>0</v>
      </c>
      <c r="AA2898">
        <v>9</v>
      </c>
      <c r="AB2898">
        <v>3</v>
      </c>
      <c r="AC2898">
        <v>0</v>
      </c>
      <c r="AD2898">
        <v>10</v>
      </c>
      <c r="AE2898">
        <v>0</v>
      </c>
      <c r="AF2898">
        <v>3</v>
      </c>
      <c r="AG2898">
        <v>2</v>
      </c>
      <c r="AH2898">
        <v>0</v>
      </c>
      <c r="AI2898" t="s">
        <v>5912</v>
      </c>
      <c r="AJ2898">
        <v>40.314331000000003</v>
      </c>
      <c r="AK2898" t="s">
        <v>5913</v>
      </c>
      <c r="AL2898">
        <v>-75.117366000000004</v>
      </c>
      <c r="AM2898">
        <v>100</v>
      </c>
      <c r="AN2898">
        <v>3700</v>
      </c>
      <c r="AO2898" t="s">
        <v>115</v>
      </c>
      <c r="AP2898">
        <v>127</v>
      </c>
      <c r="AQ2898">
        <v>120</v>
      </c>
      <c r="AR2898">
        <v>0</v>
      </c>
      <c r="AZ2898">
        <v>3614</v>
      </c>
      <c r="BA2898">
        <v>1</v>
      </c>
      <c r="BB2898" t="str">
        <f t="shared" si="137"/>
        <v xml:space="preserve">N959MJ  </v>
      </c>
      <c r="BC2898">
        <v>1</v>
      </c>
      <c r="BE2898">
        <v>0</v>
      </c>
      <c r="BF2898">
        <v>0</v>
      </c>
      <c r="BG2898">
        <v>0</v>
      </c>
      <c r="BH2898">
        <v>3875</v>
      </c>
      <c r="BI2898">
        <v>175</v>
      </c>
      <c r="BJ2898">
        <v>1</v>
      </c>
      <c r="BK2898">
        <v>1</v>
      </c>
      <c r="BL2898">
        <v>1</v>
      </c>
      <c r="BM2898">
        <v>0</v>
      </c>
      <c r="BP2898">
        <v>0</v>
      </c>
      <c r="BQ2898">
        <v>0</v>
      </c>
      <c r="BX2898" t="str">
        <f>"14:38:38.953"</f>
        <v>14:38:38.953</v>
      </c>
      <c r="BY2898" t="str">
        <f>"950014790"</f>
        <v>950014790</v>
      </c>
      <c r="CL2898">
        <v>0</v>
      </c>
      <c r="CM2898">
        <v>2</v>
      </c>
      <c r="CN2898">
        <v>0</v>
      </c>
      <c r="CO2898">
        <v>2</v>
      </c>
      <c r="CP2898">
        <v>0</v>
      </c>
      <c r="CQ2898">
        <v>7</v>
      </c>
      <c r="CR2898" t="s">
        <v>116</v>
      </c>
      <c r="CS2898">
        <v>38</v>
      </c>
      <c r="CT2898">
        <v>3</v>
      </c>
      <c r="CU2898" t="s">
        <v>4719</v>
      </c>
      <c r="CV2898" t="s">
        <v>4720</v>
      </c>
      <c r="CY2898">
        <v>10400356</v>
      </c>
      <c r="CZ2898" t="s">
        <v>119</v>
      </c>
    </row>
    <row r="2899" spans="1:104" x14ac:dyDescent="0.25">
      <c r="A2899" t="str">
        <f>"14:38:40.016"</f>
        <v>14:38:40.016</v>
      </c>
      <c r="B2899" t="s">
        <v>108</v>
      </c>
      <c r="C2899" t="str">
        <f t="shared" si="136"/>
        <v>ffdfd3c0</v>
      </c>
      <c r="D2899" t="s">
        <v>109</v>
      </c>
      <c r="E2899">
        <v>4</v>
      </c>
      <c r="F2899">
        <v>1004</v>
      </c>
      <c r="G2899" t="s">
        <v>110</v>
      </c>
      <c r="J2899" t="s">
        <v>111</v>
      </c>
      <c r="K2899">
        <v>0</v>
      </c>
      <c r="L2899">
        <v>3</v>
      </c>
      <c r="M2899">
        <v>0</v>
      </c>
      <c r="N2899">
        <v>2</v>
      </c>
      <c r="O2899">
        <v>1</v>
      </c>
      <c r="P2899">
        <v>0</v>
      </c>
      <c r="Q2899">
        <v>0</v>
      </c>
      <c r="R2899" t="s">
        <v>112</v>
      </c>
      <c r="S2899" t="str">
        <f>"14:38:39.820"</f>
        <v>14:38:39.820</v>
      </c>
      <c r="T2899" t="str">
        <f>"14:38:39.422"</f>
        <v>14:38:39.422</v>
      </c>
      <c r="U2899" t="str">
        <f t="shared" si="135"/>
        <v>ad5732</v>
      </c>
      <c r="V2899">
        <v>0</v>
      </c>
      <c r="W2899">
        <v>0</v>
      </c>
      <c r="X2899">
        <v>1</v>
      </c>
      <c r="Z2899">
        <v>0</v>
      </c>
      <c r="AA2899">
        <v>9</v>
      </c>
      <c r="AB2899">
        <v>3</v>
      </c>
      <c r="AC2899">
        <v>0</v>
      </c>
      <c r="AD2899">
        <v>10</v>
      </c>
      <c r="AE2899">
        <v>0</v>
      </c>
      <c r="AF2899">
        <v>3</v>
      </c>
      <c r="AG2899">
        <v>2</v>
      </c>
      <c r="AH2899">
        <v>0</v>
      </c>
      <c r="AI2899" t="s">
        <v>5914</v>
      </c>
      <c r="AJ2899">
        <v>40.314846000000003</v>
      </c>
      <c r="AK2899" t="s">
        <v>5915</v>
      </c>
      <c r="AL2899">
        <v>-75.116636999999997</v>
      </c>
      <c r="AM2899">
        <v>100</v>
      </c>
      <c r="AN2899">
        <v>3700</v>
      </c>
      <c r="AO2899" t="s">
        <v>115</v>
      </c>
      <c r="AP2899">
        <v>127</v>
      </c>
      <c r="AQ2899">
        <v>120</v>
      </c>
      <c r="AR2899">
        <v>64</v>
      </c>
      <c r="AZ2899">
        <v>3614</v>
      </c>
      <c r="BA2899">
        <v>1</v>
      </c>
      <c r="BB2899" t="str">
        <f t="shared" si="137"/>
        <v xml:space="preserve">N959MJ  </v>
      </c>
      <c r="BC2899">
        <v>1</v>
      </c>
      <c r="BE2899">
        <v>0</v>
      </c>
      <c r="BF2899">
        <v>0</v>
      </c>
      <c r="BG2899">
        <v>0</v>
      </c>
      <c r="BH2899">
        <v>3875</v>
      </c>
      <c r="BI2899">
        <v>175</v>
      </c>
      <c r="BJ2899">
        <v>1</v>
      </c>
      <c r="BK2899">
        <v>1</v>
      </c>
      <c r="BL2899">
        <v>1</v>
      </c>
      <c r="BM2899">
        <v>0</v>
      </c>
      <c r="BP2899">
        <v>0</v>
      </c>
      <c r="BQ2899">
        <v>0</v>
      </c>
      <c r="BX2899" t="str">
        <f>"14:38:39.820"</f>
        <v>14:38:39.820</v>
      </c>
      <c r="BY2899" t="str">
        <f>"821658510"</f>
        <v>821658510</v>
      </c>
      <c r="CL2899">
        <v>0</v>
      </c>
      <c r="CM2899">
        <v>2</v>
      </c>
      <c r="CN2899">
        <v>0</v>
      </c>
      <c r="CO2899">
        <v>2</v>
      </c>
      <c r="CP2899">
        <v>0</v>
      </c>
      <c r="CQ2899">
        <v>7</v>
      </c>
      <c r="CR2899" t="s">
        <v>116</v>
      </c>
      <c r="CS2899">
        <v>38</v>
      </c>
      <c r="CT2899">
        <v>3</v>
      </c>
      <c r="CU2899" t="s">
        <v>4719</v>
      </c>
      <c r="CV2899" t="s">
        <v>4720</v>
      </c>
      <c r="CY2899">
        <v>10401880</v>
      </c>
      <c r="CZ2899" t="s">
        <v>119</v>
      </c>
    </row>
    <row r="2900" spans="1:104" x14ac:dyDescent="0.25">
      <c r="A2900" t="str">
        <f>"14:38:41.125"</f>
        <v>14:38:41.125</v>
      </c>
      <c r="B2900" t="s">
        <v>108</v>
      </c>
      <c r="C2900" t="str">
        <f t="shared" si="136"/>
        <v>ffdfd3c0</v>
      </c>
      <c r="D2900" t="s">
        <v>109</v>
      </c>
      <c r="E2900">
        <v>4</v>
      </c>
      <c r="F2900">
        <v>1004</v>
      </c>
      <c r="G2900" t="s">
        <v>110</v>
      </c>
      <c r="J2900" t="s">
        <v>111</v>
      </c>
      <c r="K2900">
        <v>0</v>
      </c>
      <c r="L2900">
        <v>3</v>
      </c>
      <c r="M2900">
        <v>0</v>
      </c>
      <c r="N2900">
        <v>2</v>
      </c>
      <c r="O2900">
        <v>1</v>
      </c>
      <c r="P2900">
        <v>0</v>
      </c>
      <c r="Q2900">
        <v>0</v>
      </c>
      <c r="R2900" t="s">
        <v>112</v>
      </c>
      <c r="S2900" t="str">
        <f>"14:38:40.922"</f>
        <v>14:38:40.922</v>
      </c>
      <c r="T2900" t="str">
        <f>"14:38:40.422"</f>
        <v>14:38:40.422</v>
      </c>
      <c r="U2900" t="str">
        <f t="shared" si="135"/>
        <v>ad5732</v>
      </c>
      <c r="V2900">
        <v>0</v>
      </c>
      <c r="W2900">
        <v>0</v>
      </c>
      <c r="X2900">
        <v>1</v>
      </c>
      <c r="Z2900">
        <v>0</v>
      </c>
      <c r="AA2900">
        <v>9</v>
      </c>
      <c r="AB2900">
        <v>3</v>
      </c>
      <c r="AC2900">
        <v>0</v>
      </c>
      <c r="AD2900">
        <v>10</v>
      </c>
      <c r="AE2900">
        <v>0</v>
      </c>
      <c r="AF2900">
        <v>3</v>
      </c>
      <c r="AG2900">
        <v>2</v>
      </c>
      <c r="AH2900">
        <v>0</v>
      </c>
      <c r="AI2900" t="s">
        <v>5916</v>
      </c>
      <c r="AJ2900">
        <v>40.315468000000003</v>
      </c>
      <c r="AK2900" t="s">
        <v>5917</v>
      </c>
      <c r="AL2900">
        <v>-75.115778000000006</v>
      </c>
      <c r="AM2900">
        <v>100</v>
      </c>
      <c r="AN2900">
        <v>3700</v>
      </c>
      <c r="AO2900" t="s">
        <v>115</v>
      </c>
      <c r="AP2900">
        <v>127</v>
      </c>
      <c r="AQ2900">
        <v>120</v>
      </c>
      <c r="AR2900">
        <v>0</v>
      </c>
      <c r="AZ2900">
        <v>3614</v>
      </c>
      <c r="BA2900">
        <v>1</v>
      </c>
      <c r="BB2900" t="str">
        <f t="shared" si="137"/>
        <v xml:space="preserve">N959MJ  </v>
      </c>
      <c r="BC2900">
        <v>1</v>
      </c>
      <c r="BE2900">
        <v>0</v>
      </c>
      <c r="BF2900">
        <v>0</v>
      </c>
      <c r="BG2900">
        <v>0</v>
      </c>
      <c r="BH2900">
        <v>3875</v>
      </c>
      <c r="BI2900">
        <v>175</v>
      </c>
      <c r="BJ2900">
        <v>1</v>
      </c>
      <c r="BK2900">
        <v>1</v>
      </c>
      <c r="BL2900">
        <v>1</v>
      </c>
      <c r="BM2900">
        <v>0</v>
      </c>
      <c r="BP2900">
        <v>0</v>
      </c>
      <c r="BQ2900">
        <v>0</v>
      </c>
      <c r="BX2900" t="str">
        <f>"14:38:40.930"</f>
        <v>14:38:40.930</v>
      </c>
      <c r="BY2900" t="str">
        <f>"927597576"</f>
        <v>927597576</v>
      </c>
      <c r="CL2900">
        <v>0</v>
      </c>
      <c r="CM2900">
        <v>2</v>
      </c>
      <c r="CN2900">
        <v>0</v>
      </c>
      <c r="CO2900">
        <v>2</v>
      </c>
      <c r="CP2900">
        <v>0</v>
      </c>
      <c r="CQ2900">
        <v>7</v>
      </c>
      <c r="CR2900" t="s">
        <v>116</v>
      </c>
      <c r="CS2900">
        <v>38</v>
      </c>
      <c r="CT2900">
        <v>3</v>
      </c>
      <c r="CU2900" t="s">
        <v>4719</v>
      </c>
      <c r="CV2900" t="s">
        <v>4720</v>
      </c>
      <c r="CY2900">
        <v>10403840</v>
      </c>
      <c r="CZ2900" t="s">
        <v>119</v>
      </c>
    </row>
    <row r="2901" spans="1:104" x14ac:dyDescent="0.25">
      <c r="A2901" t="str">
        <f>"14:38:42.039"</f>
        <v>14:38:42.039</v>
      </c>
      <c r="B2901" t="s">
        <v>108</v>
      </c>
      <c r="C2901" t="str">
        <f t="shared" si="136"/>
        <v>ffdfd3c0</v>
      </c>
      <c r="D2901" t="s">
        <v>109</v>
      </c>
      <c r="E2901">
        <v>4</v>
      </c>
      <c r="F2901">
        <v>1004</v>
      </c>
      <c r="G2901" t="s">
        <v>110</v>
      </c>
      <c r="J2901" t="s">
        <v>111</v>
      </c>
      <c r="K2901">
        <v>0</v>
      </c>
      <c r="L2901">
        <v>3</v>
      </c>
      <c r="M2901">
        <v>0</v>
      </c>
      <c r="N2901">
        <v>2</v>
      </c>
      <c r="O2901">
        <v>1</v>
      </c>
      <c r="P2901">
        <v>0</v>
      </c>
      <c r="Q2901">
        <v>0</v>
      </c>
      <c r="R2901" t="s">
        <v>112</v>
      </c>
      <c r="S2901" t="str">
        <f>"14:38:41.867"</f>
        <v>14:38:41.867</v>
      </c>
      <c r="T2901" t="str">
        <f>"14:38:41.469"</f>
        <v>14:38:41.469</v>
      </c>
      <c r="U2901" t="str">
        <f t="shared" si="135"/>
        <v>ad5732</v>
      </c>
      <c r="V2901">
        <v>0</v>
      </c>
      <c r="W2901">
        <v>0</v>
      </c>
      <c r="X2901">
        <v>1</v>
      </c>
      <c r="Z2901">
        <v>0</v>
      </c>
      <c r="AA2901">
        <v>9</v>
      </c>
      <c r="AB2901">
        <v>3</v>
      </c>
      <c r="AC2901">
        <v>0</v>
      </c>
      <c r="AD2901">
        <v>10</v>
      </c>
      <c r="AE2901">
        <v>0</v>
      </c>
      <c r="AF2901">
        <v>3</v>
      </c>
      <c r="AG2901">
        <v>2</v>
      </c>
      <c r="AH2901">
        <v>0</v>
      </c>
      <c r="AI2901" t="s">
        <v>5918</v>
      </c>
      <c r="AJ2901">
        <v>40.315961999999999</v>
      </c>
      <c r="AK2901" t="s">
        <v>5919</v>
      </c>
      <c r="AL2901">
        <v>-75.115092000000004</v>
      </c>
      <c r="AM2901">
        <v>100</v>
      </c>
      <c r="AN2901">
        <v>3700</v>
      </c>
      <c r="AO2901" t="s">
        <v>115</v>
      </c>
      <c r="AP2901">
        <v>128</v>
      </c>
      <c r="AQ2901">
        <v>119</v>
      </c>
      <c r="AR2901">
        <v>0</v>
      </c>
      <c r="AZ2901">
        <v>3614</v>
      </c>
      <c r="BA2901">
        <v>1</v>
      </c>
      <c r="BB2901" t="str">
        <f t="shared" si="137"/>
        <v xml:space="preserve">N959MJ  </v>
      </c>
      <c r="BC2901">
        <v>1</v>
      </c>
      <c r="BE2901">
        <v>0</v>
      </c>
      <c r="BF2901">
        <v>0</v>
      </c>
      <c r="BG2901">
        <v>0</v>
      </c>
      <c r="BH2901">
        <v>3875</v>
      </c>
      <c r="BI2901">
        <v>175</v>
      </c>
      <c r="BJ2901">
        <v>1</v>
      </c>
      <c r="BK2901">
        <v>1</v>
      </c>
      <c r="BL2901">
        <v>1</v>
      </c>
      <c r="BM2901">
        <v>0</v>
      </c>
      <c r="BP2901">
        <v>0</v>
      </c>
      <c r="BQ2901">
        <v>0</v>
      </c>
      <c r="BX2901" t="str">
        <f>"14:38:41.867"</f>
        <v>14:38:41.867</v>
      </c>
      <c r="BY2901" t="str">
        <f>"868055378"</f>
        <v>868055378</v>
      </c>
      <c r="CL2901">
        <v>0</v>
      </c>
      <c r="CM2901">
        <v>2</v>
      </c>
      <c r="CN2901">
        <v>0</v>
      </c>
      <c r="CO2901">
        <v>2</v>
      </c>
      <c r="CP2901">
        <v>0</v>
      </c>
      <c r="CQ2901">
        <v>7</v>
      </c>
      <c r="CR2901" t="s">
        <v>116</v>
      </c>
      <c r="CS2901">
        <v>38</v>
      </c>
      <c r="CT2901">
        <v>3</v>
      </c>
      <c r="CU2901" t="s">
        <v>4719</v>
      </c>
      <c r="CV2901" t="s">
        <v>4720</v>
      </c>
      <c r="CY2901">
        <v>10405495</v>
      </c>
      <c r="CZ2901" t="s">
        <v>119</v>
      </c>
    </row>
    <row r="2902" spans="1:104" x14ac:dyDescent="0.25">
      <c r="A2902" t="str">
        <f>"14:38:43.047"</f>
        <v>14:38:43.047</v>
      </c>
      <c r="B2902" t="s">
        <v>108</v>
      </c>
      <c r="C2902" t="str">
        <f t="shared" si="136"/>
        <v>ffdfd3c0</v>
      </c>
      <c r="D2902" t="s">
        <v>109</v>
      </c>
      <c r="E2902">
        <v>4</v>
      </c>
      <c r="F2902">
        <v>1004</v>
      </c>
      <c r="G2902" t="s">
        <v>110</v>
      </c>
      <c r="J2902" t="s">
        <v>111</v>
      </c>
      <c r="K2902">
        <v>0</v>
      </c>
      <c r="L2902">
        <v>3</v>
      </c>
      <c r="M2902">
        <v>0</v>
      </c>
      <c r="N2902">
        <v>2</v>
      </c>
      <c r="O2902">
        <v>1</v>
      </c>
      <c r="P2902">
        <v>0</v>
      </c>
      <c r="Q2902">
        <v>0</v>
      </c>
      <c r="R2902" t="s">
        <v>112</v>
      </c>
      <c r="S2902" t="str">
        <f>"14:38:42.875"</f>
        <v>14:38:42.875</v>
      </c>
      <c r="T2902" t="str">
        <f>"14:38:42.477"</f>
        <v>14:38:42.477</v>
      </c>
      <c r="U2902" t="str">
        <f t="shared" si="135"/>
        <v>ad5732</v>
      </c>
      <c r="V2902">
        <v>0</v>
      </c>
      <c r="W2902">
        <v>0</v>
      </c>
      <c r="X2902">
        <v>1</v>
      </c>
      <c r="Z2902">
        <v>0</v>
      </c>
      <c r="AA2902">
        <v>9</v>
      </c>
      <c r="AB2902">
        <v>3</v>
      </c>
      <c r="AC2902">
        <v>0</v>
      </c>
      <c r="AD2902">
        <v>10</v>
      </c>
      <c r="AE2902">
        <v>0</v>
      </c>
      <c r="AF2902">
        <v>3</v>
      </c>
      <c r="AG2902">
        <v>2</v>
      </c>
      <c r="AH2902">
        <v>0</v>
      </c>
      <c r="AI2902" t="s">
        <v>5920</v>
      </c>
      <c r="AJ2902">
        <v>40.316519999999997</v>
      </c>
      <c r="AK2902" t="s">
        <v>5921</v>
      </c>
      <c r="AL2902">
        <v>-75.114340999999996</v>
      </c>
      <c r="AM2902">
        <v>100</v>
      </c>
      <c r="AN2902">
        <v>3700</v>
      </c>
      <c r="AO2902" t="s">
        <v>115</v>
      </c>
      <c r="AP2902">
        <v>128</v>
      </c>
      <c r="AQ2902">
        <v>119</v>
      </c>
      <c r="AR2902">
        <v>64</v>
      </c>
      <c r="AZ2902">
        <v>3614</v>
      </c>
      <c r="BA2902">
        <v>1</v>
      </c>
      <c r="BB2902" t="str">
        <f t="shared" si="137"/>
        <v xml:space="preserve">N959MJ  </v>
      </c>
      <c r="BC2902">
        <v>1</v>
      </c>
      <c r="BE2902">
        <v>0</v>
      </c>
      <c r="BF2902">
        <v>0</v>
      </c>
      <c r="BG2902">
        <v>0</v>
      </c>
      <c r="BH2902">
        <v>3875</v>
      </c>
      <c r="BI2902">
        <v>175</v>
      </c>
      <c r="BJ2902">
        <v>1</v>
      </c>
      <c r="BK2902">
        <v>1</v>
      </c>
      <c r="BL2902">
        <v>1</v>
      </c>
      <c r="BM2902">
        <v>0</v>
      </c>
      <c r="BP2902">
        <v>0</v>
      </c>
      <c r="BQ2902">
        <v>0</v>
      </c>
      <c r="BX2902" t="str">
        <f>"14:38:42.883"</f>
        <v>14:38:42.883</v>
      </c>
      <c r="BY2902" t="str">
        <f>"882242453"</f>
        <v>882242453</v>
      </c>
      <c r="CL2902">
        <v>0</v>
      </c>
      <c r="CM2902">
        <v>2</v>
      </c>
      <c r="CN2902">
        <v>0</v>
      </c>
      <c r="CO2902">
        <v>2</v>
      </c>
      <c r="CP2902">
        <v>0</v>
      </c>
      <c r="CQ2902">
        <v>7</v>
      </c>
      <c r="CR2902" t="s">
        <v>116</v>
      </c>
      <c r="CS2902">
        <v>38</v>
      </c>
      <c r="CT2902">
        <v>3</v>
      </c>
      <c r="CU2902" t="s">
        <v>4719</v>
      </c>
      <c r="CV2902" t="s">
        <v>4720</v>
      </c>
      <c r="CY2902">
        <v>10407276</v>
      </c>
      <c r="CZ2902" t="s">
        <v>119</v>
      </c>
    </row>
    <row r="2903" spans="1:104" x14ac:dyDescent="0.25">
      <c r="A2903" t="str">
        <f>"14:38:44.000"</f>
        <v>14:38:44.000</v>
      </c>
      <c r="B2903" t="s">
        <v>108</v>
      </c>
      <c r="C2903" t="str">
        <f t="shared" si="136"/>
        <v>ffdfd3c0</v>
      </c>
      <c r="D2903" t="s">
        <v>109</v>
      </c>
      <c r="E2903">
        <v>4</v>
      </c>
      <c r="F2903">
        <v>1004</v>
      </c>
      <c r="G2903" t="s">
        <v>110</v>
      </c>
      <c r="J2903" t="s">
        <v>111</v>
      </c>
      <c r="K2903">
        <v>0</v>
      </c>
      <c r="L2903">
        <v>3</v>
      </c>
      <c r="M2903">
        <v>0</v>
      </c>
      <c r="N2903">
        <v>2</v>
      </c>
      <c r="O2903">
        <v>1</v>
      </c>
      <c r="P2903">
        <v>0</v>
      </c>
      <c r="Q2903">
        <v>0</v>
      </c>
      <c r="R2903" t="s">
        <v>112</v>
      </c>
      <c r="S2903" t="str">
        <f>"14:38:43.820"</f>
        <v>14:38:43.820</v>
      </c>
      <c r="T2903" t="str">
        <f>"14:38:43.422"</f>
        <v>14:38:43.422</v>
      </c>
      <c r="U2903" t="str">
        <f t="shared" si="135"/>
        <v>ad5732</v>
      </c>
      <c r="V2903">
        <v>0</v>
      </c>
      <c r="W2903">
        <v>0</v>
      </c>
      <c r="X2903">
        <v>1</v>
      </c>
      <c r="Z2903">
        <v>0</v>
      </c>
      <c r="AA2903">
        <v>9</v>
      </c>
      <c r="AB2903">
        <v>3</v>
      </c>
      <c r="AC2903">
        <v>0</v>
      </c>
      <c r="AD2903">
        <v>10</v>
      </c>
      <c r="AE2903">
        <v>0</v>
      </c>
      <c r="AF2903">
        <v>3</v>
      </c>
      <c r="AG2903">
        <v>2</v>
      </c>
      <c r="AH2903">
        <v>0</v>
      </c>
      <c r="AI2903" t="s">
        <v>5922</v>
      </c>
      <c r="AJ2903">
        <v>40.317078000000002</v>
      </c>
      <c r="AK2903" t="s">
        <v>5923</v>
      </c>
      <c r="AL2903">
        <v>-75.113590000000002</v>
      </c>
      <c r="AM2903">
        <v>100</v>
      </c>
      <c r="AN2903">
        <v>3700</v>
      </c>
      <c r="AO2903" t="s">
        <v>115</v>
      </c>
      <c r="AP2903">
        <v>128</v>
      </c>
      <c r="AQ2903">
        <v>119</v>
      </c>
      <c r="AR2903">
        <v>64</v>
      </c>
      <c r="AZ2903">
        <v>3614</v>
      </c>
      <c r="BA2903">
        <v>1</v>
      </c>
      <c r="BB2903" t="str">
        <f t="shared" si="137"/>
        <v xml:space="preserve">N959MJ  </v>
      </c>
      <c r="BC2903">
        <v>1</v>
      </c>
      <c r="BE2903">
        <v>0</v>
      </c>
      <c r="BF2903">
        <v>0</v>
      </c>
      <c r="BG2903">
        <v>0</v>
      </c>
      <c r="BH2903">
        <v>3875</v>
      </c>
      <c r="BI2903">
        <v>175</v>
      </c>
      <c r="BJ2903">
        <v>1</v>
      </c>
      <c r="BK2903">
        <v>1</v>
      </c>
      <c r="BL2903">
        <v>1</v>
      </c>
      <c r="BM2903">
        <v>0</v>
      </c>
      <c r="BP2903">
        <v>0</v>
      </c>
      <c r="BQ2903">
        <v>0</v>
      </c>
      <c r="BX2903" t="str">
        <f>"14:38:43.828"</f>
        <v>14:38:43.828</v>
      </c>
      <c r="BY2903" t="str">
        <f>"827615548"</f>
        <v>827615548</v>
      </c>
      <c r="CL2903">
        <v>0</v>
      </c>
      <c r="CM2903">
        <v>2</v>
      </c>
      <c r="CN2903">
        <v>0</v>
      </c>
      <c r="CO2903">
        <v>2</v>
      </c>
      <c r="CP2903">
        <v>0</v>
      </c>
      <c r="CQ2903">
        <v>7</v>
      </c>
      <c r="CR2903" t="s">
        <v>116</v>
      </c>
      <c r="CS2903">
        <v>38</v>
      </c>
      <c r="CT2903">
        <v>3</v>
      </c>
      <c r="CU2903" t="s">
        <v>4719</v>
      </c>
      <c r="CV2903" t="s">
        <v>4720</v>
      </c>
      <c r="CY2903">
        <v>10409072</v>
      </c>
      <c r="CZ2903" t="s">
        <v>119</v>
      </c>
    </row>
    <row r="2904" spans="1:104" x14ac:dyDescent="0.25">
      <c r="A2904" t="str">
        <f>"14:38:44.914"</f>
        <v>14:38:44.914</v>
      </c>
      <c r="B2904" t="s">
        <v>108</v>
      </c>
      <c r="C2904" t="str">
        <f t="shared" si="136"/>
        <v>ffdfd3c0</v>
      </c>
      <c r="D2904" t="s">
        <v>109</v>
      </c>
      <c r="E2904">
        <v>4</v>
      </c>
      <c r="F2904">
        <v>1004</v>
      </c>
      <c r="G2904" t="s">
        <v>110</v>
      </c>
      <c r="J2904" t="s">
        <v>111</v>
      </c>
      <c r="K2904">
        <v>0</v>
      </c>
      <c r="L2904">
        <v>3</v>
      </c>
      <c r="M2904">
        <v>0</v>
      </c>
      <c r="N2904">
        <v>2</v>
      </c>
      <c r="O2904">
        <v>1</v>
      </c>
      <c r="P2904">
        <v>0</v>
      </c>
      <c r="Q2904">
        <v>0</v>
      </c>
      <c r="R2904" t="s">
        <v>112</v>
      </c>
      <c r="S2904" t="str">
        <f>"14:38:44.680"</f>
        <v>14:38:44.680</v>
      </c>
      <c r="T2904" t="str">
        <f>"14:38:44.281"</f>
        <v>14:38:44.281</v>
      </c>
      <c r="U2904" t="str">
        <f t="shared" si="135"/>
        <v>ad5732</v>
      </c>
      <c r="V2904">
        <v>0</v>
      </c>
      <c r="W2904">
        <v>0</v>
      </c>
      <c r="X2904">
        <v>1</v>
      </c>
      <c r="Z2904">
        <v>0</v>
      </c>
      <c r="AA2904">
        <v>9</v>
      </c>
      <c r="AB2904">
        <v>3</v>
      </c>
      <c r="AC2904">
        <v>0</v>
      </c>
      <c r="AD2904">
        <v>10</v>
      </c>
      <c r="AE2904">
        <v>0</v>
      </c>
      <c r="AF2904">
        <v>3</v>
      </c>
      <c r="AG2904">
        <v>2</v>
      </c>
      <c r="AH2904">
        <v>0</v>
      </c>
      <c r="AI2904" t="s">
        <v>5924</v>
      </c>
      <c r="AJ2904">
        <v>40.317506999999999</v>
      </c>
      <c r="AK2904" t="s">
        <v>5925</v>
      </c>
      <c r="AL2904">
        <v>-75.112966999999998</v>
      </c>
      <c r="AM2904">
        <v>100</v>
      </c>
      <c r="AN2904">
        <v>3700</v>
      </c>
      <c r="AO2904" t="s">
        <v>115</v>
      </c>
      <c r="AP2904">
        <v>128</v>
      </c>
      <c r="AQ2904">
        <v>119</v>
      </c>
      <c r="AR2904">
        <v>64</v>
      </c>
      <c r="AZ2904">
        <v>3614</v>
      </c>
      <c r="BA2904">
        <v>1</v>
      </c>
      <c r="BB2904" t="str">
        <f t="shared" si="137"/>
        <v xml:space="preserve">N959MJ  </v>
      </c>
      <c r="BC2904">
        <v>1</v>
      </c>
      <c r="BE2904">
        <v>0</v>
      </c>
      <c r="BF2904">
        <v>0</v>
      </c>
      <c r="BG2904">
        <v>0</v>
      </c>
      <c r="BH2904">
        <v>3875</v>
      </c>
      <c r="BI2904">
        <v>175</v>
      </c>
      <c r="BJ2904">
        <v>1</v>
      </c>
      <c r="BK2904">
        <v>1</v>
      </c>
      <c r="BL2904">
        <v>1</v>
      </c>
      <c r="BM2904">
        <v>0</v>
      </c>
      <c r="BP2904">
        <v>0</v>
      </c>
      <c r="BQ2904">
        <v>0</v>
      </c>
      <c r="BX2904" t="str">
        <f>"14:38:44.688"</f>
        <v>14:38:44.688</v>
      </c>
      <c r="BY2904" t="str">
        <f>"686151963"</f>
        <v>686151963</v>
      </c>
      <c r="CL2904">
        <v>0</v>
      </c>
      <c r="CM2904">
        <v>2</v>
      </c>
      <c r="CN2904">
        <v>0</v>
      </c>
      <c r="CO2904">
        <v>2</v>
      </c>
      <c r="CP2904">
        <v>0</v>
      </c>
      <c r="CQ2904">
        <v>7</v>
      </c>
      <c r="CR2904" t="s">
        <v>116</v>
      </c>
      <c r="CS2904">
        <v>38</v>
      </c>
      <c r="CT2904">
        <v>3</v>
      </c>
      <c r="CU2904" t="s">
        <v>4719</v>
      </c>
      <c r="CV2904" t="s">
        <v>4720</v>
      </c>
      <c r="CY2904">
        <v>10410625</v>
      </c>
      <c r="CZ2904" t="s">
        <v>119</v>
      </c>
    </row>
    <row r="2905" spans="1:104" x14ac:dyDescent="0.25">
      <c r="A2905" t="str">
        <f>"14:38:45.773"</f>
        <v>14:38:45.773</v>
      </c>
      <c r="B2905" t="s">
        <v>108</v>
      </c>
      <c r="C2905" t="str">
        <f t="shared" si="136"/>
        <v>ffdfd3c0</v>
      </c>
      <c r="D2905" t="s">
        <v>109</v>
      </c>
      <c r="E2905">
        <v>4</v>
      </c>
      <c r="F2905">
        <v>1004</v>
      </c>
      <c r="G2905" t="s">
        <v>110</v>
      </c>
      <c r="J2905" t="s">
        <v>111</v>
      </c>
      <c r="K2905">
        <v>0</v>
      </c>
      <c r="L2905">
        <v>3</v>
      </c>
      <c r="M2905">
        <v>0</v>
      </c>
      <c r="N2905">
        <v>2</v>
      </c>
      <c r="O2905">
        <v>1</v>
      </c>
      <c r="P2905">
        <v>0</v>
      </c>
      <c r="Q2905">
        <v>0</v>
      </c>
      <c r="R2905" t="s">
        <v>112</v>
      </c>
      <c r="S2905" t="str">
        <f>"14:38:45.570"</f>
        <v>14:38:45.570</v>
      </c>
      <c r="T2905" t="str">
        <f>"14:38:45.172"</f>
        <v>14:38:45.172</v>
      </c>
      <c r="U2905" t="str">
        <f t="shared" si="135"/>
        <v>ad5732</v>
      </c>
      <c r="V2905">
        <v>0</v>
      </c>
      <c r="W2905">
        <v>0</v>
      </c>
      <c r="X2905">
        <v>1</v>
      </c>
      <c r="Z2905">
        <v>0</v>
      </c>
      <c r="AA2905">
        <v>9</v>
      </c>
      <c r="AB2905">
        <v>3</v>
      </c>
      <c r="AC2905">
        <v>0</v>
      </c>
      <c r="AD2905">
        <v>10</v>
      </c>
      <c r="AE2905">
        <v>0</v>
      </c>
      <c r="AF2905">
        <v>3</v>
      </c>
      <c r="AG2905">
        <v>2</v>
      </c>
      <c r="AH2905">
        <v>0</v>
      </c>
      <c r="AI2905" t="s">
        <v>5926</v>
      </c>
      <c r="AJ2905">
        <v>40.317999999999998</v>
      </c>
      <c r="AK2905" t="s">
        <v>5927</v>
      </c>
      <c r="AL2905">
        <v>-75.112238000000005</v>
      </c>
      <c r="AM2905">
        <v>100</v>
      </c>
      <c r="AN2905">
        <v>3700</v>
      </c>
      <c r="AO2905" t="s">
        <v>115</v>
      </c>
      <c r="AP2905">
        <v>128</v>
      </c>
      <c r="AQ2905">
        <v>119</v>
      </c>
      <c r="AR2905">
        <v>0</v>
      </c>
      <c r="AZ2905">
        <v>3614</v>
      </c>
      <c r="BA2905">
        <v>1</v>
      </c>
      <c r="BB2905" t="str">
        <f t="shared" si="137"/>
        <v xml:space="preserve">N959MJ  </v>
      </c>
      <c r="BC2905">
        <v>1</v>
      </c>
      <c r="BE2905">
        <v>0</v>
      </c>
      <c r="BF2905">
        <v>0</v>
      </c>
      <c r="BG2905">
        <v>0</v>
      </c>
      <c r="BH2905">
        <v>3875</v>
      </c>
      <c r="BI2905">
        <v>175</v>
      </c>
      <c r="BJ2905">
        <v>1</v>
      </c>
      <c r="BK2905">
        <v>1</v>
      </c>
      <c r="BL2905">
        <v>1</v>
      </c>
      <c r="BM2905">
        <v>0</v>
      </c>
      <c r="BP2905">
        <v>0</v>
      </c>
      <c r="BQ2905">
        <v>0</v>
      </c>
      <c r="BX2905" t="str">
        <f>"14:38:45.570"</f>
        <v>14:38:45.570</v>
      </c>
      <c r="BY2905" t="str">
        <f>"570903195"</f>
        <v>570903195</v>
      </c>
      <c r="CL2905">
        <v>0</v>
      </c>
      <c r="CM2905">
        <v>2</v>
      </c>
      <c r="CN2905">
        <v>0</v>
      </c>
      <c r="CO2905">
        <v>2</v>
      </c>
      <c r="CP2905">
        <v>0</v>
      </c>
      <c r="CQ2905">
        <v>7</v>
      </c>
      <c r="CR2905" t="s">
        <v>116</v>
      </c>
      <c r="CS2905">
        <v>38</v>
      </c>
      <c r="CT2905">
        <v>3</v>
      </c>
      <c r="CU2905" t="s">
        <v>4719</v>
      </c>
      <c r="CV2905" t="s">
        <v>4720</v>
      </c>
      <c r="CY2905">
        <v>10412232</v>
      </c>
      <c r="CZ2905" t="s">
        <v>119</v>
      </c>
    </row>
    <row r="2906" spans="1:104" x14ac:dyDescent="0.25">
      <c r="A2906" t="str">
        <f>"14:38:46.625"</f>
        <v>14:38:46.625</v>
      </c>
      <c r="B2906" t="s">
        <v>108</v>
      </c>
      <c r="C2906" t="str">
        <f t="shared" si="136"/>
        <v>ffdfd3c0</v>
      </c>
      <c r="D2906" t="s">
        <v>109</v>
      </c>
      <c r="E2906">
        <v>4</v>
      </c>
      <c r="F2906">
        <v>1004</v>
      </c>
      <c r="G2906" t="s">
        <v>110</v>
      </c>
      <c r="J2906" t="s">
        <v>111</v>
      </c>
      <c r="K2906">
        <v>0</v>
      </c>
      <c r="L2906">
        <v>3</v>
      </c>
      <c r="M2906">
        <v>0</v>
      </c>
      <c r="N2906">
        <v>2</v>
      </c>
      <c r="O2906">
        <v>1</v>
      </c>
      <c r="P2906">
        <v>0</v>
      </c>
      <c r="Q2906">
        <v>0</v>
      </c>
      <c r="R2906" t="s">
        <v>112</v>
      </c>
      <c r="S2906" t="str">
        <f>"14:38:46.461"</f>
        <v>14:38:46.461</v>
      </c>
      <c r="T2906" t="str">
        <f>"14:38:46.063"</f>
        <v>14:38:46.063</v>
      </c>
      <c r="U2906" t="str">
        <f t="shared" si="135"/>
        <v>ad5732</v>
      </c>
      <c r="V2906">
        <v>0</v>
      </c>
      <c r="W2906">
        <v>0</v>
      </c>
      <c r="X2906">
        <v>1</v>
      </c>
      <c r="Z2906">
        <v>0</v>
      </c>
      <c r="AA2906">
        <v>9</v>
      </c>
      <c r="AB2906">
        <v>3</v>
      </c>
      <c r="AC2906">
        <v>0</v>
      </c>
      <c r="AD2906">
        <v>10</v>
      </c>
      <c r="AE2906">
        <v>0</v>
      </c>
      <c r="AF2906">
        <v>3</v>
      </c>
      <c r="AG2906">
        <v>2</v>
      </c>
      <c r="AH2906">
        <v>0</v>
      </c>
      <c r="AI2906" t="s">
        <v>5928</v>
      </c>
      <c r="AJ2906">
        <v>40.318472</v>
      </c>
      <c r="AK2906" t="s">
        <v>5929</v>
      </c>
      <c r="AL2906">
        <v>-75.111530000000002</v>
      </c>
      <c r="AM2906">
        <v>100</v>
      </c>
      <c r="AN2906">
        <v>3700</v>
      </c>
      <c r="AO2906" t="s">
        <v>115</v>
      </c>
      <c r="AP2906">
        <v>128</v>
      </c>
      <c r="AQ2906">
        <v>119</v>
      </c>
      <c r="AR2906">
        <v>0</v>
      </c>
      <c r="AZ2906">
        <v>3614</v>
      </c>
      <c r="BA2906">
        <v>1</v>
      </c>
      <c r="BB2906" t="str">
        <f t="shared" si="137"/>
        <v xml:space="preserve">N959MJ  </v>
      </c>
      <c r="BC2906">
        <v>1</v>
      </c>
      <c r="BE2906">
        <v>0</v>
      </c>
      <c r="BF2906">
        <v>0</v>
      </c>
      <c r="BG2906">
        <v>0</v>
      </c>
      <c r="BH2906">
        <v>3875</v>
      </c>
      <c r="BI2906">
        <v>175</v>
      </c>
      <c r="BJ2906">
        <v>1</v>
      </c>
      <c r="BK2906">
        <v>1</v>
      </c>
      <c r="BL2906">
        <v>1</v>
      </c>
      <c r="BM2906">
        <v>0</v>
      </c>
      <c r="BP2906">
        <v>0</v>
      </c>
      <c r="BQ2906">
        <v>0</v>
      </c>
      <c r="BX2906" t="str">
        <f>"14:38:46.469"</f>
        <v>14:38:46.469</v>
      </c>
      <c r="BY2906" t="str">
        <f>"465485060"</f>
        <v>465485060</v>
      </c>
      <c r="CL2906">
        <v>0</v>
      </c>
      <c r="CM2906">
        <v>2</v>
      </c>
      <c r="CN2906">
        <v>0</v>
      </c>
      <c r="CO2906">
        <v>2</v>
      </c>
      <c r="CP2906">
        <v>0</v>
      </c>
      <c r="CQ2906">
        <v>6</v>
      </c>
      <c r="CR2906" t="s">
        <v>116</v>
      </c>
      <c r="CS2906">
        <v>38</v>
      </c>
      <c r="CT2906">
        <v>2</v>
      </c>
      <c r="CU2906" t="s">
        <v>4719</v>
      </c>
      <c r="CV2906" t="s">
        <v>4720</v>
      </c>
      <c r="CY2906">
        <v>10649727</v>
      </c>
      <c r="CZ2906" t="s">
        <v>119</v>
      </c>
    </row>
    <row r="2907" spans="1:104" x14ac:dyDescent="0.25">
      <c r="A2907" t="str">
        <f>"14:38:47.688"</f>
        <v>14:38:47.688</v>
      </c>
      <c r="B2907" t="s">
        <v>108</v>
      </c>
      <c r="C2907" t="str">
        <f t="shared" si="136"/>
        <v>ffdfd3c0</v>
      </c>
      <c r="D2907" t="s">
        <v>109</v>
      </c>
      <c r="E2907">
        <v>4</v>
      </c>
      <c r="F2907">
        <v>1004</v>
      </c>
      <c r="G2907" t="s">
        <v>110</v>
      </c>
      <c r="J2907" t="s">
        <v>111</v>
      </c>
      <c r="K2907">
        <v>0</v>
      </c>
      <c r="L2907">
        <v>3</v>
      </c>
      <c r="M2907">
        <v>0</v>
      </c>
      <c r="N2907">
        <v>2</v>
      </c>
      <c r="O2907">
        <v>1</v>
      </c>
      <c r="P2907">
        <v>0</v>
      </c>
      <c r="Q2907">
        <v>0</v>
      </c>
      <c r="R2907" t="s">
        <v>112</v>
      </c>
      <c r="S2907" t="str">
        <f>"14:38:47.477"</f>
        <v>14:38:47.477</v>
      </c>
      <c r="T2907" t="str">
        <f>"14:38:46.977"</f>
        <v>14:38:46.977</v>
      </c>
      <c r="U2907" t="str">
        <f t="shared" si="135"/>
        <v>ad5732</v>
      </c>
      <c r="V2907">
        <v>0</v>
      </c>
      <c r="W2907">
        <v>0</v>
      </c>
      <c r="X2907">
        <v>1</v>
      </c>
      <c r="Z2907">
        <v>0</v>
      </c>
      <c r="AA2907">
        <v>9</v>
      </c>
      <c r="AB2907">
        <v>3</v>
      </c>
      <c r="AC2907">
        <v>0</v>
      </c>
      <c r="AD2907">
        <v>10</v>
      </c>
      <c r="AE2907">
        <v>0</v>
      </c>
      <c r="AF2907">
        <v>3</v>
      </c>
      <c r="AG2907">
        <v>2</v>
      </c>
      <c r="AH2907">
        <v>0</v>
      </c>
      <c r="AI2907" t="s">
        <v>5930</v>
      </c>
      <c r="AJ2907">
        <v>40.319029999999998</v>
      </c>
      <c r="AK2907" t="s">
        <v>5931</v>
      </c>
      <c r="AL2907">
        <v>-75.110778999999994</v>
      </c>
      <c r="AM2907">
        <v>100</v>
      </c>
      <c r="AN2907">
        <v>3700</v>
      </c>
      <c r="AO2907" t="s">
        <v>115</v>
      </c>
      <c r="AP2907">
        <v>127</v>
      </c>
      <c r="AQ2907">
        <v>119</v>
      </c>
      <c r="AR2907">
        <v>-64</v>
      </c>
      <c r="AZ2907">
        <v>3614</v>
      </c>
      <c r="BA2907">
        <v>1</v>
      </c>
      <c r="BB2907" t="str">
        <f t="shared" si="137"/>
        <v xml:space="preserve">N959MJ  </v>
      </c>
      <c r="BC2907">
        <v>1</v>
      </c>
      <c r="BE2907">
        <v>0</v>
      </c>
      <c r="BF2907">
        <v>0</v>
      </c>
      <c r="BG2907">
        <v>0</v>
      </c>
      <c r="BH2907">
        <v>3875</v>
      </c>
      <c r="BI2907">
        <v>175</v>
      </c>
      <c r="BJ2907">
        <v>1</v>
      </c>
      <c r="BK2907">
        <v>1</v>
      </c>
      <c r="BL2907">
        <v>1</v>
      </c>
      <c r="BM2907">
        <v>0</v>
      </c>
      <c r="BP2907">
        <v>0</v>
      </c>
      <c r="BQ2907">
        <v>0</v>
      </c>
      <c r="BX2907" t="str">
        <f>"14:38:47.484"</f>
        <v>14:38:47.484</v>
      </c>
      <c r="BY2907" t="str">
        <f>"481310581"</f>
        <v>481310581</v>
      </c>
      <c r="CL2907">
        <v>0</v>
      </c>
      <c r="CM2907">
        <v>2</v>
      </c>
      <c r="CN2907">
        <v>0</v>
      </c>
      <c r="CO2907">
        <v>2</v>
      </c>
      <c r="CP2907">
        <v>0</v>
      </c>
      <c r="CQ2907">
        <v>7</v>
      </c>
      <c r="CR2907" t="s">
        <v>116</v>
      </c>
      <c r="CS2907">
        <v>38</v>
      </c>
      <c r="CT2907">
        <v>3</v>
      </c>
      <c r="CU2907" t="s">
        <v>4719</v>
      </c>
      <c r="CV2907" t="s">
        <v>4720</v>
      </c>
      <c r="CY2907">
        <v>10415399</v>
      </c>
      <c r="CZ2907" t="s">
        <v>119</v>
      </c>
    </row>
    <row r="2908" spans="1:104" x14ac:dyDescent="0.25">
      <c r="A2908" t="str">
        <f>"14:38:48.547"</f>
        <v>14:38:48.547</v>
      </c>
      <c r="B2908" t="s">
        <v>108</v>
      </c>
      <c r="C2908" t="str">
        <f t="shared" si="136"/>
        <v>ffdfd3c0</v>
      </c>
      <c r="D2908" t="s">
        <v>109</v>
      </c>
      <c r="E2908">
        <v>4</v>
      </c>
      <c r="F2908">
        <v>1004</v>
      </c>
      <c r="G2908" t="s">
        <v>110</v>
      </c>
      <c r="J2908" t="s">
        <v>111</v>
      </c>
      <c r="K2908">
        <v>0</v>
      </c>
      <c r="L2908">
        <v>3</v>
      </c>
      <c r="M2908">
        <v>0</v>
      </c>
      <c r="N2908">
        <v>2</v>
      </c>
      <c r="O2908">
        <v>1</v>
      </c>
      <c r="P2908">
        <v>0</v>
      </c>
      <c r="Q2908">
        <v>0</v>
      </c>
      <c r="R2908" t="s">
        <v>112</v>
      </c>
      <c r="S2908" t="str">
        <f>"14:38:48.375"</f>
        <v>14:38:48.375</v>
      </c>
      <c r="T2908" t="str">
        <f>"14:38:47.977"</f>
        <v>14:38:47.977</v>
      </c>
      <c r="U2908" t="str">
        <f t="shared" si="135"/>
        <v>ad5732</v>
      </c>
      <c r="V2908">
        <v>0</v>
      </c>
      <c r="W2908">
        <v>0</v>
      </c>
      <c r="X2908">
        <v>1</v>
      </c>
      <c r="Z2908">
        <v>0</v>
      </c>
      <c r="AA2908">
        <v>9</v>
      </c>
      <c r="AB2908">
        <v>3</v>
      </c>
      <c r="AC2908">
        <v>0</v>
      </c>
      <c r="AD2908">
        <v>10</v>
      </c>
      <c r="AE2908">
        <v>0</v>
      </c>
      <c r="AF2908">
        <v>3</v>
      </c>
      <c r="AG2908">
        <v>2</v>
      </c>
      <c r="AH2908">
        <v>0</v>
      </c>
      <c r="AI2908" t="s">
        <v>5932</v>
      </c>
      <c r="AJ2908">
        <v>40.319544999999998</v>
      </c>
      <c r="AK2908" t="s">
        <v>5933</v>
      </c>
      <c r="AL2908">
        <v>-75.110113999999996</v>
      </c>
      <c r="AM2908">
        <v>100</v>
      </c>
      <c r="AN2908">
        <v>3700</v>
      </c>
      <c r="AO2908" t="s">
        <v>115</v>
      </c>
      <c r="AP2908">
        <v>127</v>
      </c>
      <c r="AQ2908">
        <v>119</v>
      </c>
      <c r="AR2908">
        <v>-64</v>
      </c>
      <c r="AZ2908">
        <v>3614</v>
      </c>
      <c r="BA2908">
        <v>1</v>
      </c>
      <c r="BB2908" t="str">
        <f t="shared" si="137"/>
        <v xml:space="preserve">N959MJ  </v>
      </c>
      <c r="BC2908">
        <v>1</v>
      </c>
      <c r="BE2908">
        <v>0</v>
      </c>
      <c r="BF2908">
        <v>0</v>
      </c>
      <c r="BG2908">
        <v>0</v>
      </c>
      <c r="BH2908">
        <v>3875</v>
      </c>
      <c r="BI2908">
        <v>175</v>
      </c>
      <c r="BJ2908">
        <v>1</v>
      </c>
      <c r="BK2908">
        <v>1</v>
      </c>
      <c r="BL2908">
        <v>1</v>
      </c>
      <c r="BM2908">
        <v>0</v>
      </c>
      <c r="BP2908">
        <v>0</v>
      </c>
      <c r="BQ2908">
        <v>0</v>
      </c>
      <c r="BX2908" t="str">
        <f>"14:38:48.375"</f>
        <v>14:38:48.375</v>
      </c>
      <c r="BY2908" t="str">
        <f>"377530783"</f>
        <v>377530783</v>
      </c>
      <c r="CL2908">
        <v>0</v>
      </c>
      <c r="CM2908">
        <v>2</v>
      </c>
      <c r="CN2908">
        <v>0</v>
      </c>
      <c r="CO2908">
        <v>2</v>
      </c>
      <c r="CP2908">
        <v>0</v>
      </c>
      <c r="CQ2908">
        <v>7</v>
      </c>
      <c r="CR2908" t="s">
        <v>116</v>
      </c>
      <c r="CS2908">
        <v>38</v>
      </c>
      <c r="CT2908">
        <v>3</v>
      </c>
      <c r="CU2908" t="s">
        <v>4719</v>
      </c>
      <c r="CV2908" t="s">
        <v>4720</v>
      </c>
      <c r="CY2908">
        <v>10417076</v>
      </c>
      <c r="CZ2908" t="s">
        <v>119</v>
      </c>
    </row>
    <row r="2909" spans="1:104" x14ac:dyDescent="0.25">
      <c r="A2909" t="str">
        <f>"14:38:49.461"</f>
        <v>14:38:49.461</v>
      </c>
      <c r="B2909" t="s">
        <v>108</v>
      </c>
      <c r="C2909" t="str">
        <f t="shared" si="136"/>
        <v>ffdfd3c0</v>
      </c>
      <c r="D2909" t="s">
        <v>109</v>
      </c>
      <c r="E2909">
        <v>4</v>
      </c>
      <c r="F2909">
        <v>1004</v>
      </c>
      <c r="G2909" t="s">
        <v>110</v>
      </c>
      <c r="J2909" t="s">
        <v>111</v>
      </c>
      <c r="K2909">
        <v>0</v>
      </c>
      <c r="L2909">
        <v>3</v>
      </c>
      <c r="M2909">
        <v>0</v>
      </c>
      <c r="N2909">
        <v>2</v>
      </c>
      <c r="O2909">
        <v>1</v>
      </c>
      <c r="P2909">
        <v>0</v>
      </c>
      <c r="Q2909">
        <v>0</v>
      </c>
      <c r="R2909" t="s">
        <v>112</v>
      </c>
      <c r="S2909" t="str">
        <f>"14:38:49.273"</f>
        <v>14:38:49.273</v>
      </c>
      <c r="T2909" t="str">
        <f>"14:38:48.477"</f>
        <v>14:38:48.477</v>
      </c>
      <c r="U2909" t="str">
        <f t="shared" si="135"/>
        <v>ad5732</v>
      </c>
      <c r="V2909">
        <v>0</v>
      </c>
      <c r="W2909">
        <v>0</v>
      </c>
      <c r="X2909">
        <v>1</v>
      </c>
      <c r="Z2909">
        <v>0</v>
      </c>
      <c r="AA2909">
        <v>9</v>
      </c>
      <c r="AB2909">
        <v>3</v>
      </c>
      <c r="AC2909">
        <v>0</v>
      </c>
      <c r="AD2909">
        <v>10</v>
      </c>
      <c r="AE2909">
        <v>0</v>
      </c>
      <c r="AF2909">
        <v>3</v>
      </c>
      <c r="AG2909">
        <v>2</v>
      </c>
      <c r="AH2909">
        <v>0</v>
      </c>
      <c r="AI2909" t="s">
        <v>5934</v>
      </c>
      <c r="AJ2909">
        <v>40.320059999999998</v>
      </c>
      <c r="AK2909" t="s">
        <v>5935</v>
      </c>
      <c r="AL2909">
        <v>-75.109406000000007</v>
      </c>
      <c r="AM2909">
        <v>100</v>
      </c>
      <c r="AN2909">
        <v>3700</v>
      </c>
      <c r="AO2909" t="s">
        <v>115</v>
      </c>
      <c r="AP2909">
        <v>128</v>
      </c>
      <c r="AQ2909">
        <v>119</v>
      </c>
      <c r="AR2909">
        <v>-128</v>
      </c>
      <c r="AZ2909">
        <v>3614</v>
      </c>
      <c r="BA2909">
        <v>1</v>
      </c>
      <c r="BB2909" t="str">
        <f t="shared" si="137"/>
        <v xml:space="preserve">N959MJ  </v>
      </c>
      <c r="BC2909">
        <v>1</v>
      </c>
      <c r="BE2909">
        <v>0</v>
      </c>
      <c r="BF2909">
        <v>0</v>
      </c>
      <c r="BG2909">
        <v>0</v>
      </c>
      <c r="BH2909">
        <v>3875</v>
      </c>
      <c r="BI2909">
        <v>175</v>
      </c>
      <c r="BJ2909">
        <v>1</v>
      </c>
      <c r="BK2909">
        <v>1</v>
      </c>
      <c r="BL2909">
        <v>1</v>
      </c>
      <c r="BM2909">
        <v>0</v>
      </c>
      <c r="BP2909">
        <v>0</v>
      </c>
      <c r="BQ2909">
        <v>0</v>
      </c>
      <c r="BX2909" t="str">
        <f>"14:38:49.273"</f>
        <v>14:38:49.273</v>
      </c>
      <c r="BY2909" t="str">
        <f>"277027896"</f>
        <v>277027896</v>
      </c>
      <c r="CL2909">
        <v>0</v>
      </c>
      <c r="CM2909">
        <v>2</v>
      </c>
      <c r="CN2909">
        <v>0</v>
      </c>
      <c r="CO2909">
        <v>2</v>
      </c>
      <c r="CP2909">
        <v>0</v>
      </c>
      <c r="CQ2909">
        <v>7</v>
      </c>
      <c r="CR2909" t="s">
        <v>116</v>
      </c>
      <c r="CS2909">
        <v>38</v>
      </c>
      <c r="CT2909">
        <v>3</v>
      </c>
      <c r="CU2909" t="s">
        <v>4719</v>
      </c>
      <c r="CV2909" t="s">
        <v>4720</v>
      </c>
      <c r="CY2909">
        <v>10418660</v>
      </c>
      <c r="CZ2909" t="s">
        <v>119</v>
      </c>
    </row>
    <row r="2910" spans="1:104" x14ac:dyDescent="0.25">
      <c r="A2910" t="str">
        <f>"14:38:50.516"</f>
        <v>14:38:50.516</v>
      </c>
      <c r="B2910" t="s">
        <v>108</v>
      </c>
      <c r="C2910" t="str">
        <f t="shared" si="136"/>
        <v>ffdfd3c0</v>
      </c>
      <c r="D2910" t="s">
        <v>109</v>
      </c>
      <c r="E2910">
        <v>4</v>
      </c>
      <c r="F2910">
        <v>1004</v>
      </c>
      <c r="G2910" t="s">
        <v>110</v>
      </c>
      <c r="J2910" t="s">
        <v>111</v>
      </c>
      <c r="K2910">
        <v>0</v>
      </c>
      <c r="L2910">
        <v>3</v>
      </c>
      <c r="M2910">
        <v>0</v>
      </c>
      <c r="N2910">
        <v>2</v>
      </c>
      <c r="O2910">
        <v>1</v>
      </c>
      <c r="P2910">
        <v>0</v>
      </c>
      <c r="Q2910">
        <v>0</v>
      </c>
      <c r="R2910" t="s">
        <v>112</v>
      </c>
      <c r="S2910" t="str">
        <f>"14:38:50.352"</f>
        <v>14:38:50.352</v>
      </c>
      <c r="T2910" t="str">
        <f>"14:38:49.852"</f>
        <v>14:38:49.852</v>
      </c>
      <c r="U2910" t="str">
        <f t="shared" si="135"/>
        <v>ad5732</v>
      </c>
      <c r="V2910">
        <v>0</v>
      </c>
      <c r="W2910">
        <v>0</v>
      </c>
      <c r="X2910">
        <v>1</v>
      </c>
      <c r="Z2910">
        <v>0</v>
      </c>
      <c r="AA2910">
        <v>9</v>
      </c>
      <c r="AB2910">
        <v>3</v>
      </c>
      <c r="AC2910">
        <v>0</v>
      </c>
      <c r="AD2910">
        <v>10</v>
      </c>
      <c r="AE2910">
        <v>0</v>
      </c>
      <c r="AF2910">
        <v>3</v>
      </c>
      <c r="AG2910">
        <v>2</v>
      </c>
      <c r="AH2910">
        <v>0</v>
      </c>
      <c r="AI2910" t="s">
        <v>5936</v>
      </c>
      <c r="AJ2910">
        <v>40.320639999999997</v>
      </c>
      <c r="AK2910" t="s">
        <v>5937</v>
      </c>
      <c r="AL2910">
        <v>-75.108525999999998</v>
      </c>
      <c r="AM2910">
        <v>100</v>
      </c>
      <c r="AN2910">
        <v>3700</v>
      </c>
      <c r="AO2910" t="s">
        <v>115</v>
      </c>
      <c r="AP2910">
        <v>128</v>
      </c>
      <c r="AQ2910">
        <v>119</v>
      </c>
      <c r="AR2910">
        <v>-64</v>
      </c>
      <c r="AZ2910">
        <v>3614</v>
      </c>
      <c r="BA2910">
        <v>1</v>
      </c>
      <c r="BB2910" t="str">
        <f t="shared" si="137"/>
        <v xml:space="preserve">N959MJ  </v>
      </c>
      <c r="BC2910">
        <v>1</v>
      </c>
      <c r="BE2910">
        <v>0</v>
      </c>
      <c r="BF2910">
        <v>0</v>
      </c>
      <c r="BG2910">
        <v>0</v>
      </c>
      <c r="BH2910">
        <v>3875</v>
      </c>
      <c r="BI2910">
        <v>175</v>
      </c>
      <c r="BJ2910">
        <v>1</v>
      </c>
      <c r="BK2910">
        <v>1</v>
      </c>
      <c r="BL2910">
        <v>1</v>
      </c>
      <c r="BM2910">
        <v>0</v>
      </c>
      <c r="BP2910">
        <v>0</v>
      </c>
      <c r="BQ2910">
        <v>0</v>
      </c>
      <c r="BX2910" t="str">
        <f>"14:38:50.352"</f>
        <v>14:38:50.352</v>
      </c>
      <c r="BY2910" t="str">
        <f>"353475260"</f>
        <v>353475260</v>
      </c>
      <c r="CL2910">
        <v>0</v>
      </c>
      <c r="CM2910">
        <v>2</v>
      </c>
      <c r="CN2910">
        <v>0</v>
      </c>
      <c r="CO2910">
        <v>2</v>
      </c>
      <c r="CP2910">
        <v>0</v>
      </c>
      <c r="CQ2910">
        <v>7</v>
      </c>
      <c r="CR2910" t="s">
        <v>116</v>
      </c>
      <c r="CS2910">
        <v>38</v>
      </c>
      <c r="CT2910">
        <v>3</v>
      </c>
      <c r="CU2910" t="s">
        <v>4719</v>
      </c>
      <c r="CV2910" t="s">
        <v>4720</v>
      </c>
      <c r="CY2910">
        <v>10420590</v>
      </c>
      <c r="CZ2910" t="s">
        <v>119</v>
      </c>
    </row>
    <row r="2911" spans="1:104" x14ac:dyDescent="0.25">
      <c r="A2911" t="str">
        <f>"14:38:51.578"</f>
        <v>14:38:51.578</v>
      </c>
      <c r="B2911" t="s">
        <v>108</v>
      </c>
      <c r="C2911" t="str">
        <f t="shared" si="136"/>
        <v>ffdfd3c0</v>
      </c>
      <c r="D2911" t="s">
        <v>109</v>
      </c>
      <c r="E2911">
        <v>4</v>
      </c>
      <c r="F2911">
        <v>1004</v>
      </c>
      <c r="G2911" t="s">
        <v>110</v>
      </c>
      <c r="J2911" t="s">
        <v>111</v>
      </c>
      <c r="K2911">
        <v>0</v>
      </c>
      <c r="L2911">
        <v>3</v>
      </c>
      <c r="M2911">
        <v>0</v>
      </c>
      <c r="N2911">
        <v>2</v>
      </c>
      <c r="O2911">
        <v>1</v>
      </c>
      <c r="P2911">
        <v>0</v>
      </c>
      <c r="Q2911">
        <v>0</v>
      </c>
      <c r="R2911" t="s">
        <v>112</v>
      </c>
      <c r="S2911" t="str">
        <f>"14:38:51.398"</f>
        <v>14:38:51.398</v>
      </c>
      <c r="T2911" t="str">
        <f>"14:38:51.000"</f>
        <v>14:38:51.000</v>
      </c>
      <c r="U2911" t="str">
        <f t="shared" si="135"/>
        <v>ad5732</v>
      </c>
      <c r="V2911">
        <v>0</v>
      </c>
      <c r="W2911">
        <v>0</v>
      </c>
      <c r="X2911">
        <v>1</v>
      </c>
      <c r="Z2911">
        <v>0</v>
      </c>
      <c r="AA2911">
        <v>9</v>
      </c>
      <c r="AB2911">
        <v>3</v>
      </c>
      <c r="AC2911">
        <v>0</v>
      </c>
      <c r="AD2911">
        <v>10</v>
      </c>
      <c r="AE2911">
        <v>0</v>
      </c>
      <c r="AF2911">
        <v>3</v>
      </c>
      <c r="AG2911">
        <v>2</v>
      </c>
      <c r="AH2911">
        <v>0</v>
      </c>
      <c r="AI2911" t="s">
        <v>5938</v>
      </c>
      <c r="AJ2911">
        <v>40.321198000000003</v>
      </c>
      <c r="AK2911" t="s">
        <v>5939</v>
      </c>
      <c r="AL2911">
        <v>-75.107795999999993</v>
      </c>
      <c r="AM2911">
        <v>100</v>
      </c>
      <c r="AN2911">
        <v>3700</v>
      </c>
      <c r="AO2911" t="s">
        <v>115</v>
      </c>
      <c r="AP2911">
        <v>128</v>
      </c>
      <c r="AQ2911">
        <v>119</v>
      </c>
      <c r="AR2911">
        <v>-64</v>
      </c>
      <c r="AZ2911">
        <v>3614</v>
      </c>
      <c r="BA2911">
        <v>1</v>
      </c>
      <c r="BB2911" t="str">
        <f t="shared" si="137"/>
        <v xml:space="preserve">N959MJ  </v>
      </c>
      <c r="BC2911">
        <v>1</v>
      </c>
      <c r="BE2911">
        <v>0</v>
      </c>
      <c r="BF2911">
        <v>0</v>
      </c>
      <c r="BG2911">
        <v>0</v>
      </c>
      <c r="BH2911">
        <v>3875</v>
      </c>
      <c r="BI2911">
        <v>175</v>
      </c>
      <c r="BJ2911">
        <v>1</v>
      </c>
      <c r="BK2911">
        <v>1</v>
      </c>
      <c r="BL2911">
        <v>1</v>
      </c>
      <c r="BM2911">
        <v>0</v>
      </c>
      <c r="BP2911">
        <v>0</v>
      </c>
      <c r="BQ2911">
        <v>0</v>
      </c>
      <c r="BX2911" t="str">
        <f>"14:38:51.398"</f>
        <v>14:38:51.398</v>
      </c>
      <c r="BY2911" t="str">
        <f>"400431015"</f>
        <v>400431015</v>
      </c>
      <c r="CL2911">
        <v>0</v>
      </c>
      <c r="CM2911">
        <v>2</v>
      </c>
      <c r="CN2911">
        <v>0</v>
      </c>
      <c r="CO2911">
        <v>2</v>
      </c>
      <c r="CP2911">
        <v>0</v>
      </c>
      <c r="CQ2911">
        <v>7</v>
      </c>
      <c r="CR2911" t="s">
        <v>116</v>
      </c>
      <c r="CS2911">
        <v>38</v>
      </c>
      <c r="CT2911">
        <v>3</v>
      </c>
      <c r="CU2911" t="s">
        <v>4719</v>
      </c>
      <c r="CV2911" t="s">
        <v>4720</v>
      </c>
      <c r="CY2911">
        <v>10422415</v>
      </c>
      <c r="CZ2911" t="s">
        <v>119</v>
      </c>
    </row>
    <row r="2912" spans="1:104" x14ac:dyDescent="0.25">
      <c r="A2912" t="str">
        <f>"14:38:52.586"</f>
        <v>14:38:52.586</v>
      </c>
      <c r="B2912" t="s">
        <v>108</v>
      </c>
      <c r="C2912" t="str">
        <f t="shared" si="136"/>
        <v>ffdfd3c0</v>
      </c>
      <c r="D2912" t="s">
        <v>109</v>
      </c>
      <c r="E2912">
        <v>4</v>
      </c>
      <c r="F2912">
        <v>1004</v>
      </c>
      <c r="G2912" t="s">
        <v>110</v>
      </c>
      <c r="J2912" t="s">
        <v>111</v>
      </c>
      <c r="K2912">
        <v>0</v>
      </c>
      <c r="L2912">
        <v>3</v>
      </c>
      <c r="M2912">
        <v>0</v>
      </c>
      <c r="N2912">
        <v>2</v>
      </c>
      <c r="O2912">
        <v>1</v>
      </c>
      <c r="P2912">
        <v>0</v>
      </c>
      <c r="Q2912">
        <v>0</v>
      </c>
      <c r="R2912" t="s">
        <v>112</v>
      </c>
      <c r="S2912" t="str">
        <f>"14:38:52.422"</f>
        <v>14:38:52.422</v>
      </c>
      <c r="T2912" t="str">
        <f>"14:38:52.023"</f>
        <v>14:38:52.023</v>
      </c>
      <c r="U2912" t="str">
        <f t="shared" si="135"/>
        <v>ad5732</v>
      </c>
      <c r="V2912">
        <v>0</v>
      </c>
      <c r="W2912">
        <v>0</v>
      </c>
      <c r="X2912">
        <v>1</v>
      </c>
      <c r="Z2912">
        <v>0</v>
      </c>
      <c r="AA2912">
        <v>9</v>
      </c>
      <c r="AB2912">
        <v>3</v>
      </c>
      <c r="AC2912">
        <v>0</v>
      </c>
      <c r="AD2912">
        <v>10</v>
      </c>
      <c r="AE2912">
        <v>0</v>
      </c>
      <c r="AF2912">
        <v>3</v>
      </c>
      <c r="AG2912">
        <v>2</v>
      </c>
      <c r="AH2912">
        <v>0</v>
      </c>
      <c r="AI2912" t="s">
        <v>5940</v>
      </c>
      <c r="AJ2912">
        <v>40.321820000000002</v>
      </c>
      <c r="AK2912" t="s">
        <v>5941</v>
      </c>
      <c r="AL2912">
        <v>-75.106915999999998</v>
      </c>
      <c r="AM2912">
        <v>100</v>
      </c>
      <c r="AN2912">
        <v>3700</v>
      </c>
      <c r="AO2912" t="s">
        <v>115</v>
      </c>
      <c r="AP2912">
        <v>128</v>
      </c>
      <c r="AQ2912">
        <v>119</v>
      </c>
      <c r="AR2912">
        <v>-64</v>
      </c>
      <c r="AZ2912">
        <v>3614</v>
      </c>
      <c r="BA2912">
        <v>1</v>
      </c>
      <c r="BB2912" t="str">
        <f t="shared" si="137"/>
        <v xml:space="preserve">N959MJ  </v>
      </c>
      <c r="BC2912">
        <v>1</v>
      </c>
      <c r="BE2912">
        <v>0</v>
      </c>
      <c r="BF2912">
        <v>0</v>
      </c>
      <c r="BG2912">
        <v>0</v>
      </c>
      <c r="BH2912">
        <v>3850</v>
      </c>
      <c r="BI2912">
        <v>150</v>
      </c>
      <c r="BJ2912">
        <v>1</v>
      </c>
      <c r="BK2912">
        <v>1</v>
      </c>
      <c r="BL2912">
        <v>1</v>
      </c>
      <c r="BM2912">
        <v>0</v>
      </c>
      <c r="BP2912">
        <v>0</v>
      </c>
      <c r="BQ2912">
        <v>0</v>
      </c>
      <c r="BX2912" t="str">
        <f>"14:38:52.430"</f>
        <v>14:38:52.430</v>
      </c>
      <c r="BY2912" t="str">
        <f>"429363853"</f>
        <v>429363853</v>
      </c>
      <c r="CL2912">
        <v>0</v>
      </c>
      <c r="CM2912">
        <v>2</v>
      </c>
      <c r="CN2912">
        <v>0</v>
      </c>
      <c r="CO2912">
        <v>2</v>
      </c>
      <c r="CP2912">
        <v>0</v>
      </c>
      <c r="CQ2912">
        <v>7</v>
      </c>
      <c r="CR2912" t="s">
        <v>116</v>
      </c>
      <c r="CS2912">
        <v>38</v>
      </c>
      <c r="CT2912">
        <v>3</v>
      </c>
      <c r="CU2912" t="s">
        <v>4719</v>
      </c>
      <c r="CV2912" t="s">
        <v>4720</v>
      </c>
      <c r="CY2912">
        <v>10424130</v>
      </c>
      <c r="CZ2912" t="s">
        <v>119</v>
      </c>
    </row>
    <row r="2913" spans="1:104" x14ac:dyDescent="0.25">
      <c r="A2913" t="str">
        <f>"14:38:53.547"</f>
        <v>14:38:53.547</v>
      </c>
      <c r="B2913" t="s">
        <v>108</v>
      </c>
      <c r="C2913" t="str">
        <f t="shared" si="136"/>
        <v>ffdfd3c0</v>
      </c>
      <c r="D2913" t="s">
        <v>109</v>
      </c>
      <c r="E2913">
        <v>4</v>
      </c>
      <c r="F2913">
        <v>1004</v>
      </c>
      <c r="G2913" t="s">
        <v>110</v>
      </c>
      <c r="J2913" t="s">
        <v>111</v>
      </c>
      <c r="K2913">
        <v>0</v>
      </c>
      <c r="L2913">
        <v>3</v>
      </c>
      <c r="M2913">
        <v>0</v>
      </c>
      <c r="N2913">
        <v>2</v>
      </c>
      <c r="O2913">
        <v>1</v>
      </c>
      <c r="P2913">
        <v>0</v>
      </c>
      <c r="Q2913">
        <v>0</v>
      </c>
      <c r="R2913" t="s">
        <v>112</v>
      </c>
      <c r="S2913" t="str">
        <f>"14:38:53.336"</f>
        <v>14:38:53.336</v>
      </c>
      <c r="T2913" t="str">
        <f>"14:38:52.938"</f>
        <v>14:38:52.938</v>
      </c>
      <c r="U2913" t="str">
        <f t="shared" si="135"/>
        <v>ad5732</v>
      </c>
      <c r="V2913">
        <v>0</v>
      </c>
      <c r="W2913">
        <v>0</v>
      </c>
      <c r="X2913">
        <v>1</v>
      </c>
      <c r="Z2913">
        <v>0</v>
      </c>
      <c r="AA2913">
        <v>9</v>
      </c>
      <c r="AB2913">
        <v>3</v>
      </c>
      <c r="AC2913">
        <v>0</v>
      </c>
      <c r="AD2913">
        <v>10</v>
      </c>
      <c r="AE2913">
        <v>0</v>
      </c>
      <c r="AF2913">
        <v>3</v>
      </c>
      <c r="AG2913">
        <v>2</v>
      </c>
      <c r="AH2913">
        <v>0</v>
      </c>
      <c r="AI2913" t="s">
        <v>5942</v>
      </c>
      <c r="AJ2913">
        <v>40.322291999999997</v>
      </c>
      <c r="AK2913" t="s">
        <v>5943</v>
      </c>
      <c r="AL2913">
        <v>-75.106207999999995</v>
      </c>
      <c r="AM2913">
        <v>100</v>
      </c>
      <c r="AN2913">
        <v>3700</v>
      </c>
      <c r="AO2913" t="s">
        <v>115</v>
      </c>
      <c r="AP2913">
        <v>128</v>
      </c>
      <c r="AQ2913">
        <v>119</v>
      </c>
      <c r="AR2913">
        <v>-64</v>
      </c>
      <c r="AZ2913">
        <v>3614</v>
      </c>
      <c r="BA2913">
        <v>1</v>
      </c>
      <c r="BB2913" t="str">
        <f t="shared" si="137"/>
        <v xml:space="preserve">N959MJ  </v>
      </c>
      <c r="BC2913">
        <v>1</v>
      </c>
      <c r="BE2913">
        <v>0</v>
      </c>
      <c r="BF2913">
        <v>0</v>
      </c>
      <c r="BG2913">
        <v>0</v>
      </c>
      <c r="BH2913">
        <v>3850</v>
      </c>
      <c r="BI2913">
        <v>150</v>
      </c>
      <c r="BJ2913">
        <v>1</v>
      </c>
      <c r="BK2913">
        <v>1</v>
      </c>
      <c r="BL2913">
        <v>1</v>
      </c>
      <c r="BM2913">
        <v>0</v>
      </c>
      <c r="BP2913">
        <v>0</v>
      </c>
      <c r="BQ2913">
        <v>0</v>
      </c>
      <c r="BX2913" t="str">
        <f>"14:38:53.336"</f>
        <v>14:38:53.336</v>
      </c>
      <c r="BY2913" t="str">
        <f>"338691532"</f>
        <v>338691532</v>
      </c>
      <c r="CL2913">
        <v>0</v>
      </c>
      <c r="CM2913">
        <v>2</v>
      </c>
      <c r="CN2913">
        <v>0</v>
      </c>
      <c r="CO2913">
        <v>2</v>
      </c>
      <c r="CP2913">
        <v>0</v>
      </c>
      <c r="CQ2913">
        <v>7</v>
      </c>
      <c r="CR2913" t="s">
        <v>116</v>
      </c>
      <c r="CS2913">
        <v>38</v>
      </c>
      <c r="CT2913">
        <v>3</v>
      </c>
      <c r="CU2913" t="s">
        <v>4719</v>
      </c>
      <c r="CV2913" t="s">
        <v>4720</v>
      </c>
      <c r="CY2913">
        <v>10425909</v>
      </c>
      <c r="CZ2913" t="s">
        <v>119</v>
      </c>
    </row>
    <row r="2914" spans="1:104" x14ac:dyDescent="0.25">
      <c r="A2914" t="str">
        <f>"14:38:54.398"</f>
        <v>14:38:54.398</v>
      </c>
      <c r="B2914" t="s">
        <v>108</v>
      </c>
      <c r="C2914" t="str">
        <f t="shared" si="136"/>
        <v>ffdfd3c0</v>
      </c>
      <c r="D2914" t="s">
        <v>109</v>
      </c>
      <c r="E2914">
        <v>4</v>
      </c>
      <c r="F2914">
        <v>1004</v>
      </c>
      <c r="G2914" t="s">
        <v>110</v>
      </c>
      <c r="J2914" t="s">
        <v>111</v>
      </c>
      <c r="K2914">
        <v>0</v>
      </c>
      <c r="L2914">
        <v>3</v>
      </c>
      <c r="M2914">
        <v>0</v>
      </c>
      <c r="N2914">
        <v>2</v>
      </c>
      <c r="O2914">
        <v>1</v>
      </c>
      <c r="P2914">
        <v>0</v>
      </c>
      <c r="Q2914">
        <v>0</v>
      </c>
      <c r="R2914" t="s">
        <v>112</v>
      </c>
      <c r="S2914" t="str">
        <f>"14:38:54.242"</f>
        <v>14:38:54.242</v>
      </c>
      <c r="T2914" t="str">
        <f>"14:38:53.844"</f>
        <v>14:38:53.844</v>
      </c>
      <c r="U2914" t="str">
        <f t="shared" si="135"/>
        <v>ad5732</v>
      </c>
      <c r="V2914">
        <v>0</v>
      </c>
      <c r="W2914">
        <v>0</v>
      </c>
      <c r="X2914">
        <v>1</v>
      </c>
      <c r="Z2914">
        <v>0</v>
      </c>
      <c r="AA2914">
        <v>9</v>
      </c>
      <c r="AB2914">
        <v>3</v>
      </c>
      <c r="AC2914">
        <v>0</v>
      </c>
      <c r="AD2914">
        <v>10</v>
      </c>
      <c r="AE2914">
        <v>0</v>
      </c>
      <c r="AF2914">
        <v>3</v>
      </c>
      <c r="AG2914">
        <v>2</v>
      </c>
      <c r="AH2914">
        <v>0</v>
      </c>
      <c r="AI2914" t="s">
        <v>5944</v>
      </c>
      <c r="AJ2914">
        <v>40.322806999999997</v>
      </c>
      <c r="AK2914" t="s">
        <v>5945</v>
      </c>
      <c r="AL2914">
        <v>-75.105542999999997</v>
      </c>
      <c r="AM2914">
        <v>100</v>
      </c>
      <c r="AN2914">
        <v>3700</v>
      </c>
      <c r="AO2914" t="s">
        <v>115</v>
      </c>
      <c r="AP2914">
        <v>128</v>
      </c>
      <c r="AQ2914">
        <v>119</v>
      </c>
      <c r="AR2914">
        <v>0</v>
      </c>
      <c r="AZ2914">
        <v>3614</v>
      </c>
      <c r="BA2914">
        <v>1</v>
      </c>
      <c r="BB2914" t="str">
        <f t="shared" si="137"/>
        <v xml:space="preserve">N959MJ  </v>
      </c>
      <c r="BC2914">
        <v>1</v>
      </c>
      <c r="BE2914">
        <v>0</v>
      </c>
      <c r="BF2914">
        <v>0</v>
      </c>
      <c r="BG2914">
        <v>0</v>
      </c>
      <c r="BH2914">
        <v>3850</v>
      </c>
      <c r="BI2914">
        <v>150</v>
      </c>
      <c r="BJ2914">
        <v>1</v>
      </c>
      <c r="BK2914">
        <v>1</v>
      </c>
      <c r="BL2914">
        <v>1</v>
      </c>
      <c r="BM2914">
        <v>0</v>
      </c>
      <c r="BP2914">
        <v>0</v>
      </c>
      <c r="BQ2914">
        <v>0</v>
      </c>
      <c r="BX2914" t="str">
        <f>"14:38:54.242"</f>
        <v>14:38:54.242</v>
      </c>
      <c r="BY2914" t="str">
        <f>"243103934"</f>
        <v>243103934</v>
      </c>
      <c r="CL2914">
        <v>0</v>
      </c>
      <c r="CM2914">
        <v>2</v>
      </c>
      <c r="CN2914">
        <v>0</v>
      </c>
      <c r="CO2914">
        <v>2</v>
      </c>
      <c r="CP2914">
        <v>0</v>
      </c>
      <c r="CQ2914">
        <v>7</v>
      </c>
      <c r="CR2914" t="s">
        <v>116</v>
      </c>
      <c r="CS2914">
        <v>38</v>
      </c>
      <c r="CT2914">
        <v>3</v>
      </c>
      <c r="CU2914" t="s">
        <v>4719</v>
      </c>
      <c r="CV2914" t="s">
        <v>4720</v>
      </c>
      <c r="CY2914">
        <v>10427542</v>
      </c>
      <c r="CZ2914" t="s">
        <v>119</v>
      </c>
    </row>
    <row r="2915" spans="1:104" x14ac:dyDescent="0.25">
      <c r="A2915" t="str">
        <f>"14:38:55.313"</f>
        <v>14:38:55.313</v>
      </c>
      <c r="B2915" t="s">
        <v>108</v>
      </c>
      <c r="C2915" t="str">
        <f t="shared" si="136"/>
        <v>ffdfd3c0</v>
      </c>
      <c r="D2915" t="s">
        <v>109</v>
      </c>
      <c r="E2915">
        <v>4</v>
      </c>
      <c r="F2915">
        <v>1004</v>
      </c>
      <c r="G2915" t="s">
        <v>110</v>
      </c>
      <c r="J2915" t="s">
        <v>111</v>
      </c>
      <c r="K2915">
        <v>0</v>
      </c>
      <c r="L2915">
        <v>3</v>
      </c>
      <c r="M2915">
        <v>0</v>
      </c>
      <c r="N2915">
        <v>2</v>
      </c>
      <c r="O2915">
        <v>1</v>
      </c>
      <c r="P2915">
        <v>0</v>
      </c>
      <c r="Q2915">
        <v>0</v>
      </c>
      <c r="R2915" t="s">
        <v>112</v>
      </c>
      <c r="S2915" t="str">
        <f>"14:38:55.117"</f>
        <v>14:38:55.117</v>
      </c>
      <c r="T2915" t="str">
        <f>"14:38:54.719"</f>
        <v>14:38:54.719</v>
      </c>
      <c r="U2915" t="str">
        <f t="shared" si="135"/>
        <v>ad5732</v>
      </c>
      <c r="V2915">
        <v>0</v>
      </c>
      <c r="W2915">
        <v>0</v>
      </c>
      <c r="X2915">
        <v>1</v>
      </c>
      <c r="Z2915">
        <v>0</v>
      </c>
      <c r="AA2915">
        <v>9</v>
      </c>
      <c r="AB2915">
        <v>3</v>
      </c>
      <c r="AC2915">
        <v>0</v>
      </c>
      <c r="AD2915">
        <v>10</v>
      </c>
      <c r="AE2915">
        <v>0</v>
      </c>
      <c r="AF2915">
        <v>3</v>
      </c>
      <c r="AG2915">
        <v>2</v>
      </c>
      <c r="AH2915">
        <v>0</v>
      </c>
      <c r="AI2915" t="s">
        <v>5946</v>
      </c>
      <c r="AJ2915">
        <v>40.323300000000003</v>
      </c>
      <c r="AK2915" t="s">
        <v>5947</v>
      </c>
      <c r="AL2915">
        <v>-75.104792000000003</v>
      </c>
      <c r="AM2915">
        <v>100</v>
      </c>
      <c r="AN2915">
        <v>3700</v>
      </c>
      <c r="AO2915" t="s">
        <v>115</v>
      </c>
      <c r="AP2915">
        <v>128</v>
      </c>
      <c r="AQ2915">
        <v>119</v>
      </c>
      <c r="AR2915">
        <v>0</v>
      </c>
      <c r="AZ2915">
        <v>3614</v>
      </c>
      <c r="BA2915">
        <v>1</v>
      </c>
      <c r="BB2915" t="str">
        <f t="shared" si="137"/>
        <v xml:space="preserve">N959MJ  </v>
      </c>
      <c r="BC2915">
        <v>1</v>
      </c>
      <c r="BE2915">
        <v>0</v>
      </c>
      <c r="BF2915">
        <v>0</v>
      </c>
      <c r="BG2915">
        <v>0</v>
      </c>
      <c r="BH2915">
        <v>3850</v>
      </c>
      <c r="BI2915">
        <v>150</v>
      </c>
      <c r="BJ2915">
        <v>1</v>
      </c>
      <c r="BK2915">
        <v>1</v>
      </c>
      <c r="BL2915">
        <v>1</v>
      </c>
      <c r="BM2915">
        <v>0</v>
      </c>
      <c r="BP2915">
        <v>0</v>
      </c>
      <c r="BQ2915">
        <v>0</v>
      </c>
      <c r="BX2915" t="str">
        <f>"14:38:55.125"</f>
        <v>14:38:55.125</v>
      </c>
      <c r="BY2915" t="str">
        <f>"124689025"</f>
        <v>124689025</v>
      </c>
      <c r="CL2915">
        <v>0</v>
      </c>
      <c r="CM2915">
        <v>2</v>
      </c>
      <c r="CN2915">
        <v>0</v>
      </c>
      <c r="CO2915">
        <v>2</v>
      </c>
      <c r="CP2915">
        <v>0</v>
      </c>
      <c r="CQ2915">
        <v>6</v>
      </c>
      <c r="CR2915" t="s">
        <v>116</v>
      </c>
      <c r="CS2915">
        <v>39</v>
      </c>
      <c r="CT2915">
        <v>0</v>
      </c>
      <c r="CU2915" t="s">
        <v>2259</v>
      </c>
      <c r="CV2915" t="s">
        <v>2260</v>
      </c>
      <c r="CY2915">
        <v>2620543</v>
      </c>
      <c r="CZ2915" t="s">
        <v>119</v>
      </c>
    </row>
    <row r="2916" spans="1:104" x14ac:dyDescent="0.25">
      <c r="A2916" t="str">
        <f>"14:38:56.320"</f>
        <v>14:38:56.320</v>
      </c>
      <c r="B2916" t="s">
        <v>108</v>
      </c>
      <c r="C2916" t="str">
        <f t="shared" si="136"/>
        <v>ffdfd3c0</v>
      </c>
      <c r="D2916" t="s">
        <v>109</v>
      </c>
      <c r="E2916">
        <v>4</v>
      </c>
      <c r="F2916">
        <v>1004</v>
      </c>
      <c r="G2916" t="s">
        <v>110</v>
      </c>
      <c r="J2916" t="s">
        <v>111</v>
      </c>
      <c r="K2916">
        <v>0</v>
      </c>
      <c r="L2916">
        <v>3</v>
      </c>
      <c r="M2916">
        <v>0</v>
      </c>
      <c r="N2916">
        <v>2</v>
      </c>
      <c r="O2916">
        <v>1</v>
      </c>
      <c r="P2916">
        <v>0</v>
      </c>
      <c r="Q2916">
        <v>0</v>
      </c>
      <c r="R2916" t="s">
        <v>112</v>
      </c>
      <c r="S2916" t="str">
        <f>"14:38:56.148"</f>
        <v>14:38:56.148</v>
      </c>
      <c r="T2916" t="str">
        <f>"14:38:55.750"</f>
        <v>14:38:55.750</v>
      </c>
      <c r="U2916" t="str">
        <f t="shared" si="135"/>
        <v>ad5732</v>
      </c>
      <c r="V2916">
        <v>0</v>
      </c>
      <c r="W2916">
        <v>0</v>
      </c>
      <c r="X2916">
        <v>1</v>
      </c>
      <c r="Z2916">
        <v>0</v>
      </c>
      <c r="AA2916">
        <v>9</v>
      </c>
      <c r="AB2916">
        <v>3</v>
      </c>
      <c r="AC2916">
        <v>0</v>
      </c>
      <c r="AD2916">
        <v>10</v>
      </c>
      <c r="AE2916">
        <v>0</v>
      </c>
      <c r="AF2916">
        <v>3</v>
      </c>
      <c r="AG2916">
        <v>2</v>
      </c>
      <c r="AH2916">
        <v>0</v>
      </c>
      <c r="AI2916" t="s">
        <v>5948</v>
      </c>
      <c r="AJ2916">
        <v>40.323858000000001</v>
      </c>
      <c r="AK2916" t="s">
        <v>5949</v>
      </c>
      <c r="AL2916">
        <v>-75.104062999999996</v>
      </c>
      <c r="AM2916">
        <v>100</v>
      </c>
      <c r="AN2916">
        <v>3700</v>
      </c>
      <c r="AO2916" t="s">
        <v>115</v>
      </c>
      <c r="AP2916">
        <v>128</v>
      </c>
      <c r="AQ2916">
        <v>119</v>
      </c>
      <c r="AR2916">
        <v>-64</v>
      </c>
      <c r="AZ2916">
        <v>3614</v>
      </c>
      <c r="BA2916">
        <v>1</v>
      </c>
      <c r="BB2916" t="str">
        <f t="shared" si="137"/>
        <v xml:space="preserve">N959MJ  </v>
      </c>
      <c r="BC2916">
        <v>1</v>
      </c>
      <c r="BE2916">
        <v>0</v>
      </c>
      <c r="BF2916">
        <v>0</v>
      </c>
      <c r="BG2916">
        <v>0</v>
      </c>
      <c r="BH2916">
        <v>3850</v>
      </c>
      <c r="BI2916">
        <v>150</v>
      </c>
      <c r="BJ2916">
        <v>1</v>
      </c>
      <c r="BK2916">
        <v>1</v>
      </c>
      <c r="BL2916">
        <v>1</v>
      </c>
      <c r="BM2916">
        <v>0</v>
      </c>
      <c r="BP2916">
        <v>0</v>
      </c>
      <c r="BQ2916">
        <v>0</v>
      </c>
      <c r="BX2916" t="str">
        <f>"14:38:56.156"</f>
        <v>14:38:56.156</v>
      </c>
      <c r="BY2916" t="str">
        <f>"153511284"</f>
        <v>153511284</v>
      </c>
      <c r="CL2916">
        <v>0</v>
      </c>
      <c r="CM2916">
        <v>2</v>
      </c>
      <c r="CN2916">
        <v>0</v>
      </c>
      <c r="CO2916">
        <v>2</v>
      </c>
      <c r="CP2916">
        <v>0</v>
      </c>
      <c r="CQ2916">
        <v>7</v>
      </c>
      <c r="CR2916" t="s">
        <v>116</v>
      </c>
      <c r="CS2916">
        <v>38</v>
      </c>
      <c r="CT2916">
        <v>3</v>
      </c>
      <c r="CU2916" t="s">
        <v>4719</v>
      </c>
      <c r="CV2916" t="s">
        <v>4720</v>
      </c>
      <c r="CY2916">
        <v>10430789</v>
      </c>
      <c r="CZ2916" t="s">
        <v>119</v>
      </c>
    </row>
    <row r="2917" spans="1:104" x14ac:dyDescent="0.25">
      <c r="A2917" t="str">
        <f>"14:38:57.531"</f>
        <v>14:38:57.531</v>
      </c>
      <c r="B2917" t="s">
        <v>108</v>
      </c>
      <c r="C2917" t="str">
        <f t="shared" si="136"/>
        <v>ffdfd3c0</v>
      </c>
      <c r="D2917" t="s">
        <v>109</v>
      </c>
      <c r="E2917">
        <v>4</v>
      </c>
      <c r="F2917">
        <v>1004</v>
      </c>
      <c r="G2917" t="s">
        <v>110</v>
      </c>
      <c r="J2917" t="s">
        <v>111</v>
      </c>
      <c r="K2917">
        <v>0</v>
      </c>
      <c r="L2917">
        <v>3</v>
      </c>
      <c r="M2917">
        <v>0</v>
      </c>
      <c r="N2917">
        <v>2</v>
      </c>
      <c r="O2917">
        <v>1</v>
      </c>
      <c r="P2917">
        <v>0</v>
      </c>
      <c r="Q2917">
        <v>0</v>
      </c>
      <c r="R2917" t="s">
        <v>112</v>
      </c>
      <c r="S2917" t="str">
        <f>"14:38:57.305"</f>
        <v>14:38:57.305</v>
      </c>
      <c r="T2917" t="str">
        <f>"14:38:56.805"</f>
        <v>14:38:56.805</v>
      </c>
      <c r="U2917" t="str">
        <f t="shared" si="135"/>
        <v>ad5732</v>
      </c>
      <c r="V2917">
        <v>0</v>
      </c>
      <c r="W2917">
        <v>0</v>
      </c>
      <c r="X2917">
        <v>1</v>
      </c>
      <c r="Z2917">
        <v>0</v>
      </c>
      <c r="AA2917">
        <v>9</v>
      </c>
      <c r="AB2917">
        <v>3</v>
      </c>
      <c r="AC2917">
        <v>0</v>
      </c>
      <c r="AD2917">
        <v>10</v>
      </c>
      <c r="AE2917">
        <v>0</v>
      </c>
      <c r="AF2917">
        <v>3</v>
      </c>
      <c r="AG2917">
        <v>2</v>
      </c>
      <c r="AH2917">
        <v>0</v>
      </c>
      <c r="AI2917" t="s">
        <v>5950</v>
      </c>
      <c r="AJ2917">
        <v>40.324438000000001</v>
      </c>
      <c r="AK2917" t="s">
        <v>5951</v>
      </c>
      <c r="AL2917">
        <v>-75.103161</v>
      </c>
      <c r="AM2917">
        <v>100</v>
      </c>
      <c r="AN2917">
        <v>3700</v>
      </c>
      <c r="AO2917" t="s">
        <v>115</v>
      </c>
      <c r="AP2917">
        <v>128</v>
      </c>
      <c r="AQ2917">
        <v>119</v>
      </c>
      <c r="AR2917">
        <v>0</v>
      </c>
      <c r="AZ2917">
        <v>3614</v>
      </c>
      <c r="BA2917">
        <v>1</v>
      </c>
      <c r="BB2917" t="str">
        <f t="shared" si="137"/>
        <v xml:space="preserve">N959MJ  </v>
      </c>
      <c r="BC2917">
        <v>1</v>
      </c>
      <c r="BE2917">
        <v>0</v>
      </c>
      <c r="BF2917">
        <v>0</v>
      </c>
      <c r="BG2917">
        <v>0</v>
      </c>
      <c r="BH2917">
        <v>3850</v>
      </c>
      <c r="BI2917">
        <v>150</v>
      </c>
      <c r="BJ2917">
        <v>1</v>
      </c>
      <c r="BK2917">
        <v>1</v>
      </c>
      <c r="BL2917">
        <v>1</v>
      </c>
      <c r="BM2917">
        <v>0</v>
      </c>
      <c r="BP2917">
        <v>0</v>
      </c>
      <c r="BQ2917">
        <v>0</v>
      </c>
      <c r="BX2917" t="str">
        <f>"14:38:57.313"</f>
        <v>14:38:57.313</v>
      </c>
      <c r="BY2917" t="str">
        <f>"310241630"</f>
        <v>310241630</v>
      </c>
      <c r="CL2917">
        <v>0</v>
      </c>
      <c r="CM2917">
        <v>2</v>
      </c>
      <c r="CN2917">
        <v>0</v>
      </c>
      <c r="CO2917">
        <v>2</v>
      </c>
      <c r="CP2917">
        <v>0</v>
      </c>
      <c r="CQ2917">
        <v>7</v>
      </c>
      <c r="CR2917" t="s">
        <v>116</v>
      </c>
      <c r="CS2917">
        <v>38</v>
      </c>
      <c r="CT2917">
        <v>3</v>
      </c>
      <c r="CU2917" t="s">
        <v>4719</v>
      </c>
      <c r="CV2917" t="s">
        <v>4720</v>
      </c>
      <c r="CY2917">
        <v>10432845</v>
      </c>
      <c r="CZ2917" t="s">
        <v>119</v>
      </c>
    </row>
    <row r="2918" spans="1:104" x14ac:dyDescent="0.25">
      <c r="A2918" t="str">
        <f>"14:38:58.492"</f>
        <v>14:38:58.492</v>
      </c>
      <c r="B2918" t="s">
        <v>108</v>
      </c>
      <c r="C2918" t="str">
        <f t="shared" si="136"/>
        <v>ffdfd3c0</v>
      </c>
      <c r="D2918" t="s">
        <v>109</v>
      </c>
      <c r="E2918">
        <v>4</v>
      </c>
      <c r="F2918">
        <v>1004</v>
      </c>
      <c r="G2918" t="s">
        <v>110</v>
      </c>
      <c r="J2918" t="s">
        <v>111</v>
      </c>
      <c r="K2918">
        <v>0</v>
      </c>
      <c r="L2918">
        <v>3</v>
      </c>
      <c r="M2918">
        <v>0</v>
      </c>
      <c r="N2918">
        <v>2</v>
      </c>
      <c r="O2918">
        <v>1</v>
      </c>
      <c r="P2918">
        <v>0</v>
      </c>
      <c r="Q2918">
        <v>0</v>
      </c>
      <c r="R2918" t="s">
        <v>112</v>
      </c>
      <c r="S2918" t="str">
        <f>"14:38:58.305"</f>
        <v>14:38:58.305</v>
      </c>
      <c r="T2918" t="str">
        <f>"14:38:57.805"</f>
        <v>14:38:57.805</v>
      </c>
      <c r="U2918" t="str">
        <f t="shared" si="135"/>
        <v>ad5732</v>
      </c>
      <c r="V2918">
        <v>0</v>
      </c>
      <c r="W2918">
        <v>0</v>
      </c>
      <c r="X2918">
        <v>1</v>
      </c>
      <c r="Z2918">
        <v>0</v>
      </c>
      <c r="AA2918">
        <v>9</v>
      </c>
      <c r="AB2918">
        <v>3</v>
      </c>
      <c r="AC2918">
        <v>0</v>
      </c>
      <c r="AD2918">
        <v>10</v>
      </c>
      <c r="AE2918">
        <v>0</v>
      </c>
      <c r="AF2918">
        <v>3</v>
      </c>
      <c r="AG2918">
        <v>2</v>
      </c>
      <c r="AH2918">
        <v>0</v>
      </c>
      <c r="AI2918" t="s">
        <v>5952</v>
      </c>
      <c r="AJ2918">
        <v>40.324995999999999</v>
      </c>
      <c r="AK2918" t="s">
        <v>5953</v>
      </c>
      <c r="AL2918">
        <v>-75.102410000000006</v>
      </c>
      <c r="AM2918">
        <v>100</v>
      </c>
      <c r="AN2918">
        <v>3700</v>
      </c>
      <c r="AO2918" t="s">
        <v>115</v>
      </c>
      <c r="AP2918">
        <v>128</v>
      </c>
      <c r="AQ2918">
        <v>119</v>
      </c>
      <c r="AR2918">
        <v>0</v>
      </c>
      <c r="AZ2918">
        <v>3614</v>
      </c>
      <c r="BA2918">
        <v>1</v>
      </c>
      <c r="BB2918" t="str">
        <f t="shared" si="137"/>
        <v xml:space="preserve">N959MJ  </v>
      </c>
      <c r="BC2918">
        <v>1</v>
      </c>
      <c r="BE2918">
        <v>0</v>
      </c>
      <c r="BF2918">
        <v>0</v>
      </c>
      <c r="BG2918">
        <v>0</v>
      </c>
      <c r="BH2918">
        <v>3850</v>
      </c>
      <c r="BI2918">
        <v>150</v>
      </c>
      <c r="BJ2918">
        <v>1</v>
      </c>
      <c r="BK2918">
        <v>1</v>
      </c>
      <c r="BL2918">
        <v>1</v>
      </c>
      <c r="BM2918">
        <v>0</v>
      </c>
      <c r="BP2918">
        <v>0</v>
      </c>
      <c r="BQ2918">
        <v>0</v>
      </c>
      <c r="BX2918" t="str">
        <f>"14:38:58.313"</f>
        <v>14:38:58.313</v>
      </c>
      <c r="BY2918" t="str">
        <f>"309682882"</f>
        <v>309682882</v>
      </c>
      <c r="CL2918">
        <v>0</v>
      </c>
      <c r="CM2918">
        <v>2</v>
      </c>
      <c r="CN2918">
        <v>0</v>
      </c>
      <c r="CO2918">
        <v>2</v>
      </c>
      <c r="CP2918">
        <v>0</v>
      </c>
      <c r="CQ2918">
        <v>7</v>
      </c>
      <c r="CR2918" t="s">
        <v>116</v>
      </c>
      <c r="CS2918">
        <v>38</v>
      </c>
      <c r="CT2918">
        <v>3</v>
      </c>
      <c r="CU2918" t="s">
        <v>4719</v>
      </c>
      <c r="CV2918" t="s">
        <v>4720</v>
      </c>
      <c r="CY2918">
        <v>10434729</v>
      </c>
      <c r="CZ2918" t="s">
        <v>119</v>
      </c>
    </row>
    <row r="2919" spans="1:104" x14ac:dyDescent="0.25">
      <c r="A2919" t="str">
        <f>"14:38:59.500"</f>
        <v>14:38:59.500</v>
      </c>
      <c r="B2919" t="s">
        <v>108</v>
      </c>
      <c r="C2919" t="str">
        <f t="shared" si="136"/>
        <v>ffdfd3c0</v>
      </c>
      <c r="D2919" t="s">
        <v>109</v>
      </c>
      <c r="E2919">
        <v>4</v>
      </c>
      <c r="F2919">
        <v>1004</v>
      </c>
      <c r="G2919" t="s">
        <v>110</v>
      </c>
      <c r="J2919" t="s">
        <v>111</v>
      </c>
      <c r="K2919">
        <v>0</v>
      </c>
      <c r="L2919">
        <v>3</v>
      </c>
      <c r="M2919">
        <v>0</v>
      </c>
      <c r="N2919">
        <v>2</v>
      </c>
      <c r="O2919">
        <v>1</v>
      </c>
      <c r="P2919">
        <v>0</v>
      </c>
      <c r="Q2919">
        <v>0</v>
      </c>
      <c r="R2919" t="s">
        <v>112</v>
      </c>
      <c r="S2919" t="str">
        <f>"14:38:59.320"</f>
        <v>14:38:59.320</v>
      </c>
      <c r="T2919" t="str">
        <f>"14:38:58.922"</f>
        <v>14:38:58.922</v>
      </c>
      <c r="U2919" t="str">
        <f t="shared" si="135"/>
        <v>ad5732</v>
      </c>
      <c r="V2919">
        <v>0</v>
      </c>
      <c r="W2919">
        <v>0</v>
      </c>
      <c r="X2919">
        <v>1</v>
      </c>
      <c r="Z2919">
        <v>0</v>
      </c>
      <c r="AA2919">
        <v>9</v>
      </c>
      <c r="AB2919">
        <v>3</v>
      </c>
      <c r="AC2919">
        <v>0</v>
      </c>
      <c r="AD2919">
        <v>10</v>
      </c>
      <c r="AE2919">
        <v>0</v>
      </c>
      <c r="AF2919">
        <v>3</v>
      </c>
      <c r="AG2919">
        <v>2</v>
      </c>
      <c r="AH2919">
        <v>0</v>
      </c>
      <c r="AI2919" t="s">
        <v>5954</v>
      </c>
      <c r="AJ2919">
        <v>40.325595999999997</v>
      </c>
      <c r="AK2919" t="s">
        <v>5955</v>
      </c>
      <c r="AL2919">
        <v>-75.101551999999998</v>
      </c>
      <c r="AM2919">
        <v>100</v>
      </c>
      <c r="AN2919">
        <v>3700</v>
      </c>
      <c r="AO2919" t="s">
        <v>115</v>
      </c>
      <c r="AP2919">
        <v>128</v>
      </c>
      <c r="AQ2919">
        <v>119</v>
      </c>
      <c r="AR2919">
        <v>0</v>
      </c>
      <c r="AZ2919">
        <v>3614</v>
      </c>
      <c r="BA2919">
        <v>1</v>
      </c>
      <c r="BB2919" t="str">
        <f t="shared" si="137"/>
        <v xml:space="preserve">N959MJ  </v>
      </c>
      <c r="BC2919">
        <v>1</v>
      </c>
      <c r="BE2919">
        <v>0</v>
      </c>
      <c r="BF2919">
        <v>0</v>
      </c>
      <c r="BG2919">
        <v>0</v>
      </c>
      <c r="BH2919">
        <v>3850</v>
      </c>
      <c r="BI2919">
        <v>150</v>
      </c>
      <c r="BJ2919">
        <v>1</v>
      </c>
      <c r="BK2919">
        <v>1</v>
      </c>
      <c r="BL2919">
        <v>1</v>
      </c>
      <c r="BM2919">
        <v>0</v>
      </c>
      <c r="BP2919">
        <v>0</v>
      </c>
      <c r="BQ2919">
        <v>0</v>
      </c>
      <c r="BX2919" t="str">
        <f>"14:38:59.328"</f>
        <v>14:38:59.328</v>
      </c>
      <c r="BY2919" t="str">
        <f>"327259515"</f>
        <v>327259515</v>
      </c>
      <c r="CL2919">
        <v>0</v>
      </c>
      <c r="CM2919">
        <v>2</v>
      </c>
      <c r="CN2919">
        <v>0</v>
      </c>
      <c r="CO2919">
        <v>2</v>
      </c>
      <c r="CP2919">
        <v>0</v>
      </c>
      <c r="CQ2919">
        <v>5</v>
      </c>
      <c r="CR2919" t="s">
        <v>116</v>
      </c>
      <c r="CS2919">
        <v>39</v>
      </c>
      <c r="CT2919">
        <v>0</v>
      </c>
      <c r="CU2919" t="s">
        <v>2259</v>
      </c>
      <c r="CV2919" t="s">
        <v>2260</v>
      </c>
      <c r="CY2919">
        <v>2627245</v>
      </c>
      <c r="CZ2919" t="s">
        <v>119</v>
      </c>
    </row>
    <row r="2920" spans="1:104" x14ac:dyDescent="0.25">
      <c r="A2920" t="str">
        <f>"14:39:00.508"</f>
        <v>14:39:00.508</v>
      </c>
      <c r="B2920" t="s">
        <v>108</v>
      </c>
      <c r="C2920" t="str">
        <f t="shared" si="136"/>
        <v>ffdfd3c0</v>
      </c>
      <c r="D2920" t="s">
        <v>109</v>
      </c>
      <c r="E2920">
        <v>4</v>
      </c>
      <c r="F2920">
        <v>1004</v>
      </c>
      <c r="G2920" t="s">
        <v>110</v>
      </c>
      <c r="J2920" t="s">
        <v>111</v>
      </c>
      <c r="K2920">
        <v>0</v>
      </c>
      <c r="L2920">
        <v>3</v>
      </c>
      <c r="M2920">
        <v>0</v>
      </c>
      <c r="N2920">
        <v>2</v>
      </c>
      <c r="O2920">
        <v>1</v>
      </c>
      <c r="P2920">
        <v>0</v>
      </c>
      <c r="Q2920">
        <v>0</v>
      </c>
      <c r="R2920" t="s">
        <v>112</v>
      </c>
      <c r="S2920" t="str">
        <f>"14:39:00.336"</f>
        <v>14:39:00.336</v>
      </c>
      <c r="T2920" t="str">
        <f>"14:38:59.836"</f>
        <v>14:38:59.836</v>
      </c>
      <c r="U2920" t="str">
        <f t="shared" si="135"/>
        <v>ad5732</v>
      </c>
      <c r="V2920">
        <v>0</v>
      </c>
      <c r="W2920">
        <v>0</v>
      </c>
      <c r="X2920">
        <v>1</v>
      </c>
      <c r="Z2920">
        <v>0</v>
      </c>
      <c r="AA2920">
        <v>9</v>
      </c>
      <c r="AB2920">
        <v>3</v>
      </c>
      <c r="AC2920">
        <v>0</v>
      </c>
      <c r="AD2920">
        <v>10</v>
      </c>
      <c r="AE2920">
        <v>0</v>
      </c>
      <c r="AF2920">
        <v>3</v>
      </c>
      <c r="AG2920">
        <v>2</v>
      </c>
      <c r="AH2920">
        <v>0</v>
      </c>
      <c r="AI2920" t="s">
        <v>5956</v>
      </c>
      <c r="AJ2920">
        <v>40.326197000000001</v>
      </c>
      <c r="AK2920" t="s">
        <v>5957</v>
      </c>
      <c r="AL2920">
        <v>-75.10078</v>
      </c>
      <c r="AM2920">
        <v>100</v>
      </c>
      <c r="AN2920">
        <v>3700</v>
      </c>
      <c r="AO2920" t="s">
        <v>115</v>
      </c>
      <c r="AP2920">
        <v>128</v>
      </c>
      <c r="AQ2920">
        <v>119</v>
      </c>
      <c r="AR2920">
        <v>0</v>
      </c>
      <c r="AZ2920">
        <v>3614</v>
      </c>
      <c r="BA2920">
        <v>1</v>
      </c>
      <c r="BB2920" t="str">
        <f t="shared" si="137"/>
        <v xml:space="preserve">N959MJ  </v>
      </c>
      <c r="BC2920">
        <v>1</v>
      </c>
      <c r="BE2920">
        <v>0</v>
      </c>
      <c r="BF2920">
        <v>0</v>
      </c>
      <c r="BG2920">
        <v>0</v>
      </c>
      <c r="BH2920">
        <v>3850</v>
      </c>
      <c r="BI2920">
        <v>150</v>
      </c>
      <c r="BJ2920">
        <v>1</v>
      </c>
      <c r="BK2920">
        <v>1</v>
      </c>
      <c r="BL2920">
        <v>1</v>
      </c>
      <c r="BM2920">
        <v>0</v>
      </c>
      <c r="BP2920">
        <v>0</v>
      </c>
      <c r="BQ2920">
        <v>0</v>
      </c>
      <c r="BX2920" t="str">
        <f>"14:39:00.336"</f>
        <v>14:39:00.336</v>
      </c>
      <c r="BY2920" t="str">
        <f>"339695506"</f>
        <v>339695506</v>
      </c>
      <c r="CL2920">
        <v>0</v>
      </c>
      <c r="CM2920">
        <v>2</v>
      </c>
      <c r="CN2920">
        <v>0</v>
      </c>
      <c r="CO2920">
        <v>2</v>
      </c>
      <c r="CP2920">
        <v>0</v>
      </c>
      <c r="CQ2920">
        <v>7</v>
      </c>
      <c r="CR2920" t="s">
        <v>116</v>
      </c>
      <c r="CS2920">
        <v>38</v>
      </c>
      <c r="CT2920">
        <v>3</v>
      </c>
      <c r="CU2920" t="s">
        <v>4719</v>
      </c>
      <c r="CV2920" t="s">
        <v>4720</v>
      </c>
      <c r="CY2920">
        <v>10438335</v>
      </c>
      <c r="CZ2920" t="s">
        <v>119</v>
      </c>
    </row>
    <row r="2921" spans="1:104" x14ac:dyDescent="0.25">
      <c r="A2921" t="str">
        <f>"14:39:01.570"</f>
        <v>14:39:01.570</v>
      </c>
      <c r="B2921" t="s">
        <v>108</v>
      </c>
      <c r="C2921" t="str">
        <f t="shared" si="136"/>
        <v>ffdfd3c0</v>
      </c>
      <c r="D2921" t="s">
        <v>109</v>
      </c>
      <c r="E2921">
        <v>4</v>
      </c>
      <c r="F2921">
        <v>1004</v>
      </c>
      <c r="G2921" t="s">
        <v>110</v>
      </c>
      <c r="J2921" t="s">
        <v>111</v>
      </c>
      <c r="K2921">
        <v>0</v>
      </c>
      <c r="L2921">
        <v>3</v>
      </c>
      <c r="M2921">
        <v>0</v>
      </c>
      <c r="N2921">
        <v>2</v>
      </c>
      <c r="O2921">
        <v>1</v>
      </c>
      <c r="P2921">
        <v>0</v>
      </c>
      <c r="Q2921">
        <v>0</v>
      </c>
      <c r="R2921" t="s">
        <v>112</v>
      </c>
      <c r="S2921" t="str">
        <f>"14:39:01.383"</f>
        <v>14:39:01.383</v>
      </c>
      <c r="T2921" t="str">
        <f>"14:39:00.883"</f>
        <v>14:39:00.883</v>
      </c>
      <c r="U2921" t="str">
        <f t="shared" si="135"/>
        <v>ad5732</v>
      </c>
      <c r="V2921">
        <v>0</v>
      </c>
      <c r="W2921">
        <v>0</v>
      </c>
      <c r="X2921">
        <v>1</v>
      </c>
      <c r="Z2921">
        <v>0</v>
      </c>
      <c r="AA2921">
        <v>9</v>
      </c>
      <c r="AB2921">
        <v>3</v>
      </c>
      <c r="AC2921">
        <v>0</v>
      </c>
      <c r="AD2921">
        <v>10</v>
      </c>
      <c r="AE2921">
        <v>0</v>
      </c>
      <c r="AF2921">
        <v>3</v>
      </c>
      <c r="AG2921">
        <v>2</v>
      </c>
      <c r="AH2921">
        <v>0</v>
      </c>
      <c r="AI2921" t="s">
        <v>5958</v>
      </c>
      <c r="AJ2921">
        <v>40.326734000000002</v>
      </c>
      <c r="AK2921" t="s">
        <v>5959</v>
      </c>
      <c r="AL2921">
        <v>-75.100029000000006</v>
      </c>
      <c r="AM2921">
        <v>100</v>
      </c>
      <c r="AN2921">
        <v>3700</v>
      </c>
      <c r="AO2921" t="s">
        <v>115</v>
      </c>
      <c r="AP2921">
        <v>128</v>
      </c>
      <c r="AQ2921">
        <v>120</v>
      </c>
      <c r="AR2921">
        <v>0</v>
      </c>
      <c r="AZ2921">
        <v>3614</v>
      </c>
      <c r="BA2921">
        <v>1</v>
      </c>
      <c r="BB2921" t="str">
        <f t="shared" si="137"/>
        <v xml:space="preserve">N959MJ  </v>
      </c>
      <c r="BC2921">
        <v>1</v>
      </c>
      <c r="BE2921">
        <v>0</v>
      </c>
      <c r="BF2921">
        <v>0</v>
      </c>
      <c r="BG2921">
        <v>0</v>
      </c>
      <c r="BH2921">
        <v>3850</v>
      </c>
      <c r="BI2921">
        <v>150</v>
      </c>
      <c r="BJ2921">
        <v>1</v>
      </c>
      <c r="BK2921">
        <v>1</v>
      </c>
      <c r="BL2921">
        <v>1</v>
      </c>
      <c r="BM2921">
        <v>0</v>
      </c>
      <c r="BP2921">
        <v>0</v>
      </c>
      <c r="BQ2921">
        <v>0</v>
      </c>
      <c r="BX2921" t="str">
        <f>"14:39:01.391"</f>
        <v>14:39:01.391</v>
      </c>
      <c r="BY2921" t="str">
        <f>"388289602"</f>
        <v>388289602</v>
      </c>
      <c r="CL2921">
        <v>0</v>
      </c>
      <c r="CM2921">
        <v>2</v>
      </c>
      <c r="CN2921">
        <v>0</v>
      </c>
      <c r="CO2921">
        <v>2</v>
      </c>
      <c r="CP2921">
        <v>0</v>
      </c>
      <c r="CQ2921">
        <v>7</v>
      </c>
      <c r="CR2921" t="s">
        <v>116</v>
      </c>
      <c r="CS2921">
        <v>38</v>
      </c>
      <c r="CT2921">
        <v>3</v>
      </c>
      <c r="CU2921" t="s">
        <v>4719</v>
      </c>
      <c r="CV2921" t="s">
        <v>4720</v>
      </c>
      <c r="CY2921">
        <v>10440113</v>
      </c>
      <c r="CZ2921" t="s">
        <v>119</v>
      </c>
    </row>
    <row r="2922" spans="1:104" x14ac:dyDescent="0.25">
      <c r="A2922" t="str">
        <f>"14:39:02.734"</f>
        <v>14:39:02.734</v>
      </c>
      <c r="B2922" t="s">
        <v>108</v>
      </c>
      <c r="C2922" t="str">
        <f t="shared" si="136"/>
        <v>ffdfd3c0</v>
      </c>
      <c r="D2922" t="s">
        <v>109</v>
      </c>
      <c r="E2922">
        <v>4</v>
      </c>
      <c r="F2922">
        <v>1004</v>
      </c>
      <c r="G2922" t="s">
        <v>110</v>
      </c>
      <c r="J2922" t="s">
        <v>111</v>
      </c>
      <c r="K2922">
        <v>0</v>
      </c>
      <c r="L2922">
        <v>3</v>
      </c>
      <c r="M2922">
        <v>0</v>
      </c>
      <c r="N2922">
        <v>2</v>
      </c>
      <c r="O2922">
        <v>1</v>
      </c>
      <c r="P2922">
        <v>0</v>
      </c>
      <c r="Q2922">
        <v>0</v>
      </c>
      <c r="R2922" t="s">
        <v>112</v>
      </c>
      <c r="S2922" t="str">
        <f>"14:39:02.539"</f>
        <v>14:39:02.539</v>
      </c>
      <c r="T2922" t="str">
        <f>"14:39:02.039"</f>
        <v>14:39:02.039</v>
      </c>
      <c r="U2922" t="str">
        <f t="shared" si="135"/>
        <v>ad5732</v>
      </c>
      <c r="V2922">
        <v>0</v>
      </c>
      <c r="W2922">
        <v>0</v>
      </c>
      <c r="X2922">
        <v>1</v>
      </c>
      <c r="Z2922">
        <v>0</v>
      </c>
      <c r="AA2922">
        <v>9</v>
      </c>
      <c r="AB2922">
        <v>3</v>
      </c>
      <c r="AC2922">
        <v>0</v>
      </c>
      <c r="AD2922">
        <v>10</v>
      </c>
      <c r="AE2922">
        <v>0</v>
      </c>
      <c r="AF2922">
        <v>3</v>
      </c>
      <c r="AG2922">
        <v>2</v>
      </c>
      <c r="AH2922">
        <v>0</v>
      </c>
      <c r="AI2922" t="s">
        <v>5960</v>
      </c>
      <c r="AJ2922">
        <v>40.327376999999998</v>
      </c>
      <c r="AK2922" t="s">
        <v>5961</v>
      </c>
      <c r="AL2922">
        <v>-75.099063000000001</v>
      </c>
      <c r="AM2922">
        <v>100</v>
      </c>
      <c r="AN2922">
        <v>3700</v>
      </c>
      <c r="AO2922" t="s">
        <v>115</v>
      </c>
      <c r="AP2922">
        <v>128</v>
      </c>
      <c r="AQ2922">
        <v>120</v>
      </c>
      <c r="AR2922">
        <v>0</v>
      </c>
      <c r="AZ2922">
        <v>3614</v>
      </c>
      <c r="BA2922">
        <v>1</v>
      </c>
      <c r="BB2922" t="str">
        <f t="shared" si="137"/>
        <v xml:space="preserve">N959MJ  </v>
      </c>
      <c r="BC2922">
        <v>1</v>
      </c>
      <c r="BE2922">
        <v>0</v>
      </c>
      <c r="BF2922">
        <v>0</v>
      </c>
      <c r="BG2922">
        <v>0</v>
      </c>
      <c r="BH2922">
        <v>3850</v>
      </c>
      <c r="BI2922">
        <v>150</v>
      </c>
      <c r="BJ2922">
        <v>1</v>
      </c>
      <c r="BK2922">
        <v>1</v>
      </c>
      <c r="BL2922">
        <v>1</v>
      </c>
      <c r="BM2922">
        <v>0</v>
      </c>
      <c r="BP2922">
        <v>0</v>
      </c>
      <c r="BQ2922">
        <v>0</v>
      </c>
      <c r="BX2922" t="str">
        <f>"14:39:02.547"</f>
        <v>14:39:02.547</v>
      </c>
      <c r="BY2922" t="str">
        <f>"543381533"</f>
        <v>543381533</v>
      </c>
      <c r="CL2922">
        <v>0</v>
      </c>
      <c r="CM2922">
        <v>2</v>
      </c>
      <c r="CN2922">
        <v>0</v>
      </c>
      <c r="CO2922">
        <v>2</v>
      </c>
      <c r="CP2922">
        <v>0</v>
      </c>
      <c r="CQ2922">
        <v>7</v>
      </c>
      <c r="CR2922" t="s">
        <v>116</v>
      </c>
      <c r="CS2922">
        <v>38</v>
      </c>
      <c r="CT2922">
        <v>3</v>
      </c>
      <c r="CU2922" t="s">
        <v>4719</v>
      </c>
      <c r="CV2922" t="s">
        <v>4720</v>
      </c>
      <c r="CY2922">
        <v>10442176</v>
      </c>
      <c r="CZ2922" t="s">
        <v>119</v>
      </c>
    </row>
    <row r="2923" spans="1:104" x14ac:dyDescent="0.25">
      <c r="A2923" t="str">
        <f>"14:39:03.594"</f>
        <v>14:39:03.594</v>
      </c>
      <c r="B2923" t="s">
        <v>108</v>
      </c>
      <c r="C2923" t="str">
        <f t="shared" si="136"/>
        <v>ffdfd3c0</v>
      </c>
      <c r="D2923" t="s">
        <v>109</v>
      </c>
      <c r="E2923">
        <v>4</v>
      </c>
      <c r="F2923">
        <v>1004</v>
      </c>
      <c r="G2923" t="s">
        <v>110</v>
      </c>
      <c r="J2923" t="s">
        <v>111</v>
      </c>
      <c r="K2923">
        <v>0</v>
      </c>
      <c r="L2923">
        <v>3</v>
      </c>
      <c r="M2923">
        <v>0</v>
      </c>
      <c r="N2923">
        <v>2</v>
      </c>
      <c r="O2923">
        <v>1</v>
      </c>
      <c r="P2923">
        <v>0</v>
      </c>
      <c r="Q2923">
        <v>0</v>
      </c>
      <c r="R2923" t="s">
        <v>112</v>
      </c>
      <c r="S2923" t="str">
        <f>"14:39:03.430"</f>
        <v>14:39:03.430</v>
      </c>
      <c r="T2923" t="str">
        <f>"14:39:03.031"</f>
        <v>14:39:03.031</v>
      </c>
      <c r="U2923" t="str">
        <f t="shared" si="135"/>
        <v>ad5732</v>
      </c>
      <c r="V2923">
        <v>0</v>
      </c>
      <c r="W2923">
        <v>0</v>
      </c>
      <c r="X2923">
        <v>1</v>
      </c>
      <c r="Z2923">
        <v>0</v>
      </c>
      <c r="AA2923">
        <v>9</v>
      </c>
      <c r="AB2923">
        <v>3</v>
      </c>
      <c r="AC2923">
        <v>0</v>
      </c>
      <c r="AD2923">
        <v>10</v>
      </c>
      <c r="AE2923">
        <v>0</v>
      </c>
      <c r="AF2923">
        <v>3</v>
      </c>
      <c r="AG2923">
        <v>2</v>
      </c>
      <c r="AH2923">
        <v>0</v>
      </c>
      <c r="AI2923" t="s">
        <v>5962</v>
      </c>
      <c r="AJ2923">
        <v>40.327871000000002</v>
      </c>
      <c r="AK2923" t="s">
        <v>5963</v>
      </c>
      <c r="AL2923">
        <v>-75.098354999999998</v>
      </c>
      <c r="AM2923">
        <v>100</v>
      </c>
      <c r="AN2923">
        <v>3700</v>
      </c>
      <c r="AO2923" t="s">
        <v>115</v>
      </c>
      <c r="AP2923">
        <v>128</v>
      </c>
      <c r="AQ2923">
        <v>119</v>
      </c>
      <c r="AR2923">
        <v>0</v>
      </c>
      <c r="AZ2923">
        <v>3614</v>
      </c>
      <c r="BA2923">
        <v>1</v>
      </c>
      <c r="BB2923" t="str">
        <f t="shared" si="137"/>
        <v xml:space="preserve">N959MJ  </v>
      </c>
      <c r="BC2923">
        <v>1</v>
      </c>
      <c r="BE2923">
        <v>0</v>
      </c>
      <c r="BF2923">
        <v>0</v>
      </c>
      <c r="BG2923">
        <v>0</v>
      </c>
      <c r="BH2923">
        <v>3850</v>
      </c>
      <c r="BI2923">
        <v>150</v>
      </c>
      <c r="BJ2923">
        <v>1</v>
      </c>
      <c r="BK2923">
        <v>1</v>
      </c>
      <c r="BL2923">
        <v>1</v>
      </c>
      <c r="BM2923">
        <v>0</v>
      </c>
      <c r="BP2923">
        <v>0</v>
      </c>
      <c r="BQ2923">
        <v>0</v>
      </c>
      <c r="BX2923" t="str">
        <f>"14:39:03.430"</f>
        <v>14:39:03.430</v>
      </c>
      <c r="BY2923" t="str">
        <f>"429771267"</f>
        <v>429771267</v>
      </c>
      <c r="CL2923">
        <v>0</v>
      </c>
      <c r="CM2923">
        <v>2</v>
      </c>
      <c r="CN2923">
        <v>0</v>
      </c>
      <c r="CO2923">
        <v>2</v>
      </c>
      <c r="CP2923">
        <v>0</v>
      </c>
      <c r="CQ2923">
        <v>7</v>
      </c>
      <c r="CR2923" t="s">
        <v>116</v>
      </c>
      <c r="CS2923">
        <v>38</v>
      </c>
      <c r="CT2923">
        <v>3</v>
      </c>
      <c r="CU2923" t="s">
        <v>4719</v>
      </c>
      <c r="CV2923" t="s">
        <v>4720</v>
      </c>
      <c r="CY2923">
        <v>10443763</v>
      </c>
      <c r="CZ2923" t="s">
        <v>119</v>
      </c>
    </row>
    <row r="2924" spans="1:104" x14ac:dyDescent="0.25">
      <c r="A2924" t="str">
        <f>"14:39:04.703"</f>
        <v>14:39:04.703</v>
      </c>
      <c r="B2924" t="s">
        <v>108</v>
      </c>
      <c r="C2924" t="str">
        <f t="shared" si="136"/>
        <v>ffdfd3c0</v>
      </c>
      <c r="D2924" t="s">
        <v>109</v>
      </c>
      <c r="E2924">
        <v>4</v>
      </c>
      <c r="F2924">
        <v>1004</v>
      </c>
      <c r="G2924" t="s">
        <v>110</v>
      </c>
      <c r="J2924" t="s">
        <v>111</v>
      </c>
      <c r="K2924">
        <v>0</v>
      </c>
      <c r="L2924">
        <v>3</v>
      </c>
      <c r="M2924">
        <v>0</v>
      </c>
      <c r="N2924">
        <v>2</v>
      </c>
      <c r="O2924">
        <v>1</v>
      </c>
      <c r="P2924">
        <v>0</v>
      </c>
      <c r="Q2924">
        <v>0</v>
      </c>
      <c r="R2924" t="s">
        <v>112</v>
      </c>
      <c r="S2924" t="str">
        <f>"14:39:04.547"</f>
        <v>14:39:04.547</v>
      </c>
      <c r="T2924" t="str">
        <f>"14:39:04.047"</f>
        <v>14:39:04.047</v>
      </c>
      <c r="U2924" t="str">
        <f t="shared" si="135"/>
        <v>ad5732</v>
      </c>
      <c r="V2924">
        <v>0</v>
      </c>
      <c r="W2924">
        <v>0</v>
      </c>
      <c r="X2924">
        <v>1</v>
      </c>
      <c r="Z2924">
        <v>0</v>
      </c>
      <c r="AA2924">
        <v>9</v>
      </c>
      <c r="AB2924">
        <v>3</v>
      </c>
      <c r="AC2924">
        <v>0</v>
      </c>
      <c r="AD2924">
        <v>10</v>
      </c>
      <c r="AE2924">
        <v>0</v>
      </c>
      <c r="AF2924">
        <v>3</v>
      </c>
      <c r="AG2924">
        <v>2</v>
      </c>
      <c r="AH2924">
        <v>0</v>
      </c>
      <c r="AI2924" t="s">
        <v>5964</v>
      </c>
      <c r="AJ2924">
        <v>40.328471999999998</v>
      </c>
      <c r="AK2924" t="s">
        <v>5965</v>
      </c>
      <c r="AL2924">
        <v>-75.097538999999998</v>
      </c>
      <c r="AM2924">
        <v>100</v>
      </c>
      <c r="AN2924">
        <v>3700</v>
      </c>
      <c r="AO2924" t="s">
        <v>115</v>
      </c>
      <c r="AP2924">
        <v>128</v>
      </c>
      <c r="AQ2924">
        <v>119</v>
      </c>
      <c r="AR2924">
        <v>0</v>
      </c>
      <c r="AZ2924">
        <v>3614</v>
      </c>
      <c r="BA2924">
        <v>1</v>
      </c>
      <c r="BB2924" t="str">
        <f t="shared" si="137"/>
        <v xml:space="preserve">N959MJ  </v>
      </c>
      <c r="BC2924">
        <v>1</v>
      </c>
      <c r="BE2924">
        <v>0</v>
      </c>
      <c r="BF2924">
        <v>0</v>
      </c>
      <c r="BG2924">
        <v>0</v>
      </c>
      <c r="BH2924">
        <v>3850</v>
      </c>
      <c r="BI2924">
        <v>150</v>
      </c>
      <c r="BJ2924">
        <v>1</v>
      </c>
      <c r="BK2924">
        <v>1</v>
      </c>
      <c r="BL2924">
        <v>1</v>
      </c>
      <c r="BM2924">
        <v>0</v>
      </c>
      <c r="BP2924">
        <v>0</v>
      </c>
      <c r="BQ2924">
        <v>0</v>
      </c>
      <c r="BX2924" t="str">
        <f>"14:39:04.547"</f>
        <v>14:39:04.547</v>
      </c>
      <c r="BY2924" t="str">
        <f>"550456168"</f>
        <v>550456168</v>
      </c>
      <c r="CL2924">
        <v>0</v>
      </c>
      <c r="CM2924">
        <v>2</v>
      </c>
      <c r="CN2924">
        <v>0</v>
      </c>
      <c r="CO2924">
        <v>2</v>
      </c>
      <c r="CP2924">
        <v>0</v>
      </c>
      <c r="CQ2924">
        <v>7</v>
      </c>
      <c r="CR2924" t="s">
        <v>116</v>
      </c>
      <c r="CS2924">
        <v>38</v>
      </c>
      <c r="CT2924">
        <v>3</v>
      </c>
      <c r="CU2924" t="s">
        <v>4719</v>
      </c>
      <c r="CV2924" t="s">
        <v>4720</v>
      </c>
      <c r="CY2924">
        <v>10445816</v>
      </c>
      <c r="CZ2924" t="s">
        <v>119</v>
      </c>
    </row>
    <row r="2925" spans="1:104" x14ac:dyDescent="0.25">
      <c r="A2925" t="str">
        <f>"14:39:05.609"</f>
        <v>14:39:05.609</v>
      </c>
      <c r="B2925" t="s">
        <v>108</v>
      </c>
      <c r="C2925" t="str">
        <f t="shared" si="136"/>
        <v>ffdfd3c0</v>
      </c>
      <c r="D2925" t="s">
        <v>109</v>
      </c>
      <c r="E2925">
        <v>4</v>
      </c>
      <c r="F2925">
        <v>1004</v>
      </c>
      <c r="G2925" t="s">
        <v>110</v>
      </c>
      <c r="J2925" t="s">
        <v>111</v>
      </c>
      <c r="K2925">
        <v>0</v>
      </c>
      <c r="L2925">
        <v>3</v>
      </c>
      <c r="M2925">
        <v>0</v>
      </c>
      <c r="N2925">
        <v>2</v>
      </c>
      <c r="O2925">
        <v>1</v>
      </c>
      <c r="P2925">
        <v>0</v>
      </c>
      <c r="Q2925">
        <v>0</v>
      </c>
      <c r="R2925" t="s">
        <v>112</v>
      </c>
      <c r="S2925" t="str">
        <f>"14:39:05.453"</f>
        <v>14:39:05.453</v>
      </c>
      <c r="T2925" t="str">
        <f>"14:39:05.055"</f>
        <v>14:39:05.055</v>
      </c>
      <c r="U2925" t="str">
        <f t="shared" si="135"/>
        <v>ad5732</v>
      </c>
      <c r="V2925">
        <v>0</v>
      </c>
      <c r="W2925">
        <v>0</v>
      </c>
      <c r="X2925">
        <v>1</v>
      </c>
      <c r="Z2925">
        <v>0</v>
      </c>
      <c r="AA2925">
        <v>9</v>
      </c>
      <c r="AB2925">
        <v>3</v>
      </c>
      <c r="AC2925">
        <v>0</v>
      </c>
      <c r="AD2925">
        <v>10</v>
      </c>
      <c r="AE2925">
        <v>0</v>
      </c>
      <c r="AF2925">
        <v>3</v>
      </c>
      <c r="AG2925">
        <v>2</v>
      </c>
      <c r="AH2925">
        <v>0</v>
      </c>
      <c r="AI2925" t="s">
        <v>5966</v>
      </c>
      <c r="AJ2925">
        <v>40.328986999999998</v>
      </c>
      <c r="AK2925" t="s">
        <v>5967</v>
      </c>
      <c r="AL2925">
        <v>-75.096788000000004</v>
      </c>
      <c r="AM2925">
        <v>100</v>
      </c>
      <c r="AN2925">
        <v>3700</v>
      </c>
      <c r="AO2925" t="s">
        <v>115</v>
      </c>
      <c r="AP2925">
        <v>128</v>
      </c>
      <c r="AQ2925">
        <v>119</v>
      </c>
      <c r="AR2925">
        <v>64</v>
      </c>
      <c r="AZ2925">
        <v>3614</v>
      </c>
      <c r="BA2925">
        <v>1</v>
      </c>
      <c r="BB2925" t="str">
        <f t="shared" si="137"/>
        <v xml:space="preserve">N959MJ  </v>
      </c>
      <c r="BC2925">
        <v>1</v>
      </c>
      <c r="BE2925">
        <v>0</v>
      </c>
      <c r="BF2925">
        <v>0</v>
      </c>
      <c r="BG2925">
        <v>0</v>
      </c>
      <c r="BH2925">
        <v>3850</v>
      </c>
      <c r="BI2925">
        <v>150</v>
      </c>
      <c r="BJ2925">
        <v>1</v>
      </c>
      <c r="BK2925">
        <v>1</v>
      </c>
      <c r="BL2925">
        <v>1</v>
      </c>
      <c r="BM2925">
        <v>0</v>
      </c>
      <c r="BP2925">
        <v>0</v>
      </c>
      <c r="BQ2925">
        <v>0</v>
      </c>
      <c r="BX2925" t="str">
        <f>"14:39:05.453"</f>
        <v>14:39:05.453</v>
      </c>
      <c r="BY2925" t="str">
        <f>"456507058"</f>
        <v>456507058</v>
      </c>
      <c r="CL2925">
        <v>0</v>
      </c>
      <c r="CM2925">
        <v>2</v>
      </c>
      <c r="CN2925">
        <v>0</v>
      </c>
      <c r="CO2925">
        <v>2</v>
      </c>
      <c r="CP2925">
        <v>0</v>
      </c>
      <c r="CQ2925">
        <v>7</v>
      </c>
      <c r="CR2925" t="s">
        <v>116</v>
      </c>
      <c r="CS2925">
        <v>38</v>
      </c>
      <c r="CT2925">
        <v>3</v>
      </c>
      <c r="CU2925" t="s">
        <v>4719</v>
      </c>
      <c r="CV2925" t="s">
        <v>4720</v>
      </c>
      <c r="CY2925">
        <v>10447342</v>
      </c>
      <c r="CZ2925" t="s">
        <v>119</v>
      </c>
    </row>
    <row r="2926" spans="1:104" x14ac:dyDescent="0.25">
      <c r="A2926" t="str">
        <f>"14:39:06.672"</f>
        <v>14:39:06.672</v>
      </c>
      <c r="B2926" t="s">
        <v>108</v>
      </c>
      <c r="C2926" t="str">
        <f t="shared" si="136"/>
        <v>ffdfd3c0</v>
      </c>
      <c r="D2926" t="s">
        <v>109</v>
      </c>
      <c r="E2926">
        <v>4</v>
      </c>
      <c r="F2926">
        <v>1004</v>
      </c>
      <c r="G2926" t="s">
        <v>110</v>
      </c>
      <c r="J2926" t="s">
        <v>111</v>
      </c>
      <c r="K2926">
        <v>0</v>
      </c>
      <c r="L2926">
        <v>3</v>
      </c>
      <c r="M2926">
        <v>0</v>
      </c>
      <c r="N2926">
        <v>2</v>
      </c>
      <c r="O2926">
        <v>1</v>
      </c>
      <c r="P2926">
        <v>0</v>
      </c>
      <c r="Q2926">
        <v>0</v>
      </c>
      <c r="R2926" t="s">
        <v>112</v>
      </c>
      <c r="S2926" t="str">
        <f>"14:39:06.484"</f>
        <v>14:39:06.484</v>
      </c>
      <c r="T2926" t="str">
        <f>"14:39:05.984"</f>
        <v>14:39:05.984</v>
      </c>
      <c r="U2926" t="str">
        <f t="shared" si="135"/>
        <v>ad5732</v>
      </c>
      <c r="V2926">
        <v>0</v>
      </c>
      <c r="W2926">
        <v>0</v>
      </c>
      <c r="X2926">
        <v>1</v>
      </c>
      <c r="Z2926">
        <v>0</v>
      </c>
      <c r="AA2926">
        <v>9</v>
      </c>
      <c r="AB2926">
        <v>3</v>
      </c>
      <c r="AC2926">
        <v>0</v>
      </c>
      <c r="AD2926">
        <v>10</v>
      </c>
      <c r="AE2926">
        <v>0</v>
      </c>
      <c r="AF2926">
        <v>3</v>
      </c>
      <c r="AG2926">
        <v>2</v>
      </c>
      <c r="AH2926">
        <v>0</v>
      </c>
      <c r="AI2926" t="s">
        <v>5968</v>
      </c>
      <c r="AJ2926">
        <v>40.329545000000003</v>
      </c>
      <c r="AK2926" t="s">
        <v>5969</v>
      </c>
      <c r="AL2926">
        <v>-75.096036999999995</v>
      </c>
      <c r="AM2926">
        <v>100</v>
      </c>
      <c r="AN2926">
        <v>3700</v>
      </c>
      <c r="AO2926" t="s">
        <v>115</v>
      </c>
      <c r="AP2926">
        <v>128</v>
      </c>
      <c r="AQ2926">
        <v>119</v>
      </c>
      <c r="AR2926">
        <v>0</v>
      </c>
      <c r="AZ2926">
        <v>3614</v>
      </c>
      <c r="BA2926">
        <v>1</v>
      </c>
      <c r="BB2926" t="str">
        <f t="shared" si="137"/>
        <v xml:space="preserve">N959MJ  </v>
      </c>
      <c r="BC2926">
        <v>1</v>
      </c>
      <c r="BE2926">
        <v>0</v>
      </c>
      <c r="BF2926">
        <v>0</v>
      </c>
      <c r="BG2926">
        <v>0</v>
      </c>
      <c r="BH2926">
        <v>3850</v>
      </c>
      <c r="BI2926">
        <v>150</v>
      </c>
      <c r="BJ2926">
        <v>1</v>
      </c>
      <c r="BK2926">
        <v>1</v>
      </c>
      <c r="BL2926">
        <v>1</v>
      </c>
      <c r="BM2926">
        <v>0</v>
      </c>
      <c r="BP2926">
        <v>0</v>
      </c>
      <c r="BQ2926">
        <v>0</v>
      </c>
      <c r="BX2926" t="str">
        <f>"14:39:06.492"</f>
        <v>14:39:06.492</v>
      </c>
      <c r="BY2926" t="str">
        <f>"491993743"</f>
        <v>491993743</v>
      </c>
      <c r="CL2926">
        <v>0</v>
      </c>
      <c r="CM2926">
        <v>2</v>
      </c>
      <c r="CN2926">
        <v>0</v>
      </c>
      <c r="CO2926">
        <v>2</v>
      </c>
      <c r="CP2926">
        <v>0</v>
      </c>
      <c r="CQ2926">
        <v>7</v>
      </c>
      <c r="CR2926" t="s">
        <v>116</v>
      </c>
      <c r="CS2926">
        <v>38</v>
      </c>
      <c r="CT2926">
        <v>3</v>
      </c>
      <c r="CU2926" t="s">
        <v>4719</v>
      </c>
      <c r="CV2926" t="s">
        <v>4720</v>
      </c>
      <c r="CY2926">
        <v>10449136</v>
      </c>
      <c r="CZ2926" t="s">
        <v>119</v>
      </c>
    </row>
    <row r="2927" spans="1:104" x14ac:dyDescent="0.25">
      <c r="A2927" t="str">
        <f>"14:39:07.625"</f>
        <v>14:39:07.625</v>
      </c>
      <c r="B2927" t="s">
        <v>108</v>
      </c>
      <c r="C2927" t="str">
        <f t="shared" si="136"/>
        <v>ffdfd3c0</v>
      </c>
      <c r="D2927" t="s">
        <v>109</v>
      </c>
      <c r="E2927">
        <v>4</v>
      </c>
      <c r="F2927">
        <v>1004</v>
      </c>
      <c r="G2927" t="s">
        <v>110</v>
      </c>
      <c r="J2927" t="s">
        <v>111</v>
      </c>
      <c r="K2927">
        <v>0</v>
      </c>
      <c r="L2927">
        <v>3</v>
      </c>
      <c r="M2927">
        <v>0</v>
      </c>
      <c r="N2927">
        <v>2</v>
      </c>
      <c r="O2927">
        <v>1</v>
      </c>
      <c r="P2927">
        <v>0</v>
      </c>
      <c r="Q2927">
        <v>0</v>
      </c>
      <c r="R2927" t="s">
        <v>112</v>
      </c>
      <c r="S2927" t="str">
        <f>"14:39:07.422"</f>
        <v>14:39:07.422</v>
      </c>
      <c r="T2927" t="str">
        <f>"14:39:07.125"</f>
        <v>14:39:07.125</v>
      </c>
      <c r="U2927" t="str">
        <f t="shared" si="135"/>
        <v>ad5732</v>
      </c>
      <c r="V2927">
        <v>0</v>
      </c>
      <c r="W2927">
        <v>0</v>
      </c>
      <c r="X2927">
        <v>1</v>
      </c>
      <c r="Z2927">
        <v>0</v>
      </c>
      <c r="AA2927">
        <v>9</v>
      </c>
      <c r="AB2927">
        <v>3</v>
      </c>
      <c r="AC2927">
        <v>0</v>
      </c>
      <c r="AD2927">
        <v>10</v>
      </c>
      <c r="AE2927">
        <v>0</v>
      </c>
      <c r="AF2927">
        <v>3</v>
      </c>
      <c r="AG2927">
        <v>2</v>
      </c>
      <c r="AH2927">
        <v>0</v>
      </c>
      <c r="AI2927" t="s">
        <v>5970</v>
      </c>
      <c r="AJ2927">
        <v>40.330060000000003</v>
      </c>
      <c r="AK2927" t="s">
        <v>5971</v>
      </c>
      <c r="AL2927">
        <v>-75.095308000000003</v>
      </c>
      <c r="AM2927">
        <v>100</v>
      </c>
      <c r="AN2927">
        <v>3700</v>
      </c>
      <c r="AO2927" t="s">
        <v>115</v>
      </c>
      <c r="AP2927">
        <v>128</v>
      </c>
      <c r="AQ2927">
        <v>119</v>
      </c>
      <c r="AR2927">
        <v>0</v>
      </c>
      <c r="AZ2927">
        <v>3614</v>
      </c>
      <c r="BA2927">
        <v>1</v>
      </c>
      <c r="BB2927" t="str">
        <f t="shared" si="137"/>
        <v xml:space="preserve">N959MJ  </v>
      </c>
      <c r="BC2927">
        <v>1</v>
      </c>
      <c r="BE2927">
        <v>0</v>
      </c>
      <c r="BF2927">
        <v>0</v>
      </c>
      <c r="BG2927">
        <v>0</v>
      </c>
      <c r="BH2927">
        <v>3850</v>
      </c>
      <c r="BI2927">
        <v>150</v>
      </c>
      <c r="BJ2927">
        <v>1</v>
      </c>
      <c r="BK2927">
        <v>1</v>
      </c>
      <c r="BL2927">
        <v>1</v>
      </c>
      <c r="BM2927">
        <v>0</v>
      </c>
      <c r="BP2927">
        <v>0</v>
      </c>
      <c r="BQ2927">
        <v>0</v>
      </c>
      <c r="BX2927" t="str">
        <f>"14:39:07.430"</f>
        <v>14:39:07.430</v>
      </c>
      <c r="BY2927" t="str">
        <f>"429174685"</f>
        <v>429174685</v>
      </c>
      <c r="CL2927">
        <v>0</v>
      </c>
      <c r="CM2927">
        <v>2</v>
      </c>
      <c r="CN2927">
        <v>0</v>
      </c>
      <c r="CO2927">
        <v>2</v>
      </c>
      <c r="CP2927">
        <v>0</v>
      </c>
      <c r="CQ2927">
        <v>7</v>
      </c>
      <c r="CR2927" t="s">
        <v>116</v>
      </c>
      <c r="CS2927">
        <v>38</v>
      </c>
      <c r="CT2927">
        <v>3</v>
      </c>
      <c r="CU2927" t="s">
        <v>4719</v>
      </c>
      <c r="CV2927" t="s">
        <v>4720</v>
      </c>
      <c r="CY2927">
        <v>10450907</v>
      </c>
      <c r="CZ2927" t="s">
        <v>119</v>
      </c>
    </row>
    <row r="2928" spans="1:104" x14ac:dyDescent="0.25">
      <c r="A2928" t="str">
        <f>"14:39:08.586"</f>
        <v>14:39:08.586</v>
      </c>
      <c r="B2928" t="s">
        <v>108</v>
      </c>
      <c r="C2928" t="str">
        <f t="shared" si="136"/>
        <v>ffdfd3c0</v>
      </c>
      <c r="D2928" t="s">
        <v>109</v>
      </c>
      <c r="E2928">
        <v>4</v>
      </c>
      <c r="F2928">
        <v>1004</v>
      </c>
      <c r="G2928" t="s">
        <v>110</v>
      </c>
      <c r="J2928" t="s">
        <v>111</v>
      </c>
      <c r="K2928">
        <v>0</v>
      </c>
      <c r="L2928">
        <v>3</v>
      </c>
      <c r="M2928">
        <v>0</v>
      </c>
      <c r="N2928">
        <v>2</v>
      </c>
      <c r="O2928">
        <v>1</v>
      </c>
      <c r="P2928">
        <v>0</v>
      </c>
      <c r="Q2928">
        <v>0</v>
      </c>
      <c r="R2928" t="s">
        <v>112</v>
      </c>
      <c r="S2928" t="str">
        <f>"14:39:08.391"</f>
        <v>14:39:08.391</v>
      </c>
      <c r="T2928" t="str">
        <f>"14:39:07.992"</f>
        <v>14:39:07.992</v>
      </c>
      <c r="U2928" t="str">
        <f t="shared" si="135"/>
        <v>ad5732</v>
      </c>
      <c r="V2928">
        <v>0</v>
      </c>
      <c r="W2928">
        <v>0</v>
      </c>
      <c r="X2928">
        <v>1</v>
      </c>
      <c r="Z2928">
        <v>0</v>
      </c>
      <c r="AA2928">
        <v>9</v>
      </c>
      <c r="AB2928">
        <v>3</v>
      </c>
      <c r="AC2928">
        <v>0</v>
      </c>
      <c r="AD2928">
        <v>10</v>
      </c>
      <c r="AE2928">
        <v>0</v>
      </c>
      <c r="AF2928">
        <v>3</v>
      </c>
      <c r="AG2928">
        <v>2</v>
      </c>
      <c r="AH2928">
        <v>0</v>
      </c>
      <c r="AI2928" t="s">
        <v>5972</v>
      </c>
      <c r="AJ2928">
        <v>40.330575000000003</v>
      </c>
      <c r="AK2928" t="s">
        <v>5973</v>
      </c>
      <c r="AL2928">
        <v>-75.094534999999993</v>
      </c>
      <c r="AM2928">
        <v>100</v>
      </c>
      <c r="AN2928">
        <v>3700</v>
      </c>
      <c r="AO2928" t="s">
        <v>115</v>
      </c>
      <c r="AP2928">
        <v>129</v>
      </c>
      <c r="AQ2928">
        <v>119</v>
      </c>
      <c r="AR2928">
        <v>64</v>
      </c>
      <c r="AZ2928">
        <v>3614</v>
      </c>
      <c r="BA2928">
        <v>1</v>
      </c>
      <c r="BB2928" t="str">
        <f t="shared" si="137"/>
        <v xml:space="preserve">N959MJ  </v>
      </c>
      <c r="BC2928">
        <v>1</v>
      </c>
      <c r="BE2928">
        <v>0</v>
      </c>
      <c r="BF2928">
        <v>0</v>
      </c>
      <c r="BG2928">
        <v>0</v>
      </c>
      <c r="BH2928">
        <v>3850</v>
      </c>
      <c r="BI2928">
        <v>150</v>
      </c>
      <c r="BJ2928">
        <v>1</v>
      </c>
      <c r="BK2928">
        <v>1</v>
      </c>
      <c r="BL2928">
        <v>1</v>
      </c>
      <c r="BM2928">
        <v>0</v>
      </c>
      <c r="BP2928">
        <v>0</v>
      </c>
      <c r="BQ2928">
        <v>0</v>
      </c>
      <c r="BX2928" t="str">
        <f>"14:39:08.391"</f>
        <v>14:39:08.391</v>
      </c>
      <c r="BY2928" t="str">
        <f>"392687519"</f>
        <v>392687519</v>
      </c>
      <c r="CL2928">
        <v>0</v>
      </c>
      <c r="CM2928">
        <v>2</v>
      </c>
      <c r="CN2928">
        <v>0</v>
      </c>
      <c r="CO2928">
        <v>2</v>
      </c>
      <c r="CP2928">
        <v>0</v>
      </c>
      <c r="CQ2928">
        <v>5</v>
      </c>
      <c r="CR2928" t="s">
        <v>116</v>
      </c>
      <c r="CS2928">
        <v>39</v>
      </c>
      <c r="CT2928">
        <v>0</v>
      </c>
      <c r="CU2928" t="s">
        <v>2259</v>
      </c>
      <c r="CV2928" t="s">
        <v>2260</v>
      </c>
      <c r="CY2928">
        <v>2641353</v>
      </c>
      <c r="CZ2928" t="s">
        <v>119</v>
      </c>
    </row>
    <row r="2929" spans="1:104" x14ac:dyDescent="0.25">
      <c r="A2929" t="str">
        <f>"14:39:09.500"</f>
        <v>14:39:09.500</v>
      </c>
      <c r="B2929" t="s">
        <v>108</v>
      </c>
      <c r="C2929" t="str">
        <f t="shared" si="136"/>
        <v>ffdfd3c0</v>
      </c>
      <c r="D2929" t="s">
        <v>109</v>
      </c>
      <c r="E2929">
        <v>4</v>
      </c>
      <c r="F2929">
        <v>1004</v>
      </c>
      <c r="G2929" t="s">
        <v>110</v>
      </c>
      <c r="J2929" t="s">
        <v>111</v>
      </c>
      <c r="K2929">
        <v>0</v>
      </c>
      <c r="L2929">
        <v>3</v>
      </c>
      <c r="M2929">
        <v>0</v>
      </c>
      <c r="N2929">
        <v>2</v>
      </c>
      <c r="O2929">
        <v>1</v>
      </c>
      <c r="P2929">
        <v>0</v>
      </c>
      <c r="Q2929">
        <v>0</v>
      </c>
      <c r="R2929" t="s">
        <v>112</v>
      </c>
      <c r="S2929" t="str">
        <f>"14:39:09.313"</f>
        <v>14:39:09.313</v>
      </c>
      <c r="T2929" t="str">
        <f>"14:39:08.914"</f>
        <v>14:39:08.914</v>
      </c>
      <c r="U2929" t="str">
        <f t="shared" si="135"/>
        <v>ad5732</v>
      </c>
      <c r="V2929">
        <v>0</v>
      </c>
      <c r="W2929">
        <v>0</v>
      </c>
      <c r="X2929">
        <v>1</v>
      </c>
      <c r="Z2929">
        <v>0</v>
      </c>
      <c r="AA2929">
        <v>9</v>
      </c>
      <c r="AB2929">
        <v>3</v>
      </c>
      <c r="AC2929">
        <v>0</v>
      </c>
      <c r="AD2929">
        <v>10</v>
      </c>
      <c r="AE2929">
        <v>0</v>
      </c>
      <c r="AF2929">
        <v>3</v>
      </c>
      <c r="AG2929">
        <v>2</v>
      </c>
      <c r="AH2929">
        <v>0</v>
      </c>
      <c r="AI2929" t="s">
        <v>5974</v>
      </c>
      <c r="AJ2929">
        <v>40.331088999999999</v>
      </c>
      <c r="AK2929" t="s">
        <v>5975</v>
      </c>
      <c r="AL2929">
        <v>-75.093869999999995</v>
      </c>
      <c r="AM2929">
        <v>100</v>
      </c>
      <c r="AN2929">
        <v>3700</v>
      </c>
      <c r="AO2929" t="s">
        <v>115</v>
      </c>
      <c r="AP2929">
        <v>129</v>
      </c>
      <c r="AQ2929">
        <v>119</v>
      </c>
      <c r="AR2929">
        <v>64</v>
      </c>
      <c r="AZ2929">
        <v>3614</v>
      </c>
      <c r="BA2929">
        <v>1</v>
      </c>
      <c r="BB2929" t="str">
        <f t="shared" si="137"/>
        <v xml:space="preserve">N959MJ  </v>
      </c>
      <c r="BC2929">
        <v>1</v>
      </c>
      <c r="BE2929">
        <v>0</v>
      </c>
      <c r="BF2929">
        <v>0</v>
      </c>
      <c r="BG2929">
        <v>0</v>
      </c>
      <c r="BH2929">
        <v>3875</v>
      </c>
      <c r="BI2929">
        <v>175</v>
      </c>
      <c r="BJ2929">
        <v>1</v>
      </c>
      <c r="BK2929">
        <v>1</v>
      </c>
      <c r="BL2929">
        <v>1</v>
      </c>
      <c r="BM2929">
        <v>0</v>
      </c>
      <c r="BP2929">
        <v>0</v>
      </c>
      <c r="BQ2929">
        <v>0</v>
      </c>
      <c r="BX2929" t="str">
        <f>"14:39:09.313"</f>
        <v>14:39:09.313</v>
      </c>
      <c r="BY2929" t="str">
        <f>"315256984"</f>
        <v>315256984</v>
      </c>
      <c r="CL2929">
        <v>0</v>
      </c>
      <c r="CM2929">
        <v>2</v>
      </c>
      <c r="CN2929">
        <v>0</v>
      </c>
      <c r="CO2929">
        <v>2</v>
      </c>
      <c r="CP2929">
        <v>0</v>
      </c>
      <c r="CQ2929">
        <v>5</v>
      </c>
      <c r="CR2929" t="s">
        <v>116</v>
      </c>
      <c r="CS2929">
        <v>41</v>
      </c>
      <c r="CT2929">
        <v>0</v>
      </c>
      <c r="CU2929" t="s">
        <v>4525</v>
      </c>
      <c r="CV2929" t="s">
        <v>4526</v>
      </c>
      <c r="CY2929">
        <v>885449</v>
      </c>
      <c r="CZ2929" t="s">
        <v>119</v>
      </c>
    </row>
    <row r="2930" spans="1:104" x14ac:dyDescent="0.25">
      <c r="A2930" t="str">
        <f>"14:39:10.461"</f>
        <v>14:39:10.461</v>
      </c>
      <c r="B2930" t="s">
        <v>108</v>
      </c>
      <c r="C2930" t="str">
        <f t="shared" si="136"/>
        <v>ffdfd3c0</v>
      </c>
      <c r="D2930" t="s">
        <v>109</v>
      </c>
      <c r="E2930">
        <v>4</v>
      </c>
      <c r="F2930">
        <v>1004</v>
      </c>
      <c r="G2930" t="s">
        <v>110</v>
      </c>
      <c r="J2930" t="s">
        <v>111</v>
      </c>
      <c r="K2930">
        <v>0</v>
      </c>
      <c r="L2930">
        <v>3</v>
      </c>
      <c r="M2930">
        <v>0</v>
      </c>
      <c r="N2930">
        <v>2</v>
      </c>
      <c r="O2930">
        <v>1</v>
      </c>
      <c r="P2930">
        <v>0</v>
      </c>
      <c r="Q2930">
        <v>0</v>
      </c>
      <c r="R2930" t="s">
        <v>112</v>
      </c>
      <c r="S2930" t="str">
        <f>"14:39:10.258"</f>
        <v>14:39:10.258</v>
      </c>
      <c r="T2930" t="str">
        <f>"14:39:09.859"</f>
        <v>14:39:09.859</v>
      </c>
      <c r="U2930" t="str">
        <f t="shared" si="135"/>
        <v>ad5732</v>
      </c>
      <c r="V2930">
        <v>0</v>
      </c>
      <c r="W2930">
        <v>0</v>
      </c>
      <c r="X2930">
        <v>1</v>
      </c>
      <c r="Z2930">
        <v>0</v>
      </c>
      <c r="AA2930">
        <v>9</v>
      </c>
      <c r="AB2930">
        <v>3</v>
      </c>
      <c r="AC2930">
        <v>0</v>
      </c>
      <c r="AD2930">
        <v>10</v>
      </c>
      <c r="AE2930">
        <v>0</v>
      </c>
      <c r="AF2930">
        <v>3</v>
      </c>
      <c r="AG2930">
        <v>2</v>
      </c>
      <c r="AH2930">
        <v>0</v>
      </c>
      <c r="AI2930" t="s">
        <v>5976</v>
      </c>
      <c r="AJ2930">
        <v>40.331603999999999</v>
      </c>
      <c r="AK2930" t="s">
        <v>5977</v>
      </c>
      <c r="AL2930">
        <v>-75.093119000000002</v>
      </c>
      <c r="AM2930">
        <v>100</v>
      </c>
      <c r="AN2930">
        <v>3700</v>
      </c>
      <c r="AO2930" t="s">
        <v>115</v>
      </c>
      <c r="AP2930">
        <v>129</v>
      </c>
      <c r="AQ2930">
        <v>119</v>
      </c>
      <c r="AR2930">
        <v>64</v>
      </c>
      <c r="AZ2930">
        <v>3614</v>
      </c>
      <c r="BA2930">
        <v>1</v>
      </c>
      <c r="BB2930" t="str">
        <f t="shared" si="137"/>
        <v xml:space="preserve">N959MJ  </v>
      </c>
      <c r="BC2930">
        <v>1</v>
      </c>
      <c r="BE2930">
        <v>0</v>
      </c>
      <c r="BF2930">
        <v>0</v>
      </c>
      <c r="BG2930">
        <v>0</v>
      </c>
      <c r="BH2930">
        <v>3875</v>
      </c>
      <c r="BI2930">
        <v>175</v>
      </c>
      <c r="BJ2930">
        <v>1</v>
      </c>
      <c r="BK2930">
        <v>1</v>
      </c>
      <c r="BL2930">
        <v>1</v>
      </c>
      <c r="BM2930">
        <v>0</v>
      </c>
      <c r="BP2930">
        <v>0</v>
      </c>
      <c r="BQ2930">
        <v>0</v>
      </c>
      <c r="BX2930" t="str">
        <f>"14:39:10.266"</f>
        <v>14:39:10.266</v>
      </c>
      <c r="BY2930" t="str">
        <f>"263794064"</f>
        <v>263794064</v>
      </c>
      <c r="CL2930">
        <v>0</v>
      </c>
      <c r="CM2930">
        <v>2</v>
      </c>
      <c r="CN2930">
        <v>0</v>
      </c>
      <c r="CO2930">
        <v>2</v>
      </c>
      <c r="CP2930">
        <v>0</v>
      </c>
      <c r="CQ2930">
        <v>5</v>
      </c>
      <c r="CR2930" t="s">
        <v>116</v>
      </c>
      <c r="CS2930">
        <v>408</v>
      </c>
      <c r="CT2930">
        <v>0</v>
      </c>
      <c r="CU2930" t="s">
        <v>2317</v>
      </c>
      <c r="CV2930" t="s">
        <v>2318</v>
      </c>
      <c r="CY2930">
        <v>12490378</v>
      </c>
      <c r="CZ2930" t="s">
        <v>119</v>
      </c>
    </row>
    <row r="2931" spans="1:104" x14ac:dyDescent="0.25">
      <c r="A2931" t="str">
        <f>"14:39:11.414"</f>
        <v>14:39:11.414</v>
      </c>
      <c r="B2931" t="s">
        <v>108</v>
      </c>
      <c r="C2931" t="str">
        <f t="shared" si="136"/>
        <v>ffdfd3c0</v>
      </c>
      <c r="D2931" t="s">
        <v>109</v>
      </c>
      <c r="E2931">
        <v>4</v>
      </c>
      <c r="F2931">
        <v>1004</v>
      </c>
      <c r="G2931" t="s">
        <v>110</v>
      </c>
      <c r="J2931" t="s">
        <v>111</v>
      </c>
      <c r="K2931">
        <v>0</v>
      </c>
      <c r="L2931">
        <v>3</v>
      </c>
      <c r="M2931">
        <v>0</v>
      </c>
      <c r="N2931">
        <v>2</v>
      </c>
      <c r="O2931">
        <v>1</v>
      </c>
      <c r="P2931">
        <v>0</v>
      </c>
      <c r="Q2931">
        <v>0</v>
      </c>
      <c r="R2931" t="s">
        <v>112</v>
      </c>
      <c r="S2931" t="str">
        <f>"14:39:11.219"</f>
        <v>14:39:11.219</v>
      </c>
      <c r="T2931" t="str">
        <f>"14:39:10.820"</f>
        <v>14:39:10.820</v>
      </c>
      <c r="U2931" t="str">
        <f t="shared" si="135"/>
        <v>ad5732</v>
      </c>
      <c r="V2931">
        <v>0</v>
      </c>
      <c r="W2931">
        <v>0</v>
      </c>
      <c r="X2931">
        <v>1</v>
      </c>
      <c r="Z2931">
        <v>0</v>
      </c>
      <c r="AA2931">
        <v>9</v>
      </c>
      <c r="AB2931">
        <v>3</v>
      </c>
      <c r="AC2931">
        <v>0</v>
      </c>
      <c r="AD2931">
        <v>10</v>
      </c>
      <c r="AE2931">
        <v>0</v>
      </c>
      <c r="AF2931">
        <v>3</v>
      </c>
      <c r="AG2931">
        <v>2</v>
      </c>
      <c r="AH2931">
        <v>0</v>
      </c>
      <c r="AI2931" t="s">
        <v>5978</v>
      </c>
      <c r="AJ2931">
        <v>40.332161999999997</v>
      </c>
      <c r="AK2931" t="s">
        <v>5979</v>
      </c>
      <c r="AL2931">
        <v>-75.092303999999999</v>
      </c>
      <c r="AM2931">
        <v>100</v>
      </c>
      <c r="AN2931">
        <v>3700</v>
      </c>
      <c r="AO2931" t="s">
        <v>115</v>
      </c>
      <c r="AP2931">
        <v>129</v>
      </c>
      <c r="AQ2931">
        <v>118</v>
      </c>
      <c r="AR2931">
        <v>0</v>
      </c>
      <c r="AZ2931">
        <v>3614</v>
      </c>
      <c r="BA2931">
        <v>1</v>
      </c>
      <c r="BB2931" t="str">
        <f t="shared" si="137"/>
        <v xml:space="preserve">N959MJ  </v>
      </c>
      <c r="BC2931">
        <v>1</v>
      </c>
      <c r="BE2931">
        <v>0</v>
      </c>
      <c r="BF2931">
        <v>0</v>
      </c>
      <c r="BG2931">
        <v>0</v>
      </c>
      <c r="BH2931">
        <v>3875</v>
      </c>
      <c r="BI2931">
        <v>175</v>
      </c>
      <c r="BJ2931">
        <v>1</v>
      </c>
      <c r="BK2931">
        <v>1</v>
      </c>
      <c r="BL2931">
        <v>1</v>
      </c>
      <c r="BM2931">
        <v>0</v>
      </c>
      <c r="BP2931">
        <v>0</v>
      </c>
      <c r="BQ2931">
        <v>0</v>
      </c>
      <c r="BX2931" t="str">
        <f>"14:39:11.219"</f>
        <v>14:39:11.219</v>
      </c>
      <c r="BY2931" t="str">
        <f>"222136158"</f>
        <v>222136158</v>
      </c>
      <c r="CL2931">
        <v>0</v>
      </c>
      <c r="CM2931">
        <v>2</v>
      </c>
      <c r="CN2931">
        <v>0</v>
      </c>
      <c r="CO2931">
        <v>2</v>
      </c>
      <c r="CP2931">
        <v>0</v>
      </c>
      <c r="CQ2931">
        <v>6</v>
      </c>
      <c r="CR2931" t="s">
        <v>116</v>
      </c>
      <c r="CS2931">
        <v>38</v>
      </c>
      <c r="CT2931">
        <v>2</v>
      </c>
      <c r="CU2931" t="s">
        <v>4719</v>
      </c>
      <c r="CV2931" t="s">
        <v>4720</v>
      </c>
      <c r="CY2931">
        <v>10692054</v>
      </c>
      <c r="CZ2931" t="s">
        <v>119</v>
      </c>
    </row>
    <row r="2932" spans="1:104" x14ac:dyDescent="0.25">
      <c r="A2932" t="str">
        <f>"14:39:12.477"</f>
        <v>14:39:12.477</v>
      </c>
      <c r="B2932" t="s">
        <v>108</v>
      </c>
      <c r="C2932" t="str">
        <f t="shared" si="136"/>
        <v>ffdfd3c0</v>
      </c>
      <c r="D2932" t="s">
        <v>109</v>
      </c>
      <c r="E2932">
        <v>4</v>
      </c>
      <c r="F2932">
        <v>1004</v>
      </c>
      <c r="G2932" t="s">
        <v>110</v>
      </c>
      <c r="J2932" t="s">
        <v>111</v>
      </c>
      <c r="K2932">
        <v>0</v>
      </c>
      <c r="L2932">
        <v>3</v>
      </c>
      <c r="M2932">
        <v>0</v>
      </c>
      <c r="N2932">
        <v>2</v>
      </c>
      <c r="O2932">
        <v>1</v>
      </c>
      <c r="P2932">
        <v>0</v>
      </c>
      <c r="Q2932">
        <v>0</v>
      </c>
      <c r="R2932" t="s">
        <v>112</v>
      </c>
      <c r="S2932" t="str">
        <f>"14:39:12.297"</f>
        <v>14:39:12.297</v>
      </c>
      <c r="T2932" t="str">
        <f>"14:39:11.797"</f>
        <v>14:39:11.797</v>
      </c>
      <c r="U2932" t="str">
        <f t="shared" si="135"/>
        <v>ad5732</v>
      </c>
      <c r="V2932">
        <v>0</v>
      </c>
      <c r="W2932">
        <v>0</v>
      </c>
      <c r="X2932">
        <v>1</v>
      </c>
      <c r="Z2932">
        <v>0</v>
      </c>
      <c r="AA2932">
        <v>9</v>
      </c>
      <c r="AB2932">
        <v>3</v>
      </c>
      <c r="AC2932">
        <v>0</v>
      </c>
      <c r="AD2932">
        <v>10</v>
      </c>
      <c r="AE2932">
        <v>0</v>
      </c>
      <c r="AF2932">
        <v>3</v>
      </c>
      <c r="AG2932">
        <v>2</v>
      </c>
      <c r="AH2932">
        <v>0</v>
      </c>
      <c r="AI2932" t="s">
        <v>5980</v>
      </c>
      <c r="AJ2932">
        <v>40.332720000000002</v>
      </c>
      <c r="AK2932" t="s">
        <v>5981</v>
      </c>
      <c r="AL2932">
        <v>-75.091553000000005</v>
      </c>
      <c r="AM2932">
        <v>100</v>
      </c>
      <c r="AN2932">
        <v>3700</v>
      </c>
      <c r="AO2932" t="s">
        <v>115</v>
      </c>
      <c r="AP2932">
        <v>129</v>
      </c>
      <c r="AQ2932">
        <v>118</v>
      </c>
      <c r="AR2932">
        <v>64</v>
      </c>
      <c r="AZ2932">
        <v>3614</v>
      </c>
      <c r="BA2932">
        <v>1</v>
      </c>
      <c r="BB2932" t="str">
        <f t="shared" si="137"/>
        <v xml:space="preserve">N959MJ  </v>
      </c>
      <c r="BC2932">
        <v>1</v>
      </c>
      <c r="BE2932">
        <v>0</v>
      </c>
      <c r="BF2932">
        <v>0</v>
      </c>
      <c r="BG2932">
        <v>0</v>
      </c>
      <c r="BH2932">
        <v>3875</v>
      </c>
      <c r="BI2932">
        <v>175</v>
      </c>
      <c r="BJ2932">
        <v>1</v>
      </c>
      <c r="BK2932">
        <v>1</v>
      </c>
      <c r="BL2932">
        <v>1</v>
      </c>
      <c r="BM2932">
        <v>0</v>
      </c>
      <c r="BP2932">
        <v>0</v>
      </c>
      <c r="BQ2932">
        <v>0</v>
      </c>
      <c r="BX2932" t="str">
        <f>"14:39:12.305"</f>
        <v>14:39:12.305</v>
      </c>
      <c r="BY2932" t="str">
        <f>"303498818"</f>
        <v>303498818</v>
      </c>
      <c r="CL2932">
        <v>0</v>
      </c>
      <c r="CM2932">
        <v>2</v>
      </c>
      <c r="CN2932">
        <v>0</v>
      </c>
      <c r="CO2932">
        <v>2</v>
      </c>
      <c r="CP2932">
        <v>0</v>
      </c>
      <c r="CQ2932">
        <v>7</v>
      </c>
      <c r="CR2932" t="s">
        <v>116</v>
      </c>
      <c r="CS2932">
        <v>38</v>
      </c>
      <c r="CT2932">
        <v>3</v>
      </c>
      <c r="CU2932" t="s">
        <v>4719</v>
      </c>
      <c r="CV2932" t="s">
        <v>4720</v>
      </c>
      <c r="CY2932">
        <v>10459572</v>
      </c>
      <c r="CZ2932" t="s">
        <v>119</v>
      </c>
    </row>
    <row r="2933" spans="1:104" x14ac:dyDescent="0.25">
      <c r="A2933" t="str">
        <f>"14:39:13.438"</f>
        <v>14:39:13.438</v>
      </c>
      <c r="B2933" t="s">
        <v>108</v>
      </c>
      <c r="C2933" t="str">
        <f t="shared" si="136"/>
        <v>ffdfd3c0</v>
      </c>
      <c r="D2933" t="s">
        <v>109</v>
      </c>
      <c r="E2933">
        <v>4</v>
      </c>
      <c r="F2933">
        <v>1004</v>
      </c>
      <c r="G2933" t="s">
        <v>110</v>
      </c>
      <c r="J2933" t="s">
        <v>111</v>
      </c>
      <c r="K2933">
        <v>0</v>
      </c>
      <c r="L2933">
        <v>3</v>
      </c>
      <c r="M2933">
        <v>0</v>
      </c>
      <c r="N2933">
        <v>2</v>
      </c>
      <c r="O2933">
        <v>1</v>
      </c>
      <c r="P2933">
        <v>0</v>
      </c>
      <c r="Q2933">
        <v>0</v>
      </c>
      <c r="R2933" t="s">
        <v>112</v>
      </c>
      <c r="S2933" t="str">
        <f>"14:39:13.227"</f>
        <v>14:39:13.227</v>
      </c>
      <c r="T2933" t="str">
        <f>"14:39:12.828"</f>
        <v>14:39:12.828</v>
      </c>
      <c r="U2933" t="str">
        <f t="shared" si="135"/>
        <v>ad5732</v>
      </c>
      <c r="V2933">
        <v>0</v>
      </c>
      <c r="W2933">
        <v>0</v>
      </c>
      <c r="X2933">
        <v>1</v>
      </c>
      <c r="Z2933">
        <v>0</v>
      </c>
      <c r="AA2933">
        <v>9</v>
      </c>
      <c r="AB2933">
        <v>3</v>
      </c>
      <c r="AC2933">
        <v>0</v>
      </c>
      <c r="AD2933">
        <v>10</v>
      </c>
      <c r="AE2933">
        <v>0</v>
      </c>
      <c r="AF2933">
        <v>3</v>
      </c>
      <c r="AG2933">
        <v>2</v>
      </c>
      <c r="AH2933">
        <v>0</v>
      </c>
      <c r="AI2933" t="s">
        <v>5982</v>
      </c>
      <c r="AJ2933">
        <v>40.333278</v>
      </c>
      <c r="AK2933" t="s">
        <v>5983</v>
      </c>
      <c r="AL2933">
        <v>-75.090737000000004</v>
      </c>
      <c r="AM2933">
        <v>100</v>
      </c>
      <c r="AN2933">
        <v>3700</v>
      </c>
      <c r="AO2933" t="s">
        <v>115</v>
      </c>
      <c r="AP2933">
        <v>129</v>
      </c>
      <c r="AQ2933">
        <v>118</v>
      </c>
      <c r="AR2933">
        <v>0</v>
      </c>
      <c r="AZ2933">
        <v>3614</v>
      </c>
      <c r="BA2933">
        <v>1</v>
      </c>
      <c r="BB2933" t="str">
        <f t="shared" si="137"/>
        <v xml:space="preserve">N959MJ  </v>
      </c>
      <c r="BC2933">
        <v>1</v>
      </c>
      <c r="BE2933">
        <v>0</v>
      </c>
      <c r="BF2933">
        <v>0</v>
      </c>
      <c r="BG2933">
        <v>0</v>
      </c>
      <c r="BH2933">
        <v>3875</v>
      </c>
      <c r="BI2933">
        <v>175</v>
      </c>
      <c r="BJ2933">
        <v>1</v>
      </c>
      <c r="BK2933">
        <v>1</v>
      </c>
      <c r="BL2933">
        <v>1</v>
      </c>
      <c r="BM2933">
        <v>0</v>
      </c>
      <c r="BP2933">
        <v>0</v>
      </c>
      <c r="BQ2933">
        <v>0</v>
      </c>
      <c r="BX2933" t="str">
        <f>"14:39:13.234"</f>
        <v>14:39:13.234</v>
      </c>
      <c r="BY2933" t="str">
        <f>"234126085"</f>
        <v>234126085</v>
      </c>
      <c r="CL2933">
        <v>0</v>
      </c>
      <c r="CM2933">
        <v>2</v>
      </c>
      <c r="CN2933">
        <v>0</v>
      </c>
      <c r="CO2933">
        <v>2</v>
      </c>
      <c r="CP2933">
        <v>0</v>
      </c>
      <c r="CQ2933">
        <v>7</v>
      </c>
      <c r="CR2933" t="s">
        <v>116</v>
      </c>
      <c r="CS2933">
        <v>38</v>
      </c>
      <c r="CT2933">
        <v>3</v>
      </c>
      <c r="CU2933" t="s">
        <v>4719</v>
      </c>
      <c r="CV2933" t="s">
        <v>4720</v>
      </c>
      <c r="CY2933">
        <v>10461269</v>
      </c>
      <c r="CZ2933" t="s">
        <v>119</v>
      </c>
    </row>
    <row r="2934" spans="1:104" x14ac:dyDescent="0.25">
      <c r="A2934" t="str">
        <f>"14:39:14.547"</f>
        <v>14:39:14.547</v>
      </c>
      <c r="B2934" t="s">
        <v>108</v>
      </c>
      <c r="C2934" t="str">
        <f t="shared" si="136"/>
        <v>ffdfd3c0</v>
      </c>
      <c r="D2934" t="s">
        <v>109</v>
      </c>
      <c r="E2934">
        <v>4</v>
      </c>
      <c r="F2934">
        <v>1004</v>
      </c>
      <c r="G2934" t="s">
        <v>110</v>
      </c>
      <c r="J2934" t="s">
        <v>111</v>
      </c>
      <c r="K2934">
        <v>0</v>
      </c>
      <c r="L2934">
        <v>3</v>
      </c>
      <c r="M2934">
        <v>0</v>
      </c>
      <c r="N2934">
        <v>2</v>
      </c>
      <c r="O2934">
        <v>1</v>
      </c>
      <c r="P2934">
        <v>0</v>
      </c>
      <c r="Q2934">
        <v>0</v>
      </c>
      <c r="R2934" t="s">
        <v>112</v>
      </c>
      <c r="S2934" t="str">
        <f>"14:39:14.336"</f>
        <v>14:39:14.336</v>
      </c>
      <c r="T2934" t="str">
        <f>"14:39:13.836"</f>
        <v>14:39:13.836</v>
      </c>
      <c r="U2934" t="str">
        <f t="shared" si="135"/>
        <v>ad5732</v>
      </c>
      <c r="V2934">
        <v>0</v>
      </c>
      <c r="W2934">
        <v>0</v>
      </c>
      <c r="X2934">
        <v>1</v>
      </c>
      <c r="Z2934">
        <v>0</v>
      </c>
      <c r="AA2934">
        <v>9</v>
      </c>
      <c r="AB2934">
        <v>3</v>
      </c>
      <c r="AC2934">
        <v>0</v>
      </c>
      <c r="AD2934">
        <v>10</v>
      </c>
      <c r="AE2934">
        <v>0</v>
      </c>
      <c r="AF2934">
        <v>3</v>
      </c>
      <c r="AG2934">
        <v>2</v>
      </c>
      <c r="AH2934">
        <v>0</v>
      </c>
      <c r="AI2934" t="s">
        <v>5984</v>
      </c>
      <c r="AJ2934">
        <v>40.333879000000003</v>
      </c>
      <c r="AK2934" t="s">
        <v>5985</v>
      </c>
      <c r="AL2934">
        <v>-75.0899</v>
      </c>
      <c r="AM2934">
        <v>100</v>
      </c>
      <c r="AN2934">
        <v>3700</v>
      </c>
      <c r="AO2934" t="s">
        <v>115</v>
      </c>
      <c r="AP2934">
        <v>129</v>
      </c>
      <c r="AQ2934">
        <v>118</v>
      </c>
      <c r="AR2934">
        <v>0</v>
      </c>
      <c r="AZ2934">
        <v>3614</v>
      </c>
      <c r="BA2934">
        <v>1</v>
      </c>
      <c r="BB2934" t="str">
        <f t="shared" si="137"/>
        <v xml:space="preserve">N959MJ  </v>
      </c>
      <c r="BC2934">
        <v>1</v>
      </c>
      <c r="BE2934">
        <v>0</v>
      </c>
      <c r="BF2934">
        <v>0</v>
      </c>
      <c r="BG2934">
        <v>0</v>
      </c>
      <c r="BH2934">
        <v>3875</v>
      </c>
      <c r="BI2934">
        <v>175</v>
      </c>
      <c r="BJ2934">
        <v>1</v>
      </c>
      <c r="BK2934">
        <v>1</v>
      </c>
      <c r="BL2934">
        <v>1</v>
      </c>
      <c r="BM2934">
        <v>0</v>
      </c>
      <c r="BP2934">
        <v>0</v>
      </c>
      <c r="BQ2934">
        <v>0</v>
      </c>
      <c r="BX2934" t="str">
        <f>"14:39:14.344"</f>
        <v>14:39:14.344</v>
      </c>
      <c r="BY2934" t="str">
        <f>"343342043"</f>
        <v>343342043</v>
      </c>
      <c r="CL2934">
        <v>0</v>
      </c>
      <c r="CM2934">
        <v>2</v>
      </c>
      <c r="CN2934">
        <v>0</v>
      </c>
      <c r="CO2934">
        <v>2</v>
      </c>
      <c r="CP2934">
        <v>0</v>
      </c>
      <c r="CQ2934">
        <v>7</v>
      </c>
      <c r="CR2934" t="s">
        <v>116</v>
      </c>
      <c r="CS2934">
        <v>38</v>
      </c>
      <c r="CT2934">
        <v>3</v>
      </c>
      <c r="CU2934" t="s">
        <v>4719</v>
      </c>
      <c r="CV2934" t="s">
        <v>4720</v>
      </c>
      <c r="CY2934">
        <v>10463233</v>
      </c>
      <c r="CZ2934" t="s">
        <v>119</v>
      </c>
    </row>
    <row r="2935" spans="1:104" x14ac:dyDescent="0.25">
      <c r="A2935" t="str">
        <f>"14:39:15.555"</f>
        <v>14:39:15.555</v>
      </c>
      <c r="B2935" t="s">
        <v>108</v>
      </c>
      <c r="C2935" t="str">
        <f t="shared" si="136"/>
        <v>ffdfd3c0</v>
      </c>
      <c r="D2935" t="s">
        <v>109</v>
      </c>
      <c r="E2935">
        <v>4</v>
      </c>
      <c r="F2935">
        <v>1004</v>
      </c>
      <c r="G2935" t="s">
        <v>110</v>
      </c>
      <c r="J2935" t="s">
        <v>111</v>
      </c>
      <c r="K2935">
        <v>0</v>
      </c>
      <c r="L2935">
        <v>3</v>
      </c>
      <c r="M2935">
        <v>0</v>
      </c>
      <c r="N2935">
        <v>2</v>
      </c>
      <c r="O2935">
        <v>1</v>
      </c>
      <c r="P2935">
        <v>0</v>
      </c>
      <c r="Q2935">
        <v>0</v>
      </c>
      <c r="R2935" t="s">
        <v>112</v>
      </c>
      <c r="S2935" t="str">
        <f>"14:39:15.359"</f>
        <v>14:39:15.359</v>
      </c>
      <c r="T2935" t="str">
        <f>"14:39:14.859"</f>
        <v>14:39:14.859</v>
      </c>
      <c r="U2935" t="str">
        <f t="shared" si="135"/>
        <v>ad5732</v>
      </c>
      <c r="V2935">
        <v>0</v>
      </c>
      <c r="W2935">
        <v>0</v>
      </c>
      <c r="X2935">
        <v>1</v>
      </c>
      <c r="Z2935">
        <v>0</v>
      </c>
      <c r="AA2935">
        <v>9</v>
      </c>
      <c r="AB2935">
        <v>3</v>
      </c>
      <c r="AC2935">
        <v>0</v>
      </c>
      <c r="AD2935">
        <v>10</v>
      </c>
      <c r="AE2935">
        <v>0</v>
      </c>
      <c r="AF2935">
        <v>3</v>
      </c>
      <c r="AG2935">
        <v>2</v>
      </c>
      <c r="AH2935">
        <v>0</v>
      </c>
      <c r="AI2935" t="s">
        <v>5986</v>
      </c>
      <c r="AJ2935">
        <v>40.334437000000001</v>
      </c>
      <c r="AK2935" t="s">
        <v>5987</v>
      </c>
      <c r="AL2935">
        <v>-75.089106999999998</v>
      </c>
      <c r="AM2935">
        <v>100</v>
      </c>
      <c r="AN2935">
        <v>3700</v>
      </c>
      <c r="AO2935" t="s">
        <v>115</v>
      </c>
      <c r="AP2935">
        <v>129</v>
      </c>
      <c r="AQ2935">
        <v>118</v>
      </c>
      <c r="AR2935">
        <v>0</v>
      </c>
      <c r="AZ2935">
        <v>3614</v>
      </c>
      <c r="BA2935">
        <v>1</v>
      </c>
      <c r="BB2935" t="str">
        <f t="shared" si="137"/>
        <v xml:space="preserve">N959MJ  </v>
      </c>
      <c r="BC2935">
        <v>1</v>
      </c>
      <c r="BE2935">
        <v>0</v>
      </c>
      <c r="BF2935">
        <v>0</v>
      </c>
      <c r="BG2935">
        <v>0</v>
      </c>
      <c r="BH2935">
        <v>3875</v>
      </c>
      <c r="BI2935">
        <v>175</v>
      </c>
      <c r="BJ2935">
        <v>1</v>
      </c>
      <c r="BK2935">
        <v>1</v>
      </c>
      <c r="BL2935">
        <v>1</v>
      </c>
      <c r="BM2935">
        <v>0</v>
      </c>
      <c r="BP2935">
        <v>0</v>
      </c>
      <c r="BQ2935">
        <v>0</v>
      </c>
      <c r="BX2935" t="str">
        <f>"14:39:15.359"</f>
        <v>14:39:15.359</v>
      </c>
      <c r="BY2935" t="str">
        <f>"362444490"</f>
        <v>362444490</v>
      </c>
      <c r="CL2935">
        <v>0</v>
      </c>
      <c r="CM2935">
        <v>2</v>
      </c>
      <c r="CN2935">
        <v>0</v>
      </c>
      <c r="CO2935">
        <v>2</v>
      </c>
      <c r="CP2935">
        <v>0</v>
      </c>
      <c r="CQ2935">
        <v>7</v>
      </c>
      <c r="CR2935" t="s">
        <v>116</v>
      </c>
      <c r="CS2935">
        <v>38</v>
      </c>
      <c r="CT2935">
        <v>3</v>
      </c>
      <c r="CU2935" t="s">
        <v>4719</v>
      </c>
      <c r="CV2935" t="s">
        <v>4720</v>
      </c>
      <c r="CY2935">
        <v>10464970</v>
      </c>
      <c r="CZ2935" t="s">
        <v>119</v>
      </c>
    </row>
    <row r="2936" spans="1:104" x14ac:dyDescent="0.25">
      <c r="A2936" t="str">
        <f>"14:39:16.563"</f>
        <v>14:39:16.563</v>
      </c>
      <c r="B2936" t="s">
        <v>108</v>
      </c>
      <c r="C2936" t="str">
        <f t="shared" si="136"/>
        <v>ffdfd3c0</v>
      </c>
      <c r="D2936" t="s">
        <v>109</v>
      </c>
      <c r="E2936">
        <v>4</v>
      </c>
      <c r="F2936">
        <v>1004</v>
      </c>
      <c r="G2936" t="s">
        <v>110</v>
      </c>
      <c r="J2936" t="s">
        <v>111</v>
      </c>
      <c r="K2936">
        <v>0</v>
      </c>
      <c r="L2936">
        <v>3</v>
      </c>
      <c r="M2936">
        <v>0</v>
      </c>
      <c r="N2936">
        <v>2</v>
      </c>
      <c r="O2936">
        <v>1</v>
      </c>
      <c r="P2936">
        <v>0</v>
      </c>
      <c r="Q2936">
        <v>0</v>
      </c>
      <c r="R2936" t="s">
        <v>112</v>
      </c>
      <c r="S2936" t="str">
        <f>"14:39:16.359"</f>
        <v>14:39:16.359</v>
      </c>
      <c r="T2936" t="str">
        <f>"14:39:15.461"</f>
        <v>14:39:15.461</v>
      </c>
      <c r="U2936" t="str">
        <f t="shared" si="135"/>
        <v>ad5732</v>
      </c>
      <c r="V2936">
        <v>0</v>
      </c>
      <c r="W2936">
        <v>0</v>
      </c>
      <c r="X2936">
        <v>1</v>
      </c>
      <c r="Z2936">
        <v>0</v>
      </c>
      <c r="AA2936">
        <v>9</v>
      </c>
      <c r="AB2936">
        <v>3</v>
      </c>
      <c r="AC2936">
        <v>0</v>
      </c>
      <c r="AD2936">
        <v>10</v>
      </c>
      <c r="AE2936">
        <v>0</v>
      </c>
      <c r="AF2936">
        <v>3</v>
      </c>
      <c r="AG2936">
        <v>2</v>
      </c>
      <c r="AH2936">
        <v>0</v>
      </c>
      <c r="AI2936" t="s">
        <v>5988</v>
      </c>
      <c r="AJ2936">
        <v>40.334972999999998</v>
      </c>
      <c r="AK2936" t="s">
        <v>5989</v>
      </c>
      <c r="AL2936">
        <v>-75.088312999999999</v>
      </c>
      <c r="AM2936">
        <v>100</v>
      </c>
      <c r="AN2936">
        <v>3700</v>
      </c>
      <c r="AO2936" t="s">
        <v>115</v>
      </c>
      <c r="AP2936">
        <v>129</v>
      </c>
      <c r="AQ2936">
        <v>118</v>
      </c>
      <c r="AR2936">
        <v>0</v>
      </c>
      <c r="AZ2936">
        <v>3614</v>
      </c>
      <c r="BA2936">
        <v>1</v>
      </c>
      <c r="BB2936" t="str">
        <f t="shared" si="137"/>
        <v xml:space="preserve">N959MJ  </v>
      </c>
      <c r="BC2936">
        <v>1</v>
      </c>
      <c r="BE2936">
        <v>0</v>
      </c>
      <c r="BF2936">
        <v>0</v>
      </c>
      <c r="BG2936">
        <v>0</v>
      </c>
      <c r="BH2936">
        <v>3875</v>
      </c>
      <c r="BI2936">
        <v>175</v>
      </c>
      <c r="BJ2936">
        <v>1</v>
      </c>
      <c r="BK2936">
        <v>1</v>
      </c>
      <c r="BL2936">
        <v>1</v>
      </c>
      <c r="BM2936">
        <v>0</v>
      </c>
      <c r="BP2936">
        <v>0</v>
      </c>
      <c r="BQ2936">
        <v>0</v>
      </c>
      <c r="BX2936" t="str">
        <f>"14:39:16.359"</f>
        <v>14:39:16.359</v>
      </c>
      <c r="BY2936" t="str">
        <f>"362006311"</f>
        <v>362006311</v>
      </c>
      <c r="CL2936">
        <v>0</v>
      </c>
      <c r="CM2936">
        <v>2</v>
      </c>
      <c r="CN2936">
        <v>0</v>
      </c>
      <c r="CO2936">
        <v>2</v>
      </c>
      <c r="CP2936">
        <v>0</v>
      </c>
      <c r="CQ2936">
        <v>5</v>
      </c>
      <c r="CR2936" t="s">
        <v>116</v>
      </c>
      <c r="CS2936">
        <v>39</v>
      </c>
      <c r="CT2936">
        <v>0</v>
      </c>
      <c r="CU2936" t="s">
        <v>2259</v>
      </c>
      <c r="CV2936" t="s">
        <v>2260</v>
      </c>
      <c r="CY2936">
        <v>2654275</v>
      </c>
      <c r="CZ2936" t="s">
        <v>119</v>
      </c>
    </row>
    <row r="2937" spans="1:104" x14ac:dyDescent="0.25">
      <c r="A2937" t="str">
        <f>"14:39:17.469"</f>
        <v>14:39:17.469</v>
      </c>
      <c r="B2937" t="s">
        <v>108</v>
      </c>
      <c r="C2937" t="str">
        <f t="shared" si="136"/>
        <v>ffdfd3c0</v>
      </c>
      <c r="D2937" t="s">
        <v>109</v>
      </c>
      <c r="E2937">
        <v>4</v>
      </c>
      <c r="F2937">
        <v>1004</v>
      </c>
      <c r="G2937" t="s">
        <v>110</v>
      </c>
      <c r="J2937" t="s">
        <v>111</v>
      </c>
      <c r="K2937">
        <v>0</v>
      </c>
      <c r="L2937">
        <v>3</v>
      </c>
      <c r="M2937">
        <v>0</v>
      </c>
      <c r="N2937">
        <v>2</v>
      </c>
      <c r="O2937">
        <v>1</v>
      </c>
      <c r="P2937">
        <v>0</v>
      </c>
      <c r="Q2937">
        <v>0</v>
      </c>
      <c r="R2937" t="s">
        <v>112</v>
      </c>
      <c r="S2937" t="str">
        <f>"14:39:17.297"</f>
        <v>14:39:17.297</v>
      </c>
      <c r="T2937" t="str">
        <f>"14:39:16.797"</f>
        <v>14:39:16.797</v>
      </c>
      <c r="U2937" t="str">
        <f t="shared" si="135"/>
        <v>ad5732</v>
      </c>
      <c r="V2937">
        <v>0</v>
      </c>
      <c r="W2937">
        <v>0</v>
      </c>
      <c r="X2937">
        <v>1</v>
      </c>
      <c r="Z2937">
        <v>0</v>
      </c>
      <c r="AA2937">
        <v>9</v>
      </c>
      <c r="AB2937">
        <v>3</v>
      </c>
      <c r="AC2937">
        <v>0</v>
      </c>
      <c r="AD2937">
        <v>10</v>
      </c>
      <c r="AE2937">
        <v>0</v>
      </c>
      <c r="AF2937">
        <v>3</v>
      </c>
      <c r="AG2937">
        <v>2</v>
      </c>
      <c r="AH2937">
        <v>0</v>
      </c>
      <c r="AI2937" t="s">
        <v>5990</v>
      </c>
      <c r="AJ2937">
        <v>40.335467000000001</v>
      </c>
      <c r="AK2937" t="s">
        <v>5991</v>
      </c>
      <c r="AL2937">
        <v>-75.087626</v>
      </c>
      <c r="AM2937">
        <v>100</v>
      </c>
      <c r="AN2937">
        <v>3700</v>
      </c>
      <c r="AO2937" t="s">
        <v>115</v>
      </c>
      <c r="AP2937">
        <v>129</v>
      </c>
      <c r="AQ2937">
        <v>119</v>
      </c>
      <c r="AR2937">
        <v>-64</v>
      </c>
      <c r="AZ2937">
        <v>3614</v>
      </c>
      <c r="BA2937">
        <v>1</v>
      </c>
      <c r="BB2937" t="str">
        <f t="shared" si="137"/>
        <v xml:space="preserve">N959MJ  </v>
      </c>
      <c r="BC2937">
        <v>1</v>
      </c>
      <c r="BE2937">
        <v>0</v>
      </c>
      <c r="BF2937">
        <v>0</v>
      </c>
      <c r="BG2937">
        <v>0</v>
      </c>
      <c r="BH2937">
        <v>3875</v>
      </c>
      <c r="BI2937">
        <v>175</v>
      </c>
      <c r="BJ2937">
        <v>1</v>
      </c>
      <c r="BK2937">
        <v>1</v>
      </c>
      <c r="BL2937">
        <v>1</v>
      </c>
      <c r="BM2937">
        <v>0</v>
      </c>
      <c r="BP2937">
        <v>0</v>
      </c>
      <c r="BQ2937">
        <v>0</v>
      </c>
      <c r="BX2937" t="str">
        <f>"14:39:17.297"</f>
        <v>14:39:17.297</v>
      </c>
      <c r="BY2937" t="str">
        <f>"300705120"</f>
        <v>300705120</v>
      </c>
      <c r="CL2937">
        <v>0</v>
      </c>
      <c r="CM2937">
        <v>2</v>
      </c>
      <c r="CN2937">
        <v>0</v>
      </c>
      <c r="CO2937">
        <v>2</v>
      </c>
      <c r="CP2937">
        <v>0</v>
      </c>
      <c r="CQ2937">
        <v>7</v>
      </c>
      <c r="CR2937" t="s">
        <v>116</v>
      </c>
      <c r="CS2937">
        <v>38</v>
      </c>
      <c r="CT2937">
        <v>3</v>
      </c>
      <c r="CU2937" t="s">
        <v>4719</v>
      </c>
      <c r="CV2937" t="s">
        <v>4720</v>
      </c>
      <c r="CY2937">
        <v>10468409</v>
      </c>
      <c r="CZ2937" t="s">
        <v>119</v>
      </c>
    </row>
    <row r="2938" spans="1:104" x14ac:dyDescent="0.25">
      <c r="A2938" t="str">
        <f>"14:39:18.531"</f>
        <v>14:39:18.531</v>
      </c>
      <c r="B2938" t="s">
        <v>108</v>
      </c>
      <c r="C2938" t="str">
        <f t="shared" si="136"/>
        <v>ffdfd3c0</v>
      </c>
      <c r="D2938" t="s">
        <v>109</v>
      </c>
      <c r="E2938">
        <v>4</v>
      </c>
      <c r="F2938">
        <v>1004</v>
      </c>
      <c r="G2938" t="s">
        <v>110</v>
      </c>
      <c r="J2938" t="s">
        <v>111</v>
      </c>
      <c r="K2938">
        <v>0</v>
      </c>
      <c r="L2938">
        <v>3</v>
      </c>
      <c r="M2938">
        <v>0</v>
      </c>
      <c r="N2938">
        <v>2</v>
      </c>
      <c r="O2938">
        <v>1</v>
      </c>
      <c r="P2938">
        <v>0</v>
      </c>
      <c r="Q2938">
        <v>0</v>
      </c>
      <c r="R2938" t="s">
        <v>112</v>
      </c>
      <c r="S2938" t="str">
        <f>"14:39:18.352"</f>
        <v>14:39:18.352</v>
      </c>
      <c r="T2938" t="str">
        <f>"14:39:17.852"</f>
        <v>14:39:17.852</v>
      </c>
      <c r="U2938" t="str">
        <f t="shared" si="135"/>
        <v>ad5732</v>
      </c>
      <c r="V2938">
        <v>0</v>
      </c>
      <c r="W2938">
        <v>0</v>
      </c>
      <c r="X2938">
        <v>1</v>
      </c>
      <c r="Z2938">
        <v>0</v>
      </c>
      <c r="AA2938">
        <v>9</v>
      </c>
      <c r="AB2938">
        <v>3</v>
      </c>
      <c r="AC2938">
        <v>0</v>
      </c>
      <c r="AD2938">
        <v>10</v>
      </c>
      <c r="AE2938">
        <v>0</v>
      </c>
      <c r="AF2938">
        <v>3</v>
      </c>
      <c r="AG2938">
        <v>2</v>
      </c>
      <c r="AH2938">
        <v>0</v>
      </c>
      <c r="AI2938" t="s">
        <v>5992</v>
      </c>
      <c r="AJ2938">
        <v>40.336067999999997</v>
      </c>
      <c r="AK2938" t="s">
        <v>5993</v>
      </c>
      <c r="AL2938">
        <v>-75.086788999999996</v>
      </c>
      <c r="AM2938">
        <v>100</v>
      </c>
      <c r="AN2938">
        <v>3700</v>
      </c>
      <c r="AO2938" t="s">
        <v>115</v>
      </c>
      <c r="AP2938">
        <v>129</v>
      </c>
      <c r="AQ2938">
        <v>119</v>
      </c>
      <c r="AR2938">
        <v>-64</v>
      </c>
      <c r="AZ2938">
        <v>3614</v>
      </c>
      <c r="BA2938">
        <v>1</v>
      </c>
      <c r="BB2938" t="str">
        <f t="shared" si="137"/>
        <v xml:space="preserve">N959MJ  </v>
      </c>
      <c r="BC2938">
        <v>1</v>
      </c>
      <c r="BE2938">
        <v>0</v>
      </c>
      <c r="BF2938">
        <v>0</v>
      </c>
      <c r="BG2938">
        <v>0</v>
      </c>
      <c r="BH2938">
        <v>3875</v>
      </c>
      <c r="BI2938">
        <v>175</v>
      </c>
      <c r="BJ2938">
        <v>1</v>
      </c>
      <c r="BK2938">
        <v>1</v>
      </c>
      <c r="BL2938">
        <v>1</v>
      </c>
      <c r="BM2938">
        <v>0</v>
      </c>
      <c r="BP2938">
        <v>0</v>
      </c>
      <c r="BQ2938">
        <v>0</v>
      </c>
      <c r="BX2938" t="str">
        <f>"14:39:18.352"</f>
        <v>14:39:18.352</v>
      </c>
      <c r="BY2938" t="str">
        <f>"354214565"</f>
        <v>354214565</v>
      </c>
      <c r="CL2938">
        <v>0</v>
      </c>
      <c r="CM2938">
        <v>2</v>
      </c>
      <c r="CN2938">
        <v>0</v>
      </c>
      <c r="CO2938">
        <v>2</v>
      </c>
      <c r="CP2938">
        <v>0</v>
      </c>
      <c r="CQ2938">
        <v>7</v>
      </c>
      <c r="CR2938" t="s">
        <v>116</v>
      </c>
      <c r="CS2938">
        <v>38</v>
      </c>
      <c r="CT2938">
        <v>3</v>
      </c>
      <c r="CU2938" t="s">
        <v>4719</v>
      </c>
      <c r="CV2938" t="s">
        <v>4720</v>
      </c>
      <c r="CY2938">
        <v>10470330</v>
      </c>
      <c r="CZ2938" t="s">
        <v>119</v>
      </c>
    </row>
    <row r="2939" spans="1:104" x14ac:dyDescent="0.25">
      <c r="A2939" t="str">
        <f>"14:39:19.539"</f>
        <v>14:39:19.539</v>
      </c>
      <c r="B2939" t="s">
        <v>108</v>
      </c>
      <c r="C2939" t="str">
        <f t="shared" si="136"/>
        <v>ffdfd3c0</v>
      </c>
      <c r="D2939" t="s">
        <v>109</v>
      </c>
      <c r="E2939">
        <v>4</v>
      </c>
      <c r="F2939">
        <v>1004</v>
      </c>
      <c r="G2939" t="s">
        <v>110</v>
      </c>
      <c r="J2939" t="s">
        <v>111</v>
      </c>
      <c r="K2939">
        <v>0</v>
      </c>
      <c r="L2939">
        <v>3</v>
      </c>
      <c r="M2939">
        <v>0</v>
      </c>
      <c r="N2939">
        <v>2</v>
      </c>
      <c r="O2939">
        <v>1</v>
      </c>
      <c r="P2939">
        <v>0</v>
      </c>
      <c r="Q2939">
        <v>0</v>
      </c>
      <c r="R2939" t="s">
        <v>112</v>
      </c>
      <c r="S2939" t="str">
        <f>"14:39:19.344"</f>
        <v>14:39:19.344</v>
      </c>
      <c r="T2939" t="str">
        <f>"14:39:18.945"</f>
        <v>14:39:18.945</v>
      </c>
      <c r="U2939" t="str">
        <f t="shared" si="135"/>
        <v>ad5732</v>
      </c>
      <c r="V2939">
        <v>0</v>
      </c>
      <c r="W2939">
        <v>0</v>
      </c>
      <c r="X2939">
        <v>1</v>
      </c>
      <c r="Z2939">
        <v>0</v>
      </c>
      <c r="AA2939">
        <v>9</v>
      </c>
      <c r="AB2939">
        <v>3</v>
      </c>
      <c r="AC2939">
        <v>0</v>
      </c>
      <c r="AD2939">
        <v>10</v>
      </c>
      <c r="AE2939">
        <v>0</v>
      </c>
      <c r="AF2939">
        <v>3</v>
      </c>
      <c r="AG2939">
        <v>2</v>
      </c>
      <c r="AH2939">
        <v>0</v>
      </c>
      <c r="AI2939" t="s">
        <v>5994</v>
      </c>
      <c r="AJ2939">
        <v>40.336626000000003</v>
      </c>
      <c r="AK2939" t="s">
        <v>5995</v>
      </c>
      <c r="AL2939">
        <v>-75.085994999999997</v>
      </c>
      <c r="AM2939">
        <v>100</v>
      </c>
      <c r="AN2939">
        <v>3700</v>
      </c>
      <c r="AO2939" t="s">
        <v>115</v>
      </c>
      <c r="AP2939">
        <v>129</v>
      </c>
      <c r="AQ2939">
        <v>119</v>
      </c>
      <c r="AR2939">
        <v>0</v>
      </c>
      <c r="AZ2939">
        <v>3614</v>
      </c>
      <c r="BA2939">
        <v>1</v>
      </c>
      <c r="BB2939" t="str">
        <f t="shared" si="137"/>
        <v xml:space="preserve">N959MJ  </v>
      </c>
      <c r="BC2939">
        <v>1</v>
      </c>
      <c r="BE2939">
        <v>0</v>
      </c>
      <c r="BF2939">
        <v>0</v>
      </c>
      <c r="BG2939">
        <v>0</v>
      </c>
      <c r="BH2939">
        <v>3850</v>
      </c>
      <c r="BI2939">
        <v>150</v>
      </c>
      <c r="BJ2939">
        <v>1</v>
      </c>
      <c r="BK2939">
        <v>1</v>
      </c>
      <c r="BL2939">
        <v>1</v>
      </c>
      <c r="BM2939">
        <v>0</v>
      </c>
      <c r="BP2939">
        <v>0</v>
      </c>
      <c r="BQ2939">
        <v>0</v>
      </c>
      <c r="BX2939" t="str">
        <f>"14:39:19.344"</f>
        <v>14:39:19.344</v>
      </c>
      <c r="BY2939" t="str">
        <f>"345463704"</f>
        <v>345463704</v>
      </c>
      <c r="CL2939">
        <v>0</v>
      </c>
      <c r="CM2939">
        <v>2</v>
      </c>
      <c r="CN2939">
        <v>0</v>
      </c>
      <c r="CO2939">
        <v>2</v>
      </c>
      <c r="CP2939">
        <v>0</v>
      </c>
      <c r="CQ2939">
        <v>7</v>
      </c>
      <c r="CR2939" t="s">
        <v>116</v>
      </c>
      <c r="CS2939">
        <v>38</v>
      </c>
      <c r="CT2939">
        <v>3</v>
      </c>
      <c r="CU2939" t="s">
        <v>4719</v>
      </c>
      <c r="CV2939" t="s">
        <v>4720</v>
      </c>
      <c r="CY2939">
        <v>10472088</v>
      </c>
      <c r="CZ2939" t="s">
        <v>119</v>
      </c>
    </row>
    <row r="2940" spans="1:104" x14ac:dyDescent="0.25">
      <c r="A2940" t="str">
        <f>"14:39:20.648"</f>
        <v>14:39:20.648</v>
      </c>
      <c r="B2940" t="s">
        <v>108</v>
      </c>
      <c r="C2940" t="str">
        <f t="shared" si="136"/>
        <v>ffdfd3c0</v>
      </c>
      <c r="D2940" t="s">
        <v>109</v>
      </c>
      <c r="E2940">
        <v>4</v>
      </c>
      <c r="F2940">
        <v>1004</v>
      </c>
      <c r="G2940" t="s">
        <v>110</v>
      </c>
      <c r="J2940" t="s">
        <v>111</v>
      </c>
      <c r="K2940">
        <v>0</v>
      </c>
      <c r="L2940">
        <v>3</v>
      </c>
      <c r="M2940">
        <v>0</v>
      </c>
      <c r="N2940">
        <v>2</v>
      </c>
      <c r="O2940">
        <v>1</v>
      </c>
      <c r="P2940">
        <v>0</v>
      </c>
      <c r="Q2940">
        <v>0</v>
      </c>
      <c r="R2940" t="s">
        <v>112</v>
      </c>
      <c r="S2940" t="str">
        <f>"14:39:20.453"</f>
        <v>14:39:20.453</v>
      </c>
      <c r="T2940" t="str">
        <f>"14:39:19.953"</f>
        <v>14:39:19.953</v>
      </c>
      <c r="U2940" t="str">
        <f t="shared" si="135"/>
        <v>ad5732</v>
      </c>
      <c r="V2940">
        <v>0</v>
      </c>
      <c r="W2940">
        <v>0</v>
      </c>
      <c r="X2940">
        <v>1</v>
      </c>
      <c r="Z2940">
        <v>0</v>
      </c>
      <c r="AA2940">
        <v>9</v>
      </c>
      <c r="AB2940">
        <v>3</v>
      </c>
      <c r="AC2940">
        <v>0</v>
      </c>
      <c r="AD2940">
        <v>10</v>
      </c>
      <c r="AE2940">
        <v>0</v>
      </c>
      <c r="AF2940">
        <v>3</v>
      </c>
      <c r="AG2940">
        <v>2</v>
      </c>
      <c r="AH2940">
        <v>0</v>
      </c>
      <c r="AI2940" t="s">
        <v>5996</v>
      </c>
      <c r="AJ2940">
        <v>40.337226000000001</v>
      </c>
      <c r="AK2940" t="s">
        <v>5997</v>
      </c>
      <c r="AL2940">
        <v>-75.085115000000002</v>
      </c>
      <c r="AM2940">
        <v>100</v>
      </c>
      <c r="AN2940">
        <v>3700</v>
      </c>
      <c r="AO2940" t="s">
        <v>115</v>
      </c>
      <c r="AP2940">
        <v>129</v>
      </c>
      <c r="AQ2940">
        <v>119</v>
      </c>
      <c r="AR2940">
        <v>0</v>
      </c>
      <c r="AZ2940">
        <v>3614</v>
      </c>
      <c r="BA2940">
        <v>1</v>
      </c>
      <c r="BB2940" t="str">
        <f t="shared" si="137"/>
        <v xml:space="preserve">N959MJ  </v>
      </c>
      <c r="BC2940">
        <v>1</v>
      </c>
      <c r="BE2940">
        <v>0</v>
      </c>
      <c r="BF2940">
        <v>0</v>
      </c>
      <c r="BG2940">
        <v>0</v>
      </c>
      <c r="BH2940">
        <v>3850</v>
      </c>
      <c r="BI2940">
        <v>150</v>
      </c>
      <c r="BJ2940">
        <v>1</v>
      </c>
      <c r="BK2940">
        <v>1</v>
      </c>
      <c r="BL2940">
        <v>1</v>
      </c>
      <c r="BM2940">
        <v>0</v>
      </c>
      <c r="BP2940">
        <v>0</v>
      </c>
      <c r="BQ2940">
        <v>0</v>
      </c>
      <c r="BX2940" t="str">
        <f>"14:39:20.453"</f>
        <v>14:39:20.453</v>
      </c>
      <c r="BY2940" t="str">
        <f>"456318033"</f>
        <v>456318033</v>
      </c>
      <c r="CL2940">
        <v>0</v>
      </c>
      <c r="CM2940">
        <v>2</v>
      </c>
      <c r="CN2940">
        <v>0</v>
      </c>
      <c r="CO2940">
        <v>2</v>
      </c>
      <c r="CP2940">
        <v>0</v>
      </c>
      <c r="CQ2940">
        <v>7</v>
      </c>
      <c r="CR2940" t="s">
        <v>116</v>
      </c>
      <c r="CS2940">
        <v>38</v>
      </c>
      <c r="CT2940">
        <v>3</v>
      </c>
      <c r="CU2940" t="s">
        <v>4719</v>
      </c>
      <c r="CV2940" t="s">
        <v>4720</v>
      </c>
      <c r="CY2940">
        <v>10474036</v>
      </c>
      <c r="CZ2940" t="s">
        <v>119</v>
      </c>
    </row>
    <row r="2941" spans="1:104" x14ac:dyDescent="0.25">
      <c r="A2941" t="str">
        <f>"14:39:21.461"</f>
        <v>14:39:21.461</v>
      </c>
      <c r="B2941" t="s">
        <v>108</v>
      </c>
      <c r="C2941" t="str">
        <f t="shared" si="136"/>
        <v>ffdfd3c0</v>
      </c>
      <c r="D2941" t="s">
        <v>109</v>
      </c>
      <c r="E2941">
        <v>4</v>
      </c>
      <c r="F2941">
        <v>1004</v>
      </c>
      <c r="G2941" t="s">
        <v>110</v>
      </c>
      <c r="J2941" t="s">
        <v>111</v>
      </c>
      <c r="K2941">
        <v>0</v>
      </c>
      <c r="L2941">
        <v>3</v>
      </c>
      <c r="M2941">
        <v>0</v>
      </c>
      <c r="N2941">
        <v>2</v>
      </c>
      <c r="O2941">
        <v>1</v>
      </c>
      <c r="P2941">
        <v>0</v>
      </c>
      <c r="Q2941">
        <v>0</v>
      </c>
      <c r="R2941" t="s">
        <v>112</v>
      </c>
      <c r="S2941" t="str">
        <f>"14:39:21.281"</f>
        <v>14:39:21.281</v>
      </c>
      <c r="T2941" t="str">
        <f>"14:39:20.883"</f>
        <v>14:39:20.883</v>
      </c>
      <c r="U2941" t="str">
        <f t="shared" si="135"/>
        <v>ad5732</v>
      </c>
      <c r="V2941">
        <v>0</v>
      </c>
      <c r="W2941">
        <v>0</v>
      </c>
      <c r="X2941">
        <v>1</v>
      </c>
      <c r="Z2941">
        <v>0</v>
      </c>
      <c r="AA2941">
        <v>9</v>
      </c>
      <c r="AB2941">
        <v>3</v>
      </c>
      <c r="AC2941">
        <v>0</v>
      </c>
      <c r="AD2941">
        <v>10</v>
      </c>
      <c r="AE2941">
        <v>0</v>
      </c>
      <c r="AF2941">
        <v>3</v>
      </c>
      <c r="AG2941">
        <v>2</v>
      </c>
      <c r="AH2941">
        <v>0</v>
      </c>
      <c r="AI2941" t="s">
        <v>5998</v>
      </c>
      <c r="AJ2941">
        <v>40.337656000000003</v>
      </c>
      <c r="AK2941" t="s">
        <v>5999</v>
      </c>
      <c r="AL2941">
        <v>-75.084492999999995</v>
      </c>
      <c r="AM2941">
        <v>100</v>
      </c>
      <c r="AN2941">
        <v>3700</v>
      </c>
      <c r="AO2941" t="s">
        <v>115</v>
      </c>
      <c r="AP2941">
        <v>128</v>
      </c>
      <c r="AQ2941">
        <v>120</v>
      </c>
      <c r="AR2941">
        <v>0</v>
      </c>
      <c r="AZ2941">
        <v>3614</v>
      </c>
      <c r="BA2941">
        <v>1</v>
      </c>
      <c r="BB2941" t="str">
        <f t="shared" si="137"/>
        <v xml:space="preserve">N959MJ  </v>
      </c>
      <c r="BC2941">
        <v>1</v>
      </c>
      <c r="BE2941">
        <v>0</v>
      </c>
      <c r="BF2941">
        <v>0</v>
      </c>
      <c r="BG2941">
        <v>0</v>
      </c>
      <c r="BH2941">
        <v>3850</v>
      </c>
      <c r="BI2941">
        <v>150</v>
      </c>
      <c r="BJ2941">
        <v>1</v>
      </c>
      <c r="BK2941">
        <v>1</v>
      </c>
      <c r="BL2941">
        <v>1</v>
      </c>
      <c r="BM2941">
        <v>0</v>
      </c>
      <c r="BP2941">
        <v>0</v>
      </c>
      <c r="BQ2941">
        <v>0</v>
      </c>
      <c r="BX2941" t="str">
        <f>"14:39:21.289"</f>
        <v>14:39:21.289</v>
      </c>
      <c r="BY2941" t="str">
        <f>"288639656"</f>
        <v>288639656</v>
      </c>
      <c r="CL2941">
        <v>0</v>
      </c>
      <c r="CM2941">
        <v>2</v>
      </c>
      <c r="CN2941">
        <v>0</v>
      </c>
      <c r="CO2941">
        <v>2</v>
      </c>
      <c r="CP2941">
        <v>0</v>
      </c>
      <c r="CQ2941">
        <v>7</v>
      </c>
      <c r="CR2941" t="s">
        <v>116</v>
      </c>
      <c r="CS2941">
        <v>38</v>
      </c>
      <c r="CT2941">
        <v>3</v>
      </c>
      <c r="CU2941" t="s">
        <v>4719</v>
      </c>
      <c r="CV2941" t="s">
        <v>4720</v>
      </c>
      <c r="CY2941">
        <v>10475571</v>
      </c>
      <c r="CZ2941" t="s">
        <v>119</v>
      </c>
    </row>
    <row r="2942" spans="1:104" x14ac:dyDescent="0.25">
      <c r="A2942" t="str">
        <f>"14:39:22.570"</f>
        <v>14:39:22.570</v>
      </c>
      <c r="B2942" t="s">
        <v>108</v>
      </c>
      <c r="C2942" t="str">
        <f t="shared" si="136"/>
        <v>ffdfd3c0</v>
      </c>
      <c r="D2942" t="s">
        <v>109</v>
      </c>
      <c r="E2942">
        <v>4</v>
      </c>
      <c r="F2942">
        <v>1004</v>
      </c>
      <c r="G2942" t="s">
        <v>110</v>
      </c>
      <c r="J2942" t="s">
        <v>111</v>
      </c>
      <c r="K2942">
        <v>0</v>
      </c>
      <c r="L2942">
        <v>3</v>
      </c>
      <c r="M2942">
        <v>0</v>
      </c>
      <c r="N2942">
        <v>2</v>
      </c>
      <c r="O2942">
        <v>1</v>
      </c>
      <c r="P2942">
        <v>0</v>
      </c>
      <c r="Q2942">
        <v>0</v>
      </c>
      <c r="R2942" t="s">
        <v>112</v>
      </c>
      <c r="S2942" t="str">
        <f>"14:39:22.367"</f>
        <v>14:39:22.367</v>
      </c>
      <c r="T2942" t="str">
        <f>"14:39:21.867"</f>
        <v>14:39:21.867</v>
      </c>
      <c r="U2942" t="str">
        <f t="shared" si="135"/>
        <v>ad5732</v>
      </c>
      <c r="V2942">
        <v>0</v>
      </c>
      <c r="W2942">
        <v>0</v>
      </c>
      <c r="X2942">
        <v>1</v>
      </c>
      <c r="Z2942">
        <v>0</v>
      </c>
      <c r="AA2942">
        <v>9</v>
      </c>
      <c r="AB2942">
        <v>3</v>
      </c>
      <c r="AC2942">
        <v>0</v>
      </c>
      <c r="AD2942">
        <v>10</v>
      </c>
      <c r="AE2942">
        <v>0</v>
      </c>
      <c r="AF2942">
        <v>3</v>
      </c>
      <c r="AG2942">
        <v>2</v>
      </c>
      <c r="AH2942">
        <v>0</v>
      </c>
      <c r="AI2942" t="s">
        <v>6000</v>
      </c>
      <c r="AJ2942">
        <v>40.338278000000003</v>
      </c>
      <c r="AK2942" t="s">
        <v>6001</v>
      </c>
      <c r="AL2942">
        <v>-75.083678000000006</v>
      </c>
      <c r="AM2942">
        <v>100</v>
      </c>
      <c r="AN2942">
        <v>3700</v>
      </c>
      <c r="AO2942" t="s">
        <v>115</v>
      </c>
      <c r="AP2942">
        <v>128</v>
      </c>
      <c r="AQ2942">
        <v>120</v>
      </c>
      <c r="AR2942">
        <v>0</v>
      </c>
      <c r="AZ2942">
        <v>3614</v>
      </c>
      <c r="BA2942">
        <v>1</v>
      </c>
      <c r="BB2942" t="str">
        <f t="shared" si="137"/>
        <v xml:space="preserve">N959MJ  </v>
      </c>
      <c r="BC2942">
        <v>1</v>
      </c>
      <c r="BE2942">
        <v>0</v>
      </c>
      <c r="BF2942">
        <v>0</v>
      </c>
      <c r="BG2942">
        <v>0</v>
      </c>
      <c r="BH2942">
        <v>3850</v>
      </c>
      <c r="BI2942">
        <v>150</v>
      </c>
      <c r="BJ2942">
        <v>1</v>
      </c>
      <c r="BK2942">
        <v>1</v>
      </c>
      <c r="BL2942">
        <v>1</v>
      </c>
      <c r="BM2942">
        <v>0</v>
      </c>
      <c r="BP2942">
        <v>0</v>
      </c>
      <c r="BQ2942">
        <v>0</v>
      </c>
      <c r="BX2942" t="str">
        <f>"14:39:22.367"</f>
        <v>14:39:22.367</v>
      </c>
      <c r="BY2942" t="str">
        <f>"370002289"</f>
        <v>370002289</v>
      </c>
      <c r="CL2942">
        <v>0</v>
      </c>
      <c r="CM2942">
        <v>2</v>
      </c>
      <c r="CN2942">
        <v>0</v>
      </c>
      <c r="CO2942">
        <v>2</v>
      </c>
      <c r="CP2942">
        <v>0</v>
      </c>
      <c r="CQ2942">
        <v>7</v>
      </c>
      <c r="CR2942" t="s">
        <v>116</v>
      </c>
      <c r="CS2942">
        <v>38</v>
      </c>
      <c r="CT2942">
        <v>3</v>
      </c>
      <c r="CU2942" t="s">
        <v>4719</v>
      </c>
      <c r="CV2942" t="s">
        <v>4720</v>
      </c>
      <c r="CY2942">
        <v>10477491</v>
      </c>
      <c r="CZ2942" t="s">
        <v>119</v>
      </c>
    </row>
    <row r="2943" spans="1:104" x14ac:dyDescent="0.25">
      <c r="A2943" t="str">
        <f>"14:39:23.430"</f>
        <v>14:39:23.430</v>
      </c>
      <c r="B2943" t="s">
        <v>108</v>
      </c>
      <c r="C2943" t="str">
        <f t="shared" si="136"/>
        <v>ffdfd3c0</v>
      </c>
      <c r="D2943" t="s">
        <v>109</v>
      </c>
      <c r="E2943">
        <v>4</v>
      </c>
      <c r="F2943">
        <v>1004</v>
      </c>
      <c r="G2943" t="s">
        <v>110</v>
      </c>
      <c r="J2943" t="s">
        <v>111</v>
      </c>
      <c r="K2943">
        <v>0</v>
      </c>
      <c r="L2943">
        <v>3</v>
      </c>
      <c r="M2943">
        <v>0</v>
      </c>
      <c r="N2943">
        <v>2</v>
      </c>
      <c r="O2943">
        <v>1</v>
      </c>
      <c r="P2943">
        <v>0</v>
      </c>
      <c r="Q2943">
        <v>0</v>
      </c>
      <c r="R2943" t="s">
        <v>112</v>
      </c>
      <c r="S2943" t="str">
        <f>"14:39:23.258"</f>
        <v>14:39:23.258</v>
      </c>
      <c r="T2943" t="str">
        <f>"14:39:22.859"</f>
        <v>14:39:22.859</v>
      </c>
      <c r="U2943" t="str">
        <f t="shared" si="135"/>
        <v>ad5732</v>
      </c>
      <c r="V2943">
        <v>0</v>
      </c>
      <c r="W2943">
        <v>0</v>
      </c>
      <c r="X2943">
        <v>1</v>
      </c>
      <c r="Z2943">
        <v>0</v>
      </c>
      <c r="AA2943">
        <v>9</v>
      </c>
      <c r="AB2943">
        <v>3</v>
      </c>
      <c r="AC2943">
        <v>0</v>
      </c>
      <c r="AD2943">
        <v>10</v>
      </c>
      <c r="AE2943">
        <v>0</v>
      </c>
      <c r="AF2943">
        <v>3</v>
      </c>
      <c r="AG2943">
        <v>2</v>
      </c>
      <c r="AH2943">
        <v>0</v>
      </c>
      <c r="AI2943" t="s">
        <v>6002</v>
      </c>
      <c r="AJ2943">
        <v>40.338771000000001</v>
      </c>
      <c r="AK2943" t="s">
        <v>6003</v>
      </c>
      <c r="AL2943">
        <v>-75.082948000000002</v>
      </c>
      <c r="AM2943">
        <v>100</v>
      </c>
      <c r="AN2943">
        <v>3700</v>
      </c>
      <c r="AO2943" t="s">
        <v>115</v>
      </c>
      <c r="AP2943">
        <v>128</v>
      </c>
      <c r="AQ2943">
        <v>120</v>
      </c>
      <c r="AR2943">
        <v>0</v>
      </c>
      <c r="AZ2943">
        <v>3614</v>
      </c>
      <c r="BA2943">
        <v>1</v>
      </c>
      <c r="BB2943" t="str">
        <f t="shared" si="137"/>
        <v xml:space="preserve">N959MJ  </v>
      </c>
      <c r="BC2943">
        <v>1</v>
      </c>
      <c r="BE2943">
        <v>0</v>
      </c>
      <c r="BF2943">
        <v>0</v>
      </c>
      <c r="BG2943">
        <v>0</v>
      </c>
      <c r="BH2943">
        <v>3850</v>
      </c>
      <c r="BI2943">
        <v>150</v>
      </c>
      <c r="BJ2943">
        <v>1</v>
      </c>
      <c r="BK2943">
        <v>1</v>
      </c>
      <c r="BL2943">
        <v>1</v>
      </c>
      <c r="BM2943">
        <v>0</v>
      </c>
      <c r="BP2943">
        <v>0</v>
      </c>
      <c r="BQ2943">
        <v>0</v>
      </c>
      <c r="BX2943" t="str">
        <f>"14:39:23.266"</f>
        <v>14:39:23.266</v>
      </c>
      <c r="BY2943" t="str">
        <f>"262945818"</f>
        <v>262945818</v>
      </c>
      <c r="CL2943">
        <v>0</v>
      </c>
      <c r="CM2943">
        <v>2</v>
      </c>
      <c r="CN2943">
        <v>0</v>
      </c>
      <c r="CO2943">
        <v>2</v>
      </c>
      <c r="CP2943">
        <v>0</v>
      </c>
      <c r="CQ2943">
        <v>7</v>
      </c>
      <c r="CR2943" t="s">
        <v>116</v>
      </c>
      <c r="CS2943">
        <v>38</v>
      </c>
      <c r="CT2943">
        <v>3</v>
      </c>
      <c r="CU2943" t="s">
        <v>4719</v>
      </c>
      <c r="CV2943" t="s">
        <v>4720</v>
      </c>
      <c r="CY2943">
        <v>10479151</v>
      </c>
      <c r="CZ2943" t="s">
        <v>119</v>
      </c>
    </row>
    <row r="2944" spans="1:104" x14ac:dyDescent="0.25">
      <c r="A2944" t="str">
        <f>"14:39:24.484"</f>
        <v>14:39:24.484</v>
      </c>
      <c r="B2944" t="s">
        <v>108</v>
      </c>
      <c r="C2944" t="str">
        <f t="shared" si="136"/>
        <v>ffdfd3c0</v>
      </c>
      <c r="D2944" t="s">
        <v>109</v>
      </c>
      <c r="E2944">
        <v>4</v>
      </c>
      <c r="F2944">
        <v>1004</v>
      </c>
      <c r="G2944" t="s">
        <v>110</v>
      </c>
      <c r="J2944" t="s">
        <v>111</v>
      </c>
      <c r="K2944">
        <v>0</v>
      </c>
      <c r="L2944">
        <v>3</v>
      </c>
      <c r="M2944">
        <v>0</v>
      </c>
      <c r="N2944">
        <v>2</v>
      </c>
      <c r="O2944">
        <v>1</v>
      </c>
      <c r="P2944">
        <v>0</v>
      </c>
      <c r="Q2944">
        <v>0</v>
      </c>
      <c r="R2944" t="s">
        <v>112</v>
      </c>
      <c r="S2944" t="str">
        <f>"14:39:24.289"</f>
        <v>14:39:24.289</v>
      </c>
      <c r="T2944" t="str">
        <f>"14:39:23.789"</f>
        <v>14:39:23.789</v>
      </c>
      <c r="U2944" t="str">
        <f t="shared" si="135"/>
        <v>ad5732</v>
      </c>
      <c r="V2944">
        <v>0</v>
      </c>
      <c r="W2944">
        <v>0</v>
      </c>
      <c r="X2944">
        <v>1</v>
      </c>
      <c r="Z2944">
        <v>0</v>
      </c>
      <c r="AA2944">
        <v>9</v>
      </c>
      <c r="AB2944">
        <v>3</v>
      </c>
      <c r="AC2944">
        <v>0</v>
      </c>
      <c r="AD2944">
        <v>10</v>
      </c>
      <c r="AE2944">
        <v>0</v>
      </c>
      <c r="AF2944">
        <v>3</v>
      </c>
      <c r="AG2944">
        <v>2</v>
      </c>
      <c r="AH2944">
        <v>0</v>
      </c>
      <c r="AI2944" t="s">
        <v>6004</v>
      </c>
      <c r="AJ2944">
        <v>40.339328999999999</v>
      </c>
      <c r="AK2944" t="s">
        <v>6005</v>
      </c>
      <c r="AL2944">
        <v>-75.082196999999994</v>
      </c>
      <c r="AM2944">
        <v>100</v>
      </c>
      <c r="AN2944">
        <v>3700</v>
      </c>
      <c r="AO2944" t="s">
        <v>115</v>
      </c>
      <c r="AP2944">
        <v>128</v>
      </c>
      <c r="AQ2944">
        <v>120</v>
      </c>
      <c r="AR2944">
        <v>64</v>
      </c>
      <c r="AZ2944">
        <v>3614</v>
      </c>
      <c r="BA2944">
        <v>1</v>
      </c>
      <c r="BB2944" t="str">
        <f t="shared" si="137"/>
        <v xml:space="preserve">N959MJ  </v>
      </c>
      <c r="BC2944">
        <v>1</v>
      </c>
      <c r="BE2944">
        <v>0</v>
      </c>
      <c r="BF2944">
        <v>0</v>
      </c>
      <c r="BG2944">
        <v>0</v>
      </c>
      <c r="BH2944">
        <v>3875</v>
      </c>
      <c r="BI2944">
        <v>175</v>
      </c>
      <c r="BJ2944">
        <v>1</v>
      </c>
      <c r="BK2944">
        <v>1</v>
      </c>
      <c r="BL2944">
        <v>1</v>
      </c>
      <c r="BM2944">
        <v>0</v>
      </c>
      <c r="BP2944">
        <v>0</v>
      </c>
      <c r="BQ2944">
        <v>0</v>
      </c>
      <c r="BX2944" t="str">
        <f>"14:39:24.289"</f>
        <v>14:39:24.289</v>
      </c>
      <c r="BY2944" t="str">
        <f>"290240272"</f>
        <v>290240272</v>
      </c>
      <c r="CL2944">
        <v>0</v>
      </c>
      <c r="CM2944">
        <v>2</v>
      </c>
      <c r="CN2944">
        <v>0</v>
      </c>
      <c r="CO2944">
        <v>2</v>
      </c>
      <c r="CP2944">
        <v>0</v>
      </c>
      <c r="CQ2944">
        <v>7</v>
      </c>
      <c r="CR2944" t="s">
        <v>116</v>
      </c>
      <c r="CS2944">
        <v>38</v>
      </c>
      <c r="CT2944">
        <v>3</v>
      </c>
      <c r="CU2944" t="s">
        <v>4719</v>
      </c>
      <c r="CV2944" t="s">
        <v>4720</v>
      </c>
      <c r="CY2944">
        <v>10480978</v>
      </c>
      <c r="CZ2944" t="s">
        <v>119</v>
      </c>
    </row>
    <row r="2945" spans="1:104" x14ac:dyDescent="0.25">
      <c r="A2945" t="str">
        <f>"14:39:25.445"</f>
        <v>14:39:25.445</v>
      </c>
      <c r="B2945" t="s">
        <v>108</v>
      </c>
      <c r="C2945" t="str">
        <f t="shared" si="136"/>
        <v>ffdfd3c0</v>
      </c>
      <c r="D2945" t="s">
        <v>109</v>
      </c>
      <c r="E2945">
        <v>4</v>
      </c>
      <c r="F2945">
        <v>1004</v>
      </c>
      <c r="G2945" t="s">
        <v>110</v>
      </c>
      <c r="J2945" t="s">
        <v>111</v>
      </c>
      <c r="K2945">
        <v>0</v>
      </c>
      <c r="L2945">
        <v>3</v>
      </c>
      <c r="M2945">
        <v>0</v>
      </c>
      <c r="N2945">
        <v>2</v>
      </c>
      <c r="O2945">
        <v>1</v>
      </c>
      <c r="P2945">
        <v>0</v>
      </c>
      <c r="Q2945">
        <v>0</v>
      </c>
      <c r="R2945" t="s">
        <v>112</v>
      </c>
      <c r="S2945" t="str">
        <f>"14:39:25.250"</f>
        <v>14:39:25.250</v>
      </c>
      <c r="T2945" t="str">
        <f>"14:39:24.750"</f>
        <v>14:39:24.750</v>
      </c>
      <c r="U2945" t="str">
        <f t="shared" si="135"/>
        <v>ad5732</v>
      </c>
      <c r="V2945">
        <v>0</v>
      </c>
      <c r="W2945">
        <v>0</v>
      </c>
      <c r="X2945">
        <v>1</v>
      </c>
      <c r="Z2945">
        <v>0</v>
      </c>
      <c r="AA2945">
        <v>9</v>
      </c>
      <c r="AB2945">
        <v>3</v>
      </c>
      <c r="AC2945">
        <v>0</v>
      </c>
      <c r="AD2945">
        <v>10</v>
      </c>
      <c r="AE2945">
        <v>0</v>
      </c>
      <c r="AF2945">
        <v>3</v>
      </c>
      <c r="AG2945">
        <v>2</v>
      </c>
      <c r="AH2945">
        <v>0</v>
      </c>
      <c r="AI2945" t="s">
        <v>6006</v>
      </c>
      <c r="AJ2945">
        <v>40.339886999999997</v>
      </c>
      <c r="AK2945" t="s">
        <v>6007</v>
      </c>
      <c r="AL2945">
        <v>-75.081446</v>
      </c>
      <c r="AM2945">
        <v>100</v>
      </c>
      <c r="AN2945">
        <v>3700</v>
      </c>
      <c r="AO2945" t="s">
        <v>115</v>
      </c>
      <c r="AP2945">
        <v>128</v>
      </c>
      <c r="AQ2945">
        <v>120</v>
      </c>
      <c r="AR2945">
        <v>64</v>
      </c>
      <c r="AZ2945">
        <v>3614</v>
      </c>
      <c r="BA2945">
        <v>1</v>
      </c>
      <c r="BB2945" t="str">
        <f t="shared" si="137"/>
        <v xml:space="preserve">N959MJ  </v>
      </c>
      <c r="BC2945">
        <v>1</v>
      </c>
      <c r="BE2945">
        <v>0</v>
      </c>
      <c r="BF2945">
        <v>0</v>
      </c>
      <c r="BG2945">
        <v>0</v>
      </c>
      <c r="BH2945">
        <v>3875</v>
      </c>
      <c r="BI2945">
        <v>175</v>
      </c>
      <c r="BJ2945">
        <v>1</v>
      </c>
      <c r="BK2945">
        <v>1</v>
      </c>
      <c r="BL2945">
        <v>1</v>
      </c>
      <c r="BM2945">
        <v>0</v>
      </c>
      <c r="BP2945">
        <v>0</v>
      </c>
      <c r="BQ2945">
        <v>0</v>
      </c>
      <c r="BX2945" t="str">
        <f>"14:39:25.250"</f>
        <v>14:39:25.250</v>
      </c>
      <c r="BY2945" t="str">
        <f>"251997696"</f>
        <v>251997696</v>
      </c>
      <c r="CL2945">
        <v>0</v>
      </c>
      <c r="CM2945">
        <v>2</v>
      </c>
      <c r="CN2945">
        <v>0</v>
      </c>
      <c r="CO2945">
        <v>2</v>
      </c>
      <c r="CP2945">
        <v>0</v>
      </c>
      <c r="CQ2945">
        <v>7</v>
      </c>
      <c r="CR2945" t="s">
        <v>116</v>
      </c>
      <c r="CS2945">
        <v>38</v>
      </c>
      <c r="CT2945">
        <v>3</v>
      </c>
      <c r="CU2945" t="s">
        <v>4719</v>
      </c>
      <c r="CV2945" t="s">
        <v>4720</v>
      </c>
      <c r="CY2945">
        <v>10482702</v>
      </c>
      <c r="CZ2945" t="s">
        <v>119</v>
      </c>
    </row>
    <row r="2946" spans="1:104" x14ac:dyDescent="0.25">
      <c r="A2946" t="str">
        <f>"14:39:26.508"</f>
        <v>14:39:26.508</v>
      </c>
      <c r="B2946" t="s">
        <v>108</v>
      </c>
      <c r="C2946" t="str">
        <f t="shared" si="136"/>
        <v>ffdfd3c0</v>
      </c>
      <c r="D2946" t="s">
        <v>109</v>
      </c>
      <c r="E2946">
        <v>4</v>
      </c>
      <c r="F2946">
        <v>1004</v>
      </c>
      <c r="G2946" t="s">
        <v>110</v>
      </c>
      <c r="J2946" t="s">
        <v>111</v>
      </c>
      <c r="K2946">
        <v>0</v>
      </c>
      <c r="L2946">
        <v>3</v>
      </c>
      <c r="M2946">
        <v>0</v>
      </c>
      <c r="N2946">
        <v>2</v>
      </c>
      <c r="O2946">
        <v>1</v>
      </c>
      <c r="P2946">
        <v>0</v>
      </c>
      <c r="Q2946">
        <v>0</v>
      </c>
      <c r="R2946" t="s">
        <v>112</v>
      </c>
      <c r="S2946" t="str">
        <f>"14:39:26.328"</f>
        <v>14:39:26.328</v>
      </c>
      <c r="T2946" t="str">
        <f>"14:39:25.828"</f>
        <v>14:39:25.828</v>
      </c>
      <c r="U2946" t="str">
        <f t="shared" ref="U2946:U3009" si="138">"ad5732"</f>
        <v>ad5732</v>
      </c>
      <c r="V2946">
        <v>0</v>
      </c>
      <c r="W2946">
        <v>0</v>
      </c>
      <c r="X2946">
        <v>1</v>
      </c>
      <c r="Z2946">
        <v>0</v>
      </c>
      <c r="AA2946">
        <v>9</v>
      </c>
      <c r="AB2946">
        <v>3</v>
      </c>
      <c r="AC2946">
        <v>0</v>
      </c>
      <c r="AD2946">
        <v>10</v>
      </c>
      <c r="AE2946">
        <v>0</v>
      </c>
      <c r="AF2946">
        <v>3</v>
      </c>
      <c r="AG2946">
        <v>2</v>
      </c>
      <c r="AH2946">
        <v>0</v>
      </c>
      <c r="AI2946" t="s">
        <v>6008</v>
      </c>
      <c r="AJ2946">
        <v>40.340508999999997</v>
      </c>
      <c r="AK2946" t="s">
        <v>6009</v>
      </c>
      <c r="AL2946">
        <v>-75.080566000000005</v>
      </c>
      <c r="AM2946">
        <v>100</v>
      </c>
      <c r="AN2946">
        <v>3700</v>
      </c>
      <c r="AO2946" t="s">
        <v>115</v>
      </c>
      <c r="AP2946">
        <v>128</v>
      </c>
      <c r="AQ2946">
        <v>120</v>
      </c>
      <c r="AR2946">
        <v>0</v>
      </c>
      <c r="AZ2946">
        <v>3614</v>
      </c>
      <c r="BA2946">
        <v>1</v>
      </c>
      <c r="BB2946" t="str">
        <f t="shared" si="137"/>
        <v xml:space="preserve">N959MJ  </v>
      </c>
      <c r="BC2946">
        <v>1</v>
      </c>
      <c r="BE2946">
        <v>0</v>
      </c>
      <c r="BF2946">
        <v>0</v>
      </c>
      <c r="BG2946">
        <v>0</v>
      </c>
      <c r="BH2946">
        <v>3875</v>
      </c>
      <c r="BI2946">
        <v>175</v>
      </c>
      <c r="BJ2946">
        <v>1</v>
      </c>
      <c r="BK2946">
        <v>1</v>
      </c>
      <c r="BL2946">
        <v>1</v>
      </c>
      <c r="BM2946">
        <v>0</v>
      </c>
      <c r="BP2946">
        <v>0</v>
      </c>
      <c r="BQ2946">
        <v>0</v>
      </c>
      <c r="BX2946" t="str">
        <f>"14:39:26.328"</f>
        <v>14:39:26.328</v>
      </c>
      <c r="BY2946" t="str">
        <f>"328445114"</f>
        <v>328445114</v>
      </c>
      <c r="CL2946">
        <v>0</v>
      </c>
      <c r="CM2946">
        <v>2</v>
      </c>
      <c r="CN2946">
        <v>0</v>
      </c>
      <c r="CO2946">
        <v>2</v>
      </c>
      <c r="CP2946">
        <v>0</v>
      </c>
      <c r="CQ2946">
        <v>6</v>
      </c>
      <c r="CR2946" t="s">
        <v>116</v>
      </c>
      <c r="CS2946">
        <v>38</v>
      </c>
      <c r="CT2946">
        <v>2</v>
      </c>
      <c r="CU2946" t="s">
        <v>4719</v>
      </c>
      <c r="CV2946" t="s">
        <v>4720</v>
      </c>
      <c r="CY2946">
        <v>10718187</v>
      </c>
      <c r="CZ2946" t="s">
        <v>119</v>
      </c>
    </row>
    <row r="2947" spans="1:104" x14ac:dyDescent="0.25">
      <c r="A2947" t="str">
        <f>"14:39:27.469"</f>
        <v>14:39:27.469</v>
      </c>
      <c r="B2947" t="s">
        <v>108</v>
      </c>
      <c r="C2947" t="str">
        <f t="shared" si="136"/>
        <v>ffdfd3c0</v>
      </c>
      <c r="D2947" t="s">
        <v>109</v>
      </c>
      <c r="E2947">
        <v>4</v>
      </c>
      <c r="F2947">
        <v>1004</v>
      </c>
      <c r="G2947" t="s">
        <v>110</v>
      </c>
      <c r="J2947" t="s">
        <v>111</v>
      </c>
      <c r="K2947">
        <v>0</v>
      </c>
      <c r="L2947">
        <v>3</v>
      </c>
      <c r="M2947">
        <v>0</v>
      </c>
      <c r="N2947">
        <v>2</v>
      </c>
      <c r="O2947">
        <v>1</v>
      </c>
      <c r="P2947">
        <v>0</v>
      </c>
      <c r="Q2947">
        <v>0</v>
      </c>
      <c r="R2947" t="s">
        <v>112</v>
      </c>
      <c r="S2947" t="str">
        <f>"14:39:27.250"</f>
        <v>14:39:27.250</v>
      </c>
      <c r="T2947" t="str">
        <f>"14:39:26.852"</f>
        <v>14:39:26.852</v>
      </c>
      <c r="U2947" t="str">
        <f t="shared" si="138"/>
        <v>ad5732</v>
      </c>
      <c r="V2947">
        <v>0</v>
      </c>
      <c r="W2947">
        <v>0</v>
      </c>
      <c r="X2947">
        <v>1</v>
      </c>
      <c r="Z2947">
        <v>0</v>
      </c>
      <c r="AA2947">
        <v>9</v>
      </c>
      <c r="AB2947">
        <v>3</v>
      </c>
      <c r="AC2947">
        <v>0</v>
      </c>
      <c r="AD2947">
        <v>10</v>
      </c>
      <c r="AE2947">
        <v>0</v>
      </c>
      <c r="AF2947">
        <v>3</v>
      </c>
      <c r="AG2947">
        <v>2</v>
      </c>
      <c r="AH2947">
        <v>0</v>
      </c>
      <c r="AI2947" t="s">
        <v>6010</v>
      </c>
      <c r="AJ2947">
        <v>40.341003000000001</v>
      </c>
      <c r="AK2947" t="s">
        <v>6011</v>
      </c>
      <c r="AL2947">
        <v>-75.079880000000003</v>
      </c>
      <c r="AM2947">
        <v>100</v>
      </c>
      <c r="AN2947">
        <v>3700</v>
      </c>
      <c r="AO2947" t="s">
        <v>115</v>
      </c>
      <c r="AP2947">
        <v>128</v>
      </c>
      <c r="AQ2947">
        <v>120</v>
      </c>
      <c r="AR2947">
        <v>64</v>
      </c>
      <c r="AZ2947">
        <v>3614</v>
      </c>
      <c r="BA2947">
        <v>1</v>
      </c>
      <c r="BB2947" t="str">
        <f t="shared" si="137"/>
        <v xml:space="preserve">N959MJ  </v>
      </c>
      <c r="BC2947">
        <v>1</v>
      </c>
      <c r="BE2947">
        <v>0</v>
      </c>
      <c r="BF2947">
        <v>0</v>
      </c>
      <c r="BG2947">
        <v>0</v>
      </c>
      <c r="BH2947">
        <v>3875</v>
      </c>
      <c r="BI2947">
        <v>175</v>
      </c>
      <c r="BJ2947">
        <v>1</v>
      </c>
      <c r="BK2947">
        <v>1</v>
      </c>
      <c r="BL2947">
        <v>1</v>
      </c>
      <c r="BM2947">
        <v>0</v>
      </c>
      <c r="BP2947">
        <v>0</v>
      </c>
      <c r="BQ2947">
        <v>0</v>
      </c>
      <c r="BX2947" t="str">
        <f>"14:39:27.258"</f>
        <v>14:39:27.258</v>
      </c>
      <c r="BY2947" t="str">
        <f>"257433953"</f>
        <v>257433953</v>
      </c>
      <c r="CL2947">
        <v>0</v>
      </c>
      <c r="CM2947">
        <v>2</v>
      </c>
      <c r="CN2947">
        <v>0</v>
      </c>
      <c r="CO2947">
        <v>2</v>
      </c>
      <c r="CP2947">
        <v>0</v>
      </c>
      <c r="CQ2947">
        <v>7</v>
      </c>
      <c r="CR2947" t="s">
        <v>116</v>
      </c>
      <c r="CS2947">
        <v>38</v>
      </c>
      <c r="CT2947">
        <v>3</v>
      </c>
      <c r="CU2947" t="s">
        <v>4719</v>
      </c>
      <c r="CV2947" t="s">
        <v>4720</v>
      </c>
      <c r="CY2947">
        <v>10486143</v>
      </c>
      <c r="CZ2947" t="s">
        <v>119</v>
      </c>
    </row>
    <row r="2948" spans="1:104" x14ac:dyDescent="0.25">
      <c r="A2948" t="str">
        <f>"14:39:28.430"</f>
        <v>14:39:28.430</v>
      </c>
      <c r="B2948" t="s">
        <v>108</v>
      </c>
      <c r="C2948" t="str">
        <f t="shared" si="136"/>
        <v>ffdfd3c0</v>
      </c>
      <c r="D2948" t="s">
        <v>109</v>
      </c>
      <c r="E2948">
        <v>4</v>
      </c>
      <c r="F2948">
        <v>1004</v>
      </c>
      <c r="G2948" t="s">
        <v>110</v>
      </c>
      <c r="J2948" t="s">
        <v>111</v>
      </c>
      <c r="K2948">
        <v>0</v>
      </c>
      <c r="L2948">
        <v>3</v>
      </c>
      <c r="M2948">
        <v>0</v>
      </c>
      <c r="N2948">
        <v>2</v>
      </c>
      <c r="O2948">
        <v>1</v>
      </c>
      <c r="P2948">
        <v>0</v>
      </c>
      <c r="Q2948">
        <v>0</v>
      </c>
      <c r="R2948" t="s">
        <v>112</v>
      </c>
      <c r="S2948" t="str">
        <f>"14:39:28.227"</f>
        <v>14:39:28.227</v>
      </c>
      <c r="T2948" t="str">
        <f>"14:39:27.828"</f>
        <v>14:39:27.828</v>
      </c>
      <c r="U2948" t="str">
        <f t="shared" si="138"/>
        <v>ad5732</v>
      </c>
      <c r="V2948">
        <v>0</v>
      </c>
      <c r="W2948">
        <v>0</v>
      </c>
      <c r="X2948">
        <v>1</v>
      </c>
      <c r="Z2948">
        <v>0</v>
      </c>
      <c r="AA2948">
        <v>9</v>
      </c>
      <c r="AB2948">
        <v>3</v>
      </c>
      <c r="AC2948">
        <v>0</v>
      </c>
      <c r="AD2948">
        <v>10</v>
      </c>
      <c r="AE2948">
        <v>0</v>
      </c>
      <c r="AF2948">
        <v>3</v>
      </c>
      <c r="AG2948">
        <v>2</v>
      </c>
      <c r="AH2948">
        <v>0</v>
      </c>
      <c r="AI2948" t="s">
        <v>6012</v>
      </c>
      <c r="AJ2948">
        <v>40.341560999999999</v>
      </c>
      <c r="AK2948" t="s">
        <v>6013</v>
      </c>
      <c r="AL2948">
        <v>-75.079064000000002</v>
      </c>
      <c r="AM2948">
        <v>100</v>
      </c>
      <c r="AN2948">
        <v>3700</v>
      </c>
      <c r="AO2948" t="s">
        <v>115</v>
      </c>
      <c r="AP2948">
        <v>128</v>
      </c>
      <c r="AQ2948">
        <v>120</v>
      </c>
      <c r="AR2948">
        <v>64</v>
      </c>
      <c r="AZ2948">
        <v>3614</v>
      </c>
      <c r="BA2948">
        <v>1</v>
      </c>
      <c r="BB2948" t="str">
        <f t="shared" si="137"/>
        <v xml:space="preserve">N959MJ  </v>
      </c>
      <c r="BC2948">
        <v>1</v>
      </c>
      <c r="BE2948">
        <v>0</v>
      </c>
      <c r="BF2948">
        <v>0</v>
      </c>
      <c r="BG2948">
        <v>0</v>
      </c>
      <c r="BH2948">
        <v>3875</v>
      </c>
      <c r="BI2948">
        <v>175</v>
      </c>
      <c r="BJ2948">
        <v>1</v>
      </c>
      <c r="BK2948">
        <v>1</v>
      </c>
      <c r="BL2948">
        <v>1</v>
      </c>
      <c r="BM2948">
        <v>0</v>
      </c>
      <c r="BP2948">
        <v>0</v>
      </c>
      <c r="BQ2948">
        <v>0</v>
      </c>
      <c r="BX2948" t="str">
        <f>"14:39:28.227"</f>
        <v>14:39:28.227</v>
      </c>
      <c r="BY2948" t="str">
        <f>"227383522"</f>
        <v>227383522</v>
      </c>
      <c r="CL2948">
        <v>0</v>
      </c>
      <c r="CM2948">
        <v>2</v>
      </c>
      <c r="CN2948">
        <v>0</v>
      </c>
      <c r="CO2948">
        <v>2</v>
      </c>
      <c r="CP2948">
        <v>0</v>
      </c>
      <c r="CQ2948">
        <v>7</v>
      </c>
      <c r="CR2948" t="s">
        <v>116</v>
      </c>
      <c r="CS2948">
        <v>38</v>
      </c>
      <c r="CT2948">
        <v>3</v>
      </c>
      <c r="CU2948" t="s">
        <v>4719</v>
      </c>
      <c r="CV2948" t="s">
        <v>4720</v>
      </c>
      <c r="CY2948">
        <v>10487879</v>
      </c>
      <c r="CZ2948" t="s">
        <v>119</v>
      </c>
    </row>
    <row r="2949" spans="1:104" x14ac:dyDescent="0.25">
      <c r="A2949" t="str">
        <f>"14:39:29.281"</f>
        <v>14:39:29.281</v>
      </c>
      <c r="B2949" t="s">
        <v>108</v>
      </c>
      <c r="C2949" t="str">
        <f t="shared" si="136"/>
        <v>ffdfd3c0</v>
      </c>
      <c r="D2949" t="s">
        <v>109</v>
      </c>
      <c r="E2949">
        <v>4</v>
      </c>
      <c r="F2949">
        <v>1004</v>
      </c>
      <c r="G2949" t="s">
        <v>110</v>
      </c>
      <c r="J2949" t="s">
        <v>111</v>
      </c>
      <c r="K2949">
        <v>0</v>
      </c>
      <c r="L2949">
        <v>3</v>
      </c>
      <c r="M2949">
        <v>0</v>
      </c>
      <c r="N2949">
        <v>2</v>
      </c>
      <c r="O2949">
        <v>1</v>
      </c>
      <c r="P2949">
        <v>0</v>
      </c>
      <c r="Q2949">
        <v>0</v>
      </c>
      <c r="R2949" t="s">
        <v>112</v>
      </c>
      <c r="S2949" t="str">
        <f>"14:39:29.094"</f>
        <v>14:39:29.094</v>
      </c>
      <c r="T2949" t="str">
        <f>"14:39:28.695"</f>
        <v>14:39:28.695</v>
      </c>
      <c r="U2949" t="str">
        <f t="shared" si="138"/>
        <v>ad5732</v>
      </c>
      <c r="V2949">
        <v>0</v>
      </c>
      <c r="W2949">
        <v>0</v>
      </c>
      <c r="X2949">
        <v>1</v>
      </c>
      <c r="Z2949">
        <v>0</v>
      </c>
      <c r="AA2949">
        <v>9</v>
      </c>
      <c r="AB2949">
        <v>3</v>
      </c>
      <c r="AC2949">
        <v>0</v>
      </c>
      <c r="AD2949">
        <v>10</v>
      </c>
      <c r="AE2949">
        <v>0</v>
      </c>
      <c r="AF2949">
        <v>3</v>
      </c>
      <c r="AG2949">
        <v>2</v>
      </c>
      <c r="AH2949">
        <v>0</v>
      </c>
      <c r="AI2949" t="s">
        <v>6014</v>
      </c>
      <c r="AJ2949">
        <v>40.341990000000003</v>
      </c>
      <c r="AK2949" t="s">
        <v>6015</v>
      </c>
      <c r="AL2949">
        <v>-75.078441999999995</v>
      </c>
      <c r="AM2949">
        <v>100</v>
      </c>
      <c r="AN2949">
        <v>3700</v>
      </c>
      <c r="AO2949" t="s">
        <v>115</v>
      </c>
      <c r="AP2949">
        <v>128</v>
      </c>
      <c r="AQ2949">
        <v>120</v>
      </c>
      <c r="AR2949">
        <v>0</v>
      </c>
      <c r="AZ2949">
        <v>3614</v>
      </c>
      <c r="BA2949">
        <v>1</v>
      </c>
      <c r="BB2949" t="str">
        <f t="shared" si="137"/>
        <v xml:space="preserve">N959MJ  </v>
      </c>
      <c r="BC2949">
        <v>1</v>
      </c>
      <c r="BE2949">
        <v>0</v>
      </c>
      <c r="BF2949">
        <v>0</v>
      </c>
      <c r="BG2949">
        <v>0</v>
      </c>
      <c r="BH2949">
        <v>3875</v>
      </c>
      <c r="BI2949">
        <v>175</v>
      </c>
      <c r="BJ2949">
        <v>1</v>
      </c>
      <c r="BK2949">
        <v>1</v>
      </c>
      <c r="BL2949">
        <v>1</v>
      </c>
      <c r="BM2949">
        <v>0</v>
      </c>
      <c r="BP2949">
        <v>0</v>
      </c>
      <c r="BQ2949">
        <v>0</v>
      </c>
      <c r="BX2949" t="str">
        <f>"14:39:29.094"</f>
        <v>14:39:29.094</v>
      </c>
      <c r="BY2949" t="str">
        <f>"095750535"</f>
        <v>095750535</v>
      </c>
      <c r="CL2949">
        <v>0</v>
      </c>
      <c r="CM2949">
        <v>2</v>
      </c>
      <c r="CN2949">
        <v>0</v>
      </c>
      <c r="CO2949">
        <v>2</v>
      </c>
      <c r="CP2949">
        <v>0</v>
      </c>
      <c r="CQ2949">
        <v>7</v>
      </c>
      <c r="CR2949" t="s">
        <v>116</v>
      </c>
      <c r="CS2949">
        <v>38</v>
      </c>
      <c r="CT2949">
        <v>3</v>
      </c>
      <c r="CU2949" t="s">
        <v>4719</v>
      </c>
      <c r="CV2949" t="s">
        <v>4720</v>
      </c>
      <c r="CY2949">
        <v>10489379</v>
      </c>
      <c r="CZ2949" t="s">
        <v>119</v>
      </c>
    </row>
    <row r="2950" spans="1:104" x14ac:dyDescent="0.25">
      <c r="A2950" t="str">
        <f>"14:39:30.297"</f>
        <v>14:39:30.297</v>
      </c>
      <c r="B2950" t="s">
        <v>108</v>
      </c>
      <c r="C2950" t="str">
        <f t="shared" si="136"/>
        <v>ffdfd3c0</v>
      </c>
      <c r="D2950" t="s">
        <v>109</v>
      </c>
      <c r="E2950">
        <v>4</v>
      </c>
      <c r="F2950">
        <v>1004</v>
      </c>
      <c r="G2950" t="s">
        <v>110</v>
      </c>
      <c r="J2950" t="s">
        <v>111</v>
      </c>
      <c r="K2950">
        <v>0</v>
      </c>
      <c r="L2950">
        <v>3</v>
      </c>
      <c r="M2950">
        <v>0</v>
      </c>
      <c r="N2950">
        <v>2</v>
      </c>
      <c r="O2950">
        <v>1</v>
      </c>
      <c r="P2950">
        <v>0</v>
      </c>
      <c r="Q2950">
        <v>0</v>
      </c>
      <c r="R2950" t="s">
        <v>112</v>
      </c>
      <c r="S2950" t="str">
        <f>"14:39:30.102"</f>
        <v>14:39:30.102</v>
      </c>
      <c r="T2950" t="str">
        <f>"14:39:29.602"</f>
        <v>14:39:29.602</v>
      </c>
      <c r="U2950" t="str">
        <f t="shared" si="138"/>
        <v>ad5732</v>
      </c>
      <c r="V2950">
        <v>0</v>
      </c>
      <c r="W2950">
        <v>0</v>
      </c>
      <c r="X2950">
        <v>1</v>
      </c>
      <c r="Z2950">
        <v>0</v>
      </c>
      <c r="AA2950">
        <v>9</v>
      </c>
      <c r="AB2950">
        <v>3</v>
      </c>
      <c r="AC2950">
        <v>0</v>
      </c>
      <c r="AD2950">
        <v>10</v>
      </c>
      <c r="AE2950">
        <v>0</v>
      </c>
      <c r="AF2950">
        <v>3</v>
      </c>
      <c r="AG2950">
        <v>2</v>
      </c>
      <c r="AH2950">
        <v>0</v>
      </c>
      <c r="AI2950" t="s">
        <v>6016</v>
      </c>
      <c r="AJ2950">
        <v>40.342548000000001</v>
      </c>
      <c r="AK2950" t="s">
        <v>6017</v>
      </c>
      <c r="AL2950">
        <v>-75.077691000000002</v>
      </c>
      <c r="AM2950">
        <v>100</v>
      </c>
      <c r="AN2950">
        <v>3700</v>
      </c>
      <c r="AO2950" t="s">
        <v>115</v>
      </c>
      <c r="AP2950">
        <v>128</v>
      </c>
      <c r="AQ2950">
        <v>120</v>
      </c>
      <c r="AR2950">
        <v>0</v>
      </c>
      <c r="AZ2950">
        <v>3614</v>
      </c>
      <c r="BA2950">
        <v>1</v>
      </c>
      <c r="BB2950" t="str">
        <f t="shared" si="137"/>
        <v xml:space="preserve">N959MJ  </v>
      </c>
      <c r="BC2950">
        <v>1</v>
      </c>
      <c r="BE2950">
        <v>0</v>
      </c>
      <c r="BF2950">
        <v>0</v>
      </c>
      <c r="BG2950">
        <v>0</v>
      </c>
      <c r="BH2950">
        <v>3875</v>
      </c>
      <c r="BI2950">
        <v>175</v>
      </c>
      <c r="BJ2950">
        <v>1</v>
      </c>
      <c r="BK2950">
        <v>1</v>
      </c>
      <c r="BL2950">
        <v>1</v>
      </c>
      <c r="BM2950">
        <v>0</v>
      </c>
      <c r="BP2950">
        <v>0</v>
      </c>
      <c r="BQ2950">
        <v>0</v>
      </c>
      <c r="BX2950" t="str">
        <f>"14:39:30.102"</f>
        <v>14:39:30.102</v>
      </c>
      <c r="BY2950" t="str">
        <f>"101745637"</f>
        <v>101745637</v>
      </c>
      <c r="CL2950">
        <v>0</v>
      </c>
      <c r="CM2950">
        <v>2</v>
      </c>
      <c r="CN2950">
        <v>0</v>
      </c>
      <c r="CO2950">
        <v>2</v>
      </c>
      <c r="CP2950">
        <v>0</v>
      </c>
      <c r="CQ2950">
        <v>7</v>
      </c>
      <c r="CR2950" t="s">
        <v>116</v>
      </c>
      <c r="CS2950">
        <v>38</v>
      </c>
      <c r="CT2950">
        <v>3</v>
      </c>
      <c r="CU2950" t="s">
        <v>4719</v>
      </c>
      <c r="CV2950" t="s">
        <v>4720</v>
      </c>
      <c r="CY2950">
        <v>10491304</v>
      </c>
      <c r="CZ2950" t="s">
        <v>119</v>
      </c>
    </row>
    <row r="2951" spans="1:104" x14ac:dyDescent="0.25">
      <c r="A2951" t="str">
        <f>"14:39:31.258"</f>
        <v>14:39:31.258</v>
      </c>
      <c r="B2951" t="s">
        <v>108</v>
      </c>
      <c r="C2951" t="str">
        <f t="shared" si="136"/>
        <v>ffdfd3c0</v>
      </c>
      <c r="D2951" t="s">
        <v>109</v>
      </c>
      <c r="E2951">
        <v>4</v>
      </c>
      <c r="F2951">
        <v>1004</v>
      </c>
      <c r="G2951" t="s">
        <v>110</v>
      </c>
      <c r="J2951" t="s">
        <v>111</v>
      </c>
      <c r="K2951">
        <v>0</v>
      </c>
      <c r="L2951">
        <v>3</v>
      </c>
      <c r="M2951">
        <v>0</v>
      </c>
      <c r="N2951">
        <v>2</v>
      </c>
      <c r="O2951">
        <v>1</v>
      </c>
      <c r="P2951">
        <v>0</v>
      </c>
      <c r="Q2951">
        <v>0</v>
      </c>
      <c r="R2951" t="s">
        <v>112</v>
      </c>
      <c r="S2951" t="str">
        <f>"14:39:31.078"</f>
        <v>14:39:31.078</v>
      </c>
      <c r="T2951" t="str">
        <f>"14:39:30.680"</f>
        <v>14:39:30.680</v>
      </c>
      <c r="U2951" t="str">
        <f t="shared" si="138"/>
        <v>ad5732</v>
      </c>
      <c r="V2951">
        <v>0</v>
      </c>
      <c r="W2951">
        <v>0</v>
      </c>
      <c r="X2951">
        <v>1</v>
      </c>
      <c r="Z2951">
        <v>0</v>
      </c>
      <c r="AA2951">
        <v>9</v>
      </c>
      <c r="AB2951">
        <v>3</v>
      </c>
      <c r="AC2951">
        <v>0</v>
      </c>
      <c r="AD2951">
        <v>10</v>
      </c>
      <c r="AE2951">
        <v>0</v>
      </c>
      <c r="AF2951">
        <v>3</v>
      </c>
      <c r="AG2951">
        <v>2</v>
      </c>
      <c r="AH2951">
        <v>0</v>
      </c>
      <c r="AI2951" t="s">
        <v>6018</v>
      </c>
      <c r="AJ2951">
        <v>40.343105999999999</v>
      </c>
      <c r="AK2951" t="s">
        <v>6019</v>
      </c>
      <c r="AL2951">
        <v>-75.076939999999993</v>
      </c>
      <c r="AM2951">
        <v>100</v>
      </c>
      <c r="AN2951">
        <v>3700</v>
      </c>
      <c r="AO2951" t="s">
        <v>115</v>
      </c>
      <c r="AP2951">
        <v>128</v>
      </c>
      <c r="AQ2951">
        <v>120</v>
      </c>
      <c r="AR2951">
        <v>0</v>
      </c>
      <c r="AZ2951">
        <v>3614</v>
      </c>
      <c r="BA2951">
        <v>1</v>
      </c>
      <c r="BB2951" t="str">
        <f t="shared" si="137"/>
        <v xml:space="preserve">N959MJ  </v>
      </c>
      <c r="BC2951">
        <v>1</v>
      </c>
      <c r="BE2951">
        <v>0</v>
      </c>
      <c r="BF2951">
        <v>0</v>
      </c>
      <c r="BG2951">
        <v>0</v>
      </c>
      <c r="BH2951">
        <v>3875</v>
      </c>
      <c r="BI2951">
        <v>175</v>
      </c>
      <c r="BJ2951">
        <v>1</v>
      </c>
      <c r="BK2951">
        <v>1</v>
      </c>
      <c r="BL2951">
        <v>1</v>
      </c>
      <c r="BM2951">
        <v>0</v>
      </c>
      <c r="BP2951">
        <v>0</v>
      </c>
      <c r="BQ2951">
        <v>0</v>
      </c>
      <c r="BX2951" t="str">
        <f>"14:39:31.078"</f>
        <v>14:39:31.078</v>
      </c>
      <c r="BY2951" t="str">
        <f>"080139020"</f>
        <v>080139020</v>
      </c>
      <c r="CL2951">
        <v>0</v>
      </c>
      <c r="CM2951">
        <v>2</v>
      </c>
      <c r="CN2951">
        <v>0</v>
      </c>
      <c r="CO2951">
        <v>2</v>
      </c>
      <c r="CP2951">
        <v>0</v>
      </c>
      <c r="CQ2951">
        <v>4</v>
      </c>
      <c r="CR2951" t="s">
        <v>116</v>
      </c>
      <c r="CS2951">
        <v>40</v>
      </c>
      <c r="CT2951">
        <v>3</v>
      </c>
      <c r="CU2951" t="s">
        <v>2685</v>
      </c>
      <c r="CV2951" t="s">
        <v>2686</v>
      </c>
      <c r="CY2951">
        <v>8156764</v>
      </c>
      <c r="CZ2951" t="s">
        <v>119</v>
      </c>
    </row>
    <row r="2952" spans="1:104" x14ac:dyDescent="0.25">
      <c r="A2952" t="str">
        <f>"14:39:32.219"</f>
        <v>14:39:32.219</v>
      </c>
      <c r="B2952" t="s">
        <v>108</v>
      </c>
      <c r="C2952" t="str">
        <f t="shared" si="136"/>
        <v>ffdfd3c0</v>
      </c>
      <c r="D2952" t="s">
        <v>109</v>
      </c>
      <c r="E2952">
        <v>4</v>
      </c>
      <c r="F2952">
        <v>1004</v>
      </c>
      <c r="G2952" t="s">
        <v>110</v>
      </c>
      <c r="J2952" t="s">
        <v>111</v>
      </c>
      <c r="K2952">
        <v>0</v>
      </c>
      <c r="L2952">
        <v>3</v>
      </c>
      <c r="M2952">
        <v>0</v>
      </c>
      <c r="N2952">
        <v>2</v>
      </c>
      <c r="O2952">
        <v>1</v>
      </c>
      <c r="P2952">
        <v>0</v>
      </c>
      <c r="Q2952">
        <v>0</v>
      </c>
      <c r="R2952" t="s">
        <v>112</v>
      </c>
      <c r="S2952" t="str">
        <f>"14:39:32.008"</f>
        <v>14:39:32.008</v>
      </c>
      <c r="T2952" t="str">
        <f>"14:39:31.609"</f>
        <v>14:39:31.609</v>
      </c>
      <c r="U2952" t="str">
        <f t="shared" si="138"/>
        <v>ad5732</v>
      </c>
      <c r="V2952">
        <v>0</v>
      </c>
      <c r="W2952">
        <v>0</v>
      </c>
      <c r="X2952">
        <v>1</v>
      </c>
      <c r="Z2952">
        <v>0</v>
      </c>
      <c r="AA2952">
        <v>9</v>
      </c>
      <c r="AB2952">
        <v>3</v>
      </c>
      <c r="AC2952">
        <v>0</v>
      </c>
      <c r="AD2952">
        <v>10</v>
      </c>
      <c r="AE2952">
        <v>0</v>
      </c>
      <c r="AF2952">
        <v>3</v>
      </c>
      <c r="AG2952">
        <v>2</v>
      </c>
      <c r="AH2952">
        <v>0</v>
      </c>
      <c r="AI2952" t="s">
        <v>6020</v>
      </c>
      <c r="AJ2952">
        <v>40.343620999999999</v>
      </c>
      <c r="AK2952" t="s">
        <v>6021</v>
      </c>
      <c r="AL2952">
        <v>-75.076232000000005</v>
      </c>
      <c r="AM2952">
        <v>100</v>
      </c>
      <c r="AN2952">
        <v>3700</v>
      </c>
      <c r="AO2952" t="s">
        <v>115</v>
      </c>
      <c r="AP2952">
        <v>128</v>
      </c>
      <c r="AQ2952">
        <v>120</v>
      </c>
      <c r="AR2952">
        <v>-64</v>
      </c>
      <c r="AZ2952">
        <v>3614</v>
      </c>
      <c r="BA2952">
        <v>1</v>
      </c>
      <c r="BB2952" t="str">
        <f t="shared" si="137"/>
        <v xml:space="preserve">N959MJ  </v>
      </c>
      <c r="BC2952">
        <v>1</v>
      </c>
      <c r="BE2952">
        <v>0</v>
      </c>
      <c r="BF2952">
        <v>0</v>
      </c>
      <c r="BG2952">
        <v>0</v>
      </c>
      <c r="BH2952">
        <v>3875</v>
      </c>
      <c r="BI2952">
        <v>175</v>
      </c>
      <c r="BJ2952">
        <v>1</v>
      </c>
      <c r="BK2952">
        <v>1</v>
      </c>
      <c r="BL2952">
        <v>1</v>
      </c>
      <c r="BM2952">
        <v>0</v>
      </c>
      <c r="BP2952">
        <v>0</v>
      </c>
      <c r="BQ2952">
        <v>0</v>
      </c>
      <c r="BX2952" t="str">
        <f>"14:39:32.016"</f>
        <v>14:39:32.016</v>
      </c>
      <c r="BY2952" t="str">
        <f>"013919020"</f>
        <v>013919020</v>
      </c>
      <c r="CL2952">
        <v>0</v>
      </c>
      <c r="CM2952">
        <v>2</v>
      </c>
      <c r="CN2952">
        <v>0</v>
      </c>
      <c r="CO2952">
        <v>2</v>
      </c>
      <c r="CP2952">
        <v>0</v>
      </c>
      <c r="CQ2952">
        <v>6</v>
      </c>
      <c r="CR2952" t="s">
        <v>116</v>
      </c>
      <c r="CS2952">
        <v>39</v>
      </c>
      <c r="CT2952">
        <v>0</v>
      </c>
      <c r="CU2952" t="s">
        <v>2259</v>
      </c>
      <c r="CV2952" t="s">
        <v>2260</v>
      </c>
      <c r="CY2952">
        <v>2679071</v>
      </c>
      <c r="CZ2952" t="s">
        <v>119</v>
      </c>
    </row>
    <row r="2953" spans="1:104" x14ac:dyDescent="0.25">
      <c r="A2953" t="str">
        <f>"14:39:33.070"</f>
        <v>14:39:33.070</v>
      </c>
      <c r="B2953" t="s">
        <v>108</v>
      </c>
      <c r="C2953" t="str">
        <f t="shared" si="136"/>
        <v>ffdfd3c0</v>
      </c>
      <c r="D2953" t="s">
        <v>109</v>
      </c>
      <c r="E2953">
        <v>4</v>
      </c>
      <c r="F2953">
        <v>1004</v>
      </c>
      <c r="G2953" t="s">
        <v>110</v>
      </c>
      <c r="J2953" t="s">
        <v>111</v>
      </c>
      <c r="K2953">
        <v>0</v>
      </c>
      <c r="L2953">
        <v>3</v>
      </c>
      <c r="M2953">
        <v>0</v>
      </c>
      <c r="N2953">
        <v>2</v>
      </c>
      <c r="O2953">
        <v>1</v>
      </c>
      <c r="P2953">
        <v>0</v>
      </c>
      <c r="Q2953">
        <v>0</v>
      </c>
      <c r="R2953" t="s">
        <v>112</v>
      </c>
      <c r="S2953" t="str">
        <f>"14:39:32.883"</f>
        <v>14:39:32.883</v>
      </c>
      <c r="T2953" t="str">
        <f>"14:39:32.484"</f>
        <v>14:39:32.484</v>
      </c>
      <c r="U2953" t="str">
        <f t="shared" si="138"/>
        <v>ad5732</v>
      </c>
      <c r="V2953">
        <v>0</v>
      </c>
      <c r="W2953">
        <v>0</v>
      </c>
      <c r="X2953">
        <v>1</v>
      </c>
      <c r="Z2953">
        <v>0</v>
      </c>
      <c r="AA2953">
        <v>9</v>
      </c>
      <c r="AB2953">
        <v>3</v>
      </c>
      <c r="AC2953">
        <v>0</v>
      </c>
      <c r="AD2953">
        <v>10</v>
      </c>
      <c r="AE2953">
        <v>0</v>
      </c>
      <c r="AF2953">
        <v>3</v>
      </c>
      <c r="AG2953">
        <v>2</v>
      </c>
      <c r="AH2953">
        <v>0</v>
      </c>
      <c r="AI2953" t="s">
        <v>6022</v>
      </c>
      <c r="AJ2953">
        <v>40.344113999999998</v>
      </c>
      <c r="AK2953" t="s">
        <v>6023</v>
      </c>
      <c r="AL2953">
        <v>-75.075502</v>
      </c>
      <c r="AM2953">
        <v>100</v>
      </c>
      <c r="AN2953">
        <v>3700</v>
      </c>
      <c r="AO2953" t="s">
        <v>115</v>
      </c>
      <c r="AP2953">
        <v>128</v>
      </c>
      <c r="AQ2953">
        <v>121</v>
      </c>
      <c r="AR2953">
        <v>-64</v>
      </c>
      <c r="AZ2953">
        <v>3614</v>
      </c>
      <c r="BA2953">
        <v>1</v>
      </c>
      <c r="BB2953" t="str">
        <f t="shared" si="137"/>
        <v xml:space="preserve">N959MJ  </v>
      </c>
      <c r="BC2953">
        <v>1</v>
      </c>
      <c r="BE2953">
        <v>0</v>
      </c>
      <c r="BF2953">
        <v>0</v>
      </c>
      <c r="BG2953">
        <v>0</v>
      </c>
      <c r="BH2953">
        <v>3875</v>
      </c>
      <c r="BI2953">
        <v>175</v>
      </c>
      <c r="BJ2953">
        <v>1</v>
      </c>
      <c r="BK2953">
        <v>1</v>
      </c>
      <c r="BL2953">
        <v>1</v>
      </c>
      <c r="BM2953">
        <v>0</v>
      </c>
      <c r="BP2953">
        <v>0</v>
      </c>
      <c r="BQ2953">
        <v>0</v>
      </c>
      <c r="BX2953" t="str">
        <f>"14:39:32.883"</f>
        <v>14:39:32.883</v>
      </c>
      <c r="BY2953" t="str">
        <f>"883797071"</f>
        <v>883797071</v>
      </c>
      <c r="CL2953">
        <v>0</v>
      </c>
      <c r="CM2953">
        <v>2</v>
      </c>
      <c r="CN2953">
        <v>0</v>
      </c>
      <c r="CO2953">
        <v>2</v>
      </c>
      <c r="CP2953">
        <v>0</v>
      </c>
      <c r="CQ2953">
        <v>7</v>
      </c>
      <c r="CR2953" t="s">
        <v>116</v>
      </c>
      <c r="CS2953">
        <v>38</v>
      </c>
      <c r="CT2953">
        <v>3</v>
      </c>
      <c r="CU2953" t="s">
        <v>4719</v>
      </c>
      <c r="CV2953" t="s">
        <v>4720</v>
      </c>
      <c r="CY2953">
        <v>10496249</v>
      </c>
      <c r="CZ2953" t="s">
        <v>119</v>
      </c>
    </row>
    <row r="2954" spans="1:104" x14ac:dyDescent="0.25">
      <c r="A2954" t="str">
        <f>"14:39:33.875"</f>
        <v>14:39:33.875</v>
      </c>
      <c r="B2954" t="s">
        <v>108</v>
      </c>
      <c r="C2954" t="str">
        <f t="shared" ref="C2954:C3017" si="139">"ffdfd3c0"</f>
        <v>ffdfd3c0</v>
      </c>
      <c r="D2954" t="s">
        <v>109</v>
      </c>
      <c r="E2954">
        <v>4</v>
      </c>
      <c r="F2954">
        <v>1004</v>
      </c>
      <c r="G2954" t="s">
        <v>110</v>
      </c>
      <c r="J2954" t="s">
        <v>111</v>
      </c>
      <c r="K2954">
        <v>0</v>
      </c>
      <c r="L2954">
        <v>3</v>
      </c>
      <c r="M2954">
        <v>0</v>
      </c>
      <c r="N2954">
        <v>2</v>
      </c>
      <c r="O2954">
        <v>1</v>
      </c>
      <c r="P2954">
        <v>0</v>
      </c>
      <c r="Q2954">
        <v>0</v>
      </c>
      <c r="R2954" t="s">
        <v>112</v>
      </c>
      <c r="S2954" t="str">
        <f>"14:39:33.688"</f>
        <v>14:39:33.688</v>
      </c>
      <c r="T2954" t="str">
        <f>"14:39:33.289"</f>
        <v>14:39:33.289</v>
      </c>
      <c r="U2954" t="str">
        <f t="shared" si="138"/>
        <v>ad5732</v>
      </c>
      <c r="V2954">
        <v>0</v>
      </c>
      <c r="W2954">
        <v>0</v>
      </c>
      <c r="X2954">
        <v>1</v>
      </c>
      <c r="Z2954">
        <v>0</v>
      </c>
      <c r="AA2954">
        <v>9</v>
      </c>
      <c r="AB2954">
        <v>3</v>
      </c>
      <c r="AC2954">
        <v>0</v>
      </c>
      <c r="AD2954">
        <v>10</v>
      </c>
      <c r="AE2954">
        <v>0</v>
      </c>
      <c r="AF2954">
        <v>3</v>
      </c>
      <c r="AG2954">
        <v>2</v>
      </c>
      <c r="AH2954">
        <v>0</v>
      </c>
      <c r="AI2954" t="s">
        <v>6024</v>
      </c>
      <c r="AJ2954">
        <v>40.344543000000002</v>
      </c>
      <c r="AK2954" t="s">
        <v>6025</v>
      </c>
      <c r="AL2954">
        <v>-75.074944000000002</v>
      </c>
      <c r="AM2954">
        <v>100</v>
      </c>
      <c r="AN2954">
        <v>3700</v>
      </c>
      <c r="AO2954" t="s">
        <v>115</v>
      </c>
      <c r="AP2954">
        <v>128</v>
      </c>
      <c r="AQ2954">
        <v>121</v>
      </c>
      <c r="AR2954">
        <v>-64</v>
      </c>
      <c r="AZ2954">
        <v>3614</v>
      </c>
      <c r="BA2954">
        <v>1</v>
      </c>
      <c r="BB2954" t="str">
        <f t="shared" ref="BB2954:BB3017" si="140">"N959MJ  "</f>
        <v xml:space="preserve">N959MJ  </v>
      </c>
      <c r="BC2954">
        <v>1</v>
      </c>
      <c r="BE2954">
        <v>0</v>
      </c>
      <c r="BF2954">
        <v>0</v>
      </c>
      <c r="BG2954">
        <v>0</v>
      </c>
      <c r="BH2954">
        <v>3875</v>
      </c>
      <c r="BI2954">
        <v>175</v>
      </c>
      <c r="BJ2954">
        <v>1</v>
      </c>
      <c r="BK2954">
        <v>1</v>
      </c>
      <c r="BL2954">
        <v>1</v>
      </c>
      <c r="BM2954">
        <v>0</v>
      </c>
      <c r="BP2954">
        <v>0</v>
      </c>
      <c r="BQ2954">
        <v>0</v>
      </c>
      <c r="BX2954" t="str">
        <f>"14:39:33.695"</f>
        <v>14:39:33.695</v>
      </c>
      <c r="BY2954" t="str">
        <f>"694818847"</f>
        <v>694818847</v>
      </c>
      <c r="CL2954">
        <v>0</v>
      </c>
      <c r="CM2954">
        <v>2</v>
      </c>
      <c r="CN2954">
        <v>0</v>
      </c>
      <c r="CO2954">
        <v>2</v>
      </c>
      <c r="CP2954">
        <v>0</v>
      </c>
      <c r="CQ2954">
        <v>7</v>
      </c>
      <c r="CR2954" t="s">
        <v>116</v>
      </c>
      <c r="CS2954">
        <v>38</v>
      </c>
      <c r="CT2954">
        <v>3</v>
      </c>
      <c r="CU2954" t="s">
        <v>4719</v>
      </c>
      <c r="CV2954" t="s">
        <v>4720</v>
      </c>
      <c r="CY2954">
        <v>10497722</v>
      </c>
      <c r="CZ2954" t="s">
        <v>119</v>
      </c>
    </row>
    <row r="2955" spans="1:104" x14ac:dyDescent="0.25">
      <c r="A2955" t="str">
        <f>"14:39:34.938"</f>
        <v>14:39:34.938</v>
      </c>
      <c r="B2955" t="s">
        <v>108</v>
      </c>
      <c r="C2955" t="str">
        <f t="shared" si="139"/>
        <v>ffdfd3c0</v>
      </c>
      <c r="D2955" t="s">
        <v>109</v>
      </c>
      <c r="E2955">
        <v>4</v>
      </c>
      <c r="F2955">
        <v>1004</v>
      </c>
      <c r="G2955" t="s">
        <v>110</v>
      </c>
      <c r="J2955" t="s">
        <v>111</v>
      </c>
      <c r="K2955">
        <v>0</v>
      </c>
      <c r="L2955">
        <v>3</v>
      </c>
      <c r="M2955">
        <v>0</v>
      </c>
      <c r="N2955">
        <v>2</v>
      </c>
      <c r="O2955">
        <v>1</v>
      </c>
      <c r="P2955">
        <v>0</v>
      </c>
      <c r="Q2955">
        <v>0</v>
      </c>
      <c r="R2955" t="s">
        <v>112</v>
      </c>
      <c r="S2955" t="str">
        <f>"14:39:34.766"</f>
        <v>14:39:34.766</v>
      </c>
      <c r="T2955" t="str">
        <f>"14:39:34.266"</f>
        <v>14:39:34.266</v>
      </c>
      <c r="U2955" t="str">
        <f t="shared" si="138"/>
        <v>ad5732</v>
      </c>
      <c r="V2955">
        <v>0</v>
      </c>
      <c r="W2955">
        <v>0</v>
      </c>
      <c r="X2955">
        <v>1</v>
      </c>
      <c r="Z2955">
        <v>0</v>
      </c>
      <c r="AA2955">
        <v>9</v>
      </c>
      <c r="AB2955">
        <v>3</v>
      </c>
      <c r="AC2955">
        <v>0</v>
      </c>
      <c r="AD2955">
        <v>10</v>
      </c>
      <c r="AE2955">
        <v>0</v>
      </c>
      <c r="AF2955">
        <v>3</v>
      </c>
      <c r="AG2955">
        <v>2</v>
      </c>
      <c r="AH2955">
        <v>0</v>
      </c>
      <c r="AI2955" t="s">
        <v>6026</v>
      </c>
      <c r="AJ2955">
        <v>40.345187000000003</v>
      </c>
      <c r="AK2955" t="s">
        <v>6027</v>
      </c>
      <c r="AL2955">
        <v>-75.074085999999994</v>
      </c>
      <c r="AM2955">
        <v>100</v>
      </c>
      <c r="AN2955">
        <v>3700</v>
      </c>
      <c r="AO2955" t="s">
        <v>115</v>
      </c>
      <c r="AP2955">
        <v>128</v>
      </c>
      <c r="AQ2955">
        <v>121</v>
      </c>
      <c r="AR2955">
        <v>-64</v>
      </c>
      <c r="AZ2955">
        <v>3614</v>
      </c>
      <c r="BA2955">
        <v>1</v>
      </c>
      <c r="BB2955" t="str">
        <f t="shared" si="140"/>
        <v xml:space="preserve">N959MJ  </v>
      </c>
      <c r="BC2955">
        <v>1</v>
      </c>
      <c r="BE2955">
        <v>0</v>
      </c>
      <c r="BF2955">
        <v>0</v>
      </c>
      <c r="BG2955">
        <v>0</v>
      </c>
      <c r="BH2955">
        <v>3875</v>
      </c>
      <c r="BI2955">
        <v>175</v>
      </c>
      <c r="BJ2955">
        <v>1</v>
      </c>
      <c r="BK2955">
        <v>1</v>
      </c>
      <c r="BL2955">
        <v>1</v>
      </c>
      <c r="BM2955">
        <v>0</v>
      </c>
      <c r="BP2955">
        <v>0</v>
      </c>
      <c r="BQ2955">
        <v>0</v>
      </c>
      <c r="BX2955" t="str">
        <f>"14:39:34.766"</f>
        <v>14:39:34.766</v>
      </c>
      <c r="BY2955" t="str">
        <f>"766350976"</f>
        <v>766350976</v>
      </c>
      <c r="CL2955">
        <v>0</v>
      </c>
      <c r="CM2955">
        <v>2</v>
      </c>
      <c r="CN2955">
        <v>0</v>
      </c>
      <c r="CO2955">
        <v>2</v>
      </c>
      <c r="CP2955">
        <v>0</v>
      </c>
      <c r="CQ2955">
        <v>7</v>
      </c>
      <c r="CR2955" t="s">
        <v>116</v>
      </c>
      <c r="CS2955">
        <v>38</v>
      </c>
      <c r="CT2955">
        <v>3</v>
      </c>
      <c r="CU2955" t="s">
        <v>4719</v>
      </c>
      <c r="CV2955" t="s">
        <v>4720</v>
      </c>
      <c r="CY2955">
        <v>10499686</v>
      </c>
      <c r="CZ2955" t="s">
        <v>119</v>
      </c>
    </row>
    <row r="2956" spans="1:104" x14ac:dyDescent="0.25">
      <c r="A2956" t="str">
        <f>"14:39:35.945"</f>
        <v>14:39:35.945</v>
      </c>
      <c r="B2956" t="s">
        <v>108</v>
      </c>
      <c r="C2956" t="str">
        <f t="shared" si="139"/>
        <v>ffdfd3c0</v>
      </c>
      <c r="D2956" t="s">
        <v>109</v>
      </c>
      <c r="E2956">
        <v>4</v>
      </c>
      <c r="F2956">
        <v>1004</v>
      </c>
      <c r="G2956" t="s">
        <v>110</v>
      </c>
      <c r="J2956" t="s">
        <v>111</v>
      </c>
      <c r="K2956">
        <v>0</v>
      </c>
      <c r="L2956">
        <v>3</v>
      </c>
      <c r="M2956">
        <v>0</v>
      </c>
      <c r="N2956">
        <v>2</v>
      </c>
      <c r="O2956">
        <v>1</v>
      </c>
      <c r="P2956">
        <v>0</v>
      </c>
      <c r="Q2956">
        <v>0</v>
      </c>
      <c r="R2956" t="s">
        <v>112</v>
      </c>
      <c r="S2956" t="str">
        <f>"14:39:35.766"</f>
        <v>14:39:35.766</v>
      </c>
      <c r="T2956" t="str">
        <f>"14:39:35.266"</f>
        <v>14:39:35.266</v>
      </c>
      <c r="U2956" t="str">
        <f t="shared" si="138"/>
        <v>ad5732</v>
      </c>
      <c r="V2956">
        <v>0</v>
      </c>
      <c r="W2956">
        <v>0</v>
      </c>
      <c r="X2956">
        <v>1</v>
      </c>
      <c r="Z2956">
        <v>0</v>
      </c>
      <c r="AA2956">
        <v>9</v>
      </c>
      <c r="AB2956">
        <v>3</v>
      </c>
      <c r="AC2956">
        <v>0</v>
      </c>
      <c r="AD2956">
        <v>10</v>
      </c>
      <c r="AE2956">
        <v>0</v>
      </c>
      <c r="AF2956">
        <v>3</v>
      </c>
      <c r="AG2956">
        <v>2</v>
      </c>
      <c r="AH2956">
        <v>0</v>
      </c>
      <c r="AI2956" t="s">
        <v>6028</v>
      </c>
      <c r="AJ2956">
        <v>40.345723999999997</v>
      </c>
      <c r="AK2956" t="s">
        <v>6029</v>
      </c>
      <c r="AL2956">
        <v>-75.073313999999996</v>
      </c>
      <c r="AM2956">
        <v>100</v>
      </c>
      <c r="AN2956">
        <v>3700</v>
      </c>
      <c r="AO2956" t="s">
        <v>115</v>
      </c>
      <c r="AP2956">
        <v>128</v>
      </c>
      <c r="AQ2956">
        <v>121</v>
      </c>
      <c r="AR2956">
        <v>-64</v>
      </c>
      <c r="AZ2956">
        <v>3614</v>
      </c>
      <c r="BA2956">
        <v>1</v>
      </c>
      <c r="BB2956" t="str">
        <f t="shared" si="140"/>
        <v xml:space="preserve">N959MJ  </v>
      </c>
      <c r="BC2956">
        <v>1</v>
      </c>
      <c r="BE2956">
        <v>0</v>
      </c>
      <c r="BF2956">
        <v>0</v>
      </c>
      <c r="BG2956">
        <v>0</v>
      </c>
      <c r="BH2956">
        <v>3875</v>
      </c>
      <c r="BI2956">
        <v>175</v>
      </c>
      <c r="BJ2956">
        <v>1</v>
      </c>
      <c r="BK2956">
        <v>1</v>
      </c>
      <c r="BL2956">
        <v>1</v>
      </c>
      <c r="BM2956">
        <v>0</v>
      </c>
      <c r="BP2956">
        <v>0</v>
      </c>
      <c r="BQ2956">
        <v>0</v>
      </c>
      <c r="BX2956" t="str">
        <f>"14:39:35.773"</f>
        <v>14:39:35.773</v>
      </c>
      <c r="BY2956" t="str">
        <f>"772345976"</f>
        <v>772345976</v>
      </c>
      <c r="CL2956">
        <v>0</v>
      </c>
      <c r="CM2956">
        <v>2</v>
      </c>
      <c r="CN2956">
        <v>0</v>
      </c>
      <c r="CO2956">
        <v>2</v>
      </c>
      <c r="CP2956">
        <v>0</v>
      </c>
      <c r="CQ2956">
        <v>7</v>
      </c>
      <c r="CR2956" t="s">
        <v>116</v>
      </c>
      <c r="CS2956">
        <v>38</v>
      </c>
      <c r="CT2956">
        <v>3</v>
      </c>
      <c r="CU2956" t="s">
        <v>4719</v>
      </c>
      <c r="CV2956" t="s">
        <v>4720</v>
      </c>
      <c r="CY2956">
        <v>10501428</v>
      </c>
      <c r="CZ2956" t="s">
        <v>119</v>
      </c>
    </row>
    <row r="2957" spans="1:104" x14ac:dyDescent="0.25">
      <c r="A2957" t="str">
        <f>"14:39:36.859"</f>
        <v>14:39:36.859</v>
      </c>
      <c r="B2957" t="s">
        <v>108</v>
      </c>
      <c r="C2957" t="str">
        <f t="shared" si="139"/>
        <v>ffdfd3c0</v>
      </c>
      <c r="D2957" t="s">
        <v>109</v>
      </c>
      <c r="E2957">
        <v>4</v>
      </c>
      <c r="F2957">
        <v>1004</v>
      </c>
      <c r="G2957" t="s">
        <v>110</v>
      </c>
      <c r="J2957" t="s">
        <v>111</v>
      </c>
      <c r="K2957">
        <v>0</v>
      </c>
      <c r="L2957">
        <v>3</v>
      </c>
      <c r="M2957">
        <v>0</v>
      </c>
      <c r="N2957">
        <v>2</v>
      </c>
      <c r="O2957">
        <v>1</v>
      </c>
      <c r="P2957">
        <v>0</v>
      </c>
      <c r="Q2957">
        <v>0</v>
      </c>
      <c r="R2957" t="s">
        <v>112</v>
      </c>
      <c r="S2957" t="str">
        <f>"14:39:36.672"</f>
        <v>14:39:36.672</v>
      </c>
      <c r="T2957" t="str">
        <f>"14:39:36.273"</f>
        <v>14:39:36.273</v>
      </c>
      <c r="U2957" t="str">
        <f t="shared" si="138"/>
        <v>ad5732</v>
      </c>
      <c r="V2957">
        <v>0</v>
      </c>
      <c r="W2957">
        <v>0</v>
      </c>
      <c r="X2957">
        <v>1</v>
      </c>
      <c r="Z2957">
        <v>0</v>
      </c>
      <c r="AA2957">
        <v>9</v>
      </c>
      <c r="AB2957">
        <v>3</v>
      </c>
      <c r="AC2957">
        <v>0</v>
      </c>
      <c r="AD2957">
        <v>10</v>
      </c>
      <c r="AE2957">
        <v>0</v>
      </c>
      <c r="AF2957">
        <v>3</v>
      </c>
      <c r="AG2957">
        <v>2</v>
      </c>
      <c r="AH2957">
        <v>0</v>
      </c>
      <c r="AI2957" t="s">
        <v>6030</v>
      </c>
      <c r="AJ2957">
        <v>40.346260000000001</v>
      </c>
      <c r="AK2957" t="s">
        <v>6031</v>
      </c>
      <c r="AL2957">
        <v>-75.072584000000006</v>
      </c>
      <c r="AM2957">
        <v>100</v>
      </c>
      <c r="AN2957">
        <v>3700</v>
      </c>
      <c r="AO2957" t="s">
        <v>115</v>
      </c>
      <c r="AP2957">
        <v>128</v>
      </c>
      <c r="AQ2957">
        <v>121</v>
      </c>
      <c r="AR2957">
        <v>-64</v>
      </c>
      <c r="AZ2957">
        <v>3614</v>
      </c>
      <c r="BA2957">
        <v>1</v>
      </c>
      <c r="BB2957" t="str">
        <f t="shared" si="140"/>
        <v xml:space="preserve">N959MJ  </v>
      </c>
      <c r="BC2957">
        <v>1</v>
      </c>
      <c r="BE2957">
        <v>0</v>
      </c>
      <c r="BF2957">
        <v>0</v>
      </c>
      <c r="BG2957">
        <v>0</v>
      </c>
      <c r="BH2957">
        <v>3850</v>
      </c>
      <c r="BI2957">
        <v>150</v>
      </c>
      <c r="BJ2957">
        <v>1</v>
      </c>
      <c r="BK2957">
        <v>1</v>
      </c>
      <c r="BL2957">
        <v>1</v>
      </c>
      <c r="BM2957">
        <v>0</v>
      </c>
      <c r="BP2957">
        <v>0</v>
      </c>
      <c r="BQ2957">
        <v>0</v>
      </c>
      <c r="BX2957" t="str">
        <f>"14:39:36.672"</f>
        <v>14:39:36.672</v>
      </c>
      <c r="BY2957" t="str">
        <f>"675249678"</f>
        <v>675249678</v>
      </c>
      <c r="CL2957">
        <v>0</v>
      </c>
      <c r="CM2957">
        <v>2</v>
      </c>
      <c r="CN2957">
        <v>0</v>
      </c>
      <c r="CO2957">
        <v>2</v>
      </c>
      <c r="CP2957">
        <v>0</v>
      </c>
      <c r="CQ2957">
        <v>6</v>
      </c>
      <c r="CR2957" t="s">
        <v>116</v>
      </c>
      <c r="CS2957">
        <v>39</v>
      </c>
      <c r="CT2957">
        <v>0</v>
      </c>
      <c r="CU2957" t="s">
        <v>2259</v>
      </c>
      <c r="CV2957" t="s">
        <v>2260</v>
      </c>
      <c r="CY2957">
        <v>2686388</v>
      </c>
      <c r="CZ2957" t="s">
        <v>119</v>
      </c>
    </row>
    <row r="2958" spans="1:104" x14ac:dyDescent="0.25">
      <c r="A2958" t="str">
        <f>"14:39:37.813"</f>
        <v>14:39:37.813</v>
      </c>
      <c r="B2958" t="s">
        <v>108</v>
      </c>
      <c r="C2958" t="str">
        <f t="shared" si="139"/>
        <v>ffdfd3c0</v>
      </c>
      <c r="D2958" t="s">
        <v>109</v>
      </c>
      <c r="E2958">
        <v>4</v>
      </c>
      <c r="F2958">
        <v>1004</v>
      </c>
      <c r="G2958" t="s">
        <v>110</v>
      </c>
      <c r="J2958" t="s">
        <v>111</v>
      </c>
      <c r="K2958">
        <v>0</v>
      </c>
      <c r="L2958">
        <v>3</v>
      </c>
      <c r="M2958">
        <v>0</v>
      </c>
      <c r="N2958">
        <v>2</v>
      </c>
      <c r="O2958">
        <v>1</v>
      </c>
      <c r="P2958">
        <v>0</v>
      </c>
      <c r="Q2958">
        <v>0</v>
      </c>
      <c r="R2958" t="s">
        <v>112</v>
      </c>
      <c r="S2958" t="str">
        <f>"14:39:37.633"</f>
        <v>14:39:37.633</v>
      </c>
      <c r="T2958" t="str">
        <f>"14:39:37.234"</f>
        <v>14:39:37.234</v>
      </c>
      <c r="U2958" t="str">
        <f t="shared" si="138"/>
        <v>ad5732</v>
      </c>
      <c r="V2958">
        <v>0</v>
      </c>
      <c r="W2958">
        <v>0</v>
      </c>
      <c r="X2958">
        <v>1</v>
      </c>
      <c r="Z2958">
        <v>0</v>
      </c>
      <c r="AA2958">
        <v>9</v>
      </c>
      <c r="AB2958">
        <v>3</v>
      </c>
      <c r="AC2958">
        <v>0</v>
      </c>
      <c r="AD2958">
        <v>10</v>
      </c>
      <c r="AE2958">
        <v>0</v>
      </c>
      <c r="AF2958">
        <v>3</v>
      </c>
      <c r="AG2958">
        <v>2</v>
      </c>
      <c r="AH2958">
        <v>0</v>
      </c>
      <c r="AI2958" t="s">
        <v>6032</v>
      </c>
      <c r="AJ2958">
        <v>40.346817999999999</v>
      </c>
      <c r="AK2958" t="s">
        <v>6033</v>
      </c>
      <c r="AL2958">
        <v>-75.071832999999998</v>
      </c>
      <c r="AM2958">
        <v>100</v>
      </c>
      <c r="AN2958">
        <v>3700</v>
      </c>
      <c r="AO2958" t="s">
        <v>115</v>
      </c>
      <c r="AP2958">
        <v>128</v>
      </c>
      <c r="AQ2958">
        <v>121</v>
      </c>
      <c r="AR2958">
        <v>-64</v>
      </c>
      <c r="AZ2958">
        <v>3614</v>
      </c>
      <c r="BA2958">
        <v>1</v>
      </c>
      <c r="BB2958" t="str">
        <f t="shared" si="140"/>
        <v xml:space="preserve">N959MJ  </v>
      </c>
      <c r="BC2958">
        <v>1</v>
      </c>
      <c r="BE2958">
        <v>0</v>
      </c>
      <c r="BF2958">
        <v>0</v>
      </c>
      <c r="BG2958">
        <v>0</v>
      </c>
      <c r="BH2958">
        <v>3850</v>
      </c>
      <c r="BI2958">
        <v>150</v>
      </c>
      <c r="BJ2958">
        <v>1</v>
      </c>
      <c r="BK2958">
        <v>1</v>
      </c>
      <c r="BL2958">
        <v>1</v>
      </c>
      <c r="BM2958">
        <v>0</v>
      </c>
      <c r="BP2958">
        <v>0</v>
      </c>
      <c r="BQ2958">
        <v>0</v>
      </c>
      <c r="BX2958" t="str">
        <f>"14:39:37.633"</f>
        <v>14:39:37.633</v>
      </c>
      <c r="BY2958" t="str">
        <f>"635238992"</f>
        <v>635238992</v>
      </c>
      <c r="CL2958">
        <v>0</v>
      </c>
      <c r="CM2958">
        <v>2</v>
      </c>
      <c r="CN2958">
        <v>0</v>
      </c>
      <c r="CO2958">
        <v>2</v>
      </c>
      <c r="CP2958">
        <v>0</v>
      </c>
      <c r="CQ2958">
        <v>7</v>
      </c>
      <c r="CR2958" t="s">
        <v>116</v>
      </c>
      <c r="CS2958">
        <v>38</v>
      </c>
      <c r="CT2958">
        <v>3</v>
      </c>
      <c r="CU2958" t="s">
        <v>4719</v>
      </c>
      <c r="CV2958" t="s">
        <v>4720</v>
      </c>
      <c r="CY2958">
        <v>10504609</v>
      </c>
      <c r="CZ2958" t="s">
        <v>119</v>
      </c>
    </row>
    <row r="2959" spans="1:104" x14ac:dyDescent="0.25">
      <c r="A2959" t="str">
        <f>"14:39:38.828"</f>
        <v>14:39:38.828</v>
      </c>
      <c r="B2959" t="s">
        <v>108</v>
      </c>
      <c r="C2959" t="str">
        <f t="shared" si="139"/>
        <v>ffdfd3c0</v>
      </c>
      <c r="D2959" t="s">
        <v>109</v>
      </c>
      <c r="E2959">
        <v>4</v>
      </c>
      <c r="F2959">
        <v>1004</v>
      </c>
      <c r="G2959" t="s">
        <v>110</v>
      </c>
      <c r="J2959" t="s">
        <v>111</v>
      </c>
      <c r="K2959">
        <v>0</v>
      </c>
      <c r="L2959">
        <v>3</v>
      </c>
      <c r="M2959">
        <v>0</v>
      </c>
      <c r="N2959">
        <v>2</v>
      </c>
      <c r="O2959">
        <v>1</v>
      </c>
      <c r="P2959">
        <v>0</v>
      </c>
      <c r="Q2959">
        <v>0</v>
      </c>
      <c r="R2959" t="s">
        <v>112</v>
      </c>
      <c r="S2959" t="str">
        <f>"14:39:38.633"</f>
        <v>14:39:38.633</v>
      </c>
      <c r="T2959" t="str">
        <f>"14:39:38.133"</f>
        <v>14:39:38.133</v>
      </c>
      <c r="U2959" t="str">
        <f t="shared" si="138"/>
        <v>ad5732</v>
      </c>
      <c r="V2959">
        <v>0</v>
      </c>
      <c r="W2959">
        <v>0</v>
      </c>
      <c r="X2959">
        <v>1</v>
      </c>
      <c r="Z2959">
        <v>0</v>
      </c>
      <c r="AA2959">
        <v>9</v>
      </c>
      <c r="AB2959">
        <v>3</v>
      </c>
      <c r="AC2959">
        <v>0</v>
      </c>
      <c r="AD2959">
        <v>10</v>
      </c>
      <c r="AE2959">
        <v>0</v>
      </c>
      <c r="AF2959">
        <v>3</v>
      </c>
      <c r="AG2959">
        <v>2</v>
      </c>
      <c r="AH2959">
        <v>0</v>
      </c>
      <c r="AI2959" t="s">
        <v>6034</v>
      </c>
      <c r="AJ2959">
        <v>40.347375999999997</v>
      </c>
      <c r="AK2959" t="s">
        <v>6035</v>
      </c>
      <c r="AL2959">
        <v>-75.071082000000004</v>
      </c>
      <c r="AM2959">
        <v>100</v>
      </c>
      <c r="AN2959">
        <v>3700</v>
      </c>
      <c r="AO2959" t="s">
        <v>115</v>
      </c>
      <c r="AP2959">
        <v>128</v>
      </c>
      <c r="AQ2959">
        <v>121</v>
      </c>
      <c r="AR2959">
        <v>-64</v>
      </c>
      <c r="AZ2959">
        <v>3614</v>
      </c>
      <c r="BA2959">
        <v>1</v>
      </c>
      <c r="BB2959" t="str">
        <f t="shared" si="140"/>
        <v xml:space="preserve">N959MJ  </v>
      </c>
      <c r="BC2959">
        <v>1</v>
      </c>
      <c r="BE2959">
        <v>0</v>
      </c>
      <c r="BF2959">
        <v>0</v>
      </c>
      <c r="BG2959">
        <v>0</v>
      </c>
      <c r="BH2959">
        <v>3850</v>
      </c>
      <c r="BI2959">
        <v>150</v>
      </c>
      <c r="BJ2959">
        <v>1</v>
      </c>
      <c r="BK2959">
        <v>1</v>
      </c>
      <c r="BL2959">
        <v>1</v>
      </c>
      <c r="BM2959">
        <v>0</v>
      </c>
      <c r="BP2959">
        <v>0</v>
      </c>
      <c r="BQ2959">
        <v>0</v>
      </c>
      <c r="BX2959" t="str">
        <f>"14:39:38.641"</f>
        <v>14:39:38.641</v>
      </c>
      <c r="BY2959" t="str">
        <f>"637957139"</f>
        <v>637957139</v>
      </c>
      <c r="CL2959">
        <v>0</v>
      </c>
      <c r="CM2959">
        <v>2</v>
      </c>
      <c r="CN2959">
        <v>0</v>
      </c>
      <c r="CO2959">
        <v>2</v>
      </c>
      <c r="CP2959">
        <v>0</v>
      </c>
      <c r="CQ2959">
        <v>7</v>
      </c>
      <c r="CR2959" t="s">
        <v>116</v>
      </c>
      <c r="CS2959">
        <v>38</v>
      </c>
      <c r="CT2959">
        <v>3</v>
      </c>
      <c r="CU2959" t="s">
        <v>4719</v>
      </c>
      <c r="CV2959" t="s">
        <v>4720</v>
      </c>
      <c r="CY2959">
        <v>10506424</v>
      </c>
      <c r="CZ2959" t="s">
        <v>119</v>
      </c>
    </row>
    <row r="2960" spans="1:104" x14ac:dyDescent="0.25">
      <c r="A2960" t="str">
        <f>"14:39:39.734"</f>
        <v>14:39:39.734</v>
      </c>
      <c r="B2960" t="s">
        <v>108</v>
      </c>
      <c r="C2960" t="str">
        <f t="shared" si="139"/>
        <v>ffdfd3c0</v>
      </c>
      <c r="D2960" t="s">
        <v>109</v>
      </c>
      <c r="E2960">
        <v>4</v>
      </c>
      <c r="F2960">
        <v>1004</v>
      </c>
      <c r="G2960" t="s">
        <v>110</v>
      </c>
      <c r="J2960" t="s">
        <v>111</v>
      </c>
      <c r="K2960">
        <v>0</v>
      </c>
      <c r="L2960">
        <v>3</v>
      </c>
      <c r="M2960">
        <v>0</v>
      </c>
      <c r="N2960">
        <v>2</v>
      </c>
      <c r="O2960">
        <v>1</v>
      </c>
      <c r="P2960">
        <v>0</v>
      </c>
      <c r="Q2960">
        <v>0</v>
      </c>
      <c r="R2960" t="s">
        <v>112</v>
      </c>
      <c r="S2960" t="str">
        <f>"14:39:39.539"</f>
        <v>14:39:39.539</v>
      </c>
      <c r="T2960" t="str">
        <f>"14:39:39.141"</f>
        <v>14:39:39.141</v>
      </c>
      <c r="U2960" t="str">
        <f t="shared" si="138"/>
        <v>ad5732</v>
      </c>
      <c r="V2960">
        <v>0</v>
      </c>
      <c r="W2960">
        <v>0</v>
      </c>
      <c r="X2960">
        <v>1</v>
      </c>
      <c r="Z2960">
        <v>0</v>
      </c>
      <c r="AA2960">
        <v>9</v>
      </c>
      <c r="AB2960">
        <v>3</v>
      </c>
      <c r="AC2960">
        <v>0</v>
      </c>
      <c r="AD2960">
        <v>10</v>
      </c>
      <c r="AE2960">
        <v>0</v>
      </c>
      <c r="AF2960">
        <v>3</v>
      </c>
      <c r="AG2960">
        <v>2</v>
      </c>
      <c r="AH2960">
        <v>0</v>
      </c>
      <c r="AI2960" t="s">
        <v>6036</v>
      </c>
      <c r="AJ2960">
        <v>40.347890999999997</v>
      </c>
      <c r="AK2960" t="s">
        <v>6037</v>
      </c>
      <c r="AL2960">
        <v>-75.070374000000001</v>
      </c>
      <c r="AM2960">
        <v>100</v>
      </c>
      <c r="AN2960">
        <v>3700</v>
      </c>
      <c r="AO2960" t="s">
        <v>115</v>
      </c>
      <c r="AP2960">
        <v>128</v>
      </c>
      <c r="AQ2960">
        <v>121</v>
      </c>
      <c r="AR2960">
        <v>-64</v>
      </c>
      <c r="AZ2960">
        <v>3614</v>
      </c>
      <c r="BA2960">
        <v>1</v>
      </c>
      <c r="BB2960" t="str">
        <f t="shared" si="140"/>
        <v xml:space="preserve">N959MJ  </v>
      </c>
      <c r="BC2960">
        <v>1</v>
      </c>
      <c r="BE2960">
        <v>0</v>
      </c>
      <c r="BF2960">
        <v>0</v>
      </c>
      <c r="BG2960">
        <v>0</v>
      </c>
      <c r="BH2960">
        <v>3850</v>
      </c>
      <c r="BI2960">
        <v>150</v>
      </c>
      <c r="BJ2960">
        <v>1</v>
      </c>
      <c r="BK2960">
        <v>1</v>
      </c>
      <c r="BL2960">
        <v>1</v>
      </c>
      <c r="BM2960">
        <v>0</v>
      </c>
      <c r="BP2960">
        <v>0</v>
      </c>
      <c r="BQ2960">
        <v>0</v>
      </c>
      <c r="BX2960" t="str">
        <f>"14:39:39.539"</f>
        <v>14:39:39.539</v>
      </c>
      <c r="BY2960" t="str">
        <f>"539092776"</f>
        <v>539092776</v>
      </c>
      <c r="CL2960">
        <v>0</v>
      </c>
      <c r="CM2960">
        <v>2</v>
      </c>
      <c r="CN2960">
        <v>0</v>
      </c>
      <c r="CO2960">
        <v>2</v>
      </c>
      <c r="CP2960">
        <v>0</v>
      </c>
      <c r="CQ2960">
        <v>7</v>
      </c>
      <c r="CR2960" t="s">
        <v>116</v>
      </c>
      <c r="CS2960">
        <v>38</v>
      </c>
      <c r="CT2960">
        <v>3</v>
      </c>
      <c r="CU2960" t="s">
        <v>4719</v>
      </c>
      <c r="CV2960" t="s">
        <v>4720</v>
      </c>
      <c r="CY2960">
        <v>10508133</v>
      </c>
      <c r="CZ2960" t="s">
        <v>119</v>
      </c>
    </row>
    <row r="2961" spans="1:104" x14ac:dyDescent="0.25">
      <c r="A2961" t="str">
        <f>"14:39:40.594"</f>
        <v>14:39:40.594</v>
      </c>
      <c r="B2961" t="s">
        <v>108</v>
      </c>
      <c r="C2961" t="str">
        <f t="shared" si="139"/>
        <v>ffdfd3c0</v>
      </c>
      <c r="D2961" t="s">
        <v>109</v>
      </c>
      <c r="E2961">
        <v>4</v>
      </c>
      <c r="F2961">
        <v>1004</v>
      </c>
      <c r="G2961" t="s">
        <v>110</v>
      </c>
      <c r="J2961" t="s">
        <v>111</v>
      </c>
      <c r="K2961">
        <v>0</v>
      </c>
      <c r="L2961">
        <v>3</v>
      </c>
      <c r="M2961">
        <v>0</v>
      </c>
      <c r="N2961">
        <v>2</v>
      </c>
      <c r="O2961">
        <v>1</v>
      </c>
      <c r="P2961">
        <v>0</v>
      </c>
      <c r="Q2961">
        <v>0</v>
      </c>
      <c r="R2961" t="s">
        <v>112</v>
      </c>
      <c r="S2961" t="str">
        <f>"14:39:40.398"</f>
        <v>14:39:40.398</v>
      </c>
      <c r="T2961" t="str">
        <f>"14:39:40.000"</f>
        <v>14:39:40.000</v>
      </c>
      <c r="U2961" t="str">
        <f t="shared" si="138"/>
        <v>ad5732</v>
      </c>
      <c r="V2961">
        <v>0</v>
      </c>
      <c r="W2961">
        <v>0</v>
      </c>
      <c r="X2961">
        <v>1</v>
      </c>
      <c r="Z2961">
        <v>0</v>
      </c>
      <c r="AA2961">
        <v>9</v>
      </c>
      <c r="AB2961">
        <v>3</v>
      </c>
      <c r="AC2961">
        <v>0</v>
      </c>
      <c r="AD2961">
        <v>10</v>
      </c>
      <c r="AE2961">
        <v>0</v>
      </c>
      <c r="AF2961">
        <v>3</v>
      </c>
      <c r="AG2961">
        <v>2</v>
      </c>
      <c r="AH2961">
        <v>0</v>
      </c>
      <c r="AI2961" t="s">
        <v>6038</v>
      </c>
      <c r="AJ2961">
        <v>40.348340999999998</v>
      </c>
      <c r="AK2961" t="s">
        <v>6039</v>
      </c>
      <c r="AL2961">
        <v>-75.069772999999998</v>
      </c>
      <c r="AM2961">
        <v>100</v>
      </c>
      <c r="AN2961">
        <v>3700</v>
      </c>
      <c r="AO2961" t="s">
        <v>115</v>
      </c>
      <c r="AP2961">
        <v>128</v>
      </c>
      <c r="AQ2961">
        <v>121</v>
      </c>
      <c r="AR2961">
        <v>0</v>
      </c>
      <c r="AZ2961">
        <v>3614</v>
      </c>
      <c r="BA2961">
        <v>1</v>
      </c>
      <c r="BB2961" t="str">
        <f t="shared" si="140"/>
        <v xml:space="preserve">N959MJ  </v>
      </c>
      <c r="BC2961">
        <v>1</v>
      </c>
      <c r="BE2961">
        <v>0</v>
      </c>
      <c r="BF2961">
        <v>0</v>
      </c>
      <c r="BG2961">
        <v>0</v>
      </c>
      <c r="BH2961">
        <v>3850</v>
      </c>
      <c r="BI2961">
        <v>150</v>
      </c>
      <c r="BJ2961">
        <v>1</v>
      </c>
      <c r="BK2961">
        <v>1</v>
      </c>
      <c r="BL2961">
        <v>1</v>
      </c>
      <c r="BM2961">
        <v>0</v>
      </c>
      <c r="BP2961">
        <v>0</v>
      </c>
      <c r="BQ2961">
        <v>0</v>
      </c>
      <c r="BX2961" t="str">
        <f>"14:39:40.398"</f>
        <v>14:39:40.398</v>
      </c>
      <c r="BY2961" t="str">
        <f>"401037452"</f>
        <v>401037452</v>
      </c>
      <c r="CL2961">
        <v>0</v>
      </c>
      <c r="CM2961">
        <v>2</v>
      </c>
      <c r="CN2961">
        <v>0</v>
      </c>
      <c r="CO2961">
        <v>2</v>
      </c>
      <c r="CP2961">
        <v>0</v>
      </c>
      <c r="CQ2961">
        <v>6</v>
      </c>
      <c r="CR2961" t="s">
        <v>116</v>
      </c>
      <c r="CS2961">
        <v>39</v>
      </c>
      <c r="CT2961">
        <v>0</v>
      </c>
      <c r="CU2961" t="s">
        <v>2259</v>
      </c>
      <c r="CV2961" t="s">
        <v>2260</v>
      </c>
      <c r="CY2961">
        <v>2692298</v>
      </c>
      <c r="CZ2961" t="s">
        <v>119</v>
      </c>
    </row>
    <row r="2962" spans="1:104" x14ac:dyDescent="0.25">
      <c r="A2962" t="str">
        <f>"14:39:41.602"</f>
        <v>14:39:41.602</v>
      </c>
      <c r="B2962" t="s">
        <v>108</v>
      </c>
      <c r="C2962" t="str">
        <f t="shared" si="139"/>
        <v>ffdfd3c0</v>
      </c>
      <c r="D2962" t="s">
        <v>109</v>
      </c>
      <c r="E2962">
        <v>4</v>
      </c>
      <c r="F2962">
        <v>1004</v>
      </c>
      <c r="G2962" t="s">
        <v>110</v>
      </c>
      <c r="J2962" t="s">
        <v>111</v>
      </c>
      <c r="K2962">
        <v>0</v>
      </c>
      <c r="L2962">
        <v>3</v>
      </c>
      <c r="M2962">
        <v>0</v>
      </c>
      <c r="N2962">
        <v>2</v>
      </c>
      <c r="O2962">
        <v>1</v>
      </c>
      <c r="P2962">
        <v>0</v>
      </c>
      <c r="Q2962">
        <v>0</v>
      </c>
      <c r="R2962" t="s">
        <v>112</v>
      </c>
      <c r="S2962" t="str">
        <f>"14:39:41.406"</f>
        <v>14:39:41.406</v>
      </c>
      <c r="T2962" t="str">
        <f>"14:39:40.906"</f>
        <v>14:39:40.906</v>
      </c>
      <c r="U2962" t="str">
        <f t="shared" si="138"/>
        <v>ad5732</v>
      </c>
      <c r="V2962">
        <v>0</v>
      </c>
      <c r="W2962">
        <v>0</v>
      </c>
      <c r="X2962">
        <v>1</v>
      </c>
      <c r="Z2962">
        <v>0</v>
      </c>
      <c r="AA2962">
        <v>9</v>
      </c>
      <c r="AB2962">
        <v>3</v>
      </c>
      <c r="AC2962">
        <v>0</v>
      </c>
      <c r="AD2962">
        <v>10</v>
      </c>
      <c r="AE2962">
        <v>0</v>
      </c>
      <c r="AF2962">
        <v>3</v>
      </c>
      <c r="AG2962">
        <v>2</v>
      </c>
      <c r="AH2962">
        <v>0</v>
      </c>
      <c r="AI2962" t="s">
        <v>6040</v>
      </c>
      <c r="AJ2962">
        <v>40.348899000000003</v>
      </c>
      <c r="AK2962" t="s">
        <v>6041</v>
      </c>
      <c r="AL2962">
        <v>-75.068978999999999</v>
      </c>
      <c r="AM2962">
        <v>100</v>
      </c>
      <c r="AN2962">
        <v>3700</v>
      </c>
      <c r="AO2962" t="s">
        <v>115</v>
      </c>
      <c r="AP2962">
        <v>128</v>
      </c>
      <c r="AQ2962">
        <v>121</v>
      </c>
      <c r="AR2962">
        <v>0</v>
      </c>
      <c r="AZ2962">
        <v>3614</v>
      </c>
      <c r="BA2962">
        <v>1</v>
      </c>
      <c r="BB2962" t="str">
        <f t="shared" si="140"/>
        <v xml:space="preserve">N959MJ  </v>
      </c>
      <c r="BC2962">
        <v>1</v>
      </c>
      <c r="BE2962">
        <v>0</v>
      </c>
      <c r="BF2962">
        <v>0</v>
      </c>
      <c r="BG2962">
        <v>0</v>
      </c>
      <c r="BH2962">
        <v>3850</v>
      </c>
      <c r="BI2962">
        <v>150</v>
      </c>
      <c r="BJ2962">
        <v>1</v>
      </c>
      <c r="BK2962">
        <v>1</v>
      </c>
      <c r="BL2962">
        <v>1</v>
      </c>
      <c r="BM2962">
        <v>0</v>
      </c>
      <c r="BP2962">
        <v>0</v>
      </c>
      <c r="BQ2962">
        <v>0</v>
      </c>
      <c r="BX2962" t="str">
        <f>"14:39:41.414"</f>
        <v>14:39:41.414</v>
      </c>
      <c r="BY2962" t="str">
        <f>"411816331"</f>
        <v>411816331</v>
      </c>
      <c r="CL2962">
        <v>0</v>
      </c>
      <c r="CM2962">
        <v>2</v>
      </c>
      <c r="CN2962">
        <v>0</v>
      </c>
      <c r="CO2962">
        <v>2</v>
      </c>
      <c r="CP2962">
        <v>0</v>
      </c>
      <c r="CQ2962">
        <v>7</v>
      </c>
      <c r="CR2962" t="s">
        <v>116</v>
      </c>
      <c r="CS2962">
        <v>38</v>
      </c>
      <c r="CT2962">
        <v>3</v>
      </c>
      <c r="CU2962" t="s">
        <v>4719</v>
      </c>
      <c r="CV2962" t="s">
        <v>4720</v>
      </c>
      <c r="CY2962">
        <v>10511476</v>
      </c>
      <c r="CZ2962" t="s">
        <v>119</v>
      </c>
    </row>
    <row r="2963" spans="1:104" x14ac:dyDescent="0.25">
      <c r="A2963" t="str">
        <f>"14:39:42.664"</f>
        <v>14:39:42.664</v>
      </c>
      <c r="B2963" t="s">
        <v>108</v>
      </c>
      <c r="C2963" t="str">
        <f t="shared" si="139"/>
        <v>ffdfd3c0</v>
      </c>
      <c r="D2963" t="s">
        <v>109</v>
      </c>
      <c r="E2963">
        <v>4</v>
      </c>
      <c r="F2963">
        <v>1004</v>
      </c>
      <c r="G2963" t="s">
        <v>110</v>
      </c>
      <c r="J2963" t="s">
        <v>111</v>
      </c>
      <c r="K2963">
        <v>0</v>
      </c>
      <c r="L2963">
        <v>3</v>
      </c>
      <c r="M2963">
        <v>0</v>
      </c>
      <c r="N2963">
        <v>2</v>
      </c>
      <c r="O2963">
        <v>1</v>
      </c>
      <c r="P2963">
        <v>0</v>
      </c>
      <c r="Q2963">
        <v>0</v>
      </c>
      <c r="R2963" t="s">
        <v>112</v>
      </c>
      <c r="S2963" t="str">
        <f>"14:39:42.508"</f>
        <v>14:39:42.508</v>
      </c>
      <c r="T2963" t="str">
        <f>"14:39:42.008"</f>
        <v>14:39:42.008</v>
      </c>
      <c r="U2963" t="str">
        <f t="shared" si="138"/>
        <v>ad5732</v>
      </c>
      <c r="V2963">
        <v>0</v>
      </c>
      <c r="W2963">
        <v>0</v>
      </c>
      <c r="X2963">
        <v>1</v>
      </c>
      <c r="Z2963">
        <v>0</v>
      </c>
      <c r="AA2963">
        <v>9</v>
      </c>
      <c r="AB2963">
        <v>3</v>
      </c>
      <c r="AC2963">
        <v>0</v>
      </c>
      <c r="AD2963">
        <v>10</v>
      </c>
      <c r="AE2963">
        <v>0</v>
      </c>
      <c r="AF2963">
        <v>3</v>
      </c>
      <c r="AG2963">
        <v>2</v>
      </c>
      <c r="AH2963">
        <v>0</v>
      </c>
      <c r="AI2963" t="s">
        <v>6042</v>
      </c>
      <c r="AJ2963">
        <v>40.349479000000002</v>
      </c>
      <c r="AK2963" t="s">
        <v>6043</v>
      </c>
      <c r="AL2963">
        <v>-75.068141999999995</v>
      </c>
      <c r="AM2963">
        <v>100</v>
      </c>
      <c r="AN2963">
        <v>3700</v>
      </c>
      <c r="AO2963" t="s">
        <v>115</v>
      </c>
      <c r="AP2963">
        <v>128</v>
      </c>
      <c r="AQ2963">
        <v>121</v>
      </c>
      <c r="AR2963">
        <v>64</v>
      </c>
      <c r="AZ2963">
        <v>3614</v>
      </c>
      <c r="BA2963">
        <v>1</v>
      </c>
      <c r="BB2963" t="str">
        <f t="shared" si="140"/>
        <v xml:space="preserve">N959MJ  </v>
      </c>
      <c r="BC2963">
        <v>1</v>
      </c>
      <c r="BE2963">
        <v>0</v>
      </c>
      <c r="BF2963">
        <v>0</v>
      </c>
      <c r="BG2963">
        <v>0</v>
      </c>
      <c r="BH2963">
        <v>3850</v>
      </c>
      <c r="BI2963">
        <v>150</v>
      </c>
      <c r="BJ2963">
        <v>1</v>
      </c>
      <c r="BK2963">
        <v>1</v>
      </c>
      <c r="BL2963">
        <v>1</v>
      </c>
      <c r="BM2963">
        <v>0</v>
      </c>
      <c r="BP2963">
        <v>0</v>
      </c>
      <c r="BQ2963">
        <v>0</v>
      </c>
      <c r="BX2963" t="str">
        <f>"14:39:42.516"</f>
        <v>14:39:42.516</v>
      </c>
      <c r="BY2963" t="str">
        <f>"512840233"</f>
        <v>512840233</v>
      </c>
      <c r="CL2963">
        <v>0</v>
      </c>
      <c r="CM2963">
        <v>2</v>
      </c>
      <c r="CN2963">
        <v>0</v>
      </c>
      <c r="CO2963">
        <v>2</v>
      </c>
      <c r="CP2963">
        <v>0</v>
      </c>
      <c r="CQ2963">
        <v>7</v>
      </c>
      <c r="CR2963" t="s">
        <v>116</v>
      </c>
      <c r="CS2963">
        <v>38</v>
      </c>
      <c r="CT2963">
        <v>3</v>
      </c>
      <c r="CU2963" t="s">
        <v>4719</v>
      </c>
      <c r="CV2963" t="s">
        <v>4720</v>
      </c>
      <c r="CY2963">
        <v>10513352</v>
      </c>
      <c r="CZ2963" t="s">
        <v>119</v>
      </c>
    </row>
    <row r="2964" spans="1:104" x14ac:dyDescent="0.25">
      <c r="A2964" t="str">
        <f>"14:39:43.719"</f>
        <v>14:39:43.719</v>
      </c>
      <c r="B2964" t="s">
        <v>108</v>
      </c>
      <c r="C2964" t="str">
        <f t="shared" si="139"/>
        <v>ffdfd3c0</v>
      </c>
      <c r="D2964" t="s">
        <v>109</v>
      </c>
      <c r="E2964">
        <v>4</v>
      </c>
      <c r="F2964">
        <v>1004</v>
      </c>
      <c r="G2964" t="s">
        <v>110</v>
      </c>
      <c r="J2964" t="s">
        <v>111</v>
      </c>
      <c r="K2964">
        <v>0</v>
      </c>
      <c r="L2964">
        <v>3</v>
      </c>
      <c r="M2964">
        <v>0</v>
      </c>
      <c r="N2964">
        <v>2</v>
      </c>
      <c r="O2964">
        <v>1</v>
      </c>
      <c r="P2964">
        <v>0</v>
      </c>
      <c r="Q2964">
        <v>0</v>
      </c>
      <c r="R2964" t="s">
        <v>112</v>
      </c>
      <c r="S2964" t="str">
        <f>"14:39:43.539"</f>
        <v>14:39:43.539</v>
      </c>
      <c r="T2964" t="str">
        <f>"14:39:43.039"</f>
        <v>14:39:43.039</v>
      </c>
      <c r="U2964" t="str">
        <f t="shared" si="138"/>
        <v>ad5732</v>
      </c>
      <c r="V2964">
        <v>0</v>
      </c>
      <c r="W2964">
        <v>0</v>
      </c>
      <c r="X2964">
        <v>1</v>
      </c>
      <c r="Z2964">
        <v>0</v>
      </c>
      <c r="AA2964">
        <v>9</v>
      </c>
      <c r="AB2964">
        <v>3</v>
      </c>
      <c r="AC2964">
        <v>0</v>
      </c>
      <c r="AD2964">
        <v>10</v>
      </c>
      <c r="AE2964">
        <v>0</v>
      </c>
      <c r="AF2964">
        <v>3</v>
      </c>
      <c r="AG2964">
        <v>2</v>
      </c>
      <c r="AH2964">
        <v>0</v>
      </c>
      <c r="AI2964" t="s">
        <v>6044</v>
      </c>
      <c r="AJ2964">
        <v>40.350121999999999</v>
      </c>
      <c r="AK2964" t="s">
        <v>6045</v>
      </c>
      <c r="AL2964">
        <v>-75.067262999999997</v>
      </c>
      <c r="AM2964">
        <v>100</v>
      </c>
      <c r="AN2964">
        <v>3700</v>
      </c>
      <c r="AO2964" t="s">
        <v>115</v>
      </c>
      <c r="AP2964">
        <v>128</v>
      </c>
      <c r="AQ2964">
        <v>121</v>
      </c>
      <c r="AR2964">
        <v>64</v>
      </c>
      <c r="AZ2964">
        <v>3614</v>
      </c>
      <c r="BA2964">
        <v>1</v>
      </c>
      <c r="BB2964" t="str">
        <f t="shared" si="140"/>
        <v xml:space="preserve">N959MJ  </v>
      </c>
      <c r="BC2964">
        <v>1</v>
      </c>
      <c r="BE2964">
        <v>0</v>
      </c>
      <c r="BF2964">
        <v>0</v>
      </c>
      <c r="BG2964">
        <v>0</v>
      </c>
      <c r="BH2964">
        <v>3850</v>
      </c>
      <c r="BI2964">
        <v>150</v>
      </c>
      <c r="BJ2964">
        <v>1</v>
      </c>
      <c r="BK2964">
        <v>1</v>
      </c>
      <c r="BL2964">
        <v>1</v>
      </c>
      <c r="BM2964">
        <v>0</v>
      </c>
      <c r="BP2964">
        <v>0</v>
      </c>
      <c r="BQ2964">
        <v>0</v>
      </c>
      <c r="BX2964" t="str">
        <f>"14:39:43.539"</f>
        <v>14:39:43.539</v>
      </c>
      <c r="BY2964" t="str">
        <f>"541773227"</f>
        <v>541773227</v>
      </c>
      <c r="CL2964">
        <v>0</v>
      </c>
      <c r="CM2964">
        <v>2</v>
      </c>
      <c r="CN2964">
        <v>0</v>
      </c>
      <c r="CO2964">
        <v>2</v>
      </c>
      <c r="CP2964">
        <v>0</v>
      </c>
      <c r="CQ2964">
        <v>7</v>
      </c>
      <c r="CR2964" t="s">
        <v>116</v>
      </c>
      <c r="CS2964">
        <v>38</v>
      </c>
      <c r="CT2964">
        <v>3</v>
      </c>
      <c r="CU2964" t="s">
        <v>4719</v>
      </c>
      <c r="CV2964" t="s">
        <v>4720</v>
      </c>
      <c r="CY2964">
        <v>10515288</v>
      </c>
      <c r="CZ2964" t="s">
        <v>119</v>
      </c>
    </row>
    <row r="2965" spans="1:104" x14ac:dyDescent="0.25">
      <c r="A2965" t="str">
        <f>"14:39:44.734"</f>
        <v>14:39:44.734</v>
      </c>
      <c r="B2965" t="s">
        <v>108</v>
      </c>
      <c r="C2965" t="str">
        <f t="shared" si="139"/>
        <v>ffdfd3c0</v>
      </c>
      <c r="D2965" t="s">
        <v>109</v>
      </c>
      <c r="E2965">
        <v>4</v>
      </c>
      <c r="F2965">
        <v>1004</v>
      </c>
      <c r="G2965" t="s">
        <v>110</v>
      </c>
      <c r="J2965" t="s">
        <v>111</v>
      </c>
      <c r="K2965">
        <v>0</v>
      </c>
      <c r="L2965">
        <v>3</v>
      </c>
      <c r="M2965">
        <v>0</v>
      </c>
      <c r="N2965">
        <v>2</v>
      </c>
      <c r="O2965">
        <v>1</v>
      </c>
      <c r="P2965">
        <v>0</v>
      </c>
      <c r="Q2965">
        <v>0</v>
      </c>
      <c r="R2965" t="s">
        <v>112</v>
      </c>
      <c r="S2965" t="str">
        <f>"14:39:44.555"</f>
        <v>14:39:44.555</v>
      </c>
      <c r="T2965" t="str">
        <f>"14:39:44.156"</f>
        <v>14:39:44.156</v>
      </c>
      <c r="U2965" t="str">
        <f t="shared" si="138"/>
        <v>ad5732</v>
      </c>
      <c r="V2965">
        <v>0</v>
      </c>
      <c r="W2965">
        <v>0</v>
      </c>
      <c r="X2965">
        <v>1</v>
      </c>
      <c r="Z2965">
        <v>0</v>
      </c>
      <c r="AA2965">
        <v>9</v>
      </c>
      <c r="AB2965">
        <v>3</v>
      </c>
      <c r="AC2965">
        <v>0</v>
      </c>
      <c r="AD2965">
        <v>10</v>
      </c>
      <c r="AE2965">
        <v>0</v>
      </c>
      <c r="AF2965">
        <v>3</v>
      </c>
      <c r="AG2965">
        <v>2</v>
      </c>
      <c r="AH2965">
        <v>0</v>
      </c>
      <c r="AI2965" t="s">
        <v>6046</v>
      </c>
      <c r="AJ2965">
        <v>40.350679999999997</v>
      </c>
      <c r="AK2965" t="s">
        <v>6047</v>
      </c>
      <c r="AL2965">
        <v>-75.066468999999998</v>
      </c>
      <c r="AM2965">
        <v>100</v>
      </c>
      <c r="AN2965">
        <v>3700</v>
      </c>
      <c r="AO2965" t="s">
        <v>115</v>
      </c>
      <c r="AP2965">
        <v>128</v>
      </c>
      <c r="AQ2965">
        <v>121</v>
      </c>
      <c r="AR2965">
        <v>64</v>
      </c>
      <c r="AZ2965">
        <v>3614</v>
      </c>
      <c r="BA2965">
        <v>1</v>
      </c>
      <c r="BB2965" t="str">
        <f t="shared" si="140"/>
        <v xml:space="preserve">N959MJ  </v>
      </c>
      <c r="BC2965">
        <v>1</v>
      </c>
      <c r="BE2965">
        <v>0</v>
      </c>
      <c r="BF2965">
        <v>0</v>
      </c>
      <c r="BG2965">
        <v>0</v>
      </c>
      <c r="BH2965">
        <v>3875</v>
      </c>
      <c r="BI2965">
        <v>175</v>
      </c>
      <c r="BJ2965">
        <v>1</v>
      </c>
      <c r="BK2965">
        <v>1</v>
      </c>
      <c r="BL2965">
        <v>1</v>
      </c>
      <c r="BM2965">
        <v>0</v>
      </c>
      <c r="BP2965">
        <v>0</v>
      </c>
      <c r="BQ2965">
        <v>0</v>
      </c>
      <c r="BX2965" t="str">
        <f>"14:39:44.563"</f>
        <v>14:39:44.563</v>
      </c>
      <c r="BY2965" t="str">
        <f>"560875719"</f>
        <v>560875719</v>
      </c>
      <c r="CL2965">
        <v>0</v>
      </c>
      <c r="CM2965">
        <v>2</v>
      </c>
      <c r="CN2965">
        <v>0</v>
      </c>
      <c r="CO2965">
        <v>2</v>
      </c>
      <c r="CP2965">
        <v>0</v>
      </c>
      <c r="CQ2965">
        <v>7</v>
      </c>
      <c r="CR2965" t="s">
        <v>116</v>
      </c>
      <c r="CS2965">
        <v>38</v>
      </c>
      <c r="CT2965">
        <v>3</v>
      </c>
      <c r="CU2965" t="s">
        <v>4719</v>
      </c>
      <c r="CV2965" t="s">
        <v>4720</v>
      </c>
      <c r="CY2965">
        <v>10517097</v>
      </c>
      <c r="CZ2965" t="s">
        <v>119</v>
      </c>
    </row>
    <row r="2966" spans="1:104" x14ac:dyDescent="0.25">
      <c r="A2966" t="str">
        <f>"14:39:45.789"</f>
        <v>14:39:45.789</v>
      </c>
      <c r="B2966" t="s">
        <v>108</v>
      </c>
      <c r="C2966" t="str">
        <f t="shared" si="139"/>
        <v>ffdfd3c0</v>
      </c>
      <c r="D2966" t="s">
        <v>109</v>
      </c>
      <c r="E2966">
        <v>4</v>
      </c>
      <c r="F2966">
        <v>1004</v>
      </c>
      <c r="G2966" t="s">
        <v>110</v>
      </c>
      <c r="J2966" t="s">
        <v>111</v>
      </c>
      <c r="K2966">
        <v>0</v>
      </c>
      <c r="L2966">
        <v>3</v>
      </c>
      <c r="M2966">
        <v>0</v>
      </c>
      <c r="N2966">
        <v>2</v>
      </c>
      <c r="O2966">
        <v>1</v>
      </c>
      <c r="P2966">
        <v>0</v>
      </c>
      <c r="Q2966">
        <v>0</v>
      </c>
      <c r="R2966" t="s">
        <v>112</v>
      </c>
      <c r="S2966" t="str">
        <f>"14:39:45.609"</f>
        <v>14:39:45.609</v>
      </c>
      <c r="T2966" t="str">
        <f>"14:39:45.211"</f>
        <v>14:39:45.211</v>
      </c>
      <c r="U2966" t="str">
        <f t="shared" si="138"/>
        <v>ad5732</v>
      </c>
      <c r="V2966">
        <v>0</v>
      </c>
      <c r="W2966">
        <v>0</v>
      </c>
      <c r="X2966">
        <v>1</v>
      </c>
      <c r="Z2966">
        <v>0</v>
      </c>
      <c r="AA2966">
        <v>9</v>
      </c>
      <c r="AB2966">
        <v>3</v>
      </c>
      <c r="AC2966">
        <v>0</v>
      </c>
      <c r="AD2966">
        <v>10</v>
      </c>
      <c r="AE2966">
        <v>0</v>
      </c>
      <c r="AF2966">
        <v>3</v>
      </c>
      <c r="AG2966">
        <v>2</v>
      </c>
      <c r="AH2966">
        <v>0</v>
      </c>
      <c r="AI2966" t="s">
        <v>6048</v>
      </c>
      <c r="AJ2966">
        <v>40.351216999999998</v>
      </c>
      <c r="AK2966" t="s">
        <v>6049</v>
      </c>
      <c r="AL2966">
        <v>-75.065738999999994</v>
      </c>
      <c r="AM2966">
        <v>100</v>
      </c>
      <c r="AN2966">
        <v>3700</v>
      </c>
      <c r="AO2966" t="s">
        <v>115</v>
      </c>
      <c r="AP2966">
        <v>128</v>
      </c>
      <c r="AQ2966">
        <v>121</v>
      </c>
      <c r="AR2966">
        <v>64</v>
      </c>
      <c r="AZ2966">
        <v>3614</v>
      </c>
      <c r="BA2966">
        <v>1</v>
      </c>
      <c r="BB2966" t="str">
        <f t="shared" si="140"/>
        <v xml:space="preserve">N959MJ  </v>
      </c>
      <c r="BC2966">
        <v>1</v>
      </c>
      <c r="BE2966">
        <v>0</v>
      </c>
      <c r="BF2966">
        <v>0</v>
      </c>
      <c r="BG2966">
        <v>0</v>
      </c>
      <c r="BH2966">
        <v>3875</v>
      </c>
      <c r="BI2966">
        <v>175</v>
      </c>
      <c r="BJ2966">
        <v>1</v>
      </c>
      <c r="BK2966">
        <v>1</v>
      </c>
      <c r="BL2966">
        <v>1</v>
      </c>
      <c r="BM2966">
        <v>0</v>
      </c>
      <c r="BP2966">
        <v>0</v>
      </c>
      <c r="BQ2966">
        <v>0</v>
      </c>
      <c r="BX2966" t="str">
        <f>"14:39:45.617"</f>
        <v>14:39:45.617</v>
      </c>
      <c r="BY2966" t="str">
        <f>"614518633"</f>
        <v>614518633</v>
      </c>
      <c r="CL2966">
        <v>0</v>
      </c>
      <c r="CM2966">
        <v>2</v>
      </c>
      <c r="CN2966">
        <v>0</v>
      </c>
      <c r="CO2966">
        <v>2</v>
      </c>
      <c r="CP2966">
        <v>0</v>
      </c>
      <c r="CQ2966">
        <v>6</v>
      </c>
      <c r="CR2966" t="s">
        <v>116</v>
      </c>
      <c r="CS2966">
        <v>39</v>
      </c>
      <c r="CT2966">
        <v>0</v>
      </c>
      <c r="CU2966" t="s">
        <v>2259</v>
      </c>
      <c r="CV2966" t="s">
        <v>2260</v>
      </c>
      <c r="CY2966">
        <v>2700790</v>
      </c>
      <c r="CZ2966" t="s">
        <v>119</v>
      </c>
    </row>
    <row r="2967" spans="1:104" x14ac:dyDescent="0.25">
      <c r="A2967" t="str">
        <f>"14:39:46.703"</f>
        <v>14:39:46.703</v>
      </c>
      <c r="B2967" t="s">
        <v>108</v>
      </c>
      <c r="C2967" t="str">
        <f t="shared" si="139"/>
        <v>ffdfd3c0</v>
      </c>
      <c r="D2967" t="s">
        <v>109</v>
      </c>
      <c r="E2967">
        <v>4</v>
      </c>
      <c r="F2967">
        <v>1004</v>
      </c>
      <c r="G2967" t="s">
        <v>110</v>
      </c>
      <c r="J2967" t="s">
        <v>111</v>
      </c>
      <c r="K2967">
        <v>0</v>
      </c>
      <c r="L2967">
        <v>3</v>
      </c>
      <c r="M2967">
        <v>0</v>
      </c>
      <c r="N2967">
        <v>2</v>
      </c>
      <c r="O2967">
        <v>1</v>
      </c>
      <c r="P2967">
        <v>0</v>
      </c>
      <c r="Q2967">
        <v>0</v>
      </c>
      <c r="R2967" t="s">
        <v>112</v>
      </c>
      <c r="S2967" t="str">
        <f>"14:39:46.531"</f>
        <v>14:39:46.531</v>
      </c>
      <c r="T2967" t="str">
        <f>"14:39:46.133"</f>
        <v>14:39:46.133</v>
      </c>
      <c r="U2967" t="str">
        <f t="shared" si="138"/>
        <v>ad5732</v>
      </c>
      <c r="V2967">
        <v>0</v>
      </c>
      <c r="W2967">
        <v>0</v>
      </c>
      <c r="X2967">
        <v>1</v>
      </c>
      <c r="Z2967">
        <v>0</v>
      </c>
      <c r="AA2967">
        <v>9</v>
      </c>
      <c r="AB2967">
        <v>3</v>
      </c>
      <c r="AC2967">
        <v>0</v>
      </c>
      <c r="AD2967">
        <v>10</v>
      </c>
      <c r="AE2967">
        <v>0</v>
      </c>
      <c r="AF2967">
        <v>3</v>
      </c>
      <c r="AG2967">
        <v>2</v>
      </c>
      <c r="AH2967">
        <v>0</v>
      </c>
      <c r="AI2967" t="s">
        <v>6050</v>
      </c>
      <c r="AJ2967">
        <v>40.351775000000004</v>
      </c>
      <c r="AK2967" t="s">
        <v>6051</v>
      </c>
      <c r="AL2967">
        <v>-75.064944999999994</v>
      </c>
      <c r="AM2967">
        <v>100</v>
      </c>
      <c r="AN2967">
        <v>3700</v>
      </c>
      <c r="AO2967" t="s">
        <v>115</v>
      </c>
      <c r="AP2967">
        <v>128</v>
      </c>
      <c r="AQ2967">
        <v>120</v>
      </c>
      <c r="AR2967">
        <v>64</v>
      </c>
      <c r="AZ2967">
        <v>3614</v>
      </c>
      <c r="BA2967">
        <v>1</v>
      </c>
      <c r="BB2967" t="str">
        <f t="shared" si="140"/>
        <v xml:space="preserve">N959MJ  </v>
      </c>
      <c r="BC2967">
        <v>1</v>
      </c>
      <c r="BE2967">
        <v>0</v>
      </c>
      <c r="BF2967">
        <v>0</v>
      </c>
      <c r="BG2967">
        <v>0</v>
      </c>
      <c r="BH2967">
        <v>3875</v>
      </c>
      <c r="BI2967">
        <v>175</v>
      </c>
      <c r="BJ2967">
        <v>1</v>
      </c>
      <c r="BK2967">
        <v>1</v>
      </c>
      <c r="BL2967">
        <v>1</v>
      </c>
      <c r="BM2967">
        <v>0</v>
      </c>
      <c r="BP2967">
        <v>0</v>
      </c>
      <c r="BQ2967">
        <v>0</v>
      </c>
      <c r="BX2967" t="str">
        <f>"14:39:46.539"</f>
        <v>14:39:46.539</v>
      </c>
      <c r="BY2967" t="str">
        <f>"535181787"</f>
        <v>535181787</v>
      </c>
      <c r="CL2967">
        <v>0</v>
      </c>
      <c r="CM2967">
        <v>2</v>
      </c>
      <c r="CN2967">
        <v>0</v>
      </c>
      <c r="CO2967">
        <v>2</v>
      </c>
      <c r="CP2967">
        <v>0</v>
      </c>
      <c r="CQ2967">
        <v>7</v>
      </c>
      <c r="CR2967" t="s">
        <v>116</v>
      </c>
      <c r="CS2967">
        <v>38</v>
      </c>
      <c r="CT2967">
        <v>3</v>
      </c>
      <c r="CU2967" t="s">
        <v>4719</v>
      </c>
      <c r="CV2967" t="s">
        <v>4720</v>
      </c>
      <c r="CY2967">
        <v>10520365</v>
      </c>
      <c r="CZ2967" t="s">
        <v>119</v>
      </c>
    </row>
    <row r="2968" spans="1:104" x14ac:dyDescent="0.25">
      <c r="A2968" t="str">
        <f>"14:39:47.711"</f>
        <v>14:39:47.711</v>
      </c>
      <c r="B2968" t="s">
        <v>108</v>
      </c>
      <c r="C2968" t="str">
        <f t="shared" si="139"/>
        <v>ffdfd3c0</v>
      </c>
      <c r="D2968" t="s">
        <v>109</v>
      </c>
      <c r="E2968">
        <v>4</v>
      </c>
      <c r="F2968">
        <v>1004</v>
      </c>
      <c r="G2968" t="s">
        <v>110</v>
      </c>
      <c r="J2968" t="s">
        <v>111</v>
      </c>
      <c r="K2968">
        <v>0</v>
      </c>
      <c r="L2968">
        <v>3</v>
      </c>
      <c r="M2968">
        <v>0</v>
      </c>
      <c r="N2968">
        <v>2</v>
      </c>
      <c r="O2968">
        <v>1</v>
      </c>
      <c r="P2968">
        <v>0</v>
      </c>
      <c r="Q2968">
        <v>0</v>
      </c>
      <c r="R2968" t="s">
        <v>112</v>
      </c>
      <c r="S2968" t="str">
        <f>"14:39:47.555"</f>
        <v>14:39:47.555</v>
      </c>
      <c r="T2968" t="str">
        <f>"14:39:47.055"</f>
        <v>14:39:47.055</v>
      </c>
      <c r="U2968" t="str">
        <f t="shared" si="138"/>
        <v>ad5732</v>
      </c>
      <c r="V2968">
        <v>0</v>
      </c>
      <c r="W2968">
        <v>0</v>
      </c>
      <c r="X2968">
        <v>1</v>
      </c>
      <c r="Z2968">
        <v>0</v>
      </c>
      <c r="AA2968">
        <v>9</v>
      </c>
      <c r="AB2968">
        <v>3</v>
      </c>
      <c r="AC2968">
        <v>0</v>
      </c>
      <c r="AD2968">
        <v>10</v>
      </c>
      <c r="AE2968">
        <v>0</v>
      </c>
      <c r="AF2968">
        <v>3</v>
      </c>
      <c r="AG2968">
        <v>2</v>
      </c>
      <c r="AH2968">
        <v>0</v>
      </c>
      <c r="AI2968" t="s">
        <v>6052</v>
      </c>
      <c r="AJ2968">
        <v>40.352333000000002</v>
      </c>
      <c r="AK2968" t="s">
        <v>6053</v>
      </c>
      <c r="AL2968">
        <v>-75.064150999999995</v>
      </c>
      <c r="AM2968">
        <v>100</v>
      </c>
      <c r="AN2968">
        <v>3700</v>
      </c>
      <c r="AO2968" t="s">
        <v>115</v>
      </c>
      <c r="AP2968">
        <v>128</v>
      </c>
      <c r="AQ2968">
        <v>120</v>
      </c>
      <c r="AR2968">
        <v>64</v>
      </c>
      <c r="AZ2968">
        <v>3614</v>
      </c>
      <c r="BA2968">
        <v>1</v>
      </c>
      <c r="BB2968" t="str">
        <f t="shared" si="140"/>
        <v xml:space="preserve">N959MJ  </v>
      </c>
      <c r="BC2968">
        <v>1</v>
      </c>
      <c r="BE2968">
        <v>0</v>
      </c>
      <c r="BF2968">
        <v>0</v>
      </c>
      <c r="BG2968">
        <v>0</v>
      </c>
      <c r="BH2968">
        <v>3875</v>
      </c>
      <c r="BI2968">
        <v>175</v>
      </c>
      <c r="BJ2968">
        <v>1</v>
      </c>
      <c r="BK2968">
        <v>1</v>
      </c>
      <c r="BL2968">
        <v>1</v>
      </c>
      <c r="BM2968">
        <v>0</v>
      </c>
      <c r="BP2968">
        <v>0</v>
      </c>
      <c r="BQ2968">
        <v>0</v>
      </c>
      <c r="BX2968" t="str">
        <f>"14:39:47.563"</f>
        <v>14:39:47.563</v>
      </c>
      <c r="BY2968" t="str">
        <f>"562476361"</f>
        <v>562476361</v>
      </c>
      <c r="CL2968">
        <v>0</v>
      </c>
      <c r="CM2968">
        <v>2</v>
      </c>
      <c r="CN2968">
        <v>0</v>
      </c>
      <c r="CO2968">
        <v>2</v>
      </c>
      <c r="CP2968">
        <v>0</v>
      </c>
      <c r="CQ2968">
        <v>7</v>
      </c>
      <c r="CR2968" t="s">
        <v>116</v>
      </c>
      <c r="CS2968">
        <v>38</v>
      </c>
      <c r="CT2968">
        <v>3</v>
      </c>
      <c r="CU2968" t="s">
        <v>4719</v>
      </c>
      <c r="CV2968" t="s">
        <v>4720</v>
      </c>
      <c r="CY2968">
        <v>10522200</v>
      </c>
      <c r="CZ2968" t="s">
        <v>119</v>
      </c>
    </row>
    <row r="2969" spans="1:104" x14ac:dyDescent="0.25">
      <c r="A2969" t="str">
        <f>"14:39:48.727"</f>
        <v>14:39:48.727</v>
      </c>
      <c r="B2969" t="s">
        <v>108</v>
      </c>
      <c r="C2969" t="str">
        <f t="shared" si="139"/>
        <v>ffdfd3c0</v>
      </c>
      <c r="D2969" t="s">
        <v>109</v>
      </c>
      <c r="E2969">
        <v>4</v>
      </c>
      <c r="F2969">
        <v>1004</v>
      </c>
      <c r="G2969" t="s">
        <v>110</v>
      </c>
      <c r="J2969" t="s">
        <v>111</v>
      </c>
      <c r="K2969">
        <v>0</v>
      </c>
      <c r="L2969">
        <v>3</v>
      </c>
      <c r="M2969">
        <v>0</v>
      </c>
      <c r="N2969">
        <v>2</v>
      </c>
      <c r="O2969">
        <v>1</v>
      </c>
      <c r="P2969">
        <v>0</v>
      </c>
      <c r="Q2969">
        <v>0</v>
      </c>
      <c r="R2969" t="s">
        <v>112</v>
      </c>
      <c r="S2969" t="str">
        <f>"14:39:48.547"</f>
        <v>14:39:48.547</v>
      </c>
      <c r="T2969" t="str">
        <f>"14:39:48.047"</f>
        <v>14:39:48.047</v>
      </c>
      <c r="U2969" t="str">
        <f t="shared" si="138"/>
        <v>ad5732</v>
      </c>
      <c r="V2969">
        <v>0</v>
      </c>
      <c r="W2969">
        <v>0</v>
      </c>
      <c r="X2969">
        <v>1</v>
      </c>
      <c r="Z2969">
        <v>0</v>
      </c>
      <c r="AA2969">
        <v>9</v>
      </c>
      <c r="AB2969">
        <v>3</v>
      </c>
      <c r="AC2969">
        <v>0</v>
      </c>
      <c r="AD2969">
        <v>10</v>
      </c>
      <c r="AE2969">
        <v>0</v>
      </c>
      <c r="AF2969">
        <v>3</v>
      </c>
      <c r="AG2969">
        <v>2</v>
      </c>
      <c r="AH2969">
        <v>0</v>
      </c>
      <c r="AI2969" t="s">
        <v>6054</v>
      </c>
      <c r="AJ2969">
        <v>40.352912000000003</v>
      </c>
      <c r="AK2969" t="s">
        <v>6055</v>
      </c>
      <c r="AL2969">
        <v>-75.063422000000003</v>
      </c>
      <c r="AM2969">
        <v>100</v>
      </c>
      <c r="AN2969">
        <v>3700</v>
      </c>
      <c r="AO2969" t="s">
        <v>115</v>
      </c>
      <c r="AP2969">
        <v>128</v>
      </c>
      <c r="AQ2969">
        <v>120</v>
      </c>
      <c r="AR2969">
        <v>64</v>
      </c>
      <c r="AZ2969">
        <v>3614</v>
      </c>
      <c r="BA2969">
        <v>1</v>
      </c>
      <c r="BB2969" t="str">
        <f t="shared" si="140"/>
        <v xml:space="preserve">N959MJ  </v>
      </c>
      <c r="BC2969">
        <v>1</v>
      </c>
      <c r="BE2969">
        <v>0</v>
      </c>
      <c r="BF2969">
        <v>0</v>
      </c>
      <c r="BG2969">
        <v>0</v>
      </c>
      <c r="BH2969">
        <v>3875</v>
      </c>
      <c r="BI2969">
        <v>175</v>
      </c>
      <c r="BJ2969">
        <v>1</v>
      </c>
      <c r="BK2969">
        <v>1</v>
      </c>
      <c r="BL2969">
        <v>1</v>
      </c>
      <c r="BM2969">
        <v>0</v>
      </c>
      <c r="BP2969">
        <v>0</v>
      </c>
      <c r="BQ2969">
        <v>0</v>
      </c>
      <c r="BX2969" t="str">
        <f>"14:39:48.555"</f>
        <v>14:39:48.555</v>
      </c>
      <c r="BY2969" t="str">
        <f>"552087194"</f>
        <v>552087194</v>
      </c>
      <c r="CL2969">
        <v>0</v>
      </c>
      <c r="CM2969">
        <v>2</v>
      </c>
      <c r="CN2969">
        <v>0</v>
      </c>
      <c r="CO2969">
        <v>2</v>
      </c>
      <c r="CP2969">
        <v>0</v>
      </c>
      <c r="CQ2969">
        <v>7</v>
      </c>
      <c r="CR2969" t="s">
        <v>116</v>
      </c>
      <c r="CS2969">
        <v>38</v>
      </c>
      <c r="CT2969">
        <v>3</v>
      </c>
      <c r="CU2969" t="s">
        <v>4719</v>
      </c>
      <c r="CV2969" t="s">
        <v>4720</v>
      </c>
      <c r="CY2969">
        <v>10524076</v>
      </c>
      <c r="CZ2969" t="s">
        <v>119</v>
      </c>
    </row>
    <row r="2970" spans="1:104" x14ac:dyDescent="0.25">
      <c r="A2970" t="str">
        <f>"14:39:49.828"</f>
        <v>14:39:49.828</v>
      </c>
      <c r="B2970" t="s">
        <v>108</v>
      </c>
      <c r="C2970" t="str">
        <f t="shared" si="139"/>
        <v>ffdfd3c0</v>
      </c>
      <c r="D2970" t="s">
        <v>109</v>
      </c>
      <c r="E2970">
        <v>4</v>
      </c>
      <c r="F2970">
        <v>1004</v>
      </c>
      <c r="G2970" t="s">
        <v>110</v>
      </c>
      <c r="J2970" t="s">
        <v>111</v>
      </c>
      <c r="K2970">
        <v>0</v>
      </c>
      <c r="L2970">
        <v>3</v>
      </c>
      <c r="M2970">
        <v>0</v>
      </c>
      <c r="N2970">
        <v>2</v>
      </c>
      <c r="O2970">
        <v>1</v>
      </c>
      <c r="P2970">
        <v>0</v>
      </c>
      <c r="Q2970">
        <v>0</v>
      </c>
      <c r="R2970" t="s">
        <v>112</v>
      </c>
      <c r="S2970" t="str">
        <f>"14:39:49.656"</f>
        <v>14:39:49.656</v>
      </c>
      <c r="T2970" t="str">
        <f>"14:39:49.156"</f>
        <v>14:39:49.156</v>
      </c>
      <c r="U2970" t="str">
        <f t="shared" si="138"/>
        <v>ad5732</v>
      </c>
      <c r="V2970">
        <v>0</v>
      </c>
      <c r="W2970">
        <v>0</v>
      </c>
      <c r="X2970">
        <v>1</v>
      </c>
      <c r="Z2970">
        <v>0</v>
      </c>
      <c r="AA2970">
        <v>9</v>
      </c>
      <c r="AB2970">
        <v>3</v>
      </c>
      <c r="AC2970">
        <v>0</v>
      </c>
      <c r="AD2970">
        <v>10</v>
      </c>
      <c r="AE2970">
        <v>0</v>
      </c>
      <c r="AF2970">
        <v>3</v>
      </c>
      <c r="AG2970">
        <v>2</v>
      </c>
      <c r="AH2970">
        <v>0</v>
      </c>
      <c r="AI2970" t="s">
        <v>6056</v>
      </c>
      <c r="AJ2970">
        <v>40.353534000000003</v>
      </c>
      <c r="AK2970" t="s">
        <v>6057</v>
      </c>
      <c r="AL2970">
        <v>-75.062521000000004</v>
      </c>
      <c r="AM2970">
        <v>100</v>
      </c>
      <c r="AN2970">
        <v>3700</v>
      </c>
      <c r="AO2970" t="s">
        <v>115</v>
      </c>
      <c r="AP2970">
        <v>128</v>
      </c>
      <c r="AQ2970">
        <v>120</v>
      </c>
      <c r="AR2970">
        <v>64</v>
      </c>
      <c r="AZ2970">
        <v>3614</v>
      </c>
      <c r="BA2970">
        <v>1</v>
      </c>
      <c r="BB2970" t="str">
        <f t="shared" si="140"/>
        <v xml:space="preserve">N959MJ  </v>
      </c>
      <c r="BC2970">
        <v>1</v>
      </c>
      <c r="BE2970">
        <v>0</v>
      </c>
      <c r="BF2970">
        <v>0</v>
      </c>
      <c r="BG2970">
        <v>0</v>
      </c>
      <c r="BH2970">
        <v>3875</v>
      </c>
      <c r="BI2970">
        <v>175</v>
      </c>
      <c r="BJ2970">
        <v>1</v>
      </c>
      <c r="BK2970">
        <v>1</v>
      </c>
      <c r="BL2970">
        <v>1</v>
      </c>
      <c r="BM2970">
        <v>0</v>
      </c>
      <c r="BP2970">
        <v>0</v>
      </c>
      <c r="BQ2970">
        <v>0</v>
      </c>
      <c r="BX2970" t="str">
        <f>"14:39:49.664"</f>
        <v>14:39:49.664</v>
      </c>
      <c r="BY2970" t="str">
        <f>"662941577"</f>
        <v>662941577</v>
      </c>
      <c r="CL2970">
        <v>0</v>
      </c>
      <c r="CM2970">
        <v>2</v>
      </c>
      <c r="CN2970">
        <v>0</v>
      </c>
      <c r="CO2970">
        <v>2</v>
      </c>
      <c r="CP2970">
        <v>0</v>
      </c>
      <c r="CQ2970">
        <v>7</v>
      </c>
      <c r="CR2970" t="s">
        <v>116</v>
      </c>
      <c r="CS2970">
        <v>38</v>
      </c>
      <c r="CT2970">
        <v>3</v>
      </c>
      <c r="CU2970" t="s">
        <v>4719</v>
      </c>
      <c r="CV2970" t="s">
        <v>4720</v>
      </c>
      <c r="CY2970">
        <v>10525955</v>
      </c>
      <c r="CZ2970" t="s">
        <v>119</v>
      </c>
    </row>
    <row r="2971" spans="1:104" x14ac:dyDescent="0.25">
      <c r="A2971" t="str">
        <f>"14:39:50.742"</f>
        <v>14:39:50.742</v>
      </c>
      <c r="B2971" t="s">
        <v>108</v>
      </c>
      <c r="C2971" t="str">
        <f t="shared" si="139"/>
        <v>ffdfd3c0</v>
      </c>
      <c r="D2971" t="s">
        <v>109</v>
      </c>
      <c r="E2971">
        <v>4</v>
      </c>
      <c r="F2971">
        <v>1004</v>
      </c>
      <c r="G2971" t="s">
        <v>110</v>
      </c>
      <c r="J2971" t="s">
        <v>111</v>
      </c>
      <c r="K2971">
        <v>0</v>
      </c>
      <c r="L2971">
        <v>3</v>
      </c>
      <c r="M2971">
        <v>0</v>
      </c>
      <c r="N2971">
        <v>2</v>
      </c>
      <c r="O2971">
        <v>1</v>
      </c>
      <c r="P2971">
        <v>0</v>
      </c>
      <c r="Q2971">
        <v>0</v>
      </c>
      <c r="R2971" t="s">
        <v>112</v>
      </c>
      <c r="S2971" t="str">
        <f>"14:39:50.547"</f>
        <v>14:39:50.547</v>
      </c>
      <c r="T2971" t="str">
        <f>"14:39:50.148"</f>
        <v>14:39:50.148</v>
      </c>
      <c r="U2971" t="str">
        <f t="shared" si="138"/>
        <v>ad5732</v>
      </c>
      <c r="V2971">
        <v>0</v>
      </c>
      <c r="W2971">
        <v>0</v>
      </c>
      <c r="X2971">
        <v>1</v>
      </c>
      <c r="Z2971">
        <v>0</v>
      </c>
      <c r="AA2971">
        <v>9</v>
      </c>
      <c r="AB2971">
        <v>3</v>
      </c>
      <c r="AC2971">
        <v>0</v>
      </c>
      <c r="AD2971">
        <v>10</v>
      </c>
      <c r="AE2971">
        <v>0</v>
      </c>
      <c r="AF2971">
        <v>3</v>
      </c>
      <c r="AG2971">
        <v>2</v>
      </c>
      <c r="AH2971">
        <v>0</v>
      </c>
      <c r="AI2971" t="s">
        <v>6058</v>
      </c>
      <c r="AJ2971">
        <v>40.354028</v>
      </c>
      <c r="AK2971" t="s">
        <v>6059</v>
      </c>
      <c r="AL2971">
        <v>-75.061834000000005</v>
      </c>
      <c r="AM2971">
        <v>100</v>
      </c>
      <c r="AN2971">
        <v>3700</v>
      </c>
      <c r="AO2971" t="s">
        <v>115</v>
      </c>
      <c r="AP2971">
        <v>128</v>
      </c>
      <c r="AQ2971">
        <v>120</v>
      </c>
      <c r="AR2971">
        <v>64</v>
      </c>
      <c r="AZ2971">
        <v>3614</v>
      </c>
      <c r="BA2971">
        <v>1</v>
      </c>
      <c r="BB2971" t="str">
        <f t="shared" si="140"/>
        <v xml:space="preserve">N959MJ  </v>
      </c>
      <c r="BC2971">
        <v>1</v>
      </c>
      <c r="BE2971">
        <v>0</v>
      </c>
      <c r="BF2971">
        <v>0</v>
      </c>
      <c r="BG2971">
        <v>0</v>
      </c>
      <c r="BH2971">
        <v>3875</v>
      </c>
      <c r="BI2971">
        <v>175</v>
      </c>
      <c r="BJ2971">
        <v>1</v>
      </c>
      <c r="BK2971">
        <v>1</v>
      </c>
      <c r="BL2971">
        <v>1</v>
      </c>
      <c r="BM2971">
        <v>0</v>
      </c>
      <c r="BP2971">
        <v>0</v>
      </c>
      <c r="BQ2971">
        <v>0</v>
      </c>
      <c r="BX2971" t="str">
        <f>"14:39:50.555"</f>
        <v>14:39:50.555</v>
      </c>
      <c r="BY2971" t="str">
        <f>"552608133"</f>
        <v>552608133</v>
      </c>
      <c r="CL2971">
        <v>0</v>
      </c>
      <c r="CM2971">
        <v>2</v>
      </c>
      <c r="CN2971">
        <v>0</v>
      </c>
      <c r="CO2971">
        <v>2</v>
      </c>
      <c r="CP2971">
        <v>0</v>
      </c>
      <c r="CQ2971">
        <v>7</v>
      </c>
      <c r="CR2971" t="s">
        <v>116</v>
      </c>
      <c r="CS2971">
        <v>38</v>
      </c>
      <c r="CT2971">
        <v>3</v>
      </c>
      <c r="CU2971" t="s">
        <v>4719</v>
      </c>
      <c r="CV2971" t="s">
        <v>4720</v>
      </c>
      <c r="CY2971">
        <v>10527628</v>
      </c>
      <c r="CZ2971" t="s">
        <v>119</v>
      </c>
    </row>
    <row r="2972" spans="1:104" x14ac:dyDescent="0.25">
      <c r="A2972" t="str">
        <f>"14:39:51.797"</f>
        <v>14:39:51.797</v>
      </c>
      <c r="B2972" t="s">
        <v>108</v>
      </c>
      <c r="C2972" t="str">
        <f t="shared" si="139"/>
        <v>ffdfd3c0</v>
      </c>
      <c r="D2972" t="s">
        <v>109</v>
      </c>
      <c r="E2972">
        <v>4</v>
      </c>
      <c r="F2972">
        <v>1004</v>
      </c>
      <c r="G2972" t="s">
        <v>110</v>
      </c>
      <c r="J2972" t="s">
        <v>111</v>
      </c>
      <c r="K2972">
        <v>0</v>
      </c>
      <c r="L2972">
        <v>3</v>
      </c>
      <c r="M2972">
        <v>0</v>
      </c>
      <c r="N2972">
        <v>2</v>
      </c>
      <c r="O2972">
        <v>1</v>
      </c>
      <c r="P2972">
        <v>0</v>
      </c>
      <c r="Q2972">
        <v>0</v>
      </c>
      <c r="R2972" t="s">
        <v>112</v>
      </c>
      <c r="S2972" t="str">
        <f>"14:39:51.617"</f>
        <v>14:39:51.617</v>
      </c>
      <c r="T2972" t="str">
        <f>"14:39:51.117"</f>
        <v>14:39:51.117</v>
      </c>
      <c r="U2972" t="str">
        <f t="shared" si="138"/>
        <v>ad5732</v>
      </c>
      <c r="V2972">
        <v>0</v>
      </c>
      <c r="W2972">
        <v>0</v>
      </c>
      <c r="X2972">
        <v>1</v>
      </c>
      <c r="Z2972">
        <v>0</v>
      </c>
      <c r="AA2972">
        <v>9</v>
      </c>
      <c r="AB2972">
        <v>3</v>
      </c>
      <c r="AC2972">
        <v>0</v>
      </c>
      <c r="AD2972">
        <v>10</v>
      </c>
      <c r="AE2972">
        <v>0</v>
      </c>
      <c r="AF2972">
        <v>3</v>
      </c>
      <c r="AG2972">
        <v>2</v>
      </c>
      <c r="AH2972">
        <v>0</v>
      </c>
      <c r="AI2972" t="s">
        <v>6060</v>
      </c>
      <c r="AJ2972">
        <v>40.354649999999999</v>
      </c>
      <c r="AK2972" t="s">
        <v>6061</v>
      </c>
      <c r="AL2972">
        <v>-75.060975999999997</v>
      </c>
      <c r="AM2972">
        <v>100</v>
      </c>
      <c r="AN2972">
        <v>3700</v>
      </c>
      <c r="AO2972" t="s">
        <v>115</v>
      </c>
      <c r="AP2972">
        <v>128</v>
      </c>
      <c r="AQ2972">
        <v>120</v>
      </c>
      <c r="AR2972">
        <v>0</v>
      </c>
      <c r="AZ2972">
        <v>3614</v>
      </c>
      <c r="BA2972">
        <v>1</v>
      </c>
      <c r="BB2972" t="str">
        <f t="shared" si="140"/>
        <v xml:space="preserve">N959MJ  </v>
      </c>
      <c r="BC2972">
        <v>1</v>
      </c>
      <c r="BE2972">
        <v>0</v>
      </c>
      <c r="BF2972">
        <v>0</v>
      </c>
      <c r="BG2972">
        <v>0</v>
      </c>
      <c r="BH2972">
        <v>3875</v>
      </c>
      <c r="BI2972">
        <v>175</v>
      </c>
      <c r="BJ2972">
        <v>1</v>
      </c>
      <c r="BK2972">
        <v>1</v>
      </c>
      <c r="BL2972">
        <v>1</v>
      </c>
      <c r="BM2972">
        <v>0</v>
      </c>
      <c r="BP2972">
        <v>0</v>
      </c>
      <c r="BQ2972">
        <v>0</v>
      </c>
      <c r="BX2972" t="str">
        <f>"14:39:51.625"</f>
        <v>14:39:51.625</v>
      </c>
      <c r="BY2972" t="str">
        <f>"622501849"</f>
        <v>622501849</v>
      </c>
      <c r="CL2972">
        <v>0</v>
      </c>
      <c r="CM2972">
        <v>2</v>
      </c>
      <c r="CN2972">
        <v>0</v>
      </c>
      <c r="CO2972">
        <v>2</v>
      </c>
      <c r="CP2972">
        <v>0</v>
      </c>
      <c r="CQ2972">
        <v>7</v>
      </c>
      <c r="CR2972" t="s">
        <v>116</v>
      </c>
      <c r="CS2972">
        <v>38</v>
      </c>
      <c r="CT2972">
        <v>3</v>
      </c>
      <c r="CU2972" t="s">
        <v>4719</v>
      </c>
      <c r="CV2972" t="s">
        <v>4720</v>
      </c>
      <c r="CY2972">
        <v>10529475</v>
      </c>
      <c r="CZ2972" t="s">
        <v>119</v>
      </c>
    </row>
    <row r="2973" spans="1:104" x14ac:dyDescent="0.25">
      <c r="A2973" t="str">
        <f>"14:39:52.813"</f>
        <v>14:39:52.813</v>
      </c>
      <c r="B2973" t="s">
        <v>108</v>
      </c>
      <c r="C2973" t="str">
        <f t="shared" si="139"/>
        <v>ffdfd3c0</v>
      </c>
      <c r="D2973" t="s">
        <v>109</v>
      </c>
      <c r="E2973">
        <v>4</v>
      </c>
      <c r="F2973">
        <v>1004</v>
      </c>
      <c r="G2973" t="s">
        <v>110</v>
      </c>
      <c r="J2973" t="s">
        <v>111</v>
      </c>
      <c r="K2973">
        <v>0</v>
      </c>
      <c r="L2973">
        <v>3</v>
      </c>
      <c r="M2973">
        <v>0</v>
      </c>
      <c r="N2973">
        <v>2</v>
      </c>
      <c r="O2973">
        <v>1</v>
      </c>
      <c r="P2973">
        <v>0</v>
      </c>
      <c r="Q2973">
        <v>0</v>
      </c>
      <c r="R2973" t="s">
        <v>112</v>
      </c>
      <c r="S2973" t="str">
        <f>"14:39:52.641"</f>
        <v>14:39:52.641</v>
      </c>
      <c r="T2973" t="str">
        <f>"14:39:52.242"</f>
        <v>14:39:52.242</v>
      </c>
      <c r="U2973" t="str">
        <f t="shared" si="138"/>
        <v>ad5732</v>
      </c>
      <c r="V2973">
        <v>0</v>
      </c>
      <c r="W2973">
        <v>0</v>
      </c>
      <c r="X2973">
        <v>1</v>
      </c>
      <c r="Z2973">
        <v>0</v>
      </c>
      <c r="AA2973">
        <v>9</v>
      </c>
      <c r="AB2973">
        <v>3</v>
      </c>
      <c r="AC2973">
        <v>0</v>
      </c>
      <c r="AD2973">
        <v>10</v>
      </c>
      <c r="AE2973">
        <v>0</v>
      </c>
      <c r="AF2973">
        <v>3</v>
      </c>
      <c r="AG2973">
        <v>2</v>
      </c>
      <c r="AH2973">
        <v>0</v>
      </c>
      <c r="AI2973" t="s">
        <v>6062</v>
      </c>
      <c r="AJ2973">
        <v>40.355207999999998</v>
      </c>
      <c r="AK2973" t="s">
        <v>6063</v>
      </c>
      <c r="AL2973">
        <v>-75.060225000000003</v>
      </c>
      <c r="AM2973">
        <v>100</v>
      </c>
      <c r="AN2973">
        <v>3700</v>
      </c>
      <c r="AO2973" t="s">
        <v>115</v>
      </c>
      <c r="AP2973">
        <v>128</v>
      </c>
      <c r="AQ2973">
        <v>120</v>
      </c>
      <c r="AR2973">
        <v>0</v>
      </c>
      <c r="AZ2973">
        <v>3614</v>
      </c>
      <c r="BA2973">
        <v>1</v>
      </c>
      <c r="BB2973" t="str">
        <f t="shared" si="140"/>
        <v xml:space="preserve">N959MJ  </v>
      </c>
      <c r="BC2973">
        <v>1</v>
      </c>
      <c r="BE2973">
        <v>0</v>
      </c>
      <c r="BF2973">
        <v>0</v>
      </c>
      <c r="BG2973">
        <v>0</v>
      </c>
      <c r="BH2973">
        <v>3875</v>
      </c>
      <c r="BI2973">
        <v>175</v>
      </c>
      <c r="BJ2973">
        <v>1</v>
      </c>
      <c r="BK2973">
        <v>1</v>
      </c>
      <c r="BL2973">
        <v>1</v>
      </c>
      <c r="BM2973">
        <v>0</v>
      </c>
      <c r="BP2973">
        <v>0</v>
      </c>
      <c r="BQ2973">
        <v>0</v>
      </c>
      <c r="BX2973" t="str">
        <f>"14:39:52.648"</f>
        <v>14:39:52.648</v>
      </c>
      <c r="BY2973" t="str">
        <f>"644881156"</f>
        <v>644881156</v>
      </c>
      <c r="CL2973">
        <v>0</v>
      </c>
      <c r="CM2973">
        <v>2</v>
      </c>
      <c r="CN2973">
        <v>0</v>
      </c>
      <c r="CO2973">
        <v>2</v>
      </c>
      <c r="CP2973">
        <v>0</v>
      </c>
      <c r="CQ2973">
        <v>7</v>
      </c>
      <c r="CR2973" t="s">
        <v>116</v>
      </c>
      <c r="CS2973">
        <v>38</v>
      </c>
      <c r="CT2973">
        <v>3</v>
      </c>
      <c r="CU2973" t="s">
        <v>4719</v>
      </c>
      <c r="CV2973" t="s">
        <v>4720</v>
      </c>
      <c r="CY2973">
        <v>10531329</v>
      </c>
      <c r="CZ2973" t="s">
        <v>119</v>
      </c>
    </row>
    <row r="2974" spans="1:104" x14ac:dyDescent="0.25">
      <c r="A2974" t="str">
        <f>"14:39:54.023"</f>
        <v>14:39:54.023</v>
      </c>
      <c r="B2974" t="s">
        <v>108</v>
      </c>
      <c r="C2974" t="str">
        <f t="shared" si="139"/>
        <v>ffdfd3c0</v>
      </c>
      <c r="D2974" t="s">
        <v>109</v>
      </c>
      <c r="E2974">
        <v>4</v>
      </c>
      <c r="F2974">
        <v>1004</v>
      </c>
      <c r="G2974" t="s">
        <v>110</v>
      </c>
      <c r="J2974" t="s">
        <v>111</v>
      </c>
      <c r="K2974">
        <v>0</v>
      </c>
      <c r="L2974">
        <v>3</v>
      </c>
      <c r="M2974">
        <v>0</v>
      </c>
      <c r="N2974">
        <v>2</v>
      </c>
      <c r="O2974">
        <v>1</v>
      </c>
      <c r="P2974">
        <v>0</v>
      </c>
      <c r="Q2974">
        <v>0</v>
      </c>
      <c r="R2974" t="s">
        <v>112</v>
      </c>
      <c r="S2974" t="str">
        <f>"14:39:53.820"</f>
        <v>14:39:53.820</v>
      </c>
      <c r="T2974" t="str">
        <f>"14:39:53.320"</f>
        <v>14:39:53.320</v>
      </c>
      <c r="U2974" t="str">
        <f t="shared" si="138"/>
        <v>ad5732</v>
      </c>
      <c r="V2974">
        <v>0</v>
      </c>
      <c r="W2974">
        <v>0</v>
      </c>
      <c r="X2974">
        <v>1</v>
      </c>
      <c r="Z2974">
        <v>0</v>
      </c>
      <c r="AA2974">
        <v>9</v>
      </c>
      <c r="AB2974">
        <v>3</v>
      </c>
      <c r="AC2974">
        <v>0</v>
      </c>
      <c r="AD2974">
        <v>10</v>
      </c>
      <c r="AE2974">
        <v>0</v>
      </c>
      <c r="AF2974">
        <v>3</v>
      </c>
      <c r="AG2974">
        <v>2</v>
      </c>
      <c r="AH2974">
        <v>0</v>
      </c>
      <c r="AI2974" t="s">
        <v>6064</v>
      </c>
      <c r="AJ2974">
        <v>40.355851999999999</v>
      </c>
      <c r="AK2974" t="s">
        <v>6065</v>
      </c>
      <c r="AL2974">
        <v>-75.059280000000001</v>
      </c>
      <c r="AM2974">
        <v>100</v>
      </c>
      <c r="AN2974">
        <v>3700</v>
      </c>
      <c r="AO2974" t="s">
        <v>115</v>
      </c>
      <c r="AP2974">
        <v>128</v>
      </c>
      <c r="AQ2974">
        <v>120</v>
      </c>
      <c r="AR2974">
        <v>0</v>
      </c>
      <c r="AZ2974">
        <v>3614</v>
      </c>
      <c r="BA2974">
        <v>1</v>
      </c>
      <c r="BB2974" t="str">
        <f t="shared" si="140"/>
        <v xml:space="preserve">N959MJ  </v>
      </c>
      <c r="BC2974">
        <v>1</v>
      </c>
      <c r="BE2974">
        <v>0</v>
      </c>
      <c r="BF2974">
        <v>0</v>
      </c>
      <c r="BG2974">
        <v>0</v>
      </c>
      <c r="BH2974">
        <v>3875</v>
      </c>
      <c r="BI2974">
        <v>175</v>
      </c>
      <c r="BJ2974">
        <v>1</v>
      </c>
      <c r="BK2974">
        <v>1</v>
      </c>
      <c r="BL2974">
        <v>1</v>
      </c>
      <c r="BM2974">
        <v>0</v>
      </c>
      <c r="BP2974">
        <v>0</v>
      </c>
      <c r="BQ2974">
        <v>0</v>
      </c>
      <c r="BX2974" t="str">
        <f>"14:39:53.828"</f>
        <v>14:39:53.828</v>
      </c>
      <c r="BY2974" t="str">
        <f>"827826431"</f>
        <v>827826431</v>
      </c>
      <c r="CL2974">
        <v>0</v>
      </c>
      <c r="CM2974">
        <v>2</v>
      </c>
      <c r="CN2974">
        <v>0</v>
      </c>
      <c r="CO2974">
        <v>2</v>
      </c>
      <c r="CP2974">
        <v>0</v>
      </c>
      <c r="CQ2974">
        <v>7</v>
      </c>
      <c r="CR2974" t="s">
        <v>116</v>
      </c>
      <c r="CS2974">
        <v>38</v>
      </c>
      <c r="CT2974">
        <v>3</v>
      </c>
      <c r="CU2974" t="s">
        <v>4719</v>
      </c>
      <c r="CV2974" t="s">
        <v>4720</v>
      </c>
      <c r="CY2974">
        <v>10533470</v>
      </c>
      <c r="CZ2974" t="s">
        <v>119</v>
      </c>
    </row>
    <row r="2975" spans="1:104" x14ac:dyDescent="0.25">
      <c r="A2975" t="str">
        <f>"14:39:55.031"</f>
        <v>14:39:55.031</v>
      </c>
      <c r="B2975" t="s">
        <v>108</v>
      </c>
      <c r="C2975" t="str">
        <f t="shared" si="139"/>
        <v>ffdfd3c0</v>
      </c>
      <c r="D2975" t="s">
        <v>109</v>
      </c>
      <c r="E2975">
        <v>4</v>
      </c>
      <c r="F2975">
        <v>1004</v>
      </c>
      <c r="G2975" t="s">
        <v>110</v>
      </c>
      <c r="J2975" t="s">
        <v>111</v>
      </c>
      <c r="K2975">
        <v>0</v>
      </c>
      <c r="L2975">
        <v>3</v>
      </c>
      <c r="M2975">
        <v>0</v>
      </c>
      <c r="N2975">
        <v>2</v>
      </c>
      <c r="O2975">
        <v>1</v>
      </c>
      <c r="P2975">
        <v>0</v>
      </c>
      <c r="Q2975">
        <v>0</v>
      </c>
      <c r="R2975" t="s">
        <v>112</v>
      </c>
      <c r="S2975" t="str">
        <f>"14:39:54.836"</f>
        <v>14:39:54.836</v>
      </c>
      <c r="T2975" t="str">
        <f>"14:39:54.336"</f>
        <v>14:39:54.336</v>
      </c>
      <c r="U2975" t="str">
        <f t="shared" si="138"/>
        <v>ad5732</v>
      </c>
      <c r="V2975">
        <v>0</v>
      </c>
      <c r="W2975">
        <v>0</v>
      </c>
      <c r="X2975">
        <v>1</v>
      </c>
      <c r="Z2975">
        <v>0</v>
      </c>
      <c r="AA2975">
        <v>9</v>
      </c>
      <c r="AB2975">
        <v>3</v>
      </c>
      <c r="AC2975">
        <v>0</v>
      </c>
      <c r="AD2975">
        <v>10</v>
      </c>
      <c r="AE2975">
        <v>0</v>
      </c>
      <c r="AF2975">
        <v>3</v>
      </c>
      <c r="AG2975">
        <v>2</v>
      </c>
      <c r="AH2975">
        <v>0</v>
      </c>
      <c r="AI2975" t="s">
        <v>6066</v>
      </c>
      <c r="AJ2975">
        <v>40.356409999999997</v>
      </c>
      <c r="AK2975" t="s">
        <v>6067</v>
      </c>
      <c r="AL2975">
        <v>-75.058528999999993</v>
      </c>
      <c r="AM2975">
        <v>100</v>
      </c>
      <c r="AN2975">
        <v>3700</v>
      </c>
      <c r="AO2975" t="s">
        <v>115</v>
      </c>
      <c r="AP2975">
        <v>128</v>
      </c>
      <c r="AQ2975">
        <v>120</v>
      </c>
      <c r="AR2975">
        <v>0</v>
      </c>
      <c r="AZ2975">
        <v>3614</v>
      </c>
      <c r="BA2975">
        <v>1</v>
      </c>
      <c r="BB2975" t="str">
        <f t="shared" si="140"/>
        <v xml:space="preserve">N959MJ  </v>
      </c>
      <c r="BC2975">
        <v>1</v>
      </c>
      <c r="BE2975">
        <v>0</v>
      </c>
      <c r="BF2975">
        <v>0</v>
      </c>
      <c r="BG2975">
        <v>0</v>
      </c>
      <c r="BH2975">
        <v>3875</v>
      </c>
      <c r="BI2975">
        <v>175</v>
      </c>
      <c r="BJ2975">
        <v>1</v>
      </c>
      <c r="BK2975">
        <v>1</v>
      </c>
      <c r="BL2975">
        <v>1</v>
      </c>
      <c r="BM2975">
        <v>0</v>
      </c>
      <c r="BP2975">
        <v>0</v>
      </c>
      <c r="BQ2975">
        <v>0</v>
      </c>
      <c r="BX2975" t="str">
        <f>"14:39:54.836"</f>
        <v>14:39:54.836</v>
      </c>
      <c r="BY2975" t="str">
        <f>"837235876"</f>
        <v>837235876</v>
      </c>
      <c r="CL2975">
        <v>0</v>
      </c>
      <c r="CM2975">
        <v>2</v>
      </c>
      <c r="CN2975">
        <v>0</v>
      </c>
      <c r="CO2975">
        <v>2</v>
      </c>
      <c r="CP2975">
        <v>0</v>
      </c>
      <c r="CQ2975">
        <v>6</v>
      </c>
      <c r="CR2975" t="s">
        <v>116</v>
      </c>
      <c r="CS2975">
        <v>39</v>
      </c>
      <c r="CT2975">
        <v>0</v>
      </c>
      <c r="CU2975" t="s">
        <v>2259</v>
      </c>
      <c r="CV2975" t="s">
        <v>2260</v>
      </c>
      <c r="CY2975">
        <v>2715412</v>
      </c>
      <c r="CZ2975" t="s">
        <v>119</v>
      </c>
    </row>
    <row r="2976" spans="1:104" x14ac:dyDescent="0.25">
      <c r="A2976" t="str">
        <f>"14:39:56.141"</f>
        <v>14:39:56.141</v>
      </c>
      <c r="B2976" t="s">
        <v>108</v>
      </c>
      <c r="C2976" t="str">
        <f t="shared" si="139"/>
        <v>ffdfd3c0</v>
      </c>
      <c r="D2976" t="s">
        <v>109</v>
      </c>
      <c r="E2976">
        <v>4</v>
      </c>
      <c r="F2976">
        <v>1004</v>
      </c>
      <c r="G2976" t="s">
        <v>110</v>
      </c>
      <c r="J2976" t="s">
        <v>111</v>
      </c>
      <c r="K2976">
        <v>0</v>
      </c>
      <c r="L2976">
        <v>3</v>
      </c>
      <c r="M2976">
        <v>0</v>
      </c>
      <c r="N2976">
        <v>2</v>
      </c>
      <c r="O2976">
        <v>1</v>
      </c>
      <c r="P2976">
        <v>0</v>
      </c>
      <c r="Q2976">
        <v>0</v>
      </c>
      <c r="R2976" t="s">
        <v>112</v>
      </c>
      <c r="S2976" t="str">
        <f>"14:39:55.977"</f>
        <v>14:39:55.977</v>
      </c>
      <c r="T2976" t="str">
        <f>"14:39:55.477"</f>
        <v>14:39:55.477</v>
      </c>
      <c r="U2976" t="str">
        <f t="shared" si="138"/>
        <v>ad5732</v>
      </c>
      <c r="V2976">
        <v>0</v>
      </c>
      <c r="W2976">
        <v>0</v>
      </c>
      <c r="X2976">
        <v>1</v>
      </c>
      <c r="Z2976">
        <v>0</v>
      </c>
      <c r="AA2976">
        <v>9</v>
      </c>
      <c r="AB2976">
        <v>3</v>
      </c>
      <c r="AC2976">
        <v>0</v>
      </c>
      <c r="AD2976">
        <v>10</v>
      </c>
      <c r="AE2976">
        <v>0</v>
      </c>
      <c r="AF2976">
        <v>3</v>
      </c>
      <c r="AG2976">
        <v>2</v>
      </c>
      <c r="AH2976">
        <v>0</v>
      </c>
      <c r="AI2976" t="s">
        <v>6068</v>
      </c>
      <c r="AJ2976">
        <v>40.357031999999997</v>
      </c>
      <c r="AK2976" t="s">
        <v>6069</v>
      </c>
      <c r="AL2976">
        <v>-75.057670999999999</v>
      </c>
      <c r="AM2976">
        <v>100</v>
      </c>
      <c r="AN2976">
        <v>3700</v>
      </c>
      <c r="AO2976" t="s">
        <v>115</v>
      </c>
      <c r="AP2976">
        <v>128</v>
      </c>
      <c r="AQ2976">
        <v>120</v>
      </c>
      <c r="AR2976">
        <v>0</v>
      </c>
      <c r="AZ2976">
        <v>3614</v>
      </c>
      <c r="BA2976">
        <v>1</v>
      </c>
      <c r="BB2976" t="str">
        <f t="shared" si="140"/>
        <v xml:space="preserve">N959MJ  </v>
      </c>
      <c r="BC2976">
        <v>1</v>
      </c>
      <c r="BE2976">
        <v>0</v>
      </c>
      <c r="BF2976">
        <v>0</v>
      </c>
      <c r="BG2976">
        <v>0</v>
      </c>
      <c r="BH2976">
        <v>3875</v>
      </c>
      <c r="BI2976">
        <v>175</v>
      </c>
      <c r="BJ2976">
        <v>1</v>
      </c>
      <c r="BK2976">
        <v>1</v>
      </c>
      <c r="BL2976">
        <v>1</v>
      </c>
      <c r="BM2976">
        <v>0</v>
      </c>
      <c r="BP2976">
        <v>0</v>
      </c>
      <c r="BQ2976">
        <v>0</v>
      </c>
      <c r="BX2976" t="str">
        <f>"14:39:55.977"</f>
        <v>14:39:55.977</v>
      </c>
      <c r="BY2976" t="str">
        <f>"977444516"</f>
        <v>977444516</v>
      </c>
      <c r="CL2976">
        <v>0</v>
      </c>
      <c r="CM2976">
        <v>2</v>
      </c>
      <c r="CN2976">
        <v>0</v>
      </c>
      <c r="CO2976">
        <v>2</v>
      </c>
      <c r="CP2976">
        <v>0</v>
      </c>
      <c r="CQ2976">
        <v>7</v>
      </c>
      <c r="CR2976" t="s">
        <v>116</v>
      </c>
      <c r="CS2976">
        <v>38</v>
      </c>
      <c r="CT2976">
        <v>3</v>
      </c>
      <c r="CU2976" t="s">
        <v>4719</v>
      </c>
      <c r="CV2976" t="s">
        <v>4720</v>
      </c>
      <c r="CY2976">
        <v>10537188</v>
      </c>
      <c r="CZ2976" t="s">
        <v>119</v>
      </c>
    </row>
    <row r="2977" spans="1:104" x14ac:dyDescent="0.25">
      <c r="A2977" t="str">
        <f>"14:39:57.305"</f>
        <v>14:39:57.305</v>
      </c>
      <c r="B2977" t="s">
        <v>108</v>
      </c>
      <c r="C2977" t="str">
        <f t="shared" si="139"/>
        <v>ffdfd3c0</v>
      </c>
      <c r="D2977" t="s">
        <v>109</v>
      </c>
      <c r="E2977">
        <v>4</v>
      </c>
      <c r="F2977">
        <v>1004</v>
      </c>
      <c r="G2977" t="s">
        <v>110</v>
      </c>
      <c r="J2977" t="s">
        <v>111</v>
      </c>
      <c r="K2977">
        <v>0</v>
      </c>
      <c r="L2977">
        <v>3</v>
      </c>
      <c r="M2977">
        <v>0</v>
      </c>
      <c r="N2977">
        <v>2</v>
      </c>
      <c r="O2977">
        <v>1</v>
      </c>
      <c r="P2977">
        <v>0</v>
      </c>
      <c r="Q2977">
        <v>0</v>
      </c>
      <c r="R2977" t="s">
        <v>112</v>
      </c>
      <c r="S2977" t="str">
        <f>"14:39:57.109"</f>
        <v>14:39:57.109</v>
      </c>
      <c r="T2977" t="str">
        <f>"14:39:56.609"</f>
        <v>14:39:56.609</v>
      </c>
      <c r="U2977" t="str">
        <f t="shared" si="138"/>
        <v>ad5732</v>
      </c>
      <c r="V2977">
        <v>0</v>
      </c>
      <c r="W2977">
        <v>0</v>
      </c>
      <c r="X2977">
        <v>1</v>
      </c>
      <c r="Z2977">
        <v>0</v>
      </c>
      <c r="AA2977">
        <v>9</v>
      </c>
      <c r="AB2977">
        <v>3</v>
      </c>
      <c r="AC2977">
        <v>0</v>
      </c>
      <c r="AD2977">
        <v>10</v>
      </c>
      <c r="AE2977">
        <v>0</v>
      </c>
      <c r="AF2977">
        <v>3</v>
      </c>
      <c r="AG2977">
        <v>2</v>
      </c>
      <c r="AH2977">
        <v>0</v>
      </c>
      <c r="AI2977" t="s">
        <v>6070</v>
      </c>
      <c r="AJ2977">
        <v>40.357633</v>
      </c>
      <c r="AK2977" t="s">
        <v>6071</v>
      </c>
      <c r="AL2977">
        <v>-75.056791000000004</v>
      </c>
      <c r="AM2977">
        <v>100</v>
      </c>
      <c r="AN2977">
        <v>3700</v>
      </c>
      <c r="AO2977" t="s">
        <v>115</v>
      </c>
      <c r="AP2977">
        <v>129</v>
      </c>
      <c r="AQ2977">
        <v>120</v>
      </c>
      <c r="AR2977">
        <v>0</v>
      </c>
      <c r="AZ2977">
        <v>3614</v>
      </c>
      <c r="BA2977">
        <v>1</v>
      </c>
      <c r="BB2977" t="str">
        <f t="shared" si="140"/>
        <v xml:space="preserve">N959MJ  </v>
      </c>
      <c r="BC2977">
        <v>1</v>
      </c>
      <c r="BE2977">
        <v>0</v>
      </c>
      <c r="BF2977">
        <v>0</v>
      </c>
      <c r="BG2977">
        <v>0</v>
      </c>
      <c r="BH2977">
        <v>3875</v>
      </c>
      <c r="BI2977">
        <v>175</v>
      </c>
      <c r="BJ2977">
        <v>1</v>
      </c>
      <c r="BK2977">
        <v>1</v>
      </c>
      <c r="BL2977">
        <v>1</v>
      </c>
      <c r="BM2977">
        <v>0</v>
      </c>
      <c r="BP2977">
        <v>0</v>
      </c>
      <c r="BQ2977">
        <v>0</v>
      </c>
      <c r="BX2977" t="str">
        <f>"14:39:57.109"</f>
        <v>14:39:57.109</v>
      </c>
      <c r="BY2977" t="str">
        <f>"112875331"</f>
        <v>112875331</v>
      </c>
      <c r="CL2977">
        <v>0</v>
      </c>
      <c r="CM2977">
        <v>2</v>
      </c>
      <c r="CN2977">
        <v>0</v>
      </c>
      <c r="CO2977">
        <v>2</v>
      </c>
      <c r="CP2977">
        <v>0</v>
      </c>
      <c r="CQ2977">
        <v>7</v>
      </c>
      <c r="CR2977" t="s">
        <v>116</v>
      </c>
      <c r="CS2977">
        <v>38</v>
      </c>
      <c r="CT2977">
        <v>3</v>
      </c>
      <c r="CU2977" t="s">
        <v>4719</v>
      </c>
      <c r="CV2977" t="s">
        <v>4720</v>
      </c>
      <c r="CY2977">
        <v>10539160</v>
      </c>
      <c r="CZ2977" t="s">
        <v>119</v>
      </c>
    </row>
    <row r="2978" spans="1:104" x14ac:dyDescent="0.25">
      <c r="A2978" t="str">
        <f>"14:39:58.164"</f>
        <v>14:39:58.164</v>
      </c>
      <c r="B2978" t="s">
        <v>108</v>
      </c>
      <c r="C2978" t="str">
        <f t="shared" si="139"/>
        <v>ffdfd3c0</v>
      </c>
      <c r="D2978" t="s">
        <v>109</v>
      </c>
      <c r="E2978">
        <v>4</v>
      </c>
      <c r="F2978">
        <v>1004</v>
      </c>
      <c r="G2978" t="s">
        <v>110</v>
      </c>
      <c r="J2978" t="s">
        <v>111</v>
      </c>
      <c r="K2978">
        <v>0</v>
      </c>
      <c r="L2978">
        <v>3</v>
      </c>
      <c r="M2978">
        <v>0</v>
      </c>
      <c r="N2978">
        <v>2</v>
      </c>
      <c r="O2978">
        <v>1</v>
      </c>
      <c r="P2978">
        <v>0</v>
      </c>
      <c r="Q2978">
        <v>0</v>
      </c>
      <c r="R2978" t="s">
        <v>112</v>
      </c>
      <c r="S2978" t="str">
        <f>"14:39:57.992"</f>
        <v>14:39:57.992</v>
      </c>
      <c r="T2978" t="str">
        <f>"14:39:57.594"</f>
        <v>14:39:57.594</v>
      </c>
      <c r="U2978" t="str">
        <f t="shared" si="138"/>
        <v>ad5732</v>
      </c>
      <c r="V2978">
        <v>0</v>
      </c>
      <c r="W2978">
        <v>0</v>
      </c>
      <c r="X2978">
        <v>1</v>
      </c>
      <c r="Z2978">
        <v>0</v>
      </c>
      <c r="AA2978">
        <v>9</v>
      </c>
      <c r="AB2978">
        <v>3</v>
      </c>
      <c r="AC2978">
        <v>0</v>
      </c>
      <c r="AD2978">
        <v>10</v>
      </c>
      <c r="AE2978">
        <v>0</v>
      </c>
      <c r="AF2978">
        <v>3</v>
      </c>
      <c r="AG2978">
        <v>2</v>
      </c>
      <c r="AH2978">
        <v>0</v>
      </c>
      <c r="AI2978" t="s">
        <v>6072</v>
      </c>
      <c r="AJ2978">
        <v>40.358148</v>
      </c>
      <c r="AK2978" t="s">
        <v>6073</v>
      </c>
      <c r="AL2978">
        <v>-75.056083000000001</v>
      </c>
      <c r="AM2978">
        <v>100</v>
      </c>
      <c r="AN2978">
        <v>3700</v>
      </c>
      <c r="AO2978" t="s">
        <v>115</v>
      </c>
      <c r="AP2978">
        <v>129</v>
      </c>
      <c r="AQ2978">
        <v>119</v>
      </c>
      <c r="AR2978">
        <v>-64</v>
      </c>
      <c r="AZ2978">
        <v>3614</v>
      </c>
      <c r="BA2978">
        <v>1</v>
      </c>
      <c r="BB2978" t="str">
        <f t="shared" si="140"/>
        <v xml:space="preserve">N959MJ  </v>
      </c>
      <c r="BC2978">
        <v>1</v>
      </c>
      <c r="BE2978">
        <v>0</v>
      </c>
      <c r="BF2978">
        <v>0</v>
      </c>
      <c r="BG2978">
        <v>0</v>
      </c>
      <c r="BH2978">
        <v>3875</v>
      </c>
      <c r="BI2978">
        <v>175</v>
      </c>
      <c r="BJ2978">
        <v>1</v>
      </c>
      <c r="BK2978">
        <v>1</v>
      </c>
      <c r="BL2978">
        <v>1</v>
      </c>
      <c r="BM2978">
        <v>0</v>
      </c>
      <c r="BP2978">
        <v>0</v>
      </c>
      <c r="BQ2978">
        <v>0</v>
      </c>
      <c r="BX2978" t="str">
        <f>"14:39:58.000"</f>
        <v>14:39:58.000</v>
      </c>
      <c r="BY2978" t="str">
        <f>"999403999"</f>
        <v>999403999</v>
      </c>
      <c r="CL2978">
        <v>0</v>
      </c>
      <c r="CM2978">
        <v>2</v>
      </c>
      <c r="CN2978">
        <v>0</v>
      </c>
      <c r="CO2978">
        <v>2</v>
      </c>
      <c r="CP2978">
        <v>0</v>
      </c>
      <c r="CQ2978">
        <v>6</v>
      </c>
      <c r="CR2978" t="s">
        <v>116</v>
      </c>
      <c r="CS2978">
        <v>39</v>
      </c>
      <c r="CT2978">
        <v>0</v>
      </c>
      <c r="CU2978" t="s">
        <v>2259</v>
      </c>
      <c r="CV2978" t="s">
        <v>2260</v>
      </c>
      <c r="CY2978">
        <v>2720403</v>
      </c>
      <c r="CZ2978" t="s">
        <v>119</v>
      </c>
    </row>
    <row r="2979" spans="1:104" x14ac:dyDescent="0.25">
      <c r="A2979" t="str">
        <f>"14:39:59.172"</f>
        <v>14:39:59.172</v>
      </c>
      <c r="B2979" t="s">
        <v>108</v>
      </c>
      <c r="C2979" t="str">
        <f t="shared" si="139"/>
        <v>ffdfd3c0</v>
      </c>
      <c r="D2979" t="s">
        <v>109</v>
      </c>
      <c r="E2979">
        <v>4</v>
      </c>
      <c r="F2979">
        <v>1004</v>
      </c>
      <c r="G2979" t="s">
        <v>110</v>
      </c>
      <c r="J2979" t="s">
        <v>111</v>
      </c>
      <c r="K2979">
        <v>0</v>
      </c>
      <c r="L2979">
        <v>3</v>
      </c>
      <c r="M2979">
        <v>0</v>
      </c>
      <c r="N2979">
        <v>2</v>
      </c>
      <c r="O2979">
        <v>1</v>
      </c>
      <c r="P2979">
        <v>0</v>
      </c>
      <c r="Q2979">
        <v>0</v>
      </c>
      <c r="R2979" t="s">
        <v>112</v>
      </c>
      <c r="S2979" t="str">
        <f>"14:39:58.977"</f>
        <v>14:39:58.977</v>
      </c>
      <c r="T2979" t="str">
        <f>"14:39:58.578"</f>
        <v>14:39:58.578</v>
      </c>
      <c r="U2979" t="str">
        <f t="shared" si="138"/>
        <v>ad5732</v>
      </c>
      <c r="V2979">
        <v>0</v>
      </c>
      <c r="W2979">
        <v>0</v>
      </c>
      <c r="X2979">
        <v>1</v>
      </c>
      <c r="Z2979">
        <v>0</v>
      </c>
      <c r="AA2979">
        <v>9</v>
      </c>
      <c r="AB2979">
        <v>3</v>
      </c>
      <c r="AC2979">
        <v>0</v>
      </c>
      <c r="AD2979">
        <v>10</v>
      </c>
      <c r="AE2979">
        <v>0</v>
      </c>
      <c r="AF2979">
        <v>3</v>
      </c>
      <c r="AG2979">
        <v>2</v>
      </c>
      <c r="AH2979">
        <v>0</v>
      </c>
      <c r="AI2979" t="s">
        <v>6074</v>
      </c>
      <c r="AJ2979">
        <v>40.358683999999997</v>
      </c>
      <c r="AK2979" t="s">
        <v>6075</v>
      </c>
      <c r="AL2979">
        <v>-75.055289000000002</v>
      </c>
      <c r="AM2979">
        <v>100</v>
      </c>
      <c r="AN2979">
        <v>3700</v>
      </c>
      <c r="AO2979" t="s">
        <v>115</v>
      </c>
      <c r="AP2979">
        <v>129</v>
      </c>
      <c r="AQ2979">
        <v>119</v>
      </c>
      <c r="AR2979">
        <v>-64</v>
      </c>
      <c r="AZ2979">
        <v>3614</v>
      </c>
      <c r="BA2979">
        <v>1</v>
      </c>
      <c r="BB2979" t="str">
        <f t="shared" si="140"/>
        <v xml:space="preserve">N959MJ  </v>
      </c>
      <c r="BC2979">
        <v>1</v>
      </c>
      <c r="BE2979">
        <v>0</v>
      </c>
      <c r="BF2979">
        <v>0</v>
      </c>
      <c r="BG2979">
        <v>0</v>
      </c>
      <c r="BH2979">
        <v>3875</v>
      </c>
      <c r="BI2979">
        <v>175</v>
      </c>
      <c r="BJ2979">
        <v>1</v>
      </c>
      <c r="BK2979">
        <v>1</v>
      </c>
      <c r="BL2979">
        <v>1</v>
      </c>
      <c r="BM2979">
        <v>0</v>
      </c>
      <c r="BP2979">
        <v>0</v>
      </c>
      <c r="BQ2979">
        <v>0</v>
      </c>
      <c r="BX2979" t="str">
        <f>"14:39:58.977"</f>
        <v>14:39:58.977</v>
      </c>
      <c r="BY2979" t="str">
        <f>"977485801"</f>
        <v>977485801</v>
      </c>
      <c r="CL2979">
        <v>0</v>
      </c>
      <c r="CM2979">
        <v>2</v>
      </c>
      <c r="CN2979">
        <v>0</v>
      </c>
      <c r="CO2979">
        <v>2</v>
      </c>
      <c r="CP2979">
        <v>0</v>
      </c>
      <c r="CQ2979">
        <v>4</v>
      </c>
      <c r="CR2979" t="s">
        <v>116</v>
      </c>
      <c r="CS2979">
        <v>409</v>
      </c>
      <c r="CT2979">
        <v>1</v>
      </c>
      <c r="CU2979" t="s">
        <v>5087</v>
      </c>
      <c r="CV2979" t="s">
        <v>5088</v>
      </c>
      <c r="CY2979">
        <v>3350328</v>
      </c>
      <c r="CZ2979" t="s">
        <v>119</v>
      </c>
    </row>
    <row r="2980" spans="1:104" x14ac:dyDescent="0.25">
      <c r="A2980" t="str">
        <f>"14:40:00.031"</f>
        <v>14:40:00.031</v>
      </c>
      <c r="B2980" t="s">
        <v>108</v>
      </c>
      <c r="C2980" t="str">
        <f t="shared" si="139"/>
        <v>ffdfd3c0</v>
      </c>
      <c r="D2980" t="s">
        <v>109</v>
      </c>
      <c r="E2980">
        <v>4</v>
      </c>
      <c r="F2980">
        <v>1004</v>
      </c>
      <c r="G2980" t="s">
        <v>110</v>
      </c>
      <c r="J2980" t="s">
        <v>111</v>
      </c>
      <c r="K2980">
        <v>0</v>
      </c>
      <c r="L2980">
        <v>3</v>
      </c>
      <c r="M2980">
        <v>0</v>
      </c>
      <c r="N2980">
        <v>2</v>
      </c>
      <c r="O2980">
        <v>1</v>
      </c>
      <c r="P2980">
        <v>0</v>
      </c>
      <c r="Q2980">
        <v>0</v>
      </c>
      <c r="R2980" t="s">
        <v>112</v>
      </c>
      <c r="S2980" t="str">
        <f>"14:39:59.852"</f>
        <v>14:39:59.852</v>
      </c>
      <c r="T2980" t="str">
        <f>"14:39:59.453"</f>
        <v>14:39:59.453</v>
      </c>
      <c r="U2980" t="str">
        <f t="shared" si="138"/>
        <v>ad5732</v>
      </c>
      <c r="V2980">
        <v>0</v>
      </c>
      <c r="W2980">
        <v>0</v>
      </c>
      <c r="X2980">
        <v>1</v>
      </c>
      <c r="Z2980">
        <v>0</v>
      </c>
      <c r="AA2980">
        <v>9</v>
      </c>
      <c r="AB2980">
        <v>3</v>
      </c>
      <c r="AC2980">
        <v>0</v>
      </c>
      <c r="AD2980">
        <v>10</v>
      </c>
      <c r="AE2980">
        <v>0</v>
      </c>
      <c r="AF2980">
        <v>3</v>
      </c>
      <c r="AG2980">
        <v>2</v>
      </c>
      <c r="AH2980">
        <v>0</v>
      </c>
      <c r="AI2980" t="s">
        <v>6076</v>
      </c>
      <c r="AJ2980">
        <v>40.359155999999999</v>
      </c>
      <c r="AK2980" t="s">
        <v>6077</v>
      </c>
      <c r="AL2980">
        <v>-75.054603</v>
      </c>
      <c r="AM2980">
        <v>100</v>
      </c>
      <c r="AN2980">
        <v>3700</v>
      </c>
      <c r="AO2980" t="s">
        <v>115</v>
      </c>
      <c r="AP2980">
        <v>129</v>
      </c>
      <c r="AQ2980">
        <v>119</v>
      </c>
      <c r="AR2980">
        <v>-64</v>
      </c>
      <c r="AZ2980">
        <v>3614</v>
      </c>
      <c r="BA2980">
        <v>1</v>
      </c>
      <c r="BB2980" t="str">
        <f t="shared" si="140"/>
        <v xml:space="preserve">N959MJ  </v>
      </c>
      <c r="BC2980">
        <v>1</v>
      </c>
      <c r="BE2980">
        <v>0</v>
      </c>
      <c r="BF2980">
        <v>0</v>
      </c>
      <c r="BG2980">
        <v>0</v>
      </c>
      <c r="BH2980">
        <v>3875</v>
      </c>
      <c r="BI2980">
        <v>175</v>
      </c>
      <c r="BJ2980">
        <v>1</v>
      </c>
      <c r="BK2980">
        <v>1</v>
      </c>
      <c r="BL2980">
        <v>1</v>
      </c>
      <c r="BM2980">
        <v>0</v>
      </c>
      <c r="BP2980">
        <v>0</v>
      </c>
      <c r="BQ2980">
        <v>0</v>
      </c>
      <c r="BX2980" t="str">
        <f>"14:39:59.859"</f>
        <v>14:39:59.859</v>
      </c>
      <c r="BY2980" t="str">
        <f>"857242904"</f>
        <v>857242904</v>
      </c>
      <c r="CL2980">
        <v>0</v>
      </c>
      <c r="CM2980">
        <v>2</v>
      </c>
      <c r="CN2980">
        <v>0</v>
      </c>
      <c r="CO2980">
        <v>2</v>
      </c>
      <c r="CP2980">
        <v>0</v>
      </c>
      <c r="CQ2980">
        <v>7</v>
      </c>
      <c r="CR2980" t="s">
        <v>116</v>
      </c>
      <c r="CS2980">
        <v>38</v>
      </c>
      <c r="CT2980">
        <v>3</v>
      </c>
      <c r="CU2980" t="s">
        <v>4719</v>
      </c>
      <c r="CV2980" t="s">
        <v>4720</v>
      </c>
      <c r="CY2980">
        <v>10544042</v>
      </c>
      <c r="CZ2980" t="s">
        <v>119</v>
      </c>
    </row>
    <row r="2981" spans="1:104" x14ac:dyDescent="0.25">
      <c r="A2981" t="str">
        <f>"14:40:01.039"</f>
        <v>14:40:01.039</v>
      </c>
      <c r="B2981" t="s">
        <v>108</v>
      </c>
      <c r="C2981" t="str">
        <f t="shared" si="139"/>
        <v>ffdfd3c0</v>
      </c>
      <c r="D2981" t="s">
        <v>109</v>
      </c>
      <c r="E2981">
        <v>4</v>
      </c>
      <c r="F2981">
        <v>1004</v>
      </c>
      <c r="G2981" t="s">
        <v>110</v>
      </c>
      <c r="J2981" t="s">
        <v>111</v>
      </c>
      <c r="K2981">
        <v>0</v>
      </c>
      <c r="L2981">
        <v>3</v>
      </c>
      <c r="M2981">
        <v>0</v>
      </c>
      <c r="N2981">
        <v>2</v>
      </c>
      <c r="O2981">
        <v>1</v>
      </c>
      <c r="P2981">
        <v>0</v>
      </c>
      <c r="Q2981">
        <v>0</v>
      </c>
      <c r="R2981" t="s">
        <v>112</v>
      </c>
      <c r="S2981" t="str">
        <f>"14:40:00.875"</f>
        <v>14:40:00.875</v>
      </c>
      <c r="T2981" t="str">
        <f>"14:40:00.375"</f>
        <v>14:40:00.375</v>
      </c>
      <c r="U2981" t="str">
        <f t="shared" si="138"/>
        <v>ad5732</v>
      </c>
      <c r="V2981">
        <v>0</v>
      </c>
      <c r="W2981">
        <v>0</v>
      </c>
      <c r="X2981">
        <v>1</v>
      </c>
      <c r="Z2981">
        <v>0</v>
      </c>
      <c r="AA2981">
        <v>9</v>
      </c>
      <c r="AB2981">
        <v>3</v>
      </c>
      <c r="AC2981">
        <v>0</v>
      </c>
      <c r="AD2981">
        <v>10</v>
      </c>
      <c r="AE2981">
        <v>0</v>
      </c>
      <c r="AF2981">
        <v>3</v>
      </c>
      <c r="AG2981">
        <v>2</v>
      </c>
      <c r="AH2981">
        <v>0</v>
      </c>
      <c r="AI2981" t="s">
        <v>6078</v>
      </c>
      <c r="AJ2981">
        <v>40.359713999999997</v>
      </c>
      <c r="AK2981" t="s">
        <v>6079</v>
      </c>
      <c r="AL2981">
        <v>-75.053852000000006</v>
      </c>
      <c r="AM2981">
        <v>100</v>
      </c>
      <c r="AN2981">
        <v>3700</v>
      </c>
      <c r="AO2981" t="s">
        <v>115</v>
      </c>
      <c r="AP2981">
        <v>129</v>
      </c>
      <c r="AQ2981">
        <v>119</v>
      </c>
      <c r="AR2981">
        <v>-64</v>
      </c>
      <c r="AZ2981">
        <v>3614</v>
      </c>
      <c r="BA2981">
        <v>1</v>
      </c>
      <c r="BB2981" t="str">
        <f t="shared" si="140"/>
        <v xml:space="preserve">N959MJ  </v>
      </c>
      <c r="BC2981">
        <v>1</v>
      </c>
      <c r="BE2981">
        <v>0</v>
      </c>
      <c r="BF2981">
        <v>0</v>
      </c>
      <c r="BG2981">
        <v>0</v>
      </c>
      <c r="BH2981">
        <v>3875</v>
      </c>
      <c r="BI2981">
        <v>175</v>
      </c>
      <c r="BJ2981">
        <v>1</v>
      </c>
      <c r="BK2981">
        <v>1</v>
      </c>
      <c r="BL2981">
        <v>1</v>
      </c>
      <c r="BM2981">
        <v>0</v>
      </c>
      <c r="BP2981">
        <v>0</v>
      </c>
      <c r="BQ2981">
        <v>0</v>
      </c>
      <c r="BX2981" t="str">
        <f>"14:40:00.875"</f>
        <v>14:40:00.875</v>
      </c>
      <c r="BY2981" t="str">
        <f>"877983740"</f>
        <v>877983740</v>
      </c>
      <c r="CL2981">
        <v>0</v>
      </c>
      <c r="CM2981">
        <v>2</v>
      </c>
      <c r="CN2981">
        <v>0</v>
      </c>
      <c r="CO2981">
        <v>2</v>
      </c>
      <c r="CP2981">
        <v>0</v>
      </c>
      <c r="CQ2981">
        <v>7</v>
      </c>
      <c r="CR2981" t="s">
        <v>116</v>
      </c>
      <c r="CS2981">
        <v>38</v>
      </c>
      <c r="CT2981">
        <v>3</v>
      </c>
      <c r="CU2981" t="s">
        <v>4719</v>
      </c>
      <c r="CV2981" t="s">
        <v>4720</v>
      </c>
      <c r="CY2981">
        <v>10545815</v>
      </c>
      <c r="CZ2981" t="s">
        <v>119</v>
      </c>
    </row>
    <row r="2982" spans="1:104" x14ac:dyDescent="0.25">
      <c r="A2982" t="str">
        <f>"14:40:02.000"</f>
        <v>14:40:02.000</v>
      </c>
      <c r="B2982" t="s">
        <v>108</v>
      </c>
      <c r="C2982" t="str">
        <f t="shared" si="139"/>
        <v>ffdfd3c0</v>
      </c>
      <c r="D2982" t="s">
        <v>109</v>
      </c>
      <c r="E2982">
        <v>4</v>
      </c>
      <c r="F2982">
        <v>1004</v>
      </c>
      <c r="G2982" t="s">
        <v>110</v>
      </c>
      <c r="J2982" t="s">
        <v>111</v>
      </c>
      <c r="K2982">
        <v>0</v>
      </c>
      <c r="L2982">
        <v>3</v>
      </c>
      <c r="M2982">
        <v>0</v>
      </c>
      <c r="N2982">
        <v>2</v>
      </c>
      <c r="O2982">
        <v>1</v>
      </c>
      <c r="P2982">
        <v>0</v>
      </c>
      <c r="Q2982">
        <v>0</v>
      </c>
      <c r="R2982" t="s">
        <v>112</v>
      </c>
      <c r="S2982" t="str">
        <f>"14:40:01.844"</f>
        <v>14:40:01.844</v>
      </c>
      <c r="T2982" t="str">
        <f>"14:40:01.445"</f>
        <v>14:40:01.445</v>
      </c>
      <c r="U2982" t="str">
        <f t="shared" si="138"/>
        <v>ad5732</v>
      </c>
      <c r="V2982">
        <v>0</v>
      </c>
      <c r="W2982">
        <v>0</v>
      </c>
      <c r="X2982">
        <v>1</v>
      </c>
      <c r="Z2982">
        <v>0</v>
      </c>
      <c r="AA2982">
        <v>9</v>
      </c>
      <c r="AB2982">
        <v>3</v>
      </c>
      <c r="AC2982">
        <v>0</v>
      </c>
      <c r="AD2982">
        <v>10</v>
      </c>
      <c r="AE2982">
        <v>0</v>
      </c>
      <c r="AF2982">
        <v>3</v>
      </c>
      <c r="AG2982">
        <v>2</v>
      </c>
      <c r="AH2982">
        <v>0</v>
      </c>
      <c r="AI2982" t="s">
        <v>6080</v>
      </c>
      <c r="AJ2982">
        <v>40.360272000000002</v>
      </c>
      <c r="AK2982" t="s">
        <v>6081</v>
      </c>
      <c r="AL2982">
        <v>-75.053036000000006</v>
      </c>
      <c r="AM2982">
        <v>100</v>
      </c>
      <c r="AN2982">
        <v>3700</v>
      </c>
      <c r="AO2982" t="s">
        <v>115</v>
      </c>
      <c r="AP2982">
        <v>129</v>
      </c>
      <c r="AQ2982">
        <v>119</v>
      </c>
      <c r="AR2982">
        <v>0</v>
      </c>
      <c r="AZ2982">
        <v>3614</v>
      </c>
      <c r="BA2982">
        <v>1</v>
      </c>
      <c r="BB2982" t="str">
        <f t="shared" si="140"/>
        <v xml:space="preserve">N959MJ  </v>
      </c>
      <c r="BC2982">
        <v>1</v>
      </c>
      <c r="BE2982">
        <v>0</v>
      </c>
      <c r="BF2982">
        <v>0</v>
      </c>
      <c r="BG2982">
        <v>0</v>
      </c>
      <c r="BH2982">
        <v>3875</v>
      </c>
      <c r="BI2982">
        <v>175</v>
      </c>
      <c r="BJ2982">
        <v>1</v>
      </c>
      <c r="BK2982">
        <v>1</v>
      </c>
      <c r="BL2982">
        <v>1</v>
      </c>
      <c r="BM2982">
        <v>0</v>
      </c>
      <c r="BP2982">
        <v>0</v>
      </c>
      <c r="BQ2982">
        <v>0</v>
      </c>
      <c r="BX2982" t="str">
        <f>"14:40:01.844"</f>
        <v>14:40:01.844</v>
      </c>
      <c r="BY2982" t="str">
        <f>"844656486"</f>
        <v>844656486</v>
      </c>
      <c r="CL2982">
        <v>0</v>
      </c>
      <c r="CM2982">
        <v>2</v>
      </c>
      <c r="CN2982">
        <v>0</v>
      </c>
      <c r="CO2982">
        <v>2</v>
      </c>
      <c r="CP2982">
        <v>0</v>
      </c>
      <c r="CQ2982">
        <v>7</v>
      </c>
      <c r="CR2982" t="s">
        <v>116</v>
      </c>
      <c r="CS2982">
        <v>38</v>
      </c>
      <c r="CT2982">
        <v>3</v>
      </c>
      <c r="CU2982" t="s">
        <v>4719</v>
      </c>
      <c r="CV2982" t="s">
        <v>4720</v>
      </c>
      <c r="CY2982">
        <v>10547470</v>
      </c>
      <c r="CZ2982" t="s">
        <v>119</v>
      </c>
    </row>
    <row r="2983" spans="1:104" x14ac:dyDescent="0.25">
      <c r="A2983" t="str">
        <f>"14:40:03.063"</f>
        <v>14:40:03.063</v>
      </c>
      <c r="B2983" t="s">
        <v>108</v>
      </c>
      <c r="C2983" t="str">
        <f t="shared" si="139"/>
        <v>ffdfd3c0</v>
      </c>
      <c r="D2983" t="s">
        <v>109</v>
      </c>
      <c r="E2983">
        <v>4</v>
      </c>
      <c r="F2983">
        <v>1004</v>
      </c>
      <c r="G2983" t="s">
        <v>110</v>
      </c>
      <c r="J2983" t="s">
        <v>111</v>
      </c>
      <c r="K2983">
        <v>0</v>
      </c>
      <c r="L2983">
        <v>3</v>
      </c>
      <c r="M2983">
        <v>0</v>
      </c>
      <c r="N2983">
        <v>2</v>
      </c>
      <c r="O2983">
        <v>1</v>
      </c>
      <c r="P2983">
        <v>0</v>
      </c>
      <c r="Q2983">
        <v>0</v>
      </c>
      <c r="R2983" t="s">
        <v>112</v>
      </c>
      <c r="S2983" t="str">
        <f>"14:40:02.867"</f>
        <v>14:40:02.867</v>
      </c>
      <c r="T2983" t="str">
        <f>"14:40:02.469"</f>
        <v>14:40:02.469</v>
      </c>
      <c r="U2983" t="str">
        <f t="shared" si="138"/>
        <v>ad5732</v>
      </c>
      <c r="V2983">
        <v>0</v>
      </c>
      <c r="W2983">
        <v>0</v>
      </c>
      <c r="X2983">
        <v>1</v>
      </c>
      <c r="Z2983">
        <v>0</v>
      </c>
      <c r="AA2983">
        <v>9</v>
      </c>
      <c r="AB2983">
        <v>3</v>
      </c>
      <c r="AC2983">
        <v>0</v>
      </c>
      <c r="AD2983">
        <v>10</v>
      </c>
      <c r="AE2983">
        <v>0</v>
      </c>
      <c r="AF2983">
        <v>3</v>
      </c>
      <c r="AG2983">
        <v>2</v>
      </c>
      <c r="AH2983">
        <v>0</v>
      </c>
      <c r="AI2983" t="s">
        <v>6082</v>
      </c>
      <c r="AJ2983">
        <v>40.36083</v>
      </c>
      <c r="AK2983" t="s">
        <v>6083</v>
      </c>
      <c r="AL2983">
        <v>-75.052284999999998</v>
      </c>
      <c r="AM2983">
        <v>100</v>
      </c>
      <c r="AN2983">
        <v>3700</v>
      </c>
      <c r="AO2983" t="s">
        <v>115</v>
      </c>
      <c r="AP2983">
        <v>129</v>
      </c>
      <c r="AQ2983">
        <v>119</v>
      </c>
      <c r="AR2983">
        <v>0</v>
      </c>
      <c r="AZ2983">
        <v>3614</v>
      </c>
      <c r="BA2983">
        <v>1</v>
      </c>
      <c r="BB2983" t="str">
        <f t="shared" si="140"/>
        <v xml:space="preserve">N959MJ  </v>
      </c>
      <c r="BC2983">
        <v>1</v>
      </c>
      <c r="BE2983">
        <v>0</v>
      </c>
      <c r="BF2983">
        <v>0</v>
      </c>
      <c r="BG2983">
        <v>0</v>
      </c>
      <c r="BH2983">
        <v>3875</v>
      </c>
      <c r="BI2983">
        <v>175</v>
      </c>
      <c r="BJ2983">
        <v>1</v>
      </c>
      <c r="BK2983">
        <v>1</v>
      </c>
      <c r="BL2983">
        <v>1</v>
      </c>
      <c r="BM2983">
        <v>0</v>
      </c>
      <c r="BP2983">
        <v>0</v>
      </c>
      <c r="BQ2983">
        <v>0</v>
      </c>
      <c r="BX2983" t="str">
        <f>"14:40:02.867"</f>
        <v>14:40:02.867</v>
      </c>
      <c r="BY2983" t="str">
        <f>"868752867"</f>
        <v>868752867</v>
      </c>
      <c r="CL2983">
        <v>0</v>
      </c>
      <c r="CM2983">
        <v>2</v>
      </c>
      <c r="CN2983">
        <v>0</v>
      </c>
      <c r="CO2983">
        <v>2</v>
      </c>
      <c r="CP2983">
        <v>0</v>
      </c>
      <c r="CQ2983">
        <v>6</v>
      </c>
      <c r="CR2983" t="s">
        <v>116</v>
      </c>
      <c r="CS2983">
        <v>409</v>
      </c>
      <c r="CT2983">
        <v>2</v>
      </c>
      <c r="CU2983" t="s">
        <v>5087</v>
      </c>
      <c r="CV2983" t="s">
        <v>5088</v>
      </c>
      <c r="CY2983">
        <v>361631</v>
      </c>
      <c r="CZ2983" t="s">
        <v>119</v>
      </c>
    </row>
    <row r="2984" spans="1:104" x14ac:dyDescent="0.25">
      <c r="A2984" t="str">
        <f>"14:40:04.117"</f>
        <v>14:40:04.117</v>
      </c>
      <c r="B2984" t="s">
        <v>108</v>
      </c>
      <c r="C2984" t="str">
        <f t="shared" si="139"/>
        <v>ffdfd3c0</v>
      </c>
      <c r="D2984" t="s">
        <v>109</v>
      </c>
      <c r="E2984">
        <v>4</v>
      </c>
      <c r="F2984">
        <v>1004</v>
      </c>
      <c r="G2984" t="s">
        <v>110</v>
      </c>
      <c r="J2984" t="s">
        <v>111</v>
      </c>
      <c r="K2984">
        <v>0</v>
      </c>
      <c r="L2984">
        <v>3</v>
      </c>
      <c r="M2984">
        <v>0</v>
      </c>
      <c r="N2984">
        <v>2</v>
      </c>
      <c r="O2984">
        <v>1</v>
      </c>
      <c r="P2984">
        <v>0</v>
      </c>
      <c r="Q2984">
        <v>0</v>
      </c>
      <c r="R2984" t="s">
        <v>112</v>
      </c>
      <c r="S2984" t="str">
        <f>"14:40:03.930"</f>
        <v>14:40:03.930</v>
      </c>
      <c r="T2984" t="str">
        <f>"14:40:03.430"</f>
        <v>14:40:03.430</v>
      </c>
      <c r="U2984" t="str">
        <f t="shared" si="138"/>
        <v>ad5732</v>
      </c>
      <c r="V2984">
        <v>0</v>
      </c>
      <c r="W2984">
        <v>0</v>
      </c>
      <c r="X2984">
        <v>1</v>
      </c>
      <c r="Z2984">
        <v>0</v>
      </c>
      <c r="AA2984">
        <v>9</v>
      </c>
      <c r="AB2984">
        <v>3</v>
      </c>
      <c r="AC2984">
        <v>0</v>
      </c>
      <c r="AD2984">
        <v>10</v>
      </c>
      <c r="AE2984">
        <v>0</v>
      </c>
      <c r="AF2984">
        <v>3</v>
      </c>
      <c r="AG2984">
        <v>2</v>
      </c>
      <c r="AH2984">
        <v>0</v>
      </c>
      <c r="AI2984" t="s">
        <v>6084</v>
      </c>
      <c r="AJ2984">
        <v>40.361431000000003</v>
      </c>
      <c r="AK2984" t="s">
        <v>6085</v>
      </c>
      <c r="AL2984">
        <v>-75.051383999999999</v>
      </c>
      <c r="AM2984">
        <v>100</v>
      </c>
      <c r="AN2984">
        <v>3700</v>
      </c>
      <c r="AO2984" t="s">
        <v>115</v>
      </c>
      <c r="AP2984">
        <v>129</v>
      </c>
      <c r="AQ2984">
        <v>119</v>
      </c>
      <c r="AR2984">
        <v>0</v>
      </c>
      <c r="AZ2984">
        <v>3614</v>
      </c>
      <c r="BA2984">
        <v>1</v>
      </c>
      <c r="BB2984" t="str">
        <f t="shared" si="140"/>
        <v xml:space="preserve">N959MJ  </v>
      </c>
      <c r="BC2984">
        <v>1</v>
      </c>
      <c r="BE2984">
        <v>0</v>
      </c>
      <c r="BF2984">
        <v>0</v>
      </c>
      <c r="BG2984">
        <v>0</v>
      </c>
      <c r="BH2984">
        <v>3875</v>
      </c>
      <c r="BI2984">
        <v>175</v>
      </c>
      <c r="BJ2984">
        <v>1</v>
      </c>
      <c r="BK2984">
        <v>1</v>
      </c>
      <c r="BL2984">
        <v>1</v>
      </c>
      <c r="BM2984">
        <v>0</v>
      </c>
      <c r="BP2984">
        <v>0</v>
      </c>
      <c r="BQ2984">
        <v>0</v>
      </c>
      <c r="BX2984" t="str">
        <f>"14:40:03.938"</f>
        <v>14:40:03.938</v>
      </c>
      <c r="BY2984" t="str">
        <f>"935291107"</f>
        <v>935291107</v>
      </c>
      <c r="CL2984">
        <v>0</v>
      </c>
      <c r="CM2984">
        <v>2</v>
      </c>
      <c r="CN2984">
        <v>0</v>
      </c>
      <c r="CO2984">
        <v>2</v>
      </c>
      <c r="CP2984">
        <v>0</v>
      </c>
      <c r="CQ2984">
        <v>7</v>
      </c>
      <c r="CR2984" t="s">
        <v>116</v>
      </c>
      <c r="CS2984">
        <v>38</v>
      </c>
      <c r="CT2984">
        <v>3</v>
      </c>
      <c r="CU2984" t="s">
        <v>4719</v>
      </c>
      <c r="CV2984" t="s">
        <v>4720</v>
      </c>
      <c r="CY2984">
        <v>10551188</v>
      </c>
      <c r="CZ2984" t="s">
        <v>119</v>
      </c>
    </row>
    <row r="2985" spans="1:104" x14ac:dyDescent="0.25">
      <c r="A2985" t="str">
        <f>"14:40:05.133"</f>
        <v>14:40:05.133</v>
      </c>
      <c r="B2985" t="s">
        <v>108</v>
      </c>
      <c r="C2985" t="str">
        <f t="shared" si="139"/>
        <v>ffdfd3c0</v>
      </c>
      <c r="D2985" t="s">
        <v>109</v>
      </c>
      <c r="E2985">
        <v>4</v>
      </c>
      <c r="F2985">
        <v>1004</v>
      </c>
      <c r="G2985" t="s">
        <v>110</v>
      </c>
      <c r="J2985" t="s">
        <v>111</v>
      </c>
      <c r="K2985">
        <v>0</v>
      </c>
      <c r="L2985">
        <v>3</v>
      </c>
      <c r="M2985">
        <v>0</v>
      </c>
      <c r="N2985">
        <v>2</v>
      </c>
      <c r="O2985">
        <v>1</v>
      </c>
      <c r="P2985">
        <v>0</v>
      </c>
      <c r="Q2985">
        <v>0</v>
      </c>
      <c r="R2985" t="s">
        <v>112</v>
      </c>
      <c r="S2985" t="str">
        <f>"14:40:04.969"</f>
        <v>14:40:04.969</v>
      </c>
      <c r="T2985" t="str">
        <f>"14:40:04.570"</f>
        <v>14:40:04.570</v>
      </c>
      <c r="U2985" t="str">
        <f t="shared" si="138"/>
        <v>ad5732</v>
      </c>
      <c r="V2985">
        <v>0</v>
      </c>
      <c r="W2985">
        <v>0</v>
      </c>
      <c r="X2985">
        <v>1</v>
      </c>
      <c r="Z2985">
        <v>0</v>
      </c>
      <c r="AA2985">
        <v>9</v>
      </c>
      <c r="AB2985">
        <v>3</v>
      </c>
      <c r="AC2985">
        <v>0</v>
      </c>
      <c r="AD2985">
        <v>10</v>
      </c>
      <c r="AE2985">
        <v>0</v>
      </c>
      <c r="AF2985">
        <v>3</v>
      </c>
      <c r="AG2985">
        <v>2</v>
      </c>
      <c r="AH2985">
        <v>0</v>
      </c>
      <c r="AI2985" t="s">
        <v>6086</v>
      </c>
      <c r="AJ2985">
        <v>40.361989000000001</v>
      </c>
      <c r="AK2985" t="s">
        <v>6087</v>
      </c>
      <c r="AL2985">
        <v>-75.05059</v>
      </c>
      <c r="AM2985">
        <v>100</v>
      </c>
      <c r="AN2985">
        <v>3700</v>
      </c>
      <c r="AO2985" t="s">
        <v>115</v>
      </c>
      <c r="AP2985">
        <v>129</v>
      </c>
      <c r="AQ2985">
        <v>119</v>
      </c>
      <c r="AR2985">
        <v>0</v>
      </c>
      <c r="AZ2985">
        <v>3614</v>
      </c>
      <c r="BA2985">
        <v>1</v>
      </c>
      <c r="BB2985" t="str">
        <f t="shared" si="140"/>
        <v xml:space="preserve">N959MJ  </v>
      </c>
      <c r="BC2985">
        <v>1</v>
      </c>
      <c r="BE2985">
        <v>0</v>
      </c>
      <c r="BF2985">
        <v>0</v>
      </c>
      <c r="BG2985">
        <v>0</v>
      </c>
      <c r="BH2985">
        <v>3875</v>
      </c>
      <c r="BI2985">
        <v>175</v>
      </c>
      <c r="BJ2985">
        <v>1</v>
      </c>
      <c r="BK2985">
        <v>1</v>
      </c>
      <c r="BL2985">
        <v>1</v>
      </c>
      <c r="BM2985">
        <v>0</v>
      </c>
      <c r="BP2985">
        <v>0</v>
      </c>
      <c r="BQ2985">
        <v>0</v>
      </c>
      <c r="BX2985" t="str">
        <f>"14:40:04.969"</f>
        <v>14:40:04.969</v>
      </c>
      <c r="BY2985" t="str">
        <f>"972416281"</f>
        <v>972416281</v>
      </c>
      <c r="CL2985">
        <v>0</v>
      </c>
      <c r="CM2985">
        <v>2</v>
      </c>
      <c r="CN2985">
        <v>0</v>
      </c>
      <c r="CO2985">
        <v>2</v>
      </c>
      <c r="CP2985">
        <v>0</v>
      </c>
      <c r="CQ2985">
        <v>7</v>
      </c>
      <c r="CR2985" t="s">
        <v>116</v>
      </c>
      <c r="CS2985">
        <v>38</v>
      </c>
      <c r="CT2985">
        <v>3</v>
      </c>
      <c r="CU2985" t="s">
        <v>4719</v>
      </c>
      <c r="CV2985" t="s">
        <v>4720</v>
      </c>
      <c r="CY2985">
        <v>10552962</v>
      </c>
      <c r="CZ2985" t="s">
        <v>119</v>
      </c>
    </row>
    <row r="2986" spans="1:104" x14ac:dyDescent="0.25">
      <c r="A2986" t="str">
        <f>"14:40:06.086"</f>
        <v>14:40:06.086</v>
      </c>
      <c r="B2986" t="s">
        <v>108</v>
      </c>
      <c r="C2986" t="str">
        <f t="shared" si="139"/>
        <v>ffdfd3c0</v>
      </c>
      <c r="D2986" t="s">
        <v>109</v>
      </c>
      <c r="E2986">
        <v>4</v>
      </c>
      <c r="F2986">
        <v>1004</v>
      </c>
      <c r="G2986" t="s">
        <v>110</v>
      </c>
      <c r="J2986" t="s">
        <v>111</v>
      </c>
      <c r="K2986">
        <v>0</v>
      </c>
      <c r="L2986">
        <v>3</v>
      </c>
      <c r="M2986">
        <v>0</v>
      </c>
      <c r="N2986">
        <v>2</v>
      </c>
      <c r="O2986">
        <v>1</v>
      </c>
      <c r="P2986">
        <v>0</v>
      </c>
      <c r="Q2986">
        <v>0</v>
      </c>
      <c r="R2986" t="s">
        <v>112</v>
      </c>
      <c r="S2986" t="str">
        <f>"14:40:05.891"</f>
        <v>14:40:05.891</v>
      </c>
      <c r="T2986" t="str">
        <f>"14:40:05.391"</f>
        <v>14:40:05.391</v>
      </c>
      <c r="U2986" t="str">
        <f t="shared" si="138"/>
        <v>ad5732</v>
      </c>
      <c r="V2986">
        <v>0</v>
      </c>
      <c r="W2986">
        <v>0</v>
      </c>
      <c r="X2986">
        <v>1</v>
      </c>
      <c r="Z2986">
        <v>0</v>
      </c>
      <c r="AA2986">
        <v>9</v>
      </c>
      <c r="AB2986">
        <v>3</v>
      </c>
      <c r="AC2986">
        <v>0</v>
      </c>
      <c r="AD2986">
        <v>10</v>
      </c>
      <c r="AE2986">
        <v>0</v>
      </c>
      <c r="AF2986">
        <v>3</v>
      </c>
      <c r="AG2986">
        <v>2</v>
      </c>
      <c r="AH2986">
        <v>0</v>
      </c>
      <c r="AI2986" t="s">
        <v>6088</v>
      </c>
      <c r="AJ2986">
        <v>40.362504000000001</v>
      </c>
      <c r="AK2986" t="s">
        <v>6089</v>
      </c>
      <c r="AL2986">
        <v>-75.049925000000002</v>
      </c>
      <c r="AM2986">
        <v>100</v>
      </c>
      <c r="AN2986">
        <v>3700</v>
      </c>
      <c r="AO2986" t="s">
        <v>115</v>
      </c>
      <c r="AP2986">
        <v>129</v>
      </c>
      <c r="AQ2986">
        <v>120</v>
      </c>
      <c r="AR2986">
        <v>-64</v>
      </c>
      <c r="AZ2986">
        <v>3614</v>
      </c>
      <c r="BA2986">
        <v>1</v>
      </c>
      <c r="BB2986" t="str">
        <f t="shared" si="140"/>
        <v xml:space="preserve">N959MJ  </v>
      </c>
      <c r="BC2986">
        <v>1</v>
      </c>
      <c r="BE2986">
        <v>0</v>
      </c>
      <c r="BF2986">
        <v>0</v>
      </c>
      <c r="BG2986">
        <v>0</v>
      </c>
      <c r="BH2986">
        <v>3875</v>
      </c>
      <c r="BI2986">
        <v>175</v>
      </c>
      <c r="BJ2986">
        <v>1</v>
      </c>
      <c r="BK2986">
        <v>1</v>
      </c>
      <c r="BL2986">
        <v>1</v>
      </c>
      <c r="BM2986">
        <v>0</v>
      </c>
      <c r="BP2986">
        <v>0</v>
      </c>
      <c r="BQ2986">
        <v>0</v>
      </c>
      <c r="BX2986" t="str">
        <f>"14:40:05.898"</f>
        <v>14:40:05.898</v>
      </c>
      <c r="BY2986" t="str">
        <f>"898128321"</f>
        <v>898128321</v>
      </c>
      <c r="CL2986">
        <v>0</v>
      </c>
      <c r="CM2986">
        <v>2</v>
      </c>
      <c r="CN2986">
        <v>0</v>
      </c>
      <c r="CO2986">
        <v>2</v>
      </c>
      <c r="CP2986">
        <v>0</v>
      </c>
      <c r="CQ2986">
        <v>7</v>
      </c>
      <c r="CR2986" t="s">
        <v>116</v>
      </c>
      <c r="CS2986">
        <v>38</v>
      </c>
      <c r="CT2986">
        <v>3</v>
      </c>
      <c r="CU2986" t="s">
        <v>4719</v>
      </c>
      <c r="CV2986" t="s">
        <v>4720</v>
      </c>
      <c r="CY2986">
        <v>10554505</v>
      </c>
      <c r="CZ2986" t="s">
        <v>119</v>
      </c>
    </row>
    <row r="2987" spans="1:104" x14ac:dyDescent="0.25">
      <c r="A2987" t="str">
        <f>"14:40:07.148"</f>
        <v>14:40:07.148</v>
      </c>
      <c r="B2987" t="s">
        <v>108</v>
      </c>
      <c r="C2987" t="str">
        <f t="shared" si="139"/>
        <v>ffdfd3c0</v>
      </c>
      <c r="D2987" t="s">
        <v>109</v>
      </c>
      <c r="E2987">
        <v>4</v>
      </c>
      <c r="F2987">
        <v>1004</v>
      </c>
      <c r="G2987" t="s">
        <v>110</v>
      </c>
      <c r="J2987" t="s">
        <v>111</v>
      </c>
      <c r="K2987">
        <v>0</v>
      </c>
      <c r="L2987">
        <v>3</v>
      </c>
      <c r="M2987">
        <v>0</v>
      </c>
      <c r="N2987">
        <v>2</v>
      </c>
      <c r="O2987">
        <v>1</v>
      </c>
      <c r="P2987">
        <v>0</v>
      </c>
      <c r="Q2987">
        <v>0</v>
      </c>
      <c r="R2987" t="s">
        <v>112</v>
      </c>
      <c r="S2987" t="str">
        <f>"14:40:06.984"</f>
        <v>14:40:06.984</v>
      </c>
      <c r="T2987" t="str">
        <f>"14:40:06.484"</f>
        <v>14:40:06.484</v>
      </c>
      <c r="U2987" t="str">
        <f t="shared" si="138"/>
        <v>ad5732</v>
      </c>
      <c r="V2987">
        <v>0</v>
      </c>
      <c r="W2987">
        <v>0</v>
      </c>
      <c r="X2987">
        <v>1</v>
      </c>
      <c r="Z2987">
        <v>0</v>
      </c>
      <c r="AA2987">
        <v>9</v>
      </c>
      <c r="AB2987">
        <v>3</v>
      </c>
      <c r="AC2987">
        <v>0</v>
      </c>
      <c r="AD2987">
        <v>10</v>
      </c>
      <c r="AE2987">
        <v>0</v>
      </c>
      <c r="AF2987">
        <v>3</v>
      </c>
      <c r="AG2987">
        <v>2</v>
      </c>
      <c r="AH2987">
        <v>0</v>
      </c>
      <c r="AI2987" t="s">
        <v>6090</v>
      </c>
      <c r="AJ2987">
        <v>40.363126000000001</v>
      </c>
      <c r="AK2987" t="s">
        <v>6091</v>
      </c>
      <c r="AL2987">
        <v>-75.049066999999994</v>
      </c>
      <c r="AM2987">
        <v>100</v>
      </c>
      <c r="AN2987">
        <v>3700</v>
      </c>
      <c r="AO2987" t="s">
        <v>115</v>
      </c>
      <c r="AP2987">
        <v>129</v>
      </c>
      <c r="AQ2987">
        <v>120</v>
      </c>
      <c r="AR2987">
        <v>-64</v>
      </c>
      <c r="AZ2987">
        <v>3614</v>
      </c>
      <c r="BA2987">
        <v>1</v>
      </c>
      <c r="BB2987" t="str">
        <f t="shared" si="140"/>
        <v xml:space="preserve">N959MJ  </v>
      </c>
      <c r="BC2987">
        <v>1</v>
      </c>
      <c r="BE2987">
        <v>0</v>
      </c>
      <c r="BF2987">
        <v>0</v>
      </c>
      <c r="BG2987">
        <v>0</v>
      </c>
      <c r="BH2987">
        <v>3875</v>
      </c>
      <c r="BI2987">
        <v>175</v>
      </c>
      <c r="BJ2987">
        <v>1</v>
      </c>
      <c r="BK2987">
        <v>1</v>
      </c>
      <c r="BL2987">
        <v>1</v>
      </c>
      <c r="BM2987">
        <v>0</v>
      </c>
      <c r="BP2987">
        <v>0</v>
      </c>
      <c r="BQ2987">
        <v>0</v>
      </c>
      <c r="BX2987" t="str">
        <f>"14:40:06.984"</f>
        <v>14:40:06.984</v>
      </c>
      <c r="BY2987" t="str">
        <f>"986123051"</f>
        <v>986123051</v>
      </c>
      <c r="CL2987">
        <v>0</v>
      </c>
      <c r="CM2987">
        <v>2</v>
      </c>
      <c r="CN2987">
        <v>0</v>
      </c>
      <c r="CO2987">
        <v>2</v>
      </c>
      <c r="CP2987">
        <v>0</v>
      </c>
      <c r="CQ2987">
        <v>6</v>
      </c>
      <c r="CR2987" t="s">
        <v>116</v>
      </c>
      <c r="CS2987">
        <v>409</v>
      </c>
      <c r="CT2987">
        <v>2</v>
      </c>
      <c r="CU2987" t="s">
        <v>5087</v>
      </c>
      <c r="CV2987" t="s">
        <v>5088</v>
      </c>
      <c r="CY2987">
        <v>369351</v>
      </c>
      <c r="CZ2987" t="s">
        <v>119</v>
      </c>
    </row>
    <row r="2988" spans="1:104" x14ac:dyDescent="0.25">
      <c r="A2988" t="str">
        <f>"14:40:08.258"</f>
        <v>14:40:08.258</v>
      </c>
      <c r="B2988" t="s">
        <v>108</v>
      </c>
      <c r="C2988" t="str">
        <f t="shared" si="139"/>
        <v>ffdfd3c0</v>
      </c>
      <c r="D2988" t="s">
        <v>109</v>
      </c>
      <c r="E2988">
        <v>4</v>
      </c>
      <c r="F2988">
        <v>1004</v>
      </c>
      <c r="G2988" t="s">
        <v>110</v>
      </c>
      <c r="J2988" t="s">
        <v>111</v>
      </c>
      <c r="K2988">
        <v>0</v>
      </c>
      <c r="L2988">
        <v>3</v>
      </c>
      <c r="M2988">
        <v>0</v>
      </c>
      <c r="N2988">
        <v>2</v>
      </c>
      <c r="O2988">
        <v>1</v>
      </c>
      <c r="P2988">
        <v>0</v>
      </c>
      <c r="Q2988">
        <v>0</v>
      </c>
      <c r="R2988" t="s">
        <v>112</v>
      </c>
      <c r="S2988" t="str">
        <f>"14:40:08.102"</f>
        <v>14:40:08.102</v>
      </c>
      <c r="T2988" t="str">
        <f>"14:40:07.602"</f>
        <v>14:40:07.602</v>
      </c>
      <c r="U2988" t="str">
        <f t="shared" si="138"/>
        <v>ad5732</v>
      </c>
      <c r="V2988">
        <v>0</v>
      </c>
      <c r="W2988">
        <v>0</v>
      </c>
      <c r="X2988">
        <v>1</v>
      </c>
      <c r="Z2988">
        <v>0</v>
      </c>
      <c r="AA2988">
        <v>9</v>
      </c>
      <c r="AB2988">
        <v>3</v>
      </c>
      <c r="AC2988">
        <v>0</v>
      </c>
      <c r="AD2988">
        <v>10</v>
      </c>
      <c r="AE2988">
        <v>0</v>
      </c>
      <c r="AF2988">
        <v>3</v>
      </c>
      <c r="AG2988">
        <v>2</v>
      </c>
      <c r="AH2988">
        <v>0</v>
      </c>
      <c r="AI2988" t="s">
        <v>6092</v>
      </c>
      <c r="AJ2988">
        <v>40.363726999999997</v>
      </c>
      <c r="AK2988" t="s">
        <v>6093</v>
      </c>
      <c r="AL2988">
        <v>-75.048164999999997</v>
      </c>
      <c r="AM2988">
        <v>100</v>
      </c>
      <c r="AN2988">
        <v>3700</v>
      </c>
      <c r="AO2988" t="s">
        <v>115</v>
      </c>
      <c r="AP2988">
        <v>129</v>
      </c>
      <c r="AQ2988">
        <v>120</v>
      </c>
      <c r="AR2988">
        <v>0</v>
      </c>
      <c r="AZ2988">
        <v>3614</v>
      </c>
      <c r="BA2988">
        <v>1</v>
      </c>
      <c r="BB2988" t="str">
        <f t="shared" si="140"/>
        <v xml:space="preserve">N959MJ  </v>
      </c>
      <c r="BC2988">
        <v>1</v>
      </c>
      <c r="BE2988">
        <v>0</v>
      </c>
      <c r="BF2988">
        <v>0</v>
      </c>
      <c r="BG2988">
        <v>0</v>
      </c>
      <c r="BH2988">
        <v>3850</v>
      </c>
      <c r="BI2988">
        <v>150</v>
      </c>
      <c r="BJ2988">
        <v>1</v>
      </c>
      <c r="BK2988">
        <v>1</v>
      </c>
      <c r="BL2988">
        <v>1</v>
      </c>
      <c r="BM2988">
        <v>0</v>
      </c>
      <c r="BP2988">
        <v>0</v>
      </c>
      <c r="BQ2988">
        <v>0</v>
      </c>
      <c r="BX2988" t="str">
        <f>"14:40:08.102"</f>
        <v>14:40:08.102</v>
      </c>
      <c r="BY2988" t="str">
        <f>"105091377"</f>
        <v>105091377</v>
      </c>
      <c r="CL2988">
        <v>0</v>
      </c>
      <c r="CM2988">
        <v>2</v>
      </c>
      <c r="CN2988">
        <v>0</v>
      </c>
      <c r="CO2988">
        <v>2</v>
      </c>
      <c r="CP2988">
        <v>0</v>
      </c>
      <c r="CQ2988">
        <v>7</v>
      </c>
      <c r="CR2988" t="s">
        <v>116</v>
      </c>
      <c r="CS2988">
        <v>38</v>
      </c>
      <c r="CT2988">
        <v>3</v>
      </c>
      <c r="CU2988" t="s">
        <v>4719</v>
      </c>
      <c r="CV2988" t="s">
        <v>4720</v>
      </c>
      <c r="CY2988">
        <v>10558587</v>
      </c>
      <c r="CZ2988" t="s">
        <v>119</v>
      </c>
    </row>
    <row r="2989" spans="1:104" x14ac:dyDescent="0.25">
      <c r="A2989" t="str">
        <f>"14:40:09.266"</f>
        <v>14:40:09.266</v>
      </c>
      <c r="B2989" t="s">
        <v>108</v>
      </c>
      <c r="C2989" t="str">
        <f t="shared" si="139"/>
        <v>ffdfd3c0</v>
      </c>
      <c r="D2989" t="s">
        <v>109</v>
      </c>
      <c r="E2989">
        <v>4</v>
      </c>
      <c r="F2989">
        <v>1004</v>
      </c>
      <c r="G2989" t="s">
        <v>110</v>
      </c>
      <c r="J2989" t="s">
        <v>111</v>
      </c>
      <c r="K2989">
        <v>0</v>
      </c>
      <c r="L2989">
        <v>3</v>
      </c>
      <c r="M2989">
        <v>0</v>
      </c>
      <c r="N2989">
        <v>2</v>
      </c>
      <c r="O2989">
        <v>1</v>
      </c>
      <c r="P2989">
        <v>0</v>
      </c>
      <c r="Q2989">
        <v>0</v>
      </c>
      <c r="R2989" t="s">
        <v>112</v>
      </c>
      <c r="S2989" t="str">
        <f>"14:40:09.086"</f>
        <v>14:40:09.086</v>
      </c>
      <c r="T2989" t="str">
        <f>"14:40:08.688"</f>
        <v>14:40:08.688</v>
      </c>
      <c r="U2989" t="str">
        <f t="shared" si="138"/>
        <v>ad5732</v>
      </c>
      <c r="V2989">
        <v>0</v>
      </c>
      <c r="W2989">
        <v>0</v>
      </c>
      <c r="X2989">
        <v>1</v>
      </c>
      <c r="Z2989">
        <v>0</v>
      </c>
      <c r="AA2989">
        <v>9</v>
      </c>
      <c r="AB2989">
        <v>3</v>
      </c>
      <c r="AC2989">
        <v>0</v>
      </c>
      <c r="AD2989">
        <v>10</v>
      </c>
      <c r="AE2989">
        <v>0</v>
      </c>
      <c r="AF2989">
        <v>3</v>
      </c>
      <c r="AG2989">
        <v>2</v>
      </c>
      <c r="AH2989">
        <v>0</v>
      </c>
      <c r="AI2989" t="s">
        <v>6094</v>
      </c>
      <c r="AJ2989">
        <v>40.364285000000002</v>
      </c>
      <c r="AK2989" t="s">
        <v>6095</v>
      </c>
      <c r="AL2989">
        <v>-75.047414000000003</v>
      </c>
      <c r="AM2989">
        <v>100</v>
      </c>
      <c r="AN2989">
        <v>3700</v>
      </c>
      <c r="AO2989" t="s">
        <v>115</v>
      </c>
      <c r="AP2989">
        <v>129</v>
      </c>
      <c r="AQ2989">
        <v>120</v>
      </c>
      <c r="AR2989">
        <v>0</v>
      </c>
      <c r="AZ2989">
        <v>3614</v>
      </c>
      <c r="BA2989">
        <v>1</v>
      </c>
      <c r="BB2989" t="str">
        <f t="shared" si="140"/>
        <v xml:space="preserve">N959MJ  </v>
      </c>
      <c r="BC2989">
        <v>1</v>
      </c>
      <c r="BE2989">
        <v>0</v>
      </c>
      <c r="BF2989">
        <v>0</v>
      </c>
      <c r="BG2989">
        <v>0</v>
      </c>
      <c r="BH2989">
        <v>3850</v>
      </c>
      <c r="BI2989">
        <v>150</v>
      </c>
      <c r="BJ2989">
        <v>1</v>
      </c>
      <c r="BK2989">
        <v>1</v>
      </c>
      <c r="BL2989">
        <v>1</v>
      </c>
      <c r="BM2989">
        <v>0</v>
      </c>
      <c r="BP2989">
        <v>0</v>
      </c>
      <c r="BQ2989">
        <v>0</v>
      </c>
      <c r="BX2989" t="str">
        <f>"14:40:09.086"</f>
        <v>14:40:09.086</v>
      </c>
      <c r="BY2989" t="str">
        <f>"088148420"</f>
        <v>088148420</v>
      </c>
      <c r="CL2989">
        <v>0</v>
      </c>
      <c r="CM2989">
        <v>2</v>
      </c>
      <c r="CN2989">
        <v>0</v>
      </c>
      <c r="CO2989">
        <v>2</v>
      </c>
      <c r="CP2989">
        <v>0</v>
      </c>
      <c r="CQ2989">
        <v>7</v>
      </c>
      <c r="CR2989" t="s">
        <v>116</v>
      </c>
      <c r="CS2989">
        <v>38</v>
      </c>
      <c r="CT2989">
        <v>3</v>
      </c>
      <c r="CU2989" t="s">
        <v>4719</v>
      </c>
      <c r="CV2989" t="s">
        <v>4720</v>
      </c>
      <c r="CY2989">
        <v>10560248</v>
      </c>
      <c r="CZ2989" t="s">
        <v>119</v>
      </c>
    </row>
    <row r="2990" spans="1:104" x14ac:dyDescent="0.25">
      <c r="A2990" t="str">
        <f>"14:40:10.430"</f>
        <v>14:40:10.430</v>
      </c>
      <c r="B2990" t="s">
        <v>108</v>
      </c>
      <c r="C2990" t="str">
        <f t="shared" si="139"/>
        <v>ffdfd3c0</v>
      </c>
      <c r="D2990" t="s">
        <v>109</v>
      </c>
      <c r="E2990">
        <v>4</v>
      </c>
      <c r="F2990">
        <v>1004</v>
      </c>
      <c r="G2990" t="s">
        <v>110</v>
      </c>
      <c r="J2990" t="s">
        <v>111</v>
      </c>
      <c r="K2990">
        <v>0</v>
      </c>
      <c r="L2990">
        <v>3</v>
      </c>
      <c r="M2990">
        <v>0</v>
      </c>
      <c r="N2990">
        <v>2</v>
      </c>
      <c r="O2990">
        <v>1</v>
      </c>
      <c r="P2990">
        <v>0</v>
      </c>
      <c r="Q2990">
        <v>0</v>
      </c>
      <c r="R2990" t="s">
        <v>112</v>
      </c>
      <c r="S2990" t="str">
        <f>"14:40:10.250"</f>
        <v>14:40:10.250</v>
      </c>
      <c r="T2990" t="str">
        <f>"14:40:09.750"</f>
        <v>14:40:09.750</v>
      </c>
      <c r="U2990" t="str">
        <f t="shared" si="138"/>
        <v>ad5732</v>
      </c>
      <c r="V2990">
        <v>0</v>
      </c>
      <c r="W2990">
        <v>0</v>
      </c>
      <c r="X2990">
        <v>1</v>
      </c>
      <c r="Z2990">
        <v>0</v>
      </c>
      <c r="AA2990">
        <v>9</v>
      </c>
      <c r="AB2990">
        <v>3</v>
      </c>
      <c r="AC2990">
        <v>0</v>
      </c>
      <c r="AD2990">
        <v>10</v>
      </c>
      <c r="AE2990">
        <v>0</v>
      </c>
      <c r="AF2990">
        <v>3</v>
      </c>
      <c r="AG2990">
        <v>2</v>
      </c>
      <c r="AH2990">
        <v>0</v>
      </c>
      <c r="AI2990" t="s">
        <v>6096</v>
      </c>
      <c r="AJ2990">
        <v>40.364927999999999</v>
      </c>
      <c r="AK2990" t="s">
        <v>6097</v>
      </c>
      <c r="AL2990">
        <v>-75.046492000000001</v>
      </c>
      <c r="AM2990">
        <v>100</v>
      </c>
      <c r="AN2990">
        <v>3700</v>
      </c>
      <c r="AO2990" t="s">
        <v>115</v>
      </c>
      <c r="AP2990">
        <v>129</v>
      </c>
      <c r="AQ2990">
        <v>120</v>
      </c>
      <c r="AR2990">
        <v>0</v>
      </c>
      <c r="AZ2990">
        <v>3614</v>
      </c>
      <c r="BA2990">
        <v>1</v>
      </c>
      <c r="BB2990" t="str">
        <f t="shared" si="140"/>
        <v xml:space="preserve">N959MJ  </v>
      </c>
      <c r="BC2990">
        <v>1</v>
      </c>
      <c r="BE2990">
        <v>0</v>
      </c>
      <c r="BF2990">
        <v>0</v>
      </c>
      <c r="BG2990">
        <v>0</v>
      </c>
      <c r="BH2990">
        <v>3850</v>
      </c>
      <c r="BI2990">
        <v>150</v>
      </c>
      <c r="BJ2990">
        <v>1</v>
      </c>
      <c r="BK2990">
        <v>1</v>
      </c>
      <c r="BL2990">
        <v>1</v>
      </c>
      <c r="BM2990">
        <v>0</v>
      </c>
      <c r="BP2990">
        <v>0</v>
      </c>
      <c r="BQ2990">
        <v>0</v>
      </c>
      <c r="BX2990" t="str">
        <f>"14:40:10.258"</f>
        <v>14:40:10.258</v>
      </c>
      <c r="BY2990" t="str">
        <f>"256347920"</f>
        <v>256347920</v>
      </c>
      <c r="CL2990">
        <v>0</v>
      </c>
      <c r="CM2990">
        <v>2</v>
      </c>
      <c r="CN2990">
        <v>0</v>
      </c>
      <c r="CO2990">
        <v>2</v>
      </c>
      <c r="CP2990">
        <v>0</v>
      </c>
      <c r="CQ2990">
        <v>7</v>
      </c>
      <c r="CR2990" t="s">
        <v>116</v>
      </c>
      <c r="CS2990">
        <v>38</v>
      </c>
      <c r="CT2990">
        <v>3</v>
      </c>
      <c r="CU2990" t="s">
        <v>4719</v>
      </c>
      <c r="CV2990" t="s">
        <v>4720</v>
      </c>
      <c r="CY2990">
        <v>10562201</v>
      </c>
      <c r="CZ2990" t="s">
        <v>119</v>
      </c>
    </row>
    <row r="2991" spans="1:104" x14ac:dyDescent="0.25">
      <c r="A2991" t="str">
        <f>"14:40:11.391"</f>
        <v>14:40:11.391</v>
      </c>
      <c r="B2991" t="s">
        <v>108</v>
      </c>
      <c r="C2991" t="str">
        <f t="shared" si="139"/>
        <v>ffdfd3c0</v>
      </c>
      <c r="D2991" t="s">
        <v>109</v>
      </c>
      <c r="E2991">
        <v>4</v>
      </c>
      <c r="F2991">
        <v>1004</v>
      </c>
      <c r="G2991" t="s">
        <v>110</v>
      </c>
      <c r="J2991" t="s">
        <v>111</v>
      </c>
      <c r="K2991">
        <v>0</v>
      </c>
      <c r="L2991">
        <v>3</v>
      </c>
      <c r="M2991">
        <v>0</v>
      </c>
      <c r="N2991">
        <v>2</v>
      </c>
      <c r="O2991">
        <v>1</v>
      </c>
      <c r="P2991">
        <v>0</v>
      </c>
      <c r="Q2991">
        <v>0</v>
      </c>
      <c r="R2991" t="s">
        <v>112</v>
      </c>
      <c r="S2991" t="str">
        <f>"14:40:11.203"</f>
        <v>14:40:11.203</v>
      </c>
      <c r="T2991" t="str">
        <f>"14:40:10.805"</f>
        <v>14:40:10.805</v>
      </c>
      <c r="U2991" t="str">
        <f t="shared" si="138"/>
        <v>ad5732</v>
      </c>
      <c r="V2991">
        <v>0</v>
      </c>
      <c r="W2991">
        <v>0</v>
      </c>
      <c r="X2991">
        <v>1</v>
      </c>
      <c r="Z2991">
        <v>0</v>
      </c>
      <c r="AA2991">
        <v>9</v>
      </c>
      <c r="AB2991">
        <v>3</v>
      </c>
      <c r="AC2991">
        <v>0</v>
      </c>
      <c r="AD2991">
        <v>10</v>
      </c>
      <c r="AE2991">
        <v>0</v>
      </c>
      <c r="AF2991">
        <v>3</v>
      </c>
      <c r="AG2991">
        <v>2</v>
      </c>
      <c r="AH2991">
        <v>0</v>
      </c>
      <c r="AI2991" t="s">
        <v>6098</v>
      </c>
      <c r="AJ2991">
        <v>40.365465</v>
      </c>
      <c r="AK2991" t="s">
        <v>6099</v>
      </c>
      <c r="AL2991">
        <v>-75.045783999999998</v>
      </c>
      <c r="AM2991">
        <v>100</v>
      </c>
      <c r="AN2991">
        <v>3700</v>
      </c>
      <c r="AO2991" t="s">
        <v>115</v>
      </c>
      <c r="AP2991">
        <v>129</v>
      </c>
      <c r="AQ2991">
        <v>120</v>
      </c>
      <c r="AR2991">
        <v>0</v>
      </c>
      <c r="AZ2991">
        <v>3614</v>
      </c>
      <c r="BA2991">
        <v>1</v>
      </c>
      <c r="BB2991" t="str">
        <f t="shared" si="140"/>
        <v xml:space="preserve">N959MJ  </v>
      </c>
      <c r="BC2991">
        <v>1</v>
      </c>
      <c r="BE2991">
        <v>0</v>
      </c>
      <c r="BF2991">
        <v>0</v>
      </c>
      <c r="BG2991">
        <v>0</v>
      </c>
      <c r="BH2991">
        <v>3850</v>
      </c>
      <c r="BI2991">
        <v>150</v>
      </c>
      <c r="BJ2991">
        <v>1</v>
      </c>
      <c r="BK2991">
        <v>1</v>
      </c>
      <c r="BL2991">
        <v>1</v>
      </c>
      <c r="BM2991">
        <v>0</v>
      </c>
      <c r="BP2991">
        <v>0</v>
      </c>
      <c r="BQ2991">
        <v>0</v>
      </c>
      <c r="BX2991" t="str">
        <f>"14:40:11.211"</f>
        <v>14:40:11.211</v>
      </c>
      <c r="BY2991" t="str">
        <f>"209913253"</f>
        <v>209913253</v>
      </c>
      <c r="CL2991">
        <v>0</v>
      </c>
      <c r="CM2991">
        <v>2</v>
      </c>
      <c r="CN2991">
        <v>0</v>
      </c>
      <c r="CO2991">
        <v>2</v>
      </c>
      <c r="CP2991">
        <v>0</v>
      </c>
      <c r="CQ2991">
        <v>7</v>
      </c>
      <c r="CR2991" t="s">
        <v>116</v>
      </c>
      <c r="CS2991">
        <v>38</v>
      </c>
      <c r="CT2991">
        <v>3</v>
      </c>
      <c r="CU2991" t="s">
        <v>4719</v>
      </c>
      <c r="CV2991" t="s">
        <v>4720</v>
      </c>
      <c r="CY2991">
        <v>10563948</v>
      </c>
      <c r="CZ2991" t="s">
        <v>119</v>
      </c>
    </row>
    <row r="2992" spans="1:104" x14ac:dyDescent="0.25">
      <c r="A2992" t="str">
        <f>"14:40:12.250"</f>
        <v>14:40:12.250</v>
      </c>
      <c r="B2992" t="s">
        <v>108</v>
      </c>
      <c r="C2992" t="str">
        <f t="shared" si="139"/>
        <v>ffdfd3c0</v>
      </c>
      <c r="D2992" t="s">
        <v>109</v>
      </c>
      <c r="E2992">
        <v>4</v>
      </c>
      <c r="F2992">
        <v>1004</v>
      </c>
      <c r="G2992" t="s">
        <v>110</v>
      </c>
      <c r="J2992" t="s">
        <v>111</v>
      </c>
      <c r="K2992">
        <v>0</v>
      </c>
      <c r="L2992">
        <v>3</v>
      </c>
      <c r="M2992">
        <v>0</v>
      </c>
      <c r="N2992">
        <v>2</v>
      </c>
      <c r="O2992">
        <v>1</v>
      </c>
      <c r="P2992">
        <v>0</v>
      </c>
      <c r="Q2992">
        <v>0</v>
      </c>
      <c r="R2992" t="s">
        <v>112</v>
      </c>
      <c r="S2992" t="str">
        <f>"14:40:12.070"</f>
        <v>14:40:12.070</v>
      </c>
      <c r="T2992" t="str">
        <f>"14:40:11.672"</f>
        <v>14:40:11.672</v>
      </c>
      <c r="U2992" t="str">
        <f t="shared" si="138"/>
        <v>ad5732</v>
      </c>
      <c r="V2992">
        <v>0</v>
      </c>
      <c r="W2992">
        <v>0</v>
      </c>
      <c r="X2992">
        <v>1</v>
      </c>
      <c r="Z2992">
        <v>0</v>
      </c>
      <c r="AA2992">
        <v>9</v>
      </c>
      <c r="AB2992">
        <v>3</v>
      </c>
      <c r="AC2992">
        <v>0</v>
      </c>
      <c r="AD2992">
        <v>10</v>
      </c>
      <c r="AE2992">
        <v>0</v>
      </c>
      <c r="AF2992">
        <v>3</v>
      </c>
      <c r="AG2992">
        <v>2</v>
      </c>
      <c r="AH2992">
        <v>0</v>
      </c>
      <c r="AI2992" t="s">
        <v>6100</v>
      </c>
      <c r="AJ2992">
        <v>40.365957999999999</v>
      </c>
      <c r="AK2992" t="s">
        <v>6101</v>
      </c>
      <c r="AL2992">
        <v>-75.045053999999993</v>
      </c>
      <c r="AM2992">
        <v>100</v>
      </c>
      <c r="AN2992">
        <v>3700</v>
      </c>
      <c r="AO2992" t="s">
        <v>115</v>
      </c>
      <c r="AP2992">
        <v>129</v>
      </c>
      <c r="AQ2992">
        <v>120</v>
      </c>
      <c r="AR2992">
        <v>0</v>
      </c>
      <c r="AZ2992">
        <v>3614</v>
      </c>
      <c r="BA2992">
        <v>1</v>
      </c>
      <c r="BB2992" t="str">
        <f t="shared" si="140"/>
        <v xml:space="preserve">N959MJ  </v>
      </c>
      <c r="BC2992">
        <v>1</v>
      </c>
      <c r="BE2992">
        <v>0</v>
      </c>
      <c r="BF2992">
        <v>0</v>
      </c>
      <c r="BG2992">
        <v>0</v>
      </c>
      <c r="BH2992">
        <v>3875</v>
      </c>
      <c r="BI2992">
        <v>175</v>
      </c>
      <c r="BJ2992">
        <v>1</v>
      </c>
      <c r="BK2992">
        <v>1</v>
      </c>
      <c r="BL2992">
        <v>1</v>
      </c>
      <c r="BM2992">
        <v>0</v>
      </c>
      <c r="BP2992">
        <v>0</v>
      </c>
      <c r="BQ2992">
        <v>0</v>
      </c>
      <c r="BX2992" t="str">
        <f>"14:40:12.070"</f>
        <v>14:40:12.070</v>
      </c>
      <c r="BY2992" t="str">
        <f>"071726543"</f>
        <v>071726543</v>
      </c>
      <c r="CL2992">
        <v>0</v>
      </c>
      <c r="CM2992">
        <v>2</v>
      </c>
      <c r="CN2992">
        <v>0</v>
      </c>
      <c r="CO2992">
        <v>2</v>
      </c>
      <c r="CP2992">
        <v>0</v>
      </c>
      <c r="CQ2992">
        <v>7</v>
      </c>
      <c r="CR2992" t="s">
        <v>116</v>
      </c>
      <c r="CS2992">
        <v>38</v>
      </c>
      <c r="CT2992">
        <v>3</v>
      </c>
      <c r="CU2992" t="s">
        <v>4719</v>
      </c>
      <c r="CV2992" t="s">
        <v>4720</v>
      </c>
      <c r="CY2992">
        <v>10565575</v>
      </c>
      <c r="CZ2992" t="s">
        <v>119</v>
      </c>
    </row>
    <row r="2993" spans="1:104" x14ac:dyDescent="0.25">
      <c r="A2993" t="str">
        <f>"14:40:13.258"</f>
        <v>14:40:13.258</v>
      </c>
      <c r="B2993" t="s">
        <v>108</v>
      </c>
      <c r="C2993" t="str">
        <f t="shared" si="139"/>
        <v>ffdfd3c0</v>
      </c>
      <c r="D2993" t="s">
        <v>109</v>
      </c>
      <c r="E2993">
        <v>4</v>
      </c>
      <c r="F2993">
        <v>1004</v>
      </c>
      <c r="G2993" t="s">
        <v>110</v>
      </c>
      <c r="J2993" t="s">
        <v>111</v>
      </c>
      <c r="K2993">
        <v>0</v>
      </c>
      <c r="L2993">
        <v>3</v>
      </c>
      <c r="M2993">
        <v>0</v>
      </c>
      <c r="N2993">
        <v>2</v>
      </c>
      <c r="O2993">
        <v>1</v>
      </c>
      <c r="P2993">
        <v>0</v>
      </c>
      <c r="Q2993">
        <v>0</v>
      </c>
      <c r="R2993" t="s">
        <v>112</v>
      </c>
      <c r="S2993" t="str">
        <f>"14:40:13.055"</f>
        <v>14:40:13.055</v>
      </c>
      <c r="T2993" t="str">
        <f>"14:40:12.656"</f>
        <v>14:40:12.656</v>
      </c>
      <c r="U2993" t="str">
        <f t="shared" si="138"/>
        <v>ad5732</v>
      </c>
      <c r="V2993">
        <v>0</v>
      </c>
      <c r="W2993">
        <v>0</v>
      </c>
      <c r="X2993">
        <v>1</v>
      </c>
      <c r="Z2993">
        <v>0</v>
      </c>
      <c r="AA2993">
        <v>9</v>
      </c>
      <c r="AB2993">
        <v>3</v>
      </c>
      <c r="AC2993">
        <v>0</v>
      </c>
      <c r="AD2993">
        <v>10</v>
      </c>
      <c r="AE2993">
        <v>0</v>
      </c>
      <c r="AF2993">
        <v>3</v>
      </c>
      <c r="AG2993">
        <v>2</v>
      </c>
      <c r="AH2993">
        <v>0</v>
      </c>
      <c r="AI2993" t="s">
        <v>6102</v>
      </c>
      <c r="AJ2993">
        <v>40.366515999999997</v>
      </c>
      <c r="AK2993" t="s">
        <v>6103</v>
      </c>
      <c r="AL2993">
        <v>-75.044302999999999</v>
      </c>
      <c r="AM2993">
        <v>100</v>
      </c>
      <c r="AN2993">
        <v>3700</v>
      </c>
      <c r="AO2993" t="s">
        <v>115</v>
      </c>
      <c r="AP2993">
        <v>129</v>
      </c>
      <c r="AQ2993">
        <v>120</v>
      </c>
      <c r="AR2993">
        <v>0</v>
      </c>
      <c r="AZ2993">
        <v>3614</v>
      </c>
      <c r="BA2993">
        <v>1</v>
      </c>
      <c r="BB2993" t="str">
        <f t="shared" si="140"/>
        <v xml:space="preserve">N959MJ  </v>
      </c>
      <c r="BC2993">
        <v>1</v>
      </c>
      <c r="BE2993">
        <v>0</v>
      </c>
      <c r="BF2993">
        <v>0</v>
      </c>
      <c r="BG2993">
        <v>0</v>
      </c>
      <c r="BH2993">
        <v>3875</v>
      </c>
      <c r="BI2993">
        <v>175</v>
      </c>
      <c r="BJ2993">
        <v>1</v>
      </c>
      <c r="BK2993">
        <v>1</v>
      </c>
      <c r="BL2993">
        <v>1</v>
      </c>
      <c r="BM2993">
        <v>0</v>
      </c>
      <c r="BP2993">
        <v>0</v>
      </c>
      <c r="BQ2993">
        <v>0</v>
      </c>
      <c r="BX2993" t="str">
        <f>"14:40:13.055"</f>
        <v>14:40:13.055</v>
      </c>
      <c r="BY2993" t="str">
        <f>"056567149"</f>
        <v>056567149</v>
      </c>
      <c r="CL2993">
        <v>0</v>
      </c>
      <c r="CM2993">
        <v>2</v>
      </c>
      <c r="CN2993">
        <v>0</v>
      </c>
      <c r="CO2993">
        <v>2</v>
      </c>
      <c r="CP2993">
        <v>0</v>
      </c>
      <c r="CQ2993">
        <v>6</v>
      </c>
      <c r="CR2993" t="s">
        <v>116</v>
      </c>
      <c r="CS2993">
        <v>39</v>
      </c>
      <c r="CT2993">
        <v>0</v>
      </c>
      <c r="CU2993" t="s">
        <v>2259</v>
      </c>
      <c r="CV2993" t="s">
        <v>2260</v>
      </c>
      <c r="CY2993">
        <v>2744217</v>
      </c>
      <c r="CZ2993" t="s">
        <v>119</v>
      </c>
    </row>
    <row r="2994" spans="1:104" x14ac:dyDescent="0.25">
      <c r="A2994" t="str">
        <f>"14:40:14.219"</f>
        <v>14:40:14.219</v>
      </c>
      <c r="B2994" t="s">
        <v>108</v>
      </c>
      <c r="C2994" t="str">
        <f t="shared" si="139"/>
        <v>ffdfd3c0</v>
      </c>
      <c r="D2994" t="s">
        <v>109</v>
      </c>
      <c r="E2994">
        <v>4</v>
      </c>
      <c r="F2994">
        <v>1004</v>
      </c>
      <c r="G2994" t="s">
        <v>110</v>
      </c>
      <c r="J2994" t="s">
        <v>111</v>
      </c>
      <c r="K2994">
        <v>0</v>
      </c>
      <c r="L2994">
        <v>3</v>
      </c>
      <c r="M2994">
        <v>0</v>
      </c>
      <c r="N2994">
        <v>2</v>
      </c>
      <c r="O2994">
        <v>1</v>
      </c>
      <c r="P2994">
        <v>0</v>
      </c>
      <c r="Q2994">
        <v>0</v>
      </c>
      <c r="R2994" t="s">
        <v>112</v>
      </c>
      <c r="S2994" t="str">
        <f>"14:40:14.047"</f>
        <v>14:40:14.047</v>
      </c>
      <c r="T2994" t="str">
        <f>"14:40:13.547"</f>
        <v>14:40:13.547</v>
      </c>
      <c r="U2994" t="str">
        <f t="shared" si="138"/>
        <v>ad5732</v>
      </c>
      <c r="V2994">
        <v>0</v>
      </c>
      <c r="W2994">
        <v>0</v>
      </c>
      <c r="X2994">
        <v>1</v>
      </c>
      <c r="Z2994">
        <v>0</v>
      </c>
      <c r="AA2994">
        <v>9</v>
      </c>
      <c r="AB2994">
        <v>3</v>
      </c>
      <c r="AC2994">
        <v>0</v>
      </c>
      <c r="AD2994">
        <v>10</v>
      </c>
      <c r="AE2994">
        <v>0</v>
      </c>
      <c r="AF2994">
        <v>3</v>
      </c>
      <c r="AG2994">
        <v>2</v>
      </c>
      <c r="AH2994">
        <v>0</v>
      </c>
      <c r="AI2994" t="s">
        <v>6104</v>
      </c>
      <c r="AJ2994">
        <v>40.367074000000002</v>
      </c>
      <c r="AK2994" t="s">
        <v>6105</v>
      </c>
      <c r="AL2994">
        <v>-75.043487999999996</v>
      </c>
      <c r="AM2994">
        <v>100</v>
      </c>
      <c r="AN2994">
        <v>3700</v>
      </c>
      <c r="AO2994" t="s">
        <v>115</v>
      </c>
      <c r="AP2994">
        <v>129</v>
      </c>
      <c r="AQ2994">
        <v>120</v>
      </c>
      <c r="AR2994">
        <v>0</v>
      </c>
      <c r="AZ2994">
        <v>3614</v>
      </c>
      <c r="BA2994">
        <v>1</v>
      </c>
      <c r="BB2994" t="str">
        <f t="shared" si="140"/>
        <v xml:space="preserve">N959MJ  </v>
      </c>
      <c r="BC2994">
        <v>1</v>
      </c>
      <c r="BE2994">
        <v>0</v>
      </c>
      <c r="BF2994">
        <v>0</v>
      </c>
      <c r="BG2994">
        <v>0</v>
      </c>
      <c r="BH2994">
        <v>3850</v>
      </c>
      <c r="BI2994">
        <v>150</v>
      </c>
      <c r="BJ2994">
        <v>1</v>
      </c>
      <c r="BK2994">
        <v>1</v>
      </c>
      <c r="BL2994">
        <v>1</v>
      </c>
      <c r="BM2994">
        <v>0</v>
      </c>
      <c r="BP2994">
        <v>0</v>
      </c>
      <c r="BQ2994">
        <v>0</v>
      </c>
      <c r="BX2994" t="str">
        <f>"14:40:14.047"</f>
        <v>14:40:14.047</v>
      </c>
      <c r="BY2994" t="str">
        <f>"049309641"</f>
        <v>049309641</v>
      </c>
      <c r="CL2994">
        <v>0</v>
      </c>
      <c r="CM2994">
        <v>2</v>
      </c>
      <c r="CN2994">
        <v>0</v>
      </c>
      <c r="CO2994">
        <v>2</v>
      </c>
      <c r="CP2994">
        <v>0</v>
      </c>
      <c r="CQ2994">
        <v>7</v>
      </c>
      <c r="CR2994" t="s">
        <v>116</v>
      </c>
      <c r="CS2994">
        <v>38</v>
      </c>
      <c r="CT2994">
        <v>3</v>
      </c>
      <c r="CU2994" t="s">
        <v>4719</v>
      </c>
      <c r="CV2994" t="s">
        <v>4720</v>
      </c>
      <c r="CY2994">
        <v>10568944</v>
      </c>
      <c r="CZ2994" t="s">
        <v>119</v>
      </c>
    </row>
    <row r="2995" spans="1:104" x14ac:dyDescent="0.25">
      <c r="A2995" t="str">
        <f>"14:40:15.227"</f>
        <v>14:40:15.227</v>
      </c>
      <c r="B2995" t="s">
        <v>108</v>
      </c>
      <c r="C2995" t="str">
        <f t="shared" si="139"/>
        <v>ffdfd3c0</v>
      </c>
      <c r="D2995" t="s">
        <v>109</v>
      </c>
      <c r="E2995">
        <v>4</v>
      </c>
      <c r="F2995">
        <v>1004</v>
      </c>
      <c r="G2995" t="s">
        <v>110</v>
      </c>
      <c r="J2995" t="s">
        <v>111</v>
      </c>
      <c r="K2995">
        <v>0</v>
      </c>
      <c r="L2995">
        <v>3</v>
      </c>
      <c r="M2995">
        <v>0</v>
      </c>
      <c r="N2995">
        <v>2</v>
      </c>
      <c r="O2995">
        <v>1</v>
      </c>
      <c r="P2995">
        <v>0</v>
      </c>
      <c r="Q2995">
        <v>0</v>
      </c>
      <c r="R2995" t="s">
        <v>112</v>
      </c>
      <c r="S2995" t="str">
        <f>"14:40:15.039"</f>
        <v>14:40:15.039</v>
      </c>
      <c r="T2995" t="str">
        <f>"14:40:14.641"</f>
        <v>14:40:14.641</v>
      </c>
      <c r="U2995" t="str">
        <f t="shared" si="138"/>
        <v>ad5732</v>
      </c>
      <c r="V2995">
        <v>0</v>
      </c>
      <c r="W2995">
        <v>0</v>
      </c>
      <c r="X2995">
        <v>1</v>
      </c>
      <c r="Z2995">
        <v>0</v>
      </c>
      <c r="AA2995">
        <v>9</v>
      </c>
      <c r="AB2995">
        <v>3</v>
      </c>
      <c r="AC2995">
        <v>0</v>
      </c>
      <c r="AD2995">
        <v>10</v>
      </c>
      <c r="AE2995">
        <v>0</v>
      </c>
      <c r="AF2995">
        <v>3</v>
      </c>
      <c r="AG2995">
        <v>2</v>
      </c>
      <c r="AH2995">
        <v>0</v>
      </c>
      <c r="AI2995" t="s">
        <v>6106</v>
      </c>
      <c r="AJ2995">
        <v>40.367632</v>
      </c>
      <c r="AK2995" t="s">
        <v>6107</v>
      </c>
      <c r="AL2995">
        <v>-75.042737000000002</v>
      </c>
      <c r="AM2995">
        <v>100</v>
      </c>
      <c r="AN2995">
        <v>3700</v>
      </c>
      <c r="AO2995" t="s">
        <v>115</v>
      </c>
      <c r="AP2995">
        <v>129</v>
      </c>
      <c r="AQ2995">
        <v>120</v>
      </c>
      <c r="AR2995">
        <v>0</v>
      </c>
      <c r="AZ2995">
        <v>3614</v>
      </c>
      <c r="BA2995">
        <v>1</v>
      </c>
      <c r="BB2995" t="str">
        <f t="shared" si="140"/>
        <v xml:space="preserve">N959MJ  </v>
      </c>
      <c r="BC2995">
        <v>1</v>
      </c>
      <c r="BE2995">
        <v>0</v>
      </c>
      <c r="BF2995">
        <v>0</v>
      </c>
      <c r="BG2995">
        <v>0</v>
      </c>
      <c r="BH2995">
        <v>3875</v>
      </c>
      <c r="BI2995">
        <v>175</v>
      </c>
      <c r="BJ2995">
        <v>1</v>
      </c>
      <c r="BK2995">
        <v>1</v>
      </c>
      <c r="BL2995">
        <v>1</v>
      </c>
      <c r="BM2995">
        <v>0</v>
      </c>
      <c r="BP2995">
        <v>0</v>
      </c>
      <c r="BQ2995">
        <v>0</v>
      </c>
      <c r="BX2995" t="str">
        <f>"14:40:15.047"</f>
        <v>14:40:15.047</v>
      </c>
      <c r="BY2995" t="str">
        <f>"043835686"</f>
        <v>043835686</v>
      </c>
      <c r="CL2995">
        <v>0</v>
      </c>
      <c r="CM2995">
        <v>2</v>
      </c>
      <c r="CN2995">
        <v>0</v>
      </c>
      <c r="CO2995">
        <v>2</v>
      </c>
      <c r="CP2995">
        <v>0</v>
      </c>
      <c r="CQ2995">
        <v>7</v>
      </c>
      <c r="CR2995" t="s">
        <v>116</v>
      </c>
      <c r="CS2995">
        <v>38</v>
      </c>
      <c r="CT2995">
        <v>3</v>
      </c>
      <c r="CU2995" t="s">
        <v>4719</v>
      </c>
      <c r="CV2995" t="s">
        <v>4720</v>
      </c>
      <c r="CY2995">
        <v>10570591</v>
      </c>
      <c r="CZ2995" t="s">
        <v>119</v>
      </c>
    </row>
    <row r="2996" spans="1:104" x14ac:dyDescent="0.25">
      <c r="A2996" t="str">
        <f>"14:40:16.242"</f>
        <v>14:40:16.242</v>
      </c>
      <c r="B2996" t="s">
        <v>108</v>
      </c>
      <c r="C2996" t="str">
        <f t="shared" si="139"/>
        <v>ffdfd3c0</v>
      </c>
      <c r="D2996" t="s">
        <v>109</v>
      </c>
      <c r="E2996">
        <v>4</v>
      </c>
      <c r="F2996">
        <v>1004</v>
      </c>
      <c r="G2996" t="s">
        <v>110</v>
      </c>
      <c r="J2996" t="s">
        <v>111</v>
      </c>
      <c r="K2996">
        <v>0</v>
      </c>
      <c r="L2996">
        <v>3</v>
      </c>
      <c r="M2996">
        <v>0</v>
      </c>
      <c r="N2996">
        <v>2</v>
      </c>
      <c r="O2996">
        <v>1</v>
      </c>
      <c r="P2996">
        <v>0</v>
      </c>
      <c r="Q2996">
        <v>0</v>
      </c>
      <c r="R2996" t="s">
        <v>112</v>
      </c>
      <c r="S2996" t="str">
        <f>"14:40:16.031"</f>
        <v>14:40:16.031</v>
      </c>
      <c r="T2996" t="str">
        <f>"14:40:15.633"</f>
        <v>14:40:15.633</v>
      </c>
      <c r="U2996" t="str">
        <f t="shared" si="138"/>
        <v>ad5732</v>
      </c>
      <c r="V2996">
        <v>0</v>
      </c>
      <c r="W2996">
        <v>0</v>
      </c>
      <c r="X2996">
        <v>1</v>
      </c>
      <c r="Z2996">
        <v>0</v>
      </c>
      <c r="AA2996">
        <v>9</v>
      </c>
      <c r="AB2996">
        <v>3</v>
      </c>
      <c r="AC2996">
        <v>0</v>
      </c>
      <c r="AD2996">
        <v>10</v>
      </c>
      <c r="AE2996">
        <v>0</v>
      </c>
      <c r="AF2996">
        <v>3</v>
      </c>
      <c r="AG2996">
        <v>2</v>
      </c>
      <c r="AH2996">
        <v>0</v>
      </c>
      <c r="AI2996" t="s">
        <v>6108</v>
      </c>
      <c r="AJ2996">
        <v>40.368147</v>
      </c>
      <c r="AK2996" t="s">
        <v>6109</v>
      </c>
      <c r="AL2996">
        <v>-75.041921000000002</v>
      </c>
      <c r="AM2996">
        <v>100</v>
      </c>
      <c r="AN2996">
        <v>3700</v>
      </c>
      <c r="AO2996" t="s">
        <v>115</v>
      </c>
      <c r="AP2996">
        <v>129</v>
      </c>
      <c r="AQ2996">
        <v>120</v>
      </c>
      <c r="AR2996">
        <v>0</v>
      </c>
      <c r="AZ2996">
        <v>3614</v>
      </c>
      <c r="BA2996">
        <v>1</v>
      </c>
      <c r="BB2996" t="str">
        <f t="shared" si="140"/>
        <v xml:space="preserve">N959MJ  </v>
      </c>
      <c r="BC2996">
        <v>1</v>
      </c>
      <c r="BE2996">
        <v>0</v>
      </c>
      <c r="BF2996">
        <v>0</v>
      </c>
      <c r="BG2996">
        <v>0</v>
      </c>
      <c r="BH2996">
        <v>3850</v>
      </c>
      <c r="BI2996">
        <v>150</v>
      </c>
      <c r="BJ2996">
        <v>1</v>
      </c>
      <c r="BK2996">
        <v>1</v>
      </c>
      <c r="BL2996">
        <v>1</v>
      </c>
      <c r="BM2996">
        <v>0</v>
      </c>
      <c r="BP2996">
        <v>0</v>
      </c>
      <c r="BQ2996">
        <v>0</v>
      </c>
      <c r="BX2996" t="str">
        <f>"14:40:16.031"</f>
        <v>14:40:16.031</v>
      </c>
      <c r="BY2996" t="str">
        <f>"031808019"</f>
        <v>031808019</v>
      </c>
      <c r="CL2996">
        <v>0</v>
      </c>
      <c r="CM2996">
        <v>2</v>
      </c>
      <c r="CN2996">
        <v>0</v>
      </c>
      <c r="CO2996">
        <v>2</v>
      </c>
      <c r="CP2996">
        <v>0</v>
      </c>
      <c r="CQ2996">
        <v>7</v>
      </c>
      <c r="CR2996" t="s">
        <v>116</v>
      </c>
      <c r="CS2996">
        <v>38</v>
      </c>
      <c r="CT2996">
        <v>3</v>
      </c>
      <c r="CU2996" t="s">
        <v>4719</v>
      </c>
      <c r="CV2996" t="s">
        <v>4720</v>
      </c>
      <c r="CY2996">
        <v>10572445</v>
      </c>
      <c r="CZ2996" t="s">
        <v>119</v>
      </c>
    </row>
    <row r="2997" spans="1:104" x14ac:dyDescent="0.25">
      <c r="A2997" t="str">
        <f>"14:40:17.195"</f>
        <v>14:40:17.195</v>
      </c>
      <c r="B2997" t="s">
        <v>108</v>
      </c>
      <c r="C2997" t="str">
        <f t="shared" si="139"/>
        <v>ffdfd3c0</v>
      </c>
      <c r="D2997" t="s">
        <v>109</v>
      </c>
      <c r="E2997">
        <v>4</v>
      </c>
      <c r="F2997">
        <v>1004</v>
      </c>
      <c r="G2997" t="s">
        <v>110</v>
      </c>
      <c r="J2997" t="s">
        <v>111</v>
      </c>
      <c r="K2997">
        <v>0</v>
      </c>
      <c r="L2997">
        <v>3</v>
      </c>
      <c r="M2997">
        <v>0</v>
      </c>
      <c r="N2997">
        <v>2</v>
      </c>
      <c r="O2997">
        <v>1</v>
      </c>
      <c r="P2997">
        <v>0</v>
      </c>
      <c r="Q2997">
        <v>0</v>
      </c>
      <c r="R2997" t="s">
        <v>112</v>
      </c>
      <c r="S2997" t="str">
        <f>"14:40:17.000"</f>
        <v>14:40:17.000</v>
      </c>
      <c r="T2997" t="str">
        <f>"14:40:16.500"</f>
        <v>14:40:16.500</v>
      </c>
      <c r="U2997" t="str">
        <f t="shared" si="138"/>
        <v>ad5732</v>
      </c>
      <c r="V2997">
        <v>0</v>
      </c>
      <c r="W2997">
        <v>0</v>
      </c>
      <c r="X2997">
        <v>1</v>
      </c>
      <c r="Z2997">
        <v>0</v>
      </c>
      <c r="AA2997">
        <v>9</v>
      </c>
      <c r="AB2997">
        <v>3</v>
      </c>
      <c r="AC2997">
        <v>0</v>
      </c>
      <c r="AD2997">
        <v>10</v>
      </c>
      <c r="AE2997">
        <v>0</v>
      </c>
      <c r="AF2997">
        <v>3</v>
      </c>
      <c r="AG2997">
        <v>2</v>
      </c>
      <c r="AH2997">
        <v>0</v>
      </c>
      <c r="AI2997" t="s">
        <v>6110</v>
      </c>
      <c r="AJ2997">
        <v>40.368662</v>
      </c>
      <c r="AK2997" t="s">
        <v>6111</v>
      </c>
      <c r="AL2997">
        <v>-75.041191999999995</v>
      </c>
      <c r="AM2997">
        <v>100</v>
      </c>
      <c r="AN2997">
        <v>3700</v>
      </c>
      <c r="AO2997" t="s">
        <v>115</v>
      </c>
      <c r="AP2997">
        <v>129</v>
      </c>
      <c r="AQ2997">
        <v>120</v>
      </c>
      <c r="AR2997">
        <v>-64</v>
      </c>
      <c r="AZ2997">
        <v>3614</v>
      </c>
      <c r="BA2997">
        <v>1</v>
      </c>
      <c r="BB2997" t="str">
        <f t="shared" si="140"/>
        <v xml:space="preserve">N959MJ  </v>
      </c>
      <c r="BC2997">
        <v>1</v>
      </c>
      <c r="BE2997">
        <v>0</v>
      </c>
      <c r="BF2997">
        <v>0</v>
      </c>
      <c r="BG2997">
        <v>0</v>
      </c>
      <c r="BH2997">
        <v>3850</v>
      </c>
      <c r="BI2997">
        <v>150</v>
      </c>
      <c r="BJ2997">
        <v>1</v>
      </c>
      <c r="BK2997">
        <v>1</v>
      </c>
      <c r="BL2997">
        <v>1</v>
      </c>
      <c r="BM2997">
        <v>0</v>
      </c>
      <c r="BP2997">
        <v>0</v>
      </c>
      <c r="BQ2997">
        <v>0</v>
      </c>
      <c r="BX2997" t="str">
        <f>"14:40:17.000"</f>
        <v>14:40:17.000</v>
      </c>
      <c r="BY2997" t="str">
        <f>"000119215"</f>
        <v>000119215</v>
      </c>
      <c r="CL2997">
        <v>0</v>
      </c>
      <c r="CM2997">
        <v>2</v>
      </c>
      <c r="CN2997">
        <v>0</v>
      </c>
      <c r="CO2997">
        <v>2</v>
      </c>
      <c r="CP2997">
        <v>0</v>
      </c>
      <c r="CQ2997">
        <v>7</v>
      </c>
      <c r="CR2997" t="s">
        <v>116</v>
      </c>
      <c r="CS2997">
        <v>38</v>
      </c>
      <c r="CT2997">
        <v>3</v>
      </c>
      <c r="CU2997" t="s">
        <v>4719</v>
      </c>
      <c r="CV2997" t="s">
        <v>4720</v>
      </c>
      <c r="CY2997">
        <v>10574177</v>
      </c>
      <c r="CZ2997" t="s">
        <v>119</v>
      </c>
    </row>
    <row r="2998" spans="1:104" x14ac:dyDescent="0.25">
      <c r="A2998" t="str">
        <f>"14:40:18.305"</f>
        <v>14:40:18.305</v>
      </c>
      <c r="B2998" t="s">
        <v>108</v>
      </c>
      <c r="C2998" t="str">
        <f t="shared" si="139"/>
        <v>ffdfd3c0</v>
      </c>
      <c r="D2998" t="s">
        <v>109</v>
      </c>
      <c r="E2998">
        <v>4</v>
      </c>
      <c r="F2998">
        <v>1004</v>
      </c>
      <c r="G2998" t="s">
        <v>110</v>
      </c>
      <c r="J2998" t="s">
        <v>111</v>
      </c>
      <c r="K2998">
        <v>0</v>
      </c>
      <c r="L2998">
        <v>3</v>
      </c>
      <c r="M2998">
        <v>0</v>
      </c>
      <c r="N2998">
        <v>2</v>
      </c>
      <c r="O2998">
        <v>1</v>
      </c>
      <c r="P2998">
        <v>0</v>
      </c>
      <c r="Q2998">
        <v>0</v>
      </c>
      <c r="R2998" t="s">
        <v>112</v>
      </c>
      <c r="S2998" t="str">
        <f>"14:40:18.125"</f>
        <v>14:40:18.125</v>
      </c>
      <c r="T2998" t="str">
        <f>"14:40:17.625"</f>
        <v>14:40:17.625</v>
      </c>
      <c r="U2998" t="str">
        <f t="shared" si="138"/>
        <v>ad5732</v>
      </c>
      <c r="V2998">
        <v>0</v>
      </c>
      <c r="W2998">
        <v>0</v>
      </c>
      <c r="X2998">
        <v>1</v>
      </c>
      <c r="Z2998">
        <v>0</v>
      </c>
      <c r="AA2998">
        <v>9</v>
      </c>
      <c r="AB2998">
        <v>3</v>
      </c>
      <c r="AC2998">
        <v>0</v>
      </c>
      <c r="AD2998">
        <v>10</v>
      </c>
      <c r="AE2998">
        <v>0</v>
      </c>
      <c r="AF2998">
        <v>3</v>
      </c>
      <c r="AG2998">
        <v>2</v>
      </c>
      <c r="AH2998">
        <v>0</v>
      </c>
      <c r="AI2998" t="s">
        <v>6112</v>
      </c>
      <c r="AJ2998">
        <v>40.369349</v>
      </c>
      <c r="AK2998" t="s">
        <v>6113</v>
      </c>
      <c r="AL2998">
        <v>-75.040289999999999</v>
      </c>
      <c r="AM2998">
        <v>100</v>
      </c>
      <c r="AN2998">
        <v>3700</v>
      </c>
      <c r="AO2998" t="s">
        <v>115</v>
      </c>
      <c r="AP2998">
        <v>129</v>
      </c>
      <c r="AQ2998">
        <v>120</v>
      </c>
      <c r="AR2998">
        <v>0</v>
      </c>
      <c r="AZ2998">
        <v>3614</v>
      </c>
      <c r="BA2998">
        <v>1</v>
      </c>
      <c r="BB2998" t="str">
        <f t="shared" si="140"/>
        <v xml:space="preserve">N959MJ  </v>
      </c>
      <c r="BC2998">
        <v>1</v>
      </c>
      <c r="BE2998">
        <v>0</v>
      </c>
      <c r="BF2998">
        <v>0</v>
      </c>
      <c r="BG2998">
        <v>0</v>
      </c>
      <c r="BH2998">
        <v>3850</v>
      </c>
      <c r="BI2998">
        <v>150</v>
      </c>
      <c r="BJ2998">
        <v>1</v>
      </c>
      <c r="BK2998">
        <v>1</v>
      </c>
      <c r="BL2998">
        <v>1</v>
      </c>
      <c r="BM2998">
        <v>0</v>
      </c>
      <c r="BP2998">
        <v>0</v>
      </c>
      <c r="BQ2998">
        <v>0</v>
      </c>
      <c r="BX2998" t="str">
        <f>"14:40:18.125"</f>
        <v>14:40:18.125</v>
      </c>
      <c r="BY2998" t="str">
        <f>"127357966"</f>
        <v>127357966</v>
      </c>
      <c r="CL2998">
        <v>0</v>
      </c>
      <c r="CM2998">
        <v>2</v>
      </c>
      <c r="CN2998">
        <v>0</v>
      </c>
      <c r="CO2998">
        <v>2</v>
      </c>
      <c r="CP2998">
        <v>0</v>
      </c>
      <c r="CQ2998">
        <v>7</v>
      </c>
      <c r="CR2998" t="s">
        <v>116</v>
      </c>
      <c r="CS2998">
        <v>38</v>
      </c>
      <c r="CT2998">
        <v>3</v>
      </c>
      <c r="CU2998" t="s">
        <v>4719</v>
      </c>
      <c r="CV2998" t="s">
        <v>4720</v>
      </c>
      <c r="CY2998">
        <v>10576151</v>
      </c>
      <c r="CZ2998" t="s">
        <v>119</v>
      </c>
    </row>
    <row r="2999" spans="1:104" x14ac:dyDescent="0.25">
      <c r="A2999" t="str">
        <f>"14:40:19.164"</f>
        <v>14:40:19.164</v>
      </c>
      <c r="B2999" t="s">
        <v>108</v>
      </c>
      <c r="C2999" t="str">
        <f t="shared" si="139"/>
        <v>ffdfd3c0</v>
      </c>
      <c r="D2999" t="s">
        <v>109</v>
      </c>
      <c r="E2999">
        <v>4</v>
      </c>
      <c r="F2999">
        <v>1004</v>
      </c>
      <c r="G2999" t="s">
        <v>110</v>
      </c>
      <c r="J2999" t="s">
        <v>111</v>
      </c>
      <c r="K2999">
        <v>0</v>
      </c>
      <c r="L2999">
        <v>3</v>
      </c>
      <c r="M2999">
        <v>0</v>
      </c>
      <c r="N2999">
        <v>2</v>
      </c>
      <c r="O2999">
        <v>1</v>
      </c>
      <c r="P2999">
        <v>0</v>
      </c>
      <c r="Q2999">
        <v>0</v>
      </c>
      <c r="R2999" t="s">
        <v>112</v>
      </c>
      <c r="S2999" t="str">
        <f>"14:40:18.977"</f>
        <v>14:40:18.977</v>
      </c>
      <c r="T2999" t="str">
        <f>"14:40:18.578"</f>
        <v>14:40:18.578</v>
      </c>
      <c r="U2999" t="str">
        <f t="shared" si="138"/>
        <v>ad5732</v>
      </c>
      <c r="V2999">
        <v>0</v>
      </c>
      <c r="W2999">
        <v>0</v>
      </c>
      <c r="X2999">
        <v>1</v>
      </c>
      <c r="Z2999">
        <v>0</v>
      </c>
      <c r="AA2999">
        <v>9</v>
      </c>
      <c r="AB2999">
        <v>3</v>
      </c>
      <c r="AC2999">
        <v>0</v>
      </c>
      <c r="AD2999">
        <v>10</v>
      </c>
      <c r="AE2999">
        <v>0</v>
      </c>
      <c r="AF2999">
        <v>3</v>
      </c>
      <c r="AG2999">
        <v>2</v>
      </c>
      <c r="AH2999">
        <v>0</v>
      </c>
      <c r="AI2999" t="s">
        <v>6114</v>
      </c>
      <c r="AJ2999">
        <v>40.369756000000002</v>
      </c>
      <c r="AK2999" t="s">
        <v>6115</v>
      </c>
      <c r="AL2999">
        <v>-75.039668000000006</v>
      </c>
      <c r="AM2999">
        <v>100</v>
      </c>
      <c r="AN2999">
        <v>3700</v>
      </c>
      <c r="AO2999" t="s">
        <v>115</v>
      </c>
      <c r="AP2999">
        <v>130</v>
      </c>
      <c r="AQ2999">
        <v>120</v>
      </c>
      <c r="AR2999">
        <v>0</v>
      </c>
      <c r="AZ2999">
        <v>3614</v>
      </c>
      <c r="BA2999">
        <v>1</v>
      </c>
      <c r="BB2999" t="str">
        <f t="shared" si="140"/>
        <v xml:space="preserve">N959MJ  </v>
      </c>
      <c r="BC2999">
        <v>1</v>
      </c>
      <c r="BE2999">
        <v>0</v>
      </c>
      <c r="BF2999">
        <v>0</v>
      </c>
      <c r="BG2999">
        <v>0</v>
      </c>
      <c r="BH2999">
        <v>3850</v>
      </c>
      <c r="BI2999">
        <v>150</v>
      </c>
      <c r="BJ2999">
        <v>1</v>
      </c>
      <c r="BK2999">
        <v>1</v>
      </c>
      <c r="BL2999">
        <v>1</v>
      </c>
      <c r="BM2999">
        <v>0</v>
      </c>
      <c r="BP2999">
        <v>0</v>
      </c>
      <c r="BQ2999">
        <v>0</v>
      </c>
      <c r="BX2999" t="str">
        <f>"14:40:18.977"</f>
        <v>14:40:18.977</v>
      </c>
      <c r="BY2999" t="str">
        <f>"977711073"</f>
        <v>977711073</v>
      </c>
      <c r="CL2999">
        <v>0</v>
      </c>
      <c r="CM2999">
        <v>2</v>
      </c>
      <c r="CN2999">
        <v>0</v>
      </c>
      <c r="CO2999">
        <v>2</v>
      </c>
      <c r="CP2999">
        <v>0</v>
      </c>
      <c r="CQ2999">
        <v>7</v>
      </c>
      <c r="CR2999" t="s">
        <v>116</v>
      </c>
      <c r="CS2999">
        <v>38</v>
      </c>
      <c r="CT2999">
        <v>3</v>
      </c>
      <c r="CU2999" t="s">
        <v>4719</v>
      </c>
      <c r="CV2999" t="s">
        <v>4720</v>
      </c>
      <c r="CY2999">
        <v>10577605</v>
      </c>
      <c r="CZ2999" t="s">
        <v>119</v>
      </c>
    </row>
    <row r="3000" spans="1:104" x14ac:dyDescent="0.25">
      <c r="A3000" t="str">
        <f>"14:40:20.070"</f>
        <v>14:40:20.070</v>
      </c>
      <c r="B3000" t="s">
        <v>108</v>
      </c>
      <c r="C3000" t="str">
        <f t="shared" si="139"/>
        <v>ffdfd3c0</v>
      </c>
      <c r="D3000" t="s">
        <v>109</v>
      </c>
      <c r="E3000">
        <v>4</v>
      </c>
      <c r="F3000">
        <v>1004</v>
      </c>
      <c r="G3000" t="s">
        <v>110</v>
      </c>
      <c r="J3000" t="s">
        <v>111</v>
      </c>
      <c r="K3000">
        <v>0</v>
      </c>
      <c r="L3000">
        <v>3</v>
      </c>
      <c r="M3000">
        <v>0</v>
      </c>
      <c r="N3000">
        <v>2</v>
      </c>
      <c r="O3000">
        <v>1</v>
      </c>
      <c r="P3000">
        <v>0</v>
      </c>
      <c r="Q3000">
        <v>0</v>
      </c>
      <c r="R3000" t="s">
        <v>112</v>
      </c>
      <c r="S3000" t="str">
        <f>"14:40:19.922"</f>
        <v>14:40:19.922</v>
      </c>
      <c r="T3000" t="str">
        <f>"14:40:19.523"</f>
        <v>14:40:19.523</v>
      </c>
      <c r="U3000" t="str">
        <f t="shared" si="138"/>
        <v>ad5732</v>
      </c>
      <c r="V3000">
        <v>0</v>
      </c>
      <c r="W3000">
        <v>0</v>
      </c>
      <c r="X3000">
        <v>1</v>
      </c>
      <c r="Z3000">
        <v>0</v>
      </c>
      <c r="AA3000">
        <v>9</v>
      </c>
      <c r="AB3000">
        <v>3</v>
      </c>
      <c r="AC3000">
        <v>0</v>
      </c>
      <c r="AD3000">
        <v>10</v>
      </c>
      <c r="AE3000">
        <v>0</v>
      </c>
      <c r="AF3000">
        <v>3</v>
      </c>
      <c r="AG3000">
        <v>2</v>
      </c>
      <c r="AH3000">
        <v>0</v>
      </c>
      <c r="AI3000" t="s">
        <v>6116</v>
      </c>
      <c r="AJ3000">
        <v>40.370314</v>
      </c>
      <c r="AK3000" t="s">
        <v>6117</v>
      </c>
      <c r="AL3000">
        <v>-75.038874000000007</v>
      </c>
      <c r="AM3000">
        <v>100</v>
      </c>
      <c r="AN3000">
        <v>3700</v>
      </c>
      <c r="AO3000" t="s">
        <v>115</v>
      </c>
      <c r="AP3000">
        <v>130</v>
      </c>
      <c r="AQ3000">
        <v>120</v>
      </c>
      <c r="AR3000">
        <v>0</v>
      </c>
      <c r="AZ3000">
        <v>3614</v>
      </c>
      <c r="BA3000">
        <v>1</v>
      </c>
      <c r="BB3000" t="str">
        <f t="shared" si="140"/>
        <v xml:space="preserve">N959MJ  </v>
      </c>
      <c r="BC3000">
        <v>1</v>
      </c>
      <c r="BE3000">
        <v>0</v>
      </c>
      <c r="BF3000">
        <v>0</v>
      </c>
      <c r="BG3000">
        <v>0</v>
      </c>
      <c r="BH3000">
        <v>3850</v>
      </c>
      <c r="BI3000">
        <v>150</v>
      </c>
      <c r="BJ3000">
        <v>1</v>
      </c>
      <c r="BK3000">
        <v>1</v>
      </c>
      <c r="BL3000">
        <v>1</v>
      </c>
      <c r="BM3000">
        <v>0</v>
      </c>
      <c r="BP3000">
        <v>0</v>
      </c>
      <c r="BQ3000">
        <v>0</v>
      </c>
      <c r="BX3000" t="str">
        <f>"14:40:19.922"</f>
        <v>14:40:19.922</v>
      </c>
      <c r="BY3000" t="str">
        <f>"924714049"</f>
        <v>924714049</v>
      </c>
      <c r="CL3000">
        <v>0</v>
      </c>
      <c r="CM3000">
        <v>2</v>
      </c>
      <c r="CN3000">
        <v>0</v>
      </c>
      <c r="CO3000">
        <v>2</v>
      </c>
      <c r="CP3000">
        <v>0</v>
      </c>
      <c r="CQ3000">
        <v>7</v>
      </c>
      <c r="CR3000" t="s">
        <v>116</v>
      </c>
      <c r="CS3000">
        <v>38</v>
      </c>
      <c r="CT3000">
        <v>3</v>
      </c>
      <c r="CU3000" t="s">
        <v>4719</v>
      </c>
      <c r="CV3000" t="s">
        <v>4720</v>
      </c>
      <c r="CY3000">
        <v>10579206</v>
      </c>
      <c r="CZ3000" t="s">
        <v>119</v>
      </c>
    </row>
    <row r="3001" spans="1:104" x14ac:dyDescent="0.25">
      <c r="A3001" t="str">
        <f>"14:40:21.188"</f>
        <v>14:40:21.188</v>
      </c>
      <c r="B3001" t="s">
        <v>108</v>
      </c>
      <c r="C3001" t="str">
        <f t="shared" si="139"/>
        <v>ffdfd3c0</v>
      </c>
      <c r="D3001" t="s">
        <v>109</v>
      </c>
      <c r="E3001">
        <v>4</v>
      </c>
      <c r="F3001">
        <v>1004</v>
      </c>
      <c r="G3001" t="s">
        <v>110</v>
      </c>
      <c r="J3001" t="s">
        <v>111</v>
      </c>
      <c r="K3001">
        <v>0</v>
      </c>
      <c r="L3001">
        <v>3</v>
      </c>
      <c r="M3001">
        <v>0</v>
      </c>
      <c r="N3001">
        <v>2</v>
      </c>
      <c r="O3001">
        <v>1</v>
      </c>
      <c r="P3001">
        <v>0</v>
      </c>
      <c r="Q3001">
        <v>0</v>
      </c>
      <c r="R3001" t="s">
        <v>112</v>
      </c>
      <c r="S3001" t="str">
        <f>"14:40:21.016"</f>
        <v>14:40:21.016</v>
      </c>
      <c r="T3001" t="str">
        <f>"14:40:20.516"</f>
        <v>14:40:20.516</v>
      </c>
      <c r="U3001" t="str">
        <f t="shared" si="138"/>
        <v>ad5732</v>
      </c>
      <c r="V3001">
        <v>0</v>
      </c>
      <c r="W3001">
        <v>0</v>
      </c>
      <c r="X3001">
        <v>1</v>
      </c>
      <c r="Z3001">
        <v>0</v>
      </c>
      <c r="AA3001">
        <v>9</v>
      </c>
      <c r="AB3001">
        <v>3</v>
      </c>
      <c r="AC3001">
        <v>0</v>
      </c>
      <c r="AD3001">
        <v>10</v>
      </c>
      <c r="AE3001">
        <v>0</v>
      </c>
      <c r="AF3001">
        <v>3</v>
      </c>
      <c r="AG3001">
        <v>2</v>
      </c>
      <c r="AH3001">
        <v>0</v>
      </c>
      <c r="AI3001" t="s">
        <v>6118</v>
      </c>
      <c r="AJ3001">
        <v>40.370936</v>
      </c>
      <c r="AK3001" t="s">
        <v>6119</v>
      </c>
      <c r="AL3001">
        <v>-75.037993999999998</v>
      </c>
      <c r="AM3001">
        <v>100</v>
      </c>
      <c r="AN3001">
        <v>3700</v>
      </c>
      <c r="AO3001" t="s">
        <v>115</v>
      </c>
      <c r="AP3001">
        <v>130</v>
      </c>
      <c r="AQ3001">
        <v>120</v>
      </c>
      <c r="AR3001">
        <v>0</v>
      </c>
      <c r="AZ3001">
        <v>3614</v>
      </c>
      <c r="BA3001">
        <v>1</v>
      </c>
      <c r="BB3001" t="str">
        <f t="shared" si="140"/>
        <v xml:space="preserve">N959MJ  </v>
      </c>
      <c r="BC3001">
        <v>1</v>
      </c>
      <c r="BE3001">
        <v>0</v>
      </c>
      <c r="BF3001">
        <v>0</v>
      </c>
      <c r="BG3001">
        <v>0</v>
      </c>
      <c r="BH3001">
        <v>3850</v>
      </c>
      <c r="BI3001">
        <v>150</v>
      </c>
      <c r="BJ3001">
        <v>1</v>
      </c>
      <c r="BK3001">
        <v>1</v>
      </c>
      <c r="BL3001">
        <v>1</v>
      </c>
      <c r="BM3001">
        <v>0</v>
      </c>
      <c r="BP3001">
        <v>0</v>
      </c>
      <c r="BQ3001">
        <v>0</v>
      </c>
      <c r="BX3001" t="str">
        <f>"14:40:21.023"</f>
        <v>14:40:21.023</v>
      </c>
      <c r="BY3001" t="str">
        <f>"020822571"</f>
        <v>020822571</v>
      </c>
      <c r="CL3001">
        <v>0</v>
      </c>
      <c r="CM3001">
        <v>2</v>
      </c>
      <c r="CN3001">
        <v>0</v>
      </c>
      <c r="CO3001">
        <v>2</v>
      </c>
      <c r="CP3001">
        <v>0</v>
      </c>
      <c r="CQ3001">
        <v>7</v>
      </c>
      <c r="CR3001" t="s">
        <v>116</v>
      </c>
      <c r="CS3001">
        <v>38</v>
      </c>
      <c r="CT3001">
        <v>3</v>
      </c>
      <c r="CU3001" t="s">
        <v>4719</v>
      </c>
      <c r="CV3001" t="s">
        <v>4720</v>
      </c>
      <c r="CY3001">
        <v>10581301</v>
      </c>
      <c r="CZ3001" t="s">
        <v>119</v>
      </c>
    </row>
    <row r="3002" spans="1:104" x14ac:dyDescent="0.25">
      <c r="A3002" t="str">
        <f>"14:40:22.297"</f>
        <v>14:40:22.297</v>
      </c>
      <c r="B3002" t="s">
        <v>108</v>
      </c>
      <c r="C3002" t="str">
        <f t="shared" si="139"/>
        <v>ffdfd3c0</v>
      </c>
      <c r="D3002" t="s">
        <v>109</v>
      </c>
      <c r="E3002">
        <v>4</v>
      </c>
      <c r="F3002">
        <v>1004</v>
      </c>
      <c r="G3002" t="s">
        <v>110</v>
      </c>
      <c r="J3002" t="s">
        <v>111</v>
      </c>
      <c r="K3002">
        <v>0</v>
      </c>
      <c r="L3002">
        <v>3</v>
      </c>
      <c r="M3002">
        <v>0</v>
      </c>
      <c r="N3002">
        <v>2</v>
      </c>
      <c r="O3002">
        <v>1</v>
      </c>
      <c r="P3002">
        <v>0</v>
      </c>
      <c r="Q3002">
        <v>0</v>
      </c>
      <c r="R3002" t="s">
        <v>112</v>
      </c>
      <c r="S3002" t="str">
        <f>"14:40:22.133"</f>
        <v>14:40:22.133</v>
      </c>
      <c r="T3002" t="str">
        <f>"14:40:21.633"</f>
        <v>14:40:21.633</v>
      </c>
      <c r="U3002" t="str">
        <f t="shared" si="138"/>
        <v>ad5732</v>
      </c>
      <c r="V3002">
        <v>0</v>
      </c>
      <c r="W3002">
        <v>0</v>
      </c>
      <c r="X3002">
        <v>1</v>
      </c>
      <c r="Z3002">
        <v>0</v>
      </c>
      <c r="AA3002">
        <v>9</v>
      </c>
      <c r="AB3002">
        <v>3</v>
      </c>
      <c r="AC3002">
        <v>0</v>
      </c>
      <c r="AD3002">
        <v>10</v>
      </c>
      <c r="AE3002">
        <v>0</v>
      </c>
      <c r="AF3002">
        <v>3</v>
      </c>
      <c r="AG3002">
        <v>2</v>
      </c>
      <c r="AH3002">
        <v>0</v>
      </c>
      <c r="AI3002" t="s">
        <v>6120</v>
      </c>
      <c r="AJ3002">
        <v>40.371558999999998</v>
      </c>
      <c r="AK3002" t="s">
        <v>6121</v>
      </c>
      <c r="AL3002">
        <v>-75.037178999999995</v>
      </c>
      <c r="AM3002">
        <v>100</v>
      </c>
      <c r="AN3002">
        <v>3700</v>
      </c>
      <c r="AO3002" t="s">
        <v>115</v>
      </c>
      <c r="AP3002">
        <v>130</v>
      </c>
      <c r="AQ3002">
        <v>120</v>
      </c>
      <c r="AR3002">
        <v>0</v>
      </c>
      <c r="AZ3002">
        <v>3614</v>
      </c>
      <c r="BA3002">
        <v>1</v>
      </c>
      <c r="BB3002" t="str">
        <f t="shared" si="140"/>
        <v xml:space="preserve">N959MJ  </v>
      </c>
      <c r="BC3002">
        <v>1</v>
      </c>
      <c r="BE3002">
        <v>0</v>
      </c>
      <c r="BF3002">
        <v>0</v>
      </c>
      <c r="BG3002">
        <v>0</v>
      </c>
      <c r="BH3002">
        <v>3850</v>
      </c>
      <c r="BI3002">
        <v>150</v>
      </c>
      <c r="BJ3002">
        <v>1</v>
      </c>
      <c r="BK3002">
        <v>1</v>
      </c>
      <c r="BL3002">
        <v>1</v>
      </c>
      <c r="BM3002">
        <v>0</v>
      </c>
      <c r="BP3002">
        <v>0</v>
      </c>
      <c r="BQ3002">
        <v>0</v>
      </c>
      <c r="BX3002" t="str">
        <f>"14:40:22.133"</f>
        <v>14:40:22.133</v>
      </c>
      <c r="BY3002" t="str">
        <f>"133315522"</f>
        <v>133315522</v>
      </c>
      <c r="CL3002">
        <v>0</v>
      </c>
      <c r="CM3002">
        <v>2</v>
      </c>
      <c r="CN3002">
        <v>0</v>
      </c>
      <c r="CO3002">
        <v>2</v>
      </c>
      <c r="CP3002">
        <v>0</v>
      </c>
      <c r="CQ3002">
        <v>7</v>
      </c>
      <c r="CR3002" t="s">
        <v>116</v>
      </c>
      <c r="CS3002">
        <v>38</v>
      </c>
      <c r="CT3002">
        <v>3</v>
      </c>
      <c r="CU3002" t="s">
        <v>4719</v>
      </c>
      <c r="CV3002" t="s">
        <v>4720</v>
      </c>
      <c r="CY3002">
        <v>10583248</v>
      </c>
      <c r="CZ3002" t="s">
        <v>119</v>
      </c>
    </row>
    <row r="3003" spans="1:104" x14ac:dyDescent="0.25">
      <c r="A3003" t="str">
        <f>"14:40:23.453"</f>
        <v>14:40:23.453</v>
      </c>
      <c r="B3003" t="s">
        <v>108</v>
      </c>
      <c r="C3003" t="str">
        <f t="shared" si="139"/>
        <v>ffdfd3c0</v>
      </c>
      <c r="D3003" t="s">
        <v>109</v>
      </c>
      <c r="E3003">
        <v>4</v>
      </c>
      <c r="F3003">
        <v>1004</v>
      </c>
      <c r="G3003" t="s">
        <v>110</v>
      </c>
      <c r="J3003" t="s">
        <v>111</v>
      </c>
      <c r="K3003">
        <v>0</v>
      </c>
      <c r="L3003">
        <v>3</v>
      </c>
      <c r="M3003">
        <v>0</v>
      </c>
      <c r="N3003">
        <v>2</v>
      </c>
      <c r="O3003">
        <v>1</v>
      </c>
      <c r="P3003">
        <v>0</v>
      </c>
      <c r="Q3003">
        <v>0</v>
      </c>
      <c r="R3003" t="s">
        <v>112</v>
      </c>
      <c r="S3003" t="str">
        <f>"14:40:23.281"</f>
        <v>14:40:23.281</v>
      </c>
      <c r="T3003" t="str">
        <f>"14:40:22.781"</f>
        <v>14:40:22.781</v>
      </c>
      <c r="U3003" t="str">
        <f t="shared" si="138"/>
        <v>ad5732</v>
      </c>
      <c r="V3003">
        <v>0</v>
      </c>
      <c r="W3003">
        <v>0</v>
      </c>
      <c r="X3003">
        <v>1</v>
      </c>
      <c r="Z3003">
        <v>0</v>
      </c>
      <c r="AA3003">
        <v>9</v>
      </c>
      <c r="AB3003">
        <v>3</v>
      </c>
      <c r="AC3003">
        <v>0</v>
      </c>
      <c r="AD3003">
        <v>10</v>
      </c>
      <c r="AE3003">
        <v>0</v>
      </c>
      <c r="AF3003">
        <v>3</v>
      </c>
      <c r="AG3003">
        <v>2</v>
      </c>
      <c r="AH3003">
        <v>0</v>
      </c>
      <c r="AI3003" t="s">
        <v>6122</v>
      </c>
      <c r="AJ3003">
        <v>40.372159000000003</v>
      </c>
      <c r="AK3003" t="s">
        <v>6123</v>
      </c>
      <c r="AL3003">
        <v>-75.036299</v>
      </c>
      <c r="AM3003">
        <v>100</v>
      </c>
      <c r="AN3003">
        <v>3700</v>
      </c>
      <c r="AO3003" t="s">
        <v>115</v>
      </c>
      <c r="AP3003">
        <v>130</v>
      </c>
      <c r="AQ3003">
        <v>120</v>
      </c>
      <c r="AR3003">
        <v>0</v>
      </c>
      <c r="AZ3003">
        <v>3614</v>
      </c>
      <c r="BA3003">
        <v>1</v>
      </c>
      <c r="BB3003" t="str">
        <f t="shared" si="140"/>
        <v xml:space="preserve">N959MJ  </v>
      </c>
      <c r="BC3003">
        <v>1</v>
      </c>
      <c r="BE3003">
        <v>0</v>
      </c>
      <c r="BF3003">
        <v>0</v>
      </c>
      <c r="BG3003">
        <v>0</v>
      </c>
      <c r="BH3003">
        <v>3850</v>
      </c>
      <c r="BI3003">
        <v>150</v>
      </c>
      <c r="BJ3003">
        <v>1</v>
      </c>
      <c r="BK3003">
        <v>1</v>
      </c>
      <c r="BL3003">
        <v>1</v>
      </c>
      <c r="BM3003">
        <v>0</v>
      </c>
      <c r="BP3003">
        <v>0</v>
      </c>
      <c r="BQ3003">
        <v>0</v>
      </c>
      <c r="BX3003" t="str">
        <f>"14:40:23.281"</f>
        <v>14:40:23.281</v>
      </c>
      <c r="BY3003" t="str">
        <f>"283492238"</f>
        <v>283492238</v>
      </c>
      <c r="CL3003">
        <v>0</v>
      </c>
      <c r="CM3003">
        <v>2</v>
      </c>
      <c r="CN3003">
        <v>0</v>
      </c>
      <c r="CO3003">
        <v>2</v>
      </c>
      <c r="CP3003">
        <v>0</v>
      </c>
      <c r="CQ3003">
        <v>7</v>
      </c>
      <c r="CR3003" t="s">
        <v>116</v>
      </c>
      <c r="CS3003">
        <v>38</v>
      </c>
      <c r="CT3003">
        <v>3</v>
      </c>
      <c r="CU3003" t="s">
        <v>4719</v>
      </c>
      <c r="CV3003" t="s">
        <v>4720</v>
      </c>
      <c r="CY3003">
        <v>10585091</v>
      </c>
      <c r="CZ3003" t="s">
        <v>119</v>
      </c>
    </row>
    <row r="3004" spans="1:104" x14ac:dyDescent="0.25">
      <c r="A3004" t="str">
        <f>"14:40:24.469"</f>
        <v>14:40:24.469</v>
      </c>
      <c r="B3004" t="s">
        <v>108</v>
      </c>
      <c r="C3004" t="str">
        <f t="shared" si="139"/>
        <v>ffdfd3c0</v>
      </c>
      <c r="D3004" t="s">
        <v>109</v>
      </c>
      <c r="E3004">
        <v>4</v>
      </c>
      <c r="F3004">
        <v>1004</v>
      </c>
      <c r="G3004" t="s">
        <v>110</v>
      </c>
      <c r="J3004" t="s">
        <v>111</v>
      </c>
      <c r="K3004">
        <v>0</v>
      </c>
      <c r="L3004">
        <v>3</v>
      </c>
      <c r="M3004">
        <v>0</v>
      </c>
      <c r="N3004">
        <v>2</v>
      </c>
      <c r="O3004">
        <v>1</v>
      </c>
      <c r="P3004">
        <v>0</v>
      </c>
      <c r="Q3004">
        <v>0</v>
      </c>
      <c r="R3004" t="s">
        <v>112</v>
      </c>
      <c r="S3004" t="str">
        <f>"14:40:24.297"</f>
        <v>14:40:24.297</v>
      </c>
      <c r="T3004" t="str">
        <f>"14:40:23.898"</f>
        <v>14:40:23.898</v>
      </c>
      <c r="U3004" t="str">
        <f t="shared" si="138"/>
        <v>ad5732</v>
      </c>
      <c r="V3004">
        <v>0</v>
      </c>
      <c r="W3004">
        <v>0</v>
      </c>
      <c r="X3004">
        <v>1</v>
      </c>
      <c r="Z3004">
        <v>0</v>
      </c>
      <c r="AA3004">
        <v>9</v>
      </c>
      <c r="AB3004">
        <v>3</v>
      </c>
      <c r="AC3004">
        <v>0</v>
      </c>
      <c r="AD3004">
        <v>10</v>
      </c>
      <c r="AE3004">
        <v>0</v>
      </c>
      <c r="AF3004">
        <v>3</v>
      </c>
      <c r="AG3004">
        <v>2</v>
      </c>
      <c r="AH3004">
        <v>0</v>
      </c>
      <c r="AI3004" t="s">
        <v>6124</v>
      </c>
      <c r="AJ3004">
        <v>40.372717000000002</v>
      </c>
      <c r="AK3004" t="s">
        <v>6125</v>
      </c>
      <c r="AL3004">
        <v>-75.035505000000001</v>
      </c>
      <c r="AM3004">
        <v>100</v>
      </c>
      <c r="AN3004">
        <v>3700</v>
      </c>
      <c r="AO3004" t="s">
        <v>115</v>
      </c>
      <c r="AP3004">
        <v>130</v>
      </c>
      <c r="AQ3004">
        <v>120</v>
      </c>
      <c r="AR3004">
        <v>0</v>
      </c>
      <c r="AZ3004">
        <v>3614</v>
      </c>
      <c r="BA3004">
        <v>1</v>
      </c>
      <c r="BB3004" t="str">
        <f t="shared" si="140"/>
        <v xml:space="preserve">N959MJ  </v>
      </c>
      <c r="BC3004">
        <v>1</v>
      </c>
      <c r="BE3004">
        <v>0</v>
      </c>
      <c r="BF3004">
        <v>0</v>
      </c>
      <c r="BG3004">
        <v>0</v>
      </c>
      <c r="BH3004">
        <v>3850</v>
      </c>
      <c r="BI3004">
        <v>150</v>
      </c>
      <c r="BJ3004">
        <v>1</v>
      </c>
      <c r="BK3004">
        <v>1</v>
      </c>
      <c r="BL3004">
        <v>1</v>
      </c>
      <c r="BM3004">
        <v>0</v>
      </c>
      <c r="BP3004">
        <v>0</v>
      </c>
      <c r="BQ3004">
        <v>0</v>
      </c>
      <c r="BX3004" t="str">
        <f>"14:40:24.297"</f>
        <v>14:40:24.297</v>
      </c>
      <c r="BY3004" t="str">
        <f>"299317866"</f>
        <v>299317866</v>
      </c>
      <c r="CL3004">
        <v>0</v>
      </c>
      <c r="CM3004">
        <v>2</v>
      </c>
      <c r="CN3004">
        <v>0</v>
      </c>
      <c r="CO3004">
        <v>2</v>
      </c>
      <c r="CP3004">
        <v>0</v>
      </c>
      <c r="CQ3004">
        <v>7</v>
      </c>
      <c r="CR3004" t="s">
        <v>116</v>
      </c>
      <c r="CS3004">
        <v>38</v>
      </c>
      <c r="CT3004">
        <v>3</v>
      </c>
      <c r="CU3004" t="s">
        <v>4719</v>
      </c>
      <c r="CV3004" t="s">
        <v>4720</v>
      </c>
      <c r="CY3004">
        <v>10586804</v>
      </c>
      <c r="CZ3004" t="s">
        <v>119</v>
      </c>
    </row>
    <row r="3005" spans="1:104" x14ac:dyDescent="0.25">
      <c r="A3005" t="str">
        <f>"14:40:25.523"</f>
        <v>14:40:25.523</v>
      </c>
      <c r="B3005" t="s">
        <v>108</v>
      </c>
      <c r="C3005" t="str">
        <f t="shared" si="139"/>
        <v>ffdfd3c0</v>
      </c>
      <c r="D3005" t="s">
        <v>109</v>
      </c>
      <c r="E3005">
        <v>4</v>
      </c>
      <c r="F3005">
        <v>1004</v>
      </c>
      <c r="G3005" t="s">
        <v>110</v>
      </c>
      <c r="J3005" t="s">
        <v>111</v>
      </c>
      <c r="K3005">
        <v>0</v>
      </c>
      <c r="L3005">
        <v>3</v>
      </c>
      <c r="M3005">
        <v>0</v>
      </c>
      <c r="N3005">
        <v>2</v>
      </c>
      <c r="O3005">
        <v>1</v>
      </c>
      <c r="P3005">
        <v>0</v>
      </c>
      <c r="Q3005">
        <v>0</v>
      </c>
      <c r="R3005" t="s">
        <v>112</v>
      </c>
      <c r="S3005" t="str">
        <f>"14:40:25.367"</f>
        <v>14:40:25.367</v>
      </c>
      <c r="T3005" t="str">
        <f>"14:40:24.867"</f>
        <v>14:40:24.867</v>
      </c>
      <c r="U3005" t="str">
        <f t="shared" si="138"/>
        <v>ad5732</v>
      </c>
      <c r="V3005">
        <v>0</v>
      </c>
      <c r="W3005">
        <v>0</v>
      </c>
      <c r="X3005">
        <v>1</v>
      </c>
      <c r="Z3005">
        <v>0</v>
      </c>
      <c r="AA3005">
        <v>9</v>
      </c>
      <c r="AB3005">
        <v>3</v>
      </c>
      <c r="AC3005">
        <v>0</v>
      </c>
      <c r="AD3005">
        <v>10</v>
      </c>
      <c r="AE3005">
        <v>0</v>
      </c>
      <c r="AF3005">
        <v>3</v>
      </c>
      <c r="AG3005">
        <v>2</v>
      </c>
      <c r="AH3005">
        <v>0</v>
      </c>
      <c r="AI3005" t="s">
        <v>6126</v>
      </c>
      <c r="AJ3005">
        <v>40.373339999999999</v>
      </c>
      <c r="AK3005" t="s">
        <v>6127</v>
      </c>
      <c r="AL3005">
        <v>-75.034604000000002</v>
      </c>
      <c r="AM3005">
        <v>100</v>
      </c>
      <c r="AN3005">
        <v>3700</v>
      </c>
      <c r="AO3005" t="s">
        <v>115</v>
      </c>
      <c r="AP3005">
        <v>129</v>
      </c>
      <c r="AQ3005">
        <v>120</v>
      </c>
      <c r="AR3005">
        <v>64</v>
      </c>
      <c r="AZ3005">
        <v>3614</v>
      </c>
      <c r="BA3005">
        <v>1</v>
      </c>
      <c r="BB3005" t="str">
        <f t="shared" si="140"/>
        <v xml:space="preserve">N959MJ  </v>
      </c>
      <c r="BC3005">
        <v>1</v>
      </c>
      <c r="BE3005">
        <v>0</v>
      </c>
      <c r="BF3005">
        <v>0</v>
      </c>
      <c r="BG3005">
        <v>0</v>
      </c>
      <c r="BH3005">
        <v>3850</v>
      </c>
      <c r="BI3005">
        <v>150</v>
      </c>
      <c r="BJ3005">
        <v>1</v>
      </c>
      <c r="BK3005">
        <v>1</v>
      </c>
      <c r="BL3005">
        <v>1</v>
      </c>
      <c r="BM3005">
        <v>0</v>
      </c>
      <c r="BP3005">
        <v>0</v>
      </c>
      <c r="BQ3005">
        <v>0</v>
      </c>
      <c r="BX3005" t="str">
        <f>"14:40:25.367"</f>
        <v>14:40:25.367</v>
      </c>
      <c r="BY3005" t="str">
        <f>"369211636"</f>
        <v>369211636</v>
      </c>
      <c r="CL3005">
        <v>0</v>
      </c>
      <c r="CM3005">
        <v>2</v>
      </c>
      <c r="CN3005">
        <v>0</v>
      </c>
      <c r="CO3005">
        <v>2</v>
      </c>
      <c r="CP3005">
        <v>0</v>
      </c>
      <c r="CQ3005">
        <v>7</v>
      </c>
      <c r="CR3005" t="s">
        <v>116</v>
      </c>
      <c r="CS3005">
        <v>38</v>
      </c>
      <c r="CT3005">
        <v>3</v>
      </c>
      <c r="CU3005" t="s">
        <v>4719</v>
      </c>
      <c r="CV3005" t="s">
        <v>4720</v>
      </c>
      <c r="CY3005">
        <v>10588803</v>
      </c>
      <c r="CZ3005" t="s">
        <v>119</v>
      </c>
    </row>
    <row r="3006" spans="1:104" x14ac:dyDescent="0.25">
      <c r="A3006" t="str">
        <f>"14:40:26.484"</f>
        <v>14:40:26.484</v>
      </c>
      <c r="B3006" t="s">
        <v>108</v>
      </c>
      <c r="C3006" t="str">
        <f t="shared" si="139"/>
        <v>ffdfd3c0</v>
      </c>
      <c r="D3006" t="s">
        <v>109</v>
      </c>
      <c r="E3006">
        <v>4</v>
      </c>
      <c r="F3006">
        <v>1004</v>
      </c>
      <c r="G3006" t="s">
        <v>110</v>
      </c>
      <c r="J3006" t="s">
        <v>111</v>
      </c>
      <c r="K3006">
        <v>0</v>
      </c>
      <c r="L3006">
        <v>3</v>
      </c>
      <c r="M3006">
        <v>0</v>
      </c>
      <c r="N3006">
        <v>2</v>
      </c>
      <c r="O3006">
        <v>1</v>
      </c>
      <c r="P3006">
        <v>0</v>
      </c>
      <c r="Q3006">
        <v>0</v>
      </c>
      <c r="R3006" t="s">
        <v>112</v>
      </c>
      <c r="S3006" t="str">
        <f>"14:40:26.305"</f>
        <v>14:40:26.305</v>
      </c>
      <c r="T3006" t="str">
        <f>"14:40:25.906"</f>
        <v>14:40:25.906</v>
      </c>
      <c r="U3006" t="str">
        <f t="shared" si="138"/>
        <v>ad5732</v>
      </c>
      <c r="V3006">
        <v>0</v>
      </c>
      <c r="W3006">
        <v>0</v>
      </c>
      <c r="X3006">
        <v>1</v>
      </c>
      <c r="Z3006">
        <v>0</v>
      </c>
      <c r="AA3006">
        <v>9</v>
      </c>
      <c r="AB3006">
        <v>3</v>
      </c>
      <c r="AC3006">
        <v>0</v>
      </c>
      <c r="AD3006">
        <v>10</v>
      </c>
      <c r="AE3006">
        <v>0</v>
      </c>
      <c r="AF3006">
        <v>3</v>
      </c>
      <c r="AG3006">
        <v>2</v>
      </c>
      <c r="AH3006">
        <v>0</v>
      </c>
      <c r="AI3006" t="s">
        <v>6128</v>
      </c>
      <c r="AJ3006">
        <v>40.373832999999998</v>
      </c>
      <c r="AK3006" t="s">
        <v>6129</v>
      </c>
      <c r="AL3006">
        <v>-75.033939000000004</v>
      </c>
      <c r="AM3006">
        <v>100</v>
      </c>
      <c r="AN3006">
        <v>3700</v>
      </c>
      <c r="AO3006" t="s">
        <v>115</v>
      </c>
      <c r="AP3006">
        <v>129</v>
      </c>
      <c r="AQ3006">
        <v>120</v>
      </c>
      <c r="AR3006">
        <v>0</v>
      </c>
      <c r="AZ3006">
        <v>3614</v>
      </c>
      <c r="BA3006">
        <v>1</v>
      </c>
      <c r="BB3006" t="str">
        <f t="shared" si="140"/>
        <v xml:space="preserve">N959MJ  </v>
      </c>
      <c r="BC3006">
        <v>1</v>
      </c>
      <c r="BE3006">
        <v>0</v>
      </c>
      <c r="BF3006">
        <v>0</v>
      </c>
      <c r="BG3006">
        <v>0</v>
      </c>
      <c r="BH3006">
        <v>3850</v>
      </c>
      <c r="BI3006">
        <v>150</v>
      </c>
      <c r="BJ3006">
        <v>1</v>
      </c>
      <c r="BK3006">
        <v>1</v>
      </c>
      <c r="BL3006">
        <v>1</v>
      </c>
      <c r="BM3006">
        <v>0</v>
      </c>
      <c r="BP3006">
        <v>0</v>
      </c>
      <c r="BQ3006">
        <v>0</v>
      </c>
      <c r="BX3006" t="str">
        <f>"14:40:26.313"</f>
        <v>14:40:26.313</v>
      </c>
      <c r="BY3006" t="str">
        <f>"309669562"</f>
        <v>309669562</v>
      </c>
      <c r="CL3006">
        <v>0</v>
      </c>
      <c r="CM3006">
        <v>2</v>
      </c>
      <c r="CN3006">
        <v>0</v>
      </c>
      <c r="CO3006">
        <v>2</v>
      </c>
      <c r="CP3006">
        <v>0</v>
      </c>
      <c r="CQ3006">
        <v>7</v>
      </c>
      <c r="CR3006" t="s">
        <v>116</v>
      </c>
      <c r="CS3006">
        <v>38</v>
      </c>
      <c r="CT3006">
        <v>3</v>
      </c>
      <c r="CU3006" t="s">
        <v>4719</v>
      </c>
      <c r="CV3006" t="s">
        <v>4720</v>
      </c>
      <c r="CY3006">
        <v>10590445</v>
      </c>
      <c r="CZ3006" t="s">
        <v>119</v>
      </c>
    </row>
    <row r="3007" spans="1:104" x14ac:dyDescent="0.25">
      <c r="A3007" t="str">
        <f>"14:40:27.344"</f>
        <v>14:40:27.344</v>
      </c>
      <c r="B3007" t="s">
        <v>108</v>
      </c>
      <c r="C3007" t="str">
        <f t="shared" si="139"/>
        <v>ffdfd3c0</v>
      </c>
      <c r="D3007" t="s">
        <v>109</v>
      </c>
      <c r="E3007">
        <v>4</v>
      </c>
      <c r="F3007">
        <v>1004</v>
      </c>
      <c r="G3007" t="s">
        <v>110</v>
      </c>
      <c r="J3007" t="s">
        <v>111</v>
      </c>
      <c r="K3007">
        <v>0</v>
      </c>
      <c r="L3007">
        <v>3</v>
      </c>
      <c r="M3007">
        <v>0</v>
      </c>
      <c r="N3007">
        <v>2</v>
      </c>
      <c r="O3007">
        <v>1</v>
      </c>
      <c r="P3007">
        <v>0</v>
      </c>
      <c r="Q3007">
        <v>0</v>
      </c>
      <c r="R3007" t="s">
        <v>112</v>
      </c>
      <c r="S3007" t="str">
        <f>"14:40:27.141"</f>
        <v>14:40:27.141</v>
      </c>
      <c r="T3007" t="str">
        <f>"14:40:26.742"</f>
        <v>14:40:26.742</v>
      </c>
      <c r="U3007" t="str">
        <f t="shared" si="138"/>
        <v>ad5732</v>
      </c>
      <c r="V3007">
        <v>0</v>
      </c>
      <c r="W3007">
        <v>0</v>
      </c>
      <c r="X3007">
        <v>1</v>
      </c>
      <c r="Z3007">
        <v>0</v>
      </c>
      <c r="AA3007">
        <v>9</v>
      </c>
      <c r="AB3007">
        <v>3</v>
      </c>
      <c r="AC3007">
        <v>0</v>
      </c>
      <c r="AD3007">
        <v>10</v>
      </c>
      <c r="AE3007">
        <v>0</v>
      </c>
      <c r="AF3007">
        <v>3</v>
      </c>
      <c r="AG3007">
        <v>2</v>
      </c>
      <c r="AH3007">
        <v>0</v>
      </c>
      <c r="AI3007" t="s">
        <v>6130</v>
      </c>
      <c r="AJ3007">
        <v>40.374347999999998</v>
      </c>
      <c r="AK3007" t="s">
        <v>6131</v>
      </c>
      <c r="AL3007">
        <v>-75.033208999999999</v>
      </c>
      <c r="AM3007">
        <v>100</v>
      </c>
      <c r="AN3007">
        <v>3700</v>
      </c>
      <c r="AO3007" t="s">
        <v>115</v>
      </c>
      <c r="AP3007">
        <v>129</v>
      </c>
      <c r="AQ3007">
        <v>121</v>
      </c>
      <c r="AR3007">
        <v>0</v>
      </c>
      <c r="AZ3007">
        <v>3614</v>
      </c>
      <c r="BA3007">
        <v>1</v>
      </c>
      <c r="BB3007" t="str">
        <f t="shared" si="140"/>
        <v xml:space="preserve">N959MJ  </v>
      </c>
      <c r="BC3007">
        <v>1</v>
      </c>
      <c r="BE3007">
        <v>0</v>
      </c>
      <c r="BF3007">
        <v>0</v>
      </c>
      <c r="BG3007">
        <v>0</v>
      </c>
      <c r="BH3007">
        <v>3850</v>
      </c>
      <c r="BI3007">
        <v>150</v>
      </c>
      <c r="BJ3007">
        <v>1</v>
      </c>
      <c r="BK3007">
        <v>1</v>
      </c>
      <c r="BL3007">
        <v>1</v>
      </c>
      <c r="BM3007">
        <v>0</v>
      </c>
      <c r="BP3007">
        <v>0</v>
      </c>
      <c r="BQ3007">
        <v>0</v>
      </c>
      <c r="BX3007" t="str">
        <f>"14:40:27.141"</f>
        <v>14:40:27.141</v>
      </c>
      <c r="BY3007" t="str">
        <f>"141991256"</f>
        <v>141991256</v>
      </c>
      <c r="CL3007">
        <v>0</v>
      </c>
      <c r="CM3007">
        <v>2</v>
      </c>
      <c r="CN3007">
        <v>0</v>
      </c>
      <c r="CO3007">
        <v>2</v>
      </c>
      <c r="CP3007">
        <v>0</v>
      </c>
      <c r="CQ3007">
        <v>7</v>
      </c>
      <c r="CR3007" t="s">
        <v>116</v>
      </c>
      <c r="CS3007">
        <v>38</v>
      </c>
      <c r="CT3007">
        <v>3</v>
      </c>
      <c r="CU3007" t="s">
        <v>4719</v>
      </c>
      <c r="CV3007" t="s">
        <v>4720</v>
      </c>
      <c r="CY3007">
        <v>10591911</v>
      </c>
      <c r="CZ3007" t="s">
        <v>119</v>
      </c>
    </row>
    <row r="3008" spans="1:104" x14ac:dyDescent="0.25">
      <c r="A3008" t="str">
        <f>"14:40:28.250"</f>
        <v>14:40:28.250</v>
      </c>
      <c r="B3008" t="s">
        <v>108</v>
      </c>
      <c r="C3008" t="str">
        <f t="shared" si="139"/>
        <v>ffdfd3c0</v>
      </c>
      <c r="D3008" t="s">
        <v>109</v>
      </c>
      <c r="E3008">
        <v>4</v>
      </c>
      <c r="F3008">
        <v>1004</v>
      </c>
      <c r="G3008" t="s">
        <v>110</v>
      </c>
      <c r="J3008" t="s">
        <v>111</v>
      </c>
      <c r="K3008">
        <v>0</v>
      </c>
      <c r="L3008">
        <v>3</v>
      </c>
      <c r="M3008">
        <v>0</v>
      </c>
      <c r="N3008">
        <v>2</v>
      </c>
      <c r="O3008">
        <v>1</v>
      </c>
      <c r="P3008">
        <v>0</v>
      </c>
      <c r="Q3008">
        <v>0</v>
      </c>
      <c r="R3008" t="s">
        <v>112</v>
      </c>
      <c r="S3008" t="str">
        <f>"14:40:28.078"</f>
        <v>14:40:28.078</v>
      </c>
      <c r="T3008" t="str">
        <f>"14:40:27.680"</f>
        <v>14:40:27.680</v>
      </c>
      <c r="U3008" t="str">
        <f t="shared" si="138"/>
        <v>ad5732</v>
      </c>
      <c r="V3008">
        <v>0</v>
      </c>
      <c r="W3008">
        <v>0</v>
      </c>
      <c r="X3008">
        <v>1</v>
      </c>
      <c r="Z3008">
        <v>0</v>
      </c>
      <c r="AA3008">
        <v>9</v>
      </c>
      <c r="AB3008">
        <v>3</v>
      </c>
      <c r="AC3008">
        <v>0</v>
      </c>
      <c r="AD3008">
        <v>10</v>
      </c>
      <c r="AE3008">
        <v>0</v>
      </c>
      <c r="AF3008">
        <v>3</v>
      </c>
      <c r="AG3008">
        <v>2</v>
      </c>
      <c r="AH3008">
        <v>0</v>
      </c>
      <c r="AI3008" t="s">
        <v>6132</v>
      </c>
      <c r="AJ3008">
        <v>40.374842000000001</v>
      </c>
      <c r="AK3008" t="s">
        <v>6133</v>
      </c>
      <c r="AL3008">
        <v>-75.032500999999996</v>
      </c>
      <c r="AM3008">
        <v>100</v>
      </c>
      <c r="AN3008">
        <v>3700</v>
      </c>
      <c r="AO3008" t="s">
        <v>115</v>
      </c>
      <c r="AP3008">
        <v>129</v>
      </c>
      <c r="AQ3008">
        <v>121</v>
      </c>
      <c r="AR3008">
        <v>0</v>
      </c>
      <c r="AZ3008">
        <v>3614</v>
      </c>
      <c r="BA3008">
        <v>1</v>
      </c>
      <c r="BB3008" t="str">
        <f t="shared" si="140"/>
        <v xml:space="preserve">N959MJ  </v>
      </c>
      <c r="BC3008">
        <v>1</v>
      </c>
      <c r="BE3008">
        <v>0</v>
      </c>
      <c r="BF3008">
        <v>0</v>
      </c>
      <c r="BG3008">
        <v>0</v>
      </c>
      <c r="BH3008">
        <v>3850</v>
      </c>
      <c r="BI3008">
        <v>150</v>
      </c>
      <c r="BJ3008">
        <v>1</v>
      </c>
      <c r="BK3008">
        <v>1</v>
      </c>
      <c r="BL3008">
        <v>1</v>
      </c>
      <c r="BM3008">
        <v>0</v>
      </c>
      <c r="BP3008">
        <v>0</v>
      </c>
      <c r="BQ3008">
        <v>0</v>
      </c>
      <c r="BX3008" t="str">
        <f>"14:40:28.078"</f>
        <v>14:40:28.078</v>
      </c>
      <c r="BY3008" t="str">
        <f>"080810716"</f>
        <v>080810716</v>
      </c>
      <c r="CL3008">
        <v>0</v>
      </c>
      <c r="CM3008">
        <v>2</v>
      </c>
      <c r="CN3008">
        <v>0</v>
      </c>
      <c r="CO3008">
        <v>2</v>
      </c>
      <c r="CP3008">
        <v>0</v>
      </c>
      <c r="CQ3008">
        <v>7</v>
      </c>
      <c r="CR3008" t="s">
        <v>116</v>
      </c>
      <c r="CS3008">
        <v>38</v>
      </c>
      <c r="CT3008">
        <v>3</v>
      </c>
      <c r="CU3008" t="s">
        <v>4719</v>
      </c>
      <c r="CV3008" t="s">
        <v>4720</v>
      </c>
      <c r="CY3008">
        <v>10593411</v>
      </c>
      <c r="CZ3008" t="s">
        <v>119</v>
      </c>
    </row>
    <row r="3009" spans="1:104" x14ac:dyDescent="0.25">
      <c r="A3009" t="str">
        <f>"14:40:29.414"</f>
        <v>14:40:29.414</v>
      </c>
      <c r="B3009" t="s">
        <v>108</v>
      </c>
      <c r="C3009" t="str">
        <f t="shared" si="139"/>
        <v>ffdfd3c0</v>
      </c>
      <c r="D3009" t="s">
        <v>109</v>
      </c>
      <c r="E3009">
        <v>4</v>
      </c>
      <c r="F3009">
        <v>1004</v>
      </c>
      <c r="G3009" t="s">
        <v>110</v>
      </c>
      <c r="J3009" t="s">
        <v>111</v>
      </c>
      <c r="K3009">
        <v>0</v>
      </c>
      <c r="L3009">
        <v>3</v>
      </c>
      <c r="M3009">
        <v>0</v>
      </c>
      <c r="N3009">
        <v>2</v>
      </c>
      <c r="O3009">
        <v>1</v>
      </c>
      <c r="P3009">
        <v>0</v>
      </c>
      <c r="Q3009">
        <v>0</v>
      </c>
      <c r="R3009" t="s">
        <v>112</v>
      </c>
      <c r="S3009" t="str">
        <f>"14:40:29.211"</f>
        <v>14:40:29.211</v>
      </c>
      <c r="T3009" t="str">
        <f>"14:40:28.711"</f>
        <v>14:40:28.711</v>
      </c>
      <c r="U3009" t="str">
        <f t="shared" si="138"/>
        <v>ad5732</v>
      </c>
      <c r="V3009">
        <v>0</v>
      </c>
      <c r="W3009">
        <v>0</v>
      </c>
      <c r="X3009">
        <v>1</v>
      </c>
      <c r="Z3009">
        <v>0</v>
      </c>
      <c r="AA3009">
        <v>9</v>
      </c>
      <c r="AB3009">
        <v>3</v>
      </c>
      <c r="AC3009">
        <v>0</v>
      </c>
      <c r="AD3009">
        <v>10</v>
      </c>
      <c r="AE3009">
        <v>0</v>
      </c>
      <c r="AF3009">
        <v>3</v>
      </c>
      <c r="AG3009">
        <v>2</v>
      </c>
      <c r="AH3009">
        <v>0</v>
      </c>
      <c r="AI3009" t="s">
        <v>6134</v>
      </c>
      <c r="AJ3009">
        <v>40.375442999999997</v>
      </c>
      <c r="AK3009" t="s">
        <v>6135</v>
      </c>
      <c r="AL3009">
        <v>-75.031685999999993</v>
      </c>
      <c r="AM3009">
        <v>100</v>
      </c>
      <c r="AN3009">
        <v>3700</v>
      </c>
      <c r="AO3009" t="s">
        <v>115</v>
      </c>
      <c r="AP3009">
        <v>129</v>
      </c>
      <c r="AQ3009">
        <v>121</v>
      </c>
      <c r="AR3009">
        <v>0</v>
      </c>
      <c r="AZ3009">
        <v>3614</v>
      </c>
      <c r="BA3009">
        <v>1</v>
      </c>
      <c r="BB3009" t="str">
        <f t="shared" si="140"/>
        <v xml:space="preserve">N959MJ  </v>
      </c>
      <c r="BC3009">
        <v>1</v>
      </c>
      <c r="BE3009">
        <v>0</v>
      </c>
      <c r="BF3009">
        <v>0</v>
      </c>
      <c r="BG3009">
        <v>0</v>
      </c>
      <c r="BH3009">
        <v>3850</v>
      </c>
      <c r="BI3009">
        <v>150</v>
      </c>
      <c r="BJ3009">
        <v>1</v>
      </c>
      <c r="BK3009">
        <v>1</v>
      </c>
      <c r="BL3009">
        <v>1</v>
      </c>
      <c r="BM3009">
        <v>0</v>
      </c>
      <c r="BP3009">
        <v>0</v>
      </c>
      <c r="BQ3009">
        <v>0</v>
      </c>
      <c r="BX3009" t="str">
        <f>"14:40:29.211"</f>
        <v>14:40:29.211</v>
      </c>
      <c r="BY3009" t="str">
        <f>"211326443"</f>
        <v>211326443</v>
      </c>
      <c r="CL3009">
        <v>0</v>
      </c>
      <c r="CM3009">
        <v>2</v>
      </c>
      <c r="CN3009">
        <v>0</v>
      </c>
      <c r="CO3009">
        <v>2</v>
      </c>
      <c r="CP3009">
        <v>0</v>
      </c>
      <c r="CQ3009">
        <v>7</v>
      </c>
      <c r="CR3009" t="s">
        <v>116</v>
      </c>
      <c r="CS3009">
        <v>38</v>
      </c>
      <c r="CT3009">
        <v>3</v>
      </c>
      <c r="CU3009" t="s">
        <v>4719</v>
      </c>
      <c r="CV3009" t="s">
        <v>4720</v>
      </c>
      <c r="CY3009">
        <v>10595333</v>
      </c>
      <c r="CZ3009" t="s">
        <v>119</v>
      </c>
    </row>
    <row r="3010" spans="1:104" x14ac:dyDescent="0.25">
      <c r="A3010" t="str">
        <f>"14:40:30.477"</f>
        <v>14:40:30.477</v>
      </c>
      <c r="B3010" t="s">
        <v>108</v>
      </c>
      <c r="C3010" t="str">
        <f t="shared" si="139"/>
        <v>ffdfd3c0</v>
      </c>
      <c r="D3010" t="s">
        <v>109</v>
      </c>
      <c r="E3010">
        <v>4</v>
      </c>
      <c r="F3010">
        <v>1004</v>
      </c>
      <c r="G3010" t="s">
        <v>110</v>
      </c>
      <c r="J3010" t="s">
        <v>111</v>
      </c>
      <c r="K3010">
        <v>0</v>
      </c>
      <c r="L3010">
        <v>3</v>
      </c>
      <c r="M3010">
        <v>0</v>
      </c>
      <c r="N3010">
        <v>2</v>
      </c>
      <c r="O3010">
        <v>1</v>
      </c>
      <c r="P3010">
        <v>0</v>
      </c>
      <c r="Q3010">
        <v>0</v>
      </c>
      <c r="R3010" t="s">
        <v>112</v>
      </c>
      <c r="S3010" t="str">
        <f>"14:40:30.281"</f>
        <v>14:40:30.281</v>
      </c>
      <c r="T3010" t="str">
        <f>"14:40:29.781"</f>
        <v>14:40:29.781</v>
      </c>
      <c r="U3010" t="str">
        <f t="shared" ref="U3010:U3073" si="141">"ad5732"</f>
        <v>ad5732</v>
      </c>
      <c r="V3010">
        <v>0</v>
      </c>
      <c r="W3010">
        <v>0</v>
      </c>
      <c r="X3010">
        <v>1</v>
      </c>
      <c r="Z3010">
        <v>0</v>
      </c>
      <c r="AA3010">
        <v>9</v>
      </c>
      <c r="AB3010">
        <v>3</v>
      </c>
      <c r="AC3010">
        <v>0</v>
      </c>
      <c r="AD3010">
        <v>10</v>
      </c>
      <c r="AE3010">
        <v>0</v>
      </c>
      <c r="AF3010">
        <v>3</v>
      </c>
      <c r="AG3010">
        <v>2</v>
      </c>
      <c r="AH3010">
        <v>0</v>
      </c>
      <c r="AI3010" t="s">
        <v>6136</v>
      </c>
      <c r="AJ3010">
        <v>40.376064999999997</v>
      </c>
      <c r="AK3010" t="s">
        <v>6137</v>
      </c>
      <c r="AL3010">
        <v>-75.030805999999998</v>
      </c>
      <c r="AM3010">
        <v>100</v>
      </c>
      <c r="AN3010">
        <v>3700</v>
      </c>
      <c r="AO3010" t="s">
        <v>115</v>
      </c>
      <c r="AP3010">
        <v>129</v>
      </c>
      <c r="AQ3010">
        <v>121</v>
      </c>
      <c r="AR3010">
        <v>64</v>
      </c>
      <c r="AZ3010">
        <v>3614</v>
      </c>
      <c r="BA3010">
        <v>1</v>
      </c>
      <c r="BB3010" t="str">
        <f t="shared" si="140"/>
        <v xml:space="preserve">N959MJ  </v>
      </c>
      <c r="BC3010">
        <v>1</v>
      </c>
      <c r="BE3010">
        <v>0</v>
      </c>
      <c r="BF3010">
        <v>0</v>
      </c>
      <c r="BG3010">
        <v>0</v>
      </c>
      <c r="BH3010">
        <v>3850</v>
      </c>
      <c r="BI3010">
        <v>150</v>
      </c>
      <c r="BJ3010">
        <v>1</v>
      </c>
      <c r="BK3010">
        <v>1</v>
      </c>
      <c r="BL3010">
        <v>1</v>
      </c>
      <c r="BM3010">
        <v>0</v>
      </c>
      <c r="BP3010">
        <v>0</v>
      </c>
      <c r="BQ3010">
        <v>0</v>
      </c>
      <c r="BX3010" t="str">
        <f>"14:40:30.289"</f>
        <v>14:40:30.289</v>
      </c>
      <c r="BY3010" t="str">
        <f>"286135408"</f>
        <v>286135408</v>
      </c>
      <c r="CL3010">
        <v>0</v>
      </c>
      <c r="CM3010">
        <v>2</v>
      </c>
      <c r="CN3010">
        <v>0</v>
      </c>
      <c r="CO3010">
        <v>2</v>
      </c>
      <c r="CP3010">
        <v>0</v>
      </c>
      <c r="CQ3010">
        <v>7</v>
      </c>
      <c r="CR3010" t="s">
        <v>116</v>
      </c>
      <c r="CS3010">
        <v>38</v>
      </c>
      <c r="CT3010">
        <v>3</v>
      </c>
      <c r="CU3010" t="s">
        <v>4719</v>
      </c>
      <c r="CV3010" t="s">
        <v>4720</v>
      </c>
      <c r="CY3010">
        <v>10597350</v>
      </c>
      <c r="CZ3010" t="s">
        <v>119</v>
      </c>
    </row>
    <row r="3011" spans="1:104" x14ac:dyDescent="0.25">
      <c r="A3011" t="str">
        <f>"14:40:31.430"</f>
        <v>14:40:31.430</v>
      </c>
      <c r="B3011" t="s">
        <v>108</v>
      </c>
      <c r="C3011" t="str">
        <f t="shared" si="139"/>
        <v>ffdfd3c0</v>
      </c>
      <c r="D3011" t="s">
        <v>109</v>
      </c>
      <c r="E3011">
        <v>4</v>
      </c>
      <c r="F3011">
        <v>1004</v>
      </c>
      <c r="G3011" t="s">
        <v>110</v>
      </c>
      <c r="J3011" t="s">
        <v>111</v>
      </c>
      <c r="K3011">
        <v>0</v>
      </c>
      <c r="L3011">
        <v>3</v>
      </c>
      <c r="M3011">
        <v>0</v>
      </c>
      <c r="N3011">
        <v>2</v>
      </c>
      <c r="O3011">
        <v>1</v>
      </c>
      <c r="P3011">
        <v>0</v>
      </c>
      <c r="Q3011">
        <v>0</v>
      </c>
      <c r="R3011" t="s">
        <v>112</v>
      </c>
      <c r="S3011" t="str">
        <f>"14:40:31.258"</f>
        <v>14:40:31.258</v>
      </c>
      <c r="T3011" t="str">
        <f>"14:40:30.758"</f>
        <v>14:40:30.758</v>
      </c>
      <c r="U3011" t="str">
        <f t="shared" si="141"/>
        <v>ad5732</v>
      </c>
      <c r="V3011">
        <v>0</v>
      </c>
      <c r="W3011">
        <v>0</v>
      </c>
      <c r="X3011">
        <v>1</v>
      </c>
      <c r="Z3011">
        <v>0</v>
      </c>
      <c r="AA3011">
        <v>9</v>
      </c>
      <c r="AB3011">
        <v>3</v>
      </c>
      <c r="AC3011">
        <v>0</v>
      </c>
      <c r="AD3011">
        <v>10</v>
      </c>
      <c r="AE3011">
        <v>0</v>
      </c>
      <c r="AF3011">
        <v>3</v>
      </c>
      <c r="AG3011">
        <v>2</v>
      </c>
      <c r="AH3011">
        <v>0</v>
      </c>
      <c r="AI3011" t="s">
        <v>6138</v>
      </c>
      <c r="AJ3011">
        <v>40.376623000000002</v>
      </c>
      <c r="AK3011" t="s">
        <v>6139</v>
      </c>
      <c r="AL3011">
        <v>-75.030011999999999</v>
      </c>
      <c r="AM3011">
        <v>100</v>
      </c>
      <c r="AN3011">
        <v>3700</v>
      </c>
      <c r="AO3011" t="s">
        <v>115</v>
      </c>
      <c r="AP3011">
        <v>129</v>
      </c>
      <c r="AQ3011">
        <v>121</v>
      </c>
      <c r="AR3011">
        <v>64</v>
      </c>
      <c r="AZ3011">
        <v>3614</v>
      </c>
      <c r="BA3011">
        <v>1</v>
      </c>
      <c r="BB3011" t="str">
        <f t="shared" si="140"/>
        <v xml:space="preserve">N959MJ  </v>
      </c>
      <c r="BC3011">
        <v>1</v>
      </c>
      <c r="BE3011">
        <v>0</v>
      </c>
      <c r="BF3011">
        <v>0</v>
      </c>
      <c r="BG3011">
        <v>0</v>
      </c>
      <c r="BH3011">
        <v>3850</v>
      </c>
      <c r="BI3011">
        <v>150</v>
      </c>
      <c r="BJ3011">
        <v>1</v>
      </c>
      <c r="BK3011">
        <v>1</v>
      </c>
      <c r="BL3011">
        <v>1</v>
      </c>
      <c r="BM3011">
        <v>0</v>
      </c>
      <c r="BP3011">
        <v>0</v>
      </c>
      <c r="BQ3011">
        <v>0</v>
      </c>
      <c r="BX3011" t="str">
        <f>"14:40:31.258"</f>
        <v>14:40:31.258</v>
      </c>
      <c r="BY3011" t="str">
        <f>"259361915"</f>
        <v>259361915</v>
      </c>
      <c r="CL3011">
        <v>0</v>
      </c>
      <c r="CM3011">
        <v>2</v>
      </c>
      <c r="CN3011">
        <v>0</v>
      </c>
      <c r="CO3011">
        <v>2</v>
      </c>
      <c r="CP3011">
        <v>0</v>
      </c>
      <c r="CQ3011">
        <v>7</v>
      </c>
      <c r="CR3011" t="s">
        <v>116</v>
      </c>
      <c r="CS3011">
        <v>38</v>
      </c>
      <c r="CT3011">
        <v>3</v>
      </c>
      <c r="CU3011" t="s">
        <v>4719</v>
      </c>
      <c r="CV3011" t="s">
        <v>4720</v>
      </c>
      <c r="CY3011">
        <v>10599102</v>
      </c>
      <c r="CZ3011" t="s">
        <v>119</v>
      </c>
    </row>
    <row r="3012" spans="1:104" x14ac:dyDescent="0.25">
      <c r="A3012" t="str">
        <f>"14:40:32.492"</f>
        <v>14:40:32.492</v>
      </c>
      <c r="B3012" t="s">
        <v>108</v>
      </c>
      <c r="C3012" t="str">
        <f t="shared" si="139"/>
        <v>ffdfd3c0</v>
      </c>
      <c r="D3012" t="s">
        <v>109</v>
      </c>
      <c r="E3012">
        <v>4</v>
      </c>
      <c r="F3012">
        <v>1004</v>
      </c>
      <c r="G3012" t="s">
        <v>110</v>
      </c>
      <c r="J3012" t="s">
        <v>111</v>
      </c>
      <c r="K3012">
        <v>0</v>
      </c>
      <c r="L3012">
        <v>3</v>
      </c>
      <c r="M3012">
        <v>0</v>
      </c>
      <c r="N3012">
        <v>2</v>
      </c>
      <c r="O3012">
        <v>1</v>
      </c>
      <c r="P3012">
        <v>0</v>
      </c>
      <c r="Q3012">
        <v>0</v>
      </c>
      <c r="R3012" t="s">
        <v>112</v>
      </c>
      <c r="S3012" t="str">
        <f>"14:40:32.297"</f>
        <v>14:40:32.297</v>
      </c>
      <c r="T3012" t="str">
        <f>"14:40:31.898"</f>
        <v>14:40:31.898</v>
      </c>
      <c r="U3012" t="str">
        <f t="shared" si="141"/>
        <v>ad5732</v>
      </c>
      <c r="V3012">
        <v>0</v>
      </c>
      <c r="W3012">
        <v>0</v>
      </c>
      <c r="X3012">
        <v>1</v>
      </c>
      <c r="Z3012">
        <v>0</v>
      </c>
      <c r="AA3012">
        <v>9</v>
      </c>
      <c r="AB3012">
        <v>3</v>
      </c>
      <c r="AC3012">
        <v>0</v>
      </c>
      <c r="AD3012">
        <v>10</v>
      </c>
      <c r="AE3012">
        <v>0</v>
      </c>
      <c r="AF3012">
        <v>3</v>
      </c>
      <c r="AG3012">
        <v>2</v>
      </c>
      <c r="AH3012">
        <v>0</v>
      </c>
      <c r="AI3012" t="s">
        <v>6140</v>
      </c>
      <c r="AJ3012">
        <v>40.377181</v>
      </c>
      <c r="AK3012" t="s">
        <v>6141</v>
      </c>
      <c r="AL3012">
        <v>-75.029261000000005</v>
      </c>
      <c r="AM3012">
        <v>100</v>
      </c>
      <c r="AN3012">
        <v>3700</v>
      </c>
      <c r="AO3012" t="s">
        <v>115</v>
      </c>
      <c r="AP3012">
        <v>129</v>
      </c>
      <c r="AQ3012">
        <v>121</v>
      </c>
      <c r="AR3012">
        <v>64</v>
      </c>
      <c r="AZ3012">
        <v>3614</v>
      </c>
      <c r="BA3012">
        <v>1</v>
      </c>
      <c r="BB3012" t="str">
        <f t="shared" si="140"/>
        <v xml:space="preserve">N959MJ  </v>
      </c>
      <c r="BC3012">
        <v>1</v>
      </c>
      <c r="BE3012">
        <v>0</v>
      </c>
      <c r="BF3012">
        <v>0</v>
      </c>
      <c r="BG3012">
        <v>0</v>
      </c>
      <c r="BH3012">
        <v>3875</v>
      </c>
      <c r="BI3012">
        <v>175</v>
      </c>
      <c r="BJ3012">
        <v>1</v>
      </c>
      <c r="BK3012">
        <v>1</v>
      </c>
      <c r="BL3012">
        <v>1</v>
      </c>
      <c r="BM3012">
        <v>0</v>
      </c>
      <c r="BP3012">
        <v>0</v>
      </c>
      <c r="BQ3012">
        <v>0</v>
      </c>
      <c r="BX3012" t="str">
        <f>"14:40:32.305"</f>
        <v>14:40:32.305</v>
      </c>
      <c r="BY3012" t="str">
        <f>"304679267"</f>
        <v>304679267</v>
      </c>
      <c r="CL3012">
        <v>0</v>
      </c>
      <c r="CM3012">
        <v>2</v>
      </c>
      <c r="CN3012">
        <v>0</v>
      </c>
      <c r="CO3012">
        <v>2</v>
      </c>
      <c r="CP3012">
        <v>0</v>
      </c>
      <c r="CQ3012">
        <v>7</v>
      </c>
      <c r="CR3012" t="s">
        <v>116</v>
      </c>
      <c r="CS3012">
        <v>38</v>
      </c>
      <c r="CT3012">
        <v>3</v>
      </c>
      <c r="CU3012" t="s">
        <v>4719</v>
      </c>
      <c r="CV3012" t="s">
        <v>4720</v>
      </c>
      <c r="CY3012">
        <v>10600791</v>
      </c>
      <c r="CZ3012" t="s">
        <v>119</v>
      </c>
    </row>
    <row r="3013" spans="1:104" x14ac:dyDescent="0.25">
      <c r="A3013" t="str">
        <f>"14:40:33.453"</f>
        <v>14:40:33.453</v>
      </c>
      <c r="B3013" t="s">
        <v>108</v>
      </c>
      <c r="C3013" t="str">
        <f t="shared" si="139"/>
        <v>ffdfd3c0</v>
      </c>
      <c r="D3013" t="s">
        <v>109</v>
      </c>
      <c r="E3013">
        <v>4</v>
      </c>
      <c r="F3013">
        <v>1004</v>
      </c>
      <c r="G3013" t="s">
        <v>110</v>
      </c>
      <c r="J3013" t="s">
        <v>111</v>
      </c>
      <c r="K3013">
        <v>0</v>
      </c>
      <c r="L3013">
        <v>3</v>
      </c>
      <c r="M3013">
        <v>0</v>
      </c>
      <c r="N3013">
        <v>2</v>
      </c>
      <c r="O3013">
        <v>1</v>
      </c>
      <c r="P3013">
        <v>0</v>
      </c>
      <c r="Q3013">
        <v>0</v>
      </c>
      <c r="R3013" t="s">
        <v>112</v>
      </c>
      <c r="S3013" t="str">
        <f>"14:40:33.273"</f>
        <v>14:40:33.273</v>
      </c>
      <c r="T3013" t="str">
        <f>"14:40:32.773"</f>
        <v>14:40:32.773</v>
      </c>
      <c r="U3013" t="str">
        <f t="shared" si="141"/>
        <v>ad5732</v>
      </c>
      <c r="V3013">
        <v>0</v>
      </c>
      <c r="W3013">
        <v>0</v>
      </c>
      <c r="X3013">
        <v>1</v>
      </c>
      <c r="Z3013">
        <v>0</v>
      </c>
      <c r="AA3013">
        <v>9</v>
      </c>
      <c r="AB3013">
        <v>3</v>
      </c>
      <c r="AC3013">
        <v>0</v>
      </c>
      <c r="AD3013">
        <v>10</v>
      </c>
      <c r="AE3013">
        <v>0</v>
      </c>
      <c r="AF3013">
        <v>3</v>
      </c>
      <c r="AG3013">
        <v>2</v>
      </c>
      <c r="AH3013">
        <v>0</v>
      </c>
      <c r="AI3013" t="s">
        <v>6142</v>
      </c>
      <c r="AJ3013">
        <v>40.377738000000001</v>
      </c>
      <c r="AK3013" t="s">
        <v>6143</v>
      </c>
      <c r="AL3013">
        <v>-75.028446000000002</v>
      </c>
      <c r="AM3013">
        <v>100</v>
      </c>
      <c r="AN3013">
        <v>3700</v>
      </c>
      <c r="AO3013" t="s">
        <v>115</v>
      </c>
      <c r="AP3013">
        <v>129</v>
      </c>
      <c r="AQ3013">
        <v>121</v>
      </c>
      <c r="AR3013">
        <v>0</v>
      </c>
      <c r="AZ3013">
        <v>3614</v>
      </c>
      <c r="BA3013">
        <v>1</v>
      </c>
      <c r="BB3013" t="str">
        <f t="shared" si="140"/>
        <v xml:space="preserve">N959MJ  </v>
      </c>
      <c r="BC3013">
        <v>1</v>
      </c>
      <c r="BE3013">
        <v>0</v>
      </c>
      <c r="BF3013">
        <v>0</v>
      </c>
      <c r="BG3013">
        <v>0</v>
      </c>
      <c r="BH3013">
        <v>3875</v>
      </c>
      <c r="BI3013">
        <v>175</v>
      </c>
      <c r="BJ3013">
        <v>1</v>
      </c>
      <c r="BK3013">
        <v>1</v>
      </c>
      <c r="BL3013">
        <v>1</v>
      </c>
      <c r="BM3013">
        <v>0</v>
      </c>
      <c r="BP3013">
        <v>0</v>
      </c>
      <c r="BQ3013">
        <v>0</v>
      </c>
      <c r="BX3013" t="str">
        <f>"14:40:33.281"</f>
        <v>14:40:33.281</v>
      </c>
      <c r="BY3013" t="str">
        <f>"281182632"</f>
        <v>281182632</v>
      </c>
      <c r="CL3013">
        <v>0</v>
      </c>
      <c r="CM3013">
        <v>2</v>
      </c>
      <c r="CN3013">
        <v>0</v>
      </c>
      <c r="CO3013">
        <v>2</v>
      </c>
      <c r="CP3013">
        <v>0</v>
      </c>
      <c r="CQ3013">
        <v>7</v>
      </c>
      <c r="CR3013" t="s">
        <v>116</v>
      </c>
      <c r="CS3013">
        <v>38</v>
      </c>
      <c r="CT3013">
        <v>3</v>
      </c>
      <c r="CU3013" t="s">
        <v>4719</v>
      </c>
      <c r="CV3013" t="s">
        <v>4720</v>
      </c>
      <c r="CY3013">
        <v>10602346</v>
      </c>
      <c r="CZ3013" t="s">
        <v>119</v>
      </c>
    </row>
    <row r="3014" spans="1:104" x14ac:dyDescent="0.25">
      <c r="A3014" t="str">
        <f>"14:40:34.359"</f>
        <v>14:40:34.359</v>
      </c>
      <c r="B3014" t="s">
        <v>108</v>
      </c>
      <c r="C3014" t="str">
        <f t="shared" si="139"/>
        <v>ffdfd3c0</v>
      </c>
      <c r="D3014" t="s">
        <v>109</v>
      </c>
      <c r="E3014">
        <v>4</v>
      </c>
      <c r="F3014">
        <v>1004</v>
      </c>
      <c r="G3014" t="s">
        <v>110</v>
      </c>
      <c r="J3014" t="s">
        <v>111</v>
      </c>
      <c r="K3014">
        <v>0</v>
      </c>
      <c r="L3014">
        <v>3</v>
      </c>
      <c r="M3014">
        <v>0</v>
      </c>
      <c r="N3014">
        <v>2</v>
      </c>
      <c r="O3014">
        <v>1</v>
      </c>
      <c r="P3014">
        <v>0</v>
      </c>
      <c r="Q3014">
        <v>0</v>
      </c>
      <c r="R3014" t="s">
        <v>112</v>
      </c>
      <c r="S3014" t="str">
        <f>"14:40:34.172"</f>
        <v>14:40:34.172</v>
      </c>
      <c r="T3014" t="str">
        <f>"14:40:33.773"</f>
        <v>14:40:33.773</v>
      </c>
      <c r="U3014" t="str">
        <f t="shared" si="141"/>
        <v>ad5732</v>
      </c>
      <c r="V3014">
        <v>0</v>
      </c>
      <c r="W3014">
        <v>0</v>
      </c>
      <c r="X3014">
        <v>1</v>
      </c>
      <c r="Z3014">
        <v>0</v>
      </c>
      <c r="AA3014">
        <v>9</v>
      </c>
      <c r="AB3014">
        <v>3</v>
      </c>
      <c r="AC3014">
        <v>0</v>
      </c>
      <c r="AD3014">
        <v>10</v>
      </c>
      <c r="AE3014">
        <v>0</v>
      </c>
      <c r="AF3014">
        <v>3</v>
      </c>
      <c r="AG3014">
        <v>2</v>
      </c>
      <c r="AH3014">
        <v>0</v>
      </c>
      <c r="AI3014" t="s">
        <v>6144</v>
      </c>
      <c r="AJ3014">
        <v>40.378231999999997</v>
      </c>
      <c r="AK3014" t="s">
        <v>6145</v>
      </c>
      <c r="AL3014">
        <v>-75.027781000000004</v>
      </c>
      <c r="AM3014">
        <v>100</v>
      </c>
      <c r="AN3014">
        <v>3700</v>
      </c>
      <c r="AO3014" t="s">
        <v>115</v>
      </c>
      <c r="AP3014">
        <v>129</v>
      </c>
      <c r="AQ3014">
        <v>120</v>
      </c>
      <c r="AR3014">
        <v>64</v>
      </c>
      <c r="AZ3014">
        <v>3614</v>
      </c>
      <c r="BA3014">
        <v>1</v>
      </c>
      <c r="BB3014" t="str">
        <f t="shared" si="140"/>
        <v xml:space="preserve">N959MJ  </v>
      </c>
      <c r="BC3014">
        <v>1</v>
      </c>
      <c r="BE3014">
        <v>0</v>
      </c>
      <c r="BF3014">
        <v>0</v>
      </c>
      <c r="BG3014">
        <v>0</v>
      </c>
      <c r="BH3014">
        <v>3875</v>
      </c>
      <c r="BI3014">
        <v>175</v>
      </c>
      <c r="BJ3014">
        <v>1</v>
      </c>
      <c r="BK3014">
        <v>1</v>
      </c>
      <c r="BL3014">
        <v>1</v>
      </c>
      <c r="BM3014">
        <v>0</v>
      </c>
      <c r="BP3014">
        <v>0</v>
      </c>
      <c r="BQ3014">
        <v>0</v>
      </c>
      <c r="BX3014" t="str">
        <f>"14:40:34.172"</f>
        <v>14:40:34.172</v>
      </c>
      <c r="BY3014" t="str">
        <f>"172487813"</f>
        <v>172487813</v>
      </c>
      <c r="CL3014">
        <v>0</v>
      </c>
      <c r="CM3014">
        <v>2</v>
      </c>
      <c r="CN3014">
        <v>0</v>
      </c>
      <c r="CO3014">
        <v>2</v>
      </c>
      <c r="CP3014">
        <v>0</v>
      </c>
      <c r="CQ3014">
        <v>7</v>
      </c>
      <c r="CR3014" t="s">
        <v>116</v>
      </c>
      <c r="CS3014">
        <v>38</v>
      </c>
      <c r="CT3014">
        <v>3</v>
      </c>
      <c r="CU3014" t="s">
        <v>4719</v>
      </c>
      <c r="CV3014" t="s">
        <v>4720</v>
      </c>
      <c r="CY3014">
        <v>10603852</v>
      </c>
      <c r="CZ3014" t="s">
        <v>119</v>
      </c>
    </row>
    <row r="3015" spans="1:104" x14ac:dyDescent="0.25">
      <c r="A3015" t="str">
        <f>"14:40:35.523"</f>
        <v>14:40:35.523</v>
      </c>
      <c r="B3015" t="s">
        <v>108</v>
      </c>
      <c r="C3015" t="str">
        <f t="shared" si="139"/>
        <v>ffdfd3c0</v>
      </c>
      <c r="D3015" t="s">
        <v>109</v>
      </c>
      <c r="E3015">
        <v>4</v>
      </c>
      <c r="F3015">
        <v>1004</v>
      </c>
      <c r="G3015" t="s">
        <v>110</v>
      </c>
      <c r="J3015" t="s">
        <v>111</v>
      </c>
      <c r="K3015">
        <v>0</v>
      </c>
      <c r="L3015">
        <v>3</v>
      </c>
      <c r="M3015">
        <v>0</v>
      </c>
      <c r="N3015">
        <v>2</v>
      </c>
      <c r="O3015">
        <v>1</v>
      </c>
      <c r="P3015">
        <v>0</v>
      </c>
      <c r="Q3015">
        <v>0</v>
      </c>
      <c r="R3015" t="s">
        <v>112</v>
      </c>
      <c r="S3015" t="str">
        <f>"14:40:35.344"</f>
        <v>14:40:35.344</v>
      </c>
      <c r="T3015" t="str">
        <f>"14:40:34.844"</f>
        <v>14:40:34.844</v>
      </c>
      <c r="U3015" t="str">
        <f t="shared" si="141"/>
        <v>ad5732</v>
      </c>
      <c r="V3015">
        <v>0</v>
      </c>
      <c r="W3015">
        <v>0</v>
      </c>
      <c r="X3015">
        <v>1</v>
      </c>
      <c r="Z3015">
        <v>0</v>
      </c>
      <c r="AA3015">
        <v>9</v>
      </c>
      <c r="AB3015">
        <v>3</v>
      </c>
      <c r="AC3015">
        <v>0</v>
      </c>
      <c r="AD3015">
        <v>10</v>
      </c>
      <c r="AE3015">
        <v>0</v>
      </c>
      <c r="AF3015">
        <v>3</v>
      </c>
      <c r="AG3015">
        <v>2</v>
      </c>
      <c r="AH3015">
        <v>0</v>
      </c>
      <c r="AI3015" t="s">
        <v>6146</v>
      </c>
      <c r="AJ3015">
        <v>40.378919000000003</v>
      </c>
      <c r="AK3015" t="s">
        <v>6147</v>
      </c>
      <c r="AL3015">
        <v>-75.026792999999998</v>
      </c>
      <c r="AM3015">
        <v>100</v>
      </c>
      <c r="AN3015">
        <v>3700</v>
      </c>
      <c r="AO3015" t="s">
        <v>115</v>
      </c>
      <c r="AP3015">
        <v>129</v>
      </c>
      <c r="AQ3015">
        <v>120</v>
      </c>
      <c r="AR3015">
        <v>64</v>
      </c>
      <c r="AZ3015">
        <v>3614</v>
      </c>
      <c r="BA3015">
        <v>1</v>
      </c>
      <c r="BB3015" t="str">
        <f t="shared" si="140"/>
        <v xml:space="preserve">N959MJ  </v>
      </c>
      <c r="BC3015">
        <v>1</v>
      </c>
      <c r="BE3015">
        <v>0</v>
      </c>
      <c r="BF3015">
        <v>0</v>
      </c>
      <c r="BG3015">
        <v>0</v>
      </c>
      <c r="BH3015">
        <v>3875</v>
      </c>
      <c r="BI3015">
        <v>175</v>
      </c>
      <c r="BJ3015">
        <v>1</v>
      </c>
      <c r="BK3015">
        <v>1</v>
      </c>
      <c r="BL3015">
        <v>1</v>
      </c>
      <c r="BM3015">
        <v>0</v>
      </c>
      <c r="BP3015">
        <v>0</v>
      </c>
      <c r="BQ3015">
        <v>0</v>
      </c>
      <c r="BX3015" t="str">
        <f>"14:40:35.344"</f>
        <v>14:40:35.344</v>
      </c>
      <c r="BY3015" t="str">
        <f>"343964067"</f>
        <v>343964067</v>
      </c>
      <c r="CL3015">
        <v>0</v>
      </c>
      <c r="CM3015">
        <v>2</v>
      </c>
      <c r="CN3015">
        <v>0</v>
      </c>
      <c r="CO3015">
        <v>2</v>
      </c>
      <c r="CP3015">
        <v>0</v>
      </c>
      <c r="CQ3015">
        <v>7</v>
      </c>
      <c r="CR3015" t="s">
        <v>116</v>
      </c>
      <c r="CS3015">
        <v>38</v>
      </c>
      <c r="CT3015">
        <v>3</v>
      </c>
      <c r="CU3015" t="s">
        <v>4719</v>
      </c>
      <c r="CV3015" t="s">
        <v>4720</v>
      </c>
      <c r="CY3015">
        <v>10606000</v>
      </c>
      <c r="CZ3015" t="s">
        <v>119</v>
      </c>
    </row>
    <row r="3016" spans="1:104" x14ac:dyDescent="0.25">
      <c r="A3016" t="str">
        <f>"14:40:36.477"</f>
        <v>14:40:36.477</v>
      </c>
      <c r="B3016" t="s">
        <v>108</v>
      </c>
      <c r="C3016" t="str">
        <f t="shared" si="139"/>
        <v>ffdfd3c0</v>
      </c>
      <c r="D3016" t="s">
        <v>109</v>
      </c>
      <c r="E3016">
        <v>4</v>
      </c>
      <c r="F3016">
        <v>1004</v>
      </c>
      <c r="G3016" t="s">
        <v>110</v>
      </c>
      <c r="J3016" t="s">
        <v>111</v>
      </c>
      <c r="K3016">
        <v>0</v>
      </c>
      <c r="L3016">
        <v>3</v>
      </c>
      <c r="M3016">
        <v>0</v>
      </c>
      <c r="N3016">
        <v>2</v>
      </c>
      <c r="O3016">
        <v>1</v>
      </c>
      <c r="P3016">
        <v>0</v>
      </c>
      <c r="Q3016">
        <v>0</v>
      </c>
      <c r="R3016" t="s">
        <v>112</v>
      </c>
      <c r="S3016" t="str">
        <f>"14:40:36.266"</f>
        <v>14:40:36.266</v>
      </c>
      <c r="T3016" t="str">
        <f>"14:40:35.867"</f>
        <v>14:40:35.867</v>
      </c>
      <c r="U3016" t="str">
        <f t="shared" si="141"/>
        <v>ad5732</v>
      </c>
      <c r="V3016">
        <v>0</v>
      </c>
      <c r="W3016">
        <v>0</v>
      </c>
      <c r="X3016">
        <v>1</v>
      </c>
      <c r="Z3016">
        <v>0</v>
      </c>
      <c r="AA3016">
        <v>9</v>
      </c>
      <c r="AB3016">
        <v>3</v>
      </c>
      <c r="AC3016">
        <v>0</v>
      </c>
      <c r="AD3016">
        <v>10</v>
      </c>
      <c r="AE3016">
        <v>0</v>
      </c>
      <c r="AF3016">
        <v>3</v>
      </c>
      <c r="AG3016">
        <v>2</v>
      </c>
      <c r="AH3016">
        <v>0</v>
      </c>
      <c r="AI3016" t="s">
        <v>6148</v>
      </c>
      <c r="AJ3016">
        <v>40.379412000000002</v>
      </c>
      <c r="AK3016" t="s">
        <v>6149</v>
      </c>
      <c r="AL3016">
        <v>-75.026128</v>
      </c>
      <c r="AM3016">
        <v>100</v>
      </c>
      <c r="AN3016">
        <v>3700</v>
      </c>
      <c r="AO3016" t="s">
        <v>115</v>
      </c>
      <c r="AP3016">
        <v>130</v>
      </c>
      <c r="AQ3016">
        <v>120</v>
      </c>
      <c r="AR3016">
        <v>0</v>
      </c>
      <c r="AZ3016">
        <v>3614</v>
      </c>
      <c r="BA3016">
        <v>1</v>
      </c>
      <c r="BB3016" t="str">
        <f t="shared" si="140"/>
        <v xml:space="preserve">N959MJ  </v>
      </c>
      <c r="BC3016">
        <v>1</v>
      </c>
      <c r="BE3016">
        <v>0</v>
      </c>
      <c r="BF3016">
        <v>0</v>
      </c>
      <c r="BG3016">
        <v>0</v>
      </c>
      <c r="BH3016">
        <v>3875</v>
      </c>
      <c r="BI3016">
        <v>175</v>
      </c>
      <c r="BJ3016">
        <v>1</v>
      </c>
      <c r="BK3016">
        <v>1</v>
      </c>
      <c r="BL3016">
        <v>1</v>
      </c>
      <c r="BM3016">
        <v>0</v>
      </c>
      <c r="BP3016">
        <v>0</v>
      </c>
      <c r="BQ3016">
        <v>0</v>
      </c>
      <c r="BX3016" t="str">
        <f>"14:40:36.273"</f>
        <v>14:40:36.273</v>
      </c>
      <c r="BY3016" t="str">
        <f>"269676197"</f>
        <v>269676197</v>
      </c>
      <c r="CL3016">
        <v>0</v>
      </c>
      <c r="CM3016">
        <v>2</v>
      </c>
      <c r="CN3016">
        <v>0</v>
      </c>
      <c r="CO3016">
        <v>2</v>
      </c>
      <c r="CP3016">
        <v>0</v>
      </c>
      <c r="CQ3016">
        <v>7</v>
      </c>
      <c r="CR3016" t="s">
        <v>116</v>
      </c>
      <c r="CS3016">
        <v>38</v>
      </c>
      <c r="CT3016">
        <v>3</v>
      </c>
      <c r="CU3016" t="s">
        <v>4719</v>
      </c>
      <c r="CV3016" t="s">
        <v>4720</v>
      </c>
      <c r="CY3016">
        <v>10607599</v>
      </c>
      <c r="CZ3016" t="s">
        <v>119</v>
      </c>
    </row>
    <row r="3017" spans="1:104" x14ac:dyDescent="0.25">
      <c r="A3017" t="str">
        <f>"14:40:37.289"</f>
        <v>14:40:37.289</v>
      </c>
      <c r="B3017" t="s">
        <v>108</v>
      </c>
      <c r="C3017" t="str">
        <f t="shared" si="139"/>
        <v>ffdfd3c0</v>
      </c>
      <c r="D3017" t="s">
        <v>109</v>
      </c>
      <c r="E3017">
        <v>4</v>
      </c>
      <c r="F3017">
        <v>1004</v>
      </c>
      <c r="G3017" t="s">
        <v>110</v>
      </c>
      <c r="J3017" t="s">
        <v>111</v>
      </c>
      <c r="K3017">
        <v>0</v>
      </c>
      <c r="L3017">
        <v>3</v>
      </c>
      <c r="M3017">
        <v>0</v>
      </c>
      <c r="N3017">
        <v>2</v>
      </c>
      <c r="O3017">
        <v>1</v>
      </c>
      <c r="P3017">
        <v>0</v>
      </c>
      <c r="Q3017">
        <v>0</v>
      </c>
      <c r="R3017" t="s">
        <v>112</v>
      </c>
      <c r="S3017" t="str">
        <f>"14:40:37.117"</f>
        <v>14:40:37.117</v>
      </c>
      <c r="T3017" t="str">
        <f>"14:40:36.719"</f>
        <v>14:40:36.719</v>
      </c>
      <c r="U3017" t="str">
        <f t="shared" si="141"/>
        <v>ad5732</v>
      </c>
      <c r="V3017">
        <v>0</v>
      </c>
      <c r="W3017">
        <v>0</v>
      </c>
      <c r="X3017">
        <v>1</v>
      </c>
      <c r="Z3017">
        <v>0</v>
      </c>
      <c r="AA3017">
        <v>9</v>
      </c>
      <c r="AB3017">
        <v>3</v>
      </c>
      <c r="AC3017">
        <v>0</v>
      </c>
      <c r="AD3017">
        <v>10</v>
      </c>
      <c r="AE3017">
        <v>0</v>
      </c>
      <c r="AF3017">
        <v>3</v>
      </c>
      <c r="AG3017">
        <v>2</v>
      </c>
      <c r="AH3017">
        <v>0</v>
      </c>
      <c r="AI3017" t="s">
        <v>6150</v>
      </c>
      <c r="AJ3017">
        <v>40.379927000000002</v>
      </c>
      <c r="AK3017" t="s">
        <v>6151</v>
      </c>
      <c r="AL3017">
        <v>-75.025398999999993</v>
      </c>
      <c r="AM3017">
        <v>100</v>
      </c>
      <c r="AN3017">
        <v>3700</v>
      </c>
      <c r="AO3017" t="s">
        <v>115</v>
      </c>
      <c r="AP3017">
        <v>130</v>
      </c>
      <c r="AQ3017">
        <v>120</v>
      </c>
      <c r="AR3017">
        <v>64</v>
      </c>
      <c r="AZ3017">
        <v>3614</v>
      </c>
      <c r="BA3017">
        <v>1</v>
      </c>
      <c r="BB3017" t="str">
        <f t="shared" si="140"/>
        <v xml:space="preserve">N959MJ  </v>
      </c>
      <c r="BC3017">
        <v>1</v>
      </c>
      <c r="BE3017">
        <v>0</v>
      </c>
      <c r="BF3017">
        <v>0</v>
      </c>
      <c r="BG3017">
        <v>0</v>
      </c>
      <c r="BH3017">
        <v>3875</v>
      </c>
      <c r="BI3017">
        <v>175</v>
      </c>
      <c r="BJ3017">
        <v>1</v>
      </c>
      <c r="BK3017">
        <v>1</v>
      </c>
      <c r="BL3017">
        <v>1</v>
      </c>
      <c r="BM3017">
        <v>0</v>
      </c>
      <c r="BP3017">
        <v>0</v>
      </c>
      <c r="BQ3017">
        <v>0</v>
      </c>
      <c r="BX3017" t="str">
        <f>"14:40:37.117"</f>
        <v>14:40:37.117</v>
      </c>
      <c r="BY3017" t="str">
        <f>"118382101"</f>
        <v>118382101</v>
      </c>
      <c r="CL3017">
        <v>0</v>
      </c>
      <c r="CM3017">
        <v>2</v>
      </c>
      <c r="CN3017">
        <v>0</v>
      </c>
      <c r="CO3017">
        <v>2</v>
      </c>
      <c r="CP3017">
        <v>0</v>
      </c>
      <c r="CQ3017">
        <v>7</v>
      </c>
      <c r="CR3017" t="s">
        <v>116</v>
      </c>
      <c r="CS3017">
        <v>38</v>
      </c>
      <c r="CT3017">
        <v>3</v>
      </c>
      <c r="CU3017" t="s">
        <v>4719</v>
      </c>
      <c r="CV3017" t="s">
        <v>4720</v>
      </c>
      <c r="CY3017">
        <v>10608949</v>
      </c>
      <c r="CZ3017" t="s">
        <v>119</v>
      </c>
    </row>
    <row r="3018" spans="1:104" x14ac:dyDescent="0.25">
      <c r="A3018" t="str">
        <f>"14:40:38.297"</f>
        <v>14:40:38.297</v>
      </c>
      <c r="B3018" t="s">
        <v>108</v>
      </c>
      <c r="C3018" t="str">
        <f t="shared" ref="C3018:C3081" si="142">"ffdfd3c0"</f>
        <v>ffdfd3c0</v>
      </c>
      <c r="D3018" t="s">
        <v>109</v>
      </c>
      <c r="E3018">
        <v>4</v>
      </c>
      <c r="F3018">
        <v>1004</v>
      </c>
      <c r="G3018" t="s">
        <v>110</v>
      </c>
      <c r="J3018" t="s">
        <v>111</v>
      </c>
      <c r="K3018">
        <v>0</v>
      </c>
      <c r="L3018">
        <v>3</v>
      </c>
      <c r="M3018">
        <v>0</v>
      </c>
      <c r="N3018">
        <v>2</v>
      </c>
      <c r="O3018">
        <v>1</v>
      </c>
      <c r="P3018">
        <v>0</v>
      </c>
      <c r="Q3018">
        <v>0</v>
      </c>
      <c r="R3018" t="s">
        <v>112</v>
      </c>
      <c r="S3018" t="str">
        <f>"14:40:38.094"</f>
        <v>14:40:38.094</v>
      </c>
      <c r="T3018" t="str">
        <f>"14:40:37.594"</f>
        <v>14:40:37.594</v>
      </c>
      <c r="U3018" t="str">
        <f t="shared" si="141"/>
        <v>ad5732</v>
      </c>
      <c r="V3018">
        <v>0</v>
      </c>
      <c r="W3018">
        <v>0</v>
      </c>
      <c r="X3018">
        <v>1</v>
      </c>
      <c r="Z3018">
        <v>0</v>
      </c>
      <c r="AA3018">
        <v>9</v>
      </c>
      <c r="AB3018">
        <v>3</v>
      </c>
      <c r="AC3018">
        <v>0</v>
      </c>
      <c r="AD3018">
        <v>10</v>
      </c>
      <c r="AE3018">
        <v>0</v>
      </c>
      <c r="AF3018">
        <v>3</v>
      </c>
      <c r="AG3018">
        <v>2</v>
      </c>
      <c r="AH3018">
        <v>0</v>
      </c>
      <c r="AI3018" t="s">
        <v>6152</v>
      </c>
      <c r="AJ3018">
        <v>40.380442000000002</v>
      </c>
      <c r="AK3018" t="s">
        <v>6153</v>
      </c>
      <c r="AL3018">
        <v>-75.024691000000004</v>
      </c>
      <c r="AM3018">
        <v>100</v>
      </c>
      <c r="AN3018">
        <v>3700</v>
      </c>
      <c r="AO3018" t="s">
        <v>115</v>
      </c>
      <c r="AP3018">
        <v>130</v>
      </c>
      <c r="AQ3018">
        <v>120</v>
      </c>
      <c r="AR3018">
        <v>0</v>
      </c>
      <c r="AZ3018">
        <v>3614</v>
      </c>
      <c r="BA3018">
        <v>1</v>
      </c>
      <c r="BB3018" t="str">
        <f t="shared" ref="BB3018:BB3081" si="143">"N959MJ  "</f>
        <v xml:space="preserve">N959MJ  </v>
      </c>
      <c r="BC3018">
        <v>1</v>
      </c>
      <c r="BE3018">
        <v>0</v>
      </c>
      <c r="BF3018">
        <v>0</v>
      </c>
      <c r="BG3018">
        <v>0</v>
      </c>
      <c r="BH3018">
        <v>3875</v>
      </c>
      <c r="BI3018">
        <v>175</v>
      </c>
      <c r="BJ3018">
        <v>1</v>
      </c>
      <c r="BK3018">
        <v>1</v>
      </c>
      <c r="BL3018">
        <v>1</v>
      </c>
      <c r="BM3018">
        <v>0</v>
      </c>
      <c r="BP3018">
        <v>0</v>
      </c>
      <c r="BQ3018">
        <v>0</v>
      </c>
      <c r="BX3018" t="str">
        <f>"14:40:38.094"</f>
        <v>14:40:38.094</v>
      </c>
      <c r="BY3018" t="str">
        <f>"094885462"</f>
        <v>094885462</v>
      </c>
      <c r="CL3018">
        <v>0</v>
      </c>
      <c r="CM3018">
        <v>2</v>
      </c>
      <c r="CN3018">
        <v>0</v>
      </c>
      <c r="CO3018">
        <v>2</v>
      </c>
      <c r="CP3018">
        <v>0</v>
      </c>
      <c r="CQ3018">
        <v>7</v>
      </c>
      <c r="CR3018" t="s">
        <v>116</v>
      </c>
      <c r="CS3018">
        <v>38</v>
      </c>
      <c r="CT3018">
        <v>3</v>
      </c>
      <c r="CU3018" t="s">
        <v>4719</v>
      </c>
      <c r="CV3018" t="s">
        <v>4720</v>
      </c>
      <c r="CY3018">
        <v>10610514</v>
      </c>
      <c r="CZ3018" t="s">
        <v>119</v>
      </c>
    </row>
    <row r="3019" spans="1:104" x14ac:dyDescent="0.25">
      <c r="A3019" t="str">
        <f>"14:40:39.305"</f>
        <v>14:40:39.305</v>
      </c>
      <c r="B3019" t="s">
        <v>108</v>
      </c>
      <c r="C3019" t="str">
        <f t="shared" si="142"/>
        <v>ffdfd3c0</v>
      </c>
      <c r="D3019" t="s">
        <v>109</v>
      </c>
      <c r="E3019">
        <v>4</v>
      </c>
      <c r="F3019">
        <v>1004</v>
      </c>
      <c r="G3019" t="s">
        <v>110</v>
      </c>
      <c r="J3019" t="s">
        <v>111</v>
      </c>
      <c r="K3019">
        <v>0</v>
      </c>
      <c r="L3019">
        <v>3</v>
      </c>
      <c r="M3019">
        <v>0</v>
      </c>
      <c r="N3019">
        <v>2</v>
      </c>
      <c r="O3019">
        <v>1</v>
      </c>
      <c r="P3019">
        <v>0</v>
      </c>
      <c r="Q3019">
        <v>0</v>
      </c>
      <c r="R3019" t="s">
        <v>112</v>
      </c>
      <c r="S3019" t="str">
        <f>"14:40:39.156"</f>
        <v>14:40:39.156</v>
      </c>
      <c r="T3019" t="str">
        <f>"14:40:38.656"</f>
        <v>14:40:38.656</v>
      </c>
      <c r="U3019" t="str">
        <f t="shared" si="141"/>
        <v>ad5732</v>
      </c>
      <c r="V3019">
        <v>0</v>
      </c>
      <c r="W3019">
        <v>0</v>
      </c>
      <c r="X3019">
        <v>1</v>
      </c>
      <c r="Z3019">
        <v>0</v>
      </c>
      <c r="AA3019">
        <v>9</v>
      </c>
      <c r="AB3019">
        <v>3</v>
      </c>
      <c r="AC3019">
        <v>0</v>
      </c>
      <c r="AD3019">
        <v>10</v>
      </c>
      <c r="AE3019">
        <v>0</v>
      </c>
      <c r="AF3019">
        <v>3</v>
      </c>
      <c r="AG3019">
        <v>2</v>
      </c>
      <c r="AH3019">
        <v>0</v>
      </c>
      <c r="AI3019" t="s">
        <v>6154</v>
      </c>
      <c r="AJ3019">
        <v>40.381020999999997</v>
      </c>
      <c r="AK3019" t="s">
        <v>6155</v>
      </c>
      <c r="AL3019">
        <v>-75.023810999999995</v>
      </c>
      <c r="AM3019">
        <v>100</v>
      </c>
      <c r="AN3019">
        <v>3700</v>
      </c>
      <c r="AO3019" t="s">
        <v>115</v>
      </c>
      <c r="AP3019">
        <v>130</v>
      </c>
      <c r="AQ3019">
        <v>119</v>
      </c>
      <c r="AR3019">
        <v>0</v>
      </c>
      <c r="AZ3019">
        <v>3614</v>
      </c>
      <c r="BA3019">
        <v>1</v>
      </c>
      <c r="BB3019" t="str">
        <f t="shared" si="143"/>
        <v xml:space="preserve">N959MJ  </v>
      </c>
      <c r="BC3019">
        <v>1</v>
      </c>
      <c r="BE3019">
        <v>0</v>
      </c>
      <c r="BF3019">
        <v>0</v>
      </c>
      <c r="BG3019">
        <v>0</v>
      </c>
      <c r="BH3019">
        <v>3875</v>
      </c>
      <c r="BI3019">
        <v>175</v>
      </c>
      <c r="BJ3019">
        <v>1</v>
      </c>
      <c r="BK3019">
        <v>1</v>
      </c>
      <c r="BL3019">
        <v>1</v>
      </c>
      <c r="BM3019">
        <v>0</v>
      </c>
      <c r="BP3019">
        <v>0</v>
      </c>
      <c r="BQ3019">
        <v>0</v>
      </c>
      <c r="BX3019" t="str">
        <f>"14:40:39.156"</f>
        <v>14:40:39.156</v>
      </c>
      <c r="BY3019" t="str">
        <f>"156587113"</f>
        <v>156587113</v>
      </c>
      <c r="CL3019">
        <v>0</v>
      </c>
      <c r="CM3019">
        <v>2</v>
      </c>
      <c r="CN3019">
        <v>0</v>
      </c>
      <c r="CO3019">
        <v>2</v>
      </c>
      <c r="CP3019">
        <v>0</v>
      </c>
      <c r="CQ3019">
        <v>7</v>
      </c>
      <c r="CR3019" t="s">
        <v>116</v>
      </c>
      <c r="CS3019">
        <v>38</v>
      </c>
      <c r="CT3019">
        <v>3</v>
      </c>
      <c r="CU3019" t="s">
        <v>4719</v>
      </c>
      <c r="CV3019" t="s">
        <v>4720</v>
      </c>
      <c r="CY3019">
        <v>10612442</v>
      </c>
      <c r="CZ3019" t="s">
        <v>119</v>
      </c>
    </row>
    <row r="3020" spans="1:104" x14ac:dyDescent="0.25">
      <c r="A3020" t="str">
        <f>"14:40:40.219"</f>
        <v>14:40:40.219</v>
      </c>
      <c r="B3020" t="s">
        <v>108</v>
      </c>
      <c r="C3020" t="str">
        <f t="shared" si="142"/>
        <v>ffdfd3c0</v>
      </c>
      <c r="D3020" t="s">
        <v>109</v>
      </c>
      <c r="E3020">
        <v>4</v>
      </c>
      <c r="F3020">
        <v>1004</v>
      </c>
      <c r="G3020" t="s">
        <v>110</v>
      </c>
      <c r="J3020" t="s">
        <v>111</v>
      </c>
      <c r="K3020">
        <v>0</v>
      </c>
      <c r="L3020">
        <v>3</v>
      </c>
      <c r="M3020">
        <v>0</v>
      </c>
      <c r="N3020">
        <v>2</v>
      </c>
      <c r="O3020">
        <v>1</v>
      </c>
      <c r="P3020">
        <v>0</v>
      </c>
      <c r="Q3020">
        <v>0</v>
      </c>
      <c r="R3020" t="s">
        <v>112</v>
      </c>
      <c r="S3020" t="str">
        <f>"14:40:40.016"</f>
        <v>14:40:40.016</v>
      </c>
      <c r="T3020" t="str">
        <f>"14:40:39.617"</f>
        <v>14:40:39.617</v>
      </c>
      <c r="U3020" t="str">
        <f t="shared" si="141"/>
        <v>ad5732</v>
      </c>
      <c r="V3020">
        <v>0</v>
      </c>
      <c r="W3020">
        <v>0</v>
      </c>
      <c r="X3020">
        <v>1</v>
      </c>
      <c r="Z3020">
        <v>0</v>
      </c>
      <c r="AA3020">
        <v>9</v>
      </c>
      <c r="AB3020">
        <v>3</v>
      </c>
      <c r="AC3020">
        <v>0</v>
      </c>
      <c r="AD3020">
        <v>10</v>
      </c>
      <c r="AE3020">
        <v>0</v>
      </c>
      <c r="AF3020">
        <v>3</v>
      </c>
      <c r="AG3020">
        <v>2</v>
      </c>
      <c r="AH3020">
        <v>0</v>
      </c>
      <c r="AI3020" t="s">
        <v>6156</v>
      </c>
      <c r="AJ3020">
        <v>40.381515</v>
      </c>
      <c r="AK3020" t="s">
        <v>6157</v>
      </c>
      <c r="AL3020">
        <v>-75.023145999999997</v>
      </c>
      <c r="AM3020">
        <v>100</v>
      </c>
      <c r="AN3020">
        <v>3700</v>
      </c>
      <c r="AO3020" t="s">
        <v>115</v>
      </c>
      <c r="AP3020">
        <v>130</v>
      </c>
      <c r="AQ3020">
        <v>119</v>
      </c>
      <c r="AR3020">
        <v>0</v>
      </c>
      <c r="AZ3020">
        <v>3614</v>
      </c>
      <c r="BA3020">
        <v>1</v>
      </c>
      <c r="BB3020" t="str">
        <f t="shared" si="143"/>
        <v xml:space="preserve">N959MJ  </v>
      </c>
      <c r="BC3020">
        <v>1</v>
      </c>
      <c r="BE3020">
        <v>0</v>
      </c>
      <c r="BF3020">
        <v>0</v>
      </c>
      <c r="BG3020">
        <v>0</v>
      </c>
      <c r="BH3020">
        <v>3875</v>
      </c>
      <c r="BI3020">
        <v>175</v>
      </c>
      <c r="BJ3020">
        <v>1</v>
      </c>
      <c r="BK3020">
        <v>1</v>
      </c>
      <c r="BL3020">
        <v>1</v>
      </c>
      <c r="BM3020">
        <v>0</v>
      </c>
      <c r="BP3020">
        <v>0</v>
      </c>
      <c r="BQ3020">
        <v>0</v>
      </c>
      <c r="BX3020" t="str">
        <f>"14:40:40.023"</f>
        <v>14:40:40.023</v>
      </c>
      <c r="BY3020" t="str">
        <f>"020038915"</f>
        <v>020038915</v>
      </c>
      <c r="CL3020">
        <v>0</v>
      </c>
      <c r="CM3020">
        <v>2</v>
      </c>
      <c r="CN3020">
        <v>0</v>
      </c>
      <c r="CO3020">
        <v>2</v>
      </c>
      <c r="CP3020">
        <v>0</v>
      </c>
      <c r="CQ3020">
        <v>7</v>
      </c>
      <c r="CR3020" t="s">
        <v>116</v>
      </c>
      <c r="CS3020">
        <v>38</v>
      </c>
      <c r="CT3020">
        <v>3</v>
      </c>
      <c r="CU3020" t="s">
        <v>4719</v>
      </c>
      <c r="CV3020" t="s">
        <v>4720</v>
      </c>
      <c r="CY3020">
        <v>10614027</v>
      </c>
      <c r="CZ3020" t="s">
        <v>119</v>
      </c>
    </row>
    <row r="3021" spans="1:104" x14ac:dyDescent="0.25">
      <c r="A3021" t="str">
        <f>"14:40:41.227"</f>
        <v>14:40:41.227</v>
      </c>
      <c r="B3021" t="s">
        <v>108</v>
      </c>
      <c r="C3021" t="str">
        <f t="shared" si="142"/>
        <v>ffdfd3c0</v>
      </c>
      <c r="D3021" t="s">
        <v>109</v>
      </c>
      <c r="E3021">
        <v>4</v>
      </c>
      <c r="F3021">
        <v>1004</v>
      </c>
      <c r="G3021" t="s">
        <v>110</v>
      </c>
      <c r="J3021" t="s">
        <v>111</v>
      </c>
      <c r="K3021">
        <v>0</v>
      </c>
      <c r="L3021">
        <v>3</v>
      </c>
      <c r="M3021">
        <v>0</v>
      </c>
      <c r="N3021">
        <v>2</v>
      </c>
      <c r="O3021">
        <v>1</v>
      </c>
      <c r="P3021">
        <v>0</v>
      </c>
      <c r="Q3021">
        <v>0</v>
      </c>
      <c r="R3021" t="s">
        <v>112</v>
      </c>
      <c r="S3021" t="str">
        <f>"14:40:41.047"</f>
        <v>14:40:41.047</v>
      </c>
      <c r="T3021" t="str">
        <f>"14:40:40.648"</f>
        <v>14:40:40.648</v>
      </c>
      <c r="U3021" t="str">
        <f t="shared" si="141"/>
        <v>ad5732</v>
      </c>
      <c r="V3021">
        <v>0</v>
      </c>
      <c r="W3021">
        <v>0</v>
      </c>
      <c r="X3021">
        <v>1</v>
      </c>
      <c r="Z3021">
        <v>0</v>
      </c>
      <c r="AA3021">
        <v>9</v>
      </c>
      <c r="AB3021">
        <v>3</v>
      </c>
      <c r="AC3021">
        <v>0</v>
      </c>
      <c r="AD3021">
        <v>10</v>
      </c>
      <c r="AE3021">
        <v>0</v>
      </c>
      <c r="AF3021">
        <v>3</v>
      </c>
      <c r="AG3021">
        <v>2</v>
      </c>
      <c r="AH3021">
        <v>0</v>
      </c>
      <c r="AI3021" t="s">
        <v>6158</v>
      </c>
      <c r="AJ3021">
        <v>40.382072999999998</v>
      </c>
      <c r="AK3021" t="s">
        <v>6159</v>
      </c>
      <c r="AL3021">
        <v>-75.022329999999997</v>
      </c>
      <c r="AM3021">
        <v>100</v>
      </c>
      <c r="AN3021">
        <v>3700</v>
      </c>
      <c r="AO3021" t="s">
        <v>115</v>
      </c>
      <c r="AP3021">
        <v>130</v>
      </c>
      <c r="AQ3021">
        <v>119</v>
      </c>
      <c r="AR3021">
        <v>0</v>
      </c>
      <c r="AZ3021">
        <v>3614</v>
      </c>
      <c r="BA3021">
        <v>1</v>
      </c>
      <c r="BB3021" t="str">
        <f t="shared" si="143"/>
        <v xml:space="preserve">N959MJ  </v>
      </c>
      <c r="BC3021">
        <v>1</v>
      </c>
      <c r="BE3021">
        <v>0</v>
      </c>
      <c r="BF3021">
        <v>0</v>
      </c>
      <c r="BG3021">
        <v>0</v>
      </c>
      <c r="BH3021">
        <v>3875</v>
      </c>
      <c r="BI3021">
        <v>175</v>
      </c>
      <c r="BJ3021">
        <v>1</v>
      </c>
      <c r="BK3021">
        <v>1</v>
      </c>
      <c r="BL3021">
        <v>1</v>
      </c>
      <c r="BM3021">
        <v>0</v>
      </c>
      <c r="BP3021">
        <v>0</v>
      </c>
      <c r="BQ3021">
        <v>0</v>
      </c>
      <c r="BX3021" t="str">
        <f>"14:40:41.055"</f>
        <v>14:40:41.055</v>
      </c>
      <c r="BY3021" t="str">
        <f>"052248849"</f>
        <v>052248849</v>
      </c>
      <c r="CL3021">
        <v>0</v>
      </c>
      <c r="CM3021">
        <v>2</v>
      </c>
      <c r="CN3021">
        <v>0</v>
      </c>
      <c r="CO3021">
        <v>2</v>
      </c>
      <c r="CP3021">
        <v>0</v>
      </c>
      <c r="CQ3021">
        <v>7</v>
      </c>
      <c r="CR3021" t="s">
        <v>116</v>
      </c>
      <c r="CS3021">
        <v>38</v>
      </c>
      <c r="CT3021">
        <v>3</v>
      </c>
      <c r="CU3021" t="s">
        <v>4719</v>
      </c>
      <c r="CV3021" t="s">
        <v>4720</v>
      </c>
      <c r="CY3021">
        <v>10615821</v>
      </c>
      <c r="CZ3021" t="s">
        <v>119</v>
      </c>
    </row>
    <row r="3022" spans="1:104" x14ac:dyDescent="0.25">
      <c r="A3022" t="str">
        <f>"14:40:42.289"</f>
        <v>14:40:42.289</v>
      </c>
      <c r="B3022" t="s">
        <v>108</v>
      </c>
      <c r="C3022" t="str">
        <f t="shared" si="142"/>
        <v>ffdfd3c0</v>
      </c>
      <c r="D3022" t="s">
        <v>109</v>
      </c>
      <c r="E3022">
        <v>4</v>
      </c>
      <c r="F3022">
        <v>1004</v>
      </c>
      <c r="G3022" t="s">
        <v>110</v>
      </c>
      <c r="J3022" t="s">
        <v>111</v>
      </c>
      <c r="K3022">
        <v>0</v>
      </c>
      <c r="L3022">
        <v>3</v>
      </c>
      <c r="M3022">
        <v>0</v>
      </c>
      <c r="N3022">
        <v>2</v>
      </c>
      <c r="O3022">
        <v>1</v>
      </c>
      <c r="P3022">
        <v>0</v>
      </c>
      <c r="Q3022">
        <v>0</v>
      </c>
      <c r="R3022" t="s">
        <v>112</v>
      </c>
      <c r="S3022" t="str">
        <f>"14:40:42.086"</f>
        <v>14:40:42.086</v>
      </c>
      <c r="T3022" t="str">
        <f>"14:40:41.688"</f>
        <v>14:40:41.688</v>
      </c>
      <c r="U3022" t="str">
        <f t="shared" si="141"/>
        <v>ad5732</v>
      </c>
      <c r="V3022">
        <v>0</v>
      </c>
      <c r="W3022">
        <v>0</v>
      </c>
      <c r="X3022">
        <v>1</v>
      </c>
      <c r="Z3022">
        <v>0</v>
      </c>
      <c r="AA3022">
        <v>9</v>
      </c>
      <c r="AB3022">
        <v>3</v>
      </c>
      <c r="AC3022">
        <v>0</v>
      </c>
      <c r="AD3022">
        <v>10</v>
      </c>
      <c r="AE3022">
        <v>0</v>
      </c>
      <c r="AF3022">
        <v>3</v>
      </c>
      <c r="AG3022">
        <v>2</v>
      </c>
      <c r="AH3022">
        <v>0</v>
      </c>
      <c r="AI3022" t="s">
        <v>6160</v>
      </c>
      <c r="AJ3022">
        <v>40.382631000000003</v>
      </c>
      <c r="AK3022" t="s">
        <v>6161</v>
      </c>
      <c r="AL3022">
        <v>-75.021514999999994</v>
      </c>
      <c r="AM3022">
        <v>100</v>
      </c>
      <c r="AN3022">
        <v>3700</v>
      </c>
      <c r="AO3022" t="s">
        <v>115</v>
      </c>
      <c r="AP3022">
        <v>130</v>
      </c>
      <c r="AQ3022">
        <v>119</v>
      </c>
      <c r="AR3022">
        <v>-64</v>
      </c>
      <c r="AZ3022">
        <v>3614</v>
      </c>
      <c r="BA3022">
        <v>1</v>
      </c>
      <c r="BB3022" t="str">
        <f t="shared" si="143"/>
        <v xml:space="preserve">N959MJ  </v>
      </c>
      <c r="BC3022">
        <v>1</v>
      </c>
      <c r="BE3022">
        <v>0</v>
      </c>
      <c r="BF3022">
        <v>0</v>
      </c>
      <c r="BG3022">
        <v>0</v>
      </c>
      <c r="BH3022">
        <v>3875</v>
      </c>
      <c r="BI3022">
        <v>175</v>
      </c>
      <c r="BJ3022">
        <v>1</v>
      </c>
      <c r="BK3022">
        <v>1</v>
      </c>
      <c r="BL3022">
        <v>1</v>
      </c>
      <c r="BM3022">
        <v>0</v>
      </c>
      <c r="BP3022">
        <v>0</v>
      </c>
      <c r="BQ3022">
        <v>0</v>
      </c>
      <c r="BX3022" t="str">
        <f>"14:40:42.086"</f>
        <v>14:40:42.086</v>
      </c>
      <c r="BY3022" t="str">
        <f>"087735629"</f>
        <v>087735629</v>
      </c>
      <c r="CL3022">
        <v>0</v>
      </c>
      <c r="CM3022">
        <v>2</v>
      </c>
      <c r="CN3022">
        <v>0</v>
      </c>
      <c r="CO3022">
        <v>2</v>
      </c>
      <c r="CP3022">
        <v>0</v>
      </c>
      <c r="CQ3022">
        <v>7</v>
      </c>
      <c r="CR3022" t="s">
        <v>116</v>
      </c>
      <c r="CS3022">
        <v>38</v>
      </c>
      <c r="CT3022">
        <v>3</v>
      </c>
      <c r="CU3022" t="s">
        <v>4719</v>
      </c>
      <c r="CV3022" t="s">
        <v>4720</v>
      </c>
      <c r="CY3022">
        <v>10617544</v>
      </c>
      <c r="CZ3022" t="s">
        <v>119</v>
      </c>
    </row>
    <row r="3023" spans="1:104" x14ac:dyDescent="0.25">
      <c r="A3023" t="str">
        <f>"14:40:43.195"</f>
        <v>14:40:43.195</v>
      </c>
      <c r="B3023" t="s">
        <v>108</v>
      </c>
      <c r="C3023" t="str">
        <f t="shared" si="142"/>
        <v>ffdfd3c0</v>
      </c>
      <c r="D3023" t="s">
        <v>109</v>
      </c>
      <c r="E3023">
        <v>4</v>
      </c>
      <c r="F3023">
        <v>1004</v>
      </c>
      <c r="G3023" t="s">
        <v>110</v>
      </c>
      <c r="J3023" t="s">
        <v>111</v>
      </c>
      <c r="K3023">
        <v>0</v>
      </c>
      <c r="L3023">
        <v>3</v>
      </c>
      <c r="M3023">
        <v>0</v>
      </c>
      <c r="N3023">
        <v>2</v>
      </c>
      <c r="O3023">
        <v>1</v>
      </c>
      <c r="P3023">
        <v>0</v>
      </c>
      <c r="Q3023">
        <v>0</v>
      </c>
      <c r="R3023" t="s">
        <v>112</v>
      </c>
      <c r="S3023" t="str">
        <f>"14:40:42.977"</f>
        <v>14:40:42.977</v>
      </c>
      <c r="T3023" t="str">
        <f>"14:40:42.578"</f>
        <v>14:40:42.578</v>
      </c>
      <c r="U3023" t="str">
        <f t="shared" si="141"/>
        <v>ad5732</v>
      </c>
      <c r="V3023">
        <v>0</v>
      </c>
      <c r="W3023">
        <v>0</v>
      </c>
      <c r="X3023">
        <v>1</v>
      </c>
      <c r="Z3023">
        <v>0</v>
      </c>
      <c r="AA3023">
        <v>9</v>
      </c>
      <c r="AB3023">
        <v>3</v>
      </c>
      <c r="AC3023">
        <v>0</v>
      </c>
      <c r="AD3023">
        <v>10</v>
      </c>
      <c r="AE3023">
        <v>0</v>
      </c>
      <c r="AF3023">
        <v>3</v>
      </c>
      <c r="AG3023">
        <v>2</v>
      </c>
      <c r="AH3023">
        <v>0</v>
      </c>
      <c r="AI3023" t="s">
        <v>6162</v>
      </c>
      <c r="AJ3023">
        <v>40.383124000000002</v>
      </c>
      <c r="AK3023" t="s">
        <v>6163</v>
      </c>
      <c r="AL3023">
        <v>-75.020807000000005</v>
      </c>
      <c r="AM3023">
        <v>100</v>
      </c>
      <c r="AN3023">
        <v>3700</v>
      </c>
      <c r="AO3023" t="s">
        <v>115</v>
      </c>
      <c r="AP3023">
        <v>130</v>
      </c>
      <c r="AQ3023">
        <v>120</v>
      </c>
      <c r="AR3023">
        <v>0</v>
      </c>
      <c r="AZ3023">
        <v>3614</v>
      </c>
      <c r="BA3023">
        <v>1</v>
      </c>
      <c r="BB3023" t="str">
        <f t="shared" si="143"/>
        <v xml:space="preserve">N959MJ  </v>
      </c>
      <c r="BC3023">
        <v>1</v>
      </c>
      <c r="BE3023">
        <v>0</v>
      </c>
      <c r="BF3023">
        <v>0</v>
      </c>
      <c r="BG3023">
        <v>0</v>
      </c>
      <c r="BH3023">
        <v>3875</v>
      </c>
      <c r="BI3023">
        <v>175</v>
      </c>
      <c r="BJ3023">
        <v>1</v>
      </c>
      <c r="BK3023">
        <v>1</v>
      </c>
      <c r="BL3023">
        <v>1</v>
      </c>
      <c r="BM3023">
        <v>0</v>
      </c>
      <c r="BP3023">
        <v>0</v>
      </c>
      <c r="BQ3023">
        <v>0</v>
      </c>
      <c r="BX3023" t="str">
        <f>"14:40:42.984"</f>
        <v>14:40:42.984</v>
      </c>
      <c r="BY3023" t="str">
        <f>"982317591"</f>
        <v>982317591</v>
      </c>
      <c r="CL3023">
        <v>0</v>
      </c>
      <c r="CM3023">
        <v>2</v>
      </c>
      <c r="CN3023">
        <v>0</v>
      </c>
      <c r="CO3023">
        <v>2</v>
      </c>
      <c r="CP3023">
        <v>0</v>
      </c>
      <c r="CQ3023">
        <v>7</v>
      </c>
      <c r="CR3023" t="s">
        <v>116</v>
      </c>
      <c r="CS3023">
        <v>38</v>
      </c>
      <c r="CT3023">
        <v>3</v>
      </c>
      <c r="CU3023" t="s">
        <v>4719</v>
      </c>
      <c r="CV3023" t="s">
        <v>4720</v>
      </c>
      <c r="CY3023">
        <v>10619019</v>
      </c>
      <c r="CZ3023" t="s">
        <v>119</v>
      </c>
    </row>
    <row r="3024" spans="1:104" x14ac:dyDescent="0.25">
      <c r="A3024" t="str">
        <f>"14:40:44.203"</f>
        <v>14:40:44.203</v>
      </c>
      <c r="B3024" t="s">
        <v>108</v>
      </c>
      <c r="C3024" t="str">
        <f t="shared" si="142"/>
        <v>ffdfd3c0</v>
      </c>
      <c r="D3024" t="s">
        <v>109</v>
      </c>
      <c r="E3024">
        <v>4</v>
      </c>
      <c r="F3024">
        <v>1004</v>
      </c>
      <c r="G3024" t="s">
        <v>110</v>
      </c>
      <c r="J3024" t="s">
        <v>111</v>
      </c>
      <c r="K3024">
        <v>0</v>
      </c>
      <c r="L3024">
        <v>3</v>
      </c>
      <c r="M3024">
        <v>0</v>
      </c>
      <c r="N3024">
        <v>2</v>
      </c>
      <c r="O3024">
        <v>1</v>
      </c>
      <c r="P3024">
        <v>0</v>
      </c>
      <c r="Q3024">
        <v>0</v>
      </c>
      <c r="R3024" t="s">
        <v>112</v>
      </c>
      <c r="S3024" t="str">
        <f>"14:40:44.031"</f>
        <v>14:40:44.031</v>
      </c>
      <c r="T3024" t="str">
        <f>"14:40:43.531"</f>
        <v>14:40:43.531</v>
      </c>
      <c r="U3024" t="str">
        <f t="shared" si="141"/>
        <v>ad5732</v>
      </c>
      <c r="V3024">
        <v>0</v>
      </c>
      <c r="W3024">
        <v>0</v>
      </c>
      <c r="X3024">
        <v>1</v>
      </c>
      <c r="Z3024">
        <v>0</v>
      </c>
      <c r="AA3024">
        <v>9</v>
      </c>
      <c r="AB3024">
        <v>3</v>
      </c>
      <c r="AC3024">
        <v>0</v>
      </c>
      <c r="AD3024">
        <v>10</v>
      </c>
      <c r="AE3024">
        <v>0</v>
      </c>
      <c r="AF3024">
        <v>3</v>
      </c>
      <c r="AG3024">
        <v>2</v>
      </c>
      <c r="AH3024">
        <v>0</v>
      </c>
      <c r="AI3024" t="s">
        <v>6164</v>
      </c>
      <c r="AJ3024">
        <v>40.383747</v>
      </c>
      <c r="AK3024" t="s">
        <v>6165</v>
      </c>
      <c r="AL3024">
        <v>-75.019947999999999</v>
      </c>
      <c r="AM3024">
        <v>100</v>
      </c>
      <c r="AN3024">
        <v>3700</v>
      </c>
      <c r="AO3024" t="s">
        <v>115</v>
      </c>
      <c r="AP3024">
        <v>130</v>
      </c>
      <c r="AQ3024">
        <v>120</v>
      </c>
      <c r="AR3024">
        <v>-64</v>
      </c>
      <c r="AZ3024">
        <v>3614</v>
      </c>
      <c r="BA3024">
        <v>1</v>
      </c>
      <c r="BB3024" t="str">
        <f t="shared" si="143"/>
        <v xml:space="preserve">N959MJ  </v>
      </c>
      <c r="BC3024">
        <v>1</v>
      </c>
      <c r="BE3024">
        <v>0</v>
      </c>
      <c r="BF3024">
        <v>0</v>
      </c>
      <c r="BG3024">
        <v>0</v>
      </c>
      <c r="BH3024">
        <v>3875</v>
      </c>
      <c r="BI3024">
        <v>175</v>
      </c>
      <c r="BJ3024">
        <v>1</v>
      </c>
      <c r="BK3024">
        <v>1</v>
      </c>
      <c r="BL3024">
        <v>1</v>
      </c>
      <c r="BM3024">
        <v>0</v>
      </c>
      <c r="BP3024">
        <v>0</v>
      </c>
      <c r="BQ3024">
        <v>0</v>
      </c>
      <c r="BX3024" t="str">
        <f>"14:40:44.039"</f>
        <v>14:40:44.039</v>
      </c>
      <c r="BY3024" t="str">
        <f>"037465583"</f>
        <v>037465583</v>
      </c>
      <c r="CL3024">
        <v>0</v>
      </c>
      <c r="CM3024">
        <v>2</v>
      </c>
      <c r="CN3024">
        <v>0</v>
      </c>
      <c r="CO3024">
        <v>2</v>
      </c>
      <c r="CP3024">
        <v>0</v>
      </c>
      <c r="CQ3024">
        <v>7</v>
      </c>
      <c r="CR3024" t="s">
        <v>116</v>
      </c>
      <c r="CS3024">
        <v>38</v>
      </c>
      <c r="CT3024">
        <v>3</v>
      </c>
      <c r="CU3024" t="s">
        <v>4719</v>
      </c>
      <c r="CV3024" t="s">
        <v>4720</v>
      </c>
      <c r="CY3024">
        <v>10621045</v>
      </c>
      <c r="CZ3024" t="s">
        <v>119</v>
      </c>
    </row>
    <row r="3025" spans="1:104" x14ac:dyDescent="0.25">
      <c r="A3025" t="str">
        <f>"14:40:45.219"</f>
        <v>14:40:45.219</v>
      </c>
      <c r="B3025" t="s">
        <v>108</v>
      </c>
      <c r="C3025" t="str">
        <f t="shared" si="142"/>
        <v>ffdfd3c0</v>
      </c>
      <c r="D3025" t="s">
        <v>109</v>
      </c>
      <c r="E3025">
        <v>4</v>
      </c>
      <c r="F3025">
        <v>1004</v>
      </c>
      <c r="G3025" t="s">
        <v>110</v>
      </c>
      <c r="J3025" t="s">
        <v>111</v>
      </c>
      <c r="K3025">
        <v>0</v>
      </c>
      <c r="L3025">
        <v>3</v>
      </c>
      <c r="M3025">
        <v>0</v>
      </c>
      <c r="N3025">
        <v>2</v>
      </c>
      <c r="O3025">
        <v>1</v>
      </c>
      <c r="P3025">
        <v>0</v>
      </c>
      <c r="Q3025">
        <v>0</v>
      </c>
      <c r="R3025" t="s">
        <v>112</v>
      </c>
      <c r="S3025" t="str">
        <f>"14:40:45.039"</f>
        <v>14:40:45.039</v>
      </c>
      <c r="T3025" t="str">
        <f>"14:40:44.539"</f>
        <v>14:40:44.539</v>
      </c>
      <c r="U3025" t="str">
        <f t="shared" si="141"/>
        <v>ad5732</v>
      </c>
      <c r="V3025">
        <v>0</v>
      </c>
      <c r="W3025">
        <v>0</v>
      </c>
      <c r="X3025">
        <v>1</v>
      </c>
      <c r="Z3025">
        <v>0</v>
      </c>
      <c r="AA3025">
        <v>9</v>
      </c>
      <c r="AB3025">
        <v>3</v>
      </c>
      <c r="AC3025">
        <v>0</v>
      </c>
      <c r="AD3025">
        <v>10</v>
      </c>
      <c r="AE3025">
        <v>0</v>
      </c>
      <c r="AF3025">
        <v>3</v>
      </c>
      <c r="AG3025">
        <v>2</v>
      </c>
      <c r="AH3025">
        <v>0</v>
      </c>
      <c r="AI3025" t="s">
        <v>6166</v>
      </c>
      <c r="AJ3025">
        <v>40.384304999999998</v>
      </c>
      <c r="AK3025" t="s">
        <v>6167</v>
      </c>
      <c r="AL3025">
        <v>-75.019132999999997</v>
      </c>
      <c r="AM3025">
        <v>100</v>
      </c>
      <c r="AN3025">
        <v>3700</v>
      </c>
      <c r="AO3025" t="s">
        <v>115</v>
      </c>
      <c r="AP3025">
        <v>130</v>
      </c>
      <c r="AQ3025">
        <v>120</v>
      </c>
      <c r="AR3025">
        <v>-64</v>
      </c>
      <c r="AZ3025">
        <v>3614</v>
      </c>
      <c r="BA3025">
        <v>1</v>
      </c>
      <c r="BB3025" t="str">
        <f t="shared" si="143"/>
        <v xml:space="preserve">N959MJ  </v>
      </c>
      <c r="BC3025">
        <v>1</v>
      </c>
      <c r="BE3025">
        <v>0</v>
      </c>
      <c r="BF3025">
        <v>0</v>
      </c>
      <c r="BG3025">
        <v>0</v>
      </c>
      <c r="BH3025">
        <v>3875</v>
      </c>
      <c r="BI3025">
        <v>175</v>
      </c>
      <c r="BJ3025">
        <v>1</v>
      </c>
      <c r="BK3025">
        <v>1</v>
      </c>
      <c r="BL3025">
        <v>1</v>
      </c>
      <c r="BM3025">
        <v>0</v>
      </c>
      <c r="BP3025">
        <v>0</v>
      </c>
      <c r="BQ3025">
        <v>0</v>
      </c>
      <c r="BX3025" t="str">
        <f>"14:40:45.039"</f>
        <v>14:40:45.039</v>
      </c>
      <c r="BY3025" t="str">
        <f>"041822191"</f>
        <v>041822191</v>
      </c>
      <c r="CL3025">
        <v>0</v>
      </c>
      <c r="CM3025">
        <v>2</v>
      </c>
      <c r="CN3025">
        <v>0</v>
      </c>
      <c r="CO3025">
        <v>2</v>
      </c>
      <c r="CP3025">
        <v>0</v>
      </c>
      <c r="CQ3025">
        <v>7</v>
      </c>
      <c r="CR3025" t="s">
        <v>116</v>
      </c>
      <c r="CS3025">
        <v>38</v>
      </c>
      <c r="CT3025">
        <v>3</v>
      </c>
      <c r="CU3025" t="s">
        <v>4719</v>
      </c>
      <c r="CV3025" t="s">
        <v>4720</v>
      </c>
      <c r="CY3025">
        <v>10622900</v>
      </c>
      <c r="CZ3025" t="s">
        <v>119</v>
      </c>
    </row>
    <row r="3026" spans="1:104" x14ac:dyDescent="0.25">
      <c r="A3026" t="str">
        <f>"14:40:46.273"</f>
        <v>14:40:46.273</v>
      </c>
      <c r="B3026" t="s">
        <v>108</v>
      </c>
      <c r="C3026" t="str">
        <f t="shared" si="142"/>
        <v>ffdfd3c0</v>
      </c>
      <c r="D3026" t="s">
        <v>109</v>
      </c>
      <c r="E3026">
        <v>4</v>
      </c>
      <c r="F3026">
        <v>1004</v>
      </c>
      <c r="G3026" t="s">
        <v>110</v>
      </c>
      <c r="J3026" t="s">
        <v>111</v>
      </c>
      <c r="K3026">
        <v>0</v>
      </c>
      <c r="L3026">
        <v>3</v>
      </c>
      <c r="M3026">
        <v>0</v>
      </c>
      <c r="N3026">
        <v>2</v>
      </c>
      <c r="O3026">
        <v>1</v>
      </c>
      <c r="P3026">
        <v>0</v>
      </c>
      <c r="Q3026">
        <v>0</v>
      </c>
      <c r="R3026" t="s">
        <v>112</v>
      </c>
      <c r="S3026" t="str">
        <f>"14:40:46.117"</f>
        <v>14:40:46.117</v>
      </c>
      <c r="T3026" t="str">
        <f>"14:40:45.617"</f>
        <v>14:40:45.617</v>
      </c>
      <c r="U3026" t="str">
        <f t="shared" si="141"/>
        <v>ad5732</v>
      </c>
      <c r="V3026">
        <v>0</v>
      </c>
      <c r="W3026">
        <v>0</v>
      </c>
      <c r="X3026">
        <v>1</v>
      </c>
      <c r="Z3026">
        <v>0</v>
      </c>
      <c r="AA3026">
        <v>9</v>
      </c>
      <c r="AB3026">
        <v>3</v>
      </c>
      <c r="AC3026">
        <v>0</v>
      </c>
      <c r="AD3026">
        <v>10</v>
      </c>
      <c r="AE3026">
        <v>0</v>
      </c>
      <c r="AF3026">
        <v>3</v>
      </c>
      <c r="AG3026">
        <v>2</v>
      </c>
      <c r="AH3026">
        <v>0</v>
      </c>
      <c r="AI3026" t="s">
        <v>6168</v>
      </c>
      <c r="AJ3026">
        <v>40.384926999999998</v>
      </c>
      <c r="AK3026" t="s">
        <v>6169</v>
      </c>
      <c r="AL3026">
        <v>-75.018317999999994</v>
      </c>
      <c r="AM3026">
        <v>100</v>
      </c>
      <c r="AN3026">
        <v>3700</v>
      </c>
      <c r="AO3026" t="s">
        <v>115</v>
      </c>
      <c r="AP3026">
        <v>130</v>
      </c>
      <c r="AQ3026">
        <v>120</v>
      </c>
      <c r="AR3026">
        <v>0</v>
      </c>
      <c r="AZ3026">
        <v>3614</v>
      </c>
      <c r="BA3026">
        <v>1</v>
      </c>
      <c r="BB3026" t="str">
        <f t="shared" si="143"/>
        <v xml:space="preserve">N959MJ  </v>
      </c>
      <c r="BC3026">
        <v>1</v>
      </c>
      <c r="BE3026">
        <v>0</v>
      </c>
      <c r="BF3026">
        <v>0</v>
      </c>
      <c r="BG3026">
        <v>0</v>
      </c>
      <c r="BH3026">
        <v>3875</v>
      </c>
      <c r="BI3026">
        <v>175</v>
      </c>
      <c r="BJ3026">
        <v>1</v>
      </c>
      <c r="BK3026">
        <v>1</v>
      </c>
      <c r="BL3026">
        <v>1</v>
      </c>
      <c r="BM3026">
        <v>0</v>
      </c>
      <c r="BP3026">
        <v>0</v>
      </c>
      <c r="BQ3026">
        <v>0</v>
      </c>
      <c r="BX3026" t="str">
        <f>"14:40:46.125"</f>
        <v>14:40:46.125</v>
      </c>
      <c r="BY3026" t="str">
        <f>"121546568"</f>
        <v>121546568</v>
      </c>
      <c r="CL3026">
        <v>0</v>
      </c>
      <c r="CM3026">
        <v>2</v>
      </c>
      <c r="CN3026">
        <v>0</v>
      </c>
      <c r="CO3026">
        <v>2</v>
      </c>
      <c r="CP3026">
        <v>0</v>
      </c>
      <c r="CQ3026">
        <v>7</v>
      </c>
      <c r="CR3026" t="s">
        <v>116</v>
      </c>
      <c r="CS3026">
        <v>38</v>
      </c>
      <c r="CT3026">
        <v>3</v>
      </c>
      <c r="CU3026" t="s">
        <v>4719</v>
      </c>
      <c r="CV3026" t="s">
        <v>4720</v>
      </c>
      <c r="CY3026">
        <v>10624749</v>
      </c>
      <c r="CZ3026" t="s">
        <v>119</v>
      </c>
    </row>
    <row r="3027" spans="1:104" x14ac:dyDescent="0.25">
      <c r="A3027" t="str">
        <f>"14:40:47.336"</f>
        <v>14:40:47.336</v>
      </c>
      <c r="B3027" t="s">
        <v>108</v>
      </c>
      <c r="C3027" t="str">
        <f t="shared" si="142"/>
        <v>ffdfd3c0</v>
      </c>
      <c r="D3027" t="s">
        <v>109</v>
      </c>
      <c r="E3027">
        <v>4</v>
      </c>
      <c r="F3027">
        <v>1004</v>
      </c>
      <c r="G3027" t="s">
        <v>110</v>
      </c>
      <c r="J3027" t="s">
        <v>111</v>
      </c>
      <c r="K3027">
        <v>0</v>
      </c>
      <c r="L3027">
        <v>3</v>
      </c>
      <c r="M3027">
        <v>0</v>
      </c>
      <c r="N3027">
        <v>2</v>
      </c>
      <c r="O3027">
        <v>1</v>
      </c>
      <c r="P3027">
        <v>0</v>
      </c>
      <c r="Q3027">
        <v>0</v>
      </c>
      <c r="R3027" t="s">
        <v>112</v>
      </c>
      <c r="S3027" t="str">
        <f>"14:40:47.125"</f>
        <v>14:40:47.125</v>
      </c>
      <c r="T3027" t="str">
        <f>"14:40:46.625"</f>
        <v>14:40:46.625</v>
      </c>
      <c r="U3027" t="str">
        <f t="shared" si="141"/>
        <v>ad5732</v>
      </c>
      <c r="V3027">
        <v>0</v>
      </c>
      <c r="W3027">
        <v>0</v>
      </c>
      <c r="X3027">
        <v>1</v>
      </c>
      <c r="Z3027">
        <v>0</v>
      </c>
      <c r="AA3027">
        <v>9</v>
      </c>
      <c r="AB3027">
        <v>3</v>
      </c>
      <c r="AC3027">
        <v>0</v>
      </c>
      <c r="AD3027">
        <v>10</v>
      </c>
      <c r="AE3027">
        <v>0</v>
      </c>
      <c r="AF3027">
        <v>3</v>
      </c>
      <c r="AG3027">
        <v>2</v>
      </c>
      <c r="AH3027">
        <v>0</v>
      </c>
      <c r="AI3027" t="s">
        <v>6170</v>
      </c>
      <c r="AJ3027">
        <v>40.385463000000001</v>
      </c>
      <c r="AK3027" t="s">
        <v>6171</v>
      </c>
      <c r="AL3027">
        <v>-75.017523999999995</v>
      </c>
      <c r="AM3027">
        <v>100</v>
      </c>
      <c r="AN3027">
        <v>3700</v>
      </c>
      <c r="AO3027" t="s">
        <v>115</v>
      </c>
      <c r="AP3027">
        <v>130</v>
      </c>
      <c r="AQ3027">
        <v>120</v>
      </c>
      <c r="AR3027">
        <v>0</v>
      </c>
      <c r="AZ3027">
        <v>3614</v>
      </c>
      <c r="BA3027">
        <v>1</v>
      </c>
      <c r="BB3027" t="str">
        <f t="shared" si="143"/>
        <v xml:space="preserve">N959MJ  </v>
      </c>
      <c r="BC3027">
        <v>1</v>
      </c>
      <c r="BE3027">
        <v>0</v>
      </c>
      <c r="BF3027">
        <v>0</v>
      </c>
      <c r="BG3027">
        <v>0</v>
      </c>
      <c r="BH3027">
        <v>3875</v>
      </c>
      <c r="BI3027">
        <v>175</v>
      </c>
      <c r="BJ3027">
        <v>1</v>
      </c>
      <c r="BK3027">
        <v>1</v>
      </c>
      <c r="BL3027">
        <v>1</v>
      </c>
      <c r="BM3027">
        <v>0</v>
      </c>
      <c r="BP3027">
        <v>0</v>
      </c>
      <c r="BQ3027">
        <v>0</v>
      </c>
      <c r="BX3027" t="str">
        <f>"14:40:47.133"</f>
        <v>14:40:47.133</v>
      </c>
      <c r="BY3027" t="str">
        <f>"129180137"</f>
        <v>129180137</v>
      </c>
      <c r="CL3027">
        <v>0</v>
      </c>
      <c r="CM3027">
        <v>2</v>
      </c>
      <c r="CN3027">
        <v>0</v>
      </c>
      <c r="CO3027">
        <v>2</v>
      </c>
      <c r="CP3027">
        <v>0</v>
      </c>
      <c r="CQ3027">
        <v>7</v>
      </c>
      <c r="CR3027" t="s">
        <v>116</v>
      </c>
      <c r="CS3027">
        <v>38</v>
      </c>
      <c r="CT3027">
        <v>3</v>
      </c>
      <c r="CU3027" t="s">
        <v>4719</v>
      </c>
      <c r="CV3027" t="s">
        <v>4720</v>
      </c>
      <c r="CY3027">
        <v>10626440</v>
      </c>
      <c r="CZ3027" t="s">
        <v>119</v>
      </c>
    </row>
    <row r="3028" spans="1:104" x14ac:dyDescent="0.25">
      <c r="A3028" t="str">
        <f>"14:40:48.445"</f>
        <v>14:40:48.445</v>
      </c>
      <c r="B3028" t="s">
        <v>108</v>
      </c>
      <c r="C3028" t="str">
        <f t="shared" si="142"/>
        <v>ffdfd3c0</v>
      </c>
      <c r="D3028" t="s">
        <v>109</v>
      </c>
      <c r="E3028">
        <v>4</v>
      </c>
      <c r="F3028">
        <v>1004</v>
      </c>
      <c r="G3028" t="s">
        <v>110</v>
      </c>
      <c r="J3028" t="s">
        <v>111</v>
      </c>
      <c r="K3028">
        <v>0</v>
      </c>
      <c r="L3028">
        <v>3</v>
      </c>
      <c r="M3028">
        <v>0</v>
      </c>
      <c r="N3028">
        <v>2</v>
      </c>
      <c r="O3028">
        <v>1</v>
      </c>
      <c r="P3028">
        <v>0</v>
      </c>
      <c r="Q3028">
        <v>0</v>
      </c>
      <c r="R3028" t="s">
        <v>112</v>
      </c>
      <c r="S3028" t="str">
        <f>"14:40:48.234"</f>
        <v>14:40:48.234</v>
      </c>
      <c r="T3028" t="str">
        <f>"14:40:47.734"</f>
        <v>14:40:47.734</v>
      </c>
      <c r="U3028" t="str">
        <f t="shared" si="141"/>
        <v>ad5732</v>
      </c>
      <c r="V3028">
        <v>0</v>
      </c>
      <c r="W3028">
        <v>0</v>
      </c>
      <c r="X3028">
        <v>1</v>
      </c>
      <c r="Z3028">
        <v>0</v>
      </c>
      <c r="AA3028">
        <v>9</v>
      </c>
      <c r="AB3028">
        <v>3</v>
      </c>
      <c r="AC3028">
        <v>0</v>
      </c>
      <c r="AD3028">
        <v>10</v>
      </c>
      <c r="AE3028">
        <v>0</v>
      </c>
      <c r="AF3028">
        <v>3</v>
      </c>
      <c r="AG3028">
        <v>2</v>
      </c>
      <c r="AH3028">
        <v>0</v>
      </c>
      <c r="AI3028" t="s">
        <v>6172</v>
      </c>
      <c r="AJ3028">
        <v>40.386063999999998</v>
      </c>
      <c r="AK3028" t="s">
        <v>6173</v>
      </c>
      <c r="AL3028">
        <v>-75.016643999999999</v>
      </c>
      <c r="AM3028">
        <v>100</v>
      </c>
      <c r="AN3028">
        <v>3700</v>
      </c>
      <c r="AO3028" t="s">
        <v>115</v>
      </c>
      <c r="AP3028">
        <v>130</v>
      </c>
      <c r="AQ3028">
        <v>120</v>
      </c>
      <c r="AR3028">
        <v>0</v>
      </c>
      <c r="AZ3028">
        <v>3614</v>
      </c>
      <c r="BA3028">
        <v>1</v>
      </c>
      <c r="BB3028" t="str">
        <f t="shared" si="143"/>
        <v xml:space="preserve">N959MJ  </v>
      </c>
      <c r="BC3028">
        <v>1</v>
      </c>
      <c r="BE3028">
        <v>0</v>
      </c>
      <c r="BF3028">
        <v>0</v>
      </c>
      <c r="BG3028">
        <v>0</v>
      </c>
      <c r="BH3028">
        <v>3875</v>
      </c>
      <c r="BI3028">
        <v>175</v>
      </c>
      <c r="BJ3028">
        <v>1</v>
      </c>
      <c r="BK3028">
        <v>1</v>
      </c>
      <c r="BL3028">
        <v>1</v>
      </c>
      <c r="BM3028">
        <v>0</v>
      </c>
      <c r="BP3028">
        <v>0</v>
      </c>
      <c r="BQ3028">
        <v>0</v>
      </c>
      <c r="BX3028" t="str">
        <f>"14:40:48.242"</f>
        <v>14:40:48.242</v>
      </c>
      <c r="BY3028" t="str">
        <f>"240034905"</f>
        <v>240034905</v>
      </c>
      <c r="CL3028">
        <v>0</v>
      </c>
      <c r="CM3028">
        <v>2</v>
      </c>
      <c r="CN3028">
        <v>0</v>
      </c>
      <c r="CO3028">
        <v>2</v>
      </c>
      <c r="CP3028">
        <v>0</v>
      </c>
      <c r="CQ3028">
        <v>7</v>
      </c>
      <c r="CR3028" t="s">
        <v>116</v>
      </c>
      <c r="CS3028">
        <v>38</v>
      </c>
      <c r="CT3028">
        <v>3</v>
      </c>
      <c r="CU3028" t="s">
        <v>4719</v>
      </c>
      <c r="CV3028" t="s">
        <v>4720</v>
      </c>
      <c r="CY3028">
        <v>10628308</v>
      </c>
      <c r="CZ3028" t="s">
        <v>119</v>
      </c>
    </row>
    <row r="3029" spans="1:104" x14ac:dyDescent="0.25">
      <c r="A3029" t="str">
        <f>"14:40:49.352"</f>
        <v>14:40:49.352</v>
      </c>
      <c r="B3029" t="s">
        <v>108</v>
      </c>
      <c r="C3029" t="str">
        <f t="shared" si="142"/>
        <v>ffdfd3c0</v>
      </c>
      <c r="D3029" t="s">
        <v>109</v>
      </c>
      <c r="E3029">
        <v>4</v>
      </c>
      <c r="F3029">
        <v>1004</v>
      </c>
      <c r="G3029" t="s">
        <v>110</v>
      </c>
      <c r="J3029" t="s">
        <v>111</v>
      </c>
      <c r="K3029">
        <v>0</v>
      </c>
      <c r="L3029">
        <v>3</v>
      </c>
      <c r="M3029">
        <v>0</v>
      </c>
      <c r="N3029">
        <v>2</v>
      </c>
      <c r="O3029">
        <v>1</v>
      </c>
      <c r="P3029">
        <v>0</v>
      </c>
      <c r="Q3029">
        <v>0</v>
      </c>
      <c r="R3029" t="s">
        <v>112</v>
      </c>
      <c r="S3029" t="str">
        <f>"14:40:49.195"</f>
        <v>14:40:49.195</v>
      </c>
      <c r="T3029" t="str">
        <f>"14:40:48.695"</f>
        <v>14:40:48.695</v>
      </c>
      <c r="U3029" t="str">
        <f t="shared" si="141"/>
        <v>ad5732</v>
      </c>
      <c r="V3029">
        <v>0</v>
      </c>
      <c r="W3029">
        <v>0</v>
      </c>
      <c r="X3029">
        <v>1</v>
      </c>
      <c r="Z3029">
        <v>0</v>
      </c>
      <c r="AA3029">
        <v>9</v>
      </c>
      <c r="AB3029">
        <v>3</v>
      </c>
      <c r="AC3029">
        <v>0</v>
      </c>
      <c r="AD3029">
        <v>10</v>
      </c>
      <c r="AE3029">
        <v>0</v>
      </c>
      <c r="AF3029">
        <v>3</v>
      </c>
      <c r="AG3029">
        <v>2</v>
      </c>
      <c r="AH3029">
        <v>0</v>
      </c>
      <c r="AI3029" t="s">
        <v>6174</v>
      </c>
      <c r="AJ3029">
        <v>40.386558000000001</v>
      </c>
      <c r="AK3029" t="s">
        <v>6175</v>
      </c>
      <c r="AL3029">
        <v>-75.015935999999996</v>
      </c>
      <c r="AM3029">
        <v>100</v>
      </c>
      <c r="AN3029">
        <v>3700</v>
      </c>
      <c r="AO3029" t="s">
        <v>115</v>
      </c>
      <c r="AP3029">
        <v>130</v>
      </c>
      <c r="AQ3029">
        <v>120</v>
      </c>
      <c r="AR3029">
        <v>0</v>
      </c>
      <c r="AZ3029">
        <v>3614</v>
      </c>
      <c r="BA3029">
        <v>1</v>
      </c>
      <c r="BB3029" t="str">
        <f t="shared" si="143"/>
        <v xml:space="preserve">N959MJ  </v>
      </c>
      <c r="BC3029">
        <v>1</v>
      </c>
      <c r="BE3029">
        <v>0</v>
      </c>
      <c r="BF3029">
        <v>0</v>
      </c>
      <c r="BG3029">
        <v>0</v>
      </c>
      <c r="BH3029">
        <v>3875</v>
      </c>
      <c r="BI3029">
        <v>175</v>
      </c>
      <c r="BJ3029">
        <v>1</v>
      </c>
      <c r="BK3029">
        <v>1</v>
      </c>
      <c r="BL3029">
        <v>1</v>
      </c>
      <c r="BM3029">
        <v>0</v>
      </c>
      <c r="BP3029">
        <v>0</v>
      </c>
      <c r="BQ3029">
        <v>0</v>
      </c>
      <c r="BX3029" t="str">
        <f>"14:40:49.195"</f>
        <v>14:40:49.195</v>
      </c>
      <c r="BY3029" t="str">
        <f>"198515278"</f>
        <v>198515278</v>
      </c>
      <c r="CL3029">
        <v>0</v>
      </c>
      <c r="CM3029">
        <v>2</v>
      </c>
      <c r="CN3029">
        <v>0</v>
      </c>
      <c r="CO3029">
        <v>2</v>
      </c>
      <c r="CP3029">
        <v>0</v>
      </c>
      <c r="CQ3029">
        <v>7</v>
      </c>
      <c r="CR3029" t="s">
        <v>116</v>
      </c>
      <c r="CS3029">
        <v>38</v>
      </c>
      <c r="CT3029">
        <v>3</v>
      </c>
      <c r="CU3029" t="s">
        <v>4719</v>
      </c>
      <c r="CV3029" t="s">
        <v>4720</v>
      </c>
      <c r="CY3029">
        <v>10630075</v>
      </c>
      <c r="CZ3029" t="s">
        <v>119</v>
      </c>
    </row>
    <row r="3030" spans="1:104" x14ac:dyDescent="0.25">
      <c r="A3030" t="str">
        <f>"14:40:50.367"</f>
        <v>14:40:50.367</v>
      </c>
      <c r="B3030" t="s">
        <v>108</v>
      </c>
      <c r="C3030" t="str">
        <f t="shared" si="142"/>
        <v>ffdfd3c0</v>
      </c>
      <c r="D3030" t="s">
        <v>109</v>
      </c>
      <c r="E3030">
        <v>4</v>
      </c>
      <c r="F3030">
        <v>1004</v>
      </c>
      <c r="G3030" t="s">
        <v>110</v>
      </c>
      <c r="J3030" t="s">
        <v>111</v>
      </c>
      <c r="K3030">
        <v>0</v>
      </c>
      <c r="L3030">
        <v>3</v>
      </c>
      <c r="M3030">
        <v>0</v>
      </c>
      <c r="N3030">
        <v>2</v>
      </c>
      <c r="O3030">
        <v>1</v>
      </c>
      <c r="P3030">
        <v>0</v>
      </c>
      <c r="Q3030">
        <v>0</v>
      </c>
      <c r="R3030" t="s">
        <v>112</v>
      </c>
      <c r="S3030" t="str">
        <f>"14:40:50.195"</f>
        <v>14:40:50.195</v>
      </c>
      <c r="T3030" t="str">
        <f>"14:40:49.695"</f>
        <v>14:40:49.695</v>
      </c>
      <c r="U3030" t="str">
        <f t="shared" si="141"/>
        <v>ad5732</v>
      </c>
      <c r="V3030">
        <v>0</v>
      </c>
      <c r="W3030">
        <v>0</v>
      </c>
      <c r="X3030">
        <v>1</v>
      </c>
      <c r="Z3030">
        <v>0</v>
      </c>
      <c r="AA3030">
        <v>9</v>
      </c>
      <c r="AB3030">
        <v>3</v>
      </c>
      <c r="AC3030">
        <v>0</v>
      </c>
      <c r="AD3030">
        <v>10</v>
      </c>
      <c r="AE3030">
        <v>0</v>
      </c>
      <c r="AF3030">
        <v>3</v>
      </c>
      <c r="AG3030">
        <v>2</v>
      </c>
      <c r="AH3030">
        <v>0</v>
      </c>
      <c r="AI3030" t="s">
        <v>6176</v>
      </c>
      <c r="AJ3030">
        <v>40.387115000000001</v>
      </c>
      <c r="AK3030" t="s">
        <v>6177</v>
      </c>
      <c r="AL3030">
        <v>-75.015141999999997</v>
      </c>
      <c r="AM3030">
        <v>100</v>
      </c>
      <c r="AN3030">
        <v>3700</v>
      </c>
      <c r="AO3030" t="s">
        <v>115</v>
      </c>
      <c r="AP3030">
        <v>130</v>
      </c>
      <c r="AQ3030">
        <v>120</v>
      </c>
      <c r="AR3030">
        <v>0</v>
      </c>
      <c r="AZ3030">
        <v>3614</v>
      </c>
      <c r="BA3030">
        <v>1</v>
      </c>
      <c r="BB3030" t="str">
        <f t="shared" si="143"/>
        <v xml:space="preserve">N959MJ  </v>
      </c>
      <c r="BC3030">
        <v>1</v>
      </c>
      <c r="BE3030">
        <v>0</v>
      </c>
      <c r="BF3030">
        <v>0</v>
      </c>
      <c r="BG3030">
        <v>0</v>
      </c>
      <c r="BH3030">
        <v>3875</v>
      </c>
      <c r="BI3030">
        <v>175</v>
      </c>
      <c r="BJ3030">
        <v>1</v>
      </c>
      <c r="BK3030">
        <v>1</v>
      </c>
      <c r="BL3030">
        <v>1</v>
      </c>
      <c r="BM3030">
        <v>0</v>
      </c>
      <c r="BP3030">
        <v>0</v>
      </c>
      <c r="BQ3030">
        <v>0</v>
      </c>
      <c r="BX3030" t="str">
        <f>"14:40:50.203"</f>
        <v>14:40:50.203</v>
      </c>
      <c r="BY3030" t="str">
        <f>"201233574"</f>
        <v>201233574</v>
      </c>
      <c r="CL3030">
        <v>0</v>
      </c>
      <c r="CM3030">
        <v>2</v>
      </c>
      <c r="CN3030">
        <v>0</v>
      </c>
      <c r="CO3030">
        <v>2</v>
      </c>
      <c r="CP3030">
        <v>0</v>
      </c>
      <c r="CQ3030">
        <v>7</v>
      </c>
      <c r="CR3030" t="s">
        <v>116</v>
      </c>
      <c r="CS3030">
        <v>38</v>
      </c>
      <c r="CT3030">
        <v>3</v>
      </c>
      <c r="CU3030" t="s">
        <v>4719</v>
      </c>
      <c r="CV3030" t="s">
        <v>4720</v>
      </c>
      <c r="CY3030">
        <v>10631853</v>
      </c>
      <c r="CZ3030" t="s">
        <v>119</v>
      </c>
    </row>
    <row r="3031" spans="1:104" x14ac:dyDescent="0.25">
      <c r="A3031" t="str">
        <f>"14:40:51.375"</f>
        <v>14:40:51.375</v>
      </c>
      <c r="B3031" t="s">
        <v>108</v>
      </c>
      <c r="C3031" t="str">
        <f t="shared" si="142"/>
        <v>ffdfd3c0</v>
      </c>
      <c r="D3031" t="s">
        <v>109</v>
      </c>
      <c r="E3031">
        <v>4</v>
      </c>
      <c r="F3031">
        <v>1004</v>
      </c>
      <c r="G3031" t="s">
        <v>110</v>
      </c>
      <c r="J3031" t="s">
        <v>111</v>
      </c>
      <c r="K3031">
        <v>0</v>
      </c>
      <c r="L3031">
        <v>3</v>
      </c>
      <c r="M3031">
        <v>0</v>
      </c>
      <c r="N3031">
        <v>2</v>
      </c>
      <c r="O3031">
        <v>1</v>
      </c>
      <c r="P3031">
        <v>0</v>
      </c>
      <c r="Q3031">
        <v>0</v>
      </c>
      <c r="R3031" t="s">
        <v>112</v>
      </c>
      <c r="S3031" t="str">
        <f>"14:40:51.164"</f>
        <v>14:40:51.164</v>
      </c>
      <c r="T3031" t="str">
        <f>"14:40:50.766"</f>
        <v>14:40:50.766</v>
      </c>
      <c r="U3031" t="str">
        <f t="shared" si="141"/>
        <v>ad5732</v>
      </c>
      <c r="V3031">
        <v>0</v>
      </c>
      <c r="W3031">
        <v>0</v>
      </c>
      <c r="X3031">
        <v>1</v>
      </c>
      <c r="Z3031">
        <v>0</v>
      </c>
      <c r="AA3031">
        <v>9</v>
      </c>
      <c r="AB3031">
        <v>3</v>
      </c>
      <c r="AC3031">
        <v>0</v>
      </c>
      <c r="AD3031">
        <v>10</v>
      </c>
      <c r="AE3031">
        <v>0</v>
      </c>
      <c r="AF3031">
        <v>3</v>
      </c>
      <c r="AG3031">
        <v>2</v>
      </c>
      <c r="AH3031">
        <v>0</v>
      </c>
      <c r="AI3031" t="s">
        <v>6178</v>
      </c>
      <c r="AJ3031">
        <v>40.387715999999998</v>
      </c>
      <c r="AK3031" t="s">
        <v>6179</v>
      </c>
      <c r="AL3031">
        <v>-75.014347999999998</v>
      </c>
      <c r="AM3031">
        <v>100</v>
      </c>
      <c r="AN3031">
        <v>3700</v>
      </c>
      <c r="AO3031" t="s">
        <v>115</v>
      </c>
      <c r="AP3031">
        <v>130</v>
      </c>
      <c r="AQ3031">
        <v>121</v>
      </c>
      <c r="AR3031">
        <v>0</v>
      </c>
      <c r="AZ3031">
        <v>3614</v>
      </c>
      <c r="BA3031">
        <v>1</v>
      </c>
      <c r="BB3031" t="str">
        <f t="shared" si="143"/>
        <v xml:space="preserve">N959MJ  </v>
      </c>
      <c r="BC3031">
        <v>1</v>
      </c>
      <c r="BE3031">
        <v>0</v>
      </c>
      <c r="BF3031">
        <v>0</v>
      </c>
      <c r="BG3031">
        <v>0</v>
      </c>
      <c r="BH3031">
        <v>3875</v>
      </c>
      <c r="BI3031">
        <v>175</v>
      </c>
      <c r="BJ3031">
        <v>1</v>
      </c>
      <c r="BK3031">
        <v>1</v>
      </c>
      <c r="BL3031">
        <v>1</v>
      </c>
      <c r="BM3031">
        <v>0</v>
      </c>
      <c r="BP3031">
        <v>0</v>
      </c>
      <c r="BQ3031">
        <v>0</v>
      </c>
      <c r="BX3031" t="str">
        <f>"14:40:51.164"</f>
        <v>14:40:51.164</v>
      </c>
      <c r="BY3031" t="str">
        <f>"164629527"</f>
        <v>164629527</v>
      </c>
      <c r="CL3031">
        <v>0</v>
      </c>
      <c r="CM3031">
        <v>2</v>
      </c>
      <c r="CN3031">
        <v>0</v>
      </c>
      <c r="CO3031">
        <v>2</v>
      </c>
      <c r="CP3031">
        <v>0</v>
      </c>
      <c r="CQ3031">
        <v>7</v>
      </c>
      <c r="CR3031" t="s">
        <v>116</v>
      </c>
      <c r="CS3031">
        <v>38</v>
      </c>
      <c r="CT3031">
        <v>3</v>
      </c>
      <c r="CU3031" t="s">
        <v>4719</v>
      </c>
      <c r="CV3031" t="s">
        <v>4720</v>
      </c>
      <c r="CY3031">
        <v>10633435</v>
      </c>
      <c r="CZ3031" t="s">
        <v>119</v>
      </c>
    </row>
    <row r="3032" spans="1:104" x14ac:dyDescent="0.25">
      <c r="A3032" t="str">
        <f>"14:40:52.336"</f>
        <v>14:40:52.336</v>
      </c>
      <c r="B3032" t="s">
        <v>108</v>
      </c>
      <c r="C3032" t="str">
        <f t="shared" si="142"/>
        <v>ffdfd3c0</v>
      </c>
      <c r="D3032" t="s">
        <v>109</v>
      </c>
      <c r="E3032">
        <v>4</v>
      </c>
      <c r="F3032">
        <v>1004</v>
      </c>
      <c r="G3032" t="s">
        <v>110</v>
      </c>
      <c r="J3032" t="s">
        <v>111</v>
      </c>
      <c r="K3032">
        <v>0</v>
      </c>
      <c r="L3032">
        <v>3</v>
      </c>
      <c r="M3032">
        <v>0</v>
      </c>
      <c r="N3032">
        <v>2</v>
      </c>
      <c r="O3032">
        <v>1</v>
      </c>
      <c r="P3032">
        <v>0</v>
      </c>
      <c r="Q3032">
        <v>0</v>
      </c>
      <c r="R3032" t="s">
        <v>112</v>
      </c>
      <c r="S3032" t="str">
        <f>"14:40:52.141"</f>
        <v>14:40:52.141</v>
      </c>
      <c r="T3032" t="str">
        <f>"14:40:51.742"</f>
        <v>14:40:51.742</v>
      </c>
      <c r="U3032" t="str">
        <f t="shared" si="141"/>
        <v>ad5732</v>
      </c>
      <c r="V3032">
        <v>0</v>
      </c>
      <c r="W3032">
        <v>0</v>
      </c>
      <c r="X3032">
        <v>1</v>
      </c>
      <c r="Z3032">
        <v>0</v>
      </c>
      <c r="AA3032">
        <v>9</v>
      </c>
      <c r="AB3032">
        <v>3</v>
      </c>
      <c r="AC3032">
        <v>0</v>
      </c>
      <c r="AD3032">
        <v>10</v>
      </c>
      <c r="AE3032">
        <v>0</v>
      </c>
      <c r="AF3032">
        <v>3</v>
      </c>
      <c r="AG3032">
        <v>2</v>
      </c>
      <c r="AH3032">
        <v>0</v>
      </c>
      <c r="AI3032" t="s">
        <v>6180</v>
      </c>
      <c r="AJ3032">
        <v>40.388252999999999</v>
      </c>
      <c r="AK3032" t="s">
        <v>6181</v>
      </c>
      <c r="AL3032">
        <v>-75.013553999999999</v>
      </c>
      <c r="AM3032">
        <v>100</v>
      </c>
      <c r="AN3032">
        <v>3700</v>
      </c>
      <c r="AO3032" t="s">
        <v>115</v>
      </c>
      <c r="AP3032">
        <v>130</v>
      </c>
      <c r="AQ3032">
        <v>121</v>
      </c>
      <c r="AR3032">
        <v>0</v>
      </c>
      <c r="AZ3032">
        <v>3614</v>
      </c>
      <c r="BA3032">
        <v>1</v>
      </c>
      <c r="BB3032" t="str">
        <f t="shared" si="143"/>
        <v xml:space="preserve">N959MJ  </v>
      </c>
      <c r="BC3032">
        <v>1</v>
      </c>
      <c r="BE3032">
        <v>0</v>
      </c>
      <c r="BF3032">
        <v>0</v>
      </c>
      <c r="BG3032">
        <v>0</v>
      </c>
      <c r="BH3032">
        <v>3875</v>
      </c>
      <c r="BI3032">
        <v>175</v>
      </c>
      <c r="BJ3032">
        <v>1</v>
      </c>
      <c r="BK3032">
        <v>1</v>
      </c>
      <c r="BL3032">
        <v>1</v>
      </c>
      <c r="BM3032">
        <v>0</v>
      </c>
      <c r="BP3032">
        <v>0</v>
      </c>
      <c r="BQ3032">
        <v>0</v>
      </c>
      <c r="BX3032" t="str">
        <f>"14:40:52.141"</f>
        <v>14:40:52.141</v>
      </c>
      <c r="BY3032" t="str">
        <f>"142771289"</f>
        <v>142771289</v>
      </c>
      <c r="CL3032">
        <v>0</v>
      </c>
      <c r="CM3032">
        <v>2</v>
      </c>
      <c r="CN3032">
        <v>0</v>
      </c>
      <c r="CO3032">
        <v>2</v>
      </c>
      <c r="CP3032">
        <v>0</v>
      </c>
      <c r="CQ3032">
        <v>7</v>
      </c>
      <c r="CR3032" t="s">
        <v>116</v>
      </c>
      <c r="CS3032">
        <v>38</v>
      </c>
      <c r="CT3032">
        <v>3</v>
      </c>
      <c r="CU3032" t="s">
        <v>4719</v>
      </c>
      <c r="CV3032" t="s">
        <v>4720</v>
      </c>
      <c r="CY3032">
        <v>10635047</v>
      </c>
      <c r="CZ3032" t="s">
        <v>119</v>
      </c>
    </row>
    <row r="3033" spans="1:104" x14ac:dyDescent="0.25">
      <c r="A3033" t="str">
        <f>"14:40:53.344"</f>
        <v>14:40:53.344</v>
      </c>
      <c r="B3033" t="s">
        <v>108</v>
      </c>
      <c r="C3033" t="str">
        <f t="shared" si="142"/>
        <v>ffdfd3c0</v>
      </c>
      <c r="D3033" t="s">
        <v>109</v>
      </c>
      <c r="E3033">
        <v>4</v>
      </c>
      <c r="F3033">
        <v>1004</v>
      </c>
      <c r="G3033" t="s">
        <v>110</v>
      </c>
      <c r="J3033" t="s">
        <v>111</v>
      </c>
      <c r="K3033">
        <v>0</v>
      </c>
      <c r="L3033">
        <v>3</v>
      </c>
      <c r="M3033">
        <v>0</v>
      </c>
      <c r="N3033">
        <v>2</v>
      </c>
      <c r="O3033">
        <v>1</v>
      </c>
      <c r="P3033">
        <v>0</v>
      </c>
      <c r="Q3033">
        <v>0</v>
      </c>
      <c r="R3033" t="s">
        <v>112</v>
      </c>
      <c r="S3033" t="str">
        <f>"14:40:53.141"</f>
        <v>14:40:53.141</v>
      </c>
      <c r="T3033" t="str">
        <f>"14:40:52.641"</f>
        <v>14:40:52.641</v>
      </c>
      <c r="U3033" t="str">
        <f t="shared" si="141"/>
        <v>ad5732</v>
      </c>
      <c r="V3033">
        <v>0</v>
      </c>
      <c r="W3033">
        <v>0</v>
      </c>
      <c r="X3033">
        <v>1</v>
      </c>
      <c r="Z3033">
        <v>0</v>
      </c>
      <c r="AA3033">
        <v>9</v>
      </c>
      <c r="AB3033">
        <v>3</v>
      </c>
      <c r="AC3033">
        <v>0</v>
      </c>
      <c r="AD3033">
        <v>10</v>
      </c>
      <c r="AE3033">
        <v>0</v>
      </c>
      <c r="AF3033">
        <v>3</v>
      </c>
      <c r="AG3033">
        <v>2</v>
      </c>
      <c r="AH3033">
        <v>0</v>
      </c>
      <c r="AI3033" t="s">
        <v>6182</v>
      </c>
      <c r="AJ3033">
        <v>40.388810999999997</v>
      </c>
      <c r="AK3033" t="s">
        <v>6183</v>
      </c>
      <c r="AL3033">
        <v>-75.012825000000007</v>
      </c>
      <c r="AM3033">
        <v>100</v>
      </c>
      <c r="AN3033">
        <v>3700</v>
      </c>
      <c r="AO3033" t="s">
        <v>115</v>
      </c>
      <c r="AP3033">
        <v>130</v>
      </c>
      <c r="AQ3033">
        <v>121</v>
      </c>
      <c r="AR3033">
        <v>64</v>
      </c>
      <c r="AZ3033">
        <v>3614</v>
      </c>
      <c r="BA3033">
        <v>1</v>
      </c>
      <c r="BB3033" t="str">
        <f t="shared" si="143"/>
        <v xml:space="preserve">N959MJ  </v>
      </c>
      <c r="BC3033">
        <v>1</v>
      </c>
      <c r="BE3033">
        <v>0</v>
      </c>
      <c r="BF3033">
        <v>0</v>
      </c>
      <c r="BG3033">
        <v>0</v>
      </c>
      <c r="BH3033">
        <v>3875</v>
      </c>
      <c r="BI3033">
        <v>175</v>
      </c>
      <c r="BJ3033">
        <v>1</v>
      </c>
      <c r="BK3033">
        <v>1</v>
      </c>
      <c r="BL3033">
        <v>1</v>
      </c>
      <c r="BM3033">
        <v>0</v>
      </c>
      <c r="BP3033">
        <v>0</v>
      </c>
      <c r="BQ3033">
        <v>0</v>
      </c>
      <c r="BX3033" t="str">
        <f>"14:40:53.141"</f>
        <v>14:40:53.141</v>
      </c>
      <c r="BY3033" t="str">
        <f>"143851105"</f>
        <v>143851105</v>
      </c>
      <c r="CL3033">
        <v>0</v>
      </c>
      <c r="CM3033">
        <v>2</v>
      </c>
      <c r="CN3033">
        <v>0</v>
      </c>
      <c r="CO3033">
        <v>2</v>
      </c>
      <c r="CP3033">
        <v>0</v>
      </c>
      <c r="CQ3033">
        <v>7</v>
      </c>
      <c r="CR3033" t="s">
        <v>116</v>
      </c>
      <c r="CS3033">
        <v>38</v>
      </c>
      <c r="CT3033">
        <v>3</v>
      </c>
      <c r="CU3033" t="s">
        <v>4719</v>
      </c>
      <c r="CV3033" t="s">
        <v>4720</v>
      </c>
      <c r="CY3033">
        <v>10636874</v>
      </c>
      <c r="CZ3033" t="s">
        <v>119</v>
      </c>
    </row>
    <row r="3034" spans="1:104" x14ac:dyDescent="0.25">
      <c r="A3034" t="str">
        <f>"14:40:54.508"</f>
        <v>14:40:54.508</v>
      </c>
      <c r="B3034" t="s">
        <v>108</v>
      </c>
      <c r="C3034" t="str">
        <f t="shared" si="142"/>
        <v>ffdfd3c0</v>
      </c>
      <c r="D3034" t="s">
        <v>109</v>
      </c>
      <c r="E3034">
        <v>4</v>
      </c>
      <c r="F3034">
        <v>1004</v>
      </c>
      <c r="G3034" t="s">
        <v>110</v>
      </c>
      <c r="J3034" t="s">
        <v>111</v>
      </c>
      <c r="K3034">
        <v>0</v>
      </c>
      <c r="L3034">
        <v>3</v>
      </c>
      <c r="M3034">
        <v>0</v>
      </c>
      <c r="N3034">
        <v>2</v>
      </c>
      <c r="O3034">
        <v>1</v>
      </c>
      <c r="P3034">
        <v>0</v>
      </c>
      <c r="Q3034">
        <v>0</v>
      </c>
      <c r="R3034" t="s">
        <v>112</v>
      </c>
      <c r="S3034" t="str">
        <f>"14:40:54.297"</f>
        <v>14:40:54.297</v>
      </c>
      <c r="T3034" t="str">
        <f>"14:40:53.797"</f>
        <v>14:40:53.797</v>
      </c>
      <c r="U3034" t="str">
        <f t="shared" si="141"/>
        <v>ad5732</v>
      </c>
      <c r="V3034">
        <v>0</v>
      </c>
      <c r="W3034">
        <v>0</v>
      </c>
      <c r="X3034">
        <v>1</v>
      </c>
      <c r="Z3034">
        <v>0</v>
      </c>
      <c r="AA3034">
        <v>9</v>
      </c>
      <c r="AB3034">
        <v>3</v>
      </c>
      <c r="AC3034">
        <v>0</v>
      </c>
      <c r="AD3034">
        <v>10</v>
      </c>
      <c r="AE3034">
        <v>0</v>
      </c>
      <c r="AF3034">
        <v>3</v>
      </c>
      <c r="AG3034">
        <v>2</v>
      </c>
      <c r="AH3034">
        <v>0</v>
      </c>
      <c r="AI3034" t="s">
        <v>6184</v>
      </c>
      <c r="AJ3034">
        <v>40.389411000000003</v>
      </c>
      <c r="AK3034" t="s">
        <v>6185</v>
      </c>
      <c r="AL3034">
        <v>-75.011902000000006</v>
      </c>
      <c r="AM3034">
        <v>100</v>
      </c>
      <c r="AN3034">
        <v>3700</v>
      </c>
      <c r="AO3034" t="s">
        <v>115</v>
      </c>
      <c r="AP3034">
        <v>130</v>
      </c>
      <c r="AQ3034">
        <v>121</v>
      </c>
      <c r="AR3034">
        <v>0</v>
      </c>
      <c r="AZ3034">
        <v>3614</v>
      </c>
      <c r="BA3034">
        <v>1</v>
      </c>
      <c r="BB3034" t="str">
        <f t="shared" si="143"/>
        <v xml:space="preserve">N959MJ  </v>
      </c>
      <c r="BC3034">
        <v>1</v>
      </c>
      <c r="BE3034">
        <v>0</v>
      </c>
      <c r="BF3034">
        <v>0</v>
      </c>
      <c r="BG3034">
        <v>0</v>
      </c>
      <c r="BH3034">
        <v>3875</v>
      </c>
      <c r="BI3034">
        <v>175</v>
      </c>
      <c r="BJ3034">
        <v>1</v>
      </c>
      <c r="BK3034">
        <v>1</v>
      </c>
      <c r="BL3034">
        <v>1</v>
      </c>
      <c r="BM3034">
        <v>0</v>
      </c>
      <c r="BP3034">
        <v>0</v>
      </c>
      <c r="BQ3034">
        <v>0</v>
      </c>
      <c r="BX3034" t="str">
        <f>"14:40:54.305"</f>
        <v>14:40:54.305</v>
      </c>
      <c r="BY3034" t="str">
        <f>"302220114"</f>
        <v>302220114</v>
      </c>
      <c r="CL3034">
        <v>0</v>
      </c>
      <c r="CM3034">
        <v>2</v>
      </c>
      <c r="CN3034">
        <v>0</v>
      </c>
      <c r="CO3034">
        <v>2</v>
      </c>
      <c r="CP3034">
        <v>0</v>
      </c>
      <c r="CQ3034">
        <v>7</v>
      </c>
      <c r="CR3034" t="s">
        <v>116</v>
      </c>
      <c r="CS3034">
        <v>38</v>
      </c>
      <c r="CT3034">
        <v>3</v>
      </c>
      <c r="CU3034" t="s">
        <v>4719</v>
      </c>
      <c r="CV3034" t="s">
        <v>4720</v>
      </c>
      <c r="CY3034">
        <v>10638975</v>
      </c>
      <c r="CZ3034" t="s">
        <v>119</v>
      </c>
    </row>
    <row r="3035" spans="1:104" x14ac:dyDescent="0.25">
      <c r="A3035" t="str">
        <f>"14:40:55.461"</f>
        <v>14:40:55.461</v>
      </c>
      <c r="B3035" t="s">
        <v>108</v>
      </c>
      <c r="C3035" t="str">
        <f t="shared" si="142"/>
        <v>ffdfd3c0</v>
      </c>
      <c r="D3035" t="s">
        <v>109</v>
      </c>
      <c r="E3035">
        <v>4</v>
      </c>
      <c r="F3035">
        <v>1004</v>
      </c>
      <c r="G3035" t="s">
        <v>110</v>
      </c>
      <c r="J3035" t="s">
        <v>111</v>
      </c>
      <c r="K3035">
        <v>0</v>
      </c>
      <c r="L3035">
        <v>3</v>
      </c>
      <c r="M3035">
        <v>0</v>
      </c>
      <c r="N3035">
        <v>2</v>
      </c>
      <c r="O3035">
        <v>1</v>
      </c>
      <c r="P3035">
        <v>0</v>
      </c>
      <c r="Q3035">
        <v>0</v>
      </c>
      <c r="R3035" t="s">
        <v>112</v>
      </c>
      <c r="S3035" t="str">
        <f>"14:40:55.266"</f>
        <v>14:40:55.266</v>
      </c>
      <c r="T3035" t="str">
        <f>"14:40:54.766"</f>
        <v>14:40:54.766</v>
      </c>
      <c r="U3035" t="str">
        <f t="shared" si="141"/>
        <v>ad5732</v>
      </c>
      <c r="V3035">
        <v>0</v>
      </c>
      <c r="W3035">
        <v>0</v>
      </c>
      <c r="X3035">
        <v>1</v>
      </c>
      <c r="Z3035">
        <v>0</v>
      </c>
      <c r="AA3035">
        <v>9</v>
      </c>
      <c r="AB3035">
        <v>3</v>
      </c>
      <c r="AC3035">
        <v>0</v>
      </c>
      <c r="AD3035">
        <v>10</v>
      </c>
      <c r="AE3035">
        <v>0</v>
      </c>
      <c r="AF3035">
        <v>3</v>
      </c>
      <c r="AG3035">
        <v>2</v>
      </c>
      <c r="AH3035">
        <v>0</v>
      </c>
      <c r="AI3035" t="s">
        <v>6186</v>
      </c>
      <c r="AJ3035">
        <v>40.389969000000001</v>
      </c>
      <c r="AK3035" t="s">
        <v>6187</v>
      </c>
      <c r="AL3035">
        <v>-75.011150999999998</v>
      </c>
      <c r="AM3035">
        <v>100</v>
      </c>
      <c r="AN3035">
        <v>3700</v>
      </c>
      <c r="AO3035" t="s">
        <v>115</v>
      </c>
      <c r="AP3035">
        <v>130</v>
      </c>
      <c r="AQ3035">
        <v>121</v>
      </c>
      <c r="AR3035">
        <v>0</v>
      </c>
      <c r="AZ3035">
        <v>3614</v>
      </c>
      <c r="BA3035">
        <v>1</v>
      </c>
      <c r="BB3035" t="str">
        <f t="shared" si="143"/>
        <v xml:space="preserve">N959MJ  </v>
      </c>
      <c r="BC3035">
        <v>1</v>
      </c>
      <c r="BE3035">
        <v>0</v>
      </c>
      <c r="BF3035">
        <v>0</v>
      </c>
      <c r="BG3035">
        <v>0</v>
      </c>
      <c r="BH3035">
        <v>3875</v>
      </c>
      <c r="BI3035">
        <v>175</v>
      </c>
      <c r="BJ3035">
        <v>1</v>
      </c>
      <c r="BK3035">
        <v>1</v>
      </c>
      <c r="BL3035">
        <v>1</v>
      </c>
      <c r="BM3035">
        <v>0</v>
      </c>
      <c r="BP3035">
        <v>0</v>
      </c>
      <c r="BQ3035">
        <v>0</v>
      </c>
      <c r="BX3035" t="str">
        <f>"14:40:55.273"</f>
        <v>14:40:55.273</v>
      </c>
      <c r="BY3035" t="str">
        <f>"270531320"</f>
        <v>270531320</v>
      </c>
      <c r="CL3035">
        <v>0</v>
      </c>
      <c r="CM3035">
        <v>2</v>
      </c>
      <c r="CN3035">
        <v>0</v>
      </c>
      <c r="CO3035">
        <v>2</v>
      </c>
      <c r="CP3035">
        <v>0</v>
      </c>
      <c r="CQ3035">
        <v>7</v>
      </c>
      <c r="CR3035" t="s">
        <v>116</v>
      </c>
      <c r="CS3035">
        <v>38</v>
      </c>
      <c r="CT3035">
        <v>3</v>
      </c>
      <c r="CU3035" t="s">
        <v>4719</v>
      </c>
      <c r="CV3035" t="s">
        <v>4720</v>
      </c>
      <c r="CY3035">
        <v>10640739</v>
      </c>
      <c r="CZ3035" t="s">
        <v>119</v>
      </c>
    </row>
    <row r="3036" spans="1:104" x14ac:dyDescent="0.25">
      <c r="A3036" t="str">
        <f>"14:40:56.375"</f>
        <v>14:40:56.375</v>
      </c>
      <c r="B3036" t="s">
        <v>108</v>
      </c>
      <c r="C3036" t="str">
        <f t="shared" si="142"/>
        <v>ffdfd3c0</v>
      </c>
      <c r="D3036" t="s">
        <v>109</v>
      </c>
      <c r="E3036">
        <v>4</v>
      </c>
      <c r="F3036">
        <v>1004</v>
      </c>
      <c r="G3036" t="s">
        <v>110</v>
      </c>
      <c r="J3036" t="s">
        <v>111</v>
      </c>
      <c r="K3036">
        <v>0</v>
      </c>
      <c r="L3036">
        <v>3</v>
      </c>
      <c r="M3036">
        <v>0</v>
      </c>
      <c r="N3036">
        <v>2</v>
      </c>
      <c r="O3036">
        <v>1</v>
      </c>
      <c r="P3036">
        <v>0</v>
      </c>
      <c r="Q3036">
        <v>0</v>
      </c>
      <c r="R3036" t="s">
        <v>112</v>
      </c>
      <c r="S3036" t="str">
        <f>"14:40:56.211"</f>
        <v>14:40:56.211</v>
      </c>
      <c r="T3036" t="str">
        <f>"14:40:55.813"</f>
        <v>14:40:55.813</v>
      </c>
      <c r="U3036" t="str">
        <f t="shared" si="141"/>
        <v>ad5732</v>
      </c>
      <c r="V3036">
        <v>0</v>
      </c>
      <c r="W3036">
        <v>0</v>
      </c>
      <c r="X3036">
        <v>1</v>
      </c>
      <c r="Z3036">
        <v>0</v>
      </c>
      <c r="AA3036">
        <v>9</v>
      </c>
      <c r="AB3036">
        <v>3</v>
      </c>
      <c r="AC3036">
        <v>0</v>
      </c>
      <c r="AD3036">
        <v>10</v>
      </c>
      <c r="AE3036">
        <v>0</v>
      </c>
      <c r="AF3036">
        <v>3</v>
      </c>
      <c r="AG3036">
        <v>2</v>
      </c>
      <c r="AH3036">
        <v>0</v>
      </c>
      <c r="AI3036" t="s">
        <v>6188</v>
      </c>
      <c r="AJ3036">
        <v>40.390526999999999</v>
      </c>
      <c r="AK3036" t="s">
        <v>6189</v>
      </c>
      <c r="AL3036">
        <v>-75.010334999999998</v>
      </c>
      <c r="AM3036">
        <v>100</v>
      </c>
      <c r="AN3036">
        <v>3700</v>
      </c>
      <c r="AO3036" t="s">
        <v>115</v>
      </c>
      <c r="AP3036">
        <v>130</v>
      </c>
      <c r="AQ3036">
        <v>121</v>
      </c>
      <c r="AR3036">
        <v>0</v>
      </c>
      <c r="AZ3036">
        <v>3614</v>
      </c>
      <c r="BA3036">
        <v>1</v>
      </c>
      <c r="BB3036" t="str">
        <f t="shared" si="143"/>
        <v xml:space="preserve">N959MJ  </v>
      </c>
      <c r="BC3036">
        <v>1</v>
      </c>
      <c r="BE3036">
        <v>0</v>
      </c>
      <c r="BF3036">
        <v>0</v>
      </c>
      <c r="BG3036">
        <v>0</v>
      </c>
      <c r="BH3036">
        <v>3875</v>
      </c>
      <c r="BI3036">
        <v>175</v>
      </c>
      <c r="BJ3036">
        <v>1</v>
      </c>
      <c r="BK3036">
        <v>1</v>
      </c>
      <c r="BL3036">
        <v>1</v>
      </c>
      <c r="BM3036">
        <v>0</v>
      </c>
      <c r="BP3036">
        <v>0</v>
      </c>
      <c r="BQ3036">
        <v>0</v>
      </c>
      <c r="BX3036" t="str">
        <f>"14:40:56.219"</f>
        <v>14:40:56.219</v>
      </c>
      <c r="BY3036" t="str">
        <f>"217542995"</f>
        <v>217542995</v>
      </c>
      <c r="CL3036">
        <v>0</v>
      </c>
      <c r="CM3036">
        <v>2</v>
      </c>
      <c r="CN3036">
        <v>0</v>
      </c>
      <c r="CO3036">
        <v>2</v>
      </c>
      <c r="CP3036">
        <v>0</v>
      </c>
      <c r="CQ3036">
        <v>7</v>
      </c>
      <c r="CR3036" t="s">
        <v>116</v>
      </c>
      <c r="CS3036">
        <v>38</v>
      </c>
      <c r="CT3036">
        <v>3</v>
      </c>
      <c r="CU3036" t="s">
        <v>4719</v>
      </c>
      <c r="CV3036" t="s">
        <v>4720</v>
      </c>
      <c r="CY3036">
        <v>10642273</v>
      </c>
      <c r="CZ3036" t="s">
        <v>119</v>
      </c>
    </row>
    <row r="3037" spans="1:104" x14ac:dyDescent="0.25">
      <c r="A3037" t="str">
        <f>"14:40:57.430"</f>
        <v>14:40:57.430</v>
      </c>
      <c r="B3037" t="s">
        <v>108</v>
      </c>
      <c r="C3037" t="str">
        <f t="shared" si="142"/>
        <v>ffdfd3c0</v>
      </c>
      <c r="D3037" t="s">
        <v>109</v>
      </c>
      <c r="E3037">
        <v>4</v>
      </c>
      <c r="F3037">
        <v>1004</v>
      </c>
      <c r="G3037" t="s">
        <v>110</v>
      </c>
      <c r="J3037" t="s">
        <v>111</v>
      </c>
      <c r="K3037">
        <v>0</v>
      </c>
      <c r="L3037">
        <v>3</v>
      </c>
      <c r="M3037">
        <v>0</v>
      </c>
      <c r="N3037">
        <v>2</v>
      </c>
      <c r="O3037">
        <v>1</v>
      </c>
      <c r="P3037">
        <v>0</v>
      </c>
      <c r="Q3037">
        <v>0</v>
      </c>
      <c r="R3037" t="s">
        <v>112</v>
      </c>
      <c r="S3037" t="str">
        <f>"14:40:57.250"</f>
        <v>14:40:57.250</v>
      </c>
      <c r="T3037" t="str">
        <f>"14:40:56.852"</f>
        <v>14:40:56.852</v>
      </c>
      <c r="U3037" t="str">
        <f t="shared" si="141"/>
        <v>ad5732</v>
      </c>
      <c r="V3037">
        <v>0</v>
      </c>
      <c r="W3037">
        <v>0</v>
      </c>
      <c r="X3037">
        <v>1</v>
      </c>
      <c r="Z3037">
        <v>0</v>
      </c>
      <c r="AA3037">
        <v>9</v>
      </c>
      <c r="AB3037">
        <v>3</v>
      </c>
      <c r="AC3037">
        <v>0</v>
      </c>
      <c r="AD3037">
        <v>10</v>
      </c>
      <c r="AE3037">
        <v>0</v>
      </c>
      <c r="AF3037">
        <v>3</v>
      </c>
      <c r="AG3037">
        <v>2</v>
      </c>
      <c r="AH3037">
        <v>0</v>
      </c>
      <c r="AI3037" t="s">
        <v>6190</v>
      </c>
      <c r="AJ3037">
        <v>40.391084999999997</v>
      </c>
      <c r="AK3037" t="s">
        <v>6191</v>
      </c>
      <c r="AL3037">
        <v>-75.009519999999995</v>
      </c>
      <c r="AM3037">
        <v>100</v>
      </c>
      <c r="AN3037">
        <v>3700</v>
      </c>
      <c r="AO3037" t="s">
        <v>115</v>
      </c>
      <c r="AP3037">
        <v>130</v>
      </c>
      <c r="AQ3037">
        <v>121</v>
      </c>
      <c r="AR3037">
        <v>0</v>
      </c>
      <c r="AZ3037">
        <v>3614</v>
      </c>
      <c r="BA3037">
        <v>1</v>
      </c>
      <c r="BB3037" t="str">
        <f t="shared" si="143"/>
        <v xml:space="preserve">N959MJ  </v>
      </c>
      <c r="BC3037">
        <v>1</v>
      </c>
      <c r="BE3037">
        <v>0</v>
      </c>
      <c r="BF3037">
        <v>0</v>
      </c>
      <c r="BG3037">
        <v>0</v>
      </c>
      <c r="BH3037">
        <v>3875</v>
      </c>
      <c r="BI3037">
        <v>175</v>
      </c>
      <c r="BJ3037">
        <v>1</v>
      </c>
      <c r="BK3037">
        <v>1</v>
      </c>
      <c r="BL3037">
        <v>1</v>
      </c>
      <c r="BM3037">
        <v>0</v>
      </c>
      <c r="BP3037">
        <v>0</v>
      </c>
      <c r="BQ3037">
        <v>0</v>
      </c>
      <c r="BX3037" t="str">
        <f>"14:40:57.258"</f>
        <v>14:40:57.258</v>
      </c>
      <c r="BY3037" t="str">
        <f>"254668249"</f>
        <v>254668249</v>
      </c>
      <c r="CL3037">
        <v>0</v>
      </c>
      <c r="CM3037">
        <v>2</v>
      </c>
      <c r="CN3037">
        <v>0</v>
      </c>
      <c r="CO3037">
        <v>2</v>
      </c>
      <c r="CP3037">
        <v>0</v>
      </c>
      <c r="CQ3037">
        <v>7</v>
      </c>
      <c r="CR3037" t="s">
        <v>116</v>
      </c>
      <c r="CS3037">
        <v>38</v>
      </c>
      <c r="CT3037">
        <v>3</v>
      </c>
      <c r="CU3037" t="s">
        <v>4719</v>
      </c>
      <c r="CV3037" t="s">
        <v>4720</v>
      </c>
      <c r="CY3037">
        <v>10643937</v>
      </c>
      <c r="CZ3037" t="s">
        <v>119</v>
      </c>
    </row>
    <row r="3038" spans="1:104" x14ac:dyDescent="0.25">
      <c r="A3038" t="str">
        <f>"14:40:58.289"</f>
        <v>14:40:58.289</v>
      </c>
      <c r="B3038" t="s">
        <v>108</v>
      </c>
      <c r="C3038" t="str">
        <f t="shared" si="142"/>
        <v>ffdfd3c0</v>
      </c>
      <c r="D3038" t="s">
        <v>109</v>
      </c>
      <c r="E3038">
        <v>4</v>
      </c>
      <c r="F3038">
        <v>1004</v>
      </c>
      <c r="G3038" t="s">
        <v>110</v>
      </c>
      <c r="J3038" t="s">
        <v>111</v>
      </c>
      <c r="K3038">
        <v>0</v>
      </c>
      <c r="L3038">
        <v>3</v>
      </c>
      <c r="M3038">
        <v>0</v>
      </c>
      <c r="N3038">
        <v>2</v>
      </c>
      <c r="O3038">
        <v>1</v>
      </c>
      <c r="P3038">
        <v>0</v>
      </c>
      <c r="Q3038">
        <v>0</v>
      </c>
      <c r="R3038" t="s">
        <v>112</v>
      </c>
      <c r="S3038" t="str">
        <f>"14:40:58.109"</f>
        <v>14:40:58.109</v>
      </c>
      <c r="T3038" t="str">
        <f>"14:40:57.711"</f>
        <v>14:40:57.711</v>
      </c>
      <c r="U3038" t="str">
        <f t="shared" si="141"/>
        <v>ad5732</v>
      </c>
      <c r="V3038">
        <v>0</v>
      </c>
      <c r="W3038">
        <v>0</v>
      </c>
      <c r="X3038">
        <v>1</v>
      </c>
      <c r="Z3038">
        <v>0</v>
      </c>
      <c r="AA3038">
        <v>9</v>
      </c>
      <c r="AB3038">
        <v>3</v>
      </c>
      <c r="AC3038">
        <v>0</v>
      </c>
      <c r="AD3038">
        <v>10</v>
      </c>
      <c r="AE3038">
        <v>0</v>
      </c>
      <c r="AF3038">
        <v>3</v>
      </c>
      <c r="AG3038">
        <v>2</v>
      </c>
      <c r="AH3038">
        <v>0</v>
      </c>
      <c r="AI3038" t="s">
        <v>6192</v>
      </c>
      <c r="AJ3038">
        <v>40.391556999999999</v>
      </c>
      <c r="AK3038" t="s">
        <v>6193</v>
      </c>
      <c r="AL3038">
        <v>-75.008898000000002</v>
      </c>
      <c r="AM3038">
        <v>100</v>
      </c>
      <c r="AN3038">
        <v>3700</v>
      </c>
      <c r="AO3038" t="s">
        <v>115</v>
      </c>
      <c r="AP3038">
        <v>130</v>
      </c>
      <c r="AQ3038">
        <v>121</v>
      </c>
      <c r="AR3038">
        <v>0</v>
      </c>
      <c r="AZ3038">
        <v>3614</v>
      </c>
      <c r="BA3038">
        <v>1</v>
      </c>
      <c r="BB3038" t="str">
        <f t="shared" si="143"/>
        <v xml:space="preserve">N959MJ  </v>
      </c>
      <c r="BC3038">
        <v>1</v>
      </c>
      <c r="BE3038">
        <v>0</v>
      </c>
      <c r="BF3038">
        <v>0</v>
      </c>
      <c r="BG3038">
        <v>0</v>
      </c>
      <c r="BH3038">
        <v>3875</v>
      </c>
      <c r="BI3038">
        <v>175</v>
      </c>
      <c r="BJ3038">
        <v>1</v>
      </c>
      <c r="BK3038">
        <v>1</v>
      </c>
      <c r="BL3038">
        <v>1</v>
      </c>
      <c r="BM3038">
        <v>0</v>
      </c>
      <c r="BP3038">
        <v>0</v>
      </c>
      <c r="BQ3038">
        <v>0</v>
      </c>
      <c r="BX3038" t="str">
        <f>"14:40:58.109"</f>
        <v>14:40:58.109</v>
      </c>
      <c r="BY3038" t="str">
        <f>"109927931"</f>
        <v>109927931</v>
      </c>
      <c r="CL3038">
        <v>0</v>
      </c>
      <c r="CM3038">
        <v>2</v>
      </c>
      <c r="CN3038">
        <v>0</v>
      </c>
      <c r="CO3038">
        <v>2</v>
      </c>
      <c r="CP3038">
        <v>0</v>
      </c>
      <c r="CQ3038">
        <v>7</v>
      </c>
      <c r="CR3038" t="s">
        <v>116</v>
      </c>
      <c r="CS3038">
        <v>38</v>
      </c>
      <c r="CT3038">
        <v>3</v>
      </c>
      <c r="CU3038" t="s">
        <v>4719</v>
      </c>
      <c r="CV3038" t="s">
        <v>4720</v>
      </c>
      <c r="CY3038">
        <v>10645490</v>
      </c>
      <c r="CZ3038" t="s">
        <v>119</v>
      </c>
    </row>
    <row r="3039" spans="1:104" x14ac:dyDescent="0.25">
      <c r="A3039" t="str">
        <f>"14:40:59.352"</f>
        <v>14:40:59.352</v>
      </c>
      <c r="B3039" t="s">
        <v>108</v>
      </c>
      <c r="C3039" t="str">
        <f t="shared" si="142"/>
        <v>ffdfd3c0</v>
      </c>
      <c r="D3039" t="s">
        <v>109</v>
      </c>
      <c r="E3039">
        <v>4</v>
      </c>
      <c r="F3039">
        <v>1004</v>
      </c>
      <c r="G3039" t="s">
        <v>110</v>
      </c>
      <c r="J3039" t="s">
        <v>111</v>
      </c>
      <c r="K3039">
        <v>0</v>
      </c>
      <c r="L3039">
        <v>3</v>
      </c>
      <c r="M3039">
        <v>0</v>
      </c>
      <c r="N3039">
        <v>2</v>
      </c>
      <c r="O3039">
        <v>1</v>
      </c>
      <c r="P3039">
        <v>0</v>
      </c>
      <c r="Q3039">
        <v>0</v>
      </c>
      <c r="R3039" t="s">
        <v>112</v>
      </c>
      <c r="S3039" t="str">
        <f>"14:40:59.148"</f>
        <v>14:40:59.148</v>
      </c>
      <c r="T3039" t="str">
        <f>"14:40:58.648"</f>
        <v>14:40:58.648</v>
      </c>
      <c r="U3039" t="str">
        <f t="shared" si="141"/>
        <v>ad5732</v>
      </c>
      <c r="V3039">
        <v>0</v>
      </c>
      <c r="W3039">
        <v>0</v>
      </c>
      <c r="X3039">
        <v>1</v>
      </c>
      <c r="Z3039">
        <v>0</v>
      </c>
      <c r="AA3039">
        <v>9</v>
      </c>
      <c r="AB3039">
        <v>3</v>
      </c>
      <c r="AC3039">
        <v>0</v>
      </c>
      <c r="AD3039">
        <v>10</v>
      </c>
      <c r="AE3039">
        <v>0</v>
      </c>
      <c r="AF3039">
        <v>3</v>
      </c>
      <c r="AG3039">
        <v>2</v>
      </c>
      <c r="AH3039">
        <v>0</v>
      </c>
      <c r="AI3039" t="s">
        <v>6194</v>
      </c>
      <c r="AJ3039">
        <v>40.392158000000002</v>
      </c>
      <c r="AK3039" t="s">
        <v>6195</v>
      </c>
      <c r="AL3039">
        <v>-75.008060999999998</v>
      </c>
      <c r="AM3039">
        <v>100</v>
      </c>
      <c r="AN3039">
        <v>3700</v>
      </c>
      <c r="AO3039" t="s">
        <v>115</v>
      </c>
      <c r="AP3039">
        <v>131</v>
      </c>
      <c r="AQ3039">
        <v>121</v>
      </c>
      <c r="AR3039">
        <v>0</v>
      </c>
      <c r="AZ3039">
        <v>3614</v>
      </c>
      <c r="BA3039">
        <v>1</v>
      </c>
      <c r="BB3039" t="str">
        <f t="shared" si="143"/>
        <v xml:space="preserve">N959MJ  </v>
      </c>
      <c r="BC3039">
        <v>1</v>
      </c>
      <c r="BE3039">
        <v>0</v>
      </c>
      <c r="BF3039">
        <v>0</v>
      </c>
      <c r="BG3039">
        <v>0</v>
      </c>
      <c r="BH3039">
        <v>3875</v>
      </c>
      <c r="BI3039">
        <v>175</v>
      </c>
      <c r="BJ3039">
        <v>1</v>
      </c>
      <c r="BK3039">
        <v>1</v>
      </c>
      <c r="BL3039">
        <v>1</v>
      </c>
      <c r="BM3039">
        <v>0</v>
      </c>
      <c r="BP3039">
        <v>0</v>
      </c>
      <c r="BQ3039">
        <v>0</v>
      </c>
      <c r="BX3039" t="str">
        <f>"14:40:59.148"</f>
        <v>14:40:59.148</v>
      </c>
      <c r="BY3039" t="str">
        <f>"150330043"</f>
        <v>150330043</v>
      </c>
      <c r="CL3039">
        <v>0</v>
      </c>
      <c r="CM3039">
        <v>2</v>
      </c>
      <c r="CN3039">
        <v>0</v>
      </c>
      <c r="CO3039">
        <v>2</v>
      </c>
      <c r="CP3039">
        <v>0</v>
      </c>
      <c r="CQ3039">
        <v>7</v>
      </c>
      <c r="CR3039" t="s">
        <v>116</v>
      </c>
      <c r="CS3039">
        <v>38</v>
      </c>
      <c r="CT3039">
        <v>3</v>
      </c>
      <c r="CU3039" t="s">
        <v>4719</v>
      </c>
      <c r="CV3039" t="s">
        <v>4720</v>
      </c>
      <c r="CY3039">
        <v>10647441</v>
      </c>
      <c r="CZ3039" t="s">
        <v>119</v>
      </c>
    </row>
    <row r="3040" spans="1:104" x14ac:dyDescent="0.25">
      <c r="A3040" t="str">
        <f>"14:41:00.313"</f>
        <v>14:41:00.313</v>
      </c>
      <c r="B3040" t="s">
        <v>108</v>
      </c>
      <c r="C3040" t="str">
        <f t="shared" si="142"/>
        <v>ffdfd3c0</v>
      </c>
      <c r="D3040" t="s">
        <v>109</v>
      </c>
      <c r="E3040">
        <v>4</v>
      </c>
      <c r="F3040">
        <v>1004</v>
      </c>
      <c r="G3040" t="s">
        <v>110</v>
      </c>
      <c r="J3040" t="s">
        <v>111</v>
      </c>
      <c r="K3040">
        <v>0</v>
      </c>
      <c r="L3040">
        <v>3</v>
      </c>
      <c r="M3040">
        <v>0</v>
      </c>
      <c r="N3040">
        <v>2</v>
      </c>
      <c r="O3040">
        <v>1</v>
      </c>
      <c r="P3040">
        <v>0</v>
      </c>
      <c r="Q3040">
        <v>0</v>
      </c>
      <c r="R3040" t="s">
        <v>112</v>
      </c>
      <c r="S3040" t="str">
        <f>"14:41:00.133"</f>
        <v>14:41:00.133</v>
      </c>
      <c r="T3040" t="str">
        <f>"14:40:59.734"</f>
        <v>14:40:59.734</v>
      </c>
      <c r="U3040" t="str">
        <f t="shared" si="141"/>
        <v>ad5732</v>
      </c>
      <c r="V3040">
        <v>0</v>
      </c>
      <c r="W3040">
        <v>0</v>
      </c>
      <c r="X3040">
        <v>1</v>
      </c>
      <c r="Z3040">
        <v>0</v>
      </c>
      <c r="AA3040">
        <v>9</v>
      </c>
      <c r="AB3040">
        <v>3</v>
      </c>
      <c r="AC3040">
        <v>0</v>
      </c>
      <c r="AD3040">
        <v>10</v>
      </c>
      <c r="AE3040">
        <v>0</v>
      </c>
      <c r="AF3040">
        <v>3</v>
      </c>
      <c r="AG3040">
        <v>2</v>
      </c>
      <c r="AH3040">
        <v>0</v>
      </c>
      <c r="AI3040" t="s">
        <v>6196</v>
      </c>
      <c r="AJ3040">
        <v>40.392736999999997</v>
      </c>
      <c r="AK3040" t="s">
        <v>6197</v>
      </c>
      <c r="AL3040">
        <v>-75.007266999999999</v>
      </c>
      <c r="AM3040">
        <v>100</v>
      </c>
      <c r="AN3040">
        <v>3700</v>
      </c>
      <c r="AO3040" t="s">
        <v>115</v>
      </c>
      <c r="AP3040">
        <v>131</v>
      </c>
      <c r="AQ3040">
        <v>120</v>
      </c>
      <c r="AR3040">
        <v>-64</v>
      </c>
      <c r="AZ3040">
        <v>3614</v>
      </c>
      <c r="BA3040">
        <v>1</v>
      </c>
      <c r="BB3040" t="str">
        <f t="shared" si="143"/>
        <v xml:space="preserve">N959MJ  </v>
      </c>
      <c r="BC3040">
        <v>1</v>
      </c>
      <c r="BE3040">
        <v>0</v>
      </c>
      <c r="BF3040">
        <v>0</v>
      </c>
      <c r="BG3040">
        <v>0</v>
      </c>
      <c r="BH3040">
        <v>3875</v>
      </c>
      <c r="BI3040">
        <v>175</v>
      </c>
      <c r="BJ3040">
        <v>1</v>
      </c>
      <c r="BK3040">
        <v>1</v>
      </c>
      <c r="BL3040">
        <v>1</v>
      </c>
      <c r="BM3040">
        <v>0</v>
      </c>
      <c r="BP3040">
        <v>0</v>
      </c>
      <c r="BQ3040">
        <v>0</v>
      </c>
      <c r="BX3040" t="str">
        <f>"14:41:00.133"</f>
        <v>14:41:00.133</v>
      </c>
      <c r="BY3040" t="str">
        <f>"133387158"</f>
        <v>133387158</v>
      </c>
      <c r="CL3040">
        <v>0</v>
      </c>
      <c r="CM3040">
        <v>2</v>
      </c>
      <c r="CN3040">
        <v>0</v>
      </c>
      <c r="CO3040">
        <v>2</v>
      </c>
      <c r="CP3040">
        <v>0</v>
      </c>
      <c r="CQ3040">
        <v>7</v>
      </c>
      <c r="CR3040" t="s">
        <v>116</v>
      </c>
      <c r="CS3040">
        <v>38</v>
      </c>
      <c r="CT3040">
        <v>3</v>
      </c>
      <c r="CU3040" t="s">
        <v>4719</v>
      </c>
      <c r="CV3040" t="s">
        <v>4720</v>
      </c>
      <c r="CY3040">
        <v>10649158</v>
      </c>
      <c r="CZ3040" t="s">
        <v>119</v>
      </c>
    </row>
    <row r="3041" spans="1:104" x14ac:dyDescent="0.25">
      <c r="A3041" t="str">
        <f>"14:41:01.469"</f>
        <v>14:41:01.469</v>
      </c>
      <c r="B3041" t="s">
        <v>108</v>
      </c>
      <c r="C3041" t="str">
        <f t="shared" si="142"/>
        <v>ffdfd3c0</v>
      </c>
      <c r="D3041" t="s">
        <v>109</v>
      </c>
      <c r="E3041">
        <v>4</v>
      </c>
      <c r="F3041">
        <v>1004</v>
      </c>
      <c r="G3041" t="s">
        <v>110</v>
      </c>
      <c r="J3041" t="s">
        <v>111</v>
      </c>
      <c r="K3041">
        <v>0</v>
      </c>
      <c r="L3041">
        <v>3</v>
      </c>
      <c r="M3041">
        <v>0</v>
      </c>
      <c r="N3041">
        <v>2</v>
      </c>
      <c r="O3041">
        <v>1</v>
      </c>
      <c r="P3041">
        <v>0</v>
      </c>
      <c r="Q3041">
        <v>0</v>
      </c>
      <c r="R3041" t="s">
        <v>112</v>
      </c>
      <c r="S3041" t="str">
        <f>"14:41:01.281"</f>
        <v>14:41:01.281</v>
      </c>
      <c r="T3041" t="str">
        <f>"14:41:00.781"</f>
        <v>14:41:00.781</v>
      </c>
      <c r="U3041" t="str">
        <f t="shared" si="141"/>
        <v>ad5732</v>
      </c>
      <c r="V3041">
        <v>0</v>
      </c>
      <c r="W3041">
        <v>0</v>
      </c>
      <c r="X3041">
        <v>1</v>
      </c>
      <c r="Z3041">
        <v>0</v>
      </c>
      <c r="AA3041">
        <v>9</v>
      </c>
      <c r="AB3041">
        <v>3</v>
      </c>
      <c r="AC3041">
        <v>0</v>
      </c>
      <c r="AD3041">
        <v>10</v>
      </c>
      <c r="AE3041">
        <v>0</v>
      </c>
      <c r="AF3041">
        <v>3</v>
      </c>
      <c r="AG3041">
        <v>2</v>
      </c>
      <c r="AH3041">
        <v>0</v>
      </c>
      <c r="AI3041" t="s">
        <v>6198</v>
      </c>
      <c r="AJ3041">
        <v>40.393338</v>
      </c>
      <c r="AK3041" t="s">
        <v>6199</v>
      </c>
      <c r="AL3041">
        <v>-75.006409000000005</v>
      </c>
      <c r="AM3041">
        <v>100</v>
      </c>
      <c r="AN3041">
        <v>3700</v>
      </c>
      <c r="AO3041" t="s">
        <v>115</v>
      </c>
      <c r="AP3041">
        <v>131</v>
      </c>
      <c r="AQ3041">
        <v>120</v>
      </c>
      <c r="AR3041">
        <v>-64</v>
      </c>
      <c r="AZ3041">
        <v>3614</v>
      </c>
      <c r="BA3041">
        <v>1</v>
      </c>
      <c r="BB3041" t="str">
        <f t="shared" si="143"/>
        <v xml:space="preserve">N959MJ  </v>
      </c>
      <c r="BC3041">
        <v>1</v>
      </c>
      <c r="BE3041">
        <v>0</v>
      </c>
      <c r="BF3041">
        <v>0</v>
      </c>
      <c r="BG3041">
        <v>0</v>
      </c>
      <c r="BH3041">
        <v>3875</v>
      </c>
      <c r="BI3041">
        <v>175</v>
      </c>
      <c r="BJ3041">
        <v>1</v>
      </c>
      <c r="BK3041">
        <v>1</v>
      </c>
      <c r="BL3041">
        <v>1</v>
      </c>
      <c r="BM3041">
        <v>0</v>
      </c>
      <c r="BP3041">
        <v>0</v>
      </c>
      <c r="BQ3041">
        <v>0</v>
      </c>
      <c r="BX3041" t="str">
        <f>"14:41:01.281"</f>
        <v>14:41:01.281</v>
      </c>
      <c r="BY3041" t="str">
        <f>"281925604"</f>
        <v>281925604</v>
      </c>
      <c r="CL3041">
        <v>0</v>
      </c>
      <c r="CM3041">
        <v>2</v>
      </c>
      <c r="CN3041">
        <v>0</v>
      </c>
      <c r="CO3041">
        <v>2</v>
      </c>
      <c r="CP3041">
        <v>0</v>
      </c>
      <c r="CQ3041">
        <v>7</v>
      </c>
      <c r="CR3041" t="s">
        <v>116</v>
      </c>
      <c r="CS3041">
        <v>38</v>
      </c>
      <c r="CT3041">
        <v>3</v>
      </c>
      <c r="CU3041" t="s">
        <v>4719</v>
      </c>
      <c r="CV3041" t="s">
        <v>4720</v>
      </c>
      <c r="CY3041">
        <v>10651091</v>
      </c>
      <c r="CZ3041" t="s">
        <v>119</v>
      </c>
    </row>
    <row r="3042" spans="1:104" x14ac:dyDescent="0.25">
      <c r="A3042" t="str">
        <f>"14:41:02.484"</f>
        <v>14:41:02.484</v>
      </c>
      <c r="B3042" t="s">
        <v>108</v>
      </c>
      <c r="C3042" t="str">
        <f t="shared" si="142"/>
        <v>ffdfd3c0</v>
      </c>
      <c r="D3042" t="s">
        <v>109</v>
      </c>
      <c r="E3042">
        <v>4</v>
      </c>
      <c r="F3042">
        <v>1004</v>
      </c>
      <c r="G3042" t="s">
        <v>110</v>
      </c>
      <c r="J3042" t="s">
        <v>111</v>
      </c>
      <c r="K3042">
        <v>0</v>
      </c>
      <c r="L3042">
        <v>3</v>
      </c>
      <c r="M3042">
        <v>0</v>
      </c>
      <c r="N3042">
        <v>2</v>
      </c>
      <c r="O3042">
        <v>1</v>
      </c>
      <c r="P3042">
        <v>0</v>
      </c>
      <c r="Q3042">
        <v>0</v>
      </c>
      <c r="R3042" t="s">
        <v>112</v>
      </c>
      <c r="S3042" t="str">
        <f>"14:41:02.297"</f>
        <v>14:41:02.297</v>
      </c>
      <c r="T3042" t="str">
        <f>"14:41:01.797"</f>
        <v>14:41:01.797</v>
      </c>
      <c r="U3042" t="str">
        <f t="shared" si="141"/>
        <v>ad5732</v>
      </c>
      <c r="V3042">
        <v>0</v>
      </c>
      <c r="W3042">
        <v>0</v>
      </c>
      <c r="X3042">
        <v>1</v>
      </c>
      <c r="Z3042">
        <v>0</v>
      </c>
      <c r="AA3042">
        <v>9</v>
      </c>
      <c r="AB3042">
        <v>3</v>
      </c>
      <c r="AC3042">
        <v>0</v>
      </c>
      <c r="AD3042">
        <v>10</v>
      </c>
      <c r="AE3042">
        <v>0</v>
      </c>
      <c r="AF3042">
        <v>3</v>
      </c>
      <c r="AG3042">
        <v>2</v>
      </c>
      <c r="AH3042">
        <v>0</v>
      </c>
      <c r="AI3042" t="s">
        <v>6200</v>
      </c>
      <c r="AJ3042">
        <v>40.393895999999998</v>
      </c>
      <c r="AK3042" t="s">
        <v>6201</v>
      </c>
      <c r="AL3042">
        <v>-75.005593000000005</v>
      </c>
      <c r="AM3042">
        <v>100</v>
      </c>
      <c r="AN3042">
        <v>3700</v>
      </c>
      <c r="AO3042" t="s">
        <v>115</v>
      </c>
      <c r="AP3042">
        <v>131</v>
      </c>
      <c r="AQ3042">
        <v>120</v>
      </c>
      <c r="AR3042">
        <v>-64</v>
      </c>
      <c r="AZ3042">
        <v>3614</v>
      </c>
      <c r="BA3042">
        <v>1</v>
      </c>
      <c r="BB3042" t="str">
        <f t="shared" si="143"/>
        <v xml:space="preserve">N959MJ  </v>
      </c>
      <c r="BC3042">
        <v>1</v>
      </c>
      <c r="BE3042">
        <v>0</v>
      </c>
      <c r="BF3042">
        <v>0</v>
      </c>
      <c r="BG3042">
        <v>0</v>
      </c>
      <c r="BH3042">
        <v>3850</v>
      </c>
      <c r="BI3042">
        <v>150</v>
      </c>
      <c r="BJ3042">
        <v>1</v>
      </c>
      <c r="BK3042">
        <v>1</v>
      </c>
      <c r="BL3042">
        <v>1</v>
      </c>
      <c r="BM3042">
        <v>0</v>
      </c>
      <c r="BP3042">
        <v>0</v>
      </c>
      <c r="BQ3042">
        <v>0</v>
      </c>
      <c r="BX3042" t="str">
        <f>"14:41:02.297"</f>
        <v>14:41:02.297</v>
      </c>
      <c r="BY3042" t="str">
        <f>"299389666"</f>
        <v>299389666</v>
      </c>
      <c r="CL3042">
        <v>0</v>
      </c>
      <c r="CM3042">
        <v>2</v>
      </c>
      <c r="CN3042">
        <v>0</v>
      </c>
      <c r="CO3042">
        <v>2</v>
      </c>
      <c r="CP3042">
        <v>0</v>
      </c>
      <c r="CQ3042">
        <v>7</v>
      </c>
      <c r="CR3042" t="s">
        <v>116</v>
      </c>
      <c r="CS3042">
        <v>38</v>
      </c>
      <c r="CT3042">
        <v>3</v>
      </c>
      <c r="CU3042" t="s">
        <v>4719</v>
      </c>
      <c r="CV3042" t="s">
        <v>4720</v>
      </c>
      <c r="CY3042">
        <v>10652900</v>
      </c>
      <c r="CZ3042" t="s">
        <v>119</v>
      </c>
    </row>
    <row r="3043" spans="1:104" x14ac:dyDescent="0.25">
      <c r="A3043" t="str">
        <f>"14:41:03.336"</f>
        <v>14:41:03.336</v>
      </c>
      <c r="B3043" t="s">
        <v>108</v>
      </c>
      <c r="C3043" t="str">
        <f t="shared" si="142"/>
        <v>ffdfd3c0</v>
      </c>
      <c r="D3043" t="s">
        <v>109</v>
      </c>
      <c r="E3043">
        <v>4</v>
      </c>
      <c r="F3043">
        <v>1004</v>
      </c>
      <c r="G3043" t="s">
        <v>110</v>
      </c>
      <c r="J3043" t="s">
        <v>111</v>
      </c>
      <c r="K3043">
        <v>0</v>
      </c>
      <c r="L3043">
        <v>3</v>
      </c>
      <c r="M3043">
        <v>0</v>
      </c>
      <c r="N3043">
        <v>2</v>
      </c>
      <c r="O3043">
        <v>1</v>
      </c>
      <c r="P3043">
        <v>0</v>
      </c>
      <c r="Q3043">
        <v>0</v>
      </c>
      <c r="R3043" t="s">
        <v>112</v>
      </c>
      <c r="S3043" t="str">
        <f>"14:41:03.164"</f>
        <v>14:41:03.164</v>
      </c>
      <c r="T3043" t="str">
        <f>"14:41:02.766"</f>
        <v>14:41:02.766</v>
      </c>
      <c r="U3043" t="str">
        <f t="shared" si="141"/>
        <v>ad5732</v>
      </c>
      <c r="V3043">
        <v>0</v>
      </c>
      <c r="W3043">
        <v>0</v>
      </c>
      <c r="X3043">
        <v>1</v>
      </c>
      <c r="Z3043">
        <v>0</v>
      </c>
      <c r="AA3043">
        <v>9</v>
      </c>
      <c r="AB3043">
        <v>3</v>
      </c>
      <c r="AC3043">
        <v>0</v>
      </c>
      <c r="AD3043">
        <v>10</v>
      </c>
      <c r="AE3043">
        <v>0</v>
      </c>
      <c r="AF3043">
        <v>3</v>
      </c>
      <c r="AG3043">
        <v>2</v>
      </c>
      <c r="AH3043">
        <v>0</v>
      </c>
      <c r="AI3043" t="s">
        <v>6202</v>
      </c>
      <c r="AJ3043">
        <v>40.394390000000001</v>
      </c>
      <c r="AK3043" t="s">
        <v>6203</v>
      </c>
      <c r="AL3043">
        <v>-75.004885000000002</v>
      </c>
      <c r="AM3043">
        <v>100</v>
      </c>
      <c r="AN3043">
        <v>3700</v>
      </c>
      <c r="AO3043" t="s">
        <v>115</v>
      </c>
      <c r="AP3043">
        <v>131</v>
      </c>
      <c r="AQ3043">
        <v>120</v>
      </c>
      <c r="AR3043">
        <v>-64</v>
      </c>
      <c r="AZ3043">
        <v>3614</v>
      </c>
      <c r="BA3043">
        <v>1</v>
      </c>
      <c r="BB3043" t="str">
        <f t="shared" si="143"/>
        <v xml:space="preserve">N959MJ  </v>
      </c>
      <c r="BC3043">
        <v>1</v>
      </c>
      <c r="BE3043">
        <v>0</v>
      </c>
      <c r="BF3043">
        <v>0</v>
      </c>
      <c r="BG3043">
        <v>0</v>
      </c>
      <c r="BH3043">
        <v>3850</v>
      </c>
      <c r="BI3043">
        <v>150</v>
      </c>
      <c r="BJ3043">
        <v>1</v>
      </c>
      <c r="BK3043">
        <v>1</v>
      </c>
      <c r="BL3043">
        <v>1</v>
      </c>
      <c r="BM3043">
        <v>0</v>
      </c>
      <c r="BP3043">
        <v>0</v>
      </c>
      <c r="BQ3043">
        <v>0</v>
      </c>
      <c r="BX3043" t="str">
        <f>"14:41:03.164"</f>
        <v>14:41:03.164</v>
      </c>
      <c r="BY3043" t="str">
        <f>"164479976"</f>
        <v>164479976</v>
      </c>
      <c r="CL3043">
        <v>0</v>
      </c>
      <c r="CM3043">
        <v>2</v>
      </c>
      <c r="CN3043">
        <v>0</v>
      </c>
      <c r="CO3043">
        <v>2</v>
      </c>
      <c r="CP3043">
        <v>0</v>
      </c>
      <c r="CQ3043">
        <v>7</v>
      </c>
      <c r="CR3043" t="s">
        <v>116</v>
      </c>
      <c r="CS3043">
        <v>38</v>
      </c>
      <c r="CT3043">
        <v>3</v>
      </c>
      <c r="CU3043" t="s">
        <v>4719</v>
      </c>
      <c r="CV3043" t="s">
        <v>4720</v>
      </c>
      <c r="CY3043">
        <v>10654400</v>
      </c>
      <c r="CZ3043" t="s">
        <v>119</v>
      </c>
    </row>
    <row r="3044" spans="1:104" x14ac:dyDescent="0.25">
      <c r="A3044" t="str">
        <f>"14:41:04.297"</f>
        <v>14:41:04.297</v>
      </c>
      <c r="B3044" t="s">
        <v>108</v>
      </c>
      <c r="C3044" t="str">
        <f t="shared" si="142"/>
        <v>ffdfd3c0</v>
      </c>
      <c r="D3044" t="s">
        <v>109</v>
      </c>
      <c r="E3044">
        <v>4</v>
      </c>
      <c r="F3044">
        <v>1004</v>
      </c>
      <c r="G3044" t="s">
        <v>110</v>
      </c>
      <c r="J3044" t="s">
        <v>111</v>
      </c>
      <c r="K3044">
        <v>0</v>
      </c>
      <c r="L3044">
        <v>3</v>
      </c>
      <c r="M3044">
        <v>0</v>
      </c>
      <c r="N3044">
        <v>2</v>
      </c>
      <c r="O3044">
        <v>1</v>
      </c>
      <c r="P3044">
        <v>0</v>
      </c>
      <c r="Q3044">
        <v>0</v>
      </c>
      <c r="R3044" t="s">
        <v>112</v>
      </c>
      <c r="S3044" t="str">
        <f>"14:41:04.133"</f>
        <v>14:41:04.133</v>
      </c>
      <c r="T3044" t="str">
        <f>"14:41:03.734"</f>
        <v>14:41:03.734</v>
      </c>
      <c r="U3044" t="str">
        <f t="shared" si="141"/>
        <v>ad5732</v>
      </c>
      <c r="V3044">
        <v>0</v>
      </c>
      <c r="W3044">
        <v>0</v>
      </c>
      <c r="X3044">
        <v>1</v>
      </c>
      <c r="Z3044">
        <v>0</v>
      </c>
      <c r="AA3044">
        <v>9</v>
      </c>
      <c r="AB3044">
        <v>3</v>
      </c>
      <c r="AC3044">
        <v>0</v>
      </c>
      <c r="AD3044">
        <v>10</v>
      </c>
      <c r="AE3044">
        <v>0</v>
      </c>
      <c r="AF3044">
        <v>3</v>
      </c>
      <c r="AG3044">
        <v>2</v>
      </c>
      <c r="AH3044">
        <v>0</v>
      </c>
      <c r="AI3044" t="s">
        <v>6204</v>
      </c>
      <c r="AJ3044">
        <v>40.394947999999999</v>
      </c>
      <c r="AK3044" t="s">
        <v>6205</v>
      </c>
      <c r="AL3044">
        <v>-75.004091000000003</v>
      </c>
      <c r="AM3044">
        <v>100</v>
      </c>
      <c r="AN3044">
        <v>3700</v>
      </c>
      <c r="AO3044" t="s">
        <v>115</v>
      </c>
      <c r="AP3044">
        <v>131</v>
      </c>
      <c r="AQ3044">
        <v>120</v>
      </c>
      <c r="AR3044">
        <v>0</v>
      </c>
      <c r="AZ3044">
        <v>3614</v>
      </c>
      <c r="BA3044">
        <v>1</v>
      </c>
      <c r="BB3044" t="str">
        <f t="shared" si="143"/>
        <v xml:space="preserve">N959MJ  </v>
      </c>
      <c r="BC3044">
        <v>1</v>
      </c>
      <c r="BE3044">
        <v>0</v>
      </c>
      <c r="BF3044">
        <v>0</v>
      </c>
      <c r="BG3044">
        <v>0</v>
      </c>
      <c r="BH3044">
        <v>3850</v>
      </c>
      <c r="BI3044">
        <v>150</v>
      </c>
      <c r="BJ3044">
        <v>1</v>
      </c>
      <c r="BK3044">
        <v>1</v>
      </c>
      <c r="BL3044">
        <v>1</v>
      </c>
      <c r="BM3044">
        <v>0</v>
      </c>
      <c r="BP3044">
        <v>0</v>
      </c>
      <c r="BQ3044">
        <v>0</v>
      </c>
      <c r="BX3044" t="str">
        <f>"14:41:04.141"</f>
        <v>14:41:04.141</v>
      </c>
      <c r="BY3044" t="str">
        <f>"137706475"</f>
        <v>137706475</v>
      </c>
      <c r="CL3044">
        <v>0</v>
      </c>
      <c r="CM3044">
        <v>2</v>
      </c>
      <c r="CN3044">
        <v>0</v>
      </c>
      <c r="CO3044">
        <v>2</v>
      </c>
      <c r="CP3044">
        <v>0</v>
      </c>
      <c r="CQ3044">
        <v>7</v>
      </c>
      <c r="CR3044" t="s">
        <v>116</v>
      </c>
      <c r="CS3044">
        <v>38</v>
      </c>
      <c r="CT3044">
        <v>3</v>
      </c>
      <c r="CU3044" t="s">
        <v>4719</v>
      </c>
      <c r="CV3044" t="s">
        <v>4720</v>
      </c>
      <c r="CY3044">
        <v>10656258</v>
      </c>
      <c r="CZ3044" t="s">
        <v>119</v>
      </c>
    </row>
    <row r="3045" spans="1:104" x14ac:dyDescent="0.25">
      <c r="A3045" t="str">
        <f>"14:41:05.461"</f>
        <v>14:41:05.461</v>
      </c>
      <c r="B3045" t="s">
        <v>108</v>
      </c>
      <c r="C3045" t="str">
        <f t="shared" si="142"/>
        <v>ffdfd3c0</v>
      </c>
      <c r="D3045" t="s">
        <v>109</v>
      </c>
      <c r="E3045">
        <v>4</v>
      </c>
      <c r="F3045">
        <v>1004</v>
      </c>
      <c r="G3045" t="s">
        <v>110</v>
      </c>
      <c r="J3045" t="s">
        <v>111</v>
      </c>
      <c r="K3045">
        <v>0</v>
      </c>
      <c r="L3045">
        <v>3</v>
      </c>
      <c r="M3045">
        <v>0</v>
      </c>
      <c r="N3045">
        <v>2</v>
      </c>
      <c r="O3045">
        <v>1</v>
      </c>
      <c r="P3045">
        <v>0</v>
      </c>
      <c r="Q3045">
        <v>0</v>
      </c>
      <c r="R3045" t="s">
        <v>112</v>
      </c>
      <c r="S3045" t="str">
        <f>"14:41:05.273"</f>
        <v>14:41:05.273</v>
      </c>
      <c r="T3045" t="str">
        <f>"14:41:04.773"</f>
        <v>14:41:04.773</v>
      </c>
      <c r="U3045" t="str">
        <f t="shared" si="141"/>
        <v>ad5732</v>
      </c>
      <c r="V3045">
        <v>0</v>
      </c>
      <c r="W3045">
        <v>0</v>
      </c>
      <c r="X3045">
        <v>1</v>
      </c>
      <c r="Z3045">
        <v>0</v>
      </c>
      <c r="AA3045">
        <v>9</v>
      </c>
      <c r="AB3045">
        <v>3</v>
      </c>
      <c r="AC3045">
        <v>0</v>
      </c>
      <c r="AD3045">
        <v>10</v>
      </c>
      <c r="AE3045">
        <v>0</v>
      </c>
      <c r="AF3045">
        <v>3</v>
      </c>
      <c r="AG3045">
        <v>2</v>
      </c>
      <c r="AH3045">
        <v>0</v>
      </c>
      <c r="AI3045" t="s">
        <v>6206</v>
      </c>
      <c r="AJ3045">
        <v>40.395569999999999</v>
      </c>
      <c r="AK3045" t="s">
        <v>6207</v>
      </c>
      <c r="AL3045">
        <v>-75.003232999999994</v>
      </c>
      <c r="AM3045">
        <v>100</v>
      </c>
      <c r="AN3045">
        <v>3700</v>
      </c>
      <c r="AO3045" t="s">
        <v>115</v>
      </c>
      <c r="AP3045">
        <v>131</v>
      </c>
      <c r="AQ3045">
        <v>120</v>
      </c>
      <c r="AR3045">
        <v>0</v>
      </c>
      <c r="AZ3045">
        <v>3614</v>
      </c>
      <c r="BA3045">
        <v>1</v>
      </c>
      <c r="BB3045" t="str">
        <f t="shared" si="143"/>
        <v xml:space="preserve">N959MJ  </v>
      </c>
      <c r="BC3045">
        <v>1</v>
      </c>
      <c r="BE3045">
        <v>0</v>
      </c>
      <c r="BF3045">
        <v>0</v>
      </c>
      <c r="BG3045">
        <v>0</v>
      </c>
      <c r="BH3045">
        <v>3850</v>
      </c>
      <c r="BI3045">
        <v>150</v>
      </c>
      <c r="BJ3045">
        <v>1</v>
      </c>
      <c r="BK3045">
        <v>1</v>
      </c>
      <c r="BL3045">
        <v>1</v>
      </c>
      <c r="BM3045">
        <v>0</v>
      </c>
      <c r="BP3045">
        <v>0</v>
      </c>
      <c r="BQ3045">
        <v>0</v>
      </c>
      <c r="BX3045" t="str">
        <f>"14:41:05.273"</f>
        <v>14:41:05.273</v>
      </c>
      <c r="BY3045" t="str">
        <f>"276414307"</f>
        <v>276414307</v>
      </c>
      <c r="CL3045">
        <v>0</v>
      </c>
      <c r="CM3045">
        <v>2</v>
      </c>
      <c r="CN3045">
        <v>0</v>
      </c>
      <c r="CO3045">
        <v>2</v>
      </c>
      <c r="CP3045">
        <v>0</v>
      </c>
      <c r="CQ3045">
        <v>7</v>
      </c>
      <c r="CR3045" t="s">
        <v>116</v>
      </c>
      <c r="CS3045">
        <v>38</v>
      </c>
      <c r="CT3045">
        <v>3</v>
      </c>
      <c r="CU3045" t="s">
        <v>4719</v>
      </c>
      <c r="CV3045" t="s">
        <v>4720</v>
      </c>
      <c r="CY3045">
        <v>10658225</v>
      </c>
      <c r="CZ3045" t="s">
        <v>119</v>
      </c>
    </row>
    <row r="3046" spans="1:104" x14ac:dyDescent="0.25">
      <c r="A3046" t="str">
        <f>"14:41:06.570"</f>
        <v>14:41:06.570</v>
      </c>
      <c r="B3046" t="s">
        <v>108</v>
      </c>
      <c r="C3046" t="str">
        <f t="shared" si="142"/>
        <v>ffdfd3c0</v>
      </c>
      <c r="D3046" t="s">
        <v>109</v>
      </c>
      <c r="E3046">
        <v>4</v>
      </c>
      <c r="F3046">
        <v>1004</v>
      </c>
      <c r="G3046" t="s">
        <v>110</v>
      </c>
      <c r="J3046" t="s">
        <v>111</v>
      </c>
      <c r="K3046">
        <v>0</v>
      </c>
      <c r="L3046">
        <v>3</v>
      </c>
      <c r="M3046">
        <v>0</v>
      </c>
      <c r="N3046">
        <v>2</v>
      </c>
      <c r="O3046">
        <v>1</v>
      </c>
      <c r="P3046">
        <v>0</v>
      </c>
      <c r="Q3046">
        <v>0</v>
      </c>
      <c r="R3046" t="s">
        <v>112</v>
      </c>
      <c r="S3046" t="str">
        <f>"14:41:06.398"</f>
        <v>14:41:06.398</v>
      </c>
      <c r="T3046" t="str">
        <f>"14:41:05.898"</f>
        <v>14:41:05.898</v>
      </c>
      <c r="U3046" t="str">
        <f t="shared" si="141"/>
        <v>ad5732</v>
      </c>
      <c r="V3046">
        <v>0</v>
      </c>
      <c r="W3046">
        <v>0</v>
      </c>
      <c r="X3046">
        <v>1</v>
      </c>
      <c r="Z3046">
        <v>0</v>
      </c>
      <c r="AA3046">
        <v>9</v>
      </c>
      <c r="AB3046">
        <v>3</v>
      </c>
      <c r="AC3046">
        <v>0</v>
      </c>
      <c r="AD3046">
        <v>10</v>
      </c>
      <c r="AE3046">
        <v>0</v>
      </c>
      <c r="AF3046">
        <v>3</v>
      </c>
      <c r="AG3046">
        <v>2</v>
      </c>
      <c r="AH3046">
        <v>0</v>
      </c>
      <c r="AI3046" t="s">
        <v>6208</v>
      </c>
      <c r="AJ3046">
        <v>40.396171000000002</v>
      </c>
      <c r="AK3046" t="s">
        <v>6209</v>
      </c>
      <c r="AL3046">
        <v>-75.002309999999994</v>
      </c>
      <c r="AM3046">
        <v>100</v>
      </c>
      <c r="AN3046">
        <v>3700</v>
      </c>
      <c r="AO3046" t="s">
        <v>115</v>
      </c>
      <c r="AP3046">
        <v>131</v>
      </c>
      <c r="AQ3046">
        <v>120</v>
      </c>
      <c r="AR3046">
        <v>0</v>
      </c>
      <c r="AZ3046">
        <v>3614</v>
      </c>
      <c r="BA3046">
        <v>1</v>
      </c>
      <c r="BB3046" t="str">
        <f t="shared" si="143"/>
        <v xml:space="preserve">N959MJ  </v>
      </c>
      <c r="BC3046">
        <v>1</v>
      </c>
      <c r="BE3046">
        <v>0</v>
      </c>
      <c r="BF3046">
        <v>0</v>
      </c>
      <c r="BG3046">
        <v>0</v>
      </c>
      <c r="BH3046">
        <v>3850</v>
      </c>
      <c r="BI3046">
        <v>150</v>
      </c>
      <c r="BJ3046">
        <v>1</v>
      </c>
      <c r="BK3046">
        <v>1</v>
      </c>
      <c r="BL3046">
        <v>1</v>
      </c>
      <c r="BM3046">
        <v>0</v>
      </c>
      <c r="BP3046">
        <v>0</v>
      </c>
      <c r="BQ3046">
        <v>0</v>
      </c>
      <c r="BX3046" t="str">
        <f>"14:41:06.398"</f>
        <v>14:41:06.398</v>
      </c>
      <c r="BY3046" t="str">
        <f>"402014760"</f>
        <v>402014760</v>
      </c>
      <c r="CL3046">
        <v>0</v>
      </c>
      <c r="CM3046">
        <v>2</v>
      </c>
      <c r="CN3046">
        <v>0</v>
      </c>
      <c r="CO3046">
        <v>2</v>
      </c>
      <c r="CP3046">
        <v>0</v>
      </c>
      <c r="CQ3046">
        <v>7</v>
      </c>
      <c r="CR3046" t="s">
        <v>116</v>
      </c>
      <c r="CS3046">
        <v>38</v>
      </c>
      <c r="CT3046">
        <v>3</v>
      </c>
      <c r="CU3046" t="s">
        <v>4719</v>
      </c>
      <c r="CV3046" t="s">
        <v>4720</v>
      </c>
      <c r="CY3046">
        <v>10660064</v>
      </c>
      <c r="CZ3046" t="s">
        <v>119</v>
      </c>
    </row>
    <row r="3047" spans="1:104" x14ac:dyDescent="0.25">
      <c r="A3047" t="str">
        <f>"14:41:07.578"</f>
        <v>14:41:07.578</v>
      </c>
      <c r="B3047" t="s">
        <v>108</v>
      </c>
      <c r="C3047" t="str">
        <f t="shared" si="142"/>
        <v>ffdfd3c0</v>
      </c>
      <c r="D3047" t="s">
        <v>109</v>
      </c>
      <c r="E3047">
        <v>4</v>
      </c>
      <c r="F3047">
        <v>1004</v>
      </c>
      <c r="G3047" t="s">
        <v>110</v>
      </c>
      <c r="J3047" t="s">
        <v>111</v>
      </c>
      <c r="K3047">
        <v>0</v>
      </c>
      <c r="L3047">
        <v>3</v>
      </c>
      <c r="M3047">
        <v>0</v>
      </c>
      <c r="N3047">
        <v>2</v>
      </c>
      <c r="O3047">
        <v>1</v>
      </c>
      <c r="P3047">
        <v>0</v>
      </c>
      <c r="Q3047">
        <v>0</v>
      </c>
      <c r="R3047" t="s">
        <v>112</v>
      </c>
      <c r="S3047" t="str">
        <f>"14:41:07.406"</f>
        <v>14:41:07.406</v>
      </c>
      <c r="T3047" t="str">
        <f>"14:41:07.008"</f>
        <v>14:41:07.008</v>
      </c>
      <c r="U3047" t="str">
        <f t="shared" si="141"/>
        <v>ad5732</v>
      </c>
      <c r="V3047">
        <v>0</v>
      </c>
      <c r="W3047">
        <v>0</v>
      </c>
      <c r="X3047">
        <v>1</v>
      </c>
      <c r="Z3047">
        <v>0</v>
      </c>
      <c r="AA3047">
        <v>9</v>
      </c>
      <c r="AB3047">
        <v>3</v>
      </c>
      <c r="AC3047">
        <v>0</v>
      </c>
      <c r="AD3047">
        <v>10</v>
      </c>
      <c r="AE3047">
        <v>0</v>
      </c>
      <c r="AF3047">
        <v>3</v>
      </c>
      <c r="AG3047">
        <v>2</v>
      </c>
      <c r="AH3047">
        <v>0</v>
      </c>
      <c r="AI3047" t="s">
        <v>6210</v>
      </c>
      <c r="AJ3047">
        <v>40.396729000000001</v>
      </c>
      <c r="AK3047" t="s">
        <v>6211</v>
      </c>
      <c r="AL3047">
        <v>-75.001515999999995</v>
      </c>
      <c r="AM3047">
        <v>100</v>
      </c>
      <c r="AN3047">
        <v>3700</v>
      </c>
      <c r="AO3047" t="s">
        <v>115</v>
      </c>
      <c r="AP3047">
        <v>131</v>
      </c>
      <c r="AQ3047">
        <v>120</v>
      </c>
      <c r="AR3047">
        <v>0</v>
      </c>
      <c r="AZ3047">
        <v>3614</v>
      </c>
      <c r="BA3047">
        <v>1</v>
      </c>
      <c r="BB3047" t="str">
        <f t="shared" si="143"/>
        <v xml:space="preserve">N959MJ  </v>
      </c>
      <c r="BC3047">
        <v>1</v>
      </c>
      <c r="BE3047">
        <v>0</v>
      </c>
      <c r="BF3047">
        <v>0</v>
      </c>
      <c r="BG3047">
        <v>0</v>
      </c>
      <c r="BH3047">
        <v>3850</v>
      </c>
      <c r="BI3047">
        <v>150</v>
      </c>
      <c r="BJ3047">
        <v>1</v>
      </c>
      <c r="BK3047">
        <v>1</v>
      </c>
      <c r="BL3047">
        <v>1</v>
      </c>
      <c r="BM3047">
        <v>0</v>
      </c>
      <c r="BP3047">
        <v>0</v>
      </c>
      <c r="BQ3047">
        <v>0</v>
      </c>
      <c r="BX3047" t="str">
        <f>"14:41:07.406"</f>
        <v>14:41:07.406</v>
      </c>
      <c r="BY3047" t="str">
        <f>"408009831"</f>
        <v>408009831</v>
      </c>
      <c r="CL3047">
        <v>0</v>
      </c>
      <c r="CM3047">
        <v>2</v>
      </c>
      <c r="CN3047">
        <v>0</v>
      </c>
      <c r="CO3047">
        <v>2</v>
      </c>
      <c r="CP3047">
        <v>0</v>
      </c>
      <c r="CQ3047">
        <v>7</v>
      </c>
      <c r="CR3047" t="s">
        <v>116</v>
      </c>
      <c r="CS3047">
        <v>38</v>
      </c>
      <c r="CT3047">
        <v>3</v>
      </c>
      <c r="CU3047" t="s">
        <v>4719</v>
      </c>
      <c r="CV3047" t="s">
        <v>4720</v>
      </c>
      <c r="CY3047">
        <v>10661988</v>
      </c>
      <c r="CZ3047" t="s">
        <v>119</v>
      </c>
    </row>
    <row r="3048" spans="1:104" x14ac:dyDescent="0.25">
      <c r="A3048" t="str">
        <f>"14:41:08.586"</f>
        <v>14:41:08.586</v>
      </c>
      <c r="B3048" t="s">
        <v>108</v>
      </c>
      <c r="C3048" t="str">
        <f t="shared" si="142"/>
        <v>ffdfd3c0</v>
      </c>
      <c r="D3048" t="s">
        <v>109</v>
      </c>
      <c r="E3048">
        <v>4</v>
      </c>
      <c r="F3048">
        <v>1004</v>
      </c>
      <c r="G3048" t="s">
        <v>110</v>
      </c>
      <c r="J3048" t="s">
        <v>111</v>
      </c>
      <c r="K3048">
        <v>0</v>
      </c>
      <c r="L3048">
        <v>3</v>
      </c>
      <c r="M3048">
        <v>0</v>
      </c>
      <c r="N3048">
        <v>2</v>
      </c>
      <c r="O3048">
        <v>1</v>
      </c>
      <c r="P3048">
        <v>0</v>
      </c>
      <c r="Q3048">
        <v>0</v>
      </c>
      <c r="R3048" t="s">
        <v>112</v>
      </c>
      <c r="S3048" t="str">
        <f>"14:41:08.406"</f>
        <v>14:41:08.406</v>
      </c>
      <c r="T3048" t="str">
        <f>"14:41:08.008"</f>
        <v>14:41:08.008</v>
      </c>
      <c r="U3048" t="str">
        <f t="shared" si="141"/>
        <v>ad5732</v>
      </c>
      <c r="V3048">
        <v>0</v>
      </c>
      <c r="W3048">
        <v>0</v>
      </c>
      <c r="X3048">
        <v>1</v>
      </c>
      <c r="Z3048">
        <v>0</v>
      </c>
      <c r="AA3048">
        <v>9</v>
      </c>
      <c r="AB3048">
        <v>3</v>
      </c>
      <c r="AC3048">
        <v>0</v>
      </c>
      <c r="AD3048">
        <v>10</v>
      </c>
      <c r="AE3048">
        <v>0</v>
      </c>
      <c r="AF3048">
        <v>3</v>
      </c>
      <c r="AG3048">
        <v>2</v>
      </c>
      <c r="AH3048">
        <v>0</v>
      </c>
      <c r="AI3048" t="s">
        <v>6212</v>
      </c>
      <c r="AJ3048">
        <v>40.397286000000001</v>
      </c>
      <c r="AK3048" t="s">
        <v>6213</v>
      </c>
      <c r="AL3048">
        <v>-75.000721999999996</v>
      </c>
      <c r="AM3048">
        <v>100</v>
      </c>
      <c r="AN3048">
        <v>3700</v>
      </c>
      <c r="AO3048" t="s">
        <v>115</v>
      </c>
      <c r="AP3048">
        <v>131</v>
      </c>
      <c r="AQ3048">
        <v>120</v>
      </c>
      <c r="AR3048">
        <v>0</v>
      </c>
      <c r="AZ3048">
        <v>3614</v>
      </c>
      <c r="BA3048">
        <v>1</v>
      </c>
      <c r="BB3048" t="str">
        <f t="shared" si="143"/>
        <v xml:space="preserve">N959MJ  </v>
      </c>
      <c r="BC3048">
        <v>1</v>
      </c>
      <c r="BE3048">
        <v>0</v>
      </c>
      <c r="BF3048">
        <v>0</v>
      </c>
      <c r="BG3048">
        <v>0</v>
      </c>
      <c r="BH3048">
        <v>3850</v>
      </c>
      <c r="BI3048">
        <v>150</v>
      </c>
      <c r="BJ3048">
        <v>1</v>
      </c>
      <c r="BK3048">
        <v>1</v>
      </c>
      <c r="BL3048">
        <v>1</v>
      </c>
      <c r="BM3048">
        <v>0</v>
      </c>
      <c r="BP3048">
        <v>0</v>
      </c>
      <c r="BQ3048">
        <v>0</v>
      </c>
      <c r="BX3048" t="str">
        <f>"14:41:08.406"</f>
        <v>14:41:08.406</v>
      </c>
      <c r="BY3048" t="str">
        <f>"407451320"</f>
        <v>407451320</v>
      </c>
      <c r="CL3048">
        <v>0</v>
      </c>
      <c r="CM3048">
        <v>2</v>
      </c>
      <c r="CN3048">
        <v>0</v>
      </c>
      <c r="CO3048">
        <v>2</v>
      </c>
      <c r="CP3048">
        <v>0</v>
      </c>
      <c r="CQ3048">
        <v>7</v>
      </c>
      <c r="CR3048" t="s">
        <v>116</v>
      </c>
      <c r="CS3048">
        <v>38</v>
      </c>
      <c r="CT3048">
        <v>3</v>
      </c>
      <c r="CU3048" t="s">
        <v>4719</v>
      </c>
      <c r="CV3048" t="s">
        <v>4720</v>
      </c>
      <c r="CY3048">
        <v>10663777</v>
      </c>
      <c r="CZ3048" t="s">
        <v>119</v>
      </c>
    </row>
    <row r="3049" spans="1:104" x14ac:dyDescent="0.25">
      <c r="A3049" t="str">
        <f>"14:41:09.648"</f>
        <v>14:41:09.648</v>
      </c>
      <c r="B3049" t="s">
        <v>108</v>
      </c>
      <c r="C3049" t="str">
        <f t="shared" si="142"/>
        <v>ffdfd3c0</v>
      </c>
      <c r="D3049" t="s">
        <v>109</v>
      </c>
      <c r="E3049">
        <v>4</v>
      </c>
      <c r="F3049">
        <v>1004</v>
      </c>
      <c r="G3049" t="s">
        <v>110</v>
      </c>
      <c r="J3049" t="s">
        <v>111</v>
      </c>
      <c r="K3049">
        <v>0</v>
      </c>
      <c r="L3049">
        <v>3</v>
      </c>
      <c r="M3049">
        <v>0</v>
      </c>
      <c r="N3049">
        <v>2</v>
      </c>
      <c r="O3049">
        <v>1</v>
      </c>
      <c r="P3049">
        <v>0</v>
      </c>
      <c r="Q3049">
        <v>0</v>
      </c>
      <c r="R3049" t="s">
        <v>112</v>
      </c>
      <c r="S3049" t="str">
        <f>"14:41:09.469"</f>
        <v>14:41:09.469</v>
      </c>
      <c r="T3049" t="str">
        <f>"14:41:09.070"</f>
        <v>14:41:09.070</v>
      </c>
      <c r="U3049" t="str">
        <f t="shared" si="141"/>
        <v>ad5732</v>
      </c>
      <c r="V3049">
        <v>0</v>
      </c>
      <c r="W3049">
        <v>0</v>
      </c>
      <c r="X3049">
        <v>1</v>
      </c>
      <c r="Z3049">
        <v>0</v>
      </c>
      <c r="AA3049">
        <v>9</v>
      </c>
      <c r="AB3049">
        <v>3</v>
      </c>
      <c r="AC3049">
        <v>0</v>
      </c>
      <c r="AD3049">
        <v>10</v>
      </c>
      <c r="AE3049">
        <v>0</v>
      </c>
      <c r="AF3049">
        <v>3</v>
      </c>
      <c r="AG3049">
        <v>2</v>
      </c>
      <c r="AH3049">
        <v>0</v>
      </c>
      <c r="AI3049" t="s">
        <v>6214</v>
      </c>
      <c r="AJ3049">
        <v>40.397886999999997</v>
      </c>
      <c r="AK3049" t="s">
        <v>6215</v>
      </c>
      <c r="AL3049">
        <v>-74.999864000000002</v>
      </c>
      <c r="AM3049">
        <v>100</v>
      </c>
      <c r="AN3049">
        <v>3700</v>
      </c>
      <c r="AO3049" t="s">
        <v>115</v>
      </c>
      <c r="AP3049">
        <v>131</v>
      </c>
      <c r="AQ3049">
        <v>120</v>
      </c>
      <c r="AR3049">
        <v>0</v>
      </c>
      <c r="AZ3049">
        <v>3614</v>
      </c>
      <c r="BA3049">
        <v>1</v>
      </c>
      <c r="BB3049" t="str">
        <f t="shared" si="143"/>
        <v xml:space="preserve">N959MJ  </v>
      </c>
      <c r="BC3049">
        <v>1</v>
      </c>
      <c r="BE3049">
        <v>0</v>
      </c>
      <c r="BF3049">
        <v>0</v>
      </c>
      <c r="BG3049">
        <v>0</v>
      </c>
      <c r="BH3049">
        <v>3850</v>
      </c>
      <c r="BI3049">
        <v>150</v>
      </c>
      <c r="BJ3049">
        <v>1</v>
      </c>
      <c r="BK3049">
        <v>1</v>
      </c>
      <c r="BL3049">
        <v>1</v>
      </c>
      <c r="BM3049">
        <v>0</v>
      </c>
      <c r="BP3049">
        <v>0</v>
      </c>
      <c r="BQ3049">
        <v>0</v>
      </c>
      <c r="BX3049" t="str">
        <f>"14:41:09.477"</f>
        <v>14:41:09.477</v>
      </c>
      <c r="BY3049" t="str">
        <f>"475706651"</f>
        <v>475706651</v>
      </c>
      <c r="CL3049">
        <v>0</v>
      </c>
      <c r="CM3049">
        <v>2</v>
      </c>
      <c r="CN3049">
        <v>0</v>
      </c>
      <c r="CO3049">
        <v>2</v>
      </c>
      <c r="CP3049">
        <v>0</v>
      </c>
      <c r="CQ3049">
        <v>7</v>
      </c>
      <c r="CR3049" t="s">
        <v>116</v>
      </c>
      <c r="CS3049">
        <v>38</v>
      </c>
      <c r="CT3049">
        <v>3</v>
      </c>
      <c r="CU3049" t="s">
        <v>4719</v>
      </c>
      <c r="CV3049" t="s">
        <v>4720</v>
      </c>
      <c r="CY3049">
        <v>10665658</v>
      </c>
      <c r="CZ3049" t="s">
        <v>119</v>
      </c>
    </row>
    <row r="3050" spans="1:104" x14ac:dyDescent="0.25">
      <c r="A3050" t="str">
        <f>"14:41:10.813"</f>
        <v>14:41:10.813</v>
      </c>
      <c r="B3050" t="s">
        <v>108</v>
      </c>
      <c r="C3050" t="str">
        <f t="shared" si="142"/>
        <v>ffdfd3c0</v>
      </c>
      <c r="D3050" t="s">
        <v>109</v>
      </c>
      <c r="E3050">
        <v>4</v>
      </c>
      <c r="F3050">
        <v>1004</v>
      </c>
      <c r="G3050" t="s">
        <v>110</v>
      </c>
      <c r="J3050" t="s">
        <v>111</v>
      </c>
      <c r="K3050">
        <v>0</v>
      </c>
      <c r="L3050">
        <v>3</v>
      </c>
      <c r="M3050">
        <v>0</v>
      </c>
      <c r="N3050">
        <v>2</v>
      </c>
      <c r="O3050">
        <v>1</v>
      </c>
      <c r="P3050">
        <v>0</v>
      </c>
      <c r="Q3050">
        <v>0</v>
      </c>
      <c r="R3050" t="s">
        <v>112</v>
      </c>
      <c r="S3050" t="str">
        <f>"14:41:10.617"</f>
        <v>14:41:10.617</v>
      </c>
      <c r="T3050" t="str">
        <f>"14:41:10.117"</f>
        <v>14:41:10.117</v>
      </c>
      <c r="U3050" t="str">
        <f t="shared" si="141"/>
        <v>ad5732</v>
      </c>
      <c r="V3050">
        <v>0</v>
      </c>
      <c r="W3050">
        <v>0</v>
      </c>
      <c r="X3050">
        <v>1</v>
      </c>
      <c r="Z3050">
        <v>0</v>
      </c>
      <c r="AA3050">
        <v>9</v>
      </c>
      <c r="AB3050">
        <v>3</v>
      </c>
      <c r="AC3050">
        <v>0</v>
      </c>
      <c r="AD3050">
        <v>10</v>
      </c>
      <c r="AE3050">
        <v>0</v>
      </c>
      <c r="AF3050">
        <v>3</v>
      </c>
      <c r="AG3050">
        <v>2</v>
      </c>
      <c r="AH3050">
        <v>0</v>
      </c>
      <c r="AI3050" t="s">
        <v>6216</v>
      </c>
      <c r="AJ3050">
        <v>40.398595</v>
      </c>
      <c r="AK3050" t="s">
        <v>6217</v>
      </c>
      <c r="AL3050">
        <v>-74.998919999999998</v>
      </c>
      <c r="AM3050">
        <v>100</v>
      </c>
      <c r="AN3050">
        <v>3700</v>
      </c>
      <c r="AO3050" t="s">
        <v>115</v>
      </c>
      <c r="AP3050">
        <v>131</v>
      </c>
      <c r="AQ3050">
        <v>120</v>
      </c>
      <c r="AR3050">
        <v>64</v>
      </c>
      <c r="AZ3050">
        <v>3614</v>
      </c>
      <c r="BA3050">
        <v>1</v>
      </c>
      <c r="BB3050" t="str">
        <f t="shared" si="143"/>
        <v xml:space="preserve">N959MJ  </v>
      </c>
      <c r="BC3050">
        <v>1</v>
      </c>
      <c r="BE3050">
        <v>0</v>
      </c>
      <c r="BF3050">
        <v>0</v>
      </c>
      <c r="BG3050">
        <v>0</v>
      </c>
      <c r="BH3050">
        <v>3850</v>
      </c>
      <c r="BI3050">
        <v>150</v>
      </c>
      <c r="BJ3050">
        <v>1</v>
      </c>
      <c r="BK3050">
        <v>1</v>
      </c>
      <c r="BL3050">
        <v>1</v>
      </c>
      <c r="BM3050">
        <v>0</v>
      </c>
      <c r="BP3050">
        <v>0</v>
      </c>
      <c r="BQ3050">
        <v>0</v>
      </c>
      <c r="BX3050" t="str">
        <f>"14:41:10.617"</f>
        <v>14:41:10.617</v>
      </c>
      <c r="BY3050" t="str">
        <f>"617691351"</f>
        <v>617691351</v>
      </c>
      <c r="CL3050">
        <v>0</v>
      </c>
      <c r="CM3050">
        <v>2</v>
      </c>
      <c r="CN3050">
        <v>0</v>
      </c>
      <c r="CO3050">
        <v>2</v>
      </c>
      <c r="CP3050">
        <v>0</v>
      </c>
      <c r="CQ3050">
        <v>7</v>
      </c>
      <c r="CR3050" t="s">
        <v>116</v>
      </c>
      <c r="CS3050">
        <v>38</v>
      </c>
      <c r="CT3050">
        <v>3</v>
      </c>
      <c r="CU3050" t="s">
        <v>4719</v>
      </c>
      <c r="CV3050" t="s">
        <v>4720</v>
      </c>
      <c r="CY3050">
        <v>10667497</v>
      </c>
      <c r="CZ3050" t="s">
        <v>119</v>
      </c>
    </row>
    <row r="3051" spans="1:104" x14ac:dyDescent="0.25">
      <c r="A3051" t="str">
        <f>"14:41:11.867"</f>
        <v>14:41:11.867</v>
      </c>
      <c r="B3051" t="s">
        <v>108</v>
      </c>
      <c r="C3051" t="str">
        <f t="shared" si="142"/>
        <v>ffdfd3c0</v>
      </c>
      <c r="D3051" t="s">
        <v>109</v>
      </c>
      <c r="E3051">
        <v>4</v>
      </c>
      <c r="F3051">
        <v>1004</v>
      </c>
      <c r="G3051" t="s">
        <v>110</v>
      </c>
      <c r="J3051" t="s">
        <v>111</v>
      </c>
      <c r="K3051">
        <v>0</v>
      </c>
      <c r="L3051">
        <v>3</v>
      </c>
      <c r="M3051">
        <v>0</v>
      </c>
      <c r="N3051">
        <v>2</v>
      </c>
      <c r="O3051">
        <v>1</v>
      </c>
      <c r="P3051">
        <v>0</v>
      </c>
      <c r="Q3051">
        <v>0</v>
      </c>
      <c r="R3051" t="s">
        <v>112</v>
      </c>
      <c r="S3051" t="str">
        <f>"14:41:11.688"</f>
        <v>14:41:11.688</v>
      </c>
      <c r="T3051" t="str">
        <f>"14:41:11.289"</f>
        <v>14:41:11.289</v>
      </c>
      <c r="U3051" t="str">
        <f t="shared" si="141"/>
        <v>ad5732</v>
      </c>
      <c r="V3051">
        <v>0</v>
      </c>
      <c r="W3051">
        <v>0</v>
      </c>
      <c r="X3051">
        <v>1</v>
      </c>
      <c r="Z3051">
        <v>0</v>
      </c>
      <c r="AA3051">
        <v>9</v>
      </c>
      <c r="AB3051">
        <v>3</v>
      </c>
      <c r="AC3051">
        <v>0</v>
      </c>
      <c r="AD3051">
        <v>10</v>
      </c>
      <c r="AE3051">
        <v>0</v>
      </c>
      <c r="AF3051">
        <v>3</v>
      </c>
      <c r="AG3051">
        <v>2</v>
      </c>
      <c r="AH3051">
        <v>0</v>
      </c>
      <c r="AI3051" t="s">
        <v>6218</v>
      </c>
      <c r="AJ3051">
        <v>40.399152999999998</v>
      </c>
      <c r="AK3051" t="s">
        <v>6219</v>
      </c>
      <c r="AL3051">
        <v>-74.998104999999995</v>
      </c>
      <c r="AM3051">
        <v>100</v>
      </c>
      <c r="AN3051">
        <v>3700</v>
      </c>
      <c r="AO3051" t="s">
        <v>115</v>
      </c>
      <c r="AP3051">
        <v>131</v>
      </c>
      <c r="AQ3051">
        <v>120</v>
      </c>
      <c r="AR3051">
        <v>64</v>
      </c>
      <c r="AZ3051">
        <v>3614</v>
      </c>
      <c r="BA3051">
        <v>1</v>
      </c>
      <c r="BB3051" t="str">
        <f t="shared" si="143"/>
        <v xml:space="preserve">N959MJ  </v>
      </c>
      <c r="BC3051">
        <v>1</v>
      </c>
      <c r="BE3051">
        <v>0</v>
      </c>
      <c r="BF3051">
        <v>0</v>
      </c>
      <c r="BG3051">
        <v>0</v>
      </c>
      <c r="BH3051">
        <v>3850</v>
      </c>
      <c r="BI3051">
        <v>150</v>
      </c>
      <c r="BJ3051">
        <v>1</v>
      </c>
      <c r="BK3051">
        <v>1</v>
      </c>
      <c r="BL3051">
        <v>1</v>
      </c>
      <c r="BM3051">
        <v>0</v>
      </c>
      <c r="BP3051">
        <v>0</v>
      </c>
      <c r="BQ3051">
        <v>0</v>
      </c>
      <c r="BX3051" t="str">
        <f>"14:41:11.688"</f>
        <v>14:41:11.688</v>
      </c>
      <c r="BY3051" t="str">
        <f>"690862044"</f>
        <v>690862044</v>
      </c>
      <c r="CL3051">
        <v>0</v>
      </c>
      <c r="CM3051">
        <v>2</v>
      </c>
      <c r="CN3051">
        <v>0</v>
      </c>
      <c r="CO3051">
        <v>2</v>
      </c>
      <c r="CP3051">
        <v>0</v>
      </c>
      <c r="CQ3051">
        <v>7</v>
      </c>
      <c r="CR3051" t="s">
        <v>116</v>
      </c>
      <c r="CS3051">
        <v>38</v>
      </c>
      <c r="CT3051">
        <v>3</v>
      </c>
      <c r="CU3051" t="s">
        <v>4719</v>
      </c>
      <c r="CV3051" t="s">
        <v>4720</v>
      </c>
      <c r="CY3051">
        <v>10669417</v>
      </c>
      <c r="CZ3051" t="s">
        <v>119</v>
      </c>
    </row>
    <row r="3052" spans="1:104" x14ac:dyDescent="0.25">
      <c r="A3052" t="str">
        <f>"14:41:12.875"</f>
        <v>14:41:12.875</v>
      </c>
      <c r="B3052" t="s">
        <v>108</v>
      </c>
      <c r="C3052" t="str">
        <f t="shared" si="142"/>
        <v>ffdfd3c0</v>
      </c>
      <c r="D3052" t="s">
        <v>109</v>
      </c>
      <c r="E3052">
        <v>4</v>
      </c>
      <c r="F3052">
        <v>1004</v>
      </c>
      <c r="G3052" t="s">
        <v>110</v>
      </c>
      <c r="J3052" t="s">
        <v>111</v>
      </c>
      <c r="K3052">
        <v>0</v>
      </c>
      <c r="L3052">
        <v>3</v>
      </c>
      <c r="M3052">
        <v>0</v>
      </c>
      <c r="N3052">
        <v>2</v>
      </c>
      <c r="O3052">
        <v>1</v>
      </c>
      <c r="P3052">
        <v>0</v>
      </c>
      <c r="Q3052">
        <v>0</v>
      </c>
      <c r="R3052" t="s">
        <v>112</v>
      </c>
      <c r="S3052" t="str">
        <f>"14:41:12.672"</f>
        <v>14:41:12.672</v>
      </c>
      <c r="T3052" t="str">
        <f>"14:41:12.172"</f>
        <v>14:41:12.172</v>
      </c>
      <c r="U3052" t="str">
        <f t="shared" si="141"/>
        <v>ad5732</v>
      </c>
      <c r="V3052">
        <v>0</v>
      </c>
      <c r="W3052">
        <v>0</v>
      </c>
      <c r="X3052">
        <v>1</v>
      </c>
      <c r="Z3052">
        <v>0</v>
      </c>
      <c r="AA3052">
        <v>9</v>
      </c>
      <c r="AB3052">
        <v>3</v>
      </c>
      <c r="AC3052">
        <v>0</v>
      </c>
      <c r="AD3052">
        <v>10</v>
      </c>
      <c r="AE3052">
        <v>0</v>
      </c>
      <c r="AF3052">
        <v>3</v>
      </c>
      <c r="AG3052">
        <v>2</v>
      </c>
      <c r="AH3052">
        <v>0</v>
      </c>
      <c r="AI3052" t="s">
        <v>6220</v>
      </c>
      <c r="AJ3052">
        <v>40.399711000000003</v>
      </c>
      <c r="AK3052" t="s">
        <v>6221</v>
      </c>
      <c r="AL3052">
        <v>-74.997354000000001</v>
      </c>
      <c r="AM3052">
        <v>100</v>
      </c>
      <c r="AN3052">
        <v>3700</v>
      </c>
      <c r="AO3052" t="s">
        <v>115</v>
      </c>
      <c r="AP3052">
        <v>131</v>
      </c>
      <c r="AQ3052">
        <v>120</v>
      </c>
      <c r="AR3052">
        <v>0</v>
      </c>
      <c r="AZ3052">
        <v>3614</v>
      </c>
      <c r="BA3052">
        <v>1</v>
      </c>
      <c r="BB3052" t="str">
        <f t="shared" si="143"/>
        <v xml:space="preserve">N959MJ  </v>
      </c>
      <c r="BC3052">
        <v>1</v>
      </c>
      <c r="BE3052">
        <v>0</v>
      </c>
      <c r="BF3052">
        <v>0</v>
      </c>
      <c r="BG3052">
        <v>0</v>
      </c>
      <c r="BH3052">
        <v>3875</v>
      </c>
      <c r="BI3052">
        <v>175</v>
      </c>
      <c r="BJ3052">
        <v>1</v>
      </c>
      <c r="BK3052">
        <v>1</v>
      </c>
      <c r="BL3052">
        <v>1</v>
      </c>
      <c r="BM3052">
        <v>0</v>
      </c>
      <c r="BP3052">
        <v>0</v>
      </c>
      <c r="BQ3052">
        <v>0</v>
      </c>
      <c r="BX3052" t="str">
        <f>"14:41:12.680"</f>
        <v>14:41:12.680</v>
      </c>
      <c r="BY3052" t="str">
        <f>"677196087"</f>
        <v>677196087</v>
      </c>
      <c r="CL3052">
        <v>0</v>
      </c>
      <c r="CM3052">
        <v>2</v>
      </c>
      <c r="CN3052">
        <v>0</v>
      </c>
      <c r="CO3052">
        <v>2</v>
      </c>
      <c r="CP3052">
        <v>0</v>
      </c>
      <c r="CQ3052">
        <v>7</v>
      </c>
      <c r="CR3052" t="s">
        <v>116</v>
      </c>
      <c r="CS3052">
        <v>38</v>
      </c>
      <c r="CT3052">
        <v>3</v>
      </c>
      <c r="CU3052" t="s">
        <v>4719</v>
      </c>
      <c r="CV3052" t="s">
        <v>4720</v>
      </c>
      <c r="CY3052">
        <v>10671140</v>
      </c>
      <c r="CZ3052" t="s">
        <v>119</v>
      </c>
    </row>
    <row r="3053" spans="1:104" x14ac:dyDescent="0.25">
      <c r="A3053" t="str">
        <f>"14:41:13.891"</f>
        <v>14:41:13.891</v>
      </c>
      <c r="B3053" t="s">
        <v>108</v>
      </c>
      <c r="C3053" t="str">
        <f t="shared" si="142"/>
        <v>ffdfd3c0</v>
      </c>
      <c r="D3053" t="s">
        <v>109</v>
      </c>
      <c r="E3053">
        <v>4</v>
      </c>
      <c r="F3053">
        <v>1004</v>
      </c>
      <c r="G3053" t="s">
        <v>110</v>
      </c>
      <c r="J3053" t="s">
        <v>111</v>
      </c>
      <c r="K3053">
        <v>0</v>
      </c>
      <c r="L3053">
        <v>3</v>
      </c>
      <c r="M3053">
        <v>0</v>
      </c>
      <c r="N3053">
        <v>2</v>
      </c>
      <c r="O3053">
        <v>1</v>
      </c>
      <c r="P3053">
        <v>0</v>
      </c>
      <c r="Q3053">
        <v>0</v>
      </c>
      <c r="R3053" t="s">
        <v>112</v>
      </c>
      <c r="S3053" t="str">
        <f>"14:41:13.688"</f>
        <v>14:41:13.688</v>
      </c>
      <c r="T3053" t="str">
        <f>"14:41:13.188"</f>
        <v>14:41:13.188</v>
      </c>
      <c r="U3053" t="str">
        <f t="shared" si="141"/>
        <v>ad5732</v>
      </c>
      <c r="V3053">
        <v>0</v>
      </c>
      <c r="W3053">
        <v>0</v>
      </c>
      <c r="X3053">
        <v>1</v>
      </c>
      <c r="Z3053">
        <v>0</v>
      </c>
      <c r="AA3053">
        <v>9</v>
      </c>
      <c r="AB3053">
        <v>3</v>
      </c>
      <c r="AC3053">
        <v>0</v>
      </c>
      <c r="AD3053">
        <v>10</v>
      </c>
      <c r="AE3053">
        <v>0</v>
      </c>
      <c r="AF3053">
        <v>3</v>
      </c>
      <c r="AG3053">
        <v>2</v>
      </c>
      <c r="AH3053">
        <v>0</v>
      </c>
      <c r="AI3053" t="s">
        <v>6222</v>
      </c>
      <c r="AJ3053">
        <v>40.400226000000004</v>
      </c>
      <c r="AK3053" t="s">
        <v>6223</v>
      </c>
      <c r="AL3053">
        <v>-74.996538000000001</v>
      </c>
      <c r="AM3053">
        <v>100</v>
      </c>
      <c r="AN3053">
        <v>3700</v>
      </c>
      <c r="AO3053" t="s">
        <v>115</v>
      </c>
      <c r="AP3053">
        <v>131</v>
      </c>
      <c r="AQ3053">
        <v>120</v>
      </c>
      <c r="AR3053">
        <v>0</v>
      </c>
      <c r="AZ3053">
        <v>3614</v>
      </c>
      <c r="BA3053">
        <v>1</v>
      </c>
      <c r="BB3053" t="str">
        <f t="shared" si="143"/>
        <v xml:space="preserve">N959MJ  </v>
      </c>
      <c r="BC3053">
        <v>1</v>
      </c>
      <c r="BE3053">
        <v>0</v>
      </c>
      <c r="BF3053">
        <v>0</v>
      </c>
      <c r="BG3053">
        <v>0</v>
      </c>
      <c r="BH3053">
        <v>3875</v>
      </c>
      <c r="BI3053">
        <v>175</v>
      </c>
      <c r="BJ3053">
        <v>1</v>
      </c>
      <c r="BK3053">
        <v>1</v>
      </c>
      <c r="BL3053">
        <v>1</v>
      </c>
      <c r="BM3053">
        <v>0</v>
      </c>
      <c r="BP3053">
        <v>0</v>
      </c>
      <c r="BQ3053">
        <v>0</v>
      </c>
      <c r="BX3053" t="str">
        <f>"14:41:13.688"</f>
        <v>14:41:13.688</v>
      </c>
      <c r="BY3053" t="str">
        <f>"689744881"</f>
        <v>689744881</v>
      </c>
      <c r="CL3053">
        <v>0</v>
      </c>
      <c r="CM3053">
        <v>2</v>
      </c>
      <c r="CN3053">
        <v>0</v>
      </c>
      <c r="CO3053">
        <v>2</v>
      </c>
      <c r="CP3053">
        <v>0</v>
      </c>
      <c r="CQ3053">
        <v>7</v>
      </c>
      <c r="CR3053" t="s">
        <v>116</v>
      </c>
      <c r="CS3053">
        <v>38</v>
      </c>
      <c r="CT3053">
        <v>3</v>
      </c>
      <c r="CU3053" t="s">
        <v>4719</v>
      </c>
      <c r="CV3053" t="s">
        <v>4720</v>
      </c>
      <c r="CY3053">
        <v>10672991</v>
      </c>
      <c r="CZ3053" t="s">
        <v>119</v>
      </c>
    </row>
    <row r="3054" spans="1:104" x14ac:dyDescent="0.25">
      <c r="A3054" t="str">
        <f>"14:41:14.898"</f>
        <v>14:41:14.898</v>
      </c>
      <c r="B3054" t="s">
        <v>108</v>
      </c>
      <c r="C3054" t="str">
        <f t="shared" si="142"/>
        <v>ffdfd3c0</v>
      </c>
      <c r="D3054" t="s">
        <v>109</v>
      </c>
      <c r="E3054">
        <v>4</v>
      </c>
      <c r="F3054">
        <v>1004</v>
      </c>
      <c r="G3054" t="s">
        <v>110</v>
      </c>
      <c r="J3054" t="s">
        <v>111</v>
      </c>
      <c r="K3054">
        <v>0</v>
      </c>
      <c r="L3054">
        <v>3</v>
      </c>
      <c r="M3054">
        <v>0</v>
      </c>
      <c r="N3054">
        <v>2</v>
      </c>
      <c r="O3054">
        <v>1</v>
      </c>
      <c r="P3054">
        <v>0</v>
      </c>
      <c r="Q3054">
        <v>0</v>
      </c>
      <c r="R3054" t="s">
        <v>112</v>
      </c>
      <c r="S3054" t="str">
        <f>"14:41:14.711"</f>
        <v>14:41:14.711</v>
      </c>
      <c r="T3054" t="str">
        <f>"14:41:14.211"</f>
        <v>14:41:14.211</v>
      </c>
      <c r="U3054" t="str">
        <f t="shared" si="141"/>
        <v>ad5732</v>
      </c>
      <c r="V3054">
        <v>0</v>
      </c>
      <c r="W3054">
        <v>0</v>
      </c>
      <c r="X3054">
        <v>1</v>
      </c>
      <c r="Z3054">
        <v>0</v>
      </c>
      <c r="AA3054">
        <v>9</v>
      </c>
      <c r="AB3054">
        <v>3</v>
      </c>
      <c r="AC3054">
        <v>0</v>
      </c>
      <c r="AD3054">
        <v>10</v>
      </c>
      <c r="AE3054">
        <v>0</v>
      </c>
      <c r="AF3054">
        <v>3</v>
      </c>
      <c r="AG3054">
        <v>2</v>
      </c>
      <c r="AH3054">
        <v>0</v>
      </c>
      <c r="AI3054" t="s">
        <v>6224</v>
      </c>
      <c r="AJ3054">
        <v>40.400784000000002</v>
      </c>
      <c r="AK3054" t="s">
        <v>6225</v>
      </c>
      <c r="AL3054">
        <v>-74.995744000000002</v>
      </c>
      <c r="AM3054">
        <v>100</v>
      </c>
      <c r="AN3054">
        <v>3700</v>
      </c>
      <c r="AO3054" t="s">
        <v>115</v>
      </c>
      <c r="AP3054">
        <v>131</v>
      </c>
      <c r="AQ3054">
        <v>120</v>
      </c>
      <c r="AR3054">
        <v>0</v>
      </c>
      <c r="AZ3054">
        <v>3614</v>
      </c>
      <c r="BA3054">
        <v>1</v>
      </c>
      <c r="BB3054" t="str">
        <f t="shared" si="143"/>
        <v xml:space="preserve">N959MJ  </v>
      </c>
      <c r="BC3054">
        <v>1</v>
      </c>
      <c r="BE3054">
        <v>0</v>
      </c>
      <c r="BF3054">
        <v>0</v>
      </c>
      <c r="BG3054">
        <v>0</v>
      </c>
      <c r="BH3054">
        <v>3875</v>
      </c>
      <c r="BI3054">
        <v>175</v>
      </c>
      <c r="BJ3054">
        <v>1</v>
      </c>
      <c r="BK3054">
        <v>1</v>
      </c>
      <c r="BL3054">
        <v>1</v>
      </c>
      <c r="BM3054">
        <v>0</v>
      </c>
      <c r="BP3054">
        <v>0</v>
      </c>
      <c r="BQ3054">
        <v>0</v>
      </c>
      <c r="BX3054" t="str">
        <f>"14:41:14.711"</f>
        <v>14:41:14.711</v>
      </c>
      <c r="BY3054" t="str">
        <f>"712124317"</f>
        <v>712124317</v>
      </c>
      <c r="CL3054">
        <v>0</v>
      </c>
      <c r="CM3054">
        <v>2</v>
      </c>
      <c r="CN3054">
        <v>0</v>
      </c>
      <c r="CO3054">
        <v>2</v>
      </c>
      <c r="CP3054">
        <v>0</v>
      </c>
      <c r="CQ3054">
        <v>7</v>
      </c>
      <c r="CR3054" t="s">
        <v>116</v>
      </c>
      <c r="CS3054">
        <v>38</v>
      </c>
      <c r="CT3054">
        <v>3</v>
      </c>
      <c r="CU3054" t="s">
        <v>4719</v>
      </c>
      <c r="CV3054" t="s">
        <v>4720</v>
      </c>
      <c r="CY3054">
        <v>10674760</v>
      </c>
      <c r="CZ3054" t="s">
        <v>119</v>
      </c>
    </row>
    <row r="3055" spans="1:104" x14ac:dyDescent="0.25">
      <c r="A3055" t="str">
        <f>"14:41:15.859"</f>
        <v>14:41:15.859</v>
      </c>
      <c r="B3055" t="s">
        <v>108</v>
      </c>
      <c r="C3055" t="str">
        <f t="shared" si="142"/>
        <v>ffdfd3c0</v>
      </c>
      <c r="D3055" t="s">
        <v>109</v>
      </c>
      <c r="E3055">
        <v>4</v>
      </c>
      <c r="F3055">
        <v>1004</v>
      </c>
      <c r="G3055" t="s">
        <v>110</v>
      </c>
      <c r="J3055" t="s">
        <v>111</v>
      </c>
      <c r="K3055">
        <v>0</v>
      </c>
      <c r="L3055">
        <v>3</v>
      </c>
      <c r="M3055">
        <v>0</v>
      </c>
      <c r="N3055">
        <v>2</v>
      </c>
      <c r="O3055">
        <v>1</v>
      </c>
      <c r="P3055">
        <v>0</v>
      </c>
      <c r="Q3055">
        <v>0</v>
      </c>
      <c r="R3055" t="s">
        <v>112</v>
      </c>
      <c r="S3055" t="str">
        <f>"14:41:15.695"</f>
        <v>14:41:15.695</v>
      </c>
      <c r="T3055" t="str">
        <f>"14:41:15.297"</f>
        <v>14:41:15.297</v>
      </c>
      <c r="U3055" t="str">
        <f t="shared" si="141"/>
        <v>ad5732</v>
      </c>
      <c r="V3055">
        <v>0</v>
      </c>
      <c r="W3055">
        <v>0</v>
      </c>
      <c r="X3055">
        <v>1</v>
      </c>
      <c r="Z3055">
        <v>0</v>
      </c>
      <c r="AA3055">
        <v>9</v>
      </c>
      <c r="AB3055">
        <v>3</v>
      </c>
      <c r="AC3055">
        <v>0</v>
      </c>
      <c r="AD3055">
        <v>10</v>
      </c>
      <c r="AE3055">
        <v>0</v>
      </c>
      <c r="AF3055">
        <v>3</v>
      </c>
      <c r="AG3055">
        <v>2</v>
      </c>
      <c r="AH3055">
        <v>0</v>
      </c>
      <c r="AI3055" t="s">
        <v>6226</v>
      </c>
      <c r="AJ3055">
        <v>40.401342</v>
      </c>
      <c r="AK3055" t="s">
        <v>6227</v>
      </c>
      <c r="AL3055">
        <v>-74.994928999999999</v>
      </c>
      <c r="AM3055">
        <v>100</v>
      </c>
      <c r="AN3055">
        <v>3700</v>
      </c>
      <c r="AO3055" t="s">
        <v>115</v>
      </c>
      <c r="AP3055">
        <v>131</v>
      </c>
      <c r="AQ3055">
        <v>120</v>
      </c>
      <c r="AR3055">
        <v>0</v>
      </c>
      <c r="AZ3055">
        <v>3614</v>
      </c>
      <c r="BA3055">
        <v>1</v>
      </c>
      <c r="BB3055" t="str">
        <f t="shared" si="143"/>
        <v xml:space="preserve">N959MJ  </v>
      </c>
      <c r="BC3055">
        <v>1</v>
      </c>
      <c r="BE3055">
        <v>0</v>
      </c>
      <c r="BF3055">
        <v>0</v>
      </c>
      <c r="BG3055">
        <v>0</v>
      </c>
      <c r="BH3055">
        <v>3875</v>
      </c>
      <c r="BI3055">
        <v>175</v>
      </c>
      <c r="BJ3055">
        <v>1</v>
      </c>
      <c r="BK3055">
        <v>1</v>
      </c>
      <c r="BL3055">
        <v>1</v>
      </c>
      <c r="BM3055">
        <v>0</v>
      </c>
      <c r="BP3055">
        <v>0</v>
      </c>
      <c r="BQ3055">
        <v>0</v>
      </c>
      <c r="BX3055" t="str">
        <f>"14:41:15.695"</f>
        <v>14:41:15.695</v>
      </c>
      <c r="BY3055" t="str">
        <f>"696819869"</f>
        <v>696819869</v>
      </c>
      <c r="CL3055">
        <v>0</v>
      </c>
      <c r="CM3055">
        <v>2</v>
      </c>
      <c r="CN3055">
        <v>0</v>
      </c>
      <c r="CO3055">
        <v>2</v>
      </c>
      <c r="CP3055">
        <v>0</v>
      </c>
      <c r="CQ3055">
        <v>7</v>
      </c>
      <c r="CR3055" t="s">
        <v>116</v>
      </c>
      <c r="CS3055">
        <v>38</v>
      </c>
      <c r="CT3055">
        <v>3</v>
      </c>
      <c r="CU3055" t="s">
        <v>4719</v>
      </c>
      <c r="CV3055" t="s">
        <v>4720</v>
      </c>
      <c r="CY3055">
        <v>10676342</v>
      </c>
      <c r="CZ3055" t="s">
        <v>119</v>
      </c>
    </row>
    <row r="3056" spans="1:104" x14ac:dyDescent="0.25">
      <c r="A3056" t="str">
        <f>"14:41:16.914"</f>
        <v>14:41:16.914</v>
      </c>
      <c r="B3056" t="s">
        <v>108</v>
      </c>
      <c r="C3056" t="str">
        <f t="shared" si="142"/>
        <v>ffdfd3c0</v>
      </c>
      <c r="D3056" t="s">
        <v>109</v>
      </c>
      <c r="E3056">
        <v>4</v>
      </c>
      <c r="F3056">
        <v>1004</v>
      </c>
      <c r="G3056" t="s">
        <v>110</v>
      </c>
      <c r="J3056" t="s">
        <v>111</v>
      </c>
      <c r="K3056">
        <v>0</v>
      </c>
      <c r="L3056">
        <v>3</v>
      </c>
      <c r="M3056">
        <v>0</v>
      </c>
      <c r="N3056">
        <v>2</v>
      </c>
      <c r="O3056">
        <v>1</v>
      </c>
      <c r="P3056">
        <v>0</v>
      </c>
      <c r="Q3056">
        <v>0</v>
      </c>
      <c r="R3056" t="s">
        <v>112</v>
      </c>
      <c r="S3056" t="str">
        <f>"14:41:16.719"</f>
        <v>14:41:16.719</v>
      </c>
      <c r="T3056" t="str">
        <f>"14:41:16.320"</f>
        <v>14:41:16.320</v>
      </c>
      <c r="U3056" t="str">
        <f t="shared" si="141"/>
        <v>ad5732</v>
      </c>
      <c r="V3056">
        <v>0</v>
      </c>
      <c r="W3056">
        <v>0</v>
      </c>
      <c r="X3056">
        <v>1</v>
      </c>
      <c r="Z3056">
        <v>0</v>
      </c>
      <c r="AA3056">
        <v>9</v>
      </c>
      <c r="AB3056">
        <v>3</v>
      </c>
      <c r="AC3056">
        <v>0</v>
      </c>
      <c r="AD3056">
        <v>10</v>
      </c>
      <c r="AE3056">
        <v>0</v>
      </c>
      <c r="AF3056">
        <v>3</v>
      </c>
      <c r="AG3056">
        <v>2</v>
      </c>
      <c r="AH3056">
        <v>0</v>
      </c>
      <c r="AI3056" t="s">
        <v>6228</v>
      </c>
      <c r="AJ3056">
        <v>40.401943000000003</v>
      </c>
      <c r="AK3056" t="s">
        <v>6229</v>
      </c>
      <c r="AL3056">
        <v>-74.994071000000005</v>
      </c>
      <c r="AM3056">
        <v>100</v>
      </c>
      <c r="AN3056">
        <v>3700</v>
      </c>
      <c r="AO3056" t="s">
        <v>115</v>
      </c>
      <c r="AP3056">
        <v>132</v>
      </c>
      <c r="AQ3056">
        <v>119</v>
      </c>
      <c r="AR3056">
        <v>0</v>
      </c>
      <c r="AZ3056">
        <v>3614</v>
      </c>
      <c r="BA3056">
        <v>1</v>
      </c>
      <c r="BB3056" t="str">
        <f t="shared" si="143"/>
        <v xml:space="preserve">N959MJ  </v>
      </c>
      <c r="BC3056">
        <v>1</v>
      </c>
      <c r="BE3056">
        <v>0</v>
      </c>
      <c r="BF3056">
        <v>0</v>
      </c>
      <c r="BG3056">
        <v>0</v>
      </c>
      <c r="BH3056">
        <v>3875</v>
      </c>
      <c r="BI3056">
        <v>175</v>
      </c>
      <c r="BJ3056">
        <v>1</v>
      </c>
      <c r="BK3056">
        <v>1</v>
      </c>
      <c r="BL3056">
        <v>1</v>
      </c>
      <c r="BM3056">
        <v>0</v>
      </c>
      <c r="BP3056">
        <v>0</v>
      </c>
      <c r="BQ3056">
        <v>0</v>
      </c>
      <c r="BX3056" t="str">
        <f>"14:41:16.719"</f>
        <v>14:41:16.719</v>
      </c>
      <c r="BY3056" t="str">
        <f>"720837719"</f>
        <v>720837719</v>
      </c>
      <c r="CL3056">
        <v>0</v>
      </c>
      <c r="CM3056">
        <v>2</v>
      </c>
      <c r="CN3056">
        <v>0</v>
      </c>
      <c r="CO3056">
        <v>2</v>
      </c>
      <c r="CP3056">
        <v>0</v>
      </c>
      <c r="CQ3056">
        <v>7</v>
      </c>
      <c r="CR3056" t="s">
        <v>116</v>
      </c>
      <c r="CS3056">
        <v>38</v>
      </c>
      <c r="CT3056">
        <v>3</v>
      </c>
      <c r="CU3056" t="s">
        <v>4719</v>
      </c>
      <c r="CV3056" t="s">
        <v>4720</v>
      </c>
      <c r="CY3056">
        <v>10678178</v>
      </c>
      <c r="CZ3056" t="s">
        <v>119</v>
      </c>
    </row>
    <row r="3057" spans="1:104" x14ac:dyDescent="0.25">
      <c r="A3057" t="str">
        <f>"14:41:17.930"</f>
        <v>14:41:17.930</v>
      </c>
      <c r="B3057" t="s">
        <v>108</v>
      </c>
      <c r="C3057" t="str">
        <f t="shared" si="142"/>
        <v>ffdfd3c0</v>
      </c>
      <c r="D3057" t="s">
        <v>109</v>
      </c>
      <c r="E3057">
        <v>4</v>
      </c>
      <c r="F3057">
        <v>1004</v>
      </c>
      <c r="G3057" t="s">
        <v>110</v>
      </c>
      <c r="J3057" t="s">
        <v>111</v>
      </c>
      <c r="K3057">
        <v>0</v>
      </c>
      <c r="L3057">
        <v>3</v>
      </c>
      <c r="M3057">
        <v>0</v>
      </c>
      <c r="N3057">
        <v>2</v>
      </c>
      <c r="O3057">
        <v>1</v>
      </c>
      <c r="P3057">
        <v>0</v>
      </c>
      <c r="Q3057">
        <v>0</v>
      </c>
      <c r="R3057" t="s">
        <v>112</v>
      </c>
      <c r="S3057" t="str">
        <f>"14:41:17.742"</f>
        <v>14:41:17.742</v>
      </c>
      <c r="T3057" t="str">
        <f>"14:41:17.242"</f>
        <v>14:41:17.242</v>
      </c>
      <c r="U3057" t="str">
        <f t="shared" si="141"/>
        <v>ad5732</v>
      </c>
      <c r="V3057">
        <v>0</v>
      </c>
      <c r="W3057">
        <v>0</v>
      </c>
      <c r="X3057">
        <v>1</v>
      </c>
      <c r="Z3057">
        <v>0</v>
      </c>
      <c r="AA3057">
        <v>9</v>
      </c>
      <c r="AB3057">
        <v>3</v>
      </c>
      <c r="AC3057">
        <v>0</v>
      </c>
      <c r="AD3057">
        <v>10</v>
      </c>
      <c r="AE3057">
        <v>0</v>
      </c>
      <c r="AF3057">
        <v>3</v>
      </c>
      <c r="AG3057">
        <v>2</v>
      </c>
      <c r="AH3057">
        <v>0</v>
      </c>
      <c r="AI3057" t="s">
        <v>6230</v>
      </c>
      <c r="AJ3057">
        <v>40.402501000000001</v>
      </c>
      <c r="AK3057" t="s">
        <v>6231</v>
      </c>
      <c r="AL3057">
        <v>-74.993234000000001</v>
      </c>
      <c r="AM3057">
        <v>100</v>
      </c>
      <c r="AN3057">
        <v>3700</v>
      </c>
      <c r="AO3057" t="s">
        <v>115</v>
      </c>
      <c r="AP3057">
        <v>133</v>
      </c>
      <c r="AQ3057">
        <v>118</v>
      </c>
      <c r="AR3057">
        <v>0</v>
      </c>
      <c r="AZ3057">
        <v>3614</v>
      </c>
      <c r="BA3057">
        <v>1</v>
      </c>
      <c r="BB3057" t="str">
        <f t="shared" si="143"/>
        <v xml:space="preserve">N959MJ  </v>
      </c>
      <c r="BC3057">
        <v>1</v>
      </c>
      <c r="BE3057">
        <v>0</v>
      </c>
      <c r="BF3057">
        <v>0</v>
      </c>
      <c r="BG3057">
        <v>0</v>
      </c>
      <c r="BH3057">
        <v>3875</v>
      </c>
      <c r="BI3057">
        <v>175</v>
      </c>
      <c r="BJ3057">
        <v>1</v>
      </c>
      <c r="BK3057">
        <v>1</v>
      </c>
      <c r="BL3057">
        <v>1</v>
      </c>
      <c r="BM3057">
        <v>0</v>
      </c>
      <c r="BP3057">
        <v>0</v>
      </c>
      <c r="BQ3057">
        <v>0</v>
      </c>
      <c r="BX3057" t="str">
        <f>"14:41:17.750"</f>
        <v>14:41:17.750</v>
      </c>
      <c r="BY3057" t="str">
        <f>"748202383"</f>
        <v>748202383</v>
      </c>
      <c r="CL3057">
        <v>0</v>
      </c>
      <c r="CM3057">
        <v>2</v>
      </c>
      <c r="CN3057">
        <v>0</v>
      </c>
      <c r="CO3057">
        <v>2</v>
      </c>
      <c r="CP3057">
        <v>0</v>
      </c>
      <c r="CQ3057">
        <v>7</v>
      </c>
      <c r="CR3057" t="s">
        <v>116</v>
      </c>
      <c r="CS3057">
        <v>409</v>
      </c>
      <c r="CT3057">
        <v>2</v>
      </c>
      <c r="CU3057" t="s">
        <v>5087</v>
      </c>
      <c r="CV3057" t="s">
        <v>5088</v>
      </c>
      <c r="CY3057">
        <v>505775</v>
      </c>
      <c r="CZ3057" t="s">
        <v>119</v>
      </c>
    </row>
    <row r="3058" spans="1:104" x14ac:dyDescent="0.25">
      <c r="A3058" t="str">
        <f>"14:41:18.938"</f>
        <v>14:41:18.938</v>
      </c>
      <c r="B3058" t="s">
        <v>108</v>
      </c>
      <c r="C3058" t="str">
        <f t="shared" si="142"/>
        <v>ffdfd3c0</v>
      </c>
      <c r="D3058" t="s">
        <v>109</v>
      </c>
      <c r="E3058">
        <v>4</v>
      </c>
      <c r="F3058">
        <v>1004</v>
      </c>
      <c r="G3058" t="s">
        <v>110</v>
      </c>
      <c r="J3058" t="s">
        <v>111</v>
      </c>
      <c r="K3058">
        <v>0</v>
      </c>
      <c r="L3058">
        <v>3</v>
      </c>
      <c r="M3058">
        <v>0</v>
      </c>
      <c r="N3058">
        <v>2</v>
      </c>
      <c r="O3058">
        <v>1</v>
      </c>
      <c r="P3058">
        <v>0</v>
      </c>
      <c r="Q3058">
        <v>0</v>
      </c>
      <c r="R3058" t="s">
        <v>112</v>
      </c>
      <c r="S3058" t="str">
        <f>"14:41:18.742"</f>
        <v>14:41:18.742</v>
      </c>
      <c r="T3058" t="str">
        <f>"14:41:18.344"</f>
        <v>14:41:18.344</v>
      </c>
      <c r="U3058" t="str">
        <f t="shared" si="141"/>
        <v>ad5732</v>
      </c>
      <c r="V3058">
        <v>0</v>
      </c>
      <c r="W3058">
        <v>0</v>
      </c>
      <c r="X3058">
        <v>1</v>
      </c>
      <c r="Z3058">
        <v>0</v>
      </c>
      <c r="AA3058">
        <v>9</v>
      </c>
      <c r="AB3058">
        <v>3</v>
      </c>
      <c r="AC3058">
        <v>0</v>
      </c>
      <c r="AD3058">
        <v>10</v>
      </c>
      <c r="AE3058">
        <v>0</v>
      </c>
      <c r="AF3058">
        <v>3</v>
      </c>
      <c r="AG3058">
        <v>2</v>
      </c>
      <c r="AH3058">
        <v>0</v>
      </c>
      <c r="AI3058" t="s">
        <v>6232</v>
      </c>
      <c r="AJ3058">
        <v>40.403036999999998</v>
      </c>
      <c r="AK3058" t="s">
        <v>6233</v>
      </c>
      <c r="AL3058">
        <v>-74.992440000000002</v>
      </c>
      <c r="AM3058">
        <v>100</v>
      </c>
      <c r="AN3058">
        <v>3700</v>
      </c>
      <c r="AO3058" t="s">
        <v>115</v>
      </c>
      <c r="AP3058">
        <v>135</v>
      </c>
      <c r="AQ3058">
        <v>115</v>
      </c>
      <c r="AR3058">
        <v>0</v>
      </c>
      <c r="AZ3058">
        <v>3614</v>
      </c>
      <c r="BA3058">
        <v>1</v>
      </c>
      <c r="BB3058" t="str">
        <f t="shared" si="143"/>
        <v xml:space="preserve">N959MJ  </v>
      </c>
      <c r="BC3058">
        <v>1</v>
      </c>
      <c r="BE3058">
        <v>0</v>
      </c>
      <c r="BF3058">
        <v>0</v>
      </c>
      <c r="BG3058">
        <v>0</v>
      </c>
      <c r="BH3058">
        <v>3875</v>
      </c>
      <c r="BI3058">
        <v>175</v>
      </c>
      <c r="BJ3058">
        <v>1</v>
      </c>
      <c r="BK3058">
        <v>1</v>
      </c>
      <c r="BL3058">
        <v>1</v>
      </c>
      <c r="BM3058">
        <v>0</v>
      </c>
      <c r="BP3058">
        <v>0</v>
      </c>
      <c r="BQ3058">
        <v>0</v>
      </c>
      <c r="BX3058" t="str">
        <f>"14:41:18.750"</f>
        <v>14:41:18.750</v>
      </c>
      <c r="BY3058" t="str">
        <f>"749282005"</f>
        <v>749282005</v>
      </c>
      <c r="CL3058">
        <v>0</v>
      </c>
      <c r="CM3058">
        <v>2</v>
      </c>
      <c r="CN3058">
        <v>0</v>
      </c>
      <c r="CO3058">
        <v>2</v>
      </c>
      <c r="CP3058">
        <v>0</v>
      </c>
      <c r="CQ3058">
        <v>7</v>
      </c>
      <c r="CR3058" t="s">
        <v>116</v>
      </c>
      <c r="CS3058">
        <v>409</v>
      </c>
      <c r="CT3058">
        <v>2</v>
      </c>
      <c r="CU3058" t="s">
        <v>5087</v>
      </c>
      <c r="CV3058" t="s">
        <v>5088</v>
      </c>
      <c r="CY3058">
        <v>507647</v>
      </c>
      <c r="CZ3058" t="s">
        <v>119</v>
      </c>
    </row>
    <row r="3059" spans="1:104" x14ac:dyDescent="0.25">
      <c r="A3059" t="str">
        <f>"14:41:19.898"</f>
        <v>14:41:19.898</v>
      </c>
      <c r="B3059" t="s">
        <v>108</v>
      </c>
      <c r="C3059" t="str">
        <f t="shared" si="142"/>
        <v>ffdfd3c0</v>
      </c>
      <c r="D3059" t="s">
        <v>109</v>
      </c>
      <c r="E3059">
        <v>4</v>
      </c>
      <c r="F3059">
        <v>1004</v>
      </c>
      <c r="G3059" t="s">
        <v>110</v>
      </c>
      <c r="J3059" t="s">
        <v>111</v>
      </c>
      <c r="K3059">
        <v>0</v>
      </c>
      <c r="L3059">
        <v>3</v>
      </c>
      <c r="M3059">
        <v>0</v>
      </c>
      <c r="N3059">
        <v>2</v>
      </c>
      <c r="O3059">
        <v>1</v>
      </c>
      <c r="P3059">
        <v>0</v>
      </c>
      <c r="Q3059">
        <v>0</v>
      </c>
      <c r="R3059" t="s">
        <v>112</v>
      </c>
      <c r="S3059" t="str">
        <f>"14:41:19.750"</f>
        <v>14:41:19.750</v>
      </c>
      <c r="T3059" t="str">
        <f>"14:41:19.352"</f>
        <v>14:41:19.352</v>
      </c>
      <c r="U3059" t="str">
        <f t="shared" si="141"/>
        <v>ad5732</v>
      </c>
      <c r="V3059">
        <v>0</v>
      </c>
      <c r="W3059">
        <v>0</v>
      </c>
      <c r="X3059">
        <v>1</v>
      </c>
      <c r="Z3059">
        <v>0</v>
      </c>
      <c r="AA3059">
        <v>9</v>
      </c>
      <c r="AB3059">
        <v>3</v>
      </c>
      <c r="AC3059">
        <v>0</v>
      </c>
      <c r="AD3059">
        <v>10</v>
      </c>
      <c r="AE3059">
        <v>0</v>
      </c>
      <c r="AF3059">
        <v>3</v>
      </c>
      <c r="AG3059">
        <v>2</v>
      </c>
      <c r="AH3059">
        <v>0</v>
      </c>
      <c r="AI3059" t="s">
        <v>6234</v>
      </c>
      <c r="AJ3059">
        <v>40.403551999999998</v>
      </c>
      <c r="AK3059" t="s">
        <v>6235</v>
      </c>
      <c r="AL3059">
        <v>-74.991580999999996</v>
      </c>
      <c r="AM3059">
        <v>100</v>
      </c>
      <c r="AN3059">
        <v>3700</v>
      </c>
      <c r="AO3059" t="s">
        <v>115</v>
      </c>
      <c r="AP3059">
        <v>138</v>
      </c>
      <c r="AQ3059">
        <v>111</v>
      </c>
      <c r="AR3059">
        <v>-64</v>
      </c>
      <c r="AZ3059">
        <v>3614</v>
      </c>
      <c r="BA3059">
        <v>1</v>
      </c>
      <c r="BB3059" t="str">
        <f t="shared" si="143"/>
        <v xml:space="preserve">N959MJ  </v>
      </c>
      <c r="BC3059">
        <v>1</v>
      </c>
      <c r="BE3059">
        <v>0</v>
      </c>
      <c r="BF3059">
        <v>0</v>
      </c>
      <c r="BG3059">
        <v>0</v>
      </c>
      <c r="BH3059">
        <v>3875</v>
      </c>
      <c r="BI3059">
        <v>175</v>
      </c>
      <c r="BJ3059">
        <v>1</v>
      </c>
      <c r="BK3059">
        <v>1</v>
      </c>
      <c r="BL3059">
        <v>1</v>
      </c>
      <c r="BM3059">
        <v>0</v>
      </c>
      <c r="BP3059">
        <v>0</v>
      </c>
      <c r="BQ3059">
        <v>0</v>
      </c>
      <c r="BX3059" t="str">
        <f>"14:41:19.750"</f>
        <v>14:41:19.750</v>
      </c>
      <c r="BY3059" t="str">
        <f>"752000108"</f>
        <v>752000108</v>
      </c>
      <c r="CL3059">
        <v>0</v>
      </c>
      <c r="CM3059">
        <v>2</v>
      </c>
      <c r="CN3059">
        <v>0</v>
      </c>
      <c r="CO3059">
        <v>2</v>
      </c>
      <c r="CP3059">
        <v>0</v>
      </c>
      <c r="CQ3059">
        <v>7</v>
      </c>
      <c r="CR3059" t="s">
        <v>116</v>
      </c>
      <c r="CS3059">
        <v>409</v>
      </c>
      <c r="CT3059">
        <v>2</v>
      </c>
      <c r="CU3059" t="s">
        <v>5087</v>
      </c>
      <c r="CV3059" t="s">
        <v>5088</v>
      </c>
      <c r="CY3059">
        <v>509487</v>
      </c>
      <c r="CZ3059" t="s">
        <v>119</v>
      </c>
    </row>
    <row r="3060" spans="1:104" x14ac:dyDescent="0.25">
      <c r="A3060" t="str">
        <f>"14:41:21.055"</f>
        <v>14:41:21.055</v>
      </c>
      <c r="B3060" t="s">
        <v>108</v>
      </c>
      <c r="C3060" t="str">
        <f t="shared" si="142"/>
        <v>ffdfd3c0</v>
      </c>
      <c r="D3060" t="s">
        <v>109</v>
      </c>
      <c r="E3060">
        <v>4</v>
      </c>
      <c r="F3060">
        <v>1004</v>
      </c>
      <c r="G3060" t="s">
        <v>110</v>
      </c>
      <c r="J3060" t="s">
        <v>111</v>
      </c>
      <c r="K3060">
        <v>0</v>
      </c>
      <c r="L3060">
        <v>3</v>
      </c>
      <c r="M3060">
        <v>0</v>
      </c>
      <c r="N3060">
        <v>2</v>
      </c>
      <c r="O3060">
        <v>1</v>
      </c>
      <c r="P3060">
        <v>0</v>
      </c>
      <c r="Q3060">
        <v>0</v>
      </c>
      <c r="R3060" t="s">
        <v>112</v>
      </c>
      <c r="S3060" t="str">
        <f>"14:41:20.867"</f>
        <v>14:41:20.867</v>
      </c>
      <c r="T3060" t="str">
        <f>"14:41:20.367"</f>
        <v>14:41:20.367</v>
      </c>
      <c r="U3060" t="str">
        <f t="shared" si="141"/>
        <v>ad5732</v>
      </c>
      <c r="V3060">
        <v>0</v>
      </c>
      <c r="W3060">
        <v>0</v>
      </c>
      <c r="X3060">
        <v>1</v>
      </c>
      <c r="Z3060">
        <v>0</v>
      </c>
      <c r="AA3060">
        <v>9</v>
      </c>
      <c r="AB3060">
        <v>3</v>
      </c>
      <c r="AC3060">
        <v>0</v>
      </c>
      <c r="AD3060">
        <v>10</v>
      </c>
      <c r="AE3060">
        <v>0</v>
      </c>
      <c r="AF3060">
        <v>3</v>
      </c>
      <c r="AG3060">
        <v>2</v>
      </c>
      <c r="AH3060">
        <v>0</v>
      </c>
      <c r="AI3060" t="s">
        <v>6236</v>
      </c>
      <c r="AJ3060">
        <v>40.404088000000002</v>
      </c>
      <c r="AK3060" t="s">
        <v>6237</v>
      </c>
      <c r="AL3060">
        <v>-74.990679999999998</v>
      </c>
      <c r="AM3060">
        <v>100</v>
      </c>
      <c r="AN3060">
        <v>3700</v>
      </c>
      <c r="AO3060" t="s">
        <v>115</v>
      </c>
      <c r="AP3060">
        <v>140</v>
      </c>
      <c r="AQ3060">
        <v>107</v>
      </c>
      <c r="AR3060">
        <v>-192</v>
      </c>
      <c r="AZ3060">
        <v>3614</v>
      </c>
      <c r="BA3060">
        <v>1</v>
      </c>
      <c r="BB3060" t="str">
        <f t="shared" si="143"/>
        <v xml:space="preserve">N959MJ  </v>
      </c>
      <c r="BC3060">
        <v>1</v>
      </c>
      <c r="BE3060">
        <v>0</v>
      </c>
      <c r="BF3060">
        <v>0</v>
      </c>
      <c r="BG3060">
        <v>0</v>
      </c>
      <c r="BH3060">
        <v>3850</v>
      </c>
      <c r="BI3060">
        <v>150</v>
      </c>
      <c r="BJ3060">
        <v>1</v>
      </c>
      <c r="BK3060">
        <v>1</v>
      </c>
      <c r="BL3060">
        <v>1</v>
      </c>
      <c r="BM3060">
        <v>0</v>
      </c>
      <c r="BP3060">
        <v>0</v>
      </c>
      <c r="BQ3060">
        <v>0</v>
      </c>
      <c r="BX3060" t="str">
        <f>"14:41:20.867"</f>
        <v>14:41:20.867</v>
      </c>
      <c r="BY3060" t="str">
        <f>"869408249"</f>
        <v>869408249</v>
      </c>
      <c r="CL3060">
        <v>0</v>
      </c>
      <c r="CM3060">
        <v>2</v>
      </c>
      <c r="CN3060">
        <v>0</v>
      </c>
      <c r="CO3060">
        <v>2</v>
      </c>
      <c r="CP3060">
        <v>0</v>
      </c>
      <c r="CQ3060">
        <v>7</v>
      </c>
      <c r="CR3060" t="s">
        <v>116</v>
      </c>
      <c r="CS3060">
        <v>409</v>
      </c>
      <c r="CT3060">
        <v>2</v>
      </c>
      <c r="CU3060" t="s">
        <v>5087</v>
      </c>
      <c r="CV3060" t="s">
        <v>5088</v>
      </c>
      <c r="CY3060">
        <v>511615</v>
      </c>
      <c r="CZ3060" t="s">
        <v>119</v>
      </c>
    </row>
    <row r="3061" spans="1:104" x14ac:dyDescent="0.25">
      <c r="A3061" t="str">
        <f>"14:41:22.117"</f>
        <v>14:41:22.117</v>
      </c>
      <c r="B3061" t="s">
        <v>108</v>
      </c>
      <c r="C3061" t="str">
        <f t="shared" si="142"/>
        <v>ffdfd3c0</v>
      </c>
      <c r="D3061" t="s">
        <v>109</v>
      </c>
      <c r="E3061">
        <v>4</v>
      </c>
      <c r="F3061">
        <v>1004</v>
      </c>
      <c r="G3061" t="s">
        <v>110</v>
      </c>
      <c r="J3061" t="s">
        <v>111</v>
      </c>
      <c r="K3061">
        <v>0</v>
      </c>
      <c r="L3061">
        <v>3</v>
      </c>
      <c r="M3061">
        <v>0</v>
      </c>
      <c r="N3061">
        <v>2</v>
      </c>
      <c r="O3061">
        <v>1</v>
      </c>
      <c r="P3061">
        <v>0</v>
      </c>
      <c r="Q3061">
        <v>0</v>
      </c>
      <c r="R3061" t="s">
        <v>112</v>
      </c>
      <c r="S3061" t="str">
        <f>"14:41:21.891"</f>
        <v>14:41:21.891</v>
      </c>
      <c r="T3061" t="str">
        <f>"14:41:21.391"</f>
        <v>14:41:21.391</v>
      </c>
      <c r="U3061" t="str">
        <f t="shared" si="141"/>
        <v>ad5732</v>
      </c>
      <c r="V3061">
        <v>0</v>
      </c>
      <c r="W3061">
        <v>0</v>
      </c>
      <c r="X3061">
        <v>1</v>
      </c>
      <c r="Z3061">
        <v>0</v>
      </c>
      <c r="AA3061">
        <v>9</v>
      </c>
      <c r="AB3061">
        <v>3</v>
      </c>
      <c r="AC3061">
        <v>0</v>
      </c>
      <c r="AD3061">
        <v>10</v>
      </c>
      <c r="AE3061">
        <v>0</v>
      </c>
      <c r="AF3061">
        <v>3</v>
      </c>
      <c r="AG3061">
        <v>2</v>
      </c>
      <c r="AH3061">
        <v>0</v>
      </c>
      <c r="AI3061" t="s">
        <v>6238</v>
      </c>
      <c r="AJ3061">
        <v>40.404539</v>
      </c>
      <c r="AK3061" t="s">
        <v>6239</v>
      </c>
      <c r="AL3061">
        <v>-74.989735999999994</v>
      </c>
      <c r="AM3061">
        <v>100</v>
      </c>
      <c r="AN3061">
        <v>3700</v>
      </c>
      <c r="AO3061" t="s">
        <v>115</v>
      </c>
      <c r="AP3061">
        <v>144</v>
      </c>
      <c r="AQ3061">
        <v>102</v>
      </c>
      <c r="AR3061">
        <v>-256</v>
      </c>
      <c r="AZ3061">
        <v>3614</v>
      </c>
      <c r="BA3061">
        <v>1</v>
      </c>
      <c r="BB3061" t="str">
        <f t="shared" si="143"/>
        <v xml:space="preserve">N959MJ  </v>
      </c>
      <c r="BC3061">
        <v>1</v>
      </c>
      <c r="BE3061">
        <v>0</v>
      </c>
      <c r="BF3061">
        <v>0</v>
      </c>
      <c r="BG3061">
        <v>0</v>
      </c>
      <c r="BH3061">
        <v>3850</v>
      </c>
      <c r="BI3061">
        <v>150</v>
      </c>
      <c r="BJ3061">
        <v>1</v>
      </c>
      <c r="BK3061">
        <v>1</v>
      </c>
      <c r="BL3061">
        <v>1</v>
      </c>
      <c r="BM3061">
        <v>0</v>
      </c>
      <c r="BP3061">
        <v>0</v>
      </c>
      <c r="BQ3061">
        <v>0</v>
      </c>
      <c r="BX3061" t="str">
        <f>"14:41:21.891"</f>
        <v>14:41:21.891</v>
      </c>
      <c r="BY3061" t="str">
        <f>"891718183"</f>
        <v>891718183</v>
      </c>
      <c r="CL3061">
        <v>0</v>
      </c>
      <c r="CM3061">
        <v>2</v>
      </c>
      <c r="CN3061">
        <v>0</v>
      </c>
      <c r="CO3061">
        <v>2</v>
      </c>
      <c r="CP3061">
        <v>0</v>
      </c>
      <c r="CQ3061">
        <v>6</v>
      </c>
      <c r="CR3061" t="s">
        <v>116</v>
      </c>
      <c r="CS3061">
        <v>38</v>
      </c>
      <c r="CT3061">
        <v>3</v>
      </c>
      <c r="CU3061" t="s">
        <v>4719</v>
      </c>
      <c r="CV3061" t="s">
        <v>4720</v>
      </c>
      <c r="CY3061">
        <v>10687200</v>
      </c>
      <c r="CZ3061" t="s">
        <v>119</v>
      </c>
    </row>
    <row r="3062" spans="1:104" x14ac:dyDescent="0.25">
      <c r="A3062" t="str">
        <f>"14:41:22.977"</f>
        <v>14:41:22.977</v>
      </c>
      <c r="B3062" t="s">
        <v>108</v>
      </c>
      <c r="C3062" t="str">
        <f t="shared" si="142"/>
        <v>ffdfd3c0</v>
      </c>
      <c r="D3062" t="s">
        <v>109</v>
      </c>
      <c r="E3062">
        <v>4</v>
      </c>
      <c r="F3062">
        <v>1004</v>
      </c>
      <c r="G3062" t="s">
        <v>110</v>
      </c>
      <c r="J3062" t="s">
        <v>111</v>
      </c>
      <c r="K3062">
        <v>0</v>
      </c>
      <c r="L3062">
        <v>3</v>
      </c>
      <c r="M3062">
        <v>0</v>
      </c>
      <c r="N3062">
        <v>2</v>
      </c>
      <c r="O3062">
        <v>1</v>
      </c>
      <c r="P3062">
        <v>0</v>
      </c>
      <c r="Q3062">
        <v>0</v>
      </c>
      <c r="R3062" t="s">
        <v>112</v>
      </c>
      <c r="S3062" t="str">
        <f>"14:41:22.813"</f>
        <v>14:41:22.813</v>
      </c>
      <c r="T3062" t="str">
        <f>"14:41:22.414"</f>
        <v>14:41:22.414</v>
      </c>
      <c r="U3062" t="str">
        <f t="shared" si="141"/>
        <v>ad5732</v>
      </c>
      <c r="V3062">
        <v>0</v>
      </c>
      <c r="W3062">
        <v>0</v>
      </c>
      <c r="X3062">
        <v>1</v>
      </c>
      <c r="Z3062">
        <v>0</v>
      </c>
      <c r="AA3062">
        <v>9</v>
      </c>
      <c r="AB3062">
        <v>3</v>
      </c>
      <c r="AC3062">
        <v>0</v>
      </c>
      <c r="AD3062">
        <v>10</v>
      </c>
      <c r="AE3062">
        <v>0</v>
      </c>
      <c r="AF3062">
        <v>3</v>
      </c>
      <c r="AG3062">
        <v>2</v>
      </c>
      <c r="AH3062">
        <v>0</v>
      </c>
      <c r="AI3062" t="s">
        <v>6240</v>
      </c>
      <c r="AJ3062">
        <v>40.404967999999997</v>
      </c>
      <c r="AK3062" t="s">
        <v>6241</v>
      </c>
      <c r="AL3062">
        <v>-74.988878</v>
      </c>
      <c r="AM3062">
        <v>100</v>
      </c>
      <c r="AN3062">
        <v>3700</v>
      </c>
      <c r="AO3062" t="s">
        <v>115</v>
      </c>
      <c r="AP3062">
        <v>147</v>
      </c>
      <c r="AQ3062">
        <v>97</v>
      </c>
      <c r="AR3062">
        <v>-320</v>
      </c>
      <c r="AZ3062">
        <v>3614</v>
      </c>
      <c r="BA3062">
        <v>1</v>
      </c>
      <c r="BB3062" t="str">
        <f t="shared" si="143"/>
        <v xml:space="preserve">N959MJ  </v>
      </c>
      <c r="BC3062">
        <v>1</v>
      </c>
      <c r="BE3062">
        <v>0</v>
      </c>
      <c r="BF3062">
        <v>0</v>
      </c>
      <c r="BG3062">
        <v>0</v>
      </c>
      <c r="BH3062">
        <v>3850</v>
      </c>
      <c r="BI3062">
        <v>150</v>
      </c>
      <c r="BJ3062">
        <v>1</v>
      </c>
      <c r="BK3062">
        <v>1</v>
      </c>
      <c r="BL3062">
        <v>1</v>
      </c>
      <c r="BM3062">
        <v>0</v>
      </c>
      <c r="BP3062">
        <v>0</v>
      </c>
      <c r="BQ3062">
        <v>0</v>
      </c>
      <c r="BX3062" t="str">
        <f>"14:41:22.820"</f>
        <v>14:41:22.820</v>
      </c>
      <c r="BY3062" t="str">
        <f>"819538318"</f>
        <v>819538318</v>
      </c>
      <c r="CL3062">
        <v>0</v>
      </c>
      <c r="CM3062">
        <v>2</v>
      </c>
      <c r="CN3062">
        <v>0</v>
      </c>
      <c r="CO3062">
        <v>2</v>
      </c>
      <c r="CP3062">
        <v>0</v>
      </c>
      <c r="CQ3062">
        <v>4</v>
      </c>
      <c r="CR3062" t="s">
        <v>116</v>
      </c>
      <c r="CS3062">
        <v>148</v>
      </c>
      <c r="CT3062">
        <v>1</v>
      </c>
      <c r="CU3062" t="s">
        <v>470</v>
      </c>
      <c r="CV3062" t="s">
        <v>471</v>
      </c>
      <c r="CY3062">
        <v>10033048</v>
      </c>
      <c r="CZ3062" t="s">
        <v>119</v>
      </c>
    </row>
    <row r="3063" spans="1:104" x14ac:dyDescent="0.25">
      <c r="A3063" t="str">
        <f>"14:41:23.883"</f>
        <v>14:41:23.883</v>
      </c>
      <c r="B3063" t="s">
        <v>108</v>
      </c>
      <c r="C3063" t="str">
        <f t="shared" si="142"/>
        <v>ffdfd3c0</v>
      </c>
      <c r="D3063" t="s">
        <v>109</v>
      </c>
      <c r="E3063">
        <v>4</v>
      </c>
      <c r="F3063">
        <v>1004</v>
      </c>
      <c r="G3063" t="s">
        <v>110</v>
      </c>
      <c r="J3063" t="s">
        <v>111</v>
      </c>
      <c r="K3063">
        <v>0</v>
      </c>
      <c r="L3063">
        <v>3</v>
      </c>
      <c r="M3063">
        <v>0</v>
      </c>
      <c r="N3063">
        <v>2</v>
      </c>
      <c r="O3063">
        <v>1</v>
      </c>
      <c r="P3063">
        <v>0</v>
      </c>
      <c r="Q3063">
        <v>0</v>
      </c>
      <c r="R3063" t="s">
        <v>112</v>
      </c>
      <c r="S3063" t="str">
        <f>"14:41:23.734"</f>
        <v>14:41:23.734</v>
      </c>
      <c r="T3063" t="str">
        <f>"14:41:23.438"</f>
        <v>14:41:23.438</v>
      </c>
      <c r="U3063" t="str">
        <f t="shared" si="141"/>
        <v>ad5732</v>
      </c>
      <c r="V3063">
        <v>0</v>
      </c>
      <c r="W3063">
        <v>0</v>
      </c>
      <c r="X3063">
        <v>1</v>
      </c>
      <c r="Z3063">
        <v>0</v>
      </c>
      <c r="AA3063">
        <v>9</v>
      </c>
      <c r="AB3063">
        <v>3</v>
      </c>
      <c r="AC3063">
        <v>0</v>
      </c>
      <c r="AD3063">
        <v>10</v>
      </c>
      <c r="AE3063">
        <v>0</v>
      </c>
      <c r="AF3063">
        <v>3</v>
      </c>
      <c r="AG3063">
        <v>2</v>
      </c>
      <c r="AH3063">
        <v>0</v>
      </c>
      <c r="AI3063" t="s">
        <v>6242</v>
      </c>
      <c r="AJ3063">
        <v>40.405332999999999</v>
      </c>
      <c r="AK3063" t="s">
        <v>6243</v>
      </c>
      <c r="AL3063">
        <v>-74.988040999999996</v>
      </c>
      <c r="AM3063">
        <v>100</v>
      </c>
      <c r="AN3063">
        <v>3600</v>
      </c>
      <c r="AO3063" t="s">
        <v>115</v>
      </c>
      <c r="AP3063">
        <v>150</v>
      </c>
      <c r="AQ3063">
        <v>91</v>
      </c>
      <c r="AR3063">
        <v>-256</v>
      </c>
      <c r="AZ3063">
        <v>3614</v>
      </c>
      <c r="BA3063">
        <v>1</v>
      </c>
      <c r="BB3063" t="str">
        <f t="shared" si="143"/>
        <v xml:space="preserve">N959MJ  </v>
      </c>
      <c r="BC3063">
        <v>1</v>
      </c>
      <c r="BE3063">
        <v>0</v>
      </c>
      <c r="BF3063">
        <v>0</v>
      </c>
      <c r="BG3063">
        <v>0</v>
      </c>
      <c r="BH3063">
        <v>3850</v>
      </c>
      <c r="BI3063">
        <v>250</v>
      </c>
      <c r="BJ3063">
        <v>1</v>
      </c>
      <c r="BK3063">
        <v>1</v>
      </c>
      <c r="BL3063">
        <v>1</v>
      </c>
      <c r="BM3063">
        <v>0</v>
      </c>
      <c r="BP3063">
        <v>0</v>
      </c>
      <c r="BQ3063">
        <v>0</v>
      </c>
      <c r="BX3063" t="str">
        <f>"14:41:23.734"</f>
        <v>14:41:23.734</v>
      </c>
      <c r="BY3063" t="str">
        <f>"736658017"</f>
        <v>736658017</v>
      </c>
      <c r="CL3063">
        <v>0</v>
      </c>
      <c r="CM3063">
        <v>2</v>
      </c>
      <c r="CN3063">
        <v>0</v>
      </c>
      <c r="CO3063">
        <v>2</v>
      </c>
      <c r="CP3063">
        <v>0</v>
      </c>
      <c r="CQ3063">
        <v>7</v>
      </c>
      <c r="CR3063" t="s">
        <v>116</v>
      </c>
      <c r="CS3063">
        <v>409</v>
      </c>
      <c r="CT3063">
        <v>2</v>
      </c>
      <c r="CU3063" t="s">
        <v>5087</v>
      </c>
      <c r="CV3063" t="s">
        <v>5088</v>
      </c>
      <c r="CY3063">
        <v>517240</v>
      </c>
      <c r="CZ3063" t="s">
        <v>119</v>
      </c>
    </row>
    <row r="3064" spans="1:104" x14ac:dyDescent="0.25">
      <c r="A3064" t="str">
        <f>"14:41:24.898"</f>
        <v>14:41:24.898</v>
      </c>
      <c r="B3064" t="s">
        <v>108</v>
      </c>
      <c r="C3064" t="str">
        <f t="shared" si="142"/>
        <v>ffdfd3c0</v>
      </c>
      <c r="D3064" t="s">
        <v>109</v>
      </c>
      <c r="E3064">
        <v>4</v>
      </c>
      <c r="F3064">
        <v>1004</v>
      </c>
      <c r="G3064" t="s">
        <v>110</v>
      </c>
      <c r="J3064" t="s">
        <v>111</v>
      </c>
      <c r="K3064">
        <v>0</v>
      </c>
      <c r="L3064">
        <v>3</v>
      </c>
      <c r="M3064">
        <v>0</v>
      </c>
      <c r="N3064">
        <v>2</v>
      </c>
      <c r="O3064">
        <v>1</v>
      </c>
      <c r="P3064">
        <v>0</v>
      </c>
      <c r="Q3064">
        <v>0</v>
      </c>
      <c r="R3064" t="s">
        <v>112</v>
      </c>
      <c r="S3064" t="str">
        <f>"14:41:24.734"</f>
        <v>14:41:24.734</v>
      </c>
      <c r="T3064" t="str">
        <f>"14:41:24.234"</f>
        <v>14:41:24.234</v>
      </c>
      <c r="U3064" t="str">
        <f t="shared" si="141"/>
        <v>ad5732</v>
      </c>
      <c r="V3064">
        <v>0</v>
      </c>
      <c r="W3064">
        <v>0</v>
      </c>
      <c r="X3064">
        <v>1</v>
      </c>
      <c r="Z3064">
        <v>0</v>
      </c>
      <c r="AA3064">
        <v>9</v>
      </c>
      <c r="AB3064">
        <v>3</v>
      </c>
      <c r="AC3064">
        <v>0</v>
      </c>
      <c r="AD3064">
        <v>10</v>
      </c>
      <c r="AE3064">
        <v>0</v>
      </c>
      <c r="AF3064">
        <v>3</v>
      </c>
      <c r="AG3064">
        <v>2</v>
      </c>
      <c r="AH3064">
        <v>0</v>
      </c>
      <c r="AI3064" t="s">
        <v>6244</v>
      </c>
      <c r="AJ3064">
        <v>40.405740999999999</v>
      </c>
      <c r="AK3064" t="s">
        <v>6245</v>
      </c>
      <c r="AL3064">
        <v>-74.987117999999995</v>
      </c>
      <c r="AM3064">
        <v>100</v>
      </c>
      <c r="AN3064">
        <v>3600</v>
      </c>
      <c r="AO3064" t="s">
        <v>115</v>
      </c>
      <c r="AP3064">
        <v>153</v>
      </c>
      <c r="AQ3064">
        <v>86</v>
      </c>
      <c r="AR3064">
        <v>-192</v>
      </c>
      <c r="AZ3064">
        <v>3614</v>
      </c>
      <c r="BA3064">
        <v>1</v>
      </c>
      <c r="BB3064" t="str">
        <f t="shared" si="143"/>
        <v xml:space="preserve">N959MJ  </v>
      </c>
      <c r="BC3064">
        <v>1</v>
      </c>
      <c r="BE3064">
        <v>0</v>
      </c>
      <c r="BF3064">
        <v>0</v>
      </c>
      <c r="BG3064">
        <v>0</v>
      </c>
      <c r="BH3064">
        <v>3850</v>
      </c>
      <c r="BI3064">
        <v>250</v>
      </c>
      <c r="BJ3064">
        <v>1</v>
      </c>
      <c r="BK3064">
        <v>1</v>
      </c>
      <c r="BL3064">
        <v>1</v>
      </c>
      <c r="BM3064">
        <v>0</v>
      </c>
      <c r="BP3064">
        <v>0</v>
      </c>
      <c r="BQ3064">
        <v>0</v>
      </c>
      <c r="BX3064" t="str">
        <f>"14:41:24.734"</f>
        <v>14:41:24.734</v>
      </c>
      <c r="BY3064" t="str">
        <f>"734562995"</f>
        <v>734562995</v>
      </c>
      <c r="CL3064">
        <v>0</v>
      </c>
      <c r="CM3064">
        <v>2</v>
      </c>
      <c r="CN3064">
        <v>0</v>
      </c>
      <c r="CO3064">
        <v>2</v>
      </c>
      <c r="CP3064">
        <v>0</v>
      </c>
      <c r="CQ3064">
        <v>5</v>
      </c>
      <c r="CR3064" t="s">
        <v>116</v>
      </c>
      <c r="CS3064">
        <v>39</v>
      </c>
      <c r="CT3064">
        <v>0</v>
      </c>
      <c r="CU3064" t="s">
        <v>2259</v>
      </c>
      <c r="CV3064" t="s">
        <v>2260</v>
      </c>
      <c r="CY3064">
        <v>2858017</v>
      </c>
      <c r="CZ3064" t="s">
        <v>119</v>
      </c>
    </row>
    <row r="3065" spans="1:104" x14ac:dyDescent="0.25">
      <c r="A3065" t="str">
        <f>"14:41:25.852"</f>
        <v>14:41:25.852</v>
      </c>
      <c r="B3065" t="s">
        <v>108</v>
      </c>
      <c r="C3065" t="str">
        <f t="shared" si="142"/>
        <v>ffdfd3c0</v>
      </c>
      <c r="D3065" t="s">
        <v>109</v>
      </c>
      <c r="E3065">
        <v>4</v>
      </c>
      <c r="F3065">
        <v>1004</v>
      </c>
      <c r="G3065" t="s">
        <v>110</v>
      </c>
      <c r="J3065" t="s">
        <v>111</v>
      </c>
      <c r="K3065">
        <v>0</v>
      </c>
      <c r="L3065">
        <v>3</v>
      </c>
      <c r="M3065">
        <v>0</v>
      </c>
      <c r="N3065">
        <v>2</v>
      </c>
      <c r="O3065">
        <v>1</v>
      </c>
      <c r="P3065">
        <v>0</v>
      </c>
      <c r="Q3065">
        <v>0</v>
      </c>
      <c r="R3065" t="s">
        <v>112</v>
      </c>
      <c r="S3065" t="str">
        <f>"14:41:25.688"</f>
        <v>14:41:25.688</v>
      </c>
      <c r="T3065" t="str">
        <f>"14:41:25.289"</f>
        <v>14:41:25.289</v>
      </c>
      <c r="U3065" t="str">
        <f t="shared" si="141"/>
        <v>ad5732</v>
      </c>
      <c r="V3065">
        <v>0</v>
      </c>
      <c r="W3065">
        <v>0</v>
      </c>
      <c r="X3065">
        <v>1</v>
      </c>
      <c r="Z3065">
        <v>0</v>
      </c>
      <c r="AA3065">
        <v>9</v>
      </c>
      <c r="AB3065">
        <v>3</v>
      </c>
      <c r="AC3065">
        <v>0</v>
      </c>
      <c r="AD3065">
        <v>10</v>
      </c>
      <c r="AE3065">
        <v>0</v>
      </c>
      <c r="AF3065">
        <v>3</v>
      </c>
      <c r="AG3065">
        <v>2</v>
      </c>
      <c r="AH3065">
        <v>0</v>
      </c>
      <c r="AI3065" t="s">
        <v>6246</v>
      </c>
      <c r="AJ3065">
        <v>40.406041000000002</v>
      </c>
      <c r="AK3065" t="s">
        <v>6247</v>
      </c>
      <c r="AL3065">
        <v>-74.986238</v>
      </c>
      <c r="AM3065">
        <v>100</v>
      </c>
      <c r="AN3065">
        <v>3600</v>
      </c>
      <c r="AO3065" t="s">
        <v>115</v>
      </c>
      <c r="AP3065">
        <v>157</v>
      </c>
      <c r="AQ3065">
        <v>78</v>
      </c>
      <c r="AR3065">
        <v>-128</v>
      </c>
      <c r="AZ3065">
        <v>3614</v>
      </c>
      <c r="BA3065">
        <v>1</v>
      </c>
      <c r="BB3065" t="str">
        <f t="shared" si="143"/>
        <v xml:space="preserve">N959MJ  </v>
      </c>
      <c r="BC3065">
        <v>1</v>
      </c>
      <c r="BE3065">
        <v>0</v>
      </c>
      <c r="BF3065">
        <v>0</v>
      </c>
      <c r="BG3065">
        <v>0</v>
      </c>
      <c r="BH3065">
        <v>3850</v>
      </c>
      <c r="BI3065">
        <v>250</v>
      </c>
      <c r="BJ3065">
        <v>1</v>
      </c>
      <c r="BK3065">
        <v>1</v>
      </c>
      <c r="BL3065">
        <v>1</v>
      </c>
      <c r="BM3065">
        <v>0</v>
      </c>
      <c r="BP3065">
        <v>0</v>
      </c>
      <c r="BQ3065">
        <v>0</v>
      </c>
      <c r="BX3065" t="str">
        <f>"14:41:25.688"</f>
        <v>14:41:25.688</v>
      </c>
      <c r="BY3065" t="str">
        <f>"689664731"</f>
        <v>689664731</v>
      </c>
      <c r="CL3065">
        <v>0</v>
      </c>
      <c r="CM3065">
        <v>2</v>
      </c>
      <c r="CN3065">
        <v>0</v>
      </c>
      <c r="CO3065">
        <v>2</v>
      </c>
      <c r="CP3065">
        <v>0</v>
      </c>
      <c r="CQ3065">
        <v>7</v>
      </c>
      <c r="CR3065" t="s">
        <v>116</v>
      </c>
      <c r="CS3065">
        <v>409</v>
      </c>
      <c r="CT3065">
        <v>2</v>
      </c>
      <c r="CU3065" t="s">
        <v>5087</v>
      </c>
      <c r="CV3065" t="s">
        <v>5088</v>
      </c>
      <c r="CY3065">
        <v>520898</v>
      </c>
      <c r="CZ3065" t="s">
        <v>119</v>
      </c>
    </row>
    <row r="3066" spans="1:104" x14ac:dyDescent="0.25">
      <c r="A3066" t="str">
        <f>"14:41:26.961"</f>
        <v>14:41:26.961</v>
      </c>
      <c r="B3066" t="s">
        <v>108</v>
      </c>
      <c r="C3066" t="str">
        <f t="shared" si="142"/>
        <v>ffdfd3c0</v>
      </c>
      <c r="D3066" t="s">
        <v>109</v>
      </c>
      <c r="E3066">
        <v>4</v>
      </c>
      <c r="F3066">
        <v>1004</v>
      </c>
      <c r="G3066" t="s">
        <v>110</v>
      </c>
      <c r="J3066" t="s">
        <v>111</v>
      </c>
      <c r="K3066">
        <v>0</v>
      </c>
      <c r="L3066">
        <v>3</v>
      </c>
      <c r="M3066">
        <v>0</v>
      </c>
      <c r="N3066">
        <v>2</v>
      </c>
      <c r="O3066">
        <v>1</v>
      </c>
      <c r="P3066">
        <v>0</v>
      </c>
      <c r="Q3066">
        <v>0</v>
      </c>
      <c r="R3066" t="s">
        <v>112</v>
      </c>
      <c r="S3066" t="str">
        <f>"14:41:26.797"</f>
        <v>14:41:26.797</v>
      </c>
      <c r="T3066" t="str">
        <f>"14:41:26.297"</f>
        <v>14:41:26.297</v>
      </c>
      <c r="U3066" t="str">
        <f t="shared" si="141"/>
        <v>ad5732</v>
      </c>
      <c r="V3066">
        <v>0</v>
      </c>
      <c r="W3066">
        <v>0</v>
      </c>
      <c r="X3066">
        <v>1</v>
      </c>
      <c r="Z3066">
        <v>0</v>
      </c>
      <c r="AA3066">
        <v>9</v>
      </c>
      <c r="AB3066">
        <v>3</v>
      </c>
      <c r="AC3066">
        <v>0</v>
      </c>
      <c r="AD3066">
        <v>10</v>
      </c>
      <c r="AE3066">
        <v>0</v>
      </c>
      <c r="AF3066">
        <v>3</v>
      </c>
      <c r="AG3066">
        <v>2</v>
      </c>
      <c r="AH3066">
        <v>0</v>
      </c>
      <c r="AI3066" t="s">
        <v>6248</v>
      </c>
      <c r="AJ3066">
        <v>40.406427000000001</v>
      </c>
      <c r="AK3066" t="s">
        <v>6249</v>
      </c>
      <c r="AL3066">
        <v>-74.985166000000007</v>
      </c>
      <c r="AM3066">
        <v>100</v>
      </c>
      <c r="AN3066">
        <v>3600</v>
      </c>
      <c r="AO3066" t="s">
        <v>115</v>
      </c>
      <c r="AP3066">
        <v>159</v>
      </c>
      <c r="AQ3066">
        <v>71</v>
      </c>
      <c r="AR3066">
        <v>0</v>
      </c>
      <c r="AZ3066">
        <v>3614</v>
      </c>
      <c r="BA3066">
        <v>1</v>
      </c>
      <c r="BB3066" t="str">
        <f t="shared" si="143"/>
        <v xml:space="preserve">N959MJ  </v>
      </c>
      <c r="BC3066">
        <v>1</v>
      </c>
      <c r="BE3066">
        <v>0</v>
      </c>
      <c r="BF3066">
        <v>0</v>
      </c>
      <c r="BG3066">
        <v>0</v>
      </c>
      <c r="BH3066">
        <v>3850</v>
      </c>
      <c r="BI3066">
        <v>250</v>
      </c>
      <c r="BJ3066">
        <v>1</v>
      </c>
      <c r="BK3066">
        <v>1</v>
      </c>
      <c r="BL3066">
        <v>1</v>
      </c>
      <c r="BM3066">
        <v>0</v>
      </c>
      <c r="BP3066">
        <v>0</v>
      </c>
      <c r="BQ3066">
        <v>0</v>
      </c>
      <c r="BX3066" t="str">
        <f>"14:41:26.805"</f>
        <v>14:41:26.805</v>
      </c>
      <c r="BY3066" t="str">
        <f>"802259108"</f>
        <v>802259108</v>
      </c>
      <c r="CL3066">
        <v>0</v>
      </c>
      <c r="CM3066">
        <v>2</v>
      </c>
      <c r="CN3066">
        <v>0</v>
      </c>
      <c r="CO3066">
        <v>2</v>
      </c>
      <c r="CP3066">
        <v>0</v>
      </c>
      <c r="CQ3066">
        <v>5</v>
      </c>
      <c r="CR3066" t="s">
        <v>116</v>
      </c>
      <c r="CS3066">
        <v>408</v>
      </c>
      <c r="CT3066">
        <v>0</v>
      </c>
      <c r="CU3066" t="s">
        <v>2317</v>
      </c>
      <c r="CV3066" t="s">
        <v>2318</v>
      </c>
      <c r="CY3066">
        <v>12733578</v>
      </c>
      <c r="CZ3066" t="s">
        <v>119</v>
      </c>
    </row>
    <row r="3067" spans="1:104" x14ac:dyDescent="0.25">
      <c r="A3067" t="str">
        <f>"14:41:27.922"</f>
        <v>14:41:27.922</v>
      </c>
      <c r="B3067" t="s">
        <v>108</v>
      </c>
      <c r="C3067" t="str">
        <f t="shared" si="142"/>
        <v>ffdfd3c0</v>
      </c>
      <c r="D3067" t="s">
        <v>109</v>
      </c>
      <c r="E3067">
        <v>4</v>
      </c>
      <c r="F3067">
        <v>1004</v>
      </c>
      <c r="G3067" t="s">
        <v>110</v>
      </c>
      <c r="J3067" t="s">
        <v>111</v>
      </c>
      <c r="K3067">
        <v>0</v>
      </c>
      <c r="L3067">
        <v>3</v>
      </c>
      <c r="M3067">
        <v>0</v>
      </c>
      <c r="N3067">
        <v>2</v>
      </c>
      <c r="O3067">
        <v>1</v>
      </c>
      <c r="P3067">
        <v>0</v>
      </c>
      <c r="Q3067">
        <v>0</v>
      </c>
      <c r="R3067" t="s">
        <v>112</v>
      </c>
      <c r="S3067" t="str">
        <f>"14:41:27.734"</f>
        <v>14:41:27.734</v>
      </c>
      <c r="T3067" t="str">
        <f>"14:41:27.336"</f>
        <v>14:41:27.336</v>
      </c>
      <c r="U3067" t="str">
        <f t="shared" si="141"/>
        <v>ad5732</v>
      </c>
      <c r="V3067">
        <v>0</v>
      </c>
      <c r="W3067">
        <v>0</v>
      </c>
      <c r="X3067">
        <v>1</v>
      </c>
      <c r="Z3067">
        <v>0</v>
      </c>
      <c r="AA3067">
        <v>9</v>
      </c>
      <c r="AB3067">
        <v>3</v>
      </c>
      <c r="AC3067">
        <v>0</v>
      </c>
      <c r="AD3067">
        <v>10</v>
      </c>
      <c r="AE3067">
        <v>0</v>
      </c>
      <c r="AF3067">
        <v>3</v>
      </c>
      <c r="AG3067">
        <v>2</v>
      </c>
      <c r="AH3067">
        <v>0</v>
      </c>
      <c r="AI3067" t="s">
        <v>6250</v>
      </c>
      <c r="AJ3067">
        <v>40.406706</v>
      </c>
      <c r="AK3067" t="s">
        <v>6251</v>
      </c>
      <c r="AL3067">
        <v>-74.984200000000001</v>
      </c>
      <c r="AM3067">
        <v>100</v>
      </c>
      <c r="AN3067">
        <v>3600</v>
      </c>
      <c r="AO3067" t="s">
        <v>115</v>
      </c>
      <c r="AP3067">
        <v>161</v>
      </c>
      <c r="AQ3067">
        <v>64</v>
      </c>
      <c r="AR3067">
        <v>64</v>
      </c>
      <c r="AZ3067">
        <v>3614</v>
      </c>
      <c r="BA3067">
        <v>1</v>
      </c>
      <c r="BB3067" t="str">
        <f t="shared" si="143"/>
        <v xml:space="preserve">N959MJ  </v>
      </c>
      <c r="BC3067">
        <v>1</v>
      </c>
      <c r="BE3067">
        <v>0</v>
      </c>
      <c r="BF3067">
        <v>0</v>
      </c>
      <c r="BG3067">
        <v>0</v>
      </c>
      <c r="BH3067">
        <v>3850</v>
      </c>
      <c r="BI3067">
        <v>250</v>
      </c>
      <c r="BJ3067">
        <v>1</v>
      </c>
      <c r="BK3067">
        <v>1</v>
      </c>
      <c r="BL3067">
        <v>1</v>
      </c>
      <c r="BM3067">
        <v>0</v>
      </c>
      <c r="BP3067">
        <v>0</v>
      </c>
      <c r="BQ3067">
        <v>0</v>
      </c>
      <c r="BX3067" t="str">
        <f>"14:41:27.734"</f>
        <v>14:41:27.734</v>
      </c>
      <c r="BY3067" t="str">
        <f>"734423462"</f>
        <v>734423462</v>
      </c>
      <c r="CL3067">
        <v>0</v>
      </c>
      <c r="CM3067">
        <v>2</v>
      </c>
      <c r="CN3067">
        <v>0</v>
      </c>
      <c r="CO3067">
        <v>2</v>
      </c>
      <c r="CP3067">
        <v>0</v>
      </c>
      <c r="CQ3067">
        <v>6</v>
      </c>
      <c r="CR3067" t="s">
        <v>116</v>
      </c>
      <c r="CS3067">
        <v>409</v>
      </c>
      <c r="CT3067">
        <v>2</v>
      </c>
      <c r="CU3067" t="s">
        <v>5087</v>
      </c>
      <c r="CV3067" t="s">
        <v>5088</v>
      </c>
      <c r="CY3067">
        <v>524765</v>
      </c>
      <c r="CZ3067" t="s">
        <v>119</v>
      </c>
    </row>
    <row r="3068" spans="1:104" x14ac:dyDescent="0.25">
      <c r="A3068" t="str">
        <f>"14:41:28.984"</f>
        <v>14:41:28.984</v>
      </c>
      <c r="B3068" t="s">
        <v>108</v>
      </c>
      <c r="C3068" t="str">
        <f t="shared" si="142"/>
        <v>ffdfd3c0</v>
      </c>
      <c r="D3068" t="s">
        <v>109</v>
      </c>
      <c r="E3068">
        <v>4</v>
      </c>
      <c r="F3068">
        <v>1004</v>
      </c>
      <c r="G3068" t="s">
        <v>110</v>
      </c>
      <c r="J3068" t="s">
        <v>111</v>
      </c>
      <c r="K3068">
        <v>0</v>
      </c>
      <c r="L3068">
        <v>3</v>
      </c>
      <c r="M3068">
        <v>0</v>
      </c>
      <c r="N3068">
        <v>2</v>
      </c>
      <c r="O3068">
        <v>1</v>
      </c>
      <c r="P3068">
        <v>0</v>
      </c>
      <c r="Q3068">
        <v>0</v>
      </c>
      <c r="R3068" t="s">
        <v>112</v>
      </c>
      <c r="S3068" t="str">
        <f>"14:41:28.781"</f>
        <v>14:41:28.781</v>
      </c>
      <c r="T3068" t="str">
        <f>"14:41:28.281"</f>
        <v>14:41:28.281</v>
      </c>
      <c r="U3068" t="str">
        <f t="shared" si="141"/>
        <v>ad5732</v>
      </c>
      <c r="V3068">
        <v>0</v>
      </c>
      <c r="W3068">
        <v>0</v>
      </c>
      <c r="X3068">
        <v>1</v>
      </c>
      <c r="Z3068">
        <v>0</v>
      </c>
      <c r="AA3068">
        <v>9</v>
      </c>
      <c r="AB3068">
        <v>3</v>
      </c>
      <c r="AC3068">
        <v>0</v>
      </c>
      <c r="AD3068">
        <v>10</v>
      </c>
      <c r="AE3068">
        <v>0</v>
      </c>
      <c r="AF3068">
        <v>3</v>
      </c>
      <c r="AG3068">
        <v>2</v>
      </c>
      <c r="AH3068">
        <v>0</v>
      </c>
      <c r="AI3068" t="s">
        <v>6252</v>
      </c>
      <c r="AJ3068">
        <v>40.406984999999999</v>
      </c>
      <c r="AK3068" t="s">
        <v>6253</v>
      </c>
      <c r="AL3068">
        <v>-74.983213000000006</v>
      </c>
      <c r="AM3068">
        <v>100</v>
      </c>
      <c r="AN3068">
        <v>3600</v>
      </c>
      <c r="AO3068" t="s">
        <v>115</v>
      </c>
      <c r="AP3068">
        <v>163</v>
      </c>
      <c r="AQ3068">
        <v>59</v>
      </c>
      <c r="AR3068">
        <v>128</v>
      </c>
      <c r="AZ3068">
        <v>3614</v>
      </c>
      <c r="BA3068">
        <v>1</v>
      </c>
      <c r="BB3068" t="str">
        <f t="shared" si="143"/>
        <v xml:space="preserve">N959MJ  </v>
      </c>
      <c r="BC3068">
        <v>1</v>
      </c>
      <c r="BE3068">
        <v>0</v>
      </c>
      <c r="BF3068">
        <v>0</v>
      </c>
      <c r="BG3068">
        <v>0</v>
      </c>
      <c r="BH3068">
        <v>3850</v>
      </c>
      <c r="BI3068">
        <v>250</v>
      </c>
      <c r="BJ3068">
        <v>1</v>
      </c>
      <c r="BK3068">
        <v>1</v>
      </c>
      <c r="BL3068">
        <v>1</v>
      </c>
      <c r="BM3068">
        <v>0</v>
      </c>
      <c r="BP3068">
        <v>0</v>
      </c>
      <c r="BQ3068">
        <v>0</v>
      </c>
      <c r="BX3068" t="str">
        <f>"14:41:28.781"</f>
        <v>14:41:28.781</v>
      </c>
      <c r="BY3068" t="str">
        <f>"784656143"</f>
        <v>784656143</v>
      </c>
      <c r="CL3068">
        <v>0</v>
      </c>
      <c r="CM3068">
        <v>2</v>
      </c>
      <c r="CN3068">
        <v>0</v>
      </c>
      <c r="CO3068">
        <v>2</v>
      </c>
      <c r="CP3068">
        <v>0</v>
      </c>
      <c r="CQ3068">
        <v>6</v>
      </c>
      <c r="CR3068" t="s">
        <v>116</v>
      </c>
      <c r="CS3068">
        <v>409</v>
      </c>
      <c r="CT3068">
        <v>2</v>
      </c>
      <c r="CU3068" t="s">
        <v>5087</v>
      </c>
      <c r="CV3068" t="s">
        <v>5088</v>
      </c>
      <c r="CY3068">
        <v>526725</v>
      </c>
      <c r="CZ3068" t="s">
        <v>119</v>
      </c>
    </row>
    <row r="3069" spans="1:104" x14ac:dyDescent="0.25">
      <c r="A3069" t="str">
        <f>"14:41:29.992"</f>
        <v>14:41:29.992</v>
      </c>
      <c r="B3069" t="s">
        <v>108</v>
      </c>
      <c r="C3069" t="str">
        <f t="shared" si="142"/>
        <v>ffdfd3c0</v>
      </c>
      <c r="D3069" t="s">
        <v>109</v>
      </c>
      <c r="E3069">
        <v>4</v>
      </c>
      <c r="F3069">
        <v>1004</v>
      </c>
      <c r="G3069" t="s">
        <v>110</v>
      </c>
      <c r="J3069" t="s">
        <v>111</v>
      </c>
      <c r="K3069">
        <v>0</v>
      </c>
      <c r="L3069">
        <v>3</v>
      </c>
      <c r="M3069">
        <v>0</v>
      </c>
      <c r="N3069">
        <v>2</v>
      </c>
      <c r="O3069">
        <v>1</v>
      </c>
      <c r="P3069">
        <v>0</v>
      </c>
      <c r="Q3069">
        <v>0</v>
      </c>
      <c r="R3069" t="s">
        <v>112</v>
      </c>
      <c r="S3069" t="str">
        <f>"14:41:29.813"</f>
        <v>14:41:29.813</v>
      </c>
      <c r="T3069" t="str">
        <f>"14:41:29.313"</f>
        <v>14:41:29.313</v>
      </c>
      <c r="U3069" t="str">
        <f t="shared" si="141"/>
        <v>ad5732</v>
      </c>
      <c r="V3069">
        <v>0</v>
      </c>
      <c r="W3069">
        <v>0</v>
      </c>
      <c r="X3069">
        <v>1</v>
      </c>
      <c r="Z3069">
        <v>0</v>
      </c>
      <c r="AA3069">
        <v>9</v>
      </c>
      <c r="AB3069">
        <v>3</v>
      </c>
      <c r="AC3069">
        <v>0</v>
      </c>
      <c r="AD3069">
        <v>10</v>
      </c>
      <c r="AE3069">
        <v>0</v>
      </c>
      <c r="AF3069">
        <v>3</v>
      </c>
      <c r="AG3069">
        <v>2</v>
      </c>
      <c r="AH3069">
        <v>0</v>
      </c>
      <c r="AI3069" t="s">
        <v>6254</v>
      </c>
      <c r="AJ3069">
        <v>40.407200000000003</v>
      </c>
      <c r="AK3069" t="s">
        <v>6255</v>
      </c>
      <c r="AL3069">
        <v>-74.982118999999997</v>
      </c>
      <c r="AM3069">
        <v>100</v>
      </c>
      <c r="AN3069">
        <v>3600</v>
      </c>
      <c r="AO3069" t="s">
        <v>115</v>
      </c>
      <c r="AP3069">
        <v>164</v>
      </c>
      <c r="AQ3069">
        <v>50</v>
      </c>
      <c r="AR3069">
        <v>256</v>
      </c>
      <c r="AZ3069">
        <v>3614</v>
      </c>
      <c r="BA3069">
        <v>1</v>
      </c>
      <c r="BB3069" t="str">
        <f t="shared" si="143"/>
        <v xml:space="preserve">N959MJ  </v>
      </c>
      <c r="BC3069">
        <v>1</v>
      </c>
      <c r="BE3069">
        <v>0</v>
      </c>
      <c r="BF3069">
        <v>0</v>
      </c>
      <c r="BG3069">
        <v>0</v>
      </c>
      <c r="BH3069">
        <v>3850</v>
      </c>
      <c r="BI3069">
        <v>250</v>
      </c>
      <c r="BJ3069">
        <v>1</v>
      </c>
      <c r="BK3069">
        <v>1</v>
      </c>
      <c r="BL3069">
        <v>1</v>
      </c>
      <c r="BM3069">
        <v>0</v>
      </c>
      <c r="BP3069">
        <v>0</v>
      </c>
      <c r="BQ3069">
        <v>0</v>
      </c>
      <c r="BX3069" t="str">
        <f>"14:41:29.820"</f>
        <v>14:41:29.820</v>
      </c>
      <c r="BY3069" t="str">
        <f>"820142990"</f>
        <v>820142990</v>
      </c>
      <c r="CL3069">
        <v>0</v>
      </c>
      <c r="CM3069">
        <v>2</v>
      </c>
      <c r="CN3069">
        <v>0</v>
      </c>
      <c r="CO3069">
        <v>2</v>
      </c>
      <c r="CP3069">
        <v>0</v>
      </c>
      <c r="CQ3069">
        <v>6</v>
      </c>
      <c r="CR3069" t="s">
        <v>116</v>
      </c>
      <c r="CS3069">
        <v>409</v>
      </c>
      <c r="CT3069">
        <v>2</v>
      </c>
      <c r="CU3069" t="s">
        <v>5087</v>
      </c>
      <c r="CV3069" t="s">
        <v>5088</v>
      </c>
      <c r="CY3069">
        <v>528772</v>
      </c>
      <c r="CZ3069" t="s">
        <v>119</v>
      </c>
    </row>
    <row r="3070" spans="1:104" x14ac:dyDescent="0.25">
      <c r="A3070" t="str">
        <f>"14:41:30.953"</f>
        <v>14:41:30.953</v>
      </c>
      <c r="B3070" t="s">
        <v>108</v>
      </c>
      <c r="C3070" t="str">
        <f t="shared" si="142"/>
        <v>ffdfd3c0</v>
      </c>
      <c r="D3070" t="s">
        <v>109</v>
      </c>
      <c r="E3070">
        <v>4</v>
      </c>
      <c r="F3070">
        <v>1004</v>
      </c>
      <c r="G3070" t="s">
        <v>110</v>
      </c>
      <c r="J3070" t="s">
        <v>111</v>
      </c>
      <c r="K3070">
        <v>0</v>
      </c>
      <c r="L3070">
        <v>3</v>
      </c>
      <c r="M3070">
        <v>0</v>
      </c>
      <c r="N3070">
        <v>2</v>
      </c>
      <c r="O3070">
        <v>1</v>
      </c>
      <c r="P3070">
        <v>0</v>
      </c>
      <c r="Q3070">
        <v>0</v>
      </c>
      <c r="R3070" t="s">
        <v>112</v>
      </c>
      <c r="S3070" t="str">
        <f>"14:41:30.750"</f>
        <v>14:41:30.750</v>
      </c>
      <c r="T3070" t="str">
        <f>"14:41:30.250"</f>
        <v>14:41:30.250</v>
      </c>
      <c r="U3070" t="str">
        <f t="shared" si="141"/>
        <v>ad5732</v>
      </c>
      <c r="V3070">
        <v>0</v>
      </c>
      <c r="W3070">
        <v>0</v>
      </c>
      <c r="X3070">
        <v>1</v>
      </c>
      <c r="Z3070">
        <v>0</v>
      </c>
      <c r="AA3070">
        <v>9</v>
      </c>
      <c r="AB3070">
        <v>3</v>
      </c>
      <c r="AC3070">
        <v>0</v>
      </c>
      <c r="AD3070">
        <v>10</v>
      </c>
      <c r="AE3070">
        <v>0</v>
      </c>
      <c r="AF3070">
        <v>3</v>
      </c>
      <c r="AG3070">
        <v>2</v>
      </c>
      <c r="AH3070">
        <v>0</v>
      </c>
      <c r="AI3070" t="s">
        <v>6256</v>
      </c>
      <c r="AJ3070">
        <v>40.407392999999999</v>
      </c>
      <c r="AK3070" t="s">
        <v>6257</v>
      </c>
      <c r="AL3070">
        <v>-74.981195999999997</v>
      </c>
      <c r="AM3070">
        <v>100</v>
      </c>
      <c r="AN3070">
        <v>3600</v>
      </c>
      <c r="AO3070" t="s">
        <v>115</v>
      </c>
      <c r="AP3070">
        <v>165</v>
      </c>
      <c r="AQ3070">
        <v>43</v>
      </c>
      <c r="AR3070">
        <v>320</v>
      </c>
      <c r="AZ3070">
        <v>3614</v>
      </c>
      <c r="BA3070">
        <v>1</v>
      </c>
      <c r="BB3070" t="str">
        <f t="shared" si="143"/>
        <v xml:space="preserve">N959MJ  </v>
      </c>
      <c r="BC3070">
        <v>1</v>
      </c>
      <c r="BE3070">
        <v>0</v>
      </c>
      <c r="BF3070">
        <v>0</v>
      </c>
      <c r="BG3070">
        <v>0</v>
      </c>
      <c r="BH3070">
        <v>3850</v>
      </c>
      <c r="BI3070">
        <v>250</v>
      </c>
      <c r="BJ3070">
        <v>1</v>
      </c>
      <c r="BK3070">
        <v>1</v>
      </c>
      <c r="BL3070">
        <v>1</v>
      </c>
      <c r="BM3070">
        <v>0</v>
      </c>
      <c r="BP3070">
        <v>0</v>
      </c>
      <c r="BQ3070">
        <v>0</v>
      </c>
      <c r="BX3070" t="str">
        <f>"14:41:30.750"</f>
        <v>14:41:30.750</v>
      </c>
      <c r="BY3070" t="str">
        <f>"752408902"</f>
        <v>752408902</v>
      </c>
      <c r="CL3070">
        <v>0</v>
      </c>
      <c r="CM3070">
        <v>2</v>
      </c>
      <c r="CN3070">
        <v>0</v>
      </c>
      <c r="CO3070">
        <v>2</v>
      </c>
      <c r="CP3070">
        <v>0</v>
      </c>
      <c r="CQ3070">
        <v>7</v>
      </c>
      <c r="CR3070" t="s">
        <v>116</v>
      </c>
      <c r="CS3070">
        <v>409</v>
      </c>
      <c r="CT3070">
        <v>2</v>
      </c>
      <c r="CU3070" t="s">
        <v>5087</v>
      </c>
      <c r="CV3070" t="s">
        <v>5088</v>
      </c>
      <c r="CY3070">
        <v>530458</v>
      </c>
      <c r="CZ3070" t="s">
        <v>119</v>
      </c>
    </row>
    <row r="3071" spans="1:104" x14ac:dyDescent="0.25">
      <c r="A3071" t="str">
        <f>"14:41:31.813"</f>
        <v>14:41:31.813</v>
      </c>
      <c r="B3071" t="s">
        <v>108</v>
      </c>
      <c r="C3071" t="str">
        <f t="shared" si="142"/>
        <v>ffdfd3c0</v>
      </c>
      <c r="D3071" t="s">
        <v>109</v>
      </c>
      <c r="E3071">
        <v>4</v>
      </c>
      <c r="F3071">
        <v>1004</v>
      </c>
      <c r="G3071" t="s">
        <v>110</v>
      </c>
      <c r="J3071" t="s">
        <v>111</v>
      </c>
      <c r="K3071">
        <v>0</v>
      </c>
      <c r="L3071">
        <v>3</v>
      </c>
      <c r="M3071">
        <v>0</v>
      </c>
      <c r="N3071">
        <v>2</v>
      </c>
      <c r="O3071">
        <v>1</v>
      </c>
      <c r="P3071">
        <v>0</v>
      </c>
      <c r="Q3071">
        <v>0</v>
      </c>
      <c r="R3071" t="s">
        <v>112</v>
      </c>
      <c r="S3071" t="str">
        <f>"14:41:31.633"</f>
        <v>14:41:31.633</v>
      </c>
      <c r="T3071" t="str">
        <f>"14:41:31.234"</f>
        <v>14:41:31.234</v>
      </c>
      <c r="U3071" t="str">
        <f t="shared" si="141"/>
        <v>ad5732</v>
      </c>
      <c r="V3071">
        <v>0</v>
      </c>
      <c r="W3071">
        <v>0</v>
      </c>
      <c r="X3071">
        <v>1</v>
      </c>
      <c r="Z3071">
        <v>0</v>
      </c>
      <c r="AA3071">
        <v>9</v>
      </c>
      <c r="AB3071">
        <v>3</v>
      </c>
      <c r="AC3071">
        <v>0</v>
      </c>
      <c r="AD3071">
        <v>10</v>
      </c>
      <c r="AE3071">
        <v>0</v>
      </c>
      <c r="AF3071">
        <v>3</v>
      </c>
      <c r="AG3071">
        <v>2</v>
      </c>
      <c r="AH3071">
        <v>0</v>
      </c>
      <c r="AI3071" t="s">
        <v>6258</v>
      </c>
      <c r="AJ3071">
        <v>40.407522</v>
      </c>
      <c r="AK3071" t="s">
        <v>6259</v>
      </c>
      <c r="AL3071">
        <v>-74.980316000000002</v>
      </c>
      <c r="AM3071">
        <v>100</v>
      </c>
      <c r="AN3071">
        <v>3600</v>
      </c>
      <c r="AO3071" t="s">
        <v>115</v>
      </c>
      <c r="AP3071">
        <v>166</v>
      </c>
      <c r="AQ3071">
        <v>37</v>
      </c>
      <c r="AR3071">
        <v>384</v>
      </c>
      <c r="AZ3071">
        <v>3614</v>
      </c>
      <c r="BA3071">
        <v>1</v>
      </c>
      <c r="BB3071" t="str">
        <f t="shared" si="143"/>
        <v xml:space="preserve">N959MJ  </v>
      </c>
      <c r="BC3071">
        <v>1</v>
      </c>
      <c r="BE3071">
        <v>0</v>
      </c>
      <c r="BF3071">
        <v>0</v>
      </c>
      <c r="BG3071">
        <v>0</v>
      </c>
      <c r="BH3071">
        <v>3850</v>
      </c>
      <c r="BI3071">
        <v>250</v>
      </c>
      <c r="BJ3071">
        <v>1</v>
      </c>
      <c r="BK3071">
        <v>1</v>
      </c>
      <c r="BL3071">
        <v>1</v>
      </c>
      <c r="BM3071">
        <v>0</v>
      </c>
      <c r="BP3071">
        <v>0</v>
      </c>
      <c r="BQ3071">
        <v>0</v>
      </c>
      <c r="BX3071" t="str">
        <f>"14:41:31.633"</f>
        <v>14:41:31.633</v>
      </c>
      <c r="BY3071" t="str">
        <f>"635451980"</f>
        <v>635451980</v>
      </c>
      <c r="CL3071">
        <v>0</v>
      </c>
      <c r="CM3071">
        <v>2</v>
      </c>
      <c r="CN3071">
        <v>0</v>
      </c>
      <c r="CO3071">
        <v>2</v>
      </c>
      <c r="CP3071">
        <v>0</v>
      </c>
      <c r="CQ3071">
        <v>6</v>
      </c>
      <c r="CR3071" t="s">
        <v>116</v>
      </c>
      <c r="CS3071">
        <v>38</v>
      </c>
      <c r="CT3071">
        <v>3</v>
      </c>
      <c r="CU3071" t="s">
        <v>4719</v>
      </c>
      <c r="CV3071" t="s">
        <v>4720</v>
      </c>
      <c r="CY3071">
        <v>10704139</v>
      </c>
      <c r="CZ3071" t="s">
        <v>119</v>
      </c>
    </row>
    <row r="3072" spans="1:104" x14ac:dyDescent="0.25">
      <c r="A3072" t="str">
        <f>"14:41:32.867"</f>
        <v>14:41:32.867</v>
      </c>
      <c r="B3072" t="s">
        <v>108</v>
      </c>
      <c r="C3072" t="str">
        <f t="shared" si="142"/>
        <v>ffdfd3c0</v>
      </c>
      <c r="D3072" t="s">
        <v>109</v>
      </c>
      <c r="E3072">
        <v>4</v>
      </c>
      <c r="F3072">
        <v>1004</v>
      </c>
      <c r="G3072" t="s">
        <v>110</v>
      </c>
      <c r="J3072" t="s">
        <v>111</v>
      </c>
      <c r="K3072">
        <v>0</v>
      </c>
      <c r="L3072">
        <v>3</v>
      </c>
      <c r="M3072">
        <v>0</v>
      </c>
      <c r="N3072">
        <v>2</v>
      </c>
      <c r="O3072">
        <v>1</v>
      </c>
      <c r="P3072">
        <v>0</v>
      </c>
      <c r="Q3072">
        <v>0</v>
      </c>
      <c r="R3072" t="s">
        <v>112</v>
      </c>
      <c r="S3072" t="str">
        <f>"14:41:32.672"</f>
        <v>14:41:32.672</v>
      </c>
      <c r="T3072" t="str">
        <f>"14:41:32.172"</f>
        <v>14:41:32.172</v>
      </c>
      <c r="U3072" t="str">
        <f t="shared" si="141"/>
        <v>ad5732</v>
      </c>
      <c r="V3072">
        <v>0</v>
      </c>
      <c r="W3072">
        <v>0</v>
      </c>
      <c r="X3072">
        <v>1</v>
      </c>
      <c r="Z3072">
        <v>0</v>
      </c>
      <c r="AA3072">
        <v>9</v>
      </c>
      <c r="AB3072">
        <v>3</v>
      </c>
      <c r="AC3072">
        <v>0</v>
      </c>
      <c r="AD3072">
        <v>10</v>
      </c>
      <c r="AE3072">
        <v>0</v>
      </c>
      <c r="AF3072">
        <v>3</v>
      </c>
      <c r="AG3072">
        <v>2</v>
      </c>
      <c r="AH3072">
        <v>0</v>
      </c>
      <c r="AI3072" t="s">
        <v>6260</v>
      </c>
      <c r="AJ3072">
        <v>40.407671999999998</v>
      </c>
      <c r="AK3072" t="s">
        <v>6261</v>
      </c>
      <c r="AL3072">
        <v>-74.979308000000003</v>
      </c>
      <c r="AM3072">
        <v>100</v>
      </c>
      <c r="AN3072">
        <v>3700</v>
      </c>
      <c r="AO3072" t="s">
        <v>115</v>
      </c>
      <c r="AP3072">
        <v>166</v>
      </c>
      <c r="AQ3072">
        <v>31</v>
      </c>
      <c r="AR3072">
        <v>320</v>
      </c>
      <c r="AZ3072">
        <v>3614</v>
      </c>
      <c r="BA3072">
        <v>1</v>
      </c>
      <c r="BB3072" t="str">
        <f t="shared" si="143"/>
        <v xml:space="preserve">N959MJ  </v>
      </c>
      <c r="BC3072">
        <v>1</v>
      </c>
      <c r="BE3072">
        <v>0</v>
      </c>
      <c r="BF3072">
        <v>0</v>
      </c>
      <c r="BG3072">
        <v>0</v>
      </c>
      <c r="BH3072">
        <v>3850</v>
      </c>
      <c r="BI3072">
        <v>150</v>
      </c>
      <c r="BJ3072">
        <v>1</v>
      </c>
      <c r="BK3072">
        <v>1</v>
      </c>
      <c r="BL3072">
        <v>1</v>
      </c>
      <c r="BM3072">
        <v>0</v>
      </c>
      <c r="BP3072">
        <v>0</v>
      </c>
      <c r="BQ3072">
        <v>0</v>
      </c>
      <c r="BX3072" t="str">
        <f>"14:41:32.680"</f>
        <v>14:41:32.680</v>
      </c>
      <c r="BY3072" t="str">
        <f>"677562448"</f>
        <v>677562448</v>
      </c>
      <c r="CL3072">
        <v>0</v>
      </c>
      <c r="CM3072">
        <v>2</v>
      </c>
      <c r="CN3072">
        <v>0</v>
      </c>
      <c r="CO3072">
        <v>2</v>
      </c>
      <c r="CP3072">
        <v>0</v>
      </c>
      <c r="CQ3072">
        <v>6</v>
      </c>
      <c r="CR3072" t="s">
        <v>116</v>
      </c>
      <c r="CS3072">
        <v>409</v>
      </c>
      <c r="CT3072">
        <v>2</v>
      </c>
      <c r="CU3072" t="s">
        <v>5087</v>
      </c>
      <c r="CV3072" t="s">
        <v>5088</v>
      </c>
      <c r="CY3072">
        <v>534345</v>
      </c>
      <c r="CZ3072" t="s">
        <v>119</v>
      </c>
    </row>
    <row r="3073" spans="1:104" x14ac:dyDescent="0.25">
      <c r="A3073" t="str">
        <f>"14:41:33.727"</f>
        <v>14:41:33.727</v>
      </c>
      <c r="B3073" t="s">
        <v>108</v>
      </c>
      <c r="C3073" t="str">
        <f t="shared" si="142"/>
        <v>ffdfd3c0</v>
      </c>
      <c r="D3073" t="s">
        <v>109</v>
      </c>
      <c r="E3073">
        <v>4</v>
      </c>
      <c r="F3073">
        <v>1004</v>
      </c>
      <c r="G3073" t="s">
        <v>110</v>
      </c>
      <c r="J3073" t="s">
        <v>111</v>
      </c>
      <c r="K3073">
        <v>0</v>
      </c>
      <c r="L3073">
        <v>3</v>
      </c>
      <c r="M3073">
        <v>0</v>
      </c>
      <c r="N3073">
        <v>2</v>
      </c>
      <c r="O3073">
        <v>1</v>
      </c>
      <c r="P3073">
        <v>0</v>
      </c>
      <c r="Q3073">
        <v>0</v>
      </c>
      <c r="R3073" t="s">
        <v>112</v>
      </c>
      <c r="S3073" t="str">
        <f>"14:41:33.547"</f>
        <v>14:41:33.547</v>
      </c>
      <c r="T3073" t="str">
        <f>"14:41:33.148"</f>
        <v>14:41:33.148</v>
      </c>
      <c r="U3073" t="str">
        <f t="shared" si="141"/>
        <v>ad5732</v>
      </c>
      <c r="V3073">
        <v>0</v>
      </c>
      <c r="W3073">
        <v>0</v>
      </c>
      <c r="X3073">
        <v>1</v>
      </c>
      <c r="Z3073">
        <v>0</v>
      </c>
      <c r="AA3073">
        <v>9</v>
      </c>
      <c r="AB3073">
        <v>3</v>
      </c>
      <c r="AC3073">
        <v>0</v>
      </c>
      <c r="AD3073">
        <v>10</v>
      </c>
      <c r="AE3073">
        <v>0</v>
      </c>
      <c r="AF3073">
        <v>3</v>
      </c>
      <c r="AG3073">
        <v>2</v>
      </c>
      <c r="AH3073">
        <v>0</v>
      </c>
      <c r="AI3073" t="s">
        <v>6262</v>
      </c>
      <c r="AJ3073">
        <v>40.407758000000001</v>
      </c>
      <c r="AK3073" t="s">
        <v>6263</v>
      </c>
      <c r="AL3073">
        <v>-74.978385000000003</v>
      </c>
      <c r="AM3073">
        <v>100</v>
      </c>
      <c r="AN3073">
        <v>3700</v>
      </c>
      <c r="AO3073" t="s">
        <v>115</v>
      </c>
      <c r="AP3073">
        <v>166</v>
      </c>
      <c r="AQ3073">
        <v>25</v>
      </c>
      <c r="AR3073">
        <v>192</v>
      </c>
      <c r="AZ3073">
        <v>3614</v>
      </c>
      <c r="BA3073">
        <v>1</v>
      </c>
      <c r="BB3073" t="str">
        <f t="shared" si="143"/>
        <v xml:space="preserve">N959MJ  </v>
      </c>
      <c r="BC3073">
        <v>1</v>
      </c>
      <c r="BE3073">
        <v>0</v>
      </c>
      <c r="BF3073">
        <v>0</v>
      </c>
      <c r="BG3073">
        <v>0</v>
      </c>
      <c r="BH3073">
        <v>3875</v>
      </c>
      <c r="BI3073">
        <v>175</v>
      </c>
      <c r="BJ3073">
        <v>1</v>
      </c>
      <c r="BK3073">
        <v>1</v>
      </c>
      <c r="BL3073">
        <v>1</v>
      </c>
      <c r="BM3073">
        <v>0</v>
      </c>
      <c r="BP3073">
        <v>0</v>
      </c>
      <c r="BQ3073">
        <v>0</v>
      </c>
      <c r="BX3073" t="str">
        <f>"14:41:33.555"</f>
        <v>14:41:33.555</v>
      </c>
      <c r="BY3073" t="str">
        <f>"554121709"</f>
        <v>554121709</v>
      </c>
      <c r="CL3073">
        <v>0</v>
      </c>
      <c r="CM3073">
        <v>2</v>
      </c>
      <c r="CN3073">
        <v>0</v>
      </c>
      <c r="CO3073">
        <v>2</v>
      </c>
      <c r="CP3073">
        <v>0</v>
      </c>
      <c r="CQ3073">
        <v>6</v>
      </c>
      <c r="CR3073" t="s">
        <v>116</v>
      </c>
      <c r="CS3073">
        <v>409</v>
      </c>
      <c r="CT3073">
        <v>1</v>
      </c>
      <c r="CU3073" t="s">
        <v>5087</v>
      </c>
      <c r="CV3073" t="s">
        <v>5088</v>
      </c>
      <c r="CY3073">
        <v>3530922</v>
      </c>
      <c r="CZ3073" t="s">
        <v>119</v>
      </c>
    </row>
    <row r="3074" spans="1:104" x14ac:dyDescent="0.25">
      <c r="A3074" t="str">
        <f>"14:41:34.688"</f>
        <v>14:41:34.688</v>
      </c>
      <c r="B3074" t="s">
        <v>108</v>
      </c>
      <c r="C3074" t="str">
        <f t="shared" si="142"/>
        <v>ffdfd3c0</v>
      </c>
      <c r="D3074" t="s">
        <v>109</v>
      </c>
      <c r="E3074">
        <v>4</v>
      </c>
      <c r="F3074">
        <v>1004</v>
      </c>
      <c r="G3074" t="s">
        <v>110</v>
      </c>
      <c r="J3074" t="s">
        <v>111</v>
      </c>
      <c r="K3074">
        <v>0</v>
      </c>
      <c r="L3074">
        <v>3</v>
      </c>
      <c r="M3074">
        <v>0</v>
      </c>
      <c r="N3074">
        <v>2</v>
      </c>
      <c r="O3074">
        <v>1</v>
      </c>
      <c r="P3074">
        <v>0</v>
      </c>
      <c r="Q3074">
        <v>0</v>
      </c>
      <c r="R3074" t="s">
        <v>112</v>
      </c>
      <c r="S3074" t="str">
        <f>"14:41:34.500"</f>
        <v>14:41:34.500</v>
      </c>
      <c r="T3074" t="str">
        <f>"14:41:34.000"</f>
        <v>14:41:34.000</v>
      </c>
      <c r="U3074" t="str">
        <f t="shared" ref="U3074:U3137" si="144">"ad5732"</f>
        <v>ad5732</v>
      </c>
      <c r="V3074">
        <v>0</v>
      </c>
      <c r="W3074">
        <v>0</v>
      </c>
      <c r="X3074">
        <v>1</v>
      </c>
      <c r="Z3074">
        <v>0</v>
      </c>
      <c r="AA3074">
        <v>9</v>
      </c>
      <c r="AB3074">
        <v>3</v>
      </c>
      <c r="AC3074">
        <v>0</v>
      </c>
      <c r="AD3074">
        <v>10</v>
      </c>
      <c r="AE3074">
        <v>0</v>
      </c>
      <c r="AF3074">
        <v>3</v>
      </c>
      <c r="AG3074">
        <v>2</v>
      </c>
      <c r="AH3074">
        <v>0</v>
      </c>
      <c r="AI3074" t="s">
        <v>6264</v>
      </c>
      <c r="AJ3074">
        <v>40.407800999999999</v>
      </c>
      <c r="AK3074" t="s">
        <v>6265</v>
      </c>
      <c r="AL3074">
        <v>-74.977504999999994</v>
      </c>
      <c r="AM3074">
        <v>100</v>
      </c>
      <c r="AN3074">
        <v>3700</v>
      </c>
      <c r="AO3074" t="s">
        <v>115</v>
      </c>
      <c r="AP3074">
        <v>167</v>
      </c>
      <c r="AQ3074">
        <v>20</v>
      </c>
      <c r="AR3074">
        <v>128</v>
      </c>
      <c r="AZ3074">
        <v>3614</v>
      </c>
      <c r="BA3074">
        <v>1</v>
      </c>
      <c r="BB3074" t="str">
        <f t="shared" si="143"/>
        <v xml:space="preserve">N959MJ  </v>
      </c>
      <c r="BC3074">
        <v>1</v>
      </c>
      <c r="BE3074">
        <v>0</v>
      </c>
      <c r="BF3074">
        <v>0</v>
      </c>
      <c r="BG3074">
        <v>0</v>
      </c>
      <c r="BH3074">
        <v>3875</v>
      </c>
      <c r="BI3074">
        <v>175</v>
      </c>
      <c r="BJ3074">
        <v>1</v>
      </c>
      <c r="BK3074">
        <v>1</v>
      </c>
      <c r="BL3074">
        <v>1</v>
      </c>
      <c r="BM3074">
        <v>0</v>
      </c>
      <c r="BP3074">
        <v>0</v>
      </c>
      <c r="BQ3074">
        <v>0</v>
      </c>
      <c r="BX3074" t="str">
        <f>"14:41:34.508"</f>
        <v>14:41:34.508</v>
      </c>
      <c r="BY3074" t="str">
        <f>"504340041"</f>
        <v>504340041</v>
      </c>
      <c r="CL3074">
        <v>0</v>
      </c>
      <c r="CM3074">
        <v>2</v>
      </c>
      <c r="CN3074">
        <v>0</v>
      </c>
      <c r="CO3074">
        <v>2</v>
      </c>
      <c r="CP3074">
        <v>0</v>
      </c>
      <c r="CQ3074">
        <v>6</v>
      </c>
      <c r="CR3074" t="s">
        <v>116</v>
      </c>
      <c r="CS3074">
        <v>38</v>
      </c>
      <c r="CT3074">
        <v>3</v>
      </c>
      <c r="CU3074" t="s">
        <v>4719</v>
      </c>
      <c r="CV3074" t="s">
        <v>4720</v>
      </c>
      <c r="CY3074">
        <v>10709338</v>
      </c>
      <c r="CZ3074" t="s">
        <v>119</v>
      </c>
    </row>
    <row r="3075" spans="1:104" x14ac:dyDescent="0.25">
      <c r="A3075" t="str">
        <f>"14:41:35.547"</f>
        <v>14:41:35.547</v>
      </c>
      <c r="B3075" t="s">
        <v>108</v>
      </c>
      <c r="C3075" t="str">
        <f t="shared" si="142"/>
        <v>ffdfd3c0</v>
      </c>
      <c r="D3075" t="s">
        <v>109</v>
      </c>
      <c r="E3075">
        <v>4</v>
      </c>
      <c r="F3075">
        <v>1004</v>
      </c>
      <c r="G3075" t="s">
        <v>110</v>
      </c>
      <c r="J3075" t="s">
        <v>111</v>
      </c>
      <c r="K3075">
        <v>0</v>
      </c>
      <c r="L3075">
        <v>3</v>
      </c>
      <c r="M3075">
        <v>0</v>
      </c>
      <c r="N3075">
        <v>2</v>
      </c>
      <c r="O3075">
        <v>1</v>
      </c>
      <c r="P3075">
        <v>0</v>
      </c>
      <c r="Q3075">
        <v>0</v>
      </c>
      <c r="R3075" t="s">
        <v>112</v>
      </c>
      <c r="S3075" t="str">
        <f>"14:41:35.383"</f>
        <v>14:41:35.383</v>
      </c>
      <c r="T3075" t="str">
        <f>"14:41:34.984"</f>
        <v>14:41:34.984</v>
      </c>
      <c r="U3075" t="str">
        <f t="shared" si="144"/>
        <v>ad5732</v>
      </c>
      <c r="V3075">
        <v>0</v>
      </c>
      <c r="W3075">
        <v>0</v>
      </c>
      <c r="X3075">
        <v>1</v>
      </c>
      <c r="Z3075">
        <v>0</v>
      </c>
      <c r="AA3075">
        <v>9</v>
      </c>
      <c r="AB3075">
        <v>3</v>
      </c>
      <c r="AC3075">
        <v>0</v>
      </c>
      <c r="AD3075">
        <v>10</v>
      </c>
      <c r="AE3075">
        <v>0</v>
      </c>
      <c r="AF3075">
        <v>3</v>
      </c>
      <c r="AG3075">
        <v>2</v>
      </c>
      <c r="AH3075">
        <v>0</v>
      </c>
      <c r="AI3075" t="s">
        <v>6266</v>
      </c>
      <c r="AJ3075">
        <v>40.407843999999997</v>
      </c>
      <c r="AK3075" t="s">
        <v>6267</v>
      </c>
      <c r="AL3075">
        <v>-74.976561000000004</v>
      </c>
      <c r="AM3075">
        <v>100</v>
      </c>
      <c r="AN3075">
        <v>3700</v>
      </c>
      <c r="AO3075" t="s">
        <v>115</v>
      </c>
      <c r="AP3075">
        <v>167</v>
      </c>
      <c r="AQ3075">
        <v>13</v>
      </c>
      <c r="AR3075">
        <v>0</v>
      </c>
      <c r="AZ3075">
        <v>3614</v>
      </c>
      <c r="BA3075">
        <v>1</v>
      </c>
      <c r="BB3075" t="str">
        <f t="shared" si="143"/>
        <v xml:space="preserve">N959MJ  </v>
      </c>
      <c r="BC3075">
        <v>1</v>
      </c>
      <c r="BE3075">
        <v>0</v>
      </c>
      <c r="BF3075">
        <v>0</v>
      </c>
      <c r="BG3075">
        <v>0</v>
      </c>
      <c r="BH3075">
        <v>3875</v>
      </c>
      <c r="BI3075">
        <v>175</v>
      </c>
      <c r="BJ3075">
        <v>1</v>
      </c>
      <c r="BK3075">
        <v>1</v>
      </c>
      <c r="BL3075">
        <v>1</v>
      </c>
      <c r="BM3075">
        <v>0</v>
      </c>
      <c r="BP3075">
        <v>0</v>
      </c>
      <c r="BQ3075">
        <v>0</v>
      </c>
      <c r="BX3075" t="str">
        <f>"14:41:35.383"</f>
        <v>14:41:35.383</v>
      </c>
      <c r="BY3075" t="str">
        <f>"384246635"</f>
        <v>384246635</v>
      </c>
      <c r="CL3075">
        <v>0</v>
      </c>
      <c r="CM3075">
        <v>2</v>
      </c>
      <c r="CN3075">
        <v>0</v>
      </c>
      <c r="CO3075">
        <v>2</v>
      </c>
      <c r="CP3075">
        <v>0</v>
      </c>
      <c r="CQ3075">
        <v>6</v>
      </c>
      <c r="CR3075" t="s">
        <v>116</v>
      </c>
      <c r="CS3075">
        <v>409</v>
      </c>
      <c r="CT3075">
        <v>2</v>
      </c>
      <c r="CU3075" t="s">
        <v>5087</v>
      </c>
      <c r="CV3075" t="s">
        <v>5088</v>
      </c>
      <c r="CY3075">
        <v>539533</v>
      </c>
      <c r="CZ3075" t="s">
        <v>119</v>
      </c>
    </row>
    <row r="3076" spans="1:104" x14ac:dyDescent="0.25">
      <c r="A3076" t="str">
        <f>"14:41:36.656"</f>
        <v>14:41:36.656</v>
      </c>
      <c r="B3076" t="s">
        <v>108</v>
      </c>
      <c r="C3076" t="str">
        <f t="shared" si="142"/>
        <v>ffdfd3c0</v>
      </c>
      <c r="D3076" t="s">
        <v>109</v>
      </c>
      <c r="E3076">
        <v>4</v>
      </c>
      <c r="F3076">
        <v>1004</v>
      </c>
      <c r="G3076" t="s">
        <v>110</v>
      </c>
      <c r="J3076" t="s">
        <v>111</v>
      </c>
      <c r="K3076">
        <v>0</v>
      </c>
      <c r="L3076">
        <v>3</v>
      </c>
      <c r="M3076">
        <v>0</v>
      </c>
      <c r="N3076">
        <v>2</v>
      </c>
      <c r="O3076">
        <v>1</v>
      </c>
      <c r="P3076">
        <v>0</v>
      </c>
      <c r="Q3076">
        <v>0</v>
      </c>
      <c r="R3076" t="s">
        <v>112</v>
      </c>
      <c r="S3076" t="str">
        <f>"14:41:36.430"</f>
        <v>14:41:36.430</v>
      </c>
      <c r="T3076" t="str">
        <f>"14:41:36.031"</f>
        <v>14:41:36.031</v>
      </c>
      <c r="U3076" t="str">
        <f t="shared" si="144"/>
        <v>ad5732</v>
      </c>
      <c r="V3076">
        <v>0</v>
      </c>
      <c r="W3076">
        <v>0</v>
      </c>
      <c r="X3076">
        <v>1</v>
      </c>
      <c r="Z3076">
        <v>0</v>
      </c>
      <c r="AA3076">
        <v>9</v>
      </c>
      <c r="AB3076">
        <v>3</v>
      </c>
      <c r="AC3076">
        <v>0</v>
      </c>
      <c r="AD3076">
        <v>10</v>
      </c>
      <c r="AE3076">
        <v>0</v>
      </c>
      <c r="AF3076">
        <v>3</v>
      </c>
      <c r="AG3076">
        <v>2</v>
      </c>
      <c r="AH3076">
        <v>0</v>
      </c>
      <c r="AI3076" t="s">
        <v>6268</v>
      </c>
      <c r="AJ3076">
        <v>40.407907999999999</v>
      </c>
      <c r="AK3076" t="s">
        <v>6269</v>
      </c>
      <c r="AL3076">
        <v>-74.97551</v>
      </c>
      <c r="AM3076">
        <v>100</v>
      </c>
      <c r="AN3076">
        <v>3700</v>
      </c>
      <c r="AO3076" t="s">
        <v>115</v>
      </c>
      <c r="AP3076">
        <v>166</v>
      </c>
      <c r="AQ3076">
        <v>7</v>
      </c>
      <c r="AR3076">
        <v>0</v>
      </c>
      <c r="AZ3076">
        <v>3614</v>
      </c>
      <c r="BA3076">
        <v>1</v>
      </c>
      <c r="BB3076" t="str">
        <f t="shared" si="143"/>
        <v xml:space="preserve">N959MJ  </v>
      </c>
      <c r="BC3076">
        <v>1</v>
      </c>
      <c r="BE3076">
        <v>0</v>
      </c>
      <c r="BF3076">
        <v>0</v>
      </c>
      <c r="BG3076">
        <v>0</v>
      </c>
      <c r="BH3076">
        <v>3875</v>
      </c>
      <c r="BI3076">
        <v>175</v>
      </c>
      <c r="BJ3076">
        <v>1</v>
      </c>
      <c r="BK3076">
        <v>1</v>
      </c>
      <c r="BL3076">
        <v>1</v>
      </c>
      <c r="BM3076">
        <v>0</v>
      </c>
      <c r="BP3076">
        <v>0</v>
      </c>
      <c r="BQ3076">
        <v>0</v>
      </c>
      <c r="BX3076" t="str">
        <f>"14:41:36.438"</f>
        <v>14:41:36.438</v>
      </c>
      <c r="BY3076" t="str">
        <f>"434479392"</f>
        <v>434479392</v>
      </c>
      <c r="CL3076">
        <v>0</v>
      </c>
      <c r="CM3076">
        <v>2</v>
      </c>
      <c r="CN3076">
        <v>0</v>
      </c>
      <c r="CO3076">
        <v>2</v>
      </c>
      <c r="CP3076">
        <v>0</v>
      </c>
      <c r="CQ3076">
        <v>6</v>
      </c>
      <c r="CR3076" t="s">
        <v>116</v>
      </c>
      <c r="CS3076">
        <v>409</v>
      </c>
      <c r="CT3076">
        <v>1</v>
      </c>
      <c r="CU3076" t="s">
        <v>5087</v>
      </c>
      <c r="CV3076" t="s">
        <v>5088</v>
      </c>
      <c r="CY3076">
        <v>3536560</v>
      </c>
      <c r="CZ3076" t="s">
        <v>119</v>
      </c>
    </row>
    <row r="3077" spans="1:104" x14ac:dyDescent="0.25">
      <c r="A3077" t="str">
        <f>"14:41:37.664"</f>
        <v>14:41:37.664</v>
      </c>
      <c r="B3077" t="s">
        <v>108</v>
      </c>
      <c r="C3077" t="str">
        <f t="shared" si="142"/>
        <v>ffdfd3c0</v>
      </c>
      <c r="D3077" t="s">
        <v>109</v>
      </c>
      <c r="E3077">
        <v>4</v>
      </c>
      <c r="F3077">
        <v>1004</v>
      </c>
      <c r="G3077" t="s">
        <v>110</v>
      </c>
      <c r="J3077" t="s">
        <v>111</v>
      </c>
      <c r="K3077">
        <v>0</v>
      </c>
      <c r="L3077">
        <v>3</v>
      </c>
      <c r="M3077">
        <v>0</v>
      </c>
      <c r="N3077">
        <v>2</v>
      </c>
      <c r="O3077">
        <v>1</v>
      </c>
      <c r="P3077">
        <v>0</v>
      </c>
      <c r="Q3077">
        <v>0</v>
      </c>
      <c r="R3077" t="s">
        <v>112</v>
      </c>
      <c r="S3077" t="str">
        <f>"14:41:37.508"</f>
        <v>14:41:37.508</v>
      </c>
      <c r="T3077" t="str">
        <f>"14:41:37.008"</f>
        <v>14:41:37.008</v>
      </c>
      <c r="U3077" t="str">
        <f t="shared" si="144"/>
        <v>ad5732</v>
      </c>
      <c r="V3077">
        <v>0</v>
      </c>
      <c r="W3077">
        <v>0</v>
      </c>
      <c r="X3077">
        <v>1</v>
      </c>
      <c r="Z3077">
        <v>0</v>
      </c>
      <c r="AA3077">
        <v>9</v>
      </c>
      <c r="AB3077">
        <v>3</v>
      </c>
      <c r="AC3077">
        <v>0</v>
      </c>
      <c r="AD3077">
        <v>10</v>
      </c>
      <c r="AE3077">
        <v>0</v>
      </c>
      <c r="AF3077">
        <v>3</v>
      </c>
      <c r="AG3077">
        <v>2</v>
      </c>
      <c r="AH3077">
        <v>0</v>
      </c>
      <c r="AI3077" t="s">
        <v>6268</v>
      </c>
      <c r="AJ3077">
        <v>40.407907999999999</v>
      </c>
      <c r="AK3077" t="s">
        <v>6270</v>
      </c>
      <c r="AL3077">
        <v>-74.974457999999998</v>
      </c>
      <c r="AM3077">
        <v>100</v>
      </c>
      <c r="AN3077">
        <v>3700</v>
      </c>
      <c r="AO3077" t="s">
        <v>115</v>
      </c>
      <c r="AP3077">
        <v>166</v>
      </c>
      <c r="AQ3077">
        <v>1</v>
      </c>
      <c r="AR3077">
        <v>-64</v>
      </c>
      <c r="AZ3077">
        <v>3614</v>
      </c>
      <c r="BA3077">
        <v>1</v>
      </c>
      <c r="BB3077" t="str">
        <f t="shared" si="143"/>
        <v xml:space="preserve">N959MJ  </v>
      </c>
      <c r="BC3077">
        <v>1</v>
      </c>
      <c r="BE3077">
        <v>0</v>
      </c>
      <c r="BF3077">
        <v>0</v>
      </c>
      <c r="BG3077">
        <v>0</v>
      </c>
      <c r="BH3077">
        <v>3875</v>
      </c>
      <c r="BI3077">
        <v>175</v>
      </c>
      <c r="BJ3077">
        <v>1</v>
      </c>
      <c r="BK3077">
        <v>1</v>
      </c>
      <c r="BL3077">
        <v>1</v>
      </c>
      <c r="BM3077">
        <v>0</v>
      </c>
      <c r="BP3077">
        <v>0</v>
      </c>
      <c r="BQ3077">
        <v>0</v>
      </c>
      <c r="BX3077" t="str">
        <f>"14:41:37.508"</f>
        <v>14:41:37.508</v>
      </c>
      <c r="BY3077" t="str">
        <f>"510856052"</f>
        <v>510856052</v>
      </c>
      <c r="CL3077">
        <v>0</v>
      </c>
      <c r="CM3077">
        <v>2</v>
      </c>
      <c r="CN3077">
        <v>0</v>
      </c>
      <c r="CO3077">
        <v>2</v>
      </c>
      <c r="CP3077">
        <v>0</v>
      </c>
      <c r="CQ3077">
        <v>6</v>
      </c>
      <c r="CR3077" t="s">
        <v>116</v>
      </c>
      <c r="CS3077">
        <v>38</v>
      </c>
      <c r="CT3077">
        <v>3</v>
      </c>
      <c r="CU3077" t="s">
        <v>4719</v>
      </c>
      <c r="CV3077" t="s">
        <v>4720</v>
      </c>
      <c r="CY3077">
        <v>10714383</v>
      </c>
      <c r="CZ3077" t="s">
        <v>119</v>
      </c>
    </row>
    <row r="3078" spans="1:104" x14ac:dyDescent="0.25">
      <c r="A3078" t="str">
        <f>"14:41:38.773"</f>
        <v>14:41:38.773</v>
      </c>
      <c r="B3078" t="s">
        <v>108</v>
      </c>
      <c r="C3078" t="str">
        <f t="shared" si="142"/>
        <v>ffdfd3c0</v>
      </c>
      <c r="D3078" t="s">
        <v>109</v>
      </c>
      <c r="E3078">
        <v>4</v>
      </c>
      <c r="F3078">
        <v>1004</v>
      </c>
      <c r="G3078" t="s">
        <v>110</v>
      </c>
      <c r="J3078" t="s">
        <v>111</v>
      </c>
      <c r="K3078">
        <v>0</v>
      </c>
      <c r="L3078">
        <v>3</v>
      </c>
      <c r="M3078">
        <v>0</v>
      </c>
      <c r="N3078">
        <v>2</v>
      </c>
      <c r="O3078">
        <v>1</v>
      </c>
      <c r="P3078">
        <v>0</v>
      </c>
      <c r="Q3078">
        <v>0</v>
      </c>
      <c r="R3078" t="s">
        <v>112</v>
      </c>
      <c r="S3078" t="str">
        <f>"14:41:38.570"</f>
        <v>14:41:38.570</v>
      </c>
      <c r="T3078" t="str">
        <f>"14:41:38.070"</f>
        <v>14:41:38.070</v>
      </c>
      <c r="U3078" t="str">
        <f t="shared" si="144"/>
        <v>ad5732</v>
      </c>
      <c r="V3078">
        <v>0</v>
      </c>
      <c r="W3078">
        <v>0</v>
      </c>
      <c r="X3078">
        <v>1</v>
      </c>
      <c r="Z3078">
        <v>0</v>
      </c>
      <c r="AA3078">
        <v>9</v>
      </c>
      <c r="AB3078">
        <v>3</v>
      </c>
      <c r="AC3078">
        <v>0</v>
      </c>
      <c r="AD3078">
        <v>10</v>
      </c>
      <c r="AE3078">
        <v>0</v>
      </c>
      <c r="AF3078">
        <v>3</v>
      </c>
      <c r="AG3078">
        <v>2</v>
      </c>
      <c r="AH3078">
        <v>0</v>
      </c>
      <c r="AI3078" t="s">
        <v>6266</v>
      </c>
      <c r="AJ3078">
        <v>40.407843999999997</v>
      </c>
      <c r="AK3078" t="s">
        <v>6271</v>
      </c>
      <c r="AL3078">
        <v>-74.973384999999993</v>
      </c>
      <c r="AM3078">
        <v>100</v>
      </c>
      <c r="AN3078">
        <v>3700</v>
      </c>
      <c r="AO3078" t="s">
        <v>115</v>
      </c>
      <c r="AP3078">
        <v>165</v>
      </c>
      <c r="AQ3078">
        <v>-5</v>
      </c>
      <c r="AR3078">
        <v>-64</v>
      </c>
      <c r="AZ3078">
        <v>3614</v>
      </c>
      <c r="BA3078">
        <v>1</v>
      </c>
      <c r="BB3078" t="str">
        <f t="shared" si="143"/>
        <v xml:space="preserve">N959MJ  </v>
      </c>
      <c r="BC3078">
        <v>1</v>
      </c>
      <c r="BE3078">
        <v>0</v>
      </c>
      <c r="BF3078">
        <v>0</v>
      </c>
      <c r="BG3078">
        <v>0</v>
      </c>
      <c r="BH3078">
        <v>3875</v>
      </c>
      <c r="BI3078">
        <v>175</v>
      </c>
      <c r="BJ3078">
        <v>1</v>
      </c>
      <c r="BK3078">
        <v>1</v>
      </c>
      <c r="BL3078">
        <v>1</v>
      </c>
      <c r="BM3078">
        <v>0</v>
      </c>
      <c r="BP3078">
        <v>0</v>
      </c>
      <c r="BQ3078">
        <v>0</v>
      </c>
      <c r="BX3078" t="str">
        <f>"14:41:38.570"</f>
        <v>14:41:38.570</v>
      </c>
      <c r="BY3078" t="str">
        <f>"570919092"</f>
        <v>570919092</v>
      </c>
      <c r="CL3078">
        <v>0</v>
      </c>
      <c r="CM3078">
        <v>2</v>
      </c>
      <c r="CN3078">
        <v>0</v>
      </c>
      <c r="CO3078">
        <v>2</v>
      </c>
      <c r="CP3078">
        <v>0</v>
      </c>
      <c r="CQ3078">
        <v>6</v>
      </c>
      <c r="CR3078" t="s">
        <v>116</v>
      </c>
      <c r="CS3078">
        <v>38</v>
      </c>
      <c r="CT3078">
        <v>3</v>
      </c>
      <c r="CU3078" t="s">
        <v>4719</v>
      </c>
      <c r="CV3078" t="s">
        <v>4720</v>
      </c>
      <c r="CY3078">
        <v>10716115</v>
      </c>
      <c r="CZ3078" t="s">
        <v>119</v>
      </c>
    </row>
    <row r="3079" spans="1:104" x14ac:dyDescent="0.25">
      <c r="A3079" t="str">
        <f>"14:41:39.781"</f>
        <v>14:41:39.781</v>
      </c>
      <c r="B3079" t="s">
        <v>108</v>
      </c>
      <c r="C3079" t="str">
        <f t="shared" si="142"/>
        <v>ffdfd3c0</v>
      </c>
      <c r="D3079" t="s">
        <v>109</v>
      </c>
      <c r="E3079">
        <v>4</v>
      </c>
      <c r="F3079">
        <v>1004</v>
      </c>
      <c r="G3079" t="s">
        <v>110</v>
      </c>
      <c r="J3079" t="s">
        <v>111</v>
      </c>
      <c r="K3079">
        <v>0</v>
      </c>
      <c r="L3079">
        <v>3</v>
      </c>
      <c r="M3079">
        <v>0</v>
      </c>
      <c r="N3079">
        <v>2</v>
      </c>
      <c r="O3079">
        <v>1</v>
      </c>
      <c r="P3079">
        <v>0</v>
      </c>
      <c r="Q3079">
        <v>0</v>
      </c>
      <c r="R3079" t="s">
        <v>112</v>
      </c>
      <c r="S3079" t="str">
        <f>"14:41:39.625"</f>
        <v>14:41:39.625</v>
      </c>
      <c r="T3079" t="str">
        <f>"14:41:39.125"</f>
        <v>14:41:39.125</v>
      </c>
      <c r="U3079" t="str">
        <f t="shared" si="144"/>
        <v>ad5732</v>
      </c>
      <c r="V3079">
        <v>0</v>
      </c>
      <c r="W3079">
        <v>0</v>
      </c>
      <c r="X3079">
        <v>1</v>
      </c>
      <c r="Z3079">
        <v>0</v>
      </c>
      <c r="AA3079">
        <v>9</v>
      </c>
      <c r="AB3079">
        <v>3</v>
      </c>
      <c r="AC3079">
        <v>0</v>
      </c>
      <c r="AD3079">
        <v>10</v>
      </c>
      <c r="AE3079">
        <v>0</v>
      </c>
      <c r="AF3079">
        <v>3</v>
      </c>
      <c r="AG3079">
        <v>2</v>
      </c>
      <c r="AH3079">
        <v>0</v>
      </c>
      <c r="AI3079" t="s">
        <v>6264</v>
      </c>
      <c r="AJ3079">
        <v>40.407800999999999</v>
      </c>
      <c r="AK3079" t="s">
        <v>6272</v>
      </c>
      <c r="AL3079">
        <v>-74.972269999999995</v>
      </c>
      <c r="AM3079">
        <v>100</v>
      </c>
      <c r="AN3079">
        <v>3700</v>
      </c>
      <c r="AO3079" t="s">
        <v>115</v>
      </c>
      <c r="AP3079">
        <v>164</v>
      </c>
      <c r="AQ3079">
        <v>-11</v>
      </c>
      <c r="AR3079">
        <v>64</v>
      </c>
      <c r="AZ3079">
        <v>3614</v>
      </c>
      <c r="BA3079">
        <v>1</v>
      </c>
      <c r="BB3079" t="str">
        <f t="shared" si="143"/>
        <v xml:space="preserve">N959MJ  </v>
      </c>
      <c r="BC3079">
        <v>1</v>
      </c>
      <c r="BE3079">
        <v>0</v>
      </c>
      <c r="BF3079">
        <v>0</v>
      </c>
      <c r="BG3079">
        <v>0</v>
      </c>
      <c r="BH3079">
        <v>3875</v>
      </c>
      <c r="BI3079">
        <v>175</v>
      </c>
      <c r="BJ3079">
        <v>1</v>
      </c>
      <c r="BK3079">
        <v>1</v>
      </c>
      <c r="BL3079">
        <v>1</v>
      </c>
      <c r="BM3079">
        <v>0</v>
      </c>
      <c r="BP3079">
        <v>0</v>
      </c>
      <c r="BQ3079">
        <v>0</v>
      </c>
      <c r="BX3079" t="str">
        <f>"14:41:39.633"</f>
        <v>14:41:39.633</v>
      </c>
      <c r="BY3079" t="str">
        <f>"629343766"</f>
        <v>629343766</v>
      </c>
      <c r="CL3079">
        <v>0</v>
      </c>
      <c r="CM3079">
        <v>2</v>
      </c>
      <c r="CN3079">
        <v>0</v>
      </c>
      <c r="CO3079">
        <v>2</v>
      </c>
      <c r="CP3079">
        <v>0</v>
      </c>
      <c r="CQ3079">
        <v>6</v>
      </c>
      <c r="CR3079" t="s">
        <v>116</v>
      </c>
      <c r="CS3079">
        <v>38</v>
      </c>
      <c r="CT3079">
        <v>3</v>
      </c>
      <c r="CU3079" t="s">
        <v>4719</v>
      </c>
      <c r="CV3079" t="s">
        <v>4720</v>
      </c>
      <c r="CY3079">
        <v>10718089</v>
      </c>
      <c r="CZ3079" t="s">
        <v>119</v>
      </c>
    </row>
    <row r="3080" spans="1:104" x14ac:dyDescent="0.25">
      <c r="A3080" t="str">
        <f>"14:41:40.844"</f>
        <v>14:41:40.844</v>
      </c>
      <c r="B3080" t="s">
        <v>108</v>
      </c>
      <c r="C3080" t="str">
        <f t="shared" si="142"/>
        <v>ffdfd3c0</v>
      </c>
      <c r="D3080" t="s">
        <v>109</v>
      </c>
      <c r="E3080">
        <v>4</v>
      </c>
      <c r="F3080">
        <v>1004</v>
      </c>
      <c r="G3080" t="s">
        <v>110</v>
      </c>
      <c r="J3080" t="s">
        <v>111</v>
      </c>
      <c r="K3080">
        <v>0</v>
      </c>
      <c r="L3080">
        <v>3</v>
      </c>
      <c r="M3080">
        <v>0</v>
      </c>
      <c r="N3080">
        <v>2</v>
      </c>
      <c r="O3080">
        <v>1</v>
      </c>
      <c r="P3080">
        <v>0</v>
      </c>
      <c r="Q3080">
        <v>0</v>
      </c>
      <c r="R3080" t="s">
        <v>112</v>
      </c>
      <c r="S3080" t="str">
        <f>"14:41:40.648"</f>
        <v>14:41:40.648</v>
      </c>
      <c r="T3080" t="str">
        <f>"14:41:40.250"</f>
        <v>14:41:40.250</v>
      </c>
      <c r="U3080" t="str">
        <f t="shared" si="144"/>
        <v>ad5732</v>
      </c>
      <c r="V3080">
        <v>0</v>
      </c>
      <c r="W3080">
        <v>0</v>
      </c>
      <c r="X3080">
        <v>1</v>
      </c>
      <c r="Z3080">
        <v>0</v>
      </c>
      <c r="AA3080">
        <v>9</v>
      </c>
      <c r="AB3080">
        <v>3</v>
      </c>
      <c r="AC3080">
        <v>0</v>
      </c>
      <c r="AD3080">
        <v>10</v>
      </c>
      <c r="AE3080">
        <v>0</v>
      </c>
      <c r="AF3080">
        <v>3</v>
      </c>
      <c r="AG3080">
        <v>2</v>
      </c>
      <c r="AH3080">
        <v>0</v>
      </c>
      <c r="AI3080" t="s">
        <v>6273</v>
      </c>
      <c r="AJ3080">
        <v>40.407715000000003</v>
      </c>
      <c r="AK3080" t="s">
        <v>6274</v>
      </c>
      <c r="AL3080">
        <v>-74.971260999999998</v>
      </c>
      <c r="AM3080">
        <v>100</v>
      </c>
      <c r="AN3080">
        <v>3700</v>
      </c>
      <c r="AO3080" t="s">
        <v>115</v>
      </c>
      <c r="AP3080">
        <v>164</v>
      </c>
      <c r="AQ3080">
        <v>-15</v>
      </c>
      <c r="AR3080">
        <v>128</v>
      </c>
      <c r="AZ3080">
        <v>3614</v>
      </c>
      <c r="BA3080">
        <v>1</v>
      </c>
      <c r="BB3080" t="str">
        <f t="shared" si="143"/>
        <v xml:space="preserve">N959MJ  </v>
      </c>
      <c r="BC3080">
        <v>1</v>
      </c>
      <c r="BE3080">
        <v>0</v>
      </c>
      <c r="BF3080">
        <v>0</v>
      </c>
      <c r="BG3080">
        <v>0</v>
      </c>
      <c r="BH3080">
        <v>3875</v>
      </c>
      <c r="BI3080">
        <v>175</v>
      </c>
      <c r="BJ3080">
        <v>1</v>
      </c>
      <c r="BK3080">
        <v>1</v>
      </c>
      <c r="BL3080">
        <v>1</v>
      </c>
      <c r="BM3080">
        <v>0</v>
      </c>
      <c r="BP3080">
        <v>0</v>
      </c>
      <c r="BQ3080">
        <v>0</v>
      </c>
      <c r="BX3080" t="str">
        <f>"14:41:40.648"</f>
        <v>14:41:40.648</v>
      </c>
      <c r="BY3080" t="str">
        <f>"650156552"</f>
        <v>650156552</v>
      </c>
      <c r="CL3080">
        <v>0</v>
      </c>
      <c r="CM3080">
        <v>2</v>
      </c>
      <c r="CN3080">
        <v>0</v>
      </c>
      <c r="CO3080">
        <v>2</v>
      </c>
      <c r="CP3080">
        <v>0</v>
      </c>
      <c r="CQ3080">
        <v>6</v>
      </c>
      <c r="CR3080" t="s">
        <v>116</v>
      </c>
      <c r="CS3080">
        <v>409</v>
      </c>
      <c r="CT3080">
        <v>1</v>
      </c>
      <c r="CU3080" t="s">
        <v>5087</v>
      </c>
      <c r="CV3080" t="s">
        <v>5088</v>
      </c>
      <c r="CY3080">
        <v>3544670</v>
      </c>
      <c r="CZ3080" t="s">
        <v>119</v>
      </c>
    </row>
    <row r="3081" spans="1:104" x14ac:dyDescent="0.25">
      <c r="A3081" t="str">
        <f>"14:41:41.852"</f>
        <v>14:41:41.852</v>
      </c>
      <c r="B3081" t="s">
        <v>108</v>
      </c>
      <c r="C3081" t="str">
        <f t="shared" si="142"/>
        <v>ffdfd3c0</v>
      </c>
      <c r="D3081" t="s">
        <v>109</v>
      </c>
      <c r="E3081">
        <v>4</v>
      </c>
      <c r="F3081">
        <v>1004</v>
      </c>
      <c r="G3081" t="s">
        <v>110</v>
      </c>
      <c r="J3081" t="s">
        <v>111</v>
      </c>
      <c r="K3081">
        <v>0</v>
      </c>
      <c r="L3081">
        <v>3</v>
      </c>
      <c r="M3081">
        <v>0</v>
      </c>
      <c r="N3081">
        <v>2</v>
      </c>
      <c r="O3081">
        <v>1</v>
      </c>
      <c r="P3081">
        <v>0</v>
      </c>
      <c r="Q3081">
        <v>0</v>
      </c>
      <c r="R3081" t="s">
        <v>112</v>
      </c>
      <c r="S3081" t="str">
        <f>"14:41:41.664"</f>
        <v>14:41:41.664</v>
      </c>
      <c r="T3081" t="str">
        <f>"14:41:41.266"</f>
        <v>14:41:41.266</v>
      </c>
      <c r="U3081" t="str">
        <f t="shared" si="144"/>
        <v>ad5732</v>
      </c>
      <c r="V3081">
        <v>0</v>
      </c>
      <c r="W3081">
        <v>0</v>
      </c>
      <c r="X3081">
        <v>1</v>
      </c>
      <c r="Z3081">
        <v>0</v>
      </c>
      <c r="AA3081">
        <v>9</v>
      </c>
      <c r="AB3081">
        <v>3</v>
      </c>
      <c r="AC3081">
        <v>0</v>
      </c>
      <c r="AD3081">
        <v>10</v>
      </c>
      <c r="AE3081">
        <v>0</v>
      </c>
      <c r="AF3081">
        <v>3</v>
      </c>
      <c r="AG3081">
        <v>2</v>
      </c>
      <c r="AH3081">
        <v>0</v>
      </c>
      <c r="AI3081" t="s">
        <v>6275</v>
      </c>
      <c r="AJ3081">
        <v>40.407629</v>
      </c>
      <c r="AK3081" t="s">
        <v>6276</v>
      </c>
      <c r="AL3081">
        <v>-74.970337999999998</v>
      </c>
      <c r="AM3081">
        <v>100</v>
      </c>
      <c r="AN3081">
        <v>3700</v>
      </c>
      <c r="AO3081" t="s">
        <v>115</v>
      </c>
      <c r="AP3081">
        <v>163</v>
      </c>
      <c r="AQ3081">
        <v>-19</v>
      </c>
      <c r="AR3081">
        <v>192</v>
      </c>
      <c r="AZ3081">
        <v>3614</v>
      </c>
      <c r="BA3081">
        <v>1</v>
      </c>
      <c r="BB3081" t="str">
        <f t="shared" si="143"/>
        <v xml:space="preserve">N959MJ  </v>
      </c>
      <c r="BC3081">
        <v>1</v>
      </c>
      <c r="BE3081">
        <v>0</v>
      </c>
      <c r="BF3081">
        <v>0</v>
      </c>
      <c r="BG3081">
        <v>0</v>
      </c>
      <c r="BH3081">
        <v>3875</v>
      </c>
      <c r="BI3081">
        <v>175</v>
      </c>
      <c r="BJ3081">
        <v>1</v>
      </c>
      <c r="BK3081">
        <v>1</v>
      </c>
      <c r="BL3081">
        <v>1</v>
      </c>
      <c r="BM3081">
        <v>0</v>
      </c>
      <c r="BP3081">
        <v>0</v>
      </c>
      <c r="BQ3081">
        <v>0</v>
      </c>
      <c r="BX3081" t="str">
        <f>"14:41:41.664"</f>
        <v>14:41:41.664</v>
      </c>
      <c r="BY3081" t="str">
        <f>"664271681"</f>
        <v>664271681</v>
      </c>
      <c r="CL3081">
        <v>0</v>
      </c>
      <c r="CM3081">
        <v>2</v>
      </c>
      <c r="CN3081">
        <v>0</v>
      </c>
      <c r="CO3081">
        <v>2</v>
      </c>
      <c r="CP3081">
        <v>0</v>
      </c>
      <c r="CQ3081">
        <v>7</v>
      </c>
      <c r="CR3081" t="s">
        <v>116</v>
      </c>
      <c r="CS3081">
        <v>38</v>
      </c>
      <c r="CT3081">
        <v>3</v>
      </c>
      <c r="CU3081" t="s">
        <v>4719</v>
      </c>
      <c r="CV3081" t="s">
        <v>4720</v>
      </c>
      <c r="CY3081">
        <v>10721656</v>
      </c>
      <c r="CZ3081" t="s">
        <v>119</v>
      </c>
    </row>
    <row r="3082" spans="1:104" x14ac:dyDescent="0.25">
      <c r="A3082" t="str">
        <f>"14:41:42.820"</f>
        <v>14:41:42.820</v>
      </c>
      <c r="B3082" t="s">
        <v>108</v>
      </c>
      <c r="C3082" t="str">
        <f t="shared" ref="C3082:C3145" si="145">"ffdfd3c0"</f>
        <v>ffdfd3c0</v>
      </c>
      <c r="D3082" t="s">
        <v>109</v>
      </c>
      <c r="E3082">
        <v>4</v>
      </c>
      <c r="F3082">
        <v>1004</v>
      </c>
      <c r="G3082" t="s">
        <v>110</v>
      </c>
      <c r="J3082" t="s">
        <v>111</v>
      </c>
      <c r="K3082">
        <v>0</v>
      </c>
      <c r="L3082">
        <v>3</v>
      </c>
      <c r="M3082">
        <v>0</v>
      </c>
      <c r="N3082">
        <v>2</v>
      </c>
      <c r="O3082">
        <v>1</v>
      </c>
      <c r="P3082">
        <v>0</v>
      </c>
      <c r="Q3082">
        <v>0</v>
      </c>
      <c r="R3082" t="s">
        <v>112</v>
      </c>
      <c r="S3082" t="str">
        <f>"14:41:42.648"</f>
        <v>14:41:42.648</v>
      </c>
      <c r="T3082" t="str">
        <f>"14:41:42.250"</f>
        <v>14:41:42.250</v>
      </c>
      <c r="U3082" t="str">
        <f t="shared" si="144"/>
        <v>ad5732</v>
      </c>
      <c r="V3082">
        <v>0</v>
      </c>
      <c r="W3082">
        <v>0</v>
      </c>
      <c r="X3082">
        <v>1</v>
      </c>
      <c r="Z3082">
        <v>0</v>
      </c>
      <c r="AA3082">
        <v>9</v>
      </c>
      <c r="AB3082">
        <v>3</v>
      </c>
      <c r="AC3082">
        <v>0</v>
      </c>
      <c r="AD3082">
        <v>10</v>
      </c>
      <c r="AE3082">
        <v>0</v>
      </c>
      <c r="AF3082">
        <v>3</v>
      </c>
      <c r="AG3082">
        <v>2</v>
      </c>
      <c r="AH3082">
        <v>0</v>
      </c>
      <c r="AI3082" t="s">
        <v>6258</v>
      </c>
      <c r="AJ3082">
        <v>40.407522</v>
      </c>
      <c r="AK3082" t="s">
        <v>6277</v>
      </c>
      <c r="AL3082">
        <v>-74.969329999999999</v>
      </c>
      <c r="AM3082">
        <v>100</v>
      </c>
      <c r="AN3082">
        <v>3700</v>
      </c>
      <c r="AO3082" t="s">
        <v>115</v>
      </c>
      <c r="AP3082">
        <v>162</v>
      </c>
      <c r="AQ3082">
        <v>-22</v>
      </c>
      <c r="AR3082">
        <v>192</v>
      </c>
      <c r="AZ3082">
        <v>3614</v>
      </c>
      <c r="BA3082">
        <v>1</v>
      </c>
      <c r="BB3082" t="str">
        <f t="shared" ref="BB3082:BB3145" si="146">"N959MJ  "</f>
        <v xml:space="preserve">N959MJ  </v>
      </c>
      <c r="BC3082">
        <v>1</v>
      </c>
      <c r="BE3082">
        <v>0</v>
      </c>
      <c r="BF3082">
        <v>0</v>
      </c>
      <c r="BG3082">
        <v>0</v>
      </c>
      <c r="BH3082">
        <v>3875</v>
      </c>
      <c r="BI3082">
        <v>175</v>
      </c>
      <c r="BJ3082">
        <v>1</v>
      </c>
      <c r="BK3082">
        <v>1</v>
      </c>
      <c r="BL3082">
        <v>1</v>
      </c>
      <c r="BM3082">
        <v>0</v>
      </c>
      <c r="BP3082">
        <v>0</v>
      </c>
      <c r="BQ3082">
        <v>0</v>
      </c>
      <c r="BX3082" t="str">
        <f>"14:41:42.648"</f>
        <v>14:41:42.648</v>
      </c>
      <c r="BY3082" t="str">
        <f>"648967066"</f>
        <v>648967066</v>
      </c>
      <c r="CL3082">
        <v>0</v>
      </c>
      <c r="CM3082">
        <v>2</v>
      </c>
      <c r="CN3082">
        <v>0</v>
      </c>
      <c r="CO3082">
        <v>2</v>
      </c>
      <c r="CP3082">
        <v>0</v>
      </c>
      <c r="CQ3082">
        <v>7</v>
      </c>
      <c r="CR3082" t="s">
        <v>116</v>
      </c>
      <c r="CS3082">
        <v>38</v>
      </c>
      <c r="CT3082">
        <v>3</v>
      </c>
      <c r="CU3082" t="s">
        <v>4719</v>
      </c>
      <c r="CV3082" t="s">
        <v>4720</v>
      </c>
      <c r="CY3082">
        <v>10723421</v>
      </c>
      <c r="CZ3082" t="s">
        <v>119</v>
      </c>
    </row>
    <row r="3083" spans="1:104" x14ac:dyDescent="0.25">
      <c r="A3083" t="str">
        <f>"14:41:43.719"</f>
        <v>14:41:43.719</v>
      </c>
      <c r="B3083" t="s">
        <v>108</v>
      </c>
      <c r="C3083" t="str">
        <f t="shared" si="145"/>
        <v>ffdfd3c0</v>
      </c>
      <c r="D3083" t="s">
        <v>109</v>
      </c>
      <c r="E3083">
        <v>4</v>
      </c>
      <c r="F3083">
        <v>1004</v>
      </c>
      <c r="G3083" t="s">
        <v>110</v>
      </c>
      <c r="J3083" t="s">
        <v>111</v>
      </c>
      <c r="K3083">
        <v>0</v>
      </c>
      <c r="L3083">
        <v>3</v>
      </c>
      <c r="M3083">
        <v>0</v>
      </c>
      <c r="N3083">
        <v>2</v>
      </c>
      <c r="O3083">
        <v>1</v>
      </c>
      <c r="P3083">
        <v>0</v>
      </c>
      <c r="Q3083">
        <v>0</v>
      </c>
      <c r="R3083" t="s">
        <v>112</v>
      </c>
      <c r="S3083" t="str">
        <f>"14:41:43.516"</f>
        <v>14:41:43.516</v>
      </c>
      <c r="T3083" t="str">
        <f>"14:41:43.117"</f>
        <v>14:41:43.117</v>
      </c>
      <c r="U3083" t="str">
        <f t="shared" si="144"/>
        <v>ad5732</v>
      </c>
      <c r="V3083">
        <v>0</v>
      </c>
      <c r="W3083">
        <v>0</v>
      </c>
      <c r="X3083">
        <v>1</v>
      </c>
      <c r="Z3083">
        <v>0</v>
      </c>
      <c r="AA3083">
        <v>9</v>
      </c>
      <c r="AB3083">
        <v>3</v>
      </c>
      <c r="AC3083">
        <v>0</v>
      </c>
      <c r="AD3083">
        <v>10</v>
      </c>
      <c r="AE3083">
        <v>0</v>
      </c>
      <c r="AF3083">
        <v>3</v>
      </c>
      <c r="AG3083">
        <v>2</v>
      </c>
      <c r="AH3083">
        <v>0</v>
      </c>
      <c r="AI3083" t="s">
        <v>6278</v>
      </c>
      <c r="AJ3083">
        <v>40.407435999999997</v>
      </c>
      <c r="AK3083" t="s">
        <v>6279</v>
      </c>
      <c r="AL3083">
        <v>-74.968450000000004</v>
      </c>
      <c r="AM3083">
        <v>100</v>
      </c>
      <c r="AN3083">
        <v>3700</v>
      </c>
      <c r="AO3083" t="s">
        <v>115</v>
      </c>
      <c r="AP3083">
        <v>162</v>
      </c>
      <c r="AQ3083">
        <v>-23</v>
      </c>
      <c r="AR3083">
        <v>192</v>
      </c>
      <c r="AZ3083">
        <v>3614</v>
      </c>
      <c r="BA3083">
        <v>1</v>
      </c>
      <c r="BB3083" t="str">
        <f t="shared" si="146"/>
        <v xml:space="preserve">N959MJ  </v>
      </c>
      <c r="BC3083">
        <v>1</v>
      </c>
      <c r="BE3083">
        <v>0</v>
      </c>
      <c r="BF3083">
        <v>0</v>
      </c>
      <c r="BG3083">
        <v>0</v>
      </c>
      <c r="BH3083">
        <v>3875</v>
      </c>
      <c r="BI3083">
        <v>175</v>
      </c>
      <c r="BJ3083">
        <v>1</v>
      </c>
      <c r="BK3083">
        <v>1</v>
      </c>
      <c r="BL3083">
        <v>1</v>
      </c>
      <c r="BM3083">
        <v>0</v>
      </c>
      <c r="BP3083">
        <v>0</v>
      </c>
      <c r="BQ3083">
        <v>0</v>
      </c>
      <c r="BX3083" t="str">
        <f>"14:41:43.523"</f>
        <v>14:41:43.523</v>
      </c>
      <c r="BY3083" t="str">
        <f>"522249334"</f>
        <v>522249334</v>
      </c>
      <c r="CL3083">
        <v>0</v>
      </c>
      <c r="CM3083">
        <v>2</v>
      </c>
      <c r="CN3083">
        <v>0</v>
      </c>
      <c r="CO3083">
        <v>2</v>
      </c>
      <c r="CP3083">
        <v>0</v>
      </c>
      <c r="CQ3083">
        <v>7</v>
      </c>
      <c r="CR3083" t="s">
        <v>116</v>
      </c>
      <c r="CS3083">
        <v>38</v>
      </c>
      <c r="CT3083">
        <v>3</v>
      </c>
      <c r="CU3083" t="s">
        <v>4719</v>
      </c>
      <c r="CV3083" t="s">
        <v>4720</v>
      </c>
      <c r="CY3083">
        <v>10725059</v>
      </c>
      <c r="CZ3083" t="s">
        <v>119</v>
      </c>
    </row>
    <row r="3084" spans="1:104" x14ac:dyDescent="0.25">
      <c r="A3084" t="str">
        <f>"14:41:44.781"</f>
        <v>14:41:44.781</v>
      </c>
      <c r="B3084" t="s">
        <v>108</v>
      </c>
      <c r="C3084" t="str">
        <f t="shared" si="145"/>
        <v>ffdfd3c0</v>
      </c>
      <c r="D3084" t="s">
        <v>109</v>
      </c>
      <c r="E3084">
        <v>4</v>
      </c>
      <c r="F3084">
        <v>1004</v>
      </c>
      <c r="G3084" t="s">
        <v>110</v>
      </c>
      <c r="J3084" t="s">
        <v>111</v>
      </c>
      <c r="K3084">
        <v>0</v>
      </c>
      <c r="L3084">
        <v>3</v>
      </c>
      <c r="M3084">
        <v>0</v>
      </c>
      <c r="N3084">
        <v>2</v>
      </c>
      <c r="O3084">
        <v>1</v>
      </c>
      <c r="P3084">
        <v>0</v>
      </c>
      <c r="Q3084">
        <v>0</v>
      </c>
      <c r="R3084" t="s">
        <v>112</v>
      </c>
      <c r="S3084" t="str">
        <f>"14:41:44.586"</f>
        <v>14:41:44.586</v>
      </c>
      <c r="T3084" t="str">
        <f>"14:41:44.086"</f>
        <v>14:41:44.086</v>
      </c>
      <c r="U3084" t="str">
        <f t="shared" si="144"/>
        <v>ad5732</v>
      </c>
      <c r="V3084">
        <v>0</v>
      </c>
      <c r="W3084">
        <v>0</v>
      </c>
      <c r="X3084">
        <v>1</v>
      </c>
      <c r="Z3084">
        <v>0</v>
      </c>
      <c r="AA3084">
        <v>9</v>
      </c>
      <c r="AB3084">
        <v>3</v>
      </c>
      <c r="AC3084">
        <v>0</v>
      </c>
      <c r="AD3084">
        <v>10</v>
      </c>
      <c r="AE3084">
        <v>0</v>
      </c>
      <c r="AF3084">
        <v>3</v>
      </c>
      <c r="AG3084">
        <v>2</v>
      </c>
      <c r="AH3084">
        <v>0</v>
      </c>
      <c r="AI3084" t="s">
        <v>6280</v>
      </c>
      <c r="AJ3084">
        <v>40.407307000000003</v>
      </c>
      <c r="AK3084" t="s">
        <v>6281</v>
      </c>
      <c r="AL3084">
        <v>-74.967462999999995</v>
      </c>
      <c r="AM3084">
        <v>100</v>
      </c>
      <c r="AN3084">
        <v>3700</v>
      </c>
      <c r="AO3084" t="s">
        <v>115</v>
      </c>
      <c r="AP3084">
        <v>161</v>
      </c>
      <c r="AQ3084">
        <v>-24</v>
      </c>
      <c r="AR3084">
        <v>192</v>
      </c>
      <c r="AZ3084">
        <v>3614</v>
      </c>
      <c r="BA3084">
        <v>1</v>
      </c>
      <c r="BB3084" t="str">
        <f t="shared" si="146"/>
        <v xml:space="preserve">N959MJ  </v>
      </c>
      <c r="BC3084">
        <v>1</v>
      </c>
      <c r="BE3084">
        <v>0</v>
      </c>
      <c r="BF3084">
        <v>0</v>
      </c>
      <c r="BG3084">
        <v>0</v>
      </c>
      <c r="BH3084">
        <v>3875</v>
      </c>
      <c r="BI3084">
        <v>175</v>
      </c>
      <c r="BJ3084">
        <v>1</v>
      </c>
      <c r="BK3084">
        <v>1</v>
      </c>
      <c r="BL3084">
        <v>1</v>
      </c>
      <c r="BM3084">
        <v>0</v>
      </c>
      <c r="BP3084">
        <v>0</v>
      </c>
      <c r="BQ3084">
        <v>0</v>
      </c>
      <c r="BX3084" t="str">
        <f>"14:41:44.586"</f>
        <v>14:41:44.586</v>
      </c>
      <c r="BY3084" t="str">
        <f>"588866138"</f>
        <v>588866138</v>
      </c>
      <c r="CL3084">
        <v>0</v>
      </c>
      <c r="CM3084">
        <v>2</v>
      </c>
      <c r="CN3084">
        <v>0</v>
      </c>
      <c r="CO3084">
        <v>2</v>
      </c>
      <c r="CP3084">
        <v>0</v>
      </c>
      <c r="CQ3084">
        <v>7</v>
      </c>
      <c r="CR3084" t="s">
        <v>116</v>
      </c>
      <c r="CS3084">
        <v>38</v>
      </c>
      <c r="CT3084">
        <v>3</v>
      </c>
      <c r="CU3084" t="s">
        <v>4719</v>
      </c>
      <c r="CV3084" t="s">
        <v>4720</v>
      </c>
      <c r="CY3084">
        <v>10727053</v>
      </c>
      <c r="CZ3084" t="s">
        <v>119</v>
      </c>
    </row>
    <row r="3085" spans="1:104" x14ac:dyDescent="0.25">
      <c r="A3085" t="str">
        <f>"14:41:45.742"</f>
        <v>14:41:45.742</v>
      </c>
      <c r="B3085" t="s">
        <v>108</v>
      </c>
      <c r="C3085" t="str">
        <f t="shared" si="145"/>
        <v>ffdfd3c0</v>
      </c>
      <c r="D3085" t="s">
        <v>109</v>
      </c>
      <c r="E3085">
        <v>4</v>
      </c>
      <c r="F3085">
        <v>1004</v>
      </c>
      <c r="G3085" t="s">
        <v>110</v>
      </c>
      <c r="J3085" t="s">
        <v>111</v>
      </c>
      <c r="K3085">
        <v>0</v>
      </c>
      <c r="L3085">
        <v>3</v>
      </c>
      <c r="M3085">
        <v>0</v>
      </c>
      <c r="N3085">
        <v>2</v>
      </c>
      <c r="O3085">
        <v>1</v>
      </c>
      <c r="P3085">
        <v>0</v>
      </c>
      <c r="Q3085">
        <v>0</v>
      </c>
      <c r="R3085" t="s">
        <v>112</v>
      </c>
      <c r="S3085" t="str">
        <f>"14:41:45.563"</f>
        <v>14:41:45.563</v>
      </c>
      <c r="T3085" t="str">
        <f>"14:41:45.164"</f>
        <v>14:41:45.164</v>
      </c>
      <c r="U3085" t="str">
        <f t="shared" si="144"/>
        <v>ad5732</v>
      </c>
      <c r="V3085">
        <v>0</v>
      </c>
      <c r="W3085">
        <v>0</v>
      </c>
      <c r="X3085">
        <v>1</v>
      </c>
      <c r="Z3085">
        <v>0</v>
      </c>
      <c r="AA3085">
        <v>9</v>
      </c>
      <c r="AB3085">
        <v>3</v>
      </c>
      <c r="AC3085">
        <v>0</v>
      </c>
      <c r="AD3085">
        <v>10</v>
      </c>
      <c r="AE3085">
        <v>0</v>
      </c>
      <c r="AF3085">
        <v>3</v>
      </c>
      <c r="AG3085">
        <v>2</v>
      </c>
      <c r="AH3085">
        <v>0</v>
      </c>
      <c r="AI3085" t="s">
        <v>6282</v>
      </c>
      <c r="AJ3085">
        <v>40.407221</v>
      </c>
      <c r="AK3085" t="s">
        <v>6283</v>
      </c>
      <c r="AL3085">
        <v>-74.966497000000004</v>
      </c>
      <c r="AM3085">
        <v>100</v>
      </c>
      <c r="AN3085">
        <v>3700</v>
      </c>
      <c r="AO3085" t="s">
        <v>115</v>
      </c>
      <c r="AP3085">
        <v>161</v>
      </c>
      <c r="AQ3085">
        <v>-26</v>
      </c>
      <c r="AR3085">
        <v>128</v>
      </c>
      <c r="AZ3085">
        <v>3614</v>
      </c>
      <c r="BA3085">
        <v>1</v>
      </c>
      <c r="BB3085" t="str">
        <f t="shared" si="146"/>
        <v xml:space="preserve">N959MJ  </v>
      </c>
      <c r="BC3085">
        <v>1</v>
      </c>
      <c r="BE3085">
        <v>0</v>
      </c>
      <c r="BF3085">
        <v>0</v>
      </c>
      <c r="BG3085">
        <v>0</v>
      </c>
      <c r="BH3085">
        <v>3875</v>
      </c>
      <c r="BI3085">
        <v>175</v>
      </c>
      <c r="BJ3085">
        <v>1</v>
      </c>
      <c r="BK3085">
        <v>1</v>
      </c>
      <c r="BL3085">
        <v>1</v>
      </c>
      <c r="BM3085">
        <v>0</v>
      </c>
      <c r="BP3085">
        <v>0</v>
      </c>
      <c r="BQ3085">
        <v>0</v>
      </c>
      <c r="BX3085" t="str">
        <f>"14:41:45.570"</f>
        <v>14:41:45.570</v>
      </c>
      <c r="BY3085" t="str">
        <f>"568646289"</f>
        <v>568646289</v>
      </c>
      <c r="CL3085">
        <v>0</v>
      </c>
      <c r="CM3085">
        <v>2</v>
      </c>
      <c r="CN3085">
        <v>0</v>
      </c>
      <c r="CO3085">
        <v>2</v>
      </c>
      <c r="CP3085">
        <v>0</v>
      </c>
      <c r="CQ3085">
        <v>7</v>
      </c>
      <c r="CR3085" t="s">
        <v>116</v>
      </c>
      <c r="CS3085">
        <v>38</v>
      </c>
      <c r="CT3085">
        <v>3</v>
      </c>
      <c r="CU3085" t="s">
        <v>4719</v>
      </c>
      <c r="CV3085" t="s">
        <v>4720</v>
      </c>
      <c r="CY3085">
        <v>10728751</v>
      </c>
      <c r="CZ3085" t="s">
        <v>119</v>
      </c>
    </row>
    <row r="3086" spans="1:104" x14ac:dyDescent="0.25">
      <c r="A3086" t="str">
        <f>"14:41:46.648"</f>
        <v>14:41:46.648</v>
      </c>
      <c r="B3086" t="s">
        <v>108</v>
      </c>
      <c r="C3086" t="str">
        <f t="shared" si="145"/>
        <v>ffdfd3c0</v>
      </c>
      <c r="D3086" t="s">
        <v>109</v>
      </c>
      <c r="E3086">
        <v>4</v>
      </c>
      <c r="F3086">
        <v>1004</v>
      </c>
      <c r="G3086" t="s">
        <v>110</v>
      </c>
      <c r="J3086" t="s">
        <v>111</v>
      </c>
      <c r="K3086">
        <v>0</v>
      </c>
      <c r="L3086">
        <v>3</v>
      </c>
      <c r="M3086">
        <v>0</v>
      </c>
      <c r="N3086">
        <v>2</v>
      </c>
      <c r="O3086">
        <v>1</v>
      </c>
      <c r="P3086">
        <v>0</v>
      </c>
      <c r="Q3086">
        <v>0</v>
      </c>
      <c r="R3086" t="s">
        <v>112</v>
      </c>
      <c r="S3086" t="str">
        <f>"14:41:46.477"</f>
        <v>14:41:46.477</v>
      </c>
      <c r="T3086" t="str">
        <f>"14:41:46.078"</f>
        <v>14:41:46.078</v>
      </c>
      <c r="U3086" t="str">
        <f t="shared" si="144"/>
        <v>ad5732</v>
      </c>
      <c r="V3086">
        <v>0</v>
      </c>
      <c r="W3086">
        <v>0</v>
      </c>
      <c r="X3086">
        <v>1</v>
      </c>
      <c r="Z3086">
        <v>0</v>
      </c>
      <c r="AA3086">
        <v>9</v>
      </c>
      <c r="AB3086">
        <v>3</v>
      </c>
      <c r="AC3086">
        <v>0</v>
      </c>
      <c r="AD3086">
        <v>10</v>
      </c>
      <c r="AE3086">
        <v>0</v>
      </c>
      <c r="AF3086">
        <v>3</v>
      </c>
      <c r="AG3086">
        <v>2</v>
      </c>
      <c r="AH3086">
        <v>0</v>
      </c>
      <c r="AI3086" t="s">
        <v>6284</v>
      </c>
      <c r="AJ3086">
        <v>40.407071000000002</v>
      </c>
      <c r="AK3086" t="s">
        <v>6285</v>
      </c>
      <c r="AL3086">
        <v>-74.965638999999996</v>
      </c>
      <c r="AM3086">
        <v>100</v>
      </c>
      <c r="AN3086">
        <v>3700</v>
      </c>
      <c r="AO3086" t="s">
        <v>115</v>
      </c>
      <c r="AP3086">
        <v>160</v>
      </c>
      <c r="AQ3086">
        <v>-27</v>
      </c>
      <c r="AR3086">
        <v>64</v>
      </c>
      <c r="AZ3086">
        <v>3614</v>
      </c>
      <c r="BA3086">
        <v>1</v>
      </c>
      <c r="BB3086" t="str">
        <f t="shared" si="146"/>
        <v xml:space="preserve">N959MJ  </v>
      </c>
      <c r="BC3086">
        <v>1</v>
      </c>
      <c r="BE3086">
        <v>0</v>
      </c>
      <c r="BF3086">
        <v>0</v>
      </c>
      <c r="BG3086">
        <v>0</v>
      </c>
      <c r="BH3086">
        <v>3875</v>
      </c>
      <c r="BI3086">
        <v>175</v>
      </c>
      <c r="BJ3086">
        <v>1</v>
      </c>
      <c r="BK3086">
        <v>1</v>
      </c>
      <c r="BL3086">
        <v>1</v>
      </c>
      <c r="BM3086">
        <v>0</v>
      </c>
      <c r="BP3086">
        <v>0</v>
      </c>
      <c r="BQ3086">
        <v>0</v>
      </c>
      <c r="BX3086" t="str">
        <f>"14:41:46.484"</f>
        <v>14:41:46.484</v>
      </c>
      <c r="BY3086" t="str">
        <f>"481250785"</f>
        <v>481250785</v>
      </c>
      <c r="CL3086">
        <v>0</v>
      </c>
      <c r="CM3086">
        <v>2</v>
      </c>
      <c r="CN3086">
        <v>0</v>
      </c>
      <c r="CO3086">
        <v>2</v>
      </c>
      <c r="CP3086">
        <v>0</v>
      </c>
      <c r="CQ3086">
        <v>7</v>
      </c>
      <c r="CR3086" t="s">
        <v>116</v>
      </c>
      <c r="CS3086">
        <v>38</v>
      </c>
      <c r="CT3086">
        <v>3</v>
      </c>
      <c r="CU3086" t="s">
        <v>4719</v>
      </c>
      <c r="CV3086" t="s">
        <v>4720</v>
      </c>
      <c r="CY3086">
        <v>10730280</v>
      </c>
      <c r="CZ3086" t="s">
        <v>119</v>
      </c>
    </row>
    <row r="3087" spans="1:104" x14ac:dyDescent="0.25">
      <c r="A3087" t="str">
        <f>"14:41:47.555"</f>
        <v>14:41:47.555</v>
      </c>
      <c r="B3087" t="s">
        <v>108</v>
      </c>
      <c r="C3087" t="str">
        <f t="shared" si="145"/>
        <v>ffdfd3c0</v>
      </c>
      <c r="D3087" t="s">
        <v>109</v>
      </c>
      <c r="E3087">
        <v>4</v>
      </c>
      <c r="F3087">
        <v>1004</v>
      </c>
      <c r="G3087" t="s">
        <v>110</v>
      </c>
      <c r="J3087" t="s">
        <v>111</v>
      </c>
      <c r="K3087">
        <v>0</v>
      </c>
      <c r="L3087">
        <v>3</v>
      </c>
      <c r="M3087">
        <v>0</v>
      </c>
      <c r="N3087">
        <v>2</v>
      </c>
      <c r="O3087">
        <v>1</v>
      </c>
      <c r="P3087">
        <v>0</v>
      </c>
      <c r="Q3087">
        <v>0</v>
      </c>
      <c r="R3087" t="s">
        <v>112</v>
      </c>
      <c r="S3087" t="str">
        <f>"14:41:47.375"</f>
        <v>14:41:47.375</v>
      </c>
      <c r="T3087" t="str">
        <f>"14:41:46.977"</f>
        <v>14:41:46.977</v>
      </c>
      <c r="U3087" t="str">
        <f t="shared" si="144"/>
        <v>ad5732</v>
      </c>
      <c r="V3087">
        <v>0</v>
      </c>
      <c r="W3087">
        <v>0</v>
      </c>
      <c r="X3087">
        <v>1</v>
      </c>
      <c r="Z3087">
        <v>0</v>
      </c>
      <c r="AA3087">
        <v>9</v>
      </c>
      <c r="AB3087">
        <v>3</v>
      </c>
      <c r="AC3087">
        <v>0</v>
      </c>
      <c r="AD3087">
        <v>10</v>
      </c>
      <c r="AE3087">
        <v>0</v>
      </c>
      <c r="AF3087">
        <v>3</v>
      </c>
      <c r="AG3087">
        <v>2</v>
      </c>
      <c r="AH3087">
        <v>0</v>
      </c>
      <c r="AI3087" t="s">
        <v>6252</v>
      </c>
      <c r="AJ3087">
        <v>40.406984999999999</v>
      </c>
      <c r="AK3087" t="s">
        <v>6286</v>
      </c>
      <c r="AL3087">
        <v>-74.964715999999996</v>
      </c>
      <c r="AM3087">
        <v>100</v>
      </c>
      <c r="AN3087">
        <v>3700</v>
      </c>
      <c r="AO3087" t="s">
        <v>115</v>
      </c>
      <c r="AP3087">
        <v>160</v>
      </c>
      <c r="AQ3087">
        <v>-28</v>
      </c>
      <c r="AR3087">
        <v>64</v>
      </c>
      <c r="AZ3087">
        <v>3614</v>
      </c>
      <c r="BA3087">
        <v>1</v>
      </c>
      <c r="BB3087" t="str">
        <f t="shared" si="146"/>
        <v xml:space="preserve">N959MJ  </v>
      </c>
      <c r="BC3087">
        <v>1</v>
      </c>
      <c r="BE3087">
        <v>0</v>
      </c>
      <c r="BF3087">
        <v>0</v>
      </c>
      <c r="BG3087">
        <v>0</v>
      </c>
      <c r="BH3087">
        <v>3875</v>
      </c>
      <c r="BI3087">
        <v>175</v>
      </c>
      <c r="BJ3087">
        <v>1</v>
      </c>
      <c r="BK3087">
        <v>1</v>
      </c>
      <c r="BL3087">
        <v>1</v>
      </c>
      <c r="BM3087">
        <v>0</v>
      </c>
      <c r="BP3087">
        <v>0</v>
      </c>
      <c r="BQ3087">
        <v>0</v>
      </c>
      <c r="BX3087" t="str">
        <f>"14:41:47.383"</f>
        <v>14:41:47.383</v>
      </c>
      <c r="BY3087" t="str">
        <f>"379109520"</f>
        <v>379109520</v>
      </c>
      <c r="CL3087">
        <v>0</v>
      </c>
      <c r="CM3087">
        <v>2</v>
      </c>
      <c r="CN3087">
        <v>0</v>
      </c>
      <c r="CO3087">
        <v>2</v>
      </c>
      <c r="CP3087">
        <v>0</v>
      </c>
      <c r="CQ3087">
        <v>7</v>
      </c>
      <c r="CR3087" t="s">
        <v>116</v>
      </c>
      <c r="CS3087">
        <v>38</v>
      </c>
      <c r="CT3087">
        <v>3</v>
      </c>
      <c r="CU3087" t="s">
        <v>4719</v>
      </c>
      <c r="CV3087" t="s">
        <v>4720</v>
      </c>
      <c r="CY3087">
        <v>10731755</v>
      </c>
      <c r="CZ3087" t="s">
        <v>119</v>
      </c>
    </row>
    <row r="3088" spans="1:104" x14ac:dyDescent="0.25">
      <c r="A3088" t="str">
        <f>"14:41:48.469"</f>
        <v>14:41:48.469</v>
      </c>
      <c r="B3088" t="s">
        <v>108</v>
      </c>
      <c r="C3088" t="str">
        <f t="shared" si="145"/>
        <v>ffdfd3c0</v>
      </c>
      <c r="D3088" t="s">
        <v>109</v>
      </c>
      <c r="E3088">
        <v>4</v>
      </c>
      <c r="F3088">
        <v>1004</v>
      </c>
      <c r="G3088" t="s">
        <v>110</v>
      </c>
      <c r="J3088" t="s">
        <v>111</v>
      </c>
      <c r="K3088">
        <v>0</v>
      </c>
      <c r="L3088">
        <v>3</v>
      </c>
      <c r="M3088">
        <v>0</v>
      </c>
      <c r="N3088">
        <v>2</v>
      </c>
      <c r="O3088">
        <v>1</v>
      </c>
      <c r="P3088">
        <v>0</v>
      </c>
      <c r="Q3088">
        <v>0</v>
      </c>
      <c r="R3088" t="s">
        <v>112</v>
      </c>
      <c r="S3088" t="str">
        <f>"14:41:48.313"</f>
        <v>14:41:48.313</v>
      </c>
      <c r="T3088" t="str">
        <f>"14:41:47.914"</f>
        <v>14:41:47.914</v>
      </c>
      <c r="U3088" t="str">
        <f t="shared" si="144"/>
        <v>ad5732</v>
      </c>
      <c r="V3088">
        <v>0</v>
      </c>
      <c r="W3088">
        <v>0</v>
      </c>
      <c r="X3088">
        <v>1</v>
      </c>
      <c r="Z3088">
        <v>0</v>
      </c>
      <c r="AA3088">
        <v>9</v>
      </c>
      <c r="AB3088">
        <v>3</v>
      </c>
      <c r="AC3088">
        <v>0</v>
      </c>
      <c r="AD3088">
        <v>10</v>
      </c>
      <c r="AE3088">
        <v>0</v>
      </c>
      <c r="AF3088">
        <v>3</v>
      </c>
      <c r="AG3088">
        <v>2</v>
      </c>
      <c r="AH3088">
        <v>0</v>
      </c>
      <c r="AI3088" t="s">
        <v>6287</v>
      </c>
      <c r="AJ3088">
        <v>40.406835000000001</v>
      </c>
      <c r="AK3088" t="s">
        <v>6288</v>
      </c>
      <c r="AL3088">
        <v>-74.963901000000007</v>
      </c>
      <c r="AM3088">
        <v>100</v>
      </c>
      <c r="AN3088">
        <v>3700</v>
      </c>
      <c r="AO3088" t="s">
        <v>115</v>
      </c>
      <c r="AP3088">
        <v>160</v>
      </c>
      <c r="AQ3088">
        <v>-28</v>
      </c>
      <c r="AR3088">
        <v>-64</v>
      </c>
      <c r="AZ3088">
        <v>3614</v>
      </c>
      <c r="BA3088">
        <v>1</v>
      </c>
      <c r="BB3088" t="str">
        <f t="shared" si="146"/>
        <v xml:space="preserve">N959MJ  </v>
      </c>
      <c r="BC3088">
        <v>1</v>
      </c>
      <c r="BE3088">
        <v>0</v>
      </c>
      <c r="BF3088">
        <v>0</v>
      </c>
      <c r="BG3088">
        <v>0</v>
      </c>
      <c r="BH3088">
        <v>3875</v>
      </c>
      <c r="BI3088">
        <v>175</v>
      </c>
      <c r="BJ3088">
        <v>1</v>
      </c>
      <c r="BK3088">
        <v>1</v>
      </c>
      <c r="BL3088">
        <v>1</v>
      </c>
      <c r="BM3088">
        <v>0</v>
      </c>
      <c r="BP3088">
        <v>0</v>
      </c>
      <c r="BQ3088">
        <v>0</v>
      </c>
      <c r="BX3088" t="str">
        <f>"14:41:48.313"</f>
        <v>14:41:48.313</v>
      </c>
      <c r="BY3088" t="str">
        <f>"313087856"</f>
        <v>313087856</v>
      </c>
      <c r="CL3088">
        <v>0</v>
      </c>
      <c r="CM3088">
        <v>2</v>
      </c>
      <c r="CN3088">
        <v>0</v>
      </c>
      <c r="CO3088">
        <v>2</v>
      </c>
      <c r="CP3088">
        <v>0</v>
      </c>
      <c r="CQ3088">
        <v>6</v>
      </c>
      <c r="CR3088" t="s">
        <v>116</v>
      </c>
      <c r="CS3088">
        <v>409</v>
      </c>
      <c r="CT3088">
        <v>2</v>
      </c>
      <c r="CU3088" t="s">
        <v>5087</v>
      </c>
      <c r="CV3088" t="s">
        <v>5088</v>
      </c>
      <c r="CY3088">
        <v>564417</v>
      </c>
      <c r="CZ3088" t="s">
        <v>119</v>
      </c>
    </row>
    <row r="3089" spans="1:104" x14ac:dyDescent="0.25">
      <c r="A3089" t="str">
        <f>"14:41:49.578"</f>
        <v>14:41:49.578</v>
      </c>
      <c r="B3089" t="s">
        <v>108</v>
      </c>
      <c r="C3089" t="str">
        <f t="shared" si="145"/>
        <v>ffdfd3c0</v>
      </c>
      <c r="D3089" t="s">
        <v>109</v>
      </c>
      <c r="E3089">
        <v>4</v>
      </c>
      <c r="F3089">
        <v>1004</v>
      </c>
      <c r="G3089" t="s">
        <v>110</v>
      </c>
      <c r="J3089" t="s">
        <v>111</v>
      </c>
      <c r="K3089">
        <v>0</v>
      </c>
      <c r="L3089">
        <v>3</v>
      </c>
      <c r="M3089">
        <v>0</v>
      </c>
      <c r="N3089">
        <v>2</v>
      </c>
      <c r="O3089">
        <v>1</v>
      </c>
      <c r="P3089">
        <v>0</v>
      </c>
      <c r="Q3089">
        <v>0</v>
      </c>
      <c r="R3089" t="s">
        <v>112</v>
      </c>
      <c r="S3089" t="str">
        <f>"14:41:49.391"</f>
        <v>14:41:49.391</v>
      </c>
      <c r="T3089" t="str">
        <f>"14:41:48.992"</f>
        <v>14:41:48.992</v>
      </c>
      <c r="U3089" t="str">
        <f t="shared" si="144"/>
        <v>ad5732</v>
      </c>
      <c r="V3089">
        <v>0</v>
      </c>
      <c r="W3089">
        <v>0</v>
      </c>
      <c r="X3089">
        <v>1</v>
      </c>
      <c r="Z3089">
        <v>0</v>
      </c>
      <c r="AA3089">
        <v>9</v>
      </c>
      <c r="AB3089">
        <v>3</v>
      </c>
      <c r="AC3089">
        <v>0</v>
      </c>
      <c r="AD3089">
        <v>10</v>
      </c>
      <c r="AE3089">
        <v>0</v>
      </c>
      <c r="AF3089">
        <v>3</v>
      </c>
      <c r="AG3089">
        <v>2</v>
      </c>
      <c r="AH3089">
        <v>0</v>
      </c>
      <c r="AI3089" t="s">
        <v>6250</v>
      </c>
      <c r="AJ3089">
        <v>40.406706</v>
      </c>
      <c r="AK3089" t="s">
        <v>6289</v>
      </c>
      <c r="AL3089">
        <v>-74.962828000000002</v>
      </c>
      <c r="AM3089">
        <v>100</v>
      </c>
      <c r="AN3089">
        <v>3700</v>
      </c>
      <c r="AO3089" t="s">
        <v>115</v>
      </c>
      <c r="AP3089">
        <v>160</v>
      </c>
      <c r="AQ3089">
        <v>-29</v>
      </c>
      <c r="AR3089">
        <v>-128</v>
      </c>
      <c r="AZ3089">
        <v>3614</v>
      </c>
      <c r="BA3089">
        <v>1</v>
      </c>
      <c r="BB3089" t="str">
        <f t="shared" si="146"/>
        <v xml:space="preserve">N959MJ  </v>
      </c>
      <c r="BC3089">
        <v>1</v>
      </c>
      <c r="BE3089">
        <v>0</v>
      </c>
      <c r="BF3089">
        <v>0</v>
      </c>
      <c r="BG3089">
        <v>0</v>
      </c>
      <c r="BH3089">
        <v>3875</v>
      </c>
      <c r="BI3089">
        <v>175</v>
      </c>
      <c r="BJ3089">
        <v>1</v>
      </c>
      <c r="BK3089">
        <v>1</v>
      </c>
      <c r="BL3089">
        <v>1</v>
      </c>
      <c r="BM3089">
        <v>0</v>
      </c>
      <c r="BP3089">
        <v>0</v>
      </c>
      <c r="BQ3089">
        <v>0</v>
      </c>
      <c r="BX3089" t="str">
        <f>"14:41:49.391"</f>
        <v>14:41:49.391</v>
      </c>
      <c r="BY3089" t="str">
        <f>"392737811"</f>
        <v>392737811</v>
      </c>
      <c r="CL3089">
        <v>0</v>
      </c>
      <c r="CM3089">
        <v>2</v>
      </c>
      <c r="CN3089">
        <v>0</v>
      </c>
      <c r="CO3089">
        <v>2</v>
      </c>
      <c r="CP3089">
        <v>0</v>
      </c>
      <c r="CQ3089">
        <v>7</v>
      </c>
      <c r="CR3089" t="s">
        <v>116</v>
      </c>
      <c r="CS3089">
        <v>38</v>
      </c>
      <c r="CT3089">
        <v>3</v>
      </c>
      <c r="CU3089" t="s">
        <v>4719</v>
      </c>
      <c r="CV3089" t="s">
        <v>4720</v>
      </c>
      <c r="CY3089">
        <v>10735369</v>
      </c>
      <c r="CZ3089" t="s">
        <v>119</v>
      </c>
    </row>
    <row r="3090" spans="1:104" x14ac:dyDescent="0.25">
      <c r="A3090" t="str">
        <f>"14:41:50.688"</f>
        <v>14:41:50.688</v>
      </c>
      <c r="B3090" t="s">
        <v>108</v>
      </c>
      <c r="C3090" t="str">
        <f t="shared" si="145"/>
        <v>ffdfd3c0</v>
      </c>
      <c r="D3090" t="s">
        <v>109</v>
      </c>
      <c r="E3090">
        <v>4</v>
      </c>
      <c r="F3090">
        <v>1004</v>
      </c>
      <c r="G3090" t="s">
        <v>110</v>
      </c>
      <c r="J3090" t="s">
        <v>111</v>
      </c>
      <c r="K3090">
        <v>0</v>
      </c>
      <c r="L3090">
        <v>3</v>
      </c>
      <c r="M3090">
        <v>0</v>
      </c>
      <c r="N3090">
        <v>2</v>
      </c>
      <c r="O3090">
        <v>1</v>
      </c>
      <c r="P3090">
        <v>0</v>
      </c>
      <c r="Q3090">
        <v>0</v>
      </c>
      <c r="R3090" t="s">
        <v>112</v>
      </c>
      <c r="S3090" t="str">
        <f>"14:41:50.508"</f>
        <v>14:41:50.508</v>
      </c>
      <c r="T3090" t="str">
        <f>"14:41:50.008"</f>
        <v>14:41:50.008</v>
      </c>
      <c r="U3090" t="str">
        <f t="shared" si="144"/>
        <v>ad5732</v>
      </c>
      <c r="V3090">
        <v>0</v>
      </c>
      <c r="W3090">
        <v>0</v>
      </c>
      <c r="X3090">
        <v>1</v>
      </c>
      <c r="Z3090">
        <v>0</v>
      </c>
      <c r="AA3090">
        <v>9</v>
      </c>
      <c r="AB3090">
        <v>3</v>
      </c>
      <c r="AC3090">
        <v>0</v>
      </c>
      <c r="AD3090">
        <v>10</v>
      </c>
      <c r="AE3090">
        <v>0</v>
      </c>
      <c r="AF3090">
        <v>3</v>
      </c>
      <c r="AG3090">
        <v>2</v>
      </c>
      <c r="AH3090">
        <v>0</v>
      </c>
      <c r="AI3090" t="s">
        <v>6290</v>
      </c>
      <c r="AJ3090">
        <v>40.406556000000002</v>
      </c>
      <c r="AK3090" t="s">
        <v>6291</v>
      </c>
      <c r="AL3090">
        <v>-74.961712000000006</v>
      </c>
      <c r="AM3090">
        <v>100</v>
      </c>
      <c r="AN3090">
        <v>3700</v>
      </c>
      <c r="AO3090" t="s">
        <v>115</v>
      </c>
      <c r="AP3090">
        <v>160</v>
      </c>
      <c r="AQ3090">
        <v>-30</v>
      </c>
      <c r="AR3090">
        <v>-192</v>
      </c>
      <c r="AZ3090">
        <v>3614</v>
      </c>
      <c r="BA3090">
        <v>1</v>
      </c>
      <c r="BB3090" t="str">
        <f t="shared" si="146"/>
        <v xml:space="preserve">N959MJ  </v>
      </c>
      <c r="BC3090">
        <v>1</v>
      </c>
      <c r="BE3090">
        <v>0</v>
      </c>
      <c r="BF3090">
        <v>0</v>
      </c>
      <c r="BG3090">
        <v>0</v>
      </c>
      <c r="BH3090">
        <v>3875</v>
      </c>
      <c r="BI3090">
        <v>175</v>
      </c>
      <c r="BJ3090">
        <v>1</v>
      </c>
      <c r="BK3090">
        <v>1</v>
      </c>
      <c r="BL3090">
        <v>1</v>
      </c>
      <c r="BM3090">
        <v>0</v>
      </c>
      <c r="BP3090">
        <v>0</v>
      </c>
      <c r="BQ3090">
        <v>0</v>
      </c>
      <c r="BX3090" t="str">
        <f>"14:41:50.516"</f>
        <v>14:41:50.516</v>
      </c>
      <c r="BY3090" t="str">
        <f>"511965721"</f>
        <v>511965721</v>
      </c>
      <c r="CL3090">
        <v>0</v>
      </c>
      <c r="CM3090">
        <v>2</v>
      </c>
      <c r="CN3090">
        <v>0</v>
      </c>
      <c r="CO3090">
        <v>2</v>
      </c>
      <c r="CP3090">
        <v>0</v>
      </c>
      <c r="CQ3090">
        <v>5</v>
      </c>
      <c r="CR3090" t="s">
        <v>116</v>
      </c>
      <c r="CS3090">
        <v>39</v>
      </c>
      <c r="CT3090">
        <v>0</v>
      </c>
      <c r="CU3090" t="s">
        <v>2259</v>
      </c>
      <c r="CV3090" t="s">
        <v>2260</v>
      </c>
      <c r="CY3090">
        <v>2899076</v>
      </c>
      <c r="CZ3090" t="s">
        <v>119</v>
      </c>
    </row>
    <row r="3091" spans="1:104" x14ac:dyDescent="0.25">
      <c r="A3091" t="str">
        <f>"14:41:51.703"</f>
        <v>14:41:51.703</v>
      </c>
      <c r="B3091" t="s">
        <v>108</v>
      </c>
      <c r="C3091" t="str">
        <f t="shared" si="145"/>
        <v>ffdfd3c0</v>
      </c>
      <c r="D3091" t="s">
        <v>109</v>
      </c>
      <c r="E3091">
        <v>4</v>
      </c>
      <c r="F3091">
        <v>1004</v>
      </c>
      <c r="G3091" t="s">
        <v>110</v>
      </c>
      <c r="J3091" t="s">
        <v>111</v>
      </c>
      <c r="K3091">
        <v>0</v>
      </c>
      <c r="L3091">
        <v>3</v>
      </c>
      <c r="M3091">
        <v>0</v>
      </c>
      <c r="N3091">
        <v>2</v>
      </c>
      <c r="O3091">
        <v>1</v>
      </c>
      <c r="P3091">
        <v>0</v>
      </c>
      <c r="Q3091">
        <v>0</v>
      </c>
      <c r="R3091" t="s">
        <v>112</v>
      </c>
      <c r="S3091" t="str">
        <f>"14:41:51.492"</f>
        <v>14:41:51.492</v>
      </c>
      <c r="T3091" t="str">
        <f>"14:41:50.992"</f>
        <v>14:41:50.992</v>
      </c>
      <c r="U3091" t="str">
        <f t="shared" si="144"/>
        <v>ad5732</v>
      </c>
      <c r="V3091">
        <v>0</v>
      </c>
      <c r="W3091">
        <v>0</v>
      </c>
      <c r="X3091">
        <v>1</v>
      </c>
      <c r="Z3091">
        <v>0</v>
      </c>
      <c r="AA3091">
        <v>9</v>
      </c>
      <c r="AB3091">
        <v>3</v>
      </c>
      <c r="AC3091">
        <v>0</v>
      </c>
      <c r="AD3091">
        <v>10</v>
      </c>
      <c r="AE3091">
        <v>0</v>
      </c>
      <c r="AF3091">
        <v>3</v>
      </c>
      <c r="AG3091">
        <v>2</v>
      </c>
      <c r="AH3091">
        <v>0</v>
      </c>
      <c r="AI3091" t="s">
        <v>6292</v>
      </c>
      <c r="AJ3091">
        <v>40.406405999999997</v>
      </c>
      <c r="AK3091" t="s">
        <v>6293</v>
      </c>
      <c r="AL3091">
        <v>-74.960768000000002</v>
      </c>
      <c r="AM3091">
        <v>100</v>
      </c>
      <c r="AN3091">
        <v>3700</v>
      </c>
      <c r="AO3091" t="s">
        <v>115</v>
      </c>
      <c r="AP3091">
        <v>160</v>
      </c>
      <c r="AQ3091">
        <v>-30</v>
      </c>
      <c r="AR3091">
        <v>-256</v>
      </c>
      <c r="AZ3091">
        <v>3614</v>
      </c>
      <c r="BA3091">
        <v>1</v>
      </c>
      <c r="BB3091" t="str">
        <f t="shared" si="146"/>
        <v xml:space="preserve">N959MJ  </v>
      </c>
      <c r="BC3091">
        <v>1</v>
      </c>
      <c r="BE3091">
        <v>0</v>
      </c>
      <c r="BF3091">
        <v>0</v>
      </c>
      <c r="BG3091">
        <v>0</v>
      </c>
      <c r="BH3091">
        <v>3875</v>
      </c>
      <c r="BI3091">
        <v>175</v>
      </c>
      <c r="BJ3091">
        <v>1</v>
      </c>
      <c r="BK3091">
        <v>1</v>
      </c>
      <c r="BL3091">
        <v>1</v>
      </c>
      <c r="BM3091">
        <v>0</v>
      </c>
      <c r="BP3091">
        <v>0</v>
      </c>
      <c r="BQ3091">
        <v>0</v>
      </c>
      <c r="BX3091" t="str">
        <f>"14:41:51.500"</f>
        <v>14:41:51.500</v>
      </c>
      <c r="BY3091" t="str">
        <f>"496479712"</f>
        <v>496479712</v>
      </c>
      <c r="CL3091">
        <v>0</v>
      </c>
      <c r="CM3091">
        <v>2</v>
      </c>
      <c r="CN3091">
        <v>0</v>
      </c>
      <c r="CO3091">
        <v>2</v>
      </c>
      <c r="CP3091">
        <v>0</v>
      </c>
      <c r="CQ3091">
        <v>7</v>
      </c>
      <c r="CR3091" t="s">
        <v>116</v>
      </c>
      <c r="CS3091">
        <v>38</v>
      </c>
      <c r="CT3091">
        <v>3</v>
      </c>
      <c r="CU3091" t="s">
        <v>4719</v>
      </c>
      <c r="CV3091" t="s">
        <v>4720</v>
      </c>
      <c r="CY3091">
        <v>10739038</v>
      </c>
      <c r="CZ3091" t="s">
        <v>119</v>
      </c>
    </row>
    <row r="3092" spans="1:104" x14ac:dyDescent="0.25">
      <c r="A3092" t="str">
        <f>"14:41:52.555"</f>
        <v>14:41:52.555</v>
      </c>
      <c r="B3092" t="s">
        <v>108</v>
      </c>
      <c r="C3092" t="str">
        <f t="shared" si="145"/>
        <v>ffdfd3c0</v>
      </c>
      <c r="D3092" t="s">
        <v>109</v>
      </c>
      <c r="E3092">
        <v>4</v>
      </c>
      <c r="F3092">
        <v>1004</v>
      </c>
      <c r="G3092" t="s">
        <v>110</v>
      </c>
      <c r="J3092" t="s">
        <v>111</v>
      </c>
      <c r="K3092">
        <v>0</v>
      </c>
      <c r="L3092">
        <v>3</v>
      </c>
      <c r="M3092">
        <v>0</v>
      </c>
      <c r="N3092">
        <v>2</v>
      </c>
      <c r="O3092">
        <v>1</v>
      </c>
      <c r="P3092">
        <v>0</v>
      </c>
      <c r="Q3092">
        <v>0</v>
      </c>
      <c r="R3092" t="s">
        <v>112</v>
      </c>
      <c r="S3092" t="str">
        <f>"14:41:52.383"</f>
        <v>14:41:52.383</v>
      </c>
      <c r="T3092" t="str">
        <f>"14:41:51.984"</f>
        <v>14:41:51.984</v>
      </c>
      <c r="U3092" t="str">
        <f t="shared" si="144"/>
        <v>ad5732</v>
      </c>
      <c r="V3092">
        <v>0</v>
      </c>
      <c r="W3092">
        <v>0</v>
      </c>
      <c r="X3092">
        <v>1</v>
      </c>
      <c r="Z3092">
        <v>0</v>
      </c>
      <c r="AA3092">
        <v>9</v>
      </c>
      <c r="AB3092">
        <v>3</v>
      </c>
      <c r="AC3092">
        <v>0</v>
      </c>
      <c r="AD3092">
        <v>10</v>
      </c>
      <c r="AE3092">
        <v>0</v>
      </c>
      <c r="AF3092">
        <v>3</v>
      </c>
      <c r="AG3092">
        <v>2</v>
      </c>
      <c r="AH3092">
        <v>0</v>
      </c>
      <c r="AI3092" t="s">
        <v>6294</v>
      </c>
      <c r="AJ3092">
        <v>40.406255999999999</v>
      </c>
      <c r="AK3092" t="s">
        <v>6295</v>
      </c>
      <c r="AL3092">
        <v>-74.959909999999994</v>
      </c>
      <c r="AM3092">
        <v>100</v>
      </c>
      <c r="AN3092">
        <v>3700</v>
      </c>
      <c r="AO3092" t="s">
        <v>115</v>
      </c>
      <c r="AP3092">
        <v>160</v>
      </c>
      <c r="AQ3092">
        <v>-31</v>
      </c>
      <c r="AR3092">
        <v>-256</v>
      </c>
      <c r="AZ3092">
        <v>3614</v>
      </c>
      <c r="BA3092">
        <v>1</v>
      </c>
      <c r="BB3092" t="str">
        <f t="shared" si="146"/>
        <v xml:space="preserve">N959MJ  </v>
      </c>
      <c r="BC3092">
        <v>1</v>
      </c>
      <c r="BE3092">
        <v>0</v>
      </c>
      <c r="BF3092">
        <v>0</v>
      </c>
      <c r="BG3092">
        <v>0</v>
      </c>
      <c r="BH3092">
        <v>3875</v>
      </c>
      <c r="BI3092">
        <v>175</v>
      </c>
      <c r="BJ3092">
        <v>1</v>
      </c>
      <c r="BK3092">
        <v>1</v>
      </c>
      <c r="BL3092">
        <v>1</v>
      </c>
      <c r="BM3092">
        <v>0</v>
      </c>
      <c r="BP3092">
        <v>0</v>
      </c>
      <c r="BQ3092">
        <v>0</v>
      </c>
      <c r="BX3092" t="str">
        <f>"14:41:52.391"</f>
        <v>14:41:52.391</v>
      </c>
      <c r="BY3092" t="str">
        <f>"389423106"</f>
        <v>389423106</v>
      </c>
      <c r="CL3092">
        <v>0</v>
      </c>
      <c r="CM3092">
        <v>2</v>
      </c>
      <c r="CN3092">
        <v>0</v>
      </c>
      <c r="CO3092">
        <v>2</v>
      </c>
      <c r="CP3092">
        <v>0</v>
      </c>
      <c r="CQ3092">
        <v>7</v>
      </c>
      <c r="CR3092" t="s">
        <v>116</v>
      </c>
      <c r="CS3092">
        <v>38</v>
      </c>
      <c r="CT3092">
        <v>3</v>
      </c>
      <c r="CU3092" t="s">
        <v>4719</v>
      </c>
      <c r="CV3092" t="s">
        <v>4720</v>
      </c>
      <c r="CY3092">
        <v>10740579</v>
      </c>
      <c r="CZ3092" t="s">
        <v>119</v>
      </c>
    </row>
    <row r="3093" spans="1:104" x14ac:dyDescent="0.25">
      <c r="A3093" t="str">
        <f>"14:41:53.617"</f>
        <v>14:41:53.617</v>
      </c>
      <c r="B3093" t="s">
        <v>108</v>
      </c>
      <c r="C3093" t="str">
        <f t="shared" si="145"/>
        <v>ffdfd3c0</v>
      </c>
      <c r="D3093" t="s">
        <v>109</v>
      </c>
      <c r="E3093">
        <v>4</v>
      </c>
      <c r="F3093">
        <v>1004</v>
      </c>
      <c r="G3093" t="s">
        <v>110</v>
      </c>
      <c r="J3093" t="s">
        <v>111</v>
      </c>
      <c r="K3093">
        <v>0</v>
      </c>
      <c r="L3093">
        <v>3</v>
      </c>
      <c r="M3093">
        <v>0</v>
      </c>
      <c r="N3093">
        <v>2</v>
      </c>
      <c r="O3093">
        <v>1</v>
      </c>
      <c r="P3093">
        <v>0</v>
      </c>
      <c r="Q3093">
        <v>0</v>
      </c>
      <c r="R3093" t="s">
        <v>112</v>
      </c>
      <c r="S3093" t="str">
        <f>"14:41:53.383"</f>
        <v>14:41:53.383</v>
      </c>
      <c r="T3093" t="str">
        <f>"14:41:52.984"</f>
        <v>14:41:52.984</v>
      </c>
      <c r="U3093" t="str">
        <f t="shared" si="144"/>
        <v>ad5732</v>
      </c>
      <c r="V3093">
        <v>0</v>
      </c>
      <c r="W3093">
        <v>0</v>
      </c>
      <c r="X3093">
        <v>1</v>
      </c>
      <c r="Z3093">
        <v>0</v>
      </c>
      <c r="AA3093">
        <v>9</v>
      </c>
      <c r="AB3093">
        <v>3</v>
      </c>
      <c r="AC3093">
        <v>0</v>
      </c>
      <c r="AD3093">
        <v>10</v>
      </c>
      <c r="AE3093">
        <v>0</v>
      </c>
      <c r="AF3093">
        <v>3</v>
      </c>
      <c r="AG3093">
        <v>2</v>
      </c>
      <c r="AH3093">
        <v>0</v>
      </c>
      <c r="AI3093" t="s">
        <v>6296</v>
      </c>
      <c r="AJ3093">
        <v>40.406106000000001</v>
      </c>
      <c r="AK3093" t="s">
        <v>6297</v>
      </c>
      <c r="AL3093">
        <v>-74.958922999999999</v>
      </c>
      <c r="AM3093">
        <v>100</v>
      </c>
      <c r="AN3093">
        <v>3700</v>
      </c>
      <c r="AO3093" t="s">
        <v>115</v>
      </c>
      <c r="AP3093">
        <v>161</v>
      </c>
      <c r="AQ3093">
        <v>-32</v>
      </c>
      <c r="AR3093">
        <v>-320</v>
      </c>
      <c r="AZ3093">
        <v>3614</v>
      </c>
      <c r="BA3093">
        <v>1</v>
      </c>
      <c r="BB3093" t="str">
        <f t="shared" si="146"/>
        <v xml:space="preserve">N959MJ  </v>
      </c>
      <c r="BC3093">
        <v>1</v>
      </c>
      <c r="BE3093">
        <v>0</v>
      </c>
      <c r="BF3093">
        <v>0</v>
      </c>
      <c r="BG3093">
        <v>0</v>
      </c>
      <c r="BH3093">
        <v>3875</v>
      </c>
      <c r="BI3093">
        <v>175</v>
      </c>
      <c r="BJ3093">
        <v>1</v>
      </c>
      <c r="BK3093">
        <v>1</v>
      </c>
      <c r="BL3093">
        <v>1</v>
      </c>
      <c r="BM3093">
        <v>0</v>
      </c>
      <c r="BP3093">
        <v>0</v>
      </c>
      <c r="BQ3093">
        <v>0</v>
      </c>
      <c r="BX3093" t="str">
        <f>"14:41:53.391"</f>
        <v>14:41:53.391</v>
      </c>
      <c r="BY3093" t="str">
        <f>"387408405"</f>
        <v>387408405</v>
      </c>
      <c r="CL3093">
        <v>0</v>
      </c>
      <c r="CM3093">
        <v>2</v>
      </c>
      <c r="CN3093">
        <v>0</v>
      </c>
      <c r="CO3093">
        <v>2</v>
      </c>
      <c r="CP3093">
        <v>0</v>
      </c>
      <c r="CQ3093">
        <v>5</v>
      </c>
      <c r="CR3093" t="s">
        <v>116</v>
      </c>
      <c r="CS3093">
        <v>39</v>
      </c>
      <c r="CT3093">
        <v>0</v>
      </c>
      <c r="CU3093" t="s">
        <v>2259</v>
      </c>
      <c r="CV3093" t="s">
        <v>2260</v>
      </c>
      <c r="CY3093">
        <v>2903632</v>
      </c>
      <c r="CZ3093" t="s">
        <v>119</v>
      </c>
    </row>
    <row r="3094" spans="1:104" x14ac:dyDescent="0.25">
      <c r="A3094" t="str">
        <f>"14:41:54.625"</f>
        <v>14:41:54.625</v>
      </c>
      <c r="B3094" t="s">
        <v>108</v>
      </c>
      <c r="C3094" t="str">
        <f t="shared" si="145"/>
        <v>ffdfd3c0</v>
      </c>
      <c r="D3094" t="s">
        <v>109</v>
      </c>
      <c r="E3094">
        <v>4</v>
      </c>
      <c r="F3094">
        <v>1004</v>
      </c>
      <c r="G3094" t="s">
        <v>110</v>
      </c>
      <c r="J3094" t="s">
        <v>111</v>
      </c>
      <c r="K3094">
        <v>0</v>
      </c>
      <c r="L3094">
        <v>3</v>
      </c>
      <c r="M3094">
        <v>0</v>
      </c>
      <c r="N3094">
        <v>2</v>
      </c>
      <c r="O3094">
        <v>1</v>
      </c>
      <c r="P3094">
        <v>0</v>
      </c>
      <c r="Q3094">
        <v>0</v>
      </c>
      <c r="R3094" t="s">
        <v>112</v>
      </c>
      <c r="S3094" t="str">
        <f>"14:41:54.438"</f>
        <v>14:41:54.438</v>
      </c>
      <c r="T3094" t="str">
        <f>"14:41:53.938"</f>
        <v>14:41:53.938</v>
      </c>
      <c r="U3094" t="str">
        <f t="shared" si="144"/>
        <v>ad5732</v>
      </c>
      <c r="V3094">
        <v>0</v>
      </c>
      <c r="W3094">
        <v>0</v>
      </c>
      <c r="X3094">
        <v>1</v>
      </c>
      <c r="Z3094">
        <v>0</v>
      </c>
      <c r="AA3094">
        <v>9</v>
      </c>
      <c r="AB3094">
        <v>3</v>
      </c>
      <c r="AC3094">
        <v>0</v>
      </c>
      <c r="AD3094">
        <v>10</v>
      </c>
      <c r="AE3094">
        <v>0</v>
      </c>
      <c r="AF3094">
        <v>3</v>
      </c>
      <c r="AG3094">
        <v>2</v>
      </c>
      <c r="AH3094">
        <v>0</v>
      </c>
      <c r="AI3094" t="s">
        <v>6298</v>
      </c>
      <c r="AJ3094">
        <v>40.405954999999999</v>
      </c>
      <c r="AK3094" t="s">
        <v>6299</v>
      </c>
      <c r="AL3094">
        <v>-74.957849999999993</v>
      </c>
      <c r="AM3094">
        <v>100</v>
      </c>
      <c r="AN3094">
        <v>3700</v>
      </c>
      <c r="AO3094" t="s">
        <v>115</v>
      </c>
      <c r="AP3094">
        <v>161</v>
      </c>
      <c r="AQ3094">
        <v>-32</v>
      </c>
      <c r="AR3094">
        <v>-256</v>
      </c>
      <c r="AZ3094">
        <v>3614</v>
      </c>
      <c r="BA3094">
        <v>1</v>
      </c>
      <c r="BB3094" t="str">
        <f t="shared" si="146"/>
        <v xml:space="preserve">N959MJ  </v>
      </c>
      <c r="BC3094">
        <v>1</v>
      </c>
      <c r="BE3094">
        <v>0</v>
      </c>
      <c r="BF3094">
        <v>0</v>
      </c>
      <c r="BG3094">
        <v>0</v>
      </c>
      <c r="BH3094">
        <v>3850</v>
      </c>
      <c r="BI3094">
        <v>150</v>
      </c>
      <c r="BJ3094">
        <v>1</v>
      </c>
      <c r="BK3094">
        <v>1</v>
      </c>
      <c r="BL3094">
        <v>1</v>
      </c>
      <c r="BM3094">
        <v>0</v>
      </c>
      <c r="BP3094">
        <v>0</v>
      </c>
      <c r="BQ3094">
        <v>0</v>
      </c>
      <c r="BX3094" t="str">
        <f>"14:41:54.445"</f>
        <v>14:41:54.445</v>
      </c>
      <c r="BY3094" t="str">
        <f>"444012148"</f>
        <v>444012148</v>
      </c>
      <c r="CL3094">
        <v>0</v>
      </c>
      <c r="CM3094">
        <v>2</v>
      </c>
      <c r="CN3094">
        <v>0</v>
      </c>
      <c r="CO3094">
        <v>2</v>
      </c>
      <c r="CP3094">
        <v>0</v>
      </c>
      <c r="CQ3094">
        <v>7</v>
      </c>
      <c r="CR3094" t="s">
        <v>116</v>
      </c>
      <c r="CS3094">
        <v>38</v>
      </c>
      <c r="CT3094">
        <v>3</v>
      </c>
      <c r="CU3094" t="s">
        <v>4719</v>
      </c>
      <c r="CV3094" t="s">
        <v>4720</v>
      </c>
      <c r="CY3094">
        <v>10744402</v>
      </c>
      <c r="CZ3094" t="s">
        <v>119</v>
      </c>
    </row>
    <row r="3095" spans="1:104" x14ac:dyDescent="0.25">
      <c r="A3095" t="str">
        <f>"14:41:55.734"</f>
        <v>14:41:55.734</v>
      </c>
      <c r="B3095" t="s">
        <v>108</v>
      </c>
      <c r="C3095" t="str">
        <f t="shared" si="145"/>
        <v>ffdfd3c0</v>
      </c>
      <c r="D3095" t="s">
        <v>109</v>
      </c>
      <c r="E3095">
        <v>4</v>
      </c>
      <c r="F3095">
        <v>1004</v>
      </c>
      <c r="G3095" t="s">
        <v>110</v>
      </c>
      <c r="J3095" t="s">
        <v>111</v>
      </c>
      <c r="K3095">
        <v>0</v>
      </c>
      <c r="L3095">
        <v>3</v>
      </c>
      <c r="M3095">
        <v>0</v>
      </c>
      <c r="N3095">
        <v>2</v>
      </c>
      <c r="O3095">
        <v>1</v>
      </c>
      <c r="P3095">
        <v>0</v>
      </c>
      <c r="Q3095">
        <v>0</v>
      </c>
      <c r="R3095" t="s">
        <v>112</v>
      </c>
      <c r="S3095" t="str">
        <f>"14:41:55.539"</f>
        <v>14:41:55.539</v>
      </c>
      <c r="T3095" t="str">
        <f>"14:41:55.039"</f>
        <v>14:41:55.039</v>
      </c>
      <c r="U3095" t="str">
        <f t="shared" si="144"/>
        <v>ad5732</v>
      </c>
      <c r="V3095">
        <v>0</v>
      </c>
      <c r="W3095">
        <v>0</v>
      </c>
      <c r="X3095">
        <v>1</v>
      </c>
      <c r="Z3095">
        <v>0</v>
      </c>
      <c r="AA3095">
        <v>9</v>
      </c>
      <c r="AB3095">
        <v>3</v>
      </c>
      <c r="AC3095">
        <v>0</v>
      </c>
      <c r="AD3095">
        <v>10</v>
      </c>
      <c r="AE3095">
        <v>0</v>
      </c>
      <c r="AF3095">
        <v>3</v>
      </c>
      <c r="AG3095">
        <v>2</v>
      </c>
      <c r="AH3095">
        <v>0</v>
      </c>
      <c r="AI3095" t="s">
        <v>6300</v>
      </c>
      <c r="AJ3095">
        <v>40.405783999999997</v>
      </c>
      <c r="AK3095" t="s">
        <v>6301</v>
      </c>
      <c r="AL3095">
        <v>-74.956777000000002</v>
      </c>
      <c r="AM3095">
        <v>100</v>
      </c>
      <c r="AN3095">
        <v>3700</v>
      </c>
      <c r="AO3095" t="s">
        <v>115</v>
      </c>
      <c r="AP3095">
        <v>161</v>
      </c>
      <c r="AQ3095">
        <v>-32</v>
      </c>
      <c r="AR3095">
        <v>-128</v>
      </c>
      <c r="AZ3095">
        <v>3614</v>
      </c>
      <c r="BA3095">
        <v>1</v>
      </c>
      <c r="BB3095" t="str">
        <f t="shared" si="146"/>
        <v xml:space="preserve">N959MJ  </v>
      </c>
      <c r="BC3095">
        <v>1</v>
      </c>
      <c r="BE3095">
        <v>0</v>
      </c>
      <c r="BF3095">
        <v>0</v>
      </c>
      <c r="BG3095">
        <v>0</v>
      </c>
      <c r="BH3095">
        <v>3850</v>
      </c>
      <c r="BI3095">
        <v>150</v>
      </c>
      <c r="BJ3095">
        <v>1</v>
      </c>
      <c r="BK3095">
        <v>1</v>
      </c>
      <c r="BL3095">
        <v>1</v>
      </c>
      <c r="BM3095">
        <v>0</v>
      </c>
      <c r="BP3095">
        <v>0</v>
      </c>
      <c r="BQ3095">
        <v>0</v>
      </c>
      <c r="BX3095" t="str">
        <f>"14:41:55.539"</f>
        <v>14:41:55.539</v>
      </c>
      <c r="BY3095" t="str">
        <f>"541759084"</f>
        <v>541759084</v>
      </c>
      <c r="CL3095">
        <v>0</v>
      </c>
      <c r="CM3095">
        <v>2</v>
      </c>
      <c r="CN3095">
        <v>0</v>
      </c>
      <c r="CO3095">
        <v>2</v>
      </c>
      <c r="CP3095">
        <v>0</v>
      </c>
      <c r="CQ3095">
        <v>7</v>
      </c>
      <c r="CR3095" t="s">
        <v>116</v>
      </c>
      <c r="CS3095">
        <v>38</v>
      </c>
      <c r="CT3095">
        <v>3</v>
      </c>
      <c r="CU3095" t="s">
        <v>4719</v>
      </c>
      <c r="CV3095" t="s">
        <v>4720</v>
      </c>
      <c r="CY3095">
        <v>10746256</v>
      </c>
      <c r="CZ3095" t="s">
        <v>119</v>
      </c>
    </row>
    <row r="3096" spans="1:104" x14ac:dyDescent="0.25">
      <c r="A3096" t="str">
        <f>"14:41:56.695"</f>
        <v>14:41:56.695</v>
      </c>
      <c r="B3096" t="s">
        <v>108</v>
      </c>
      <c r="C3096" t="str">
        <f t="shared" si="145"/>
        <v>ffdfd3c0</v>
      </c>
      <c r="D3096" t="s">
        <v>109</v>
      </c>
      <c r="E3096">
        <v>4</v>
      </c>
      <c r="F3096">
        <v>1004</v>
      </c>
      <c r="G3096" t="s">
        <v>110</v>
      </c>
      <c r="J3096" t="s">
        <v>111</v>
      </c>
      <c r="K3096">
        <v>0</v>
      </c>
      <c r="L3096">
        <v>3</v>
      </c>
      <c r="M3096">
        <v>0</v>
      </c>
      <c r="N3096">
        <v>2</v>
      </c>
      <c r="O3096">
        <v>1</v>
      </c>
      <c r="P3096">
        <v>0</v>
      </c>
      <c r="Q3096">
        <v>0</v>
      </c>
      <c r="R3096" t="s">
        <v>112</v>
      </c>
      <c r="S3096" t="str">
        <f>"14:41:56.531"</f>
        <v>14:41:56.531</v>
      </c>
      <c r="T3096" t="str">
        <f>"14:41:56.133"</f>
        <v>14:41:56.133</v>
      </c>
      <c r="U3096" t="str">
        <f t="shared" si="144"/>
        <v>ad5732</v>
      </c>
      <c r="V3096">
        <v>0</v>
      </c>
      <c r="W3096">
        <v>0</v>
      </c>
      <c r="X3096">
        <v>1</v>
      </c>
      <c r="Z3096">
        <v>0</v>
      </c>
      <c r="AA3096">
        <v>9</v>
      </c>
      <c r="AB3096">
        <v>3</v>
      </c>
      <c r="AC3096">
        <v>0</v>
      </c>
      <c r="AD3096">
        <v>10</v>
      </c>
      <c r="AE3096">
        <v>0</v>
      </c>
      <c r="AF3096">
        <v>3</v>
      </c>
      <c r="AG3096">
        <v>2</v>
      </c>
      <c r="AH3096">
        <v>0</v>
      </c>
      <c r="AI3096" t="s">
        <v>6302</v>
      </c>
      <c r="AJ3096">
        <v>40.405655000000003</v>
      </c>
      <c r="AK3096" t="s">
        <v>6303</v>
      </c>
      <c r="AL3096">
        <v>-74.955811999999995</v>
      </c>
      <c r="AM3096">
        <v>100</v>
      </c>
      <c r="AN3096">
        <v>3700</v>
      </c>
      <c r="AO3096" t="s">
        <v>115</v>
      </c>
      <c r="AP3096">
        <v>161</v>
      </c>
      <c r="AQ3096">
        <v>-32</v>
      </c>
      <c r="AR3096">
        <v>0</v>
      </c>
      <c r="AZ3096">
        <v>3614</v>
      </c>
      <c r="BA3096">
        <v>1</v>
      </c>
      <c r="BB3096" t="str">
        <f t="shared" si="146"/>
        <v xml:space="preserve">N959MJ  </v>
      </c>
      <c r="BC3096">
        <v>1</v>
      </c>
      <c r="BE3096">
        <v>0</v>
      </c>
      <c r="BF3096">
        <v>0</v>
      </c>
      <c r="BG3096">
        <v>0</v>
      </c>
      <c r="BH3096">
        <v>3850</v>
      </c>
      <c r="BI3096">
        <v>150</v>
      </c>
      <c r="BJ3096">
        <v>1</v>
      </c>
      <c r="BK3096">
        <v>1</v>
      </c>
      <c r="BL3096">
        <v>1</v>
      </c>
      <c r="BM3096">
        <v>0</v>
      </c>
      <c r="BP3096">
        <v>0</v>
      </c>
      <c r="BQ3096">
        <v>0</v>
      </c>
      <c r="BX3096" t="str">
        <f>"14:41:56.539"</f>
        <v>14:41:56.539</v>
      </c>
      <c r="BY3096" t="str">
        <f>"537923472"</f>
        <v>537923472</v>
      </c>
      <c r="CL3096">
        <v>0</v>
      </c>
      <c r="CM3096">
        <v>2</v>
      </c>
      <c r="CN3096">
        <v>0</v>
      </c>
      <c r="CO3096">
        <v>2</v>
      </c>
      <c r="CP3096">
        <v>0</v>
      </c>
      <c r="CQ3096">
        <v>7</v>
      </c>
      <c r="CR3096" t="s">
        <v>116</v>
      </c>
      <c r="CS3096">
        <v>38</v>
      </c>
      <c r="CT3096">
        <v>3</v>
      </c>
      <c r="CU3096" t="s">
        <v>4719</v>
      </c>
      <c r="CV3096" t="s">
        <v>4720</v>
      </c>
      <c r="CY3096">
        <v>10747916</v>
      </c>
      <c r="CZ3096" t="s">
        <v>119</v>
      </c>
    </row>
    <row r="3097" spans="1:104" x14ac:dyDescent="0.25">
      <c r="A3097" t="str">
        <f>"14:41:57.656"</f>
        <v>14:41:57.656</v>
      </c>
      <c r="B3097" t="s">
        <v>108</v>
      </c>
      <c r="C3097" t="str">
        <f t="shared" si="145"/>
        <v>ffdfd3c0</v>
      </c>
      <c r="D3097" t="s">
        <v>109</v>
      </c>
      <c r="E3097">
        <v>4</v>
      </c>
      <c r="F3097">
        <v>1004</v>
      </c>
      <c r="G3097" t="s">
        <v>110</v>
      </c>
      <c r="J3097" t="s">
        <v>111</v>
      </c>
      <c r="K3097">
        <v>0</v>
      </c>
      <c r="L3097">
        <v>3</v>
      </c>
      <c r="M3097">
        <v>0</v>
      </c>
      <c r="N3097">
        <v>2</v>
      </c>
      <c r="O3097">
        <v>1</v>
      </c>
      <c r="P3097">
        <v>0</v>
      </c>
      <c r="Q3097">
        <v>0</v>
      </c>
      <c r="R3097" t="s">
        <v>112</v>
      </c>
      <c r="S3097" t="str">
        <f>"14:41:57.461"</f>
        <v>14:41:57.461</v>
      </c>
      <c r="T3097" t="str">
        <f>"14:41:57.063"</f>
        <v>14:41:57.063</v>
      </c>
      <c r="U3097" t="str">
        <f t="shared" si="144"/>
        <v>ad5732</v>
      </c>
      <c r="V3097">
        <v>0</v>
      </c>
      <c r="W3097">
        <v>0</v>
      </c>
      <c r="X3097">
        <v>1</v>
      </c>
      <c r="Z3097">
        <v>0</v>
      </c>
      <c r="AA3097">
        <v>9</v>
      </c>
      <c r="AB3097">
        <v>3</v>
      </c>
      <c r="AC3097">
        <v>0</v>
      </c>
      <c r="AD3097">
        <v>10</v>
      </c>
      <c r="AE3097">
        <v>0</v>
      </c>
      <c r="AF3097">
        <v>3</v>
      </c>
      <c r="AG3097">
        <v>2</v>
      </c>
      <c r="AH3097">
        <v>0</v>
      </c>
      <c r="AI3097" t="s">
        <v>6304</v>
      </c>
      <c r="AJ3097">
        <v>40.405526000000002</v>
      </c>
      <c r="AK3097" t="s">
        <v>6305</v>
      </c>
      <c r="AL3097">
        <v>-74.954909999999998</v>
      </c>
      <c r="AM3097">
        <v>100</v>
      </c>
      <c r="AN3097">
        <v>3700</v>
      </c>
      <c r="AO3097" t="s">
        <v>115</v>
      </c>
      <c r="AP3097">
        <v>161</v>
      </c>
      <c r="AQ3097">
        <v>-32</v>
      </c>
      <c r="AR3097">
        <v>0</v>
      </c>
      <c r="AZ3097">
        <v>3614</v>
      </c>
      <c r="BA3097">
        <v>1</v>
      </c>
      <c r="BB3097" t="str">
        <f t="shared" si="146"/>
        <v xml:space="preserve">N959MJ  </v>
      </c>
      <c r="BC3097">
        <v>1</v>
      </c>
      <c r="BE3097">
        <v>0</v>
      </c>
      <c r="BF3097">
        <v>0</v>
      </c>
      <c r="BG3097">
        <v>0</v>
      </c>
      <c r="BH3097">
        <v>3850</v>
      </c>
      <c r="BI3097">
        <v>150</v>
      </c>
      <c r="BJ3097">
        <v>1</v>
      </c>
      <c r="BK3097">
        <v>1</v>
      </c>
      <c r="BL3097">
        <v>1</v>
      </c>
      <c r="BM3097">
        <v>0</v>
      </c>
      <c r="BP3097">
        <v>0</v>
      </c>
      <c r="BQ3097">
        <v>0</v>
      </c>
      <c r="BX3097" t="str">
        <f>"14:41:57.469"</f>
        <v>14:41:57.469</v>
      </c>
      <c r="BY3097" t="str">
        <f>"468550728"</f>
        <v>468550728</v>
      </c>
      <c r="CL3097">
        <v>0</v>
      </c>
      <c r="CM3097">
        <v>2</v>
      </c>
      <c r="CN3097">
        <v>0</v>
      </c>
      <c r="CO3097">
        <v>2</v>
      </c>
      <c r="CP3097">
        <v>0</v>
      </c>
      <c r="CQ3097">
        <v>7</v>
      </c>
      <c r="CR3097" t="s">
        <v>116</v>
      </c>
      <c r="CS3097">
        <v>38</v>
      </c>
      <c r="CT3097">
        <v>3</v>
      </c>
      <c r="CU3097" t="s">
        <v>4719</v>
      </c>
      <c r="CV3097" t="s">
        <v>4720</v>
      </c>
      <c r="CY3097">
        <v>10749568</v>
      </c>
      <c r="CZ3097" t="s">
        <v>119</v>
      </c>
    </row>
    <row r="3098" spans="1:104" x14ac:dyDescent="0.25">
      <c r="A3098" t="str">
        <f>"14:41:58.664"</f>
        <v>14:41:58.664</v>
      </c>
      <c r="B3098" t="s">
        <v>108</v>
      </c>
      <c r="C3098" t="str">
        <f t="shared" si="145"/>
        <v>ffdfd3c0</v>
      </c>
      <c r="D3098" t="s">
        <v>109</v>
      </c>
      <c r="E3098">
        <v>4</v>
      </c>
      <c r="F3098">
        <v>1004</v>
      </c>
      <c r="G3098" t="s">
        <v>110</v>
      </c>
      <c r="J3098" t="s">
        <v>111</v>
      </c>
      <c r="K3098">
        <v>0</v>
      </c>
      <c r="L3098">
        <v>3</v>
      </c>
      <c r="M3098">
        <v>0</v>
      </c>
      <c r="N3098">
        <v>2</v>
      </c>
      <c r="O3098">
        <v>1</v>
      </c>
      <c r="P3098">
        <v>0</v>
      </c>
      <c r="Q3098">
        <v>0</v>
      </c>
      <c r="R3098" t="s">
        <v>112</v>
      </c>
      <c r="S3098" t="str">
        <f>"14:41:58.453"</f>
        <v>14:41:58.453</v>
      </c>
      <c r="T3098" t="str">
        <f>"14:41:57.953"</f>
        <v>14:41:57.953</v>
      </c>
      <c r="U3098" t="str">
        <f t="shared" si="144"/>
        <v>ad5732</v>
      </c>
      <c r="V3098">
        <v>0</v>
      </c>
      <c r="W3098">
        <v>0</v>
      </c>
      <c r="X3098">
        <v>1</v>
      </c>
      <c r="Z3098">
        <v>0</v>
      </c>
      <c r="AA3098">
        <v>9</v>
      </c>
      <c r="AB3098">
        <v>3</v>
      </c>
      <c r="AC3098">
        <v>0</v>
      </c>
      <c r="AD3098">
        <v>10</v>
      </c>
      <c r="AE3098">
        <v>0</v>
      </c>
      <c r="AF3098">
        <v>3</v>
      </c>
      <c r="AG3098">
        <v>2</v>
      </c>
      <c r="AH3098">
        <v>0</v>
      </c>
      <c r="AI3098" t="s">
        <v>6306</v>
      </c>
      <c r="AJ3098">
        <v>40.405397000000001</v>
      </c>
      <c r="AK3098" t="s">
        <v>6307</v>
      </c>
      <c r="AL3098">
        <v>-74.953901999999999</v>
      </c>
      <c r="AM3098">
        <v>100</v>
      </c>
      <c r="AN3098">
        <v>3700</v>
      </c>
      <c r="AO3098" t="s">
        <v>115</v>
      </c>
      <c r="AP3098">
        <v>161</v>
      </c>
      <c r="AQ3098">
        <v>-31</v>
      </c>
      <c r="AR3098">
        <v>0</v>
      </c>
      <c r="AZ3098">
        <v>3614</v>
      </c>
      <c r="BA3098">
        <v>1</v>
      </c>
      <c r="BB3098" t="str">
        <f t="shared" si="146"/>
        <v xml:space="preserve">N959MJ  </v>
      </c>
      <c r="BC3098">
        <v>1</v>
      </c>
      <c r="BE3098">
        <v>0</v>
      </c>
      <c r="BF3098">
        <v>0</v>
      </c>
      <c r="BG3098">
        <v>0</v>
      </c>
      <c r="BH3098">
        <v>3850</v>
      </c>
      <c r="BI3098">
        <v>150</v>
      </c>
      <c r="BJ3098">
        <v>1</v>
      </c>
      <c r="BK3098">
        <v>1</v>
      </c>
      <c r="BL3098">
        <v>1</v>
      </c>
      <c r="BM3098">
        <v>0</v>
      </c>
      <c r="BP3098">
        <v>0</v>
      </c>
      <c r="BQ3098">
        <v>0</v>
      </c>
      <c r="BX3098" t="str">
        <f>"14:41:58.461"</f>
        <v>14:41:58.461</v>
      </c>
      <c r="BY3098" t="str">
        <f>"459799824"</f>
        <v>459799824</v>
      </c>
      <c r="CL3098">
        <v>0</v>
      </c>
      <c r="CM3098">
        <v>2</v>
      </c>
      <c r="CN3098">
        <v>0</v>
      </c>
      <c r="CO3098">
        <v>2</v>
      </c>
      <c r="CP3098">
        <v>0</v>
      </c>
      <c r="CQ3098">
        <v>7</v>
      </c>
      <c r="CR3098" t="s">
        <v>116</v>
      </c>
      <c r="CS3098">
        <v>38</v>
      </c>
      <c r="CT3098">
        <v>3</v>
      </c>
      <c r="CU3098" t="s">
        <v>4719</v>
      </c>
      <c r="CV3098" t="s">
        <v>4720</v>
      </c>
      <c r="CY3098">
        <v>10751373</v>
      </c>
      <c r="CZ3098" t="s">
        <v>119</v>
      </c>
    </row>
    <row r="3099" spans="1:104" x14ac:dyDescent="0.25">
      <c r="A3099" t="str">
        <f>"14:41:59.727"</f>
        <v>14:41:59.727</v>
      </c>
      <c r="B3099" t="s">
        <v>108</v>
      </c>
      <c r="C3099" t="str">
        <f t="shared" si="145"/>
        <v>ffdfd3c0</v>
      </c>
      <c r="D3099" t="s">
        <v>109</v>
      </c>
      <c r="E3099">
        <v>4</v>
      </c>
      <c r="F3099">
        <v>1004</v>
      </c>
      <c r="G3099" t="s">
        <v>110</v>
      </c>
      <c r="J3099" t="s">
        <v>111</v>
      </c>
      <c r="K3099">
        <v>0</v>
      </c>
      <c r="L3099">
        <v>3</v>
      </c>
      <c r="M3099">
        <v>0</v>
      </c>
      <c r="N3099">
        <v>2</v>
      </c>
      <c r="O3099">
        <v>1</v>
      </c>
      <c r="P3099">
        <v>0</v>
      </c>
      <c r="Q3099">
        <v>0</v>
      </c>
      <c r="R3099" t="s">
        <v>112</v>
      </c>
      <c r="S3099" t="str">
        <f>"14:41:59.531"</f>
        <v>14:41:59.531</v>
      </c>
      <c r="T3099" t="str">
        <f>"14:41:59.031"</f>
        <v>14:41:59.031</v>
      </c>
      <c r="U3099" t="str">
        <f t="shared" si="144"/>
        <v>ad5732</v>
      </c>
      <c r="V3099">
        <v>0</v>
      </c>
      <c r="W3099">
        <v>0</v>
      </c>
      <c r="X3099">
        <v>1</v>
      </c>
      <c r="Z3099">
        <v>0</v>
      </c>
      <c r="AA3099">
        <v>9</v>
      </c>
      <c r="AB3099">
        <v>3</v>
      </c>
      <c r="AC3099">
        <v>0</v>
      </c>
      <c r="AD3099">
        <v>10</v>
      </c>
      <c r="AE3099">
        <v>0</v>
      </c>
      <c r="AF3099">
        <v>3</v>
      </c>
      <c r="AG3099">
        <v>2</v>
      </c>
      <c r="AH3099">
        <v>0</v>
      </c>
      <c r="AI3099" t="s">
        <v>6308</v>
      </c>
      <c r="AJ3099">
        <v>40.405203999999998</v>
      </c>
      <c r="AK3099" t="s">
        <v>6309</v>
      </c>
      <c r="AL3099">
        <v>-74.952871999999999</v>
      </c>
      <c r="AM3099">
        <v>100</v>
      </c>
      <c r="AN3099">
        <v>3700</v>
      </c>
      <c r="AO3099" t="s">
        <v>115</v>
      </c>
      <c r="AP3099">
        <v>162</v>
      </c>
      <c r="AQ3099">
        <v>-31</v>
      </c>
      <c r="AR3099">
        <v>0</v>
      </c>
      <c r="AZ3099">
        <v>3614</v>
      </c>
      <c r="BA3099">
        <v>1</v>
      </c>
      <c r="BB3099" t="str">
        <f t="shared" si="146"/>
        <v xml:space="preserve">N959MJ  </v>
      </c>
      <c r="BC3099">
        <v>1</v>
      </c>
      <c r="BE3099">
        <v>0</v>
      </c>
      <c r="BF3099">
        <v>0</v>
      </c>
      <c r="BG3099">
        <v>0</v>
      </c>
      <c r="BH3099">
        <v>3850</v>
      </c>
      <c r="BI3099">
        <v>150</v>
      </c>
      <c r="BJ3099">
        <v>1</v>
      </c>
      <c r="BK3099">
        <v>1</v>
      </c>
      <c r="BL3099">
        <v>1</v>
      </c>
      <c r="BM3099">
        <v>0</v>
      </c>
      <c r="BP3099">
        <v>0</v>
      </c>
      <c r="BQ3099">
        <v>0</v>
      </c>
      <c r="BX3099" t="str">
        <f>"14:41:59.531"</f>
        <v>14:41:59.531</v>
      </c>
      <c r="BY3099" t="str">
        <f>"532970352"</f>
        <v>532970352</v>
      </c>
      <c r="CL3099">
        <v>0</v>
      </c>
      <c r="CM3099">
        <v>2</v>
      </c>
      <c r="CN3099">
        <v>0</v>
      </c>
      <c r="CO3099">
        <v>2</v>
      </c>
      <c r="CP3099">
        <v>0</v>
      </c>
      <c r="CQ3099">
        <v>7</v>
      </c>
      <c r="CR3099" t="s">
        <v>116</v>
      </c>
      <c r="CS3099">
        <v>38</v>
      </c>
      <c r="CT3099">
        <v>3</v>
      </c>
      <c r="CU3099" t="s">
        <v>4719</v>
      </c>
      <c r="CV3099" t="s">
        <v>4720</v>
      </c>
      <c r="CY3099">
        <v>10753242</v>
      </c>
      <c r="CZ3099" t="s">
        <v>119</v>
      </c>
    </row>
    <row r="3100" spans="1:104" x14ac:dyDescent="0.25">
      <c r="A3100" t="str">
        <f>"14:42:00.633"</f>
        <v>14:42:00.633</v>
      </c>
      <c r="B3100" t="s">
        <v>108</v>
      </c>
      <c r="C3100" t="str">
        <f t="shared" si="145"/>
        <v>ffdfd3c0</v>
      </c>
      <c r="D3100" t="s">
        <v>109</v>
      </c>
      <c r="E3100">
        <v>4</v>
      </c>
      <c r="F3100">
        <v>1004</v>
      </c>
      <c r="G3100" t="s">
        <v>110</v>
      </c>
      <c r="J3100" t="s">
        <v>111</v>
      </c>
      <c r="K3100">
        <v>0</v>
      </c>
      <c r="L3100">
        <v>3</v>
      </c>
      <c r="M3100">
        <v>0</v>
      </c>
      <c r="N3100">
        <v>2</v>
      </c>
      <c r="O3100">
        <v>1</v>
      </c>
      <c r="P3100">
        <v>0</v>
      </c>
      <c r="Q3100">
        <v>0</v>
      </c>
      <c r="R3100" t="s">
        <v>112</v>
      </c>
      <c r="S3100" t="str">
        <f>"14:42:00.477"</f>
        <v>14:42:00.477</v>
      </c>
      <c r="T3100" t="str">
        <f>"14:41:59.977"</f>
        <v>14:41:59.977</v>
      </c>
      <c r="U3100" t="str">
        <f t="shared" si="144"/>
        <v>ad5732</v>
      </c>
      <c r="V3100">
        <v>0</v>
      </c>
      <c r="W3100">
        <v>0</v>
      </c>
      <c r="X3100">
        <v>1</v>
      </c>
      <c r="Z3100">
        <v>0</v>
      </c>
      <c r="AA3100">
        <v>9</v>
      </c>
      <c r="AB3100">
        <v>3</v>
      </c>
      <c r="AC3100">
        <v>0</v>
      </c>
      <c r="AD3100">
        <v>10</v>
      </c>
      <c r="AE3100">
        <v>0</v>
      </c>
      <c r="AF3100">
        <v>3</v>
      </c>
      <c r="AG3100">
        <v>2</v>
      </c>
      <c r="AH3100">
        <v>0</v>
      </c>
      <c r="AI3100" t="s">
        <v>6310</v>
      </c>
      <c r="AJ3100">
        <v>40.405118000000002</v>
      </c>
      <c r="AK3100" t="s">
        <v>6311</v>
      </c>
      <c r="AL3100">
        <v>-74.951971</v>
      </c>
      <c r="AM3100">
        <v>100</v>
      </c>
      <c r="AN3100">
        <v>3700</v>
      </c>
      <c r="AO3100" t="s">
        <v>115</v>
      </c>
      <c r="AP3100">
        <v>162</v>
      </c>
      <c r="AQ3100">
        <v>-30</v>
      </c>
      <c r="AR3100">
        <v>64</v>
      </c>
      <c r="AZ3100">
        <v>3614</v>
      </c>
      <c r="BA3100">
        <v>1</v>
      </c>
      <c r="BB3100" t="str">
        <f t="shared" si="146"/>
        <v xml:space="preserve">N959MJ  </v>
      </c>
      <c r="BC3100">
        <v>1</v>
      </c>
      <c r="BE3100">
        <v>0</v>
      </c>
      <c r="BF3100">
        <v>0</v>
      </c>
      <c r="BG3100">
        <v>0</v>
      </c>
      <c r="BH3100">
        <v>3850</v>
      </c>
      <c r="BI3100">
        <v>150</v>
      </c>
      <c r="BJ3100">
        <v>1</v>
      </c>
      <c r="BK3100">
        <v>1</v>
      </c>
      <c r="BL3100">
        <v>1</v>
      </c>
      <c r="BM3100">
        <v>0</v>
      </c>
      <c r="BP3100">
        <v>0</v>
      </c>
      <c r="BQ3100">
        <v>0</v>
      </c>
      <c r="BX3100" t="str">
        <f>"14:42:00.477"</f>
        <v>14:42:00.477</v>
      </c>
      <c r="BY3100" t="str">
        <f>"479981837"</f>
        <v>479981837</v>
      </c>
      <c r="CL3100">
        <v>0</v>
      </c>
      <c r="CM3100">
        <v>2</v>
      </c>
      <c r="CN3100">
        <v>0</v>
      </c>
      <c r="CO3100">
        <v>2</v>
      </c>
      <c r="CP3100">
        <v>0</v>
      </c>
      <c r="CQ3100">
        <v>7</v>
      </c>
      <c r="CR3100" t="s">
        <v>116</v>
      </c>
      <c r="CS3100">
        <v>38</v>
      </c>
      <c r="CT3100">
        <v>3</v>
      </c>
      <c r="CU3100" t="s">
        <v>4719</v>
      </c>
      <c r="CV3100" t="s">
        <v>4720</v>
      </c>
      <c r="CY3100">
        <v>10754887</v>
      </c>
      <c r="CZ3100" t="s">
        <v>119</v>
      </c>
    </row>
    <row r="3101" spans="1:104" x14ac:dyDescent="0.25">
      <c r="A3101" t="str">
        <f>"14:42:01.641"</f>
        <v>14:42:01.641</v>
      </c>
      <c r="B3101" t="s">
        <v>108</v>
      </c>
      <c r="C3101" t="str">
        <f t="shared" si="145"/>
        <v>ffdfd3c0</v>
      </c>
      <c r="D3101" t="s">
        <v>109</v>
      </c>
      <c r="E3101">
        <v>4</v>
      </c>
      <c r="F3101">
        <v>1004</v>
      </c>
      <c r="G3101" t="s">
        <v>110</v>
      </c>
      <c r="J3101" t="s">
        <v>111</v>
      </c>
      <c r="K3101">
        <v>0</v>
      </c>
      <c r="L3101">
        <v>3</v>
      </c>
      <c r="M3101">
        <v>0</v>
      </c>
      <c r="N3101">
        <v>2</v>
      </c>
      <c r="O3101">
        <v>1</v>
      </c>
      <c r="P3101">
        <v>0</v>
      </c>
      <c r="Q3101">
        <v>0</v>
      </c>
      <c r="R3101" t="s">
        <v>112</v>
      </c>
      <c r="S3101" t="str">
        <f>"14:42:01.477"</f>
        <v>14:42:01.477</v>
      </c>
      <c r="T3101" t="str">
        <f>"14:42:00.977"</f>
        <v>14:42:00.977</v>
      </c>
      <c r="U3101" t="str">
        <f t="shared" si="144"/>
        <v>ad5732</v>
      </c>
      <c r="V3101">
        <v>0</v>
      </c>
      <c r="W3101">
        <v>0</v>
      </c>
      <c r="X3101">
        <v>1</v>
      </c>
      <c r="Z3101">
        <v>0</v>
      </c>
      <c r="AA3101">
        <v>9</v>
      </c>
      <c r="AB3101">
        <v>3</v>
      </c>
      <c r="AC3101">
        <v>0</v>
      </c>
      <c r="AD3101">
        <v>10</v>
      </c>
      <c r="AE3101">
        <v>0</v>
      </c>
      <c r="AF3101">
        <v>3</v>
      </c>
      <c r="AG3101">
        <v>2</v>
      </c>
      <c r="AH3101">
        <v>0</v>
      </c>
      <c r="AI3101" t="s">
        <v>6240</v>
      </c>
      <c r="AJ3101">
        <v>40.404967999999997</v>
      </c>
      <c r="AK3101" t="s">
        <v>6312</v>
      </c>
      <c r="AL3101">
        <v>-74.950984000000005</v>
      </c>
      <c r="AM3101">
        <v>100</v>
      </c>
      <c r="AN3101">
        <v>3700</v>
      </c>
      <c r="AO3101" t="s">
        <v>115</v>
      </c>
      <c r="AP3101">
        <v>162</v>
      </c>
      <c r="AQ3101">
        <v>-30</v>
      </c>
      <c r="AR3101">
        <v>128</v>
      </c>
      <c r="AZ3101">
        <v>3614</v>
      </c>
      <c r="BA3101">
        <v>1</v>
      </c>
      <c r="BB3101" t="str">
        <f t="shared" si="146"/>
        <v xml:space="preserve">N959MJ  </v>
      </c>
      <c r="BC3101">
        <v>1</v>
      </c>
      <c r="BE3101">
        <v>0</v>
      </c>
      <c r="BF3101">
        <v>0</v>
      </c>
      <c r="BG3101">
        <v>0</v>
      </c>
      <c r="BH3101">
        <v>3850</v>
      </c>
      <c r="BI3101">
        <v>150</v>
      </c>
      <c r="BJ3101">
        <v>1</v>
      </c>
      <c r="BK3101">
        <v>1</v>
      </c>
      <c r="BL3101">
        <v>1</v>
      </c>
      <c r="BM3101">
        <v>0</v>
      </c>
      <c r="BP3101">
        <v>0</v>
      </c>
      <c r="BQ3101">
        <v>0</v>
      </c>
      <c r="BX3101" t="str">
        <f>"14:42:01.477"</f>
        <v>14:42:01.477</v>
      </c>
      <c r="BY3101" t="str">
        <f>"477784710"</f>
        <v>477784710</v>
      </c>
      <c r="CL3101">
        <v>0</v>
      </c>
      <c r="CM3101">
        <v>2</v>
      </c>
      <c r="CN3101">
        <v>0</v>
      </c>
      <c r="CO3101">
        <v>2</v>
      </c>
      <c r="CP3101">
        <v>0</v>
      </c>
      <c r="CQ3101">
        <v>7</v>
      </c>
      <c r="CR3101" t="s">
        <v>116</v>
      </c>
      <c r="CS3101">
        <v>38</v>
      </c>
      <c r="CT3101">
        <v>3</v>
      </c>
      <c r="CU3101" t="s">
        <v>4719</v>
      </c>
      <c r="CV3101" t="s">
        <v>4720</v>
      </c>
      <c r="CY3101">
        <v>10756566</v>
      </c>
      <c r="CZ3101" t="s">
        <v>119</v>
      </c>
    </row>
    <row r="3102" spans="1:104" x14ac:dyDescent="0.25">
      <c r="A3102" t="str">
        <f>"14:42:02.500"</f>
        <v>14:42:02.500</v>
      </c>
      <c r="B3102" t="s">
        <v>108</v>
      </c>
      <c r="C3102" t="str">
        <f t="shared" si="145"/>
        <v>ffdfd3c0</v>
      </c>
      <c r="D3102" t="s">
        <v>109</v>
      </c>
      <c r="E3102">
        <v>4</v>
      </c>
      <c r="F3102">
        <v>1004</v>
      </c>
      <c r="G3102" t="s">
        <v>110</v>
      </c>
      <c r="J3102" t="s">
        <v>111</v>
      </c>
      <c r="K3102">
        <v>0</v>
      </c>
      <c r="L3102">
        <v>3</v>
      </c>
      <c r="M3102">
        <v>0</v>
      </c>
      <c r="N3102">
        <v>2</v>
      </c>
      <c r="O3102">
        <v>1</v>
      </c>
      <c r="P3102">
        <v>0</v>
      </c>
      <c r="Q3102">
        <v>0</v>
      </c>
      <c r="R3102" t="s">
        <v>112</v>
      </c>
      <c r="S3102" t="str">
        <f>"14:42:02.313"</f>
        <v>14:42:02.313</v>
      </c>
      <c r="T3102" t="str">
        <f>"14:42:01.914"</f>
        <v>14:42:01.914</v>
      </c>
      <c r="U3102" t="str">
        <f t="shared" si="144"/>
        <v>ad5732</v>
      </c>
      <c r="V3102">
        <v>0</v>
      </c>
      <c r="W3102">
        <v>0</v>
      </c>
      <c r="X3102">
        <v>1</v>
      </c>
      <c r="Z3102">
        <v>0</v>
      </c>
      <c r="AA3102">
        <v>9</v>
      </c>
      <c r="AB3102">
        <v>3</v>
      </c>
      <c r="AC3102">
        <v>0</v>
      </c>
      <c r="AD3102">
        <v>10</v>
      </c>
      <c r="AE3102">
        <v>0</v>
      </c>
      <c r="AF3102">
        <v>3</v>
      </c>
      <c r="AG3102">
        <v>2</v>
      </c>
      <c r="AH3102">
        <v>0</v>
      </c>
      <c r="AI3102" t="s">
        <v>6313</v>
      </c>
      <c r="AJ3102">
        <v>40.40484</v>
      </c>
      <c r="AK3102" t="s">
        <v>6314</v>
      </c>
      <c r="AL3102">
        <v>-74.950125</v>
      </c>
      <c r="AM3102">
        <v>100</v>
      </c>
      <c r="AN3102">
        <v>3700</v>
      </c>
      <c r="AO3102" t="s">
        <v>115</v>
      </c>
      <c r="AP3102">
        <v>162</v>
      </c>
      <c r="AQ3102">
        <v>-29</v>
      </c>
      <c r="AR3102">
        <v>128</v>
      </c>
      <c r="AZ3102">
        <v>3614</v>
      </c>
      <c r="BA3102">
        <v>1</v>
      </c>
      <c r="BB3102" t="str">
        <f t="shared" si="146"/>
        <v xml:space="preserve">N959MJ  </v>
      </c>
      <c r="BC3102">
        <v>1</v>
      </c>
      <c r="BE3102">
        <v>0</v>
      </c>
      <c r="BF3102">
        <v>0</v>
      </c>
      <c r="BG3102">
        <v>0</v>
      </c>
      <c r="BH3102">
        <v>3875</v>
      </c>
      <c r="BI3102">
        <v>175</v>
      </c>
      <c r="BJ3102">
        <v>1</v>
      </c>
      <c r="BK3102">
        <v>1</v>
      </c>
      <c r="BL3102">
        <v>1</v>
      </c>
      <c r="BM3102">
        <v>0</v>
      </c>
      <c r="BP3102">
        <v>0</v>
      </c>
      <c r="BQ3102">
        <v>0</v>
      </c>
      <c r="BX3102" t="str">
        <f>"14:42:02.320"</f>
        <v>14:42:02.320</v>
      </c>
      <c r="BY3102" t="str">
        <f>"318298468"</f>
        <v>318298468</v>
      </c>
      <c r="CL3102">
        <v>0</v>
      </c>
      <c r="CM3102">
        <v>2</v>
      </c>
      <c r="CN3102">
        <v>0</v>
      </c>
      <c r="CO3102">
        <v>2</v>
      </c>
      <c r="CP3102">
        <v>0</v>
      </c>
      <c r="CQ3102">
        <v>7</v>
      </c>
      <c r="CR3102" t="s">
        <v>116</v>
      </c>
      <c r="CS3102">
        <v>38</v>
      </c>
      <c r="CT3102">
        <v>3</v>
      </c>
      <c r="CU3102" t="s">
        <v>4719</v>
      </c>
      <c r="CV3102" t="s">
        <v>4720</v>
      </c>
      <c r="CY3102">
        <v>10758168</v>
      </c>
      <c r="CZ3102" t="s">
        <v>119</v>
      </c>
    </row>
    <row r="3103" spans="1:104" x14ac:dyDescent="0.25">
      <c r="A3103" t="str">
        <f>"14:42:03.359"</f>
        <v>14:42:03.359</v>
      </c>
      <c r="B3103" t="s">
        <v>108</v>
      </c>
      <c r="C3103" t="str">
        <f t="shared" si="145"/>
        <v>ffdfd3c0</v>
      </c>
      <c r="D3103" t="s">
        <v>109</v>
      </c>
      <c r="E3103">
        <v>4</v>
      </c>
      <c r="F3103">
        <v>1004</v>
      </c>
      <c r="G3103" t="s">
        <v>110</v>
      </c>
      <c r="J3103" t="s">
        <v>111</v>
      </c>
      <c r="K3103">
        <v>0</v>
      </c>
      <c r="L3103">
        <v>3</v>
      </c>
      <c r="M3103">
        <v>0</v>
      </c>
      <c r="N3103">
        <v>2</v>
      </c>
      <c r="O3103">
        <v>1</v>
      </c>
      <c r="P3103">
        <v>0</v>
      </c>
      <c r="Q3103">
        <v>0</v>
      </c>
      <c r="R3103" t="s">
        <v>112</v>
      </c>
      <c r="S3103" t="str">
        <f>"14:42:03.172"</f>
        <v>14:42:03.172</v>
      </c>
      <c r="T3103" t="str">
        <f>"14:42:02.773"</f>
        <v>14:42:02.773</v>
      </c>
      <c r="U3103" t="str">
        <f t="shared" si="144"/>
        <v>ad5732</v>
      </c>
      <c r="V3103">
        <v>0</v>
      </c>
      <c r="W3103">
        <v>0</v>
      </c>
      <c r="X3103">
        <v>1</v>
      </c>
      <c r="Z3103">
        <v>0</v>
      </c>
      <c r="AA3103">
        <v>9</v>
      </c>
      <c r="AB3103">
        <v>3</v>
      </c>
      <c r="AC3103">
        <v>0</v>
      </c>
      <c r="AD3103">
        <v>10</v>
      </c>
      <c r="AE3103">
        <v>0</v>
      </c>
      <c r="AF3103">
        <v>3</v>
      </c>
      <c r="AG3103">
        <v>2</v>
      </c>
      <c r="AH3103">
        <v>0</v>
      </c>
      <c r="AI3103" t="s">
        <v>6315</v>
      </c>
      <c r="AJ3103">
        <v>40.404732000000003</v>
      </c>
      <c r="AK3103" t="s">
        <v>6316</v>
      </c>
      <c r="AL3103">
        <v>-74.949331000000001</v>
      </c>
      <c r="AM3103">
        <v>100</v>
      </c>
      <c r="AN3103">
        <v>3700</v>
      </c>
      <c r="AO3103" t="s">
        <v>115</v>
      </c>
      <c r="AP3103">
        <v>162</v>
      </c>
      <c r="AQ3103">
        <v>-29</v>
      </c>
      <c r="AR3103">
        <v>128</v>
      </c>
      <c r="AZ3103">
        <v>3614</v>
      </c>
      <c r="BA3103">
        <v>1</v>
      </c>
      <c r="BB3103" t="str">
        <f t="shared" si="146"/>
        <v xml:space="preserve">N959MJ  </v>
      </c>
      <c r="BC3103">
        <v>1</v>
      </c>
      <c r="BE3103">
        <v>0</v>
      </c>
      <c r="BF3103">
        <v>0</v>
      </c>
      <c r="BG3103">
        <v>0</v>
      </c>
      <c r="BH3103">
        <v>3875</v>
      </c>
      <c r="BI3103">
        <v>175</v>
      </c>
      <c r="BJ3103">
        <v>1</v>
      </c>
      <c r="BK3103">
        <v>1</v>
      </c>
      <c r="BL3103">
        <v>1</v>
      </c>
      <c r="BM3103">
        <v>0</v>
      </c>
      <c r="BP3103">
        <v>0</v>
      </c>
      <c r="BQ3103">
        <v>0</v>
      </c>
      <c r="BX3103" t="str">
        <f>"14:42:03.172"</f>
        <v>14:42:03.172</v>
      </c>
      <c r="BY3103" t="str">
        <f>"175196412"</f>
        <v>175196412</v>
      </c>
      <c r="CL3103">
        <v>0</v>
      </c>
      <c r="CM3103">
        <v>2</v>
      </c>
      <c r="CN3103">
        <v>0</v>
      </c>
      <c r="CO3103">
        <v>2</v>
      </c>
      <c r="CP3103">
        <v>0</v>
      </c>
      <c r="CQ3103">
        <v>7</v>
      </c>
      <c r="CR3103" t="s">
        <v>116</v>
      </c>
      <c r="CS3103">
        <v>38</v>
      </c>
      <c r="CT3103">
        <v>3</v>
      </c>
      <c r="CU3103" t="s">
        <v>4719</v>
      </c>
      <c r="CV3103" t="s">
        <v>4720</v>
      </c>
      <c r="CY3103">
        <v>10759684</v>
      </c>
      <c r="CZ3103" t="s">
        <v>119</v>
      </c>
    </row>
    <row r="3104" spans="1:104" x14ac:dyDescent="0.25">
      <c r="A3104" t="str">
        <f>"14:42:04.266"</f>
        <v>14:42:04.266</v>
      </c>
      <c r="B3104" t="s">
        <v>108</v>
      </c>
      <c r="C3104" t="str">
        <f t="shared" si="145"/>
        <v>ffdfd3c0</v>
      </c>
      <c r="D3104" t="s">
        <v>109</v>
      </c>
      <c r="E3104">
        <v>4</v>
      </c>
      <c r="F3104">
        <v>1004</v>
      </c>
      <c r="G3104" t="s">
        <v>110</v>
      </c>
      <c r="J3104" t="s">
        <v>111</v>
      </c>
      <c r="K3104">
        <v>0</v>
      </c>
      <c r="L3104">
        <v>3</v>
      </c>
      <c r="M3104">
        <v>0</v>
      </c>
      <c r="N3104">
        <v>2</v>
      </c>
      <c r="O3104">
        <v>1</v>
      </c>
      <c r="P3104">
        <v>0</v>
      </c>
      <c r="Q3104">
        <v>0</v>
      </c>
      <c r="R3104" t="s">
        <v>112</v>
      </c>
      <c r="S3104" t="str">
        <f>"14:42:04.094"</f>
        <v>14:42:04.094</v>
      </c>
      <c r="T3104" t="str">
        <f>"14:42:03.695"</f>
        <v>14:42:03.695</v>
      </c>
      <c r="U3104" t="str">
        <f t="shared" si="144"/>
        <v>ad5732</v>
      </c>
      <c r="V3104">
        <v>0</v>
      </c>
      <c r="W3104">
        <v>0</v>
      </c>
      <c r="X3104">
        <v>1</v>
      </c>
      <c r="Z3104">
        <v>0</v>
      </c>
      <c r="AA3104">
        <v>9</v>
      </c>
      <c r="AB3104">
        <v>3</v>
      </c>
      <c r="AC3104">
        <v>0</v>
      </c>
      <c r="AD3104">
        <v>10</v>
      </c>
      <c r="AE3104">
        <v>0</v>
      </c>
      <c r="AF3104">
        <v>3</v>
      </c>
      <c r="AG3104">
        <v>2</v>
      </c>
      <c r="AH3104">
        <v>0</v>
      </c>
      <c r="AI3104" t="s">
        <v>6317</v>
      </c>
      <c r="AJ3104">
        <v>40.404603000000002</v>
      </c>
      <c r="AK3104" t="s">
        <v>6318</v>
      </c>
      <c r="AL3104">
        <v>-74.948473000000007</v>
      </c>
      <c r="AM3104">
        <v>100</v>
      </c>
      <c r="AN3104">
        <v>3700</v>
      </c>
      <c r="AO3104" t="s">
        <v>115</v>
      </c>
      <c r="AP3104">
        <v>162</v>
      </c>
      <c r="AQ3104">
        <v>-28</v>
      </c>
      <c r="AR3104">
        <v>128</v>
      </c>
      <c r="AZ3104">
        <v>3614</v>
      </c>
      <c r="BA3104">
        <v>1</v>
      </c>
      <c r="BB3104" t="str">
        <f t="shared" si="146"/>
        <v xml:space="preserve">N959MJ  </v>
      </c>
      <c r="BC3104">
        <v>1</v>
      </c>
      <c r="BE3104">
        <v>0</v>
      </c>
      <c r="BF3104">
        <v>0</v>
      </c>
      <c r="BG3104">
        <v>0</v>
      </c>
      <c r="BH3104">
        <v>3875</v>
      </c>
      <c r="BI3104">
        <v>175</v>
      </c>
      <c r="BJ3104">
        <v>1</v>
      </c>
      <c r="BK3104">
        <v>1</v>
      </c>
      <c r="BL3104">
        <v>1</v>
      </c>
      <c r="BM3104">
        <v>0</v>
      </c>
      <c r="BP3104">
        <v>0</v>
      </c>
      <c r="BQ3104">
        <v>0</v>
      </c>
      <c r="BX3104" t="str">
        <f>"14:42:04.102"</f>
        <v>14:42:04.102</v>
      </c>
      <c r="BY3104" t="str">
        <f>"099269956"</f>
        <v>099269956</v>
      </c>
      <c r="CL3104">
        <v>0</v>
      </c>
      <c r="CM3104">
        <v>2</v>
      </c>
      <c r="CN3104">
        <v>0</v>
      </c>
      <c r="CO3104">
        <v>2</v>
      </c>
      <c r="CP3104">
        <v>0</v>
      </c>
      <c r="CQ3104">
        <v>7</v>
      </c>
      <c r="CR3104" t="s">
        <v>116</v>
      </c>
      <c r="CS3104">
        <v>38</v>
      </c>
      <c r="CT3104">
        <v>3</v>
      </c>
      <c r="CU3104" t="s">
        <v>4719</v>
      </c>
      <c r="CV3104" t="s">
        <v>4720</v>
      </c>
      <c r="CY3104">
        <v>10761363</v>
      </c>
      <c r="CZ3104" t="s">
        <v>119</v>
      </c>
    </row>
    <row r="3105" spans="1:104" x14ac:dyDescent="0.25">
      <c r="A3105" t="str">
        <f>"14:42:05.172"</f>
        <v>14:42:05.172</v>
      </c>
      <c r="B3105" t="s">
        <v>108</v>
      </c>
      <c r="C3105" t="str">
        <f t="shared" si="145"/>
        <v>ffdfd3c0</v>
      </c>
      <c r="D3105" t="s">
        <v>109</v>
      </c>
      <c r="E3105">
        <v>4</v>
      </c>
      <c r="F3105">
        <v>1004</v>
      </c>
      <c r="G3105" t="s">
        <v>110</v>
      </c>
      <c r="J3105" t="s">
        <v>111</v>
      </c>
      <c r="K3105">
        <v>0</v>
      </c>
      <c r="L3105">
        <v>3</v>
      </c>
      <c r="M3105">
        <v>0</v>
      </c>
      <c r="N3105">
        <v>2</v>
      </c>
      <c r="O3105">
        <v>1</v>
      </c>
      <c r="P3105">
        <v>0</v>
      </c>
      <c r="Q3105">
        <v>0</v>
      </c>
      <c r="R3105" t="s">
        <v>112</v>
      </c>
      <c r="S3105" t="str">
        <f>"14:42:05.008"</f>
        <v>14:42:05.008</v>
      </c>
      <c r="T3105" t="str">
        <f>"14:42:04.609"</f>
        <v>14:42:04.609</v>
      </c>
      <c r="U3105" t="str">
        <f t="shared" si="144"/>
        <v>ad5732</v>
      </c>
      <c r="V3105">
        <v>0</v>
      </c>
      <c r="W3105">
        <v>0</v>
      </c>
      <c r="X3105">
        <v>1</v>
      </c>
      <c r="Z3105">
        <v>0</v>
      </c>
      <c r="AA3105">
        <v>9</v>
      </c>
      <c r="AB3105">
        <v>3</v>
      </c>
      <c r="AC3105">
        <v>0</v>
      </c>
      <c r="AD3105">
        <v>10</v>
      </c>
      <c r="AE3105">
        <v>0</v>
      </c>
      <c r="AF3105">
        <v>3</v>
      </c>
      <c r="AG3105">
        <v>2</v>
      </c>
      <c r="AH3105">
        <v>0</v>
      </c>
      <c r="AI3105" t="s">
        <v>6319</v>
      </c>
      <c r="AJ3105">
        <v>40.404518000000003</v>
      </c>
      <c r="AK3105" t="s">
        <v>6320</v>
      </c>
      <c r="AL3105">
        <v>-74.947571999999994</v>
      </c>
      <c r="AM3105">
        <v>100</v>
      </c>
      <c r="AN3105">
        <v>3700</v>
      </c>
      <c r="AO3105" t="s">
        <v>115</v>
      </c>
      <c r="AP3105">
        <v>162</v>
      </c>
      <c r="AQ3105">
        <v>-28</v>
      </c>
      <c r="AR3105">
        <v>64</v>
      </c>
      <c r="AZ3105">
        <v>3614</v>
      </c>
      <c r="BA3105">
        <v>1</v>
      </c>
      <c r="BB3105" t="str">
        <f t="shared" si="146"/>
        <v xml:space="preserve">N959MJ  </v>
      </c>
      <c r="BC3105">
        <v>1</v>
      </c>
      <c r="BE3105">
        <v>0</v>
      </c>
      <c r="BF3105">
        <v>0</v>
      </c>
      <c r="BG3105">
        <v>0</v>
      </c>
      <c r="BH3105">
        <v>3875</v>
      </c>
      <c r="BI3105">
        <v>175</v>
      </c>
      <c r="BJ3105">
        <v>1</v>
      </c>
      <c r="BK3105">
        <v>1</v>
      </c>
      <c r="BL3105">
        <v>1</v>
      </c>
      <c r="BM3105">
        <v>0</v>
      </c>
      <c r="BP3105">
        <v>0</v>
      </c>
      <c r="BQ3105">
        <v>0</v>
      </c>
      <c r="BX3105" t="str">
        <f>"14:42:05.008"</f>
        <v>14:42:05.008</v>
      </c>
      <c r="BY3105" t="str">
        <f>"008597667"</f>
        <v>008597667</v>
      </c>
      <c r="CL3105">
        <v>0</v>
      </c>
      <c r="CM3105">
        <v>2</v>
      </c>
      <c r="CN3105">
        <v>0</v>
      </c>
      <c r="CO3105">
        <v>2</v>
      </c>
      <c r="CP3105">
        <v>0</v>
      </c>
      <c r="CQ3105">
        <v>7</v>
      </c>
      <c r="CR3105" t="s">
        <v>116</v>
      </c>
      <c r="CS3105">
        <v>38</v>
      </c>
      <c r="CT3105">
        <v>3</v>
      </c>
      <c r="CU3105" t="s">
        <v>4719</v>
      </c>
      <c r="CV3105" t="s">
        <v>4720</v>
      </c>
      <c r="CY3105">
        <v>10762878</v>
      </c>
      <c r="CZ3105" t="s">
        <v>119</v>
      </c>
    </row>
    <row r="3106" spans="1:104" x14ac:dyDescent="0.25">
      <c r="A3106" t="str">
        <f>"14:42:06.234"</f>
        <v>14:42:06.234</v>
      </c>
      <c r="B3106" t="s">
        <v>108</v>
      </c>
      <c r="C3106" t="str">
        <f t="shared" si="145"/>
        <v>ffdfd3c0</v>
      </c>
      <c r="D3106" t="s">
        <v>109</v>
      </c>
      <c r="E3106">
        <v>4</v>
      </c>
      <c r="F3106">
        <v>1004</v>
      </c>
      <c r="G3106" t="s">
        <v>110</v>
      </c>
      <c r="J3106" t="s">
        <v>111</v>
      </c>
      <c r="K3106">
        <v>0</v>
      </c>
      <c r="L3106">
        <v>3</v>
      </c>
      <c r="M3106">
        <v>0</v>
      </c>
      <c r="N3106">
        <v>2</v>
      </c>
      <c r="O3106">
        <v>1</v>
      </c>
      <c r="P3106">
        <v>0</v>
      </c>
      <c r="Q3106">
        <v>0</v>
      </c>
      <c r="R3106" t="s">
        <v>112</v>
      </c>
      <c r="S3106" t="str">
        <f>"14:42:06.031"</f>
        <v>14:42:06.031</v>
      </c>
      <c r="T3106" t="str">
        <f>"14:42:05.633"</f>
        <v>14:42:05.633</v>
      </c>
      <c r="U3106" t="str">
        <f t="shared" si="144"/>
        <v>ad5732</v>
      </c>
      <c r="V3106">
        <v>0</v>
      </c>
      <c r="W3106">
        <v>0</v>
      </c>
      <c r="X3106">
        <v>1</v>
      </c>
      <c r="Z3106">
        <v>0</v>
      </c>
      <c r="AA3106">
        <v>9</v>
      </c>
      <c r="AB3106">
        <v>3</v>
      </c>
      <c r="AC3106">
        <v>0</v>
      </c>
      <c r="AD3106">
        <v>10</v>
      </c>
      <c r="AE3106">
        <v>0</v>
      </c>
      <c r="AF3106">
        <v>3</v>
      </c>
      <c r="AG3106">
        <v>2</v>
      </c>
      <c r="AH3106">
        <v>0</v>
      </c>
      <c r="AI3106" t="s">
        <v>6321</v>
      </c>
      <c r="AJ3106">
        <v>40.404367000000001</v>
      </c>
      <c r="AK3106" t="s">
        <v>6322</v>
      </c>
      <c r="AL3106">
        <v>-74.946477000000002</v>
      </c>
      <c r="AM3106">
        <v>100</v>
      </c>
      <c r="AN3106">
        <v>3700</v>
      </c>
      <c r="AO3106" t="s">
        <v>115</v>
      </c>
      <c r="AP3106">
        <v>162</v>
      </c>
      <c r="AQ3106">
        <v>-28</v>
      </c>
      <c r="AR3106">
        <v>64</v>
      </c>
      <c r="AZ3106">
        <v>3614</v>
      </c>
      <c r="BA3106">
        <v>1</v>
      </c>
      <c r="BB3106" t="str">
        <f t="shared" si="146"/>
        <v xml:space="preserve">N959MJ  </v>
      </c>
      <c r="BC3106">
        <v>1</v>
      </c>
      <c r="BE3106">
        <v>0</v>
      </c>
      <c r="BF3106">
        <v>0</v>
      </c>
      <c r="BG3106">
        <v>0</v>
      </c>
      <c r="BH3106">
        <v>3875</v>
      </c>
      <c r="BI3106">
        <v>175</v>
      </c>
      <c r="BJ3106">
        <v>1</v>
      </c>
      <c r="BK3106">
        <v>1</v>
      </c>
      <c r="BL3106">
        <v>1</v>
      </c>
      <c r="BM3106">
        <v>0</v>
      </c>
      <c r="BP3106">
        <v>0</v>
      </c>
      <c r="BQ3106">
        <v>0</v>
      </c>
      <c r="BX3106" t="str">
        <f>"14:42:06.031"</f>
        <v>14:42:06.031</v>
      </c>
      <c r="BY3106" t="str">
        <f>"032615333"</f>
        <v>032615333</v>
      </c>
      <c r="CL3106">
        <v>0</v>
      </c>
      <c r="CM3106">
        <v>2</v>
      </c>
      <c r="CN3106">
        <v>0</v>
      </c>
      <c r="CO3106">
        <v>2</v>
      </c>
      <c r="CP3106">
        <v>0</v>
      </c>
      <c r="CQ3106">
        <v>7</v>
      </c>
      <c r="CR3106" t="s">
        <v>116</v>
      </c>
      <c r="CS3106">
        <v>38</v>
      </c>
      <c r="CT3106">
        <v>3</v>
      </c>
      <c r="CU3106" t="s">
        <v>4719</v>
      </c>
      <c r="CV3106" t="s">
        <v>4720</v>
      </c>
      <c r="CY3106">
        <v>10764508</v>
      </c>
      <c r="CZ3106" t="s">
        <v>119</v>
      </c>
    </row>
    <row r="3107" spans="1:104" x14ac:dyDescent="0.25">
      <c r="A3107" t="str">
        <f>"14:42:07.047"</f>
        <v>14:42:07.047</v>
      </c>
      <c r="B3107" t="s">
        <v>108</v>
      </c>
      <c r="C3107" t="str">
        <f t="shared" si="145"/>
        <v>ffdfd3c0</v>
      </c>
      <c r="D3107" t="s">
        <v>109</v>
      </c>
      <c r="E3107">
        <v>4</v>
      </c>
      <c r="F3107">
        <v>1004</v>
      </c>
      <c r="G3107" t="s">
        <v>110</v>
      </c>
      <c r="J3107" t="s">
        <v>111</v>
      </c>
      <c r="K3107">
        <v>0</v>
      </c>
      <c r="L3107">
        <v>3</v>
      </c>
      <c r="M3107">
        <v>0</v>
      </c>
      <c r="N3107">
        <v>2</v>
      </c>
      <c r="O3107">
        <v>1</v>
      </c>
      <c r="P3107">
        <v>0</v>
      </c>
      <c r="Q3107">
        <v>0</v>
      </c>
      <c r="R3107" t="s">
        <v>112</v>
      </c>
      <c r="S3107" t="str">
        <f>"14:42:06.859"</f>
        <v>14:42:06.859</v>
      </c>
      <c r="T3107" t="str">
        <f>"14:42:06.461"</f>
        <v>14:42:06.461</v>
      </c>
      <c r="U3107" t="str">
        <f t="shared" si="144"/>
        <v>ad5732</v>
      </c>
      <c r="V3107">
        <v>0</v>
      </c>
      <c r="W3107">
        <v>0</v>
      </c>
      <c r="X3107">
        <v>1</v>
      </c>
      <c r="Z3107">
        <v>0</v>
      </c>
      <c r="AA3107">
        <v>9</v>
      </c>
      <c r="AB3107">
        <v>3</v>
      </c>
      <c r="AC3107">
        <v>0</v>
      </c>
      <c r="AD3107">
        <v>10</v>
      </c>
      <c r="AE3107">
        <v>0</v>
      </c>
      <c r="AF3107">
        <v>3</v>
      </c>
      <c r="AG3107">
        <v>2</v>
      </c>
      <c r="AH3107">
        <v>0</v>
      </c>
      <c r="AI3107" t="s">
        <v>6323</v>
      </c>
      <c r="AJ3107">
        <v>40.404260000000001</v>
      </c>
      <c r="AK3107" t="s">
        <v>6324</v>
      </c>
      <c r="AL3107">
        <v>-74.945725999999993</v>
      </c>
      <c r="AM3107">
        <v>100</v>
      </c>
      <c r="AN3107">
        <v>3700</v>
      </c>
      <c r="AO3107" t="s">
        <v>115</v>
      </c>
      <c r="AP3107">
        <v>162</v>
      </c>
      <c r="AQ3107">
        <v>-27</v>
      </c>
      <c r="AR3107">
        <v>-64</v>
      </c>
      <c r="AZ3107">
        <v>3614</v>
      </c>
      <c r="BA3107">
        <v>1</v>
      </c>
      <c r="BB3107" t="str">
        <f t="shared" si="146"/>
        <v xml:space="preserve">N959MJ  </v>
      </c>
      <c r="BC3107">
        <v>1</v>
      </c>
      <c r="BE3107">
        <v>0</v>
      </c>
      <c r="BF3107">
        <v>0</v>
      </c>
      <c r="BG3107">
        <v>0</v>
      </c>
      <c r="BH3107">
        <v>3875</v>
      </c>
      <c r="BI3107">
        <v>175</v>
      </c>
      <c r="BJ3107">
        <v>1</v>
      </c>
      <c r="BK3107">
        <v>1</v>
      </c>
      <c r="BL3107">
        <v>1</v>
      </c>
      <c r="BM3107">
        <v>0</v>
      </c>
      <c r="BP3107">
        <v>0</v>
      </c>
      <c r="BQ3107">
        <v>0</v>
      </c>
      <c r="BX3107" t="str">
        <f>"14:42:06.859"</f>
        <v>14:42:06.859</v>
      </c>
      <c r="BY3107" t="str">
        <f>"860021618"</f>
        <v>860021618</v>
      </c>
      <c r="CL3107">
        <v>0</v>
      </c>
      <c r="CM3107">
        <v>2</v>
      </c>
      <c r="CN3107">
        <v>0</v>
      </c>
      <c r="CO3107">
        <v>2</v>
      </c>
      <c r="CP3107">
        <v>0</v>
      </c>
      <c r="CQ3107">
        <v>7</v>
      </c>
      <c r="CR3107" t="s">
        <v>116</v>
      </c>
      <c r="CS3107">
        <v>38</v>
      </c>
      <c r="CT3107">
        <v>3</v>
      </c>
      <c r="CU3107" t="s">
        <v>4719</v>
      </c>
      <c r="CV3107" t="s">
        <v>4720</v>
      </c>
      <c r="CY3107">
        <v>10766004</v>
      </c>
      <c r="CZ3107" t="s">
        <v>119</v>
      </c>
    </row>
    <row r="3108" spans="1:104" x14ac:dyDescent="0.25">
      <c r="A3108" t="str">
        <f>"14:42:08.055"</f>
        <v>14:42:08.055</v>
      </c>
      <c r="B3108" t="s">
        <v>108</v>
      </c>
      <c r="C3108" t="str">
        <f t="shared" si="145"/>
        <v>ffdfd3c0</v>
      </c>
      <c r="D3108" t="s">
        <v>109</v>
      </c>
      <c r="E3108">
        <v>4</v>
      </c>
      <c r="F3108">
        <v>1004</v>
      </c>
      <c r="G3108" t="s">
        <v>110</v>
      </c>
      <c r="J3108" t="s">
        <v>111</v>
      </c>
      <c r="K3108">
        <v>0</v>
      </c>
      <c r="L3108">
        <v>3</v>
      </c>
      <c r="M3108">
        <v>0</v>
      </c>
      <c r="N3108">
        <v>2</v>
      </c>
      <c r="O3108">
        <v>1</v>
      </c>
      <c r="P3108">
        <v>0</v>
      </c>
      <c r="Q3108">
        <v>0</v>
      </c>
      <c r="R3108" t="s">
        <v>112</v>
      </c>
      <c r="S3108" t="str">
        <f>"14:42:07.883"</f>
        <v>14:42:07.883</v>
      </c>
      <c r="T3108" t="str">
        <f>"14:42:07.383"</f>
        <v>14:42:07.383</v>
      </c>
      <c r="U3108" t="str">
        <f t="shared" si="144"/>
        <v>ad5732</v>
      </c>
      <c r="V3108">
        <v>0</v>
      </c>
      <c r="W3108">
        <v>0</v>
      </c>
      <c r="X3108">
        <v>1</v>
      </c>
      <c r="Z3108">
        <v>0</v>
      </c>
      <c r="AA3108">
        <v>9</v>
      </c>
      <c r="AB3108">
        <v>3</v>
      </c>
      <c r="AC3108">
        <v>0</v>
      </c>
      <c r="AD3108">
        <v>10</v>
      </c>
      <c r="AE3108">
        <v>0</v>
      </c>
      <c r="AF3108">
        <v>3</v>
      </c>
      <c r="AG3108">
        <v>2</v>
      </c>
      <c r="AH3108">
        <v>0</v>
      </c>
      <c r="AI3108" t="s">
        <v>6325</v>
      </c>
      <c r="AJ3108">
        <v>40.404131</v>
      </c>
      <c r="AK3108" t="s">
        <v>6326</v>
      </c>
      <c r="AL3108">
        <v>-74.944738999999998</v>
      </c>
      <c r="AM3108">
        <v>100</v>
      </c>
      <c r="AN3108">
        <v>3700</v>
      </c>
      <c r="AO3108" t="s">
        <v>115</v>
      </c>
      <c r="AP3108">
        <v>162</v>
      </c>
      <c r="AQ3108">
        <v>-27</v>
      </c>
      <c r="AR3108">
        <v>-64</v>
      </c>
      <c r="AZ3108">
        <v>3614</v>
      </c>
      <c r="BA3108">
        <v>1</v>
      </c>
      <c r="BB3108" t="str">
        <f t="shared" si="146"/>
        <v xml:space="preserve">N959MJ  </v>
      </c>
      <c r="BC3108">
        <v>1</v>
      </c>
      <c r="BE3108">
        <v>0</v>
      </c>
      <c r="BF3108">
        <v>0</v>
      </c>
      <c r="BG3108">
        <v>0</v>
      </c>
      <c r="BH3108">
        <v>3875</v>
      </c>
      <c r="BI3108">
        <v>175</v>
      </c>
      <c r="BJ3108">
        <v>1</v>
      </c>
      <c r="BK3108">
        <v>1</v>
      </c>
      <c r="BL3108">
        <v>1</v>
      </c>
      <c r="BM3108">
        <v>0</v>
      </c>
      <c r="BP3108">
        <v>0</v>
      </c>
      <c r="BQ3108">
        <v>0</v>
      </c>
      <c r="BX3108" t="str">
        <f>"14:42:07.891"</f>
        <v>14:42:07.891</v>
      </c>
      <c r="BY3108" t="str">
        <f>"890593013"</f>
        <v>890593013</v>
      </c>
      <c r="CL3108">
        <v>0</v>
      </c>
      <c r="CM3108">
        <v>2</v>
      </c>
      <c r="CN3108">
        <v>0</v>
      </c>
      <c r="CO3108">
        <v>2</v>
      </c>
      <c r="CP3108">
        <v>0</v>
      </c>
      <c r="CQ3108">
        <v>7</v>
      </c>
      <c r="CR3108" t="s">
        <v>116</v>
      </c>
      <c r="CS3108">
        <v>38</v>
      </c>
      <c r="CT3108">
        <v>3</v>
      </c>
      <c r="CU3108" t="s">
        <v>4719</v>
      </c>
      <c r="CV3108" t="s">
        <v>4720</v>
      </c>
      <c r="CY3108">
        <v>10767839</v>
      </c>
      <c r="CZ3108" t="s">
        <v>119</v>
      </c>
    </row>
    <row r="3109" spans="1:104" x14ac:dyDescent="0.25">
      <c r="A3109" t="str">
        <f>"14:42:09.164"</f>
        <v>14:42:09.164</v>
      </c>
      <c r="B3109" t="s">
        <v>108</v>
      </c>
      <c r="C3109" t="str">
        <f t="shared" si="145"/>
        <v>ffdfd3c0</v>
      </c>
      <c r="D3109" t="s">
        <v>109</v>
      </c>
      <c r="E3109">
        <v>4</v>
      </c>
      <c r="F3109">
        <v>1004</v>
      </c>
      <c r="G3109" t="s">
        <v>110</v>
      </c>
      <c r="J3109" t="s">
        <v>111</v>
      </c>
      <c r="K3109">
        <v>0</v>
      </c>
      <c r="L3109">
        <v>3</v>
      </c>
      <c r="M3109">
        <v>0</v>
      </c>
      <c r="N3109">
        <v>2</v>
      </c>
      <c r="O3109">
        <v>1</v>
      </c>
      <c r="P3109">
        <v>0</v>
      </c>
      <c r="Q3109">
        <v>0</v>
      </c>
      <c r="R3109" t="s">
        <v>112</v>
      </c>
      <c r="S3109" t="str">
        <f>"14:42:08.977"</f>
        <v>14:42:08.977</v>
      </c>
      <c r="T3109" t="str">
        <f>"14:42:08.477"</f>
        <v>14:42:08.477</v>
      </c>
      <c r="U3109" t="str">
        <f t="shared" si="144"/>
        <v>ad5732</v>
      </c>
      <c r="V3109">
        <v>0</v>
      </c>
      <c r="W3109">
        <v>0</v>
      </c>
      <c r="X3109">
        <v>1</v>
      </c>
      <c r="Z3109">
        <v>0</v>
      </c>
      <c r="AA3109">
        <v>9</v>
      </c>
      <c r="AB3109">
        <v>3</v>
      </c>
      <c r="AC3109">
        <v>0</v>
      </c>
      <c r="AD3109">
        <v>10</v>
      </c>
      <c r="AE3109">
        <v>0</v>
      </c>
      <c r="AF3109">
        <v>3</v>
      </c>
      <c r="AG3109">
        <v>2</v>
      </c>
      <c r="AH3109">
        <v>0</v>
      </c>
      <c r="AI3109" t="s">
        <v>6327</v>
      </c>
      <c r="AJ3109">
        <v>40.404003000000003</v>
      </c>
      <c r="AK3109" t="s">
        <v>6328</v>
      </c>
      <c r="AL3109">
        <v>-74.943665999999993</v>
      </c>
      <c r="AM3109">
        <v>100</v>
      </c>
      <c r="AN3109">
        <v>3700</v>
      </c>
      <c r="AO3109" t="s">
        <v>115</v>
      </c>
      <c r="AP3109">
        <v>162</v>
      </c>
      <c r="AQ3109">
        <v>-27</v>
      </c>
      <c r="AR3109">
        <v>-128</v>
      </c>
      <c r="AZ3109">
        <v>3614</v>
      </c>
      <c r="BA3109">
        <v>1</v>
      </c>
      <c r="BB3109" t="str">
        <f t="shared" si="146"/>
        <v xml:space="preserve">N959MJ  </v>
      </c>
      <c r="BC3109">
        <v>1</v>
      </c>
      <c r="BE3109">
        <v>0</v>
      </c>
      <c r="BF3109">
        <v>0</v>
      </c>
      <c r="BG3109">
        <v>0</v>
      </c>
      <c r="BH3109">
        <v>3875</v>
      </c>
      <c r="BI3109">
        <v>175</v>
      </c>
      <c r="BJ3109">
        <v>1</v>
      </c>
      <c r="BK3109">
        <v>1</v>
      </c>
      <c r="BL3109">
        <v>1</v>
      </c>
      <c r="BM3109">
        <v>0</v>
      </c>
      <c r="BP3109">
        <v>0</v>
      </c>
      <c r="BQ3109">
        <v>0</v>
      </c>
      <c r="BX3109" t="str">
        <f>"14:42:08.977"</f>
        <v>14:42:08.977</v>
      </c>
      <c r="BY3109" t="str">
        <f>"978509401"</f>
        <v>978509401</v>
      </c>
      <c r="CL3109">
        <v>0</v>
      </c>
      <c r="CM3109">
        <v>2</v>
      </c>
      <c r="CN3109">
        <v>0</v>
      </c>
      <c r="CO3109">
        <v>2</v>
      </c>
      <c r="CP3109">
        <v>0</v>
      </c>
      <c r="CQ3109">
        <v>7</v>
      </c>
      <c r="CR3109" t="s">
        <v>116</v>
      </c>
      <c r="CS3109">
        <v>38</v>
      </c>
      <c r="CT3109">
        <v>3</v>
      </c>
      <c r="CU3109" t="s">
        <v>4719</v>
      </c>
      <c r="CV3109" t="s">
        <v>4720</v>
      </c>
      <c r="CY3109">
        <v>10769794</v>
      </c>
      <c r="CZ3109" t="s">
        <v>119</v>
      </c>
    </row>
    <row r="3110" spans="1:104" x14ac:dyDescent="0.25">
      <c r="A3110" t="str">
        <f>"14:42:10.227"</f>
        <v>14:42:10.227</v>
      </c>
      <c r="B3110" t="s">
        <v>108</v>
      </c>
      <c r="C3110" t="str">
        <f t="shared" si="145"/>
        <v>ffdfd3c0</v>
      </c>
      <c r="D3110" t="s">
        <v>109</v>
      </c>
      <c r="E3110">
        <v>4</v>
      </c>
      <c r="F3110">
        <v>1004</v>
      </c>
      <c r="G3110" t="s">
        <v>110</v>
      </c>
      <c r="J3110" t="s">
        <v>111</v>
      </c>
      <c r="K3110">
        <v>0</v>
      </c>
      <c r="L3110">
        <v>3</v>
      </c>
      <c r="M3110">
        <v>0</v>
      </c>
      <c r="N3110">
        <v>2</v>
      </c>
      <c r="O3110">
        <v>1</v>
      </c>
      <c r="P3110">
        <v>0</v>
      </c>
      <c r="Q3110">
        <v>0</v>
      </c>
      <c r="R3110" t="s">
        <v>112</v>
      </c>
      <c r="S3110" t="str">
        <f>"14:42:10.039"</f>
        <v>14:42:10.039</v>
      </c>
      <c r="T3110" t="str">
        <f>"14:42:09.539"</f>
        <v>14:42:09.539</v>
      </c>
      <c r="U3110" t="str">
        <f t="shared" si="144"/>
        <v>ad5732</v>
      </c>
      <c r="V3110">
        <v>0</v>
      </c>
      <c r="W3110">
        <v>0</v>
      </c>
      <c r="X3110">
        <v>1</v>
      </c>
      <c r="Z3110">
        <v>0</v>
      </c>
      <c r="AA3110">
        <v>9</v>
      </c>
      <c r="AB3110">
        <v>3</v>
      </c>
      <c r="AC3110">
        <v>0</v>
      </c>
      <c r="AD3110">
        <v>10</v>
      </c>
      <c r="AE3110">
        <v>0</v>
      </c>
      <c r="AF3110">
        <v>3</v>
      </c>
      <c r="AG3110">
        <v>2</v>
      </c>
      <c r="AH3110">
        <v>0</v>
      </c>
      <c r="AI3110" t="s">
        <v>6329</v>
      </c>
      <c r="AJ3110">
        <v>40.403852000000001</v>
      </c>
      <c r="AK3110" t="s">
        <v>6330</v>
      </c>
      <c r="AL3110">
        <v>-74.942550999999995</v>
      </c>
      <c r="AM3110">
        <v>100</v>
      </c>
      <c r="AN3110">
        <v>3700</v>
      </c>
      <c r="AO3110" t="s">
        <v>115</v>
      </c>
      <c r="AP3110">
        <v>162</v>
      </c>
      <c r="AQ3110">
        <v>-27</v>
      </c>
      <c r="AR3110">
        <v>-64</v>
      </c>
      <c r="AZ3110">
        <v>3614</v>
      </c>
      <c r="BA3110">
        <v>1</v>
      </c>
      <c r="BB3110" t="str">
        <f t="shared" si="146"/>
        <v xml:space="preserve">N959MJ  </v>
      </c>
      <c r="BC3110">
        <v>1</v>
      </c>
      <c r="BE3110">
        <v>0</v>
      </c>
      <c r="BF3110">
        <v>0</v>
      </c>
      <c r="BG3110">
        <v>0</v>
      </c>
      <c r="BH3110">
        <v>3875</v>
      </c>
      <c r="BI3110">
        <v>175</v>
      </c>
      <c r="BJ3110">
        <v>1</v>
      </c>
      <c r="BK3110">
        <v>1</v>
      </c>
      <c r="BL3110">
        <v>1</v>
      </c>
      <c r="BM3110">
        <v>0</v>
      </c>
      <c r="BP3110">
        <v>0</v>
      </c>
      <c r="BQ3110">
        <v>0</v>
      </c>
      <c r="BX3110" t="str">
        <f>"14:42:10.039"</f>
        <v>14:42:10.039</v>
      </c>
      <c r="BY3110" t="str">
        <f>"041849371"</f>
        <v>041849371</v>
      </c>
      <c r="CL3110">
        <v>0</v>
      </c>
      <c r="CM3110">
        <v>2</v>
      </c>
      <c r="CN3110">
        <v>0</v>
      </c>
      <c r="CO3110">
        <v>2</v>
      </c>
      <c r="CP3110">
        <v>0</v>
      </c>
      <c r="CQ3110">
        <v>7</v>
      </c>
      <c r="CR3110" t="s">
        <v>116</v>
      </c>
      <c r="CS3110">
        <v>38</v>
      </c>
      <c r="CT3110">
        <v>3</v>
      </c>
      <c r="CU3110" t="s">
        <v>4719</v>
      </c>
      <c r="CV3110" t="s">
        <v>4720</v>
      </c>
      <c r="CY3110">
        <v>10771659</v>
      </c>
      <c r="CZ3110" t="s">
        <v>119</v>
      </c>
    </row>
    <row r="3111" spans="1:104" x14ac:dyDescent="0.25">
      <c r="A3111" t="str">
        <f>"14:42:11.086"</f>
        <v>14:42:11.086</v>
      </c>
      <c r="B3111" t="s">
        <v>108</v>
      </c>
      <c r="C3111" t="str">
        <f t="shared" si="145"/>
        <v>ffdfd3c0</v>
      </c>
      <c r="D3111" t="s">
        <v>109</v>
      </c>
      <c r="E3111">
        <v>4</v>
      </c>
      <c r="F3111">
        <v>1004</v>
      </c>
      <c r="G3111" t="s">
        <v>110</v>
      </c>
      <c r="J3111" t="s">
        <v>111</v>
      </c>
      <c r="K3111">
        <v>0</v>
      </c>
      <c r="L3111">
        <v>3</v>
      </c>
      <c r="M3111">
        <v>0</v>
      </c>
      <c r="N3111">
        <v>2</v>
      </c>
      <c r="O3111">
        <v>1</v>
      </c>
      <c r="P3111">
        <v>0</v>
      </c>
      <c r="Q3111">
        <v>0</v>
      </c>
      <c r="R3111" t="s">
        <v>112</v>
      </c>
      <c r="S3111" t="str">
        <f>"14:42:10.914"</f>
        <v>14:42:10.914</v>
      </c>
      <c r="T3111" t="str">
        <f>"14:42:10.516"</f>
        <v>14:42:10.516</v>
      </c>
      <c r="U3111" t="str">
        <f t="shared" si="144"/>
        <v>ad5732</v>
      </c>
      <c r="V3111">
        <v>0</v>
      </c>
      <c r="W3111">
        <v>0</v>
      </c>
      <c r="X3111">
        <v>1</v>
      </c>
      <c r="Z3111">
        <v>0</v>
      </c>
      <c r="AA3111">
        <v>9</v>
      </c>
      <c r="AB3111">
        <v>3</v>
      </c>
      <c r="AC3111">
        <v>0</v>
      </c>
      <c r="AD3111">
        <v>10</v>
      </c>
      <c r="AE3111">
        <v>0</v>
      </c>
      <c r="AF3111">
        <v>3</v>
      </c>
      <c r="AG3111">
        <v>2</v>
      </c>
      <c r="AH3111">
        <v>0</v>
      </c>
      <c r="AI3111" t="s">
        <v>6331</v>
      </c>
      <c r="AJ3111">
        <v>40.403767000000002</v>
      </c>
      <c r="AK3111" t="s">
        <v>6332</v>
      </c>
      <c r="AL3111">
        <v>-74.941800000000001</v>
      </c>
      <c r="AM3111">
        <v>100</v>
      </c>
      <c r="AN3111">
        <v>3700</v>
      </c>
      <c r="AO3111" t="s">
        <v>115</v>
      </c>
      <c r="AP3111">
        <v>162</v>
      </c>
      <c r="AQ3111">
        <v>-27</v>
      </c>
      <c r="AR3111">
        <v>-128</v>
      </c>
      <c r="AZ3111">
        <v>3614</v>
      </c>
      <c r="BA3111">
        <v>1</v>
      </c>
      <c r="BB3111" t="str">
        <f t="shared" si="146"/>
        <v xml:space="preserve">N959MJ  </v>
      </c>
      <c r="BC3111">
        <v>1</v>
      </c>
      <c r="BE3111">
        <v>0</v>
      </c>
      <c r="BF3111">
        <v>0</v>
      </c>
      <c r="BG3111">
        <v>0</v>
      </c>
      <c r="BH3111">
        <v>3850</v>
      </c>
      <c r="BI3111">
        <v>150</v>
      </c>
      <c r="BJ3111">
        <v>1</v>
      </c>
      <c r="BK3111">
        <v>1</v>
      </c>
      <c r="BL3111">
        <v>1</v>
      </c>
      <c r="BM3111">
        <v>0</v>
      </c>
      <c r="BP3111">
        <v>0</v>
      </c>
      <c r="BQ3111">
        <v>0</v>
      </c>
      <c r="BX3111" t="str">
        <f>"14:42:10.914"</f>
        <v>14:42:10.914</v>
      </c>
      <c r="BY3111" t="str">
        <f>"916770063"</f>
        <v>916770063</v>
      </c>
      <c r="CL3111">
        <v>0</v>
      </c>
      <c r="CM3111">
        <v>2</v>
      </c>
      <c r="CN3111">
        <v>0</v>
      </c>
      <c r="CO3111">
        <v>2</v>
      </c>
      <c r="CP3111">
        <v>0</v>
      </c>
      <c r="CQ3111">
        <v>7</v>
      </c>
      <c r="CR3111" t="s">
        <v>116</v>
      </c>
      <c r="CS3111">
        <v>38</v>
      </c>
      <c r="CT3111">
        <v>3</v>
      </c>
      <c r="CU3111" t="s">
        <v>4719</v>
      </c>
      <c r="CV3111" t="s">
        <v>4720</v>
      </c>
      <c r="CY3111">
        <v>10773178</v>
      </c>
      <c r="CZ3111" t="s">
        <v>119</v>
      </c>
    </row>
    <row r="3112" spans="1:104" x14ac:dyDescent="0.25">
      <c r="A3112" t="str">
        <f>"14:42:12.094"</f>
        <v>14:42:12.094</v>
      </c>
      <c r="B3112" t="s">
        <v>108</v>
      </c>
      <c r="C3112" t="str">
        <f t="shared" si="145"/>
        <v>ffdfd3c0</v>
      </c>
      <c r="D3112" t="s">
        <v>109</v>
      </c>
      <c r="E3112">
        <v>4</v>
      </c>
      <c r="F3112">
        <v>1004</v>
      </c>
      <c r="G3112" t="s">
        <v>110</v>
      </c>
      <c r="J3112" t="s">
        <v>111</v>
      </c>
      <c r="K3112">
        <v>0</v>
      </c>
      <c r="L3112">
        <v>3</v>
      </c>
      <c r="M3112">
        <v>0</v>
      </c>
      <c r="N3112">
        <v>2</v>
      </c>
      <c r="O3112">
        <v>1</v>
      </c>
      <c r="P3112">
        <v>0</v>
      </c>
      <c r="Q3112">
        <v>0</v>
      </c>
      <c r="R3112" t="s">
        <v>112</v>
      </c>
      <c r="S3112" t="str">
        <f>"14:42:11.906"</f>
        <v>14:42:11.906</v>
      </c>
      <c r="T3112" t="str">
        <f>"14:42:11.508"</f>
        <v>14:42:11.508</v>
      </c>
      <c r="U3112" t="str">
        <f t="shared" si="144"/>
        <v>ad5732</v>
      </c>
      <c r="V3112">
        <v>0</v>
      </c>
      <c r="W3112">
        <v>0</v>
      </c>
      <c r="X3112">
        <v>1</v>
      </c>
      <c r="Z3112">
        <v>0</v>
      </c>
      <c r="AA3112">
        <v>9</v>
      </c>
      <c r="AB3112">
        <v>3</v>
      </c>
      <c r="AC3112">
        <v>0</v>
      </c>
      <c r="AD3112">
        <v>10</v>
      </c>
      <c r="AE3112">
        <v>0</v>
      </c>
      <c r="AF3112">
        <v>3</v>
      </c>
      <c r="AG3112">
        <v>2</v>
      </c>
      <c r="AH3112">
        <v>0</v>
      </c>
      <c r="AI3112" t="s">
        <v>6333</v>
      </c>
      <c r="AJ3112">
        <v>40.403616</v>
      </c>
      <c r="AK3112" t="s">
        <v>6334</v>
      </c>
      <c r="AL3112">
        <v>-74.940813000000006</v>
      </c>
      <c r="AM3112">
        <v>100</v>
      </c>
      <c r="AN3112">
        <v>3700</v>
      </c>
      <c r="AO3112" t="s">
        <v>115</v>
      </c>
      <c r="AP3112">
        <v>162</v>
      </c>
      <c r="AQ3112">
        <v>-27</v>
      </c>
      <c r="AR3112">
        <v>-128</v>
      </c>
      <c r="AZ3112">
        <v>3614</v>
      </c>
      <c r="BA3112">
        <v>1</v>
      </c>
      <c r="BB3112" t="str">
        <f t="shared" si="146"/>
        <v xml:space="preserve">N959MJ  </v>
      </c>
      <c r="BC3112">
        <v>1</v>
      </c>
      <c r="BE3112">
        <v>0</v>
      </c>
      <c r="BF3112">
        <v>0</v>
      </c>
      <c r="BG3112">
        <v>0</v>
      </c>
      <c r="BH3112">
        <v>3850</v>
      </c>
      <c r="BI3112">
        <v>150</v>
      </c>
      <c r="BJ3112">
        <v>1</v>
      </c>
      <c r="BK3112">
        <v>1</v>
      </c>
      <c r="BL3112">
        <v>1</v>
      </c>
      <c r="BM3112">
        <v>0</v>
      </c>
      <c r="BP3112">
        <v>0</v>
      </c>
      <c r="BQ3112">
        <v>0</v>
      </c>
      <c r="BX3112" t="str">
        <f>"14:42:11.906"</f>
        <v>14:42:11.906</v>
      </c>
      <c r="BY3112" t="str">
        <f>"906380761"</f>
        <v>906380761</v>
      </c>
      <c r="CL3112">
        <v>0</v>
      </c>
      <c r="CM3112">
        <v>2</v>
      </c>
      <c r="CN3112">
        <v>0</v>
      </c>
      <c r="CO3112">
        <v>2</v>
      </c>
      <c r="CP3112">
        <v>0</v>
      </c>
      <c r="CQ3112">
        <v>7</v>
      </c>
      <c r="CR3112" t="s">
        <v>116</v>
      </c>
      <c r="CS3112">
        <v>38</v>
      </c>
      <c r="CT3112">
        <v>3</v>
      </c>
      <c r="CU3112" t="s">
        <v>4719</v>
      </c>
      <c r="CV3112" t="s">
        <v>4720</v>
      </c>
      <c r="CY3112">
        <v>10775045</v>
      </c>
      <c r="CZ3112" t="s">
        <v>119</v>
      </c>
    </row>
    <row r="3113" spans="1:104" x14ac:dyDescent="0.25">
      <c r="A3113" t="str">
        <f>"14:42:12.953"</f>
        <v>14:42:12.953</v>
      </c>
      <c r="B3113" t="s">
        <v>108</v>
      </c>
      <c r="C3113" t="str">
        <f t="shared" si="145"/>
        <v>ffdfd3c0</v>
      </c>
      <c r="D3113" t="s">
        <v>109</v>
      </c>
      <c r="E3113">
        <v>4</v>
      </c>
      <c r="F3113">
        <v>1004</v>
      </c>
      <c r="G3113" t="s">
        <v>110</v>
      </c>
      <c r="J3113" t="s">
        <v>111</v>
      </c>
      <c r="K3113">
        <v>0</v>
      </c>
      <c r="L3113">
        <v>3</v>
      </c>
      <c r="M3113">
        <v>0</v>
      </c>
      <c r="N3113">
        <v>2</v>
      </c>
      <c r="O3113">
        <v>1</v>
      </c>
      <c r="P3113">
        <v>0</v>
      </c>
      <c r="Q3113">
        <v>0</v>
      </c>
      <c r="R3113" t="s">
        <v>112</v>
      </c>
      <c r="S3113" t="str">
        <f>"14:42:12.797"</f>
        <v>14:42:12.797</v>
      </c>
      <c r="T3113" t="str">
        <f>"14:42:12.398"</f>
        <v>14:42:12.398</v>
      </c>
      <c r="U3113" t="str">
        <f t="shared" si="144"/>
        <v>ad5732</v>
      </c>
      <c r="V3113">
        <v>0</v>
      </c>
      <c r="W3113">
        <v>0</v>
      </c>
      <c r="X3113">
        <v>1</v>
      </c>
      <c r="Z3113">
        <v>0</v>
      </c>
      <c r="AA3113">
        <v>9</v>
      </c>
      <c r="AB3113">
        <v>3</v>
      </c>
      <c r="AC3113">
        <v>0</v>
      </c>
      <c r="AD3113">
        <v>10</v>
      </c>
      <c r="AE3113">
        <v>0</v>
      </c>
      <c r="AF3113">
        <v>3</v>
      </c>
      <c r="AG3113">
        <v>2</v>
      </c>
      <c r="AH3113">
        <v>0</v>
      </c>
      <c r="AI3113" t="s">
        <v>6335</v>
      </c>
      <c r="AJ3113">
        <v>40.403509</v>
      </c>
      <c r="AK3113" t="s">
        <v>6336</v>
      </c>
      <c r="AL3113">
        <v>-74.939932999999996</v>
      </c>
      <c r="AM3113">
        <v>100</v>
      </c>
      <c r="AN3113">
        <v>3700</v>
      </c>
      <c r="AO3113" t="s">
        <v>115</v>
      </c>
      <c r="AP3113">
        <v>162</v>
      </c>
      <c r="AQ3113">
        <v>-27</v>
      </c>
      <c r="AR3113">
        <v>-64</v>
      </c>
      <c r="AZ3113">
        <v>3614</v>
      </c>
      <c r="BA3113">
        <v>1</v>
      </c>
      <c r="BB3113" t="str">
        <f t="shared" si="146"/>
        <v xml:space="preserve">N959MJ  </v>
      </c>
      <c r="BC3113">
        <v>1</v>
      </c>
      <c r="BE3113">
        <v>0</v>
      </c>
      <c r="BF3113">
        <v>0</v>
      </c>
      <c r="BG3113">
        <v>0</v>
      </c>
      <c r="BH3113">
        <v>3850</v>
      </c>
      <c r="BI3113">
        <v>150</v>
      </c>
      <c r="BJ3113">
        <v>1</v>
      </c>
      <c r="BK3113">
        <v>1</v>
      </c>
      <c r="BL3113">
        <v>1</v>
      </c>
      <c r="BM3113">
        <v>0</v>
      </c>
      <c r="BP3113">
        <v>0</v>
      </c>
      <c r="BQ3113">
        <v>0</v>
      </c>
      <c r="BX3113" t="str">
        <f>"14:42:12.805"</f>
        <v>14:42:12.805</v>
      </c>
      <c r="BY3113" t="str">
        <f>"800962608"</f>
        <v>800962608</v>
      </c>
      <c r="CL3113">
        <v>0</v>
      </c>
      <c r="CM3113">
        <v>2</v>
      </c>
      <c r="CN3113">
        <v>0</v>
      </c>
      <c r="CO3113">
        <v>2</v>
      </c>
      <c r="CP3113">
        <v>0</v>
      </c>
      <c r="CQ3113">
        <v>7</v>
      </c>
      <c r="CR3113" t="s">
        <v>116</v>
      </c>
      <c r="CS3113">
        <v>38</v>
      </c>
      <c r="CT3113">
        <v>3</v>
      </c>
      <c r="CU3113" t="s">
        <v>4719</v>
      </c>
      <c r="CV3113" t="s">
        <v>4720</v>
      </c>
      <c r="CY3113">
        <v>10776644</v>
      </c>
      <c r="CZ3113" t="s">
        <v>119</v>
      </c>
    </row>
    <row r="3114" spans="1:104" x14ac:dyDescent="0.25">
      <c r="A3114" t="str">
        <f>"14:42:13.961"</f>
        <v>14:42:13.961</v>
      </c>
      <c r="B3114" t="s">
        <v>108</v>
      </c>
      <c r="C3114" t="str">
        <f t="shared" si="145"/>
        <v>ffdfd3c0</v>
      </c>
      <c r="D3114" t="s">
        <v>109</v>
      </c>
      <c r="E3114">
        <v>4</v>
      </c>
      <c r="F3114">
        <v>1004</v>
      </c>
      <c r="G3114" t="s">
        <v>110</v>
      </c>
      <c r="J3114" t="s">
        <v>111</v>
      </c>
      <c r="K3114">
        <v>0</v>
      </c>
      <c r="L3114">
        <v>3</v>
      </c>
      <c r="M3114">
        <v>0</v>
      </c>
      <c r="N3114">
        <v>2</v>
      </c>
      <c r="O3114">
        <v>1</v>
      </c>
      <c r="P3114">
        <v>0</v>
      </c>
      <c r="Q3114">
        <v>0</v>
      </c>
      <c r="R3114" t="s">
        <v>112</v>
      </c>
      <c r="S3114" t="str">
        <f>"14:42:13.773"</f>
        <v>14:42:13.773</v>
      </c>
      <c r="T3114" t="str">
        <f>"14:42:13.273"</f>
        <v>14:42:13.273</v>
      </c>
      <c r="U3114" t="str">
        <f t="shared" si="144"/>
        <v>ad5732</v>
      </c>
      <c r="V3114">
        <v>0</v>
      </c>
      <c r="W3114">
        <v>0</v>
      </c>
      <c r="X3114">
        <v>1</v>
      </c>
      <c r="Z3114">
        <v>0</v>
      </c>
      <c r="AA3114">
        <v>9</v>
      </c>
      <c r="AB3114">
        <v>3</v>
      </c>
      <c r="AC3114">
        <v>0</v>
      </c>
      <c r="AD3114">
        <v>10</v>
      </c>
      <c r="AE3114">
        <v>0</v>
      </c>
      <c r="AF3114">
        <v>3</v>
      </c>
      <c r="AG3114">
        <v>2</v>
      </c>
      <c r="AH3114">
        <v>0</v>
      </c>
      <c r="AI3114" t="s">
        <v>6337</v>
      </c>
      <c r="AJ3114">
        <v>40.403402</v>
      </c>
      <c r="AK3114" t="s">
        <v>6338</v>
      </c>
      <c r="AL3114">
        <v>-74.938902999999996</v>
      </c>
      <c r="AM3114">
        <v>100</v>
      </c>
      <c r="AN3114">
        <v>3700</v>
      </c>
      <c r="AO3114" t="s">
        <v>115</v>
      </c>
      <c r="AP3114">
        <v>162</v>
      </c>
      <c r="AQ3114">
        <v>-27</v>
      </c>
      <c r="AR3114">
        <v>0</v>
      </c>
      <c r="AZ3114">
        <v>3614</v>
      </c>
      <c r="BA3114">
        <v>1</v>
      </c>
      <c r="BB3114" t="str">
        <f t="shared" si="146"/>
        <v xml:space="preserve">N959MJ  </v>
      </c>
      <c r="BC3114">
        <v>1</v>
      </c>
      <c r="BE3114">
        <v>0</v>
      </c>
      <c r="BF3114">
        <v>0</v>
      </c>
      <c r="BG3114">
        <v>0</v>
      </c>
      <c r="BH3114">
        <v>3850</v>
      </c>
      <c r="BI3114">
        <v>150</v>
      </c>
      <c r="BJ3114">
        <v>1</v>
      </c>
      <c r="BK3114">
        <v>1</v>
      </c>
      <c r="BL3114">
        <v>1</v>
      </c>
      <c r="BM3114">
        <v>0</v>
      </c>
      <c r="BP3114">
        <v>0</v>
      </c>
      <c r="BQ3114">
        <v>0</v>
      </c>
      <c r="BX3114" t="str">
        <f>"14:42:13.781"</f>
        <v>14:42:13.781</v>
      </c>
      <c r="BY3114" t="str">
        <f>"777465916"</f>
        <v>777465916</v>
      </c>
      <c r="CL3114">
        <v>0</v>
      </c>
      <c r="CM3114">
        <v>2</v>
      </c>
      <c r="CN3114">
        <v>0</v>
      </c>
      <c r="CO3114">
        <v>2</v>
      </c>
      <c r="CP3114">
        <v>0</v>
      </c>
      <c r="CQ3114">
        <v>7</v>
      </c>
      <c r="CR3114" t="s">
        <v>116</v>
      </c>
      <c r="CS3114">
        <v>38</v>
      </c>
      <c r="CT3114">
        <v>3</v>
      </c>
      <c r="CU3114" t="s">
        <v>4719</v>
      </c>
      <c r="CV3114" t="s">
        <v>4720</v>
      </c>
      <c r="CY3114">
        <v>10778411</v>
      </c>
      <c r="CZ3114" t="s">
        <v>119</v>
      </c>
    </row>
    <row r="3115" spans="1:104" x14ac:dyDescent="0.25">
      <c r="A3115" t="str">
        <f>"14:42:15.016"</f>
        <v>14:42:15.016</v>
      </c>
      <c r="B3115" t="s">
        <v>108</v>
      </c>
      <c r="C3115" t="str">
        <f t="shared" si="145"/>
        <v>ffdfd3c0</v>
      </c>
      <c r="D3115" t="s">
        <v>109</v>
      </c>
      <c r="E3115">
        <v>4</v>
      </c>
      <c r="F3115">
        <v>1004</v>
      </c>
      <c r="G3115" t="s">
        <v>110</v>
      </c>
      <c r="J3115" t="s">
        <v>111</v>
      </c>
      <c r="K3115">
        <v>0</v>
      </c>
      <c r="L3115">
        <v>3</v>
      </c>
      <c r="M3115">
        <v>0</v>
      </c>
      <c r="N3115">
        <v>2</v>
      </c>
      <c r="O3115">
        <v>1</v>
      </c>
      <c r="P3115">
        <v>0</v>
      </c>
      <c r="Q3115">
        <v>0</v>
      </c>
      <c r="R3115" t="s">
        <v>112</v>
      </c>
      <c r="S3115" t="str">
        <f>"14:42:14.820"</f>
        <v>14:42:14.820</v>
      </c>
      <c r="T3115" t="str">
        <f>"14:42:14.320"</f>
        <v>14:42:14.320</v>
      </c>
      <c r="U3115" t="str">
        <f t="shared" si="144"/>
        <v>ad5732</v>
      </c>
      <c r="V3115">
        <v>0</v>
      </c>
      <c r="W3115">
        <v>0</v>
      </c>
      <c r="X3115">
        <v>1</v>
      </c>
      <c r="Z3115">
        <v>0</v>
      </c>
      <c r="AA3115">
        <v>9</v>
      </c>
      <c r="AB3115">
        <v>3</v>
      </c>
      <c r="AC3115">
        <v>0</v>
      </c>
      <c r="AD3115">
        <v>10</v>
      </c>
      <c r="AE3115">
        <v>0</v>
      </c>
      <c r="AF3115">
        <v>3</v>
      </c>
      <c r="AG3115">
        <v>2</v>
      </c>
      <c r="AH3115">
        <v>0</v>
      </c>
      <c r="AI3115" t="s">
        <v>6339</v>
      </c>
      <c r="AJ3115">
        <v>40.403252000000002</v>
      </c>
      <c r="AK3115" t="s">
        <v>6340</v>
      </c>
      <c r="AL3115">
        <v>-74.937872999999996</v>
      </c>
      <c r="AM3115">
        <v>100</v>
      </c>
      <c r="AN3115">
        <v>3700</v>
      </c>
      <c r="AO3115" t="s">
        <v>115</v>
      </c>
      <c r="AP3115">
        <v>163</v>
      </c>
      <c r="AQ3115">
        <v>-26</v>
      </c>
      <c r="AR3115">
        <v>0</v>
      </c>
      <c r="AZ3115">
        <v>3614</v>
      </c>
      <c r="BA3115">
        <v>1</v>
      </c>
      <c r="BB3115" t="str">
        <f t="shared" si="146"/>
        <v xml:space="preserve">N959MJ  </v>
      </c>
      <c r="BC3115">
        <v>1</v>
      </c>
      <c r="BE3115">
        <v>0</v>
      </c>
      <c r="BF3115">
        <v>0</v>
      </c>
      <c r="BG3115">
        <v>0</v>
      </c>
      <c r="BH3115">
        <v>3850</v>
      </c>
      <c r="BI3115">
        <v>150</v>
      </c>
      <c r="BJ3115">
        <v>1</v>
      </c>
      <c r="BK3115">
        <v>1</v>
      </c>
      <c r="BL3115">
        <v>1</v>
      </c>
      <c r="BM3115">
        <v>0</v>
      </c>
      <c r="BP3115">
        <v>0</v>
      </c>
      <c r="BQ3115">
        <v>0</v>
      </c>
      <c r="BX3115" t="str">
        <f>"14:42:14.820"</f>
        <v>14:42:14.820</v>
      </c>
      <c r="BY3115" t="str">
        <f>"822783130"</f>
        <v>822783130</v>
      </c>
      <c r="CL3115">
        <v>0</v>
      </c>
      <c r="CM3115">
        <v>2</v>
      </c>
      <c r="CN3115">
        <v>0</v>
      </c>
      <c r="CO3115">
        <v>2</v>
      </c>
      <c r="CP3115">
        <v>0</v>
      </c>
      <c r="CQ3115">
        <v>7</v>
      </c>
      <c r="CR3115" t="s">
        <v>116</v>
      </c>
      <c r="CS3115">
        <v>38</v>
      </c>
      <c r="CT3115">
        <v>3</v>
      </c>
      <c r="CU3115" t="s">
        <v>4719</v>
      </c>
      <c r="CV3115" t="s">
        <v>4720</v>
      </c>
      <c r="CY3115">
        <v>10780144</v>
      </c>
      <c r="CZ3115" t="s">
        <v>119</v>
      </c>
    </row>
    <row r="3116" spans="1:104" x14ac:dyDescent="0.25">
      <c r="A3116" t="str">
        <f>"14:42:15.977"</f>
        <v>14:42:15.977</v>
      </c>
      <c r="B3116" t="s">
        <v>108</v>
      </c>
      <c r="C3116" t="str">
        <f t="shared" si="145"/>
        <v>ffdfd3c0</v>
      </c>
      <c r="D3116" t="s">
        <v>109</v>
      </c>
      <c r="E3116">
        <v>4</v>
      </c>
      <c r="F3116">
        <v>1004</v>
      </c>
      <c r="G3116" t="s">
        <v>110</v>
      </c>
      <c r="J3116" t="s">
        <v>111</v>
      </c>
      <c r="K3116">
        <v>0</v>
      </c>
      <c r="L3116">
        <v>3</v>
      </c>
      <c r="M3116">
        <v>0</v>
      </c>
      <c r="N3116">
        <v>2</v>
      </c>
      <c r="O3116">
        <v>1</v>
      </c>
      <c r="P3116">
        <v>0</v>
      </c>
      <c r="Q3116">
        <v>0</v>
      </c>
      <c r="R3116" t="s">
        <v>112</v>
      </c>
      <c r="S3116" t="str">
        <f>"14:42:15.797"</f>
        <v>14:42:15.797</v>
      </c>
      <c r="T3116" t="str">
        <f>"14:42:15.398"</f>
        <v>14:42:15.398</v>
      </c>
      <c r="U3116" t="str">
        <f t="shared" si="144"/>
        <v>ad5732</v>
      </c>
      <c r="V3116">
        <v>0</v>
      </c>
      <c r="W3116">
        <v>0</v>
      </c>
      <c r="X3116">
        <v>1</v>
      </c>
      <c r="Z3116">
        <v>0</v>
      </c>
      <c r="AA3116">
        <v>9</v>
      </c>
      <c r="AB3116">
        <v>3</v>
      </c>
      <c r="AC3116">
        <v>0</v>
      </c>
      <c r="AD3116">
        <v>10</v>
      </c>
      <c r="AE3116">
        <v>0</v>
      </c>
      <c r="AF3116">
        <v>3</v>
      </c>
      <c r="AG3116">
        <v>2</v>
      </c>
      <c r="AH3116">
        <v>0</v>
      </c>
      <c r="AI3116" t="s">
        <v>6341</v>
      </c>
      <c r="AJ3116">
        <v>40.403143999999998</v>
      </c>
      <c r="AK3116" t="s">
        <v>6342</v>
      </c>
      <c r="AL3116">
        <v>-74.936949999999996</v>
      </c>
      <c r="AM3116">
        <v>100</v>
      </c>
      <c r="AN3116">
        <v>3700</v>
      </c>
      <c r="AO3116" t="s">
        <v>115</v>
      </c>
      <c r="AP3116">
        <v>163</v>
      </c>
      <c r="AQ3116">
        <v>-26</v>
      </c>
      <c r="AR3116">
        <v>64</v>
      </c>
      <c r="AZ3116">
        <v>3614</v>
      </c>
      <c r="BA3116">
        <v>1</v>
      </c>
      <c r="BB3116" t="str">
        <f t="shared" si="146"/>
        <v xml:space="preserve">N959MJ  </v>
      </c>
      <c r="BC3116">
        <v>1</v>
      </c>
      <c r="BE3116">
        <v>0</v>
      </c>
      <c r="BF3116">
        <v>0</v>
      </c>
      <c r="BG3116">
        <v>0</v>
      </c>
      <c r="BH3116">
        <v>3850</v>
      </c>
      <c r="BI3116">
        <v>150</v>
      </c>
      <c r="BJ3116">
        <v>1</v>
      </c>
      <c r="BK3116">
        <v>1</v>
      </c>
      <c r="BL3116">
        <v>1</v>
      </c>
      <c r="BM3116">
        <v>0</v>
      </c>
      <c r="BP3116">
        <v>0</v>
      </c>
      <c r="BQ3116">
        <v>0</v>
      </c>
      <c r="BX3116" t="str">
        <f>"14:42:15.797"</f>
        <v>14:42:15.797</v>
      </c>
      <c r="BY3116" t="str">
        <f>"799286398"</f>
        <v>799286398</v>
      </c>
      <c r="CL3116">
        <v>0</v>
      </c>
      <c r="CM3116">
        <v>2</v>
      </c>
      <c r="CN3116">
        <v>0</v>
      </c>
      <c r="CO3116">
        <v>2</v>
      </c>
      <c r="CP3116">
        <v>0</v>
      </c>
      <c r="CQ3116">
        <v>7</v>
      </c>
      <c r="CR3116" t="s">
        <v>116</v>
      </c>
      <c r="CS3116">
        <v>38</v>
      </c>
      <c r="CT3116">
        <v>3</v>
      </c>
      <c r="CU3116" t="s">
        <v>4719</v>
      </c>
      <c r="CV3116" t="s">
        <v>4720</v>
      </c>
      <c r="CY3116">
        <v>10781841</v>
      </c>
      <c r="CZ3116" t="s">
        <v>119</v>
      </c>
    </row>
    <row r="3117" spans="1:104" x14ac:dyDescent="0.25">
      <c r="A3117" t="str">
        <f>"14:42:17.141"</f>
        <v>14:42:17.141</v>
      </c>
      <c r="B3117" t="s">
        <v>108</v>
      </c>
      <c r="C3117" t="str">
        <f t="shared" si="145"/>
        <v>ffdfd3c0</v>
      </c>
      <c r="D3117" t="s">
        <v>109</v>
      </c>
      <c r="E3117">
        <v>4</v>
      </c>
      <c r="F3117">
        <v>1004</v>
      </c>
      <c r="G3117" t="s">
        <v>110</v>
      </c>
      <c r="J3117" t="s">
        <v>111</v>
      </c>
      <c r="K3117">
        <v>0</v>
      </c>
      <c r="L3117">
        <v>3</v>
      </c>
      <c r="M3117">
        <v>0</v>
      </c>
      <c r="N3117">
        <v>2</v>
      </c>
      <c r="O3117">
        <v>1</v>
      </c>
      <c r="P3117">
        <v>0</v>
      </c>
      <c r="Q3117">
        <v>0</v>
      </c>
      <c r="R3117" t="s">
        <v>112</v>
      </c>
      <c r="S3117" t="str">
        <f>"14:42:16.945"</f>
        <v>14:42:16.945</v>
      </c>
      <c r="T3117" t="str">
        <f>"14:42:16.445"</f>
        <v>14:42:16.445</v>
      </c>
      <c r="U3117" t="str">
        <f t="shared" si="144"/>
        <v>ad5732</v>
      </c>
      <c r="V3117">
        <v>0</v>
      </c>
      <c r="W3117">
        <v>0</v>
      </c>
      <c r="X3117">
        <v>1</v>
      </c>
      <c r="Z3117">
        <v>0</v>
      </c>
      <c r="AA3117">
        <v>9</v>
      </c>
      <c r="AB3117">
        <v>3</v>
      </c>
      <c r="AC3117">
        <v>0</v>
      </c>
      <c r="AD3117">
        <v>10</v>
      </c>
      <c r="AE3117">
        <v>0</v>
      </c>
      <c r="AF3117">
        <v>3</v>
      </c>
      <c r="AG3117">
        <v>2</v>
      </c>
      <c r="AH3117">
        <v>0</v>
      </c>
      <c r="AI3117" t="s">
        <v>6343</v>
      </c>
      <c r="AJ3117">
        <v>40.402994</v>
      </c>
      <c r="AK3117" t="s">
        <v>6344</v>
      </c>
      <c r="AL3117">
        <v>-74.935790999999995</v>
      </c>
      <c r="AM3117">
        <v>100</v>
      </c>
      <c r="AN3117">
        <v>3700</v>
      </c>
      <c r="AO3117" t="s">
        <v>115</v>
      </c>
      <c r="AP3117">
        <v>163</v>
      </c>
      <c r="AQ3117">
        <v>-25</v>
      </c>
      <c r="AR3117">
        <v>64</v>
      </c>
      <c r="AZ3117">
        <v>3614</v>
      </c>
      <c r="BA3117">
        <v>1</v>
      </c>
      <c r="BB3117" t="str">
        <f t="shared" si="146"/>
        <v xml:space="preserve">N959MJ  </v>
      </c>
      <c r="BC3117">
        <v>1</v>
      </c>
      <c r="BE3117">
        <v>0</v>
      </c>
      <c r="BF3117">
        <v>0</v>
      </c>
      <c r="BG3117">
        <v>0</v>
      </c>
      <c r="BH3117">
        <v>3850</v>
      </c>
      <c r="BI3117">
        <v>150</v>
      </c>
      <c r="BJ3117">
        <v>1</v>
      </c>
      <c r="BK3117">
        <v>1</v>
      </c>
      <c r="BL3117">
        <v>1</v>
      </c>
      <c r="BM3117">
        <v>0</v>
      </c>
      <c r="BP3117">
        <v>0</v>
      </c>
      <c r="BQ3117">
        <v>0</v>
      </c>
      <c r="BX3117" t="str">
        <f>"14:42:16.945"</f>
        <v>14:42:16.945</v>
      </c>
      <c r="BY3117" t="str">
        <f>"946186212"</f>
        <v>946186212</v>
      </c>
      <c r="CL3117">
        <v>0</v>
      </c>
      <c r="CM3117">
        <v>2</v>
      </c>
      <c r="CN3117">
        <v>0</v>
      </c>
      <c r="CO3117">
        <v>2</v>
      </c>
      <c r="CP3117">
        <v>0</v>
      </c>
      <c r="CQ3117">
        <v>7</v>
      </c>
      <c r="CR3117" t="s">
        <v>116</v>
      </c>
      <c r="CS3117">
        <v>38</v>
      </c>
      <c r="CT3117">
        <v>3</v>
      </c>
      <c r="CU3117" t="s">
        <v>4719</v>
      </c>
      <c r="CV3117" t="s">
        <v>4720</v>
      </c>
      <c r="CY3117">
        <v>10783935</v>
      </c>
      <c r="CZ3117" t="s">
        <v>119</v>
      </c>
    </row>
    <row r="3118" spans="1:104" x14ac:dyDescent="0.25">
      <c r="A3118" t="str">
        <f>"14:42:18.047"</f>
        <v>14:42:18.047</v>
      </c>
      <c r="B3118" t="s">
        <v>108</v>
      </c>
      <c r="C3118" t="str">
        <f t="shared" si="145"/>
        <v>ffdfd3c0</v>
      </c>
      <c r="D3118" t="s">
        <v>109</v>
      </c>
      <c r="E3118">
        <v>4</v>
      </c>
      <c r="F3118">
        <v>1004</v>
      </c>
      <c r="G3118" t="s">
        <v>110</v>
      </c>
      <c r="J3118" t="s">
        <v>111</v>
      </c>
      <c r="K3118">
        <v>0</v>
      </c>
      <c r="L3118">
        <v>3</v>
      </c>
      <c r="M3118">
        <v>0</v>
      </c>
      <c r="N3118">
        <v>2</v>
      </c>
      <c r="O3118">
        <v>1</v>
      </c>
      <c r="P3118">
        <v>0</v>
      </c>
      <c r="Q3118">
        <v>0</v>
      </c>
      <c r="R3118" t="s">
        <v>112</v>
      </c>
      <c r="S3118" t="str">
        <f>"14:42:17.859"</f>
        <v>14:42:17.859</v>
      </c>
      <c r="T3118" t="str">
        <f>"14:42:17.461"</f>
        <v>14:42:17.461</v>
      </c>
      <c r="U3118" t="str">
        <f t="shared" si="144"/>
        <v>ad5732</v>
      </c>
      <c r="V3118">
        <v>0</v>
      </c>
      <c r="W3118">
        <v>0</v>
      </c>
      <c r="X3118">
        <v>1</v>
      </c>
      <c r="Z3118">
        <v>0</v>
      </c>
      <c r="AA3118">
        <v>9</v>
      </c>
      <c r="AB3118">
        <v>3</v>
      </c>
      <c r="AC3118">
        <v>0</v>
      </c>
      <c r="AD3118">
        <v>10</v>
      </c>
      <c r="AE3118">
        <v>0</v>
      </c>
      <c r="AF3118">
        <v>3</v>
      </c>
      <c r="AG3118">
        <v>2</v>
      </c>
      <c r="AH3118">
        <v>0</v>
      </c>
      <c r="AI3118" t="s">
        <v>6345</v>
      </c>
      <c r="AJ3118">
        <v>40.402929999999998</v>
      </c>
      <c r="AK3118" t="s">
        <v>6346</v>
      </c>
      <c r="AL3118">
        <v>-74.934869000000006</v>
      </c>
      <c r="AM3118">
        <v>100</v>
      </c>
      <c r="AN3118">
        <v>3700</v>
      </c>
      <c r="AO3118" t="s">
        <v>115</v>
      </c>
      <c r="AP3118">
        <v>163</v>
      </c>
      <c r="AQ3118">
        <v>-24</v>
      </c>
      <c r="AR3118">
        <v>64</v>
      </c>
      <c r="AZ3118">
        <v>3614</v>
      </c>
      <c r="BA3118">
        <v>1</v>
      </c>
      <c r="BB3118" t="str">
        <f t="shared" si="146"/>
        <v xml:space="preserve">N959MJ  </v>
      </c>
      <c r="BC3118">
        <v>1</v>
      </c>
      <c r="BE3118">
        <v>0</v>
      </c>
      <c r="BF3118">
        <v>0</v>
      </c>
      <c r="BG3118">
        <v>0</v>
      </c>
      <c r="BH3118">
        <v>3850</v>
      </c>
      <c r="BI3118">
        <v>150</v>
      </c>
      <c r="BJ3118">
        <v>1</v>
      </c>
      <c r="BK3118">
        <v>1</v>
      </c>
      <c r="BL3118">
        <v>1</v>
      </c>
      <c r="BM3118">
        <v>0</v>
      </c>
      <c r="BP3118">
        <v>0</v>
      </c>
      <c r="BQ3118">
        <v>0</v>
      </c>
      <c r="BX3118" t="str">
        <f>"14:42:17.859"</f>
        <v>14:42:17.859</v>
      </c>
      <c r="BY3118" t="str">
        <f>"862067683"</f>
        <v>862067683</v>
      </c>
      <c r="CL3118">
        <v>0</v>
      </c>
      <c r="CM3118">
        <v>2</v>
      </c>
      <c r="CN3118">
        <v>0</v>
      </c>
      <c r="CO3118">
        <v>2</v>
      </c>
      <c r="CP3118">
        <v>0</v>
      </c>
      <c r="CQ3118">
        <v>7</v>
      </c>
      <c r="CR3118" t="s">
        <v>116</v>
      </c>
      <c r="CS3118">
        <v>38</v>
      </c>
      <c r="CT3118">
        <v>3</v>
      </c>
      <c r="CU3118" t="s">
        <v>4719</v>
      </c>
      <c r="CV3118" t="s">
        <v>4720</v>
      </c>
      <c r="CY3118">
        <v>10785573</v>
      </c>
      <c r="CZ3118" t="s">
        <v>119</v>
      </c>
    </row>
    <row r="3119" spans="1:104" x14ac:dyDescent="0.25">
      <c r="A3119" t="str">
        <f>"14:42:19.109"</f>
        <v>14:42:19.109</v>
      </c>
      <c r="B3119" t="s">
        <v>108</v>
      </c>
      <c r="C3119" t="str">
        <f t="shared" si="145"/>
        <v>ffdfd3c0</v>
      </c>
      <c r="D3119" t="s">
        <v>109</v>
      </c>
      <c r="E3119">
        <v>4</v>
      </c>
      <c r="F3119">
        <v>1004</v>
      </c>
      <c r="G3119" t="s">
        <v>110</v>
      </c>
      <c r="J3119" t="s">
        <v>111</v>
      </c>
      <c r="K3119">
        <v>0</v>
      </c>
      <c r="L3119">
        <v>3</v>
      </c>
      <c r="M3119">
        <v>0</v>
      </c>
      <c r="N3119">
        <v>2</v>
      </c>
      <c r="O3119">
        <v>1</v>
      </c>
      <c r="P3119">
        <v>0</v>
      </c>
      <c r="Q3119">
        <v>0</v>
      </c>
      <c r="R3119" t="s">
        <v>112</v>
      </c>
      <c r="S3119" t="str">
        <f>"14:42:18.930"</f>
        <v>14:42:18.930</v>
      </c>
      <c r="T3119" t="str">
        <f>"14:42:18.430"</f>
        <v>14:42:18.430</v>
      </c>
      <c r="U3119" t="str">
        <f t="shared" si="144"/>
        <v>ad5732</v>
      </c>
      <c r="V3119">
        <v>0</v>
      </c>
      <c r="W3119">
        <v>0</v>
      </c>
      <c r="X3119">
        <v>1</v>
      </c>
      <c r="Z3119">
        <v>0</v>
      </c>
      <c r="AA3119">
        <v>9</v>
      </c>
      <c r="AB3119">
        <v>3</v>
      </c>
      <c r="AC3119">
        <v>0</v>
      </c>
      <c r="AD3119">
        <v>10</v>
      </c>
      <c r="AE3119">
        <v>0</v>
      </c>
      <c r="AF3119">
        <v>3</v>
      </c>
      <c r="AG3119">
        <v>2</v>
      </c>
      <c r="AH3119">
        <v>0</v>
      </c>
      <c r="AI3119" t="s">
        <v>6347</v>
      </c>
      <c r="AJ3119">
        <v>40.40278</v>
      </c>
      <c r="AK3119" t="s">
        <v>6348</v>
      </c>
      <c r="AL3119">
        <v>-74.933839000000006</v>
      </c>
      <c r="AM3119">
        <v>100</v>
      </c>
      <c r="AN3119">
        <v>3700</v>
      </c>
      <c r="AO3119" t="s">
        <v>115</v>
      </c>
      <c r="AP3119">
        <v>163</v>
      </c>
      <c r="AQ3119">
        <v>-24</v>
      </c>
      <c r="AR3119">
        <v>64</v>
      </c>
      <c r="AZ3119">
        <v>3614</v>
      </c>
      <c r="BA3119">
        <v>1</v>
      </c>
      <c r="BB3119" t="str">
        <f t="shared" si="146"/>
        <v xml:space="preserve">N959MJ  </v>
      </c>
      <c r="BC3119">
        <v>1</v>
      </c>
      <c r="BE3119">
        <v>0</v>
      </c>
      <c r="BF3119">
        <v>0</v>
      </c>
      <c r="BG3119">
        <v>0</v>
      </c>
      <c r="BH3119">
        <v>3875</v>
      </c>
      <c r="BI3119">
        <v>175</v>
      </c>
      <c r="BJ3119">
        <v>1</v>
      </c>
      <c r="BK3119">
        <v>1</v>
      </c>
      <c r="BL3119">
        <v>1</v>
      </c>
      <c r="BM3119">
        <v>0</v>
      </c>
      <c r="BP3119">
        <v>0</v>
      </c>
      <c r="BQ3119">
        <v>0</v>
      </c>
      <c r="BX3119" t="str">
        <f>"14:42:18.930"</f>
        <v>14:42:18.930</v>
      </c>
      <c r="BY3119" t="str">
        <f>"930322895"</f>
        <v>930322895</v>
      </c>
      <c r="CL3119">
        <v>0</v>
      </c>
      <c r="CM3119">
        <v>2</v>
      </c>
      <c r="CN3119">
        <v>0</v>
      </c>
      <c r="CO3119">
        <v>2</v>
      </c>
      <c r="CP3119">
        <v>0</v>
      </c>
      <c r="CQ3119">
        <v>7</v>
      </c>
      <c r="CR3119" t="s">
        <v>116</v>
      </c>
      <c r="CS3119">
        <v>38</v>
      </c>
      <c r="CT3119">
        <v>3</v>
      </c>
      <c r="CU3119" t="s">
        <v>4719</v>
      </c>
      <c r="CV3119" t="s">
        <v>4720</v>
      </c>
      <c r="CY3119">
        <v>10787471</v>
      </c>
      <c r="CZ3119" t="s">
        <v>119</v>
      </c>
    </row>
    <row r="3120" spans="1:104" x14ac:dyDescent="0.25">
      <c r="A3120" t="str">
        <f>"14:42:20.219"</f>
        <v>14:42:20.219</v>
      </c>
      <c r="B3120" t="s">
        <v>108</v>
      </c>
      <c r="C3120" t="str">
        <f t="shared" si="145"/>
        <v>ffdfd3c0</v>
      </c>
      <c r="D3120" t="s">
        <v>109</v>
      </c>
      <c r="E3120">
        <v>4</v>
      </c>
      <c r="F3120">
        <v>1004</v>
      </c>
      <c r="G3120" t="s">
        <v>110</v>
      </c>
      <c r="J3120" t="s">
        <v>111</v>
      </c>
      <c r="K3120">
        <v>0</v>
      </c>
      <c r="L3120">
        <v>3</v>
      </c>
      <c r="M3120">
        <v>0</v>
      </c>
      <c r="N3120">
        <v>2</v>
      </c>
      <c r="O3120">
        <v>1</v>
      </c>
      <c r="P3120">
        <v>0</v>
      </c>
      <c r="Q3120">
        <v>0</v>
      </c>
      <c r="R3120" t="s">
        <v>112</v>
      </c>
      <c r="S3120" t="str">
        <f>"14:42:20.031"</f>
        <v>14:42:20.031</v>
      </c>
      <c r="T3120" t="str">
        <f>"14:42:19.531"</f>
        <v>14:42:19.531</v>
      </c>
      <c r="U3120" t="str">
        <f t="shared" si="144"/>
        <v>ad5732</v>
      </c>
      <c r="V3120">
        <v>0</v>
      </c>
      <c r="W3120">
        <v>0</v>
      </c>
      <c r="X3120">
        <v>1</v>
      </c>
      <c r="Z3120">
        <v>0</v>
      </c>
      <c r="AA3120">
        <v>9</v>
      </c>
      <c r="AB3120">
        <v>3</v>
      </c>
      <c r="AC3120">
        <v>0</v>
      </c>
      <c r="AD3120">
        <v>10</v>
      </c>
      <c r="AE3120">
        <v>0</v>
      </c>
      <c r="AF3120">
        <v>3</v>
      </c>
      <c r="AG3120">
        <v>2</v>
      </c>
      <c r="AH3120">
        <v>0</v>
      </c>
      <c r="AI3120" t="s">
        <v>6349</v>
      </c>
      <c r="AJ3120">
        <v>40.402693999999997</v>
      </c>
      <c r="AK3120" t="s">
        <v>6350</v>
      </c>
      <c r="AL3120">
        <v>-74.932744999999997</v>
      </c>
      <c r="AM3120">
        <v>100</v>
      </c>
      <c r="AN3120">
        <v>3700</v>
      </c>
      <c r="AO3120" t="s">
        <v>115</v>
      </c>
      <c r="AP3120">
        <v>163</v>
      </c>
      <c r="AQ3120">
        <v>-24</v>
      </c>
      <c r="AR3120">
        <v>64</v>
      </c>
      <c r="AZ3120">
        <v>3614</v>
      </c>
      <c r="BA3120">
        <v>1</v>
      </c>
      <c r="BB3120" t="str">
        <f t="shared" si="146"/>
        <v xml:space="preserve">N959MJ  </v>
      </c>
      <c r="BC3120">
        <v>1</v>
      </c>
      <c r="BE3120">
        <v>0</v>
      </c>
      <c r="BF3120">
        <v>0</v>
      </c>
      <c r="BG3120">
        <v>0</v>
      </c>
      <c r="BH3120">
        <v>3875</v>
      </c>
      <c r="BI3120">
        <v>175</v>
      </c>
      <c r="BJ3120">
        <v>1</v>
      </c>
      <c r="BK3120">
        <v>1</v>
      </c>
      <c r="BL3120">
        <v>1</v>
      </c>
      <c r="BM3120">
        <v>0</v>
      </c>
      <c r="BP3120">
        <v>0</v>
      </c>
      <c r="BQ3120">
        <v>0</v>
      </c>
      <c r="BX3120" t="str">
        <f>"14:42:20.031"</f>
        <v>14:42:20.031</v>
      </c>
      <c r="BY3120" t="str">
        <f>"034623578"</f>
        <v>034623578</v>
      </c>
      <c r="CL3120">
        <v>0</v>
      </c>
      <c r="CM3120">
        <v>2</v>
      </c>
      <c r="CN3120">
        <v>0</v>
      </c>
      <c r="CO3120">
        <v>2</v>
      </c>
      <c r="CP3120">
        <v>0</v>
      </c>
      <c r="CQ3120">
        <v>7</v>
      </c>
      <c r="CR3120" t="s">
        <v>116</v>
      </c>
      <c r="CS3120">
        <v>38</v>
      </c>
      <c r="CT3120">
        <v>3</v>
      </c>
      <c r="CU3120" t="s">
        <v>4719</v>
      </c>
      <c r="CV3120" t="s">
        <v>4720</v>
      </c>
      <c r="CY3120">
        <v>10789385</v>
      </c>
      <c r="CZ3120" t="s">
        <v>119</v>
      </c>
    </row>
    <row r="3121" spans="1:104" x14ac:dyDescent="0.25">
      <c r="A3121" t="str">
        <f>"14:42:21.281"</f>
        <v>14:42:21.281</v>
      </c>
      <c r="B3121" t="s">
        <v>108</v>
      </c>
      <c r="C3121" t="str">
        <f t="shared" si="145"/>
        <v>ffdfd3c0</v>
      </c>
      <c r="D3121" t="s">
        <v>109</v>
      </c>
      <c r="E3121">
        <v>4</v>
      </c>
      <c r="F3121">
        <v>1004</v>
      </c>
      <c r="G3121" t="s">
        <v>110</v>
      </c>
      <c r="J3121" t="s">
        <v>111</v>
      </c>
      <c r="K3121">
        <v>0</v>
      </c>
      <c r="L3121">
        <v>3</v>
      </c>
      <c r="M3121">
        <v>0</v>
      </c>
      <c r="N3121">
        <v>2</v>
      </c>
      <c r="O3121">
        <v>1</v>
      </c>
      <c r="P3121">
        <v>0</v>
      </c>
      <c r="Q3121">
        <v>0</v>
      </c>
      <c r="R3121" t="s">
        <v>112</v>
      </c>
      <c r="S3121" t="str">
        <f>"14:42:21.086"</f>
        <v>14:42:21.086</v>
      </c>
      <c r="T3121" t="str">
        <f>"14:42:20.688"</f>
        <v>14:42:20.688</v>
      </c>
      <c r="U3121" t="str">
        <f t="shared" si="144"/>
        <v>ad5732</v>
      </c>
      <c r="V3121">
        <v>0</v>
      </c>
      <c r="W3121">
        <v>0</v>
      </c>
      <c r="X3121">
        <v>1</v>
      </c>
      <c r="Z3121">
        <v>0</v>
      </c>
      <c r="AA3121">
        <v>9</v>
      </c>
      <c r="AB3121">
        <v>3</v>
      </c>
      <c r="AC3121">
        <v>0</v>
      </c>
      <c r="AD3121">
        <v>10</v>
      </c>
      <c r="AE3121">
        <v>0</v>
      </c>
      <c r="AF3121">
        <v>3</v>
      </c>
      <c r="AG3121">
        <v>2</v>
      </c>
      <c r="AH3121">
        <v>0</v>
      </c>
      <c r="AI3121" t="s">
        <v>6351</v>
      </c>
      <c r="AJ3121">
        <v>40.402543999999999</v>
      </c>
      <c r="AK3121" t="s">
        <v>6352</v>
      </c>
      <c r="AL3121">
        <v>-74.931757000000005</v>
      </c>
      <c r="AM3121">
        <v>100</v>
      </c>
      <c r="AN3121">
        <v>3700</v>
      </c>
      <c r="AO3121" t="s">
        <v>115</v>
      </c>
      <c r="AP3121">
        <v>163</v>
      </c>
      <c r="AQ3121">
        <v>-24</v>
      </c>
      <c r="AR3121">
        <v>64</v>
      </c>
      <c r="AZ3121">
        <v>3614</v>
      </c>
      <c r="BA3121">
        <v>1</v>
      </c>
      <c r="BB3121" t="str">
        <f t="shared" si="146"/>
        <v xml:space="preserve">N959MJ  </v>
      </c>
      <c r="BC3121">
        <v>1</v>
      </c>
      <c r="BE3121">
        <v>0</v>
      </c>
      <c r="BF3121">
        <v>0</v>
      </c>
      <c r="BG3121">
        <v>0</v>
      </c>
      <c r="BH3121">
        <v>3875</v>
      </c>
      <c r="BI3121">
        <v>175</v>
      </c>
      <c r="BJ3121">
        <v>1</v>
      </c>
      <c r="BK3121">
        <v>1</v>
      </c>
      <c r="BL3121">
        <v>1</v>
      </c>
      <c r="BM3121">
        <v>0</v>
      </c>
      <c r="BP3121">
        <v>0</v>
      </c>
      <c r="BQ3121">
        <v>0</v>
      </c>
      <c r="BX3121" t="str">
        <f>"14:42:21.094"</f>
        <v>14:42:21.094</v>
      </c>
      <c r="BY3121" t="str">
        <f>"093048317"</f>
        <v>093048317</v>
      </c>
      <c r="CL3121">
        <v>0</v>
      </c>
      <c r="CM3121">
        <v>2</v>
      </c>
      <c r="CN3121">
        <v>0</v>
      </c>
      <c r="CO3121">
        <v>2</v>
      </c>
      <c r="CP3121">
        <v>0</v>
      </c>
      <c r="CQ3121">
        <v>7</v>
      </c>
      <c r="CR3121" t="s">
        <v>116</v>
      </c>
      <c r="CS3121">
        <v>38</v>
      </c>
      <c r="CT3121">
        <v>3</v>
      </c>
      <c r="CU3121" t="s">
        <v>4719</v>
      </c>
      <c r="CV3121" t="s">
        <v>4720</v>
      </c>
      <c r="CY3121">
        <v>10791318</v>
      </c>
      <c r="CZ3121" t="s">
        <v>119</v>
      </c>
    </row>
    <row r="3122" spans="1:104" x14ac:dyDescent="0.25">
      <c r="A3122" t="str">
        <f>"14:42:22.289"</f>
        <v>14:42:22.289</v>
      </c>
      <c r="B3122" t="s">
        <v>108</v>
      </c>
      <c r="C3122" t="str">
        <f t="shared" si="145"/>
        <v>ffdfd3c0</v>
      </c>
      <c r="D3122" t="s">
        <v>109</v>
      </c>
      <c r="E3122">
        <v>4</v>
      </c>
      <c r="F3122">
        <v>1004</v>
      </c>
      <c r="G3122" t="s">
        <v>110</v>
      </c>
      <c r="J3122" t="s">
        <v>111</v>
      </c>
      <c r="K3122">
        <v>0</v>
      </c>
      <c r="L3122">
        <v>3</v>
      </c>
      <c r="M3122">
        <v>0</v>
      </c>
      <c r="N3122">
        <v>2</v>
      </c>
      <c r="O3122">
        <v>1</v>
      </c>
      <c r="P3122">
        <v>0</v>
      </c>
      <c r="Q3122">
        <v>0</v>
      </c>
      <c r="R3122" t="s">
        <v>112</v>
      </c>
      <c r="S3122" t="str">
        <f>"14:42:22.094"</f>
        <v>14:42:22.094</v>
      </c>
      <c r="T3122" t="str">
        <f>"14:42:21.594"</f>
        <v>14:42:21.594</v>
      </c>
      <c r="U3122" t="str">
        <f t="shared" si="144"/>
        <v>ad5732</v>
      </c>
      <c r="V3122">
        <v>0</v>
      </c>
      <c r="W3122">
        <v>0</v>
      </c>
      <c r="X3122">
        <v>1</v>
      </c>
      <c r="Z3122">
        <v>0</v>
      </c>
      <c r="AA3122">
        <v>9</v>
      </c>
      <c r="AB3122">
        <v>3</v>
      </c>
      <c r="AC3122">
        <v>0</v>
      </c>
      <c r="AD3122">
        <v>10</v>
      </c>
      <c r="AE3122">
        <v>0</v>
      </c>
      <c r="AF3122">
        <v>3</v>
      </c>
      <c r="AG3122">
        <v>2</v>
      </c>
      <c r="AH3122">
        <v>0</v>
      </c>
      <c r="AI3122" t="s">
        <v>6353</v>
      </c>
      <c r="AJ3122">
        <v>40.402458000000003</v>
      </c>
      <c r="AK3122" t="s">
        <v>6354</v>
      </c>
      <c r="AL3122">
        <v>-74.930749000000006</v>
      </c>
      <c r="AM3122">
        <v>100</v>
      </c>
      <c r="AN3122">
        <v>3700</v>
      </c>
      <c r="AO3122" t="s">
        <v>115</v>
      </c>
      <c r="AP3122">
        <v>163</v>
      </c>
      <c r="AQ3122">
        <v>-24</v>
      </c>
      <c r="AR3122">
        <v>0</v>
      </c>
      <c r="AZ3122">
        <v>3614</v>
      </c>
      <c r="BA3122">
        <v>1</v>
      </c>
      <c r="BB3122" t="str">
        <f t="shared" si="146"/>
        <v xml:space="preserve">N959MJ  </v>
      </c>
      <c r="BC3122">
        <v>1</v>
      </c>
      <c r="BE3122">
        <v>0</v>
      </c>
      <c r="BF3122">
        <v>0</v>
      </c>
      <c r="BG3122">
        <v>0</v>
      </c>
      <c r="BH3122">
        <v>3875</v>
      </c>
      <c r="BI3122">
        <v>175</v>
      </c>
      <c r="BJ3122">
        <v>1</v>
      </c>
      <c r="BK3122">
        <v>1</v>
      </c>
      <c r="BL3122">
        <v>1</v>
      </c>
      <c r="BM3122">
        <v>0</v>
      </c>
      <c r="BP3122">
        <v>0</v>
      </c>
      <c r="BQ3122">
        <v>0</v>
      </c>
      <c r="BX3122" t="str">
        <f>"14:42:22.094"</f>
        <v>14:42:22.094</v>
      </c>
      <c r="BY3122" t="str">
        <f>"097404827"</f>
        <v>097404827</v>
      </c>
      <c r="CL3122">
        <v>0</v>
      </c>
      <c r="CM3122">
        <v>2</v>
      </c>
      <c r="CN3122">
        <v>0</v>
      </c>
      <c r="CO3122">
        <v>2</v>
      </c>
      <c r="CP3122">
        <v>0</v>
      </c>
      <c r="CQ3122">
        <v>7</v>
      </c>
      <c r="CR3122" t="s">
        <v>116</v>
      </c>
      <c r="CS3122">
        <v>38</v>
      </c>
      <c r="CT3122">
        <v>3</v>
      </c>
      <c r="CU3122" t="s">
        <v>4719</v>
      </c>
      <c r="CV3122" t="s">
        <v>4720</v>
      </c>
      <c r="CY3122">
        <v>10793179</v>
      </c>
      <c r="CZ3122" t="s">
        <v>119</v>
      </c>
    </row>
    <row r="3123" spans="1:104" x14ac:dyDescent="0.25">
      <c r="A3123" t="str">
        <f>"14:42:23.250"</f>
        <v>14:42:23.250</v>
      </c>
      <c r="B3123" t="s">
        <v>108</v>
      </c>
      <c r="C3123" t="str">
        <f t="shared" si="145"/>
        <v>ffdfd3c0</v>
      </c>
      <c r="D3123" t="s">
        <v>109</v>
      </c>
      <c r="E3123">
        <v>4</v>
      </c>
      <c r="F3123">
        <v>1004</v>
      </c>
      <c r="G3123" t="s">
        <v>110</v>
      </c>
      <c r="J3123" t="s">
        <v>111</v>
      </c>
      <c r="K3123">
        <v>0</v>
      </c>
      <c r="L3123">
        <v>3</v>
      </c>
      <c r="M3123">
        <v>0</v>
      </c>
      <c r="N3123">
        <v>2</v>
      </c>
      <c r="O3123">
        <v>1</v>
      </c>
      <c r="P3123">
        <v>0</v>
      </c>
      <c r="Q3123">
        <v>0</v>
      </c>
      <c r="R3123" t="s">
        <v>112</v>
      </c>
      <c r="S3123" t="str">
        <f>"14:42:23.047"</f>
        <v>14:42:23.047</v>
      </c>
      <c r="T3123" t="str">
        <f>"14:42:22.648"</f>
        <v>14:42:22.648</v>
      </c>
      <c r="U3123" t="str">
        <f t="shared" si="144"/>
        <v>ad5732</v>
      </c>
      <c r="V3123">
        <v>0</v>
      </c>
      <c r="W3123">
        <v>0</v>
      </c>
      <c r="X3123">
        <v>1</v>
      </c>
      <c r="Z3123">
        <v>0</v>
      </c>
      <c r="AA3123">
        <v>9</v>
      </c>
      <c r="AB3123">
        <v>3</v>
      </c>
      <c r="AC3123">
        <v>0</v>
      </c>
      <c r="AD3123">
        <v>10</v>
      </c>
      <c r="AE3123">
        <v>0</v>
      </c>
      <c r="AF3123">
        <v>3</v>
      </c>
      <c r="AG3123">
        <v>2</v>
      </c>
      <c r="AH3123">
        <v>0</v>
      </c>
      <c r="AI3123" t="s">
        <v>6355</v>
      </c>
      <c r="AJ3123">
        <v>40.402372</v>
      </c>
      <c r="AK3123" t="s">
        <v>6356</v>
      </c>
      <c r="AL3123">
        <v>-74.929761999999997</v>
      </c>
      <c r="AM3123">
        <v>100</v>
      </c>
      <c r="AN3123">
        <v>3700</v>
      </c>
      <c r="AO3123" t="s">
        <v>115</v>
      </c>
      <c r="AP3123">
        <v>163</v>
      </c>
      <c r="AQ3123">
        <v>-24</v>
      </c>
      <c r="AR3123">
        <v>-64</v>
      </c>
      <c r="AZ3123">
        <v>3614</v>
      </c>
      <c r="BA3123">
        <v>1</v>
      </c>
      <c r="BB3123" t="str">
        <f t="shared" si="146"/>
        <v xml:space="preserve">N959MJ  </v>
      </c>
      <c r="BC3123">
        <v>1</v>
      </c>
      <c r="BE3123">
        <v>0</v>
      </c>
      <c r="BF3123">
        <v>0</v>
      </c>
      <c r="BG3123">
        <v>0</v>
      </c>
      <c r="BH3123">
        <v>3875</v>
      </c>
      <c r="BI3123">
        <v>175</v>
      </c>
      <c r="BJ3123">
        <v>1</v>
      </c>
      <c r="BK3123">
        <v>1</v>
      </c>
      <c r="BL3123">
        <v>1</v>
      </c>
      <c r="BM3123">
        <v>0</v>
      </c>
      <c r="BP3123">
        <v>0</v>
      </c>
      <c r="BQ3123">
        <v>0</v>
      </c>
      <c r="BX3123" t="str">
        <f>"14:42:23.047"</f>
        <v>14:42:23.047</v>
      </c>
      <c r="BY3123" t="str">
        <f>"047693254"</f>
        <v>047693254</v>
      </c>
      <c r="CL3123">
        <v>0</v>
      </c>
      <c r="CM3123">
        <v>2</v>
      </c>
      <c r="CN3123">
        <v>0</v>
      </c>
      <c r="CO3123">
        <v>2</v>
      </c>
      <c r="CP3123">
        <v>0</v>
      </c>
      <c r="CQ3123">
        <v>7</v>
      </c>
      <c r="CR3123" t="s">
        <v>116</v>
      </c>
      <c r="CS3123">
        <v>38</v>
      </c>
      <c r="CT3123">
        <v>3</v>
      </c>
      <c r="CU3123" t="s">
        <v>4719</v>
      </c>
      <c r="CV3123" t="s">
        <v>4720</v>
      </c>
      <c r="CY3123">
        <v>10794854</v>
      </c>
      <c r="CZ3123" t="s">
        <v>119</v>
      </c>
    </row>
    <row r="3124" spans="1:104" x14ac:dyDescent="0.25">
      <c r="A3124" t="str">
        <f>"14:42:24.156"</f>
        <v>14:42:24.156</v>
      </c>
      <c r="B3124" t="s">
        <v>108</v>
      </c>
      <c r="C3124" t="str">
        <f t="shared" si="145"/>
        <v>ffdfd3c0</v>
      </c>
      <c r="D3124" t="s">
        <v>109</v>
      </c>
      <c r="E3124">
        <v>4</v>
      </c>
      <c r="F3124">
        <v>1004</v>
      </c>
      <c r="G3124" t="s">
        <v>110</v>
      </c>
      <c r="J3124" t="s">
        <v>111</v>
      </c>
      <c r="K3124">
        <v>0</v>
      </c>
      <c r="L3124">
        <v>3</v>
      </c>
      <c r="M3124">
        <v>0</v>
      </c>
      <c r="N3124">
        <v>2</v>
      </c>
      <c r="O3124">
        <v>1</v>
      </c>
      <c r="P3124">
        <v>0</v>
      </c>
      <c r="Q3124">
        <v>0</v>
      </c>
      <c r="R3124" t="s">
        <v>112</v>
      </c>
      <c r="S3124" t="str">
        <f>"14:42:23.977"</f>
        <v>14:42:23.977</v>
      </c>
      <c r="T3124" t="str">
        <f>"14:42:23.578"</f>
        <v>14:42:23.578</v>
      </c>
      <c r="U3124" t="str">
        <f t="shared" si="144"/>
        <v>ad5732</v>
      </c>
      <c r="V3124">
        <v>0</v>
      </c>
      <c r="W3124">
        <v>0</v>
      </c>
      <c r="X3124">
        <v>1</v>
      </c>
      <c r="Z3124">
        <v>0</v>
      </c>
      <c r="AA3124">
        <v>9</v>
      </c>
      <c r="AB3124">
        <v>3</v>
      </c>
      <c r="AC3124">
        <v>0</v>
      </c>
      <c r="AD3124">
        <v>10</v>
      </c>
      <c r="AE3124">
        <v>0</v>
      </c>
      <c r="AF3124">
        <v>3</v>
      </c>
      <c r="AG3124">
        <v>2</v>
      </c>
      <c r="AH3124">
        <v>0</v>
      </c>
      <c r="AI3124" t="s">
        <v>6357</v>
      </c>
      <c r="AJ3124">
        <v>40.402222000000002</v>
      </c>
      <c r="AK3124" t="s">
        <v>6358</v>
      </c>
      <c r="AL3124">
        <v>-74.928904000000003</v>
      </c>
      <c r="AM3124">
        <v>100</v>
      </c>
      <c r="AN3124">
        <v>3700</v>
      </c>
      <c r="AO3124" t="s">
        <v>115</v>
      </c>
      <c r="AP3124">
        <v>163</v>
      </c>
      <c r="AQ3124">
        <v>-24</v>
      </c>
      <c r="AR3124">
        <v>-64</v>
      </c>
      <c r="AZ3124">
        <v>3614</v>
      </c>
      <c r="BA3124">
        <v>1</v>
      </c>
      <c r="BB3124" t="str">
        <f t="shared" si="146"/>
        <v xml:space="preserve">N959MJ  </v>
      </c>
      <c r="BC3124">
        <v>1</v>
      </c>
      <c r="BE3124">
        <v>0</v>
      </c>
      <c r="BF3124">
        <v>0</v>
      </c>
      <c r="BG3124">
        <v>0</v>
      </c>
      <c r="BH3124">
        <v>3875</v>
      </c>
      <c r="BI3124">
        <v>175</v>
      </c>
      <c r="BJ3124">
        <v>1</v>
      </c>
      <c r="BK3124">
        <v>1</v>
      </c>
      <c r="BL3124">
        <v>1</v>
      </c>
      <c r="BM3124">
        <v>0</v>
      </c>
      <c r="BP3124">
        <v>0</v>
      </c>
      <c r="BQ3124">
        <v>0</v>
      </c>
      <c r="BX3124" t="str">
        <f>"14:42:23.984"</f>
        <v>14:42:23.984</v>
      </c>
      <c r="BY3124" t="str">
        <f>"983235818"</f>
        <v>983235818</v>
      </c>
      <c r="CL3124">
        <v>0</v>
      </c>
      <c r="CM3124">
        <v>2</v>
      </c>
      <c r="CN3124">
        <v>0</v>
      </c>
      <c r="CO3124">
        <v>2</v>
      </c>
      <c r="CP3124">
        <v>0</v>
      </c>
      <c r="CQ3124">
        <v>7</v>
      </c>
      <c r="CR3124" t="s">
        <v>116</v>
      </c>
      <c r="CS3124">
        <v>38</v>
      </c>
      <c r="CT3124">
        <v>3</v>
      </c>
      <c r="CU3124" t="s">
        <v>4719</v>
      </c>
      <c r="CV3124" t="s">
        <v>4720</v>
      </c>
      <c r="CY3124">
        <v>10796408</v>
      </c>
      <c r="CZ3124" t="s">
        <v>119</v>
      </c>
    </row>
    <row r="3125" spans="1:104" x14ac:dyDescent="0.25">
      <c r="A3125" t="str">
        <f>"14:42:25.266"</f>
        <v>14:42:25.266</v>
      </c>
      <c r="B3125" t="s">
        <v>108</v>
      </c>
      <c r="C3125" t="str">
        <f t="shared" si="145"/>
        <v>ffdfd3c0</v>
      </c>
      <c r="D3125" t="s">
        <v>109</v>
      </c>
      <c r="E3125">
        <v>4</v>
      </c>
      <c r="F3125">
        <v>1004</v>
      </c>
      <c r="G3125" t="s">
        <v>110</v>
      </c>
      <c r="J3125" t="s">
        <v>111</v>
      </c>
      <c r="K3125">
        <v>0</v>
      </c>
      <c r="L3125">
        <v>3</v>
      </c>
      <c r="M3125">
        <v>0</v>
      </c>
      <c r="N3125">
        <v>2</v>
      </c>
      <c r="O3125">
        <v>1</v>
      </c>
      <c r="P3125">
        <v>0</v>
      </c>
      <c r="Q3125">
        <v>0</v>
      </c>
      <c r="R3125" t="s">
        <v>112</v>
      </c>
      <c r="S3125" t="str">
        <f>"14:42:25.102"</f>
        <v>14:42:25.102</v>
      </c>
      <c r="T3125" t="str">
        <f>"14:42:24.602"</f>
        <v>14:42:24.602</v>
      </c>
      <c r="U3125" t="str">
        <f t="shared" si="144"/>
        <v>ad5732</v>
      </c>
      <c r="V3125">
        <v>0</v>
      </c>
      <c r="W3125">
        <v>0</v>
      </c>
      <c r="X3125">
        <v>1</v>
      </c>
      <c r="Z3125">
        <v>0</v>
      </c>
      <c r="AA3125">
        <v>9</v>
      </c>
      <c r="AB3125">
        <v>3</v>
      </c>
      <c r="AC3125">
        <v>0</v>
      </c>
      <c r="AD3125">
        <v>10</v>
      </c>
      <c r="AE3125">
        <v>0</v>
      </c>
      <c r="AF3125">
        <v>3</v>
      </c>
      <c r="AG3125">
        <v>2</v>
      </c>
      <c r="AH3125">
        <v>0</v>
      </c>
      <c r="AI3125" t="s">
        <v>6359</v>
      </c>
      <c r="AJ3125">
        <v>40.402135999999999</v>
      </c>
      <c r="AK3125" t="s">
        <v>6360</v>
      </c>
      <c r="AL3125">
        <v>-74.927808999999996</v>
      </c>
      <c r="AM3125">
        <v>100</v>
      </c>
      <c r="AN3125">
        <v>3700</v>
      </c>
      <c r="AO3125" t="s">
        <v>115</v>
      </c>
      <c r="AP3125">
        <v>163</v>
      </c>
      <c r="AQ3125">
        <v>-24</v>
      </c>
      <c r="AR3125">
        <v>-128</v>
      </c>
      <c r="AZ3125">
        <v>3614</v>
      </c>
      <c r="BA3125">
        <v>1</v>
      </c>
      <c r="BB3125" t="str">
        <f t="shared" si="146"/>
        <v xml:space="preserve">N959MJ  </v>
      </c>
      <c r="BC3125">
        <v>1</v>
      </c>
      <c r="BE3125">
        <v>0</v>
      </c>
      <c r="BF3125">
        <v>0</v>
      </c>
      <c r="BG3125">
        <v>0</v>
      </c>
      <c r="BH3125">
        <v>3875</v>
      </c>
      <c r="BI3125">
        <v>175</v>
      </c>
      <c r="BJ3125">
        <v>1</v>
      </c>
      <c r="BK3125">
        <v>1</v>
      </c>
      <c r="BL3125">
        <v>1</v>
      </c>
      <c r="BM3125">
        <v>0</v>
      </c>
      <c r="BP3125">
        <v>0</v>
      </c>
      <c r="BQ3125">
        <v>0</v>
      </c>
      <c r="BX3125" t="str">
        <f>"14:42:25.109"</f>
        <v>14:42:25.109</v>
      </c>
      <c r="BY3125" t="str">
        <f>"107197685"</f>
        <v>107197685</v>
      </c>
      <c r="CL3125">
        <v>0</v>
      </c>
      <c r="CM3125">
        <v>2</v>
      </c>
      <c r="CN3125">
        <v>0</v>
      </c>
      <c r="CO3125">
        <v>2</v>
      </c>
      <c r="CP3125">
        <v>0</v>
      </c>
      <c r="CQ3125">
        <v>7</v>
      </c>
      <c r="CR3125" t="s">
        <v>116</v>
      </c>
      <c r="CS3125">
        <v>38</v>
      </c>
      <c r="CT3125">
        <v>3</v>
      </c>
      <c r="CU3125" t="s">
        <v>4719</v>
      </c>
      <c r="CV3125" t="s">
        <v>4720</v>
      </c>
      <c r="CY3125">
        <v>10798334</v>
      </c>
      <c r="CZ3125" t="s">
        <v>119</v>
      </c>
    </row>
    <row r="3126" spans="1:104" x14ac:dyDescent="0.25">
      <c r="A3126" t="str">
        <f>"14:42:26.172"</f>
        <v>14:42:26.172</v>
      </c>
      <c r="B3126" t="s">
        <v>108</v>
      </c>
      <c r="C3126" t="str">
        <f t="shared" si="145"/>
        <v>ffdfd3c0</v>
      </c>
      <c r="D3126" t="s">
        <v>109</v>
      </c>
      <c r="E3126">
        <v>4</v>
      </c>
      <c r="F3126">
        <v>1004</v>
      </c>
      <c r="G3126" t="s">
        <v>110</v>
      </c>
      <c r="J3126" t="s">
        <v>111</v>
      </c>
      <c r="K3126">
        <v>0</v>
      </c>
      <c r="L3126">
        <v>3</v>
      </c>
      <c r="M3126">
        <v>0</v>
      </c>
      <c r="N3126">
        <v>2</v>
      </c>
      <c r="O3126">
        <v>1</v>
      </c>
      <c r="P3126">
        <v>0</v>
      </c>
      <c r="Q3126">
        <v>0</v>
      </c>
      <c r="R3126" t="s">
        <v>112</v>
      </c>
      <c r="S3126" t="str">
        <f>"14:42:26.016"</f>
        <v>14:42:26.016</v>
      </c>
      <c r="T3126" t="str">
        <f>"14:42:25.516"</f>
        <v>14:42:25.516</v>
      </c>
      <c r="U3126" t="str">
        <f t="shared" si="144"/>
        <v>ad5732</v>
      </c>
      <c r="V3126">
        <v>0</v>
      </c>
      <c r="W3126">
        <v>0</v>
      </c>
      <c r="X3126">
        <v>1</v>
      </c>
      <c r="Z3126">
        <v>0</v>
      </c>
      <c r="AA3126">
        <v>9</v>
      </c>
      <c r="AB3126">
        <v>3</v>
      </c>
      <c r="AC3126">
        <v>0</v>
      </c>
      <c r="AD3126">
        <v>10</v>
      </c>
      <c r="AE3126">
        <v>0</v>
      </c>
      <c r="AF3126">
        <v>3</v>
      </c>
      <c r="AG3126">
        <v>2</v>
      </c>
      <c r="AH3126">
        <v>0</v>
      </c>
      <c r="AI3126" t="s">
        <v>6361</v>
      </c>
      <c r="AJ3126">
        <v>40.402028999999999</v>
      </c>
      <c r="AK3126" t="s">
        <v>6362</v>
      </c>
      <c r="AL3126">
        <v>-74.926822000000001</v>
      </c>
      <c r="AM3126">
        <v>100</v>
      </c>
      <c r="AN3126">
        <v>3700</v>
      </c>
      <c r="AO3126" t="s">
        <v>115</v>
      </c>
      <c r="AP3126">
        <v>163</v>
      </c>
      <c r="AQ3126">
        <v>-24</v>
      </c>
      <c r="AR3126">
        <v>-128</v>
      </c>
      <c r="AZ3126">
        <v>3614</v>
      </c>
      <c r="BA3126">
        <v>1</v>
      </c>
      <c r="BB3126" t="str">
        <f t="shared" si="146"/>
        <v xml:space="preserve">N959MJ  </v>
      </c>
      <c r="BC3126">
        <v>1</v>
      </c>
      <c r="BE3126">
        <v>0</v>
      </c>
      <c r="BF3126">
        <v>0</v>
      </c>
      <c r="BG3126">
        <v>0</v>
      </c>
      <c r="BH3126">
        <v>3850</v>
      </c>
      <c r="BI3126">
        <v>150</v>
      </c>
      <c r="BJ3126">
        <v>1</v>
      </c>
      <c r="BK3126">
        <v>1</v>
      </c>
      <c r="BL3126">
        <v>1</v>
      </c>
      <c r="BM3126">
        <v>0</v>
      </c>
      <c r="BP3126">
        <v>0</v>
      </c>
      <c r="BQ3126">
        <v>0</v>
      </c>
      <c r="BX3126" t="str">
        <f>"14:42:26.023"</f>
        <v>14:42:26.023</v>
      </c>
      <c r="BY3126" t="str">
        <f>"021440808"</f>
        <v>021440808</v>
      </c>
      <c r="CL3126">
        <v>0</v>
      </c>
      <c r="CM3126">
        <v>2</v>
      </c>
      <c r="CN3126">
        <v>0</v>
      </c>
      <c r="CO3126">
        <v>2</v>
      </c>
      <c r="CP3126">
        <v>0</v>
      </c>
      <c r="CQ3126">
        <v>7</v>
      </c>
      <c r="CR3126" t="s">
        <v>116</v>
      </c>
      <c r="CS3126">
        <v>38</v>
      </c>
      <c r="CT3126">
        <v>3</v>
      </c>
      <c r="CU3126" t="s">
        <v>4719</v>
      </c>
      <c r="CV3126" t="s">
        <v>4720</v>
      </c>
      <c r="CY3126">
        <v>10799917</v>
      </c>
      <c r="CZ3126" t="s">
        <v>119</v>
      </c>
    </row>
    <row r="3127" spans="1:104" x14ac:dyDescent="0.25">
      <c r="A3127" t="str">
        <f>"14:42:27.133"</f>
        <v>14:42:27.133</v>
      </c>
      <c r="B3127" t="s">
        <v>108</v>
      </c>
      <c r="C3127" t="str">
        <f t="shared" si="145"/>
        <v>ffdfd3c0</v>
      </c>
      <c r="D3127" t="s">
        <v>109</v>
      </c>
      <c r="E3127">
        <v>4</v>
      </c>
      <c r="F3127">
        <v>1004</v>
      </c>
      <c r="G3127" t="s">
        <v>110</v>
      </c>
      <c r="J3127" t="s">
        <v>111</v>
      </c>
      <c r="K3127">
        <v>0</v>
      </c>
      <c r="L3127">
        <v>3</v>
      </c>
      <c r="M3127">
        <v>0</v>
      </c>
      <c r="N3127">
        <v>2</v>
      </c>
      <c r="O3127">
        <v>1</v>
      </c>
      <c r="P3127">
        <v>0</v>
      </c>
      <c r="Q3127">
        <v>0</v>
      </c>
      <c r="R3127" t="s">
        <v>112</v>
      </c>
      <c r="S3127" t="str">
        <f>"14:42:26.977"</f>
        <v>14:42:26.977</v>
      </c>
      <c r="T3127" t="str">
        <f>"14:42:26.477"</f>
        <v>14:42:26.477</v>
      </c>
      <c r="U3127" t="str">
        <f t="shared" si="144"/>
        <v>ad5732</v>
      </c>
      <c r="V3127">
        <v>0</v>
      </c>
      <c r="W3127">
        <v>0</v>
      </c>
      <c r="X3127">
        <v>1</v>
      </c>
      <c r="Z3127">
        <v>0</v>
      </c>
      <c r="AA3127">
        <v>9</v>
      </c>
      <c r="AB3127">
        <v>3</v>
      </c>
      <c r="AC3127">
        <v>0</v>
      </c>
      <c r="AD3127">
        <v>10</v>
      </c>
      <c r="AE3127">
        <v>0</v>
      </c>
      <c r="AF3127">
        <v>3</v>
      </c>
      <c r="AG3127">
        <v>2</v>
      </c>
      <c r="AH3127">
        <v>0</v>
      </c>
      <c r="AI3127" t="s">
        <v>6363</v>
      </c>
      <c r="AJ3127">
        <v>40.401899999999998</v>
      </c>
      <c r="AK3127" t="s">
        <v>6364</v>
      </c>
      <c r="AL3127">
        <v>-74.925899999999999</v>
      </c>
      <c r="AM3127">
        <v>100</v>
      </c>
      <c r="AN3127">
        <v>3700</v>
      </c>
      <c r="AO3127" t="s">
        <v>115</v>
      </c>
      <c r="AP3127">
        <v>163</v>
      </c>
      <c r="AQ3127">
        <v>-24</v>
      </c>
      <c r="AR3127">
        <v>-128</v>
      </c>
      <c r="AZ3127">
        <v>3614</v>
      </c>
      <c r="BA3127">
        <v>1</v>
      </c>
      <c r="BB3127" t="str">
        <f t="shared" si="146"/>
        <v xml:space="preserve">N959MJ  </v>
      </c>
      <c r="BC3127">
        <v>1</v>
      </c>
      <c r="BE3127">
        <v>0</v>
      </c>
      <c r="BF3127">
        <v>0</v>
      </c>
      <c r="BG3127">
        <v>0</v>
      </c>
      <c r="BH3127">
        <v>3850</v>
      </c>
      <c r="BI3127">
        <v>150</v>
      </c>
      <c r="BJ3127">
        <v>1</v>
      </c>
      <c r="BK3127">
        <v>1</v>
      </c>
      <c r="BL3127">
        <v>1</v>
      </c>
      <c r="BM3127">
        <v>0</v>
      </c>
      <c r="BP3127">
        <v>0</v>
      </c>
      <c r="BQ3127">
        <v>0</v>
      </c>
      <c r="BX3127" t="str">
        <f>"14:42:26.977"</f>
        <v>14:42:26.977</v>
      </c>
      <c r="BY3127" t="str">
        <f>"978282797"</f>
        <v>978282797</v>
      </c>
      <c r="CL3127">
        <v>0</v>
      </c>
      <c r="CM3127">
        <v>2</v>
      </c>
      <c r="CN3127">
        <v>0</v>
      </c>
      <c r="CO3127">
        <v>2</v>
      </c>
      <c r="CP3127">
        <v>0</v>
      </c>
      <c r="CQ3127">
        <v>7</v>
      </c>
      <c r="CR3127" t="s">
        <v>116</v>
      </c>
      <c r="CS3127">
        <v>38</v>
      </c>
      <c r="CT3127">
        <v>0</v>
      </c>
      <c r="CU3127" t="s">
        <v>4719</v>
      </c>
      <c r="CV3127" t="s">
        <v>4720</v>
      </c>
      <c r="CY3127">
        <v>7392678</v>
      </c>
      <c r="CZ3127" t="s">
        <v>119</v>
      </c>
    </row>
    <row r="3128" spans="1:104" x14ac:dyDescent="0.25">
      <c r="A3128" t="str">
        <f>"14:42:28.094"</f>
        <v>14:42:28.094</v>
      </c>
      <c r="B3128" t="s">
        <v>108</v>
      </c>
      <c r="C3128" t="str">
        <f t="shared" si="145"/>
        <v>ffdfd3c0</v>
      </c>
      <c r="D3128" t="s">
        <v>109</v>
      </c>
      <c r="E3128">
        <v>4</v>
      </c>
      <c r="F3128">
        <v>1004</v>
      </c>
      <c r="G3128" t="s">
        <v>110</v>
      </c>
      <c r="J3128" t="s">
        <v>111</v>
      </c>
      <c r="K3128">
        <v>0</v>
      </c>
      <c r="L3128">
        <v>3</v>
      </c>
      <c r="M3128">
        <v>0</v>
      </c>
      <c r="N3128">
        <v>2</v>
      </c>
      <c r="O3128">
        <v>1</v>
      </c>
      <c r="P3128">
        <v>0</v>
      </c>
      <c r="Q3128">
        <v>0</v>
      </c>
      <c r="R3128" t="s">
        <v>112</v>
      </c>
      <c r="S3128" t="str">
        <f>"14:42:27.898"</f>
        <v>14:42:27.898</v>
      </c>
      <c r="T3128" t="str">
        <f>"14:42:27.398"</f>
        <v>14:42:27.398</v>
      </c>
      <c r="U3128" t="str">
        <f t="shared" si="144"/>
        <v>ad5732</v>
      </c>
      <c r="V3128">
        <v>0</v>
      </c>
      <c r="W3128">
        <v>0</v>
      </c>
      <c r="X3128">
        <v>1</v>
      </c>
      <c r="Z3128">
        <v>0</v>
      </c>
      <c r="AA3128">
        <v>9</v>
      </c>
      <c r="AB3128">
        <v>3</v>
      </c>
      <c r="AC3128">
        <v>0</v>
      </c>
      <c r="AD3128">
        <v>10</v>
      </c>
      <c r="AE3128">
        <v>0</v>
      </c>
      <c r="AF3128">
        <v>3</v>
      </c>
      <c r="AG3128">
        <v>2</v>
      </c>
      <c r="AH3128">
        <v>0</v>
      </c>
      <c r="AI3128" t="s">
        <v>6365</v>
      </c>
      <c r="AJ3128">
        <v>40.401792999999998</v>
      </c>
      <c r="AK3128" t="s">
        <v>6366</v>
      </c>
      <c r="AL3128">
        <v>-74.925020000000004</v>
      </c>
      <c r="AM3128">
        <v>100</v>
      </c>
      <c r="AN3128">
        <v>3700</v>
      </c>
      <c r="AO3128" t="s">
        <v>115</v>
      </c>
      <c r="AP3128">
        <v>163</v>
      </c>
      <c r="AQ3128">
        <v>-23</v>
      </c>
      <c r="AR3128">
        <v>-128</v>
      </c>
      <c r="AZ3128">
        <v>3614</v>
      </c>
      <c r="BA3128">
        <v>1</v>
      </c>
      <c r="BB3128" t="str">
        <f t="shared" si="146"/>
        <v xml:space="preserve">N959MJ  </v>
      </c>
      <c r="BC3128">
        <v>1</v>
      </c>
      <c r="BE3128">
        <v>0</v>
      </c>
      <c r="BF3128">
        <v>0</v>
      </c>
      <c r="BG3128">
        <v>0</v>
      </c>
      <c r="BH3128">
        <v>3850</v>
      </c>
      <c r="BI3128">
        <v>150</v>
      </c>
      <c r="BJ3128">
        <v>1</v>
      </c>
      <c r="BK3128">
        <v>1</v>
      </c>
      <c r="BL3128">
        <v>1</v>
      </c>
      <c r="BM3128">
        <v>0</v>
      </c>
      <c r="BP3128">
        <v>0</v>
      </c>
      <c r="BQ3128">
        <v>0</v>
      </c>
      <c r="BX3128" t="str">
        <f>"14:42:27.898"</f>
        <v>14:42:27.898</v>
      </c>
      <c r="BY3128" t="str">
        <f>"900717944"</f>
        <v>900717944</v>
      </c>
      <c r="CL3128">
        <v>0</v>
      </c>
      <c r="CM3128">
        <v>2</v>
      </c>
      <c r="CN3128">
        <v>0</v>
      </c>
      <c r="CO3128">
        <v>2</v>
      </c>
      <c r="CP3128">
        <v>0</v>
      </c>
      <c r="CQ3128">
        <v>7</v>
      </c>
      <c r="CR3128" t="s">
        <v>116</v>
      </c>
      <c r="CS3128">
        <v>38</v>
      </c>
      <c r="CT3128">
        <v>3</v>
      </c>
      <c r="CU3128" t="s">
        <v>4719</v>
      </c>
      <c r="CV3128" t="s">
        <v>4720</v>
      </c>
      <c r="CY3128">
        <v>10803204</v>
      </c>
      <c r="CZ3128" t="s">
        <v>119</v>
      </c>
    </row>
    <row r="3129" spans="1:104" x14ac:dyDescent="0.25">
      <c r="A3129" t="str">
        <f>"14:42:29.102"</f>
        <v>14:42:29.102</v>
      </c>
      <c r="B3129" t="s">
        <v>108</v>
      </c>
      <c r="C3129" t="str">
        <f t="shared" si="145"/>
        <v>ffdfd3c0</v>
      </c>
      <c r="D3129" t="s">
        <v>109</v>
      </c>
      <c r="E3129">
        <v>4</v>
      </c>
      <c r="F3129">
        <v>1004</v>
      </c>
      <c r="G3129" t="s">
        <v>110</v>
      </c>
      <c r="J3129" t="s">
        <v>111</v>
      </c>
      <c r="K3129">
        <v>0</v>
      </c>
      <c r="L3129">
        <v>3</v>
      </c>
      <c r="M3129">
        <v>0</v>
      </c>
      <c r="N3129">
        <v>2</v>
      </c>
      <c r="O3129">
        <v>1</v>
      </c>
      <c r="P3129">
        <v>0</v>
      </c>
      <c r="Q3129">
        <v>0</v>
      </c>
      <c r="R3129" t="s">
        <v>112</v>
      </c>
      <c r="S3129" t="str">
        <f>"14:42:28.883"</f>
        <v>14:42:28.883</v>
      </c>
      <c r="T3129" t="str">
        <f>"14:42:28.383"</f>
        <v>14:42:28.383</v>
      </c>
      <c r="U3129" t="str">
        <f t="shared" si="144"/>
        <v>ad5732</v>
      </c>
      <c r="V3129">
        <v>0</v>
      </c>
      <c r="W3129">
        <v>0</v>
      </c>
      <c r="X3129">
        <v>1</v>
      </c>
      <c r="Z3129">
        <v>0</v>
      </c>
      <c r="AA3129">
        <v>9</v>
      </c>
      <c r="AB3129">
        <v>3</v>
      </c>
      <c r="AC3129">
        <v>0</v>
      </c>
      <c r="AD3129">
        <v>10</v>
      </c>
      <c r="AE3129">
        <v>0</v>
      </c>
      <c r="AF3129">
        <v>3</v>
      </c>
      <c r="AG3129">
        <v>2</v>
      </c>
      <c r="AH3129">
        <v>0</v>
      </c>
      <c r="AI3129" t="s">
        <v>6367</v>
      </c>
      <c r="AJ3129">
        <v>40.401707000000002</v>
      </c>
      <c r="AK3129" t="s">
        <v>6368</v>
      </c>
      <c r="AL3129">
        <v>-74.924010999999993</v>
      </c>
      <c r="AM3129">
        <v>100</v>
      </c>
      <c r="AN3129">
        <v>3700</v>
      </c>
      <c r="AO3129" t="s">
        <v>115</v>
      </c>
      <c r="AP3129">
        <v>163</v>
      </c>
      <c r="AQ3129">
        <v>-23</v>
      </c>
      <c r="AR3129">
        <v>-128</v>
      </c>
      <c r="AZ3129">
        <v>3614</v>
      </c>
      <c r="BA3129">
        <v>1</v>
      </c>
      <c r="BB3129" t="str">
        <f t="shared" si="146"/>
        <v xml:space="preserve">N959MJ  </v>
      </c>
      <c r="BC3129">
        <v>1</v>
      </c>
      <c r="BE3129">
        <v>0</v>
      </c>
      <c r="BF3129">
        <v>0</v>
      </c>
      <c r="BG3129">
        <v>0</v>
      </c>
      <c r="BH3129">
        <v>3850</v>
      </c>
      <c r="BI3129">
        <v>150</v>
      </c>
      <c r="BJ3129">
        <v>1</v>
      </c>
      <c r="BK3129">
        <v>1</v>
      </c>
      <c r="BL3129">
        <v>1</v>
      </c>
      <c r="BM3129">
        <v>0</v>
      </c>
      <c r="BP3129">
        <v>0</v>
      </c>
      <c r="BQ3129">
        <v>0</v>
      </c>
      <c r="BX3129" t="str">
        <f>"14:42:28.891"</f>
        <v>14:42:28.891</v>
      </c>
      <c r="BY3129" t="str">
        <f>"887051805"</f>
        <v>887051805</v>
      </c>
      <c r="CL3129">
        <v>0</v>
      </c>
      <c r="CM3129">
        <v>2</v>
      </c>
      <c r="CN3129">
        <v>0</v>
      </c>
      <c r="CO3129">
        <v>2</v>
      </c>
      <c r="CP3129">
        <v>0</v>
      </c>
      <c r="CQ3129">
        <v>6</v>
      </c>
      <c r="CR3129" t="s">
        <v>116</v>
      </c>
      <c r="CS3129">
        <v>38</v>
      </c>
      <c r="CT3129">
        <v>0</v>
      </c>
      <c r="CU3129" t="s">
        <v>4719</v>
      </c>
      <c r="CV3129" t="s">
        <v>4720</v>
      </c>
      <c r="CY3129">
        <v>7395785</v>
      </c>
      <c r="CZ3129" t="s">
        <v>119</v>
      </c>
    </row>
    <row r="3130" spans="1:104" x14ac:dyDescent="0.25">
      <c r="A3130" t="str">
        <f>"14:42:30.063"</f>
        <v>14:42:30.063</v>
      </c>
      <c r="B3130" t="s">
        <v>108</v>
      </c>
      <c r="C3130" t="str">
        <f t="shared" si="145"/>
        <v>ffdfd3c0</v>
      </c>
      <c r="D3130" t="s">
        <v>109</v>
      </c>
      <c r="E3130">
        <v>4</v>
      </c>
      <c r="F3130">
        <v>1004</v>
      </c>
      <c r="G3130" t="s">
        <v>110</v>
      </c>
      <c r="J3130" t="s">
        <v>111</v>
      </c>
      <c r="K3130">
        <v>0</v>
      </c>
      <c r="L3130">
        <v>3</v>
      </c>
      <c r="M3130">
        <v>0</v>
      </c>
      <c r="N3130">
        <v>2</v>
      </c>
      <c r="O3130">
        <v>1</v>
      </c>
      <c r="P3130">
        <v>0</v>
      </c>
      <c r="Q3130">
        <v>0</v>
      </c>
      <c r="R3130" t="s">
        <v>112</v>
      </c>
      <c r="S3130" t="str">
        <f>"14:42:29.859"</f>
        <v>14:42:29.859</v>
      </c>
      <c r="T3130" t="str">
        <f>"14:42:29.359"</f>
        <v>14:42:29.359</v>
      </c>
      <c r="U3130" t="str">
        <f t="shared" si="144"/>
        <v>ad5732</v>
      </c>
      <c r="V3130">
        <v>0</v>
      </c>
      <c r="W3130">
        <v>0</v>
      </c>
      <c r="X3130">
        <v>1</v>
      </c>
      <c r="Z3130">
        <v>0</v>
      </c>
      <c r="AA3130">
        <v>9</v>
      </c>
      <c r="AB3130">
        <v>3</v>
      </c>
      <c r="AC3130">
        <v>0</v>
      </c>
      <c r="AD3130">
        <v>10</v>
      </c>
      <c r="AE3130">
        <v>0</v>
      </c>
      <c r="AF3130">
        <v>3</v>
      </c>
      <c r="AG3130">
        <v>2</v>
      </c>
      <c r="AH3130">
        <v>0</v>
      </c>
      <c r="AI3130" t="s">
        <v>6369</v>
      </c>
      <c r="AJ3130">
        <v>40.401620999999999</v>
      </c>
      <c r="AK3130" t="s">
        <v>6370</v>
      </c>
      <c r="AL3130">
        <v>-74.923067000000003</v>
      </c>
      <c r="AM3130">
        <v>100</v>
      </c>
      <c r="AN3130">
        <v>3700</v>
      </c>
      <c r="AO3130" t="s">
        <v>115</v>
      </c>
      <c r="AP3130">
        <v>163</v>
      </c>
      <c r="AQ3130">
        <v>-23</v>
      </c>
      <c r="AR3130">
        <v>-64</v>
      </c>
      <c r="AZ3130">
        <v>3614</v>
      </c>
      <c r="BA3130">
        <v>1</v>
      </c>
      <c r="BB3130" t="str">
        <f t="shared" si="146"/>
        <v xml:space="preserve">N959MJ  </v>
      </c>
      <c r="BC3130">
        <v>1</v>
      </c>
      <c r="BE3130">
        <v>0</v>
      </c>
      <c r="BF3130">
        <v>0</v>
      </c>
      <c r="BG3130">
        <v>0</v>
      </c>
      <c r="BH3130">
        <v>3850</v>
      </c>
      <c r="BI3130">
        <v>150</v>
      </c>
      <c r="BJ3130">
        <v>1</v>
      </c>
      <c r="BK3130">
        <v>1</v>
      </c>
      <c r="BL3130">
        <v>1</v>
      </c>
      <c r="BM3130">
        <v>0</v>
      </c>
      <c r="BP3130">
        <v>0</v>
      </c>
      <c r="BQ3130">
        <v>0</v>
      </c>
      <c r="BX3130" t="str">
        <f>"14:42:29.859"</f>
        <v>14:42:29.859</v>
      </c>
      <c r="BY3130" t="str">
        <f>"861916648"</f>
        <v>861916648</v>
      </c>
      <c r="CL3130">
        <v>0</v>
      </c>
      <c r="CM3130">
        <v>2</v>
      </c>
      <c r="CN3130">
        <v>0</v>
      </c>
      <c r="CO3130">
        <v>2</v>
      </c>
      <c r="CP3130">
        <v>0</v>
      </c>
      <c r="CQ3130">
        <v>7</v>
      </c>
      <c r="CR3130" t="s">
        <v>116</v>
      </c>
      <c r="CS3130">
        <v>38</v>
      </c>
      <c r="CT3130">
        <v>3</v>
      </c>
      <c r="CU3130" t="s">
        <v>4719</v>
      </c>
      <c r="CV3130" t="s">
        <v>4720</v>
      </c>
      <c r="CY3130">
        <v>10806611</v>
      </c>
      <c r="CZ3130" t="s">
        <v>119</v>
      </c>
    </row>
    <row r="3131" spans="1:104" x14ac:dyDescent="0.25">
      <c r="A3131" t="str">
        <f>"14:42:31.023"</f>
        <v>14:42:31.023</v>
      </c>
      <c r="B3131" t="s">
        <v>108</v>
      </c>
      <c r="C3131" t="str">
        <f t="shared" si="145"/>
        <v>ffdfd3c0</v>
      </c>
      <c r="D3131" t="s">
        <v>109</v>
      </c>
      <c r="E3131">
        <v>4</v>
      </c>
      <c r="F3131">
        <v>1004</v>
      </c>
      <c r="G3131" t="s">
        <v>110</v>
      </c>
      <c r="J3131" t="s">
        <v>111</v>
      </c>
      <c r="K3131">
        <v>0</v>
      </c>
      <c r="L3131">
        <v>3</v>
      </c>
      <c r="M3131">
        <v>0</v>
      </c>
      <c r="N3131">
        <v>2</v>
      </c>
      <c r="O3131">
        <v>1</v>
      </c>
      <c r="P3131">
        <v>0</v>
      </c>
      <c r="Q3131">
        <v>0</v>
      </c>
      <c r="R3131" t="s">
        <v>112</v>
      </c>
      <c r="S3131" t="str">
        <f>"14:42:30.867"</f>
        <v>14:42:30.867</v>
      </c>
      <c r="T3131" t="str">
        <f>"14:42:30.469"</f>
        <v>14:42:30.469</v>
      </c>
      <c r="U3131" t="str">
        <f t="shared" si="144"/>
        <v>ad5732</v>
      </c>
      <c r="V3131">
        <v>0</v>
      </c>
      <c r="W3131">
        <v>0</v>
      </c>
      <c r="X3131">
        <v>1</v>
      </c>
      <c r="Z3131">
        <v>0</v>
      </c>
      <c r="AA3131">
        <v>9</v>
      </c>
      <c r="AB3131">
        <v>3</v>
      </c>
      <c r="AC3131">
        <v>0</v>
      </c>
      <c r="AD3131">
        <v>10</v>
      </c>
      <c r="AE3131">
        <v>0</v>
      </c>
      <c r="AF3131">
        <v>3</v>
      </c>
      <c r="AG3131">
        <v>2</v>
      </c>
      <c r="AH3131">
        <v>0</v>
      </c>
      <c r="AI3131" t="s">
        <v>6371</v>
      </c>
      <c r="AJ3131">
        <v>40.401513999999999</v>
      </c>
      <c r="AK3131" t="s">
        <v>6372</v>
      </c>
      <c r="AL3131">
        <v>-74.922079999999994</v>
      </c>
      <c r="AM3131">
        <v>100</v>
      </c>
      <c r="AN3131">
        <v>3700</v>
      </c>
      <c r="AO3131" t="s">
        <v>115</v>
      </c>
      <c r="AP3131">
        <v>164</v>
      </c>
      <c r="AQ3131">
        <v>-23</v>
      </c>
      <c r="AR3131">
        <v>0</v>
      </c>
      <c r="AZ3131">
        <v>3614</v>
      </c>
      <c r="BA3131">
        <v>1</v>
      </c>
      <c r="BB3131" t="str">
        <f t="shared" si="146"/>
        <v xml:space="preserve">N959MJ  </v>
      </c>
      <c r="BC3131">
        <v>1</v>
      </c>
      <c r="BE3131">
        <v>0</v>
      </c>
      <c r="BF3131">
        <v>0</v>
      </c>
      <c r="BG3131">
        <v>0</v>
      </c>
      <c r="BH3131">
        <v>3850</v>
      </c>
      <c r="BI3131">
        <v>150</v>
      </c>
      <c r="BJ3131">
        <v>1</v>
      </c>
      <c r="BK3131">
        <v>1</v>
      </c>
      <c r="BL3131">
        <v>1</v>
      </c>
      <c r="BM3131">
        <v>0</v>
      </c>
      <c r="BP3131">
        <v>0</v>
      </c>
      <c r="BQ3131">
        <v>0</v>
      </c>
      <c r="BX3131" t="str">
        <f>"14:42:30.867"</f>
        <v>14:42:30.867</v>
      </c>
      <c r="BY3131" t="str">
        <f>"869550083"</f>
        <v>869550083</v>
      </c>
      <c r="CL3131">
        <v>0</v>
      </c>
      <c r="CM3131">
        <v>2</v>
      </c>
      <c r="CN3131">
        <v>0</v>
      </c>
      <c r="CO3131">
        <v>2</v>
      </c>
      <c r="CP3131">
        <v>0</v>
      </c>
      <c r="CQ3131">
        <v>7</v>
      </c>
      <c r="CR3131" t="s">
        <v>116</v>
      </c>
      <c r="CS3131">
        <v>38</v>
      </c>
      <c r="CT3131">
        <v>0</v>
      </c>
      <c r="CU3131" t="s">
        <v>4719</v>
      </c>
      <c r="CV3131" t="s">
        <v>4720</v>
      </c>
      <c r="CY3131">
        <v>7398849</v>
      </c>
      <c r="CZ3131" t="s">
        <v>119</v>
      </c>
    </row>
    <row r="3132" spans="1:104" x14ac:dyDescent="0.25">
      <c r="A3132" t="str">
        <f>"14:42:31.977"</f>
        <v>14:42:31.977</v>
      </c>
      <c r="B3132" t="s">
        <v>108</v>
      </c>
      <c r="C3132" t="str">
        <f t="shared" si="145"/>
        <v>ffdfd3c0</v>
      </c>
      <c r="D3132" t="s">
        <v>109</v>
      </c>
      <c r="E3132">
        <v>4</v>
      </c>
      <c r="F3132">
        <v>1004</v>
      </c>
      <c r="G3132" t="s">
        <v>110</v>
      </c>
      <c r="J3132" t="s">
        <v>111</v>
      </c>
      <c r="K3132">
        <v>0</v>
      </c>
      <c r="L3132">
        <v>3</v>
      </c>
      <c r="M3132">
        <v>0</v>
      </c>
      <c r="N3132">
        <v>2</v>
      </c>
      <c r="O3132">
        <v>1</v>
      </c>
      <c r="P3132">
        <v>0</v>
      </c>
      <c r="Q3132">
        <v>0</v>
      </c>
      <c r="R3132" t="s">
        <v>112</v>
      </c>
      <c r="S3132" t="str">
        <f>"14:42:31.828"</f>
        <v>14:42:31.828</v>
      </c>
      <c r="T3132" t="str">
        <f>"14:42:31.328"</f>
        <v>14:42:31.328</v>
      </c>
      <c r="U3132" t="str">
        <f t="shared" si="144"/>
        <v>ad5732</v>
      </c>
      <c r="V3132">
        <v>0</v>
      </c>
      <c r="W3132">
        <v>0</v>
      </c>
      <c r="X3132">
        <v>1</v>
      </c>
      <c r="Z3132">
        <v>0</v>
      </c>
      <c r="AA3132">
        <v>9</v>
      </c>
      <c r="AB3132">
        <v>3</v>
      </c>
      <c r="AC3132">
        <v>0</v>
      </c>
      <c r="AD3132">
        <v>10</v>
      </c>
      <c r="AE3132">
        <v>0</v>
      </c>
      <c r="AF3132">
        <v>3</v>
      </c>
      <c r="AG3132">
        <v>2</v>
      </c>
      <c r="AH3132">
        <v>0</v>
      </c>
      <c r="AI3132" t="s">
        <v>6373</v>
      </c>
      <c r="AJ3132">
        <v>40.401384999999998</v>
      </c>
      <c r="AK3132" t="s">
        <v>6374</v>
      </c>
      <c r="AL3132">
        <v>-74.921071999999995</v>
      </c>
      <c r="AM3132">
        <v>100</v>
      </c>
      <c r="AN3132">
        <v>3700</v>
      </c>
      <c r="AO3132" t="s">
        <v>115</v>
      </c>
      <c r="AP3132">
        <v>164</v>
      </c>
      <c r="AQ3132">
        <v>-23</v>
      </c>
      <c r="AR3132">
        <v>0</v>
      </c>
      <c r="AZ3132">
        <v>3614</v>
      </c>
      <c r="BA3132">
        <v>1</v>
      </c>
      <c r="BB3132" t="str">
        <f t="shared" si="146"/>
        <v xml:space="preserve">N959MJ  </v>
      </c>
      <c r="BC3132">
        <v>1</v>
      </c>
      <c r="BE3132">
        <v>0</v>
      </c>
      <c r="BF3132">
        <v>0</v>
      </c>
      <c r="BG3132">
        <v>0</v>
      </c>
      <c r="BH3132">
        <v>3850</v>
      </c>
      <c r="BI3132">
        <v>150</v>
      </c>
      <c r="BJ3132">
        <v>1</v>
      </c>
      <c r="BK3132">
        <v>1</v>
      </c>
      <c r="BL3132">
        <v>1</v>
      </c>
      <c r="BM3132">
        <v>0</v>
      </c>
      <c r="BP3132">
        <v>0</v>
      </c>
      <c r="BQ3132">
        <v>0</v>
      </c>
      <c r="BX3132" t="str">
        <f>"14:42:31.828"</f>
        <v>14:42:31.828</v>
      </c>
      <c r="BY3132" t="str">
        <f>"831307552"</f>
        <v>831307552</v>
      </c>
      <c r="CL3132">
        <v>0</v>
      </c>
      <c r="CM3132">
        <v>2</v>
      </c>
      <c r="CN3132">
        <v>0</v>
      </c>
      <c r="CO3132">
        <v>2</v>
      </c>
      <c r="CP3132">
        <v>0</v>
      </c>
      <c r="CQ3132">
        <v>7</v>
      </c>
      <c r="CR3132" t="s">
        <v>116</v>
      </c>
      <c r="CS3132">
        <v>38</v>
      </c>
      <c r="CT3132">
        <v>3</v>
      </c>
      <c r="CU3132" t="s">
        <v>4719</v>
      </c>
      <c r="CV3132" t="s">
        <v>4720</v>
      </c>
      <c r="CY3132">
        <v>10810270</v>
      </c>
      <c r="CZ3132" t="s">
        <v>119</v>
      </c>
    </row>
    <row r="3133" spans="1:104" x14ac:dyDescent="0.25">
      <c r="A3133" t="str">
        <f>"14:42:33.086"</f>
        <v>14:42:33.086</v>
      </c>
      <c r="B3133" t="s">
        <v>108</v>
      </c>
      <c r="C3133" t="str">
        <f t="shared" si="145"/>
        <v>ffdfd3c0</v>
      </c>
      <c r="D3133" t="s">
        <v>109</v>
      </c>
      <c r="E3133">
        <v>4</v>
      </c>
      <c r="F3133">
        <v>1004</v>
      </c>
      <c r="G3133" t="s">
        <v>110</v>
      </c>
      <c r="J3133" t="s">
        <v>111</v>
      </c>
      <c r="K3133">
        <v>0</v>
      </c>
      <c r="L3133">
        <v>3</v>
      </c>
      <c r="M3133">
        <v>0</v>
      </c>
      <c r="N3133">
        <v>2</v>
      </c>
      <c r="O3133">
        <v>1</v>
      </c>
      <c r="P3133">
        <v>0</v>
      </c>
      <c r="Q3133">
        <v>0</v>
      </c>
      <c r="R3133" t="s">
        <v>112</v>
      </c>
      <c r="S3133" t="str">
        <f>"14:42:32.922"</f>
        <v>14:42:32.922</v>
      </c>
      <c r="T3133" t="str">
        <f>"14:42:32.422"</f>
        <v>14:42:32.422</v>
      </c>
      <c r="U3133" t="str">
        <f t="shared" si="144"/>
        <v>ad5732</v>
      </c>
      <c r="V3133">
        <v>0</v>
      </c>
      <c r="W3133">
        <v>0</v>
      </c>
      <c r="X3133">
        <v>1</v>
      </c>
      <c r="Z3133">
        <v>0</v>
      </c>
      <c r="AA3133">
        <v>9</v>
      </c>
      <c r="AB3133">
        <v>3</v>
      </c>
      <c r="AC3133">
        <v>0</v>
      </c>
      <c r="AD3133">
        <v>10</v>
      </c>
      <c r="AE3133">
        <v>0</v>
      </c>
      <c r="AF3133">
        <v>3</v>
      </c>
      <c r="AG3133">
        <v>2</v>
      </c>
      <c r="AH3133">
        <v>0</v>
      </c>
      <c r="AI3133" t="s">
        <v>6375</v>
      </c>
      <c r="AJ3133">
        <v>40.401255999999997</v>
      </c>
      <c r="AK3133" t="s">
        <v>6376</v>
      </c>
      <c r="AL3133">
        <v>-74.919977000000003</v>
      </c>
      <c r="AM3133">
        <v>100</v>
      </c>
      <c r="AN3133">
        <v>3700</v>
      </c>
      <c r="AO3133" t="s">
        <v>115</v>
      </c>
      <c r="AP3133">
        <v>164</v>
      </c>
      <c r="AQ3133">
        <v>-22</v>
      </c>
      <c r="AR3133">
        <v>64</v>
      </c>
      <c r="AZ3133">
        <v>3614</v>
      </c>
      <c r="BA3133">
        <v>1</v>
      </c>
      <c r="BB3133" t="str">
        <f t="shared" si="146"/>
        <v xml:space="preserve">N959MJ  </v>
      </c>
      <c r="BC3133">
        <v>1</v>
      </c>
      <c r="BE3133">
        <v>0</v>
      </c>
      <c r="BF3133">
        <v>0</v>
      </c>
      <c r="BG3133">
        <v>0</v>
      </c>
      <c r="BH3133">
        <v>3850</v>
      </c>
      <c r="BI3133">
        <v>150</v>
      </c>
      <c r="BJ3133">
        <v>1</v>
      </c>
      <c r="BK3133">
        <v>1</v>
      </c>
      <c r="BL3133">
        <v>1</v>
      </c>
      <c r="BM3133">
        <v>0</v>
      </c>
      <c r="BP3133">
        <v>0</v>
      </c>
      <c r="BQ3133">
        <v>0</v>
      </c>
      <c r="BX3133" t="str">
        <f>"14:42:32.922"</f>
        <v>14:42:32.922</v>
      </c>
      <c r="BY3133" t="str">
        <f>"925777683"</f>
        <v>925777683</v>
      </c>
      <c r="CL3133">
        <v>0</v>
      </c>
      <c r="CM3133">
        <v>2</v>
      </c>
      <c r="CN3133">
        <v>0</v>
      </c>
      <c r="CO3133">
        <v>2</v>
      </c>
      <c r="CP3133">
        <v>0</v>
      </c>
      <c r="CQ3133">
        <v>7</v>
      </c>
      <c r="CR3133" t="s">
        <v>116</v>
      </c>
      <c r="CS3133">
        <v>38</v>
      </c>
      <c r="CT3133">
        <v>0</v>
      </c>
      <c r="CU3133" t="s">
        <v>4719</v>
      </c>
      <c r="CV3133" t="s">
        <v>4720</v>
      </c>
      <c r="CY3133">
        <v>7402365</v>
      </c>
      <c r="CZ3133" t="s">
        <v>119</v>
      </c>
    </row>
    <row r="3134" spans="1:104" x14ac:dyDescent="0.25">
      <c r="A3134" t="str">
        <f>"14:42:34.250"</f>
        <v>14:42:34.250</v>
      </c>
      <c r="B3134" t="s">
        <v>108</v>
      </c>
      <c r="C3134" t="str">
        <f t="shared" si="145"/>
        <v>ffdfd3c0</v>
      </c>
      <c r="D3134" t="s">
        <v>109</v>
      </c>
      <c r="E3134">
        <v>4</v>
      </c>
      <c r="F3134">
        <v>1004</v>
      </c>
      <c r="G3134" t="s">
        <v>110</v>
      </c>
      <c r="J3134" t="s">
        <v>111</v>
      </c>
      <c r="K3134">
        <v>0</v>
      </c>
      <c r="L3134">
        <v>3</v>
      </c>
      <c r="M3134">
        <v>0</v>
      </c>
      <c r="N3134">
        <v>2</v>
      </c>
      <c r="O3134">
        <v>1</v>
      </c>
      <c r="P3134">
        <v>0</v>
      </c>
      <c r="Q3134">
        <v>0</v>
      </c>
      <c r="R3134" t="s">
        <v>112</v>
      </c>
      <c r="S3134" t="str">
        <f>"14:42:34.031"</f>
        <v>14:42:34.031</v>
      </c>
      <c r="T3134" t="str">
        <f>"14:42:33.531"</f>
        <v>14:42:33.531</v>
      </c>
      <c r="U3134" t="str">
        <f t="shared" si="144"/>
        <v>ad5732</v>
      </c>
      <c r="V3134">
        <v>0</v>
      </c>
      <c r="W3134">
        <v>0</v>
      </c>
      <c r="X3134">
        <v>1</v>
      </c>
      <c r="Z3134">
        <v>0</v>
      </c>
      <c r="AA3134">
        <v>9</v>
      </c>
      <c r="AB3134">
        <v>3</v>
      </c>
      <c r="AC3134">
        <v>0</v>
      </c>
      <c r="AD3134">
        <v>10</v>
      </c>
      <c r="AE3134">
        <v>0</v>
      </c>
      <c r="AF3134">
        <v>3</v>
      </c>
      <c r="AG3134">
        <v>2</v>
      </c>
      <c r="AH3134">
        <v>0</v>
      </c>
      <c r="AI3134" t="s">
        <v>6377</v>
      </c>
      <c r="AJ3134">
        <v>40.401148999999997</v>
      </c>
      <c r="AK3134" t="s">
        <v>6378</v>
      </c>
      <c r="AL3134">
        <v>-74.918882999999994</v>
      </c>
      <c r="AM3134">
        <v>100</v>
      </c>
      <c r="AN3134">
        <v>3700</v>
      </c>
      <c r="AO3134" t="s">
        <v>115</v>
      </c>
      <c r="AP3134">
        <v>164</v>
      </c>
      <c r="AQ3134">
        <v>-22</v>
      </c>
      <c r="AR3134">
        <v>64</v>
      </c>
      <c r="AZ3134">
        <v>3614</v>
      </c>
      <c r="BA3134">
        <v>1</v>
      </c>
      <c r="BB3134" t="str">
        <f t="shared" si="146"/>
        <v xml:space="preserve">N959MJ  </v>
      </c>
      <c r="BC3134">
        <v>1</v>
      </c>
      <c r="BE3134">
        <v>0</v>
      </c>
      <c r="BF3134">
        <v>0</v>
      </c>
      <c r="BG3134">
        <v>0</v>
      </c>
      <c r="BH3134">
        <v>3850</v>
      </c>
      <c r="BI3134">
        <v>150</v>
      </c>
      <c r="BJ3134">
        <v>1</v>
      </c>
      <c r="BK3134">
        <v>1</v>
      </c>
      <c r="BL3134">
        <v>1</v>
      </c>
      <c r="BM3134">
        <v>0</v>
      </c>
      <c r="BP3134">
        <v>0</v>
      </c>
      <c r="BQ3134">
        <v>0</v>
      </c>
      <c r="BX3134" t="str">
        <f>"14:42:34.039"</f>
        <v>14:42:34.039</v>
      </c>
      <c r="BY3134" t="str">
        <f>"036632099"</f>
        <v>036632099</v>
      </c>
      <c r="CL3134">
        <v>0</v>
      </c>
      <c r="CM3134">
        <v>2</v>
      </c>
      <c r="CN3134">
        <v>0</v>
      </c>
      <c r="CO3134">
        <v>2</v>
      </c>
      <c r="CP3134">
        <v>0</v>
      </c>
      <c r="CQ3134">
        <v>7</v>
      </c>
      <c r="CR3134" t="s">
        <v>116</v>
      </c>
      <c r="CS3134">
        <v>38</v>
      </c>
      <c r="CT3134">
        <v>0</v>
      </c>
      <c r="CU3134" t="s">
        <v>4719</v>
      </c>
      <c r="CV3134" t="s">
        <v>4720</v>
      </c>
      <c r="CY3134">
        <v>7404144</v>
      </c>
      <c r="CZ3134" t="s">
        <v>119</v>
      </c>
    </row>
    <row r="3135" spans="1:104" x14ac:dyDescent="0.25">
      <c r="A3135" t="str">
        <f>"14:42:35.063"</f>
        <v>14:42:35.063</v>
      </c>
      <c r="B3135" t="s">
        <v>108</v>
      </c>
      <c r="C3135" t="str">
        <f t="shared" si="145"/>
        <v>ffdfd3c0</v>
      </c>
      <c r="D3135" t="s">
        <v>109</v>
      </c>
      <c r="E3135">
        <v>4</v>
      </c>
      <c r="F3135">
        <v>1004</v>
      </c>
      <c r="G3135" t="s">
        <v>110</v>
      </c>
      <c r="J3135" t="s">
        <v>111</v>
      </c>
      <c r="K3135">
        <v>0</v>
      </c>
      <c r="L3135">
        <v>3</v>
      </c>
      <c r="M3135">
        <v>0</v>
      </c>
      <c r="N3135">
        <v>2</v>
      </c>
      <c r="O3135">
        <v>1</v>
      </c>
      <c r="P3135">
        <v>0</v>
      </c>
      <c r="Q3135">
        <v>0</v>
      </c>
      <c r="R3135" t="s">
        <v>112</v>
      </c>
      <c r="S3135" t="str">
        <f>"14:42:34.867"</f>
        <v>14:42:34.867</v>
      </c>
      <c r="T3135" t="str">
        <f>"14:42:34.469"</f>
        <v>14:42:34.469</v>
      </c>
      <c r="U3135" t="str">
        <f t="shared" si="144"/>
        <v>ad5732</v>
      </c>
      <c r="V3135">
        <v>0</v>
      </c>
      <c r="W3135">
        <v>0</v>
      </c>
      <c r="X3135">
        <v>1</v>
      </c>
      <c r="Z3135">
        <v>0</v>
      </c>
      <c r="AA3135">
        <v>9</v>
      </c>
      <c r="AB3135">
        <v>3</v>
      </c>
      <c r="AC3135">
        <v>0</v>
      </c>
      <c r="AD3135">
        <v>10</v>
      </c>
      <c r="AE3135">
        <v>0</v>
      </c>
      <c r="AF3135">
        <v>3</v>
      </c>
      <c r="AG3135">
        <v>2</v>
      </c>
      <c r="AH3135">
        <v>0</v>
      </c>
      <c r="AI3135" t="s">
        <v>6379</v>
      </c>
      <c r="AJ3135">
        <v>40.401105999999999</v>
      </c>
      <c r="AK3135" t="s">
        <v>6380</v>
      </c>
      <c r="AL3135">
        <v>-74.918088999999995</v>
      </c>
      <c r="AM3135">
        <v>100</v>
      </c>
      <c r="AN3135">
        <v>3700</v>
      </c>
      <c r="AO3135" t="s">
        <v>115</v>
      </c>
      <c r="AP3135">
        <v>164</v>
      </c>
      <c r="AQ3135">
        <v>-22</v>
      </c>
      <c r="AR3135">
        <v>64</v>
      </c>
      <c r="AZ3135">
        <v>3614</v>
      </c>
      <c r="BA3135">
        <v>1</v>
      </c>
      <c r="BB3135" t="str">
        <f t="shared" si="146"/>
        <v xml:space="preserve">N959MJ  </v>
      </c>
      <c r="BC3135">
        <v>1</v>
      </c>
      <c r="BE3135">
        <v>0</v>
      </c>
      <c r="BF3135">
        <v>0</v>
      </c>
      <c r="BG3135">
        <v>0</v>
      </c>
      <c r="BH3135">
        <v>3850</v>
      </c>
      <c r="BI3135">
        <v>150</v>
      </c>
      <c r="BJ3135">
        <v>1</v>
      </c>
      <c r="BK3135">
        <v>1</v>
      </c>
      <c r="BL3135">
        <v>1</v>
      </c>
      <c r="BM3135">
        <v>0</v>
      </c>
      <c r="BP3135">
        <v>0</v>
      </c>
      <c r="BQ3135">
        <v>0</v>
      </c>
      <c r="BX3135" t="str">
        <f>"14:42:34.875"</f>
        <v>14:42:34.875</v>
      </c>
      <c r="BY3135" t="str">
        <f>"872230502"</f>
        <v>872230502</v>
      </c>
      <c r="CL3135">
        <v>0</v>
      </c>
      <c r="CM3135">
        <v>2</v>
      </c>
      <c r="CN3135">
        <v>0</v>
      </c>
      <c r="CO3135">
        <v>2</v>
      </c>
      <c r="CP3135">
        <v>0</v>
      </c>
      <c r="CQ3135">
        <v>7</v>
      </c>
      <c r="CR3135" t="s">
        <v>116</v>
      </c>
      <c r="CS3135">
        <v>38</v>
      </c>
      <c r="CT3135">
        <v>3</v>
      </c>
      <c r="CU3135" t="s">
        <v>4719</v>
      </c>
      <c r="CV3135" t="s">
        <v>4720</v>
      </c>
      <c r="CY3135">
        <v>10815538</v>
      </c>
      <c r="CZ3135" t="s">
        <v>119</v>
      </c>
    </row>
    <row r="3136" spans="1:104" x14ac:dyDescent="0.25">
      <c r="A3136" t="str">
        <f>"14:42:36.023"</f>
        <v>14:42:36.023</v>
      </c>
      <c r="B3136" t="s">
        <v>108</v>
      </c>
      <c r="C3136" t="str">
        <f t="shared" si="145"/>
        <v>ffdfd3c0</v>
      </c>
      <c r="D3136" t="s">
        <v>109</v>
      </c>
      <c r="E3136">
        <v>4</v>
      </c>
      <c r="F3136">
        <v>1004</v>
      </c>
      <c r="G3136" t="s">
        <v>110</v>
      </c>
      <c r="J3136" t="s">
        <v>111</v>
      </c>
      <c r="K3136">
        <v>0</v>
      </c>
      <c r="L3136">
        <v>3</v>
      </c>
      <c r="M3136">
        <v>0</v>
      </c>
      <c r="N3136">
        <v>2</v>
      </c>
      <c r="O3136">
        <v>1</v>
      </c>
      <c r="P3136">
        <v>0</v>
      </c>
      <c r="Q3136">
        <v>0</v>
      </c>
      <c r="R3136" t="s">
        <v>112</v>
      </c>
      <c r="S3136" t="str">
        <f>"14:42:35.844"</f>
        <v>14:42:35.844</v>
      </c>
      <c r="T3136" t="str">
        <f>"14:42:35.445"</f>
        <v>14:42:35.445</v>
      </c>
      <c r="U3136" t="str">
        <f t="shared" si="144"/>
        <v>ad5732</v>
      </c>
      <c r="V3136">
        <v>0</v>
      </c>
      <c r="W3136">
        <v>0</v>
      </c>
      <c r="X3136">
        <v>1</v>
      </c>
      <c r="Z3136">
        <v>0</v>
      </c>
      <c r="AA3136">
        <v>9</v>
      </c>
      <c r="AB3136">
        <v>3</v>
      </c>
      <c r="AC3136">
        <v>0</v>
      </c>
      <c r="AD3136">
        <v>10</v>
      </c>
      <c r="AE3136">
        <v>0</v>
      </c>
      <c r="AF3136">
        <v>3</v>
      </c>
      <c r="AG3136">
        <v>2</v>
      </c>
      <c r="AH3136">
        <v>0</v>
      </c>
      <c r="AI3136" t="s">
        <v>6381</v>
      </c>
      <c r="AJ3136">
        <v>40.400956000000001</v>
      </c>
      <c r="AK3136" t="s">
        <v>6382</v>
      </c>
      <c r="AL3136">
        <v>-74.917079999999999</v>
      </c>
      <c r="AM3136">
        <v>100</v>
      </c>
      <c r="AN3136">
        <v>3700</v>
      </c>
      <c r="AO3136" t="s">
        <v>115</v>
      </c>
      <c r="AP3136">
        <v>164</v>
      </c>
      <c r="AQ3136">
        <v>-22</v>
      </c>
      <c r="AR3136">
        <v>64</v>
      </c>
      <c r="AZ3136">
        <v>3614</v>
      </c>
      <c r="BA3136">
        <v>1</v>
      </c>
      <c r="BB3136" t="str">
        <f t="shared" si="146"/>
        <v xml:space="preserve">N959MJ  </v>
      </c>
      <c r="BC3136">
        <v>1</v>
      </c>
      <c r="BE3136">
        <v>0</v>
      </c>
      <c r="BF3136">
        <v>0</v>
      </c>
      <c r="BG3136">
        <v>0</v>
      </c>
      <c r="BH3136">
        <v>3850</v>
      </c>
      <c r="BI3136">
        <v>150</v>
      </c>
      <c r="BJ3136">
        <v>1</v>
      </c>
      <c r="BK3136">
        <v>1</v>
      </c>
      <c r="BL3136">
        <v>1</v>
      </c>
      <c r="BM3136">
        <v>0</v>
      </c>
      <c r="BP3136">
        <v>0</v>
      </c>
      <c r="BQ3136">
        <v>0</v>
      </c>
      <c r="BX3136" t="str">
        <f>"14:42:35.844"</f>
        <v>14:42:35.844</v>
      </c>
      <c r="BY3136" t="str">
        <f>"847095374"</f>
        <v>847095374</v>
      </c>
      <c r="CL3136">
        <v>0</v>
      </c>
      <c r="CM3136">
        <v>2</v>
      </c>
      <c r="CN3136">
        <v>0</v>
      </c>
      <c r="CO3136">
        <v>2</v>
      </c>
      <c r="CP3136">
        <v>0</v>
      </c>
      <c r="CQ3136">
        <v>7</v>
      </c>
      <c r="CR3136" t="s">
        <v>116</v>
      </c>
      <c r="CS3136">
        <v>38</v>
      </c>
      <c r="CT3136">
        <v>0</v>
      </c>
      <c r="CU3136" t="s">
        <v>4719</v>
      </c>
      <c r="CV3136" t="s">
        <v>4720</v>
      </c>
      <c r="CY3136">
        <v>7407050</v>
      </c>
      <c r="CZ3136" t="s">
        <v>119</v>
      </c>
    </row>
    <row r="3137" spans="1:104" x14ac:dyDescent="0.25">
      <c r="A3137" t="str">
        <f>"14:42:37.180"</f>
        <v>14:42:37.180</v>
      </c>
      <c r="B3137" t="s">
        <v>108</v>
      </c>
      <c r="C3137" t="str">
        <f t="shared" si="145"/>
        <v>ffdfd3c0</v>
      </c>
      <c r="D3137" t="s">
        <v>109</v>
      </c>
      <c r="E3137">
        <v>4</v>
      </c>
      <c r="F3137">
        <v>1004</v>
      </c>
      <c r="G3137" t="s">
        <v>110</v>
      </c>
      <c r="J3137" t="s">
        <v>111</v>
      </c>
      <c r="K3137">
        <v>0</v>
      </c>
      <c r="L3137">
        <v>3</v>
      </c>
      <c r="M3137">
        <v>0</v>
      </c>
      <c r="N3137">
        <v>2</v>
      </c>
      <c r="O3137">
        <v>1</v>
      </c>
      <c r="P3137">
        <v>0</v>
      </c>
      <c r="Q3137">
        <v>0</v>
      </c>
      <c r="R3137" t="s">
        <v>112</v>
      </c>
      <c r="S3137" t="str">
        <f>"14:42:37.008"</f>
        <v>14:42:37.008</v>
      </c>
      <c r="T3137" t="str">
        <f>"14:42:36.508"</f>
        <v>14:42:36.508</v>
      </c>
      <c r="U3137" t="str">
        <f t="shared" si="144"/>
        <v>ad5732</v>
      </c>
      <c r="V3137">
        <v>0</v>
      </c>
      <c r="W3137">
        <v>0</v>
      </c>
      <c r="X3137">
        <v>1</v>
      </c>
      <c r="Z3137">
        <v>0</v>
      </c>
      <c r="AA3137">
        <v>9</v>
      </c>
      <c r="AB3137">
        <v>3</v>
      </c>
      <c r="AC3137">
        <v>0</v>
      </c>
      <c r="AD3137">
        <v>10</v>
      </c>
      <c r="AE3137">
        <v>0</v>
      </c>
      <c r="AF3137">
        <v>3</v>
      </c>
      <c r="AG3137">
        <v>2</v>
      </c>
      <c r="AH3137">
        <v>0</v>
      </c>
      <c r="AI3137" t="s">
        <v>6383</v>
      </c>
      <c r="AJ3137">
        <v>40.400891000000001</v>
      </c>
      <c r="AK3137" t="s">
        <v>6384</v>
      </c>
      <c r="AL3137">
        <v>-74.916008000000005</v>
      </c>
      <c r="AM3137">
        <v>100</v>
      </c>
      <c r="AN3137">
        <v>3700</v>
      </c>
      <c r="AO3137" t="s">
        <v>115</v>
      </c>
      <c r="AP3137">
        <v>164</v>
      </c>
      <c r="AQ3137">
        <v>-21</v>
      </c>
      <c r="AR3137">
        <v>64</v>
      </c>
      <c r="AZ3137">
        <v>3614</v>
      </c>
      <c r="BA3137">
        <v>1</v>
      </c>
      <c r="BB3137" t="str">
        <f t="shared" si="146"/>
        <v xml:space="preserve">N959MJ  </v>
      </c>
      <c r="BC3137">
        <v>1</v>
      </c>
      <c r="BE3137">
        <v>0</v>
      </c>
      <c r="BF3137">
        <v>0</v>
      </c>
      <c r="BG3137">
        <v>0</v>
      </c>
      <c r="BH3137">
        <v>3850</v>
      </c>
      <c r="BI3137">
        <v>150</v>
      </c>
      <c r="BJ3137">
        <v>1</v>
      </c>
      <c r="BK3137">
        <v>1</v>
      </c>
      <c r="BL3137">
        <v>1</v>
      </c>
      <c r="BM3137">
        <v>0</v>
      </c>
      <c r="BP3137">
        <v>0</v>
      </c>
      <c r="BQ3137">
        <v>0</v>
      </c>
      <c r="BX3137" t="str">
        <f>"14:42:37.008"</f>
        <v>14:42:37.008</v>
      </c>
      <c r="BY3137" t="str">
        <f>"008741111"</f>
        <v>008741111</v>
      </c>
      <c r="CL3137">
        <v>0</v>
      </c>
      <c r="CM3137">
        <v>2</v>
      </c>
      <c r="CN3137">
        <v>0</v>
      </c>
      <c r="CO3137">
        <v>2</v>
      </c>
      <c r="CP3137">
        <v>0</v>
      </c>
      <c r="CQ3137">
        <v>7</v>
      </c>
      <c r="CR3137" t="s">
        <v>116</v>
      </c>
      <c r="CS3137">
        <v>38</v>
      </c>
      <c r="CT3137">
        <v>3</v>
      </c>
      <c r="CU3137" t="s">
        <v>4719</v>
      </c>
      <c r="CV3137" t="s">
        <v>4720</v>
      </c>
      <c r="CY3137">
        <v>10819167</v>
      </c>
      <c r="CZ3137" t="s">
        <v>119</v>
      </c>
    </row>
    <row r="3138" spans="1:104" x14ac:dyDescent="0.25">
      <c r="A3138" t="str">
        <f>"14:42:38.141"</f>
        <v>14:42:38.141</v>
      </c>
      <c r="B3138" t="s">
        <v>108</v>
      </c>
      <c r="C3138" t="str">
        <f t="shared" si="145"/>
        <v>ffdfd3c0</v>
      </c>
      <c r="D3138" t="s">
        <v>109</v>
      </c>
      <c r="E3138">
        <v>4</v>
      </c>
      <c r="F3138">
        <v>1004</v>
      </c>
      <c r="G3138" t="s">
        <v>110</v>
      </c>
      <c r="J3138" t="s">
        <v>111</v>
      </c>
      <c r="K3138">
        <v>0</v>
      </c>
      <c r="L3138">
        <v>3</v>
      </c>
      <c r="M3138">
        <v>0</v>
      </c>
      <c r="N3138">
        <v>2</v>
      </c>
      <c r="O3138">
        <v>1</v>
      </c>
      <c r="P3138">
        <v>0</v>
      </c>
      <c r="Q3138">
        <v>0</v>
      </c>
      <c r="R3138" t="s">
        <v>112</v>
      </c>
      <c r="S3138" t="str">
        <f>"14:42:37.969"</f>
        <v>14:42:37.969</v>
      </c>
      <c r="T3138" t="str">
        <f>"14:42:37.469"</f>
        <v>14:42:37.469</v>
      </c>
      <c r="U3138" t="str">
        <f t="shared" ref="U3138:U3201" si="147">"ad5732"</f>
        <v>ad5732</v>
      </c>
      <c r="V3138">
        <v>0</v>
      </c>
      <c r="W3138">
        <v>0</v>
      </c>
      <c r="X3138">
        <v>1</v>
      </c>
      <c r="Z3138">
        <v>0</v>
      </c>
      <c r="AA3138">
        <v>9</v>
      </c>
      <c r="AB3138">
        <v>3</v>
      </c>
      <c r="AC3138">
        <v>0</v>
      </c>
      <c r="AD3138">
        <v>10</v>
      </c>
      <c r="AE3138">
        <v>0</v>
      </c>
      <c r="AF3138">
        <v>3</v>
      </c>
      <c r="AG3138">
        <v>2</v>
      </c>
      <c r="AH3138">
        <v>0</v>
      </c>
      <c r="AI3138" t="s">
        <v>6385</v>
      </c>
      <c r="AJ3138">
        <v>40.400762999999998</v>
      </c>
      <c r="AK3138" t="s">
        <v>6386</v>
      </c>
      <c r="AL3138">
        <v>-74.915042</v>
      </c>
      <c r="AM3138">
        <v>100</v>
      </c>
      <c r="AN3138">
        <v>3700</v>
      </c>
      <c r="AO3138" t="s">
        <v>115</v>
      </c>
      <c r="AP3138">
        <v>164</v>
      </c>
      <c r="AQ3138">
        <v>-21</v>
      </c>
      <c r="AR3138">
        <v>64</v>
      </c>
      <c r="AZ3138">
        <v>3614</v>
      </c>
      <c r="BA3138">
        <v>1</v>
      </c>
      <c r="BB3138" t="str">
        <f t="shared" si="146"/>
        <v xml:space="preserve">N959MJ  </v>
      </c>
      <c r="BC3138">
        <v>1</v>
      </c>
      <c r="BE3138">
        <v>0</v>
      </c>
      <c r="BF3138">
        <v>0</v>
      </c>
      <c r="BG3138">
        <v>0</v>
      </c>
      <c r="BH3138">
        <v>3850</v>
      </c>
      <c r="BI3138">
        <v>150</v>
      </c>
      <c r="BJ3138">
        <v>1</v>
      </c>
      <c r="BK3138">
        <v>1</v>
      </c>
      <c r="BL3138">
        <v>1</v>
      </c>
      <c r="BM3138">
        <v>0</v>
      </c>
      <c r="BP3138">
        <v>0</v>
      </c>
      <c r="BQ3138">
        <v>0</v>
      </c>
      <c r="BX3138" t="str">
        <f>"14:42:37.977"</f>
        <v>14:42:37.977</v>
      </c>
      <c r="BY3138" t="str">
        <f>"973775351"</f>
        <v>973775351</v>
      </c>
      <c r="CL3138">
        <v>0</v>
      </c>
      <c r="CM3138">
        <v>2</v>
      </c>
      <c r="CN3138">
        <v>0</v>
      </c>
      <c r="CO3138">
        <v>2</v>
      </c>
      <c r="CP3138">
        <v>0</v>
      </c>
      <c r="CQ3138">
        <v>7</v>
      </c>
      <c r="CR3138" t="s">
        <v>116</v>
      </c>
      <c r="CS3138">
        <v>38</v>
      </c>
      <c r="CT3138">
        <v>3</v>
      </c>
      <c r="CU3138" t="s">
        <v>4719</v>
      </c>
      <c r="CV3138" t="s">
        <v>4720</v>
      </c>
      <c r="CY3138">
        <v>10820830</v>
      </c>
      <c r="CZ3138" t="s">
        <v>119</v>
      </c>
    </row>
    <row r="3139" spans="1:104" x14ac:dyDescent="0.25">
      <c r="A3139" t="str">
        <f>"14:42:39.148"</f>
        <v>14:42:39.148</v>
      </c>
      <c r="B3139" t="s">
        <v>108</v>
      </c>
      <c r="C3139" t="str">
        <f t="shared" si="145"/>
        <v>ffdfd3c0</v>
      </c>
      <c r="D3139" t="s">
        <v>109</v>
      </c>
      <c r="E3139">
        <v>4</v>
      </c>
      <c r="F3139">
        <v>1004</v>
      </c>
      <c r="G3139" t="s">
        <v>110</v>
      </c>
      <c r="J3139" t="s">
        <v>111</v>
      </c>
      <c r="K3139">
        <v>0</v>
      </c>
      <c r="L3139">
        <v>3</v>
      </c>
      <c r="M3139">
        <v>0</v>
      </c>
      <c r="N3139">
        <v>2</v>
      </c>
      <c r="O3139">
        <v>1</v>
      </c>
      <c r="P3139">
        <v>0</v>
      </c>
      <c r="Q3139">
        <v>0</v>
      </c>
      <c r="R3139" t="s">
        <v>112</v>
      </c>
      <c r="S3139" t="str">
        <f>"14:42:38.938"</f>
        <v>14:42:38.938</v>
      </c>
      <c r="T3139" t="str">
        <f>"14:42:38.539"</f>
        <v>14:42:38.539</v>
      </c>
      <c r="U3139" t="str">
        <f t="shared" si="147"/>
        <v>ad5732</v>
      </c>
      <c r="V3139">
        <v>0</v>
      </c>
      <c r="W3139">
        <v>0</v>
      </c>
      <c r="X3139">
        <v>1</v>
      </c>
      <c r="Z3139">
        <v>0</v>
      </c>
      <c r="AA3139">
        <v>9</v>
      </c>
      <c r="AB3139">
        <v>3</v>
      </c>
      <c r="AC3139">
        <v>0</v>
      </c>
      <c r="AD3139">
        <v>10</v>
      </c>
      <c r="AE3139">
        <v>0</v>
      </c>
      <c r="AF3139">
        <v>3</v>
      </c>
      <c r="AG3139">
        <v>2</v>
      </c>
      <c r="AH3139">
        <v>0</v>
      </c>
      <c r="AI3139" t="s">
        <v>6387</v>
      </c>
      <c r="AJ3139">
        <v>40.400655</v>
      </c>
      <c r="AK3139" t="s">
        <v>6388</v>
      </c>
      <c r="AL3139">
        <v>-74.914012</v>
      </c>
      <c r="AM3139">
        <v>100</v>
      </c>
      <c r="AN3139">
        <v>3700</v>
      </c>
      <c r="AO3139" t="s">
        <v>115</v>
      </c>
      <c r="AP3139">
        <v>164</v>
      </c>
      <c r="AQ3139">
        <v>-21</v>
      </c>
      <c r="AR3139">
        <v>64</v>
      </c>
      <c r="AZ3139">
        <v>3614</v>
      </c>
      <c r="BA3139">
        <v>1</v>
      </c>
      <c r="BB3139" t="str">
        <f t="shared" si="146"/>
        <v xml:space="preserve">N959MJ  </v>
      </c>
      <c r="BC3139">
        <v>1</v>
      </c>
      <c r="BE3139">
        <v>0</v>
      </c>
      <c r="BF3139">
        <v>0</v>
      </c>
      <c r="BG3139">
        <v>0</v>
      </c>
      <c r="BH3139">
        <v>3850</v>
      </c>
      <c r="BI3139">
        <v>150</v>
      </c>
      <c r="BJ3139">
        <v>1</v>
      </c>
      <c r="BK3139">
        <v>1</v>
      </c>
      <c r="BL3139">
        <v>1</v>
      </c>
      <c r="BM3139">
        <v>0</v>
      </c>
      <c r="BP3139">
        <v>0</v>
      </c>
      <c r="BQ3139">
        <v>0</v>
      </c>
      <c r="BX3139" t="str">
        <f>"14:42:38.938"</f>
        <v>14:42:38.938</v>
      </c>
      <c r="BY3139" t="str">
        <f>"938809711"</f>
        <v>938809711</v>
      </c>
      <c r="CL3139">
        <v>0</v>
      </c>
      <c r="CM3139">
        <v>2</v>
      </c>
      <c r="CN3139">
        <v>0</v>
      </c>
      <c r="CO3139">
        <v>2</v>
      </c>
      <c r="CP3139">
        <v>0</v>
      </c>
      <c r="CQ3139">
        <v>7</v>
      </c>
      <c r="CR3139" t="s">
        <v>116</v>
      </c>
      <c r="CS3139">
        <v>38</v>
      </c>
      <c r="CT3139">
        <v>3</v>
      </c>
      <c r="CU3139" t="s">
        <v>4719</v>
      </c>
      <c r="CV3139" t="s">
        <v>4720</v>
      </c>
      <c r="CY3139">
        <v>10822542</v>
      </c>
      <c r="CZ3139" t="s">
        <v>119</v>
      </c>
    </row>
    <row r="3140" spans="1:104" x14ac:dyDescent="0.25">
      <c r="A3140" t="str">
        <f>"14:42:40.055"</f>
        <v>14:42:40.055</v>
      </c>
      <c r="B3140" t="s">
        <v>108</v>
      </c>
      <c r="C3140" t="str">
        <f t="shared" si="145"/>
        <v>ffdfd3c0</v>
      </c>
      <c r="D3140" t="s">
        <v>109</v>
      </c>
      <c r="E3140">
        <v>4</v>
      </c>
      <c r="F3140">
        <v>1004</v>
      </c>
      <c r="G3140" t="s">
        <v>110</v>
      </c>
      <c r="J3140" t="s">
        <v>111</v>
      </c>
      <c r="K3140">
        <v>0</v>
      </c>
      <c r="L3140">
        <v>3</v>
      </c>
      <c r="M3140">
        <v>0</v>
      </c>
      <c r="N3140">
        <v>2</v>
      </c>
      <c r="O3140">
        <v>1</v>
      </c>
      <c r="P3140">
        <v>0</v>
      </c>
      <c r="Q3140">
        <v>0</v>
      </c>
      <c r="R3140" t="s">
        <v>112</v>
      </c>
      <c r="S3140" t="str">
        <f>"14:42:39.891"</f>
        <v>14:42:39.891</v>
      </c>
      <c r="T3140" t="str">
        <f>"14:42:39.391"</f>
        <v>14:42:39.391</v>
      </c>
      <c r="U3140" t="str">
        <f t="shared" si="147"/>
        <v>ad5732</v>
      </c>
      <c r="V3140">
        <v>0</v>
      </c>
      <c r="W3140">
        <v>0</v>
      </c>
      <c r="X3140">
        <v>1</v>
      </c>
      <c r="Z3140">
        <v>0</v>
      </c>
      <c r="AA3140">
        <v>9</v>
      </c>
      <c r="AB3140">
        <v>3</v>
      </c>
      <c r="AC3140">
        <v>0</v>
      </c>
      <c r="AD3140">
        <v>10</v>
      </c>
      <c r="AE3140">
        <v>0</v>
      </c>
      <c r="AF3140">
        <v>3</v>
      </c>
      <c r="AG3140">
        <v>2</v>
      </c>
      <c r="AH3140">
        <v>0</v>
      </c>
      <c r="AI3140" t="s">
        <v>6389</v>
      </c>
      <c r="AJ3140">
        <v>40.400590999999999</v>
      </c>
      <c r="AK3140" t="s">
        <v>6390</v>
      </c>
      <c r="AL3140">
        <v>-74.913154000000006</v>
      </c>
      <c r="AM3140">
        <v>100</v>
      </c>
      <c r="AN3140">
        <v>3700</v>
      </c>
      <c r="AO3140" t="s">
        <v>115</v>
      </c>
      <c r="AP3140">
        <v>164</v>
      </c>
      <c r="AQ3140">
        <v>-21</v>
      </c>
      <c r="AR3140">
        <v>64</v>
      </c>
      <c r="AZ3140">
        <v>3614</v>
      </c>
      <c r="BA3140">
        <v>1</v>
      </c>
      <c r="BB3140" t="str">
        <f t="shared" si="146"/>
        <v xml:space="preserve">N959MJ  </v>
      </c>
      <c r="BC3140">
        <v>1</v>
      </c>
      <c r="BE3140">
        <v>0</v>
      </c>
      <c r="BF3140">
        <v>0</v>
      </c>
      <c r="BG3140">
        <v>0</v>
      </c>
      <c r="BH3140">
        <v>3850</v>
      </c>
      <c r="BI3140">
        <v>150</v>
      </c>
      <c r="BJ3140">
        <v>1</v>
      </c>
      <c r="BK3140">
        <v>1</v>
      </c>
      <c r="BL3140">
        <v>1</v>
      </c>
      <c r="BM3140">
        <v>0</v>
      </c>
      <c r="BP3140">
        <v>0</v>
      </c>
      <c r="BQ3140">
        <v>0</v>
      </c>
      <c r="BX3140" t="str">
        <f>"14:42:39.891"</f>
        <v>14:42:39.891</v>
      </c>
      <c r="BY3140" t="str">
        <f>"892374970"</f>
        <v>892374970</v>
      </c>
      <c r="CL3140">
        <v>0</v>
      </c>
      <c r="CM3140">
        <v>2</v>
      </c>
      <c r="CN3140">
        <v>0</v>
      </c>
      <c r="CO3140">
        <v>2</v>
      </c>
      <c r="CP3140">
        <v>0</v>
      </c>
      <c r="CQ3140">
        <v>7</v>
      </c>
      <c r="CR3140" t="s">
        <v>116</v>
      </c>
      <c r="CS3140">
        <v>38</v>
      </c>
      <c r="CT3140">
        <v>0</v>
      </c>
      <c r="CU3140" t="s">
        <v>4719</v>
      </c>
      <c r="CV3140" t="s">
        <v>4720</v>
      </c>
      <c r="CY3140">
        <v>7413437</v>
      </c>
      <c r="CZ3140" t="s">
        <v>119</v>
      </c>
    </row>
    <row r="3141" spans="1:104" x14ac:dyDescent="0.25">
      <c r="A3141" t="str">
        <f>"14:42:41.063"</f>
        <v>14:42:41.063</v>
      </c>
      <c r="B3141" t="s">
        <v>108</v>
      </c>
      <c r="C3141" t="str">
        <f t="shared" si="145"/>
        <v>ffdfd3c0</v>
      </c>
      <c r="D3141" t="s">
        <v>109</v>
      </c>
      <c r="E3141">
        <v>4</v>
      </c>
      <c r="F3141">
        <v>1004</v>
      </c>
      <c r="G3141" t="s">
        <v>110</v>
      </c>
      <c r="J3141" t="s">
        <v>111</v>
      </c>
      <c r="K3141">
        <v>0</v>
      </c>
      <c r="L3141">
        <v>3</v>
      </c>
      <c r="M3141">
        <v>0</v>
      </c>
      <c r="N3141">
        <v>2</v>
      </c>
      <c r="O3141">
        <v>1</v>
      </c>
      <c r="P3141">
        <v>0</v>
      </c>
      <c r="Q3141">
        <v>0</v>
      </c>
      <c r="R3141" t="s">
        <v>112</v>
      </c>
      <c r="S3141" t="str">
        <f>"14:42:40.867"</f>
        <v>14:42:40.867</v>
      </c>
      <c r="T3141" t="str">
        <f>"14:42:40.469"</f>
        <v>14:42:40.469</v>
      </c>
      <c r="U3141" t="str">
        <f t="shared" si="147"/>
        <v>ad5732</v>
      </c>
      <c r="V3141">
        <v>0</v>
      </c>
      <c r="W3141">
        <v>0</v>
      </c>
      <c r="X3141">
        <v>1</v>
      </c>
      <c r="Z3141">
        <v>0</v>
      </c>
      <c r="AA3141">
        <v>9</v>
      </c>
      <c r="AB3141">
        <v>3</v>
      </c>
      <c r="AC3141">
        <v>0</v>
      </c>
      <c r="AD3141">
        <v>10</v>
      </c>
      <c r="AE3141">
        <v>0</v>
      </c>
      <c r="AF3141">
        <v>3</v>
      </c>
      <c r="AG3141">
        <v>2</v>
      </c>
      <c r="AH3141">
        <v>0</v>
      </c>
      <c r="AI3141" t="s">
        <v>6391</v>
      </c>
      <c r="AJ3141">
        <v>40.400505000000003</v>
      </c>
      <c r="AK3141" t="s">
        <v>6392</v>
      </c>
      <c r="AL3141">
        <v>-74.912144999999995</v>
      </c>
      <c r="AM3141">
        <v>100</v>
      </c>
      <c r="AN3141">
        <v>3700</v>
      </c>
      <c r="AO3141" t="s">
        <v>115</v>
      </c>
      <c r="AP3141">
        <v>164</v>
      </c>
      <c r="AQ3141">
        <v>-21</v>
      </c>
      <c r="AR3141">
        <v>64</v>
      </c>
      <c r="AZ3141">
        <v>3614</v>
      </c>
      <c r="BA3141">
        <v>1</v>
      </c>
      <c r="BB3141" t="str">
        <f t="shared" si="146"/>
        <v xml:space="preserve">N959MJ  </v>
      </c>
      <c r="BC3141">
        <v>1</v>
      </c>
      <c r="BE3141">
        <v>0</v>
      </c>
      <c r="BF3141">
        <v>0</v>
      </c>
      <c r="BG3141">
        <v>0</v>
      </c>
      <c r="BH3141">
        <v>3850</v>
      </c>
      <c r="BI3141">
        <v>150</v>
      </c>
      <c r="BJ3141">
        <v>1</v>
      </c>
      <c r="BK3141">
        <v>1</v>
      </c>
      <c r="BL3141">
        <v>1</v>
      </c>
      <c r="BM3141">
        <v>0</v>
      </c>
      <c r="BP3141">
        <v>0</v>
      </c>
      <c r="BQ3141">
        <v>0</v>
      </c>
      <c r="BX3141" t="str">
        <f>"14:42:40.875"</f>
        <v>14:42:40.875</v>
      </c>
      <c r="BY3141" t="str">
        <f>"873793543"</f>
        <v>873793543</v>
      </c>
      <c r="CL3141">
        <v>0</v>
      </c>
      <c r="CM3141">
        <v>2</v>
      </c>
      <c r="CN3141">
        <v>0</v>
      </c>
      <c r="CO3141">
        <v>2</v>
      </c>
      <c r="CP3141">
        <v>0</v>
      </c>
      <c r="CQ3141">
        <v>7</v>
      </c>
      <c r="CR3141" t="s">
        <v>116</v>
      </c>
      <c r="CS3141">
        <v>38</v>
      </c>
      <c r="CT3141">
        <v>3</v>
      </c>
      <c r="CU3141" t="s">
        <v>4719</v>
      </c>
      <c r="CV3141" t="s">
        <v>4720</v>
      </c>
      <c r="CY3141">
        <v>10826069</v>
      </c>
      <c r="CZ3141" t="s">
        <v>119</v>
      </c>
    </row>
    <row r="3142" spans="1:104" x14ac:dyDescent="0.25">
      <c r="A3142" t="str">
        <f>"14:42:42.023"</f>
        <v>14:42:42.023</v>
      </c>
      <c r="B3142" t="s">
        <v>108</v>
      </c>
      <c r="C3142" t="str">
        <f t="shared" si="145"/>
        <v>ffdfd3c0</v>
      </c>
      <c r="D3142" t="s">
        <v>109</v>
      </c>
      <c r="E3142">
        <v>4</v>
      </c>
      <c r="F3142">
        <v>1004</v>
      </c>
      <c r="G3142" t="s">
        <v>110</v>
      </c>
      <c r="J3142" t="s">
        <v>111</v>
      </c>
      <c r="K3142">
        <v>0</v>
      </c>
      <c r="L3142">
        <v>3</v>
      </c>
      <c r="M3142">
        <v>0</v>
      </c>
      <c r="N3142">
        <v>2</v>
      </c>
      <c r="O3142">
        <v>1</v>
      </c>
      <c r="P3142">
        <v>0</v>
      </c>
      <c r="Q3142">
        <v>0</v>
      </c>
      <c r="R3142" t="s">
        <v>112</v>
      </c>
      <c r="S3142" t="str">
        <f>"14:42:41.859"</f>
        <v>14:42:41.859</v>
      </c>
      <c r="T3142" t="str">
        <f>"14:42:41.359"</f>
        <v>14:42:41.359</v>
      </c>
      <c r="U3142" t="str">
        <f t="shared" si="147"/>
        <v>ad5732</v>
      </c>
      <c r="V3142">
        <v>0</v>
      </c>
      <c r="W3142">
        <v>0</v>
      </c>
      <c r="X3142">
        <v>1</v>
      </c>
      <c r="Z3142">
        <v>0</v>
      </c>
      <c r="AA3142">
        <v>9</v>
      </c>
      <c r="AB3142">
        <v>3</v>
      </c>
      <c r="AC3142">
        <v>0</v>
      </c>
      <c r="AD3142">
        <v>10</v>
      </c>
      <c r="AE3142">
        <v>0</v>
      </c>
      <c r="AF3142">
        <v>3</v>
      </c>
      <c r="AG3142">
        <v>2</v>
      </c>
      <c r="AH3142">
        <v>0</v>
      </c>
      <c r="AI3142" t="s">
        <v>6393</v>
      </c>
      <c r="AJ3142">
        <v>40.400398000000003</v>
      </c>
      <c r="AK3142" t="s">
        <v>6394</v>
      </c>
      <c r="AL3142">
        <v>-74.911158</v>
      </c>
      <c r="AM3142">
        <v>100</v>
      </c>
      <c r="AN3142">
        <v>3700</v>
      </c>
      <c r="AO3142" t="s">
        <v>115</v>
      </c>
      <c r="AP3142">
        <v>163</v>
      </c>
      <c r="AQ3142">
        <v>-21</v>
      </c>
      <c r="AR3142">
        <v>64</v>
      </c>
      <c r="AZ3142">
        <v>3614</v>
      </c>
      <c r="BA3142">
        <v>1</v>
      </c>
      <c r="BB3142" t="str">
        <f t="shared" si="146"/>
        <v xml:space="preserve">N959MJ  </v>
      </c>
      <c r="BC3142">
        <v>1</v>
      </c>
      <c r="BE3142">
        <v>0</v>
      </c>
      <c r="BF3142">
        <v>0</v>
      </c>
      <c r="BG3142">
        <v>0</v>
      </c>
      <c r="BH3142">
        <v>3875</v>
      </c>
      <c r="BI3142">
        <v>175</v>
      </c>
      <c r="BJ3142">
        <v>1</v>
      </c>
      <c r="BK3142">
        <v>1</v>
      </c>
      <c r="BL3142">
        <v>1</v>
      </c>
      <c r="BM3142">
        <v>0</v>
      </c>
      <c r="BP3142">
        <v>0</v>
      </c>
      <c r="BQ3142">
        <v>0</v>
      </c>
      <c r="BX3142" t="str">
        <f>"14:42:41.867"</f>
        <v>14:42:41.867</v>
      </c>
      <c r="BY3142" t="str">
        <f>"865042763"</f>
        <v>865042763</v>
      </c>
      <c r="CL3142">
        <v>0</v>
      </c>
      <c r="CM3142">
        <v>2</v>
      </c>
      <c r="CN3142">
        <v>0</v>
      </c>
      <c r="CO3142">
        <v>2</v>
      </c>
      <c r="CP3142">
        <v>0</v>
      </c>
      <c r="CQ3142">
        <v>7</v>
      </c>
      <c r="CR3142" t="s">
        <v>116</v>
      </c>
      <c r="CS3142">
        <v>38</v>
      </c>
      <c r="CT3142">
        <v>0</v>
      </c>
      <c r="CU3142" t="s">
        <v>4719</v>
      </c>
      <c r="CV3142" t="s">
        <v>4720</v>
      </c>
      <c r="CY3142">
        <v>7416717</v>
      </c>
      <c r="CZ3142" t="s">
        <v>119</v>
      </c>
    </row>
    <row r="3143" spans="1:104" x14ac:dyDescent="0.25">
      <c r="A3143" t="str">
        <f>"14:42:42.930"</f>
        <v>14:42:42.930</v>
      </c>
      <c r="B3143" t="s">
        <v>108</v>
      </c>
      <c r="C3143" t="str">
        <f t="shared" si="145"/>
        <v>ffdfd3c0</v>
      </c>
      <c r="D3143" t="s">
        <v>109</v>
      </c>
      <c r="E3143">
        <v>4</v>
      </c>
      <c r="F3143">
        <v>1004</v>
      </c>
      <c r="G3143" t="s">
        <v>110</v>
      </c>
      <c r="J3143" t="s">
        <v>111</v>
      </c>
      <c r="K3143">
        <v>0</v>
      </c>
      <c r="L3143">
        <v>3</v>
      </c>
      <c r="M3143">
        <v>0</v>
      </c>
      <c r="N3143">
        <v>2</v>
      </c>
      <c r="O3143">
        <v>1</v>
      </c>
      <c r="P3143">
        <v>0</v>
      </c>
      <c r="Q3143">
        <v>0</v>
      </c>
      <c r="R3143" t="s">
        <v>112</v>
      </c>
      <c r="S3143" t="str">
        <f>"14:42:42.773"</f>
        <v>14:42:42.773</v>
      </c>
      <c r="T3143" t="str">
        <f>"14:42:42.375"</f>
        <v>14:42:42.375</v>
      </c>
      <c r="U3143" t="str">
        <f t="shared" si="147"/>
        <v>ad5732</v>
      </c>
      <c r="V3143">
        <v>0</v>
      </c>
      <c r="W3143">
        <v>0</v>
      </c>
      <c r="X3143">
        <v>1</v>
      </c>
      <c r="Z3143">
        <v>0</v>
      </c>
      <c r="AA3143">
        <v>9</v>
      </c>
      <c r="AB3143">
        <v>3</v>
      </c>
      <c r="AC3143">
        <v>0</v>
      </c>
      <c r="AD3143">
        <v>10</v>
      </c>
      <c r="AE3143">
        <v>0</v>
      </c>
      <c r="AF3143">
        <v>3</v>
      </c>
      <c r="AG3143">
        <v>2</v>
      </c>
      <c r="AH3143">
        <v>0</v>
      </c>
      <c r="AI3143" t="s">
        <v>6395</v>
      </c>
      <c r="AJ3143">
        <v>40.400289999999998</v>
      </c>
      <c r="AK3143" t="s">
        <v>6396</v>
      </c>
      <c r="AL3143">
        <v>-74.910278000000005</v>
      </c>
      <c r="AM3143">
        <v>100</v>
      </c>
      <c r="AN3143">
        <v>3700</v>
      </c>
      <c r="AO3143" t="s">
        <v>115</v>
      </c>
      <c r="AP3143">
        <v>163</v>
      </c>
      <c r="AQ3143">
        <v>-21</v>
      </c>
      <c r="AR3143">
        <v>64</v>
      </c>
      <c r="AZ3143">
        <v>3614</v>
      </c>
      <c r="BA3143">
        <v>1</v>
      </c>
      <c r="BB3143" t="str">
        <f t="shared" si="146"/>
        <v xml:space="preserve">N959MJ  </v>
      </c>
      <c r="BC3143">
        <v>1</v>
      </c>
      <c r="BE3143">
        <v>0</v>
      </c>
      <c r="BF3143">
        <v>0</v>
      </c>
      <c r="BG3143">
        <v>0</v>
      </c>
      <c r="BH3143">
        <v>3875</v>
      </c>
      <c r="BI3143">
        <v>175</v>
      </c>
      <c r="BJ3143">
        <v>1</v>
      </c>
      <c r="BK3143">
        <v>1</v>
      </c>
      <c r="BL3143">
        <v>1</v>
      </c>
      <c r="BM3143">
        <v>0</v>
      </c>
      <c r="BP3143">
        <v>0</v>
      </c>
      <c r="BQ3143">
        <v>0</v>
      </c>
      <c r="BX3143" t="str">
        <f>"14:42:42.773"</f>
        <v>14:42:42.773</v>
      </c>
      <c r="BY3143" t="str">
        <f>"776008885"</f>
        <v>776008885</v>
      </c>
      <c r="CL3143">
        <v>0</v>
      </c>
      <c r="CM3143">
        <v>2</v>
      </c>
      <c r="CN3143">
        <v>0</v>
      </c>
      <c r="CO3143">
        <v>2</v>
      </c>
      <c r="CP3143">
        <v>0</v>
      </c>
      <c r="CQ3143">
        <v>7</v>
      </c>
      <c r="CR3143" t="s">
        <v>116</v>
      </c>
      <c r="CS3143">
        <v>38</v>
      </c>
      <c r="CT3143">
        <v>3</v>
      </c>
      <c r="CU3143" t="s">
        <v>4719</v>
      </c>
      <c r="CV3143" t="s">
        <v>4720</v>
      </c>
      <c r="CY3143">
        <v>10829389</v>
      </c>
      <c r="CZ3143" t="s">
        <v>119</v>
      </c>
    </row>
    <row r="3144" spans="1:104" x14ac:dyDescent="0.25">
      <c r="A3144" t="str">
        <f>"14:42:44.094"</f>
        <v>14:42:44.094</v>
      </c>
      <c r="B3144" t="s">
        <v>108</v>
      </c>
      <c r="C3144" t="str">
        <f t="shared" si="145"/>
        <v>ffdfd3c0</v>
      </c>
      <c r="D3144" t="s">
        <v>109</v>
      </c>
      <c r="E3144">
        <v>4</v>
      </c>
      <c r="F3144">
        <v>1004</v>
      </c>
      <c r="G3144" t="s">
        <v>110</v>
      </c>
      <c r="J3144" t="s">
        <v>111</v>
      </c>
      <c r="K3144">
        <v>0</v>
      </c>
      <c r="L3144">
        <v>3</v>
      </c>
      <c r="M3144">
        <v>0</v>
      </c>
      <c r="N3144">
        <v>2</v>
      </c>
      <c r="O3144">
        <v>1</v>
      </c>
      <c r="P3144">
        <v>0</v>
      </c>
      <c r="Q3144">
        <v>0</v>
      </c>
      <c r="R3144" t="s">
        <v>112</v>
      </c>
      <c r="S3144" t="str">
        <f>"14:42:43.891"</f>
        <v>14:42:43.891</v>
      </c>
      <c r="T3144" t="str">
        <f>"14:42:43.391"</f>
        <v>14:42:43.391</v>
      </c>
      <c r="U3144" t="str">
        <f t="shared" si="147"/>
        <v>ad5732</v>
      </c>
      <c r="V3144">
        <v>0</v>
      </c>
      <c r="W3144">
        <v>0</v>
      </c>
      <c r="X3144">
        <v>1</v>
      </c>
      <c r="Z3144">
        <v>0</v>
      </c>
      <c r="AA3144">
        <v>9</v>
      </c>
      <c r="AB3144">
        <v>3</v>
      </c>
      <c r="AC3144">
        <v>0</v>
      </c>
      <c r="AD3144">
        <v>10</v>
      </c>
      <c r="AE3144">
        <v>0</v>
      </c>
      <c r="AF3144">
        <v>3</v>
      </c>
      <c r="AG3144">
        <v>2</v>
      </c>
      <c r="AH3144">
        <v>0</v>
      </c>
      <c r="AI3144" t="s">
        <v>6222</v>
      </c>
      <c r="AJ3144">
        <v>40.400226000000004</v>
      </c>
      <c r="AK3144" t="s">
        <v>6397</v>
      </c>
      <c r="AL3144">
        <v>-74.909163000000007</v>
      </c>
      <c r="AM3144">
        <v>100</v>
      </c>
      <c r="AN3144">
        <v>3700</v>
      </c>
      <c r="AO3144" t="s">
        <v>115</v>
      </c>
      <c r="AP3144">
        <v>163</v>
      </c>
      <c r="AQ3144">
        <v>-21</v>
      </c>
      <c r="AR3144">
        <v>64</v>
      </c>
      <c r="AZ3144">
        <v>3614</v>
      </c>
      <c r="BA3144">
        <v>1</v>
      </c>
      <c r="BB3144" t="str">
        <f t="shared" si="146"/>
        <v xml:space="preserve">N959MJ  </v>
      </c>
      <c r="BC3144">
        <v>1</v>
      </c>
      <c r="BE3144">
        <v>0</v>
      </c>
      <c r="BF3144">
        <v>0</v>
      </c>
      <c r="BG3144">
        <v>0</v>
      </c>
      <c r="BH3144">
        <v>3875</v>
      </c>
      <c r="BI3144">
        <v>175</v>
      </c>
      <c r="BJ3144">
        <v>1</v>
      </c>
      <c r="BK3144">
        <v>1</v>
      </c>
      <c r="BL3144">
        <v>1</v>
      </c>
      <c r="BM3144">
        <v>0</v>
      </c>
      <c r="BP3144">
        <v>0</v>
      </c>
      <c r="BQ3144">
        <v>0</v>
      </c>
      <c r="BX3144" t="str">
        <f>"14:42:43.898"</f>
        <v>14:42:43.898</v>
      </c>
      <c r="BY3144" t="str">
        <f>"896693925"</f>
        <v>896693925</v>
      </c>
      <c r="CL3144">
        <v>0</v>
      </c>
      <c r="CM3144">
        <v>2</v>
      </c>
      <c r="CN3144">
        <v>0</v>
      </c>
      <c r="CO3144">
        <v>2</v>
      </c>
      <c r="CP3144">
        <v>0</v>
      </c>
      <c r="CQ3144">
        <v>7</v>
      </c>
      <c r="CR3144" t="s">
        <v>116</v>
      </c>
      <c r="CS3144">
        <v>38</v>
      </c>
      <c r="CT3144">
        <v>3</v>
      </c>
      <c r="CU3144" t="s">
        <v>4719</v>
      </c>
      <c r="CV3144" t="s">
        <v>4720</v>
      </c>
      <c r="CY3144">
        <v>10831430</v>
      </c>
      <c r="CZ3144" t="s">
        <v>119</v>
      </c>
    </row>
    <row r="3145" spans="1:104" x14ac:dyDescent="0.25">
      <c r="A3145" t="str">
        <f>"14:42:45.055"</f>
        <v>14:42:45.055</v>
      </c>
      <c r="B3145" t="s">
        <v>108</v>
      </c>
      <c r="C3145" t="str">
        <f t="shared" si="145"/>
        <v>ffdfd3c0</v>
      </c>
      <c r="D3145" t="s">
        <v>109</v>
      </c>
      <c r="E3145">
        <v>4</v>
      </c>
      <c r="F3145">
        <v>1004</v>
      </c>
      <c r="G3145" t="s">
        <v>110</v>
      </c>
      <c r="J3145" t="s">
        <v>111</v>
      </c>
      <c r="K3145">
        <v>0</v>
      </c>
      <c r="L3145">
        <v>3</v>
      </c>
      <c r="M3145">
        <v>0</v>
      </c>
      <c r="N3145">
        <v>2</v>
      </c>
      <c r="O3145">
        <v>1</v>
      </c>
      <c r="P3145">
        <v>0</v>
      </c>
      <c r="Q3145">
        <v>0</v>
      </c>
      <c r="R3145" t="s">
        <v>112</v>
      </c>
      <c r="S3145" t="str">
        <f>"14:42:44.828"</f>
        <v>14:42:44.828</v>
      </c>
      <c r="T3145" t="str">
        <f>"14:42:44.430"</f>
        <v>14:42:44.430</v>
      </c>
      <c r="U3145" t="str">
        <f t="shared" si="147"/>
        <v>ad5732</v>
      </c>
      <c r="V3145">
        <v>0</v>
      </c>
      <c r="W3145">
        <v>0</v>
      </c>
      <c r="X3145">
        <v>1</v>
      </c>
      <c r="Z3145">
        <v>0</v>
      </c>
      <c r="AA3145">
        <v>9</v>
      </c>
      <c r="AB3145">
        <v>3</v>
      </c>
      <c r="AC3145">
        <v>0</v>
      </c>
      <c r="AD3145">
        <v>10</v>
      </c>
      <c r="AE3145">
        <v>0</v>
      </c>
      <c r="AF3145">
        <v>3</v>
      </c>
      <c r="AG3145">
        <v>2</v>
      </c>
      <c r="AH3145">
        <v>0</v>
      </c>
      <c r="AI3145" t="s">
        <v>6398</v>
      </c>
      <c r="AJ3145">
        <v>40.400118999999997</v>
      </c>
      <c r="AK3145" t="s">
        <v>6399</v>
      </c>
      <c r="AL3145">
        <v>-74.908153999999996</v>
      </c>
      <c r="AM3145">
        <v>100</v>
      </c>
      <c r="AN3145">
        <v>3700</v>
      </c>
      <c r="AO3145" t="s">
        <v>115</v>
      </c>
      <c r="AP3145">
        <v>163</v>
      </c>
      <c r="AQ3145">
        <v>-21</v>
      </c>
      <c r="AR3145">
        <v>64</v>
      </c>
      <c r="AZ3145">
        <v>3614</v>
      </c>
      <c r="BA3145">
        <v>1</v>
      </c>
      <c r="BB3145" t="str">
        <f t="shared" si="146"/>
        <v xml:space="preserve">N959MJ  </v>
      </c>
      <c r="BC3145">
        <v>1</v>
      </c>
      <c r="BE3145">
        <v>0</v>
      </c>
      <c r="BF3145">
        <v>0</v>
      </c>
      <c r="BG3145">
        <v>0</v>
      </c>
      <c r="BH3145">
        <v>3875</v>
      </c>
      <c r="BI3145">
        <v>175</v>
      </c>
      <c r="BJ3145">
        <v>1</v>
      </c>
      <c r="BK3145">
        <v>1</v>
      </c>
      <c r="BL3145">
        <v>1</v>
      </c>
      <c r="BM3145">
        <v>0</v>
      </c>
      <c r="BP3145">
        <v>0</v>
      </c>
      <c r="BQ3145">
        <v>0</v>
      </c>
      <c r="BX3145" t="str">
        <f>"14:42:44.836"</f>
        <v>14:42:44.836</v>
      </c>
      <c r="BY3145" t="str">
        <f>"835513323"</f>
        <v>835513323</v>
      </c>
      <c r="CL3145">
        <v>0</v>
      </c>
      <c r="CM3145">
        <v>2</v>
      </c>
      <c r="CN3145">
        <v>0</v>
      </c>
      <c r="CO3145">
        <v>2</v>
      </c>
      <c r="CP3145">
        <v>0</v>
      </c>
      <c r="CQ3145">
        <v>7</v>
      </c>
      <c r="CR3145" t="s">
        <v>116</v>
      </c>
      <c r="CS3145">
        <v>38</v>
      </c>
      <c r="CT3145">
        <v>3</v>
      </c>
      <c r="CU3145" t="s">
        <v>4719</v>
      </c>
      <c r="CV3145" t="s">
        <v>4720</v>
      </c>
      <c r="CY3145">
        <v>10833023</v>
      </c>
      <c r="CZ3145" t="s">
        <v>119</v>
      </c>
    </row>
    <row r="3146" spans="1:104" x14ac:dyDescent="0.25">
      <c r="A3146" t="str">
        <f>"14:42:46.016"</f>
        <v>14:42:46.016</v>
      </c>
      <c r="B3146" t="s">
        <v>108</v>
      </c>
      <c r="C3146" t="str">
        <f t="shared" ref="C3146:C3209" si="148">"ffdfd3c0"</f>
        <v>ffdfd3c0</v>
      </c>
      <c r="D3146" t="s">
        <v>109</v>
      </c>
      <c r="E3146">
        <v>4</v>
      </c>
      <c r="F3146">
        <v>1004</v>
      </c>
      <c r="G3146" t="s">
        <v>110</v>
      </c>
      <c r="J3146" t="s">
        <v>111</v>
      </c>
      <c r="K3146">
        <v>0</v>
      </c>
      <c r="L3146">
        <v>3</v>
      </c>
      <c r="M3146">
        <v>0</v>
      </c>
      <c r="N3146">
        <v>2</v>
      </c>
      <c r="O3146">
        <v>1</v>
      </c>
      <c r="P3146">
        <v>0</v>
      </c>
      <c r="Q3146">
        <v>0</v>
      </c>
      <c r="R3146" t="s">
        <v>112</v>
      </c>
      <c r="S3146" t="str">
        <f>"14:42:45.844"</f>
        <v>14:42:45.844</v>
      </c>
      <c r="T3146" t="str">
        <f>"14:42:45.344"</f>
        <v>14:42:45.344</v>
      </c>
      <c r="U3146" t="str">
        <f t="shared" si="147"/>
        <v>ad5732</v>
      </c>
      <c r="V3146">
        <v>0</v>
      </c>
      <c r="W3146">
        <v>0</v>
      </c>
      <c r="X3146">
        <v>1</v>
      </c>
      <c r="Z3146">
        <v>0</v>
      </c>
      <c r="AA3146">
        <v>9</v>
      </c>
      <c r="AB3146">
        <v>3</v>
      </c>
      <c r="AC3146">
        <v>0</v>
      </c>
      <c r="AD3146">
        <v>10</v>
      </c>
      <c r="AE3146">
        <v>0</v>
      </c>
      <c r="AF3146">
        <v>3</v>
      </c>
      <c r="AG3146">
        <v>2</v>
      </c>
      <c r="AH3146">
        <v>0</v>
      </c>
      <c r="AI3146" t="s">
        <v>6400</v>
      </c>
      <c r="AJ3146">
        <v>40.400033000000001</v>
      </c>
      <c r="AK3146" t="s">
        <v>6401</v>
      </c>
      <c r="AL3146">
        <v>-74.907210000000006</v>
      </c>
      <c r="AM3146">
        <v>100</v>
      </c>
      <c r="AN3146">
        <v>3700</v>
      </c>
      <c r="AO3146" t="s">
        <v>115</v>
      </c>
      <c r="AP3146">
        <v>163</v>
      </c>
      <c r="AQ3146">
        <v>-21</v>
      </c>
      <c r="AR3146">
        <v>0</v>
      </c>
      <c r="AZ3146">
        <v>3614</v>
      </c>
      <c r="BA3146">
        <v>1</v>
      </c>
      <c r="BB3146" t="str">
        <f t="shared" ref="BB3146:BB3209" si="149">"N959MJ  "</f>
        <v xml:space="preserve">N959MJ  </v>
      </c>
      <c r="BC3146">
        <v>1</v>
      </c>
      <c r="BE3146">
        <v>0</v>
      </c>
      <c r="BF3146">
        <v>0</v>
      </c>
      <c r="BG3146">
        <v>0</v>
      </c>
      <c r="BH3146">
        <v>3875</v>
      </c>
      <c r="BI3146">
        <v>175</v>
      </c>
      <c r="BJ3146">
        <v>1</v>
      </c>
      <c r="BK3146">
        <v>1</v>
      </c>
      <c r="BL3146">
        <v>1</v>
      </c>
      <c r="BM3146">
        <v>0</v>
      </c>
      <c r="BP3146">
        <v>0</v>
      </c>
      <c r="BQ3146">
        <v>0</v>
      </c>
      <c r="BX3146" t="str">
        <f>"14:42:45.852"</f>
        <v>14:42:45.852</v>
      </c>
      <c r="BY3146" t="str">
        <f>"851338929"</f>
        <v>851338929</v>
      </c>
      <c r="CL3146">
        <v>0</v>
      </c>
      <c r="CM3146">
        <v>2</v>
      </c>
      <c r="CN3146">
        <v>0</v>
      </c>
      <c r="CO3146">
        <v>2</v>
      </c>
      <c r="CP3146">
        <v>0</v>
      </c>
      <c r="CQ3146">
        <v>7</v>
      </c>
      <c r="CR3146" t="s">
        <v>116</v>
      </c>
      <c r="CS3146">
        <v>38</v>
      </c>
      <c r="CT3146">
        <v>0</v>
      </c>
      <c r="CU3146" t="s">
        <v>4719</v>
      </c>
      <c r="CV3146" t="s">
        <v>4720</v>
      </c>
      <c r="CY3146">
        <v>7423130</v>
      </c>
      <c r="CZ3146" t="s">
        <v>119</v>
      </c>
    </row>
    <row r="3147" spans="1:104" x14ac:dyDescent="0.25">
      <c r="A3147" t="str">
        <f>"14:42:46.922"</f>
        <v>14:42:46.922</v>
      </c>
      <c r="B3147" t="s">
        <v>108</v>
      </c>
      <c r="C3147" t="str">
        <f t="shared" si="148"/>
        <v>ffdfd3c0</v>
      </c>
      <c r="D3147" t="s">
        <v>109</v>
      </c>
      <c r="E3147">
        <v>4</v>
      </c>
      <c r="F3147">
        <v>1004</v>
      </c>
      <c r="G3147" t="s">
        <v>110</v>
      </c>
      <c r="J3147" t="s">
        <v>111</v>
      </c>
      <c r="K3147">
        <v>0</v>
      </c>
      <c r="L3147">
        <v>3</v>
      </c>
      <c r="M3147">
        <v>0</v>
      </c>
      <c r="N3147">
        <v>2</v>
      </c>
      <c r="O3147">
        <v>1</v>
      </c>
      <c r="P3147">
        <v>0</v>
      </c>
      <c r="Q3147">
        <v>0</v>
      </c>
      <c r="R3147" t="s">
        <v>112</v>
      </c>
      <c r="S3147" t="str">
        <f>"14:42:46.750"</f>
        <v>14:42:46.750</v>
      </c>
      <c r="T3147" t="str">
        <f>"14:42:46.352"</f>
        <v>14:42:46.352</v>
      </c>
      <c r="U3147" t="str">
        <f t="shared" si="147"/>
        <v>ad5732</v>
      </c>
      <c r="V3147">
        <v>0</v>
      </c>
      <c r="W3147">
        <v>0</v>
      </c>
      <c r="X3147">
        <v>1</v>
      </c>
      <c r="Z3147">
        <v>0</v>
      </c>
      <c r="AA3147">
        <v>9</v>
      </c>
      <c r="AB3147">
        <v>3</v>
      </c>
      <c r="AC3147">
        <v>0</v>
      </c>
      <c r="AD3147">
        <v>10</v>
      </c>
      <c r="AE3147">
        <v>0</v>
      </c>
      <c r="AF3147">
        <v>3</v>
      </c>
      <c r="AG3147">
        <v>2</v>
      </c>
      <c r="AH3147">
        <v>0</v>
      </c>
      <c r="AI3147" t="s">
        <v>6402</v>
      </c>
      <c r="AJ3147">
        <v>40.399926000000001</v>
      </c>
      <c r="AK3147" t="s">
        <v>6403</v>
      </c>
      <c r="AL3147">
        <v>-74.906308999999993</v>
      </c>
      <c r="AM3147">
        <v>100</v>
      </c>
      <c r="AN3147">
        <v>3700</v>
      </c>
      <c r="AO3147" t="s">
        <v>115</v>
      </c>
      <c r="AP3147">
        <v>163</v>
      </c>
      <c r="AQ3147">
        <v>-21</v>
      </c>
      <c r="AR3147">
        <v>0</v>
      </c>
      <c r="AZ3147">
        <v>3614</v>
      </c>
      <c r="BA3147">
        <v>1</v>
      </c>
      <c r="BB3147" t="str">
        <f t="shared" si="149"/>
        <v xml:space="preserve">N959MJ  </v>
      </c>
      <c r="BC3147">
        <v>1</v>
      </c>
      <c r="BE3147">
        <v>0</v>
      </c>
      <c r="BF3147">
        <v>0</v>
      </c>
      <c r="BG3147">
        <v>0</v>
      </c>
      <c r="BH3147">
        <v>3875</v>
      </c>
      <c r="BI3147">
        <v>175</v>
      </c>
      <c r="BJ3147">
        <v>1</v>
      </c>
      <c r="BK3147">
        <v>1</v>
      </c>
      <c r="BL3147">
        <v>1</v>
      </c>
      <c r="BM3147">
        <v>0</v>
      </c>
      <c r="BP3147">
        <v>0</v>
      </c>
      <c r="BQ3147">
        <v>0</v>
      </c>
      <c r="BX3147" t="str">
        <f>"14:42:46.758"</f>
        <v>14:42:46.758</v>
      </c>
      <c r="BY3147" t="str">
        <f>"755751376"</f>
        <v>755751376</v>
      </c>
      <c r="CL3147">
        <v>0</v>
      </c>
      <c r="CM3147">
        <v>2</v>
      </c>
      <c r="CN3147">
        <v>0</v>
      </c>
      <c r="CO3147">
        <v>2</v>
      </c>
      <c r="CP3147">
        <v>0</v>
      </c>
      <c r="CQ3147">
        <v>7</v>
      </c>
      <c r="CR3147" t="s">
        <v>116</v>
      </c>
      <c r="CS3147">
        <v>38</v>
      </c>
      <c r="CT3147">
        <v>0</v>
      </c>
      <c r="CU3147" t="s">
        <v>4719</v>
      </c>
      <c r="CV3147" t="s">
        <v>4720</v>
      </c>
      <c r="CY3147">
        <v>7424564</v>
      </c>
      <c r="CZ3147" t="s">
        <v>119</v>
      </c>
    </row>
    <row r="3148" spans="1:104" x14ac:dyDescent="0.25">
      <c r="A3148" t="str">
        <f>"14:42:47.781"</f>
        <v>14:42:47.781</v>
      </c>
      <c r="B3148" t="s">
        <v>108</v>
      </c>
      <c r="C3148" t="str">
        <f t="shared" si="148"/>
        <v>ffdfd3c0</v>
      </c>
      <c r="D3148" t="s">
        <v>109</v>
      </c>
      <c r="E3148">
        <v>4</v>
      </c>
      <c r="F3148">
        <v>1004</v>
      </c>
      <c r="G3148" t="s">
        <v>110</v>
      </c>
      <c r="J3148" t="s">
        <v>111</v>
      </c>
      <c r="K3148">
        <v>0</v>
      </c>
      <c r="L3148">
        <v>3</v>
      </c>
      <c r="M3148">
        <v>0</v>
      </c>
      <c r="N3148">
        <v>2</v>
      </c>
      <c r="O3148">
        <v>1</v>
      </c>
      <c r="P3148">
        <v>0</v>
      </c>
      <c r="Q3148">
        <v>0</v>
      </c>
      <c r="R3148" t="s">
        <v>112</v>
      </c>
      <c r="S3148" t="str">
        <f>"14:42:47.594"</f>
        <v>14:42:47.594</v>
      </c>
      <c r="T3148" t="str">
        <f>"14:42:47.195"</f>
        <v>14:42:47.195</v>
      </c>
      <c r="U3148" t="str">
        <f t="shared" si="147"/>
        <v>ad5732</v>
      </c>
      <c r="V3148">
        <v>0</v>
      </c>
      <c r="W3148">
        <v>0</v>
      </c>
      <c r="X3148">
        <v>1</v>
      </c>
      <c r="Z3148">
        <v>0</v>
      </c>
      <c r="AA3148">
        <v>9</v>
      </c>
      <c r="AB3148">
        <v>3</v>
      </c>
      <c r="AC3148">
        <v>0</v>
      </c>
      <c r="AD3148">
        <v>10</v>
      </c>
      <c r="AE3148">
        <v>0</v>
      </c>
      <c r="AF3148">
        <v>3</v>
      </c>
      <c r="AG3148">
        <v>2</v>
      </c>
      <c r="AH3148">
        <v>0</v>
      </c>
      <c r="AI3148" t="s">
        <v>6404</v>
      </c>
      <c r="AJ3148">
        <v>40.399839999999998</v>
      </c>
      <c r="AK3148" t="s">
        <v>6405</v>
      </c>
      <c r="AL3148">
        <v>-74.905514999999994</v>
      </c>
      <c r="AM3148">
        <v>100</v>
      </c>
      <c r="AN3148">
        <v>3700</v>
      </c>
      <c r="AO3148" t="s">
        <v>115</v>
      </c>
      <c r="AP3148">
        <v>163</v>
      </c>
      <c r="AQ3148">
        <v>-21</v>
      </c>
      <c r="AR3148">
        <v>0</v>
      </c>
      <c r="AZ3148">
        <v>3614</v>
      </c>
      <c r="BA3148">
        <v>1</v>
      </c>
      <c r="BB3148" t="str">
        <f t="shared" si="149"/>
        <v xml:space="preserve">N959MJ  </v>
      </c>
      <c r="BC3148">
        <v>1</v>
      </c>
      <c r="BE3148">
        <v>0</v>
      </c>
      <c r="BF3148">
        <v>0</v>
      </c>
      <c r="BG3148">
        <v>0</v>
      </c>
      <c r="BH3148">
        <v>3875</v>
      </c>
      <c r="BI3148">
        <v>175</v>
      </c>
      <c r="BJ3148">
        <v>1</v>
      </c>
      <c r="BK3148">
        <v>1</v>
      </c>
      <c r="BL3148">
        <v>1</v>
      </c>
      <c r="BM3148">
        <v>0</v>
      </c>
      <c r="BP3148">
        <v>0</v>
      </c>
      <c r="BQ3148">
        <v>0</v>
      </c>
      <c r="BX3148" t="str">
        <f>"14:42:47.602"</f>
        <v>14:42:47.602</v>
      </c>
      <c r="BY3148" t="str">
        <f>"599541991"</f>
        <v>599541991</v>
      </c>
      <c r="CL3148">
        <v>0</v>
      </c>
      <c r="CM3148">
        <v>2</v>
      </c>
      <c r="CN3148">
        <v>0</v>
      </c>
      <c r="CO3148">
        <v>2</v>
      </c>
      <c r="CP3148">
        <v>0</v>
      </c>
      <c r="CQ3148">
        <v>7</v>
      </c>
      <c r="CR3148" t="s">
        <v>116</v>
      </c>
      <c r="CS3148">
        <v>38</v>
      </c>
      <c r="CT3148">
        <v>0</v>
      </c>
      <c r="CU3148" t="s">
        <v>4719</v>
      </c>
      <c r="CV3148" t="s">
        <v>4720</v>
      </c>
      <c r="CY3148">
        <v>7425863</v>
      </c>
      <c r="CZ3148" t="s">
        <v>119</v>
      </c>
    </row>
    <row r="3149" spans="1:104" x14ac:dyDescent="0.25">
      <c r="A3149" t="str">
        <f>"14:42:48.836"</f>
        <v>14:42:48.836</v>
      </c>
      <c r="B3149" t="s">
        <v>108</v>
      </c>
      <c r="C3149" t="str">
        <f t="shared" si="148"/>
        <v>ffdfd3c0</v>
      </c>
      <c r="D3149" t="s">
        <v>109</v>
      </c>
      <c r="E3149">
        <v>4</v>
      </c>
      <c r="F3149">
        <v>1004</v>
      </c>
      <c r="G3149" t="s">
        <v>110</v>
      </c>
      <c r="J3149" t="s">
        <v>111</v>
      </c>
      <c r="K3149">
        <v>0</v>
      </c>
      <c r="L3149">
        <v>3</v>
      </c>
      <c r="M3149">
        <v>0</v>
      </c>
      <c r="N3149">
        <v>2</v>
      </c>
      <c r="O3149">
        <v>1</v>
      </c>
      <c r="P3149">
        <v>0</v>
      </c>
      <c r="Q3149">
        <v>0</v>
      </c>
      <c r="R3149" t="s">
        <v>112</v>
      </c>
      <c r="S3149" t="str">
        <f>"14:42:48.672"</f>
        <v>14:42:48.672</v>
      </c>
      <c r="T3149" t="str">
        <f>"14:42:48.273"</f>
        <v>14:42:48.273</v>
      </c>
      <c r="U3149" t="str">
        <f t="shared" si="147"/>
        <v>ad5732</v>
      </c>
      <c r="V3149">
        <v>0</v>
      </c>
      <c r="W3149">
        <v>0</v>
      </c>
      <c r="X3149">
        <v>1</v>
      </c>
      <c r="Z3149">
        <v>0</v>
      </c>
      <c r="AA3149">
        <v>9</v>
      </c>
      <c r="AB3149">
        <v>3</v>
      </c>
      <c r="AC3149">
        <v>0</v>
      </c>
      <c r="AD3149">
        <v>10</v>
      </c>
      <c r="AE3149">
        <v>0</v>
      </c>
      <c r="AF3149">
        <v>3</v>
      </c>
      <c r="AG3149">
        <v>2</v>
      </c>
      <c r="AH3149">
        <v>0</v>
      </c>
      <c r="AI3149" t="s">
        <v>6406</v>
      </c>
      <c r="AJ3149">
        <v>40.399754000000001</v>
      </c>
      <c r="AK3149" t="s">
        <v>6407</v>
      </c>
      <c r="AL3149">
        <v>-74.904420000000002</v>
      </c>
      <c r="AM3149">
        <v>100</v>
      </c>
      <c r="AN3149">
        <v>3700</v>
      </c>
      <c r="AO3149" t="s">
        <v>115</v>
      </c>
      <c r="AP3149">
        <v>163</v>
      </c>
      <c r="AQ3149">
        <v>-20</v>
      </c>
      <c r="AR3149">
        <v>0</v>
      </c>
      <c r="AZ3149">
        <v>3614</v>
      </c>
      <c r="BA3149">
        <v>1</v>
      </c>
      <c r="BB3149" t="str">
        <f t="shared" si="149"/>
        <v xml:space="preserve">N959MJ  </v>
      </c>
      <c r="BC3149">
        <v>1</v>
      </c>
      <c r="BE3149">
        <v>0</v>
      </c>
      <c r="BF3149">
        <v>0</v>
      </c>
      <c r="BG3149">
        <v>0</v>
      </c>
      <c r="BH3149">
        <v>3875</v>
      </c>
      <c r="BI3149">
        <v>175</v>
      </c>
      <c r="BJ3149">
        <v>1</v>
      </c>
      <c r="BK3149">
        <v>1</v>
      </c>
      <c r="BL3149">
        <v>1</v>
      </c>
      <c r="BM3149">
        <v>0</v>
      </c>
      <c r="BP3149">
        <v>0</v>
      </c>
      <c r="BQ3149">
        <v>0</v>
      </c>
      <c r="BX3149" t="str">
        <f>"14:42:48.680"</f>
        <v>14:42:48.680</v>
      </c>
      <c r="BY3149" t="str">
        <f>"675989419"</f>
        <v>675989419</v>
      </c>
      <c r="CL3149">
        <v>0</v>
      </c>
      <c r="CM3149">
        <v>2</v>
      </c>
      <c r="CN3149">
        <v>0</v>
      </c>
      <c r="CO3149">
        <v>2</v>
      </c>
      <c r="CP3149">
        <v>0</v>
      </c>
      <c r="CQ3149">
        <v>7</v>
      </c>
      <c r="CR3149" t="s">
        <v>116</v>
      </c>
      <c r="CS3149">
        <v>38</v>
      </c>
      <c r="CT3149">
        <v>3</v>
      </c>
      <c r="CU3149" t="s">
        <v>4719</v>
      </c>
      <c r="CV3149" t="s">
        <v>4720</v>
      </c>
      <c r="CY3149">
        <v>10839757</v>
      </c>
      <c r="CZ3149" t="s">
        <v>119</v>
      </c>
    </row>
    <row r="3150" spans="1:104" x14ac:dyDescent="0.25">
      <c r="A3150" t="str">
        <f>"14:42:49.797"</f>
        <v>14:42:49.797</v>
      </c>
      <c r="B3150" t="s">
        <v>108</v>
      </c>
      <c r="C3150" t="str">
        <f t="shared" si="148"/>
        <v>ffdfd3c0</v>
      </c>
      <c r="D3150" t="s">
        <v>109</v>
      </c>
      <c r="E3150">
        <v>4</v>
      </c>
      <c r="F3150">
        <v>1004</v>
      </c>
      <c r="G3150" t="s">
        <v>110</v>
      </c>
      <c r="J3150" t="s">
        <v>111</v>
      </c>
      <c r="K3150">
        <v>0</v>
      </c>
      <c r="L3150">
        <v>3</v>
      </c>
      <c r="M3150">
        <v>0</v>
      </c>
      <c r="N3150">
        <v>2</v>
      </c>
      <c r="O3150">
        <v>1</v>
      </c>
      <c r="P3150">
        <v>0</v>
      </c>
      <c r="Q3150">
        <v>0</v>
      </c>
      <c r="R3150" t="s">
        <v>112</v>
      </c>
      <c r="S3150" t="str">
        <f>"14:42:49.617"</f>
        <v>14:42:49.617</v>
      </c>
      <c r="T3150" t="str">
        <f>"14:42:49.219"</f>
        <v>14:42:49.219</v>
      </c>
      <c r="U3150" t="str">
        <f t="shared" si="147"/>
        <v>ad5732</v>
      </c>
      <c r="V3150">
        <v>0</v>
      </c>
      <c r="W3150">
        <v>0</v>
      </c>
      <c r="X3150">
        <v>1</v>
      </c>
      <c r="Z3150">
        <v>0</v>
      </c>
      <c r="AA3150">
        <v>9</v>
      </c>
      <c r="AB3150">
        <v>3</v>
      </c>
      <c r="AC3150">
        <v>0</v>
      </c>
      <c r="AD3150">
        <v>10</v>
      </c>
      <c r="AE3150">
        <v>0</v>
      </c>
      <c r="AF3150">
        <v>3</v>
      </c>
      <c r="AG3150">
        <v>2</v>
      </c>
      <c r="AH3150">
        <v>0</v>
      </c>
      <c r="AI3150" t="s">
        <v>6408</v>
      </c>
      <c r="AJ3150">
        <v>40.399667999999998</v>
      </c>
      <c r="AK3150" t="s">
        <v>6409</v>
      </c>
      <c r="AL3150">
        <v>-74.903412000000003</v>
      </c>
      <c r="AM3150">
        <v>100</v>
      </c>
      <c r="AN3150">
        <v>3700</v>
      </c>
      <c r="AO3150" t="s">
        <v>115</v>
      </c>
      <c r="AP3150">
        <v>163</v>
      </c>
      <c r="AQ3150">
        <v>-21</v>
      </c>
      <c r="AR3150">
        <v>0</v>
      </c>
      <c r="AZ3150">
        <v>3614</v>
      </c>
      <c r="BA3150">
        <v>1</v>
      </c>
      <c r="BB3150" t="str">
        <f t="shared" si="149"/>
        <v xml:space="preserve">N959MJ  </v>
      </c>
      <c r="BC3150">
        <v>1</v>
      </c>
      <c r="BE3150">
        <v>0</v>
      </c>
      <c r="BF3150">
        <v>0</v>
      </c>
      <c r="BG3150">
        <v>0</v>
      </c>
      <c r="BH3150">
        <v>3875</v>
      </c>
      <c r="BI3150">
        <v>175</v>
      </c>
      <c r="BJ3150">
        <v>1</v>
      </c>
      <c r="BK3150">
        <v>1</v>
      </c>
      <c r="BL3150">
        <v>1</v>
      </c>
      <c r="BM3150">
        <v>0</v>
      </c>
      <c r="BP3150">
        <v>0</v>
      </c>
      <c r="BQ3150">
        <v>0</v>
      </c>
      <c r="BX3150" t="str">
        <f>"14:42:49.625"</f>
        <v>14:42:49.625</v>
      </c>
      <c r="BY3150" t="str">
        <f>"621362642"</f>
        <v>621362642</v>
      </c>
      <c r="CL3150">
        <v>0</v>
      </c>
      <c r="CM3150">
        <v>2</v>
      </c>
      <c r="CN3150">
        <v>0</v>
      </c>
      <c r="CO3150">
        <v>2</v>
      </c>
      <c r="CP3150">
        <v>0</v>
      </c>
      <c r="CQ3150">
        <v>7</v>
      </c>
      <c r="CR3150" t="s">
        <v>116</v>
      </c>
      <c r="CS3150">
        <v>38</v>
      </c>
      <c r="CT3150">
        <v>3</v>
      </c>
      <c r="CU3150" t="s">
        <v>4719</v>
      </c>
      <c r="CV3150" t="s">
        <v>4720</v>
      </c>
      <c r="CY3150">
        <v>10841434</v>
      </c>
      <c r="CZ3150" t="s">
        <v>119</v>
      </c>
    </row>
    <row r="3151" spans="1:104" x14ac:dyDescent="0.25">
      <c r="A3151" t="str">
        <f>"14:42:50.703"</f>
        <v>14:42:50.703</v>
      </c>
      <c r="B3151" t="s">
        <v>108</v>
      </c>
      <c r="C3151" t="str">
        <f t="shared" si="148"/>
        <v>ffdfd3c0</v>
      </c>
      <c r="D3151" t="s">
        <v>109</v>
      </c>
      <c r="E3151">
        <v>4</v>
      </c>
      <c r="F3151">
        <v>1004</v>
      </c>
      <c r="G3151" t="s">
        <v>110</v>
      </c>
      <c r="J3151" t="s">
        <v>111</v>
      </c>
      <c r="K3151">
        <v>0</v>
      </c>
      <c r="L3151">
        <v>3</v>
      </c>
      <c r="M3151">
        <v>0</v>
      </c>
      <c r="N3151">
        <v>2</v>
      </c>
      <c r="O3151">
        <v>1</v>
      </c>
      <c r="P3151">
        <v>0</v>
      </c>
      <c r="Q3151">
        <v>0</v>
      </c>
      <c r="R3151" t="s">
        <v>112</v>
      </c>
      <c r="S3151" t="str">
        <f>"14:42:50.500"</f>
        <v>14:42:50.500</v>
      </c>
      <c r="T3151" t="str">
        <f>"14:42:50.102"</f>
        <v>14:42:50.102</v>
      </c>
      <c r="U3151" t="str">
        <f t="shared" si="147"/>
        <v>ad5732</v>
      </c>
      <c r="V3151">
        <v>0</v>
      </c>
      <c r="W3151">
        <v>0</v>
      </c>
      <c r="X3151">
        <v>1</v>
      </c>
      <c r="Z3151">
        <v>0</v>
      </c>
      <c r="AA3151">
        <v>9</v>
      </c>
      <c r="AB3151">
        <v>3</v>
      </c>
      <c r="AC3151">
        <v>0</v>
      </c>
      <c r="AD3151">
        <v>10</v>
      </c>
      <c r="AE3151">
        <v>0</v>
      </c>
      <c r="AF3151">
        <v>3</v>
      </c>
      <c r="AG3151">
        <v>2</v>
      </c>
      <c r="AH3151">
        <v>0</v>
      </c>
      <c r="AI3151" t="s">
        <v>6410</v>
      </c>
      <c r="AJ3151">
        <v>40.399560999999999</v>
      </c>
      <c r="AK3151" t="s">
        <v>6411</v>
      </c>
      <c r="AL3151">
        <v>-74.902660999999995</v>
      </c>
      <c r="AM3151">
        <v>100</v>
      </c>
      <c r="AN3151">
        <v>3700</v>
      </c>
      <c r="AO3151" t="s">
        <v>115</v>
      </c>
      <c r="AP3151">
        <v>163</v>
      </c>
      <c r="AQ3151">
        <v>-21</v>
      </c>
      <c r="AR3151">
        <v>0</v>
      </c>
      <c r="AZ3151">
        <v>3614</v>
      </c>
      <c r="BA3151">
        <v>1</v>
      </c>
      <c r="BB3151" t="str">
        <f t="shared" si="149"/>
        <v xml:space="preserve">N959MJ  </v>
      </c>
      <c r="BC3151">
        <v>1</v>
      </c>
      <c r="BE3151">
        <v>0</v>
      </c>
      <c r="BF3151">
        <v>0</v>
      </c>
      <c r="BG3151">
        <v>0</v>
      </c>
      <c r="BH3151">
        <v>3875</v>
      </c>
      <c r="BI3151">
        <v>175</v>
      </c>
      <c r="BJ3151">
        <v>1</v>
      </c>
      <c r="BK3151">
        <v>1</v>
      </c>
      <c r="BL3151">
        <v>1</v>
      </c>
      <c r="BM3151">
        <v>0</v>
      </c>
      <c r="BP3151">
        <v>0</v>
      </c>
      <c r="BQ3151">
        <v>0</v>
      </c>
      <c r="BX3151" t="str">
        <f>"14:42:50.508"</f>
        <v>14:42:50.508</v>
      </c>
      <c r="BY3151" t="str">
        <f>"507752348"</f>
        <v>507752348</v>
      </c>
      <c r="CL3151">
        <v>0</v>
      </c>
      <c r="CM3151">
        <v>2</v>
      </c>
      <c r="CN3151">
        <v>0</v>
      </c>
      <c r="CO3151">
        <v>2</v>
      </c>
      <c r="CP3151">
        <v>0</v>
      </c>
      <c r="CQ3151">
        <v>7</v>
      </c>
      <c r="CR3151" t="s">
        <v>116</v>
      </c>
      <c r="CS3151">
        <v>38</v>
      </c>
      <c r="CT3151">
        <v>3</v>
      </c>
      <c r="CU3151" t="s">
        <v>4719</v>
      </c>
      <c r="CV3151" t="s">
        <v>4720</v>
      </c>
      <c r="CY3151">
        <v>10843066</v>
      </c>
      <c r="CZ3151" t="s">
        <v>119</v>
      </c>
    </row>
    <row r="3152" spans="1:104" x14ac:dyDescent="0.25">
      <c r="A3152" t="str">
        <f>"14:42:51.563"</f>
        <v>14:42:51.563</v>
      </c>
      <c r="B3152" t="s">
        <v>108</v>
      </c>
      <c r="C3152" t="str">
        <f t="shared" si="148"/>
        <v>ffdfd3c0</v>
      </c>
      <c r="D3152" t="s">
        <v>109</v>
      </c>
      <c r="E3152">
        <v>4</v>
      </c>
      <c r="F3152">
        <v>1004</v>
      </c>
      <c r="G3152" t="s">
        <v>110</v>
      </c>
      <c r="J3152" t="s">
        <v>111</v>
      </c>
      <c r="K3152">
        <v>0</v>
      </c>
      <c r="L3152">
        <v>3</v>
      </c>
      <c r="M3152">
        <v>0</v>
      </c>
      <c r="N3152">
        <v>2</v>
      </c>
      <c r="O3152">
        <v>1</v>
      </c>
      <c r="P3152">
        <v>0</v>
      </c>
      <c r="Q3152">
        <v>0</v>
      </c>
      <c r="R3152" t="s">
        <v>112</v>
      </c>
      <c r="S3152" t="str">
        <f>"14:42:51.367"</f>
        <v>14:42:51.367</v>
      </c>
      <c r="T3152" t="str">
        <f>"14:42:50.969"</f>
        <v>14:42:50.969</v>
      </c>
      <c r="U3152" t="str">
        <f t="shared" si="147"/>
        <v>ad5732</v>
      </c>
      <c r="V3152">
        <v>0</v>
      </c>
      <c r="W3152">
        <v>0</v>
      </c>
      <c r="X3152">
        <v>1</v>
      </c>
      <c r="Z3152">
        <v>0</v>
      </c>
      <c r="AA3152">
        <v>9</v>
      </c>
      <c r="AB3152">
        <v>3</v>
      </c>
      <c r="AC3152">
        <v>0</v>
      </c>
      <c r="AD3152">
        <v>10</v>
      </c>
      <c r="AE3152">
        <v>0</v>
      </c>
      <c r="AF3152">
        <v>3</v>
      </c>
      <c r="AG3152">
        <v>2</v>
      </c>
      <c r="AH3152">
        <v>0</v>
      </c>
      <c r="AI3152" t="s">
        <v>6412</v>
      </c>
      <c r="AJ3152">
        <v>40.399518</v>
      </c>
      <c r="AK3152" t="s">
        <v>6413</v>
      </c>
      <c r="AL3152">
        <v>-74.901737999999995</v>
      </c>
      <c r="AM3152">
        <v>100</v>
      </c>
      <c r="AN3152">
        <v>3700</v>
      </c>
      <c r="AO3152" t="s">
        <v>115</v>
      </c>
      <c r="AP3152">
        <v>163</v>
      </c>
      <c r="AQ3152">
        <v>-20</v>
      </c>
      <c r="AR3152">
        <v>0</v>
      </c>
      <c r="AZ3152">
        <v>3614</v>
      </c>
      <c r="BA3152">
        <v>1</v>
      </c>
      <c r="BB3152" t="str">
        <f t="shared" si="149"/>
        <v xml:space="preserve">N959MJ  </v>
      </c>
      <c r="BC3152">
        <v>1</v>
      </c>
      <c r="BE3152">
        <v>0</v>
      </c>
      <c r="BF3152">
        <v>0</v>
      </c>
      <c r="BG3152">
        <v>0</v>
      </c>
      <c r="BH3152">
        <v>3875</v>
      </c>
      <c r="BI3152">
        <v>175</v>
      </c>
      <c r="BJ3152">
        <v>1</v>
      </c>
      <c r="BK3152">
        <v>1</v>
      </c>
      <c r="BL3152">
        <v>1</v>
      </c>
      <c r="BM3152">
        <v>0</v>
      </c>
      <c r="BP3152">
        <v>0</v>
      </c>
      <c r="BQ3152">
        <v>0</v>
      </c>
      <c r="BX3152" t="str">
        <f>"14:42:51.375"</f>
        <v>14:42:51.375</v>
      </c>
      <c r="BY3152" t="str">
        <f>"371204211"</f>
        <v>371204211</v>
      </c>
      <c r="CL3152">
        <v>0</v>
      </c>
      <c r="CM3152">
        <v>2</v>
      </c>
      <c r="CN3152">
        <v>0</v>
      </c>
      <c r="CO3152">
        <v>2</v>
      </c>
      <c r="CP3152">
        <v>0</v>
      </c>
      <c r="CQ3152">
        <v>7</v>
      </c>
      <c r="CR3152" t="s">
        <v>116</v>
      </c>
      <c r="CS3152">
        <v>38</v>
      </c>
      <c r="CT3152">
        <v>0</v>
      </c>
      <c r="CU3152" t="s">
        <v>4719</v>
      </c>
      <c r="CV3152" t="s">
        <v>4720</v>
      </c>
      <c r="CY3152">
        <v>7431785</v>
      </c>
      <c r="CZ3152" t="s">
        <v>119</v>
      </c>
    </row>
    <row r="3153" spans="1:104" x14ac:dyDescent="0.25">
      <c r="A3153" t="str">
        <f>"14:42:52.422"</f>
        <v>14:42:52.422</v>
      </c>
      <c r="B3153" t="s">
        <v>108</v>
      </c>
      <c r="C3153" t="str">
        <f t="shared" si="148"/>
        <v>ffdfd3c0</v>
      </c>
      <c r="D3153" t="s">
        <v>109</v>
      </c>
      <c r="E3153">
        <v>4</v>
      </c>
      <c r="F3153">
        <v>1004</v>
      </c>
      <c r="G3153" t="s">
        <v>110</v>
      </c>
      <c r="J3153" t="s">
        <v>111</v>
      </c>
      <c r="K3153">
        <v>0</v>
      </c>
      <c r="L3153">
        <v>3</v>
      </c>
      <c r="M3153">
        <v>0</v>
      </c>
      <c r="N3153">
        <v>2</v>
      </c>
      <c r="O3153">
        <v>1</v>
      </c>
      <c r="P3153">
        <v>0</v>
      </c>
      <c r="Q3153">
        <v>0</v>
      </c>
      <c r="R3153" t="s">
        <v>112</v>
      </c>
      <c r="S3153" t="str">
        <f>"14:42:52.258"</f>
        <v>14:42:52.258</v>
      </c>
      <c r="T3153" t="str">
        <f>"14:42:51.859"</f>
        <v>14:42:51.859</v>
      </c>
      <c r="U3153" t="str">
        <f t="shared" si="147"/>
        <v>ad5732</v>
      </c>
      <c r="V3153">
        <v>0</v>
      </c>
      <c r="W3153">
        <v>0</v>
      </c>
      <c r="X3153">
        <v>1</v>
      </c>
      <c r="Z3153">
        <v>0</v>
      </c>
      <c r="AA3153">
        <v>9</v>
      </c>
      <c r="AB3153">
        <v>3</v>
      </c>
      <c r="AC3153">
        <v>0</v>
      </c>
      <c r="AD3153">
        <v>10</v>
      </c>
      <c r="AE3153">
        <v>0</v>
      </c>
      <c r="AF3153">
        <v>3</v>
      </c>
      <c r="AG3153">
        <v>2</v>
      </c>
      <c r="AH3153">
        <v>0</v>
      </c>
      <c r="AI3153" t="s">
        <v>6414</v>
      </c>
      <c r="AJ3153">
        <v>40.399431999999997</v>
      </c>
      <c r="AK3153" t="s">
        <v>6415</v>
      </c>
      <c r="AL3153">
        <v>-74.900857999999999</v>
      </c>
      <c r="AM3153">
        <v>100</v>
      </c>
      <c r="AN3153">
        <v>3700</v>
      </c>
      <c r="AO3153" t="s">
        <v>115</v>
      </c>
      <c r="AP3153">
        <v>163</v>
      </c>
      <c r="AQ3153">
        <v>-20</v>
      </c>
      <c r="AR3153">
        <v>64</v>
      </c>
      <c r="AZ3153">
        <v>3614</v>
      </c>
      <c r="BA3153">
        <v>1</v>
      </c>
      <c r="BB3153" t="str">
        <f t="shared" si="149"/>
        <v xml:space="preserve">N959MJ  </v>
      </c>
      <c r="BC3153">
        <v>1</v>
      </c>
      <c r="BE3153">
        <v>0</v>
      </c>
      <c r="BF3153">
        <v>0</v>
      </c>
      <c r="BG3153">
        <v>0</v>
      </c>
      <c r="BH3153">
        <v>3875</v>
      </c>
      <c r="BI3153">
        <v>175</v>
      </c>
      <c r="BJ3153">
        <v>1</v>
      </c>
      <c r="BK3153">
        <v>1</v>
      </c>
      <c r="BL3153">
        <v>1</v>
      </c>
      <c r="BM3153">
        <v>0</v>
      </c>
      <c r="BP3153">
        <v>0</v>
      </c>
      <c r="BQ3153">
        <v>0</v>
      </c>
      <c r="BX3153" t="str">
        <f>"14:42:52.258"</f>
        <v>14:42:52.258</v>
      </c>
      <c r="BY3153" t="str">
        <f>"259232282"</f>
        <v>259232282</v>
      </c>
      <c r="CL3153">
        <v>0</v>
      </c>
      <c r="CM3153">
        <v>2</v>
      </c>
      <c r="CN3153">
        <v>0</v>
      </c>
      <c r="CO3153">
        <v>2</v>
      </c>
      <c r="CP3153">
        <v>0</v>
      </c>
      <c r="CQ3153">
        <v>7</v>
      </c>
      <c r="CR3153" t="s">
        <v>116</v>
      </c>
      <c r="CS3153">
        <v>38</v>
      </c>
      <c r="CT3153">
        <v>3</v>
      </c>
      <c r="CU3153" t="s">
        <v>4719</v>
      </c>
      <c r="CV3153" t="s">
        <v>4720</v>
      </c>
      <c r="CY3153">
        <v>10846173</v>
      </c>
      <c r="CZ3153" t="s">
        <v>119</v>
      </c>
    </row>
    <row r="3154" spans="1:104" x14ac:dyDescent="0.25">
      <c r="A3154" t="str">
        <f>"14:42:53.430"</f>
        <v>14:42:53.430</v>
      </c>
      <c r="B3154" t="s">
        <v>108</v>
      </c>
      <c r="C3154" t="str">
        <f t="shared" si="148"/>
        <v>ffdfd3c0</v>
      </c>
      <c r="D3154" t="s">
        <v>109</v>
      </c>
      <c r="E3154">
        <v>4</v>
      </c>
      <c r="F3154">
        <v>1004</v>
      </c>
      <c r="G3154" t="s">
        <v>110</v>
      </c>
      <c r="J3154" t="s">
        <v>111</v>
      </c>
      <c r="K3154">
        <v>0</v>
      </c>
      <c r="L3154">
        <v>3</v>
      </c>
      <c r="M3154">
        <v>0</v>
      </c>
      <c r="N3154">
        <v>2</v>
      </c>
      <c r="O3154">
        <v>1</v>
      </c>
      <c r="P3154">
        <v>0</v>
      </c>
      <c r="Q3154">
        <v>0</v>
      </c>
      <c r="R3154" t="s">
        <v>112</v>
      </c>
      <c r="S3154" t="str">
        <f>"14:42:53.250"</f>
        <v>14:42:53.250</v>
      </c>
      <c r="T3154" t="str">
        <f>"14:42:52.852"</f>
        <v>14:42:52.852</v>
      </c>
      <c r="U3154" t="str">
        <f t="shared" si="147"/>
        <v>ad5732</v>
      </c>
      <c r="V3154">
        <v>0</v>
      </c>
      <c r="W3154">
        <v>0</v>
      </c>
      <c r="X3154">
        <v>1</v>
      </c>
      <c r="Z3154">
        <v>0</v>
      </c>
      <c r="AA3154">
        <v>9</v>
      </c>
      <c r="AB3154">
        <v>3</v>
      </c>
      <c r="AC3154">
        <v>0</v>
      </c>
      <c r="AD3154">
        <v>10</v>
      </c>
      <c r="AE3154">
        <v>0</v>
      </c>
      <c r="AF3154">
        <v>3</v>
      </c>
      <c r="AG3154">
        <v>2</v>
      </c>
      <c r="AH3154">
        <v>0</v>
      </c>
      <c r="AI3154" t="s">
        <v>6416</v>
      </c>
      <c r="AJ3154">
        <v>40.399324999999997</v>
      </c>
      <c r="AK3154" t="s">
        <v>6417</v>
      </c>
      <c r="AL3154">
        <v>-74.899850000000001</v>
      </c>
      <c r="AM3154">
        <v>100</v>
      </c>
      <c r="AN3154">
        <v>3700</v>
      </c>
      <c r="AO3154" t="s">
        <v>115</v>
      </c>
      <c r="AP3154">
        <v>163</v>
      </c>
      <c r="AQ3154">
        <v>-20</v>
      </c>
      <c r="AR3154">
        <v>64</v>
      </c>
      <c r="AZ3154">
        <v>3614</v>
      </c>
      <c r="BA3154">
        <v>1</v>
      </c>
      <c r="BB3154" t="str">
        <f t="shared" si="149"/>
        <v xml:space="preserve">N959MJ  </v>
      </c>
      <c r="BC3154">
        <v>1</v>
      </c>
      <c r="BE3154">
        <v>0</v>
      </c>
      <c r="BF3154">
        <v>0</v>
      </c>
      <c r="BG3154">
        <v>0</v>
      </c>
      <c r="BH3154">
        <v>3875</v>
      </c>
      <c r="BI3154">
        <v>175</v>
      </c>
      <c r="BJ3154">
        <v>1</v>
      </c>
      <c r="BK3154">
        <v>1</v>
      </c>
      <c r="BL3154">
        <v>1</v>
      </c>
      <c r="BM3154">
        <v>0</v>
      </c>
      <c r="BP3154">
        <v>0</v>
      </c>
      <c r="BQ3154">
        <v>0</v>
      </c>
      <c r="BX3154" t="str">
        <f>"14:42:53.250"</f>
        <v>14:42:53.250</v>
      </c>
      <c r="BY3154" t="str">
        <f>"253758541"</f>
        <v>253758541</v>
      </c>
      <c r="CL3154">
        <v>0</v>
      </c>
      <c r="CM3154">
        <v>2</v>
      </c>
      <c r="CN3154">
        <v>0</v>
      </c>
      <c r="CO3154">
        <v>2</v>
      </c>
      <c r="CP3154">
        <v>0</v>
      </c>
      <c r="CQ3154">
        <v>7</v>
      </c>
      <c r="CR3154" t="s">
        <v>116</v>
      </c>
      <c r="CS3154">
        <v>38</v>
      </c>
      <c r="CT3154">
        <v>0</v>
      </c>
      <c r="CU3154" t="s">
        <v>4719</v>
      </c>
      <c r="CV3154" t="s">
        <v>4720</v>
      </c>
      <c r="CY3154">
        <v>7434655</v>
      </c>
      <c r="CZ3154" t="s">
        <v>119</v>
      </c>
    </row>
    <row r="3155" spans="1:104" x14ac:dyDescent="0.25">
      <c r="A3155" t="str">
        <f>"14:42:54.445"</f>
        <v>14:42:54.445</v>
      </c>
      <c r="B3155" t="s">
        <v>108</v>
      </c>
      <c r="C3155" t="str">
        <f t="shared" si="148"/>
        <v>ffdfd3c0</v>
      </c>
      <c r="D3155" t="s">
        <v>109</v>
      </c>
      <c r="E3155">
        <v>4</v>
      </c>
      <c r="F3155">
        <v>1004</v>
      </c>
      <c r="G3155" t="s">
        <v>110</v>
      </c>
      <c r="J3155" t="s">
        <v>111</v>
      </c>
      <c r="K3155">
        <v>0</v>
      </c>
      <c r="L3155">
        <v>3</v>
      </c>
      <c r="M3155">
        <v>0</v>
      </c>
      <c r="N3155">
        <v>2</v>
      </c>
      <c r="O3155">
        <v>1</v>
      </c>
      <c r="P3155">
        <v>0</v>
      </c>
      <c r="Q3155">
        <v>0</v>
      </c>
      <c r="R3155" t="s">
        <v>112</v>
      </c>
      <c r="S3155" t="str">
        <f>"14:42:54.273"</f>
        <v>14:42:54.273</v>
      </c>
      <c r="T3155" t="str">
        <f>"14:42:53.875"</f>
        <v>14:42:53.875</v>
      </c>
      <c r="U3155" t="str">
        <f t="shared" si="147"/>
        <v>ad5732</v>
      </c>
      <c r="V3155">
        <v>0</v>
      </c>
      <c r="W3155">
        <v>0</v>
      </c>
      <c r="X3155">
        <v>1</v>
      </c>
      <c r="Z3155">
        <v>0</v>
      </c>
      <c r="AA3155">
        <v>9</v>
      </c>
      <c r="AB3155">
        <v>3</v>
      </c>
      <c r="AC3155">
        <v>0</v>
      </c>
      <c r="AD3155">
        <v>10</v>
      </c>
      <c r="AE3155">
        <v>0</v>
      </c>
      <c r="AF3155">
        <v>3</v>
      </c>
      <c r="AG3155">
        <v>2</v>
      </c>
      <c r="AH3155">
        <v>0</v>
      </c>
      <c r="AI3155" t="s">
        <v>6418</v>
      </c>
      <c r="AJ3155">
        <v>40.399239000000001</v>
      </c>
      <c r="AK3155" t="s">
        <v>6419</v>
      </c>
      <c r="AL3155">
        <v>-74.898927</v>
      </c>
      <c r="AM3155">
        <v>100</v>
      </c>
      <c r="AN3155">
        <v>3700</v>
      </c>
      <c r="AO3155" t="s">
        <v>115</v>
      </c>
      <c r="AP3155">
        <v>163</v>
      </c>
      <c r="AQ3155">
        <v>-21</v>
      </c>
      <c r="AR3155">
        <v>64</v>
      </c>
      <c r="AZ3155">
        <v>3614</v>
      </c>
      <c r="BA3155">
        <v>1</v>
      </c>
      <c r="BB3155" t="str">
        <f t="shared" si="149"/>
        <v xml:space="preserve">N959MJ  </v>
      </c>
      <c r="BC3155">
        <v>1</v>
      </c>
      <c r="BE3155">
        <v>0</v>
      </c>
      <c r="BF3155">
        <v>0</v>
      </c>
      <c r="BG3155">
        <v>0</v>
      </c>
      <c r="BH3155">
        <v>3875</v>
      </c>
      <c r="BI3155">
        <v>175</v>
      </c>
      <c r="BJ3155">
        <v>1</v>
      </c>
      <c r="BK3155">
        <v>1</v>
      </c>
      <c r="BL3155">
        <v>1</v>
      </c>
      <c r="BM3155">
        <v>0</v>
      </c>
      <c r="BP3155">
        <v>0</v>
      </c>
      <c r="BQ3155">
        <v>0</v>
      </c>
      <c r="BX3155" t="str">
        <f>"14:42:54.281"</f>
        <v>14:42:54.281</v>
      </c>
      <c r="BY3155" t="str">
        <f>"281052918"</f>
        <v>281052918</v>
      </c>
      <c r="CL3155">
        <v>0</v>
      </c>
      <c r="CM3155">
        <v>2</v>
      </c>
      <c r="CN3155">
        <v>0</v>
      </c>
      <c r="CO3155">
        <v>2</v>
      </c>
      <c r="CP3155">
        <v>0</v>
      </c>
      <c r="CQ3155">
        <v>7</v>
      </c>
      <c r="CR3155" t="s">
        <v>116</v>
      </c>
      <c r="CS3155">
        <v>38</v>
      </c>
      <c r="CT3155">
        <v>0</v>
      </c>
      <c r="CU3155" t="s">
        <v>4719</v>
      </c>
      <c r="CV3155" t="s">
        <v>4720</v>
      </c>
      <c r="CY3155">
        <v>7436249</v>
      </c>
      <c r="CZ3155" t="s">
        <v>119</v>
      </c>
    </row>
    <row r="3156" spans="1:104" x14ac:dyDescent="0.25">
      <c r="A3156" t="str">
        <f>"14:42:55.398"</f>
        <v>14:42:55.398</v>
      </c>
      <c r="B3156" t="s">
        <v>108</v>
      </c>
      <c r="C3156" t="str">
        <f t="shared" si="148"/>
        <v>ffdfd3c0</v>
      </c>
      <c r="D3156" t="s">
        <v>109</v>
      </c>
      <c r="E3156">
        <v>4</v>
      </c>
      <c r="F3156">
        <v>1004</v>
      </c>
      <c r="G3156" t="s">
        <v>110</v>
      </c>
      <c r="J3156" t="s">
        <v>111</v>
      </c>
      <c r="K3156">
        <v>0</v>
      </c>
      <c r="L3156">
        <v>3</v>
      </c>
      <c r="M3156">
        <v>0</v>
      </c>
      <c r="N3156">
        <v>2</v>
      </c>
      <c r="O3156">
        <v>1</v>
      </c>
      <c r="P3156">
        <v>0</v>
      </c>
      <c r="Q3156">
        <v>0</v>
      </c>
      <c r="R3156" t="s">
        <v>112</v>
      </c>
      <c r="S3156" t="str">
        <f>"14:42:55.227"</f>
        <v>14:42:55.227</v>
      </c>
      <c r="T3156" t="str">
        <f>"14:42:54.828"</f>
        <v>14:42:54.828</v>
      </c>
      <c r="U3156" t="str">
        <f t="shared" si="147"/>
        <v>ad5732</v>
      </c>
      <c r="V3156">
        <v>0</v>
      </c>
      <c r="W3156">
        <v>0</v>
      </c>
      <c r="X3156">
        <v>1</v>
      </c>
      <c r="Z3156">
        <v>0</v>
      </c>
      <c r="AA3156">
        <v>9</v>
      </c>
      <c r="AB3156">
        <v>3</v>
      </c>
      <c r="AC3156">
        <v>0</v>
      </c>
      <c r="AD3156">
        <v>10</v>
      </c>
      <c r="AE3156">
        <v>0</v>
      </c>
      <c r="AF3156">
        <v>3</v>
      </c>
      <c r="AG3156">
        <v>2</v>
      </c>
      <c r="AH3156">
        <v>0</v>
      </c>
      <c r="AI3156" t="s">
        <v>6218</v>
      </c>
      <c r="AJ3156">
        <v>40.399152999999998</v>
      </c>
      <c r="AK3156" t="s">
        <v>6420</v>
      </c>
      <c r="AL3156">
        <v>-74.897919000000002</v>
      </c>
      <c r="AM3156">
        <v>100</v>
      </c>
      <c r="AN3156">
        <v>3700</v>
      </c>
      <c r="AO3156" t="s">
        <v>115</v>
      </c>
      <c r="AP3156">
        <v>163</v>
      </c>
      <c r="AQ3156">
        <v>-21</v>
      </c>
      <c r="AR3156">
        <v>64</v>
      </c>
      <c r="AZ3156">
        <v>3614</v>
      </c>
      <c r="BA3156">
        <v>1</v>
      </c>
      <c r="BB3156" t="str">
        <f t="shared" si="149"/>
        <v xml:space="preserve">N959MJ  </v>
      </c>
      <c r="BC3156">
        <v>1</v>
      </c>
      <c r="BE3156">
        <v>0</v>
      </c>
      <c r="BF3156">
        <v>0</v>
      </c>
      <c r="BG3156">
        <v>0</v>
      </c>
      <c r="BH3156">
        <v>3875</v>
      </c>
      <c r="BI3156">
        <v>175</v>
      </c>
      <c r="BJ3156">
        <v>1</v>
      </c>
      <c r="BK3156">
        <v>1</v>
      </c>
      <c r="BL3156">
        <v>1</v>
      </c>
      <c r="BM3156">
        <v>0</v>
      </c>
      <c r="BP3156">
        <v>0</v>
      </c>
      <c r="BQ3156">
        <v>0</v>
      </c>
      <c r="BX3156" t="str">
        <f>"14:42:55.227"</f>
        <v>14:42:55.227</v>
      </c>
      <c r="BY3156" t="str">
        <f>"229702970"</f>
        <v>229702970</v>
      </c>
      <c r="CL3156">
        <v>0</v>
      </c>
      <c r="CM3156">
        <v>2</v>
      </c>
      <c r="CN3156">
        <v>0</v>
      </c>
      <c r="CO3156">
        <v>2</v>
      </c>
      <c r="CP3156">
        <v>0</v>
      </c>
      <c r="CQ3156">
        <v>7</v>
      </c>
      <c r="CR3156" t="s">
        <v>116</v>
      </c>
      <c r="CS3156">
        <v>38</v>
      </c>
      <c r="CT3156">
        <v>0</v>
      </c>
      <c r="CU3156" t="s">
        <v>4719</v>
      </c>
      <c r="CV3156" t="s">
        <v>4720</v>
      </c>
      <c r="CY3156">
        <v>7437814</v>
      </c>
      <c r="CZ3156" t="s">
        <v>119</v>
      </c>
    </row>
    <row r="3157" spans="1:104" x14ac:dyDescent="0.25">
      <c r="A3157" t="str">
        <f>"14:42:56.359"</f>
        <v>14:42:56.359</v>
      </c>
      <c r="B3157" t="s">
        <v>108</v>
      </c>
      <c r="C3157" t="str">
        <f t="shared" si="148"/>
        <v>ffdfd3c0</v>
      </c>
      <c r="D3157" t="s">
        <v>109</v>
      </c>
      <c r="E3157">
        <v>4</v>
      </c>
      <c r="F3157">
        <v>1004</v>
      </c>
      <c r="G3157" t="s">
        <v>110</v>
      </c>
      <c r="J3157" t="s">
        <v>111</v>
      </c>
      <c r="K3157">
        <v>0</v>
      </c>
      <c r="L3157">
        <v>3</v>
      </c>
      <c r="M3157">
        <v>0</v>
      </c>
      <c r="N3157">
        <v>2</v>
      </c>
      <c r="O3157">
        <v>1</v>
      </c>
      <c r="P3157">
        <v>0</v>
      </c>
      <c r="Q3157">
        <v>0</v>
      </c>
      <c r="R3157" t="s">
        <v>112</v>
      </c>
      <c r="S3157" t="str">
        <f>"14:42:56.148"</f>
        <v>14:42:56.148</v>
      </c>
      <c r="T3157" t="str">
        <f>"14:42:55.750"</f>
        <v>14:42:55.750</v>
      </c>
      <c r="U3157" t="str">
        <f t="shared" si="147"/>
        <v>ad5732</v>
      </c>
      <c r="V3157">
        <v>0</v>
      </c>
      <c r="W3157">
        <v>0</v>
      </c>
      <c r="X3157">
        <v>1</v>
      </c>
      <c r="Z3157">
        <v>0</v>
      </c>
      <c r="AA3157">
        <v>9</v>
      </c>
      <c r="AB3157">
        <v>3</v>
      </c>
      <c r="AC3157">
        <v>0</v>
      </c>
      <c r="AD3157">
        <v>10</v>
      </c>
      <c r="AE3157">
        <v>0</v>
      </c>
      <c r="AF3157">
        <v>3</v>
      </c>
      <c r="AG3157">
        <v>2</v>
      </c>
      <c r="AH3157">
        <v>0</v>
      </c>
      <c r="AI3157" t="s">
        <v>6421</v>
      </c>
      <c r="AJ3157">
        <v>40.399067000000002</v>
      </c>
      <c r="AK3157" t="s">
        <v>6422</v>
      </c>
      <c r="AL3157">
        <v>-74.897039000000007</v>
      </c>
      <c r="AM3157">
        <v>100</v>
      </c>
      <c r="AN3157">
        <v>3700</v>
      </c>
      <c r="AO3157" t="s">
        <v>115</v>
      </c>
      <c r="AP3157">
        <v>163</v>
      </c>
      <c r="AQ3157">
        <v>-21</v>
      </c>
      <c r="AR3157">
        <v>64</v>
      </c>
      <c r="AZ3157">
        <v>3614</v>
      </c>
      <c r="BA3157">
        <v>1</v>
      </c>
      <c r="BB3157" t="str">
        <f t="shared" si="149"/>
        <v xml:space="preserve">N959MJ  </v>
      </c>
      <c r="BC3157">
        <v>1</v>
      </c>
      <c r="BE3157">
        <v>0</v>
      </c>
      <c r="BF3157">
        <v>0</v>
      </c>
      <c r="BG3157">
        <v>0</v>
      </c>
      <c r="BH3157">
        <v>3875</v>
      </c>
      <c r="BI3157">
        <v>175</v>
      </c>
      <c r="BJ3157">
        <v>1</v>
      </c>
      <c r="BK3157">
        <v>1</v>
      </c>
      <c r="BL3157">
        <v>1</v>
      </c>
      <c r="BM3157">
        <v>0</v>
      </c>
      <c r="BP3157">
        <v>0</v>
      </c>
      <c r="BQ3157">
        <v>0</v>
      </c>
      <c r="BX3157" t="str">
        <f>"14:42:56.148"</f>
        <v>14:42:56.148</v>
      </c>
      <c r="BY3157" t="str">
        <f>"148861283"</f>
        <v>148861283</v>
      </c>
      <c r="CL3157">
        <v>0</v>
      </c>
      <c r="CM3157">
        <v>2</v>
      </c>
      <c r="CN3157">
        <v>0</v>
      </c>
      <c r="CO3157">
        <v>2</v>
      </c>
      <c r="CP3157">
        <v>0</v>
      </c>
      <c r="CQ3157">
        <v>7</v>
      </c>
      <c r="CR3157" t="s">
        <v>116</v>
      </c>
      <c r="CS3157">
        <v>38</v>
      </c>
      <c r="CT3157">
        <v>0</v>
      </c>
      <c r="CU3157" t="s">
        <v>4719</v>
      </c>
      <c r="CV3157" t="s">
        <v>4720</v>
      </c>
      <c r="CY3157">
        <v>7439335</v>
      </c>
      <c r="CZ3157" t="s">
        <v>119</v>
      </c>
    </row>
    <row r="3158" spans="1:104" x14ac:dyDescent="0.25">
      <c r="A3158" t="str">
        <f>"14:42:57.422"</f>
        <v>14:42:57.422</v>
      </c>
      <c r="B3158" t="s">
        <v>108</v>
      </c>
      <c r="C3158" t="str">
        <f t="shared" si="148"/>
        <v>ffdfd3c0</v>
      </c>
      <c r="D3158" t="s">
        <v>109</v>
      </c>
      <c r="E3158">
        <v>4</v>
      </c>
      <c r="F3158">
        <v>1004</v>
      </c>
      <c r="G3158" t="s">
        <v>110</v>
      </c>
      <c r="J3158" t="s">
        <v>111</v>
      </c>
      <c r="K3158">
        <v>0</v>
      </c>
      <c r="L3158">
        <v>3</v>
      </c>
      <c r="M3158">
        <v>0</v>
      </c>
      <c r="N3158">
        <v>2</v>
      </c>
      <c r="O3158">
        <v>1</v>
      </c>
      <c r="P3158">
        <v>0</v>
      </c>
      <c r="Q3158">
        <v>0</v>
      </c>
      <c r="R3158" t="s">
        <v>112</v>
      </c>
      <c r="S3158" t="str">
        <f>"14:42:57.211"</f>
        <v>14:42:57.211</v>
      </c>
      <c r="T3158" t="str">
        <f>"14:42:56.813"</f>
        <v>14:42:56.813</v>
      </c>
      <c r="U3158" t="str">
        <f t="shared" si="147"/>
        <v>ad5732</v>
      </c>
      <c r="V3158">
        <v>0</v>
      </c>
      <c r="W3158">
        <v>0</v>
      </c>
      <c r="X3158">
        <v>1</v>
      </c>
      <c r="Z3158">
        <v>0</v>
      </c>
      <c r="AA3158">
        <v>9</v>
      </c>
      <c r="AB3158">
        <v>3</v>
      </c>
      <c r="AC3158">
        <v>0</v>
      </c>
      <c r="AD3158">
        <v>10</v>
      </c>
      <c r="AE3158">
        <v>0</v>
      </c>
      <c r="AF3158">
        <v>3</v>
      </c>
      <c r="AG3158">
        <v>2</v>
      </c>
      <c r="AH3158">
        <v>0</v>
      </c>
      <c r="AI3158" t="s">
        <v>6423</v>
      </c>
      <c r="AJ3158">
        <v>40.398916999999997</v>
      </c>
      <c r="AK3158" t="s">
        <v>6424</v>
      </c>
      <c r="AL3158">
        <v>-74.895988000000003</v>
      </c>
      <c r="AM3158">
        <v>100</v>
      </c>
      <c r="AN3158">
        <v>3700</v>
      </c>
      <c r="AO3158" t="s">
        <v>115</v>
      </c>
      <c r="AP3158">
        <v>163</v>
      </c>
      <c r="AQ3158">
        <v>-21</v>
      </c>
      <c r="AR3158">
        <v>0</v>
      </c>
      <c r="AZ3158">
        <v>3614</v>
      </c>
      <c r="BA3158">
        <v>1</v>
      </c>
      <c r="BB3158" t="str">
        <f t="shared" si="149"/>
        <v xml:space="preserve">N959MJ  </v>
      </c>
      <c r="BC3158">
        <v>1</v>
      </c>
      <c r="BE3158">
        <v>0</v>
      </c>
      <c r="BF3158">
        <v>0</v>
      </c>
      <c r="BG3158">
        <v>0</v>
      </c>
      <c r="BH3158">
        <v>3875</v>
      </c>
      <c r="BI3158">
        <v>175</v>
      </c>
      <c r="BJ3158">
        <v>1</v>
      </c>
      <c r="BK3158">
        <v>1</v>
      </c>
      <c r="BL3158">
        <v>1</v>
      </c>
      <c r="BM3158">
        <v>0</v>
      </c>
      <c r="BP3158">
        <v>0</v>
      </c>
      <c r="BQ3158">
        <v>0</v>
      </c>
      <c r="BX3158" t="str">
        <f>"14:42:57.219"</f>
        <v>14:42:57.219</v>
      </c>
      <c r="BY3158" t="str">
        <f>"215669594"</f>
        <v>215669594</v>
      </c>
      <c r="CL3158">
        <v>0</v>
      </c>
      <c r="CM3158">
        <v>2</v>
      </c>
      <c r="CN3158">
        <v>0</v>
      </c>
      <c r="CO3158">
        <v>2</v>
      </c>
      <c r="CP3158">
        <v>0</v>
      </c>
      <c r="CQ3158">
        <v>5</v>
      </c>
      <c r="CR3158" t="s">
        <v>116</v>
      </c>
      <c r="CS3158">
        <v>305</v>
      </c>
      <c r="CT3158">
        <v>3</v>
      </c>
      <c r="CU3158" t="s">
        <v>6425</v>
      </c>
      <c r="CV3158" t="s">
        <v>6426</v>
      </c>
      <c r="CY3158">
        <v>5111634</v>
      </c>
      <c r="CZ3158" t="s">
        <v>119</v>
      </c>
    </row>
    <row r="3159" spans="1:104" x14ac:dyDescent="0.25">
      <c r="A3159" t="str">
        <f>"14:42:58.227"</f>
        <v>14:42:58.227</v>
      </c>
      <c r="B3159" t="s">
        <v>108</v>
      </c>
      <c r="C3159" t="str">
        <f t="shared" si="148"/>
        <v>ffdfd3c0</v>
      </c>
      <c r="D3159" t="s">
        <v>109</v>
      </c>
      <c r="E3159">
        <v>4</v>
      </c>
      <c r="F3159">
        <v>1004</v>
      </c>
      <c r="G3159" t="s">
        <v>110</v>
      </c>
      <c r="J3159" t="s">
        <v>111</v>
      </c>
      <c r="K3159">
        <v>0</v>
      </c>
      <c r="L3159">
        <v>3</v>
      </c>
      <c r="M3159">
        <v>0</v>
      </c>
      <c r="N3159">
        <v>2</v>
      </c>
      <c r="O3159">
        <v>1</v>
      </c>
      <c r="P3159">
        <v>0</v>
      </c>
      <c r="Q3159">
        <v>0</v>
      </c>
      <c r="R3159" t="s">
        <v>112</v>
      </c>
      <c r="S3159" t="str">
        <f>"14:42:58.047"</f>
        <v>14:42:58.047</v>
      </c>
      <c r="T3159" t="str">
        <f>"14:42:57.648"</f>
        <v>14:42:57.648</v>
      </c>
      <c r="U3159" t="str">
        <f t="shared" si="147"/>
        <v>ad5732</v>
      </c>
      <c r="V3159">
        <v>0</v>
      </c>
      <c r="W3159">
        <v>0</v>
      </c>
      <c r="X3159">
        <v>1</v>
      </c>
      <c r="Z3159">
        <v>0</v>
      </c>
      <c r="AA3159">
        <v>9</v>
      </c>
      <c r="AB3159">
        <v>3</v>
      </c>
      <c r="AC3159">
        <v>0</v>
      </c>
      <c r="AD3159">
        <v>10</v>
      </c>
      <c r="AE3159">
        <v>0</v>
      </c>
      <c r="AF3159">
        <v>3</v>
      </c>
      <c r="AG3159">
        <v>2</v>
      </c>
      <c r="AH3159">
        <v>0</v>
      </c>
      <c r="AI3159" t="s">
        <v>6427</v>
      </c>
      <c r="AJ3159">
        <v>40.398873999999999</v>
      </c>
      <c r="AK3159" t="s">
        <v>6428</v>
      </c>
      <c r="AL3159">
        <v>-74.895107999999993</v>
      </c>
      <c r="AM3159">
        <v>100</v>
      </c>
      <c r="AN3159">
        <v>3700</v>
      </c>
      <c r="AO3159" t="s">
        <v>115</v>
      </c>
      <c r="AP3159">
        <v>163</v>
      </c>
      <c r="AQ3159">
        <v>-21</v>
      </c>
      <c r="AR3159">
        <v>0</v>
      </c>
      <c r="AZ3159">
        <v>3614</v>
      </c>
      <c r="BA3159">
        <v>1</v>
      </c>
      <c r="BB3159" t="str">
        <f t="shared" si="149"/>
        <v xml:space="preserve">N959MJ  </v>
      </c>
      <c r="BC3159">
        <v>1</v>
      </c>
      <c r="BE3159">
        <v>0</v>
      </c>
      <c r="BF3159">
        <v>0</v>
      </c>
      <c r="BG3159">
        <v>0</v>
      </c>
      <c r="BH3159">
        <v>3875</v>
      </c>
      <c r="BI3159">
        <v>175</v>
      </c>
      <c r="BJ3159">
        <v>1</v>
      </c>
      <c r="BK3159">
        <v>1</v>
      </c>
      <c r="BL3159">
        <v>1</v>
      </c>
      <c r="BM3159">
        <v>0</v>
      </c>
      <c r="BP3159">
        <v>0</v>
      </c>
      <c r="BQ3159">
        <v>0</v>
      </c>
      <c r="BX3159" t="str">
        <f>"14:42:58.055"</f>
        <v>14:42:58.055</v>
      </c>
      <c r="BY3159" t="str">
        <f>"052715073"</f>
        <v>052715073</v>
      </c>
      <c r="CL3159">
        <v>0</v>
      </c>
      <c r="CM3159">
        <v>2</v>
      </c>
      <c r="CN3159">
        <v>0</v>
      </c>
      <c r="CO3159">
        <v>2</v>
      </c>
      <c r="CP3159">
        <v>0</v>
      </c>
      <c r="CQ3159">
        <v>7</v>
      </c>
      <c r="CR3159" t="s">
        <v>116</v>
      </c>
      <c r="CS3159">
        <v>38</v>
      </c>
      <c r="CT3159">
        <v>0</v>
      </c>
      <c r="CU3159" t="s">
        <v>4719</v>
      </c>
      <c r="CV3159" t="s">
        <v>4720</v>
      </c>
      <c r="CY3159">
        <v>7442175</v>
      </c>
      <c r="CZ3159" t="s">
        <v>119</v>
      </c>
    </row>
    <row r="3160" spans="1:104" x14ac:dyDescent="0.25">
      <c r="A3160" t="str">
        <f>"14:42:59.086"</f>
        <v>14:42:59.086</v>
      </c>
      <c r="B3160" t="s">
        <v>108</v>
      </c>
      <c r="C3160" t="str">
        <f t="shared" si="148"/>
        <v>ffdfd3c0</v>
      </c>
      <c r="D3160" t="s">
        <v>109</v>
      </c>
      <c r="E3160">
        <v>4</v>
      </c>
      <c r="F3160">
        <v>1004</v>
      </c>
      <c r="G3160" t="s">
        <v>110</v>
      </c>
      <c r="J3160" t="s">
        <v>111</v>
      </c>
      <c r="K3160">
        <v>0</v>
      </c>
      <c r="L3160">
        <v>3</v>
      </c>
      <c r="M3160">
        <v>0</v>
      </c>
      <c r="N3160">
        <v>2</v>
      </c>
      <c r="O3160">
        <v>1</v>
      </c>
      <c r="P3160">
        <v>0</v>
      </c>
      <c r="Q3160">
        <v>0</v>
      </c>
      <c r="R3160" t="s">
        <v>112</v>
      </c>
      <c r="S3160" t="str">
        <f>"14:42:58.891"</f>
        <v>14:42:58.891</v>
      </c>
      <c r="T3160" t="str">
        <f>"14:42:58.492"</f>
        <v>14:42:58.492</v>
      </c>
      <c r="U3160" t="str">
        <f t="shared" si="147"/>
        <v>ad5732</v>
      </c>
      <c r="V3160">
        <v>0</v>
      </c>
      <c r="W3160">
        <v>0</v>
      </c>
      <c r="X3160">
        <v>1</v>
      </c>
      <c r="Z3160">
        <v>0</v>
      </c>
      <c r="AA3160">
        <v>9</v>
      </c>
      <c r="AB3160">
        <v>3</v>
      </c>
      <c r="AC3160">
        <v>0</v>
      </c>
      <c r="AD3160">
        <v>10</v>
      </c>
      <c r="AE3160">
        <v>0</v>
      </c>
      <c r="AF3160">
        <v>3</v>
      </c>
      <c r="AG3160">
        <v>2</v>
      </c>
      <c r="AH3160">
        <v>0</v>
      </c>
      <c r="AI3160" t="s">
        <v>6429</v>
      </c>
      <c r="AJ3160">
        <v>40.398766999999999</v>
      </c>
      <c r="AK3160" t="s">
        <v>6430</v>
      </c>
      <c r="AL3160">
        <v>-74.894356999999999</v>
      </c>
      <c r="AM3160">
        <v>100</v>
      </c>
      <c r="AN3160">
        <v>3700</v>
      </c>
      <c r="AO3160" t="s">
        <v>115</v>
      </c>
      <c r="AP3160">
        <v>163</v>
      </c>
      <c r="AQ3160">
        <v>-21</v>
      </c>
      <c r="AR3160">
        <v>-64</v>
      </c>
      <c r="AZ3160">
        <v>3614</v>
      </c>
      <c r="BA3160">
        <v>1</v>
      </c>
      <c r="BB3160" t="str">
        <f t="shared" si="149"/>
        <v xml:space="preserve">N959MJ  </v>
      </c>
      <c r="BC3160">
        <v>1</v>
      </c>
      <c r="BE3160">
        <v>0</v>
      </c>
      <c r="BF3160">
        <v>0</v>
      </c>
      <c r="BG3160">
        <v>0</v>
      </c>
      <c r="BH3160">
        <v>3875</v>
      </c>
      <c r="BI3160">
        <v>175</v>
      </c>
      <c r="BJ3160">
        <v>1</v>
      </c>
      <c r="BK3160">
        <v>1</v>
      </c>
      <c r="BL3160">
        <v>1</v>
      </c>
      <c r="BM3160">
        <v>0</v>
      </c>
      <c r="BP3160">
        <v>0</v>
      </c>
      <c r="BQ3160">
        <v>0</v>
      </c>
      <c r="BX3160" t="str">
        <f>"14:42:58.898"</f>
        <v>14:42:58.898</v>
      </c>
      <c r="BY3160" t="str">
        <f>"895073753"</f>
        <v>895073753</v>
      </c>
      <c r="CL3160">
        <v>0</v>
      </c>
      <c r="CM3160">
        <v>2</v>
      </c>
      <c r="CN3160">
        <v>0</v>
      </c>
      <c r="CO3160">
        <v>2</v>
      </c>
      <c r="CP3160">
        <v>0</v>
      </c>
      <c r="CQ3160">
        <v>5</v>
      </c>
      <c r="CR3160" t="s">
        <v>116</v>
      </c>
      <c r="CS3160">
        <v>39</v>
      </c>
      <c r="CT3160">
        <v>0</v>
      </c>
      <c r="CU3160" t="s">
        <v>2259</v>
      </c>
      <c r="CV3160" t="s">
        <v>2260</v>
      </c>
      <c r="CY3160">
        <v>3008677</v>
      </c>
      <c r="CZ3160" t="s">
        <v>119</v>
      </c>
    </row>
    <row r="3161" spans="1:104" x14ac:dyDescent="0.25">
      <c r="A3161" t="str">
        <f>"14:43:00.195"</f>
        <v>14:43:00.195</v>
      </c>
      <c r="B3161" t="s">
        <v>108</v>
      </c>
      <c r="C3161" t="str">
        <f t="shared" si="148"/>
        <v>ffdfd3c0</v>
      </c>
      <c r="D3161" t="s">
        <v>109</v>
      </c>
      <c r="E3161">
        <v>4</v>
      </c>
      <c r="F3161">
        <v>1004</v>
      </c>
      <c r="G3161" t="s">
        <v>110</v>
      </c>
      <c r="J3161" t="s">
        <v>111</v>
      </c>
      <c r="K3161">
        <v>0</v>
      </c>
      <c r="L3161">
        <v>3</v>
      </c>
      <c r="M3161">
        <v>0</v>
      </c>
      <c r="N3161">
        <v>2</v>
      </c>
      <c r="O3161">
        <v>1</v>
      </c>
      <c r="P3161">
        <v>0</v>
      </c>
      <c r="Q3161">
        <v>0</v>
      </c>
      <c r="R3161" t="s">
        <v>112</v>
      </c>
      <c r="S3161" t="str">
        <f>"14:43:00.000"</f>
        <v>14:43:00.000</v>
      </c>
      <c r="T3161" t="str">
        <f>"14:42:59.500"</f>
        <v>14:42:59.500</v>
      </c>
      <c r="U3161" t="str">
        <f t="shared" si="147"/>
        <v>ad5732</v>
      </c>
      <c r="V3161">
        <v>0</v>
      </c>
      <c r="W3161">
        <v>0</v>
      </c>
      <c r="X3161">
        <v>1</v>
      </c>
      <c r="Z3161">
        <v>0</v>
      </c>
      <c r="AA3161">
        <v>9</v>
      </c>
      <c r="AB3161">
        <v>3</v>
      </c>
      <c r="AC3161">
        <v>0</v>
      </c>
      <c r="AD3161">
        <v>10</v>
      </c>
      <c r="AE3161">
        <v>0</v>
      </c>
      <c r="AF3161">
        <v>3</v>
      </c>
      <c r="AG3161">
        <v>2</v>
      </c>
      <c r="AH3161">
        <v>0</v>
      </c>
      <c r="AI3161" t="s">
        <v>6431</v>
      </c>
      <c r="AJ3161">
        <v>40.398702999999998</v>
      </c>
      <c r="AK3161" t="s">
        <v>6432</v>
      </c>
      <c r="AL3161">
        <v>-74.893241000000003</v>
      </c>
      <c r="AM3161">
        <v>100</v>
      </c>
      <c r="AN3161">
        <v>3700</v>
      </c>
      <c r="AO3161" t="s">
        <v>115</v>
      </c>
      <c r="AP3161">
        <v>163</v>
      </c>
      <c r="AQ3161">
        <v>-21</v>
      </c>
      <c r="AR3161">
        <v>-64</v>
      </c>
      <c r="AZ3161">
        <v>3614</v>
      </c>
      <c r="BA3161">
        <v>1</v>
      </c>
      <c r="BB3161" t="str">
        <f t="shared" si="149"/>
        <v xml:space="preserve">N959MJ  </v>
      </c>
      <c r="BC3161">
        <v>1</v>
      </c>
      <c r="BE3161">
        <v>0</v>
      </c>
      <c r="BF3161">
        <v>0</v>
      </c>
      <c r="BG3161">
        <v>0</v>
      </c>
      <c r="BH3161">
        <v>3875</v>
      </c>
      <c r="BI3161">
        <v>175</v>
      </c>
      <c r="BJ3161">
        <v>1</v>
      </c>
      <c r="BK3161">
        <v>1</v>
      </c>
      <c r="BL3161">
        <v>1</v>
      </c>
      <c r="BM3161">
        <v>0</v>
      </c>
      <c r="BP3161">
        <v>0</v>
      </c>
      <c r="BQ3161">
        <v>0</v>
      </c>
      <c r="BX3161" t="str">
        <f>"14:43:00.000"</f>
        <v>14:43:00.000</v>
      </c>
      <c r="BY3161" t="str">
        <f>"000806439"</f>
        <v>000806439</v>
      </c>
      <c r="CL3161">
        <v>0</v>
      </c>
      <c r="CM3161">
        <v>2</v>
      </c>
      <c r="CN3161">
        <v>0</v>
      </c>
      <c r="CO3161">
        <v>2</v>
      </c>
      <c r="CP3161">
        <v>0</v>
      </c>
      <c r="CQ3161">
        <v>7</v>
      </c>
      <c r="CR3161" t="s">
        <v>116</v>
      </c>
      <c r="CS3161">
        <v>38</v>
      </c>
      <c r="CT3161">
        <v>0</v>
      </c>
      <c r="CU3161" t="s">
        <v>4719</v>
      </c>
      <c r="CV3161" t="s">
        <v>4720</v>
      </c>
      <c r="CY3161">
        <v>7445273</v>
      </c>
      <c r="CZ3161" t="s">
        <v>119</v>
      </c>
    </row>
    <row r="3162" spans="1:104" x14ac:dyDescent="0.25">
      <c r="A3162" t="str">
        <f>"14:43:01.305"</f>
        <v>14:43:01.305</v>
      </c>
      <c r="B3162" t="s">
        <v>108</v>
      </c>
      <c r="C3162" t="str">
        <f t="shared" si="148"/>
        <v>ffdfd3c0</v>
      </c>
      <c r="D3162" t="s">
        <v>109</v>
      </c>
      <c r="E3162">
        <v>4</v>
      </c>
      <c r="F3162">
        <v>1004</v>
      </c>
      <c r="G3162" t="s">
        <v>110</v>
      </c>
      <c r="J3162" t="s">
        <v>111</v>
      </c>
      <c r="K3162">
        <v>0</v>
      </c>
      <c r="L3162">
        <v>3</v>
      </c>
      <c r="M3162">
        <v>0</v>
      </c>
      <c r="N3162">
        <v>2</v>
      </c>
      <c r="O3162">
        <v>1</v>
      </c>
      <c r="P3162">
        <v>0</v>
      </c>
      <c r="Q3162">
        <v>0</v>
      </c>
      <c r="R3162" t="s">
        <v>112</v>
      </c>
      <c r="S3162" t="str">
        <f>"14:43:01.117"</f>
        <v>14:43:01.117</v>
      </c>
      <c r="T3162" t="str">
        <f>"14:43:00.617"</f>
        <v>14:43:00.617</v>
      </c>
      <c r="U3162" t="str">
        <f t="shared" si="147"/>
        <v>ad5732</v>
      </c>
      <c r="V3162">
        <v>0</v>
      </c>
      <c r="W3162">
        <v>0</v>
      </c>
      <c r="X3162">
        <v>1</v>
      </c>
      <c r="Z3162">
        <v>0</v>
      </c>
      <c r="AA3162">
        <v>9</v>
      </c>
      <c r="AB3162">
        <v>3</v>
      </c>
      <c r="AC3162">
        <v>0</v>
      </c>
      <c r="AD3162">
        <v>10</v>
      </c>
      <c r="AE3162">
        <v>0</v>
      </c>
      <c r="AF3162">
        <v>3</v>
      </c>
      <c r="AG3162">
        <v>2</v>
      </c>
      <c r="AH3162">
        <v>0</v>
      </c>
      <c r="AI3162" t="s">
        <v>6216</v>
      </c>
      <c r="AJ3162">
        <v>40.398595</v>
      </c>
      <c r="AK3162" t="s">
        <v>6433</v>
      </c>
      <c r="AL3162">
        <v>-74.892167999999998</v>
      </c>
      <c r="AM3162">
        <v>100</v>
      </c>
      <c r="AN3162">
        <v>3700</v>
      </c>
      <c r="AO3162" t="s">
        <v>115</v>
      </c>
      <c r="AP3162">
        <v>163</v>
      </c>
      <c r="AQ3162">
        <v>-21</v>
      </c>
      <c r="AR3162">
        <v>-64</v>
      </c>
      <c r="AZ3162">
        <v>3614</v>
      </c>
      <c r="BA3162">
        <v>1</v>
      </c>
      <c r="BB3162" t="str">
        <f t="shared" si="149"/>
        <v xml:space="preserve">N959MJ  </v>
      </c>
      <c r="BC3162">
        <v>1</v>
      </c>
      <c r="BE3162">
        <v>0</v>
      </c>
      <c r="BF3162">
        <v>0</v>
      </c>
      <c r="BG3162">
        <v>0</v>
      </c>
      <c r="BH3162">
        <v>3875</v>
      </c>
      <c r="BI3162">
        <v>175</v>
      </c>
      <c r="BJ3162">
        <v>1</v>
      </c>
      <c r="BK3162">
        <v>1</v>
      </c>
      <c r="BL3162">
        <v>1</v>
      </c>
      <c r="BM3162">
        <v>0</v>
      </c>
      <c r="BP3162">
        <v>0</v>
      </c>
      <c r="BQ3162">
        <v>0</v>
      </c>
      <c r="BX3162" t="str">
        <f>"14:43:01.117"</f>
        <v>14:43:01.117</v>
      </c>
      <c r="BY3162" t="str">
        <f>"118214646"</f>
        <v>118214646</v>
      </c>
      <c r="CL3162">
        <v>0</v>
      </c>
      <c r="CM3162">
        <v>2</v>
      </c>
      <c r="CN3162">
        <v>0</v>
      </c>
      <c r="CO3162">
        <v>2</v>
      </c>
      <c r="CP3162">
        <v>0</v>
      </c>
      <c r="CQ3162">
        <v>7</v>
      </c>
      <c r="CR3162" t="s">
        <v>116</v>
      </c>
      <c r="CS3162">
        <v>38</v>
      </c>
      <c r="CT3162">
        <v>3</v>
      </c>
      <c r="CU3162" t="s">
        <v>4719</v>
      </c>
      <c r="CV3162" t="s">
        <v>4720</v>
      </c>
      <c r="CY3162">
        <v>10861859</v>
      </c>
      <c r="CZ3162" t="s">
        <v>119</v>
      </c>
    </row>
    <row r="3163" spans="1:104" x14ac:dyDescent="0.25">
      <c r="A3163" t="str">
        <f>"14:43:02.313"</f>
        <v>14:43:02.313</v>
      </c>
      <c r="B3163" t="s">
        <v>108</v>
      </c>
      <c r="C3163" t="str">
        <f t="shared" si="148"/>
        <v>ffdfd3c0</v>
      </c>
      <c r="D3163" t="s">
        <v>109</v>
      </c>
      <c r="E3163">
        <v>4</v>
      </c>
      <c r="F3163">
        <v>1004</v>
      </c>
      <c r="G3163" t="s">
        <v>110</v>
      </c>
      <c r="J3163" t="s">
        <v>111</v>
      </c>
      <c r="K3163">
        <v>0</v>
      </c>
      <c r="L3163">
        <v>3</v>
      </c>
      <c r="M3163">
        <v>0</v>
      </c>
      <c r="N3163">
        <v>2</v>
      </c>
      <c r="O3163">
        <v>1</v>
      </c>
      <c r="P3163">
        <v>0</v>
      </c>
      <c r="Q3163">
        <v>0</v>
      </c>
      <c r="R3163" t="s">
        <v>112</v>
      </c>
      <c r="S3163" t="str">
        <f>"14:43:02.141"</f>
        <v>14:43:02.141</v>
      </c>
      <c r="T3163" t="str">
        <f>"14:43:01.641"</f>
        <v>14:43:01.641</v>
      </c>
      <c r="U3163" t="str">
        <f t="shared" si="147"/>
        <v>ad5732</v>
      </c>
      <c r="V3163">
        <v>0</v>
      </c>
      <c r="W3163">
        <v>0</v>
      </c>
      <c r="X3163">
        <v>1</v>
      </c>
      <c r="Z3163">
        <v>0</v>
      </c>
      <c r="AA3163">
        <v>9</v>
      </c>
      <c r="AB3163">
        <v>3</v>
      </c>
      <c r="AC3163">
        <v>0</v>
      </c>
      <c r="AD3163">
        <v>10</v>
      </c>
      <c r="AE3163">
        <v>0</v>
      </c>
      <c r="AF3163">
        <v>3</v>
      </c>
      <c r="AG3163">
        <v>2</v>
      </c>
      <c r="AH3163">
        <v>0</v>
      </c>
      <c r="AI3163" t="s">
        <v>6434</v>
      </c>
      <c r="AJ3163">
        <v>40.398466999999997</v>
      </c>
      <c r="AK3163" t="s">
        <v>6435</v>
      </c>
      <c r="AL3163">
        <v>-74.891116999999994</v>
      </c>
      <c r="AM3163">
        <v>100</v>
      </c>
      <c r="AN3163">
        <v>3700</v>
      </c>
      <c r="AO3163" t="s">
        <v>115</v>
      </c>
      <c r="AP3163">
        <v>163</v>
      </c>
      <c r="AQ3163">
        <v>-21</v>
      </c>
      <c r="AR3163">
        <v>-64</v>
      </c>
      <c r="AZ3163">
        <v>3614</v>
      </c>
      <c r="BA3163">
        <v>1</v>
      </c>
      <c r="BB3163" t="str">
        <f t="shared" si="149"/>
        <v xml:space="preserve">N959MJ  </v>
      </c>
      <c r="BC3163">
        <v>1</v>
      </c>
      <c r="BE3163">
        <v>0</v>
      </c>
      <c r="BF3163">
        <v>0</v>
      </c>
      <c r="BG3163">
        <v>0</v>
      </c>
      <c r="BH3163">
        <v>3875</v>
      </c>
      <c r="BI3163">
        <v>175</v>
      </c>
      <c r="BJ3163">
        <v>1</v>
      </c>
      <c r="BK3163">
        <v>1</v>
      </c>
      <c r="BL3163">
        <v>1</v>
      </c>
      <c r="BM3163">
        <v>0</v>
      </c>
      <c r="BP3163">
        <v>0</v>
      </c>
      <c r="BQ3163">
        <v>0</v>
      </c>
      <c r="BX3163" t="str">
        <f>"14:43:02.141"</f>
        <v>14:43:02.141</v>
      </c>
      <c r="BY3163" t="str">
        <f>"143870792"</f>
        <v>143870792</v>
      </c>
      <c r="CL3163">
        <v>0</v>
      </c>
      <c r="CM3163">
        <v>2</v>
      </c>
      <c r="CN3163">
        <v>0</v>
      </c>
      <c r="CO3163">
        <v>2</v>
      </c>
      <c r="CP3163">
        <v>0</v>
      </c>
      <c r="CQ3163">
        <v>7</v>
      </c>
      <c r="CR3163" t="s">
        <v>116</v>
      </c>
      <c r="CS3163">
        <v>38</v>
      </c>
      <c r="CT3163">
        <v>0</v>
      </c>
      <c r="CU3163" t="s">
        <v>4719</v>
      </c>
      <c r="CV3163" t="s">
        <v>4720</v>
      </c>
      <c r="CY3163">
        <v>7448430</v>
      </c>
      <c r="CZ3163" t="s">
        <v>119</v>
      </c>
    </row>
    <row r="3164" spans="1:104" x14ac:dyDescent="0.25">
      <c r="A3164" t="str">
        <f>"14:43:03.375"</f>
        <v>14:43:03.375</v>
      </c>
      <c r="B3164" t="s">
        <v>108</v>
      </c>
      <c r="C3164" t="str">
        <f t="shared" si="148"/>
        <v>ffdfd3c0</v>
      </c>
      <c r="D3164" t="s">
        <v>109</v>
      </c>
      <c r="E3164">
        <v>4</v>
      </c>
      <c r="F3164">
        <v>1004</v>
      </c>
      <c r="G3164" t="s">
        <v>110</v>
      </c>
      <c r="J3164" t="s">
        <v>111</v>
      </c>
      <c r="K3164">
        <v>0</v>
      </c>
      <c r="L3164">
        <v>3</v>
      </c>
      <c r="M3164">
        <v>0</v>
      </c>
      <c r="N3164">
        <v>2</v>
      </c>
      <c r="O3164">
        <v>1</v>
      </c>
      <c r="P3164">
        <v>0</v>
      </c>
      <c r="Q3164">
        <v>0</v>
      </c>
      <c r="R3164" t="s">
        <v>112</v>
      </c>
      <c r="S3164" t="str">
        <f>"14:43:03.195"</f>
        <v>14:43:03.195</v>
      </c>
      <c r="T3164" t="str">
        <f>"14:43:02.695"</f>
        <v>14:43:02.695</v>
      </c>
      <c r="U3164" t="str">
        <f t="shared" si="147"/>
        <v>ad5732</v>
      </c>
      <c r="V3164">
        <v>0</v>
      </c>
      <c r="W3164">
        <v>0</v>
      </c>
      <c r="X3164">
        <v>1</v>
      </c>
      <c r="Z3164">
        <v>0</v>
      </c>
      <c r="AA3164">
        <v>9</v>
      </c>
      <c r="AB3164">
        <v>3</v>
      </c>
      <c r="AC3164">
        <v>0</v>
      </c>
      <c r="AD3164">
        <v>10</v>
      </c>
      <c r="AE3164">
        <v>0</v>
      </c>
      <c r="AF3164">
        <v>3</v>
      </c>
      <c r="AG3164">
        <v>2</v>
      </c>
      <c r="AH3164">
        <v>0</v>
      </c>
      <c r="AI3164" t="s">
        <v>6436</v>
      </c>
      <c r="AJ3164">
        <v>40.398381000000001</v>
      </c>
      <c r="AK3164" t="s">
        <v>6437</v>
      </c>
      <c r="AL3164">
        <v>-74.890065000000007</v>
      </c>
      <c r="AM3164">
        <v>100</v>
      </c>
      <c r="AN3164">
        <v>3700</v>
      </c>
      <c r="AO3164" t="s">
        <v>115</v>
      </c>
      <c r="AP3164">
        <v>163</v>
      </c>
      <c r="AQ3164">
        <v>-21</v>
      </c>
      <c r="AR3164">
        <v>-64</v>
      </c>
      <c r="AZ3164">
        <v>3614</v>
      </c>
      <c r="BA3164">
        <v>1</v>
      </c>
      <c r="BB3164" t="str">
        <f t="shared" si="149"/>
        <v xml:space="preserve">N959MJ  </v>
      </c>
      <c r="BC3164">
        <v>1</v>
      </c>
      <c r="BE3164">
        <v>0</v>
      </c>
      <c r="BF3164">
        <v>0</v>
      </c>
      <c r="BG3164">
        <v>0</v>
      </c>
      <c r="BH3164">
        <v>3875</v>
      </c>
      <c r="BI3164">
        <v>175</v>
      </c>
      <c r="BJ3164">
        <v>1</v>
      </c>
      <c r="BK3164">
        <v>1</v>
      </c>
      <c r="BL3164">
        <v>1</v>
      </c>
      <c r="BM3164">
        <v>0</v>
      </c>
      <c r="BP3164">
        <v>0</v>
      </c>
      <c r="BQ3164">
        <v>0</v>
      </c>
      <c r="BX3164" t="str">
        <f>"14:43:03.203"</f>
        <v>14:43:03.203</v>
      </c>
      <c r="BY3164" t="str">
        <f>"200657098"</f>
        <v>200657098</v>
      </c>
      <c r="CL3164">
        <v>0</v>
      </c>
      <c r="CM3164">
        <v>2</v>
      </c>
      <c r="CN3164">
        <v>0</v>
      </c>
      <c r="CO3164">
        <v>2</v>
      </c>
      <c r="CP3164">
        <v>0</v>
      </c>
      <c r="CQ3164">
        <v>7</v>
      </c>
      <c r="CR3164" t="s">
        <v>116</v>
      </c>
      <c r="CS3164">
        <v>38</v>
      </c>
      <c r="CT3164">
        <v>3</v>
      </c>
      <c r="CU3164" t="s">
        <v>4719</v>
      </c>
      <c r="CV3164" t="s">
        <v>4720</v>
      </c>
      <c r="CY3164">
        <v>10865509</v>
      </c>
      <c r="CZ3164" t="s">
        <v>119</v>
      </c>
    </row>
    <row r="3165" spans="1:104" x14ac:dyDescent="0.25">
      <c r="A3165" t="str">
        <f>"14:43:04.336"</f>
        <v>14:43:04.336</v>
      </c>
      <c r="B3165" t="s">
        <v>108</v>
      </c>
      <c r="C3165" t="str">
        <f t="shared" si="148"/>
        <v>ffdfd3c0</v>
      </c>
      <c r="D3165" t="s">
        <v>109</v>
      </c>
      <c r="E3165">
        <v>4</v>
      </c>
      <c r="F3165">
        <v>1004</v>
      </c>
      <c r="G3165" t="s">
        <v>110</v>
      </c>
      <c r="J3165" t="s">
        <v>111</v>
      </c>
      <c r="K3165">
        <v>0</v>
      </c>
      <c r="L3165">
        <v>3</v>
      </c>
      <c r="M3165">
        <v>0</v>
      </c>
      <c r="N3165">
        <v>2</v>
      </c>
      <c r="O3165">
        <v>1</v>
      </c>
      <c r="P3165">
        <v>0</v>
      </c>
      <c r="Q3165">
        <v>0</v>
      </c>
      <c r="R3165" t="s">
        <v>112</v>
      </c>
      <c r="S3165" t="str">
        <f>"14:43:04.141"</f>
        <v>14:43:04.141</v>
      </c>
      <c r="T3165" t="str">
        <f>"14:43:03.742"</f>
        <v>14:43:03.742</v>
      </c>
      <c r="U3165" t="str">
        <f t="shared" si="147"/>
        <v>ad5732</v>
      </c>
      <c r="V3165">
        <v>0</v>
      </c>
      <c r="W3165">
        <v>0</v>
      </c>
      <c r="X3165">
        <v>1</v>
      </c>
      <c r="Z3165">
        <v>0</v>
      </c>
      <c r="AA3165">
        <v>9</v>
      </c>
      <c r="AB3165">
        <v>3</v>
      </c>
      <c r="AC3165">
        <v>0</v>
      </c>
      <c r="AD3165">
        <v>10</v>
      </c>
      <c r="AE3165">
        <v>0</v>
      </c>
      <c r="AF3165">
        <v>3</v>
      </c>
      <c r="AG3165">
        <v>2</v>
      </c>
      <c r="AH3165">
        <v>0</v>
      </c>
      <c r="AI3165" t="s">
        <v>6438</v>
      </c>
      <c r="AJ3165">
        <v>40.398294999999997</v>
      </c>
      <c r="AK3165" t="s">
        <v>6439</v>
      </c>
      <c r="AL3165">
        <v>-74.889099999999999</v>
      </c>
      <c r="AM3165">
        <v>100</v>
      </c>
      <c r="AN3165">
        <v>3700</v>
      </c>
      <c r="AO3165" t="s">
        <v>115</v>
      </c>
      <c r="AP3165">
        <v>163</v>
      </c>
      <c r="AQ3165">
        <v>-21</v>
      </c>
      <c r="AR3165">
        <v>-64</v>
      </c>
      <c r="AZ3165">
        <v>3614</v>
      </c>
      <c r="BA3165">
        <v>1</v>
      </c>
      <c r="BB3165" t="str">
        <f t="shared" si="149"/>
        <v xml:space="preserve">N959MJ  </v>
      </c>
      <c r="BC3165">
        <v>1</v>
      </c>
      <c r="BE3165">
        <v>0</v>
      </c>
      <c r="BF3165">
        <v>0</v>
      </c>
      <c r="BG3165">
        <v>0</v>
      </c>
      <c r="BH3165">
        <v>3875</v>
      </c>
      <c r="BI3165">
        <v>175</v>
      </c>
      <c r="BJ3165">
        <v>1</v>
      </c>
      <c r="BK3165">
        <v>1</v>
      </c>
      <c r="BL3165">
        <v>1</v>
      </c>
      <c r="BM3165">
        <v>0</v>
      </c>
      <c r="BP3165">
        <v>0</v>
      </c>
      <c r="BQ3165">
        <v>0</v>
      </c>
      <c r="BX3165" t="str">
        <f>"14:43:04.141"</f>
        <v>14:43:04.141</v>
      </c>
      <c r="BY3165" t="str">
        <f>"141115023"</f>
        <v>141115023</v>
      </c>
      <c r="CL3165">
        <v>0</v>
      </c>
      <c r="CM3165">
        <v>2</v>
      </c>
      <c r="CN3165">
        <v>0</v>
      </c>
      <c r="CO3165">
        <v>2</v>
      </c>
      <c r="CP3165">
        <v>0</v>
      </c>
      <c r="CQ3165">
        <v>7</v>
      </c>
      <c r="CR3165" t="s">
        <v>116</v>
      </c>
      <c r="CS3165">
        <v>38</v>
      </c>
      <c r="CT3165">
        <v>0</v>
      </c>
      <c r="CU3165" t="s">
        <v>4719</v>
      </c>
      <c r="CV3165" t="s">
        <v>4720</v>
      </c>
      <c r="CY3165">
        <v>7451672</v>
      </c>
      <c r="CZ3165" t="s">
        <v>119</v>
      </c>
    </row>
    <row r="3166" spans="1:104" x14ac:dyDescent="0.25">
      <c r="A3166" t="str">
        <f>"14:43:05.297"</f>
        <v>14:43:05.297</v>
      </c>
      <c r="B3166" t="s">
        <v>108</v>
      </c>
      <c r="C3166" t="str">
        <f t="shared" si="148"/>
        <v>ffdfd3c0</v>
      </c>
      <c r="D3166" t="s">
        <v>109</v>
      </c>
      <c r="E3166">
        <v>4</v>
      </c>
      <c r="F3166">
        <v>1004</v>
      </c>
      <c r="G3166" t="s">
        <v>110</v>
      </c>
      <c r="J3166" t="s">
        <v>111</v>
      </c>
      <c r="K3166">
        <v>0</v>
      </c>
      <c r="L3166">
        <v>3</v>
      </c>
      <c r="M3166">
        <v>0</v>
      </c>
      <c r="N3166">
        <v>2</v>
      </c>
      <c r="O3166">
        <v>1</v>
      </c>
      <c r="P3166">
        <v>0</v>
      </c>
      <c r="Q3166">
        <v>0</v>
      </c>
      <c r="R3166" t="s">
        <v>112</v>
      </c>
      <c r="S3166" t="str">
        <f>"14:43:05.117"</f>
        <v>14:43:05.117</v>
      </c>
      <c r="T3166" t="str">
        <f>"14:43:04.617"</f>
        <v>14:43:04.617</v>
      </c>
      <c r="U3166" t="str">
        <f t="shared" si="147"/>
        <v>ad5732</v>
      </c>
      <c r="V3166">
        <v>0</v>
      </c>
      <c r="W3166">
        <v>0</v>
      </c>
      <c r="X3166">
        <v>1</v>
      </c>
      <c r="Z3166">
        <v>0</v>
      </c>
      <c r="AA3166">
        <v>9</v>
      </c>
      <c r="AB3166">
        <v>3</v>
      </c>
      <c r="AC3166">
        <v>0</v>
      </c>
      <c r="AD3166">
        <v>10</v>
      </c>
      <c r="AE3166">
        <v>0</v>
      </c>
      <c r="AF3166">
        <v>3</v>
      </c>
      <c r="AG3166">
        <v>2</v>
      </c>
      <c r="AH3166">
        <v>0</v>
      </c>
      <c r="AI3166" t="s">
        <v>6440</v>
      </c>
      <c r="AJ3166">
        <v>40.398166000000003</v>
      </c>
      <c r="AK3166" t="s">
        <v>6441</v>
      </c>
      <c r="AL3166">
        <v>-74.888240999999994</v>
      </c>
      <c r="AM3166">
        <v>100</v>
      </c>
      <c r="AN3166">
        <v>3700</v>
      </c>
      <c r="AO3166" t="s">
        <v>115</v>
      </c>
      <c r="AP3166">
        <v>163</v>
      </c>
      <c r="AQ3166">
        <v>-21</v>
      </c>
      <c r="AR3166">
        <v>-64</v>
      </c>
      <c r="AZ3166">
        <v>3614</v>
      </c>
      <c r="BA3166">
        <v>1</v>
      </c>
      <c r="BB3166" t="str">
        <f t="shared" si="149"/>
        <v xml:space="preserve">N959MJ  </v>
      </c>
      <c r="BC3166">
        <v>1</v>
      </c>
      <c r="BE3166">
        <v>0</v>
      </c>
      <c r="BF3166">
        <v>0</v>
      </c>
      <c r="BG3166">
        <v>0</v>
      </c>
      <c r="BH3166">
        <v>3875</v>
      </c>
      <c r="BI3166">
        <v>175</v>
      </c>
      <c r="BJ3166">
        <v>1</v>
      </c>
      <c r="BK3166">
        <v>1</v>
      </c>
      <c r="BL3166">
        <v>1</v>
      </c>
      <c r="BM3166">
        <v>0</v>
      </c>
      <c r="BP3166">
        <v>0</v>
      </c>
      <c r="BQ3166">
        <v>0</v>
      </c>
      <c r="BX3166" t="str">
        <f>"14:43:05.117"</f>
        <v>14:43:05.117</v>
      </c>
      <c r="BY3166" t="str">
        <f>"117618342"</f>
        <v>117618342</v>
      </c>
      <c r="CL3166">
        <v>0</v>
      </c>
      <c r="CM3166">
        <v>2</v>
      </c>
      <c r="CN3166">
        <v>0</v>
      </c>
      <c r="CO3166">
        <v>2</v>
      </c>
      <c r="CP3166">
        <v>0</v>
      </c>
      <c r="CQ3166">
        <v>7</v>
      </c>
      <c r="CR3166" t="s">
        <v>116</v>
      </c>
      <c r="CS3166">
        <v>38</v>
      </c>
      <c r="CT3166">
        <v>0</v>
      </c>
      <c r="CU3166" t="s">
        <v>4719</v>
      </c>
      <c r="CV3166" t="s">
        <v>4720</v>
      </c>
      <c r="CY3166">
        <v>7453253</v>
      </c>
      <c r="CZ3166" t="s">
        <v>119</v>
      </c>
    </row>
    <row r="3167" spans="1:104" x14ac:dyDescent="0.25">
      <c r="A3167" t="str">
        <f>"14:43:06.203"</f>
        <v>14:43:06.203</v>
      </c>
      <c r="B3167" t="s">
        <v>108</v>
      </c>
      <c r="C3167" t="str">
        <f t="shared" si="148"/>
        <v>ffdfd3c0</v>
      </c>
      <c r="D3167" t="s">
        <v>109</v>
      </c>
      <c r="E3167">
        <v>4</v>
      </c>
      <c r="F3167">
        <v>1004</v>
      </c>
      <c r="G3167" t="s">
        <v>110</v>
      </c>
      <c r="J3167" t="s">
        <v>111</v>
      </c>
      <c r="K3167">
        <v>0</v>
      </c>
      <c r="L3167">
        <v>3</v>
      </c>
      <c r="M3167">
        <v>0</v>
      </c>
      <c r="N3167">
        <v>2</v>
      </c>
      <c r="O3167">
        <v>1</v>
      </c>
      <c r="P3167">
        <v>0</v>
      </c>
      <c r="Q3167">
        <v>0</v>
      </c>
      <c r="R3167" t="s">
        <v>112</v>
      </c>
      <c r="S3167" t="str">
        <f>"14:43:06.047"</f>
        <v>14:43:06.047</v>
      </c>
      <c r="T3167" t="str">
        <f>"14:43:05.648"</f>
        <v>14:43:05.648</v>
      </c>
      <c r="U3167" t="str">
        <f t="shared" si="147"/>
        <v>ad5732</v>
      </c>
      <c r="V3167">
        <v>0</v>
      </c>
      <c r="W3167">
        <v>0</v>
      </c>
      <c r="X3167">
        <v>1</v>
      </c>
      <c r="Z3167">
        <v>0</v>
      </c>
      <c r="AA3167">
        <v>9</v>
      </c>
      <c r="AB3167">
        <v>3</v>
      </c>
      <c r="AC3167">
        <v>0</v>
      </c>
      <c r="AD3167">
        <v>10</v>
      </c>
      <c r="AE3167">
        <v>0</v>
      </c>
      <c r="AF3167">
        <v>3</v>
      </c>
      <c r="AG3167">
        <v>2</v>
      </c>
      <c r="AH3167">
        <v>0</v>
      </c>
      <c r="AI3167" t="s">
        <v>6442</v>
      </c>
      <c r="AJ3167">
        <v>40.39808</v>
      </c>
      <c r="AK3167" t="s">
        <v>6443</v>
      </c>
      <c r="AL3167">
        <v>-74.887253999999999</v>
      </c>
      <c r="AM3167">
        <v>100</v>
      </c>
      <c r="AN3167">
        <v>3700</v>
      </c>
      <c r="AO3167" t="s">
        <v>115</v>
      </c>
      <c r="AP3167">
        <v>163</v>
      </c>
      <c r="AQ3167">
        <v>-22</v>
      </c>
      <c r="AR3167">
        <v>-64</v>
      </c>
      <c r="AZ3167">
        <v>3614</v>
      </c>
      <c r="BA3167">
        <v>1</v>
      </c>
      <c r="BB3167" t="str">
        <f t="shared" si="149"/>
        <v xml:space="preserve">N959MJ  </v>
      </c>
      <c r="BC3167">
        <v>1</v>
      </c>
      <c r="BE3167">
        <v>0</v>
      </c>
      <c r="BF3167">
        <v>0</v>
      </c>
      <c r="BG3167">
        <v>0</v>
      </c>
      <c r="BH3167">
        <v>3850</v>
      </c>
      <c r="BI3167">
        <v>150</v>
      </c>
      <c r="BJ3167">
        <v>1</v>
      </c>
      <c r="BK3167">
        <v>1</v>
      </c>
      <c r="BL3167">
        <v>1</v>
      </c>
      <c r="BM3167">
        <v>0</v>
      </c>
      <c r="BP3167">
        <v>0</v>
      </c>
      <c r="BQ3167">
        <v>0</v>
      </c>
      <c r="BX3167" t="str">
        <f>"14:43:06.047"</f>
        <v>14:43:06.047</v>
      </c>
      <c r="BY3167" t="str">
        <f>"048245664"</f>
        <v>048245664</v>
      </c>
      <c r="CL3167">
        <v>0</v>
      </c>
      <c r="CM3167">
        <v>2</v>
      </c>
      <c r="CN3167">
        <v>0</v>
      </c>
      <c r="CO3167">
        <v>2</v>
      </c>
      <c r="CP3167">
        <v>0</v>
      </c>
      <c r="CQ3167">
        <v>7</v>
      </c>
      <c r="CR3167" t="s">
        <v>116</v>
      </c>
      <c r="CS3167">
        <v>38</v>
      </c>
      <c r="CT3167">
        <v>3</v>
      </c>
      <c r="CU3167" t="s">
        <v>4719</v>
      </c>
      <c r="CV3167" t="s">
        <v>4720</v>
      </c>
      <c r="CY3167">
        <v>10870555</v>
      </c>
      <c r="CZ3167" t="s">
        <v>119</v>
      </c>
    </row>
    <row r="3168" spans="1:104" x14ac:dyDescent="0.25">
      <c r="A3168" t="str">
        <f>"14:43:07.414"</f>
        <v>14:43:07.414</v>
      </c>
      <c r="B3168" t="s">
        <v>108</v>
      </c>
      <c r="C3168" t="str">
        <f t="shared" si="148"/>
        <v>ffdfd3c0</v>
      </c>
      <c r="D3168" t="s">
        <v>109</v>
      </c>
      <c r="E3168">
        <v>4</v>
      </c>
      <c r="F3168">
        <v>1004</v>
      </c>
      <c r="G3168" t="s">
        <v>110</v>
      </c>
      <c r="J3168" t="s">
        <v>111</v>
      </c>
      <c r="K3168">
        <v>0</v>
      </c>
      <c r="L3168">
        <v>3</v>
      </c>
      <c r="M3168">
        <v>0</v>
      </c>
      <c r="N3168">
        <v>2</v>
      </c>
      <c r="O3168">
        <v>1</v>
      </c>
      <c r="P3168">
        <v>0</v>
      </c>
      <c r="Q3168">
        <v>0</v>
      </c>
      <c r="R3168" t="s">
        <v>112</v>
      </c>
      <c r="S3168" t="str">
        <f>"14:43:07.211"</f>
        <v>14:43:07.211</v>
      </c>
      <c r="T3168" t="str">
        <f>"14:43:06.711"</f>
        <v>14:43:06.711</v>
      </c>
      <c r="U3168" t="str">
        <f t="shared" si="147"/>
        <v>ad5732</v>
      </c>
      <c r="V3168">
        <v>0</v>
      </c>
      <c r="W3168">
        <v>0</v>
      </c>
      <c r="X3168">
        <v>1</v>
      </c>
      <c r="Z3168">
        <v>0</v>
      </c>
      <c r="AA3168">
        <v>9</v>
      </c>
      <c r="AB3168">
        <v>3</v>
      </c>
      <c r="AC3168">
        <v>0</v>
      </c>
      <c r="AD3168">
        <v>10</v>
      </c>
      <c r="AE3168">
        <v>0</v>
      </c>
      <c r="AF3168">
        <v>3</v>
      </c>
      <c r="AG3168">
        <v>2</v>
      </c>
      <c r="AH3168">
        <v>0</v>
      </c>
      <c r="AI3168" t="s">
        <v>6444</v>
      </c>
      <c r="AJ3168">
        <v>40.397973</v>
      </c>
      <c r="AK3168" t="s">
        <v>6445</v>
      </c>
      <c r="AL3168">
        <v>-74.886160000000004</v>
      </c>
      <c r="AM3168">
        <v>100</v>
      </c>
      <c r="AN3168">
        <v>3700</v>
      </c>
      <c r="AO3168" t="s">
        <v>115</v>
      </c>
      <c r="AP3168">
        <v>163</v>
      </c>
      <c r="AQ3168">
        <v>-21</v>
      </c>
      <c r="AR3168">
        <v>-64</v>
      </c>
      <c r="AZ3168">
        <v>3614</v>
      </c>
      <c r="BA3168">
        <v>1</v>
      </c>
      <c r="BB3168" t="str">
        <f t="shared" si="149"/>
        <v xml:space="preserve">N959MJ  </v>
      </c>
      <c r="BC3168">
        <v>1</v>
      </c>
      <c r="BE3168">
        <v>0</v>
      </c>
      <c r="BF3168">
        <v>0</v>
      </c>
      <c r="BG3168">
        <v>0</v>
      </c>
      <c r="BH3168">
        <v>3850</v>
      </c>
      <c r="BI3168">
        <v>150</v>
      </c>
      <c r="BJ3168">
        <v>1</v>
      </c>
      <c r="BK3168">
        <v>1</v>
      </c>
      <c r="BL3168">
        <v>1</v>
      </c>
      <c r="BM3168">
        <v>0</v>
      </c>
      <c r="BP3168">
        <v>0</v>
      </c>
      <c r="BQ3168">
        <v>0</v>
      </c>
      <c r="BX3168" t="str">
        <f>"14:43:07.211"</f>
        <v>14:43:07.211</v>
      </c>
      <c r="BY3168" t="str">
        <f>"214806707"</f>
        <v>214806707</v>
      </c>
      <c r="CL3168">
        <v>0</v>
      </c>
      <c r="CM3168">
        <v>2</v>
      </c>
      <c r="CN3168">
        <v>0</v>
      </c>
      <c r="CO3168">
        <v>2</v>
      </c>
      <c r="CP3168">
        <v>0</v>
      </c>
      <c r="CQ3168">
        <v>7</v>
      </c>
      <c r="CR3168" t="s">
        <v>116</v>
      </c>
      <c r="CS3168">
        <v>38</v>
      </c>
      <c r="CT3168">
        <v>0</v>
      </c>
      <c r="CU3168" t="s">
        <v>4719</v>
      </c>
      <c r="CV3168" t="s">
        <v>4720</v>
      </c>
      <c r="CY3168">
        <v>7456443</v>
      </c>
      <c r="CZ3168" t="s">
        <v>119</v>
      </c>
    </row>
    <row r="3169" spans="1:104" x14ac:dyDescent="0.25">
      <c r="A3169" t="str">
        <f>"14:43:08.422"</f>
        <v>14:43:08.422</v>
      </c>
      <c r="B3169" t="s">
        <v>108</v>
      </c>
      <c r="C3169" t="str">
        <f t="shared" si="148"/>
        <v>ffdfd3c0</v>
      </c>
      <c r="D3169" t="s">
        <v>109</v>
      </c>
      <c r="E3169">
        <v>4</v>
      </c>
      <c r="F3169">
        <v>1004</v>
      </c>
      <c r="G3169" t="s">
        <v>110</v>
      </c>
      <c r="J3169" t="s">
        <v>111</v>
      </c>
      <c r="K3169">
        <v>0</v>
      </c>
      <c r="L3169">
        <v>3</v>
      </c>
      <c r="M3169">
        <v>0</v>
      </c>
      <c r="N3169">
        <v>2</v>
      </c>
      <c r="O3169">
        <v>1</v>
      </c>
      <c r="P3169">
        <v>0</v>
      </c>
      <c r="Q3169">
        <v>0</v>
      </c>
      <c r="R3169" t="s">
        <v>112</v>
      </c>
      <c r="S3169" t="str">
        <f>"14:43:08.203"</f>
        <v>14:43:08.203</v>
      </c>
      <c r="T3169" t="str">
        <f>"14:43:07.805"</f>
        <v>14:43:07.805</v>
      </c>
      <c r="U3169" t="str">
        <f t="shared" si="147"/>
        <v>ad5732</v>
      </c>
      <c r="V3169">
        <v>0</v>
      </c>
      <c r="W3169">
        <v>0</v>
      </c>
      <c r="X3169">
        <v>1</v>
      </c>
      <c r="Z3169">
        <v>0</v>
      </c>
      <c r="AA3169">
        <v>9</v>
      </c>
      <c r="AB3169">
        <v>3</v>
      </c>
      <c r="AC3169">
        <v>0</v>
      </c>
      <c r="AD3169">
        <v>10</v>
      </c>
      <c r="AE3169">
        <v>0</v>
      </c>
      <c r="AF3169">
        <v>3</v>
      </c>
      <c r="AG3169">
        <v>2</v>
      </c>
      <c r="AH3169">
        <v>0</v>
      </c>
      <c r="AI3169" t="s">
        <v>6446</v>
      </c>
      <c r="AJ3169">
        <v>40.397866</v>
      </c>
      <c r="AK3169" t="s">
        <v>6447</v>
      </c>
      <c r="AL3169">
        <v>-74.885130000000004</v>
      </c>
      <c r="AM3169">
        <v>100</v>
      </c>
      <c r="AN3169">
        <v>3700</v>
      </c>
      <c r="AO3169" t="s">
        <v>115</v>
      </c>
      <c r="AP3169">
        <v>163</v>
      </c>
      <c r="AQ3169">
        <v>-22</v>
      </c>
      <c r="AR3169">
        <v>-64</v>
      </c>
      <c r="AZ3169">
        <v>3614</v>
      </c>
      <c r="BA3169">
        <v>1</v>
      </c>
      <c r="BB3169" t="str">
        <f t="shared" si="149"/>
        <v xml:space="preserve">N959MJ  </v>
      </c>
      <c r="BC3169">
        <v>1</v>
      </c>
      <c r="BE3169">
        <v>0</v>
      </c>
      <c r="BF3169">
        <v>0</v>
      </c>
      <c r="BG3169">
        <v>0</v>
      </c>
      <c r="BH3169">
        <v>3850</v>
      </c>
      <c r="BI3169">
        <v>150</v>
      </c>
      <c r="BJ3169">
        <v>1</v>
      </c>
      <c r="BK3169">
        <v>1</v>
      </c>
      <c r="BL3169">
        <v>1</v>
      </c>
      <c r="BM3169">
        <v>0</v>
      </c>
      <c r="BP3169">
        <v>0</v>
      </c>
      <c r="BQ3169">
        <v>0</v>
      </c>
      <c r="BX3169" t="str">
        <f>"14:43:08.211"</f>
        <v>14:43:08.211</v>
      </c>
      <c r="BY3169" t="str">
        <f>"207694361"</f>
        <v>207694361</v>
      </c>
      <c r="CL3169">
        <v>0</v>
      </c>
      <c r="CM3169">
        <v>2</v>
      </c>
      <c r="CN3169">
        <v>0</v>
      </c>
      <c r="CO3169">
        <v>2</v>
      </c>
      <c r="CP3169">
        <v>0</v>
      </c>
      <c r="CQ3169">
        <v>7</v>
      </c>
      <c r="CR3169" t="s">
        <v>116</v>
      </c>
      <c r="CS3169">
        <v>38</v>
      </c>
      <c r="CT3169">
        <v>3</v>
      </c>
      <c r="CU3169" t="s">
        <v>4719</v>
      </c>
      <c r="CV3169" t="s">
        <v>4720</v>
      </c>
      <c r="CY3169">
        <v>10874343</v>
      </c>
      <c r="CZ3169" t="s">
        <v>119</v>
      </c>
    </row>
    <row r="3170" spans="1:104" x14ac:dyDescent="0.25">
      <c r="A3170" t="str">
        <f>"14:43:09.383"</f>
        <v>14:43:09.383</v>
      </c>
      <c r="B3170" t="s">
        <v>108</v>
      </c>
      <c r="C3170" t="str">
        <f t="shared" si="148"/>
        <v>ffdfd3c0</v>
      </c>
      <c r="D3170" t="s">
        <v>109</v>
      </c>
      <c r="E3170">
        <v>4</v>
      </c>
      <c r="F3170">
        <v>1004</v>
      </c>
      <c r="G3170" t="s">
        <v>110</v>
      </c>
      <c r="J3170" t="s">
        <v>111</v>
      </c>
      <c r="K3170">
        <v>0</v>
      </c>
      <c r="L3170">
        <v>3</v>
      </c>
      <c r="M3170">
        <v>0</v>
      </c>
      <c r="N3170">
        <v>2</v>
      </c>
      <c r="O3170">
        <v>1</v>
      </c>
      <c r="P3170">
        <v>0</v>
      </c>
      <c r="Q3170">
        <v>0</v>
      </c>
      <c r="R3170" t="s">
        <v>112</v>
      </c>
      <c r="S3170" t="str">
        <f>"14:43:09.172"</f>
        <v>14:43:09.172</v>
      </c>
      <c r="T3170" t="str">
        <f>"14:43:08.672"</f>
        <v>14:43:08.672</v>
      </c>
      <c r="U3170" t="str">
        <f t="shared" si="147"/>
        <v>ad5732</v>
      </c>
      <c r="V3170">
        <v>0</v>
      </c>
      <c r="W3170">
        <v>0</v>
      </c>
      <c r="X3170">
        <v>1</v>
      </c>
      <c r="Z3170">
        <v>0</v>
      </c>
      <c r="AA3170">
        <v>9</v>
      </c>
      <c r="AB3170">
        <v>3</v>
      </c>
      <c r="AC3170">
        <v>0</v>
      </c>
      <c r="AD3170">
        <v>10</v>
      </c>
      <c r="AE3170">
        <v>0</v>
      </c>
      <c r="AF3170">
        <v>3</v>
      </c>
      <c r="AG3170">
        <v>2</v>
      </c>
      <c r="AH3170">
        <v>0</v>
      </c>
      <c r="AI3170" t="s">
        <v>6448</v>
      </c>
      <c r="AJ3170">
        <v>40.397779999999997</v>
      </c>
      <c r="AK3170" t="s">
        <v>6449</v>
      </c>
      <c r="AL3170">
        <v>-74.884163999999998</v>
      </c>
      <c r="AM3170">
        <v>100</v>
      </c>
      <c r="AN3170">
        <v>3700</v>
      </c>
      <c r="AO3170" t="s">
        <v>115</v>
      </c>
      <c r="AP3170">
        <v>163</v>
      </c>
      <c r="AQ3170">
        <v>-21</v>
      </c>
      <c r="AR3170">
        <v>-64</v>
      </c>
      <c r="AZ3170">
        <v>3614</v>
      </c>
      <c r="BA3170">
        <v>1</v>
      </c>
      <c r="BB3170" t="str">
        <f t="shared" si="149"/>
        <v xml:space="preserve">N959MJ  </v>
      </c>
      <c r="BC3170">
        <v>1</v>
      </c>
      <c r="BE3170">
        <v>0</v>
      </c>
      <c r="BF3170">
        <v>0</v>
      </c>
      <c r="BG3170">
        <v>0</v>
      </c>
      <c r="BH3170">
        <v>3850</v>
      </c>
      <c r="BI3170">
        <v>150</v>
      </c>
      <c r="BJ3170">
        <v>1</v>
      </c>
      <c r="BK3170">
        <v>1</v>
      </c>
      <c r="BL3170">
        <v>1</v>
      </c>
      <c r="BM3170">
        <v>0</v>
      </c>
      <c r="BP3170">
        <v>0</v>
      </c>
      <c r="BQ3170">
        <v>0</v>
      </c>
      <c r="BX3170" t="str">
        <f>"14:43:09.180"</f>
        <v>14:43:09.180</v>
      </c>
      <c r="BY3170" t="str">
        <f>"177644006"</f>
        <v>177644006</v>
      </c>
      <c r="CL3170">
        <v>0</v>
      </c>
      <c r="CM3170">
        <v>2</v>
      </c>
      <c r="CN3170">
        <v>0</v>
      </c>
      <c r="CO3170">
        <v>2</v>
      </c>
      <c r="CP3170">
        <v>0</v>
      </c>
      <c r="CQ3170">
        <v>7</v>
      </c>
      <c r="CR3170" t="s">
        <v>116</v>
      </c>
      <c r="CS3170">
        <v>38</v>
      </c>
      <c r="CT3170">
        <v>0</v>
      </c>
      <c r="CU3170" t="s">
        <v>4719</v>
      </c>
      <c r="CV3170" t="s">
        <v>4720</v>
      </c>
      <c r="CY3170">
        <v>7459587</v>
      </c>
      <c r="CZ3170" t="s">
        <v>119</v>
      </c>
    </row>
    <row r="3171" spans="1:104" x14ac:dyDescent="0.25">
      <c r="A3171" t="str">
        <f>"14:43:10.445"</f>
        <v>14:43:10.445</v>
      </c>
      <c r="B3171" t="s">
        <v>108</v>
      </c>
      <c r="C3171" t="str">
        <f t="shared" si="148"/>
        <v>ffdfd3c0</v>
      </c>
      <c r="D3171" t="s">
        <v>109</v>
      </c>
      <c r="E3171">
        <v>4</v>
      </c>
      <c r="F3171">
        <v>1004</v>
      </c>
      <c r="G3171" t="s">
        <v>110</v>
      </c>
      <c r="J3171" t="s">
        <v>111</v>
      </c>
      <c r="K3171">
        <v>0</v>
      </c>
      <c r="L3171">
        <v>3</v>
      </c>
      <c r="M3171">
        <v>0</v>
      </c>
      <c r="N3171">
        <v>2</v>
      </c>
      <c r="O3171">
        <v>1</v>
      </c>
      <c r="P3171">
        <v>0</v>
      </c>
      <c r="Q3171">
        <v>0</v>
      </c>
      <c r="R3171" t="s">
        <v>112</v>
      </c>
      <c r="S3171" t="str">
        <f>"14:43:10.242"</f>
        <v>14:43:10.242</v>
      </c>
      <c r="T3171" t="str">
        <f>"14:43:09.742"</f>
        <v>14:43:09.742</v>
      </c>
      <c r="U3171" t="str">
        <f t="shared" si="147"/>
        <v>ad5732</v>
      </c>
      <c r="V3171">
        <v>0</v>
      </c>
      <c r="W3171">
        <v>0</v>
      </c>
      <c r="X3171">
        <v>1</v>
      </c>
      <c r="Z3171">
        <v>0</v>
      </c>
      <c r="AA3171">
        <v>9</v>
      </c>
      <c r="AB3171">
        <v>3</v>
      </c>
      <c r="AC3171">
        <v>0</v>
      </c>
      <c r="AD3171">
        <v>10</v>
      </c>
      <c r="AE3171">
        <v>0</v>
      </c>
      <c r="AF3171">
        <v>3</v>
      </c>
      <c r="AG3171">
        <v>2</v>
      </c>
      <c r="AH3171">
        <v>0</v>
      </c>
      <c r="AI3171" t="s">
        <v>6450</v>
      </c>
      <c r="AJ3171">
        <v>40.397651000000003</v>
      </c>
      <c r="AK3171" t="s">
        <v>6451</v>
      </c>
      <c r="AL3171">
        <v>-74.883070000000004</v>
      </c>
      <c r="AM3171">
        <v>100</v>
      </c>
      <c r="AN3171">
        <v>3700</v>
      </c>
      <c r="AO3171" t="s">
        <v>115</v>
      </c>
      <c r="AP3171">
        <v>163</v>
      </c>
      <c r="AQ3171">
        <v>-21</v>
      </c>
      <c r="AR3171">
        <v>-64</v>
      </c>
      <c r="AZ3171">
        <v>3614</v>
      </c>
      <c r="BA3171">
        <v>1</v>
      </c>
      <c r="BB3171" t="str">
        <f t="shared" si="149"/>
        <v xml:space="preserve">N959MJ  </v>
      </c>
      <c r="BC3171">
        <v>1</v>
      </c>
      <c r="BE3171">
        <v>0</v>
      </c>
      <c r="BF3171">
        <v>0</v>
      </c>
      <c r="BG3171">
        <v>0</v>
      </c>
      <c r="BH3171">
        <v>3850</v>
      </c>
      <c r="BI3171">
        <v>150</v>
      </c>
      <c r="BJ3171">
        <v>1</v>
      </c>
      <c r="BK3171">
        <v>1</v>
      </c>
      <c r="BL3171">
        <v>1</v>
      </c>
      <c r="BM3171">
        <v>0</v>
      </c>
      <c r="BP3171">
        <v>0</v>
      </c>
      <c r="BQ3171">
        <v>0</v>
      </c>
      <c r="BX3171" t="str">
        <f>"14:43:10.250"</f>
        <v>14:43:10.250</v>
      </c>
      <c r="BY3171" t="str">
        <f>"249176107"</f>
        <v>249176107</v>
      </c>
      <c r="CL3171">
        <v>0</v>
      </c>
      <c r="CM3171">
        <v>2</v>
      </c>
      <c r="CN3171">
        <v>0</v>
      </c>
      <c r="CO3171">
        <v>2</v>
      </c>
      <c r="CP3171">
        <v>0</v>
      </c>
      <c r="CQ3171">
        <v>7</v>
      </c>
      <c r="CR3171" t="s">
        <v>116</v>
      </c>
      <c r="CS3171">
        <v>38</v>
      </c>
      <c r="CT3171">
        <v>3</v>
      </c>
      <c r="CU3171" t="s">
        <v>4719</v>
      </c>
      <c r="CV3171" t="s">
        <v>4720</v>
      </c>
      <c r="CY3171">
        <v>10877977</v>
      </c>
      <c r="CZ3171" t="s">
        <v>119</v>
      </c>
    </row>
    <row r="3172" spans="1:104" x14ac:dyDescent="0.25">
      <c r="A3172" t="str">
        <f>"14:43:11.500"</f>
        <v>14:43:11.500</v>
      </c>
      <c r="B3172" t="s">
        <v>108</v>
      </c>
      <c r="C3172" t="str">
        <f t="shared" si="148"/>
        <v>ffdfd3c0</v>
      </c>
      <c r="D3172" t="s">
        <v>109</v>
      </c>
      <c r="E3172">
        <v>4</v>
      </c>
      <c r="F3172">
        <v>1004</v>
      </c>
      <c r="G3172" t="s">
        <v>110</v>
      </c>
      <c r="J3172" t="s">
        <v>111</v>
      </c>
      <c r="K3172">
        <v>0</v>
      </c>
      <c r="L3172">
        <v>3</v>
      </c>
      <c r="M3172">
        <v>0</v>
      </c>
      <c r="N3172">
        <v>2</v>
      </c>
      <c r="O3172">
        <v>1</v>
      </c>
      <c r="P3172">
        <v>0</v>
      </c>
      <c r="Q3172">
        <v>0</v>
      </c>
      <c r="R3172" t="s">
        <v>112</v>
      </c>
      <c r="S3172" t="str">
        <f>"14:43:11.313"</f>
        <v>14:43:11.313</v>
      </c>
      <c r="T3172" t="str">
        <f>"14:43:10.813"</f>
        <v>14:43:10.813</v>
      </c>
      <c r="U3172" t="str">
        <f t="shared" si="147"/>
        <v>ad5732</v>
      </c>
      <c r="V3172">
        <v>0</v>
      </c>
      <c r="W3172">
        <v>0</v>
      </c>
      <c r="X3172">
        <v>1</v>
      </c>
      <c r="Z3172">
        <v>0</v>
      </c>
      <c r="AA3172">
        <v>9</v>
      </c>
      <c r="AB3172">
        <v>3</v>
      </c>
      <c r="AC3172">
        <v>0</v>
      </c>
      <c r="AD3172">
        <v>10</v>
      </c>
      <c r="AE3172">
        <v>0</v>
      </c>
      <c r="AF3172">
        <v>3</v>
      </c>
      <c r="AG3172">
        <v>2</v>
      </c>
      <c r="AH3172">
        <v>0</v>
      </c>
      <c r="AI3172" t="s">
        <v>6452</v>
      </c>
      <c r="AJ3172">
        <v>40.397565</v>
      </c>
      <c r="AK3172" t="s">
        <v>6453</v>
      </c>
      <c r="AL3172">
        <v>-74.882060999999993</v>
      </c>
      <c r="AM3172">
        <v>100</v>
      </c>
      <c r="AN3172">
        <v>3700</v>
      </c>
      <c r="AO3172" t="s">
        <v>115</v>
      </c>
      <c r="AP3172">
        <v>163</v>
      </c>
      <c r="AQ3172">
        <v>-21</v>
      </c>
      <c r="AR3172">
        <v>-64</v>
      </c>
      <c r="AZ3172">
        <v>3614</v>
      </c>
      <c r="BA3172">
        <v>1</v>
      </c>
      <c r="BB3172" t="str">
        <f t="shared" si="149"/>
        <v xml:space="preserve">N959MJ  </v>
      </c>
      <c r="BC3172">
        <v>1</v>
      </c>
      <c r="BE3172">
        <v>0</v>
      </c>
      <c r="BF3172">
        <v>0</v>
      </c>
      <c r="BG3172">
        <v>0</v>
      </c>
      <c r="BH3172">
        <v>3850</v>
      </c>
      <c r="BI3172">
        <v>150</v>
      </c>
      <c r="BJ3172">
        <v>1</v>
      </c>
      <c r="BK3172">
        <v>1</v>
      </c>
      <c r="BL3172">
        <v>1</v>
      </c>
      <c r="BM3172">
        <v>0</v>
      </c>
      <c r="BP3172">
        <v>0</v>
      </c>
      <c r="BQ3172">
        <v>0</v>
      </c>
      <c r="BX3172" t="str">
        <f>"14:43:11.313"</f>
        <v>14:43:11.313</v>
      </c>
      <c r="BY3172" t="str">
        <f>"314154611"</f>
        <v>314154611</v>
      </c>
      <c r="CL3172">
        <v>0</v>
      </c>
      <c r="CM3172">
        <v>2</v>
      </c>
      <c r="CN3172">
        <v>0</v>
      </c>
      <c r="CO3172">
        <v>2</v>
      </c>
      <c r="CP3172">
        <v>0</v>
      </c>
      <c r="CQ3172">
        <v>7</v>
      </c>
      <c r="CR3172" t="s">
        <v>116</v>
      </c>
      <c r="CS3172">
        <v>38</v>
      </c>
      <c r="CT3172">
        <v>0</v>
      </c>
      <c r="CU3172" t="s">
        <v>4719</v>
      </c>
      <c r="CV3172" t="s">
        <v>4720</v>
      </c>
      <c r="CY3172">
        <v>7462764</v>
      </c>
      <c r="CZ3172" t="s">
        <v>119</v>
      </c>
    </row>
    <row r="3173" spans="1:104" x14ac:dyDescent="0.25">
      <c r="A3173" t="str">
        <f>"14:43:12.563"</f>
        <v>14:43:12.563</v>
      </c>
      <c r="B3173" t="s">
        <v>108</v>
      </c>
      <c r="C3173" t="str">
        <f t="shared" si="148"/>
        <v>ffdfd3c0</v>
      </c>
      <c r="D3173" t="s">
        <v>109</v>
      </c>
      <c r="E3173">
        <v>4</v>
      </c>
      <c r="F3173">
        <v>1004</v>
      </c>
      <c r="G3173" t="s">
        <v>110</v>
      </c>
      <c r="J3173" t="s">
        <v>111</v>
      </c>
      <c r="K3173">
        <v>0</v>
      </c>
      <c r="L3173">
        <v>3</v>
      </c>
      <c r="M3173">
        <v>0</v>
      </c>
      <c r="N3173">
        <v>2</v>
      </c>
      <c r="O3173">
        <v>1</v>
      </c>
      <c r="P3173">
        <v>0</v>
      </c>
      <c r="Q3173">
        <v>0</v>
      </c>
      <c r="R3173" t="s">
        <v>112</v>
      </c>
      <c r="S3173" t="str">
        <f>"14:43:12.352"</f>
        <v>14:43:12.352</v>
      </c>
      <c r="T3173" t="str">
        <f>"14:43:11.953"</f>
        <v>14:43:11.953</v>
      </c>
      <c r="U3173" t="str">
        <f t="shared" si="147"/>
        <v>ad5732</v>
      </c>
      <c r="V3173">
        <v>0</v>
      </c>
      <c r="W3173">
        <v>0</v>
      </c>
      <c r="X3173">
        <v>1</v>
      </c>
      <c r="Z3173">
        <v>0</v>
      </c>
      <c r="AA3173">
        <v>9</v>
      </c>
      <c r="AB3173">
        <v>3</v>
      </c>
      <c r="AC3173">
        <v>0</v>
      </c>
      <c r="AD3173">
        <v>10</v>
      </c>
      <c r="AE3173">
        <v>0</v>
      </c>
      <c r="AF3173">
        <v>3</v>
      </c>
      <c r="AG3173">
        <v>2</v>
      </c>
      <c r="AH3173">
        <v>0</v>
      </c>
      <c r="AI3173" t="s">
        <v>6454</v>
      </c>
      <c r="AJ3173">
        <v>40.397458</v>
      </c>
      <c r="AK3173" t="s">
        <v>6455</v>
      </c>
      <c r="AL3173">
        <v>-74.880989</v>
      </c>
      <c r="AM3173">
        <v>100</v>
      </c>
      <c r="AN3173">
        <v>3700</v>
      </c>
      <c r="AO3173" t="s">
        <v>115</v>
      </c>
      <c r="AP3173">
        <v>163</v>
      </c>
      <c r="AQ3173">
        <v>-21</v>
      </c>
      <c r="AR3173">
        <v>-192</v>
      </c>
      <c r="AZ3173">
        <v>3614</v>
      </c>
      <c r="BA3173">
        <v>1</v>
      </c>
      <c r="BB3173" t="str">
        <f t="shared" si="149"/>
        <v xml:space="preserve">N959MJ  </v>
      </c>
      <c r="BC3173">
        <v>1</v>
      </c>
      <c r="BE3173">
        <v>0</v>
      </c>
      <c r="BF3173">
        <v>0</v>
      </c>
      <c r="BG3173">
        <v>0</v>
      </c>
      <c r="BH3173">
        <v>3850</v>
      </c>
      <c r="BI3173">
        <v>150</v>
      </c>
      <c r="BJ3173">
        <v>1</v>
      </c>
      <c r="BK3173">
        <v>1</v>
      </c>
      <c r="BL3173">
        <v>1</v>
      </c>
      <c r="BM3173">
        <v>0</v>
      </c>
      <c r="BP3173">
        <v>0</v>
      </c>
      <c r="BQ3173">
        <v>0</v>
      </c>
      <c r="BX3173" t="str">
        <f>"14:43:12.359"</f>
        <v>14:43:12.359</v>
      </c>
      <c r="BY3173" t="str">
        <f>"356195082"</f>
        <v>356195082</v>
      </c>
      <c r="CL3173">
        <v>0</v>
      </c>
      <c r="CM3173">
        <v>2</v>
      </c>
      <c r="CN3173">
        <v>0</v>
      </c>
      <c r="CO3173">
        <v>2</v>
      </c>
      <c r="CP3173">
        <v>0</v>
      </c>
      <c r="CQ3173">
        <v>7</v>
      </c>
      <c r="CR3173" t="s">
        <v>116</v>
      </c>
      <c r="CS3173">
        <v>38</v>
      </c>
      <c r="CT3173">
        <v>0</v>
      </c>
      <c r="CU3173" t="s">
        <v>4719</v>
      </c>
      <c r="CV3173" t="s">
        <v>4720</v>
      </c>
      <c r="CY3173">
        <v>7464384</v>
      </c>
      <c r="CZ3173" t="s">
        <v>119</v>
      </c>
    </row>
    <row r="3174" spans="1:104" x14ac:dyDescent="0.25">
      <c r="A3174" t="str">
        <f>"14:43:13.672"</f>
        <v>14:43:13.672</v>
      </c>
      <c r="B3174" t="s">
        <v>108</v>
      </c>
      <c r="C3174" t="str">
        <f t="shared" si="148"/>
        <v>ffdfd3c0</v>
      </c>
      <c r="D3174" t="s">
        <v>109</v>
      </c>
      <c r="E3174">
        <v>4</v>
      </c>
      <c r="F3174">
        <v>1004</v>
      </c>
      <c r="G3174" t="s">
        <v>110</v>
      </c>
      <c r="J3174" t="s">
        <v>111</v>
      </c>
      <c r="K3174">
        <v>0</v>
      </c>
      <c r="L3174">
        <v>3</v>
      </c>
      <c r="M3174">
        <v>0</v>
      </c>
      <c r="N3174">
        <v>2</v>
      </c>
      <c r="O3174">
        <v>1</v>
      </c>
      <c r="P3174">
        <v>0</v>
      </c>
      <c r="Q3174">
        <v>0</v>
      </c>
      <c r="R3174" t="s">
        <v>112</v>
      </c>
      <c r="S3174" t="str">
        <f>"14:43:13.484"</f>
        <v>14:43:13.484</v>
      </c>
      <c r="T3174" t="str">
        <f>"14:43:12.984"</f>
        <v>14:43:12.984</v>
      </c>
      <c r="U3174" t="str">
        <f t="shared" si="147"/>
        <v>ad5732</v>
      </c>
      <c r="V3174">
        <v>0</v>
      </c>
      <c r="W3174">
        <v>0</v>
      </c>
      <c r="X3174">
        <v>1</v>
      </c>
      <c r="Z3174">
        <v>0</v>
      </c>
      <c r="AA3174">
        <v>9</v>
      </c>
      <c r="AB3174">
        <v>3</v>
      </c>
      <c r="AC3174">
        <v>0</v>
      </c>
      <c r="AD3174">
        <v>10</v>
      </c>
      <c r="AE3174">
        <v>0</v>
      </c>
      <c r="AF3174">
        <v>3</v>
      </c>
      <c r="AG3174">
        <v>2</v>
      </c>
      <c r="AH3174">
        <v>0</v>
      </c>
      <c r="AI3174" t="s">
        <v>6456</v>
      </c>
      <c r="AJ3174">
        <v>40.397328999999999</v>
      </c>
      <c r="AK3174" t="s">
        <v>6457</v>
      </c>
      <c r="AL3174">
        <v>-74.879873000000003</v>
      </c>
      <c r="AM3174">
        <v>100</v>
      </c>
      <c r="AN3174">
        <v>3700</v>
      </c>
      <c r="AO3174" t="s">
        <v>115</v>
      </c>
      <c r="AP3174">
        <v>164</v>
      </c>
      <c r="AQ3174">
        <v>-21</v>
      </c>
      <c r="AR3174">
        <v>-512</v>
      </c>
      <c r="AZ3174">
        <v>3614</v>
      </c>
      <c r="BA3174">
        <v>1</v>
      </c>
      <c r="BB3174" t="str">
        <f t="shared" si="149"/>
        <v xml:space="preserve">N959MJ  </v>
      </c>
      <c r="BC3174">
        <v>1</v>
      </c>
      <c r="BE3174">
        <v>0</v>
      </c>
      <c r="BF3174">
        <v>0</v>
      </c>
      <c r="BG3174">
        <v>0</v>
      </c>
      <c r="BH3174">
        <v>3850</v>
      </c>
      <c r="BI3174">
        <v>150</v>
      </c>
      <c r="BJ3174">
        <v>1</v>
      </c>
      <c r="BK3174">
        <v>1</v>
      </c>
      <c r="BL3174">
        <v>1</v>
      </c>
      <c r="BM3174">
        <v>0</v>
      </c>
      <c r="BP3174">
        <v>0</v>
      </c>
      <c r="BQ3174">
        <v>0</v>
      </c>
      <c r="BX3174" t="str">
        <f>"14:43:13.492"</f>
        <v>14:43:13.492</v>
      </c>
      <c r="BY3174" t="str">
        <f>"488349118"</f>
        <v>488349118</v>
      </c>
      <c r="CL3174">
        <v>0</v>
      </c>
      <c r="CM3174">
        <v>2</v>
      </c>
      <c r="CN3174">
        <v>0</v>
      </c>
      <c r="CO3174">
        <v>2</v>
      </c>
      <c r="CP3174">
        <v>0</v>
      </c>
      <c r="CQ3174">
        <v>7</v>
      </c>
      <c r="CR3174" t="s">
        <v>116</v>
      </c>
      <c r="CS3174">
        <v>38</v>
      </c>
      <c r="CT3174">
        <v>3</v>
      </c>
      <c r="CU3174" t="s">
        <v>4719</v>
      </c>
      <c r="CV3174" t="s">
        <v>4720</v>
      </c>
      <c r="CY3174">
        <v>10883752</v>
      </c>
      <c r="CZ3174" t="s">
        <v>119</v>
      </c>
    </row>
    <row r="3175" spans="1:104" x14ac:dyDescent="0.25">
      <c r="A3175" t="str">
        <f>"14:43:14.781"</f>
        <v>14:43:14.781</v>
      </c>
      <c r="B3175" t="s">
        <v>108</v>
      </c>
      <c r="C3175" t="str">
        <f t="shared" si="148"/>
        <v>ffdfd3c0</v>
      </c>
      <c r="D3175" t="s">
        <v>109</v>
      </c>
      <c r="E3175">
        <v>4</v>
      </c>
      <c r="F3175">
        <v>1004</v>
      </c>
      <c r="G3175" t="s">
        <v>110</v>
      </c>
      <c r="J3175" t="s">
        <v>111</v>
      </c>
      <c r="K3175">
        <v>0</v>
      </c>
      <c r="L3175">
        <v>3</v>
      </c>
      <c r="M3175">
        <v>0</v>
      </c>
      <c r="N3175">
        <v>2</v>
      </c>
      <c r="O3175">
        <v>1</v>
      </c>
      <c r="P3175">
        <v>0</v>
      </c>
      <c r="Q3175">
        <v>0</v>
      </c>
      <c r="R3175" t="s">
        <v>112</v>
      </c>
      <c r="S3175" t="str">
        <f>"14:43:14.602"</f>
        <v>14:43:14.602</v>
      </c>
      <c r="T3175" t="str">
        <f>"14:43:14.102"</f>
        <v>14:43:14.102</v>
      </c>
      <c r="U3175" t="str">
        <f t="shared" si="147"/>
        <v>ad5732</v>
      </c>
      <c r="V3175">
        <v>0</v>
      </c>
      <c r="W3175">
        <v>0</v>
      </c>
      <c r="X3175">
        <v>1</v>
      </c>
      <c r="Z3175">
        <v>0</v>
      </c>
      <c r="AA3175">
        <v>9</v>
      </c>
      <c r="AB3175">
        <v>3</v>
      </c>
      <c r="AC3175">
        <v>0</v>
      </c>
      <c r="AD3175">
        <v>10</v>
      </c>
      <c r="AE3175">
        <v>0</v>
      </c>
      <c r="AF3175">
        <v>3</v>
      </c>
      <c r="AG3175">
        <v>2</v>
      </c>
      <c r="AH3175">
        <v>0</v>
      </c>
      <c r="AI3175" t="s">
        <v>6458</v>
      </c>
      <c r="AJ3175">
        <v>40.397221999999999</v>
      </c>
      <c r="AK3175" t="s">
        <v>6459</v>
      </c>
      <c r="AL3175">
        <v>-74.878777999999997</v>
      </c>
      <c r="AM3175">
        <v>100</v>
      </c>
      <c r="AN3175">
        <v>3600</v>
      </c>
      <c r="AO3175" t="s">
        <v>115</v>
      </c>
      <c r="AP3175">
        <v>164</v>
      </c>
      <c r="AQ3175">
        <v>-21</v>
      </c>
      <c r="AR3175">
        <v>-704</v>
      </c>
      <c r="AZ3175">
        <v>3614</v>
      </c>
      <c r="BA3175">
        <v>1</v>
      </c>
      <c r="BB3175" t="str">
        <f t="shared" si="149"/>
        <v xml:space="preserve">N959MJ  </v>
      </c>
      <c r="BC3175">
        <v>1</v>
      </c>
      <c r="BE3175">
        <v>0</v>
      </c>
      <c r="BF3175">
        <v>0</v>
      </c>
      <c r="BG3175">
        <v>0</v>
      </c>
      <c r="BH3175">
        <v>3825</v>
      </c>
      <c r="BI3175">
        <v>225</v>
      </c>
      <c r="BJ3175">
        <v>1</v>
      </c>
      <c r="BK3175">
        <v>1</v>
      </c>
      <c r="BL3175">
        <v>1</v>
      </c>
      <c r="BM3175">
        <v>0</v>
      </c>
      <c r="BP3175">
        <v>0</v>
      </c>
      <c r="BQ3175">
        <v>0</v>
      </c>
      <c r="BX3175" t="str">
        <f>"14:43:14.602"</f>
        <v>14:43:14.602</v>
      </c>
      <c r="BY3175" t="str">
        <f>"604118884"</f>
        <v>604118884</v>
      </c>
      <c r="CL3175">
        <v>0</v>
      </c>
      <c r="CM3175">
        <v>2</v>
      </c>
      <c r="CN3175">
        <v>0</v>
      </c>
      <c r="CO3175">
        <v>2</v>
      </c>
      <c r="CP3175">
        <v>0</v>
      </c>
      <c r="CQ3175">
        <v>7</v>
      </c>
      <c r="CR3175" t="s">
        <v>116</v>
      </c>
      <c r="CS3175">
        <v>38</v>
      </c>
      <c r="CT3175">
        <v>0</v>
      </c>
      <c r="CU3175" t="s">
        <v>4719</v>
      </c>
      <c r="CV3175" t="s">
        <v>4720</v>
      </c>
      <c r="CY3175">
        <v>7467950</v>
      </c>
      <c r="CZ3175" t="s">
        <v>119</v>
      </c>
    </row>
    <row r="3176" spans="1:104" x14ac:dyDescent="0.25">
      <c r="A3176" t="str">
        <f>"14:43:15.789"</f>
        <v>14:43:15.789</v>
      </c>
      <c r="B3176" t="s">
        <v>108</v>
      </c>
      <c r="C3176" t="str">
        <f t="shared" si="148"/>
        <v>ffdfd3c0</v>
      </c>
      <c r="D3176" t="s">
        <v>109</v>
      </c>
      <c r="E3176">
        <v>4</v>
      </c>
      <c r="F3176">
        <v>1004</v>
      </c>
      <c r="G3176" t="s">
        <v>110</v>
      </c>
      <c r="J3176" t="s">
        <v>111</v>
      </c>
      <c r="K3176">
        <v>0</v>
      </c>
      <c r="L3176">
        <v>3</v>
      </c>
      <c r="M3176">
        <v>0</v>
      </c>
      <c r="N3176">
        <v>2</v>
      </c>
      <c r="O3176">
        <v>1</v>
      </c>
      <c r="P3176">
        <v>0</v>
      </c>
      <c r="Q3176">
        <v>0</v>
      </c>
      <c r="R3176" t="s">
        <v>112</v>
      </c>
      <c r="S3176" t="str">
        <f>"14:43:15.633"</f>
        <v>14:43:15.633</v>
      </c>
      <c r="T3176" t="str">
        <f>"14:43:15.234"</f>
        <v>14:43:15.234</v>
      </c>
      <c r="U3176" t="str">
        <f t="shared" si="147"/>
        <v>ad5732</v>
      </c>
      <c r="V3176">
        <v>0</v>
      </c>
      <c r="W3176">
        <v>0</v>
      </c>
      <c r="X3176">
        <v>1</v>
      </c>
      <c r="Z3176">
        <v>0</v>
      </c>
      <c r="AA3176">
        <v>9</v>
      </c>
      <c r="AB3176">
        <v>3</v>
      </c>
      <c r="AC3176">
        <v>0</v>
      </c>
      <c r="AD3176">
        <v>10</v>
      </c>
      <c r="AE3176">
        <v>0</v>
      </c>
      <c r="AF3176">
        <v>3</v>
      </c>
      <c r="AG3176">
        <v>2</v>
      </c>
      <c r="AH3176">
        <v>0</v>
      </c>
      <c r="AI3176" t="s">
        <v>6460</v>
      </c>
      <c r="AJ3176">
        <v>40.397157999999997</v>
      </c>
      <c r="AK3176" t="s">
        <v>6461</v>
      </c>
      <c r="AL3176">
        <v>-74.877684000000002</v>
      </c>
      <c r="AM3176">
        <v>100</v>
      </c>
      <c r="AN3176">
        <v>3600</v>
      </c>
      <c r="AO3176" t="s">
        <v>115</v>
      </c>
      <c r="AP3176">
        <v>165</v>
      </c>
      <c r="AQ3176">
        <v>-21</v>
      </c>
      <c r="AR3176">
        <v>-768</v>
      </c>
      <c r="AZ3176">
        <v>3614</v>
      </c>
      <c r="BA3176">
        <v>1</v>
      </c>
      <c r="BB3176" t="str">
        <f t="shared" si="149"/>
        <v xml:space="preserve">N959MJ  </v>
      </c>
      <c r="BC3176">
        <v>1</v>
      </c>
      <c r="BE3176">
        <v>0</v>
      </c>
      <c r="BF3176">
        <v>0</v>
      </c>
      <c r="BG3176">
        <v>0</v>
      </c>
      <c r="BH3176">
        <v>3825</v>
      </c>
      <c r="BI3176">
        <v>225</v>
      </c>
      <c r="BJ3176">
        <v>1</v>
      </c>
      <c r="BK3176">
        <v>1</v>
      </c>
      <c r="BL3176">
        <v>1</v>
      </c>
      <c r="BM3176">
        <v>0</v>
      </c>
      <c r="BP3176">
        <v>0</v>
      </c>
      <c r="BQ3176">
        <v>0</v>
      </c>
      <c r="BX3176" t="str">
        <f>"14:43:15.633"</f>
        <v>14:43:15.633</v>
      </c>
      <c r="BY3176" t="str">
        <f>"634690419"</f>
        <v>634690419</v>
      </c>
      <c r="CL3176">
        <v>0</v>
      </c>
      <c r="CM3176">
        <v>2</v>
      </c>
      <c r="CN3176">
        <v>0</v>
      </c>
      <c r="CO3176">
        <v>2</v>
      </c>
      <c r="CP3176">
        <v>0</v>
      </c>
      <c r="CQ3176">
        <v>7</v>
      </c>
      <c r="CR3176" t="s">
        <v>116</v>
      </c>
      <c r="CS3176">
        <v>38</v>
      </c>
      <c r="CT3176">
        <v>0</v>
      </c>
      <c r="CU3176" t="s">
        <v>4719</v>
      </c>
      <c r="CV3176" t="s">
        <v>4720</v>
      </c>
      <c r="CY3176">
        <v>7469440</v>
      </c>
      <c r="CZ3176" t="s">
        <v>119</v>
      </c>
    </row>
    <row r="3177" spans="1:104" x14ac:dyDescent="0.25">
      <c r="A3177" t="str">
        <f>"14:43:16.750"</f>
        <v>14:43:16.750</v>
      </c>
      <c r="B3177" t="s">
        <v>108</v>
      </c>
      <c r="C3177" t="str">
        <f t="shared" si="148"/>
        <v>ffdfd3c0</v>
      </c>
      <c r="D3177" t="s">
        <v>109</v>
      </c>
      <c r="E3177">
        <v>4</v>
      </c>
      <c r="F3177">
        <v>1004</v>
      </c>
      <c r="G3177" t="s">
        <v>110</v>
      </c>
      <c r="J3177" t="s">
        <v>111</v>
      </c>
      <c r="K3177">
        <v>0</v>
      </c>
      <c r="L3177">
        <v>3</v>
      </c>
      <c r="M3177">
        <v>0</v>
      </c>
      <c r="N3177">
        <v>2</v>
      </c>
      <c r="O3177">
        <v>1</v>
      </c>
      <c r="P3177">
        <v>0</v>
      </c>
      <c r="Q3177">
        <v>0</v>
      </c>
      <c r="R3177" t="s">
        <v>112</v>
      </c>
      <c r="S3177" t="str">
        <f>"14:43:16.555"</f>
        <v>14:43:16.555</v>
      </c>
      <c r="T3177" t="str">
        <f>"14:43:16.156"</f>
        <v>14:43:16.156</v>
      </c>
      <c r="U3177" t="str">
        <f t="shared" si="147"/>
        <v>ad5732</v>
      </c>
      <c r="V3177">
        <v>0</v>
      </c>
      <c r="W3177">
        <v>0</v>
      </c>
      <c r="X3177">
        <v>1</v>
      </c>
      <c r="Z3177">
        <v>0</v>
      </c>
      <c r="AA3177">
        <v>9</v>
      </c>
      <c r="AB3177">
        <v>3</v>
      </c>
      <c r="AC3177">
        <v>0</v>
      </c>
      <c r="AD3177">
        <v>10</v>
      </c>
      <c r="AE3177">
        <v>0</v>
      </c>
      <c r="AF3177">
        <v>3</v>
      </c>
      <c r="AG3177">
        <v>2</v>
      </c>
      <c r="AH3177">
        <v>0</v>
      </c>
      <c r="AI3177" t="s">
        <v>6462</v>
      </c>
      <c r="AJ3177">
        <v>40.39705</v>
      </c>
      <c r="AK3177" t="s">
        <v>6463</v>
      </c>
      <c r="AL3177">
        <v>-74.876825999999994</v>
      </c>
      <c r="AM3177">
        <v>100</v>
      </c>
      <c r="AN3177">
        <v>3600</v>
      </c>
      <c r="AO3177" t="s">
        <v>115</v>
      </c>
      <c r="AP3177">
        <v>166</v>
      </c>
      <c r="AQ3177">
        <v>-21</v>
      </c>
      <c r="AR3177">
        <v>-832</v>
      </c>
      <c r="AZ3177">
        <v>3614</v>
      </c>
      <c r="BA3177">
        <v>1</v>
      </c>
      <c r="BB3177" t="str">
        <f t="shared" si="149"/>
        <v xml:space="preserve">N959MJ  </v>
      </c>
      <c r="BC3177">
        <v>1</v>
      </c>
      <c r="BE3177">
        <v>0</v>
      </c>
      <c r="BF3177">
        <v>0</v>
      </c>
      <c r="BG3177">
        <v>0</v>
      </c>
      <c r="BH3177">
        <v>3800</v>
      </c>
      <c r="BI3177">
        <v>200</v>
      </c>
      <c r="BJ3177">
        <v>1</v>
      </c>
      <c r="BK3177">
        <v>1</v>
      </c>
      <c r="BL3177">
        <v>1</v>
      </c>
      <c r="BM3177">
        <v>0</v>
      </c>
      <c r="BP3177">
        <v>0</v>
      </c>
      <c r="BQ3177">
        <v>0</v>
      </c>
      <c r="BX3177" t="str">
        <f>"14:43:16.563"</f>
        <v>14:43:16.563</v>
      </c>
      <c r="BY3177" t="str">
        <f>"558764040"</f>
        <v>558764040</v>
      </c>
      <c r="CL3177">
        <v>0</v>
      </c>
      <c r="CM3177">
        <v>2</v>
      </c>
      <c r="CN3177">
        <v>0</v>
      </c>
      <c r="CO3177">
        <v>2</v>
      </c>
      <c r="CP3177">
        <v>0</v>
      </c>
      <c r="CQ3177">
        <v>7</v>
      </c>
      <c r="CR3177" t="s">
        <v>116</v>
      </c>
      <c r="CS3177">
        <v>38</v>
      </c>
      <c r="CT3177">
        <v>3</v>
      </c>
      <c r="CU3177" t="s">
        <v>4719</v>
      </c>
      <c r="CV3177" t="s">
        <v>4720</v>
      </c>
      <c r="CY3177">
        <v>10889247</v>
      </c>
      <c r="CZ3177" t="s">
        <v>119</v>
      </c>
    </row>
    <row r="3178" spans="1:104" x14ac:dyDescent="0.25">
      <c r="A3178" t="str">
        <f>"14:43:17.664"</f>
        <v>14:43:17.664</v>
      </c>
      <c r="B3178" t="s">
        <v>108</v>
      </c>
      <c r="C3178" t="str">
        <f t="shared" si="148"/>
        <v>ffdfd3c0</v>
      </c>
      <c r="D3178" t="s">
        <v>109</v>
      </c>
      <c r="E3178">
        <v>4</v>
      </c>
      <c r="F3178">
        <v>1004</v>
      </c>
      <c r="G3178" t="s">
        <v>110</v>
      </c>
      <c r="J3178" t="s">
        <v>111</v>
      </c>
      <c r="K3178">
        <v>0</v>
      </c>
      <c r="L3178">
        <v>3</v>
      </c>
      <c r="M3178">
        <v>0</v>
      </c>
      <c r="N3178">
        <v>2</v>
      </c>
      <c r="O3178">
        <v>1</v>
      </c>
      <c r="P3178">
        <v>0</v>
      </c>
      <c r="Q3178">
        <v>0</v>
      </c>
      <c r="R3178" t="s">
        <v>112</v>
      </c>
      <c r="S3178" t="str">
        <f>"14:43:17.508"</f>
        <v>14:43:17.508</v>
      </c>
      <c r="T3178" t="str">
        <f>"14:43:17.109"</f>
        <v>14:43:17.109</v>
      </c>
      <c r="U3178" t="str">
        <f t="shared" si="147"/>
        <v>ad5732</v>
      </c>
      <c r="V3178">
        <v>0</v>
      </c>
      <c r="W3178">
        <v>0</v>
      </c>
      <c r="X3178">
        <v>1</v>
      </c>
      <c r="Z3178">
        <v>0</v>
      </c>
      <c r="AA3178">
        <v>9</v>
      </c>
      <c r="AB3178">
        <v>3</v>
      </c>
      <c r="AC3178">
        <v>0</v>
      </c>
      <c r="AD3178">
        <v>10</v>
      </c>
      <c r="AE3178">
        <v>0</v>
      </c>
      <c r="AF3178">
        <v>3</v>
      </c>
      <c r="AG3178">
        <v>2</v>
      </c>
      <c r="AH3178">
        <v>0</v>
      </c>
      <c r="AI3178" t="s">
        <v>6464</v>
      </c>
      <c r="AJ3178">
        <v>40.396965000000002</v>
      </c>
      <c r="AK3178" t="s">
        <v>6465</v>
      </c>
      <c r="AL3178">
        <v>-74.875882000000004</v>
      </c>
      <c r="AM3178">
        <v>100</v>
      </c>
      <c r="AN3178">
        <v>3600</v>
      </c>
      <c r="AO3178" t="s">
        <v>115</v>
      </c>
      <c r="AP3178">
        <v>167</v>
      </c>
      <c r="AQ3178">
        <v>-20</v>
      </c>
      <c r="AR3178">
        <v>-768</v>
      </c>
      <c r="AZ3178">
        <v>3614</v>
      </c>
      <c r="BA3178">
        <v>1</v>
      </c>
      <c r="BB3178" t="str">
        <f t="shared" si="149"/>
        <v xml:space="preserve">N959MJ  </v>
      </c>
      <c r="BC3178">
        <v>1</v>
      </c>
      <c r="BE3178">
        <v>0</v>
      </c>
      <c r="BF3178">
        <v>0</v>
      </c>
      <c r="BG3178">
        <v>0</v>
      </c>
      <c r="BH3178">
        <v>3800</v>
      </c>
      <c r="BI3178">
        <v>200</v>
      </c>
      <c r="BJ3178">
        <v>1</v>
      </c>
      <c r="BK3178">
        <v>1</v>
      </c>
      <c r="BL3178">
        <v>1</v>
      </c>
      <c r="BM3178">
        <v>0</v>
      </c>
      <c r="BP3178">
        <v>0</v>
      </c>
      <c r="BQ3178">
        <v>0</v>
      </c>
      <c r="BX3178" t="str">
        <f>"14:43:17.508"</f>
        <v>14:43:17.508</v>
      </c>
      <c r="BY3178" t="str">
        <f>"510690922"</f>
        <v>510690922</v>
      </c>
      <c r="CL3178">
        <v>0</v>
      </c>
      <c r="CM3178">
        <v>2</v>
      </c>
      <c r="CN3178">
        <v>0</v>
      </c>
      <c r="CO3178">
        <v>2</v>
      </c>
      <c r="CP3178">
        <v>0</v>
      </c>
      <c r="CQ3178">
        <v>7</v>
      </c>
      <c r="CR3178" t="s">
        <v>116</v>
      </c>
      <c r="CS3178">
        <v>38</v>
      </c>
      <c r="CT3178">
        <v>0</v>
      </c>
      <c r="CU3178" t="s">
        <v>4719</v>
      </c>
      <c r="CV3178" t="s">
        <v>4720</v>
      </c>
      <c r="CY3178">
        <v>7472189</v>
      </c>
      <c r="CZ3178" t="s">
        <v>119</v>
      </c>
    </row>
    <row r="3179" spans="1:104" x14ac:dyDescent="0.25">
      <c r="A3179" t="str">
        <f>"14:43:18.570"</f>
        <v>14:43:18.570</v>
      </c>
      <c r="B3179" t="s">
        <v>108</v>
      </c>
      <c r="C3179" t="str">
        <f t="shared" si="148"/>
        <v>ffdfd3c0</v>
      </c>
      <c r="D3179" t="s">
        <v>109</v>
      </c>
      <c r="E3179">
        <v>4</v>
      </c>
      <c r="F3179">
        <v>1004</v>
      </c>
      <c r="G3179" t="s">
        <v>110</v>
      </c>
      <c r="J3179" t="s">
        <v>111</v>
      </c>
      <c r="K3179">
        <v>0</v>
      </c>
      <c r="L3179">
        <v>3</v>
      </c>
      <c r="M3179">
        <v>0</v>
      </c>
      <c r="N3179">
        <v>2</v>
      </c>
      <c r="O3179">
        <v>1</v>
      </c>
      <c r="P3179">
        <v>0</v>
      </c>
      <c r="Q3179">
        <v>0</v>
      </c>
      <c r="R3179" t="s">
        <v>112</v>
      </c>
      <c r="S3179" t="str">
        <f>"14:43:18.383"</f>
        <v>14:43:18.383</v>
      </c>
      <c r="T3179" t="str">
        <f>"14:43:17.984"</f>
        <v>14:43:17.984</v>
      </c>
      <c r="U3179" t="str">
        <f t="shared" si="147"/>
        <v>ad5732</v>
      </c>
      <c r="V3179">
        <v>0</v>
      </c>
      <c r="W3179">
        <v>0</v>
      </c>
      <c r="X3179">
        <v>1</v>
      </c>
      <c r="Z3179">
        <v>0</v>
      </c>
      <c r="AA3179">
        <v>9</v>
      </c>
      <c r="AB3179">
        <v>3</v>
      </c>
      <c r="AC3179">
        <v>0</v>
      </c>
      <c r="AD3179">
        <v>10</v>
      </c>
      <c r="AE3179">
        <v>0</v>
      </c>
      <c r="AF3179">
        <v>3</v>
      </c>
      <c r="AG3179">
        <v>2</v>
      </c>
      <c r="AH3179">
        <v>0</v>
      </c>
      <c r="AI3179" t="s">
        <v>6466</v>
      </c>
      <c r="AJ3179">
        <v>40.396856999999997</v>
      </c>
      <c r="AK3179" t="s">
        <v>6467</v>
      </c>
      <c r="AL3179">
        <v>-74.875001999999995</v>
      </c>
      <c r="AM3179">
        <v>100</v>
      </c>
      <c r="AN3179">
        <v>3600</v>
      </c>
      <c r="AO3179" t="s">
        <v>115</v>
      </c>
      <c r="AP3179">
        <v>168</v>
      </c>
      <c r="AQ3179">
        <v>-20</v>
      </c>
      <c r="AR3179">
        <v>-768</v>
      </c>
      <c r="AZ3179">
        <v>3614</v>
      </c>
      <c r="BA3179">
        <v>1</v>
      </c>
      <c r="BB3179" t="str">
        <f t="shared" si="149"/>
        <v xml:space="preserve">N959MJ  </v>
      </c>
      <c r="BC3179">
        <v>1</v>
      </c>
      <c r="BE3179">
        <v>0</v>
      </c>
      <c r="BF3179">
        <v>0</v>
      </c>
      <c r="BG3179">
        <v>0</v>
      </c>
      <c r="BH3179">
        <v>3775</v>
      </c>
      <c r="BI3179">
        <v>175</v>
      </c>
      <c r="BJ3179">
        <v>1</v>
      </c>
      <c r="BK3179">
        <v>1</v>
      </c>
      <c r="BL3179">
        <v>1</v>
      </c>
      <c r="BM3179">
        <v>0</v>
      </c>
      <c r="BP3179">
        <v>0</v>
      </c>
      <c r="BQ3179">
        <v>0</v>
      </c>
      <c r="BX3179" t="str">
        <f>"14:43:18.391"</f>
        <v>14:43:18.391</v>
      </c>
      <c r="BY3179" t="str">
        <f>"390527000"</f>
        <v>390527000</v>
      </c>
      <c r="CL3179">
        <v>0</v>
      </c>
      <c r="CM3179">
        <v>2</v>
      </c>
      <c r="CN3179">
        <v>0</v>
      </c>
      <c r="CO3179">
        <v>2</v>
      </c>
      <c r="CP3179">
        <v>0</v>
      </c>
      <c r="CQ3179">
        <v>7</v>
      </c>
      <c r="CR3179" t="s">
        <v>116</v>
      </c>
      <c r="CS3179">
        <v>38</v>
      </c>
      <c r="CT3179">
        <v>0</v>
      </c>
      <c r="CU3179" t="s">
        <v>4719</v>
      </c>
      <c r="CV3179" t="s">
        <v>4720</v>
      </c>
      <c r="CY3179">
        <v>7473653</v>
      </c>
      <c r="CZ3179" t="s">
        <v>119</v>
      </c>
    </row>
    <row r="3180" spans="1:104" x14ac:dyDescent="0.25">
      <c r="A3180" t="str">
        <f>"14:43:19.680"</f>
        <v>14:43:19.680</v>
      </c>
      <c r="B3180" t="s">
        <v>108</v>
      </c>
      <c r="C3180" t="str">
        <f t="shared" si="148"/>
        <v>ffdfd3c0</v>
      </c>
      <c r="D3180" t="s">
        <v>109</v>
      </c>
      <c r="E3180">
        <v>4</v>
      </c>
      <c r="F3180">
        <v>1004</v>
      </c>
      <c r="G3180" t="s">
        <v>110</v>
      </c>
      <c r="J3180" t="s">
        <v>111</v>
      </c>
      <c r="K3180">
        <v>0</v>
      </c>
      <c r="L3180">
        <v>3</v>
      </c>
      <c r="M3180">
        <v>0</v>
      </c>
      <c r="N3180">
        <v>2</v>
      </c>
      <c r="O3180">
        <v>1</v>
      </c>
      <c r="P3180">
        <v>0</v>
      </c>
      <c r="Q3180">
        <v>0</v>
      </c>
      <c r="R3180" t="s">
        <v>112</v>
      </c>
      <c r="S3180" t="str">
        <f>"14:43:19.477"</f>
        <v>14:43:19.477</v>
      </c>
      <c r="T3180" t="str">
        <f>"14:43:18.977"</f>
        <v>14:43:18.977</v>
      </c>
      <c r="U3180" t="str">
        <f t="shared" si="147"/>
        <v>ad5732</v>
      </c>
      <c r="V3180">
        <v>0</v>
      </c>
      <c r="W3180">
        <v>0</v>
      </c>
      <c r="X3180">
        <v>1</v>
      </c>
      <c r="Z3180">
        <v>0</v>
      </c>
      <c r="AA3180">
        <v>9</v>
      </c>
      <c r="AB3180">
        <v>3</v>
      </c>
      <c r="AC3180">
        <v>0</v>
      </c>
      <c r="AD3180">
        <v>10</v>
      </c>
      <c r="AE3180">
        <v>0</v>
      </c>
      <c r="AF3180">
        <v>3</v>
      </c>
      <c r="AG3180">
        <v>2</v>
      </c>
      <c r="AH3180">
        <v>0</v>
      </c>
      <c r="AI3180" t="s">
        <v>6468</v>
      </c>
      <c r="AJ3180">
        <v>40.396771000000001</v>
      </c>
      <c r="AK3180" t="s">
        <v>6469</v>
      </c>
      <c r="AL3180">
        <v>-74.873822000000004</v>
      </c>
      <c r="AM3180">
        <v>100</v>
      </c>
      <c r="AN3180">
        <v>3500</v>
      </c>
      <c r="AO3180" t="s">
        <v>115</v>
      </c>
      <c r="AP3180">
        <v>168</v>
      </c>
      <c r="AQ3180">
        <v>-19</v>
      </c>
      <c r="AR3180">
        <v>-768</v>
      </c>
      <c r="AZ3180">
        <v>3614</v>
      </c>
      <c r="BA3180">
        <v>1</v>
      </c>
      <c r="BB3180" t="str">
        <f t="shared" si="149"/>
        <v xml:space="preserve">N959MJ  </v>
      </c>
      <c r="BC3180">
        <v>1</v>
      </c>
      <c r="BE3180">
        <v>0</v>
      </c>
      <c r="BF3180">
        <v>0</v>
      </c>
      <c r="BG3180">
        <v>0</v>
      </c>
      <c r="BH3180">
        <v>3775</v>
      </c>
      <c r="BI3180">
        <v>275</v>
      </c>
      <c r="BJ3180">
        <v>1</v>
      </c>
      <c r="BK3180">
        <v>1</v>
      </c>
      <c r="BL3180">
        <v>1</v>
      </c>
      <c r="BM3180">
        <v>0</v>
      </c>
      <c r="BP3180">
        <v>0</v>
      </c>
      <c r="BQ3180">
        <v>0</v>
      </c>
      <c r="BX3180" t="str">
        <f>"14:43:19.484"</f>
        <v>14:43:19.484</v>
      </c>
      <c r="BY3180" t="str">
        <f>"481720317"</f>
        <v>481720317</v>
      </c>
      <c r="CL3180">
        <v>0</v>
      </c>
      <c r="CM3180">
        <v>2</v>
      </c>
      <c r="CN3180">
        <v>0</v>
      </c>
      <c r="CO3180">
        <v>2</v>
      </c>
      <c r="CP3180">
        <v>0</v>
      </c>
      <c r="CQ3180">
        <v>7</v>
      </c>
      <c r="CR3180" t="s">
        <v>116</v>
      </c>
      <c r="CS3180">
        <v>38</v>
      </c>
      <c r="CT3180">
        <v>3</v>
      </c>
      <c r="CU3180" t="s">
        <v>4719</v>
      </c>
      <c r="CV3180" t="s">
        <v>4720</v>
      </c>
      <c r="CY3180">
        <v>10894402</v>
      </c>
      <c r="CZ3180" t="s">
        <v>119</v>
      </c>
    </row>
    <row r="3181" spans="1:104" x14ac:dyDescent="0.25">
      <c r="A3181" t="str">
        <f>"14:43:20.688"</f>
        <v>14:43:20.688</v>
      </c>
      <c r="B3181" t="s">
        <v>108</v>
      </c>
      <c r="C3181" t="str">
        <f t="shared" si="148"/>
        <v>ffdfd3c0</v>
      </c>
      <c r="D3181" t="s">
        <v>109</v>
      </c>
      <c r="E3181">
        <v>4</v>
      </c>
      <c r="F3181">
        <v>1004</v>
      </c>
      <c r="G3181" t="s">
        <v>110</v>
      </c>
      <c r="J3181" t="s">
        <v>111</v>
      </c>
      <c r="K3181">
        <v>0</v>
      </c>
      <c r="L3181">
        <v>3</v>
      </c>
      <c r="M3181">
        <v>0</v>
      </c>
      <c r="N3181">
        <v>2</v>
      </c>
      <c r="O3181">
        <v>1</v>
      </c>
      <c r="P3181">
        <v>0</v>
      </c>
      <c r="Q3181">
        <v>0</v>
      </c>
      <c r="R3181" t="s">
        <v>112</v>
      </c>
      <c r="S3181" t="str">
        <f>"14:43:20.492"</f>
        <v>14:43:20.492</v>
      </c>
      <c r="T3181" t="str">
        <f>"14:43:19.992"</f>
        <v>14:43:19.992</v>
      </c>
      <c r="U3181" t="str">
        <f t="shared" si="147"/>
        <v>ad5732</v>
      </c>
      <c r="V3181">
        <v>0</v>
      </c>
      <c r="W3181">
        <v>0</v>
      </c>
      <c r="X3181">
        <v>1</v>
      </c>
      <c r="Z3181">
        <v>0</v>
      </c>
      <c r="AA3181">
        <v>9</v>
      </c>
      <c r="AB3181">
        <v>3</v>
      </c>
      <c r="AC3181">
        <v>0</v>
      </c>
      <c r="AD3181">
        <v>10</v>
      </c>
      <c r="AE3181">
        <v>0</v>
      </c>
      <c r="AF3181">
        <v>3</v>
      </c>
      <c r="AG3181">
        <v>2</v>
      </c>
      <c r="AH3181">
        <v>0</v>
      </c>
      <c r="AI3181" t="s">
        <v>6470</v>
      </c>
      <c r="AJ3181">
        <v>40.396686000000003</v>
      </c>
      <c r="AK3181" t="s">
        <v>6471</v>
      </c>
      <c r="AL3181">
        <v>-74.872834999999995</v>
      </c>
      <c r="AM3181">
        <v>100</v>
      </c>
      <c r="AN3181">
        <v>3500</v>
      </c>
      <c r="AO3181" t="s">
        <v>115</v>
      </c>
      <c r="AP3181">
        <v>169</v>
      </c>
      <c r="AQ3181">
        <v>-19</v>
      </c>
      <c r="AR3181">
        <v>-832</v>
      </c>
      <c r="AZ3181">
        <v>3614</v>
      </c>
      <c r="BA3181">
        <v>1</v>
      </c>
      <c r="BB3181" t="str">
        <f t="shared" si="149"/>
        <v xml:space="preserve">N959MJ  </v>
      </c>
      <c r="BC3181">
        <v>1</v>
      </c>
      <c r="BE3181">
        <v>0</v>
      </c>
      <c r="BF3181">
        <v>0</v>
      </c>
      <c r="BG3181">
        <v>0</v>
      </c>
      <c r="BH3181">
        <v>3850</v>
      </c>
      <c r="BI3181">
        <v>350</v>
      </c>
      <c r="BJ3181">
        <v>1</v>
      </c>
      <c r="BK3181">
        <v>1</v>
      </c>
      <c r="BL3181">
        <v>1</v>
      </c>
      <c r="BM3181">
        <v>0</v>
      </c>
      <c r="BP3181">
        <v>0</v>
      </c>
      <c r="BQ3181">
        <v>0</v>
      </c>
      <c r="BX3181" t="str">
        <f>"14:43:20.492"</f>
        <v>14:43:20.492</v>
      </c>
      <c r="BY3181" t="str">
        <f>"496009006"</f>
        <v>496009006</v>
      </c>
      <c r="CL3181">
        <v>0</v>
      </c>
      <c r="CM3181">
        <v>2</v>
      </c>
      <c r="CN3181">
        <v>0</v>
      </c>
      <c r="CO3181">
        <v>2</v>
      </c>
      <c r="CP3181">
        <v>0</v>
      </c>
      <c r="CQ3181">
        <v>5</v>
      </c>
      <c r="CR3181" t="s">
        <v>116</v>
      </c>
      <c r="CS3181">
        <v>409</v>
      </c>
      <c r="CT3181">
        <v>1</v>
      </c>
      <c r="CU3181" t="s">
        <v>5087</v>
      </c>
      <c r="CV3181" t="s">
        <v>5088</v>
      </c>
      <c r="CY3181">
        <v>3736823</v>
      </c>
      <c r="CZ3181" t="s">
        <v>119</v>
      </c>
    </row>
    <row r="3182" spans="1:104" x14ac:dyDescent="0.25">
      <c r="A3182" t="str">
        <f>"14:43:21.648"</f>
        <v>14:43:21.648</v>
      </c>
      <c r="B3182" t="s">
        <v>108</v>
      </c>
      <c r="C3182" t="str">
        <f t="shared" si="148"/>
        <v>ffdfd3c0</v>
      </c>
      <c r="D3182" t="s">
        <v>109</v>
      </c>
      <c r="E3182">
        <v>4</v>
      </c>
      <c r="F3182">
        <v>1004</v>
      </c>
      <c r="G3182" t="s">
        <v>110</v>
      </c>
      <c r="J3182" t="s">
        <v>111</v>
      </c>
      <c r="K3182">
        <v>0</v>
      </c>
      <c r="L3182">
        <v>3</v>
      </c>
      <c r="M3182">
        <v>0</v>
      </c>
      <c r="N3182">
        <v>2</v>
      </c>
      <c r="O3182">
        <v>1</v>
      </c>
      <c r="P3182">
        <v>0</v>
      </c>
      <c r="Q3182">
        <v>0</v>
      </c>
      <c r="R3182" t="s">
        <v>112</v>
      </c>
      <c r="S3182" t="str">
        <f>"14:43:21.477"</f>
        <v>14:43:21.477</v>
      </c>
      <c r="T3182" t="str">
        <f>"14:43:20.977"</f>
        <v>14:43:20.977</v>
      </c>
      <c r="U3182" t="str">
        <f t="shared" si="147"/>
        <v>ad5732</v>
      </c>
      <c r="V3182">
        <v>0</v>
      </c>
      <c r="W3182">
        <v>0</v>
      </c>
      <c r="X3182">
        <v>1</v>
      </c>
      <c r="Z3182">
        <v>0</v>
      </c>
      <c r="AA3182">
        <v>9</v>
      </c>
      <c r="AB3182">
        <v>3</v>
      </c>
      <c r="AC3182">
        <v>0</v>
      </c>
      <c r="AD3182">
        <v>10</v>
      </c>
      <c r="AE3182">
        <v>0</v>
      </c>
      <c r="AF3182">
        <v>3</v>
      </c>
      <c r="AG3182">
        <v>2</v>
      </c>
      <c r="AH3182">
        <v>0</v>
      </c>
      <c r="AI3182" t="s">
        <v>6472</v>
      </c>
      <c r="AJ3182">
        <v>40.396577999999998</v>
      </c>
      <c r="AK3182" t="s">
        <v>6473</v>
      </c>
      <c r="AL3182">
        <v>-74.871762000000004</v>
      </c>
      <c r="AM3182">
        <v>100</v>
      </c>
      <c r="AN3182">
        <v>3500</v>
      </c>
      <c r="AO3182" t="s">
        <v>115</v>
      </c>
      <c r="AP3182">
        <v>170</v>
      </c>
      <c r="AQ3182">
        <v>-18</v>
      </c>
      <c r="AR3182">
        <v>-832</v>
      </c>
      <c r="AZ3182">
        <v>3614</v>
      </c>
      <c r="BA3182">
        <v>1</v>
      </c>
      <c r="BB3182" t="str">
        <f t="shared" si="149"/>
        <v xml:space="preserve">N959MJ  </v>
      </c>
      <c r="BC3182">
        <v>1</v>
      </c>
      <c r="BE3182">
        <v>0</v>
      </c>
      <c r="BF3182">
        <v>0</v>
      </c>
      <c r="BG3182">
        <v>0</v>
      </c>
      <c r="BH3182">
        <v>3750</v>
      </c>
      <c r="BI3182">
        <v>250</v>
      </c>
      <c r="BJ3182">
        <v>1</v>
      </c>
      <c r="BK3182">
        <v>1</v>
      </c>
      <c r="BL3182">
        <v>1</v>
      </c>
      <c r="BM3182">
        <v>0</v>
      </c>
      <c r="BP3182">
        <v>0</v>
      </c>
      <c r="BQ3182">
        <v>0</v>
      </c>
      <c r="BX3182" t="str">
        <f>"14:43:21.477"</f>
        <v>14:43:21.477</v>
      </c>
      <c r="BY3182" t="str">
        <f>"478964601"</f>
        <v>478964601</v>
      </c>
      <c r="CL3182">
        <v>0</v>
      </c>
      <c r="CM3182">
        <v>2</v>
      </c>
      <c r="CN3182">
        <v>0</v>
      </c>
      <c r="CO3182">
        <v>2</v>
      </c>
      <c r="CP3182">
        <v>0</v>
      </c>
      <c r="CQ3182">
        <v>7</v>
      </c>
      <c r="CR3182" t="s">
        <v>116</v>
      </c>
      <c r="CS3182">
        <v>38</v>
      </c>
      <c r="CT3182">
        <v>3</v>
      </c>
      <c r="CU3182" t="s">
        <v>4719</v>
      </c>
      <c r="CV3182" t="s">
        <v>4720</v>
      </c>
      <c r="CY3182">
        <v>10897945</v>
      </c>
      <c r="CZ3182" t="s">
        <v>119</v>
      </c>
    </row>
    <row r="3183" spans="1:104" x14ac:dyDescent="0.25">
      <c r="A3183" t="str">
        <f>"14:43:22.813"</f>
        <v>14:43:22.813</v>
      </c>
      <c r="B3183" t="s">
        <v>108</v>
      </c>
      <c r="C3183" t="str">
        <f t="shared" si="148"/>
        <v>ffdfd3c0</v>
      </c>
      <c r="D3183" t="s">
        <v>109</v>
      </c>
      <c r="E3183">
        <v>4</v>
      </c>
      <c r="F3183">
        <v>1004</v>
      </c>
      <c r="G3183" t="s">
        <v>110</v>
      </c>
      <c r="J3183" t="s">
        <v>111</v>
      </c>
      <c r="K3183">
        <v>0</v>
      </c>
      <c r="L3183">
        <v>3</v>
      </c>
      <c r="M3183">
        <v>0</v>
      </c>
      <c r="N3183">
        <v>2</v>
      </c>
      <c r="O3183">
        <v>1</v>
      </c>
      <c r="P3183">
        <v>0</v>
      </c>
      <c r="Q3183">
        <v>0</v>
      </c>
      <c r="R3183" t="s">
        <v>112</v>
      </c>
      <c r="S3183" t="str">
        <f>"14:43:22.602"</f>
        <v>14:43:22.602</v>
      </c>
      <c r="T3183" t="str">
        <f>"14:43:22.102"</f>
        <v>14:43:22.102</v>
      </c>
      <c r="U3183" t="str">
        <f t="shared" si="147"/>
        <v>ad5732</v>
      </c>
      <c r="V3183">
        <v>0</v>
      </c>
      <c r="W3183">
        <v>0</v>
      </c>
      <c r="X3183">
        <v>1</v>
      </c>
      <c r="Z3183">
        <v>0</v>
      </c>
      <c r="AA3183">
        <v>9</v>
      </c>
      <c r="AB3183">
        <v>3</v>
      </c>
      <c r="AC3183">
        <v>0</v>
      </c>
      <c r="AD3183">
        <v>10</v>
      </c>
      <c r="AE3183">
        <v>0</v>
      </c>
      <c r="AF3183">
        <v>3</v>
      </c>
      <c r="AG3183">
        <v>2</v>
      </c>
      <c r="AH3183">
        <v>0</v>
      </c>
      <c r="AI3183" t="s">
        <v>6474</v>
      </c>
      <c r="AJ3183">
        <v>40.396492000000002</v>
      </c>
      <c r="AK3183" t="s">
        <v>6475</v>
      </c>
      <c r="AL3183">
        <v>-74.870666999999997</v>
      </c>
      <c r="AM3183">
        <v>100</v>
      </c>
      <c r="AN3183">
        <v>3500</v>
      </c>
      <c r="AO3183" t="s">
        <v>115</v>
      </c>
      <c r="AP3183">
        <v>171</v>
      </c>
      <c r="AQ3183">
        <v>-18</v>
      </c>
      <c r="AR3183">
        <v>-832</v>
      </c>
      <c r="AZ3183">
        <v>3614</v>
      </c>
      <c r="BA3183">
        <v>1</v>
      </c>
      <c r="BB3183" t="str">
        <f t="shared" si="149"/>
        <v xml:space="preserve">N959MJ  </v>
      </c>
      <c r="BC3183">
        <v>1</v>
      </c>
      <c r="BE3183">
        <v>0</v>
      </c>
      <c r="BF3183">
        <v>0</v>
      </c>
      <c r="BG3183">
        <v>0</v>
      </c>
      <c r="BH3183">
        <v>3725</v>
      </c>
      <c r="BI3183">
        <v>225</v>
      </c>
      <c r="BJ3183">
        <v>1</v>
      </c>
      <c r="BK3183">
        <v>1</v>
      </c>
      <c r="BL3183">
        <v>1</v>
      </c>
      <c r="BM3183">
        <v>0</v>
      </c>
      <c r="BP3183">
        <v>0</v>
      </c>
      <c r="BQ3183">
        <v>0</v>
      </c>
      <c r="BX3183" t="str">
        <f>"14:43:22.609"</f>
        <v>14:43:22.609</v>
      </c>
      <c r="BY3183" t="str">
        <f>"607841864"</f>
        <v>607841864</v>
      </c>
      <c r="CL3183">
        <v>0</v>
      </c>
      <c r="CM3183">
        <v>2</v>
      </c>
      <c r="CN3183">
        <v>0</v>
      </c>
      <c r="CO3183">
        <v>2</v>
      </c>
      <c r="CP3183">
        <v>0</v>
      </c>
      <c r="CQ3183">
        <v>7</v>
      </c>
      <c r="CR3183" t="s">
        <v>116</v>
      </c>
      <c r="CS3183">
        <v>38</v>
      </c>
      <c r="CT3183">
        <v>0</v>
      </c>
      <c r="CU3183" t="s">
        <v>4719</v>
      </c>
      <c r="CV3183" t="s">
        <v>4720</v>
      </c>
      <c r="CY3183">
        <v>7480115</v>
      </c>
      <c r="CZ3183" t="s">
        <v>119</v>
      </c>
    </row>
    <row r="3184" spans="1:104" x14ac:dyDescent="0.25">
      <c r="A3184" t="str">
        <f>"14:43:23.617"</f>
        <v>14:43:23.617</v>
      </c>
      <c r="B3184" t="s">
        <v>108</v>
      </c>
      <c r="C3184" t="str">
        <f t="shared" si="148"/>
        <v>ffdfd3c0</v>
      </c>
      <c r="D3184" t="s">
        <v>109</v>
      </c>
      <c r="E3184">
        <v>4</v>
      </c>
      <c r="F3184">
        <v>1004</v>
      </c>
      <c r="G3184" t="s">
        <v>110</v>
      </c>
      <c r="J3184" t="s">
        <v>111</v>
      </c>
      <c r="K3184">
        <v>0</v>
      </c>
      <c r="L3184">
        <v>3</v>
      </c>
      <c r="M3184">
        <v>0</v>
      </c>
      <c r="N3184">
        <v>2</v>
      </c>
      <c r="O3184">
        <v>1</v>
      </c>
      <c r="P3184">
        <v>0</v>
      </c>
      <c r="Q3184">
        <v>0</v>
      </c>
      <c r="R3184" t="s">
        <v>112</v>
      </c>
      <c r="S3184" t="str">
        <f>"14:43:23.453"</f>
        <v>14:43:23.453</v>
      </c>
      <c r="T3184" t="str">
        <f>"14:43:23.055"</f>
        <v>14:43:23.055</v>
      </c>
      <c r="U3184" t="str">
        <f t="shared" si="147"/>
        <v>ad5732</v>
      </c>
      <c r="V3184">
        <v>0</v>
      </c>
      <c r="W3184">
        <v>0</v>
      </c>
      <c r="X3184">
        <v>1</v>
      </c>
      <c r="Z3184">
        <v>0</v>
      </c>
      <c r="AA3184">
        <v>9</v>
      </c>
      <c r="AB3184">
        <v>3</v>
      </c>
      <c r="AC3184">
        <v>0</v>
      </c>
      <c r="AD3184">
        <v>10</v>
      </c>
      <c r="AE3184">
        <v>0</v>
      </c>
      <c r="AF3184">
        <v>3</v>
      </c>
      <c r="AG3184">
        <v>2</v>
      </c>
      <c r="AH3184">
        <v>0</v>
      </c>
      <c r="AI3184" t="s">
        <v>6476</v>
      </c>
      <c r="AJ3184">
        <v>40.396450000000002</v>
      </c>
      <c r="AK3184" t="s">
        <v>6477</v>
      </c>
      <c r="AL3184">
        <v>-74.869702000000004</v>
      </c>
      <c r="AM3184">
        <v>100</v>
      </c>
      <c r="AN3184">
        <v>3500</v>
      </c>
      <c r="AO3184" t="s">
        <v>115</v>
      </c>
      <c r="AP3184">
        <v>172</v>
      </c>
      <c r="AQ3184">
        <v>-17</v>
      </c>
      <c r="AR3184">
        <v>-832</v>
      </c>
      <c r="AZ3184">
        <v>3614</v>
      </c>
      <c r="BA3184">
        <v>1</v>
      </c>
      <c r="BB3184" t="str">
        <f t="shared" si="149"/>
        <v xml:space="preserve">N959MJ  </v>
      </c>
      <c r="BC3184">
        <v>1</v>
      </c>
      <c r="BE3184">
        <v>0</v>
      </c>
      <c r="BF3184">
        <v>0</v>
      </c>
      <c r="BG3184">
        <v>0</v>
      </c>
      <c r="BH3184">
        <v>3725</v>
      </c>
      <c r="BI3184">
        <v>225</v>
      </c>
      <c r="BJ3184">
        <v>1</v>
      </c>
      <c r="BK3184">
        <v>1</v>
      </c>
      <c r="BL3184">
        <v>1</v>
      </c>
      <c r="BM3184">
        <v>0</v>
      </c>
      <c r="BP3184">
        <v>0</v>
      </c>
      <c r="BQ3184">
        <v>0</v>
      </c>
      <c r="BX3184" t="str">
        <f>"14:43:23.453"</f>
        <v>14:43:23.453</v>
      </c>
      <c r="BY3184" t="str">
        <f>"454909360"</f>
        <v>454909360</v>
      </c>
      <c r="CL3184">
        <v>0</v>
      </c>
      <c r="CM3184">
        <v>2</v>
      </c>
      <c r="CN3184">
        <v>0</v>
      </c>
      <c r="CO3184">
        <v>2</v>
      </c>
      <c r="CP3184">
        <v>0</v>
      </c>
      <c r="CQ3184">
        <v>7</v>
      </c>
      <c r="CR3184" t="s">
        <v>116</v>
      </c>
      <c r="CS3184">
        <v>38</v>
      </c>
      <c r="CT3184">
        <v>3</v>
      </c>
      <c r="CU3184" t="s">
        <v>4719</v>
      </c>
      <c r="CV3184" t="s">
        <v>4720</v>
      </c>
      <c r="CY3184">
        <v>10901443</v>
      </c>
      <c r="CZ3184" t="s">
        <v>119</v>
      </c>
    </row>
    <row r="3185" spans="1:104" x14ac:dyDescent="0.25">
      <c r="A3185" t="str">
        <f>"14:43:24.727"</f>
        <v>14:43:24.727</v>
      </c>
      <c r="B3185" t="s">
        <v>108</v>
      </c>
      <c r="C3185" t="str">
        <f t="shared" si="148"/>
        <v>ffdfd3c0</v>
      </c>
      <c r="D3185" t="s">
        <v>109</v>
      </c>
      <c r="E3185">
        <v>4</v>
      </c>
      <c r="F3185">
        <v>1004</v>
      </c>
      <c r="G3185" t="s">
        <v>110</v>
      </c>
      <c r="J3185" t="s">
        <v>111</v>
      </c>
      <c r="K3185">
        <v>0</v>
      </c>
      <c r="L3185">
        <v>3</v>
      </c>
      <c r="M3185">
        <v>0</v>
      </c>
      <c r="N3185">
        <v>2</v>
      </c>
      <c r="O3185">
        <v>1</v>
      </c>
      <c r="P3185">
        <v>0</v>
      </c>
      <c r="Q3185">
        <v>0</v>
      </c>
      <c r="R3185" t="s">
        <v>112</v>
      </c>
      <c r="S3185" t="str">
        <f>"14:43:24.547"</f>
        <v>14:43:24.547</v>
      </c>
      <c r="T3185" t="str">
        <f>"14:43:24.047"</f>
        <v>14:43:24.047</v>
      </c>
      <c r="U3185" t="str">
        <f t="shared" si="147"/>
        <v>ad5732</v>
      </c>
      <c r="V3185">
        <v>0</v>
      </c>
      <c r="W3185">
        <v>0</v>
      </c>
      <c r="X3185">
        <v>1</v>
      </c>
      <c r="Z3185">
        <v>0</v>
      </c>
      <c r="AA3185">
        <v>9</v>
      </c>
      <c r="AB3185">
        <v>3</v>
      </c>
      <c r="AC3185">
        <v>0</v>
      </c>
      <c r="AD3185">
        <v>10</v>
      </c>
      <c r="AE3185">
        <v>0</v>
      </c>
      <c r="AF3185">
        <v>3</v>
      </c>
      <c r="AG3185">
        <v>2</v>
      </c>
      <c r="AH3185">
        <v>0</v>
      </c>
      <c r="AI3185" t="s">
        <v>6478</v>
      </c>
      <c r="AJ3185">
        <v>40.396363999999998</v>
      </c>
      <c r="AK3185" t="s">
        <v>6479</v>
      </c>
      <c r="AL3185">
        <v>-74.868585999999993</v>
      </c>
      <c r="AM3185">
        <v>100</v>
      </c>
      <c r="AN3185">
        <v>3500</v>
      </c>
      <c r="AO3185" t="s">
        <v>115</v>
      </c>
      <c r="AP3185">
        <v>172</v>
      </c>
      <c r="AQ3185">
        <v>-17</v>
      </c>
      <c r="AR3185">
        <v>-768</v>
      </c>
      <c r="AZ3185">
        <v>3614</v>
      </c>
      <c r="BA3185">
        <v>1</v>
      </c>
      <c r="BB3185" t="str">
        <f t="shared" si="149"/>
        <v xml:space="preserve">N959MJ  </v>
      </c>
      <c r="BC3185">
        <v>1</v>
      </c>
      <c r="BE3185">
        <v>0</v>
      </c>
      <c r="BF3185">
        <v>0</v>
      </c>
      <c r="BG3185">
        <v>0</v>
      </c>
      <c r="BH3185">
        <v>3700</v>
      </c>
      <c r="BI3185">
        <v>200</v>
      </c>
      <c r="BJ3185">
        <v>1</v>
      </c>
      <c r="BK3185">
        <v>1</v>
      </c>
      <c r="BL3185">
        <v>1</v>
      </c>
      <c r="BM3185">
        <v>0</v>
      </c>
      <c r="BP3185">
        <v>0</v>
      </c>
      <c r="BQ3185">
        <v>0</v>
      </c>
      <c r="BX3185" t="str">
        <f>"14:43:24.555"</f>
        <v>14:43:24.555</v>
      </c>
      <c r="BY3185" t="str">
        <f>"551017951"</f>
        <v>551017951</v>
      </c>
      <c r="CL3185">
        <v>0</v>
      </c>
      <c r="CM3185">
        <v>2</v>
      </c>
      <c r="CN3185">
        <v>0</v>
      </c>
      <c r="CO3185">
        <v>2</v>
      </c>
      <c r="CP3185">
        <v>0</v>
      </c>
      <c r="CQ3185">
        <v>7</v>
      </c>
      <c r="CR3185" t="s">
        <v>116</v>
      </c>
      <c r="CS3185">
        <v>38</v>
      </c>
      <c r="CT3185">
        <v>0</v>
      </c>
      <c r="CU3185" t="s">
        <v>4719</v>
      </c>
      <c r="CV3185" t="s">
        <v>4720</v>
      </c>
      <c r="CY3185">
        <v>7483194</v>
      </c>
      <c r="CZ3185" t="s">
        <v>119</v>
      </c>
    </row>
    <row r="3186" spans="1:104" x14ac:dyDescent="0.25">
      <c r="A3186" t="str">
        <f>"14:43:25.789"</f>
        <v>14:43:25.789</v>
      </c>
      <c r="B3186" t="s">
        <v>108</v>
      </c>
      <c r="C3186" t="str">
        <f t="shared" si="148"/>
        <v>ffdfd3c0</v>
      </c>
      <c r="D3186" t="s">
        <v>109</v>
      </c>
      <c r="E3186">
        <v>4</v>
      </c>
      <c r="F3186">
        <v>1004</v>
      </c>
      <c r="G3186" t="s">
        <v>110</v>
      </c>
      <c r="J3186" t="s">
        <v>111</v>
      </c>
      <c r="K3186">
        <v>0</v>
      </c>
      <c r="L3186">
        <v>3</v>
      </c>
      <c r="M3186">
        <v>0</v>
      </c>
      <c r="N3186">
        <v>2</v>
      </c>
      <c r="O3186">
        <v>1</v>
      </c>
      <c r="P3186">
        <v>0</v>
      </c>
      <c r="Q3186">
        <v>0</v>
      </c>
      <c r="R3186" t="s">
        <v>112</v>
      </c>
      <c r="S3186" t="str">
        <f>"14:43:25.625"</f>
        <v>14:43:25.625</v>
      </c>
      <c r="T3186" t="str">
        <f>"14:43:25.125"</f>
        <v>14:43:25.125</v>
      </c>
      <c r="U3186" t="str">
        <f t="shared" si="147"/>
        <v>ad5732</v>
      </c>
      <c r="V3186">
        <v>0</v>
      </c>
      <c r="W3186">
        <v>0</v>
      </c>
      <c r="X3186">
        <v>1</v>
      </c>
      <c r="Z3186">
        <v>0</v>
      </c>
      <c r="AA3186">
        <v>9</v>
      </c>
      <c r="AB3186">
        <v>3</v>
      </c>
      <c r="AC3186">
        <v>0</v>
      </c>
      <c r="AD3186">
        <v>10</v>
      </c>
      <c r="AE3186">
        <v>0</v>
      </c>
      <c r="AF3186">
        <v>3</v>
      </c>
      <c r="AG3186">
        <v>2</v>
      </c>
      <c r="AH3186">
        <v>0</v>
      </c>
      <c r="AI3186" t="s">
        <v>6480</v>
      </c>
      <c r="AJ3186">
        <v>40.396256000000001</v>
      </c>
      <c r="AK3186" t="s">
        <v>6481</v>
      </c>
      <c r="AL3186">
        <v>-74.867384000000001</v>
      </c>
      <c r="AM3186">
        <v>100</v>
      </c>
      <c r="AN3186">
        <v>3500</v>
      </c>
      <c r="AO3186" t="s">
        <v>115</v>
      </c>
      <c r="AP3186">
        <v>173</v>
      </c>
      <c r="AQ3186">
        <v>-17</v>
      </c>
      <c r="AR3186">
        <v>-704</v>
      </c>
      <c r="AZ3186">
        <v>3614</v>
      </c>
      <c r="BA3186">
        <v>1</v>
      </c>
      <c r="BB3186" t="str">
        <f t="shared" si="149"/>
        <v xml:space="preserve">N959MJ  </v>
      </c>
      <c r="BC3186">
        <v>1</v>
      </c>
      <c r="BE3186">
        <v>0</v>
      </c>
      <c r="BF3186">
        <v>0</v>
      </c>
      <c r="BG3186">
        <v>0</v>
      </c>
      <c r="BH3186">
        <v>3700</v>
      </c>
      <c r="BI3186">
        <v>200</v>
      </c>
      <c r="BJ3186">
        <v>1</v>
      </c>
      <c r="BK3186">
        <v>1</v>
      </c>
      <c r="BL3186">
        <v>1</v>
      </c>
      <c r="BM3186">
        <v>0</v>
      </c>
      <c r="BP3186">
        <v>0</v>
      </c>
      <c r="BQ3186">
        <v>0</v>
      </c>
      <c r="BX3186" t="str">
        <f>"14:43:25.625"</f>
        <v>14:43:25.625</v>
      </c>
      <c r="BY3186" t="str">
        <f>"625827098"</f>
        <v>625827098</v>
      </c>
      <c r="CL3186">
        <v>0</v>
      </c>
      <c r="CM3186">
        <v>2</v>
      </c>
      <c r="CN3186">
        <v>0</v>
      </c>
      <c r="CO3186">
        <v>2</v>
      </c>
      <c r="CP3186">
        <v>0</v>
      </c>
      <c r="CQ3186">
        <v>7</v>
      </c>
      <c r="CR3186" t="s">
        <v>116</v>
      </c>
      <c r="CS3186">
        <v>38</v>
      </c>
      <c r="CT3186">
        <v>0</v>
      </c>
      <c r="CU3186" t="s">
        <v>4719</v>
      </c>
      <c r="CV3186" t="s">
        <v>4720</v>
      </c>
      <c r="CY3186">
        <v>7484799</v>
      </c>
      <c r="CZ3186" t="s">
        <v>119</v>
      </c>
    </row>
    <row r="3187" spans="1:104" x14ac:dyDescent="0.25">
      <c r="A3187" t="str">
        <f>"14:43:26.852"</f>
        <v>14:43:26.852</v>
      </c>
      <c r="B3187" t="s">
        <v>108</v>
      </c>
      <c r="C3187" t="str">
        <f t="shared" si="148"/>
        <v>ffdfd3c0</v>
      </c>
      <c r="D3187" t="s">
        <v>109</v>
      </c>
      <c r="E3187">
        <v>4</v>
      </c>
      <c r="F3187">
        <v>1004</v>
      </c>
      <c r="G3187" t="s">
        <v>110</v>
      </c>
      <c r="J3187" t="s">
        <v>111</v>
      </c>
      <c r="K3187">
        <v>0</v>
      </c>
      <c r="L3187">
        <v>3</v>
      </c>
      <c r="M3187">
        <v>0</v>
      </c>
      <c r="N3187">
        <v>2</v>
      </c>
      <c r="O3187">
        <v>1</v>
      </c>
      <c r="P3187">
        <v>0</v>
      </c>
      <c r="Q3187">
        <v>0</v>
      </c>
      <c r="R3187" t="s">
        <v>112</v>
      </c>
      <c r="S3187" t="str">
        <f>"14:43:26.664"</f>
        <v>14:43:26.664</v>
      </c>
      <c r="T3187" t="str">
        <f>"14:43:26.266"</f>
        <v>14:43:26.266</v>
      </c>
      <c r="U3187" t="str">
        <f t="shared" si="147"/>
        <v>ad5732</v>
      </c>
      <c r="V3187">
        <v>0</v>
      </c>
      <c r="W3187">
        <v>0</v>
      </c>
      <c r="X3187">
        <v>1</v>
      </c>
      <c r="Z3187">
        <v>0</v>
      </c>
      <c r="AA3187">
        <v>9</v>
      </c>
      <c r="AB3187">
        <v>3</v>
      </c>
      <c r="AC3187">
        <v>0</v>
      </c>
      <c r="AD3187">
        <v>10</v>
      </c>
      <c r="AE3187">
        <v>0</v>
      </c>
      <c r="AF3187">
        <v>3</v>
      </c>
      <c r="AG3187">
        <v>2</v>
      </c>
      <c r="AH3187">
        <v>0</v>
      </c>
      <c r="AI3187" t="s">
        <v>6482</v>
      </c>
      <c r="AJ3187">
        <v>40.396214000000001</v>
      </c>
      <c r="AK3187" t="s">
        <v>6483</v>
      </c>
      <c r="AL3187">
        <v>-74.866332999999997</v>
      </c>
      <c r="AM3187">
        <v>100</v>
      </c>
      <c r="AN3187">
        <v>3500</v>
      </c>
      <c r="AO3187" t="s">
        <v>115</v>
      </c>
      <c r="AP3187">
        <v>173</v>
      </c>
      <c r="AQ3187">
        <v>-16</v>
      </c>
      <c r="AR3187">
        <v>-768</v>
      </c>
      <c r="AZ3187">
        <v>3614</v>
      </c>
      <c r="BA3187">
        <v>1</v>
      </c>
      <c r="BB3187" t="str">
        <f t="shared" si="149"/>
        <v xml:space="preserve">N959MJ  </v>
      </c>
      <c r="BC3187">
        <v>1</v>
      </c>
      <c r="BE3187">
        <v>0</v>
      </c>
      <c r="BF3187">
        <v>0</v>
      </c>
      <c r="BG3187">
        <v>0</v>
      </c>
      <c r="BH3187">
        <v>3675</v>
      </c>
      <c r="BI3187">
        <v>175</v>
      </c>
      <c r="BJ3187">
        <v>1</v>
      </c>
      <c r="BK3187">
        <v>1</v>
      </c>
      <c r="BL3187">
        <v>1</v>
      </c>
      <c r="BM3187">
        <v>0</v>
      </c>
      <c r="BP3187">
        <v>0</v>
      </c>
      <c r="BQ3187">
        <v>0</v>
      </c>
      <c r="BX3187" t="str">
        <f>"14:43:26.672"</f>
        <v>14:43:26.672</v>
      </c>
      <c r="BY3187" t="str">
        <f>"669505974"</f>
        <v>669505974</v>
      </c>
      <c r="CL3187">
        <v>0</v>
      </c>
      <c r="CM3187">
        <v>2</v>
      </c>
      <c r="CN3187">
        <v>0</v>
      </c>
      <c r="CO3187">
        <v>2</v>
      </c>
      <c r="CP3187">
        <v>0</v>
      </c>
      <c r="CQ3187">
        <v>7</v>
      </c>
      <c r="CR3187" t="s">
        <v>116</v>
      </c>
      <c r="CS3187">
        <v>38</v>
      </c>
      <c r="CT3187">
        <v>0</v>
      </c>
      <c r="CU3187" t="s">
        <v>4719</v>
      </c>
      <c r="CV3187" t="s">
        <v>4720</v>
      </c>
      <c r="CY3187">
        <v>7486326</v>
      </c>
      <c r="CZ3187" t="s">
        <v>119</v>
      </c>
    </row>
    <row r="3188" spans="1:104" x14ac:dyDescent="0.25">
      <c r="A3188" t="str">
        <f>"14:43:27.961"</f>
        <v>14:43:27.961</v>
      </c>
      <c r="B3188" t="s">
        <v>108</v>
      </c>
      <c r="C3188" t="str">
        <f t="shared" si="148"/>
        <v>ffdfd3c0</v>
      </c>
      <c r="D3188" t="s">
        <v>109</v>
      </c>
      <c r="E3188">
        <v>4</v>
      </c>
      <c r="F3188">
        <v>1004</v>
      </c>
      <c r="G3188" t="s">
        <v>110</v>
      </c>
      <c r="J3188" t="s">
        <v>111</v>
      </c>
      <c r="K3188">
        <v>0</v>
      </c>
      <c r="L3188">
        <v>3</v>
      </c>
      <c r="M3188">
        <v>0</v>
      </c>
      <c r="N3188">
        <v>2</v>
      </c>
      <c r="O3188">
        <v>1</v>
      </c>
      <c r="P3188">
        <v>0</v>
      </c>
      <c r="Q3188">
        <v>0</v>
      </c>
      <c r="R3188" t="s">
        <v>112</v>
      </c>
      <c r="S3188" t="str">
        <f>"14:43:27.758"</f>
        <v>14:43:27.758</v>
      </c>
      <c r="T3188" t="str">
        <f>"14:43:26.758"</f>
        <v>14:43:26.758</v>
      </c>
      <c r="U3188" t="str">
        <f t="shared" si="147"/>
        <v>ad5732</v>
      </c>
      <c r="V3188">
        <v>0</v>
      </c>
      <c r="W3188">
        <v>0</v>
      </c>
      <c r="X3188">
        <v>1</v>
      </c>
      <c r="Z3188">
        <v>0</v>
      </c>
      <c r="AA3188">
        <v>9</v>
      </c>
      <c r="AB3188">
        <v>3</v>
      </c>
      <c r="AC3188">
        <v>0</v>
      </c>
      <c r="AD3188">
        <v>10</v>
      </c>
      <c r="AE3188">
        <v>0</v>
      </c>
      <c r="AF3188">
        <v>3</v>
      </c>
      <c r="AG3188">
        <v>2</v>
      </c>
      <c r="AH3188">
        <v>0</v>
      </c>
      <c r="AI3188" t="s">
        <v>6484</v>
      </c>
      <c r="AJ3188">
        <v>40.396127999999997</v>
      </c>
      <c r="AK3188" t="s">
        <v>6485</v>
      </c>
      <c r="AL3188">
        <v>-74.865173999999996</v>
      </c>
      <c r="AM3188">
        <v>100</v>
      </c>
      <c r="AN3188">
        <v>3500</v>
      </c>
      <c r="AO3188" t="s">
        <v>115</v>
      </c>
      <c r="AP3188">
        <v>174</v>
      </c>
      <c r="AQ3188">
        <v>-16</v>
      </c>
      <c r="AR3188">
        <v>-768</v>
      </c>
      <c r="AZ3188">
        <v>3614</v>
      </c>
      <c r="BA3188">
        <v>1</v>
      </c>
      <c r="BB3188" t="str">
        <f t="shared" si="149"/>
        <v xml:space="preserve">N959MJ  </v>
      </c>
      <c r="BC3188">
        <v>1</v>
      </c>
      <c r="BE3188">
        <v>0</v>
      </c>
      <c r="BF3188">
        <v>0</v>
      </c>
      <c r="BG3188">
        <v>0</v>
      </c>
      <c r="BH3188">
        <v>3675</v>
      </c>
      <c r="BI3188">
        <v>175</v>
      </c>
      <c r="BJ3188">
        <v>1</v>
      </c>
      <c r="BK3188">
        <v>1</v>
      </c>
      <c r="BL3188">
        <v>1</v>
      </c>
      <c r="BM3188">
        <v>0</v>
      </c>
      <c r="BP3188">
        <v>0</v>
      </c>
      <c r="BQ3188">
        <v>0</v>
      </c>
      <c r="BX3188" t="str">
        <f>"14:43:27.766"</f>
        <v>14:43:27.766</v>
      </c>
      <c r="BY3188" t="str">
        <f>"762337738"</f>
        <v>762337738</v>
      </c>
      <c r="CL3188">
        <v>0</v>
      </c>
      <c r="CM3188">
        <v>2</v>
      </c>
      <c r="CN3188">
        <v>0</v>
      </c>
      <c r="CO3188">
        <v>2</v>
      </c>
      <c r="CP3188">
        <v>0</v>
      </c>
      <c r="CQ3188">
        <v>7</v>
      </c>
      <c r="CR3188" t="s">
        <v>116</v>
      </c>
      <c r="CS3188">
        <v>38</v>
      </c>
      <c r="CT3188">
        <v>3</v>
      </c>
      <c r="CU3188" t="s">
        <v>4719</v>
      </c>
      <c r="CV3188" t="s">
        <v>4720</v>
      </c>
      <c r="CY3188">
        <v>10908946</v>
      </c>
      <c r="CZ3188" t="s">
        <v>119</v>
      </c>
    </row>
    <row r="3189" spans="1:104" x14ac:dyDescent="0.25">
      <c r="A3189" t="str">
        <f>"14:43:28.969"</f>
        <v>14:43:28.969</v>
      </c>
      <c r="B3189" t="s">
        <v>108</v>
      </c>
      <c r="C3189" t="str">
        <f t="shared" si="148"/>
        <v>ffdfd3c0</v>
      </c>
      <c r="D3189" t="s">
        <v>109</v>
      </c>
      <c r="E3189">
        <v>4</v>
      </c>
      <c r="F3189">
        <v>1004</v>
      </c>
      <c r="G3189" t="s">
        <v>110</v>
      </c>
      <c r="J3189" t="s">
        <v>111</v>
      </c>
      <c r="K3189">
        <v>0</v>
      </c>
      <c r="L3189">
        <v>3</v>
      </c>
      <c r="M3189">
        <v>0</v>
      </c>
      <c r="N3189">
        <v>2</v>
      </c>
      <c r="O3189">
        <v>1</v>
      </c>
      <c r="P3189">
        <v>0</v>
      </c>
      <c r="Q3189">
        <v>0</v>
      </c>
      <c r="R3189" t="s">
        <v>112</v>
      </c>
      <c r="S3189" t="str">
        <f>"14:43:28.789"</f>
        <v>14:43:28.789</v>
      </c>
      <c r="T3189" t="str">
        <f>"14:43:28.391"</f>
        <v>14:43:28.391</v>
      </c>
      <c r="U3189" t="str">
        <f t="shared" si="147"/>
        <v>ad5732</v>
      </c>
      <c r="V3189">
        <v>0</v>
      </c>
      <c r="W3189">
        <v>0</v>
      </c>
      <c r="X3189">
        <v>1</v>
      </c>
      <c r="Z3189">
        <v>0</v>
      </c>
      <c r="AA3189">
        <v>9</v>
      </c>
      <c r="AB3189">
        <v>3</v>
      </c>
      <c r="AC3189">
        <v>0</v>
      </c>
      <c r="AD3189">
        <v>10</v>
      </c>
      <c r="AE3189">
        <v>0</v>
      </c>
      <c r="AF3189">
        <v>3</v>
      </c>
      <c r="AG3189">
        <v>2</v>
      </c>
      <c r="AH3189">
        <v>0</v>
      </c>
      <c r="AI3189" t="s">
        <v>6486</v>
      </c>
      <c r="AJ3189">
        <v>40.396042000000001</v>
      </c>
      <c r="AK3189" t="s">
        <v>6487</v>
      </c>
      <c r="AL3189">
        <v>-74.864143999999996</v>
      </c>
      <c r="AM3189">
        <v>100</v>
      </c>
      <c r="AN3189">
        <v>3500</v>
      </c>
      <c r="AO3189" t="s">
        <v>115</v>
      </c>
      <c r="AP3189">
        <v>174</v>
      </c>
      <c r="AQ3189">
        <v>-16</v>
      </c>
      <c r="AR3189">
        <v>-832</v>
      </c>
      <c r="AZ3189">
        <v>3614</v>
      </c>
      <c r="BA3189">
        <v>1</v>
      </c>
      <c r="BB3189" t="str">
        <f t="shared" si="149"/>
        <v xml:space="preserve">N959MJ  </v>
      </c>
      <c r="BC3189">
        <v>1</v>
      </c>
      <c r="BE3189">
        <v>0</v>
      </c>
      <c r="BF3189">
        <v>0</v>
      </c>
      <c r="BG3189">
        <v>0</v>
      </c>
      <c r="BH3189">
        <v>3650</v>
      </c>
      <c r="BI3189">
        <v>150</v>
      </c>
      <c r="BJ3189">
        <v>1</v>
      </c>
      <c r="BK3189">
        <v>1</v>
      </c>
      <c r="BL3189">
        <v>1</v>
      </c>
      <c r="BM3189">
        <v>0</v>
      </c>
      <c r="BP3189">
        <v>0</v>
      </c>
      <c r="BQ3189">
        <v>0</v>
      </c>
      <c r="BX3189" t="str">
        <f>"14:43:28.797"</f>
        <v>14:43:28.797</v>
      </c>
      <c r="BY3189" t="str">
        <f>"796186111"</f>
        <v>796186111</v>
      </c>
      <c r="CL3189">
        <v>0</v>
      </c>
      <c r="CM3189">
        <v>2</v>
      </c>
      <c r="CN3189">
        <v>0</v>
      </c>
      <c r="CO3189">
        <v>2</v>
      </c>
      <c r="CP3189">
        <v>0</v>
      </c>
      <c r="CQ3189">
        <v>7</v>
      </c>
      <c r="CR3189" t="s">
        <v>116</v>
      </c>
      <c r="CS3189">
        <v>38</v>
      </c>
      <c r="CT3189">
        <v>3</v>
      </c>
      <c r="CU3189" t="s">
        <v>4719</v>
      </c>
      <c r="CV3189" t="s">
        <v>4720</v>
      </c>
      <c r="CY3189">
        <v>10910698</v>
      </c>
      <c r="CZ3189" t="s">
        <v>119</v>
      </c>
    </row>
    <row r="3190" spans="1:104" x14ac:dyDescent="0.25">
      <c r="A3190" t="str">
        <f>"14:43:29.875"</f>
        <v>14:43:29.875</v>
      </c>
      <c r="B3190" t="s">
        <v>108</v>
      </c>
      <c r="C3190" t="str">
        <f t="shared" si="148"/>
        <v>ffdfd3c0</v>
      </c>
      <c r="D3190" t="s">
        <v>109</v>
      </c>
      <c r="E3190">
        <v>4</v>
      </c>
      <c r="F3190">
        <v>1004</v>
      </c>
      <c r="G3190" t="s">
        <v>110</v>
      </c>
      <c r="J3190" t="s">
        <v>111</v>
      </c>
      <c r="K3190">
        <v>0</v>
      </c>
      <c r="L3190">
        <v>3</v>
      </c>
      <c r="M3190">
        <v>0</v>
      </c>
      <c r="N3190">
        <v>2</v>
      </c>
      <c r="O3190">
        <v>1</v>
      </c>
      <c r="P3190">
        <v>0</v>
      </c>
      <c r="Q3190">
        <v>0</v>
      </c>
      <c r="R3190" t="s">
        <v>112</v>
      </c>
      <c r="S3190" t="str">
        <f>"14:43:29.688"</f>
        <v>14:43:29.688</v>
      </c>
      <c r="T3190" t="str">
        <f>"14:43:29.289"</f>
        <v>14:43:29.289</v>
      </c>
      <c r="U3190" t="str">
        <f t="shared" si="147"/>
        <v>ad5732</v>
      </c>
      <c r="V3190">
        <v>0</v>
      </c>
      <c r="W3190">
        <v>0</v>
      </c>
      <c r="X3190">
        <v>1</v>
      </c>
      <c r="Z3190">
        <v>0</v>
      </c>
      <c r="AA3190">
        <v>9</v>
      </c>
      <c r="AB3190">
        <v>3</v>
      </c>
      <c r="AC3190">
        <v>0</v>
      </c>
      <c r="AD3190">
        <v>10</v>
      </c>
      <c r="AE3190">
        <v>0</v>
      </c>
      <c r="AF3190">
        <v>3</v>
      </c>
      <c r="AG3190">
        <v>2</v>
      </c>
      <c r="AH3190">
        <v>0</v>
      </c>
      <c r="AI3190" t="s">
        <v>6488</v>
      </c>
      <c r="AJ3190">
        <v>40.395977000000002</v>
      </c>
      <c r="AK3190" t="s">
        <v>6489</v>
      </c>
      <c r="AL3190">
        <v>-74.863221999999993</v>
      </c>
      <c r="AM3190">
        <v>100</v>
      </c>
      <c r="AN3190">
        <v>3400</v>
      </c>
      <c r="AO3190" t="s">
        <v>115</v>
      </c>
      <c r="AP3190">
        <v>175</v>
      </c>
      <c r="AQ3190">
        <v>-16</v>
      </c>
      <c r="AR3190">
        <v>-832</v>
      </c>
      <c r="AZ3190">
        <v>3614</v>
      </c>
      <c r="BA3190">
        <v>1</v>
      </c>
      <c r="BB3190" t="str">
        <f t="shared" si="149"/>
        <v xml:space="preserve">N959MJ  </v>
      </c>
      <c r="BC3190">
        <v>1</v>
      </c>
      <c r="BE3190">
        <v>0</v>
      </c>
      <c r="BF3190">
        <v>0</v>
      </c>
      <c r="BG3190">
        <v>0</v>
      </c>
      <c r="BH3190">
        <v>3625</v>
      </c>
      <c r="BI3190">
        <v>225</v>
      </c>
      <c r="BJ3190">
        <v>1</v>
      </c>
      <c r="BK3190">
        <v>1</v>
      </c>
      <c r="BL3190">
        <v>1</v>
      </c>
      <c r="BM3190">
        <v>0</v>
      </c>
      <c r="BP3190">
        <v>0</v>
      </c>
      <c r="BQ3190">
        <v>0</v>
      </c>
      <c r="BX3190" t="str">
        <f>"14:43:29.688"</f>
        <v>14:43:29.688</v>
      </c>
      <c r="BY3190" t="str">
        <f>"689129635"</f>
        <v>689129635</v>
      </c>
      <c r="CL3190">
        <v>0</v>
      </c>
      <c r="CM3190">
        <v>2</v>
      </c>
      <c r="CN3190">
        <v>0</v>
      </c>
      <c r="CO3190">
        <v>2</v>
      </c>
      <c r="CP3190">
        <v>0</v>
      </c>
      <c r="CQ3190">
        <v>7</v>
      </c>
      <c r="CR3190" t="s">
        <v>116</v>
      </c>
      <c r="CS3190">
        <v>38</v>
      </c>
      <c r="CT3190">
        <v>3</v>
      </c>
      <c r="CU3190" t="s">
        <v>4719</v>
      </c>
      <c r="CV3190" t="s">
        <v>4720</v>
      </c>
      <c r="CY3190">
        <v>10912306</v>
      </c>
      <c r="CZ3190" t="s">
        <v>119</v>
      </c>
    </row>
    <row r="3191" spans="1:104" x14ac:dyDescent="0.25">
      <c r="A3191" t="str">
        <f>"14:43:30.891"</f>
        <v>14:43:30.891</v>
      </c>
      <c r="B3191" t="s">
        <v>108</v>
      </c>
      <c r="C3191" t="str">
        <f t="shared" si="148"/>
        <v>ffdfd3c0</v>
      </c>
      <c r="D3191" t="s">
        <v>109</v>
      </c>
      <c r="E3191">
        <v>4</v>
      </c>
      <c r="F3191">
        <v>1004</v>
      </c>
      <c r="G3191" t="s">
        <v>110</v>
      </c>
      <c r="J3191" t="s">
        <v>111</v>
      </c>
      <c r="K3191">
        <v>0</v>
      </c>
      <c r="L3191">
        <v>3</v>
      </c>
      <c r="M3191">
        <v>0</v>
      </c>
      <c r="N3191">
        <v>2</v>
      </c>
      <c r="O3191">
        <v>1</v>
      </c>
      <c r="P3191">
        <v>0</v>
      </c>
      <c r="Q3191">
        <v>0</v>
      </c>
      <c r="R3191" t="s">
        <v>112</v>
      </c>
      <c r="S3191" t="str">
        <f>"14:43:30.688"</f>
        <v>14:43:30.688</v>
      </c>
      <c r="T3191" t="str">
        <f>"14:43:30.188"</f>
        <v>14:43:30.188</v>
      </c>
      <c r="U3191" t="str">
        <f t="shared" si="147"/>
        <v>ad5732</v>
      </c>
      <c r="V3191">
        <v>0</v>
      </c>
      <c r="W3191">
        <v>0</v>
      </c>
      <c r="X3191">
        <v>1</v>
      </c>
      <c r="Z3191">
        <v>0</v>
      </c>
      <c r="AA3191">
        <v>9</v>
      </c>
      <c r="AB3191">
        <v>3</v>
      </c>
      <c r="AC3191">
        <v>0</v>
      </c>
      <c r="AD3191">
        <v>10</v>
      </c>
      <c r="AE3191">
        <v>0</v>
      </c>
      <c r="AF3191">
        <v>3</v>
      </c>
      <c r="AG3191">
        <v>2</v>
      </c>
      <c r="AH3191">
        <v>0</v>
      </c>
      <c r="AI3191" t="s">
        <v>6490</v>
      </c>
      <c r="AJ3191">
        <v>40.395892000000003</v>
      </c>
      <c r="AK3191" t="s">
        <v>6491</v>
      </c>
      <c r="AL3191">
        <v>-74.862149000000002</v>
      </c>
      <c r="AM3191">
        <v>100</v>
      </c>
      <c r="AN3191">
        <v>3400</v>
      </c>
      <c r="AO3191" t="s">
        <v>115</v>
      </c>
      <c r="AP3191">
        <v>175</v>
      </c>
      <c r="AQ3191">
        <v>-16</v>
      </c>
      <c r="AR3191">
        <v>-832</v>
      </c>
      <c r="AZ3191">
        <v>3614</v>
      </c>
      <c r="BA3191">
        <v>1</v>
      </c>
      <c r="BB3191" t="str">
        <f t="shared" si="149"/>
        <v xml:space="preserve">N959MJ  </v>
      </c>
      <c r="BC3191">
        <v>1</v>
      </c>
      <c r="BE3191">
        <v>0</v>
      </c>
      <c r="BF3191">
        <v>0</v>
      </c>
      <c r="BG3191">
        <v>0</v>
      </c>
      <c r="BH3191">
        <v>3625</v>
      </c>
      <c r="BI3191">
        <v>225</v>
      </c>
      <c r="BJ3191">
        <v>1</v>
      </c>
      <c r="BK3191">
        <v>1</v>
      </c>
      <c r="BL3191">
        <v>1</v>
      </c>
      <c r="BM3191">
        <v>0</v>
      </c>
      <c r="BP3191">
        <v>0</v>
      </c>
      <c r="BQ3191">
        <v>0</v>
      </c>
      <c r="BX3191" t="str">
        <f>"14:43:30.695"</f>
        <v>14:43:30.695</v>
      </c>
      <c r="BY3191" t="str">
        <f>"695124746"</f>
        <v>695124746</v>
      </c>
      <c r="CL3191">
        <v>0</v>
      </c>
      <c r="CM3191">
        <v>2</v>
      </c>
      <c r="CN3191">
        <v>0</v>
      </c>
      <c r="CO3191">
        <v>2</v>
      </c>
      <c r="CP3191">
        <v>0</v>
      </c>
      <c r="CQ3191">
        <v>7</v>
      </c>
      <c r="CR3191" t="s">
        <v>116</v>
      </c>
      <c r="CS3191">
        <v>38</v>
      </c>
      <c r="CT3191">
        <v>0</v>
      </c>
      <c r="CU3191" t="s">
        <v>4719</v>
      </c>
      <c r="CV3191" t="s">
        <v>4720</v>
      </c>
      <c r="CY3191">
        <v>7492570</v>
      </c>
      <c r="CZ3191" t="s">
        <v>119</v>
      </c>
    </row>
    <row r="3192" spans="1:104" x14ac:dyDescent="0.25">
      <c r="A3192" t="str">
        <f>"14:43:31.797"</f>
        <v>14:43:31.797</v>
      </c>
      <c r="B3192" t="s">
        <v>108</v>
      </c>
      <c r="C3192" t="str">
        <f t="shared" si="148"/>
        <v>ffdfd3c0</v>
      </c>
      <c r="D3192" t="s">
        <v>109</v>
      </c>
      <c r="E3192">
        <v>4</v>
      </c>
      <c r="F3192">
        <v>1004</v>
      </c>
      <c r="G3192" t="s">
        <v>110</v>
      </c>
      <c r="J3192" t="s">
        <v>111</v>
      </c>
      <c r="K3192">
        <v>0</v>
      </c>
      <c r="L3192">
        <v>3</v>
      </c>
      <c r="M3192">
        <v>0</v>
      </c>
      <c r="N3192">
        <v>2</v>
      </c>
      <c r="O3192">
        <v>1</v>
      </c>
      <c r="P3192">
        <v>0</v>
      </c>
      <c r="Q3192">
        <v>0</v>
      </c>
      <c r="R3192" t="s">
        <v>112</v>
      </c>
      <c r="S3192" t="str">
        <f>"14:43:31.617"</f>
        <v>14:43:31.617</v>
      </c>
      <c r="T3192" t="str">
        <f>"14:43:31.219"</f>
        <v>14:43:31.219</v>
      </c>
      <c r="U3192" t="str">
        <f t="shared" si="147"/>
        <v>ad5732</v>
      </c>
      <c r="V3192">
        <v>0</v>
      </c>
      <c r="W3192">
        <v>0</v>
      </c>
      <c r="X3192">
        <v>1</v>
      </c>
      <c r="Z3192">
        <v>0</v>
      </c>
      <c r="AA3192">
        <v>9</v>
      </c>
      <c r="AB3192">
        <v>3</v>
      </c>
      <c r="AC3192">
        <v>0</v>
      </c>
      <c r="AD3192">
        <v>10</v>
      </c>
      <c r="AE3192">
        <v>0</v>
      </c>
      <c r="AF3192">
        <v>3</v>
      </c>
      <c r="AG3192">
        <v>2</v>
      </c>
      <c r="AH3192">
        <v>0</v>
      </c>
      <c r="AI3192" t="s">
        <v>6492</v>
      </c>
      <c r="AJ3192">
        <v>40.395848999999998</v>
      </c>
      <c r="AK3192" t="s">
        <v>6493</v>
      </c>
      <c r="AL3192">
        <v>-74.861097000000001</v>
      </c>
      <c r="AM3192">
        <v>100</v>
      </c>
      <c r="AN3192">
        <v>3400</v>
      </c>
      <c r="AO3192" t="s">
        <v>115</v>
      </c>
      <c r="AP3192">
        <v>176</v>
      </c>
      <c r="AQ3192">
        <v>-17</v>
      </c>
      <c r="AR3192">
        <v>-832</v>
      </c>
      <c r="AZ3192">
        <v>3614</v>
      </c>
      <c r="BA3192">
        <v>1</v>
      </c>
      <c r="BB3192" t="str">
        <f t="shared" si="149"/>
        <v xml:space="preserve">N959MJ  </v>
      </c>
      <c r="BC3192">
        <v>1</v>
      </c>
      <c r="BE3192">
        <v>0</v>
      </c>
      <c r="BF3192">
        <v>0</v>
      </c>
      <c r="BG3192">
        <v>0</v>
      </c>
      <c r="BH3192">
        <v>3600</v>
      </c>
      <c r="BI3192">
        <v>200</v>
      </c>
      <c r="BJ3192">
        <v>1</v>
      </c>
      <c r="BK3192">
        <v>1</v>
      </c>
      <c r="BL3192">
        <v>1</v>
      </c>
      <c r="BM3192">
        <v>0</v>
      </c>
      <c r="BP3192">
        <v>0</v>
      </c>
      <c r="BQ3192">
        <v>0</v>
      </c>
      <c r="BX3192" t="str">
        <f>"14:43:31.625"</f>
        <v>14:43:31.625</v>
      </c>
      <c r="BY3192" t="str">
        <f>"624113678"</f>
        <v>624113678</v>
      </c>
      <c r="CL3192">
        <v>0</v>
      </c>
      <c r="CM3192">
        <v>2</v>
      </c>
      <c r="CN3192">
        <v>0</v>
      </c>
      <c r="CO3192">
        <v>2</v>
      </c>
      <c r="CP3192">
        <v>0</v>
      </c>
      <c r="CQ3192">
        <v>7</v>
      </c>
      <c r="CR3192" t="s">
        <v>116</v>
      </c>
      <c r="CS3192">
        <v>38</v>
      </c>
      <c r="CT3192">
        <v>0</v>
      </c>
      <c r="CU3192" t="s">
        <v>4719</v>
      </c>
      <c r="CV3192" t="s">
        <v>4720</v>
      </c>
      <c r="CY3192">
        <v>7494066</v>
      </c>
      <c r="CZ3192" t="s">
        <v>119</v>
      </c>
    </row>
    <row r="3193" spans="1:104" x14ac:dyDescent="0.25">
      <c r="A3193" t="str">
        <f>"14:43:32.906"</f>
        <v>14:43:32.906</v>
      </c>
      <c r="B3193" t="s">
        <v>108</v>
      </c>
      <c r="C3193" t="str">
        <f t="shared" si="148"/>
        <v>ffdfd3c0</v>
      </c>
      <c r="D3193" t="s">
        <v>109</v>
      </c>
      <c r="E3193">
        <v>4</v>
      </c>
      <c r="F3193">
        <v>1004</v>
      </c>
      <c r="G3193" t="s">
        <v>110</v>
      </c>
      <c r="J3193" t="s">
        <v>111</v>
      </c>
      <c r="K3193">
        <v>0</v>
      </c>
      <c r="L3193">
        <v>3</v>
      </c>
      <c r="M3193">
        <v>0</v>
      </c>
      <c r="N3193">
        <v>2</v>
      </c>
      <c r="O3193">
        <v>1</v>
      </c>
      <c r="P3193">
        <v>0</v>
      </c>
      <c r="Q3193">
        <v>0</v>
      </c>
      <c r="R3193" t="s">
        <v>112</v>
      </c>
      <c r="S3193" t="str">
        <f>"14:43:32.672"</f>
        <v>14:43:32.672</v>
      </c>
      <c r="T3193" t="str">
        <f>"14:43:32.172"</f>
        <v>14:43:32.172</v>
      </c>
      <c r="U3193" t="str">
        <f t="shared" si="147"/>
        <v>ad5732</v>
      </c>
      <c r="V3193">
        <v>0</v>
      </c>
      <c r="W3193">
        <v>0</v>
      </c>
      <c r="X3193">
        <v>1</v>
      </c>
      <c r="Z3193">
        <v>0</v>
      </c>
      <c r="AA3193">
        <v>9</v>
      </c>
      <c r="AB3193">
        <v>3</v>
      </c>
      <c r="AC3193">
        <v>0</v>
      </c>
      <c r="AD3193">
        <v>10</v>
      </c>
      <c r="AE3193">
        <v>0</v>
      </c>
      <c r="AF3193">
        <v>3</v>
      </c>
      <c r="AG3193">
        <v>2</v>
      </c>
      <c r="AH3193">
        <v>0</v>
      </c>
      <c r="AI3193" t="s">
        <v>6494</v>
      </c>
      <c r="AJ3193">
        <v>40.395741000000001</v>
      </c>
      <c r="AK3193" t="s">
        <v>6495</v>
      </c>
      <c r="AL3193">
        <v>-74.859960000000001</v>
      </c>
      <c r="AM3193">
        <v>100</v>
      </c>
      <c r="AN3193">
        <v>3400</v>
      </c>
      <c r="AO3193" t="s">
        <v>115</v>
      </c>
      <c r="AP3193">
        <v>176</v>
      </c>
      <c r="AQ3193">
        <v>-17</v>
      </c>
      <c r="AR3193">
        <v>-896</v>
      </c>
      <c r="AZ3193">
        <v>3614</v>
      </c>
      <c r="BA3193">
        <v>1</v>
      </c>
      <c r="BB3193" t="str">
        <f t="shared" si="149"/>
        <v xml:space="preserve">N959MJ  </v>
      </c>
      <c r="BC3193">
        <v>1</v>
      </c>
      <c r="BE3193">
        <v>0</v>
      </c>
      <c r="BF3193">
        <v>0</v>
      </c>
      <c r="BG3193">
        <v>0</v>
      </c>
      <c r="BH3193">
        <v>3600</v>
      </c>
      <c r="BI3193">
        <v>200</v>
      </c>
      <c r="BJ3193">
        <v>1</v>
      </c>
      <c r="BK3193">
        <v>1</v>
      </c>
      <c r="BL3193">
        <v>1</v>
      </c>
      <c r="BM3193">
        <v>0</v>
      </c>
      <c r="BP3193">
        <v>0</v>
      </c>
      <c r="BQ3193">
        <v>0</v>
      </c>
      <c r="BX3193" t="str">
        <f>"14:43:32.680"</f>
        <v>14:43:32.680</v>
      </c>
      <c r="BY3193" t="str">
        <f>"675984773"</f>
        <v>675984773</v>
      </c>
      <c r="CL3193">
        <v>0</v>
      </c>
      <c r="CM3193">
        <v>2</v>
      </c>
      <c r="CN3193">
        <v>0</v>
      </c>
      <c r="CO3193">
        <v>2</v>
      </c>
      <c r="CP3193">
        <v>0</v>
      </c>
      <c r="CQ3193">
        <v>7</v>
      </c>
      <c r="CR3193" t="s">
        <v>116</v>
      </c>
      <c r="CS3193">
        <v>38</v>
      </c>
      <c r="CT3193">
        <v>0</v>
      </c>
      <c r="CU3193" t="s">
        <v>4719</v>
      </c>
      <c r="CV3193" t="s">
        <v>4720</v>
      </c>
      <c r="CY3193">
        <v>7495725</v>
      </c>
      <c r="CZ3193" t="s">
        <v>119</v>
      </c>
    </row>
    <row r="3194" spans="1:104" x14ac:dyDescent="0.25">
      <c r="A3194" t="str">
        <f>"14:43:33.867"</f>
        <v>14:43:33.867</v>
      </c>
      <c r="B3194" t="s">
        <v>108</v>
      </c>
      <c r="C3194" t="str">
        <f t="shared" si="148"/>
        <v>ffdfd3c0</v>
      </c>
      <c r="D3194" t="s">
        <v>109</v>
      </c>
      <c r="E3194">
        <v>4</v>
      </c>
      <c r="F3194">
        <v>1004</v>
      </c>
      <c r="G3194" t="s">
        <v>110</v>
      </c>
      <c r="J3194" t="s">
        <v>111</v>
      </c>
      <c r="K3194">
        <v>0</v>
      </c>
      <c r="L3194">
        <v>3</v>
      </c>
      <c r="M3194">
        <v>0</v>
      </c>
      <c r="N3194">
        <v>2</v>
      </c>
      <c r="O3194">
        <v>1</v>
      </c>
      <c r="P3194">
        <v>0</v>
      </c>
      <c r="Q3194">
        <v>0</v>
      </c>
      <c r="R3194" t="s">
        <v>112</v>
      </c>
      <c r="S3194" t="str">
        <f>"14:43:33.672"</f>
        <v>14:43:33.672</v>
      </c>
      <c r="T3194" t="str">
        <f>"14:43:33.172"</f>
        <v>14:43:33.172</v>
      </c>
      <c r="U3194" t="str">
        <f t="shared" si="147"/>
        <v>ad5732</v>
      </c>
      <c r="V3194">
        <v>0</v>
      </c>
      <c r="W3194">
        <v>0</v>
      </c>
      <c r="X3194">
        <v>1</v>
      </c>
      <c r="Z3194">
        <v>0</v>
      </c>
      <c r="AA3194">
        <v>9</v>
      </c>
      <c r="AB3194">
        <v>3</v>
      </c>
      <c r="AC3194">
        <v>0</v>
      </c>
      <c r="AD3194">
        <v>10</v>
      </c>
      <c r="AE3194">
        <v>0</v>
      </c>
      <c r="AF3194">
        <v>3</v>
      </c>
      <c r="AG3194">
        <v>2</v>
      </c>
      <c r="AH3194">
        <v>0</v>
      </c>
      <c r="AI3194" t="s">
        <v>6496</v>
      </c>
      <c r="AJ3194">
        <v>40.395656000000002</v>
      </c>
      <c r="AK3194" t="s">
        <v>6497</v>
      </c>
      <c r="AL3194">
        <v>-74.858908999999997</v>
      </c>
      <c r="AM3194">
        <v>100</v>
      </c>
      <c r="AN3194">
        <v>3400</v>
      </c>
      <c r="AO3194" t="s">
        <v>115</v>
      </c>
      <c r="AP3194">
        <v>177</v>
      </c>
      <c r="AQ3194">
        <v>-18</v>
      </c>
      <c r="AR3194">
        <v>-960</v>
      </c>
      <c r="AZ3194">
        <v>3614</v>
      </c>
      <c r="BA3194">
        <v>1</v>
      </c>
      <c r="BB3194" t="str">
        <f t="shared" si="149"/>
        <v xml:space="preserve">N959MJ  </v>
      </c>
      <c r="BC3194">
        <v>1</v>
      </c>
      <c r="BE3194">
        <v>0</v>
      </c>
      <c r="BF3194">
        <v>0</v>
      </c>
      <c r="BG3194">
        <v>0</v>
      </c>
      <c r="BH3194">
        <v>3575</v>
      </c>
      <c r="BI3194">
        <v>175</v>
      </c>
      <c r="BJ3194">
        <v>1</v>
      </c>
      <c r="BK3194">
        <v>1</v>
      </c>
      <c r="BL3194">
        <v>1</v>
      </c>
      <c r="BM3194">
        <v>0</v>
      </c>
      <c r="BP3194">
        <v>0</v>
      </c>
      <c r="BQ3194">
        <v>0</v>
      </c>
      <c r="BX3194" t="str">
        <f>"14:43:33.672"</f>
        <v>14:43:33.672</v>
      </c>
      <c r="BY3194" t="str">
        <f>"673787731"</f>
        <v>673787731</v>
      </c>
      <c r="CL3194">
        <v>0</v>
      </c>
      <c r="CM3194">
        <v>2</v>
      </c>
      <c r="CN3194">
        <v>0</v>
      </c>
      <c r="CO3194">
        <v>2</v>
      </c>
      <c r="CP3194">
        <v>0</v>
      </c>
      <c r="CQ3194">
        <v>7</v>
      </c>
      <c r="CR3194" t="s">
        <v>116</v>
      </c>
      <c r="CS3194">
        <v>38</v>
      </c>
      <c r="CT3194">
        <v>3</v>
      </c>
      <c r="CU3194" t="s">
        <v>4719</v>
      </c>
      <c r="CV3194" t="s">
        <v>4720</v>
      </c>
      <c r="CY3194">
        <v>10919303</v>
      </c>
      <c r="CZ3194" t="s">
        <v>119</v>
      </c>
    </row>
    <row r="3195" spans="1:104" x14ac:dyDescent="0.25">
      <c r="A3195" t="str">
        <f>"14:43:34.727"</f>
        <v>14:43:34.727</v>
      </c>
      <c r="B3195" t="s">
        <v>108</v>
      </c>
      <c r="C3195" t="str">
        <f t="shared" si="148"/>
        <v>ffdfd3c0</v>
      </c>
      <c r="D3195" t="s">
        <v>109</v>
      </c>
      <c r="E3195">
        <v>4</v>
      </c>
      <c r="F3195">
        <v>1004</v>
      </c>
      <c r="G3195" t="s">
        <v>110</v>
      </c>
      <c r="J3195" t="s">
        <v>111</v>
      </c>
      <c r="K3195">
        <v>0</v>
      </c>
      <c r="L3195">
        <v>3</v>
      </c>
      <c r="M3195">
        <v>0</v>
      </c>
      <c r="N3195">
        <v>2</v>
      </c>
      <c r="O3195">
        <v>1</v>
      </c>
      <c r="P3195">
        <v>0</v>
      </c>
      <c r="Q3195">
        <v>0</v>
      </c>
      <c r="R3195" t="s">
        <v>112</v>
      </c>
      <c r="S3195" t="str">
        <f>"14:43:34.555"</f>
        <v>14:43:34.555</v>
      </c>
      <c r="T3195" t="str">
        <f>"14:43:34.156"</f>
        <v>14:43:34.156</v>
      </c>
      <c r="U3195" t="str">
        <f t="shared" si="147"/>
        <v>ad5732</v>
      </c>
      <c r="V3195">
        <v>0</v>
      </c>
      <c r="W3195">
        <v>0</v>
      </c>
      <c r="X3195">
        <v>1</v>
      </c>
      <c r="Z3195">
        <v>0</v>
      </c>
      <c r="AA3195">
        <v>9</v>
      </c>
      <c r="AB3195">
        <v>3</v>
      </c>
      <c r="AC3195">
        <v>0</v>
      </c>
      <c r="AD3195">
        <v>10</v>
      </c>
      <c r="AE3195">
        <v>0</v>
      </c>
      <c r="AF3195">
        <v>3</v>
      </c>
      <c r="AG3195">
        <v>2</v>
      </c>
      <c r="AH3195">
        <v>0</v>
      </c>
      <c r="AI3195" t="s">
        <v>6498</v>
      </c>
      <c r="AJ3195">
        <v>40.395591000000003</v>
      </c>
      <c r="AK3195" t="s">
        <v>6499</v>
      </c>
      <c r="AL3195">
        <v>-74.857964999999993</v>
      </c>
      <c r="AM3195">
        <v>100</v>
      </c>
      <c r="AN3195">
        <v>3300</v>
      </c>
      <c r="AO3195" t="s">
        <v>115</v>
      </c>
      <c r="AP3195">
        <v>177</v>
      </c>
      <c r="AQ3195">
        <v>-18</v>
      </c>
      <c r="AR3195">
        <v>-960</v>
      </c>
      <c r="AZ3195">
        <v>3614</v>
      </c>
      <c r="BA3195">
        <v>1</v>
      </c>
      <c r="BB3195" t="str">
        <f t="shared" si="149"/>
        <v xml:space="preserve">N959MJ  </v>
      </c>
      <c r="BC3195">
        <v>1</v>
      </c>
      <c r="BE3195">
        <v>0</v>
      </c>
      <c r="BF3195">
        <v>0</v>
      </c>
      <c r="BG3195">
        <v>0</v>
      </c>
      <c r="BH3195">
        <v>3575</v>
      </c>
      <c r="BI3195">
        <v>275</v>
      </c>
      <c r="BJ3195">
        <v>1</v>
      </c>
      <c r="BK3195">
        <v>1</v>
      </c>
      <c r="BL3195">
        <v>1</v>
      </c>
      <c r="BM3195">
        <v>0</v>
      </c>
      <c r="BP3195">
        <v>0</v>
      </c>
      <c r="BQ3195">
        <v>0</v>
      </c>
      <c r="BX3195" t="str">
        <f>"14:43:34.563"</f>
        <v>14:43:34.563</v>
      </c>
      <c r="BY3195" t="str">
        <f>"561816201"</f>
        <v>561816201</v>
      </c>
      <c r="CL3195">
        <v>0</v>
      </c>
      <c r="CM3195">
        <v>2</v>
      </c>
      <c r="CN3195">
        <v>0</v>
      </c>
      <c r="CO3195">
        <v>2</v>
      </c>
      <c r="CP3195">
        <v>0</v>
      </c>
      <c r="CQ3195">
        <v>7</v>
      </c>
      <c r="CR3195" t="s">
        <v>116</v>
      </c>
      <c r="CS3195">
        <v>38</v>
      </c>
      <c r="CT3195">
        <v>0</v>
      </c>
      <c r="CU3195" t="s">
        <v>4719</v>
      </c>
      <c r="CV3195" t="s">
        <v>4720</v>
      </c>
      <c r="CY3195">
        <v>7498663</v>
      </c>
      <c r="CZ3195" t="s">
        <v>119</v>
      </c>
    </row>
    <row r="3196" spans="1:104" x14ac:dyDescent="0.25">
      <c r="A3196" t="str">
        <f>"14:43:35.836"</f>
        <v>14:43:35.836</v>
      </c>
      <c r="B3196" t="s">
        <v>108</v>
      </c>
      <c r="C3196" t="str">
        <f t="shared" si="148"/>
        <v>ffdfd3c0</v>
      </c>
      <c r="D3196" t="s">
        <v>109</v>
      </c>
      <c r="E3196">
        <v>4</v>
      </c>
      <c r="F3196">
        <v>1004</v>
      </c>
      <c r="G3196" t="s">
        <v>110</v>
      </c>
      <c r="J3196" t="s">
        <v>111</v>
      </c>
      <c r="K3196">
        <v>0</v>
      </c>
      <c r="L3196">
        <v>3</v>
      </c>
      <c r="M3196">
        <v>0</v>
      </c>
      <c r="N3196">
        <v>2</v>
      </c>
      <c r="O3196">
        <v>1</v>
      </c>
      <c r="P3196">
        <v>0</v>
      </c>
      <c r="Q3196">
        <v>0</v>
      </c>
      <c r="R3196" t="s">
        <v>112</v>
      </c>
      <c r="S3196" t="str">
        <f>"14:43:35.641"</f>
        <v>14:43:35.641</v>
      </c>
      <c r="T3196" t="str">
        <f>"14:43:35.141"</f>
        <v>14:43:35.141</v>
      </c>
      <c r="U3196" t="str">
        <f t="shared" si="147"/>
        <v>ad5732</v>
      </c>
      <c r="V3196">
        <v>0</v>
      </c>
      <c r="W3196">
        <v>0</v>
      </c>
      <c r="X3196">
        <v>1</v>
      </c>
      <c r="Z3196">
        <v>0</v>
      </c>
      <c r="AA3196">
        <v>9</v>
      </c>
      <c r="AB3196">
        <v>3</v>
      </c>
      <c r="AC3196">
        <v>0</v>
      </c>
      <c r="AD3196">
        <v>10</v>
      </c>
      <c r="AE3196">
        <v>0</v>
      </c>
      <c r="AF3196">
        <v>3</v>
      </c>
      <c r="AG3196">
        <v>2</v>
      </c>
      <c r="AH3196">
        <v>0</v>
      </c>
      <c r="AI3196" t="s">
        <v>6500</v>
      </c>
      <c r="AJ3196">
        <v>40.395462999999999</v>
      </c>
      <c r="AK3196" t="s">
        <v>6501</v>
      </c>
      <c r="AL3196">
        <v>-74.856784000000005</v>
      </c>
      <c r="AM3196">
        <v>100</v>
      </c>
      <c r="AN3196">
        <v>3300</v>
      </c>
      <c r="AO3196" t="s">
        <v>115</v>
      </c>
      <c r="AP3196">
        <v>178</v>
      </c>
      <c r="AQ3196">
        <v>-18</v>
      </c>
      <c r="AR3196">
        <v>-960</v>
      </c>
      <c r="AZ3196">
        <v>3614</v>
      </c>
      <c r="BA3196">
        <v>1</v>
      </c>
      <c r="BB3196" t="str">
        <f t="shared" si="149"/>
        <v xml:space="preserve">N959MJ  </v>
      </c>
      <c r="BC3196">
        <v>1</v>
      </c>
      <c r="BE3196">
        <v>0</v>
      </c>
      <c r="BF3196">
        <v>0</v>
      </c>
      <c r="BG3196">
        <v>0</v>
      </c>
      <c r="BH3196">
        <v>3550</v>
      </c>
      <c r="BI3196">
        <v>250</v>
      </c>
      <c r="BJ3196">
        <v>1</v>
      </c>
      <c r="BK3196">
        <v>1</v>
      </c>
      <c r="BL3196">
        <v>1</v>
      </c>
      <c r="BM3196">
        <v>0</v>
      </c>
      <c r="BP3196">
        <v>0</v>
      </c>
      <c r="BQ3196">
        <v>0</v>
      </c>
      <c r="BX3196" t="str">
        <f>"14:43:35.648"</f>
        <v>14:43:35.648</v>
      </c>
      <c r="BY3196" t="str">
        <f>"646455574"</f>
        <v>646455574</v>
      </c>
      <c r="CL3196">
        <v>0</v>
      </c>
      <c r="CM3196">
        <v>2</v>
      </c>
      <c r="CN3196">
        <v>0</v>
      </c>
      <c r="CO3196">
        <v>2</v>
      </c>
      <c r="CP3196">
        <v>0</v>
      </c>
      <c r="CQ3196">
        <v>7</v>
      </c>
      <c r="CR3196" t="s">
        <v>116</v>
      </c>
      <c r="CS3196">
        <v>38</v>
      </c>
      <c r="CT3196">
        <v>3</v>
      </c>
      <c r="CU3196" t="s">
        <v>4719</v>
      </c>
      <c r="CV3196" t="s">
        <v>4720</v>
      </c>
      <c r="CY3196">
        <v>10922893</v>
      </c>
      <c r="CZ3196" t="s">
        <v>119</v>
      </c>
    </row>
    <row r="3197" spans="1:104" x14ac:dyDescent="0.25">
      <c r="A3197" t="str">
        <f>"14:43:36.844"</f>
        <v>14:43:36.844</v>
      </c>
      <c r="B3197" t="s">
        <v>108</v>
      </c>
      <c r="C3197" t="str">
        <f t="shared" si="148"/>
        <v>ffdfd3c0</v>
      </c>
      <c r="D3197" t="s">
        <v>109</v>
      </c>
      <c r="E3197">
        <v>4</v>
      </c>
      <c r="F3197">
        <v>1004</v>
      </c>
      <c r="G3197" t="s">
        <v>110</v>
      </c>
      <c r="J3197" t="s">
        <v>111</v>
      </c>
      <c r="K3197">
        <v>0</v>
      </c>
      <c r="L3197">
        <v>3</v>
      </c>
      <c r="M3197">
        <v>0</v>
      </c>
      <c r="N3197">
        <v>2</v>
      </c>
      <c r="O3197">
        <v>1</v>
      </c>
      <c r="P3197">
        <v>0</v>
      </c>
      <c r="Q3197">
        <v>0</v>
      </c>
      <c r="R3197" t="s">
        <v>112</v>
      </c>
      <c r="S3197" t="str">
        <f>"14:43:36.633"</f>
        <v>14:43:36.633</v>
      </c>
      <c r="T3197" t="str">
        <f>"14:43:36.234"</f>
        <v>14:43:36.234</v>
      </c>
      <c r="U3197" t="str">
        <f t="shared" si="147"/>
        <v>ad5732</v>
      </c>
      <c r="V3197">
        <v>0</v>
      </c>
      <c r="W3197">
        <v>0</v>
      </c>
      <c r="X3197">
        <v>1</v>
      </c>
      <c r="Z3197">
        <v>0</v>
      </c>
      <c r="AA3197">
        <v>9</v>
      </c>
      <c r="AB3197">
        <v>3</v>
      </c>
      <c r="AC3197">
        <v>0</v>
      </c>
      <c r="AD3197">
        <v>10</v>
      </c>
      <c r="AE3197">
        <v>0</v>
      </c>
      <c r="AF3197">
        <v>3</v>
      </c>
      <c r="AG3197">
        <v>2</v>
      </c>
      <c r="AH3197">
        <v>0</v>
      </c>
      <c r="AI3197" t="s">
        <v>6502</v>
      </c>
      <c r="AJ3197">
        <v>40.395377000000003</v>
      </c>
      <c r="AK3197" t="s">
        <v>6503</v>
      </c>
      <c r="AL3197">
        <v>-74.855669000000006</v>
      </c>
      <c r="AM3197">
        <v>100</v>
      </c>
      <c r="AN3197">
        <v>3300</v>
      </c>
      <c r="AO3197" t="s">
        <v>115</v>
      </c>
      <c r="AP3197">
        <v>178</v>
      </c>
      <c r="AQ3197">
        <v>-19</v>
      </c>
      <c r="AR3197">
        <v>-896</v>
      </c>
      <c r="AZ3197">
        <v>3614</v>
      </c>
      <c r="BA3197">
        <v>1</v>
      </c>
      <c r="BB3197" t="str">
        <f t="shared" si="149"/>
        <v xml:space="preserve">N959MJ  </v>
      </c>
      <c r="BC3197">
        <v>1</v>
      </c>
      <c r="BE3197">
        <v>0</v>
      </c>
      <c r="BF3197">
        <v>0</v>
      </c>
      <c r="BG3197">
        <v>0</v>
      </c>
      <c r="BH3197">
        <v>3525</v>
      </c>
      <c r="BI3197">
        <v>225</v>
      </c>
      <c r="BJ3197">
        <v>1</v>
      </c>
      <c r="BK3197">
        <v>1</v>
      </c>
      <c r="BL3197">
        <v>1</v>
      </c>
      <c r="BM3197">
        <v>0</v>
      </c>
      <c r="BP3197">
        <v>0</v>
      </c>
      <c r="BQ3197">
        <v>0</v>
      </c>
      <c r="BX3197" t="str">
        <f>"14:43:36.641"</f>
        <v>14:43:36.641</v>
      </c>
      <c r="BY3197" t="str">
        <f>"637704841"</f>
        <v>637704841</v>
      </c>
      <c r="CL3197">
        <v>0</v>
      </c>
      <c r="CM3197">
        <v>2</v>
      </c>
      <c r="CN3197">
        <v>0</v>
      </c>
      <c r="CO3197">
        <v>2</v>
      </c>
      <c r="CP3197">
        <v>0</v>
      </c>
      <c r="CQ3197">
        <v>7</v>
      </c>
      <c r="CR3197" t="s">
        <v>116</v>
      </c>
      <c r="CS3197">
        <v>38</v>
      </c>
      <c r="CT3197">
        <v>3</v>
      </c>
      <c r="CU3197" t="s">
        <v>4719</v>
      </c>
      <c r="CV3197" t="s">
        <v>4720</v>
      </c>
      <c r="CY3197">
        <v>10924563</v>
      </c>
      <c r="CZ3197" t="s">
        <v>119</v>
      </c>
    </row>
    <row r="3198" spans="1:104" x14ac:dyDescent="0.25">
      <c r="A3198" t="str">
        <f>"14:43:37.750"</f>
        <v>14:43:37.750</v>
      </c>
      <c r="B3198" t="s">
        <v>108</v>
      </c>
      <c r="C3198" t="str">
        <f t="shared" si="148"/>
        <v>ffdfd3c0</v>
      </c>
      <c r="D3198" t="s">
        <v>109</v>
      </c>
      <c r="E3198">
        <v>4</v>
      </c>
      <c r="F3198">
        <v>1004</v>
      </c>
      <c r="G3198" t="s">
        <v>110</v>
      </c>
      <c r="J3198" t="s">
        <v>111</v>
      </c>
      <c r="K3198">
        <v>0</v>
      </c>
      <c r="L3198">
        <v>3</v>
      </c>
      <c r="M3198">
        <v>0</v>
      </c>
      <c r="N3198">
        <v>2</v>
      </c>
      <c r="O3198">
        <v>1</v>
      </c>
      <c r="P3198">
        <v>0</v>
      </c>
      <c r="Q3198">
        <v>0</v>
      </c>
      <c r="R3198" t="s">
        <v>112</v>
      </c>
      <c r="S3198" t="str">
        <f>"14:43:37.594"</f>
        <v>14:43:37.594</v>
      </c>
      <c r="T3198" t="str">
        <f>"14:43:37.094"</f>
        <v>14:43:37.094</v>
      </c>
      <c r="U3198" t="str">
        <f t="shared" si="147"/>
        <v>ad5732</v>
      </c>
      <c r="V3198">
        <v>0</v>
      </c>
      <c r="W3198">
        <v>0</v>
      </c>
      <c r="X3198">
        <v>1</v>
      </c>
      <c r="Z3198">
        <v>0</v>
      </c>
      <c r="AA3198">
        <v>9</v>
      </c>
      <c r="AB3198">
        <v>3</v>
      </c>
      <c r="AC3198">
        <v>0</v>
      </c>
      <c r="AD3198">
        <v>10</v>
      </c>
      <c r="AE3198">
        <v>0</v>
      </c>
      <c r="AF3198">
        <v>3</v>
      </c>
      <c r="AG3198">
        <v>2</v>
      </c>
      <c r="AH3198">
        <v>0</v>
      </c>
      <c r="AI3198" t="s">
        <v>6504</v>
      </c>
      <c r="AJ3198">
        <v>40.395311999999997</v>
      </c>
      <c r="AK3198" t="s">
        <v>6505</v>
      </c>
      <c r="AL3198">
        <v>-74.854746000000006</v>
      </c>
      <c r="AM3198">
        <v>100</v>
      </c>
      <c r="AN3198">
        <v>3300</v>
      </c>
      <c r="AO3198" t="s">
        <v>115</v>
      </c>
      <c r="AP3198">
        <v>178</v>
      </c>
      <c r="AQ3198">
        <v>-20</v>
      </c>
      <c r="AR3198">
        <v>-896</v>
      </c>
      <c r="AZ3198">
        <v>3614</v>
      </c>
      <c r="BA3198">
        <v>1</v>
      </c>
      <c r="BB3198" t="str">
        <f t="shared" si="149"/>
        <v xml:space="preserve">N959MJ  </v>
      </c>
      <c r="BC3198">
        <v>1</v>
      </c>
      <c r="BE3198">
        <v>0</v>
      </c>
      <c r="BF3198">
        <v>0</v>
      </c>
      <c r="BG3198">
        <v>0</v>
      </c>
      <c r="BH3198">
        <v>3525</v>
      </c>
      <c r="BI3198">
        <v>225</v>
      </c>
      <c r="BJ3198">
        <v>1</v>
      </c>
      <c r="BK3198">
        <v>1</v>
      </c>
      <c r="BL3198">
        <v>1</v>
      </c>
      <c r="BM3198">
        <v>0</v>
      </c>
      <c r="BP3198">
        <v>0</v>
      </c>
      <c r="BQ3198">
        <v>0</v>
      </c>
      <c r="BX3198" t="str">
        <f>"14:43:37.594"</f>
        <v>14:43:37.594</v>
      </c>
      <c r="BY3198" t="str">
        <f>"596185506"</f>
        <v>596185506</v>
      </c>
      <c r="CL3198">
        <v>0</v>
      </c>
      <c r="CM3198">
        <v>2</v>
      </c>
      <c r="CN3198">
        <v>0</v>
      </c>
      <c r="CO3198">
        <v>2</v>
      </c>
      <c r="CP3198">
        <v>0</v>
      </c>
      <c r="CQ3198">
        <v>7</v>
      </c>
      <c r="CR3198" t="s">
        <v>116</v>
      </c>
      <c r="CS3198">
        <v>38</v>
      </c>
      <c r="CT3198">
        <v>0</v>
      </c>
      <c r="CU3198" t="s">
        <v>4719</v>
      </c>
      <c r="CV3198" t="s">
        <v>4720</v>
      </c>
      <c r="CY3198">
        <v>7503319</v>
      </c>
      <c r="CZ3198" t="s">
        <v>119</v>
      </c>
    </row>
    <row r="3199" spans="1:104" x14ac:dyDescent="0.25">
      <c r="A3199" t="str">
        <f>"14:43:38.711"</f>
        <v>14:43:38.711</v>
      </c>
      <c r="B3199" t="s">
        <v>108</v>
      </c>
      <c r="C3199" t="str">
        <f t="shared" si="148"/>
        <v>ffdfd3c0</v>
      </c>
      <c r="D3199" t="s">
        <v>109</v>
      </c>
      <c r="E3199">
        <v>4</v>
      </c>
      <c r="F3199">
        <v>1004</v>
      </c>
      <c r="G3199" t="s">
        <v>110</v>
      </c>
      <c r="J3199" t="s">
        <v>111</v>
      </c>
      <c r="K3199">
        <v>0</v>
      </c>
      <c r="L3199">
        <v>3</v>
      </c>
      <c r="M3199">
        <v>0</v>
      </c>
      <c r="N3199">
        <v>2</v>
      </c>
      <c r="O3199">
        <v>1</v>
      </c>
      <c r="P3199">
        <v>0</v>
      </c>
      <c r="Q3199">
        <v>0</v>
      </c>
      <c r="R3199" t="s">
        <v>112</v>
      </c>
      <c r="S3199" t="str">
        <f>"14:43:38.555"</f>
        <v>14:43:38.555</v>
      </c>
      <c r="T3199" t="str">
        <f>"14:43:38.055"</f>
        <v>14:43:38.055</v>
      </c>
      <c r="U3199" t="str">
        <f t="shared" si="147"/>
        <v>ad5732</v>
      </c>
      <c r="V3199">
        <v>0</v>
      </c>
      <c r="W3199">
        <v>0</v>
      </c>
      <c r="X3199">
        <v>1</v>
      </c>
      <c r="Z3199">
        <v>0</v>
      </c>
      <c r="AA3199">
        <v>9</v>
      </c>
      <c r="AB3199">
        <v>3</v>
      </c>
      <c r="AC3199">
        <v>0</v>
      </c>
      <c r="AD3199">
        <v>10</v>
      </c>
      <c r="AE3199">
        <v>0</v>
      </c>
      <c r="AF3199">
        <v>3</v>
      </c>
      <c r="AG3199">
        <v>2</v>
      </c>
      <c r="AH3199">
        <v>0</v>
      </c>
      <c r="AI3199" t="s">
        <v>6506</v>
      </c>
      <c r="AJ3199">
        <v>40.395226000000001</v>
      </c>
      <c r="AK3199" t="s">
        <v>6507</v>
      </c>
      <c r="AL3199">
        <v>-74.853629999999995</v>
      </c>
      <c r="AM3199">
        <v>100</v>
      </c>
      <c r="AN3199">
        <v>3300</v>
      </c>
      <c r="AO3199" t="s">
        <v>115</v>
      </c>
      <c r="AP3199">
        <v>179</v>
      </c>
      <c r="AQ3199">
        <v>-20</v>
      </c>
      <c r="AR3199">
        <v>-896</v>
      </c>
      <c r="AZ3199">
        <v>3614</v>
      </c>
      <c r="BA3199">
        <v>1</v>
      </c>
      <c r="BB3199" t="str">
        <f t="shared" si="149"/>
        <v xml:space="preserve">N959MJ  </v>
      </c>
      <c r="BC3199">
        <v>1</v>
      </c>
      <c r="BE3199">
        <v>0</v>
      </c>
      <c r="BF3199">
        <v>0</v>
      </c>
      <c r="BG3199">
        <v>0</v>
      </c>
      <c r="BH3199">
        <v>3500</v>
      </c>
      <c r="BI3199">
        <v>200</v>
      </c>
      <c r="BJ3199">
        <v>1</v>
      </c>
      <c r="BK3199">
        <v>1</v>
      </c>
      <c r="BL3199">
        <v>1</v>
      </c>
      <c r="BM3199">
        <v>0</v>
      </c>
      <c r="BP3199">
        <v>0</v>
      </c>
      <c r="BQ3199">
        <v>0</v>
      </c>
      <c r="BX3199" t="str">
        <f>"14:43:38.555"</f>
        <v>14:43:38.555</v>
      </c>
      <c r="BY3199" t="str">
        <f>"558209003"</f>
        <v>558209003</v>
      </c>
      <c r="CL3199">
        <v>0</v>
      </c>
      <c r="CM3199">
        <v>2</v>
      </c>
      <c r="CN3199">
        <v>0</v>
      </c>
      <c r="CO3199">
        <v>2</v>
      </c>
      <c r="CP3199">
        <v>0</v>
      </c>
      <c r="CQ3199">
        <v>5</v>
      </c>
      <c r="CR3199" t="s">
        <v>116</v>
      </c>
      <c r="CS3199">
        <v>41</v>
      </c>
      <c r="CT3199">
        <v>0</v>
      </c>
      <c r="CU3199" t="s">
        <v>4525</v>
      </c>
      <c r="CV3199" t="s">
        <v>4526</v>
      </c>
      <c r="CY3199">
        <v>1422077</v>
      </c>
      <c r="CZ3199" t="s">
        <v>119</v>
      </c>
    </row>
    <row r="3200" spans="1:104" x14ac:dyDescent="0.25">
      <c r="A3200" t="str">
        <f>"14:43:39.875"</f>
        <v>14:43:39.875</v>
      </c>
      <c r="B3200" t="s">
        <v>108</v>
      </c>
      <c r="C3200" t="str">
        <f t="shared" si="148"/>
        <v>ffdfd3c0</v>
      </c>
      <c r="D3200" t="s">
        <v>109</v>
      </c>
      <c r="E3200">
        <v>4</v>
      </c>
      <c r="F3200">
        <v>1004</v>
      </c>
      <c r="G3200" t="s">
        <v>110</v>
      </c>
      <c r="J3200" t="s">
        <v>111</v>
      </c>
      <c r="K3200">
        <v>0</v>
      </c>
      <c r="L3200">
        <v>3</v>
      </c>
      <c r="M3200">
        <v>0</v>
      </c>
      <c r="N3200">
        <v>2</v>
      </c>
      <c r="O3200">
        <v>1</v>
      </c>
      <c r="P3200">
        <v>0</v>
      </c>
      <c r="Q3200">
        <v>0</v>
      </c>
      <c r="R3200" t="s">
        <v>112</v>
      </c>
      <c r="S3200" t="str">
        <f>"14:43:39.672"</f>
        <v>14:43:39.672</v>
      </c>
      <c r="T3200" t="str">
        <f>"14:43:39.172"</f>
        <v>14:43:39.172</v>
      </c>
      <c r="U3200" t="str">
        <f t="shared" si="147"/>
        <v>ad5732</v>
      </c>
      <c r="V3200">
        <v>0</v>
      </c>
      <c r="W3200">
        <v>0</v>
      </c>
      <c r="X3200">
        <v>1</v>
      </c>
      <c r="Z3200">
        <v>0</v>
      </c>
      <c r="AA3200">
        <v>9</v>
      </c>
      <c r="AB3200">
        <v>3</v>
      </c>
      <c r="AC3200">
        <v>0</v>
      </c>
      <c r="AD3200">
        <v>10</v>
      </c>
      <c r="AE3200">
        <v>0</v>
      </c>
      <c r="AF3200">
        <v>3</v>
      </c>
      <c r="AG3200">
        <v>2</v>
      </c>
      <c r="AH3200">
        <v>0</v>
      </c>
      <c r="AI3200" t="s">
        <v>6508</v>
      </c>
      <c r="AJ3200">
        <v>40.395097999999997</v>
      </c>
      <c r="AK3200" t="s">
        <v>6509</v>
      </c>
      <c r="AL3200">
        <v>-74.852406999999999</v>
      </c>
      <c r="AM3200">
        <v>100</v>
      </c>
      <c r="AN3200">
        <v>3300</v>
      </c>
      <c r="AO3200" t="s">
        <v>115</v>
      </c>
      <c r="AP3200">
        <v>179</v>
      </c>
      <c r="AQ3200">
        <v>-20</v>
      </c>
      <c r="AR3200">
        <v>-896</v>
      </c>
      <c r="AZ3200">
        <v>3614</v>
      </c>
      <c r="BA3200">
        <v>1</v>
      </c>
      <c r="BB3200" t="str">
        <f t="shared" si="149"/>
        <v xml:space="preserve">N959MJ  </v>
      </c>
      <c r="BC3200">
        <v>1</v>
      </c>
      <c r="BE3200">
        <v>0</v>
      </c>
      <c r="BF3200">
        <v>0</v>
      </c>
      <c r="BG3200">
        <v>0</v>
      </c>
      <c r="BH3200">
        <v>3500</v>
      </c>
      <c r="BI3200">
        <v>200</v>
      </c>
      <c r="BJ3200">
        <v>1</v>
      </c>
      <c r="BK3200">
        <v>1</v>
      </c>
      <c r="BL3200">
        <v>1</v>
      </c>
      <c r="BM3200">
        <v>0</v>
      </c>
      <c r="BP3200">
        <v>0</v>
      </c>
      <c r="BQ3200">
        <v>0</v>
      </c>
      <c r="BX3200" t="str">
        <f>"14:43:39.672"</f>
        <v>14:43:39.672</v>
      </c>
      <c r="BY3200" t="str">
        <f>"672074402"</f>
        <v>672074402</v>
      </c>
      <c r="CL3200">
        <v>0</v>
      </c>
      <c r="CM3200">
        <v>2</v>
      </c>
      <c r="CN3200">
        <v>0</v>
      </c>
      <c r="CO3200">
        <v>2</v>
      </c>
      <c r="CP3200">
        <v>0</v>
      </c>
      <c r="CQ3200">
        <v>7</v>
      </c>
      <c r="CR3200" t="s">
        <v>116</v>
      </c>
      <c r="CS3200">
        <v>38</v>
      </c>
      <c r="CT3200">
        <v>0</v>
      </c>
      <c r="CU3200" t="s">
        <v>4719</v>
      </c>
      <c r="CV3200" t="s">
        <v>4720</v>
      </c>
      <c r="CY3200">
        <v>7506430</v>
      </c>
      <c r="CZ3200" t="s">
        <v>119</v>
      </c>
    </row>
    <row r="3201" spans="1:104" x14ac:dyDescent="0.25">
      <c r="A3201" t="str">
        <f>"14:43:40.984"</f>
        <v>14:43:40.984</v>
      </c>
      <c r="B3201" t="s">
        <v>108</v>
      </c>
      <c r="C3201" t="str">
        <f t="shared" si="148"/>
        <v>ffdfd3c0</v>
      </c>
      <c r="D3201" t="s">
        <v>109</v>
      </c>
      <c r="E3201">
        <v>4</v>
      </c>
      <c r="F3201">
        <v>1004</v>
      </c>
      <c r="G3201" t="s">
        <v>110</v>
      </c>
      <c r="J3201" t="s">
        <v>111</v>
      </c>
      <c r="K3201">
        <v>0</v>
      </c>
      <c r="L3201">
        <v>3</v>
      </c>
      <c r="M3201">
        <v>0</v>
      </c>
      <c r="N3201">
        <v>2</v>
      </c>
      <c r="O3201">
        <v>1</v>
      </c>
      <c r="P3201">
        <v>0</v>
      </c>
      <c r="Q3201">
        <v>0</v>
      </c>
      <c r="R3201" t="s">
        <v>112</v>
      </c>
      <c r="S3201" t="str">
        <f>"14:43:40.789"</f>
        <v>14:43:40.789</v>
      </c>
      <c r="T3201" t="str">
        <f>"14:43:40.289"</f>
        <v>14:43:40.289</v>
      </c>
      <c r="U3201" t="str">
        <f t="shared" si="147"/>
        <v>ad5732</v>
      </c>
      <c r="V3201">
        <v>0</v>
      </c>
      <c r="W3201">
        <v>0</v>
      </c>
      <c r="X3201">
        <v>1</v>
      </c>
      <c r="Z3201">
        <v>0</v>
      </c>
      <c r="AA3201">
        <v>9</v>
      </c>
      <c r="AB3201">
        <v>3</v>
      </c>
      <c r="AC3201">
        <v>0</v>
      </c>
      <c r="AD3201">
        <v>10</v>
      </c>
      <c r="AE3201">
        <v>0</v>
      </c>
      <c r="AF3201">
        <v>3</v>
      </c>
      <c r="AG3201">
        <v>2</v>
      </c>
      <c r="AH3201">
        <v>0</v>
      </c>
      <c r="AI3201" t="s">
        <v>6510</v>
      </c>
      <c r="AJ3201">
        <v>40.395032999999998</v>
      </c>
      <c r="AK3201" t="s">
        <v>6511</v>
      </c>
      <c r="AL3201">
        <v>-74.851247999999998</v>
      </c>
      <c r="AM3201">
        <v>100</v>
      </c>
      <c r="AN3201">
        <v>3300</v>
      </c>
      <c r="AO3201" t="s">
        <v>115</v>
      </c>
      <c r="AP3201">
        <v>180</v>
      </c>
      <c r="AQ3201">
        <v>-21</v>
      </c>
      <c r="AR3201">
        <v>-832</v>
      </c>
      <c r="AZ3201">
        <v>3614</v>
      </c>
      <c r="BA3201">
        <v>1</v>
      </c>
      <c r="BB3201" t="str">
        <f t="shared" si="149"/>
        <v xml:space="preserve">N959MJ  </v>
      </c>
      <c r="BC3201">
        <v>1</v>
      </c>
      <c r="BE3201">
        <v>0</v>
      </c>
      <c r="BF3201">
        <v>0</v>
      </c>
      <c r="BG3201">
        <v>0</v>
      </c>
      <c r="BH3201">
        <v>3475</v>
      </c>
      <c r="BI3201">
        <v>175</v>
      </c>
      <c r="BJ3201">
        <v>1</v>
      </c>
      <c r="BK3201">
        <v>1</v>
      </c>
      <c r="BL3201">
        <v>1</v>
      </c>
      <c r="BM3201">
        <v>0</v>
      </c>
      <c r="BP3201">
        <v>0</v>
      </c>
      <c r="BQ3201">
        <v>0</v>
      </c>
      <c r="BX3201" t="str">
        <f>"14:43:40.789"</f>
        <v>14:43:40.789</v>
      </c>
      <c r="BY3201" t="str">
        <f>"789482608"</f>
        <v>789482608</v>
      </c>
      <c r="CL3201">
        <v>0</v>
      </c>
      <c r="CM3201">
        <v>2</v>
      </c>
      <c r="CN3201">
        <v>0</v>
      </c>
      <c r="CO3201">
        <v>2</v>
      </c>
      <c r="CP3201">
        <v>0</v>
      </c>
      <c r="CQ3201">
        <v>7</v>
      </c>
      <c r="CR3201" t="s">
        <v>116</v>
      </c>
      <c r="CS3201">
        <v>38</v>
      </c>
      <c r="CT3201">
        <v>3</v>
      </c>
      <c r="CU3201" t="s">
        <v>4719</v>
      </c>
      <c r="CV3201" t="s">
        <v>4720</v>
      </c>
      <c r="CY3201">
        <v>10931902</v>
      </c>
      <c r="CZ3201" t="s">
        <v>119</v>
      </c>
    </row>
    <row r="3202" spans="1:104" x14ac:dyDescent="0.25">
      <c r="A3202" t="str">
        <f>"14:43:42.141"</f>
        <v>14:43:42.141</v>
      </c>
      <c r="B3202" t="s">
        <v>108</v>
      </c>
      <c r="C3202" t="str">
        <f t="shared" si="148"/>
        <v>ffdfd3c0</v>
      </c>
      <c r="D3202" t="s">
        <v>109</v>
      </c>
      <c r="E3202">
        <v>4</v>
      </c>
      <c r="F3202">
        <v>1004</v>
      </c>
      <c r="G3202" t="s">
        <v>110</v>
      </c>
      <c r="J3202" t="s">
        <v>111</v>
      </c>
      <c r="K3202">
        <v>0</v>
      </c>
      <c r="L3202">
        <v>3</v>
      </c>
      <c r="M3202">
        <v>0</v>
      </c>
      <c r="N3202">
        <v>2</v>
      </c>
      <c r="O3202">
        <v>1</v>
      </c>
      <c r="P3202">
        <v>0</v>
      </c>
      <c r="Q3202">
        <v>0</v>
      </c>
      <c r="R3202" t="s">
        <v>112</v>
      </c>
      <c r="S3202" t="str">
        <f>"14:43:41.953"</f>
        <v>14:43:41.953</v>
      </c>
      <c r="T3202" t="str">
        <f>"14:43:41.453"</f>
        <v>14:43:41.453</v>
      </c>
      <c r="U3202" t="str">
        <f t="shared" ref="U3202:U3265" si="150">"ad5732"</f>
        <v>ad5732</v>
      </c>
      <c r="V3202">
        <v>0</v>
      </c>
      <c r="W3202">
        <v>0</v>
      </c>
      <c r="X3202">
        <v>1</v>
      </c>
      <c r="Z3202">
        <v>0</v>
      </c>
      <c r="AA3202">
        <v>9</v>
      </c>
      <c r="AB3202">
        <v>3</v>
      </c>
      <c r="AC3202">
        <v>0</v>
      </c>
      <c r="AD3202">
        <v>10</v>
      </c>
      <c r="AE3202">
        <v>0</v>
      </c>
      <c r="AF3202">
        <v>3</v>
      </c>
      <c r="AG3202">
        <v>2</v>
      </c>
      <c r="AH3202">
        <v>0</v>
      </c>
      <c r="AI3202" t="s">
        <v>6512</v>
      </c>
      <c r="AJ3202">
        <v>40.394905000000001</v>
      </c>
      <c r="AK3202" t="s">
        <v>6513</v>
      </c>
      <c r="AL3202">
        <v>-74.849918000000002</v>
      </c>
      <c r="AM3202">
        <v>100</v>
      </c>
      <c r="AN3202">
        <v>3200</v>
      </c>
      <c r="AO3202" t="s">
        <v>115</v>
      </c>
      <c r="AP3202">
        <v>180</v>
      </c>
      <c r="AQ3202">
        <v>-21</v>
      </c>
      <c r="AR3202">
        <v>-832</v>
      </c>
      <c r="AZ3202">
        <v>3614</v>
      </c>
      <c r="BA3202">
        <v>1</v>
      </c>
      <c r="BB3202" t="str">
        <f t="shared" si="149"/>
        <v xml:space="preserve">N959MJ  </v>
      </c>
      <c r="BC3202">
        <v>1</v>
      </c>
      <c r="BE3202">
        <v>0</v>
      </c>
      <c r="BF3202">
        <v>0</v>
      </c>
      <c r="BG3202">
        <v>0</v>
      </c>
      <c r="BH3202">
        <v>3450</v>
      </c>
      <c r="BI3202">
        <v>250</v>
      </c>
      <c r="BJ3202">
        <v>1</v>
      </c>
      <c r="BK3202">
        <v>1</v>
      </c>
      <c r="BL3202">
        <v>1</v>
      </c>
      <c r="BM3202">
        <v>0</v>
      </c>
      <c r="BP3202">
        <v>0</v>
      </c>
      <c r="BQ3202">
        <v>0</v>
      </c>
      <c r="BX3202" t="str">
        <f>"14:43:41.953"</f>
        <v>14:43:41.953</v>
      </c>
      <c r="BY3202" t="str">
        <f>"954405323"</f>
        <v>954405323</v>
      </c>
      <c r="CL3202">
        <v>0</v>
      </c>
      <c r="CM3202">
        <v>2</v>
      </c>
      <c r="CN3202">
        <v>0</v>
      </c>
      <c r="CO3202">
        <v>2</v>
      </c>
      <c r="CP3202">
        <v>0</v>
      </c>
      <c r="CQ3202">
        <v>7</v>
      </c>
      <c r="CR3202" t="s">
        <v>116</v>
      </c>
      <c r="CS3202">
        <v>38</v>
      </c>
      <c r="CT3202">
        <v>0</v>
      </c>
      <c r="CU3202" t="s">
        <v>4719</v>
      </c>
      <c r="CV3202" t="s">
        <v>4720</v>
      </c>
      <c r="CY3202">
        <v>7510025</v>
      </c>
      <c r="CZ3202" t="s">
        <v>119</v>
      </c>
    </row>
    <row r="3203" spans="1:104" x14ac:dyDescent="0.25">
      <c r="A3203" t="str">
        <f>"14:43:43.055"</f>
        <v>14:43:43.055</v>
      </c>
      <c r="B3203" t="s">
        <v>108</v>
      </c>
      <c r="C3203" t="str">
        <f t="shared" si="148"/>
        <v>ffdfd3c0</v>
      </c>
      <c r="D3203" t="s">
        <v>109</v>
      </c>
      <c r="E3203">
        <v>4</v>
      </c>
      <c r="F3203">
        <v>1004</v>
      </c>
      <c r="G3203" t="s">
        <v>110</v>
      </c>
      <c r="J3203" t="s">
        <v>111</v>
      </c>
      <c r="K3203">
        <v>0</v>
      </c>
      <c r="L3203">
        <v>3</v>
      </c>
      <c r="M3203">
        <v>0</v>
      </c>
      <c r="N3203">
        <v>2</v>
      </c>
      <c r="O3203">
        <v>1</v>
      </c>
      <c r="P3203">
        <v>0</v>
      </c>
      <c r="Q3203">
        <v>0</v>
      </c>
      <c r="R3203" t="s">
        <v>112</v>
      </c>
      <c r="S3203" t="str">
        <f>"14:43:42.891"</f>
        <v>14:43:42.891</v>
      </c>
      <c r="T3203" t="str">
        <f>"14:43:42.391"</f>
        <v>14:43:42.391</v>
      </c>
      <c r="U3203" t="str">
        <f t="shared" si="150"/>
        <v>ad5732</v>
      </c>
      <c r="V3203">
        <v>0</v>
      </c>
      <c r="W3203">
        <v>0</v>
      </c>
      <c r="X3203">
        <v>1</v>
      </c>
      <c r="Z3203">
        <v>0</v>
      </c>
      <c r="AA3203">
        <v>9</v>
      </c>
      <c r="AB3203">
        <v>3</v>
      </c>
      <c r="AC3203">
        <v>0</v>
      </c>
      <c r="AD3203">
        <v>10</v>
      </c>
      <c r="AE3203">
        <v>0</v>
      </c>
      <c r="AF3203">
        <v>3</v>
      </c>
      <c r="AG3203">
        <v>2</v>
      </c>
      <c r="AH3203">
        <v>0</v>
      </c>
      <c r="AI3203" t="s">
        <v>6514</v>
      </c>
      <c r="AJ3203">
        <v>40.394818999999998</v>
      </c>
      <c r="AK3203" t="s">
        <v>6515</v>
      </c>
      <c r="AL3203">
        <v>-74.848909000000006</v>
      </c>
      <c r="AM3203">
        <v>100</v>
      </c>
      <c r="AN3203">
        <v>3200</v>
      </c>
      <c r="AO3203" t="s">
        <v>115</v>
      </c>
      <c r="AP3203">
        <v>180</v>
      </c>
      <c r="AQ3203">
        <v>-20</v>
      </c>
      <c r="AR3203">
        <v>-832</v>
      </c>
      <c r="AZ3203">
        <v>3614</v>
      </c>
      <c r="BA3203">
        <v>1</v>
      </c>
      <c r="BB3203" t="str">
        <f t="shared" si="149"/>
        <v xml:space="preserve">N959MJ  </v>
      </c>
      <c r="BC3203">
        <v>1</v>
      </c>
      <c r="BE3203">
        <v>0</v>
      </c>
      <c r="BF3203">
        <v>0</v>
      </c>
      <c r="BG3203">
        <v>0</v>
      </c>
      <c r="BH3203">
        <v>3450</v>
      </c>
      <c r="BI3203">
        <v>250</v>
      </c>
      <c r="BJ3203">
        <v>1</v>
      </c>
      <c r="BK3203">
        <v>1</v>
      </c>
      <c r="BL3203">
        <v>1</v>
      </c>
      <c r="BM3203">
        <v>0</v>
      </c>
      <c r="BP3203">
        <v>0</v>
      </c>
      <c r="BQ3203">
        <v>0</v>
      </c>
      <c r="BX3203" t="str">
        <f>"14:43:42.898"</f>
        <v>14:43:42.898</v>
      </c>
      <c r="BY3203" t="str">
        <f>"896501741"</f>
        <v>896501741</v>
      </c>
      <c r="CL3203">
        <v>0</v>
      </c>
      <c r="CM3203">
        <v>2</v>
      </c>
      <c r="CN3203">
        <v>0</v>
      </c>
      <c r="CO3203">
        <v>2</v>
      </c>
      <c r="CP3203">
        <v>0</v>
      </c>
      <c r="CQ3203">
        <v>7</v>
      </c>
      <c r="CR3203" t="s">
        <v>116</v>
      </c>
      <c r="CS3203">
        <v>38</v>
      </c>
      <c r="CT3203">
        <v>0</v>
      </c>
      <c r="CU3203" t="s">
        <v>4719</v>
      </c>
      <c r="CV3203" t="s">
        <v>4720</v>
      </c>
      <c r="CY3203">
        <v>7511482</v>
      </c>
      <c r="CZ3203" t="s">
        <v>119</v>
      </c>
    </row>
    <row r="3204" spans="1:104" x14ac:dyDescent="0.25">
      <c r="A3204" t="str">
        <f>"14:43:44.164"</f>
        <v>14:43:44.164</v>
      </c>
      <c r="B3204" t="s">
        <v>108</v>
      </c>
      <c r="C3204" t="str">
        <f t="shared" si="148"/>
        <v>ffdfd3c0</v>
      </c>
      <c r="D3204" t="s">
        <v>109</v>
      </c>
      <c r="E3204">
        <v>4</v>
      </c>
      <c r="F3204">
        <v>1004</v>
      </c>
      <c r="G3204" t="s">
        <v>110</v>
      </c>
      <c r="J3204" t="s">
        <v>111</v>
      </c>
      <c r="K3204">
        <v>0</v>
      </c>
      <c r="L3204">
        <v>3</v>
      </c>
      <c r="M3204">
        <v>0</v>
      </c>
      <c r="N3204">
        <v>2</v>
      </c>
      <c r="O3204">
        <v>1</v>
      </c>
      <c r="P3204">
        <v>0</v>
      </c>
      <c r="Q3204">
        <v>0</v>
      </c>
      <c r="R3204" t="s">
        <v>112</v>
      </c>
      <c r="S3204" t="str">
        <f>"14:43:43.977"</f>
        <v>14:43:43.977</v>
      </c>
      <c r="T3204" t="str">
        <f>"14:43:43.477"</f>
        <v>14:43:43.477</v>
      </c>
      <c r="U3204" t="str">
        <f t="shared" si="150"/>
        <v>ad5732</v>
      </c>
      <c r="V3204">
        <v>0</v>
      </c>
      <c r="W3204">
        <v>0</v>
      </c>
      <c r="X3204">
        <v>1</v>
      </c>
      <c r="Z3204">
        <v>0</v>
      </c>
      <c r="AA3204">
        <v>9</v>
      </c>
      <c r="AB3204">
        <v>3</v>
      </c>
      <c r="AC3204">
        <v>0</v>
      </c>
      <c r="AD3204">
        <v>10</v>
      </c>
      <c r="AE3204">
        <v>0</v>
      </c>
      <c r="AF3204">
        <v>3</v>
      </c>
      <c r="AG3204">
        <v>2</v>
      </c>
      <c r="AH3204">
        <v>0</v>
      </c>
      <c r="AI3204" t="s">
        <v>6516</v>
      </c>
      <c r="AJ3204">
        <v>40.394711000000001</v>
      </c>
      <c r="AK3204" t="s">
        <v>6517</v>
      </c>
      <c r="AL3204">
        <v>-74.847707999999997</v>
      </c>
      <c r="AM3204">
        <v>100</v>
      </c>
      <c r="AN3204">
        <v>3200</v>
      </c>
      <c r="AO3204" t="s">
        <v>115</v>
      </c>
      <c r="AP3204">
        <v>181</v>
      </c>
      <c r="AQ3204">
        <v>-20</v>
      </c>
      <c r="AR3204">
        <v>-832</v>
      </c>
      <c r="AZ3204">
        <v>3614</v>
      </c>
      <c r="BA3204">
        <v>1</v>
      </c>
      <c r="BB3204" t="str">
        <f t="shared" si="149"/>
        <v xml:space="preserve">N959MJ  </v>
      </c>
      <c r="BC3204">
        <v>1</v>
      </c>
      <c r="BE3204">
        <v>0</v>
      </c>
      <c r="BF3204">
        <v>0</v>
      </c>
      <c r="BG3204">
        <v>0</v>
      </c>
      <c r="BH3204">
        <v>3425</v>
      </c>
      <c r="BI3204">
        <v>225</v>
      </c>
      <c r="BJ3204">
        <v>1</v>
      </c>
      <c r="BK3204">
        <v>1</v>
      </c>
      <c r="BL3204">
        <v>1</v>
      </c>
      <c r="BM3204">
        <v>0</v>
      </c>
      <c r="BP3204">
        <v>0</v>
      </c>
      <c r="BQ3204">
        <v>0</v>
      </c>
      <c r="BX3204" t="str">
        <f>"14:43:43.977"</f>
        <v>14:43:43.977</v>
      </c>
      <c r="BY3204" t="str">
        <f>"979503035"</f>
        <v>979503035</v>
      </c>
      <c r="CL3204">
        <v>0</v>
      </c>
      <c r="CM3204">
        <v>2</v>
      </c>
      <c r="CN3204">
        <v>0</v>
      </c>
      <c r="CO3204">
        <v>2</v>
      </c>
      <c r="CP3204">
        <v>0</v>
      </c>
      <c r="CQ3204">
        <v>7</v>
      </c>
      <c r="CR3204" t="s">
        <v>116</v>
      </c>
      <c r="CS3204">
        <v>38</v>
      </c>
      <c r="CT3204">
        <v>0</v>
      </c>
      <c r="CU3204" t="s">
        <v>4719</v>
      </c>
      <c r="CV3204" t="s">
        <v>4720</v>
      </c>
      <c r="CY3204">
        <v>7513171</v>
      </c>
      <c r="CZ3204" t="s">
        <v>119</v>
      </c>
    </row>
    <row r="3205" spans="1:104" x14ac:dyDescent="0.25">
      <c r="A3205" t="str">
        <f>"14:43:44.969"</f>
        <v>14:43:44.969</v>
      </c>
      <c r="B3205" t="s">
        <v>108</v>
      </c>
      <c r="C3205" t="str">
        <f t="shared" si="148"/>
        <v>ffdfd3c0</v>
      </c>
      <c r="D3205" t="s">
        <v>109</v>
      </c>
      <c r="E3205">
        <v>4</v>
      </c>
      <c r="F3205">
        <v>1004</v>
      </c>
      <c r="G3205" t="s">
        <v>110</v>
      </c>
      <c r="J3205" t="s">
        <v>111</v>
      </c>
      <c r="K3205">
        <v>0</v>
      </c>
      <c r="L3205">
        <v>3</v>
      </c>
      <c r="M3205">
        <v>0</v>
      </c>
      <c r="N3205">
        <v>2</v>
      </c>
      <c r="O3205">
        <v>1</v>
      </c>
      <c r="P3205">
        <v>0</v>
      </c>
      <c r="Q3205">
        <v>0</v>
      </c>
      <c r="R3205" t="s">
        <v>112</v>
      </c>
      <c r="S3205" t="str">
        <f>"14:43:44.797"</f>
        <v>14:43:44.797</v>
      </c>
      <c r="T3205" t="str">
        <f>"14:43:44.398"</f>
        <v>14:43:44.398</v>
      </c>
      <c r="U3205" t="str">
        <f t="shared" si="150"/>
        <v>ad5732</v>
      </c>
      <c r="V3205">
        <v>0</v>
      </c>
      <c r="W3205">
        <v>0</v>
      </c>
      <c r="X3205">
        <v>1</v>
      </c>
      <c r="Z3205">
        <v>0</v>
      </c>
      <c r="AA3205">
        <v>9</v>
      </c>
      <c r="AB3205">
        <v>3</v>
      </c>
      <c r="AC3205">
        <v>0</v>
      </c>
      <c r="AD3205">
        <v>10</v>
      </c>
      <c r="AE3205">
        <v>0</v>
      </c>
      <c r="AF3205">
        <v>3</v>
      </c>
      <c r="AG3205">
        <v>2</v>
      </c>
      <c r="AH3205">
        <v>0</v>
      </c>
      <c r="AI3205" t="s">
        <v>6518</v>
      </c>
      <c r="AJ3205">
        <v>40.394626000000002</v>
      </c>
      <c r="AK3205" t="s">
        <v>6519</v>
      </c>
      <c r="AL3205">
        <v>-74.846870999999993</v>
      </c>
      <c r="AM3205">
        <v>100</v>
      </c>
      <c r="AN3205">
        <v>3200</v>
      </c>
      <c r="AO3205" t="s">
        <v>115</v>
      </c>
      <c r="AP3205">
        <v>181</v>
      </c>
      <c r="AQ3205">
        <v>-20</v>
      </c>
      <c r="AR3205">
        <v>-832</v>
      </c>
      <c r="AZ3205">
        <v>3614</v>
      </c>
      <c r="BA3205">
        <v>1</v>
      </c>
      <c r="BB3205" t="str">
        <f t="shared" si="149"/>
        <v xml:space="preserve">N959MJ  </v>
      </c>
      <c r="BC3205">
        <v>1</v>
      </c>
      <c r="BE3205">
        <v>0</v>
      </c>
      <c r="BF3205">
        <v>0</v>
      </c>
      <c r="BG3205">
        <v>0</v>
      </c>
      <c r="BH3205">
        <v>3425</v>
      </c>
      <c r="BI3205">
        <v>225</v>
      </c>
      <c r="BJ3205">
        <v>1</v>
      </c>
      <c r="BK3205">
        <v>1</v>
      </c>
      <c r="BL3205">
        <v>1</v>
      </c>
      <c r="BM3205">
        <v>0</v>
      </c>
      <c r="BP3205">
        <v>0</v>
      </c>
      <c r="BQ3205">
        <v>0</v>
      </c>
      <c r="BX3205" t="str">
        <f>"14:43:44.797"</f>
        <v>14:43:44.797</v>
      </c>
      <c r="BY3205" t="str">
        <f>"800355598"</f>
        <v>800355598</v>
      </c>
      <c r="CL3205">
        <v>0</v>
      </c>
      <c r="CM3205">
        <v>2</v>
      </c>
      <c r="CN3205">
        <v>0</v>
      </c>
      <c r="CO3205">
        <v>2</v>
      </c>
      <c r="CP3205">
        <v>0</v>
      </c>
      <c r="CQ3205">
        <v>7</v>
      </c>
      <c r="CR3205" t="s">
        <v>116</v>
      </c>
      <c r="CS3205">
        <v>38</v>
      </c>
      <c r="CT3205">
        <v>3</v>
      </c>
      <c r="CU3205" t="s">
        <v>4719</v>
      </c>
      <c r="CV3205" t="s">
        <v>4720</v>
      </c>
      <c r="CY3205">
        <v>10938900</v>
      </c>
      <c r="CZ3205" t="s">
        <v>119</v>
      </c>
    </row>
    <row r="3206" spans="1:104" x14ac:dyDescent="0.25">
      <c r="A3206" t="str">
        <f>"14:43:45.930"</f>
        <v>14:43:45.930</v>
      </c>
      <c r="B3206" t="s">
        <v>108</v>
      </c>
      <c r="C3206" t="str">
        <f t="shared" si="148"/>
        <v>ffdfd3c0</v>
      </c>
      <c r="D3206" t="s">
        <v>109</v>
      </c>
      <c r="E3206">
        <v>4</v>
      </c>
      <c r="F3206">
        <v>1004</v>
      </c>
      <c r="G3206" t="s">
        <v>110</v>
      </c>
      <c r="J3206" t="s">
        <v>111</v>
      </c>
      <c r="K3206">
        <v>0</v>
      </c>
      <c r="L3206">
        <v>3</v>
      </c>
      <c r="M3206">
        <v>0</v>
      </c>
      <c r="N3206">
        <v>2</v>
      </c>
      <c r="O3206">
        <v>1</v>
      </c>
      <c r="P3206">
        <v>0</v>
      </c>
      <c r="Q3206">
        <v>0</v>
      </c>
      <c r="R3206" t="s">
        <v>112</v>
      </c>
      <c r="S3206" t="str">
        <f>"14:43:45.719"</f>
        <v>14:43:45.719</v>
      </c>
      <c r="T3206" t="str">
        <f>"14:43:45.219"</f>
        <v>14:43:45.219</v>
      </c>
      <c r="U3206" t="str">
        <f t="shared" si="150"/>
        <v>ad5732</v>
      </c>
      <c r="V3206">
        <v>0</v>
      </c>
      <c r="W3206">
        <v>0</v>
      </c>
      <c r="X3206">
        <v>1</v>
      </c>
      <c r="Z3206">
        <v>0</v>
      </c>
      <c r="AA3206">
        <v>9</v>
      </c>
      <c r="AB3206">
        <v>3</v>
      </c>
      <c r="AC3206">
        <v>0</v>
      </c>
      <c r="AD3206">
        <v>10</v>
      </c>
      <c r="AE3206">
        <v>0</v>
      </c>
      <c r="AF3206">
        <v>3</v>
      </c>
      <c r="AG3206">
        <v>2</v>
      </c>
      <c r="AH3206">
        <v>0</v>
      </c>
      <c r="AI3206" t="s">
        <v>6520</v>
      </c>
      <c r="AJ3206">
        <v>40.394539999999999</v>
      </c>
      <c r="AK3206" t="s">
        <v>6521</v>
      </c>
      <c r="AL3206">
        <v>-74.845754999999997</v>
      </c>
      <c r="AM3206">
        <v>100</v>
      </c>
      <c r="AN3206">
        <v>3200</v>
      </c>
      <c r="AO3206" t="s">
        <v>115</v>
      </c>
      <c r="AP3206">
        <v>181</v>
      </c>
      <c r="AQ3206">
        <v>-20</v>
      </c>
      <c r="AR3206">
        <v>-832</v>
      </c>
      <c r="AZ3206">
        <v>3614</v>
      </c>
      <c r="BA3206">
        <v>1</v>
      </c>
      <c r="BB3206" t="str">
        <f t="shared" si="149"/>
        <v xml:space="preserve">N959MJ  </v>
      </c>
      <c r="BC3206">
        <v>1</v>
      </c>
      <c r="BE3206">
        <v>0</v>
      </c>
      <c r="BF3206">
        <v>0</v>
      </c>
      <c r="BG3206">
        <v>0</v>
      </c>
      <c r="BH3206">
        <v>3400</v>
      </c>
      <c r="BI3206">
        <v>200</v>
      </c>
      <c r="BJ3206">
        <v>1</v>
      </c>
      <c r="BK3206">
        <v>1</v>
      </c>
      <c r="BL3206">
        <v>1</v>
      </c>
      <c r="BM3206">
        <v>0</v>
      </c>
      <c r="BP3206">
        <v>0</v>
      </c>
      <c r="BQ3206">
        <v>0</v>
      </c>
      <c r="BX3206" t="str">
        <f>"14:43:45.727"</f>
        <v>14:43:45.727</v>
      </c>
      <c r="BY3206" t="str">
        <f>"722790876"</f>
        <v>722790876</v>
      </c>
      <c r="CL3206">
        <v>0</v>
      </c>
      <c r="CM3206">
        <v>2</v>
      </c>
      <c r="CN3206">
        <v>0</v>
      </c>
      <c r="CO3206">
        <v>2</v>
      </c>
      <c r="CP3206">
        <v>0</v>
      </c>
      <c r="CQ3206">
        <v>7</v>
      </c>
      <c r="CR3206" t="s">
        <v>116</v>
      </c>
      <c r="CS3206">
        <v>38</v>
      </c>
      <c r="CT3206">
        <v>0</v>
      </c>
      <c r="CU3206" t="s">
        <v>4719</v>
      </c>
      <c r="CV3206" t="s">
        <v>4720</v>
      </c>
      <c r="CY3206">
        <v>7515963</v>
      </c>
      <c r="CZ3206" t="s">
        <v>119</v>
      </c>
    </row>
    <row r="3207" spans="1:104" x14ac:dyDescent="0.25">
      <c r="A3207" t="str">
        <f>"14:43:46.938"</f>
        <v>14:43:46.938</v>
      </c>
      <c r="B3207" t="s">
        <v>108</v>
      </c>
      <c r="C3207" t="str">
        <f t="shared" si="148"/>
        <v>ffdfd3c0</v>
      </c>
      <c r="D3207" t="s">
        <v>109</v>
      </c>
      <c r="E3207">
        <v>4</v>
      </c>
      <c r="F3207">
        <v>1004</v>
      </c>
      <c r="G3207" t="s">
        <v>110</v>
      </c>
      <c r="J3207" t="s">
        <v>111</v>
      </c>
      <c r="K3207">
        <v>0</v>
      </c>
      <c r="L3207">
        <v>3</v>
      </c>
      <c r="M3207">
        <v>0</v>
      </c>
      <c r="N3207">
        <v>2</v>
      </c>
      <c r="O3207">
        <v>1</v>
      </c>
      <c r="P3207">
        <v>0</v>
      </c>
      <c r="Q3207">
        <v>0</v>
      </c>
      <c r="R3207" t="s">
        <v>112</v>
      </c>
      <c r="S3207" t="str">
        <f>"14:43:46.750"</f>
        <v>14:43:46.750</v>
      </c>
      <c r="T3207" t="str">
        <f>"14:43:46.250"</f>
        <v>14:43:46.250</v>
      </c>
      <c r="U3207" t="str">
        <f t="shared" si="150"/>
        <v>ad5732</v>
      </c>
      <c r="V3207">
        <v>0</v>
      </c>
      <c r="W3207">
        <v>0</v>
      </c>
      <c r="X3207">
        <v>1</v>
      </c>
      <c r="Z3207">
        <v>0</v>
      </c>
      <c r="AA3207">
        <v>9</v>
      </c>
      <c r="AB3207">
        <v>3</v>
      </c>
      <c r="AC3207">
        <v>0</v>
      </c>
      <c r="AD3207">
        <v>10</v>
      </c>
      <c r="AE3207">
        <v>0</v>
      </c>
      <c r="AF3207">
        <v>3</v>
      </c>
      <c r="AG3207">
        <v>2</v>
      </c>
      <c r="AH3207">
        <v>0</v>
      </c>
      <c r="AI3207" t="s">
        <v>6522</v>
      </c>
      <c r="AJ3207">
        <v>40.394432999999999</v>
      </c>
      <c r="AK3207" t="s">
        <v>6523</v>
      </c>
      <c r="AL3207">
        <v>-74.844661000000002</v>
      </c>
      <c r="AM3207">
        <v>100</v>
      </c>
      <c r="AN3207">
        <v>3200</v>
      </c>
      <c r="AO3207" t="s">
        <v>115</v>
      </c>
      <c r="AP3207">
        <v>181</v>
      </c>
      <c r="AQ3207">
        <v>-20</v>
      </c>
      <c r="AR3207">
        <v>-768</v>
      </c>
      <c r="AZ3207">
        <v>3614</v>
      </c>
      <c r="BA3207">
        <v>1</v>
      </c>
      <c r="BB3207" t="str">
        <f t="shared" si="149"/>
        <v xml:space="preserve">N959MJ  </v>
      </c>
      <c r="BC3207">
        <v>1</v>
      </c>
      <c r="BE3207">
        <v>0</v>
      </c>
      <c r="BF3207">
        <v>0</v>
      </c>
      <c r="BG3207">
        <v>0</v>
      </c>
      <c r="BH3207">
        <v>3400</v>
      </c>
      <c r="BI3207">
        <v>200</v>
      </c>
      <c r="BJ3207">
        <v>1</v>
      </c>
      <c r="BK3207">
        <v>1</v>
      </c>
      <c r="BL3207">
        <v>1</v>
      </c>
      <c r="BM3207">
        <v>0</v>
      </c>
      <c r="BP3207">
        <v>0</v>
      </c>
      <c r="BQ3207">
        <v>0</v>
      </c>
      <c r="BX3207" t="str">
        <f>"14:43:46.750"</f>
        <v>14:43:46.750</v>
      </c>
      <c r="BY3207" t="str">
        <f>"751723983"</f>
        <v>751723983</v>
      </c>
      <c r="CL3207">
        <v>0</v>
      </c>
      <c r="CM3207">
        <v>2</v>
      </c>
      <c r="CN3207">
        <v>0</v>
      </c>
      <c r="CO3207">
        <v>2</v>
      </c>
      <c r="CP3207">
        <v>0</v>
      </c>
      <c r="CQ3207">
        <v>7</v>
      </c>
      <c r="CR3207" t="s">
        <v>116</v>
      </c>
      <c r="CS3207">
        <v>38</v>
      </c>
      <c r="CT3207">
        <v>0</v>
      </c>
      <c r="CU3207" t="s">
        <v>4719</v>
      </c>
      <c r="CV3207" t="s">
        <v>4720</v>
      </c>
      <c r="CY3207">
        <v>7517521</v>
      </c>
      <c r="CZ3207" t="s">
        <v>119</v>
      </c>
    </row>
    <row r="3208" spans="1:104" x14ac:dyDescent="0.25">
      <c r="A3208" t="str">
        <f>"14:43:48.000"</f>
        <v>14:43:48.000</v>
      </c>
      <c r="B3208" t="s">
        <v>108</v>
      </c>
      <c r="C3208" t="str">
        <f t="shared" si="148"/>
        <v>ffdfd3c0</v>
      </c>
      <c r="D3208" t="s">
        <v>109</v>
      </c>
      <c r="E3208">
        <v>4</v>
      </c>
      <c r="F3208">
        <v>1004</v>
      </c>
      <c r="G3208" t="s">
        <v>110</v>
      </c>
      <c r="J3208" t="s">
        <v>111</v>
      </c>
      <c r="K3208">
        <v>0</v>
      </c>
      <c r="L3208">
        <v>3</v>
      </c>
      <c r="M3208">
        <v>0</v>
      </c>
      <c r="N3208">
        <v>2</v>
      </c>
      <c r="O3208">
        <v>1</v>
      </c>
      <c r="P3208">
        <v>0</v>
      </c>
      <c r="Q3208">
        <v>0</v>
      </c>
      <c r="R3208" t="s">
        <v>112</v>
      </c>
      <c r="S3208" t="str">
        <f>"14:43:47.828"</f>
        <v>14:43:47.828</v>
      </c>
      <c r="T3208" t="str">
        <f>"14:43:47.328"</f>
        <v>14:43:47.328</v>
      </c>
      <c r="U3208" t="str">
        <f t="shared" si="150"/>
        <v>ad5732</v>
      </c>
      <c r="V3208">
        <v>0</v>
      </c>
      <c r="W3208">
        <v>0</v>
      </c>
      <c r="X3208">
        <v>1</v>
      </c>
      <c r="Z3208">
        <v>0</v>
      </c>
      <c r="AA3208">
        <v>9</v>
      </c>
      <c r="AB3208">
        <v>3</v>
      </c>
      <c r="AC3208">
        <v>0</v>
      </c>
      <c r="AD3208">
        <v>10</v>
      </c>
      <c r="AE3208">
        <v>0</v>
      </c>
      <c r="AF3208">
        <v>3</v>
      </c>
      <c r="AG3208">
        <v>2</v>
      </c>
      <c r="AH3208">
        <v>0</v>
      </c>
      <c r="AI3208" t="s">
        <v>6524</v>
      </c>
      <c r="AJ3208">
        <v>40.394347000000003</v>
      </c>
      <c r="AK3208" t="s">
        <v>6525</v>
      </c>
      <c r="AL3208">
        <v>-74.843480999999997</v>
      </c>
      <c r="AM3208">
        <v>100</v>
      </c>
      <c r="AN3208">
        <v>3200</v>
      </c>
      <c r="AO3208" t="s">
        <v>115</v>
      </c>
      <c r="AP3208">
        <v>181</v>
      </c>
      <c r="AQ3208">
        <v>-20</v>
      </c>
      <c r="AR3208">
        <v>-768</v>
      </c>
      <c r="AZ3208">
        <v>3614</v>
      </c>
      <c r="BA3208">
        <v>1</v>
      </c>
      <c r="BB3208" t="str">
        <f t="shared" si="149"/>
        <v xml:space="preserve">N959MJ  </v>
      </c>
      <c r="BC3208">
        <v>1</v>
      </c>
      <c r="BE3208">
        <v>0</v>
      </c>
      <c r="BF3208">
        <v>0</v>
      </c>
      <c r="BG3208">
        <v>0</v>
      </c>
      <c r="BH3208">
        <v>3375</v>
      </c>
      <c r="BI3208">
        <v>175</v>
      </c>
      <c r="BJ3208">
        <v>1</v>
      </c>
      <c r="BK3208">
        <v>1</v>
      </c>
      <c r="BL3208">
        <v>1</v>
      </c>
      <c r="BM3208">
        <v>0</v>
      </c>
      <c r="BP3208">
        <v>0</v>
      </c>
      <c r="BQ3208">
        <v>0</v>
      </c>
      <c r="BX3208" t="str">
        <f>"14:43:47.836"</f>
        <v>14:43:47.836</v>
      </c>
      <c r="BY3208" t="str">
        <f>"833086866"</f>
        <v>833086866</v>
      </c>
      <c r="CL3208">
        <v>0</v>
      </c>
      <c r="CM3208">
        <v>2</v>
      </c>
      <c r="CN3208">
        <v>0</v>
      </c>
      <c r="CO3208">
        <v>2</v>
      </c>
      <c r="CP3208">
        <v>0</v>
      </c>
      <c r="CQ3208">
        <v>7</v>
      </c>
      <c r="CR3208" t="s">
        <v>116</v>
      </c>
      <c r="CS3208">
        <v>38</v>
      </c>
      <c r="CT3208">
        <v>0</v>
      </c>
      <c r="CU3208" t="s">
        <v>4719</v>
      </c>
      <c r="CV3208" t="s">
        <v>4720</v>
      </c>
      <c r="CY3208">
        <v>7519140</v>
      </c>
      <c r="CZ3208" t="s">
        <v>119</v>
      </c>
    </row>
    <row r="3209" spans="1:104" x14ac:dyDescent="0.25">
      <c r="A3209" t="str">
        <f>"14:43:48.961"</f>
        <v>14:43:48.961</v>
      </c>
      <c r="B3209" t="s">
        <v>108</v>
      </c>
      <c r="C3209" t="str">
        <f t="shared" si="148"/>
        <v>ffdfd3c0</v>
      </c>
      <c r="D3209" t="s">
        <v>109</v>
      </c>
      <c r="E3209">
        <v>4</v>
      </c>
      <c r="F3209">
        <v>1004</v>
      </c>
      <c r="G3209" t="s">
        <v>110</v>
      </c>
      <c r="J3209" t="s">
        <v>111</v>
      </c>
      <c r="K3209">
        <v>0</v>
      </c>
      <c r="L3209">
        <v>3</v>
      </c>
      <c r="M3209">
        <v>0</v>
      </c>
      <c r="N3209">
        <v>2</v>
      </c>
      <c r="O3209">
        <v>1</v>
      </c>
      <c r="P3209">
        <v>0</v>
      </c>
      <c r="Q3209">
        <v>0</v>
      </c>
      <c r="R3209" t="s">
        <v>112</v>
      </c>
      <c r="S3209" t="str">
        <f>"14:43:48.805"</f>
        <v>14:43:48.805</v>
      </c>
      <c r="T3209" t="str">
        <f>"14:43:48.406"</f>
        <v>14:43:48.406</v>
      </c>
      <c r="U3209" t="str">
        <f t="shared" si="150"/>
        <v>ad5732</v>
      </c>
      <c r="V3209">
        <v>0</v>
      </c>
      <c r="W3209">
        <v>0</v>
      </c>
      <c r="X3209">
        <v>1</v>
      </c>
      <c r="Z3209">
        <v>0</v>
      </c>
      <c r="AA3209">
        <v>9</v>
      </c>
      <c r="AB3209">
        <v>3</v>
      </c>
      <c r="AC3209">
        <v>0</v>
      </c>
      <c r="AD3209">
        <v>10</v>
      </c>
      <c r="AE3209">
        <v>0</v>
      </c>
      <c r="AF3209">
        <v>3</v>
      </c>
      <c r="AG3209">
        <v>2</v>
      </c>
      <c r="AH3209">
        <v>0</v>
      </c>
      <c r="AI3209" t="s">
        <v>6526</v>
      </c>
      <c r="AJ3209">
        <v>40.394261</v>
      </c>
      <c r="AK3209" t="s">
        <v>6527</v>
      </c>
      <c r="AL3209">
        <v>-74.842472000000001</v>
      </c>
      <c r="AM3209">
        <v>100</v>
      </c>
      <c r="AN3209">
        <v>3200</v>
      </c>
      <c r="AO3209" t="s">
        <v>115</v>
      </c>
      <c r="AP3209">
        <v>182</v>
      </c>
      <c r="AQ3209">
        <v>-19</v>
      </c>
      <c r="AR3209">
        <v>-768</v>
      </c>
      <c r="AZ3209">
        <v>3614</v>
      </c>
      <c r="BA3209">
        <v>1</v>
      </c>
      <c r="BB3209" t="str">
        <f t="shared" si="149"/>
        <v xml:space="preserve">N959MJ  </v>
      </c>
      <c r="BC3209">
        <v>1</v>
      </c>
      <c r="BE3209">
        <v>0</v>
      </c>
      <c r="BF3209">
        <v>0</v>
      </c>
      <c r="BG3209">
        <v>0</v>
      </c>
      <c r="BH3209">
        <v>3350</v>
      </c>
      <c r="BI3209">
        <v>150</v>
      </c>
      <c r="BJ3209">
        <v>1</v>
      </c>
      <c r="BK3209">
        <v>1</v>
      </c>
      <c r="BL3209">
        <v>1</v>
      </c>
      <c r="BM3209">
        <v>0</v>
      </c>
      <c r="BP3209">
        <v>0</v>
      </c>
      <c r="BQ3209">
        <v>0</v>
      </c>
      <c r="BX3209" t="str">
        <f>"14:43:48.813"</f>
        <v>14:43:48.813</v>
      </c>
      <c r="BY3209" t="str">
        <f>"811228618"</f>
        <v>811228618</v>
      </c>
      <c r="CL3209">
        <v>0</v>
      </c>
      <c r="CM3209">
        <v>2</v>
      </c>
      <c r="CN3209">
        <v>0</v>
      </c>
      <c r="CO3209">
        <v>2</v>
      </c>
      <c r="CP3209">
        <v>0</v>
      </c>
      <c r="CQ3209">
        <v>7</v>
      </c>
      <c r="CR3209" t="s">
        <v>116</v>
      </c>
      <c r="CS3209">
        <v>38</v>
      </c>
      <c r="CT3209">
        <v>3</v>
      </c>
      <c r="CU3209" t="s">
        <v>4719</v>
      </c>
      <c r="CV3209" t="s">
        <v>4720</v>
      </c>
      <c r="CY3209">
        <v>10945821</v>
      </c>
      <c r="CZ3209" t="s">
        <v>119</v>
      </c>
    </row>
    <row r="3210" spans="1:104" x14ac:dyDescent="0.25">
      <c r="A3210" t="str">
        <f>"14:43:50.117"</f>
        <v>14:43:50.117</v>
      </c>
      <c r="B3210" t="s">
        <v>108</v>
      </c>
      <c r="C3210" t="str">
        <f t="shared" ref="C3210:C3273" si="151">"ffdfd3c0"</f>
        <v>ffdfd3c0</v>
      </c>
      <c r="D3210" t="s">
        <v>109</v>
      </c>
      <c r="E3210">
        <v>4</v>
      </c>
      <c r="F3210">
        <v>1004</v>
      </c>
      <c r="G3210" t="s">
        <v>110</v>
      </c>
      <c r="J3210" t="s">
        <v>111</v>
      </c>
      <c r="K3210">
        <v>0</v>
      </c>
      <c r="L3210">
        <v>3</v>
      </c>
      <c r="M3210">
        <v>0</v>
      </c>
      <c r="N3210">
        <v>2</v>
      </c>
      <c r="O3210">
        <v>1</v>
      </c>
      <c r="P3210">
        <v>0</v>
      </c>
      <c r="Q3210">
        <v>0</v>
      </c>
      <c r="R3210" t="s">
        <v>112</v>
      </c>
      <c r="S3210" t="str">
        <f>"14:43:49.914"</f>
        <v>14:43:49.914</v>
      </c>
      <c r="T3210" t="str">
        <f>"14:43:49.414"</f>
        <v>14:43:49.414</v>
      </c>
      <c r="U3210" t="str">
        <f t="shared" si="150"/>
        <v>ad5732</v>
      </c>
      <c r="V3210">
        <v>0</v>
      </c>
      <c r="W3210">
        <v>0</v>
      </c>
      <c r="X3210">
        <v>1</v>
      </c>
      <c r="Z3210">
        <v>0</v>
      </c>
      <c r="AA3210">
        <v>9</v>
      </c>
      <c r="AB3210">
        <v>3</v>
      </c>
      <c r="AC3210">
        <v>0</v>
      </c>
      <c r="AD3210">
        <v>10</v>
      </c>
      <c r="AE3210">
        <v>0</v>
      </c>
      <c r="AF3210">
        <v>3</v>
      </c>
      <c r="AG3210">
        <v>2</v>
      </c>
      <c r="AH3210">
        <v>0</v>
      </c>
      <c r="AI3210" t="s">
        <v>6528</v>
      </c>
      <c r="AJ3210">
        <v>40.394174999999997</v>
      </c>
      <c r="AK3210" t="s">
        <v>6529</v>
      </c>
      <c r="AL3210">
        <v>-74.841249000000005</v>
      </c>
      <c r="AM3210">
        <v>100</v>
      </c>
      <c r="AN3210">
        <v>3200</v>
      </c>
      <c r="AO3210" t="s">
        <v>115</v>
      </c>
      <c r="AP3210">
        <v>182</v>
      </c>
      <c r="AQ3210">
        <v>-19</v>
      </c>
      <c r="AR3210">
        <v>-768</v>
      </c>
      <c r="AZ3210">
        <v>3614</v>
      </c>
      <c r="BA3210">
        <v>1</v>
      </c>
      <c r="BB3210" t="str">
        <f t="shared" ref="BB3210:BB3273" si="152">"N959MJ  "</f>
        <v xml:space="preserve">N959MJ  </v>
      </c>
      <c r="BC3210">
        <v>1</v>
      </c>
      <c r="BE3210">
        <v>0</v>
      </c>
      <c r="BF3210">
        <v>0</v>
      </c>
      <c r="BG3210">
        <v>0</v>
      </c>
      <c r="BH3210">
        <v>3350</v>
      </c>
      <c r="BI3210">
        <v>150</v>
      </c>
      <c r="BJ3210">
        <v>1</v>
      </c>
      <c r="BK3210">
        <v>1</v>
      </c>
      <c r="BL3210">
        <v>1</v>
      </c>
      <c r="BM3210">
        <v>0</v>
      </c>
      <c r="BP3210">
        <v>0</v>
      </c>
      <c r="BQ3210">
        <v>0</v>
      </c>
      <c r="BX3210" t="str">
        <f>"14:43:49.922"</f>
        <v>14:43:49.922</v>
      </c>
      <c r="BY3210" t="str">
        <f>"918806307"</f>
        <v>918806307</v>
      </c>
      <c r="CL3210">
        <v>0</v>
      </c>
      <c r="CM3210">
        <v>2</v>
      </c>
      <c r="CN3210">
        <v>0</v>
      </c>
      <c r="CO3210">
        <v>2</v>
      </c>
      <c r="CP3210">
        <v>0</v>
      </c>
      <c r="CQ3210">
        <v>7</v>
      </c>
      <c r="CR3210" t="s">
        <v>116</v>
      </c>
      <c r="CS3210">
        <v>38</v>
      </c>
      <c r="CT3210">
        <v>3</v>
      </c>
      <c r="CU3210" t="s">
        <v>4719</v>
      </c>
      <c r="CV3210" t="s">
        <v>4720</v>
      </c>
      <c r="CY3210">
        <v>10947739</v>
      </c>
      <c r="CZ3210" t="s">
        <v>119</v>
      </c>
    </row>
    <row r="3211" spans="1:104" x14ac:dyDescent="0.25">
      <c r="A3211" t="str">
        <f>"14:43:51.031"</f>
        <v>14:43:51.031</v>
      </c>
      <c r="B3211" t="s">
        <v>108</v>
      </c>
      <c r="C3211" t="str">
        <f t="shared" si="151"/>
        <v>ffdfd3c0</v>
      </c>
      <c r="D3211" t="s">
        <v>109</v>
      </c>
      <c r="E3211">
        <v>4</v>
      </c>
      <c r="F3211">
        <v>1004</v>
      </c>
      <c r="G3211" t="s">
        <v>110</v>
      </c>
      <c r="J3211" t="s">
        <v>111</v>
      </c>
      <c r="K3211">
        <v>0</v>
      </c>
      <c r="L3211">
        <v>3</v>
      </c>
      <c r="M3211">
        <v>0</v>
      </c>
      <c r="N3211">
        <v>2</v>
      </c>
      <c r="O3211">
        <v>1</v>
      </c>
      <c r="P3211">
        <v>0</v>
      </c>
      <c r="Q3211">
        <v>0</v>
      </c>
      <c r="R3211" t="s">
        <v>112</v>
      </c>
      <c r="S3211" t="str">
        <f>"14:43:50.813"</f>
        <v>14:43:50.813</v>
      </c>
      <c r="T3211" t="str">
        <f>"14:43:50.414"</f>
        <v>14:43:50.414</v>
      </c>
      <c r="U3211" t="str">
        <f t="shared" si="150"/>
        <v>ad5732</v>
      </c>
      <c r="V3211">
        <v>0</v>
      </c>
      <c r="W3211">
        <v>0</v>
      </c>
      <c r="X3211">
        <v>1</v>
      </c>
      <c r="Z3211">
        <v>0</v>
      </c>
      <c r="AA3211">
        <v>9</v>
      </c>
      <c r="AB3211">
        <v>3</v>
      </c>
      <c r="AC3211">
        <v>0</v>
      </c>
      <c r="AD3211">
        <v>10</v>
      </c>
      <c r="AE3211">
        <v>0</v>
      </c>
      <c r="AF3211">
        <v>3</v>
      </c>
      <c r="AG3211">
        <v>2</v>
      </c>
      <c r="AH3211">
        <v>0</v>
      </c>
      <c r="AI3211" t="s">
        <v>6530</v>
      </c>
      <c r="AJ3211">
        <v>40.394111000000002</v>
      </c>
      <c r="AK3211" t="s">
        <v>6531</v>
      </c>
      <c r="AL3211">
        <v>-74.840261999999996</v>
      </c>
      <c r="AM3211">
        <v>100</v>
      </c>
      <c r="AN3211">
        <v>3100</v>
      </c>
      <c r="AO3211" t="s">
        <v>115</v>
      </c>
      <c r="AP3211">
        <v>182</v>
      </c>
      <c r="AQ3211">
        <v>-19</v>
      </c>
      <c r="AR3211">
        <v>-768</v>
      </c>
      <c r="AZ3211">
        <v>3614</v>
      </c>
      <c r="BA3211">
        <v>1</v>
      </c>
      <c r="BB3211" t="str">
        <f t="shared" si="152"/>
        <v xml:space="preserve">N959MJ  </v>
      </c>
      <c r="BC3211">
        <v>1</v>
      </c>
      <c r="BE3211">
        <v>0</v>
      </c>
      <c r="BF3211">
        <v>0</v>
      </c>
      <c r="BG3211">
        <v>0</v>
      </c>
      <c r="BH3211">
        <v>3325</v>
      </c>
      <c r="BI3211">
        <v>225</v>
      </c>
      <c r="BJ3211">
        <v>1</v>
      </c>
      <c r="BK3211">
        <v>1</v>
      </c>
      <c r="BL3211">
        <v>1</v>
      </c>
      <c r="BM3211">
        <v>0</v>
      </c>
      <c r="BP3211">
        <v>0</v>
      </c>
      <c r="BQ3211">
        <v>0</v>
      </c>
      <c r="BX3211" t="str">
        <f>"14:43:50.820"</f>
        <v>14:43:50.820</v>
      </c>
      <c r="BY3211" t="str">
        <f>"819942003"</f>
        <v>819942003</v>
      </c>
      <c r="CL3211">
        <v>0</v>
      </c>
      <c r="CM3211">
        <v>2</v>
      </c>
      <c r="CN3211">
        <v>0</v>
      </c>
      <c r="CO3211">
        <v>2</v>
      </c>
      <c r="CP3211">
        <v>0</v>
      </c>
      <c r="CQ3211">
        <v>7</v>
      </c>
      <c r="CR3211" t="s">
        <v>116</v>
      </c>
      <c r="CS3211">
        <v>38</v>
      </c>
      <c r="CT3211">
        <v>3</v>
      </c>
      <c r="CU3211" t="s">
        <v>4719</v>
      </c>
      <c r="CV3211" t="s">
        <v>4720</v>
      </c>
      <c r="CY3211">
        <v>10949222</v>
      </c>
      <c r="CZ3211" t="s">
        <v>119</v>
      </c>
    </row>
    <row r="3212" spans="1:104" x14ac:dyDescent="0.25">
      <c r="A3212" t="str">
        <f>"14:43:51.984"</f>
        <v>14:43:51.984</v>
      </c>
      <c r="B3212" t="s">
        <v>108</v>
      </c>
      <c r="C3212" t="str">
        <f t="shared" si="151"/>
        <v>ffdfd3c0</v>
      </c>
      <c r="D3212" t="s">
        <v>109</v>
      </c>
      <c r="E3212">
        <v>4</v>
      </c>
      <c r="F3212">
        <v>1004</v>
      </c>
      <c r="G3212" t="s">
        <v>110</v>
      </c>
      <c r="J3212" t="s">
        <v>111</v>
      </c>
      <c r="K3212">
        <v>0</v>
      </c>
      <c r="L3212">
        <v>3</v>
      </c>
      <c r="M3212">
        <v>0</v>
      </c>
      <c r="N3212">
        <v>2</v>
      </c>
      <c r="O3212">
        <v>1</v>
      </c>
      <c r="P3212">
        <v>0</v>
      </c>
      <c r="Q3212">
        <v>0</v>
      </c>
      <c r="R3212" t="s">
        <v>112</v>
      </c>
      <c r="S3212" t="str">
        <f>"14:43:51.813"</f>
        <v>14:43:51.813</v>
      </c>
      <c r="T3212" t="str">
        <f>"14:43:51.414"</f>
        <v>14:43:51.414</v>
      </c>
      <c r="U3212" t="str">
        <f t="shared" si="150"/>
        <v>ad5732</v>
      </c>
      <c r="V3212">
        <v>0</v>
      </c>
      <c r="W3212">
        <v>0</v>
      </c>
      <c r="X3212">
        <v>1</v>
      </c>
      <c r="Z3212">
        <v>0</v>
      </c>
      <c r="AA3212">
        <v>9</v>
      </c>
      <c r="AB3212">
        <v>3</v>
      </c>
      <c r="AC3212">
        <v>0</v>
      </c>
      <c r="AD3212">
        <v>10</v>
      </c>
      <c r="AE3212">
        <v>0</v>
      </c>
      <c r="AF3212">
        <v>3</v>
      </c>
      <c r="AG3212">
        <v>2</v>
      </c>
      <c r="AH3212">
        <v>0</v>
      </c>
      <c r="AI3212" t="s">
        <v>6532</v>
      </c>
      <c r="AJ3212">
        <v>40.394024999999999</v>
      </c>
      <c r="AK3212" t="s">
        <v>6533</v>
      </c>
      <c r="AL3212">
        <v>-74.839168000000001</v>
      </c>
      <c r="AM3212">
        <v>100</v>
      </c>
      <c r="AN3212">
        <v>3100</v>
      </c>
      <c r="AO3212" t="s">
        <v>115</v>
      </c>
      <c r="AP3212">
        <v>182</v>
      </c>
      <c r="AQ3212">
        <v>-19</v>
      </c>
      <c r="AR3212">
        <v>-832</v>
      </c>
      <c r="AZ3212">
        <v>3614</v>
      </c>
      <c r="BA3212">
        <v>1</v>
      </c>
      <c r="BB3212" t="str">
        <f t="shared" si="152"/>
        <v xml:space="preserve">N959MJ  </v>
      </c>
      <c r="BC3212">
        <v>1</v>
      </c>
      <c r="BE3212">
        <v>0</v>
      </c>
      <c r="BF3212">
        <v>0</v>
      </c>
      <c r="BG3212">
        <v>0</v>
      </c>
      <c r="BH3212">
        <v>3325</v>
      </c>
      <c r="BI3212">
        <v>225</v>
      </c>
      <c r="BJ3212">
        <v>1</v>
      </c>
      <c r="BK3212">
        <v>1</v>
      </c>
      <c r="BL3212">
        <v>1</v>
      </c>
      <c r="BM3212">
        <v>0</v>
      </c>
      <c r="BP3212">
        <v>0</v>
      </c>
      <c r="BQ3212">
        <v>0</v>
      </c>
      <c r="BX3212" t="str">
        <f>"14:43:51.820"</f>
        <v>14:43:51.820</v>
      </c>
      <c r="BY3212" t="str">
        <f>"819383532"</f>
        <v>819383532</v>
      </c>
      <c r="CL3212">
        <v>0</v>
      </c>
      <c r="CM3212">
        <v>2</v>
      </c>
      <c r="CN3212">
        <v>0</v>
      </c>
      <c r="CO3212">
        <v>2</v>
      </c>
      <c r="CP3212">
        <v>0</v>
      </c>
      <c r="CQ3212">
        <v>7</v>
      </c>
      <c r="CR3212" t="s">
        <v>116</v>
      </c>
      <c r="CS3212">
        <v>38</v>
      </c>
      <c r="CT3212">
        <v>0</v>
      </c>
      <c r="CU3212" t="s">
        <v>4719</v>
      </c>
      <c r="CV3212" t="s">
        <v>4720</v>
      </c>
      <c r="CY3212">
        <v>7525389</v>
      </c>
      <c r="CZ3212" t="s">
        <v>119</v>
      </c>
    </row>
    <row r="3213" spans="1:104" x14ac:dyDescent="0.25">
      <c r="A3213" t="str">
        <f>"14:43:53.000"</f>
        <v>14:43:53.000</v>
      </c>
      <c r="B3213" t="s">
        <v>108</v>
      </c>
      <c r="C3213" t="str">
        <f t="shared" si="151"/>
        <v>ffdfd3c0</v>
      </c>
      <c r="D3213" t="s">
        <v>109</v>
      </c>
      <c r="E3213">
        <v>4</v>
      </c>
      <c r="F3213">
        <v>1004</v>
      </c>
      <c r="G3213" t="s">
        <v>110</v>
      </c>
      <c r="J3213" t="s">
        <v>111</v>
      </c>
      <c r="K3213">
        <v>0</v>
      </c>
      <c r="L3213">
        <v>3</v>
      </c>
      <c r="M3213">
        <v>0</v>
      </c>
      <c r="N3213">
        <v>2</v>
      </c>
      <c r="O3213">
        <v>1</v>
      </c>
      <c r="P3213">
        <v>0</v>
      </c>
      <c r="Q3213">
        <v>0</v>
      </c>
      <c r="R3213" t="s">
        <v>112</v>
      </c>
      <c r="S3213" t="str">
        <f>"14:43:52.836"</f>
        <v>14:43:52.836</v>
      </c>
      <c r="T3213" t="str">
        <f>"14:43:52.336"</f>
        <v>14:43:52.336</v>
      </c>
      <c r="U3213" t="str">
        <f t="shared" si="150"/>
        <v>ad5732</v>
      </c>
      <c r="V3213">
        <v>0</v>
      </c>
      <c r="W3213">
        <v>0</v>
      </c>
      <c r="X3213">
        <v>1</v>
      </c>
      <c r="Z3213">
        <v>0</v>
      </c>
      <c r="AA3213">
        <v>9</v>
      </c>
      <c r="AB3213">
        <v>3</v>
      </c>
      <c r="AC3213">
        <v>0</v>
      </c>
      <c r="AD3213">
        <v>10</v>
      </c>
      <c r="AE3213">
        <v>0</v>
      </c>
      <c r="AF3213">
        <v>3</v>
      </c>
      <c r="AG3213">
        <v>2</v>
      </c>
      <c r="AH3213">
        <v>0</v>
      </c>
      <c r="AI3213" t="s">
        <v>6534</v>
      </c>
      <c r="AJ3213">
        <v>40.393939000000003</v>
      </c>
      <c r="AK3213" t="s">
        <v>6535</v>
      </c>
      <c r="AL3213">
        <v>-74.837923000000004</v>
      </c>
      <c r="AM3213">
        <v>100</v>
      </c>
      <c r="AN3213">
        <v>3100</v>
      </c>
      <c r="AO3213" t="s">
        <v>115</v>
      </c>
      <c r="AP3213">
        <v>182</v>
      </c>
      <c r="AQ3213">
        <v>-19</v>
      </c>
      <c r="AR3213">
        <v>-896</v>
      </c>
      <c r="AZ3213">
        <v>3614</v>
      </c>
      <c r="BA3213">
        <v>1</v>
      </c>
      <c r="BB3213" t="str">
        <f t="shared" si="152"/>
        <v xml:space="preserve">N959MJ  </v>
      </c>
      <c r="BC3213">
        <v>1</v>
      </c>
      <c r="BE3213">
        <v>0</v>
      </c>
      <c r="BF3213">
        <v>0</v>
      </c>
      <c r="BG3213">
        <v>0</v>
      </c>
      <c r="BH3213">
        <v>3300</v>
      </c>
      <c r="BI3213">
        <v>200</v>
      </c>
      <c r="BJ3213">
        <v>1</v>
      </c>
      <c r="BK3213">
        <v>1</v>
      </c>
      <c r="BL3213">
        <v>1</v>
      </c>
      <c r="BM3213">
        <v>0</v>
      </c>
      <c r="BP3213">
        <v>0</v>
      </c>
      <c r="BQ3213">
        <v>0</v>
      </c>
      <c r="BX3213" t="str">
        <f>"14:43:52.836"</f>
        <v>14:43:52.836</v>
      </c>
      <c r="BY3213" t="str">
        <f>"836847564"</f>
        <v>836847564</v>
      </c>
      <c r="CL3213">
        <v>0</v>
      </c>
      <c r="CM3213">
        <v>2</v>
      </c>
      <c r="CN3213">
        <v>0</v>
      </c>
      <c r="CO3213">
        <v>2</v>
      </c>
      <c r="CP3213">
        <v>0</v>
      </c>
      <c r="CQ3213">
        <v>7</v>
      </c>
      <c r="CR3213" t="s">
        <v>116</v>
      </c>
      <c r="CS3213">
        <v>38</v>
      </c>
      <c r="CT3213">
        <v>0</v>
      </c>
      <c r="CU3213" t="s">
        <v>4719</v>
      </c>
      <c r="CV3213" t="s">
        <v>4720</v>
      </c>
      <c r="CY3213">
        <v>7526948</v>
      </c>
      <c r="CZ3213" t="s">
        <v>119</v>
      </c>
    </row>
    <row r="3214" spans="1:104" x14ac:dyDescent="0.25">
      <c r="A3214" t="str">
        <f>"14:43:54.109"</f>
        <v>14:43:54.109</v>
      </c>
      <c r="B3214" t="s">
        <v>108</v>
      </c>
      <c r="C3214" t="str">
        <f t="shared" si="151"/>
        <v>ffdfd3c0</v>
      </c>
      <c r="D3214" t="s">
        <v>109</v>
      </c>
      <c r="E3214">
        <v>4</v>
      </c>
      <c r="F3214">
        <v>1004</v>
      </c>
      <c r="G3214" t="s">
        <v>110</v>
      </c>
      <c r="J3214" t="s">
        <v>111</v>
      </c>
      <c r="K3214">
        <v>0</v>
      </c>
      <c r="L3214">
        <v>3</v>
      </c>
      <c r="M3214">
        <v>0</v>
      </c>
      <c r="N3214">
        <v>2</v>
      </c>
      <c r="O3214">
        <v>1</v>
      </c>
      <c r="P3214">
        <v>0</v>
      </c>
      <c r="Q3214">
        <v>0</v>
      </c>
      <c r="R3214" t="s">
        <v>112</v>
      </c>
      <c r="S3214" t="str">
        <f>"14:43:53.914"</f>
        <v>14:43:53.914</v>
      </c>
      <c r="T3214" t="str">
        <f>"14:43:53.516"</f>
        <v>14:43:53.516</v>
      </c>
      <c r="U3214" t="str">
        <f t="shared" si="150"/>
        <v>ad5732</v>
      </c>
      <c r="V3214">
        <v>0</v>
      </c>
      <c r="W3214">
        <v>0</v>
      </c>
      <c r="X3214">
        <v>1</v>
      </c>
      <c r="Z3214">
        <v>0</v>
      </c>
      <c r="AA3214">
        <v>9</v>
      </c>
      <c r="AB3214">
        <v>3</v>
      </c>
      <c r="AC3214">
        <v>0</v>
      </c>
      <c r="AD3214">
        <v>10</v>
      </c>
      <c r="AE3214">
        <v>0</v>
      </c>
      <c r="AF3214">
        <v>3</v>
      </c>
      <c r="AG3214">
        <v>2</v>
      </c>
      <c r="AH3214">
        <v>0</v>
      </c>
      <c r="AI3214" t="s">
        <v>6536</v>
      </c>
      <c r="AJ3214">
        <v>40.393832000000003</v>
      </c>
      <c r="AK3214" t="s">
        <v>6537</v>
      </c>
      <c r="AL3214">
        <v>-74.836872</v>
      </c>
      <c r="AM3214">
        <v>100</v>
      </c>
      <c r="AN3214">
        <v>3100</v>
      </c>
      <c r="AO3214" t="s">
        <v>115</v>
      </c>
      <c r="AP3214">
        <v>183</v>
      </c>
      <c r="AQ3214">
        <v>-19</v>
      </c>
      <c r="AR3214">
        <v>-960</v>
      </c>
      <c r="AZ3214">
        <v>3614</v>
      </c>
      <c r="BA3214">
        <v>1</v>
      </c>
      <c r="BB3214" t="str">
        <f t="shared" si="152"/>
        <v xml:space="preserve">N959MJ  </v>
      </c>
      <c r="BC3214">
        <v>1</v>
      </c>
      <c r="BE3214">
        <v>0</v>
      </c>
      <c r="BF3214">
        <v>0</v>
      </c>
      <c r="BG3214">
        <v>0</v>
      </c>
      <c r="BH3214">
        <v>3300</v>
      </c>
      <c r="BI3214">
        <v>200</v>
      </c>
      <c r="BJ3214">
        <v>1</v>
      </c>
      <c r="BK3214">
        <v>1</v>
      </c>
      <c r="BL3214">
        <v>1</v>
      </c>
      <c r="BM3214">
        <v>0</v>
      </c>
      <c r="BP3214">
        <v>0</v>
      </c>
      <c r="BQ3214">
        <v>0</v>
      </c>
      <c r="BX3214" t="str">
        <f>"14:43:53.922"</f>
        <v>14:43:53.922</v>
      </c>
      <c r="BY3214" t="str">
        <f>"919848927"</f>
        <v>919848927</v>
      </c>
      <c r="CL3214">
        <v>0</v>
      </c>
      <c r="CM3214">
        <v>2</v>
      </c>
      <c r="CN3214">
        <v>0</v>
      </c>
      <c r="CO3214">
        <v>2</v>
      </c>
      <c r="CP3214">
        <v>0</v>
      </c>
      <c r="CQ3214">
        <v>7</v>
      </c>
      <c r="CR3214" t="s">
        <v>116</v>
      </c>
      <c r="CS3214">
        <v>38</v>
      </c>
      <c r="CT3214">
        <v>0</v>
      </c>
      <c r="CU3214" t="s">
        <v>4719</v>
      </c>
      <c r="CV3214" t="s">
        <v>4720</v>
      </c>
      <c r="CY3214">
        <v>7528708</v>
      </c>
      <c r="CZ3214" t="s">
        <v>119</v>
      </c>
    </row>
    <row r="3215" spans="1:104" x14ac:dyDescent="0.25">
      <c r="A3215" t="str">
        <f>"14:43:54.914"</f>
        <v>14:43:54.914</v>
      </c>
      <c r="B3215" t="s">
        <v>108</v>
      </c>
      <c r="C3215" t="str">
        <f t="shared" si="151"/>
        <v>ffdfd3c0</v>
      </c>
      <c r="D3215" t="s">
        <v>109</v>
      </c>
      <c r="E3215">
        <v>4</v>
      </c>
      <c r="F3215">
        <v>1004</v>
      </c>
      <c r="G3215" t="s">
        <v>110</v>
      </c>
      <c r="J3215" t="s">
        <v>111</v>
      </c>
      <c r="K3215">
        <v>0</v>
      </c>
      <c r="L3215">
        <v>3</v>
      </c>
      <c r="M3215">
        <v>0</v>
      </c>
      <c r="N3215">
        <v>2</v>
      </c>
      <c r="O3215">
        <v>1</v>
      </c>
      <c r="P3215">
        <v>0</v>
      </c>
      <c r="Q3215">
        <v>0</v>
      </c>
      <c r="R3215" t="s">
        <v>112</v>
      </c>
      <c r="S3215" t="str">
        <f>"14:43:54.750"</f>
        <v>14:43:54.750</v>
      </c>
      <c r="T3215" t="str">
        <f>"14:43:54.352"</f>
        <v>14:43:54.352</v>
      </c>
      <c r="U3215" t="str">
        <f t="shared" si="150"/>
        <v>ad5732</v>
      </c>
      <c r="V3215">
        <v>0</v>
      </c>
      <c r="W3215">
        <v>0</v>
      </c>
      <c r="X3215">
        <v>1</v>
      </c>
      <c r="Z3215">
        <v>0</v>
      </c>
      <c r="AA3215">
        <v>9</v>
      </c>
      <c r="AB3215">
        <v>3</v>
      </c>
      <c r="AC3215">
        <v>0</v>
      </c>
      <c r="AD3215">
        <v>10</v>
      </c>
      <c r="AE3215">
        <v>0</v>
      </c>
      <c r="AF3215">
        <v>3</v>
      </c>
      <c r="AG3215">
        <v>2</v>
      </c>
      <c r="AH3215">
        <v>0</v>
      </c>
      <c r="AI3215" t="s">
        <v>6538</v>
      </c>
      <c r="AJ3215">
        <v>40.393746</v>
      </c>
      <c r="AK3215" t="s">
        <v>6539</v>
      </c>
      <c r="AL3215">
        <v>-74.835819999999998</v>
      </c>
      <c r="AM3215">
        <v>100</v>
      </c>
      <c r="AN3215">
        <v>3100</v>
      </c>
      <c r="AO3215" t="s">
        <v>115</v>
      </c>
      <c r="AP3215">
        <v>183</v>
      </c>
      <c r="AQ3215">
        <v>-19</v>
      </c>
      <c r="AR3215">
        <v>-1024</v>
      </c>
      <c r="AZ3215">
        <v>3614</v>
      </c>
      <c r="BA3215">
        <v>1</v>
      </c>
      <c r="BB3215" t="str">
        <f t="shared" si="152"/>
        <v xml:space="preserve">N959MJ  </v>
      </c>
      <c r="BC3215">
        <v>1</v>
      </c>
      <c r="BE3215">
        <v>0</v>
      </c>
      <c r="BF3215">
        <v>0</v>
      </c>
      <c r="BG3215">
        <v>0</v>
      </c>
      <c r="BH3215">
        <v>3275</v>
      </c>
      <c r="BI3215">
        <v>175</v>
      </c>
      <c r="BJ3215">
        <v>1</v>
      </c>
      <c r="BK3215">
        <v>1</v>
      </c>
      <c r="BL3215">
        <v>1</v>
      </c>
      <c r="BM3215">
        <v>0</v>
      </c>
      <c r="BP3215">
        <v>0</v>
      </c>
      <c r="BQ3215">
        <v>0</v>
      </c>
      <c r="BX3215" t="str">
        <f>"14:43:54.758"</f>
        <v>14:43:54.758</v>
      </c>
      <c r="BY3215" t="str">
        <f>"755447401"</f>
        <v>755447401</v>
      </c>
      <c r="CL3215">
        <v>0</v>
      </c>
      <c r="CM3215">
        <v>2</v>
      </c>
      <c r="CN3215">
        <v>0</v>
      </c>
      <c r="CO3215">
        <v>2</v>
      </c>
      <c r="CP3215">
        <v>0</v>
      </c>
      <c r="CQ3215">
        <v>7</v>
      </c>
      <c r="CR3215" t="s">
        <v>116</v>
      </c>
      <c r="CS3215">
        <v>38</v>
      </c>
      <c r="CT3215">
        <v>0</v>
      </c>
      <c r="CU3215" t="s">
        <v>4719</v>
      </c>
      <c r="CV3215" t="s">
        <v>4720</v>
      </c>
      <c r="CY3215">
        <v>7530048</v>
      </c>
      <c r="CZ3215" t="s">
        <v>119</v>
      </c>
    </row>
    <row r="3216" spans="1:104" x14ac:dyDescent="0.25">
      <c r="A3216" t="str">
        <f>"14:43:55.820"</f>
        <v>14:43:55.820</v>
      </c>
      <c r="B3216" t="s">
        <v>108</v>
      </c>
      <c r="C3216" t="str">
        <f t="shared" si="151"/>
        <v>ffdfd3c0</v>
      </c>
      <c r="D3216" t="s">
        <v>109</v>
      </c>
      <c r="E3216">
        <v>4</v>
      </c>
      <c r="F3216">
        <v>1004</v>
      </c>
      <c r="G3216" t="s">
        <v>110</v>
      </c>
      <c r="J3216" t="s">
        <v>111</v>
      </c>
      <c r="K3216">
        <v>0</v>
      </c>
      <c r="L3216">
        <v>3</v>
      </c>
      <c r="M3216">
        <v>0</v>
      </c>
      <c r="N3216">
        <v>2</v>
      </c>
      <c r="O3216">
        <v>1</v>
      </c>
      <c r="P3216">
        <v>0</v>
      </c>
      <c r="Q3216">
        <v>0</v>
      </c>
      <c r="R3216" t="s">
        <v>112</v>
      </c>
      <c r="S3216" t="str">
        <f>"14:43:55.648"</f>
        <v>14:43:55.648</v>
      </c>
      <c r="T3216" t="str">
        <f>"14:43:55.250"</f>
        <v>14:43:55.250</v>
      </c>
      <c r="U3216" t="str">
        <f t="shared" si="150"/>
        <v>ad5732</v>
      </c>
      <c r="V3216">
        <v>0</v>
      </c>
      <c r="W3216">
        <v>0</v>
      </c>
      <c r="X3216">
        <v>1</v>
      </c>
      <c r="Z3216">
        <v>0</v>
      </c>
      <c r="AA3216">
        <v>9</v>
      </c>
      <c r="AB3216">
        <v>3</v>
      </c>
      <c r="AC3216">
        <v>0</v>
      </c>
      <c r="AD3216">
        <v>10</v>
      </c>
      <c r="AE3216">
        <v>0</v>
      </c>
      <c r="AF3216">
        <v>3</v>
      </c>
      <c r="AG3216">
        <v>2</v>
      </c>
      <c r="AH3216">
        <v>0</v>
      </c>
      <c r="AI3216" t="s">
        <v>6540</v>
      </c>
      <c r="AJ3216">
        <v>40.393659999999997</v>
      </c>
      <c r="AK3216" t="s">
        <v>6541</v>
      </c>
      <c r="AL3216">
        <v>-74.834875999999994</v>
      </c>
      <c r="AM3216">
        <v>100</v>
      </c>
      <c r="AN3216">
        <v>3000</v>
      </c>
      <c r="AO3216" t="s">
        <v>115</v>
      </c>
      <c r="AP3216">
        <v>183</v>
      </c>
      <c r="AQ3216">
        <v>-19</v>
      </c>
      <c r="AR3216">
        <v>-1088</v>
      </c>
      <c r="AZ3216">
        <v>3614</v>
      </c>
      <c r="BA3216">
        <v>1</v>
      </c>
      <c r="BB3216" t="str">
        <f t="shared" si="152"/>
        <v xml:space="preserve">N959MJ  </v>
      </c>
      <c r="BC3216">
        <v>1</v>
      </c>
      <c r="BE3216">
        <v>0</v>
      </c>
      <c r="BF3216">
        <v>0</v>
      </c>
      <c r="BG3216">
        <v>0</v>
      </c>
      <c r="BH3216">
        <v>3250</v>
      </c>
      <c r="BI3216">
        <v>250</v>
      </c>
      <c r="BJ3216">
        <v>1</v>
      </c>
      <c r="BK3216">
        <v>1</v>
      </c>
      <c r="BL3216">
        <v>1</v>
      </c>
      <c r="BM3216">
        <v>0</v>
      </c>
      <c r="BP3216">
        <v>0</v>
      </c>
      <c r="BQ3216">
        <v>0</v>
      </c>
      <c r="BX3216" t="str">
        <f>"14:43:55.656"</f>
        <v>14:43:55.656</v>
      </c>
      <c r="BY3216" t="str">
        <f>"654944699"</f>
        <v>654944699</v>
      </c>
      <c r="CL3216">
        <v>0</v>
      </c>
      <c r="CM3216">
        <v>2</v>
      </c>
      <c r="CN3216">
        <v>0</v>
      </c>
      <c r="CO3216">
        <v>2</v>
      </c>
      <c r="CP3216">
        <v>0</v>
      </c>
      <c r="CQ3216">
        <v>7</v>
      </c>
      <c r="CR3216" t="s">
        <v>116</v>
      </c>
      <c r="CS3216">
        <v>38</v>
      </c>
      <c r="CT3216">
        <v>3</v>
      </c>
      <c r="CU3216" t="s">
        <v>4719</v>
      </c>
      <c r="CV3216" t="s">
        <v>4720</v>
      </c>
      <c r="CY3216">
        <v>10957675</v>
      </c>
      <c r="CZ3216" t="s">
        <v>119</v>
      </c>
    </row>
    <row r="3217" spans="1:104" x14ac:dyDescent="0.25">
      <c r="A3217" t="str">
        <f>"14:43:56.938"</f>
        <v>14:43:56.938</v>
      </c>
      <c r="B3217" t="s">
        <v>108</v>
      </c>
      <c r="C3217" t="str">
        <f t="shared" si="151"/>
        <v>ffdfd3c0</v>
      </c>
      <c r="D3217" t="s">
        <v>109</v>
      </c>
      <c r="E3217">
        <v>4</v>
      </c>
      <c r="F3217">
        <v>1004</v>
      </c>
      <c r="G3217" t="s">
        <v>110</v>
      </c>
      <c r="J3217" t="s">
        <v>111</v>
      </c>
      <c r="K3217">
        <v>0</v>
      </c>
      <c r="L3217">
        <v>3</v>
      </c>
      <c r="M3217">
        <v>0</v>
      </c>
      <c r="N3217">
        <v>2</v>
      </c>
      <c r="O3217">
        <v>1</v>
      </c>
      <c r="P3217">
        <v>0</v>
      </c>
      <c r="Q3217">
        <v>0</v>
      </c>
      <c r="R3217" t="s">
        <v>112</v>
      </c>
      <c r="S3217" t="str">
        <f>"14:43:56.711"</f>
        <v>14:43:56.711</v>
      </c>
      <c r="T3217" t="str">
        <f>"14:43:56.211"</f>
        <v>14:43:56.211</v>
      </c>
      <c r="U3217" t="str">
        <f t="shared" si="150"/>
        <v>ad5732</v>
      </c>
      <c r="V3217">
        <v>0</v>
      </c>
      <c r="W3217">
        <v>0</v>
      </c>
      <c r="X3217">
        <v>1</v>
      </c>
      <c r="Z3217">
        <v>0</v>
      </c>
      <c r="AA3217">
        <v>9</v>
      </c>
      <c r="AB3217">
        <v>3</v>
      </c>
      <c r="AC3217">
        <v>0</v>
      </c>
      <c r="AD3217">
        <v>10</v>
      </c>
      <c r="AE3217">
        <v>0</v>
      </c>
      <c r="AF3217">
        <v>3</v>
      </c>
      <c r="AG3217">
        <v>2</v>
      </c>
      <c r="AH3217">
        <v>0</v>
      </c>
      <c r="AI3217" t="s">
        <v>6542</v>
      </c>
      <c r="AJ3217">
        <v>40.393616999999999</v>
      </c>
      <c r="AK3217" t="s">
        <v>6543</v>
      </c>
      <c r="AL3217">
        <v>-74.833738999999994</v>
      </c>
      <c r="AM3217">
        <v>100</v>
      </c>
      <c r="AN3217">
        <v>3000</v>
      </c>
      <c r="AO3217" t="s">
        <v>115</v>
      </c>
      <c r="AP3217">
        <v>183</v>
      </c>
      <c r="AQ3217">
        <v>-19</v>
      </c>
      <c r="AR3217">
        <v>-1088</v>
      </c>
      <c r="AZ3217">
        <v>3614</v>
      </c>
      <c r="BA3217">
        <v>1</v>
      </c>
      <c r="BB3217" t="str">
        <f t="shared" si="152"/>
        <v xml:space="preserve">N959MJ  </v>
      </c>
      <c r="BC3217">
        <v>1</v>
      </c>
      <c r="BE3217">
        <v>0</v>
      </c>
      <c r="BF3217">
        <v>0</v>
      </c>
      <c r="BG3217">
        <v>0</v>
      </c>
      <c r="BH3217">
        <v>3250</v>
      </c>
      <c r="BI3217">
        <v>250</v>
      </c>
      <c r="BJ3217">
        <v>1</v>
      </c>
      <c r="BK3217">
        <v>1</v>
      </c>
      <c r="BL3217">
        <v>1</v>
      </c>
      <c r="BM3217">
        <v>0</v>
      </c>
      <c r="BP3217">
        <v>0</v>
      </c>
      <c r="BQ3217">
        <v>0</v>
      </c>
      <c r="BX3217" t="str">
        <f>"14:43:56.719"</f>
        <v>14:43:56.719</v>
      </c>
      <c r="BY3217" t="str">
        <f>"715007945"</f>
        <v>715007945</v>
      </c>
      <c r="CL3217">
        <v>0</v>
      </c>
      <c r="CM3217">
        <v>2</v>
      </c>
      <c r="CN3217">
        <v>0</v>
      </c>
      <c r="CO3217">
        <v>2</v>
      </c>
      <c r="CP3217">
        <v>0</v>
      </c>
      <c r="CQ3217">
        <v>7</v>
      </c>
      <c r="CR3217" t="s">
        <v>116</v>
      </c>
      <c r="CS3217">
        <v>38</v>
      </c>
      <c r="CT3217">
        <v>0</v>
      </c>
      <c r="CU3217" t="s">
        <v>4719</v>
      </c>
      <c r="CV3217" t="s">
        <v>4720</v>
      </c>
      <c r="CY3217">
        <v>7533075</v>
      </c>
      <c r="CZ3217" t="s">
        <v>119</v>
      </c>
    </row>
    <row r="3218" spans="1:104" x14ac:dyDescent="0.25">
      <c r="A3218" t="str">
        <f>"14:43:57.844"</f>
        <v>14:43:57.844</v>
      </c>
      <c r="B3218" t="s">
        <v>108</v>
      </c>
      <c r="C3218" t="str">
        <f t="shared" si="151"/>
        <v>ffdfd3c0</v>
      </c>
      <c r="D3218" t="s">
        <v>109</v>
      </c>
      <c r="E3218">
        <v>4</v>
      </c>
      <c r="F3218">
        <v>1004</v>
      </c>
      <c r="G3218" t="s">
        <v>110</v>
      </c>
      <c r="J3218" t="s">
        <v>111</v>
      </c>
      <c r="K3218">
        <v>0</v>
      </c>
      <c r="L3218">
        <v>3</v>
      </c>
      <c r="M3218">
        <v>0</v>
      </c>
      <c r="N3218">
        <v>2</v>
      </c>
      <c r="O3218">
        <v>1</v>
      </c>
      <c r="P3218">
        <v>0</v>
      </c>
      <c r="Q3218">
        <v>0</v>
      </c>
      <c r="R3218" t="s">
        <v>112</v>
      </c>
      <c r="S3218" t="str">
        <f>"14:43:57.688"</f>
        <v>14:43:57.688</v>
      </c>
      <c r="T3218" t="str">
        <f>"14:43:57.289"</f>
        <v>14:43:57.289</v>
      </c>
      <c r="U3218" t="str">
        <f t="shared" si="150"/>
        <v>ad5732</v>
      </c>
      <c r="V3218">
        <v>0</v>
      </c>
      <c r="W3218">
        <v>0</v>
      </c>
      <c r="X3218">
        <v>1</v>
      </c>
      <c r="Z3218">
        <v>0</v>
      </c>
      <c r="AA3218">
        <v>9</v>
      </c>
      <c r="AB3218">
        <v>3</v>
      </c>
      <c r="AC3218">
        <v>0</v>
      </c>
      <c r="AD3218">
        <v>10</v>
      </c>
      <c r="AE3218">
        <v>0</v>
      </c>
      <c r="AF3218">
        <v>3</v>
      </c>
      <c r="AG3218">
        <v>2</v>
      </c>
      <c r="AH3218">
        <v>0</v>
      </c>
      <c r="AI3218" t="s">
        <v>6544</v>
      </c>
      <c r="AJ3218">
        <v>40.393509999999999</v>
      </c>
      <c r="AK3218" t="s">
        <v>6545</v>
      </c>
      <c r="AL3218">
        <v>-74.832622999999998</v>
      </c>
      <c r="AM3218">
        <v>100</v>
      </c>
      <c r="AN3218">
        <v>3000</v>
      </c>
      <c r="AO3218" t="s">
        <v>115</v>
      </c>
      <c r="AP3218">
        <v>184</v>
      </c>
      <c r="AQ3218">
        <v>-19</v>
      </c>
      <c r="AR3218">
        <v>-1088</v>
      </c>
      <c r="AZ3218">
        <v>3614</v>
      </c>
      <c r="BA3218">
        <v>1</v>
      </c>
      <c r="BB3218" t="str">
        <f t="shared" si="152"/>
        <v xml:space="preserve">N959MJ  </v>
      </c>
      <c r="BC3218">
        <v>1</v>
      </c>
      <c r="BE3218">
        <v>0</v>
      </c>
      <c r="BF3218">
        <v>0</v>
      </c>
      <c r="BG3218">
        <v>0</v>
      </c>
      <c r="BH3218">
        <v>3225</v>
      </c>
      <c r="BI3218">
        <v>225</v>
      </c>
      <c r="BJ3218">
        <v>1</v>
      </c>
      <c r="BK3218">
        <v>1</v>
      </c>
      <c r="BL3218">
        <v>1</v>
      </c>
      <c r="BM3218">
        <v>0</v>
      </c>
      <c r="BP3218">
        <v>0</v>
      </c>
      <c r="BQ3218">
        <v>0</v>
      </c>
      <c r="BX3218" t="str">
        <f>"14:43:57.695"</f>
        <v>14:43:57.695</v>
      </c>
      <c r="BY3218" t="str">
        <f>"694788203"</f>
        <v>694788203</v>
      </c>
      <c r="CL3218">
        <v>0</v>
      </c>
      <c r="CM3218">
        <v>2</v>
      </c>
      <c r="CN3218">
        <v>0</v>
      </c>
      <c r="CO3218">
        <v>2</v>
      </c>
      <c r="CP3218">
        <v>0</v>
      </c>
      <c r="CQ3218">
        <v>7</v>
      </c>
      <c r="CR3218" t="s">
        <v>116</v>
      </c>
      <c r="CS3218">
        <v>38</v>
      </c>
      <c r="CT3218">
        <v>3</v>
      </c>
      <c r="CU3218" t="s">
        <v>4719</v>
      </c>
      <c r="CV3218" t="s">
        <v>4720</v>
      </c>
      <c r="CY3218">
        <v>10961266</v>
      </c>
      <c r="CZ3218" t="s">
        <v>119</v>
      </c>
    </row>
    <row r="3219" spans="1:104" x14ac:dyDescent="0.25">
      <c r="A3219" t="str">
        <f>"14:43:58.805"</f>
        <v>14:43:58.805</v>
      </c>
      <c r="B3219" t="s">
        <v>108</v>
      </c>
      <c r="C3219" t="str">
        <f t="shared" si="151"/>
        <v>ffdfd3c0</v>
      </c>
      <c r="D3219" t="s">
        <v>109</v>
      </c>
      <c r="E3219">
        <v>4</v>
      </c>
      <c r="F3219">
        <v>1004</v>
      </c>
      <c r="G3219" t="s">
        <v>110</v>
      </c>
      <c r="J3219" t="s">
        <v>111</v>
      </c>
      <c r="K3219">
        <v>0</v>
      </c>
      <c r="L3219">
        <v>3</v>
      </c>
      <c r="M3219">
        <v>0</v>
      </c>
      <c r="N3219">
        <v>2</v>
      </c>
      <c r="O3219">
        <v>1</v>
      </c>
      <c r="P3219">
        <v>0</v>
      </c>
      <c r="Q3219">
        <v>0</v>
      </c>
      <c r="R3219" t="s">
        <v>112</v>
      </c>
      <c r="S3219" t="str">
        <f>"14:43:58.641"</f>
        <v>14:43:58.641</v>
      </c>
      <c r="T3219" t="str">
        <f>"14:43:58.141"</f>
        <v>14:43:58.141</v>
      </c>
      <c r="U3219" t="str">
        <f t="shared" si="150"/>
        <v>ad5732</v>
      </c>
      <c r="V3219">
        <v>0</v>
      </c>
      <c r="W3219">
        <v>0</v>
      </c>
      <c r="X3219">
        <v>1</v>
      </c>
      <c r="Z3219">
        <v>0</v>
      </c>
      <c r="AA3219">
        <v>9</v>
      </c>
      <c r="AB3219">
        <v>3</v>
      </c>
      <c r="AC3219">
        <v>0</v>
      </c>
      <c r="AD3219">
        <v>10</v>
      </c>
      <c r="AE3219">
        <v>0</v>
      </c>
      <c r="AF3219">
        <v>3</v>
      </c>
      <c r="AG3219">
        <v>2</v>
      </c>
      <c r="AH3219">
        <v>0</v>
      </c>
      <c r="AI3219" t="s">
        <v>6546</v>
      </c>
      <c r="AJ3219">
        <v>40.393424000000003</v>
      </c>
      <c r="AK3219" t="s">
        <v>6547</v>
      </c>
      <c r="AL3219">
        <v>-74.831507000000002</v>
      </c>
      <c r="AM3219">
        <v>100</v>
      </c>
      <c r="AN3219">
        <v>3000</v>
      </c>
      <c r="AO3219" t="s">
        <v>115</v>
      </c>
      <c r="AP3219">
        <v>184</v>
      </c>
      <c r="AQ3219">
        <v>-19</v>
      </c>
      <c r="AR3219">
        <v>-1024</v>
      </c>
      <c r="AZ3219">
        <v>3614</v>
      </c>
      <c r="BA3219">
        <v>1</v>
      </c>
      <c r="BB3219" t="str">
        <f t="shared" si="152"/>
        <v xml:space="preserve">N959MJ  </v>
      </c>
      <c r="BC3219">
        <v>1</v>
      </c>
      <c r="BE3219">
        <v>0</v>
      </c>
      <c r="BF3219">
        <v>0</v>
      </c>
      <c r="BG3219">
        <v>0</v>
      </c>
      <c r="BH3219">
        <v>3200</v>
      </c>
      <c r="BI3219">
        <v>200</v>
      </c>
      <c r="BJ3219">
        <v>1</v>
      </c>
      <c r="BK3219">
        <v>1</v>
      </c>
      <c r="BL3219">
        <v>1</v>
      </c>
      <c r="BM3219">
        <v>0</v>
      </c>
      <c r="BP3219">
        <v>0</v>
      </c>
      <c r="BQ3219">
        <v>0</v>
      </c>
      <c r="BX3219" t="str">
        <f>"14:43:58.648"</f>
        <v>14:43:58.648</v>
      </c>
      <c r="BY3219" t="str">
        <f>"646715250"</f>
        <v>646715250</v>
      </c>
      <c r="CL3219">
        <v>0</v>
      </c>
      <c r="CM3219">
        <v>2</v>
      </c>
      <c r="CN3219">
        <v>0</v>
      </c>
      <c r="CO3219">
        <v>2</v>
      </c>
      <c r="CP3219">
        <v>0</v>
      </c>
      <c r="CQ3219">
        <v>7</v>
      </c>
      <c r="CR3219" t="s">
        <v>116</v>
      </c>
      <c r="CS3219">
        <v>38</v>
      </c>
      <c r="CT3219">
        <v>3</v>
      </c>
      <c r="CU3219" t="s">
        <v>4719</v>
      </c>
      <c r="CV3219" t="s">
        <v>4720</v>
      </c>
      <c r="CY3219">
        <v>10962980</v>
      </c>
      <c r="CZ3219" t="s">
        <v>119</v>
      </c>
    </row>
    <row r="3220" spans="1:104" x14ac:dyDescent="0.25">
      <c r="A3220" t="str">
        <f>"14:43:59.859"</f>
        <v>14:43:59.859</v>
      </c>
      <c r="B3220" t="s">
        <v>108</v>
      </c>
      <c r="C3220" t="str">
        <f t="shared" si="151"/>
        <v>ffdfd3c0</v>
      </c>
      <c r="D3220" t="s">
        <v>109</v>
      </c>
      <c r="E3220">
        <v>4</v>
      </c>
      <c r="F3220">
        <v>1004</v>
      </c>
      <c r="G3220" t="s">
        <v>110</v>
      </c>
      <c r="J3220" t="s">
        <v>111</v>
      </c>
      <c r="K3220">
        <v>0</v>
      </c>
      <c r="L3220">
        <v>3</v>
      </c>
      <c r="M3220">
        <v>0</v>
      </c>
      <c r="N3220">
        <v>2</v>
      </c>
      <c r="O3220">
        <v>1</v>
      </c>
      <c r="P3220">
        <v>0</v>
      </c>
      <c r="Q3220">
        <v>0</v>
      </c>
      <c r="R3220" t="s">
        <v>112</v>
      </c>
      <c r="S3220" t="str">
        <f>"14:43:59.703"</f>
        <v>14:43:59.703</v>
      </c>
      <c r="T3220" t="str">
        <f>"14:43:59.203"</f>
        <v>14:43:59.203</v>
      </c>
      <c r="U3220" t="str">
        <f t="shared" si="150"/>
        <v>ad5732</v>
      </c>
      <c r="V3220">
        <v>0</v>
      </c>
      <c r="W3220">
        <v>0</v>
      </c>
      <c r="X3220">
        <v>1</v>
      </c>
      <c r="Z3220">
        <v>0</v>
      </c>
      <c r="AA3220">
        <v>9</v>
      </c>
      <c r="AB3220">
        <v>3</v>
      </c>
      <c r="AC3220">
        <v>0</v>
      </c>
      <c r="AD3220">
        <v>10</v>
      </c>
      <c r="AE3220">
        <v>0</v>
      </c>
      <c r="AF3220">
        <v>3</v>
      </c>
      <c r="AG3220">
        <v>2</v>
      </c>
      <c r="AH3220">
        <v>0</v>
      </c>
      <c r="AI3220" t="s">
        <v>6198</v>
      </c>
      <c r="AJ3220">
        <v>40.393338</v>
      </c>
      <c r="AK3220" t="s">
        <v>6548</v>
      </c>
      <c r="AL3220">
        <v>-74.830370000000002</v>
      </c>
      <c r="AM3220">
        <v>100</v>
      </c>
      <c r="AN3220">
        <v>3000</v>
      </c>
      <c r="AO3220" t="s">
        <v>115</v>
      </c>
      <c r="AP3220">
        <v>184</v>
      </c>
      <c r="AQ3220">
        <v>-19</v>
      </c>
      <c r="AR3220">
        <v>-1024</v>
      </c>
      <c r="AZ3220">
        <v>3614</v>
      </c>
      <c r="BA3220">
        <v>1</v>
      </c>
      <c r="BB3220" t="str">
        <f t="shared" si="152"/>
        <v xml:space="preserve">N959MJ  </v>
      </c>
      <c r="BC3220">
        <v>1</v>
      </c>
      <c r="BE3220">
        <v>0</v>
      </c>
      <c r="BF3220">
        <v>0</v>
      </c>
      <c r="BG3220">
        <v>0</v>
      </c>
      <c r="BH3220">
        <v>3200</v>
      </c>
      <c r="BI3220">
        <v>200</v>
      </c>
      <c r="BJ3220">
        <v>1</v>
      </c>
      <c r="BK3220">
        <v>1</v>
      </c>
      <c r="BL3220">
        <v>1</v>
      </c>
      <c r="BM3220">
        <v>0</v>
      </c>
      <c r="BP3220">
        <v>0</v>
      </c>
      <c r="BQ3220">
        <v>0</v>
      </c>
      <c r="BX3220" t="str">
        <f>"14:43:59.703"</f>
        <v>14:43:59.703</v>
      </c>
      <c r="BY3220" t="str">
        <f>"706778505"</f>
        <v>706778505</v>
      </c>
      <c r="CL3220">
        <v>0</v>
      </c>
      <c r="CM3220">
        <v>2</v>
      </c>
      <c r="CN3220">
        <v>0</v>
      </c>
      <c r="CO3220">
        <v>2</v>
      </c>
      <c r="CP3220">
        <v>0</v>
      </c>
      <c r="CQ3220">
        <v>7</v>
      </c>
      <c r="CR3220" t="s">
        <v>116</v>
      </c>
      <c r="CS3220">
        <v>38</v>
      </c>
      <c r="CT3220">
        <v>0</v>
      </c>
      <c r="CU3220" t="s">
        <v>4719</v>
      </c>
      <c r="CV3220" t="s">
        <v>4720</v>
      </c>
      <c r="CY3220">
        <v>7537818</v>
      </c>
      <c r="CZ3220" t="s">
        <v>119</v>
      </c>
    </row>
    <row r="3221" spans="1:104" x14ac:dyDescent="0.25">
      <c r="A3221" t="str">
        <f>"14:44:00.820"</f>
        <v>14:44:00.820</v>
      </c>
      <c r="B3221" t="s">
        <v>108</v>
      </c>
      <c r="C3221" t="str">
        <f t="shared" si="151"/>
        <v>ffdfd3c0</v>
      </c>
      <c r="D3221" t="s">
        <v>109</v>
      </c>
      <c r="E3221">
        <v>4</v>
      </c>
      <c r="F3221">
        <v>1004</v>
      </c>
      <c r="G3221" t="s">
        <v>110</v>
      </c>
      <c r="J3221" t="s">
        <v>111</v>
      </c>
      <c r="K3221">
        <v>0</v>
      </c>
      <c r="L3221">
        <v>3</v>
      </c>
      <c r="M3221">
        <v>0</v>
      </c>
      <c r="N3221">
        <v>2</v>
      </c>
      <c r="O3221">
        <v>1</v>
      </c>
      <c r="P3221">
        <v>0</v>
      </c>
      <c r="Q3221">
        <v>0</v>
      </c>
      <c r="R3221" t="s">
        <v>112</v>
      </c>
      <c r="S3221" t="str">
        <f>"14:44:00.648"</f>
        <v>14:44:00.648</v>
      </c>
      <c r="T3221" t="str">
        <f>"14:44:00.250"</f>
        <v>14:44:00.250</v>
      </c>
      <c r="U3221" t="str">
        <f t="shared" si="150"/>
        <v>ad5732</v>
      </c>
      <c r="V3221">
        <v>0</v>
      </c>
      <c r="W3221">
        <v>0</v>
      </c>
      <c r="X3221">
        <v>1</v>
      </c>
      <c r="Z3221">
        <v>0</v>
      </c>
      <c r="AA3221">
        <v>9</v>
      </c>
      <c r="AB3221">
        <v>3</v>
      </c>
      <c r="AC3221">
        <v>0</v>
      </c>
      <c r="AD3221">
        <v>10</v>
      </c>
      <c r="AE3221">
        <v>0</v>
      </c>
      <c r="AF3221">
        <v>3</v>
      </c>
      <c r="AG3221">
        <v>2</v>
      </c>
      <c r="AH3221">
        <v>0</v>
      </c>
      <c r="AI3221" t="s">
        <v>6549</v>
      </c>
      <c r="AJ3221">
        <v>40.393231</v>
      </c>
      <c r="AK3221" t="s">
        <v>6550</v>
      </c>
      <c r="AL3221">
        <v>-74.829254000000006</v>
      </c>
      <c r="AM3221">
        <v>100</v>
      </c>
      <c r="AN3221">
        <v>3000</v>
      </c>
      <c r="AO3221" t="s">
        <v>115</v>
      </c>
      <c r="AP3221">
        <v>185</v>
      </c>
      <c r="AQ3221">
        <v>-20</v>
      </c>
      <c r="AR3221">
        <v>-960</v>
      </c>
      <c r="AZ3221">
        <v>3614</v>
      </c>
      <c r="BA3221">
        <v>1</v>
      </c>
      <c r="BB3221" t="str">
        <f t="shared" si="152"/>
        <v xml:space="preserve">N959MJ  </v>
      </c>
      <c r="BC3221">
        <v>1</v>
      </c>
      <c r="BE3221">
        <v>0</v>
      </c>
      <c r="BF3221">
        <v>0</v>
      </c>
      <c r="BG3221">
        <v>0</v>
      </c>
      <c r="BH3221">
        <v>3175</v>
      </c>
      <c r="BI3221">
        <v>175</v>
      </c>
      <c r="BJ3221">
        <v>1</v>
      </c>
      <c r="BK3221">
        <v>1</v>
      </c>
      <c r="BL3221">
        <v>1</v>
      </c>
      <c r="BM3221">
        <v>0</v>
      </c>
      <c r="BP3221">
        <v>0</v>
      </c>
      <c r="BQ3221">
        <v>0</v>
      </c>
      <c r="BX3221" t="str">
        <f>"14:44:00.648"</f>
        <v>14:44:00.648</v>
      </c>
      <c r="BY3221" t="str">
        <f>"650513362"</f>
        <v>650513362</v>
      </c>
      <c r="CL3221">
        <v>0</v>
      </c>
      <c r="CM3221">
        <v>2</v>
      </c>
      <c r="CN3221">
        <v>0</v>
      </c>
      <c r="CO3221">
        <v>2</v>
      </c>
      <c r="CP3221">
        <v>0</v>
      </c>
      <c r="CQ3221">
        <v>7</v>
      </c>
      <c r="CR3221" t="s">
        <v>116</v>
      </c>
      <c r="CS3221">
        <v>38</v>
      </c>
      <c r="CT3221">
        <v>0</v>
      </c>
      <c r="CU3221" t="s">
        <v>4719</v>
      </c>
      <c r="CV3221" t="s">
        <v>4720</v>
      </c>
      <c r="CY3221">
        <v>7539387</v>
      </c>
      <c r="CZ3221" t="s">
        <v>119</v>
      </c>
    </row>
    <row r="3222" spans="1:104" x14ac:dyDescent="0.25">
      <c r="A3222" t="str">
        <f>"14:44:01.781"</f>
        <v>14:44:01.781</v>
      </c>
      <c r="B3222" t="s">
        <v>108</v>
      </c>
      <c r="C3222" t="str">
        <f t="shared" si="151"/>
        <v>ffdfd3c0</v>
      </c>
      <c r="D3222" t="s">
        <v>109</v>
      </c>
      <c r="E3222">
        <v>4</v>
      </c>
      <c r="F3222">
        <v>1004</v>
      </c>
      <c r="G3222" t="s">
        <v>110</v>
      </c>
      <c r="J3222" t="s">
        <v>111</v>
      </c>
      <c r="K3222">
        <v>0</v>
      </c>
      <c r="L3222">
        <v>3</v>
      </c>
      <c r="M3222">
        <v>0</v>
      </c>
      <c r="N3222">
        <v>2</v>
      </c>
      <c r="O3222">
        <v>1</v>
      </c>
      <c r="P3222">
        <v>0</v>
      </c>
      <c r="Q3222">
        <v>0</v>
      </c>
      <c r="R3222" t="s">
        <v>112</v>
      </c>
      <c r="S3222" t="str">
        <f>"14:44:01.586"</f>
        <v>14:44:01.586</v>
      </c>
      <c r="T3222" t="str">
        <f>"14:44:01.086"</f>
        <v>14:44:01.086</v>
      </c>
      <c r="U3222" t="str">
        <f t="shared" si="150"/>
        <v>ad5732</v>
      </c>
      <c r="V3222">
        <v>0</v>
      </c>
      <c r="W3222">
        <v>0</v>
      </c>
      <c r="X3222">
        <v>1</v>
      </c>
      <c r="Z3222">
        <v>0</v>
      </c>
      <c r="AA3222">
        <v>9</v>
      </c>
      <c r="AB3222">
        <v>3</v>
      </c>
      <c r="AC3222">
        <v>0</v>
      </c>
      <c r="AD3222">
        <v>10</v>
      </c>
      <c r="AE3222">
        <v>0</v>
      </c>
      <c r="AF3222">
        <v>3</v>
      </c>
      <c r="AG3222">
        <v>2</v>
      </c>
      <c r="AH3222">
        <v>0</v>
      </c>
      <c r="AI3222" t="s">
        <v>6551</v>
      </c>
      <c r="AJ3222">
        <v>40.393166999999998</v>
      </c>
      <c r="AK3222" t="s">
        <v>6552</v>
      </c>
      <c r="AL3222">
        <v>-74.828245999999993</v>
      </c>
      <c r="AM3222">
        <v>100</v>
      </c>
      <c r="AN3222">
        <v>3000</v>
      </c>
      <c r="AO3222" t="s">
        <v>115</v>
      </c>
      <c r="AP3222">
        <v>185</v>
      </c>
      <c r="AQ3222">
        <v>-20</v>
      </c>
      <c r="AR3222">
        <v>-960</v>
      </c>
      <c r="AZ3222">
        <v>3614</v>
      </c>
      <c r="BA3222">
        <v>1</v>
      </c>
      <c r="BB3222" t="str">
        <f t="shared" si="152"/>
        <v xml:space="preserve">N959MJ  </v>
      </c>
      <c r="BC3222">
        <v>1</v>
      </c>
      <c r="BE3222">
        <v>0</v>
      </c>
      <c r="BF3222">
        <v>0</v>
      </c>
      <c r="BG3222">
        <v>0</v>
      </c>
      <c r="BH3222">
        <v>3150</v>
      </c>
      <c r="BI3222">
        <v>150</v>
      </c>
      <c r="BJ3222">
        <v>1</v>
      </c>
      <c r="BK3222">
        <v>1</v>
      </c>
      <c r="BL3222">
        <v>1</v>
      </c>
      <c r="BM3222">
        <v>0</v>
      </c>
      <c r="BP3222">
        <v>0</v>
      </c>
      <c r="BQ3222">
        <v>0</v>
      </c>
      <c r="BX3222" t="str">
        <f>"14:44:01.586"</f>
        <v>14:44:01.586</v>
      </c>
      <c r="BY3222" t="str">
        <f>"587694508"</f>
        <v>587694508</v>
      </c>
      <c r="CL3222">
        <v>0</v>
      </c>
      <c r="CM3222">
        <v>2</v>
      </c>
      <c r="CN3222">
        <v>0</v>
      </c>
      <c r="CO3222">
        <v>2</v>
      </c>
      <c r="CP3222">
        <v>0</v>
      </c>
      <c r="CQ3222">
        <v>7</v>
      </c>
      <c r="CR3222" t="s">
        <v>116</v>
      </c>
      <c r="CS3222">
        <v>38</v>
      </c>
      <c r="CT3222">
        <v>0</v>
      </c>
      <c r="CU3222" t="s">
        <v>4719</v>
      </c>
      <c r="CV3222" t="s">
        <v>4720</v>
      </c>
      <c r="CY3222">
        <v>7540811</v>
      </c>
      <c r="CZ3222" t="s">
        <v>119</v>
      </c>
    </row>
    <row r="3223" spans="1:104" x14ac:dyDescent="0.25">
      <c r="A3223" t="str">
        <f>"14:44:02.789"</f>
        <v>14:44:02.789</v>
      </c>
      <c r="B3223" t="s">
        <v>108</v>
      </c>
      <c r="C3223" t="str">
        <f t="shared" si="151"/>
        <v>ffdfd3c0</v>
      </c>
      <c r="D3223" t="s">
        <v>109</v>
      </c>
      <c r="E3223">
        <v>4</v>
      </c>
      <c r="F3223">
        <v>1004</v>
      </c>
      <c r="G3223" t="s">
        <v>110</v>
      </c>
      <c r="J3223" t="s">
        <v>111</v>
      </c>
      <c r="K3223">
        <v>0</v>
      </c>
      <c r="L3223">
        <v>3</v>
      </c>
      <c r="M3223">
        <v>0</v>
      </c>
      <c r="N3223">
        <v>2</v>
      </c>
      <c r="O3223">
        <v>1</v>
      </c>
      <c r="P3223">
        <v>0</v>
      </c>
      <c r="Q3223">
        <v>0</v>
      </c>
      <c r="R3223" t="s">
        <v>112</v>
      </c>
      <c r="S3223" t="str">
        <f>"14:44:02.609"</f>
        <v>14:44:02.609</v>
      </c>
      <c r="T3223" t="str">
        <f>"14:44:02.211"</f>
        <v>14:44:02.211</v>
      </c>
      <c r="U3223" t="str">
        <f t="shared" si="150"/>
        <v>ad5732</v>
      </c>
      <c r="V3223">
        <v>0</v>
      </c>
      <c r="W3223">
        <v>0</v>
      </c>
      <c r="X3223">
        <v>1</v>
      </c>
      <c r="Z3223">
        <v>0</v>
      </c>
      <c r="AA3223">
        <v>9</v>
      </c>
      <c r="AB3223">
        <v>3</v>
      </c>
      <c r="AC3223">
        <v>0</v>
      </c>
      <c r="AD3223">
        <v>10</v>
      </c>
      <c r="AE3223">
        <v>0</v>
      </c>
      <c r="AF3223">
        <v>3</v>
      </c>
      <c r="AG3223">
        <v>2</v>
      </c>
      <c r="AH3223">
        <v>0</v>
      </c>
      <c r="AI3223" t="s">
        <v>6553</v>
      </c>
      <c r="AJ3223">
        <v>40.393059000000001</v>
      </c>
      <c r="AK3223" t="s">
        <v>6554</v>
      </c>
      <c r="AL3223">
        <v>-74.827151000000001</v>
      </c>
      <c r="AM3223">
        <v>100</v>
      </c>
      <c r="AN3223">
        <v>3000</v>
      </c>
      <c r="AO3223" t="s">
        <v>115</v>
      </c>
      <c r="AP3223">
        <v>185</v>
      </c>
      <c r="AQ3223">
        <v>-20</v>
      </c>
      <c r="AR3223">
        <v>-960</v>
      </c>
      <c r="AZ3223">
        <v>3614</v>
      </c>
      <c r="BA3223">
        <v>1</v>
      </c>
      <c r="BB3223" t="str">
        <f t="shared" si="152"/>
        <v xml:space="preserve">N959MJ  </v>
      </c>
      <c r="BC3223">
        <v>1</v>
      </c>
      <c r="BE3223">
        <v>0</v>
      </c>
      <c r="BF3223">
        <v>0</v>
      </c>
      <c r="BG3223">
        <v>0</v>
      </c>
      <c r="BH3223">
        <v>3150</v>
      </c>
      <c r="BI3223">
        <v>150</v>
      </c>
      <c r="BJ3223">
        <v>1</v>
      </c>
      <c r="BK3223">
        <v>1</v>
      </c>
      <c r="BL3223">
        <v>1</v>
      </c>
      <c r="BM3223">
        <v>0</v>
      </c>
      <c r="BP3223">
        <v>0</v>
      </c>
      <c r="BQ3223">
        <v>0</v>
      </c>
      <c r="BX3223" t="str">
        <f>"14:44:02.609"</f>
        <v>14:44:02.609</v>
      </c>
      <c r="BY3223" t="str">
        <f>"610073936"</f>
        <v>610073936</v>
      </c>
      <c r="CL3223">
        <v>0</v>
      </c>
      <c r="CM3223">
        <v>2</v>
      </c>
      <c r="CN3223">
        <v>0</v>
      </c>
      <c r="CO3223">
        <v>2</v>
      </c>
      <c r="CP3223">
        <v>0</v>
      </c>
      <c r="CQ3223">
        <v>7</v>
      </c>
      <c r="CR3223" t="s">
        <v>116</v>
      </c>
      <c r="CS3223">
        <v>38</v>
      </c>
      <c r="CT3223">
        <v>0</v>
      </c>
      <c r="CU3223" t="s">
        <v>4719</v>
      </c>
      <c r="CV3223" t="s">
        <v>4720</v>
      </c>
      <c r="CY3223">
        <v>7542343</v>
      </c>
      <c r="CZ3223" t="s">
        <v>119</v>
      </c>
    </row>
    <row r="3224" spans="1:104" x14ac:dyDescent="0.25">
      <c r="A3224" t="str">
        <f>"14:44:03.805"</f>
        <v>14:44:03.805</v>
      </c>
      <c r="B3224" t="s">
        <v>108</v>
      </c>
      <c r="C3224" t="str">
        <f t="shared" si="151"/>
        <v>ffdfd3c0</v>
      </c>
      <c r="D3224" t="s">
        <v>109</v>
      </c>
      <c r="E3224">
        <v>4</v>
      </c>
      <c r="F3224">
        <v>1004</v>
      </c>
      <c r="G3224" t="s">
        <v>110</v>
      </c>
      <c r="J3224" t="s">
        <v>111</v>
      </c>
      <c r="K3224">
        <v>0</v>
      </c>
      <c r="L3224">
        <v>3</v>
      </c>
      <c r="M3224">
        <v>0</v>
      </c>
      <c r="N3224">
        <v>2</v>
      </c>
      <c r="O3224">
        <v>1</v>
      </c>
      <c r="P3224">
        <v>0</v>
      </c>
      <c r="Q3224">
        <v>0</v>
      </c>
      <c r="R3224" t="s">
        <v>112</v>
      </c>
      <c r="S3224" t="str">
        <f>"14:44:03.617"</f>
        <v>14:44:03.617</v>
      </c>
      <c r="T3224" t="str">
        <f>"14:44:03.117"</f>
        <v>14:44:03.117</v>
      </c>
      <c r="U3224" t="str">
        <f t="shared" si="150"/>
        <v>ad5732</v>
      </c>
      <c r="V3224">
        <v>0</v>
      </c>
      <c r="W3224">
        <v>0</v>
      </c>
      <c r="X3224">
        <v>1</v>
      </c>
      <c r="Z3224">
        <v>0</v>
      </c>
      <c r="AA3224">
        <v>9</v>
      </c>
      <c r="AB3224">
        <v>3</v>
      </c>
      <c r="AC3224">
        <v>0</v>
      </c>
      <c r="AD3224">
        <v>10</v>
      </c>
      <c r="AE3224">
        <v>0</v>
      </c>
      <c r="AF3224">
        <v>3</v>
      </c>
      <c r="AG3224">
        <v>2</v>
      </c>
      <c r="AH3224">
        <v>0</v>
      </c>
      <c r="AI3224" t="s">
        <v>6555</v>
      </c>
      <c r="AJ3224">
        <v>40.392952000000001</v>
      </c>
      <c r="AK3224" t="s">
        <v>6556</v>
      </c>
      <c r="AL3224">
        <v>-74.825885</v>
      </c>
      <c r="AM3224">
        <v>100</v>
      </c>
      <c r="AN3224">
        <v>2900</v>
      </c>
      <c r="AO3224" t="s">
        <v>115</v>
      </c>
      <c r="AP3224">
        <v>185</v>
      </c>
      <c r="AQ3224">
        <v>-20</v>
      </c>
      <c r="AR3224">
        <v>-896</v>
      </c>
      <c r="AZ3224">
        <v>3614</v>
      </c>
      <c r="BA3224">
        <v>1</v>
      </c>
      <c r="BB3224" t="str">
        <f t="shared" si="152"/>
        <v xml:space="preserve">N959MJ  </v>
      </c>
      <c r="BC3224">
        <v>1</v>
      </c>
      <c r="BE3224">
        <v>0</v>
      </c>
      <c r="BF3224">
        <v>0</v>
      </c>
      <c r="BG3224">
        <v>0</v>
      </c>
      <c r="BH3224">
        <v>3125</v>
      </c>
      <c r="BI3224">
        <v>225</v>
      </c>
      <c r="BJ3224">
        <v>1</v>
      </c>
      <c r="BK3224">
        <v>1</v>
      </c>
      <c r="BL3224">
        <v>1</v>
      </c>
      <c r="BM3224">
        <v>0</v>
      </c>
      <c r="BP3224">
        <v>0</v>
      </c>
      <c r="BQ3224">
        <v>0</v>
      </c>
      <c r="BX3224" t="str">
        <f>"14:44:03.625"</f>
        <v>14:44:03.625</v>
      </c>
      <c r="BY3224" t="str">
        <f>"622622799"</f>
        <v>622622799</v>
      </c>
      <c r="CL3224">
        <v>0</v>
      </c>
      <c r="CM3224">
        <v>2</v>
      </c>
      <c r="CN3224">
        <v>0</v>
      </c>
      <c r="CO3224">
        <v>2</v>
      </c>
      <c r="CP3224">
        <v>0</v>
      </c>
      <c r="CQ3224">
        <v>7</v>
      </c>
      <c r="CR3224" t="s">
        <v>116</v>
      </c>
      <c r="CS3224">
        <v>38</v>
      </c>
      <c r="CT3224">
        <v>0</v>
      </c>
      <c r="CU3224" t="s">
        <v>4719</v>
      </c>
      <c r="CV3224" t="s">
        <v>4720</v>
      </c>
      <c r="CY3224">
        <v>7543927</v>
      </c>
      <c r="CZ3224" t="s">
        <v>119</v>
      </c>
    </row>
    <row r="3225" spans="1:104" x14ac:dyDescent="0.25">
      <c r="A3225" t="str">
        <f>"14:44:04.859"</f>
        <v>14:44:04.859</v>
      </c>
      <c r="B3225" t="s">
        <v>108</v>
      </c>
      <c r="C3225" t="str">
        <f t="shared" si="151"/>
        <v>ffdfd3c0</v>
      </c>
      <c r="D3225" t="s">
        <v>109</v>
      </c>
      <c r="E3225">
        <v>4</v>
      </c>
      <c r="F3225">
        <v>1004</v>
      </c>
      <c r="G3225" t="s">
        <v>110</v>
      </c>
      <c r="J3225" t="s">
        <v>111</v>
      </c>
      <c r="K3225">
        <v>0</v>
      </c>
      <c r="L3225">
        <v>3</v>
      </c>
      <c r="M3225">
        <v>0</v>
      </c>
      <c r="N3225">
        <v>2</v>
      </c>
      <c r="O3225">
        <v>1</v>
      </c>
      <c r="P3225">
        <v>0</v>
      </c>
      <c r="Q3225">
        <v>0</v>
      </c>
      <c r="R3225" t="s">
        <v>112</v>
      </c>
      <c r="S3225" t="str">
        <f>"14:44:04.680"</f>
        <v>14:44:04.680</v>
      </c>
      <c r="T3225" t="str">
        <f>"14:44:04.281"</f>
        <v>14:44:04.281</v>
      </c>
      <c r="U3225" t="str">
        <f t="shared" si="150"/>
        <v>ad5732</v>
      </c>
      <c r="V3225">
        <v>0</v>
      </c>
      <c r="W3225">
        <v>0</v>
      </c>
      <c r="X3225">
        <v>1</v>
      </c>
      <c r="Z3225">
        <v>0</v>
      </c>
      <c r="AA3225">
        <v>9</v>
      </c>
      <c r="AB3225">
        <v>3</v>
      </c>
      <c r="AC3225">
        <v>0</v>
      </c>
      <c r="AD3225">
        <v>10</v>
      </c>
      <c r="AE3225">
        <v>0</v>
      </c>
      <c r="AF3225">
        <v>3</v>
      </c>
      <c r="AG3225">
        <v>2</v>
      </c>
      <c r="AH3225">
        <v>0</v>
      </c>
      <c r="AI3225" t="s">
        <v>6557</v>
      </c>
      <c r="AJ3225">
        <v>40.392865999999998</v>
      </c>
      <c r="AK3225" t="s">
        <v>6558</v>
      </c>
      <c r="AL3225">
        <v>-74.824769000000003</v>
      </c>
      <c r="AM3225">
        <v>100</v>
      </c>
      <c r="AN3225">
        <v>2900</v>
      </c>
      <c r="AO3225" t="s">
        <v>115</v>
      </c>
      <c r="AP3225">
        <v>185</v>
      </c>
      <c r="AQ3225">
        <v>-20</v>
      </c>
      <c r="AR3225">
        <v>-896</v>
      </c>
      <c r="AZ3225">
        <v>3614</v>
      </c>
      <c r="BA3225">
        <v>1</v>
      </c>
      <c r="BB3225" t="str">
        <f t="shared" si="152"/>
        <v xml:space="preserve">N959MJ  </v>
      </c>
      <c r="BC3225">
        <v>1</v>
      </c>
      <c r="BE3225">
        <v>0</v>
      </c>
      <c r="BF3225">
        <v>0</v>
      </c>
      <c r="BG3225">
        <v>0</v>
      </c>
      <c r="BH3225">
        <v>3100</v>
      </c>
      <c r="BI3225">
        <v>200</v>
      </c>
      <c r="BJ3225">
        <v>1</v>
      </c>
      <c r="BK3225">
        <v>1</v>
      </c>
      <c r="BL3225">
        <v>1</v>
      </c>
      <c r="BM3225">
        <v>0</v>
      </c>
      <c r="BP3225">
        <v>0</v>
      </c>
      <c r="BQ3225">
        <v>0</v>
      </c>
      <c r="BX3225" t="str">
        <f>"14:44:04.688"</f>
        <v>14:44:04.688</v>
      </c>
      <c r="BY3225" t="str">
        <f>"684324507"</f>
        <v>684324507</v>
      </c>
      <c r="CL3225">
        <v>0</v>
      </c>
      <c r="CM3225">
        <v>2</v>
      </c>
      <c r="CN3225">
        <v>0</v>
      </c>
      <c r="CO3225">
        <v>2</v>
      </c>
      <c r="CP3225">
        <v>0</v>
      </c>
      <c r="CQ3225">
        <v>7</v>
      </c>
      <c r="CR3225" t="s">
        <v>116</v>
      </c>
      <c r="CS3225">
        <v>38</v>
      </c>
      <c r="CT3225">
        <v>3</v>
      </c>
      <c r="CU3225" t="s">
        <v>4719</v>
      </c>
      <c r="CV3225" t="s">
        <v>4720</v>
      </c>
      <c r="CY3225">
        <v>10973480</v>
      </c>
      <c r="CZ3225" t="s">
        <v>119</v>
      </c>
    </row>
    <row r="3226" spans="1:104" x14ac:dyDescent="0.25">
      <c r="A3226" t="str">
        <f>"14:44:05.922"</f>
        <v>14:44:05.922</v>
      </c>
      <c r="B3226" t="s">
        <v>108</v>
      </c>
      <c r="C3226" t="str">
        <f t="shared" si="151"/>
        <v>ffdfd3c0</v>
      </c>
      <c r="D3226" t="s">
        <v>109</v>
      </c>
      <c r="E3226">
        <v>4</v>
      </c>
      <c r="F3226">
        <v>1004</v>
      </c>
      <c r="G3226" t="s">
        <v>110</v>
      </c>
      <c r="J3226" t="s">
        <v>111</v>
      </c>
      <c r="K3226">
        <v>0</v>
      </c>
      <c r="L3226">
        <v>3</v>
      </c>
      <c r="M3226">
        <v>0</v>
      </c>
      <c r="N3226">
        <v>2</v>
      </c>
      <c r="O3226">
        <v>1</v>
      </c>
      <c r="P3226">
        <v>0</v>
      </c>
      <c r="Q3226">
        <v>0</v>
      </c>
      <c r="R3226" t="s">
        <v>112</v>
      </c>
      <c r="S3226" t="str">
        <f>"14:44:05.742"</f>
        <v>14:44:05.742</v>
      </c>
      <c r="T3226" t="str">
        <f>"14:44:05.242"</f>
        <v>14:44:05.242</v>
      </c>
      <c r="U3226" t="str">
        <f t="shared" si="150"/>
        <v>ad5732</v>
      </c>
      <c r="V3226">
        <v>0</v>
      </c>
      <c r="W3226">
        <v>0</v>
      </c>
      <c r="X3226">
        <v>1</v>
      </c>
      <c r="Z3226">
        <v>0</v>
      </c>
      <c r="AA3226">
        <v>9</v>
      </c>
      <c r="AB3226">
        <v>3</v>
      </c>
      <c r="AC3226">
        <v>0</v>
      </c>
      <c r="AD3226">
        <v>10</v>
      </c>
      <c r="AE3226">
        <v>0</v>
      </c>
      <c r="AF3226">
        <v>3</v>
      </c>
      <c r="AG3226">
        <v>2</v>
      </c>
      <c r="AH3226">
        <v>0</v>
      </c>
      <c r="AI3226" t="s">
        <v>6196</v>
      </c>
      <c r="AJ3226">
        <v>40.392736999999997</v>
      </c>
      <c r="AK3226" t="s">
        <v>6559</v>
      </c>
      <c r="AL3226">
        <v>-74.823545999999993</v>
      </c>
      <c r="AM3226">
        <v>100</v>
      </c>
      <c r="AN3226">
        <v>2900</v>
      </c>
      <c r="AO3226" t="s">
        <v>115</v>
      </c>
      <c r="AP3226">
        <v>185</v>
      </c>
      <c r="AQ3226">
        <v>-21</v>
      </c>
      <c r="AR3226">
        <v>-896</v>
      </c>
      <c r="AZ3226">
        <v>3614</v>
      </c>
      <c r="BA3226">
        <v>1</v>
      </c>
      <c r="BB3226" t="str">
        <f t="shared" si="152"/>
        <v xml:space="preserve">N959MJ  </v>
      </c>
      <c r="BC3226">
        <v>1</v>
      </c>
      <c r="BE3226">
        <v>0</v>
      </c>
      <c r="BF3226">
        <v>0</v>
      </c>
      <c r="BG3226">
        <v>0</v>
      </c>
      <c r="BH3226">
        <v>3100</v>
      </c>
      <c r="BI3226">
        <v>200</v>
      </c>
      <c r="BJ3226">
        <v>1</v>
      </c>
      <c r="BK3226">
        <v>1</v>
      </c>
      <c r="BL3226">
        <v>1</v>
      </c>
      <c r="BM3226">
        <v>0</v>
      </c>
      <c r="BP3226">
        <v>0</v>
      </c>
      <c r="BQ3226">
        <v>0</v>
      </c>
      <c r="BX3226" t="str">
        <f>"14:44:05.750"</f>
        <v>14:44:05.750</v>
      </c>
      <c r="BY3226" t="str">
        <f>"749303188"</f>
        <v>749303188</v>
      </c>
      <c r="CL3226">
        <v>0</v>
      </c>
      <c r="CM3226">
        <v>2</v>
      </c>
      <c r="CN3226">
        <v>0</v>
      </c>
      <c r="CO3226">
        <v>2</v>
      </c>
      <c r="CP3226">
        <v>0</v>
      </c>
      <c r="CQ3226">
        <v>7</v>
      </c>
      <c r="CR3226" t="s">
        <v>116</v>
      </c>
      <c r="CS3226">
        <v>38</v>
      </c>
      <c r="CT3226">
        <v>0</v>
      </c>
      <c r="CU3226" t="s">
        <v>4719</v>
      </c>
      <c r="CV3226" t="s">
        <v>4720</v>
      </c>
      <c r="CY3226">
        <v>7547157</v>
      </c>
      <c r="CZ3226" t="s">
        <v>119</v>
      </c>
    </row>
    <row r="3227" spans="1:104" x14ac:dyDescent="0.25">
      <c r="A3227" t="str">
        <f>"14:44:06.930"</f>
        <v>14:44:06.930</v>
      </c>
      <c r="B3227" t="s">
        <v>108</v>
      </c>
      <c r="C3227" t="str">
        <f t="shared" si="151"/>
        <v>ffdfd3c0</v>
      </c>
      <c r="D3227" t="s">
        <v>109</v>
      </c>
      <c r="E3227">
        <v>4</v>
      </c>
      <c r="F3227">
        <v>1004</v>
      </c>
      <c r="G3227" t="s">
        <v>110</v>
      </c>
      <c r="J3227" t="s">
        <v>111</v>
      </c>
      <c r="K3227">
        <v>0</v>
      </c>
      <c r="L3227">
        <v>3</v>
      </c>
      <c r="M3227">
        <v>0</v>
      </c>
      <c r="N3227">
        <v>2</v>
      </c>
      <c r="O3227">
        <v>1</v>
      </c>
      <c r="P3227">
        <v>0</v>
      </c>
      <c r="Q3227">
        <v>0</v>
      </c>
      <c r="R3227" t="s">
        <v>112</v>
      </c>
      <c r="S3227" t="str">
        <f>"14:44:06.734"</f>
        <v>14:44:06.734</v>
      </c>
      <c r="T3227" t="str">
        <f>"14:44:06.336"</f>
        <v>14:44:06.336</v>
      </c>
      <c r="U3227" t="str">
        <f t="shared" si="150"/>
        <v>ad5732</v>
      </c>
      <c r="V3227">
        <v>0</v>
      </c>
      <c r="W3227">
        <v>0</v>
      </c>
      <c r="X3227">
        <v>1</v>
      </c>
      <c r="Z3227">
        <v>0</v>
      </c>
      <c r="AA3227">
        <v>9</v>
      </c>
      <c r="AB3227">
        <v>3</v>
      </c>
      <c r="AC3227">
        <v>0</v>
      </c>
      <c r="AD3227">
        <v>10</v>
      </c>
      <c r="AE3227">
        <v>0</v>
      </c>
      <c r="AF3227">
        <v>3</v>
      </c>
      <c r="AG3227">
        <v>2</v>
      </c>
      <c r="AH3227">
        <v>0</v>
      </c>
      <c r="AI3227" t="s">
        <v>6560</v>
      </c>
      <c r="AJ3227">
        <v>40.392651999999998</v>
      </c>
      <c r="AK3227" t="s">
        <v>6561</v>
      </c>
      <c r="AL3227">
        <v>-74.822451999999998</v>
      </c>
      <c r="AM3227">
        <v>100</v>
      </c>
      <c r="AN3227">
        <v>2900</v>
      </c>
      <c r="AO3227" t="s">
        <v>115</v>
      </c>
      <c r="AP3227">
        <v>185</v>
      </c>
      <c r="AQ3227">
        <v>-21</v>
      </c>
      <c r="AR3227">
        <v>-896</v>
      </c>
      <c r="AZ3227">
        <v>3614</v>
      </c>
      <c r="BA3227">
        <v>1</v>
      </c>
      <c r="BB3227" t="str">
        <f t="shared" si="152"/>
        <v xml:space="preserve">N959MJ  </v>
      </c>
      <c r="BC3227">
        <v>1</v>
      </c>
      <c r="BE3227">
        <v>0</v>
      </c>
      <c r="BF3227">
        <v>0</v>
      </c>
      <c r="BG3227">
        <v>0</v>
      </c>
      <c r="BH3227">
        <v>3075</v>
      </c>
      <c r="BI3227">
        <v>175</v>
      </c>
      <c r="BJ3227">
        <v>1</v>
      </c>
      <c r="BK3227">
        <v>1</v>
      </c>
      <c r="BL3227">
        <v>1</v>
      </c>
      <c r="BM3227">
        <v>0</v>
      </c>
      <c r="BP3227">
        <v>0</v>
      </c>
      <c r="BQ3227">
        <v>0</v>
      </c>
      <c r="BX3227" t="str">
        <f>"14:44:06.734"</f>
        <v>14:44:06.734</v>
      </c>
      <c r="BY3227" t="str">
        <f>"735637118"</f>
        <v>735637118</v>
      </c>
      <c r="CL3227">
        <v>0</v>
      </c>
      <c r="CM3227">
        <v>2</v>
      </c>
      <c r="CN3227">
        <v>0</v>
      </c>
      <c r="CO3227">
        <v>2</v>
      </c>
      <c r="CP3227">
        <v>0</v>
      </c>
      <c r="CQ3227">
        <v>7</v>
      </c>
      <c r="CR3227" t="s">
        <v>116</v>
      </c>
      <c r="CS3227">
        <v>38</v>
      </c>
      <c r="CT3227">
        <v>0</v>
      </c>
      <c r="CU3227" t="s">
        <v>4719</v>
      </c>
      <c r="CV3227" t="s">
        <v>4720</v>
      </c>
      <c r="CY3227">
        <v>7548573</v>
      </c>
      <c r="CZ3227" t="s">
        <v>119</v>
      </c>
    </row>
    <row r="3228" spans="1:104" x14ac:dyDescent="0.25">
      <c r="A3228" t="str">
        <f>"14:44:07.891"</f>
        <v>14:44:07.891</v>
      </c>
      <c r="B3228" t="s">
        <v>108</v>
      </c>
      <c r="C3228" t="str">
        <f t="shared" si="151"/>
        <v>ffdfd3c0</v>
      </c>
      <c r="D3228" t="s">
        <v>109</v>
      </c>
      <c r="E3228">
        <v>4</v>
      </c>
      <c r="F3228">
        <v>1004</v>
      </c>
      <c r="G3228" t="s">
        <v>110</v>
      </c>
      <c r="J3228" t="s">
        <v>111</v>
      </c>
      <c r="K3228">
        <v>0</v>
      </c>
      <c r="L3228">
        <v>3</v>
      </c>
      <c r="M3228">
        <v>0</v>
      </c>
      <c r="N3228">
        <v>2</v>
      </c>
      <c r="O3228">
        <v>1</v>
      </c>
      <c r="P3228">
        <v>0</v>
      </c>
      <c r="Q3228">
        <v>0</v>
      </c>
      <c r="R3228" t="s">
        <v>112</v>
      </c>
      <c r="S3228" t="str">
        <f>"14:44:07.703"</f>
        <v>14:44:07.703</v>
      </c>
      <c r="T3228" t="str">
        <f>"14:44:07.305"</f>
        <v>14:44:07.305</v>
      </c>
      <c r="U3228" t="str">
        <f t="shared" si="150"/>
        <v>ad5732</v>
      </c>
      <c r="V3228">
        <v>0</v>
      </c>
      <c r="W3228">
        <v>0</v>
      </c>
      <c r="X3228">
        <v>1</v>
      </c>
      <c r="Z3228">
        <v>0</v>
      </c>
      <c r="AA3228">
        <v>9</v>
      </c>
      <c r="AB3228">
        <v>3</v>
      </c>
      <c r="AC3228">
        <v>0</v>
      </c>
      <c r="AD3228">
        <v>10</v>
      </c>
      <c r="AE3228">
        <v>0</v>
      </c>
      <c r="AF3228">
        <v>3</v>
      </c>
      <c r="AG3228">
        <v>2</v>
      </c>
      <c r="AH3228">
        <v>0</v>
      </c>
      <c r="AI3228" t="s">
        <v>6562</v>
      </c>
      <c r="AJ3228">
        <v>40.392586999999999</v>
      </c>
      <c r="AK3228" t="s">
        <v>6563</v>
      </c>
      <c r="AL3228">
        <v>-74.821378999999993</v>
      </c>
      <c r="AM3228">
        <v>100</v>
      </c>
      <c r="AN3228">
        <v>2900</v>
      </c>
      <c r="AO3228" t="s">
        <v>115</v>
      </c>
      <c r="AP3228">
        <v>185</v>
      </c>
      <c r="AQ3228">
        <v>-21</v>
      </c>
      <c r="AR3228">
        <v>-832</v>
      </c>
      <c r="AZ3228">
        <v>3614</v>
      </c>
      <c r="BA3228">
        <v>1</v>
      </c>
      <c r="BB3228" t="str">
        <f t="shared" si="152"/>
        <v xml:space="preserve">N959MJ  </v>
      </c>
      <c r="BC3228">
        <v>1</v>
      </c>
      <c r="BE3228">
        <v>0</v>
      </c>
      <c r="BF3228">
        <v>0</v>
      </c>
      <c r="BG3228">
        <v>0</v>
      </c>
      <c r="BH3228">
        <v>3075</v>
      </c>
      <c r="BI3228">
        <v>175</v>
      </c>
      <c r="BJ3228">
        <v>1</v>
      </c>
      <c r="BK3228">
        <v>1</v>
      </c>
      <c r="BL3228">
        <v>1</v>
      </c>
      <c r="BM3228">
        <v>0</v>
      </c>
      <c r="BP3228">
        <v>0</v>
      </c>
      <c r="BQ3228">
        <v>0</v>
      </c>
      <c r="BX3228" t="str">
        <f>"14:44:07.711"</f>
        <v>14:44:07.711</v>
      </c>
      <c r="BY3228" t="str">
        <f>"708863815"</f>
        <v>708863815</v>
      </c>
      <c r="CL3228">
        <v>0</v>
      </c>
      <c r="CM3228">
        <v>2</v>
      </c>
      <c r="CN3228">
        <v>0</v>
      </c>
      <c r="CO3228">
        <v>2</v>
      </c>
      <c r="CP3228">
        <v>0</v>
      </c>
      <c r="CQ3228">
        <v>7</v>
      </c>
      <c r="CR3228" t="s">
        <v>116</v>
      </c>
      <c r="CS3228">
        <v>38</v>
      </c>
      <c r="CT3228">
        <v>0</v>
      </c>
      <c r="CU3228" t="s">
        <v>4719</v>
      </c>
      <c r="CV3228" t="s">
        <v>4720</v>
      </c>
      <c r="CY3228">
        <v>7550095</v>
      </c>
      <c r="CZ3228" t="s">
        <v>119</v>
      </c>
    </row>
    <row r="3229" spans="1:104" x14ac:dyDescent="0.25">
      <c r="A3229" t="str">
        <f>"14:44:08.945"</f>
        <v>14:44:08.945</v>
      </c>
      <c r="B3229" t="s">
        <v>108</v>
      </c>
      <c r="C3229" t="str">
        <f t="shared" si="151"/>
        <v>ffdfd3c0</v>
      </c>
      <c r="D3229" t="s">
        <v>109</v>
      </c>
      <c r="E3229">
        <v>4</v>
      </c>
      <c r="F3229">
        <v>1004</v>
      </c>
      <c r="G3229" t="s">
        <v>110</v>
      </c>
      <c r="J3229" t="s">
        <v>111</v>
      </c>
      <c r="K3229">
        <v>0</v>
      </c>
      <c r="L3229">
        <v>3</v>
      </c>
      <c r="M3229">
        <v>0</v>
      </c>
      <c r="N3229">
        <v>2</v>
      </c>
      <c r="O3229">
        <v>1</v>
      </c>
      <c r="P3229">
        <v>0</v>
      </c>
      <c r="Q3229">
        <v>0</v>
      </c>
      <c r="R3229" t="s">
        <v>112</v>
      </c>
      <c r="S3229" t="str">
        <f>"14:44:08.773"</f>
        <v>14:44:08.773</v>
      </c>
      <c r="T3229" t="str">
        <f>"14:44:08.273"</f>
        <v>14:44:08.273</v>
      </c>
      <c r="U3229" t="str">
        <f t="shared" si="150"/>
        <v>ad5732</v>
      </c>
      <c r="V3229">
        <v>0</v>
      </c>
      <c r="W3229">
        <v>0</v>
      </c>
      <c r="X3229">
        <v>1</v>
      </c>
      <c r="Z3229">
        <v>0</v>
      </c>
      <c r="AA3229">
        <v>9</v>
      </c>
      <c r="AB3229">
        <v>3</v>
      </c>
      <c r="AC3229">
        <v>0</v>
      </c>
      <c r="AD3229">
        <v>10</v>
      </c>
      <c r="AE3229">
        <v>0</v>
      </c>
      <c r="AF3229">
        <v>3</v>
      </c>
      <c r="AG3229">
        <v>2</v>
      </c>
      <c r="AH3229">
        <v>0</v>
      </c>
      <c r="AI3229" t="s">
        <v>6564</v>
      </c>
      <c r="AJ3229">
        <v>40.392479999999999</v>
      </c>
      <c r="AK3229" t="s">
        <v>6565</v>
      </c>
      <c r="AL3229">
        <v>-74.820199000000002</v>
      </c>
      <c r="AM3229">
        <v>100</v>
      </c>
      <c r="AN3229">
        <v>2800</v>
      </c>
      <c r="AO3229" t="s">
        <v>115</v>
      </c>
      <c r="AP3229">
        <v>185</v>
      </c>
      <c r="AQ3229">
        <v>-21</v>
      </c>
      <c r="AR3229">
        <v>-832</v>
      </c>
      <c r="AZ3229">
        <v>3614</v>
      </c>
      <c r="BA3229">
        <v>1</v>
      </c>
      <c r="BB3229" t="str">
        <f t="shared" si="152"/>
        <v xml:space="preserve">N959MJ  </v>
      </c>
      <c r="BC3229">
        <v>1</v>
      </c>
      <c r="BE3229">
        <v>0</v>
      </c>
      <c r="BF3229">
        <v>0</v>
      </c>
      <c r="BG3229">
        <v>0</v>
      </c>
      <c r="BH3229">
        <v>3050</v>
      </c>
      <c r="BI3229">
        <v>250</v>
      </c>
      <c r="BJ3229">
        <v>1</v>
      </c>
      <c r="BK3229">
        <v>1</v>
      </c>
      <c r="BL3229">
        <v>1</v>
      </c>
      <c r="BM3229">
        <v>0</v>
      </c>
      <c r="BP3229">
        <v>0</v>
      </c>
      <c r="BQ3229">
        <v>0</v>
      </c>
      <c r="BX3229" t="str">
        <f>"14:44:08.781"</f>
        <v>14:44:08.781</v>
      </c>
      <c r="BY3229" t="str">
        <f>"780396074"</f>
        <v>780396074</v>
      </c>
      <c r="CL3229">
        <v>0</v>
      </c>
      <c r="CM3229">
        <v>2</v>
      </c>
      <c r="CN3229">
        <v>0</v>
      </c>
      <c r="CO3229">
        <v>2</v>
      </c>
      <c r="CP3229">
        <v>0</v>
      </c>
      <c r="CQ3229">
        <v>7</v>
      </c>
      <c r="CR3229" t="s">
        <v>116</v>
      </c>
      <c r="CS3229">
        <v>38</v>
      </c>
      <c r="CT3229">
        <v>3</v>
      </c>
      <c r="CU3229" t="s">
        <v>4719</v>
      </c>
      <c r="CV3229" t="s">
        <v>4720</v>
      </c>
      <c r="CY3229">
        <v>10980570</v>
      </c>
      <c r="CZ3229" t="s">
        <v>119</v>
      </c>
    </row>
    <row r="3230" spans="1:104" x14ac:dyDescent="0.25">
      <c r="A3230" t="str">
        <f>"14:44:09.961"</f>
        <v>14:44:09.961</v>
      </c>
      <c r="B3230" t="s">
        <v>108</v>
      </c>
      <c r="C3230" t="str">
        <f t="shared" si="151"/>
        <v>ffdfd3c0</v>
      </c>
      <c r="D3230" t="s">
        <v>109</v>
      </c>
      <c r="E3230">
        <v>4</v>
      </c>
      <c r="F3230">
        <v>1004</v>
      </c>
      <c r="G3230" t="s">
        <v>110</v>
      </c>
      <c r="J3230" t="s">
        <v>111</v>
      </c>
      <c r="K3230">
        <v>0</v>
      </c>
      <c r="L3230">
        <v>3</v>
      </c>
      <c r="M3230">
        <v>0</v>
      </c>
      <c r="N3230">
        <v>2</v>
      </c>
      <c r="O3230">
        <v>1</v>
      </c>
      <c r="P3230">
        <v>0</v>
      </c>
      <c r="Q3230">
        <v>0</v>
      </c>
      <c r="R3230" t="s">
        <v>112</v>
      </c>
      <c r="S3230" t="str">
        <f>"14:44:09.750"</f>
        <v>14:44:09.750</v>
      </c>
      <c r="T3230" t="str">
        <f>"14:44:09.250"</f>
        <v>14:44:09.250</v>
      </c>
      <c r="U3230" t="str">
        <f t="shared" si="150"/>
        <v>ad5732</v>
      </c>
      <c r="V3230">
        <v>0</v>
      </c>
      <c r="W3230">
        <v>0</v>
      </c>
      <c r="X3230">
        <v>1</v>
      </c>
      <c r="Z3230">
        <v>0</v>
      </c>
      <c r="AA3230">
        <v>9</v>
      </c>
      <c r="AB3230">
        <v>3</v>
      </c>
      <c r="AC3230">
        <v>0</v>
      </c>
      <c r="AD3230">
        <v>10</v>
      </c>
      <c r="AE3230">
        <v>0</v>
      </c>
      <c r="AF3230">
        <v>3</v>
      </c>
      <c r="AG3230">
        <v>2</v>
      </c>
      <c r="AH3230">
        <v>0</v>
      </c>
      <c r="AI3230" t="s">
        <v>6566</v>
      </c>
      <c r="AJ3230">
        <v>40.392372999999999</v>
      </c>
      <c r="AK3230" t="s">
        <v>6567</v>
      </c>
      <c r="AL3230">
        <v>-74.819040000000001</v>
      </c>
      <c r="AM3230">
        <v>100</v>
      </c>
      <c r="AN3230">
        <v>2800</v>
      </c>
      <c r="AO3230" t="s">
        <v>115</v>
      </c>
      <c r="AP3230">
        <v>185</v>
      </c>
      <c r="AQ3230">
        <v>-21</v>
      </c>
      <c r="AR3230">
        <v>-832</v>
      </c>
      <c r="AZ3230">
        <v>3614</v>
      </c>
      <c r="BA3230">
        <v>1</v>
      </c>
      <c r="BB3230" t="str">
        <f t="shared" si="152"/>
        <v xml:space="preserve">N959MJ  </v>
      </c>
      <c r="BC3230">
        <v>1</v>
      </c>
      <c r="BE3230">
        <v>0</v>
      </c>
      <c r="BF3230">
        <v>0</v>
      </c>
      <c r="BG3230">
        <v>0</v>
      </c>
      <c r="BH3230">
        <v>3025</v>
      </c>
      <c r="BI3230">
        <v>225</v>
      </c>
      <c r="BJ3230">
        <v>1</v>
      </c>
      <c r="BK3230">
        <v>1</v>
      </c>
      <c r="BL3230">
        <v>1</v>
      </c>
      <c r="BM3230">
        <v>0</v>
      </c>
      <c r="BP3230">
        <v>0</v>
      </c>
      <c r="BQ3230">
        <v>0</v>
      </c>
      <c r="BX3230" t="str">
        <f>"14:44:09.750"</f>
        <v>14:44:09.750</v>
      </c>
      <c r="BY3230" t="str">
        <f>"751984204"</f>
        <v>751984204</v>
      </c>
      <c r="CL3230">
        <v>0</v>
      </c>
      <c r="CM3230">
        <v>2</v>
      </c>
      <c r="CN3230">
        <v>0</v>
      </c>
      <c r="CO3230">
        <v>2</v>
      </c>
      <c r="CP3230">
        <v>0</v>
      </c>
      <c r="CQ3230">
        <v>7</v>
      </c>
      <c r="CR3230" t="s">
        <v>116</v>
      </c>
      <c r="CS3230">
        <v>38</v>
      </c>
      <c r="CT3230">
        <v>3</v>
      </c>
      <c r="CU3230" t="s">
        <v>4719</v>
      </c>
      <c r="CV3230" t="s">
        <v>4720</v>
      </c>
      <c r="CY3230">
        <v>10982271</v>
      </c>
      <c r="CZ3230" t="s">
        <v>119</v>
      </c>
    </row>
    <row r="3231" spans="1:104" x14ac:dyDescent="0.25">
      <c r="A3231" t="str">
        <f>"14:44:10.867"</f>
        <v>14:44:10.867</v>
      </c>
      <c r="B3231" t="s">
        <v>108</v>
      </c>
      <c r="C3231" t="str">
        <f t="shared" si="151"/>
        <v>ffdfd3c0</v>
      </c>
      <c r="D3231" t="s">
        <v>109</v>
      </c>
      <c r="E3231">
        <v>4</v>
      </c>
      <c r="F3231">
        <v>1004</v>
      </c>
      <c r="G3231" t="s">
        <v>110</v>
      </c>
      <c r="J3231" t="s">
        <v>111</v>
      </c>
      <c r="K3231">
        <v>0</v>
      </c>
      <c r="L3231">
        <v>3</v>
      </c>
      <c r="M3231">
        <v>0</v>
      </c>
      <c r="N3231">
        <v>2</v>
      </c>
      <c r="O3231">
        <v>1</v>
      </c>
      <c r="P3231">
        <v>0</v>
      </c>
      <c r="Q3231">
        <v>0</v>
      </c>
      <c r="R3231" t="s">
        <v>112</v>
      </c>
      <c r="S3231" t="str">
        <f>"14:44:10.688"</f>
        <v>14:44:10.688</v>
      </c>
      <c r="T3231" t="str">
        <f>"14:44:10.289"</f>
        <v>14:44:10.289</v>
      </c>
      <c r="U3231" t="str">
        <f t="shared" si="150"/>
        <v>ad5732</v>
      </c>
      <c r="V3231">
        <v>0</v>
      </c>
      <c r="W3231">
        <v>0</v>
      </c>
      <c r="X3231">
        <v>1</v>
      </c>
      <c r="Z3231">
        <v>0</v>
      </c>
      <c r="AA3231">
        <v>9</v>
      </c>
      <c r="AB3231">
        <v>3</v>
      </c>
      <c r="AC3231">
        <v>0</v>
      </c>
      <c r="AD3231">
        <v>10</v>
      </c>
      <c r="AE3231">
        <v>0</v>
      </c>
      <c r="AF3231">
        <v>3</v>
      </c>
      <c r="AG3231">
        <v>2</v>
      </c>
      <c r="AH3231">
        <v>0</v>
      </c>
      <c r="AI3231" t="s">
        <v>6568</v>
      </c>
      <c r="AJ3231">
        <v>40.392265000000002</v>
      </c>
      <c r="AK3231" t="s">
        <v>6569</v>
      </c>
      <c r="AL3231">
        <v>-74.818010000000001</v>
      </c>
      <c r="AM3231">
        <v>100</v>
      </c>
      <c r="AN3231">
        <v>2800</v>
      </c>
      <c r="AO3231" t="s">
        <v>115</v>
      </c>
      <c r="AP3231">
        <v>185</v>
      </c>
      <c r="AQ3231">
        <v>-22</v>
      </c>
      <c r="AR3231">
        <v>-832</v>
      </c>
      <c r="AZ3231">
        <v>3614</v>
      </c>
      <c r="BA3231">
        <v>1</v>
      </c>
      <c r="BB3231" t="str">
        <f t="shared" si="152"/>
        <v xml:space="preserve">N959MJ  </v>
      </c>
      <c r="BC3231">
        <v>1</v>
      </c>
      <c r="BE3231">
        <v>0</v>
      </c>
      <c r="BF3231">
        <v>0</v>
      </c>
      <c r="BG3231">
        <v>0</v>
      </c>
      <c r="BH3231">
        <v>3025</v>
      </c>
      <c r="BI3231">
        <v>225</v>
      </c>
      <c r="BJ3231">
        <v>1</v>
      </c>
      <c r="BK3231">
        <v>1</v>
      </c>
      <c r="BL3231">
        <v>1</v>
      </c>
      <c r="BM3231">
        <v>0</v>
      </c>
      <c r="BP3231">
        <v>0</v>
      </c>
      <c r="BQ3231">
        <v>0</v>
      </c>
      <c r="BX3231" t="str">
        <f>"14:44:10.688"</f>
        <v>14:44:10.688</v>
      </c>
      <c r="BY3231" t="str">
        <f>"690803766"</f>
        <v>690803766</v>
      </c>
      <c r="CL3231">
        <v>0</v>
      </c>
      <c r="CM3231">
        <v>2</v>
      </c>
      <c r="CN3231">
        <v>0</v>
      </c>
      <c r="CO3231">
        <v>2</v>
      </c>
      <c r="CP3231">
        <v>0</v>
      </c>
      <c r="CQ3231">
        <v>7</v>
      </c>
      <c r="CR3231" t="s">
        <v>116</v>
      </c>
      <c r="CS3231">
        <v>38</v>
      </c>
      <c r="CT3231">
        <v>0</v>
      </c>
      <c r="CU3231" t="s">
        <v>4719</v>
      </c>
      <c r="CV3231" t="s">
        <v>4720</v>
      </c>
      <c r="CY3231">
        <v>7554785</v>
      </c>
      <c r="CZ3231" t="s">
        <v>119</v>
      </c>
    </row>
    <row r="3232" spans="1:104" x14ac:dyDescent="0.25">
      <c r="A3232" t="str">
        <f>"14:44:11.930"</f>
        <v>14:44:11.930</v>
      </c>
      <c r="B3232" t="s">
        <v>108</v>
      </c>
      <c r="C3232" t="str">
        <f t="shared" si="151"/>
        <v>ffdfd3c0</v>
      </c>
      <c r="D3232" t="s">
        <v>109</v>
      </c>
      <c r="E3232">
        <v>4</v>
      </c>
      <c r="F3232">
        <v>1004</v>
      </c>
      <c r="G3232" t="s">
        <v>110</v>
      </c>
      <c r="J3232" t="s">
        <v>111</v>
      </c>
      <c r="K3232">
        <v>0</v>
      </c>
      <c r="L3232">
        <v>3</v>
      </c>
      <c r="M3232">
        <v>0</v>
      </c>
      <c r="N3232">
        <v>2</v>
      </c>
      <c r="O3232">
        <v>1</v>
      </c>
      <c r="P3232">
        <v>0</v>
      </c>
      <c r="Q3232">
        <v>0</v>
      </c>
      <c r="R3232" t="s">
        <v>112</v>
      </c>
      <c r="S3232" t="str">
        <f>"14:44:11.781"</f>
        <v>14:44:11.781</v>
      </c>
      <c r="T3232" t="str">
        <f>"14:44:11.281"</f>
        <v>14:44:11.281</v>
      </c>
      <c r="U3232" t="str">
        <f t="shared" si="150"/>
        <v>ad5732</v>
      </c>
      <c r="V3232">
        <v>0</v>
      </c>
      <c r="W3232">
        <v>0</v>
      </c>
      <c r="X3232">
        <v>1</v>
      </c>
      <c r="Z3232">
        <v>0</v>
      </c>
      <c r="AA3232">
        <v>9</v>
      </c>
      <c r="AB3232">
        <v>3</v>
      </c>
      <c r="AC3232">
        <v>0</v>
      </c>
      <c r="AD3232">
        <v>10</v>
      </c>
      <c r="AE3232">
        <v>0</v>
      </c>
      <c r="AF3232">
        <v>3</v>
      </c>
      <c r="AG3232">
        <v>2</v>
      </c>
      <c r="AH3232">
        <v>0</v>
      </c>
      <c r="AI3232" t="s">
        <v>6194</v>
      </c>
      <c r="AJ3232">
        <v>40.392158000000002</v>
      </c>
      <c r="AK3232" t="s">
        <v>6570</v>
      </c>
      <c r="AL3232">
        <v>-74.816829999999996</v>
      </c>
      <c r="AM3232">
        <v>100</v>
      </c>
      <c r="AN3232">
        <v>2800</v>
      </c>
      <c r="AO3232" t="s">
        <v>115</v>
      </c>
      <c r="AP3232">
        <v>185</v>
      </c>
      <c r="AQ3232">
        <v>-22</v>
      </c>
      <c r="AR3232">
        <v>-832</v>
      </c>
      <c r="AZ3232">
        <v>3614</v>
      </c>
      <c r="BA3232">
        <v>1</v>
      </c>
      <c r="BB3232" t="str">
        <f t="shared" si="152"/>
        <v xml:space="preserve">N959MJ  </v>
      </c>
      <c r="BC3232">
        <v>1</v>
      </c>
      <c r="BE3232">
        <v>0</v>
      </c>
      <c r="BF3232">
        <v>0</v>
      </c>
      <c r="BG3232">
        <v>0</v>
      </c>
      <c r="BH3232">
        <v>3000</v>
      </c>
      <c r="BI3232">
        <v>200</v>
      </c>
      <c r="BJ3232">
        <v>1</v>
      </c>
      <c r="BK3232">
        <v>1</v>
      </c>
      <c r="BL3232">
        <v>1</v>
      </c>
      <c r="BM3232">
        <v>0</v>
      </c>
      <c r="BP3232">
        <v>0</v>
      </c>
      <c r="BQ3232">
        <v>0</v>
      </c>
      <c r="BX3232" t="str">
        <f>"14:44:11.781"</f>
        <v>14:44:11.781</v>
      </c>
      <c r="BY3232" t="str">
        <f>"783635699"</f>
        <v>783635699</v>
      </c>
      <c r="CL3232">
        <v>0</v>
      </c>
      <c r="CM3232">
        <v>2</v>
      </c>
      <c r="CN3232">
        <v>0</v>
      </c>
      <c r="CO3232">
        <v>2</v>
      </c>
      <c r="CP3232">
        <v>0</v>
      </c>
      <c r="CQ3232">
        <v>7</v>
      </c>
      <c r="CR3232" t="s">
        <v>116</v>
      </c>
      <c r="CS3232">
        <v>38</v>
      </c>
      <c r="CT3232">
        <v>0</v>
      </c>
      <c r="CU3232" t="s">
        <v>4719</v>
      </c>
      <c r="CV3232" t="s">
        <v>4720</v>
      </c>
      <c r="CY3232">
        <v>7556378</v>
      </c>
      <c r="CZ3232" t="s">
        <v>119</v>
      </c>
    </row>
    <row r="3233" spans="1:104" x14ac:dyDescent="0.25">
      <c r="A3233" t="str">
        <f>"14:44:13.039"</f>
        <v>14:44:13.039</v>
      </c>
      <c r="B3233" t="s">
        <v>108</v>
      </c>
      <c r="C3233" t="str">
        <f t="shared" si="151"/>
        <v>ffdfd3c0</v>
      </c>
      <c r="D3233" t="s">
        <v>109</v>
      </c>
      <c r="E3233">
        <v>4</v>
      </c>
      <c r="F3233">
        <v>1004</v>
      </c>
      <c r="G3233" t="s">
        <v>110</v>
      </c>
      <c r="J3233" t="s">
        <v>111</v>
      </c>
      <c r="K3233">
        <v>0</v>
      </c>
      <c r="L3233">
        <v>3</v>
      </c>
      <c r="M3233">
        <v>0</v>
      </c>
      <c r="N3233">
        <v>2</v>
      </c>
      <c r="O3233">
        <v>1</v>
      </c>
      <c r="P3233">
        <v>0</v>
      </c>
      <c r="Q3233">
        <v>0</v>
      </c>
      <c r="R3233" t="s">
        <v>112</v>
      </c>
      <c r="S3233" t="str">
        <f>"14:44:12.836"</f>
        <v>14:44:12.836</v>
      </c>
      <c r="T3233" t="str">
        <f>"14:44:12.438"</f>
        <v>14:44:12.438</v>
      </c>
      <c r="U3233" t="str">
        <f t="shared" si="150"/>
        <v>ad5732</v>
      </c>
      <c r="V3233">
        <v>0</v>
      </c>
      <c r="W3233">
        <v>0</v>
      </c>
      <c r="X3233">
        <v>1</v>
      </c>
      <c r="Z3233">
        <v>0</v>
      </c>
      <c r="AA3233">
        <v>9</v>
      </c>
      <c r="AB3233">
        <v>3</v>
      </c>
      <c r="AC3233">
        <v>0</v>
      </c>
      <c r="AD3233">
        <v>10</v>
      </c>
      <c r="AE3233">
        <v>0</v>
      </c>
      <c r="AF3233">
        <v>3</v>
      </c>
      <c r="AG3233">
        <v>2</v>
      </c>
      <c r="AH3233">
        <v>0</v>
      </c>
      <c r="AI3233" t="s">
        <v>6571</v>
      </c>
      <c r="AJ3233">
        <v>40.392029000000001</v>
      </c>
      <c r="AK3233" t="s">
        <v>6572</v>
      </c>
      <c r="AL3233">
        <v>-74.815585999999996</v>
      </c>
      <c r="AM3233">
        <v>100</v>
      </c>
      <c r="AN3233">
        <v>2800</v>
      </c>
      <c r="AO3233" t="s">
        <v>115</v>
      </c>
      <c r="AP3233">
        <v>185</v>
      </c>
      <c r="AQ3233">
        <v>-22</v>
      </c>
      <c r="AR3233">
        <v>-832</v>
      </c>
      <c r="AZ3233">
        <v>3614</v>
      </c>
      <c r="BA3233">
        <v>1</v>
      </c>
      <c r="BB3233" t="str">
        <f t="shared" si="152"/>
        <v xml:space="preserve">N959MJ  </v>
      </c>
      <c r="BC3233">
        <v>1</v>
      </c>
      <c r="BE3233">
        <v>0</v>
      </c>
      <c r="BF3233">
        <v>0</v>
      </c>
      <c r="BG3233">
        <v>0</v>
      </c>
      <c r="BH3233">
        <v>3000</v>
      </c>
      <c r="BI3233">
        <v>200</v>
      </c>
      <c r="BJ3233">
        <v>1</v>
      </c>
      <c r="BK3233">
        <v>1</v>
      </c>
      <c r="BL3233">
        <v>1</v>
      </c>
      <c r="BM3233">
        <v>0</v>
      </c>
      <c r="BP3233">
        <v>0</v>
      </c>
      <c r="BQ3233">
        <v>0</v>
      </c>
      <c r="BX3233" t="str">
        <f>"14:44:12.836"</f>
        <v>14:44:12.836</v>
      </c>
      <c r="BY3233" t="str">
        <f>"837145253"</f>
        <v>837145253</v>
      </c>
      <c r="CL3233">
        <v>0</v>
      </c>
      <c r="CM3233">
        <v>2</v>
      </c>
      <c r="CN3233">
        <v>0</v>
      </c>
      <c r="CO3233">
        <v>2</v>
      </c>
      <c r="CP3233">
        <v>0</v>
      </c>
      <c r="CQ3233">
        <v>7</v>
      </c>
      <c r="CR3233" t="s">
        <v>116</v>
      </c>
      <c r="CS3233">
        <v>38</v>
      </c>
      <c r="CT3233">
        <v>0</v>
      </c>
      <c r="CU3233" t="s">
        <v>4719</v>
      </c>
      <c r="CV3233" t="s">
        <v>4720</v>
      </c>
      <c r="CY3233">
        <v>7558005</v>
      </c>
      <c r="CZ3233" t="s">
        <v>119</v>
      </c>
    </row>
    <row r="3234" spans="1:104" x14ac:dyDescent="0.25">
      <c r="A3234" t="str">
        <f>"14:44:14.000"</f>
        <v>14:44:14.000</v>
      </c>
      <c r="B3234" t="s">
        <v>108</v>
      </c>
      <c r="C3234" t="str">
        <f t="shared" si="151"/>
        <v>ffdfd3c0</v>
      </c>
      <c r="D3234" t="s">
        <v>109</v>
      </c>
      <c r="E3234">
        <v>4</v>
      </c>
      <c r="F3234">
        <v>1004</v>
      </c>
      <c r="G3234" t="s">
        <v>110</v>
      </c>
      <c r="J3234" t="s">
        <v>111</v>
      </c>
      <c r="K3234">
        <v>0</v>
      </c>
      <c r="L3234">
        <v>3</v>
      </c>
      <c r="M3234">
        <v>0</v>
      </c>
      <c r="N3234">
        <v>2</v>
      </c>
      <c r="O3234">
        <v>1</v>
      </c>
      <c r="P3234">
        <v>0</v>
      </c>
      <c r="Q3234">
        <v>0</v>
      </c>
      <c r="R3234" t="s">
        <v>112</v>
      </c>
      <c r="S3234" t="str">
        <f>"14:44:13.797"</f>
        <v>14:44:13.797</v>
      </c>
      <c r="T3234" t="str">
        <f>"14:44:13.398"</f>
        <v>14:44:13.398</v>
      </c>
      <c r="U3234" t="str">
        <f t="shared" si="150"/>
        <v>ad5732</v>
      </c>
      <c r="V3234">
        <v>0</v>
      </c>
      <c r="W3234">
        <v>0</v>
      </c>
      <c r="X3234">
        <v>1</v>
      </c>
      <c r="Z3234">
        <v>0</v>
      </c>
      <c r="AA3234">
        <v>9</v>
      </c>
      <c r="AB3234">
        <v>3</v>
      </c>
      <c r="AC3234">
        <v>0</v>
      </c>
      <c r="AD3234">
        <v>10</v>
      </c>
      <c r="AE3234">
        <v>0</v>
      </c>
      <c r="AF3234">
        <v>3</v>
      </c>
      <c r="AG3234">
        <v>2</v>
      </c>
      <c r="AH3234">
        <v>0</v>
      </c>
      <c r="AI3234" t="s">
        <v>6573</v>
      </c>
      <c r="AJ3234">
        <v>40.391964999999999</v>
      </c>
      <c r="AK3234" t="s">
        <v>6574</v>
      </c>
      <c r="AL3234">
        <v>-74.814577</v>
      </c>
      <c r="AM3234">
        <v>100</v>
      </c>
      <c r="AN3234">
        <v>2800</v>
      </c>
      <c r="AO3234" t="s">
        <v>115</v>
      </c>
      <c r="AP3234">
        <v>185</v>
      </c>
      <c r="AQ3234">
        <v>-22</v>
      </c>
      <c r="AR3234">
        <v>-832</v>
      </c>
      <c r="AZ3234">
        <v>3614</v>
      </c>
      <c r="BA3234">
        <v>1</v>
      </c>
      <c r="BB3234" t="str">
        <f t="shared" si="152"/>
        <v xml:space="preserve">N959MJ  </v>
      </c>
      <c r="BC3234">
        <v>1</v>
      </c>
      <c r="BE3234">
        <v>0</v>
      </c>
      <c r="BF3234">
        <v>0</v>
      </c>
      <c r="BG3234">
        <v>0</v>
      </c>
      <c r="BH3234">
        <v>2975</v>
      </c>
      <c r="BI3234">
        <v>175</v>
      </c>
      <c r="BJ3234">
        <v>1</v>
      </c>
      <c r="BK3234">
        <v>1</v>
      </c>
      <c r="BL3234">
        <v>1</v>
      </c>
      <c r="BM3234">
        <v>0</v>
      </c>
      <c r="BP3234">
        <v>0</v>
      </c>
      <c r="BQ3234">
        <v>0</v>
      </c>
      <c r="BX3234" t="str">
        <f>"14:44:13.797"</f>
        <v>14:44:13.797</v>
      </c>
      <c r="BY3234" t="str">
        <f>"797264408"</f>
        <v>797264408</v>
      </c>
      <c r="CL3234">
        <v>0</v>
      </c>
      <c r="CM3234">
        <v>2</v>
      </c>
      <c r="CN3234">
        <v>0</v>
      </c>
      <c r="CO3234">
        <v>2</v>
      </c>
      <c r="CP3234">
        <v>0</v>
      </c>
      <c r="CQ3234">
        <v>7</v>
      </c>
      <c r="CR3234" t="s">
        <v>116</v>
      </c>
      <c r="CS3234">
        <v>38</v>
      </c>
      <c r="CT3234">
        <v>3</v>
      </c>
      <c r="CU3234" t="s">
        <v>4719</v>
      </c>
      <c r="CV3234" t="s">
        <v>4720</v>
      </c>
      <c r="CY3234">
        <v>10989249</v>
      </c>
      <c r="CZ3234" t="s">
        <v>119</v>
      </c>
    </row>
    <row r="3235" spans="1:104" x14ac:dyDescent="0.25">
      <c r="A3235" t="str">
        <f>"14:44:15.008"</f>
        <v>14:44:15.008</v>
      </c>
      <c r="B3235" t="s">
        <v>108</v>
      </c>
      <c r="C3235" t="str">
        <f t="shared" si="151"/>
        <v>ffdfd3c0</v>
      </c>
      <c r="D3235" t="s">
        <v>109</v>
      </c>
      <c r="E3235">
        <v>4</v>
      </c>
      <c r="F3235">
        <v>1004</v>
      </c>
      <c r="G3235" t="s">
        <v>110</v>
      </c>
      <c r="J3235" t="s">
        <v>111</v>
      </c>
      <c r="K3235">
        <v>0</v>
      </c>
      <c r="L3235">
        <v>3</v>
      </c>
      <c r="M3235">
        <v>0</v>
      </c>
      <c r="N3235">
        <v>2</v>
      </c>
      <c r="O3235">
        <v>1</v>
      </c>
      <c r="P3235">
        <v>0</v>
      </c>
      <c r="Q3235">
        <v>0</v>
      </c>
      <c r="R3235" t="s">
        <v>112</v>
      </c>
      <c r="S3235" t="str">
        <f>"14:44:14.836"</f>
        <v>14:44:14.836</v>
      </c>
      <c r="T3235" t="str">
        <f>"14:44:14.336"</f>
        <v>14:44:14.336</v>
      </c>
      <c r="U3235" t="str">
        <f t="shared" si="150"/>
        <v>ad5732</v>
      </c>
      <c r="V3235">
        <v>0</v>
      </c>
      <c r="W3235">
        <v>0</v>
      </c>
      <c r="X3235">
        <v>1</v>
      </c>
      <c r="Z3235">
        <v>0</v>
      </c>
      <c r="AA3235">
        <v>9</v>
      </c>
      <c r="AB3235">
        <v>3</v>
      </c>
      <c r="AC3235">
        <v>0</v>
      </c>
      <c r="AD3235">
        <v>10</v>
      </c>
      <c r="AE3235">
        <v>0</v>
      </c>
      <c r="AF3235">
        <v>3</v>
      </c>
      <c r="AG3235">
        <v>2</v>
      </c>
      <c r="AH3235">
        <v>0</v>
      </c>
      <c r="AI3235" t="s">
        <v>6575</v>
      </c>
      <c r="AJ3235">
        <v>40.391835999999998</v>
      </c>
      <c r="AK3235" t="s">
        <v>6576</v>
      </c>
      <c r="AL3235">
        <v>-74.813333</v>
      </c>
      <c r="AM3235">
        <v>100</v>
      </c>
      <c r="AN3235">
        <v>2800</v>
      </c>
      <c r="AO3235" t="s">
        <v>115</v>
      </c>
      <c r="AP3235">
        <v>185</v>
      </c>
      <c r="AQ3235">
        <v>-22</v>
      </c>
      <c r="AR3235">
        <v>-832</v>
      </c>
      <c r="AZ3235">
        <v>3614</v>
      </c>
      <c r="BA3235">
        <v>1</v>
      </c>
      <c r="BB3235" t="str">
        <f t="shared" si="152"/>
        <v xml:space="preserve">N959MJ  </v>
      </c>
      <c r="BC3235">
        <v>1</v>
      </c>
      <c r="BE3235">
        <v>0</v>
      </c>
      <c r="BF3235">
        <v>0</v>
      </c>
      <c r="BG3235">
        <v>0</v>
      </c>
      <c r="BH3235">
        <v>2975</v>
      </c>
      <c r="BI3235">
        <v>175</v>
      </c>
      <c r="BJ3235">
        <v>1</v>
      </c>
      <c r="BK3235">
        <v>1</v>
      </c>
      <c r="BL3235">
        <v>1</v>
      </c>
      <c r="BM3235">
        <v>0</v>
      </c>
      <c r="BP3235">
        <v>0</v>
      </c>
      <c r="BQ3235">
        <v>0</v>
      </c>
      <c r="BX3235" t="str">
        <f>"14:44:14.836"</f>
        <v>14:44:14.836</v>
      </c>
      <c r="BY3235" t="str">
        <f>"839305027"</f>
        <v>839305027</v>
      </c>
      <c r="CL3235">
        <v>0</v>
      </c>
      <c r="CM3235">
        <v>2</v>
      </c>
      <c r="CN3235">
        <v>0</v>
      </c>
      <c r="CO3235">
        <v>2</v>
      </c>
      <c r="CP3235">
        <v>0</v>
      </c>
      <c r="CQ3235">
        <v>7</v>
      </c>
      <c r="CR3235" t="s">
        <v>116</v>
      </c>
      <c r="CS3235">
        <v>38</v>
      </c>
      <c r="CT3235">
        <v>0</v>
      </c>
      <c r="CU3235" t="s">
        <v>4719</v>
      </c>
      <c r="CV3235" t="s">
        <v>4720</v>
      </c>
      <c r="CY3235">
        <v>7561089</v>
      </c>
      <c r="CZ3235" t="s">
        <v>119</v>
      </c>
    </row>
    <row r="3236" spans="1:104" x14ac:dyDescent="0.25">
      <c r="A3236" t="str">
        <f>"14:44:15.914"</f>
        <v>14:44:15.914</v>
      </c>
      <c r="B3236" t="s">
        <v>108</v>
      </c>
      <c r="C3236" t="str">
        <f t="shared" si="151"/>
        <v>ffdfd3c0</v>
      </c>
      <c r="D3236" t="s">
        <v>109</v>
      </c>
      <c r="E3236">
        <v>4</v>
      </c>
      <c r="F3236">
        <v>1004</v>
      </c>
      <c r="G3236" t="s">
        <v>110</v>
      </c>
      <c r="J3236" t="s">
        <v>111</v>
      </c>
      <c r="K3236">
        <v>0</v>
      </c>
      <c r="L3236">
        <v>3</v>
      </c>
      <c r="M3236">
        <v>0</v>
      </c>
      <c r="N3236">
        <v>2</v>
      </c>
      <c r="O3236">
        <v>1</v>
      </c>
      <c r="P3236">
        <v>0</v>
      </c>
      <c r="Q3236">
        <v>0</v>
      </c>
      <c r="R3236" t="s">
        <v>112</v>
      </c>
      <c r="S3236" t="str">
        <f>"14:44:15.750"</f>
        <v>14:44:15.750</v>
      </c>
      <c r="T3236" t="str">
        <f>"14:44:15.352"</f>
        <v>14:44:15.352</v>
      </c>
      <c r="U3236" t="str">
        <f t="shared" si="150"/>
        <v>ad5732</v>
      </c>
      <c r="V3236">
        <v>0</v>
      </c>
      <c r="W3236">
        <v>0</v>
      </c>
      <c r="X3236">
        <v>1</v>
      </c>
      <c r="Z3236">
        <v>0</v>
      </c>
      <c r="AA3236">
        <v>9</v>
      </c>
      <c r="AB3236">
        <v>3</v>
      </c>
      <c r="AC3236">
        <v>0</v>
      </c>
      <c r="AD3236">
        <v>10</v>
      </c>
      <c r="AE3236">
        <v>0</v>
      </c>
      <c r="AF3236">
        <v>3</v>
      </c>
      <c r="AG3236">
        <v>2</v>
      </c>
      <c r="AH3236">
        <v>0</v>
      </c>
      <c r="AI3236" t="s">
        <v>6577</v>
      </c>
      <c r="AJ3236">
        <v>40.391728999999998</v>
      </c>
      <c r="AK3236" t="s">
        <v>6578</v>
      </c>
      <c r="AL3236">
        <v>-74.812324000000004</v>
      </c>
      <c r="AM3236">
        <v>100</v>
      </c>
      <c r="AN3236">
        <v>2700</v>
      </c>
      <c r="AO3236" t="s">
        <v>115</v>
      </c>
      <c r="AP3236">
        <v>186</v>
      </c>
      <c r="AQ3236">
        <v>-22</v>
      </c>
      <c r="AR3236">
        <v>-832</v>
      </c>
      <c r="AZ3236">
        <v>3614</v>
      </c>
      <c r="BA3236">
        <v>1</v>
      </c>
      <c r="BB3236" t="str">
        <f t="shared" si="152"/>
        <v xml:space="preserve">N959MJ  </v>
      </c>
      <c r="BC3236">
        <v>1</v>
      </c>
      <c r="BE3236">
        <v>0</v>
      </c>
      <c r="BF3236">
        <v>0</v>
      </c>
      <c r="BG3236">
        <v>0</v>
      </c>
      <c r="BH3236">
        <v>2950</v>
      </c>
      <c r="BI3236">
        <v>250</v>
      </c>
      <c r="BJ3236">
        <v>1</v>
      </c>
      <c r="BK3236">
        <v>1</v>
      </c>
      <c r="BL3236">
        <v>1</v>
      </c>
      <c r="BM3236">
        <v>0</v>
      </c>
      <c r="BP3236">
        <v>0</v>
      </c>
      <c r="BQ3236">
        <v>0</v>
      </c>
      <c r="BX3236" t="str">
        <f>"14:44:15.758"</f>
        <v>14:44:15.758</v>
      </c>
      <c r="BY3236" t="str">
        <f>"755186629"</f>
        <v>755186629</v>
      </c>
      <c r="CL3236">
        <v>0</v>
      </c>
      <c r="CM3236">
        <v>2</v>
      </c>
      <c r="CN3236">
        <v>0</v>
      </c>
      <c r="CO3236">
        <v>2</v>
      </c>
      <c r="CP3236">
        <v>0</v>
      </c>
      <c r="CQ3236">
        <v>7</v>
      </c>
      <c r="CR3236" t="s">
        <v>116</v>
      </c>
      <c r="CS3236">
        <v>38</v>
      </c>
      <c r="CT3236">
        <v>0</v>
      </c>
      <c r="CU3236" t="s">
        <v>4719</v>
      </c>
      <c r="CV3236" t="s">
        <v>4720</v>
      </c>
      <c r="CY3236">
        <v>7562450</v>
      </c>
      <c r="CZ3236" t="s">
        <v>119</v>
      </c>
    </row>
    <row r="3237" spans="1:104" x14ac:dyDescent="0.25">
      <c r="A3237" t="str">
        <f>"14:44:16.930"</f>
        <v>14:44:16.930</v>
      </c>
      <c r="B3237" t="s">
        <v>108</v>
      </c>
      <c r="C3237" t="str">
        <f t="shared" si="151"/>
        <v>ffdfd3c0</v>
      </c>
      <c r="D3237" t="s">
        <v>109</v>
      </c>
      <c r="E3237">
        <v>4</v>
      </c>
      <c r="F3237">
        <v>1004</v>
      </c>
      <c r="G3237" t="s">
        <v>110</v>
      </c>
      <c r="J3237" t="s">
        <v>111</v>
      </c>
      <c r="K3237">
        <v>0</v>
      </c>
      <c r="L3237">
        <v>3</v>
      </c>
      <c r="M3237">
        <v>0</v>
      </c>
      <c r="N3237">
        <v>2</v>
      </c>
      <c r="O3237">
        <v>1</v>
      </c>
      <c r="P3237">
        <v>0</v>
      </c>
      <c r="Q3237">
        <v>0</v>
      </c>
      <c r="R3237" t="s">
        <v>112</v>
      </c>
      <c r="S3237" t="str">
        <f>"14:44:16.719"</f>
        <v>14:44:16.719</v>
      </c>
      <c r="T3237" t="str">
        <f>"14:44:16.219"</f>
        <v>14:44:16.219</v>
      </c>
      <c r="U3237" t="str">
        <f t="shared" si="150"/>
        <v>ad5732</v>
      </c>
      <c r="V3237">
        <v>0</v>
      </c>
      <c r="W3237">
        <v>0</v>
      </c>
      <c r="X3237">
        <v>1</v>
      </c>
      <c r="Z3237">
        <v>0</v>
      </c>
      <c r="AA3237">
        <v>9</v>
      </c>
      <c r="AB3237">
        <v>3</v>
      </c>
      <c r="AC3237">
        <v>0</v>
      </c>
      <c r="AD3237">
        <v>10</v>
      </c>
      <c r="AE3237">
        <v>0</v>
      </c>
      <c r="AF3237">
        <v>3</v>
      </c>
      <c r="AG3237">
        <v>2</v>
      </c>
      <c r="AH3237">
        <v>0</v>
      </c>
      <c r="AI3237" t="s">
        <v>6579</v>
      </c>
      <c r="AJ3237">
        <v>40.391665000000003</v>
      </c>
      <c r="AK3237" t="s">
        <v>6580</v>
      </c>
      <c r="AL3237">
        <v>-74.811273</v>
      </c>
      <c r="AM3237">
        <v>100</v>
      </c>
      <c r="AN3237">
        <v>2700</v>
      </c>
      <c r="AO3237" t="s">
        <v>115</v>
      </c>
      <c r="AP3237">
        <v>186</v>
      </c>
      <c r="AQ3237">
        <v>-22</v>
      </c>
      <c r="AR3237">
        <v>-832</v>
      </c>
      <c r="AZ3237">
        <v>3614</v>
      </c>
      <c r="BA3237">
        <v>1</v>
      </c>
      <c r="BB3237" t="str">
        <f t="shared" si="152"/>
        <v xml:space="preserve">N959MJ  </v>
      </c>
      <c r="BC3237">
        <v>1</v>
      </c>
      <c r="BE3237">
        <v>0</v>
      </c>
      <c r="BF3237">
        <v>0</v>
      </c>
      <c r="BG3237">
        <v>0</v>
      </c>
      <c r="BH3237">
        <v>2950</v>
      </c>
      <c r="BI3237">
        <v>250</v>
      </c>
      <c r="BJ3237">
        <v>1</v>
      </c>
      <c r="BK3237">
        <v>1</v>
      </c>
      <c r="BL3237">
        <v>1</v>
      </c>
      <c r="BM3237">
        <v>0</v>
      </c>
      <c r="BP3237">
        <v>0</v>
      </c>
      <c r="BQ3237">
        <v>0</v>
      </c>
      <c r="BX3237" t="str">
        <f>"14:44:16.719"</f>
        <v>14:44:16.719</v>
      </c>
      <c r="BY3237" t="str">
        <f>"720221162"</f>
        <v>720221162</v>
      </c>
      <c r="CL3237">
        <v>0</v>
      </c>
      <c r="CM3237">
        <v>2</v>
      </c>
      <c r="CN3237">
        <v>0</v>
      </c>
      <c r="CO3237">
        <v>2</v>
      </c>
      <c r="CP3237">
        <v>0</v>
      </c>
      <c r="CQ3237">
        <v>7</v>
      </c>
      <c r="CR3237" t="s">
        <v>116</v>
      </c>
      <c r="CS3237">
        <v>38</v>
      </c>
      <c r="CT3237">
        <v>0</v>
      </c>
      <c r="CU3237" t="s">
        <v>4719</v>
      </c>
      <c r="CV3237" t="s">
        <v>4720</v>
      </c>
      <c r="CY3237">
        <v>7563874</v>
      </c>
      <c r="CZ3237" t="s">
        <v>119</v>
      </c>
    </row>
    <row r="3238" spans="1:104" x14ac:dyDescent="0.25">
      <c r="A3238" t="str">
        <f>"14:44:17.938"</f>
        <v>14:44:17.938</v>
      </c>
      <c r="B3238" t="s">
        <v>108</v>
      </c>
      <c r="C3238" t="str">
        <f t="shared" si="151"/>
        <v>ffdfd3c0</v>
      </c>
      <c r="D3238" t="s">
        <v>109</v>
      </c>
      <c r="E3238">
        <v>4</v>
      </c>
      <c r="F3238">
        <v>1004</v>
      </c>
      <c r="G3238" t="s">
        <v>110</v>
      </c>
      <c r="J3238" t="s">
        <v>111</v>
      </c>
      <c r="K3238">
        <v>0</v>
      </c>
      <c r="L3238">
        <v>3</v>
      </c>
      <c r="M3238">
        <v>0</v>
      </c>
      <c r="N3238">
        <v>2</v>
      </c>
      <c r="O3238">
        <v>1</v>
      </c>
      <c r="P3238">
        <v>0</v>
      </c>
      <c r="Q3238">
        <v>0</v>
      </c>
      <c r="R3238" t="s">
        <v>112</v>
      </c>
      <c r="S3238" t="str">
        <f>"14:44:17.781"</f>
        <v>14:44:17.781</v>
      </c>
      <c r="T3238" t="str">
        <f>"14:44:17.281"</f>
        <v>14:44:17.281</v>
      </c>
      <c r="U3238" t="str">
        <f t="shared" si="150"/>
        <v>ad5732</v>
      </c>
      <c r="V3238">
        <v>0</v>
      </c>
      <c r="W3238">
        <v>0</v>
      </c>
      <c r="X3238">
        <v>1</v>
      </c>
      <c r="Z3238">
        <v>0</v>
      </c>
      <c r="AA3238">
        <v>9</v>
      </c>
      <c r="AB3238">
        <v>3</v>
      </c>
      <c r="AC3238">
        <v>0</v>
      </c>
      <c r="AD3238">
        <v>10</v>
      </c>
      <c r="AE3238">
        <v>0</v>
      </c>
      <c r="AF3238">
        <v>3</v>
      </c>
      <c r="AG3238">
        <v>2</v>
      </c>
      <c r="AH3238">
        <v>0</v>
      </c>
      <c r="AI3238" t="s">
        <v>6192</v>
      </c>
      <c r="AJ3238">
        <v>40.391556999999999</v>
      </c>
      <c r="AK3238" t="s">
        <v>6581</v>
      </c>
      <c r="AL3238">
        <v>-74.810050000000004</v>
      </c>
      <c r="AM3238">
        <v>100</v>
      </c>
      <c r="AN3238">
        <v>2700</v>
      </c>
      <c r="AO3238" t="s">
        <v>115</v>
      </c>
      <c r="AP3238">
        <v>186</v>
      </c>
      <c r="AQ3238">
        <v>-22</v>
      </c>
      <c r="AR3238">
        <v>-832</v>
      </c>
      <c r="AZ3238">
        <v>3614</v>
      </c>
      <c r="BA3238">
        <v>1</v>
      </c>
      <c r="BB3238" t="str">
        <f t="shared" si="152"/>
        <v xml:space="preserve">N959MJ  </v>
      </c>
      <c r="BC3238">
        <v>1</v>
      </c>
      <c r="BE3238">
        <v>0</v>
      </c>
      <c r="BF3238">
        <v>0</v>
      </c>
      <c r="BG3238">
        <v>0</v>
      </c>
      <c r="BH3238">
        <v>2925</v>
      </c>
      <c r="BI3238">
        <v>225</v>
      </c>
      <c r="BJ3238">
        <v>1</v>
      </c>
      <c r="BK3238">
        <v>1</v>
      </c>
      <c r="BL3238">
        <v>1</v>
      </c>
      <c r="BM3238">
        <v>0</v>
      </c>
      <c r="BP3238">
        <v>0</v>
      </c>
      <c r="BQ3238">
        <v>0</v>
      </c>
      <c r="BX3238" t="str">
        <f>"14:44:17.781"</f>
        <v>14:44:17.781</v>
      </c>
      <c r="BY3238" t="str">
        <f>"783876220"</f>
        <v>783876220</v>
      </c>
      <c r="CL3238">
        <v>0</v>
      </c>
      <c r="CM3238">
        <v>2</v>
      </c>
      <c r="CN3238">
        <v>0</v>
      </c>
      <c r="CO3238">
        <v>2</v>
      </c>
      <c r="CP3238">
        <v>0</v>
      </c>
      <c r="CQ3238">
        <v>5</v>
      </c>
      <c r="CR3238" t="s">
        <v>116</v>
      </c>
      <c r="CS3238">
        <v>40</v>
      </c>
      <c r="CT3238">
        <v>0</v>
      </c>
      <c r="CU3238" t="s">
        <v>2685</v>
      </c>
      <c r="CV3238" t="s">
        <v>2686</v>
      </c>
      <c r="CY3238">
        <v>10952075</v>
      </c>
      <c r="CZ3238" t="s">
        <v>119</v>
      </c>
    </row>
    <row r="3239" spans="1:104" x14ac:dyDescent="0.25">
      <c r="A3239" t="str">
        <f>"14:44:18.945"</f>
        <v>14:44:18.945</v>
      </c>
      <c r="B3239" t="s">
        <v>108</v>
      </c>
      <c r="C3239" t="str">
        <f t="shared" si="151"/>
        <v>ffdfd3c0</v>
      </c>
      <c r="D3239" t="s">
        <v>109</v>
      </c>
      <c r="E3239">
        <v>4</v>
      </c>
      <c r="F3239">
        <v>1004</v>
      </c>
      <c r="G3239" t="s">
        <v>110</v>
      </c>
      <c r="J3239" t="s">
        <v>111</v>
      </c>
      <c r="K3239">
        <v>0</v>
      </c>
      <c r="L3239">
        <v>3</v>
      </c>
      <c r="M3239">
        <v>0</v>
      </c>
      <c r="N3239">
        <v>2</v>
      </c>
      <c r="O3239">
        <v>1</v>
      </c>
      <c r="P3239">
        <v>0</v>
      </c>
      <c r="Q3239">
        <v>0</v>
      </c>
      <c r="R3239" t="s">
        <v>112</v>
      </c>
      <c r="S3239" t="str">
        <f>"14:44:18.758"</f>
        <v>14:44:18.758</v>
      </c>
      <c r="T3239" t="str">
        <f>"14:44:18.258"</f>
        <v>14:44:18.258</v>
      </c>
      <c r="U3239" t="str">
        <f t="shared" si="150"/>
        <v>ad5732</v>
      </c>
      <c r="V3239">
        <v>0</v>
      </c>
      <c r="W3239">
        <v>0</v>
      </c>
      <c r="X3239">
        <v>1</v>
      </c>
      <c r="Z3239">
        <v>0</v>
      </c>
      <c r="AA3239">
        <v>9</v>
      </c>
      <c r="AB3239">
        <v>3</v>
      </c>
      <c r="AC3239">
        <v>0</v>
      </c>
      <c r="AD3239">
        <v>10</v>
      </c>
      <c r="AE3239">
        <v>0</v>
      </c>
      <c r="AF3239">
        <v>3</v>
      </c>
      <c r="AG3239">
        <v>2</v>
      </c>
      <c r="AH3239">
        <v>0</v>
      </c>
      <c r="AI3239" t="s">
        <v>6582</v>
      </c>
      <c r="AJ3239">
        <v>40.391471000000003</v>
      </c>
      <c r="AK3239" t="s">
        <v>6583</v>
      </c>
      <c r="AL3239">
        <v>-74.808954999999997</v>
      </c>
      <c r="AM3239">
        <v>100</v>
      </c>
      <c r="AN3239">
        <v>2700</v>
      </c>
      <c r="AO3239" t="s">
        <v>115</v>
      </c>
      <c r="AP3239">
        <v>186</v>
      </c>
      <c r="AQ3239">
        <v>-22</v>
      </c>
      <c r="AR3239">
        <v>-832</v>
      </c>
      <c r="AZ3239">
        <v>3614</v>
      </c>
      <c r="BA3239">
        <v>1</v>
      </c>
      <c r="BB3239" t="str">
        <f t="shared" si="152"/>
        <v xml:space="preserve">N959MJ  </v>
      </c>
      <c r="BC3239">
        <v>1</v>
      </c>
      <c r="BE3239">
        <v>0</v>
      </c>
      <c r="BF3239">
        <v>0</v>
      </c>
      <c r="BG3239">
        <v>0</v>
      </c>
      <c r="BH3239">
        <v>2925</v>
      </c>
      <c r="BI3239">
        <v>225</v>
      </c>
      <c r="BJ3239">
        <v>1</v>
      </c>
      <c r="BK3239">
        <v>1</v>
      </c>
      <c r="BL3239">
        <v>1</v>
      </c>
      <c r="BM3239">
        <v>0</v>
      </c>
      <c r="BP3239">
        <v>0</v>
      </c>
      <c r="BQ3239">
        <v>0</v>
      </c>
      <c r="BX3239" t="str">
        <f>"14:44:18.766"</f>
        <v>14:44:18.766</v>
      </c>
      <c r="BY3239" t="str">
        <f>"764980027"</f>
        <v>764980027</v>
      </c>
      <c r="CL3239">
        <v>0</v>
      </c>
      <c r="CM3239">
        <v>2</v>
      </c>
      <c r="CN3239">
        <v>0</v>
      </c>
      <c r="CO3239">
        <v>2</v>
      </c>
      <c r="CP3239">
        <v>0</v>
      </c>
      <c r="CQ3239">
        <v>7</v>
      </c>
      <c r="CR3239" t="s">
        <v>116</v>
      </c>
      <c r="CS3239">
        <v>38</v>
      </c>
      <c r="CT3239">
        <v>3</v>
      </c>
      <c r="CU3239" t="s">
        <v>4719</v>
      </c>
      <c r="CV3239" t="s">
        <v>4720</v>
      </c>
      <c r="CY3239">
        <v>10997874</v>
      </c>
      <c r="CZ3239" t="s">
        <v>119</v>
      </c>
    </row>
    <row r="3240" spans="1:104" x14ac:dyDescent="0.25">
      <c r="A3240" t="str">
        <f>"14:44:20.008"</f>
        <v>14:44:20.008</v>
      </c>
      <c r="B3240" t="s">
        <v>108</v>
      </c>
      <c r="C3240" t="str">
        <f t="shared" si="151"/>
        <v>ffdfd3c0</v>
      </c>
      <c r="D3240" t="s">
        <v>109</v>
      </c>
      <c r="E3240">
        <v>4</v>
      </c>
      <c r="F3240">
        <v>1004</v>
      </c>
      <c r="G3240" t="s">
        <v>110</v>
      </c>
      <c r="J3240" t="s">
        <v>111</v>
      </c>
      <c r="K3240">
        <v>0</v>
      </c>
      <c r="L3240">
        <v>3</v>
      </c>
      <c r="M3240">
        <v>0</v>
      </c>
      <c r="N3240">
        <v>2</v>
      </c>
      <c r="O3240">
        <v>1</v>
      </c>
      <c r="P3240">
        <v>0</v>
      </c>
      <c r="Q3240">
        <v>0</v>
      </c>
      <c r="R3240" t="s">
        <v>112</v>
      </c>
      <c r="S3240" t="str">
        <f>"14:44:19.836"</f>
        <v>14:44:19.836</v>
      </c>
      <c r="T3240" t="str">
        <f>"14:44:19.438"</f>
        <v>14:44:19.438</v>
      </c>
      <c r="U3240" t="str">
        <f t="shared" si="150"/>
        <v>ad5732</v>
      </c>
      <c r="V3240">
        <v>0</v>
      </c>
      <c r="W3240">
        <v>0</v>
      </c>
      <c r="X3240">
        <v>1</v>
      </c>
      <c r="Z3240">
        <v>0</v>
      </c>
      <c r="AA3240">
        <v>9</v>
      </c>
      <c r="AB3240">
        <v>3</v>
      </c>
      <c r="AC3240">
        <v>0</v>
      </c>
      <c r="AD3240">
        <v>10</v>
      </c>
      <c r="AE3240">
        <v>0</v>
      </c>
      <c r="AF3240">
        <v>3</v>
      </c>
      <c r="AG3240">
        <v>2</v>
      </c>
      <c r="AH3240">
        <v>0</v>
      </c>
      <c r="AI3240" t="s">
        <v>6584</v>
      </c>
      <c r="AJ3240">
        <v>40.391320999999998</v>
      </c>
      <c r="AK3240" t="s">
        <v>6585</v>
      </c>
      <c r="AL3240">
        <v>-74.807710999999998</v>
      </c>
      <c r="AM3240">
        <v>100</v>
      </c>
      <c r="AN3240">
        <v>2700</v>
      </c>
      <c r="AO3240" t="s">
        <v>115</v>
      </c>
      <c r="AP3240">
        <v>186</v>
      </c>
      <c r="AQ3240">
        <v>-22</v>
      </c>
      <c r="AR3240">
        <v>-832</v>
      </c>
      <c r="AZ3240">
        <v>3614</v>
      </c>
      <c r="BA3240">
        <v>1</v>
      </c>
      <c r="BB3240" t="str">
        <f t="shared" si="152"/>
        <v xml:space="preserve">N959MJ  </v>
      </c>
      <c r="BC3240">
        <v>1</v>
      </c>
      <c r="BE3240">
        <v>0</v>
      </c>
      <c r="BF3240">
        <v>0</v>
      </c>
      <c r="BG3240">
        <v>0</v>
      </c>
      <c r="BH3240">
        <v>2900</v>
      </c>
      <c r="BI3240">
        <v>200</v>
      </c>
      <c r="BJ3240">
        <v>1</v>
      </c>
      <c r="BK3240">
        <v>1</v>
      </c>
      <c r="BL3240">
        <v>1</v>
      </c>
      <c r="BM3240">
        <v>0</v>
      </c>
      <c r="BP3240">
        <v>0</v>
      </c>
      <c r="BQ3240">
        <v>0</v>
      </c>
      <c r="BX3240" t="str">
        <f>"14:44:19.844"</f>
        <v>14:44:19.844</v>
      </c>
      <c r="BY3240" t="str">
        <f>"841427715"</f>
        <v>841427715</v>
      </c>
      <c r="CL3240">
        <v>0</v>
      </c>
      <c r="CM3240">
        <v>2</v>
      </c>
      <c r="CN3240">
        <v>0</v>
      </c>
      <c r="CO3240">
        <v>2</v>
      </c>
      <c r="CP3240">
        <v>0</v>
      </c>
      <c r="CQ3240">
        <v>7</v>
      </c>
      <c r="CR3240" t="s">
        <v>116</v>
      </c>
      <c r="CS3240">
        <v>38</v>
      </c>
      <c r="CT3240">
        <v>0</v>
      </c>
      <c r="CU3240" t="s">
        <v>4719</v>
      </c>
      <c r="CV3240" t="s">
        <v>4720</v>
      </c>
      <c r="CY3240">
        <v>7568910</v>
      </c>
      <c r="CZ3240" t="s">
        <v>119</v>
      </c>
    </row>
    <row r="3241" spans="1:104" x14ac:dyDescent="0.25">
      <c r="A3241" t="str">
        <f>"14:44:21.016"</f>
        <v>14:44:21.016</v>
      </c>
      <c r="B3241" t="s">
        <v>108</v>
      </c>
      <c r="C3241" t="str">
        <f t="shared" si="151"/>
        <v>ffdfd3c0</v>
      </c>
      <c r="D3241" t="s">
        <v>109</v>
      </c>
      <c r="E3241">
        <v>4</v>
      </c>
      <c r="F3241">
        <v>1004</v>
      </c>
      <c r="G3241" t="s">
        <v>110</v>
      </c>
      <c r="J3241" t="s">
        <v>111</v>
      </c>
      <c r="K3241">
        <v>0</v>
      </c>
      <c r="L3241">
        <v>3</v>
      </c>
      <c r="M3241">
        <v>0</v>
      </c>
      <c r="N3241">
        <v>2</v>
      </c>
      <c r="O3241">
        <v>1</v>
      </c>
      <c r="P3241">
        <v>0</v>
      </c>
      <c r="Q3241">
        <v>0</v>
      </c>
      <c r="R3241" t="s">
        <v>112</v>
      </c>
      <c r="S3241" t="str">
        <f>"14:44:20.797"</f>
        <v>14:44:20.797</v>
      </c>
      <c r="T3241" t="str">
        <f>"14:44:20.398"</f>
        <v>14:44:20.398</v>
      </c>
      <c r="U3241" t="str">
        <f t="shared" si="150"/>
        <v>ad5732</v>
      </c>
      <c r="V3241">
        <v>0</v>
      </c>
      <c r="W3241">
        <v>0</v>
      </c>
      <c r="X3241">
        <v>1</v>
      </c>
      <c r="Z3241">
        <v>0</v>
      </c>
      <c r="AA3241">
        <v>9</v>
      </c>
      <c r="AB3241">
        <v>3</v>
      </c>
      <c r="AC3241">
        <v>0</v>
      </c>
      <c r="AD3241">
        <v>10</v>
      </c>
      <c r="AE3241">
        <v>0</v>
      </c>
      <c r="AF3241">
        <v>3</v>
      </c>
      <c r="AG3241">
        <v>2</v>
      </c>
      <c r="AH3241">
        <v>0</v>
      </c>
      <c r="AI3241" t="s">
        <v>6586</v>
      </c>
      <c r="AJ3241">
        <v>40.391235000000002</v>
      </c>
      <c r="AK3241" t="s">
        <v>6587</v>
      </c>
      <c r="AL3241">
        <v>-74.806702000000001</v>
      </c>
      <c r="AM3241">
        <v>100</v>
      </c>
      <c r="AN3241">
        <v>2700</v>
      </c>
      <c r="AO3241" t="s">
        <v>115</v>
      </c>
      <c r="AP3241">
        <v>186</v>
      </c>
      <c r="AQ3241">
        <v>-22</v>
      </c>
      <c r="AR3241">
        <v>-768</v>
      </c>
      <c r="AZ3241">
        <v>3614</v>
      </c>
      <c r="BA3241">
        <v>1</v>
      </c>
      <c r="BB3241" t="str">
        <f t="shared" si="152"/>
        <v xml:space="preserve">N959MJ  </v>
      </c>
      <c r="BC3241">
        <v>1</v>
      </c>
      <c r="BE3241">
        <v>0</v>
      </c>
      <c r="BF3241">
        <v>0</v>
      </c>
      <c r="BG3241">
        <v>0</v>
      </c>
      <c r="BH3241">
        <v>2875</v>
      </c>
      <c r="BI3241">
        <v>175</v>
      </c>
      <c r="BJ3241">
        <v>1</v>
      </c>
      <c r="BK3241">
        <v>1</v>
      </c>
      <c r="BL3241">
        <v>1</v>
      </c>
      <c r="BM3241">
        <v>0</v>
      </c>
      <c r="BP3241">
        <v>0</v>
      </c>
      <c r="BQ3241">
        <v>0</v>
      </c>
      <c r="BX3241" t="str">
        <f>"14:44:20.805"</f>
        <v>14:44:20.805</v>
      </c>
      <c r="BY3241" t="str">
        <f>"803185287"</f>
        <v>803185287</v>
      </c>
      <c r="CL3241">
        <v>0</v>
      </c>
      <c r="CM3241">
        <v>2</v>
      </c>
      <c r="CN3241">
        <v>0</v>
      </c>
      <c r="CO3241">
        <v>2</v>
      </c>
      <c r="CP3241">
        <v>0</v>
      </c>
      <c r="CQ3241">
        <v>7</v>
      </c>
      <c r="CR3241" t="s">
        <v>116</v>
      </c>
      <c r="CS3241">
        <v>38</v>
      </c>
      <c r="CT3241">
        <v>0</v>
      </c>
      <c r="CU3241" t="s">
        <v>4719</v>
      </c>
      <c r="CV3241" t="s">
        <v>4720</v>
      </c>
      <c r="CY3241">
        <v>7570415</v>
      </c>
      <c r="CZ3241" t="s">
        <v>119</v>
      </c>
    </row>
    <row r="3242" spans="1:104" x14ac:dyDescent="0.25">
      <c r="A3242" t="str">
        <f>"14:44:21.922"</f>
        <v>14:44:21.922</v>
      </c>
      <c r="B3242" t="s">
        <v>108</v>
      </c>
      <c r="C3242" t="str">
        <f t="shared" si="151"/>
        <v>ffdfd3c0</v>
      </c>
      <c r="D3242" t="s">
        <v>109</v>
      </c>
      <c r="E3242">
        <v>4</v>
      </c>
      <c r="F3242">
        <v>1004</v>
      </c>
      <c r="G3242" t="s">
        <v>110</v>
      </c>
      <c r="J3242" t="s">
        <v>111</v>
      </c>
      <c r="K3242">
        <v>0</v>
      </c>
      <c r="L3242">
        <v>3</v>
      </c>
      <c r="M3242">
        <v>0</v>
      </c>
      <c r="N3242">
        <v>2</v>
      </c>
      <c r="O3242">
        <v>1</v>
      </c>
      <c r="P3242">
        <v>0</v>
      </c>
      <c r="Q3242">
        <v>0</v>
      </c>
      <c r="R3242" t="s">
        <v>112</v>
      </c>
      <c r="S3242" t="str">
        <f>"14:44:21.727"</f>
        <v>14:44:21.727</v>
      </c>
      <c r="T3242" t="str">
        <f>"14:44:21.328"</f>
        <v>14:44:21.328</v>
      </c>
      <c r="U3242" t="str">
        <f t="shared" si="150"/>
        <v>ad5732</v>
      </c>
      <c r="V3242">
        <v>0</v>
      </c>
      <c r="W3242">
        <v>0</v>
      </c>
      <c r="X3242">
        <v>1</v>
      </c>
      <c r="Z3242">
        <v>0</v>
      </c>
      <c r="AA3242">
        <v>9</v>
      </c>
      <c r="AB3242">
        <v>3</v>
      </c>
      <c r="AC3242">
        <v>0</v>
      </c>
      <c r="AD3242">
        <v>10</v>
      </c>
      <c r="AE3242">
        <v>0</v>
      </c>
      <c r="AF3242">
        <v>3</v>
      </c>
      <c r="AG3242">
        <v>2</v>
      </c>
      <c r="AH3242">
        <v>0</v>
      </c>
      <c r="AI3242" t="s">
        <v>6588</v>
      </c>
      <c r="AJ3242">
        <v>40.391150000000003</v>
      </c>
      <c r="AK3242" t="s">
        <v>6589</v>
      </c>
      <c r="AL3242">
        <v>-74.805543</v>
      </c>
      <c r="AM3242">
        <v>100</v>
      </c>
      <c r="AN3242">
        <v>2700</v>
      </c>
      <c r="AO3242" t="s">
        <v>115</v>
      </c>
      <c r="AP3242">
        <v>186</v>
      </c>
      <c r="AQ3242">
        <v>-22</v>
      </c>
      <c r="AR3242">
        <v>-768</v>
      </c>
      <c r="AZ3242">
        <v>3614</v>
      </c>
      <c r="BA3242">
        <v>1</v>
      </c>
      <c r="BB3242" t="str">
        <f t="shared" si="152"/>
        <v xml:space="preserve">N959MJ  </v>
      </c>
      <c r="BC3242">
        <v>1</v>
      </c>
      <c r="BE3242">
        <v>0</v>
      </c>
      <c r="BF3242">
        <v>0</v>
      </c>
      <c r="BG3242">
        <v>0</v>
      </c>
      <c r="BH3242">
        <v>2875</v>
      </c>
      <c r="BI3242">
        <v>175</v>
      </c>
      <c r="BJ3242">
        <v>1</v>
      </c>
      <c r="BK3242">
        <v>1</v>
      </c>
      <c r="BL3242">
        <v>1</v>
      </c>
      <c r="BM3242">
        <v>0</v>
      </c>
      <c r="BP3242">
        <v>0</v>
      </c>
      <c r="BQ3242">
        <v>0</v>
      </c>
      <c r="BX3242" t="str">
        <f>"14:44:21.727"</f>
        <v>14:44:21.727</v>
      </c>
      <c r="BY3242" t="str">
        <f>"727259086"</f>
        <v>727259086</v>
      </c>
      <c r="CL3242">
        <v>0</v>
      </c>
      <c r="CM3242">
        <v>2</v>
      </c>
      <c r="CN3242">
        <v>0</v>
      </c>
      <c r="CO3242">
        <v>2</v>
      </c>
      <c r="CP3242">
        <v>0</v>
      </c>
      <c r="CQ3242">
        <v>7</v>
      </c>
      <c r="CR3242" t="s">
        <v>116</v>
      </c>
      <c r="CS3242">
        <v>38</v>
      </c>
      <c r="CT3242">
        <v>3</v>
      </c>
      <c r="CU3242" t="s">
        <v>4719</v>
      </c>
      <c r="CV3242" t="s">
        <v>4720</v>
      </c>
      <c r="CY3242">
        <v>11003261</v>
      </c>
      <c r="CZ3242" t="s">
        <v>119</v>
      </c>
    </row>
    <row r="3243" spans="1:104" x14ac:dyDescent="0.25">
      <c r="A3243" t="str">
        <f>"14:44:22.938"</f>
        <v>14:44:22.938</v>
      </c>
      <c r="B3243" t="s">
        <v>108</v>
      </c>
      <c r="C3243" t="str">
        <f t="shared" si="151"/>
        <v>ffdfd3c0</v>
      </c>
      <c r="D3243" t="s">
        <v>109</v>
      </c>
      <c r="E3243">
        <v>4</v>
      </c>
      <c r="F3243">
        <v>1004</v>
      </c>
      <c r="G3243" t="s">
        <v>110</v>
      </c>
      <c r="J3243" t="s">
        <v>111</v>
      </c>
      <c r="K3243">
        <v>0</v>
      </c>
      <c r="L3243">
        <v>3</v>
      </c>
      <c r="M3243">
        <v>0</v>
      </c>
      <c r="N3243">
        <v>2</v>
      </c>
      <c r="O3243">
        <v>1</v>
      </c>
      <c r="P3243">
        <v>0</v>
      </c>
      <c r="Q3243">
        <v>0</v>
      </c>
      <c r="R3243" t="s">
        <v>112</v>
      </c>
      <c r="S3243" t="str">
        <f>"14:44:22.766"</f>
        <v>14:44:22.766</v>
      </c>
      <c r="T3243" t="str">
        <f>"14:44:22.266"</f>
        <v>14:44:22.266</v>
      </c>
      <c r="U3243" t="str">
        <f t="shared" si="150"/>
        <v>ad5732</v>
      </c>
      <c r="V3243">
        <v>0</v>
      </c>
      <c r="W3243">
        <v>0</v>
      </c>
      <c r="X3243">
        <v>1</v>
      </c>
      <c r="Z3243">
        <v>0</v>
      </c>
      <c r="AA3243">
        <v>9</v>
      </c>
      <c r="AB3243">
        <v>3</v>
      </c>
      <c r="AC3243">
        <v>0</v>
      </c>
      <c r="AD3243">
        <v>10</v>
      </c>
      <c r="AE3243">
        <v>0</v>
      </c>
      <c r="AF3243">
        <v>3</v>
      </c>
      <c r="AG3243">
        <v>2</v>
      </c>
      <c r="AH3243">
        <v>0</v>
      </c>
      <c r="AI3243" t="s">
        <v>6590</v>
      </c>
      <c r="AJ3243">
        <v>40.391041999999999</v>
      </c>
      <c r="AK3243" t="s">
        <v>6591</v>
      </c>
      <c r="AL3243">
        <v>-74.804449000000005</v>
      </c>
      <c r="AM3243">
        <v>100</v>
      </c>
      <c r="AN3243">
        <v>2700</v>
      </c>
      <c r="AO3243" t="s">
        <v>115</v>
      </c>
      <c r="AP3243">
        <v>186</v>
      </c>
      <c r="AQ3243">
        <v>-22</v>
      </c>
      <c r="AR3243">
        <v>-768</v>
      </c>
      <c r="AZ3243">
        <v>3614</v>
      </c>
      <c r="BA3243">
        <v>1</v>
      </c>
      <c r="BB3243" t="str">
        <f t="shared" si="152"/>
        <v xml:space="preserve">N959MJ  </v>
      </c>
      <c r="BC3243">
        <v>1</v>
      </c>
      <c r="BE3243">
        <v>0</v>
      </c>
      <c r="BF3243">
        <v>0</v>
      </c>
      <c r="BG3243">
        <v>0</v>
      </c>
      <c r="BH3243">
        <v>2850</v>
      </c>
      <c r="BI3243">
        <v>150</v>
      </c>
      <c r="BJ3243">
        <v>1</v>
      </c>
      <c r="BK3243">
        <v>1</v>
      </c>
      <c r="BL3243">
        <v>1</v>
      </c>
      <c r="BM3243">
        <v>0</v>
      </c>
      <c r="BP3243">
        <v>0</v>
      </c>
      <c r="BQ3243">
        <v>0</v>
      </c>
      <c r="BX3243" t="str">
        <f>"14:44:22.773"</f>
        <v>14:44:22.773</v>
      </c>
      <c r="BY3243" t="str">
        <f>"772576639"</f>
        <v>772576639</v>
      </c>
      <c r="CL3243">
        <v>0</v>
      </c>
      <c r="CM3243">
        <v>2</v>
      </c>
      <c r="CN3243">
        <v>0</v>
      </c>
      <c r="CO3243">
        <v>2</v>
      </c>
      <c r="CP3243">
        <v>0</v>
      </c>
      <c r="CQ3243">
        <v>7</v>
      </c>
      <c r="CR3243" t="s">
        <v>116</v>
      </c>
      <c r="CS3243">
        <v>38</v>
      </c>
      <c r="CT3243">
        <v>0</v>
      </c>
      <c r="CU3243" t="s">
        <v>4719</v>
      </c>
      <c r="CV3243" t="s">
        <v>4720</v>
      </c>
      <c r="CY3243">
        <v>7573536</v>
      </c>
      <c r="CZ3243" t="s">
        <v>119</v>
      </c>
    </row>
    <row r="3244" spans="1:104" x14ac:dyDescent="0.25">
      <c r="A3244" t="str">
        <f>"14:44:24.094"</f>
        <v>14:44:24.094</v>
      </c>
      <c r="B3244" t="s">
        <v>108</v>
      </c>
      <c r="C3244" t="str">
        <f t="shared" si="151"/>
        <v>ffdfd3c0</v>
      </c>
      <c r="D3244" t="s">
        <v>109</v>
      </c>
      <c r="E3244">
        <v>4</v>
      </c>
      <c r="F3244">
        <v>1004</v>
      </c>
      <c r="G3244" t="s">
        <v>110</v>
      </c>
      <c r="J3244" t="s">
        <v>111</v>
      </c>
      <c r="K3244">
        <v>0</v>
      </c>
      <c r="L3244">
        <v>3</v>
      </c>
      <c r="M3244">
        <v>0</v>
      </c>
      <c r="N3244">
        <v>2</v>
      </c>
      <c r="O3244">
        <v>1</v>
      </c>
      <c r="P3244">
        <v>0</v>
      </c>
      <c r="Q3244">
        <v>0</v>
      </c>
      <c r="R3244" t="s">
        <v>112</v>
      </c>
      <c r="S3244" t="str">
        <f>"14:44:23.930"</f>
        <v>14:44:23.930</v>
      </c>
      <c r="T3244" t="str">
        <f>"14:44:23.430"</f>
        <v>14:44:23.430</v>
      </c>
      <c r="U3244" t="str">
        <f t="shared" si="150"/>
        <v>ad5732</v>
      </c>
      <c r="V3244">
        <v>0</v>
      </c>
      <c r="W3244">
        <v>0</v>
      </c>
      <c r="X3244">
        <v>1</v>
      </c>
      <c r="Z3244">
        <v>0</v>
      </c>
      <c r="AA3244">
        <v>9</v>
      </c>
      <c r="AB3244">
        <v>3</v>
      </c>
      <c r="AC3244">
        <v>0</v>
      </c>
      <c r="AD3244">
        <v>10</v>
      </c>
      <c r="AE3244">
        <v>0</v>
      </c>
      <c r="AF3244">
        <v>3</v>
      </c>
      <c r="AG3244">
        <v>2</v>
      </c>
      <c r="AH3244">
        <v>0</v>
      </c>
      <c r="AI3244" t="s">
        <v>6592</v>
      </c>
      <c r="AJ3244">
        <v>40.390912999999998</v>
      </c>
      <c r="AK3244" t="s">
        <v>6593</v>
      </c>
      <c r="AL3244">
        <v>-74.803096999999994</v>
      </c>
      <c r="AM3244">
        <v>100</v>
      </c>
      <c r="AN3244">
        <v>2700</v>
      </c>
      <c r="AO3244" t="s">
        <v>115</v>
      </c>
      <c r="AP3244">
        <v>186</v>
      </c>
      <c r="AQ3244">
        <v>-21</v>
      </c>
      <c r="AR3244">
        <v>-768</v>
      </c>
      <c r="AZ3244">
        <v>3614</v>
      </c>
      <c r="BA3244">
        <v>1</v>
      </c>
      <c r="BB3244" t="str">
        <f t="shared" si="152"/>
        <v xml:space="preserve">N959MJ  </v>
      </c>
      <c r="BC3244">
        <v>1</v>
      </c>
      <c r="BE3244">
        <v>0</v>
      </c>
      <c r="BF3244">
        <v>0</v>
      </c>
      <c r="BG3244">
        <v>0</v>
      </c>
      <c r="BH3244">
        <v>2850</v>
      </c>
      <c r="BI3244">
        <v>150</v>
      </c>
      <c r="BJ3244">
        <v>1</v>
      </c>
      <c r="BK3244">
        <v>1</v>
      </c>
      <c r="BL3244">
        <v>1</v>
      </c>
      <c r="BM3244">
        <v>0</v>
      </c>
      <c r="BP3244">
        <v>0</v>
      </c>
      <c r="BQ3244">
        <v>0</v>
      </c>
      <c r="BX3244" t="str">
        <f>"14:44:23.938"</f>
        <v>14:44:23.938</v>
      </c>
      <c r="BY3244" t="str">
        <f>"934222460"</f>
        <v>934222460</v>
      </c>
      <c r="CL3244">
        <v>0</v>
      </c>
      <c r="CM3244">
        <v>2</v>
      </c>
      <c r="CN3244">
        <v>0</v>
      </c>
      <c r="CO3244">
        <v>2</v>
      </c>
      <c r="CP3244">
        <v>0</v>
      </c>
      <c r="CQ3244">
        <v>7</v>
      </c>
      <c r="CR3244" t="s">
        <v>116</v>
      </c>
      <c r="CS3244">
        <v>38</v>
      </c>
      <c r="CT3244">
        <v>0</v>
      </c>
      <c r="CU3244" t="s">
        <v>4719</v>
      </c>
      <c r="CV3244" t="s">
        <v>4720</v>
      </c>
      <c r="CY3244">
        <v>7575312</v>
      </c>
      <c r="CZ3244" t="s">
        <v>119</v>
      </c>
    </row>
    <row r="3245" spans="1:104" x14ac:dyDescent="0.25">
      <c r="A3245" t="str">
        <f>"14:44:25.211"</f>
        <v>14:44:25.211</v>
      </c>
      <c r="B3245" t="s">
        <v>108</v>
      </c>
      <c r="C3245" t="str">
        <f t="shared" si="151"/>
        <v>ffdfd3c0</v>
      </c>
      <c r="D3245" t="s">
        <v>109</v>
      </c>
      <c r="E3245">
        <v>4</v>
      </c>
      <c r="F3245">
        <v>1004</v>
      </c>
      <c r="G3245" t="s">
        <v>110</v>
      </c>
      <c r="J3245" t="s">
        <v>111</v>
      </c>
      <c r="K3245">
        <v>0</v>
      </c>
      <c r="L3245">
        <v>3</v>
      </c>
      <c r="M3245">
        <v>0</v>
      </c>
      <c r="N3245">
        <v>2</v>
      </c>
      <c r="O3245">
        <v>1</v>
      </c>
      <c r="P3245">
        <v>0</v>
      </c>
      <c r="Q3245">
        <v>0</v>
      </c>
      <c r="R3245" t="s">
        <v>112</v>
      </c>
      <c r="S3245" t="str">
        <f>"14:44:25.031"</f>
        <v>14:44:25.031</v>
      </c>
      <c r="T3245" t="str">
        <f>"14:44:24.531"</f>
        <v>14:44:24.531</v>
      </c>
      <c r="U3245" t="str">
        <f t="shared" si="150"/>
        <v>ad5732</v>
      </c>
      <c r="V3245">
        <v>0</v>
      </c>
      <c r="W3245">
        <v>0</v>
      </c>
      <c r="X3245">
        <v>1</v>
      </c>
      <c r="Z3245">
        <v>0</v>
      </c>
      <c r="AA3245">
        <v>9</v>
      </c>
      <c r="AB3245">
        <v>3</v>
      </c>
      <c r="AC3245">
        <v>0</v>
      </c>
      <c r="AD3245">
        <v>10</v>
      </c>
      <c r="AE3245">
        <v>0</v>
      </c>
      <c r="AF3245">
        <v>3</v>
      </c>
      <c r="AG3245">
        <v>2</v>
      </c>
      <c r="AH3245">
        <v>0</v>
      </c>
      <c r="AI3245" t="s">
        <v>6594</v>
      </c>
      <c r="AJ3245">
        <v>40.390805999999998</v>
      </c>
      <c r="AK3245" t="s">
        <v>6595</v>
      </c>
      <c r="AL3245">
        <v>-74.801852999999994</v>
      </c>
      <c r="AM3245">
        <v>100</v>
      </c>
      <c r="AN3245">
        <v>2600</v>
      </c>
      <c r="AO3245" t="s">
        <v>115</v>
      </c>
      <c r="AP3245">
        <v>185</v>
      </c>
      <c r="AQ3245">
        <v>-21</v>
      </c>
      <c r="AR3245">
        <v>-768</v>
      </c>
      <c r="AZ3245">
        <v>3614</v>
      </c>
      <c r="BA3245">
        <v>1</v>
      </c>
      <c r="BB3245" t="str">
        <f t="shared" si="152"/>
        <v xml:space="preserve">N959MJ  </v>
      </c>
      <c r="BC3245">
        <v>1</v>
      </c>
      <c r="BE3245">
        <v>0</v>
      </c>
      <c r="BF3245">
        <v>0</v>
      </c>
      <c r="BG3245">
        <v>0</v>
      </c>
      <c r="BH3245">
        <v>2825</v>
      </c>
      <c r="BI3245">
        <v>225</v>
      </c>
      <c r="BJ3245">
        <v>1</v>
      </c>
      <c r="BK3245">
        <v>1</v>
      </c>
      <c r="BL3245">
        <v>1</v>
      </c>
      <c r="BM3245">
        <v>0</v>
      </c>
      <c r="BP3245">
        <v>0</v>
      </c>
      <c r="BQ3245">
        <v>0</v>
      </c>
      <c r="BX3245" t="str">
        <f>"14:44:25.031"</f>
        <v>14:44:25.031</v>
      </c>
      <c r="BY3245" t="str">
        <f>"033608097"</f>
        <v>033608097</v>
      </c>
      <c r="CL3245">
        <v>0</v>
      </c>
      <c r="CM3245">
        <v>2</v>
      </c>
      <c r="CN3245">
        <v>0</v>
      </c>
      <c r="CO3245">
        <v>2</v>
      </c>
      <c r="CP3245">
        <v>0</v>
      </c>
      <c r="CQ3245">
        <v>7</v>
      </c>
      <c r="CR3245" t="s">
        <v>116</v>
      </c>
      <c r="CS3245">
        <v>38</v>
      </c>
      <c r="CT3245">
        <v>0</v>
      </c>
      <c r="CU3245" t="s">
        <v>4719</v>
      </c>
      <c r="CV3245" t="s">
        <v>4720</v>
      </c>
      <c r="CY3245">
        <v>7576911</v>
      </c>
      <c r="CZ3245" t="s">
        <v>119</v>
      </c>
    </row>
    <row r="3246" spans="1:104" x14ac:dyDescent="0.25">
      <c r="A3246" t="str">
        <f>"14:44:26.172"</f>
        <v>14:44:26.172</v>
      </c>
      <c r="B3246" t="s">
        <v>108</v>
      </c>
      <c r="C3246" t="str">
        <f t="shared" si="151"/>
        <v>ffdfd3c0</v>
      </c>
      <c r="D3246" t="s">
        <v>109</v>
      </c>
      <c r="E3246">
        <v>4</v>
      </c>
      <c r="F3246">
        <v>1004</v>
      </c>
      <c r="G3246" t="s">
        <v>110</v>
      </c>
      <c r="J3246" t="s">
        <v>111</v>
      </c>
      <c r="K3246">
        <v>0</v>
      </c>
      <c r="L3246">
        <v>3</v>
      </c>
      <c r="M3246">
        <v>0</v>
      </c>
      <c r="N3246">
        <v>2</v>
      </c>
      <c r="O3246">
        <v>1</v>
      </c>
      <c r="P3246">
        <v>0</v>
      </c>
      <c r="Q3246">
        <v>0</v>
      </c>
      <c r="R3246" t="s">
        <v>112</v>
      </c>
      <c r="S3246" t="str">
        <f>"14:44:25.984"</f>
        <v>14:44:25.984</v>
      </c>
      <c r="T3246" t="str">
        <f>"14:44:25.484"</f>
        <v>14:44:25.484</v>
      </c>
      <c r="U3246" t="str">
        <f t="shared" si="150"/>
        <v>ad5732</v>
      </c>
      <c r="V3246">
        <v>0</v>
      </c>
      <c r="W3246">
        <v>0</v>
      </c>
      <c r="X3246">
        <v>1</v>
      </c>
      <c r="Z3246">
        <v>0</v>
      </c>
      <c r="AA3246">
        <v>9</v>
      </c>
      <c r="AB3246">
        <v>3</v>
      </c>
      <c r="AC3246">
        <v>0</v>
      </c>
      <c r="AD3246">
        <v>10</v>
      </c>
      <c r="AE3246">
        <v>0</v>
      </c>
      <c r="AF3246">
        <v>3</v>
      </c>
      <c r="AG3246">
        <v>2</v>
      </c>
      <c r="AH3246">
        <v>0</v>
      </c>
      <c r="AI3246" t="s">
        <v>6596</v>
      </c>
      <c r="AJ3246">
        <v>40.390742000000003</v>
      </c>
      <c r="AK3246" t="s">
        <v>6597</v>
      </c>
      <c r="AL3246">
        <v>-74.800843999999998</v>
      </c>
      <c r="AM3246">
        <v>100</v>
      </c>
      <c r="AN3246">
        <v>2600</v>
      </c>
      <c r="AO3246" t="s">
        <v>115</v>
      </c>
      <c r="AP3246">
        <v>185</v>
      </c>
      <c r="AQ3246">
        <v>-21</v>
      </c>
      <c r="AR3246">
        <v>-704</v>
      </c>
      <c r="AZ3246">
        <v>3614</v>
      </c>
      <c r="BA3246">
        <v>1</v>
      </c>
      <c r="BB3246" t="str">
        <f t="shared" si="152"/>
        <v xml:space="preserve">N959MJ  </v>
      </c>
      <c r="BC3246">
        <v>1</v>
      </c>
      <c r="BE3246">
        <v>0</v>
      </c>
      <c r="BF3246">
        <v>0</v>
      </c>
      <c r="BG3246">
        <v>0</v>
      </c>
      <c r="BH3246">
        <v>2825</v>
      </c>
      <c r="BI3246">
        <v>225</v>
      </c>
      <c r="BJ3246">
        <v>1</v>
      </c>
      <c r="BK3246">
        <v>1</v>
      </c>
      <c r="BL3246">
        <v>1</v>
      </c>
      <c r="BM3246">
        <v>0</v>
      </c>
      <c r="BP3246">
        <v>0</v>
      </c>
      <c r="BQ3246">
        <v>0</v>
      </c>
      <c r="BX3246" t="str">
        <f>"14:44:25.992"</f>
        <v>14:44:25.992</v>
      </c>
      <c r="BY3246" t="str">
        <f>"990450444"</f>
        <v>990450444</v>
      </c>
      <c r="CL3246">
        <v>0</v>
      </c>
      <c r="CM3246">
        <v>2</v>
      </c>
      <c r="CN3246">
        <v>0</v>
      </c>
      <c r="CO3246">
        <v>2</v>
      </c>
      <c r="CP3246">
        <v>0</v>
      </c>
      <c r="CQ3246">
        <v>7</v>
      </c>
      <c r="CR3246" t="s">
        <v>116</v>
      </c>
      <c r="CS3246">
        <v>38</v>
      </c>
      <c r="CT3246">
        <v>0</v>
      </c>
      <c r="CU3246" t="s">
        <v>4719</v>
      </c>
      <c r="CV3246" t="s">
        <v>4720</v>
      </c>
      <c r="CY3246">
        <v>7578378</v>
      </c>
      <c r="CZ3246" t="s">
        <v>119</v>
      </c>
    </row>
    <row r="3247" spans="1:104" x14ac:dyDescent="0.25">
      <c r="A3247" t="str">
        <f>"14:44:27.273"</f>
        <v>14:44:27.273</v>
      </c>
      <c r="B3247" t="s">
        <v>108</v>
      </c>
      <c r="C3247" t="str">
        <f t="shared" si="151"/>
        <v>ffdfd3c0</v>
      </c>
      <c r="D3247" t="s">
        <v>109</v>
      </c>
      <c r="E3247">
        <v>4</v>
      </c>
      <c r="F3247">
        <v>1004</v>
      </c>
      <c r="G3247" t="s">
        <v>110</v>
      </c>
      <c r="J3247" t="s">
        <v>111</v>
      </c>
      <c r="K3247">
        <v>0</v>
      </c>
      <c r="L3247">
        <v>3</v>
      </c>
      <c r="M3247">
        <v>0</v>
      </c>
      <c r="N3247">
        <v>2</v>
      </c>
      <c r="O3247">
        <v>1</v>
      </c>
      <c r="P3247">
        <v>0</v>
      </c>
      <c r="Q3247">
        <v>0</v>
      </c>
      <c r="R3247" t="s">
        <v>112</v>
      </c>
      <c r="S3247" t="str">
        <f>"14:44:27.070"</f>
        <v>14:44:27.070</v>
      </c>
      <c r="T3247" t="str">
        <f>"14:44:26.570"</f>
        <v>14:44:26.570</v>
      </c>
      <c r="U3247" t="str">
        <f t="shared" si="150"/>
        <v>ad5732</v>
      </c>
      <c r="V3247">
        <v>0</v>
      </c>
      <c r="W3247">
        <v>0</v>
      </c>
      <c r="X3247">
        <v>1</v>
      </c>
      <c r="Z3247">
        <v>0</v>
      </c>
      <c r="AA3247">
        <v>9</v>
      </c>
      <c r="AB3247">
        <v>3</v>
      </c>
      <c r="AC3247">
        <v>0</v>
      </c>
      <c r="AD3247">
        <v>10</v>
      </c>
      <c r="AE3247">
        <v>0</v>
      </c>
      <c r="AF3247">
        <v>3</v>
      </c>
      <c r="AG3247">
        <v>2</v>
      </c>
      <c r="AH3247">
        <v>0</v>
      </c>
      <c r="AI3247" t="s">
        <v>6598</v>
      </c>
      <c r="AJ3247">
        <v>40.390635000000003</v>
      </c>
      <c r="AK3247" t="s">
        <v>6599</v>
      </c>
      <c r="AL3247">
        <v>-74.799599999999998</v>
      </c>
      <c r="AM3247">
        <v>100</v>
      </c>
      <c r="AN3247">
        <v>2600</v>
      </c>
      <c r="AO3247" t="s">
        <v>115</v>
      </c>
      <c r="AP3247">
        <v>185</v>
      </c>
      <c r="AQ3247">
        <v>-21</v>
      </c>
      <c r="AR3247">
        <v>-704</v>
      </c>
      <c r="AZ3247">
        <v>3614</v>
      </c>
      <c r="BA3247">
        <v>1</v>
      </c>
      <c r="BB3247" t="str">
        <f t="shared" si="152"/>
        <v xml:space="preserve">N959MJ  </v>
      </c>
      <c r="BC3247">
        <v>1</v>
      </c>
      <c r="BE3247">
        <v>0</v>
      </c>
      <c r="BF3247">
        <v>0</v>
      </c>
      <c r="BG3247">
        <v>0</v>
      </c>
      <c r="BH3247">
        <v>2800</v>
      </c>
      <c r="BI3247">
        <v>200</v>
      </c>
      <c r="BJ3247">
        <v>1</v>
      </c>
      <c r="BK3247">
        <v>1</v>
      </c>
      <c r="BL3247">
        <v>1</v>
      </c>
      <c r="BM3247">
        <v>0</v>
      </c>
      <c r="BP3247">
        <v>0</v>
      </c>
      <c r="BQ3247">
        <v>0</v>
      </c>
      <c r="BX3247" t="str">
        <f>"14:44:27.078"</f>
        <v>14:44:27.078</v>
      </c>
      <c r="BY3247" t="str">
        <f>"076728662"</f>
        <v>076728662</v>
      </c>
      <c r="CL3247">
        <v>0</v>
      </c>
      <c r="CM3247">
        <v>2</v>
      </c>
      <c r="CN3247">
        <v>0</v>
      </c>
      <c r="CO3247">
        <v>2</v>
      </c>
      <c r="CP3247">
        <v>0</v>
      </c>
      <c r="CQ3247">
        <v>7</v>
      </c>
      <c r="CR3247" t="s">
        <v>116</v>
      </c>
      <c r="CS3247">
        <v>38</v>
      </c>
      <c r="CT3247">
        <v>0</v>
      </c>
      <c r="CU3247" t="s">
        <v>4719</v>
      </c>
      <c r="CV3247" t="s">
        <v>4720</v>
      </c>
      <c r="CY3247">
        <v>7580044</v>
      </c>
      <c r="CZ3247" t="s">
        <v>119</v>
      </c>
    </row>
    <row r="3248" spans="1:104" x14ac:dyDescent="0.25">
      <c r="A3248" t="str">
        <f>"14:44:28.336"</f>
        <v>14:44:28.336</v>
      </c>
      <c r="B3248" t="s">
        <v>108</v>
      </c>
      <c r="C3248" t="str">
        <f t="shared" si="151"/>
        <v>ffdfd3c0</v>
      </c>
      <c r="D3248" t="s">
        <v>109</v>
      </c>
      <c r="E3248">
        <v>4</v>
      </c>
      <c r="F3248">
        <v>1004</v>
      </c>
      <c r="G3248" t="s">
        <v>110</v>
      </c>
      <c r="J3248" t="s">
        <v>111</v>
      </c>
      <c r="K3248">
        <v>0</v>
      </c>
      <c r="L3248">
        <v>3</v>
      </c>
      <c r="M3248">
        <v>0</v>
      </c>
      <c r="N3248">
        <v>2</v>
      </c>
      <c r="O3248">
        <v>1</v>
      </c>
      <c r="P3248">
        <v>0</v>
      </c>
      <c r="Q3248">
        <v>0</v>
      </c>
      <c r="R3248" t="s">
        <v>112</v>
      </c>
      <c r="S3248" t="str">
        <f>"14:44:28.148"</f>
        <v>14:44:28.148</v>
      </c>
      <c r="T3248" t="str">
        <f>"14:44:27.648"</f>
        <v>14:44:27.648</v>
      </c>
      <c r="U3248" t="str">
        <f t="shared" si="150"/>
        <v>ad5732</v>
      </c>
      <c r="V3248">
        <v>0</v>
      </c>
      <c r="W3248">
        <v>0</v>
      </c>
      <c r="X3248">
        <v>1</v>
      </c>
      <c r="Z3248">
        <v>0</v>
      </c>
      <c r="AA3248">
        <v>9</v>
      </c>
      <c r="AB3248">
        <v>3</v>
      </c>
      <c r="AC3248">
        <v>0</v>
      </c>
      <c r="AD3248">
        <v>10</v>
      </c>
      <c r="AE3248">
        <v>0</v>
      </c>
      <c r="AF3248">
        <v>3</v>
      </c>
      <c r="AG3248">
        <v>2</v>
      </c>
      <c r="AH3248">
        <v>0</v>
      </c>
      <c r="AI3248" t="s">
        <v>6600</v>
      </c>
      <c r="AJ3248">
        <v>40.390506000000002</v>
      </c>
      <c r="AK3248" t="s">
        <v>6601</v>
      </c>
      <c r="AL3248">
        <v>-74.798398000000006</v>
      </c>
      <c r="AM3248">
        <v>100</v>
      </c>
      <c r="AN3248">
        <v>2600</v>
      </c>
      <c r="AO3248" t="s">
        <v>115</v>
      </c>
      <c r="AP3248">
        <v>185</v>
      </c>
      <c r="AQ3248">
        <v>-21</v>
      </c>
      <c r="AR3248">
        <v>-704</v>
      </c>
      <c r="AZ3248">
        <v>3614</v>
      </c>
      <c r="BA3248">
        <v>1</v>
      </c>
      <c r="BB3248" t="str">
        <f t="shared" si="152"/>
        <v xml:space="preserve">N959MJ  </v>
      </c>
      <c r="BC3248">
        <v>1</v>
      </c>
      <c r="BE3248">
        <v>0</v>
      </c>
      <c r="BF3248">
        <v>0</v>
      </c>
      <c r="BG3248">
        <v>0</v>
      </c>
      <c r="BH3248">
        <v>2800</v>
      </c>
      <c r="BI3248">
        <v>200</v>
      </c>
      <c r="BJ3248">
        <v>1</v>
      </c>
      <c r="BK3248">
        <v>1</v>
      </c>
      <c r="BL3248">
        <v>1</v>
      </c>
      <c r="BM3248">
        <v>0</v>
      </c>
      <c r="BP3248">
        <v>0</v>
      </c>
      <c r="BQ3248">
        <v>0</v>
      </c>
      <c r="BX3248" t="str">
        <f>"14:44:28.148"</f>
        <v>14:44:28.148</v>
      </c>
      <c r="BY3248" t="str">
        <f>"151537880"</f>
        <v>151537880</v>
      </c>
      <c r="CL3248">
        <v>0</v>
      </c>
      <c r="CM3248">
        <v>2</v>
      </c>
      <c r="CN3248">
        <v>0</v>
      </c>
      <c r="CO3248">
        <v>2</v>
      </c>
      <c r="CP3248">
        <v>0</v>
      </c>
      <c r="CQ3248">
        <v>7</v>
      </c>
      <c r="CR3248" t="s">
        <v>116</v>
      </c>
      <c r="CS3248">
        <v>38</v>
      </c>
      <c r="CT3248">
        <v>0</v>
      </c>
      <c r="CU3248" t="s">
        <v>4719</v>
      </c>
      <c r="CV3248" t="s">
        <v>4720</v>
      </c>
      <c r="CY3248">
        <v>7581761</v>
      </c>
      <c r="CZ3248" t="s">
        <v>119</v>
      </c>
    </row>
    <row r="3249" spans="1:104" x14ac:dyDescent="0.25">
      <c r="A3249" t="str">
        <f>"14:44:29.453"</f>
        <v>14:44:29.453</v>
      </c>
      <c r="B3249" t="s">
        <v>108</v>
      </c>
      <c r="C3249" t="str">
        <f t="shared" si="151"/>
        <v>ffdfd3c0</v>
      </c>
      <c r="D3249" t="s">
        <v>109</v>
      </c>
      <c r="E3249">
        <v>4</v>
      </c>
      <c r="F3249">
        <v>1004</v>
      </c>
      <c r="G3249" t="s">
        <v>110</v>
      </c>
      <c r="J3249" t="s">
        <v>111</v>
      </c>
      <c r="K3249">
        <v>0</v>
      </c>
      <c r="L3249">
        <v>3</v>
      </c>
      <c r="M3249">
        <v>0</v>
      </c>
      <c r="N3249">
        <v>2</v>
      </c>
      <c r="O3249">
        <v>1</v>
      </c>
      <c r="P3249">
        <v>0</v>
      </c>
      <c r="Q3249">
        <v>0</v>
      </c>
      <c r="R3249" t="s">
        <v>112</v>
      </c>
      <c r="S3249" t="str">
        <f>"14:44:29.273"</f>
        <v>14:44:29.273</v>
      </c>
      <c r="T3249" t="str">
        <f>"14:44:28.773"</f>
        <v>14:44:28.773</v>
      </c>
      <c r="U3249" t="str">
        <f t="shared" si="150"/>
        <v>ad5732</v>
      </c>
      <c r="V3249">
        <v>0</v>
      </c>
      <c r="W3249">
        <v>0</v>
      </c>
      <c r="X3249">
        <v>1</v>
      </c>
      <c r="Z3249">
        <v>0</v>
      </c>
      <c r="AA3249">
        <v>9</v>
      </c>
      <c r="AB3249">
        <v>3</v>
      </c>
      <c r="AC3249">
        <v>0</v>
      </c>
      <c r="AD3249">
        <v>10</v>
      </c>
      <c r="AE3249">
        <v>0</v>
      </c>
      <c r="AF3249">
        <v>3</v>
      </c>
      <c r="AG3249">
        <v>2</v>
      </c>
      <c r="AH3249">
        <v>0</v>
      </c>
      <c r="AI3249" t="s">
        <v>6602</v>
      </c>
      <c r="AJ3249">
        <v>40.390399000000002</v>
      </c>
      <c r="AK3249" t="s">
        <v>6603</v>
      </c>
      <c r="AL3249">
        <v>-74.797174999999996</v>
      </c>
      <c r="AM3249">
        <v>100</v>
      </c>
      <c r="AN3249">
        <v>2600</v>
      </c>
      <c r="AO3249" t="s">
        <v>115</v>
      </c>
      <c r="AP3249">
        <v>185</v>
      </c>
      <c r="AQ3249">
        <v>-21</v>
      </c>
      <c r="AR3249">
        <v>-704</v>
      </c>
      <c r="AZ3249">
        <v>3614</v>
      </c>
      <c r="BA3249">
        <v>1</v>
      </c>
      <c r="BB3249" t="str">
        <f t="shared" si="152"/>
        <v xml:space="preserve">N959MJ  </v>
      </c>
      <c r="BC3249">
        <v>1</v>
      </c>
      <c r="BE3249">
        <v>0</v>
      </c>
      <c r="BF3249">
        <v>0</v>
      </c>
      <c r="BG3249">
        <v>0</v>
      </c>
      <c r="BH3249">
        <v>2775</v>
      </c>
      <c r="BI3249">
        <v>175</v>
      </c>
      <c r="BJ3249">
        <v>1</v>
      </c>
      <c r="BK3249">
        <v>1</v>
      </c>
      <c r="BL3249">
        <v>1</v>
      </c>
      <c r="BM3249">
        <v>0</v>
      </c>
      <c r="BP3249">
        <v>0</v>
      </c>
      <c r="BQ3249">
        <v>0</v>
      </c>
      <c r="BX3249" t="str">
        <f>"14:44:29.273"</f>
        <v>14:44:29.273</v>
      </c>
      <c r="BY3249" t="str">
        <f>"277138391"</f>
        <v>277138391</v>
      </c>
      <c r="CL3249">
        <v>0</v>
      </c>
      <c r="CM3249">
        <v>2</v>
      </c>
      <c r="CN3249">
        <v>0</v>
      </c>
      <c r="CO3249">
        <v>2</v>
      </c>
      <c r="CP3249">
        <v>0</v>
      </c>
      <c r="CQ3249">
        <v>7</v>
      </c>
      <c r="CR3249" t="s">
        <v>116</v>
      </c>
      <c r="CS3249">
        <v>38</v>
      </c>
      <c r="CT3249">
        <v>3</v>
      </c>
      <c r="CU3249" t="s">
        <v>4719</v>
      </c>
      <c r="CV3249" t="s">
        <v>4720</v>
      </c>
      <c r="CY3249">
        <v>11016155</v>
      </c>
      <c r="CZ3249" t="s">
        <v>119</v>
      </c>
    </row>
    <row r="3250" spans="1:104" x14ac:dyDescent="0.25">
      <c r="A3250" t="str">
        <f>"14:44:30.414"</f>
        <v>14:44:30.414</v>
      </c>
      <c r="B3250" t="s">
        <v>108</v>
      </c>
      <c r="C3250" t="str">
        <f t="shared" si="151"/>
        <v>ffdfd3c0</v>
      </c>
      <c r="D3250" t="s">
        <v>109</v>
      </c>
      <c r="E3250">
        <v>4</v>
      </c>
      <c r="F3250">
        <v>1004</v>
      </c>
      <c r="G3250" t="s">
        <v>110</v>
      </c>
      <c r="J3250" t="s">
        <v>111</v>
      </c>
      <c r="K3250">
        <v>0</v>
      </c>
      <c r="L3250">
        <v>3</v>
      </c>
      <c r="M3250">
        <v>0</v>
      </c>
      <c r="N3250">
        <v>2</v>
      </c>
      <c r="O3250">
        <v>1</v>
      </c>
      <c r="P3250">
        <v>0</v>
      </c>
      <c r="Q3250">
        <v>0</v>
      </c>
      <c r="R3250" t="s">
        <v>112</v>
      </c>
      <c r="S3250" t="str">
        <f>"14:44:30.242"</f>
        <v>14:44:30.242</v>
      </c>
      <c r="T3250" t="str">
        <f>"14:44:29.844"</f>
        <v>14:44:29.844</v>
      </c>
      <c r="U3250" t="str">
        <f t="shared" si="150"/>
        <v>ad5732</v>
      </c>
      <c r="V3250">
        <v>0</v>
      </c>
      <c r="W3250">
        <v>0</v>
      </c>
      <c r="X3250">
        <v>1</v>
      </c>
      <c r="Z3250">
        <v>0</v>
      </c>
      <c r="AA3250">
        <v>9</v>
      </c>
      <c r="AB3250">
        <v>3</v>
      </c>
      <c r="AC3250">
        <v>0</v>
      </c>
      <c r="AD3250">
        <v>10</v>
      </c>
      <c r="AE3250">
        <v>0</v>
      </c>
      <c r="AF3250">
        <v>3</v>
      </c>
      <c r="AG3250">
        <v>2</v>
      </c>
      <c r="AH3250">
        <v>0</v>
      </c>
      <c r="AI3250" t="s">
        <v>6604</v>
      </c>
      <c r="AJ3250">
        <v>40.390312999999999</v>
      </c>
      <c r="AK3250" t="s">
        <v>6605</v>
      </c>
      <c r="AL3250">
        <v>-74.796037999999996</v>
      </c>
      <c r="AM3250">
        <v>100</v>
      </c>
      <c r="AN3250">
        <v>2600</v>
      </c>
      <c r="AO3250" t="s">
        <v>115</v>
      </c>
      <c r="AP3250">
        <v>185</v>
      </c>
      <c r="AQ3250">
        <v>-21</v>
      </c>
      <c r="AR3250">
        <v>-704</v>
      </c>
      <c r="AZ3250">
        <v>3614</v>
      </c>
      <c r="BA3250">
        <v>1</v>
      </c>
      <c r="BB3250" t="str">
        <f t="shared" si="152"/>
        <v xml:space="preserve">N959MJ  </v>
      </c>
      <c r="BC3250">
        <v>1</v>
      </c>
      <c r="BE3250">
        <v>0</v>
      </c>
      <c r="BF3250">
        <v>0</v>
      </c>
      <c r="BG3250">
        <v>0</v>
      </c>
      <c r="BH3250">
        <v>2775</v>
      </c>
      <c r="BI3250">
        <v>175</v>
      </c>
      <c r="BJ3250">
        <v>1</v>
      </c>
      <c r="BK3250">
        <v>1</v>
      </c>
      <c r="BL3250">
        <v>1</v>
      </c>
      <c r="BM3250">
        <v>0</v>
      </c>
      <c r="BP3250">
        <v>0</v>
      </c>
      <c r="BQ3250">
        <v>0</v>
      </c>
      <c r="BX3250" t="str">
        <f>"14:44:30.242"</f>
        <v>14:44:30.242</v>
      </c>
      <c r="BY3250" t="str">
        <f>"245449750"</f>
        <v>245449750</v>
      </c>
      <c r="CL3250">
        <v>0</v>
      </c>
      <c r="CM3250">
        <v>2</v>
      </c>
      <c r="CN3250">
        <v>0</v>
      </c>
      <c r="CO3250">
        <v>2</v>
      </c>
      <c r="CP3250">
        <v>0</v>
      </c>
      <c r="CQ3250">
        <v>7</v>
      </c>
      <c r="CR3250" t="s">
        <v>116</v>
      </c>
      <c r="CS3250">
        <v>38</v>
      </c>
      <c r="CT3250">
        <v>0</v>
      </c>
      <c r="CU3250" t="s">
        <v>4719</v>
      </c>
      <c r="CV3250" t="s">
        <v>4720</v>
      </c>
      <c r="CY3250">
        <v>7585108</v>
      </c>
      <c r="CZ3250" t="s">
        <v>119</v>
      </c>
    </row>
    <row r="3251" spans="1:104" x14ac:dyDescent="0.25">
      <c r="A3251" t="str">
        <f>"14:44:31.414"</f>
        <v>14:44:31.414</v>
      </c>
      <c r="B3251" t="s">
        <v>108</v>
      </c>
      <c r="C3251" t="str">
        <f t="shared" si="151"/>
        <v>ffdfd3c0</v>
      </c>
      <c r="D3251" t="s">
        <v>109</v>
      </c>
      <c r="E3251">
        <v>4</v>
      </c>
      <c r="F3251">
        <v>1004</v>
      </c>
      <c r="G3251" t="s">
        <v>110</v>
      </c>
      <c r="J3251" t="s">
        <v>111</v>
      </c>
      <c r="K3251">
        <v>0</v>
      </c>
      <c r="L3251">
        <v>3</v>
      </c>
      <c r="M3251">
        <v>0</v>
      </c>
      <c r="N3251">
        <v>2</v>
      </c>
      <c r="O3251">
        <v>1</v>
      </c>
      <c r="P3251">
        <v>0</v>
      </c>
      <c r="Q3251">
        <v>0</v>
      </c>
      <c r="R3251" t="s">
        <v>112</v>
      </c>
      <c r="S3251" t="str">
        <f>"14:44:31.227"</f>
        <v>14:44:31.227</v>
      </c>
      <c r="T3251" t="str">
        <f>"14:44:30.828"</f>
        <v>14:44:30.828</v>
      </c>
      <c r="U3251" t="str">
        <f t="shared" si="150"/>
        <v>ad5732</v>
      </c>
      <c r="V3251">
        <v>0</v>
      </c>
      <c r="W3251">
        <v>0</v>
      </c>
      <c r="X3251">
        <v>1</v>
      </c>
      <c r="Z3251">
        <v>0</v>
      </c>
      <c r="AA3251">
        <v>9</v>
      </c>
      <c r="AB3251">
        <v>3</v>
      </c>
      <c r="AC3251">
        <v>0</v>
      </c>
      <c r="AD3251">
        <v>10</v>
      </c>
      <c r="AE3251">
        <v>0</v>
      </c>
      <c r="AF3251">
        <v>3</v>
      </c>
      <c r="AG3251">
        <v>2</v>
      </c>
      <c r="AH3251">
        <v>0</v>
      </c>
      <c r="AI3251" t="s">
        <v>6606</v>
      </c>
      <c r="AJ3251">
        <v>40.390205000000002</v>
      </c>
      <c r="AK3251" t="s">
        <v>6607</v>
      </c>
      <c r="AL3251">
        <v>-74.794922</v>
      </c>
      <c r="AM3251">
        <v>100</v>
      </c>
      <c r="AN3251">
        <v>2500</v>
      </c>
      <c r="AO3251" t="s">
        <v>115</v>
      </c>
      <c r="AP3251">
        <v>185</v>
      </c>
      <c r="AQ3251">
        <v>-21</v>
      </c>
      <c r="AR3251">
        <v>-640</v>
      </c>
      <c r="AZ3251">
        <v>3614</v>
      </c>
      <c r="BA3251">
        <v>1</v>
      </c>
      <c r="BB3251" t="str">
        <f t="shared" si="152"/>
        <v xml:space="preserve">N959MJ  </v>
      </c>
      <c r="BC3251">
        <v>1</v>
      </c>
      <c r="BE3251">
        <v>0</v>
      </c>
      <c r="BF3251">
        <v>0</v>
      </c>
      <c r="BG3251">
        <v>0</v>
      </c>
      <c r="BH3251">
        <v>2750</v>
      </c>
      <c r="BI3251">
        <v>250</v>
      </c>
      <c r="BJ3251">
        <v>1</v>
      </c>
      <c r="BK3251">
        <v>1</v>
      </c>
      <c r="BL3251">
        <v>1</v>
      </c>
      <c r="BM3251">
        <v>0</v>
      </c>
      <c r="BP3251">
        <v>0</v>
      </c>
      <c r="BQ3251">
        <v>0</v>
      </c>
      <c r="BX3251" t="str">
        <f>"14:44:31.227"</f>
        <v>14:44:31.227</v>
      </c>
      <c r="BY3251" t="str">
        <f>"230145394"</f>
        <v>230145394</v>
      </c>
      <c r="CL3251">
        <v>0</v>
      </c>
      <c r="CM3251">
        <v>2</v>
      </c>
      <c r="CN3251">
        <v>0</v>
      </c>
      <c r="CO3251">
        <v>2</v>
      </c>
      <c r="CP3251">
        <v>0</v>
      </c>
      <c r="CQ3251">
        <v>7</v>
      </c>
      <c r="CR3251" t="s">
        <v>116</v>
      </c>
      <c r="CS3251">
        <v>38</v>
      </c>
      <c r="CT3251">
        <v>0</v>
      </c>
      <c r="CU3251" t="s">
        <v>4719</v>
      </c>
      <c r="CV3251" t="s">
        <v>4720</v>
      </c>
      <c r="CY3251">
        <v>7586655</v>
      </c>
      <c r="CZ3251" t="s">
        <v>119</v>
      </c>
    </row>
    <row r="3252" spans="1:104" x14ac:dyDescent="0.25">
      <c r="A3252" t="str">
        <f>"14:44:32.477"</f>
        <v>14:44:32.477</v>
      </c>
      <c r="B3252" t="s">
        <v>108</v>
      </c>
      <c r="C3252" t="str">
        <f t="shared" si="151"/>
        <v>ffdfd3c0</v>
      </c>
      <c r="D3252" t="s">
        <v>109</v>
      </c>
      <c r="E3252">
        <v>4</v>
      </c>
      <c r="F3252">
        <v>1004</v>
      </c>
      <c r="G3252" t="s">
        <v>110</v>
      </c>
      <c r="J3252" t="s">
        <v>111</v>
      </c>
      <c r="K3252">
        <v>0</v>
      </c>
      <c r="L3252">
        <v>3</v>
      </c>
      <c r="M3252">
        <v>0</v>
      </c>
      <c r="N3252">
        <v>2</v>
      </c>
      <c r="O3252">
        <v>1</v>
      </c>
      <c r="P3252">
        <v>0</v>
      </c>
      <c r="Q3252">
        <v>0</v>
      </c>
      <c r="R3252" t="s">
        <v>112</v>
      </c>
      <c r="S3252" t="str">
        <f>"14:44:32.281"</f>
        <v>14:44:32.281</v>
      </c>
      <c r="T3252" t="str">
        <f>"14:44:31.781"</f>
        <v>14:44:31.781</v>
      </c>
      <c r="U3252" t="str">
        <f t="shared" si="150"/>
        <v>ad5732</v>
      </c>
      <c r="V3252">
        <v>0</v>
      </c>
      <c r="W3252">
        <v>0</v>
      </c>
      <c r="X3252">
        <v>1</v>
      </c>
      <c r="Z3252">
        <v>0</v>
      </c>
      <c r="AA3252">
        <v>9</v>
      </c>
      <c r="AB3252">
        <v>3</v>
      </c>
      <c r="AC3252">
        <v>0</v>
      </c>
      <c r="AD3252">
        <v>10</v>
      </c>
      <c r="AE3252">
        <v>0</v>
      </c>
      <c r="AF3252">
        <v>3</v>
      </c>
      <c r="AG3252">
        <v>2</v>
      </c>
      <c r="AH3252">
        <v>0</v>
      </c>
      <c r="AI3252" t="s">
        <v>6608</v>
      </c>
      <c r="AJ3252">
        <v>40.390120000000003</v>
      </c>
      <c r="AK3252" t="s">
        <v>6609</v>
      </c>
      <c r="AL3252">
        <v>-74.793806000000004</v>
      </c>
      <c r="AM3252">
        <v>100</v>
      </c>
      <c r="AN3252">
        <v>2500</v>
      </c>
      <c r="AO3252" t="s">
        <v>115</v>
      </c>
      <c r="AP3252">
        <v>184</v>
      </c>
      <c r="AQ3252">
        <v>-22</v>
      </c>
      <c r="AR3252">
        <v>-704</v>
      </c>
      <c r="AZ3252">
        <v>3614</v>
      </c>
      <c r="BA3252">
        <v>1</v>
      </c>
      <c r="BB3252" t="str">
        <f t="shared" si="152"/>
        <v xml:space="preserve">N959MJ  </v>
      </c>
      <c r="BC3252">
        <v>1</v>
      </c>
      <c r="BE3252">
        <v>0</v>
      </c>
      <c r="BF3252">
        <v>0</v>
      </c>
      <c r="BG3252">
        <v>0</v>
      </c>
      <c r="BH3252">
        <v>2750</v>
      </c>
      <c r="BI3252">
        <v>250</v>
      </c>
      <c r="BJ3252">
        <v>1</v>
      </c>
      <c r="BK3252">
        <v>1</v>
      </c>
      <c r="BL3252">
        <v>1</v>
      </c>
      <c r="BM3252">
        <v>0</v>
      </c>
      <c r="BP3252">
        <v>0</v>
      </c>
      <c r="BQ3252">
        <v>0</v>
      </c>
      <c r="BX3252" t="str">
        <f>"14:44:32.281"</f>
        <v>14:44:32.281</v>
      </c>
      <c r="BY3252" t="str">
        <f>"282016619"</f>
        <v>282016619</v>
      </c>
      <c r="CL3252">
        <v>0</v>
      </c>
      <c r="CM3252">
        <v>2</v>
      </c>
      <c r="CN3252">
        <v>0</v>
      </c>
      <c r="CO3252">
        <v>2</v>
      </c>
      <c r="CP3252">
        <v>0</v>
      </c>
      <c r="CQ3252">
        <v>7</v>
      </c>
      <c r="CR3252" t="s">
        <v>116</v>
      </c>
      <c r="CS3252">
        <v>38</v>
      </c>
      <c r="CT3252">
        <v>3</v>
      </c>
      <c r="CU3252" t="s">
        <v>4719</v>
      </c>
      <c r="CV3252" t="s">
        <v>4720</v>
      </c>
      <c r="CY3252">
        <v>11021539</v>
      </c>
      <c r="CZ3252" t="s">
        <v>119</v>
      </c>
    </row>
    <row r="3253" spans="1:104" x14ac:dyDescent="0.25">
      <c r="A3253" t="str">
        <f>"14:44:33.484"</f>
        <v>14:44:33.484</v>
      </c>
      <c r="B3253" t="s">
        <v>108</v>
      </c>
      <c r="C3253" t="str">
        <f t="shared" si="151"/>
        <v>ffdfd3c0</v>
      </c>
      <c r="D3253" t="s">
        <v>109</v>
      </c>
      <c r="E3253">
        <v>4</v>
      </c>
      <c r="F3253">
        <v>1004</v>
      </c>
      <c r="G3253" t="s">
        <v>110</v>
      </c>
      <c r="J3253" t="s">
        <v>111</v>
      </c>
      <c r="K3253">
        <v>0</v>
      </c>
      <c r="L3253">
        <v>3</v>
      </c>
      <c r="M3253">
        <v>0</v>
      </c>
      <c r="N3253">
        <v>2</v>
      </c>
      <c r="O3253">
        <v>1</v>
      </c>
      <c r="P3253">
        <v>0</v>
      </c>
      <c r="Q3253">
        <v>0</v>
      </c>
      <c r="R3253" t="s">
        <v>112</v>
      </c>
      <c r="S3253" t="str">
        <f>"14:44:33.313"</f>
        <v>14:44:33.313</v>
      </c>
      <c r="T3253" t="str">
        <f>"14:44:32.813"</f>
        <v>14:44:32.813</v>
      </c>
      <c r="U3253" t="str">
        <f t="shared" si="150"/>
        <v>ad5732</v>
      </c>
      <c r="V3253">
        <v>0</v>
      </c>
      <c r="W3253">
        <v>0</v>
      </c>
      <c r="X3253">
        <v>1</v>
      </c>
      <c r="Z3253">
        <v>0</v>
      </c>
      <c r="AA3253">
        <v>9</v>
      </c>
      <c r="AB3253">
        <v>3</v>
      </c>
      <c r="AC3253">
        <v>0</v>
      </c>
      <c r="AD3253">
        <v>10</v>
      </c>
      <c r="AE3253">
        <v>0</v>
      </c>
      <c r="AF3253">
        <v>3</v>
      </c>
      <c r="AG3253">
        <v>2</v>
      </c>
      <c r="AH3253">
        <v>0</v>
      </c>
      <c r="AI3253" t="s">
        <v>6610</v>
      </c>
      <c r="AJ3253">
        <v>40.390034</v>
      </c>
      <c r="AK3253" t="s">
        <v>6611</v>
      </c>
      <c r="AL3253">
        <v>-74.792669000000004</v>
      </c>
      <c r="AM3253">
        <v>100</v>
      </c>
      <c r="AN3253">
        <v>2500</v>
      </c>
      <c r="AO3253" t="s">
        <v>115</v>
      </c>
      <c r="AP3253">
        <v>184</v>
      </c>
      <c r="AQ3253">
        <v>-22</v>
      </c>
      <c r="AR3253">
        <v>-640</v>
      </c>
      <c r="AZ3253">
        <v>3614</v>
      </c>
      <c r="BA3253">
        <v>1</v>
      </c>
      <c r="BB3253" t="str">
        <f t="shared" si="152"/>
        <v xml:space="preserve">N959MJ  </v>
      </c>
      <c r="BC3253">
        <v>1</v>
      </c>
      <c r="BE3253">
        <v>0</v>
      </c>
      <c r="BF3253">
        <v>0</v>
      </c>
      <c r="BG3253">
        <v>0</v>
      </c>
      <c r="BH3253">
        <v>2725</v>
      </c>
      <c r="BI3253">
        <v>225</v>
      </c>
      <c r="BJ3253">
        <v>1</v>
      </c>
      <c r="BK3253">
        <v>1</v>
      </c>
      <c r="BL3253">
        <v>1</v>
      </c>
      <c r="BM3253">
        <v>0</v>
      </c>
      <c r="BP3253">
        <v>0</v>
      </c>
      <c r="BQ3253">
        <v>0</v>
      </c>
      <c r="BX3253" t="str">
        <f>"14:44:33.320"</f>
        <v>14:44:33.320</v>
      </c>
      <c r="BY3253" t="str">
        <f>"319142048"</f>
        <v>319142048</v>
      </c>
      <c r="CL3253">
        <v>0</v>
      </c>
      <c r="CM3253">
        <v>2</v>
      </c>
      <c r="CN3253">
        <v>0</v>
      </c>
      <c r="CO3253">
        <v>2</v>
      </c>
      <c r="CP3253">
        <v>0</v>
      </c>
      <c r="CQ3253">
        <v>7</v>
      </c>
      <c r="CR3253" t="s">
        <v>116</v>
      </c>
      <c r="CS3253">
        <v>38</v>
      </c>
      <c r="CT3253">
        <v>0</v>
      </c>
      <c r="CU3253" t="s">
        <v>4719</v>
      </c>
      <c r="CV3253" t="s">
        <v>4720</v>
      </c>
      <c r="CY3253">
        <v>7589984</v>
      </c>
      <c r="CZ3253" t="s">
        <v>119</v>
      </c>
    </row>
    <row r="3254" spans="1:104" x14ac:dyDescent="0.25">
      <c r="A3254" t="str">
        <f>"14:44:34.500"</f>
        <v>14:44:34.500</v>
      </c>
      <c r="B3254" t="s">
        <v>108</v>
      </c>
      <c r="C3254" t="str">
        <f t="shared" si="151"/>
        <v>ffdfd3c0</v>
      </c>
      <c r="D3254" t="s">
        <v>109</v>
      </c>
      <c r="E3254">
        <v>4</v>
      </c>
      <c r="F3254">
        <v>1004</v>
      </c>
      <c r="G3254" t="s">
        <v>110</v>
      </c>
      <c r="J3254" t="s">
        <v>111</v>
      </c>
      <c r="K3254">
        <v>0</v>
      </c>
      <c r="L3254">
        <v>3</v>
      </c>
      <c r="M3254">
        <v>0</v>
      </c>
      <c r="N3254">
        <v>2</v>
      </c>
      <c r="O3254">
        <v>1</v>
      </c>
      <c r="P3254">
        <v>0</v>
      </c>
      <c r="Q3254">
        <v>0</v>
      </c>
      <c r="R3254" t="s">
        <v>112</v>
      </c>
      <c r="S3254" t="str">
        <f>"14:44:34.305"</f>
        <v>14:44:34.305</v>
      </c>
      <c r="T3254" t="str">
        <f>"14:44:33.805"</f>
        <v>14:44:33.805</v>
      </c>
      <c r="U3254" t="str">
        <f t="shared" si="150"/>
        <v>ad5732</v>
      </c>
      <c r="V3254">
        <v>0</v>
      </c>
      <c r="W3254">
        <v>0</v>
      </c>
      <c r="X3254">
        <v>1</v>
      </c>
      <c r="Z3254">
        <v>0</v>
      </c>
      <c r="AA3254">
        <v>9</v>
      </c>
      <c r="AB3254">
        <v>3</v>
      </c>
      <c r="AC3254">
        <v>0</v>
      </c>
      <c r="AD3254">
        <v>10</v>
      </c>
      <c r="AE3254">
        <v>0</v>
      </c>
      <c r="AF3254">
        <v>3</v>
      </c>
      <c r="AG3254">
        <v>2</v>
      </c>
      <c r="AH3254">
        <v>0</v>
      </c>
      <c r="AI3254" t="s">
        <v>6612</v>
      </c>
      <c r="AJ3254">
        <v>40.389884000000002</v>
      </c>
      <c r="AK3254" t="s">
        <v>6613</v>
      </c>
      <c r="AL3254">
        <v>-74.791552999999993</v>
      </c>
      <c r="AM3254">
        <v>100</v>
      </c>
      <c r="AN3254">
        <v>2500</v>
      </c>
      <c r="AO3254" t="s">
        <v>115</v>
      </c>
      <c r="AP3254">
        <v>184</v>
      </c>
      <c r="AQ3254">
        <v>-22</v>
      </c>
      <c r="AR3254">
        <v>-640</v>
      </c>
      <c r="AZ3254">
        <v>3614</v>
      </c>
      <c r="BA3254">
        <v>1</v>
      </c>
      <c r="BB3254" t="str">
        <f t="shared" si="152"/>
        <v xml:space="preserve">N959MJ  </v>
      </c>
      <c r="BC3254">
        <v>1</v>
      </c>
      <c r="BE3254">
        <v>0</v>
      </c>
      <c r="BF3254">
        <v>0</v>
      </c>
      <c r="BG3254">
        <v>0</v>
      </c>
      <c r="BH3254">
        <v>2725</v>
      </c>
      <c r="BI3254">
        <v>225</v>
      </c>
      <c r="BJ3254">
        <v>1</v>
      </c>
      <c r="BK3254">
        <v>1</v>
      </c>
      <c r="BL3254">
        <v>1</v>
      </c>
      <c r="BM3254">
        <v>0</v>
      </c>
      <c r="BP3254">
        <v>0</v>
      </c>
      <c r="BQ3254">
        <v>0</v>
      </c>
      <c r="BX3254" t="str">
        <f>"14:44:34.313"</f>
        <v>14:44:34.313</v>
      </c>
      <c r="BY3254" t="str">
        <f>"312029797"</f>
        <v>312029797</v>
      </c>
      <c r="CL3254">
        <v>0</v>
      </c>
      <c r="CM3254">
        <v>2</v>
      </c>
      <c r="CN3254">
        <v>0</v>
      </c>
      <c r="CO3254">
        <v>2</v>
      </c>
      <c r="CP3254">
        <v>0</v>
      </c>
      <c r="CQ3254">
        <v>7</v>
      </c>
      <c r="CR3254" t="s">
        <v>116</v>
      </c>
      <c r="CS3254">
        <v>38</v>
      </c>
      <c r="CT3254">
        <v>3</v>
      </c>
      <c r="CU3254" t="s">
        <v>4719</v>
      </c>
      <c r="CV3254" t="s">
        <v>4720</v>
      </c>
      <c r="CY3254">
        <v>11025022</v>
      </c>
      <c r="CZ3254" t="s">
        <v>119</v>
      </c>
    </row>
    <row r="3255" spans="1:104" x14ac:dyDescent="0.25">
      <c r="A3255" t="str">
        <f>"14:44:35.453"</f>
        <v>14:44:35.453</v>
      </c>
      <c r="B3255" t="s">
        <v>108</v>
      </c>
      <c r="C3255" t="str">
        <f t="shared" si="151"/>
        <v>ffdfd3c0</v>
      </c>
      <c r="D3255" t="s">
        <v>109</v>
      </c>
      <c r="E3255">
        <v>4</v>
      </c>
      <c r="F3255">
        <v>1004</v>
      </c>
      <c r="G3255" t="s">
        <v>110</v>
      </c>
      <c r="J3255" t="s">
        <v>111</v>
      </c>
      <c r="K3255">
        <v>0</v>
      </c>
      <c r="L3255">
        <v>3</v>
      </c>
      <c r="M3255">
        <v>0</v>
      </c>
      <c r="N3255">
        <v>2</v>
      </c>
      <c r="O3255">
        <v>1</v>
      </c>
      <c r="P3255">
        <v>0</v>
      </c>
      <c r="Q3255">
        <v>0</v>
      </c>
      <c r="R3255" t="s">
        <v>112</v>
      </c>
      <c r="S3255" t="str">
        <f>"14:44:35.266"</f>
        <v>14:44:35.266</v>
      </c>
      <c r="T3255" t="str">
        <f>"14:44:34.867"</f>
        <v>14:44:34.867</v>
      </c>
      <c r="U3255" t="str">
        <f t="shared" si="150"/>
        <v>ad5732</v>
      </c>
      <c r="V3255">
        <v>0</v>
      </c>
      <c r="W3255">
        <v>0</v>
      </c>
      <c r="X3255">
        <v>1</v>
      </c>
      <c r="Z3255">
        <v>0</v>
      </c>
      <c r="AA3255">
        <v>9</v>
      </c>
      <c r="AB3255">
        <v>3</v>
      </c>
      <c r="AC3255">
        <v>0</v>
      </c>
      <c r="AD3255">
        <v>10</v>
      </c>
      <c r="AE3255">
        <v>0</v>
      </c>
      <c r="AF3255">
        <v>3</v>
      </c>
      <c r="AG3255">
        <v>2</v>
      </c>
      <c r="AH3255">
        <v>0</v>
      </c>
      <c r="AI3255" t="s">
        <v>6614</v>
      </c>
      <c r="AJ3255">
        <v>40.389797999999999</v>
      </c>
      <c r="AK3255" t="s">
        <v>6615</v>
      </c>
      <c r="AL3255">
        <v>-74.790436999999997</v>
      </c>
      <c r="AM3255">
        <v>100</v>
      </c>
      <c r="AN3255">
        <v>2500</v>
      </c>
      <c r="AO3255" t="s">
        <v>115</v>
      </c>
      <c r="AP3255">
        <v>184</v>
      </c>
      <c r="AQ3255">
        <v>-21</v>
      </c>
      <c r="AR3255">
        <v>-640</v>
      </c>
      <c r="AZ3255">
        <v>3614</v>
      </c>
      <c r="BA3255">
        <v>1</v>
      </c>
      <c r="BB3255" t="str">
        <f t="shared" si="152"/>
        <v xml:space="preserve">N959MJ  </v>
      </c>
      <c r="BC3255">
        <v>1</v>
      </c>
      <c r="BE3255">
        <v>0</v>
      </c>
      <c r="BF3255">
        <v>0</v>
      </c>
      <c r="BG3255">
        <v>0</v>
      </c>
      <c r="BH3255">
        <v>2725</v>
      </c>
      <c r="BI3255">
        <v>225</v>
      </c>
      <c r="BJ3255">
        <v>1</v>
      </c>
      <c r="BK3255">
        <v>1</v>
      </c>
      <c r="BL3255">
        <v>1</v>
      </c>
      <c r="BM3255">
        <v>0</v>
      </c>
      <c r="BP3255">
        <v>0</v>
      </c>
      <c r="BQ3255">
        <v>0</v>
      </c>
      <c r="BX3255" t="str">
        <f>"14:44:35.266"</f>
        <v>14:44:35.266</v>
      </c>
      <c r="BY3255" t="str">
        <f>"267233739"</f>
        <v>267233739</v>
      </c>
      <c r="CL3255">
        <v>0</v>
      </c>
      <c r="CM3255">
        <v>2</v>
      </c>
      <c r="CN3255">
        <v>0</v>
      </c>
      <c r="CO3255">
        <v>2</v>
      </c>
      <c r="CP3255">
        <v>0</v>
      </c>
      <c r="CQ3255">
        <v>7</v>
      </c>
      <c r="CR3255" t="s">
        <v>116</v>
      </c>
      <c r="CS3255">
        <v>38</v>
      </c>
      <c r="CT3255">
        <v>3</v>
      </c>
      <c r="CU3255" t="s">
        <v>4719</v>
      </c>
      <c r="CV3255" t="s">
        <v>4720</v>
      </c>
      <c r="CY3255">
        <v>11026739</v>
      </c>
      <c r="CZ3255" t="s">
        <v>119</v>
      </c>
    </row>
    <row r="3256" spans="1:104" x14ac:dyDescent="0.25">
      <c r="A3256" t="str">
        <f>"14:44:36.563"</f>
        <v>14:44:36.563</v>
      </c>
      <c r="B3256" t="s">
        <v>108</v>
      </c>
      <c r="C3256" t="str">
        <f t="shared" si="151"/>
        <v>ffdfd3c0</v>
      </c>
      <c r="D3256" t="s">
        <v>109</v>
      </c>
      <c r="E3256">
        <v>4</v>
      </c>
      <c r="F3256">
        <v>1004</v>
      </c>
      <c r="G3256" t="s">
        <v>110</v>
      </c>
      <c r="J3256" t="s">
        <v>111</v>
      </c>
      <c r="K3256">
        <v>0</v>
      </c>
      <c r="L3256">
        <v>3</v>
      </c>
      <c r="M3256">
        <v>0</v>
      </c>
      <c r="N3256">
        <v>2</v>
      </c>
      <c r="O3256">
        <v>1</v>
      </c>
      <c r="P3256">
        <v>0</v>
      </c>
      <c r="Q3256">
        <v>0</v>
      </c>
      <c r="R3256" t="s">
        <v>112</v>
      </c>
      <c r="S3256" t="str">
        <f>"14:44:36.383"</f>
        <v>14:44:36.383</v>
      </c>
      <c r="T3256" t="str">
        <f>"14:44:35.883"</f>
        <v>14:44:35.883</v>
      </c>
      <c r="U3256" t="str">
        <f t="shared" si="150"/>
        <v>ad5732</v>
      </c>
      <c r="V3256">
        <v>0</v>
      </c>
      <c r="W3256">
        <v>0</v>
      </c>
      <c r="X3256">
        <v>1</v>
      </c>
      <c r="Z3256">
        <v>0</v>
      </c>
      <c r="AA3256">
        <v>9</v>
      </c>
      <c r="AB3256">
        <v>3</v>
      </c>
      <c r="AC3256">
        <v>0</v>
      </c>
      <c r="AD3256">
        <v>10</v>
      </c>
      <c r="AE3256">
        <v>0</v>
      </c>
      <c r="AF3256">
        <v>3</v>
      </c>
      <c r="AG3256">
        <v>2</v>
      </c>
      <c r="AH3256">
        <v>0</v>
      </c>
      <c r="AI3256" t="s">
        <v>6616</v>
      </c>
      <c r="AJ3256">
        <v>40.389668999999998</v>
      </c>
      <c r="AK3256" t="s">
        <v>6617</v>
      </c>
      <c r="AL3256">
        <v>-74.789236000000002</v>
      </c>
      <c r="AM3256">
        <v>100</v>
      </c>
      <c r="AN3256">
        <v>2500</v>
      </c>
      <c r="AO3256" t="s">
        <v>115</v>
      </c>
      <c r="AP3256">
        <v>183</v>
      </c>
      <c r="AQ3256">
        <v>-21</v>
      </c>
      <c r="AR3256">
        <v>-576</v>
      </c>
      <c r="AZ3256">
        <v>3614</v>
      </c>
      <c r="BA3256">
        <v>1</v>
      </c>
      <c r="BB3256" t="str">
        <f t="shared" si="152"/>
        <v xml:space="preserve">N959MJ  </v>
      </c>
      <c r="BC3256">
        <v>1</v>
      </c>
      <c r="BE3256">
        <v>0</v>
      </c>
      <c r="BF3256">
        <v>0</v>
      </c>
      <c r="BG3256">
        <v>0</v>
      </c>
      <c r="BH3256">
        <v>2700</v>
      </c>
      <c r="BI3256">
        <v>200</v>
      </c>
      <c r="BJ3256">
        <v>1</v>
      </c>
      <c r="BK3256">
        <v>1</v>
      </c>
      <c r="BL3256">
        <v>1</v>
      </c>
      <c r="BM3256">
        <v>0</v>
      </c>
      <c r="BP3256">
        <v>0</v>
      </c>
      <c r="BQ3256">
        <v>0</v>
      </c>
      <c r="BX3256" t="str">
        <f>"14:44:36.391"</f>
        <v>14:44:36.391</v>
      </c>
      <c r="BY3256" t="str">
        <f>"389557415"</f>
        <v>389557415</v>
      </c>
      <c r="CL3256">
        <v>0</v>
      </c>
      <c r="CM3256">
        <v>2</v>
      </c>
      <c r="CN3256">
        <v>0</v>
      </c>
      <c r="CO3256">
        <v>2</v>
      </c>
      <c r="CP3256">
        <v>0</v>
      </c>
      <c r="CQ3256">
        <v>7</v>
      </c>
      <c r="CR3256" t="s">
        <v>116</v>
      </c>
      <c r="CS3256">
        <v>38</v>
      </c>
      <c r="CT3256">
        <v>0</v>
      </c>
      <c r="CU3256" t="s">
        <v>4719</v>
      </c>
      <c r="CV3256" t="s">
        <v>4720</v>
      </c>
      <c r="CY3256">
        <v>7594745</v>
      </c>
      <c r="CZ3256" t="s">
        <v>119</v>
      </c>
    </row>
    <row r="3257" spans="1:104" x14ac:dyDescent="0.25">
      <c r="A3257" t="str">
        <f>"14:44:37.578"</f>
        <v>14:44:37.578</v>
      </c>
      <c r="B3257" t="s">
        <v>108</v>
      </c>
      <c r="C3257" t="str">
        <f t="shared" si="151"/>
        <v>ffdfd3c0</v>
      </c>
      <c r="D3257" t="s">
        <v>109</v>
      </c>
      <c r="E3257">
        <v>4</v>
      </c>
      <c r="F3257">
        <v>1004</v>
      </c>
      <c r="G3257" t="s">
        <v>110</v>
      </c>
      <c r="J3257" t="s">
        <v>111</v>
      </c>
      <c r="K3257">
        <v>0</v>
      </c>
      <c r="L3257">
        <v>3</v>
      </c>
      <c r="M3257">
        <v>0</v>
      </c>
      <c r="N3257">
        <v>2</v>
      </c>
      <c r="O3257">
        <v>1</v>
      </c>
      <c r="P3257">
        <v>0</v>
      </c>
      <c r="Q3257">
        <v>0</v>
      </c>
      <c r="R3257" t="s">
        <v>112</v>
      </c>
      <c r="S3257" t="str">
        <f>"14:44:37.352"</f>
        <v>14:44:37.352</v>
      </c>
      <c r="T3257" t="str">
        <f>"14:44:36.852"</f>
        <v>14:44:36.852</v>
      </c>
      <c r="U3257" t="str">
        <f t="shared" si="150"/>
        <v>ad5732</v>
      </c>
      <c r="V3257">
        <v>0</v>
      </c>
      <c r="W3257">
        <v>0</v>
      </c>
      <c r="X3257">
        <v>1</v>
      </c>
      <c r="Z3257">
        <v>0</v>
      </c>
      <c r="AA3257">
        <v>9</v>
      </c>
      <c r="AB3257">
        <v>3</v>
      </c>
      <c r="AC3257">
        <v>0</v>
      </c>
      <c r="AD3257">
        <v>10</v>
      </c>
      <c r="AE3257">
        <v>0</v>
      </c>
      <c r="AF3257">
        <v>3</v>
      </c>
      <c r="AG3257">
        <v>2</v>
      </c>
      <c r="AH3257">
        <v>0</v>
      </c>
      <c r="AI3257" t="s">
        <v>6618</v>
      </c>
      <c r="AJ3257">
        <v>40.389583000000002</v>
      </c>
      <c r="AK3257" t="s">
        <v>6619</v>
      </c>
      <c r="AL3257">
        <v>-74.788140999999996</v>
      </c>
      <c r="AM3257">
        <v>100</v>
      </c>
      <c r="AN3257">
        <v>2500</v>
      </c>
      <c r="AO3257" t="s">
        <v>115</v>
      </c>
      <c r="AP3257">
        <v>183</v>
      </c>
      <c r="AQ3257">
        <v>-21</v>
      </c>
      <c r="AR3257">
        <v>-576</v>
      </c>
      <c r="AZ3257">
        <v>3614</v>
      </c>
      <c r="BA3257">
        <v>1</v>
      </c>
      <c r="BB3257" t="str">
        <f t="shared" si="152"/>
        <v xml:space="preserve">N959MJ  </v>
      </c>
      <c r="BC3257">
        <v>1</v>
      </c>
      <c r="BE3257">
        <v>0</v>
      </c>
      <c r="BF3257">
        <v>0</v>
      </c>
      <c r="BG3257">
        <v>0</v>
      </c>
      <c r="BH3257">
        <v>2700</v>
      </c>
      <c r="BI3257">
        <v>200</v>
      </c>
      <c r="BJ3257">
        <v>1</v>
      </c>
      <c r="BK3257">
        <v>1</v>
      </c>
      <c r="BL3257">
        <v>1</v>
      </c>
      <c r="BM3257">
        <v>0</v>
      </c>
      <c r="BP3257">
        <v>0</v>
      </c>
      <c r="BQ3257">
        <v>0</v>
      </c>
      <c r="BX3257" t="str">
        <f>"14:44:37.359"</f>
        <v>14:44:37.359</v>
      </c>
      <c r="BY3257" t="str">
        <f>"356230405"</f>
        <v>356230405</v>
      </c>
      <c r="CL3257">
        <v>0</v>
      </c>
      <c r="CM3257">
        <v>2</v>
      </c>
      <c r="CN3257">
        <v>0</v>
      </c>
      <c r="CO3257">
        <v>2</v>
      </c>
      <c r="CP3257">
        <v>0</v>
      </c>
      <c r="CQ3257">
        <v>7</v>
      </c>
      <c r="CR3257" t="s">
        <v>116</v>
      </c>
      <c r="CS3257">
        <v>38</v>
      </c>
      <c r="CT3257">
        <v>0</v>
      </c>
      <c r="CU3257" t="s">
        <v>4719</v>
      </c>
      <c r="CV3257" t="s">
        <v>4720</v>
      </c>
      <c r="CY3257">
        <v>7596219</v>
      </c>
      <c r="CZ3257" t="s">
        <v>119</v>
      </c>
    </row>
    <row r="3258" spans="1:104" x14ac:dyDescent="0.25">
      <c r="A3258" t="str">
        <f>"14:44:38.586"</f>
        <v>14:44:38.586</v>
      </c>
      <c r="B3258" t="s">
        <v>108</v>
      </c>
      <c r="C3258" t="str">
        <f t="shared" si="151"/>
        <v>ffdfd3c0</v>
      </c>
      <c r="D3258" t="s">
        <v>109</v>
      </c>
      <c r="E3258">
        <v>4</v>
      </c>
      <c r="F3258">
        <v>1004</v>
      </c>
      <c r="G3258" t="s">
        <v>110</v>
      </c>
      <c r="J3258" t="s">
        <v>111</v>
      </c>
      <c r="K3258">
        <v>0</v>
      </c>
      <c r="L3258">
        <v>3</v>
      </c>
      <c r="M3258">
        <v>0</v>
      </c>
      <c r="N3258">
        <v>2</v>
      </c>
      <c r="O3258">
        <v>1</v>
      </c>
      <c r="P3258">
        <v>0</v>
      </c>
      <c r="Q3258">
        <v>0</v>
      </c>
      <c r="R3258" t="s">
        <v>112</v>
      </c>
      <c r="S3258" t="str">
        <f>"14:44:38.391"</f>
        <v>14:44:38.391</v>
      </c>
      <c r="T3258" t="str">
        <f>"14:44:37.891"</f>
        <v>14:44:37.891</v>
      </c>
      <c r="U3258" t="str">
        <f t="shared" si="150"/>
        <v>ad5732</v>
      </c>
      <c r="V3258">
        <v>0</v>
      </c>
      <c r="W3258">
        <v>0</v>
      </c>
      <c r="X3258">
        <v>1</v>
      </c>
      <c r="Z3258">
        <v>0</v>
      </c>
      <c r="AA3258">
        <v>9</v>
      </c>
      <c r="AB3258">
        <v>3</v>
      </c>
      <c r="AC3258">
        <v>0</v>
      </c>
      <c r="AD3258">
        <v>10</v>
      </c>
      <c r="AE3258">
        <v>0</v>
      </c>
      <c r="AF3258">
        <v>3</v>
      </c>
      <c r="AG3258">
        <v>2</v>
      </c>
      <c r="AH3258">
        <v>0</v>
      </c>
      <c r="AI3258" t="s">
        <v>6620</v>
      </c>
      <c r="AJ3258">
        <v>40.389496999999999</v>
      </c>
      <c r="AK3258" t="s">
        <v>6621</v>
      </c>
      <c r="AL3258">
        <v>-74.786983000000006</v>
      </c>
      <c r="AM3258">
        <v>100</v>
      </c>
      <c r="AN3258">
        <v>2500</v>
      </c>
      <c r="AO3258" t="s">
        <v>115</v>
      </c>
      <c r="AP3258">
        <v>183</v>
      </c>
      <c r="AQ3258">
        <v>-21</v>
      </c>
      <c r="AR3258">
        <v>-640</v>
      </c>
      <c r="AZ3258">
        <v>3614</v>
      </c>
      <c r="BA3258">
        <v>1</v>
      </c>
      <c r="BB3258" t="str">
        <f t="shared" si="152"/>
        <v xml:space="preserve">N959MJ  </v>
      </c>
      <c r="BC3258">
        <v>1</v>
      </c>
      <c r="BE3258">
        <v>0</v>
      </c>
      <c r="BF3258">
        <v>0</v>
      </c>
      <c r="BG3258">
        <v>0</v>
      </c>
      <c r="BH3258">
        <v>2675</v>
      </c>
      <c r="BI3258">
        <v>175</v>
      </c>
      <c r="BJ3258">
        <v>1</v>
      </c>
      <c r="BK3258">
        <v>1</v>
      </c>
      <c r="BL3258">
        <v>1</v>
      </c>
      <c r="BM3258">
        <v>0</v>
      </c>
      <c r="BP3258">
        <v>0</v>
      </c>
      <c r="BQ3258">
        <v>0</v>
      </c>
      <c r="BX3258" t="str">
        <f>"14:44:38.391"</f>
        <v>14:44:38.391</v>
      </c>
      <c r="BY3258" t="str">
        <f>"393355750"</f>
        <v>393355750</v>
      </c>
      <c r="CL3258">
        <v>0</v>
      </c>
      <c r="CM3258">
        <v>2</v>
      </c>
      <c r="CN3258">
        <v>0</v>
      </c>
      <c r="CO3258">
        <v>2</v>
      </c>
      <c r="CP3258">
        <v>0</v>
      </c>
      <c r="CQ3258">
        <v>7</v>
      </c>
      <c r="CR3258" t="s">
        <v>116</v>
      </c>
      <c r="CS3258">
        <v>38</v>
      </c>
      <c r="CT3258">
        <v>3</v>
      </c>
      <c r="CU3258" t="s">
        <v>4719</v>
      </c>
      <c r="CV3258" t="s">
        <v>4720</v>
      </c>
      <c r="CY3258">
        <v>11031966</v>
      </c>
      <c r="CZ3258" t="s">
        <v>119</v>
      </c>
    </row>
    <row r="3259" spans="1:104" x14ac:dyDescent="0.25">
      <c r="A3259" t="str">
        <f>"14:44:39.594"</f>
        <v>14:44:39.594</v>
      </c>
      <c r="B3259" t="s">
        <v>108</v>
      </c>
      <c r="C3259" t="str">
        <f t="shared" si="151"/>
        <v>ffdfd3c0</v>
      </c>
      <c r="D3259" t="s">
        <v>109</v>
      </c>
      <c r="E3259">
        <v>4</v>
      </c>
      <c r="F3259">
        <v>1004</v>
      </c>
      <c r="G3259" t="s">
        <v>110</v>
      </c>
      <c r="J3259" t="s">
        <v>111</v>
      </c>
      <c r="K3259">
        <v>0</v>
      </c>
      <c r="L3259">
        <v>3</v>
      </c>
      <c r="M3259">
        <v>0</v>
      </c>
      <c r="N3259">
        <v>2</v>
      </c>
      <c r="O3259">
        <v>1</v>
      </c>
      <c r="P3259">
        <v>0</v>
      </c>
      <c r="Q3259">
        <v>0</v>
      </c>
      <c r="R3259" t="s">
        <v>112</v>
      </c>
      <c r="S3259" t="str">
        <f>"14:44:39.422"</f>
        <v>14:44:39.422</v>
      </c>
      <c r="T3259" t="str">
        <f>"14:44:39.023"</f>
        <v>14:44:39.023</v>
      </c>
      <c r="U3259" t="str">
        <f t="shared" si="150"/>
        <v>ad5732</v>
      </c>
      <c r="V3259">
        <v>0</v>
      </c>
      <c r="W3259">
        <v>0</v>
      </c>
      <c r="X3259">
        <v>1</v>
      </c>
      <c r="Z3259">
        <v>0</v>
      </c>
      <c r="AA3259">
        <v>9</v>
      </c>
      <c r="AB3259">
        <v>3</v>
      </c>
      <c r="AC3259">
        <v>0</v>
      </c>
      <c r="AD3259">
        <v>10</v>
      </c>
      <c r="AE3259">
        <v>0</v>
      </c>
      <c r="AF3259">
        <v>3</v>
      </c>
      <c r="AG3259">
        <v>2</v>
      </c>
      <c r="AH3259">
        <v>0</v>
      </c>
      <c r="AI3259" t="s">
        <v>6184</v>
      </c>
      <c r="AJ3259">
        <v>40.389411000000003</v>
      </c>
      <c r="AK3259" t="s">
        <v>6622</v>
      </c>
      <c r="AL3259">
        <v>-74.785802000000004</v>
      </c>
      <c r="AM3259">
        <v>100</v>
      </c>
      <c r="AN3259">
        <v>2500</v>
      </c>
      <c r="AO3259" t="s">
        <v>115</v>
      </c>
      <c r="AP3259">
        <v>183</v>
      </c>
      <c r="AQ3259">
        <v>-21</v>
      </c>
      <c r="AR3259">
        <v>-640</v>
      </c>
      <c r="AZ3259">
        <v>3614</v>
      </c>
      <c r="BA3259">
        <v>1</v>
      </c>
      <c r="BB3259" t="str">
        <f t="shared" si="152"/>
        <v xml:space="preserve">N959MJ  </v>
      </c>
      <c r="BC3259">
        <v>1</v>
      </c>
      <c r="BE3259">
        <v>0</v>
      </c>
      <c r="BF3259">
        <v>0</v>
      </c>
      <c r="BG3259">
        <v>0</v>
      </c>
      <c r="BH3259">
        <v>2675</v>
      </c>
      <c r="BI3259">
        <v>175</v>
      </c>
      <c r="BJ3259">
        <v>1</v>
      </c>
      <c r="BK3259">
        <v>1</v>
      </c>
      <c r="BL3259">
        <v>1</v>
      </c>
      <c r="BM3259">
        <v>0</v>
      </c>
      <c r="BP3259">
        <v>0</v>
      </c>
      <c r="BQ3259">
        <v>0</v>
      </c>
      <c r="BX3259" t="str">
        <f>"14:44:39.422"</f>
        <v>14:44:39.422</v>
      </c>
      <c r="BY3259" t="str">
        <f>"425565847"</f>
        <v>425565847</v>
      </c>
      <c r="CL3259">
        <v>0</v>
      </c>
      <c r="CM3259">
        <v>2</v>
      </c>
      <c r="CN3259">
        <v>0</v>
      </c>
      <c r="CO3259">
        <v>2</v>
      </c>
      <c r="CP3259">
        <v>0</v>
      </c>
      <c r="CQ3259">
        <v>7</v>
      </c>
      <c r="CR3259" t="s">
        <v>116</v>
      </c>
      <c r="CS3259">
        <v>38</v>
      </c>
      <c r="CT3259">
        <v>3</v>
      </c>
      <c r="CU3259" t="s">
        <v>4719</v>
      </c>
      <c r="CV3259" t="s">
        <v>4720</v>
      </c>
      <c r="CY3259">
        <v>11033795</v>
      </c>
      <c r="CZ3259" t="s">
        <v>119</v>
      </c>
    </row>
    <row r="3260" spans="1:104" x14ac:dyDescent="0.25">
      <c r="A3260" t="str">
        <f>"14:44:40.602"</f>
        <v>14:44:40.602</v>
      </c>
      <c r="B3260" t="s">
        <v>108</v>
      </c>
      <c r="C3260" t="str">
        <f t="shared" si="151"/>
        <v>ffdfd3c0</v>
      </c>
      <c r="D3260" t="s">
        <v>109</v>
      </c>
      <c r="E3260">
        <v>4</v>
      </c>
      <c r="F3260">
        <v>1004</v>
      </c>
      <c r="G3260" t="s">
        <v>110</v>
      </c>
      <c r="J3260" t="s">
        <v>111</v>
      </c>
      <c r="K3260">
        <v>0</v>
      </c>
      <c r="L3260">
        <v>3</v>
      </c>
      <c r="M3260">
        <v>0</v>
      </c>
      <c r="N3260">
        <v>2</v>
      </c>
      <c r="O3260">
        <v>1</v>
      </c>
      <c r="P3260">
        <v>0</v>
      </c>
      <c r="Q3260">
        <v>0</v>
      </c>
      <c r="R3260" t="s">
        <v>112</v>
      </c>
      <c r="S3260" t="str">
        <f>"14:44:40.430"</f>
        <v>14:44:40.430</v>
      </c>
      <c r="T3260" t="str">
        <f>"14:44:40.031"</f>
        <v>14:44:40.031</v>
      </c>
      <c r="U3260" t="str">
        <f t="shared" si="150"/>
        <v>ad5732</v>
      </c>
      <c r="V3260">
        <v>0</v>
      </c>
      <c r="W3260">
        <v>0</v>
      </c>
      <c r="X3260">
        <v>1</v>
      </c>
      <c r="Z3260">
        <v>0</v>
      </c>
      <c r="AA3260">
        <v>9</v>
      </c>
      <c r="AB3260">
        <v>3</v>
      </c>
      <c r="AC3260">
        <v>0</v>
      </c>
      <c r="AD3260">
        <v>10</v>
      </c>
      <c r="AE3260">
        <v>0</v>
      </c>
      <c r="AF3260">
        <v>3</v>
      </c>
      <c r="AG3260">
        <v>2</v>
      </c>
      <c r="AH3260">
        <v>0</v>
      </c>
      <c r="AI3260" t="s">
        <v>6623</v>
      </c>
      <c r="AJ3260">
        <v>40.389325999999997</v>
      </c>
      <c r="AK3260" t="s">
        <v>6624</v>
      </c>
      <c r="AL3260">
        <v>-74.784687000000005</v>
      </c>
      <c r="AM3260">
        <v>100</v>
      </c>
      <c r="AN3260">
        <v>2500</v>
      </c>
      <c r="AO3260" t="s">
        <v>115</v>
      </c>
      <c r="AP3260">
        <v>183</v>
      </c>
      <c r="AQ3260">
        <v>-21</v>
      </c>
      <c r="AR3260">
        <v>-640</v>
      </c>
      <c r="AZ3260">
        <v>3614</v>
      </c>
      <c r="BA3260">
        <v>1</v>
      </c>
      <c r="BB3260" t="str">
        <f t="shared" si="152"/>
        <v xml:space="preserve">N959MJ  </v>
      </c>
      <c r="BC3260">
        <v>1</v>
      </c>
      <c r="BE3260">
        <v>0</v>
      </c>
      <c r="BF3260">
        <v>0</v>
      </c>
      <c r="BG3260">
        <v>0</v>
      </c>
      <c r="BH3260">
        <v>2650</v>
      </c>
      <c r="BI3260">
        <v>150</v>
      </c>
      <c r="BJ3260">
        <v>1</v>
      </c>
      <c r="BK3260">
        <v>1</v>
      </c>
      <c r="BL3260">
        <v>1</v>
      </c>
      <c r="BM3260">
        <v>0</v>
      </c>
      <c r="BP3260">
        <v>0</v>
      </c>
      <c r="BQ3260">
        <v>0</v>
      </c>
      <c r="BX3260" t="str">
        <f>"14:44:40.438"</f>
        <v>14:44:40.438</v>
      </c>
      <c r="BY3260" t="str">
        <f>"436476407"</f>
        <v>436476407</v>
      </c>
      <c r="CL3260">
        <v>0</v>
      </c>
      <c r="CM3260">
        <v>2</v>
      </c>
      <c r="CN3260">
        <v>0</v>
      </c>
      <c r="CO3260">
        <v>2</v>
      </c>
      <c r="CP3260">
        <v>0</v>
      </c>
      <c r="CQ3260">
        <v>7</v>
      </c>
      <c r="CR3260" t="s">
        <v>116</v>
      </c>
      <c r="CS3260">
        <v>38</v>
      </c>
      <c r="CT3260">
        <v>0</v>
      </c>
      <c r="CU3260" t="s">
        <v>4719</v>
      </c>
      <c r="CV3260" t="s">
        <v>4720</v>
      </c>
      <c r="CY3260">
        <v>7600925</v>
      </c>
      <c r="CZ3260" t="s">
        <v>119</v>
      </c>
    </row>
    <row r="3261" spans="1:104" x14ac:dyDescent="0.25">
      <c r="A3261" t="str">
        <f>"14:44:41.617"</f>
        <v>14:44:41.617</v>
      </c>
      <c r="B3261" t="s">
        <v>108</v>
      </c>
      <c r="C3261" t="str">
        <f t="shared" si="151"/>
        <v>ffdfd3c0</v>
      </c>
      <c r="D3261" t="s">
        <v>109</v>
      </c>
      <c r="E3261">
        <v>4</v>
      </c>
      <c r="F3261">
        <v>1004</v>
      </c>
      <c r="G3261" t="s">
        <v>110</v>
      </c>
      <c r="J3261" t="s">
        <v>111</v>
      </c>
      <c r="K3261">
        <v>0</v>
      </c>
      <c r="L3261">
        <v>3</v>
      </c>
      <c r="M3261">
        <v>0</v>
      </c>
      <c r="N3261">
        <v>2</v>
      </c>
      <c r="O3261">
        <v>1</v>
      </c>
      <c r="P3261">
        <v>0</v>
      </c>
      <c r="Q3261">
        <v>0</v>
      </c>
      <c r="R3261" t="s">
        <v>112</v>
      </c>
      <c r="S3261" t="str">
        <f>"14:44:41.414"</f>
        <v>14:44:41.414</v>
      </c>
      <c r="T3261" t="str">
        <f>"14:44:40.914"</f>
        <v>14:44:40.914</v>
      </c>
      <c r="U3261" t="str">
        <f t="shared" si="150"/>
        <v>ad5732</v>
      </c>
      <c r="V3261">
        <v>0</v>
      </c>
      <c r="W3261">
        <v>0</v>
      </c>
      <c r="X3261">
        <v>1</v>
      </c>
      <c r="Z3261">
        <v>0</v>
      </c>
      <c r="AA3261">
        <v>9</v>
      </c>
      <c r="AB3261">
        <v>3</v>
      </c>
      <c r="AC3261">
        <v>0</v>
      </c>
      <c r="AD3261">
        <v>10</v>
      </c>
      <c r="AE3261">
        <v>0</v>
      </c>
      <c r="AF3261">
        <v>3</v>
      </c>
      <c r="AG3261">
        <v>2</v>
      </c>
      <c r="AH3261">
        <v>0</v>
      </c>
      <c r="AI3261" t="s">
        <v>6625</v>
      </c>
      <c r="AJ3261">
        <v>40.389218</v>
      </c>
      <c r="AK3261" t="s">
        <v>6626</v>
      </c>
      <c r="AL3261">
        <v>-74.783699999999996</v>
      </c>
      <c r="AM3261">
        <v>100</v>
      </c>
      <c r="AN3261">
        <v>2500</v>
      </c>
      <c r="AO3261" t="s">
        <v>115</v>
      </c>
      <c r="AP3261">
        <v>183</v>
      </c>
      <c r="AQ3261">
        <v>-20</v>
      </c>
      <c r="AR3261">
        <v>-640</v>
      </c>
      <c r="AZ3261">
        <v>3614</v>
      </c>
      <c r="BA3261">
        <v>1</v>
      </c>
      <c r="BB3261" t="str">
        <f t="shared" si="152"/>
        <v xml:space="preserve">N959MJ  </v>
      </c>
      <c r="BC3261">
        <v>1</v>
      </c>
      <c r="BE3261">
        <v>0</v>
      </c>
      <c r="BF3261">
        <v>0</v>
      </c>
      <c r="BG3261">
        <v>0</v>
      </c>
      <c r="BH3261">
        <v>2650</v>
      </c>
      <c r="BI3261">
        <v>150</v>
      </c>
      <c r="BJ3261">
        <v>1</v>
      </c>
      <c r="BK3261">
        <v>1</v>
      </c>
      <c r="BL3261">
        <v>1</v>
      </c>
      <c r="BM3261">
        <v>0</v>
      </c>
      <c r="BP3261">
        <v>0</v>
      </c>
      <c r="BQ3261">
        <v>0</v>
      </c>
      <c r="BX3261" t="str">
        <f>"14:44:41.414"</f>
        <v>14:44:41.414</v>
      </c>
      <c r="BY3261" t="str">
        <f>"414618313"</f>
        <v>414618313</v>
      </c>
      <c r="CL3261">
        <v>0</v>
      </c>
      <c r="CM3261">
        <v>2</v>
      </c>
      <c r="CN3261">
        <v>0</v>
      </c>
      <c r="CO3261">
        <v>2</v>
      </c>
      <c r="CP3261">
        <v>0</v>
      </c>
      <c r="CQ3261">
        <v>7</v>
      </c>
      <c r="CR3261" t="s">
        <v>116</v>
      </c>
      <c r="CS3261">
        <v>38</v>
      </c>
      <c r="CT3261">
        <v>0</v>
      </c>
      <c r="CU3261" t="s">
        <v>4719</v>
      </c>
      <c r="CV3261" t="s">
        <v>4720</v>
      </c>
      <c r="CY3261">
        <v>7602431</v>
      </c>
      <c r="CZ3261" t="s">
        <v>119</v>
      </c>
    </row>
    <row r="3262" spans="1:104" x14ac:dyDescent="0.25">
      <c r="A3262" t="str">
        <f>"14:44:42.477"</f>
        <v>14:44:42.477</v>
      </c>
      <c r="B3262" t="s">
        <v>108</v>
      </c>
      <c r="C3262" t="str">
        <f t="shared" si="151"/>
        <v>ffdfd3c0</v>
      </c>
      <c r="D3262" t="s">
        <v>109</v>
      </c>
      <c r="E3262">
        <v>4</v>
      </c>
      <c r="F3262">
        <v>1004</v>
      </c>
      <c r="G3262" t="s">
        <v>110</v>
      </c>
      <c r="J3262" t="s">
        <v>111</v>
      </c>
      <c r="K3262">
        <v>0</v>
      </c>
      <c r="L3262">
        <v>3</v>
      </c>
      <c r="M3262">
        <v>0</v>
      </c>
      <c r="N3262">
        <v>2</v>
      </c>
      <c r="O3262">
        <v>1</v>
      </c>
      <c r="P3262">
        <v>0</v>
      </c>
      <c r="Q3262">
        <v>0</v>
      </c>
      <c r="R3262" t="s">
        <v>112</v>
      </c>
      <c r="S3262" t="str">
        <f>"14:44:42.289"</f>
        <v>14:44:42.289</v>
      </c>
      <c r="T3262" t="str">
        <f>"14:44:41.891"</f>
        <v>14:44:41.891</v>
      </c>
      <c r="U3262" t="str">
        <f t="shared" si="150"/>
        <v>ad5732</v>
      </c>
      <c r="V3262">
        <v>0</v>
      </c>
      <c r="W3262">
        <v>0</v>
      </c>
      <c r="X3262">
        <v>1</v>
      </c>
      <c r="Z3262">
        <v>0</v>
      </c>
      <c r="AA3262">
        <v>9</v>
      </c>
      <c r="AB3262">
        <v>3</v>
      </c>
      <c r="AC3262">
        <v>0</v>
      </c>
      <c r="AD3262">
        <v>10</v>
      </c>
      <c r="AE3262">
        <v>0</v>
      </c>
      <c r="AF3262">
        <v>3</v>
      </c>
      <c r="AG3262">
        <v>2</v>
      </c>
      <c r="AH3262">
        <v>0</v>
      </c>
      <c r="AI3262" t="s">
        <v>6627</v>
      </c>
      <c r="AJ3262">
        <v>40.389131999999996</v>
      </c>
      <c r="AK3262" t="s">
        <v>6628</v>
      </c>
      <c r="AL3262">
        <v>-74.782691</v>
      </c>
      <c r="AM3262">
        <v>100</v>
      </c>
      <c r="AN3262">
        <v>2500</v>
      </c>
      <c r="AO3262" t="s">
        <v>115</v>
      </c>
      <c r="AP3262">
        <v>182</v>
      </c>
      <c r="AQ3262">
        <v>-20</v>
      </c>
      <c r="AR3262">
        <v>-704</v>
      </c>
      <c r="AZ3262">
        <v>3614</v>
      </c>
      <c r="BA3262">
        <v>1</v>
      </c>
      <c r="BB3262" t="str">
        <f t="shared" si="152"/>
        <v xml:space="preserve">N959MJ  </v>
      </c>
      <c r="BC3262">
        <v>1</v>
      </c>
      <c r="BE3262">
        <v>0</v>
      </c>
      <c r="BF3262">
        <v>0</v>
      </c>
      <c r="BG3262">
        <v>0</v>
      </c>
      <c r="BH3262">
        <v>2650</v>
      </c>
      <c r="BI3262">
        <v>150</v>
      </c>
      <c r="BJ3262">
        <v>1</v>
      </c>
      <c r="BK3262">
        <v>1</v>
      </c>
      <c r="BL3262">
        <v>1</v>
      </c>
      <c r="BM3262">
        <v>0</v>
      </c>
      <c r="BP3262">
        <v>0</v>
      </c>
      <c r="BQ3262">
        <v>0</v>
      </c>
      <c r="BX3262" t="str">
        <f>"14:44:42.289"</f>
        <v>14:44:42.289</v>
      </c>
      <c r="BY3262" t="str">
        <f>"289539358"</f>
        <v>289539358</v>
      </c>
      <c r="CL3262">
        <v>0</v>
      </c>
      <c r="CM3262">
        <v>2</v>
      </c>
      <c r="CN3262">
        <v>0</v>
      </c>
      <c r="CO3262">
        <v>2</v>
      </c>
      <c r="CP3262">
        <v>0</v>
      </c>
      <c r="CQ3262">
        <v>7</v>
      </c>
      <c r="CR3262" t="s">
        <v>116</v>
      </c>
      <c r="CS3262">
        <v>38</v>
      </c>
      <c r="CT3262">
        <v>0</v>
      </c>
      <c r="CU3262" t="s">
        <v>4719</v>
      </c>
      <c r="CV3262" t="s">
        <v>4720</v>
      </c>
      <c r="CY3262">
        <v>7603810</v>
      </c>
      <c r="CZ3262" t="s">
        <v>119</v>
      </c>
    </row>
    <row r="3263" spans="1:104" x14ac:dyDescent="0.25">
      <c r="A3263" t="str">
        <f>"14:44:43.531"</f>
        <v>14:44:43.531</v>
      </c>
      <c r="B3263" t="s">
        <v>108</v>
      </c>
      <c r="C3263" t="str">
        <f t="shared" si="151"/>
        <v>ffdfd3c0</v>
      </c>
      <c r="D3263" t="s">
        <v>109</v>
      </c>
      <c r="E3263">
        <v>4</v>
      </c>
      <c r="F3263">
        <v>1004</v>
      </c>
      <c r="G3263" t="s">
        <v>110</v>
      </c>
      <c r="J3263" t="s">
        <v>111</v>
      </c>
      <c r="K3263">
        <v>0</v>
      </c>
      <c r="L3263">
        <v>3</v>
      </c>
      <c r="M3263">
        <v>0</v>
      </c>
      <c r="N3263">
        <v>2</v>
      </c>
      <c r="O3263">
        <v>1</v>
      </c>
      <c r="P3263">
        <v>0</v>
      </c>
      <c r="Q3263">
        <v>0</v>
      </c>
      <c r="R3263" t="s">
        <v>112</v>
      </c>
      <c r="S3263" t="str">
        <f>"14:44:43.328"</f>
        <v>14:44:43.328</v>
      </c>
      <c r="T3263" t="str">
        <f>"14:44:42.828"</f>
        <v>14:44:42.828</v>
      </c>
      <c r="U3263" t="str">
        <f t="shared" si="150"/>
        <v>ad5732</v>
      </c>
      <c r="V3263">
        <v>0</v>
      </c>
      <c r="W3263">
        <v>0</v>
      </c>
      <c r="X3263">
        <v>1</v>
      </c>
      <c r="Z3263">
        <v>0</v>
      </c>
      <c r="AA3263">
        <v>9</v>
      </c>
      <c r="AB3263">
        <v>3</v>
      </c>
      <c r="AC3263">
        <v>0</v>
      </c>
      <c r="AD3263">
        <v>10</v>
      </c>
      <c r="AE3263">
        <v>0</v>
      </c>
      <c r="AF3263">
        <v>3</v>
      </c>
      <c r="AG3263">
        <v>2</v>
      </c>
      <c r="AH3263">
        <v>0</v>
      </c>
      <c r="AI3263" t="s">
        <v>6629</v>
      </c>
      <c r="AJ3263">
        <v>40.389046999999998</v>
      </c>
      <c r="AK3263" t="s">
        <v>6630</v>
      </c>
      <c r="AL3263">
        <v>-74.781488999999993</v>
      </c>
      <c r="AM3263">
        <v>100</v>
      </c>
      <c r="AN3263">
        <v>2400</v>
      </c>
      <c r="AO3263" t="s">
        <v>115</v>
      </c>
      <c r="AP3263">
        <v>182</v>
      </c>
      <c r="AQ3263">
        <v>-20</v>
      </c>
      <c r="AR3263">
        <v>-640</v>
      </c>
      <c r="AZ3263">
        <v>3614</v>
      </c>
      <c r="BA3263">
        <v>1</v>
      </c>
      <c r="BB3263" t="str">
        <f t="shared" si="152"/>
        <v xml:space="preserve">N959MJ  </v>
      </c>
      <c r="BC3263">
        <v>1</v>
      </c>
      <c r="BE3263">
        <v>0</v>
      </c>
      <c r="BF3263">
        <v>0</v>
      </c>
      <c r="BG3263">
        <v>0</v>
      </c>
      <c r="BH3263">
        <v>2625</v>
      </c>
      <c r="BI3263">
        <v>225</v>
      </c>
      <c r="BJ3263">
        <v>1</v>
      </c>
      <c r="BK3263">
        <v>1</v>
      </c>
      <c r="BL3263">
        <v>1</v>
      </c>
      <c r="BM3263">
        <v>0</v>
      </c>
      <c r="BP3263">
        <v>0</v>
      </c>
      <c r="BQ3263">
        <v>0</v>
      </c>
      <c r="BX3263" t="str">
        <f>"14:44:43.336"</f>
        <v>14:44:43.336</v>
      </c>
      <c r="BY3263" t="str">
        <f>"333218387"</f>
        <v>333218387</v>
      </c>
      <c r="CL3263">
        <v>0</v>
      </c>
      <c r="CM3263">
        <v>2</v>
      </c>
      <c r="CN3263">
        <v>0</v>
      </c>
      <c r="CO3263">
        <v>2</v>
      </c>
      <c r="CP3263">
        <v>0</v>
      </c>
      <c r="CQ3263">
        <v>7</v>
      </c>
      <c r="CR3263" t="s">
        <v>116</v>
      </c>
      <c r="CS3263">
        <v>38</v>
      </c>
      <c r="CT3263">
        <v>0</v>
      </c>
      <c r="CU3263" t="s">
        <v>4719</v>
      </c>
      <c r="CV3263" t="s">
        <v>4720</v>
      </c>
      <c r="CY3263">
        <v>7605352</v>
      </c>
      <c r="CZ3263" t="s">
        <v>119</v>
      </c>
    </row>
    <row r="3264" spans="1:104" x14ac:dyDescent="0.25">
      <c r="A3264" t="str">
        <f>"14:44:44.539"</f>
        <v>14:44:44.539</v>
      </c>
      <c r="B3264" t="s">
        <v>108</v>
      </c>
      <c r="C3264" t="str">
        <f t="shared" si="151"/>
        <v>ffdfd3c0</v>
      </c>
      <c r="D3264" t="s">
        <v>109</v>
      </c>
      <c r="E3264">
        <v>4</v>
      </c>
      <c r="F3264">
        <v>1004</v>
      </c>
      <c r="G3264" t="s">
        <v>110</v>
      </c>
      <c r="J3264" t="s">
        <v>111</v>
      </c>
      <c r="K3264">
        <v>0</v>
      </c>
      <c r="L3264">
        <v>3</v>
      </c>
      <c r="M3264">
        <v>0</v>
      </c>
      <c r="N3264">
        <v>2</v>
      </c>
      <c r="O3264">
        <v>1</v>
      </c>
      <c r="P3264">
        <v>0</v>
      </c>
      <c r="Q3264">
        <v>0</v>
      </c>
      <c r="R3264" t="s">
        <v>112</v>
      </c>
      <c r="S3264" t="str">
        <f>"14:44:44.344"</f>
        <v>14:44:44.344</v>
      </c>
      <c r="T3264" t="str">
        <f>"14:44:43.844"</f>
        <v>14:44:43.844</v>
      </c>
      <c r="U3264" t="str">
        <f t="shared" si="150"/>
        <v>ad5732</v>
      </c>
      <c r="V3264">
        <v>0</v>
      </c>
      <c r="W3264">
        <v>0</v>
      </c>
      <c r="X3264">
        <v>1</v>
      </c>
      <c r="Z3264">
        <v>0</v>
      </c>
      <c r="AA3264">
        <v>9</v>
      </c>
      <c r="AB3264">
        <v>3</v>
      </c>
      <c r="AC3264">
        <v>0</v>
      </c>
      <c r="AD3264">
        <v>10</v>
      </c>
      <c r="AE3264">
        <v>0</v>
      </c>
      <c r="AF3264">
        <v>3</v>
      </c>
      <c r="AG3264">
        <v>2</v>
      </c>
      <c r="AH3264">
        <v>0</v>
      </c>
      <c r="AI3264" t="s">
        <v>6631</v>
      </c>
      <c r="AJ3264">
        <v>40.388939000000001</v>
      </c>
      <c r="AK3264" t="s">
        <v>6632</v>
      </c>
      <c r="AL3264">
        <v>-74.780394999999999</v>
      </c>
      <c r="AM3264">
        <v>100</v>
      </c>
      <c r="AN3264">
        <v>2400</v>
      </c>
      <c r="AO3264" t="s">
        <v>115</v>
      </c>
      <c r="AP3264">
        <v>182</v>
      </c>
      <c r="AQ3264">
        <v>-20</v>
      </c>
      <c r="AR3264">
        <v>-640</v>
      </c>
      <c r="AZ3264">
        <v>3614</v>
      </c>
      <c r="BA3264">
        <v>1</v>
      </c>
      <c r="BB3264" t="str">
        <f t="shared" si="152"/>
        <v xml:space="preserve">N959MJ  </v>
      </c>
      <c r="BC3264">
        <v>1</v>
      </c>
      <c r="BE3264">
        <v>0</v>
      </c>
      <c r="BF3264">
        <v>0</v>
      </c>
      <c r="BG3264">
        <v>0</v>
      </c>
      <c r="BH3264">
        <v>2625</v>
      </c>
      <c r="BI3264">
        <v>225</v>
      </c>
      <c r="BJ3264">
        <v>1</v>
      </c>
      <c r="BK3264">
        <v>1</v>
      </c>
      <c r="BL3264">
        <v>1</v>
      </c>
      <c r="BM3264">
        <v>0</v>
      </c>
      <c r="BP3264">
        <v>0</v>
      </c>
      <c r="BQ3264">
        <v>0</v>
      </c>
      <c r="BX3264" t="str">
        <f>"14:44:44.344"</f>
        <v>14:44:44.344</v>
      </c>
      <c r="BY3264" t="str">
        <f>"344129077"</f>
        <v>344129077</v>
      </c>
      <c r="CL3264">
        <v>0</v>
      </c>
      <c r="CM3264">
        <v>2</v>
      </c>
      <c r="CN3264">
        <v>0</v>
      </c>
      <c r="CO3264">
        <v>2</v>
      </c>
      <c r="CP3264">
        <v>0</v>
      </c>
      <c r="CQ3264">
        <v>7</v>
      </c>
      <c r="CR3264" t="s">
        <v>116</v>
      </c>
      <c r="CS3264">
        <v>38</v>
      </c>
      <c r="CT3264">
        <v>0</v>
      </c>
      <c r="CU3264" t="s">
        <v>4719</v>
      </c>
      <c r="CV3264" t="s">
        <v>4720</v>
      </c>
      <c r="CY3264">
        <v>7607022</v>
      </c>
      <c r="CZ3264" t="s">
        <v>119</v>
      </c>
    </row>
    <row r="3265" spans="1:104" x14ac:dyDescent="0.25">
      <c r="A3265" t="str">
        <f>"14:44:45.555"</f>
        <v>14:44:45.555</v>
      </c>
      <c r="B3265" t="s">
        <v>108</v>
      </c>
      <c r="C3265" t="str">
        <f t="shared" si="151"/>
        <v>ffdfd3c0</v>
      </c>
      <c r="D3265" t="s">
        <v>109</v>
      </c>
      <c r="E3265">
        <v>4</v>
      </c>
      <c r="F3265">
        <v>1004</v>
      </c>
      <c r="G3265" t="s">
        <v>110</v>
      </c>
      <c r="J3265" t="s">
        <v>111</v>
      </c>
      <c r="K3265">
        <v>0</v>
      </c>
      <c r="L3265">
        <v>3</v>
      </c>
      <c r="M3265">
        <v>0</v>
      </c>
      <c r="N3265">
        <v>2</v>
      </c>
      <c r="O3265">
        <v>1</v>
      </c>
      <c r="P3265">
        <v>0</v>
      </c>
      <c r="Q3265">
        <v>0</v>
      </c>
      <c r="R3265" t="s">
        <v>112</v>
      </c>
      <c r="S3265" t="str">
        <f>"14:44:45.328"</f>
        <v>14:44:45.328</v>
      </c>
      <c r="T3265" t="str">
        <f>"14:44:44.930"</f>
        <v>14:44:44.930</v>
      </c>
      <c r="U3265" t="str">
        <f t="shared" si="150"/>
        <v>ad5732</v>
      </c>
      <c r="V3265">
        <v>0</v>
      </c>
      <c r="W3265">
        <v>0</v>
      </c>
      <c r="X3265">
        <v>1</v>
      </c>
      <c r="Z3265">
        <v>0</v>
      </c>
      <c r="AA3265">
        <v>9</v>
      </c>
      <c r="AB3265">
        <v>3</v>
      </c>
      <c r="AC3265">
        <v>0</v>
      </c>
      <c r="AD3265">
        <v>10</v>
      </c>
      <c r="AE3265">
        <v>0</v>
      </c>
      <c r="AF3265">
        <v>3</v>
      </c>
      <c r="AG3265">
        <v>2</v>
      </c>
      <c r="AH3265">
        <v>0</v>
      </c>
      <c r="AI3265" t="s">
        <v>6633</v>
      </c>
      <c r="AJ3265">
        <v>40.388854000000002</v>
      </c>
      <c r="AK3265" t="s">
        <v>6634</v>
      </c>
      <c r="AL3265">
        <v>-74.779301000000004</v>
      </c>
      <c r="AM3265">
        <v>100</v>
      </c>
      <c r="AN3265">
        <v>2400</v>
      </c>
      <c r="AO3265" t="s">
        <v>115</v>
      </c>
      <c r="AP3265">
        <v>182</v>
      </c>
      <c r="AQ3265">
        <v>-20</v>
      </c>
      <c r="AR3265">
        <v>-640</v>
      </c>
      <c r="AZ3265">
        <v>3614</v>
      </c>
      <c r="BA3265">
        <v>1</v>
      </c>
      <c r="BB3265" t="str">
        <f t="shared" si="152"/>
        <v xml:space="preserve">N959MJ  </v>
      </c>
      <c r="BC3265">
        <v>1</v>
      </c>
      <c r="BE3265">
        <v>0</v>
      </c>
      <c r="BF3265">
        <v>0</v>
      </c>
      <c r="BG3265">
        <v>0</v>
      </c>
      <c r="BH3265">
        <v>2600</v>
      </c>
      <c r="BI3265">
        <v>200</v>
      </c>
      <c r="BJ3265">
        <v>1</v>
      </c>
      <c r="BK3265">
        <v>1</v>
      </c>
      <c r="BL3265">
        <v>1</v>
      </c>
      <c r="BM3265">
        <v>0</v>
      </c>
      <c r="BP3265">
        <v>0</v>
      </c>
      <c r="BQ3265">
        <v>0</v>
      </c>
      <c r="BX3265" t="str">
        <f>"14:44:45.336"</f>
        <v>14:44:45.336</v>
      </c>
      <c r="BY3265" t="str">
        <f>"333739904"</f>
        <v>333739904</v>
      </c>
      <c r="CL3265">
        <v>0</v>
      </c>
      <c r="CM3265">
        <v>2</v>
      </c>
      <c r="CN3265">
        <v>0</v>
      </c>
      <c r="CO3265">
        <v>2</v>
      </c>
      <c r="CP3265">
        <v>0</v>
      </c>
      <c r="CQ3265">
        <v>7</v>
      </c>
      <c r="CR3265" t="s">
        <v>116</v>
      </c>
      <c r="CS3265">
        <v>38</v>
      </c>
      <c r="CT3265">
        <v>3</v>
      </c>
      <c r="CU3265" t="s">
        <v>4719</v>
      </c>
      <c r="CV3265" t="s">
        <v>4720</v>
      </c>
      <c r="CY3265">
        <v>11044111</v>
      </c>
      <c r="CZ3265" t="s">
        <v>119</v>
      </c>
    </row>
    <row r="3266" spans="1:104" x14ac:dyDescent="0.25">
      <c r="A3266" t="str">
        <f>"14:44:46.461"</f>
        <v>14:44:46.461</v>
      </c>
      <c r="B3266" t="s">
        <v>108</v>
      </c>
      <c r="C3266" t="str">
        <f t="shared" si="151"/>
        <v>ffdfd3c0</v>
      </c>
      <c r="D3266" t="s">
        <v>109</v>
      </c>
      <c r="E3266">
        <v>4</v>
      </c>
      <c r="F3266">
        <v>1004</v>
      </c>
      <c r="G3266" t="s">
        <v>110</v>
      </c>
      <c r="J3266" t="s">
        <v>111</v>
      </c>
      <c r="K3266">
        <v>0</v>
      </c>
      <c r="L3266">
        <v>3</v>
      </c>
      <c r="M3266">
        <v>0</v>
      </c>
      <c r="N3266">
        <v>2</v>
      </c>
      <c r="O3266">
        <v>1</v>
      </c>
      <c r="P3266">
        <v>0</v>
      </c>
      <c r="Q3266">
        <v>0</v>
      </c>
      <c r="R3266" t="s">
        <v>112</v>
      </c>
      <c r="S3266" t="str">
        <f>"14:44:46.266"</f>
        <v>14:44:46.266</v>
      </c>
      <c r="T3266" t="str">
        <f>"14:44:45.867"</f>
        <v>14:44:45.867</v>
      </c>
      <c r="U3266" t="str">
        <f t="shared" ref="U3266:U3329" si="153">"ad5732"</f>
        <v>ad5732</v>
      </c>
      <c r="V3266">
        <v>0</v>
      </c>
      <c r="W3266">
        <v>0</v>
      </c>
      <c r="X3266">
        <v>1</v>
      </c>
      <c r="Z3266">
        <v>0</v>
      </c>
      <c r="AA3266">
        <v>9</v>
      </c>
      <c r="AB3266">
        <v>3</v>
      </c>
      <c r="AC3266">
        <v>0</v>
      </c>
      <c r="AD3266">
        <v>10</v>
      </c>
      <c r="AE3266">
        <v>0</v>
      </c>
      <c r="AF3266">
        <v>3</v>
      </c>
      <c r="AG3266">
        <v>2</v>
      </c>
      <c r="AH3266">
        <v>0</v>
      </c>
      <c r="AI3266" t="s">
        <v>6635</v>
      </c>
      <c r="AJ3266">
        <v>40.388767999999999</v>
      </c>
      <c r="AK3266" t="s">
        <v>6636</v>
      </c>
      <c r="AL3266">
        <v>-74.778313999999995</v>
      </c>
      <c r="AM3266">
        <v>100</v>
      </c>
      <c r="AN3266">
        <v>2400</v>
      </c>
      <c r="AO3266" t="s">
        <v>115</v>
      </c>
      <c r="AP3266">
        <v>182</v>
      </c>
      <c r="AQ3266">
        <v>-20</v>
      </c>
      <c r="AR3266">
        <v>-640</v>
      </c>
      <c r="AZ3266">
        <v>3614</v>
      </c>
      <c r="BA3266">
        <v>1</v>
      </c>
      <c r="BB3266" t="str">
        <f t="shared" si="152"/>
        <v xml:space="preserve">N959MJ  </v>
      </c>
      <c r="BC3266">
        <v>1</v>
      </c>
      <c r="BE3266">
        <v>0</v>
      </c>
      <c r="BF3266">
        <v>0</v>
      </c>
      <c r="BG3266">
        <v>0</v>
      </c>
      <c r="BH3266">
        <v>2600</v>
      </c>
      <c r="BI3266">
        <v>200</v>
      </c>
      <c r="BJ3266">
        <v>1</v>
      </c>
      <c r="BK3266">
        <v>1</v>
      </c>
      <c r="BL3266">
        <v>1</v>
      </c>
      <c r="BM3266">
        <v>0</v>
      </c>
      <c r="BP3266">
        <v>0</v>
      </c>
      <c r="BQ3266">
        <v>0</v>
      </c>
      <c r="BX3266" t="str">
        <f>"14:44:46.266"</f>
        <v>14:44:46.266</v>
      </c>
      <c r="BY3266" t="str">
        <f>"267644334"</f>
        <v>267644334</v>
      </c>
      <c r="CL3266">
        <v>0</v>
      </c>
      <c r="CM3266">
        <v>2</v>
      </c>
      <c r="CN3266">
        <v>0</v>
      </c>
      <c r="CO3266">
        <v>2</v>
      </c>
      <c r="CP3266">
        <v>0</v>
      </c>
      <c r="CQ3266">
        <v>7</v>
      </c>
      <c r="CR3266" t="s">
        <v>116</v>
      </c>
      <c r="CS3266">
        <v>38</v>
      </c>
      <c r="CT3266">
        <v>0</v>
      </c>
      <c r="CU3266" t="s">
        <v>4719</v>
      </c>
      <c r="CV3266" t="s">
        <v>4720</v>
      </c>
      <c r="CY3266">
        <v>7610012</v>
      </c>
      <c r="CZ3266" t="s">
        <v>119</v>
      </c>
    </row>
    <row r="3267" spans="1:104" x14ac:dyDescent="0.25">
      <c r="A3267" t="str">
        <f>"14:44:47.523"</f>
        <v>14:44:47.523</v>
      </c>
      <c r="B3267" t="s">
        <v>108</v>
      </c>
      <c r="C3267" t="str">
        <f t="shared" si="151"/>
        <v>ffdfd3c0</v>
      </c>
      <c r="D3267" t="s">
        <v>109</v>
      </c>
      <c r="E3267">
        <v>4</v>
      </c>
      <c r="F3267">
        <v>1004</v>
      </c>
      <c r="G3267" t="s">
        <v>110</v>
      </c>
      <c r="J3267" t="s">
        <v>111</v>
      </c>
      <c r="K3267">
        <v>0</v>
      </c>
      <c r="L3267">
        <v>3</v>
      </c>
      <c r="M3267">
        <v>0</v>
      </c>
      <c r="N3267">
        <v>2</v>
      </c>
      <c r="O3267">
        <v>1</v>
      </c>
      <c r="P3267">
        <v>0</v>
      </c>
      <c r="Q3267">
        <v>0</v>
      </c>
      <c r="R3267" t="s">
        <v>112</v>
      </c>
      <c r="S3267" t="str">
        <f>"14:44:47.344"</f>
        <v>14:44:47.344</v>
      </c>
      <c r="T3267" t="str">
        <f>"14:44:46.945"</f>
        <v>14:44:46.945</v>
      </c>
      <c r="U3267" t="str">
        <f t="shared" si="153"/>
        <v>ad5732</v>
      </c>
      <c r="V3267">
        <v>0</v>
      </c>
      <c r="W3267">
        <v>0</v>
      </c>
      <c r="X3267">
        <v>1</v>
      </c>
      <c r="Z3267">
        <v>0</v>
      </c>
      <c r="AA3267">
        <v>9</v>
      </c>
      <c r="AB3267">
        <v>3</v>
      </c>
      <c r="AC3267">
        <v>0</v>
      </c>
      <c r="AD3267">
        <v>10</v>
      </c>
      <c r="AE3267">
        <v>0</v>
      </c>
      <c r="AF3267">
        <v>3</v>
      </c>
      <c r="AG3267">
        <v>2</v>
      </c>
      <c r="AH3267">
        <v>0</v>
      </c>
      <c r="AI3267" t="s">
        <v>6637</v>
      </c>
      <c r="AJ3267">
        <v>40.388682000000003</v>
      </c>
      <c r="AK3267" t="s">
        <v>6638</v>
      </c>
      <c r="AL3267">
        <v>-74.777090999999999</v>
      </c>
      <c r="AM3267">
        <v>100</v>
      </c>
      <c r="AN3267">
        <v>2400</v>
      </c>
      <c r="AO3267" t="s">
        <v>115</v>
      </c>
      <c r="AP3267">
        <v>182</v>
      </c>
      <c r="AQ3267">
        <v>-20</v>
      </c>
      <c r="AR3267">
        <v>-640</v>
      </c>
      <c r="AZ3267">
        <v>3614</v>
      </c>
      <c r="BA3267">
        <v>1</v>
      </c>
      <c r="BB3267" t="str">
        <f t="shared" si="152"/>
        <v xml:space="preserve">N959MJ  </v>
      </c>
      <c r="BC3267">
        <v>1</v>
      </c>
      <c r="BE3267">
        <v>0</v>
      </c>
      <c r="BF3267">
        <v>0</v>
      </c>
      <c r="BG3267">
        <v>0</v>
      </c>
      <c r="BH3267">
        <v>2575</v>
      </c>
      <c r="BI3267">
        <v>175</v>
      </c>
      <c r="BJ3267">
        <v>1</v>
      </c>
      <c r="BK3267">
        <v>1</v>
      </c>
      <c r="BL3267">
        <v>1</v>
      </c>
      <c r="BM3267">
        <v>0</v>
      </c>
      <c r="BP3267">
        <v>0</v>
      </c>
      <c r="BQ3267">
        <v>0</v>
      </c>
      <c r="BX3267" t="str">
        <f>"14:44:47.344"</f>
        <v>14:44:47.344</v>
      </c>
      <c r="BY3267" t="str">
        <f>"347368849"</f>
        <v>347368849</v>
      </c>
      <c r="CL3267">
        <v>0</v>
      </c>
      <c r="CM3267">
        <v>2</v>
      </c>
      <c r="CN3267">
        <v>0</v>
      </c>
      <c r="CO3267">
        <v>2</v>
      </c>
      <c r="CP3267">
        <v>0</v>
      </c>
      <c r="CQ3267">
        <v>7</v>
      </c>
      <c r="CR3267" t="s">
        <v>116</v>
      </c>
      <c r="CS3267">
        <v>38</v>
      </c>
      <c r="CT3267">
        <v>3</v>
      </c>
      <c r="CU3267" t="s">
        <v>4719</v>
      </c>
      <c r="CV3267" t="s">
        <v>4720</v>
      </c>
      <c r="CY3267">
        <v>11047452</v>
      </c>
      <c r="CZ3267" t="s">
        <v>119</v>
      </c>
    </row>
    <row r="3268" spans="1:104" x14ac:dyDescent="0.25">
      <c r="A3268" t="str">
        <f>"14:44:48.477"</f>
        <v>14:44:48.477</v>
      </c>
      <c r="B3268" t="s">
        <v>108</v>
      </c>
      <c r="C3268" t="str">
        <f t="shared" si="151"/>
        <v>ffdfd3c0</v>
      </c>
      <c r="D3268" t="s">
        <v>109</v>
      </c>
      <c r="E3268">
        <v>4</v>
      </c>
      <c r="F3268">
        <v>1004</v>
      </c>
      <c r="G3268" t="s">
        <v>110</v>
      </c>
      <c r="J3268" t="s">
        <v>111</v>
      </c>
      <c r="K3268">
        <v>0</v>
      </c>
      <c r="L3268">
        <v>3</v>
      </c>
      <c r="M3268">
        <v>0</v>
      </c>
      <c r="N3268">
        <v>2</v>
      </c>
      <c r="O3268">
        <v>1</v>
      </c>
      <c r="P3268">
        <v>0</v>
      </c>
      <c r="Q3268">
        <v>0</v>
      </c>
      <c r="R3268" t="s">
        <v>112</v>
      </c>
      <c r="S3268" t="str">
        <f>"14:44:48.313"</f>
        <v>14:44:48.313</v>
      </c>
      <c r="T3268" t="str">
        <f>"14:44:47.914"</f>
        <v>14:44:47.914</v>
      </c>
      <c r="U3268" t="str">
        <f t="shared" si="153"/>
        <v>ad5732</v>
      </c>
      <c r="V3268">
        <v>0</v>
      </c>
      <c r="W3268">
        <v>0</v>
      </c>
      <c r="X3268">
        <v>1</v>
      </c>
      <c r="Z3268">
        <v>0</v>
      </c>
      <c r="AA3268">
        <v>9</v>
      </c>
      <c r="AB3268">
        <v>3</v>
      </c>
      <c r="AC3268">
        <v>0</v>
      </c>
      <c r="AD3268">
        <v>10</v>
      </c>
      <c r="AE3268">
        <v>0</v>
      </c>
      <c r="AF3268">
        <v>3</v>
      </c>
      <c r="AG3268">
        <v>2</v>
      </c>
      <c r="AH3268">
        <v>0</v>
      </c>
      <c r="AI3268" t="s">
        <v>6639</v>
      </c>
      <c r="AJ3268">
        <v>40.388575000000003</v>
      </c>
      <c r="AK3268" t="s">
        <v>6640</v>
      </c>
      <c r="AL3268">
        <v>-74.776060999999999</v>
      </c>
      <c r="AM3268">
        <v>100</v>
      </c>
      <c r="AN3268">
        <v>2400</v>
      </c>
      <c r="AO3268" t="s">
        <v>115</v>
      </c>
      <c r="AP3268">
        <v>181</v>
      </c>
      <c r="AQ3268">
        <v>-20</v>
      </c>
      <c r="AR3268">
        <v>-640</v>
      </c>
      <c r="AZ3268">
        <v>3614</v>
      </c>
      <c r="BA3268">
        <v>1</v>
      </c>
      <c r="BB3268" t="str">
        <f t="shared" si="152"/>
        <v xml:space="preserve">N959MJ  </v>
      </c>
      <c r="BC3268">
        <v>1</v>
      </c>
      <c r="BE3268">
        <v>0</v>
      </c>
      <c r="BF3268">
        <v>0</v>
      </c>
      <c r="BG3268">
        <v>0</v>
      </c>
      <c r="BH3268">
        <v>2575</v>
      </c>
      <c r="BI3268">
        <v>175</v>
      </c>
      <c r="BJ3268">
        <v>1</v>
      </c>
      <c r="BK3268">
        <v>1</v>
      </c>
      <c r="BL3268">
        <v>1</v>
      </c>
      <c r="BM3268">
        <v>0</v>
      </c>
      <c r="BP3268">
        <v>0</v>
      </c>
      <c r="BQ3268">
        <v>0</v>
      </c>
      <c r="BX3268" t="str">
        <f>"14:44:48.320"</f>
        <v>14:44:48.320</v>
      </c>
      <c r="BY3268" t="str">
        <f>"317318669"</f>
        <v>317318669</v>
      </c>
      <c r="CL3268">
        <v>0</v>
      </c>
      <c r="CM3268">
        <v>2</v>
      </c>
      <c r="CN3268">
        <v>0</v>
      </c>
      <c r="CO3268">
        <v>2</v>
      </c>
      <c r="CP3268">
        <v>0</v>
      </c>
      <c r="CQ3268">
        <v>7</v>
      </c>
      <c r="CR3268" t="s">
        <v>116</v>
      </c>
      <c r="CS3268">
        <v>38</v>
      </c>
      <c r="CT3268">
        <v>0</v>
      </c>
      <c r="CU3268" t="s">
        <v>4719</v>
      </c>
      <c r="CV3268" t="s">
        <v>4720</v>
      </c>
      <c r="CY3268">
        <v>7612974</v>
      </c>
      <c r="CZ3268" t="s">
        <v>119</v>
      </c>
    </row>
    <row r="3269" spans="1:104" x14ac:dyDescent="0.25">
      <c r="A3269" t="str">
        <f>"14:44:49.438"</f>
        <v>14:44:49.438</v>
      </c>
      <c r="B3269" t="s">
        <v>108</v>
      </c>
      <c r="C3269" t="str">
        <f t="shared" si="151"/>
        <v>ffdfd3c0</v>
      </c>
      <c r="D3269" t="s">
        <v>109</v>
      </c>
      <c r="E3269">
        <v>4</v>
      </c>
      <c r="F3269">
        <v>1004</v>
      </c>
      <c r="G3269" t="s">
        <v>110</v>
      </c>
      <c r="J3269" t="s">
        <v>111</v>
      </c>
      <c r="K3269">
        <v>0</v>
      </c>
      <c r="L3269">
        <v>3</v>
      </c>
      <c r="M3269">
        <v>0</v>
      </c>
      <c r="N3269">
        <v>2</v>
      </c>
      <c r="O3269">
        <v>1</v>
      </c>
      <c r="P3269">
        <v>0</v>
      </c>
      <c r="Q3269">
        <v>0</v>
      </c>
      <c r="R3269" t="s">
        <v>112</v>
      </c>
      <c r="S3269" t="str">
        <f>"14:44:49.242"</f>
        <v>14:44:49.242</v>
      </c>
      <c r="T3269" t="str">
        <f>"14:44:48.844"</f>
        <v>14:44:48.844</v>
      </c>
      <c r="U3269" t="str">
        <f t="shared" si="153"/>
        <v>ad5732</v>
      </c>
      <c r="V3269">
        <v>0</v>
      </c>
      <c r="W3269">
        <v>0</v>
      </c>
      <c r="X3269">
        <v>1</v>
      </c>
      <c r="Z3269">
        <v>0</v>
      </c>
      <c r="AA3269">
        <v>9</v>
      </c>
      <c r="AB3269">
        <v>3</v>
      </c>
      <c r="AC3269">
        <v>0</v>
      </c>
      <c r="AD3269">
        <v>10</v>
      </c>
      <c r="AE3269">
        <v>0</v>
      </c>
      <c r="AF3269">
        <v>3</v>
      </c>
      <c r="AG3269">
        <v>2</v>
      </c>
      <c r="AH3269">
        <v>0</v>
      </c>
      <c r="AI3269" t="s">
        <v>6641</v>
      </c>
      <c r="AJ3269">
        <v>40.388489</v>
      </c>
      <c r="AK3269" t="s">
        <v>6642</v>
      </c>
      <c r="AL3269">
        <v>-74.775008999999997</v>
      </c>
      <c r="AM3269">
        <v>100</v>
      </c>
      <c r="AN3269">
        <v>2300</v>
      </c>
      <c r="AO3269" t="s">
        <v>115</v>
      </c>
      <c r="AP3269">
        <v>181</v>
      </c>
      <c r="AQ3269">
        <v>-20</v>
      </c>
      <c r="AR3269">
        <v>-640</v>
      </c>
      <c r="AZ3269">
        <v>3614</v>
      </c>
      <c r="BA3269">
        <v>1</v>
      </c>
      <c r="BB3269" t="str">
        <f t="shared" si="152"/>
        <v xml:space="preserve">N959MJ  </v>
      </c>
      <c r="BC3269">
        <v>1</v>
      </c>
      <c r="BE3269">
        <v>0</v>
      </c>
      <c r="BF3269">
        <v>0</v>
      </c>
      <c r="BG3269">
        <v>0</v>
      </c>
      <c r="BH3269">
        <v>2550</v>
      </c>
      <c r="BI3269">
        <v>250</v>
      </c>
      <c r="BJ3269">
        <v>1</v>
      </c>
      <c r="BK3269">
        <v>1</v>
      </c>
      <c r="BL3269">
        <v>1</v>
      </c>
      <c r="BM3269">
        <v>0</v>
      </c>
      <c r="BP3269">
        <v>0</v>
      </c>
      <c r="BQ3269">
        <v>0</v>
      </c>
      <c r="BX3269" t="str">
        <f>"14:44:49.250"</f>
        <v>14:44:49.250</v>
      </c>
      <c r="BY3269" t="str">
        <f>"249584693"</f>
        <v>249584693</v>
      </c>
      <c r="CL3269">
        <v>0</v>
      </c>
      <c r="CM3269">
        <v>2</v>
      </c>
      <c r="CN3269">
        <v>0</v>
      </c>
      <c r="CO3269">
        <v>2</v>
      </c>
      <c r="CP3269">
        <v>0</v>
      </c>
      <c r="CQ3269">
        <v>7</v>
      </c>
      <c r="CR3269" t="s">
        <v>116</v>
      </c>
      <c r="CS3269">
        <v>38</v>
      </c>
      <c r="CT3269">
        <v>0</v>
      </c>
      <c r="CU3269" t="s">
        <v>4719</v>
      </c>
      <c r="CV3269" t="s">
        <v>4720</v>
      </c>
      <c r="CY3269">
        <v>7614478</v>
      </c>
      <c r="CZ3269" t="s">
        <v>119</v>
      </c>
    </row>
    <row r="3270" spans="1:104" x14ac:dyDescent="0.25">
      <c r="A3270" t="str">
        <f>"14:44:50.344"</f>
        <v>14:44:50.344</v>
      </c>
      <c r="B3270" t="s">
        <v>108</v>
      </c>
      <c r="C3270" t="str">
        <f t="shared" si="151"/>
        <v>ffdfd3c0</v>
      </c>
      <c r="D3270" t="s">
        <v>109</v>
      </c>
      <c r="E3270">
        <v>4</v>
      </c>
      <c r="F3270">
        <v>1004</v>
      </c>
      <c r="G3270" t="s">
        <v>110</v>
      </c>
      <c r="J3270" t="s">
        <v>111</v>
      </c>
      <c r="K3270">
        <v>0</v>
      </c>
      <c r="L3270">
        <v>3</v>
      </c>
      <c r="M3270">
        <v>0</v>
      </c>
      <c r="N3270">
        <v>2</v>
      </c>
      <c r="O3270">
        <v>1</v>
      </c>
      <c r="P3270">
        <v>0</v>
      </c>
      <c r="Q3270">
        <v>0</v>
      </c>
      <c r="R3270" t="s">
        <v>112</v>
      </c>
      <c r="S3270" t="str">
        <f>"14:44:50.172"</f>
        <v>14:44:50.172</v>
      </c>
      <c r="T3270" t="str">
        <f>"14:44:49.773"</f>
        <v>14:44:49.773</v>
      </c>
      <c r="U3270" t="str">
        <f t="shared" si="153"/>
        <v>ad5732</v>
      </c>
      <c r="V3270">
        <v>0</v>
      </c>
      <c r="W3270">
        <v>0</v>
      </c>
      <c r="X3270">
        <v>1</v>
      </c>
      <c r="Z3270">
        <v>0</v>
      </c>
      <c r="AA3270">
        <v>9</v>
      </c>
      <c r="AB3270">
        <v>3</v>
      </c>
      <c r="AC3270">
        <v>0</v>
      </c>
      <c r="AD3270">
        <v>10</v>
      </c>
      <c r="AE3270">
        <v>0</v>
      </c>
      <c r="AF3270">
        <v>3</v>
      </c>
      <c r="AG3270">
        <v>2</v>
      </c>
      <c r="AH3270">
        <v>0</v>
      </c>
      <c r="AI3270" t="s">
        <v>6643</v>
      </c>
      <c r="AJ3270">
        <v>40.388402999999997</v>
      </c>
      <c r="AK3270" t="s">
        <v>6644</v>
      </c>
      <c r="AL3270">
        <v>-74.773978999999997</v>
      </c>
      <c r="AM3270">
        <v>100</v>
      </c>
      <c r="AN3270">
        <v>2300</v>
      </c>
      <c r="AO3270" t="s">
        <v>115</v>
      </c>
      <c r="AP3270">
        <v>181</v>
      </c>
      <c r="AQ3270">
        <v>-20</v>
      </c>
      <c r="AR3270">
        <v>-640</v>
      </c>
      <c r="AZ3270">
        <v>3614</v>
      </c>
      <c r="BA3270">
        <v>1</v>
      </c>
      <c r="BB3270" t="str">
        <f t="shared" si="152"/>
        <v xml:space="preserve">N959MJ  </v>
      </c>
      <c r="BC3270">
        <v>1</v>
      </c>
      <c r="BE3270">
        <v>0</v>
      </c>
      <c r="BF3270">
        <v>0</v>
      </c>
      <c r="BG3270">
        <v>0</v>
      </c>
      <c r="BH3270">
        <v>2550</v>
      </c>
      <c r="BI3270">
        <v>250</v>
      </c>
      <c r="BJ3270">
        <v>1</v>
      </c>
      <c r="BK3270">
        <v>1</v>
      </c>
      <c r="BL3270">
        <v>1</v>
      </c>
      <c r="BM3270">
        <v>0</v>
      </c>
      <c r="BP3270">
        <v>0</v>
      </c>
      <c r="BQ3270">
        <v>0</v>
      </c>
      <c r="BX3270" t="str">
        <f>"14:44:50.180"</f>
        <v>14:44:50.180</v>
      </c>
      <c r="BY3270" t="str">
        <f>"176935422"</f>
        <v>176935422</v>
      </c>
      <c r="CL3270">
        <v>0</v>
      </c>
      <c r="CM3270">
        <v>2</v>
      </c>
      <c r="CN3270">
        <v>0</v>
      </c>
      <c r="CO3270">
        <v>2</v>
      </c>
      <c r="CP3270">
        <v>0</v>
      </c>
      <c r="CQ3270">
        <v>7</v>
      </c>
      <c r="CR3270" t="s">
        <v>116</v>
      </c>
      <c r="CS3270">
        <v>38</v>
      </c>
      <c r="CT3270">
        <v>0</v>
      </c>
      <c r="CU3270" t="s">
        <v>4719</v>
      </c>
      <c r="CV3270" t="s">
        <v>4720</v>
      </c>
      <c r="CY3270">
        <v>7615905</v>
      </c>
      <c r="CZ3270" t="s">
        <v>119</v>
      </c>
    </row>
    <row r="3271" spans="1:104" x14ac:dyDescent="0.25">
      <c r="A3271" t="str">
        <f>"14:44:51.359"</f>
        <v>14:44:51.359</v>
      </c>
      <c r="B3271" t="s">
        <v>108</v>
      </c>
      <c r="C3271" t="str">
        <f t="shared" si="151"/>
        <v>ffdfd3c0</v>
      </c>
      <c r="D3271" t="s">
        <v>109</v>
      </c>
      <c r="E3271">
        <v>4</v>
      </c>
      <c r="F3271">
        <v>1004</v>
      </c>
      <c r="G3271" t="s">
        <v>110</v>
      </c>
      <c r="J3271" t="s">
        <v>111</v>
      </c>
      <c r="K3271">
        <v>0</v>
      </c>
      <c r="L3271">
        <v>3</v>
      </c>
      <c r="M3271">
        <v>0</v>
      </c>
      <c r="N3271">
        <v>2</v>
      </c>
      <c r="O3271">
        <v>1</v>
      </c>
      <c r="P3271">
        <v>0</v>
      </c>
      <c r="Q3271">
        <v>0</v>
      </c>
      <c r="R3271" t="s">
        <v>112</v>
      </c>
      <c r="S3271" t="str">
        <f>"14:44:51.180"</f>
        <v>14:44:51.180</v>
      </c>
      <c r="T3271" t="str">
        <f>"14:44:50.781"</f>
        <v>14:44:50.781</v>
      </c>
      <c r="U3271" t="str">
        <f t="shared" si="153"/>
        <v>ad5732</v>
      </c>
      <c r="V3271">
        <v>0</v>
      </c>
      <c r="W3271">
        <v>0</v>
      </c>
      <c r="X3271">
        <v>1</v>
      </c>
      <c r="Z3271">
        <v>0</v>
      </c>
      <c r="AA3271">
        <v>9</v>
      </c>
      <c r="AB3271">
        <v>3</v>
      </c>
      <c r="AC3271">
        <v>0</v>
      </c>
      <c r="AD3271">
        <v>10</v>
      </c>
      <c r="AE3271">
        <v>0</v>
      </c>
      <c r="AF3271">
        <v>3</v>
      </c>
      <c r="AG3271">
        <v>2</v>
      </c>
      <c r="AH3271">
        <v>0</v>
      </c>
      <c r="AI3271" t="s">
        <v>6645</v>
      </c>
      <c r="AJ3271">
        <v>40.388295999999997</v>
      </c>
      <c r="AK3271" t="s">
        <v>6646</v>
      </c>
      <c r="AL3271">
        <v>-74.772885000000002</v>
      </c>
      <c r="AM3271">
        <v>100</v>
      </c>
      <c r="AN3271">
        <v>2300</v>
      </c>
      <c r="AO3271" t="s">
        <v>115</v>
      </c>
      <c r="AP3271">
        <v>181</v>
      </c>
      <c r="AQ3271">
        <v>-20</v>
      </c>
      <c r="AR3271">
        <v>-704</v>
      </c>
      <c r="AZ3271">
        <v>3614</v>
      </c>
      <c r="BA3271">
        <v>1</v>
      </c>
      <c r="BB3271" t="str">
        <f t="shared" si="152"/>
        <v xml:space="preserve">N959MJ  </v>
      </c>
      <c r="BC3271">
        <v>1</v>
      </c>
      <c r="BE3271">
        <v>0</v>
      </c>
      <c r="BF3271">
        <v>0</v>
      </c>
      <c r="BG3271">
        <v>0</v>
      </c>
      <c r="BH3271">
        <v>2550</v>
      </c>
      <c r="BI3271">
        <v>250</v>
      </c>
      <c r="BJ3271">
        <v>1</v>
      </c>
      <c r="BK3271">
        <v>1</v>
      </c>
      <c r="BL3271">
        <v>1</v>
      </c>
      <c r="BM3271">
        <v>0</v>
      </c>
      <c r="BP3271">
        <v>0</v>
      </c>
      <c r="BQ3271">
        <v>0</v>
      </c>
      <c r="BX3271" t="str">
        <f>"14:44:51.188"</f>
        <v>14:44:51.188</v>
      </c>
      <c r="BY3271" t="str">
        <f>"186207459"</f>
        <v>186207459</v>
      </c>
      <c r="CL3271">
        <v>0</v>
      </c>
      <c r="CM3271">
        <v>2</v>
      </c>
      <c r="CN3271">
        <v>0</v>
      </c>
      <c r="CO3271">
        <v>2</v>
      </c>
      <c r="CP3271">
        <v>0</v>
      </c>
      <c r="CQ3271">
        <v>7</v>
      </c>
      <c r="CR3271" t="s">
        <v>116</v>
      </c>
      <c r="CS3271">
        <v>38</v>
      </c>
      <c r="CT3271">
        <v>0</v>
      </c>
      <c r="CU3271" t="s">
        <v>4719</v>
      </c>
      <c r="CV3271" t="s">
        <v>4720</v>
      </c>
      <c r="CY3271">
        <v>7617564</v>
      </c>
      <c r="CZ3271" t="s">
        <v>119</v>
      </c>
    </row>
    <row r="3272" spans="1:104" x14ac:dyDescent="0.25">
      <c r="A3272" t="str">
        <f>"14:44:52.273"</f>
        <v>14:44:52.273</v>
      </c>
      <c r="B3272" t="s">
        <v>108</v>
      </c>
      <c r="C3272" t="str">
        <f t="shared" si="151"/>
        <v>ffdfd3c0</v>
      </c>
      <c r="D3272" t="s">
        <v>109</v>
      </c>
      <c r="E3272">
        <v>4</v>
      </c>
      <c r="F3272">
        <v>1004</v>
      </c>
      <c r="G3272" t="s">
        <v>110</v>
      </c>
      <c r="J3272" t="s">
        <v>111</v>
      </c>
      <c r="K3272">
        <v>0</v>
      </c>
      <c r="L3272">
        <v>3</v>
      </c>
      <c r="M3272">
        <v>0</v>
      </c>
      <c r="N3272">
        <v>2</v>
      </c>
      <c r="O3272">
        <v>1</v>
      </c>
      <c r="P3272">
        <v>0</v>
      </c>
      <c r="Q3272">
        <v>0</v>
      </c>
      <c r="R3272" t="s">
        <v>112</v>
      </c>
      <c r="S3272" t="str">
        <f>"14:44:52.063"</f>
        <v>14:44:52.063</v>
      </c>
      <c r="T3272" t="str">
        <f>"14:44:51.664"</f>
        <v>14:44:51.664</v>
      </c>
      <c r="U3272" t="str">
        <f t="shared" si="153"/>
        <v>ad5732</v>
      </c>
      <c r="V3272">
        <v>0</v>
      </c>
      <c r="W3272">
        <v>0</v>
      </c>
      <c r="X3272">
        <v>1</v>
      </c>
      <c r="Z3272">
        <v>0</v>
      </c>
      <c r="AA3272">
        <v>9</v>
      </c>
      <c r="AB3272">
        <v>3</v>
      </c>
      <c r="AC3272">
        <v>0</v>
      </c>
      <c r="AD3272">
        <v>10</v>
      </c>
      <c r="AE3272">
        <v>0</v>
      </c>
      <c r="AF3272">
        <v>3</v>
      </c>
      <c r="AG3272">
        <v>2</v>
      </c>
      <c r="AH3272">
        <v>0</v>
      </c>
      <c r="AI3272" t="s">
        <v>6647</v>
      </c>
      <c r="AJ3272">
        <v>40.388210000000001</v>
      </c>
      <c r="AK3272" t="s">
        <v>6648</v>
      </c>
      <c r="AL3272">
        <v>-74.771940999999998</v>
      </c>
      <c r="AM3272">
        <v>100</v>
      </c>
      <c r="AN3272">
        <v>2300</v>
      </c>
      <c r="AO3272" t="s">
        <v>115</v>
      </c>
      <c r="AP3272">
        <v>181</v>
      </c>
      <c r="AQ3272">
        <v>-20</v>
      </c>
      <c r="AR3272">
        <v>-704</v>
      </c>
      <c r="AZ3272">
        <v>3614</v>
      </c>
      <c r="BA3272">
        <v>1</v>
      </c>
      <c r="BB3272" t="str">
        <f t="shared" si="152"/>
        <v xml:space="preserve">N959MJ  </v>
      </c>
      <c r="BC3272">
        <v>1</v>
      </c>
      <c r="BE3272">
        <v>0</v>
      </c>
      <c r="BF3272">
        <v>0</v>
      </c>
      <c r="BG3272">
        <v>0</v>
      </c>
      <c r="BH3272">
        <v>2525</v>
      </c>
      <c r="BI3272">
        <v>225</v>
      </c>
      <c r="BJ3272">
        <v>1</v>
      </c>
      <c r="BK3272">
        <v>1</v>
      </c>
      <c r="BL3272">
        <v>1</v>
      </c>
      <c r="BM3272">
        <v>0</v>
      </c>
      <c r="BP3272">
        <v>0</v>
      </c>
      <c r="BQ3272">
        <v>0</v>
      </c>
      <c r="BX3272" t="str">
        <f>"14:44:52.070"</f>
        <v>14:44:52.070</v>
      </c>
      <c r="BY3272" t="str">
        <f>"069320569"</f>
        <v>069320569</v>
      </c>
      <c r="CL3272">
        <v>0</v>
      </c>
      <c r="CM3272">
        <v>2</v>
      </c>
      <c r="CN3272">
        <v>0</v>
      </c>
      <c r="CO3272">
        <v>2</v>
      </c>
      <c r="CP3272">
        <v>0</v>
      </c>
      <c r="CQ3272">
        <v>7</v>
      </c>
      <c r="CR3272" t="s">
        <v>116</v>
      </c>
      <c r="CS3272">
        <v>38</v>
      </c>
      <c r="CT3272">
        <v>3</v>
      </c>
      <c r="CU3272" t="s">
        <v>4719</v>
      </c>
      <c r="CV3272" t="s">
        <v>4720</v>
      </c>
      <c r="CY3272">
        <v>11055746</v>
      </c>
      <c r="CZ3272" t="s">
        <v>119</v>
      </c>
    </row>
    <row r="3273" spans="1:104" x14ac:dyDescent="0.25">
      <c r="A3273" t="str">
        <f>"14:44:53.227"</f>
        <v>14:44:53.227</v>
      </c>
      <c r="B3273" t="s">
        <v>108</v>
      </c>
      <c r="C3273" t="str">
        <f t="shared" si="151"/>
        <v>ffdfd3c0</v>
      </c>
      <c r="D3273" t="s">
        <v>109</v>
      </c>
      <c r="E3273">
        <v>4</v>
      </c>
      <c r="F3273">
        <v>1004</v>
      </c>
      <c r="G3273" t="s">
        <v>110</v>
      </c>
      <c r="J3273" t="s">
        <v>111</v>
      </c>
      <c r="K3273">
        <v>0</v>
      </c>
      <c r="L3273">
        <v>3</v>
      </c>
      <c r="M3273">
        <v>0</v>
      </c>
      <c r="N3273">
        <v>2</v>
      </c>
      <c r="O3273">
        <v>1</v>
      </c>
      <c r="P3273">
        <v>0</v>
      </c>
      <c r="Q3273">
        <v>0</v>
      </c>
      <c r="R3273" t="s">
        <v>112</v>
      </c>
      <c r="S3273" t="str">
        <f>"14:44:53.000"</f>
        <v>14:44:53.000</v>
      </c>
      <c r="T3273" t="str">
        <f>"14:44:52.602"</f>
        <v>14:44:52.602</v>
      </c>
      <c r="U3273" t="str">
        <f t="shared" si="153"/>
        <v>ad5732</v>
      </c>
      <c r="V3273">
        <v>0</v>
      </c>
      <c r="W3273">
        <v>0</v>
      </c>
      <c r="X3273">
        <v>1</v>
      </c>
      <c r="Z3273">
        <v>0</v>
      </c>
      <c r="AA3273">
        <v>9</v>
      </c>
      <c r="AB3273">
        <v>3</v>
      </c>
      <c r="AC3273">
        <v>0</v>
      </c>
      <c r="AD3273">
        <v>10</v>
      </c>
      <c r="AE3273">
        <v>0</v>
      </c>
      <c r="AF3273">
        <v>3</v>
      </c>
      <c r="AG3273">
        <v>2</v>
      </c>
      <c r="AH3273">
        <v>0</v>
      </c>
      <c r="AI3273" t="s">
        <v>6649</v>
      </c>
      <c r="AJ3273">
        <v>40.388123999999998</v>
      </c>
      <c r="AK3273" t="s">
        <v>6650</v>
      </c>
      <c r="AL3273">
        <v>-74.770932000000002</v>
      </c>
      <c r="AM3273">
        <v>100</v>
      </c>
      <c r="AN3273">
        <v>2300</v>
      </c>
      <c r="AO3273" t="s">
        <v>115</v>
      </c>
      <c r="AP3273">
        <v>181</v>
      </c>
      <c r="AQ3273">
        <v>-20</v>
      </c>
      <c r="AR3273">
        <v>-704</v>
      </c>
      <c r="AZ3273">
        <v>3614</v>
      </c>
      <c r="BA3273">
        <v>1</v>
      </c>
      <c r="BB3273" t="str">
        <f t="shared" si="152"/>
        <v xml:space="preserve">N959MJ  </v>
      </c>
      <c r="BC3273">
        <v>1</v>
      </c>
      <c r="BE3273">
        <v>0</v>
      </c>
      <c r="BF3273">
        <v>0</v>
      </c>
      <c r="BG3273">
        <v>0</v>
      </c>
      <c r="BH3273">
        <v>2525</v>
      </c>
      <c r="BI3273">
        <v>225</v>
      </c>
      <c r="BJ3273">
        <v>1</v>
      </c>
      <c r="BK3273">
        <v>1</v>
      </c>
      <c r="BL3273">
        <v>1</v>
      </c>
      <c r="BM3273">
        <v>0</v>
      </c>
      <c r="BP3273">
        <v>0</v>
      </c>
      <c r="BQ3273">
        <v>0</v>
      </c>
      <c r="BX3273" t="str">
        <f>"14:44:53.000"</f>
        <v>14:44:53.000</v>
      </c>
      <c r="BY3273" t="str">
        <f>"003224984"</f>
        <v>003224984</v>
      </c>
      <c r="CL3273">
        <v>0</v>
      </c>
      <c r="CM3273">
        <v>2</v>
      </c>
      <c r="CN3273">
        <v>0</v>
      </c>
      <c r="CO3273">
        <v>2</v>
      </c>
      <c r="CP3273">
        <v>0</v>
      </c>
      <c r="CQ3273">
        <v>7</v>
      </c>
      <c r="CR3273" t="s">
        <v>116</v>
      </c>
      <c r="CS3273">
        <v>38</v>
      </c>
      <c r="CT3273">
        <v>0</v>
      </c>
      <c r="CU3273" t="s">
        <v>4719</v>
      </c>
      <c r="CV3273" t="s">
        <v>4720</v>
      </c>
      <c r="CY3273">
        <v>7620368</v>
      </c>
      <c r="CZ3273" t="s">
        <v>119</v>
      </c>
    </row>
    <row r="3274" spans="1:104" x14ac:dyDescent="0.25">
      <c r="A3274" t="str">
        <f>"14:44:54.188"</f>
        <v>14:44:54.188</v>
      </c>
      <c r="B3274" t="s">
        <v>108</v>
      </c>
      <c r="C3274" t="str">
        <f t="shared" ref="C3274:C3337" si="154">"ffdfd3c0"</f>
        <v>ffdfd3c0</v>
      </c>
      <c r="D3274" t="s">
        <v>109</v>
      </c>
      <c r="E3274">
        <v>4</v>
      </c>
      <c r="F3274">
        <v>1004</v>
      </c>
      <c r="G3274" t="s">
        <v>110</v>
      </c>
      <c r="J3274" t="s">
        <v>111</v>
      </c>
      <c r="K3274">
        <v>0</v>
      </c>
      <c r="L3274">
        <v>3</v>
      </c>
      <c r="M3274">
        <v>0</v>
      </c>
      <c r="N3274">
        <v>2</v>
      </c>
      <c r="O3274">
        <v>1</v>
      </c>
      <c r="P3274">
        <v>0</v>
      </c>
      <c r="Q3274">
        <v>0</v>
      </c>
      <c r="R3274" t="s">
        <v>112</v>
      </c>
      <c r="S3274" t="str">
        <f>"14:44:54.031"</f>
        <v>14:44:54.031</v>
      </c>
      <c r="T3274" t="str">
        <f>"14:44:53.531"</f>
        <v>14:44:53.531</v>
      </c>
      <c r="U3274" t="str">
        <f t="shared" si="153"/>
        <v>ad5732</v>
      </c>
      <c r="V3274">
        <v>0</v>
      </c>
      <c r="W3274">
        <v>0</v>
      </c>
      <c r="X3274">
        <v>1</v>
      </c>
      <c r="Z3274">
        <v>0</v>
      </c>
      <c r="AA3274">
        <v>9</v>
      </c>
      <c r="AB3274">
        <v>3</v>
      </c>
      <c r="AC3274">
        <v>0</v>
      </c>
      <c r="AD3274">
        <v>10</v>
      </c>
      <c r="AE3274">
        <v>0</v>
      </c>
      <c r="AF3274">
        <v>3</v>
      </c>
      <c r="AG3274">
        <v>2</v>
      </c>
      <c r="AH3274">
        <v>0</v>
      </c>
      <c r="AI3274" t="s">
        <v>6651</v>
      </c>
      <c r="AJ3274">
        <v>40.388016999999998</v>
      </c>
      <c r="AK3274" t="s">
        <v>6652</v>
      </c>
      <c r="AL3274">
        <v>-74.769773000000001</v>
      </c>
      <c r="AM3274">
        <v>100</v>
      </c>
      <c r="AN3274">
        <v>2300</v>
      </c>
      <c r="AO3274" t="s">
        <v>115</v>
      </c>
      <c r="AP3274">
        <v>181</v>
      </c>
      <c r="AQ3274">
        <v>-20</v>
      </c>
      <c r="AR3274">
        <v>-704</v>
      </c>
      <c r="AZ3274">
        <v>3614</v>
      </c>
      <c r="BA3274">
        <v>1</v>
      </c>
      <c r="BB3274" t="str">
        <f t="shared" ref="BB3274:BB3337" si="155">"N959MJ  "</f>
        <v xml:space="preserve">N959MJ  </v>
      </c>
      <c r="BC3274">
        <v>1</v>
      </c>
      <c r="BE3274">
        <v>0</v>
      </c>
      <c r="BF3274">
        <v>0</v>
      </c>
      <c r="BG3274">
        <v>0</v>
      </c>
      <c r="BH3274">
        <v>2500</v>
      </c>
      <c r="BI3274">
        <v>200</v>
      </c>
      <c r="BJ3274">
        <v>1</v>
      </c>
      <c r="BK3274">
        <v>1</v>
      </c>
      <c r="BL3274">
        <v>1</v>
      </c>
      <c r="BM3274">
        <v>0</v>
      </c>
      <c r="BP3274">
        <v>0</v>
      </c>
      <c r="BQ3274">
        <v>0</v>
      </c>
      <c r="BX3274" t="str">
        <f>"14:44:54.031"</f>
        <v>14:44:54.031</v>
      </c>
      <c r="BY3274" t="str">
        <f>"033796680"</f>
        <v>033796680</v>
      </c>
      <c r="CL3274">
        <v>0</v>
      </c>
      <c r="CM3274">
        <v>2</v>
      </c>
      <c r="CN3274">
        <v>0</v>
      </c>
      <c r="CO3274">
        <v>2</v>
      </c>
      <c r="CP3274">
        <v>0</v>
      </c>
      <c r="CQ3274">
        <v>7</v>
      </c>
      <c r="CR3274" t="s">
        <v>116</v>
      </c>
      <c r="CS3274">
        <v>38</v>
      </c>
      <c r="CT3274">
        <v>3</v>
      </c>
      <c r="CU3274" t="s">
        <v>4719</v>
      </c>
      <c r="CV3274" t="s">
        <v>4720</v>
      </c>
      <c r="CY3274">
        <v>11059214</v>
      </c>
      <c r="CZ3274" t="s">
        <v>119</v>
      </c>
    </row>
    <row r="3275" spans="1:104" x14ac:dyDescent="0.25">
      <c r="A3275" t="str">
        <f>"14:44:55.242"</f>
        <v>14:44:55.242</v>
      </c>
      <c r="B3275" t="s">
        <v>108</v>
      </c>
      <c r="C3275" t="str">
        <f t="shared" si="154"/>
        <v>ffdfd3c0</v>
      </c>
      <c r="D3275" t="s">
        <v>109</v>
      </c>
      <c r="E3275">
        <v>4</v>
      </c>
      <c r="F3275">
        <v>1004</v>
      </c>
      <c r="G3275" t="s">
        <v>110</v>
      </c>
      <c r="J3275" t="s">
        <v>111</v>
      </c>
      <c r="K3275">
        <v>0</v>
      </c>
      <c r="L3275">
        <v>3</v>
      </c>
      <c r="M3275">
        <v>0</v>
      </c>
      <c r="N3275">
        <v>2</v>
      </c>
      <c r="O3275">
        <v>1</v>
      </c>
      <c r="P3275">
        <v>0</v>
      </c>
      <c r="Q3275">
        <v>0</v>
      </c>
      <c r="R3275" t="s">
        <v>112</v>
      </c>
      <c r="S3275" t="str">
        <f>"14:44:55.078"</f>
        <v>14:44:55.078</v>
      </c>
      <c r="T3275" t="str">
        <f>"14:44:54.578"</f>
        <v>14:44:54.578</v>
      </c>
      <c r="U3275" t="str">
        <f t="shared" si="153"/>
        <v>ad5732</v>
      </c>
      <c r="V3275">
        <v>0</v>
      </c>
      <c r="W3275">
        <v>0</v>
      </c>
      <c r="X3275">
        <v>1</v>
      </c>
      <c r="Z3275">
        <v>0</v>
      </c>
      <c r="AA3275">
        <v>9</v>
      </c>
      <c r="AB3275">
        <v>3</v>
      </c>
      <c r="AC3275">
        <v>0</v>
      </c>
      <c r="AD3275">
        <v>10</v>
      </c>
      <c r="AE3275">
        <v>0</v>
      </c>
      <c r="AF3275">
        <v>3</v>
      </c>
      <c r="AG3275">
        <v>2</v>
      </c>
      <c r="AH3275">
        <v>0</v>
      </c>
      <c r="AI3275" t="s">
        <v>6653</v>
      </c>
      <c r="AJ3275">
        <v>40.387931000000002</v>
      </c>
      <c r="AK3275" t="s">
        <v>6654</v>
      </c>
      <c r="AL3275">
        <v>-74.768636000000001</v>
      </c>
      <c r="AM3275">
        <v>100</v>
      </c>
      <c r="AN3275">
        <v>2300</v>
      </c>
      <c r="AO3275" t="s">
        <v>115</v>
      </c>
      <c r="AP3275">
        <v>181</v>
      </c>
      <c r="AQ3275">
        <v>-20</v>
      </c>
      <c r="AR3275">
        <v>-704</v>
      </c>
      <c r="AZ3275">
        <v>3614</v>
      </c>
      <c r="BA3275">
        <v>1</v>
      </c>
      <c r="BB3275" t="str">
        <f t="shared" si="155"/>
        <v xml:space="preserve">N959MJ  </v>
      </c>
      <c r="BC3275">
        <v>1</v>
      </c>
      <c r="BE3275">
        <v>0</v>
      </c>
      <c r="BF3275">
        <v>0</v>
      </c>
      <c r="BG3275">
        <v>0</v>
      </c>
      <c r="BH3275">
        <v>2500</v>
      </c>
      <c r="BI3275">
        <v>200</v>
      </c>
      <c r="BJ3275">
        <v>1</v>
      </c>
      <c r="BK3275">
        <v>1</v>
      </c>
      <c r="BL3275">
        <v>1</v>
      </c>
      <c r="BM3275">
        <v>0</v>
      </c>
      <c r="BP3275">
        <v>0</v>
      </c>
      <c r="BQ3275">
        <v>0</v>
      </c>
      <c r="BX3275" t="str">
        <f>"14:44:55.086"</f>
        <v>14:44:55.086</v>
      </c>
      <c r="BY3275" t="str">
        <f>"084029544"</f>
        <v>084029544</v>
      </c>
      <c r="CL3275">
        <v>0</v>
      </c>
      <c r="CM3275">
        <v>2</v>
      </c>
      <c r="CN3275">
        <v>0</v>
      </c>
      <c r="CO3275">
        <v>2</v>
      </c>
      <c r="CP3275">
        <v>0</v>
      </c>
      <c r="CQ3275">
        <v>7</v>
      </c>
      <c r="CR3275" t="s">
        <v>116</v>
      </c>
      <c r="CS3275">
        <v>38</v>
      </c>
      <c r="CT3275">
        <v>0</v>
      </c>
      <c r="CU3275" t="s">
        <v>4719</v>
      </c>
      <c r="CV3275" t="s">
        <v>4720</v>
      </c>
      <c r="CY3275">
        <v>7623638</v>
      </c>
      <c r="CZ3275" t="s">
        <v>119</v>
      </c>
    </row>
    <row r="3276" spans="1:104" x14ac:dyDescent="0.25">
      <c r="A3276" t="str">
        <f>"14:44:56.250"</f>
        <v>14:44:56.250</v>
      </c>
      <c r="B3276" t="s">
        <v>108</v>
      </c>
      <c r="C3276" t="str">
        <f t="shared" si="154"/>
        <v>ffdfd3c0</v>
      </c>
      <c r="D3276" t="s">
        <v>109</v>
      </c>
      <c r="E3276">
        <v>4</v>
      </c>
      <c r="F3276">
        <v>1004</v>
      </c>
      <c r="G3276" t="s">
        <v>110</v>
      </c>
      <c r="J3276" t="s">
        <v>111</v>
      </c>
      <c r="K3276">
        <v>0</v>
      </c>
      <c r="L3276">
        <v>3</v>
      </c>
      <c r="M3276">
        <v>0</v>
      </c>
      <c r="N3276">
        <v>2</v>
      </c>
      <c r="O3276">
        <v>1</v>
      </c>
      <c r="P3276">
        <v>0</v>
      </c>
      <c r="Q3276">
        <v>0</v>
      </c>
      <c r="R3276" t="s">
        <v>112</v>
      </c>
      <c r="S3276" t="str">
        <f>"14:44:56.063"</f>
        <v>14:44:56.063</v>
      </c>
      <c r="T3276" t="str">
        <f>"14:44:55.664"</f>
        <v>14:44:55.664</v>
      </c>
      <c r="U3276" t="str">
        <f t="shared" si="153"/>
        <v>ad5732</v>
      </c>
      <c r="V3276">
        <v>0</v>
      </c>
      <c r="W3276">
        <v>0</v>
      </c>
      <c r="X3276">
        <v>1</v>
      </c>
      <c r="Z3276">
        <v>0</v>
      </c>
      <c r="AA3276">
        <v>9</v>
      </c>
      <c r="AB3276">
        <v>3</v>
      </c>
      <c r="AC3276">
        <v>0</v>
      </c>
      <c r="AD3276">
        <v>10</v>
      </c>
      <c r="AE3276">
        <v>0</v>
      </c>
      <c r="AF3276">
        <v>3</v>
      </c>
      <c r="AG3276">
        <v>2</v>
      </c>
      <c r="AH3276">
        <v>0</v>
      </c>
      <c r="AI3276" t="s">
        <v>6655</v>
      </c>
      <c r="AJ3276">
        <v>40.387844999999999</v>
      </c>
      <c r="AK3276" t="s">
        <v>6656</v>
      </c>
      <c r="AL3276">
        <v>-74.767520000000005</v>
      </c>
      <c r="AM3276">
        <v>100</v>
      </c>
      <c r="AN3276">
        <v>2300</v>
      </c>
      <c r="AO3276" t="s">
        <v>115</v>
      </c>
      <c r="AP3276">
        <v>181</v>
      </c>
      <c r="AQ3276">
        <v>-20</v>
      </c>
      <c r="AR3276">
        <v>-640</v>
      </c>
      <c r="AZ3276">
        <v>3614</v>
      </c>
      <c r="BA3276">
        <v>1</v>
      </c>
      <c r="BB3276" t="str">
        <f t="shared" si="155"/>
        <v xml:space="preserve">N959MJ  </v>
      </c>
      <c r="BC3276">
        <v>1</v>
      </c>
      <c r="BE3276">
        <v>0</v>
      </c>
      <c r="BF3276">
        <v>0</v>
      </c>
      <c r="BG3276">
        <v>0</v>
      </c>
      <c r="BH3276">
        <v>2475</v>
      </c>
      <c r="BI3276">
        <v>175</v>
      </c>
      <c r="BJ3276">
        <v>1</v>
      </c>
      <c r="BK3276">
        <v>1</v>
      </c>
      <c r="BL3276">
        <v>1</v>
      </c>
      <c r="BM3276">
        <v>0</v>
      </c>
      <c r="BP3276">
        <v>0</v>
      </c>
      <c r="BQ3276">
        <v>0</v>
      </c>
      <c r="BX3276" t="str">
        <f>"14:44:56.063"</f>
        <v>14:44:56.063</v>
      </c>
      <c r="BY3276" t="str">
        <f>"065448445"</f>
        <v>065448445</v>
      </c>
      <c r="CL3276">
        <v>0</v>
      </c>
      <c r="CM3276">
        <v>2</v>
      </c>
      <c r="CN3276">
        <v>0</v>
      </c>
      <c r="CO3276">
        <v>2</v>
      </c>
      <c r="CP3276">
        <v>0</v>
      </c>
      <c r="CQ3276">
        <v>7</v>
      </c>
      <c r="CR3276" t="s">
        <v>116</v>
      </c>
      <c r="CS3276">
        <v>38</v>
      </c>
      <c r="CT3276">
        <v>0</v>
      </c>
      <c r="CU3276" t="s">
        <v>4719</v>
      </c>
      <c r="CV3276" t="s">
        <v>4720</v>
      </c>
      <c r="CY3276">
        <v>7625195</v>
      </c>
      <c r="CZ3276" t="s">
        <v>119</v>
      </c>
    </row>
    <row r="3277" spans="1:104" x14ac:dyDescent="0.25">
      <c r="A3277" t="str">
        <f>"14:44:57.414"</f>
        <v>14:44:57.414</v>
      </c>
      <c r="B3277" t="s">
        <v>108</v>
      </c>
      <c r="C3277" t="str">
        <f t="shared" si="154"/>
        <v>ffdfd3c0</v>
      </c>
      <c r="D3277" t="s">
        <v>109</v>
      </c>
      <c r="E3277">
        <v>4</v>
      </c>
      <c r="F3277">
        <v>1004</v>
      </c>
      <c r="G3277" t="s">
        <v>110</v>
      </c>
      <c r="J3277" t="s">
        <v>111</v>
      </c>
      <c r="K3277">
        <v>0</v>
      </c>
      <c r="L3277">
        <v>3</v>
      </c>
      <c r="M3277">
        <v>0</v>
      </c>
      <c r="N3277">
        <v>2</v>
      </c>
      <c r="O3277">
        <v>1</v>
      </c>
      <c r="P3277">
        <v>0</v>
      </c>
      <c r="Q3277">
        <v>0</v>
      </c>
      <c r="R3277" t="s">
        <v>112</v>
      </c>
      <c r="S3277" t="str">
        <f>"14:44:57.195"</f>
        <v>14:44:57.195</v>
      </c>
      <c r="T3277" t="str">
        <f>"14:44:56.695"</f>
        <v>14:44:56.695</v>
      </c>
      <c r="U3277" t="str">
        <f t="shared" si="153"/>
        <v>ad5732</v>
      </c>
      <c r="V3277">
        <v>0</v>
      </c>
      <c r="W3277">
        <v>0</v>
      </c>
      <c r="X3277">
        <v>1</v>
      </c>
      <c r="Z3277">
        <v>0</v>
      </c>
      <c r="AA3277">
        <v>9</v>
      </c>
      <c r="AB3277">
        <v>3</v>
      </c>
      <c r="AC3277">
        <v>0</v>
      </c>
      <c r="AD3277">
        <v>10</v>
      </c>
      <c r="AE3277">
        <v>0</v>
      </c>
      <c r="AF3277">
        <v>3</v>
      </c>
      <c r="AG3277">
        <v>2</v>
      </c>
      <c r="AH3277">
        <v>0</v>
      </c>
      <c r="AI3277" t="s">
        <v>6657</v>
      </c>
      <c r="AJ3277">
        <v>40.387759000000003</v>
      </c>
      <c r="AK3277" t="s">
        <v>6658</v>
      </c>
      <c r="AL3277">
        <v>-74.766362000000001</v>
      </c>
      <c r="AM3277">
        <v>100</v>
      </c>
      <c r="AN3277">
        <v>2300</v>
      </c>
      <c r="AO3277" t="s">
        <v>115</v>
      </c>
      <c r="AP3277">
        <v>181</v>
      </c>
      <c r="AQ3277">
        <v>-20</v>
      </c>
      <c r="AR3277">
        <v>-640</v>
      </c>
      <c r="AZ3277">
        <v>3614</v>
      </c>
      <c r="BA3277">
        <v>1</v>
      </c>
      <c r="BB3277" t="str">
        <f t="shared" si="155"/>
        <v xml:space="preserve">N959MJ  </v>
      </c>
      <c r="BC3277">
        <v>1</v>
      </c>
      <c r="BE3277">
        <v>0</v>
      </c>
      <c r="BF3277">
        <v>0</v>
      </c>
      <c r="BG3277">
        <v>0</v>
      </c>
      <c r="BH3277">
        <v>2475</v>
      </c>
      <c r="BI3277">
        <v>175</v>
      </c>
      <c r="BJ3277">
        <v>1</v>
      </c>
      <c r="BK3277">
        <v>1</v>
      </c>
      <c r="BL3277">
        <v>1</v>
      </c>
      <c r="BM3277">
        <v>0</v>
      </c>
      <c r="BP3277">
        <v>0</v>
      </c>
      <c r="BQ3277">
        <v>0</v>
      </c>
      <c r="BX3277" t="str">
        <f>"14:44:57.203"</f>
        <v>14:44:57.203</v>
      </c>
      <c r="BY3277" t="str">
        <f>"200879506"</f>
        <v>200879506</v>
      </c>
      <c r="CL3277">
        <v>0</v>
      </c>
      <c r="CM3277">
        <v>2</v>
      </c>
      <c r="CN3277">
        <v>0</v>
      </c>
      <c r="CO3277">
        <v>2</v>
      </c>
      <c r="CP3277">
        <v>0</v>
      </c>
      <c r="CQ3277">
        <v>7</v>
      </c>
      <c r="CR3277" t="s">
        <v>116</v>
      </c>
      <c r="CS3277">
        <v>38</v>
      </c>
      <c r="CT3277">
        <v>3</v>
      </c>
      <c r="CU3277" t="s">
        <v>4719</v>
      </c>
      <c r="CV3277" t="s">
        <v>4720</v>
      </c>
      <c r="CY3277">
        <v>11064605</v>
      </c>
      <c r="CZ3277" t="s">
        <v>119</v>
      </c>
    </row>
    <row r="3278" spans="1:104" x14ac:dyDescent="0.25">
      <c r="A3278" t="str">
        <f>"14:44:58.477"</f>
        <v>14:44:58.477</v>
      </c>
      <c r="B3278" t="s">
        <v>108</v>
      </c>
      <c r="C3278" t="str">
        <f t="shared" si="154"/>
        <v>ffdfd3c0</v>
      </c>
      <c r="D3278" t="s">
        <v>109</v>
      </c>
      <c r="E3278">
        <v>4</v>
      </c>
      <c r="F3278">
        <v>1004</v>
      </c>
      <c r="G3278" t="s">
        <v>110</v>
      </c>
      <c r="J3278" t="s">
        <v>111</v>
      </c>
      <c r="K3278">
        <v>0</v>
      </c>
      <c r="L3278">
        <v>3</v>
      </c>
      <c r="M3278">
        <v>0</v>
      </c>
      <c r="N3278">
        <v>2</v>
      </c>
      <c r="O3278">
        <v>1</v>
      </c>
      <c r="P3278">
        <v>0</v>
      </c>
      <c r="Q3278">
        <v>0</v>
      </c>
      <c r="R3278" t="s">
        <v>112</v>
      </c>
      <c r="S3278" t="str">
        <f>"14:44:58.289"</f>
        <v>14:44:58.289</v>
      </c>
      <c r="T3278" t="str">
        <f>"14:44:57.789"</f>
        <v>14:44:57.789</v>
      </c>
      <c r="U3278" t="str">
        <f t="shared" si="153"/>
        <v>ad5732</v>
      </c>
      <c r="V3278">
        <v>0</v>
      </c>
      <c r="W3278">
        <v>0</v>
      </c>
      <c r="X3278">
        <v>1</v>
      </c>
      <c r="Z3278">
        <v>0</v>
      </c>
      <c r="AA3278">
        <v>9</v>
      </c>
      <c r="AB3278">
        <v>3</v>
      </c>
      <c r="AC3278">
        <v>0</v>
      </c>
      <c r="AD3278">
        <v>10</v>
      </c>
      <c r="AE3278">
        <v>0</v>
      </c>
      <c r="AF3278">
        <v>3</v>
      </c>
      <c r="AG3278">
        <v>2</v>
      </c>
      <c r="AH3278">
        <v>0</v>
      </c>
      <c r="AI3278" t="s">
        <v>6659</v>
      </c>
      <c r="AJ3278">
        <v>40.387652000000003</v>
      </c>
      <c r="AK3278" t="s">
        <v>6660</v>
      </c>
      <c r="AL3278">
        <v>-74.765139000000005</v>
      </c>
      <c r="AM3278">
        <v>100</v>
      </c>
      <c r="AN3278">
        <v>2300</v>
      </c>
      <c r="AO3278" t="s">
        <v>115</v>
      </c>
      <c r="AP3278">
        <v>180</v>
      </c>
      <c r="AQ3278">
        <v>-20</v>
      </c>
      <c r="AR3278">
        <v>-640</v>
      </c>
      <c r="AZ3278">
        <v>3614</v>
      </c>
      <c r="BA3278">
        <v>1</v>
      </c>
      <c r="BB3278" t="str">
        <f t="shared" si="155"/>
        <v xml:space="preserve">N959MJ  </v>
      </c>
      <c r="BC3278">
        <v>1</v>
      </c>
      <c r="BE3278">
        <v>0</v>
      </c>
      <c r="BF3278">
        <v>0</v>
      </c>
      <c r="BG3278">
        <v>0</v>
      </c>
      <c r="BH3278">
        <v>2450</v>
      </c>
      <c r="BI3278">
        <v>150</v>
      </c>
      <c r="BJ3278">
        <v>1</v>
      </c>
      <c r="BK3278">
        <v>1</v>
      </c>
      <c r="BL3278">
        <v>1</v>
      </c>
      <c r="BM3278">
        <v>0</v>
      </c>
      <c r="BP3278">
        <v>0</v>
      </c>
      <c r="BQ3278">
        <v>0</v>
      </c>
      <c r="BX3278" t="str">
        <f>"14:44:58.289"</f>
        <v>14:44:58.289</v>
      </c>
      <c r="BY3278" t="str">
        <f>"290434698"</f>
        <v>290434698</v>
      </c>
      <c r="CL3278">
        <v>0</v>
      </c>
      <c r="CM3278">
        <v>2</v>
      </c>
      <c r="CN3278">
        <v>0</v>
      </c>
      <c r="CO3278">
        <v>2</v>
      </c>
      <c r="CP3278">
        <v>0</v>
      </c>
      <c r="CQ3278">
        <v>7</v>
      </c>
      <c r="CR3278" t="s">
        <v>116</v>
      </c>
      <c r="CS3278">
        <v>38</v>
      </c>
      <c r="CT3278">
        <v>0</v>
      </c>
      <c r="CU3278" t="s">
        <v>4719</v>
      </c>
      <c r="CV3278" t="s">
        <v>4720</v>
      </c>
      <c r="CY3278">
        <v>7628468</v>
      </c>
      <c r="CZ3278" t="s">
        <v>119</v>
      </c>
    </row>
    <row r="3279" spans="1:104" x14ac:dyDescent="0.25">
      <c r="A3279" t="str">
        <f>"14:44:59.484"</f>
        <v>14:44:59.484</v>
      </c>
      <c r="B3279" t="s">
        <v>108</v>
      </c>
      <c r="C3279" t="str">
        <f t="shared" si="154"/>
        <v>ffdfd3c0</v>
      </c>
      <c r="D3279" t="s">
        <v>109</v>
      </c>
      <c r="E3279">
        <v>4</v>
      </c>
      <c r="F3279">
        <v>1004</v>
      </c>
      <c r="G3279" t="s">
        <v>110</v>
      </c>
      <c r="J3279" t="s">
        <v>111</v>
      </c>
      <c r="K3279">
        <v>0</v>
      </c>
      <c r="L3279">
        <v>3</v>
      </c>
      <c r="M3279">
        <v>0</v>
      </c>
      <c r="N3279">
        <v>2</v>
      </c>
      <c r="O3279">
        <v>1</v>
      </c>
      <c r="P3279">
        <v>0</v>
      </c>
      <c r="Q3279">
        <v>0</v>
      </c>
      <c r="R3279" t="s">
        <v>112</v>
      </c>
      <c r="S3279" t="str">
        <f>"14:44:59.289"</f>
        <v>14:44:59.289</v>
      </c>
      <c r="T3279" t="str">
        <f>"14:44:58.789"</f>
        <v>14:44:58.789</v>
      </c>
      <c r="U3279" t="str">
        <f t="shared" si="153"/>
        <v>ad5732</v>
      </c>
      <c r="V3279">
        <v>0</v>
      </c>
      <c r="W3279">
        <v>0</v>
      </c>
      <c r="X3279">
        <v>1</v>
      </c>
      <c r="Z3279">
        <v>0</v>
      </c>
      <c r="AA3279">
        <v>9</v>
      </c>
      <c r="AB3279">
        <v>3</v>
      </c>
      <c r="AC3279">
        <v>0</v>
      </c>
      <c r="AD3279">
        <v>10</v>
      </c>
      <c r="AE3279">
        <v>0</v>
      </c>
      <c r="AF3279">
        <v>3</v>
      </c>
      <c r="AG3279">
        <v>2</v>
      </c>
      <c r="AH3279">
        <v>0</v>
      </c>
      <c r="AI3279" t="s">
        <v>6661</v>
      </c>
      <c r="AJ3279">
        <v>40.387566</v>
      </c>
      <c r="AK3279" t="s">
        <v>6662</v>
      </c>
      <c r="AL3279">
        <v>-74.764022999999995</v>
      </c>
      <c r="AM3279">
        <v>100</v>
      </c>
      <c r="AN3279">
        <v>2300</v>
      </c>
      <c r="AO3279" t="s">
        <v>115</v>
      </c>
      <c r="AP3279">
        <v>180</v>
      </c>
      <c r="AQ3279">
        <v>-20</v>
      </c>
      <c r="AR3279">
        <v>-640</v>
      </c>
      <c r="AZ3279">
        <v>3614</v>
      </c>
      <c r="BA3279">
        <v>1</v>
      </c>
      <c r="BB3279" t="str">
        <f t="shared" si="155"/>
        <v xml:space="preserve">N959MJ  </v>
      </c>
      <c r="BC3279">
        <v>1</v>
      </c>
      <c r="BE3279">
        <v>0</v>
      </c>
      <c r="BF3279">
        <v>0</v>
      </c>
      <c r="BG3279">
        <v>0</v>
      </c>
      <c r="BH3279">
        <v>2450</v>
      </c>
      <c r="BI3279">
        <v>150</v>
      </c>
      <c r="BJ3279">
        <v>1</v>
      </c>
      <c r="BK3279">
        <v>1</v>
      </c>
      <c r="BL3279">
        <v>1</v>
      </c>
      <c r="BM3279">
        <v>0</v>
      </c>
      <c r="BP3279">
        <v>0</v>
      </c>
      <c r="BQ3279">
        <v>0</v>
      </c>
      <c r="BX3279" t="str">
        <f>"14:44:59.297"</f>
        <v>14:44:59.297</v>
      </c>
      <c r="BY3279" t="str">
        <f>"296429989"</f>
        <v>296429989</v>
      </c>
      <c r="CL3279">
        <v>0</v>
      </c>
      <c r="CM3279">
        <v>2</v>
      </c>
      <c r="CN3279">
        <v>0</v>
      </c>
      <c r="CO3279">
        <v>2</v>
      </c>
      <c r="CP3279">
        <v>0</v>
      </c>
      <c r="CQ3279">
        <v>7</v>
      </c>
      <c r="CR3279" t="s">
        <v>116</v>
      </c>
      <c r="CS3279">
        <v>38</v>
      </c>
      <c r="CT3279">
        <v>3</v>
      </c>
      <c r="CU3279" t="s">
        <v>4719</v>
      </c>
      <c r="CV3279" t="s">
        <v>4720</v>
      </c>
      <c r="CY3279">
        <v>11068352</v>
      </c>
      <c r="CZ3279" t="s">
        <v>119</v>
      </c>
    </row>
    <row r="3280" spans="1:104" x14ac:dyDescent="0.25">
      <c r="A3280" t="str">
        <f>"14:45:00.492"</f>
        <v>14:45:00.492</v>
      </c>
      <c r="B3280" t="s">
        <v>108</v>
      </c>
      <c r="C3280" t="str">
        <f t="shared" si="154"/>
        <v>ffdfd3c0</v>
      </c>
      <c r="D3280" t="s">
        <v>109</v>
      </c>
      <c r="E3280">
        <v>4</v>
      </c>
      <c r="F3280">
        <v>1004</v>
      </c>
      <c r="G3280" t="s">
        <v>110</v>
      </c>
      <c r="J3280" t="s">
        <v>111</v>
      </c>
      <c r="K3280">
        <v>0</v>
      </c>
      <c r="L3280">
        <v>3</v>
      </c>
      <c r="M3280">
        <v>0</v>
      </c>
      <c r="N3280">
        <v>2</v>
      </c>
      <c r="O3280">
        <v>1</v>
      </c>
      <c r="P3280">
        <v>0</v>
      </c>
      <c r="Q3280">
        <v>0</v>
      </c>
      <c r="R3280" t="s">
        <v>112</v>
      </c>
      <c r="S3280" t="str">
        <f>"14:45:00.320"</f>
        <v>14:45:00.320</v>
      </c>
      <c r="T3280" t="str">
        <f>"14:44:59.820"</f>
        <v>14:44:59.820</v>
      </c>
      <c r="U3280" t="str">
        <f t="shared" si="153"/>
        <v>ad5732</v>
      </c>
      <c r="V3280">
        <v>0</v>
      </c>
      <c r="W3280">
        <v>0</v>
      </c>
      <c r="X3280">
        <v>1</v>
      </c>
      <c r="Z3280">
        <v>0</v>
      </c>
      <c r="AA3280">
        <v>9</v>
      </c>
      <c r="AB3280">
        <v>3</v>
      </c>
      <c r="AC3280">
        <v>0</v>
      </c>
      <c r="AD3280">
        <v>10</v>
      </c>
      <c r="AE3280">
        <v>0</v>
      </c>
      <c r="AF3280">
        <v>3</v>
      </c>
      <c r="AG3280">
        <v>2</v>
      </c>
      <c r="AH3280">
        <v>0</v>
      </c>
      <c r="AI3280" t="s">
        <v>6663</v>
      </c>
      <c r="AJ3280">
        <v>40.387436999999998</v>
      </c>
      <c r="AK3280" t="s">
        <v>6664</v>
      </c>
      <c r="AL3280">
        <v>-74.762821000000002</v>
      </c>
      <c r="AM3280">
        <v>100</v>
      </c>
      <c r="AN3280">
        <v>2300</v>
      </c>
      <c r="AO3280" t="s">
        <v>115</v>
      </c>
      <c r="AP3280">
        <v>180</v>
      </c>
      <c r="AQ3280">
        <v>-20</v>
      </c>
      <c r="AR3280">
        <v>-640</v>
      </c>
      <c r="AZ3280">
        <v>3614</v>
      </c>
      <c r="BA3280">
        <v>1</v>
      </c>
      <c r="BB3280" t="str">
        <f t="shared" si="155"/>
        <v xml:space="preserve">N959MJ  </v>
      </c>
      <c r="BC3280">
        <v>1</v>
      </c>
      <c r="BE3280">
        <v>0</v>
      </c>
      <c r="BF3280">
        <v>0</v>
      </c>
      <c r="BG3280">
        <v>0</v>
      </c>
      <c r="BH3280">
        <v>2450</v>
      </c>
      <c r="BI3280">
        <v>150</v>
      </c>
      <c r="BJ3280">
        <v>1</v>
      </c>
      <c r="BK3280">
        <v>1</v>
      </c>
      <c r="BL3280">
        <v>1</v>
      </c>
      <c r="BM3280">
        <v>0</v>
      </c>
      <c r="BP3280">
        <v>0</v>
      </c>
      <c r="BQ3280">
        <v>0</v>
      </c>
      <c r="BX3280" t="str">
        <f>"14:45:00.320"</f>
        <v>14:45:00.320</v>
      </c>
      <c r="BY3280" t="str">
        <f>"322086420"</f>
        <v>322086420</v>
      </c>
      <c r="CL3280">
        <v>0</v>
      </c>
      <c r="CM3280">
        <v>2</v>
      </c>
      <c r="CN3280">
        <v>0</v>
      </c>
      <c r="CO3280">
        <v>2</v>
      </c>
      <c r="CP3280">
        <v>0</v>
      </c>
      <c r="CQ3280">
        <v>7</v>
      </c>
      <c r="CR3280" t="s">
        <v>116</v>
      </c>
      <c r="CS3280">
        <v>38</v>
      </c>
      <c r="CT3280">
        <v>3</v>
      </c>
      <c r="CU3280" t="s">
        <v>4719</v>
      </c>
      <c r="CV3280" t="s">
        <v>4720</v>
      </c>
      <c r="CY3280">
        <v>11070113</v>
      </c>
      <c r="CZ3280" t="s">
        <v>119</v>
      </c>
    </row>
    <row r="3281" spans="1:104" x14ac:dyDescent="0.25">
      <c r="A3281" t="str">
        <f>"14:45:01.305"</f>
        <v>14:45:01.305</v>
      </c>
      <c r="B3281" t="s">
        <v>108</v>
      </c>
      <c r="C3281" t="str">
        <f t="shared" si="154"/>
        <v>ffdfd3c0</v>
      </c>
      <c r="D3281" t="s">
        <v>109</v>
      </c>
      <c r="E3281">
        <v>4</v>
      </c>
      <c r="F3281">
        <v>1004</v>
      </c>
      <c r="G3281" t="s">
        <v>110</v>
      </c>
      <c r="J3281" t="s">
        <v>111</v>
      </c>
      <c r="K3281">
        <v>0</v>
      </c>
      <c r="L3281">
        <v>3</v>
      </c>
      <c r="M3281">
        <v>0</v>
      </c>
      <c r="N3281">
        <v>2</v>
      </c>
      <c r="O3281">
        <v>1</v>
      </c>
      <c r="P3281">
        <v>0</v>
      </c>
      <c r="Q3281">
        <v>0</v>
      </c>
      <c r="R3281" t="s">
        <v>112</v>
      </c>
      <c r="S3281" t="str">
        <f>"14:45:01.133"</f>
        <v>14:45:01.133</v>
      </c>
      <c r="T3281" t="str">
        <f>"14:45:00.734"</f>
        <v>14:45:00.734</v>
      </c>
      <c r="U3281" t="str">
        <f t="shared" si="153"/>
        <v>ad5732</v>
      </c>
      <c r="V3281">
        <v>0</v>
      </c>
      <c r="W3281">
        <v>0</v>
      </c>
      <c r="X3281">
        <v>1</v>
      </c>
      <c r="Z3281">
        <v>0</v>
      </c>
      <c r="AA3281">
        <v>9</v>
      </c>
      <c r="AB3281">
        <v>3</v>
      </c>
      <c r="AC3281">
        <v>0</v>
      </c>
      <c r="AD3281">
        <v>10</v>
      </c>
      <c r="AE3281">
        <v>0</v>
      </c>
      <c r="AF3281">
        <v>3</v>
      </c>
      <c r="AG3281">
        <v>2</v>
      </c>
      <c r="AH3281">
        <v>0</v>
      </c>
      <c r="AI3281" t="s">
        <v>6665</v>
      </c>
      <c r="AJ3281">
        <v>40.387394</v>
      </c>
      <c r="AK3281" t="s">
        <v>6666</v>
      </c>
      <c r="AL3281">
        <v>-74.762027000000003</v>
      </c>
      <c r="AM3281">
        <v>100</v>
      </c>
      <c r="AN3281">
        <v>2300</v>
      </c>
      <c r="AO3281" t="s">
        <v>115</v>
      </c>
      <c r="AP3281">
        <v>180</v>
      </c>
      <c r="AQ3281">
        <v>-20</v>
      </c>
      <c r="AR3281">
        <v>-640</v>
      </c>
      <c r="AZ3281">
        <v>3614</v>
      </c>
      <c r="BA3281">
        <v>1</v>
      </c>
      <c r="BB3281" t="str">
        <f t="shared" si="155"/>
        <v xml:space="preserve">N959MJ  </v>
      </c>
      <c r="BC3281">
        <v>1</v>
      </c>
      <c r="BE3281">
        <v>0</v>
      </c>
      <c r="BF3281">
        <v>0</v>
      </c>
      <c r="BG3281">
        <v>0</v>
      </c>
      <c r="BH3281">
        <v>2425</v>
      </c>
      <c r="BI3281">
        <v>125</v>
      </c>
      <c r="BJ3281">
        <v>1</v>
      </c>
      <c r="BK3281">
        <v>1</v>
      </c>
      <c r="BL3281">
        <v>1</v>
      </c>
      <c r="BM3281">
        <v>0</v>
      </c>
      <c r="BP3281">
        <v>0</v>
      </c>
      <c r="BQ3281">
        <v>0</v>
      </c>
      <c r="BX3281" t="str">
        <f>"14:45:01.133"</f>
        <v>14:45:01.133</v>
      </c>
      <c r="BY3281" t="str">
        <f>"133229881"</f>
        <v>133229881</v>
      </c>
      <c r="CL3281">
        <v>0</v>
      </c>
      <c r="CM3281">
        <v>2</v>
      </c>
      <c r="CN3281">
        <v>0</v>
      </c>
      <c r="CO3281">
        <v>2</v>
      </c>
      <c r="CP3281">
        <v>0</v>
      </c>
      <c r="CQ3281">
        <v>5</v>
      </c>
      <c r="CR3281" t="s">
        <v>116</v>
      </c>
      <c r="CS3281">
        <v>409</v>
      </c>
      <c r="CT3281">
        <v>2</v>
      </c>
      <c r="CU3281" t="s">
        <v>5087</v>
      </c>
      <c r="CV3281" t="s">
        <v>5088</v>
      </c>
      <c r="CY3281">
        <v>935972</v>
      </c>
      <c r="CZ3281" t="s">
        <v>119</v>
      </c>
    </row>
    <row r="3282" spans="1:104" x14ac:dyDescent="0.25">
      <c r="A3282" t="str">
        <f>"14:45:02.258"</f>
        <v>14:45:02.258</v>
      </c>
      <c r="B3282" t="s">
        <v>108</v>
      </c>
      <c r="C3282" t="str">
        <f t="shared" si="154"/>
        <v>ffdfd3c0</v>
      </c>
      <c r="D3282" t="s">
        <v>109</v>
      </c>
      <c r="E3282">
        <v>4</v>
      </c>
      <c r="F3282">
        <v>1004</v>
      </c>
      <c r="G3282" t="s">
        <v>110</v>
      </c>
      <c r="J3282" t="s">
        <v>111</v>
      </c>
      <c r="K3282">
        <v>0</v>
      </c>
      <c r="L3282">
        <v>3</v>
      </c>
      <c r="M3282">
        <v>0</v>
      </c>
      <c r="N3282">
        <v>2</v>
      </c>
      <c r="O3282">
        <v>1</v>
      </c>
      <c r="P3282">
        <v>0</v>
      </c>
      <c r="Q3282">
        <v>0</v>
      </c>
      <c r="R3282" t="s">
        <v>112</v>
      </c>
      <c r="S3282" t="str">
        <f>"14:45:02.094"</f>
        <v>14:45:02.094</v>
      </c>
      <c r="T3282" t="str">
        <f>"14:45:01.695"</f>
        <v>14:45:01.695</v>
      </c>
      <c r="U3282" t="str">
        <f t="shared" si="153"/>
        <v>ad5732</v>
      </c>
      <c r="V3282">
        <v>0</v>
      </c>
      <c r="W3282">
        <v>0</v>
      </c>
      <c r="X3282">
        <v>1</v>
      </c>
      <c r="Z3282">
        <v>0</v>
      </c>
      <c r="AA3282">
        <v>9</v>
      </c>
      <c r="AB3282">
        <v>3</v>
      </c>
      <c r="AC3282">
        <v>0</v>
      </c>
      <c r="AD3282">
        <v>10</v>
      </c>
      <c r="AE3282">
        <v>0</v>
      </c>
      <c r="AF3282">
        <v>3</v>
      </c>
      <c r="AG3282">
        <v>2</v>
      </c>
      <c r="AH3282">
        <v>0</v>
      </c>
      <c r="AI3282" t="s">
        <v>6667</v>
      </c>
      <c r="AJ3282">
        <v>40.387287000000001</v>
      </c>
      <c r="AK3282" t="s">
        <v>6668</v>
      </c>
      <c r="AL3282">
        <v>-74.760953999999998</v>
      </c>
      <c r="AM3282">
        <v>100</v>
      </c>
      <c r="AN3282">
        <v>2300</v>
      </c>
      <c r="AO3282" t="s">
        <v>115</v>
      </c>
      <c r="AP3282">
        <v>180</v>
      </c>
      <c r="AQ3282">
        <v>-20</v>
      </c>
      <c r="AR3282">
        <v>-640</v>
      </c>
      <c r="AZ3282">
        <v>3614</v>
      </c>
      <c r="BA3282">
        <v>1</v>
      </c>
      <c r="BB3282" t="str">
        <f t="shared" si="155"/>
        <v xml:space="preserve">N959MJ  </v>
      </c>
      <c r="BC3282">
        <v>1</v>
      </c>
      <c r="BE3282">
        <v>0</v>
      </c>
      <c r="BF3282">
        <v>0</v>
      </c>
      <c r="BG3282">
        <v>0</v>
      </c>
      <c r="BH3282">
        <v>2425</v>
      </c>
      <c r="BI3282">
        <v>125</v>
      </c>
      <c r="BJ3282">
        <v>1</v>
      </c>
      <c r="BK3282">
        <v>1</v>
      </c>
      <c r="BL3282">
        <v>1</v>
      </c>
      <c r="BM3282">
        <v>0</v>
      </c>
      <c r="BP3282">
        <v>0</v>
      </c>
      <c r="BQ3282">
        <v>0</v>
      </c>
      <c r="BX3282" t="str">
        <f>"14:45:02.094"</f>
        <v>14:45:02.094</v>
      </c>
      <c r="BY3282" t="str">
        <f>"096504845"</f>
        <v>096504845</v>
      </c>
      <c r="CL3282">
        <v>0</v>
      </c>
      <c r="CM3282">
        <v>2</v>
      </c>
      <c r="CN3282">
        <v>0</v>
      </c>
      <c r="CO3282">
        <v>2</v>
      </c>
      <c r="CP3282">
        <v>0</v>
      </c>
      <c r="CQ3282">
        <v>7</v>
      </c>
      <c r="CR3282" t="s">
        <v>116</v>
      </c>
      <c r="CS3282">
        <v>38</v>
      </c>
      <c r="CT3282">
        <v>0</v>
      </c>
      <c r="CU3282" t="s">
        <v>4719</v>
      </c>
      <c r="CV3282" t="s">
        <v>4720</v>
      </c>
      <c r="CY3282">
        <v>7634255</v>
      </c>
      <c r="CZ3282" t="s">
        <v>119</v>
      </c>
    </row>
    <row r="3283" spans="1:104" x14ac:dyDescent="0.25">
      <c r="A3283" t="str">
        <f>"14:45:03.375"</f>
        <v>14:45:03.375</v>
      </c>
      <c r="B3283" t="s">
        <v>108</v>
      </c>
      <c r="C3283" t="str">
        <f t="shared" si="154"/>
        <v>ffdfd3c0</v>
      </c>
      <c r="D3283" t="s">
        <v>109</v>
      </c>
      <c r="E3283">
        <v>4</v>
      </c>
      <c r="F3283">
        <v>1004</v>
      </c>
      <c r="G3283" t="s">
        <v>110</v>
      </c>
      <c r="J3283" t="s">
        <v>111</v>
      </c>
      <c r="K3283">
        <v>0</v>
      </c>
      <c r="L3283">
        <v>3</v>
      </c>
      <c r="M3283">
        <v>0</v>
      </c>
      <c r="N3283">
        <v>2</v>
      </c>
      <c r="O3283">
        <v>1</v>
      </c>
      <c r="P3283">
        <v>0</v>
      </c>
      <c r="Q3283">
        <v>0</v>
      </c>
      <c r="R3283" t="s">
        <v>112</v>
      </c>
      <c r="S3283" t="str">
        <f>"14:45:03.195"</f>
        <v>14:45:03.195</v>
      </c>
      <c r="T3283" t="str">
        <f>"14:45:02.695"</f>
        <v>14:45:02.695</v>
      </c>
      <c r="U3283" t="str">
        <f t="shared" si="153"/>
        <v>ad5732</v>
      </c>
      <c r="V3283">
        <v>0</v>
      </c>
      <c r="W3283">
        <v>0</v>
      </c>
      <c r="X3283">
        <v>1</v>
      </c>
      <c r="Z3283">
        <v>0</v>
      </c>
      <c r="AA3283">
        <v>9</v>
      </c>
      <c r="AB3283">
        <v>3</v>
      </c>
      <c r="AC3283">
        <v>0</v>
      </c>
      <c r="AD3283">
        <v>10</v>
      </c>
      <c r="AE3283">
        <v>0</v>
      </c>
      <c r="AF3283">
        <v>3</v>
      </c>
      <c r="AG3283">
        <v>2</v>
      </c>
      <c r="AH3283">
        <v>0</v>
      </c>
      <c r="AI3283" t="s">
        <v>6669</v>
      </c>
      <c r="AJ3283">
        <v>40.387157999999999</v>
      </c>
      <c r="AK3283" t="s">
        <v>6670</v>
      </c>
      <c r="AL3283">
        <v>-74.759816999999998</v>
      </c>
      <c r="AM3283">
        <v>100</v>
      </c>
      <c r="AN3283">
        <v>2300</v>
      </c>
      <c r="AO3283" t="s">
        <v>115</v>
      </c>
      <c r="AP3283">
        <v>180</v>
      </c>
      <c r="AQ3283">
        <v>-20</v>
      </c>
      <c r="AR3283">
        <v>-576</v>
      </c>
      <c r="AZ3283">
        <v>3614</v>
      </c>
      <c r="BA3283">
        <v>1</v>
      </c>
      <c r="BB3283" t="str">
        <f t="shared" si="155"/>
        <v xml:space="preserve">N959MJ  </v>
      </c>
      <c r="BC3283">
        <v>1</v>
      </c>
      <c r="BE3283">
        <v>0</v>
      </c>
      <c r="BF3283">
        <v>0</v>
      </c>
      <c r="BG3283">
        <v>0</v>
      </c>
      <c r="BH3283">
        <v>2400</v>
      </c>
      <c r="BI3283">
        <v>100</v>
      </c>
      <c r="BJ3283">
        <v>1</v>
      </c>
      <c r="BK3283">
        <v>1</v>
      </c>
      <c r="BL3283">
        <v>1</v>
      </c>
      <c r="BM3283">
        <v>0</v>
      </c>
      <c r="BP3283">
        <v>0</v>
      </c>
      <c r="BQ3283">
        <v>0</v>
      </c>
      <c r="BX3283" t="str">
        <f>"14:45:03.195"</f>
        <v>14:45:03.195</v>
      </c>
      <c r="BY3283" t="str">
        <f>"199167488"</f>
        <v>199167488</v>
      </c>
      <c r="CL3283">
        <v>0</v>
      </c>
      <c r="CM3283">
        <v>2</v>
      </c>
      <c r="CN3283">
        <v>0</v>
      </c>
      <c r="CO3283">
        <v>2</v>
      </c>
      <c r="CP3283">
        <v>0</v>
      </c>
      <c r="CQ3283">
        <v>7</v>
      </c>
      <c r="CR3283" t="s">
        <v>116</v>
      </c>
      <c r="CS3283">
        <v>38</v>
      </c>
      <c r="CT3283">
        <v>0</v>
      </c>
      <c r="CU3283" t="s">
        <v>4719</v>
      </c>
      <c r="CV3283" t="s">
        <v>4720</v>
      </c>
      <c r="CY3283">
        <v>7635898</v>
      </c>
      <c r="CZ3283" t="s">
        <v>119</v>
      </c>
    </row>
    <row r="3284" spans="1:104" x14ac:dyDescent="0.25">
      <c r="A3284" t="str">
        <f>"14:45:04.227"</f>
        <v>14:45:04.227</v>
      </c>
      <c r="B3284" t="s">
        <v>108</v>
      </c>
      <c r="C3284" t="str">
        <f t="shared" si="154"/>
        <v>ffdfd3c0</v>
      </c>
      <c r="D3284" t="s">
        <v>109</v>
      </c>
      <c r="E3284">
        <v>4</v>
      </c>
      <c r="F3284">
        <v>1004</v>
      </c>
      <c r="G3284" t="s">
        <v>110</v>
      </c>
      <c r="J3284" t="s">
        <v>111</v>
      </c>
      <c r="K3284">
        <v>0</v>
      </c>
      <c r="L3284">
        <v>3</v>
      </c>
      <c r="M3284">
        <v>0</v>
      </c>
      <c r="N3284">
        <v>2</v>
      </c>
      <c r="O3284">
        <v>1</v>
      </c>
      <c r="P3284">
        <v>0</v>
      </c>
      <c r="Q3284">
        <v>0</v>
      </c>
      <c r="R3284" t="s">
        <v>112</v>
      </c>
      <c r="S3284" t="str">
        <f>"14:45:04.078"</f>
        <v>14:45:04.078</v>
      </c>
      <c r="T3284" t="str">
        <f>"14:45:03.680"</f>
        <v>14:45:03.680</v>
      </c>
      <c r="U3284" t="str">
        <f t="shared" si="153"/>
        <v>ad5732</v>
      </c>
      <c r="V3284">
        <v>0</v>
      </c>
      <c r="W3284">
        <v>0</v>
      </c>
      <c r="X3284">
        <v>1</v>
      </c>
      <c r="Z3284">
        <v>0</v>
      </c>
      <c r="AA3284">
        <v>9</v>
      </c>
      <c r="AB3284">
        <v>3</v>
      </c>
      <c r="AC3284">
        <v>0</v>
      </c>
      <c r="AD3284">
        <v>10</v>
      </c>
      <c r="AE3284">
        <v>0</v>
      </c>
      <c r="AF3284">
        <v>3</v>
      </c>
      <c r="AG3284">
        <v>2</v>
      </c>
      <c r="AH3284">
        <v>0</v>
      </c>
      <c r="AI3284" t="s">
        <v>6671</v>
      </c>
      <c r="AJ3284">
        <v>40.387093999999998</v>
      </c>
      <c r="AK3284" t="s">
        <v>6672</v>
      </c>
      <c r="AL3284">
        <v>-74.758852000000005</v>
      </c>
      <c r="AM3284">
        <v>100</v>
      </c>
      <c r="AN3284">
        <v>2300</v>
      </c>
      <c r="AO3284" t="s">
        <v>115</v>
      </c>
      <c r="AP3284">
        <v>180</v>
      </c>
      <c r="AQ3284">
        <v>-20</v>
      </c>
      <c r="AR3284">
        <v>-576</v>
      </c>
      <c r="AZ3284">
        <v>3614</v>
      </c>
      <c r="BA3284">
        <v>1</v>
      </c>
      <c r="BB3284" t="str">
        <f t="shared" si="155"/>
        <v xml:space="preserve">N959MJ  </v>
      </c>
      <c r="BC3284">
        <v>1</v>
      </c>
      <c r="BE3284">
        <v>0</v>
      </c>
      <c r="BF3284">
        <v>0</v>
      </c>
      <c r="BG3284">
        <v>0</v>
      </c>
      <c r="BH3284">
        <v>2400</v>
      </c>
      <c r="BI3284">
        <v>100</v>
      </c>
      <c r="BJ3284">
        <v>1</v>
      </c>
      <c r="BK3284">
        <v>1</v>
      </c>
      <c r="BL3284">
        <v>1</v>
      </c>
      <c r="BM3284">
        <v>0</v>
      </c>
      <c r="BP3284">
        <v>0</v>
      </c>
      <c r="BQ3284">
        <v>0</v>
      </c>
      <c r="BX3284" t="str">
        <f>"14:45:04.078"</f>
        <v>14:45:04.078</v>
      </c>
      <c r="BY3284" t="str">
        <f>"080642148"</f>
        <v>080642148</v>
      </c>
      <c r="CL3284">
        <v>0</v>
      </c>
      <c r="CM3284">
        <v>2</v>
      </c>
      <c r="CN3284">
        <v>0</v>
      </c>
      <c r="CO3284">
        <v>2</v>
      </c>
      <c r="CP3284">
        <v>0</v>
      </c>
      <c r="CQ3284">
        <v>7</v>
      </c>
      <c r="CR3284" t="s">
        <v>116</v>
      </c>
      <c r="CS3284">
        <v>38</v>
      </c>
      <c r="CT3284">
        <v>0</v>
      </c>
      <c r="CU3284" t="s">
        <v>4719</v>
      </c>
      <c r="CV3284" t="s">
        <v>4720</v>
      </c>
      <c r="CY3284">
        <v>7637245</v>
      </c>
      <c r="CZ3284" t="s">
        <v>119</v>
      </c>
    </row>
    <row r="3285" spans="1:104" x14ac:dyDescent="0.25">
      <c r="A3285" t="str">
        <f>"14:45:05.188"</f>
        <v>14:45:05.188</v>
      </c>
      <c r="B3285" t="s">
        <v>108</v>
      </c>
      <c r="C3285" t="str">
        <f t="shared" si="154"/>
        <v>ffdfd3c0</v>
      </c>
      <c r="D3285" t="s">
        <v>109</v>
      </c>
      <c r="E3285">
        <v>4</v>
      </c>
      <c r="F3285">
        <v>1004</v>
      </c>
      <c r="G3285" t="s">
        <v>110</v>
      </c>
      <c r="J3285" t="s">
        <v>111</v>
      </c>
      <c r="K3285">
        <v>0</v>
      </c>
      <c r="L3285">
        <v>3</v>
      </c>
      <c r="M3285">
        <v>0</v>
      </c>
      <c r="N3285">
        <v>2</v>
      </c>
      <c r="O3285">
        <v>1</v>
      </c>
      <c r="P3285">
        <v>0</v>
      </c>
      <c r="Q3285">
        <v>0</v>
      </c>
      <c r="R3285" t="s">
        <v>112</v>
      </c>
      <c r="S3285" t="str">
        <f>"14:45:04.984"</f>
        <v>14:45:04.984</v>
      </c>
      <c r="T3285" t="str">
        <f>"14:45:04.586"</f>
        <v>14:45:04.586</v>
      </c>
      <c r="U3285" t="str">
        <f t="shared" si="153"/>
        <v>ad5732</v>
      </c>
      <c r="V3285">
        <v>0</v>
      </c>
      <c r="W3285">
        <v>0</v>
      </c>
      <c r="X3285">
        <v>1</v>
      </c>
      <c r="Z3285">
        <v>0</v>
      </c>
      <c r="AA3285">
        <v>9</v>
      </c>
      <c r="AB3285">
        <v>3</v>
      </c>
      <c r="AC3285">
        <v>0</v>
      </c>
      <c r="AD3285">
        <v>10</v>
      </c>
      <c r="AE3285">
        <v>0</v>
      </c>
      <c r="AF3285">
        <v>3</v>
      </c>
      <c r="AG3285">
        <v>2</v>
      </c>
      <c r="AH3285">
        <v>0</v>
      </c>
      <c r="AI3285" t="s">
        <v>6673</v>
      </c>
      <c r="AJ3285">
        <v>40.387030000000003</v>
      </c>
      <c r="AK3285" t="s">
        <v>6674</v>
      </c>
      <c r="AL3285">
        <v>-74.757822000000004</v>
      </c>
      <c r="AM3285">
        <v>100</v>
      </c>
      <c r="AN3285">
        <v>2300</v>
      </c>
      <c r="AO3285" t="s">
        <v>115</v>
      </c>
      <c r="AP3285">
        <v>180</v>
      </c>
      <c r="AQ3285">
        <v>-20</v>
      </c>
      <c r="AR3285">
        <v>-640</v>
      </c>
      <c r="AZ3285">
        <v>3614</v>
      </c>
      <c r="BA3285">
        <v>1</v>
      </c>
      <c r="BB3285" t="str">
        <f t="shared" si="155"/>
        <v xml:space="preserve">N959MJ  </v>
      </c>
      <c r="BC3285">
        <v>1</v>
      </c>
      <c r="BE3285">
        <v>0</v>
      </c>
      <c r="BF3285">
        <v>0</v>
      </c>
      <c r="BG3285">
        <v>0</v>
      </c>
      <c r="BH3285">
        <v>2400</v>
      </c>
      <c r="BI3285">
        <v>100</v>
      </c>
      <c r="BJ3285">
        <v>1</v>
      </c>
      <c r="BK3285">
        <v>1</v>
      </c>
      <c r="BL3285">
        <v>1</v>
      </c>
      <c r="BM3285">
        <v>0</v>
      </c>
      <c r="BP3285">
        <v>0</v>
      </c>
      <c r="BQ3285">
        <v>0</v>
      </c>
      <c r="BX3285" t="str">
        <f>"14:45:04.992"</f>
        <v>14:45:04.992</v>
      </c>
      <c r="BY3285" t="str">
        <f>"988331811"</f>
        <v>988331811</v>
      </c>
      <c r="CL3285">
        <v>0</v>
      </c>
      <c r="CM3285">
        <v>2</v>
      </c>
      <c r="CN3285">
        <v>0</v>
      </c>
      <c r="CO3285">
        <v>2</v>
      </c>
      <c r="CP3285">
        <v>0</v>
      </c>
      <c r="CQ3285">
        <v>7</v>
      </c>
      <c r="CR3285" t="s">
        <v>116</v>
      </c>
      <c r="CS3285">
        <v>38</v>
      </c>
      <c r="CT3285">
        <v>0</v>
      </c>
      <c r="CU3285" t="s">
        <v>4719</v>
      </c>
      <c r="CV3285" t="s">
        <v>4720</v>
      </c>
      <c r="CY3285">
        <v>7638704</v>
      </c>
      <c r="CZ3285" t="s">
        <v>119</v>
      </c>
    </row>
    <row r="3286" spans="1:104" x14ac:dyDescent="0.25">
      <c r="A3286" t="str">
        <f>"14:45:06.094"</f>
        <v>14:45:06.094</v>
      </c>
      <c r="B3286" t="s">
        <v>108</v>
      </c>
      <c r="C3286" t="str">
        <f t="shared" si="154"/>
        <v>ffdfd3c0</v>
      </c>
      <c r="D3286" t="s">
        <v>109</v>
      </c>
      <c r="E3286">
        <v>4</v>
      </c>
      <c r="F3286">
        <v>1004</v>
      </c>
      <c r="G3286" t="s">
        <v>110</v>
      </c>
      <c r="J3286" t="s">
        <v>111</v>
      </c>
      <c r="K3286">
        <v>0</v>
      </c>
      <c r="L3286">
        <v>3</v>
      </c>
      <c r="M3286">
        <v>0</v>
      </c>
      <c r="N3286">
        <v>2</v>
      </c>
      <c r="O3286">
        <v>1</v>
      </c>
      <c r="P3286">
        <v>0</v>
      </c>
      <c r="Q3286">
        <v>0</v>
      </c>
      <c r="R3286" t="s">
        <v>112</v>
      </c>
      <c r="S3286" t="str">
        <f>"14:45:05.898"</f>
        <v>14:45:05.898</v>
      </c>
      <c r="T3286" t="str">
        <f>"14:45:05.500"</f>
        <v>14:45:05.500</v>
      </c>
      <c r="U3286" t="str">
        <f t="shared" si="153"/>
        <v>ad5732</v>
      </c>
      <c r="V3286">
        <v>0</v>
      </c>
      <c r="W3286">
        <v>0</v>
      </c>
      <c r="X3286">
        <v>1</v>
      </c>
      <c r="Z3286">
        <v>0</v>
      </c>
      <c r="AA3286">
        <v>9</v>
      </c>
      <c r="AB3286">
        <v>3</v>
      </c>
      <c r="AC3286">
        <v>0</v>
      </c>
      <c r="AD3286">
        <v>10</v>
      </c>
      <c r="AE3286">
        <v>0</v>
      </c>
      <c r="AF3286">
        <v>3</v>
      </c>
      <c r="AG3286">
        <v>2</v>
      </c>
      <c r="AH3286">
        <v>0</v>
      </c>
      <c r="AI3286" t="s">
        <v>6675</v>
      </c>
      <c r="AJ3286">
        <v>40.386944</v>
      </c>
      <c r="AK3286" t="s">
        <v>6676</v>
      </c>
      <c r="AL3286">
        <v>-74.756899000000004</v>
      </c>
      <c r="AM3286">
        <v>100</v>
      </c>
      <c r="AN3286">
        <v>2300</v>
      </c>
      <c r="AO3286" t="s">
        <v>115</v>
      </c>
      <c r="AP3286">
        <v>179</v>
      </c>
      <c r="AQ3286">
        <v>-20</v>
      </c>
      <c r="AR3286">
        <v>-640</v>
      </c>
      <c r="AZ3286">
        <v>3614</v>
      </c>
      <c r="BA3286">
        <v>1</v>
      </c>
      <c r="BB3286" t="str">
        <f t="shared" si="155"/>
        <v xml:space="preserve">N959MJ  </v>
      </c>
      <c r="BC3286">
        <v>1</v>
      </c>
      <c r="BE3286">
        <v>0</v>
      </c>
      <c r="BF3286">
        <v>0</v>
      </c>
      <c r="BG3286">
        <v>0</v>
      </c>
      <c r="BH3286">
        <v>2375</v>
      </c>
      <c r="BI3286">
        <v>75</v>
      </c>
      <c r="BJ3286">
        <v>1</v>
      </c>
      <c r="BK3286">
        <v>1</v>
      </c>
      <c r="BL3286">
        <v>1</v>
      </c>
      <c r="BM3286">
        <v>0</v>
      </c>
      <c r="BP3286">
        <v>0</v>
      </c>
      <c r="BQ3286">
        <v>0</v>
      </c>
      <c r="BX3286" t="str">
        <f>"14:45:05.898"</f>
        <v>14:45:05.898</v>
      </c>
      <c r="BY3286" t="str">
        <f>"899298138"</f>
        <v>899298138</v>
      </c>
      <c r="CL3286">
        <v>0</v>
      </c>
      <c r="CM3286">
        <v>2</v>
      </c>
      <c r="CN3286">
        <v>0</v>
      </c>
      <c r="CO3286">
        <v>2</v>
      </c>
      <c r="CP3286">
        <v>0</v>
      </c>
      <c r="CQ3286">
        <v>7</v>
      </c>
      <c r="CR3286" t="s">
        <v>116</v>
      </c>
      <c r="CS3286">
        <v>38</v>
      </c>
      <c r="CT3286">
        <v>0</v>
      </c>
      <c r="CU3286" t="s">
        <v>4719</v>
      </c>
      <c r="CV3286" t="s">
        <v>4720</v>
      </c>
      <c r="CY3286">
        <v>7640052</v>
      </c>
      <c r="CZ3286" t="s">
        <v>119</v>
      </c>
    </row>
    <row r="3287" spans="1:104" x14ac:dyDescent="0.25">
      <c r="A3287" t="str">
        <f>"14:45:07.156"</f>
        <v>14:45:07.156</v>
      </c>
      <c r="B3287" t="s">
        <v>108</v>
      </c>
      <c r="C3287" t="str">
        <f t="shared" si="154"/>
        <v>ffdfd3c0</v>
      </c>
      <c r="D3287" t="s">
        <v>109</v>
      </c>
      <c r="E3287">
        <v>4</v>
      </c>
      <c r="F3287">
        <v>1004</v>
      </c>
      <c r="G3287" t="s">
        <v>110</v>
      </c>
      <c r="J3287" t="s">
        <v>111</v>
      </c>
      <c r="K3287">
        <v>0</v>
      </c>
      <c r="L3287">
        <v>3</v>
      </c>
      <c r="M3287">
        <v>0</v>
      </c>
      <c r="N3287">
        <v>2</v>
      </c>
      <c r="O3287">
        <v>1</v>
      </c>
      <c r="P3287">
        <v>0</v>
      </c>
      <c r="Q3287">
        <v>0</v>
      </c>
      <c r="R3287" t="s">
        <v>112</v>
      </c>
      <c r="S3287" t="str">
        <f>"14:45:06.977"</f>
        <v>14:45:06.977</v>
      </c>
      <c r="T3287" t="str">
        <f>"14:45:06.477"</f>
        <v>14:45:06.477</v>
      </c>
      <c r="U3287" t="str">
        <f t="shared" si="153"/>
        <v>ad5732</v>
      </c>
      <c r="V3287">
        <v>0</v>
      </c>
      <c r="W3287">
        <v>0</v>
      </c>
      <c r="X3287">
        <v>1</v>
      </c>
      <c r="Z3287">
        <v>0</v>
      </c>
      <c r="AA3287">
        <v>9</v>
      </c>
      <c r="AB3287">
        <v>3</v>
      </c>
      <c r="AC3287">
        <v>0</v>
      </c>
      <c r="AD3287">
        <v>10</v>
      </c>
      <c r="AE3287">
        <v>0</v>
      </c>
      <c r="AF3287">
        <v>3</v>
      </c>
      <c r="AG3287">
        <v>2</v>
      </c>
      <c r="AH3287">
        <v>0</v>
      </c>
      <c r="AI3287" t="s">
        <v>6677</v>
      </c>
      <c r="AJ3287">
        <v>40.386837</v>
      </c>
      <c r="AK3287" t="s">
        <v>6678</v>
      </c>
      <c r="AL3287">
        <v>-74.755675999999994</v>
      </c>
      <c r="AM3287">
        <v>100</v>
      </c>
      <c r="AN3287">
        <v>2300</v>
      </c>
      <c r="AO3287" t="s">
        <v>115</v>
      </c>
      <c r="AP3287">
        <v>179</v>
      </c>
      <c r="AQ3287">
        <v>-20</v>
      </c>
      <c r="AR3287">
        <v>-640</v>
      </c>
      <c r="AZ3287">
        <v>3614</v>
      </c>
      <c r="BA3287">
        <v>1</v>
      </c>
      <c r="BB3287" t="str">
        <f t="shared" si="155"/>
        <v xml:space="preserve">N959MJ  </v>
      </c>
      <c r="BC3287">
        <v>1</v>
      </c>
      <c r="BE3287">
        <v>0</v>
      </c>
      <c r="BF3287">
        <v>0</v>
      </c>
      <c r="BG3287">
        <v>0</v>
      </c>
      <c r="BH3287">
        <v>2375</v>
      </c>
      <c r="BI3287">
        <v>75</v>
      </c>
      <c r="BJ3287">
        <v>1</v>
      </c>
      <c r="BK3287">
        <v>1</v>
      </c>
      <c r="BL3287">
        <v>1</v>
      </c>
      <c r="BM3287">
        <v>0</v>
      </c>
      <c r="BP3287">
        <v>0</v>
      </c>
      <c r="BQ3287">
        <v>0</v>
      </c>
      <c r="BX3287" t="str">
        <f>"14:45:06.984"</f>
        <v>14:45:06.984</v>
      </c>
      <c r="BY3287" t="str">
        <f>"980661277"</f>
        <v>980661277</v>
      </c>
      <c r="CL3287">
        <v>0</v>
      </c>
      <c r="CM3287">
        <v>2</v>
      </c>
      <c r="CN3287">
        <v>0</v>
      </c>
      <c r="CO3287">
        <v>2</v>
      </c>
      <c r="CP3287">
        <v>0</v>
      </c>
      <c r="CQ3287">
        <v>7</v>
      </c>
      <c r="CR3287" t="s">
        <v>116</v>
      </c>
      <c r="CS3287">
        <v>38</v>
      </c>
      <c r="CT3287">
        <v>0</v>
      </c>
      <c r="CU3287" t="s">
        <v>4719</v>
      </c>
      <c r="CV3287" t="s">
        <v>4720</v>
      </c>
      <c r="CY3287">
        <v>7641626</v>
      </c>
      <c r="CZ3287" t="s">
        <v>119</v>
      </c>
    </row>
    <row r="3288" spans="1:104" x14ac:dyDescent="0.25">
      <c r="A3288" t="str">
        <f>"14:45:08.219"</f>
        <v>14:45:08.219</v>
      </c>
      <c r="B3288" t="s">
        <v>108</v>
      </c>
      <c r="C3288" t="str">
        <f t="shared" si="154"/>
        <v>ffdfd3c0</v>
      </c>
      <c r="D3288" t="s">
        <v>109</v>
      </c>
      <c r="E3288">
        <v>4</v>
      </c>
      <c r="F3288">
        <v>1004</v>
      </c>
      <c r="G3288" t="s">
        <v>110</v>
      </c>
      <c r="J3288" t="s">
        <v>111</v>
      </c>
      <c r="K3288">
        <v>0</v>
      </c>
      <c r="L3288">
        <v>3</v>
      </c>
      <c r="M3288">
        <v>0</v>
      </c>
      <c r="N3288">
        <v>2</v>
      </c>
      <c r="O3288">
        <v>1</v>
      </c>
      <c r="P3288">
        <v>0</v>
      </c>
      <c r="Q3288">
        <v>0</v>
      </c>
      <c r="R3288" t="s">
        <v>112</v>
      </c>
      <c r="S3288" t="str">
        <f>"14:45:08.000"</f>
        <v>14:45:08.000</v>
      </c>
      <c r="T3288" t="str">
        <f>"14:45:07.500"</f>
        <v>14:45:07.500</v>
      </c>
      <c r="U3288" t="str">
        <f t="shared" si="153"/>
        <v>ad5732</v>
      </c>
      <c r="V3288">
        <v>0</v>
      </c>
      <c r="W3288">
        <v>0</v>
      </c>
      <c r="X3288">
        <v>1</v>
      </c>
      <c r="Z3288">
        <v>0</v>
      </c>
      <c r="AA3288">
        <v>9</v>
      </c>
      <c r="AB3288">
        <v>3</v>
      </c>
      <c r="AC3288">
        <v>0</v>
      </c>
      <c r="AD3288">
        <v>10</v>
      </c>
      <c r="AE3288">
        <v>0</v>
      </c>
      <c r="AF3288">
        <v>3</v>
      </c>
      <c r="AG3288">
        <v>2</v>
      </c>
      <c r="AH3288">
        <v>0</v>
      </c>
      <c r="AI3288" t="s">
        <v>6679</v>
      </c>
      <c r="AJ3288">
        <v>40.386750999999997</v>
      </c>
      <c r="AK3288" t="s">
        <v>6680</v>
      </c>
      <c r="AL3288">
        <v>-74.754645999999994</v>
      </c>
      <c r="AM3288">
        <v>100</v>
      </c>
      <c r="AN3288">
        <v>2300</v>
      </c>
      <c r="AO3288" t="s">
        <v>115</v>
      </c>
      <c r="AP3288">
        <v>179</v>
      </c>
      <c r="AQ3288">
        <v>-20</v>
      </c>
      <c r="AR3288">
        <v>-640</v>
      </c>
      <c r="AZ3288">
        <v>3614</v>
      </c>
      <c r="BA3288">
        <v>1</v>
      </c>
      <c r="BB3288" t="str">
        <f t="shared" si="155"/>
        <v xml:space="preserve">N959MJ  </v>
      </c>
      <c r="BC3288">
        <v>1</v>
      </c>
      <c r="BE3288">
        <v>0</v>
      </c>
      <c r="BF3288">
        <v>0</v>
      </c>
      <c r="BG3288">
        <v>0</v>
      </c>
      <c r="BH3288">
        <v>2350</v>
      </c>
      <c r="BI3288">
        <v>50</v>
      </c>
      <c r="BJ3288">
        <v>1</v>
      </c>
      <c r="BK3288">
        <v>1</v>
      </c>
      <c r="BL3288">
        <v>1</v>
      </c>
      <c r="BM3288">
        <v>0</v>
      </c>
      <c r="BP3288">
        <v>0</v>
      </c>
      <c r="BQ3288">
        <v>0</v>
      </c>
      <c r="BX3288" t="str">
        <f>"14:45:08.000"</f>
        <v>14:45:08.000</v>
      </c>
      <c r="BY3288" t="str">
        <f>"001402355"</f>
        <v>001402355</v>
      </c>
      <c r="CL3288">
        <v>0</v>
      </c>
      <c r="CM3288">
        <v>2</v>
      </c>
      <c r="CN3288">
        <v>0</v>
      </c>
      <c r="CO3288">
        <v>2</v>
      </c>
      <c r="CP3288">
        <v>0</v>
      </c>
      <c r="CQ3288">
        <v>7</v>
      </c>
      <c r="CR3288" t="s">
        <v>116</v>
      </c>
      <c r="CS3288">
        <v>38</v>
      </c>
      <c r="CT3288">
        <v>0</v>
      </c>
      <c r="CU3288" t="s">
        <v>4719</v>
      </c>
      <c r="CV3288" t="s">
        <v>4720</v>
      </c>
      <c r="CY3288">
        <v>7643235</v>
      </c>
      <c r="CZ3288" t="s">
        <v>119</v>
      </c>
    </row>
    <row r="3289" spans="1:104" x14ac:dyDescent="0.25">
      <c r="A3289" t="str">
        <f>"14:45:09.227"</f>
        <v>14:45:09.227</v>
      </c>
      <c r="B3289" t="s">
        <v>108</v>
      </c>
      <c r="C3289" t="str">
        <f t="shared" si="154"/>
        <v>ffdfd3c0</v>
      </c>
      <c r="D3289" t="s">
        <v>109</v>
      </c>
      <c r="E3289">
        <v>4</v>
      </c>
      <c r="F3289">
        <v>1004</v>
      </c>
      <c r="G3289" t="s">
        <v>110</v>
      </c>
      <c r="J3289" t="s">
        <v>111</v>
      </c>
      <c r="K3289">
        <v>0</v>
      </c>
      <c r="L3289">
        <v>3</v>
      </c>
      <c r="M3289">
        <v>0</v>
      </c>
      <c r="N3289">
        <v>2</v>
      </c>
      <c r="O3289">
        <v>1</v>
      </c>
      <c r="P3289">
        <v>0</v>
      </c>
      <c r="Q3289">
        <v>0</v>
      </c>
      <c r="R3289" t="s">
        <v>112</v>
      </c>
      <c r="S3289" t="str">
        <f>"14:45:09.000"</f>
        <v>14:45:09.000</v>
      </c>
      <c r="T3289" t="str">
        <f>"14:45:08.602"</f>
        <v>14:45:08.602</v>
      </c>
      <c r="U3289" t="str">
        <f t="shared" si="153"/>
        <v>ad5732</v>
      </c>
      <c r="V3289">
        <v>0</v>
      </c>
      <c r="W3289">
        <v>0</v>
      </c>
      <c r="X3289">
        <v>1</v>
      </c>
      <c r="Z3289">
        <v>0</v>
      </c>
      <c r="AA3289">
        <v>9</v>
      </c>
      <c r="AB3289">
        <v>3</v>
      </c>
      <c r="AC3289">
        <v>0</v>
      </c>
      <c r="AD3289">
        <v>10</v>
      </c>
      <c r="AE3289">
        <v>0</v>
      </c>
      <c r="AF3289">
        <v>3</v>
      </c>
      <c r="AG3289">
        <v>2</v>
      </c>
      <c r="AH3289">
        <v>0</v>
      </c>
      <c r="AI3289" t="s">
        <v>6681</v>
      </c>
      <c r="AJ3289">
        <v>40.386665000000001</v>
      </c>
      <c r="AK3289" t="s">
        <v>6682</v>
      </c>
      <c r="AL3289">
        <v>-74.753487000000007</v>
      </c>
      <c r="AM3289">
        <v>100</v>
      </c>
      <c r="AN3289">
        <v>2300</v>
      </c>
      <c r="AO3289" t="s">
        <v>115</v>
      </c>
      <c r="AP3289">
        <v>179</v>
      </c>
      <c r="AQ3289">
        <v>-20</v>
      </c>
      <c r="AR3289">
        <v>-640</v>
      </c>
      <c r="AZ3289">
        <v>3614</v>
      </c>
      <c r="BA3289">
        <v>1</v>
      </c>
      <c r="BB3289" t="str">
        <f t="shared" si="155"/>
        <v xml:space="preserve">N959MJ  </v>
      </c>
      <c r="BC3289">
        <v>1</v>
      </c>
      <c r="BE3289">
        <v>0</v>
      </c>
      <c r="BF3289">
        <v>0</v>
      </c>
      <c r="BG3289">
        <v>0</v>
      </c>
      <c r="BH3289">
        <v>2350</v>
      </c>
      <c r="BI3289">
        <v>50</v>
      </c>
      <c r="BJ3289">
        <v>1</v>
      </c>
      <c r="BK3289">
        <v>1</v>
      </c>
      <c r="BL3289">
        <v>1</v>
      </c>
      <c r="BM3289">
        <v>0</v>
      </c>
      <c r="BP3289">
        <v>0</v>
      </c>
      <c r="BQ3289">
        <v>0</v>
      </c>
      <c r="BX3289" t="str">
        <f>"14:45:09.008"</f>
        <v>14:45:09.008</v>
      </c>
      <c r="BY3289" t="str">
        <f>"007397709"</f>
        <v>007397709</v>
      </c>
      <c r="CL3289">
        <v>0</v>
      </c>
      <c r="CM3289">
        <v>2</v>
      </c>
      <c r="CN3289">
        <v>0</v>
      </c>
      <c r="CO3289">
        <v>2</v>
      </c>
      <c r="CP3289">
        <v>0</v>
      </c>
      <c r="CQ3289">
        <v>7</v>
      </c>
      <c r="CR3289" t="s">
        <v>116</v>
      </c>
      <c r="CS3289">
        <v>38</v>
      </c>
      <c r="CT3289">
        <v>0</v>
      </c>
      <c r="CU3289" t="s">
        <v>4719</v>
      </c>
      <c r="CV3289" t="s">
        <v>4720</v>
      </c>
      <c r="CY3289">
        <v>7644800</v>
      </c>
      <c r="CZ3289" t="s">
        <v>119</v>
      </c>
    </row>
    <row r="3290" spans="1:104" x14ac:dyDescent="0.25">
      <c r="A3290" t="str">
        <f>"14:45:10.234"</f>
        <v>14:45:10.234</v>
      </c>
      <c r="B3290" t="s">
        <v>108</v>
      </c>
      <c r="C3290" t="str">
        <f t="shared" si="154"/>
        <v>ffdfd3c0</v>
      </c>
      <c r="D3290" t="s">
        <v>109</v>
      </c>
      <c r="E3290">
        <v>4</v>
      </c>
      <c r="F3290">
        <v>1004</v>
      </c>
      <c r="G3290" t="s">
        <v>110</v>
      </c>
      <c r="J3290" t="s">
        <v>111</v>
      </c>
      <c r="K3290">
        <v>0</v>
      </c>
      <c r="L3290">
        <v>3</v>
      </c>
      <c r="M3290">
        <v>0</v>
      </c>
      <c r="N3290">
        <v>2</v>
      </c>
      <c r="O3290">
        <v>1</v>
      </c>
      <c r="P3290">
        <v>0</v>
      </c>
      <c r="Q3290">
        <v>0</v>
      </c>
      <c r="R3290" t="s">
        <v>112</v>
      </c>
      <c r="S3290" t="str">
        <f>"14:45:10.039"</f>
        <v>14:45:10.039</v>
      </c>
      <c r="T3290" t="str">
        <f>"14:45:09.641"</f>
        <v>14:45:09.641</v>
      </c>
      <c r="U3290" t="str">
        <f t="shared" si="153"/>
        <v>ad5732</v>
      </c>
      <c r="V3290">
        <v>0</v>
      </c>
      <c r="W3290">
        <v>0</v>
      </c>
      <c r="X3290">
        <v>1</v>
      </c>
      <c r="Z3290">
        <v>0</v>
      </c>
      <c r="AA3290">
        <v>9</v>
      </c>
      <c r="AB3290">
        <v>3</v>
      </c>
      <c r="AC3290">
        <v>0</v>
      </c>
      <c r="AD3290">
        <v>10</v>
      </c>
      <c r="AE3290">
        <v>0</v>
      </c>
      <c r="AF3290">
        <v>3</v>
      </c>
      <c r="AG3290">
        <v>2</v>
      </c>
      <c r="AH3290">
        <v>0</v>
      </c>
      <c r="AI3290" t="s">
        <v>6683</v>
      </c>
      <c r="AJ3290">
        <v>40.386536</v>
      </c>
      <c r="AK3290" t="s">
        <v>6684</v>
      </c>
      <c r="AL3290">
        <v>-74.752285000000001</v>
      </c>
      <c r="AM3290">
        <v>100</v>
      </c>
      <c r="AN3290">
        <v>2300</v>
      </c>
      <c r="AO3290" t="s">
        <v>115</v>
      </c>
      <c r="AP3290">
        <v>179</v>
      </c>
      <c r="AQ3290">
        <v>-20</v>
      </c>
      <c r="AR3290">
        <v>-704</v>
      </c>
      <c r="AZ3290">
        <v>3614</v>
      </c>
      <c r="BA3290">
        <v>1</v>
      </c>
      <c r="BB3290" t="str">
        <f t="shared" si="155"/>
        <v xml:space="preserve">N959MJ  </v>
      </c>
      <c r="BC3290">
        <v>1</v>
      </c>
      <c r="BE3290">
        <v>0</v>
      </c>
      <c r="BF3290">
        <v>0</v>
      </c>
      <c r="BG3290">
        <v>0</v>
      </c>
      <c r="BH3290">
        <v>2350</v>
      </c>
      <c r="BI3290">
        <v>50</v>
      </c>
      <c r="BJ3290">
        <v>1</v>
      </c>
      <c r="BK3290">
        <v>1</v>
      </c>
      <c r="BL3290">
        <v>1</v>
      </c>
      <c r="BM3290">
        <v>0</v>
      </c>
      <c r="BP3290">
        <v>0</v>
      </c>
      <c r="BQ3290">
        <v>0</v>
      </c>
      <c r="BX3290" t="str">
        <f>"14:45:10.047"</f>
        <v>14:45:10.047</v>
      </c>
      <c r="BY3290" t="str">
        <f>"046161648"</f>
        <v>046161648</v>
      </c>
      <c r="CL3290">
        <v>0</v>
      </c>
      <c r="CM3290">
        <v>2</v>
      </c>
      <c r="CN3290">
        <v>0</v>
      </c>
      <c r="CO3290">
        <v>2</v>
      </c>
      <c r="CP3290">
        <v>0</v>
      </c>
      <c r="CQ3290">
        <v>7</v>
      </c>
      <c r="CR3290" t="s">
        <v>116</v>
      </c>
      <c r="CS3290">
        <v>38</v>
      </c>
      <c r="CT3290">
        <v>0</v>
      </c>
      <c r="CU3290" t="s">
        <v>4719</v>
      </c>
      <c r="CV3290" t="s">
        <v>4720</v>
      </c>
      <c r="CY3290">
        <v>7646452</v>
      </c>
      <c r="CZ3290" t="s">
        <v>119</v>
      </c>
    </row>
    <row r="3291" spans="1:104" x14ac:dyDescent="0.25">
      <c r="A3291" t="str">
        <f>"14:45:11.195"</f>
        <v>14:45:11.195</v>
      </c>
      <c r="B3291" t="s">
        <v>108</v>
      </c>
      <c r="C3291" t="str">
        <f t="shared" si="154"/>
        <v>ffdfd3c0</v>
      </c>
      <c r="D3291" t="s">
        <v>109</v>
      </c>
      <c r="E3291">
        <v>4</v>
      </c>
      <c r="F3291">
        <v>1004</v>
      </c>
      <c r="G3291" t="s">
        <v>110</v>
      </c>
      <c r="J3291" t="s">
        <v>111</v>
      </c>
      <c r="K3291">
        <v>0</v>
      </c>
      <c r="L3291">
        <v>3</v>
      </c>
      <c r="M3291">
        <v>0</v>
      </c>
      <c r="N3291">
        <v>2</v>
      </c>
      <c r="O3291">
        <v>1</v>
      </c>
      <c r="P3291">
        <v>0</v>
      </c>
      <c r="Q3291">
        <v>0</v>
      </c>
      <c r="R3291" t="s">
        <v>112</v>
      </c>
      <c r="S3291" t="str">
        <f>"14:45:11.039"</f>
        <v>14:45:11.039</v>
      </c>
      <c r="T3291" t="str">
        <f>"14:45:10.539"</f>
        <v>14:45:10.539</v>
      </c>
      <c r="U3291" t="str">
        <f t="shared" si="153"/>
        <v>ad5732</v>
      </c>
      <c r="V3291">
        <v>0</v>
      </c>
      <c r="W3291">
        <v>0</v>
      </c>
      <c r="X3291">
        <v>1</v>
      </c>
      <c r="Z3291">
        <v>0</v>
      </c>
      <c r="AA3291">
        <v>9</v>
      </c>
      <c r="AB3291">
        <v>3</v>
      </c>
      <c r="AC3291">
        <v>0</v>
      </c>
      <c r="AD3291">
        <v>10</v>
      </c>
      <c r="AE3291">
        <v>0</v>
      </c>
      <c r="AF3291">
        <v>3</v>
      </c>
      <c r="AG3291">
        <v>2</v>
      </c>
      <c r="AH3291">
        <v>0</v>
      </c>
      <c r="AI3291" t="s">
        <v>6685</v>
      </c>
      <c r="AJ3291">
        <v>40.386450000000004</v>
      </c>
      <c r="AK3291" t="s">
        <v>6686</v>
      </c>
      <c r="AL3291">
        <v>-74.751233999999997</v>
      </c>
      <c r="AM3291">
        <v>100</v>
      </c>
      <c r="AN3291">
        <v>2100</v>
      </c>
      <c r="AO3291" t="s">
        <v>115</v>
      </c>
      <c r="AP3291">
        <v>179</v>
      </c>
      <c r="AQ3291">
        <v>-20</v>
      </c>
      <c r="AR3291">
        <v>-704</v>
      </c>
      <c r="AZ3291">
        <v>3614</v>
      </c>
      <c r="BA3291">
        <v>1</v>
      </c>
      <c r="BB3291" t="str">
        <f t="shared" si="155"/>
        <v xml:space="preserve">N959MJ  </v>
      </c>
      <c r="BC3291">
        <v>1</v>
      </c>
      <c r="BE3291">
        <v>0</v>
      </c>
      <c r="BF3291">
        <v>0</v>
      </c>
      <c r="BG3291">
        <v>0</v>
      </c>
      <c r="BH3291">
        <v>2325</v>
      </c>
      <c r="BI3291">
        <v>225</v>
      </c>
      <c r="BJ3291">
        <v>1</v>
      </c>
      <c r="BK3291">
        <v>1</v>
      </c>
      <c r="BL3291">
        <v>1</v>
      </c>
      <c r="BM3291">
        <v>0</v>
      </c>
      <c r="BP3291">
        <v>0</v>
      </c>
      <c r="BQ3291">
        <v>0</v>
      </c>
      <c r="BX3291" t="str">
        <f>"14:45:11.039"</f>
        <v>14:45:11.039</v>
      </c>
      <c r="BY3291" t="str">
        <f>"040687856"</f>
        <v>040687856</v>
      </c>
      <c r="CL3291">
        <v>0</v>
      </c>
      <c r="CM3291">
        <v>2</v>
      </c>
      <c r="CN3291">
        <v>0</v>
      </c>
      <c r="CO3291">
        <v>2</v>
      </c>
      <c r="CP3291">
        <v>0</v>
      </c>
      <c r="CQ3291">
        <v>7</v>
      </c>
      <c r="CR3291" t="s">
        <v>116</v>
      </c>
      <c r="CS3291">
        <v>38</v>
      </c>
      <c r="CT3291">
        <v>0</v>
      </c>
      <c r="CU3291" t="s">
        <v>4719</v>
      </c>
      <c r="CV3291" t="s">
        <v>4720</v>
      </c>
      <c r="CY3291">
        <v>7647945</v>
      </c>
      <c r="CZ3291" t="s">
        <v>119</v>
      </c>
    </row>
    <row r="3292" spans="1:104" x14ac:dyDescent="0.25">
      <c r="A3292" t="str">
        <f>"14:45:12.156"</f>
        <v>14:45:12.156</v>
      </c>
      <c r="B3292" t="s">
        <v>108</v>
      </c>
      <c r="C3292" t="str">
        <f t="shared" si="154"/>
        <v>ffdfd3c0</v>
      </c>
      <c r="D3292" t="s">
        <v>109</v>
      </c>
      <c r="E3292">
        <v>4</v>
      </c>
      <c r="F3292">
        <v>1004</v>
      </c>
      <c r="G3292" t="s">
        <v>110</v>
      </c>
      <c r="J3292" t="s">
        <v>111</v>
      </c>
      <c r="K3292">
        <v>0</v>
      </c>
      <c r="L3292">
        <v>3</v>
      </c>
      <c r="M3292">
        <v>0</v>
      </c>
      <c r="N3292">
        <v>2</v>
      </c>
      <c r="O3292">
        <v>1</v>
      </c>
      <c r="P3292">
        <v>0</v>
      </c>
      <c r="Q3292">
        <v>0</v>
      </c>
      <c r="R3292" t="s">
        <v>112</v>
      </c>
      <c r="S3292" t="str">
        <f>"14:45:11.953"</f>
        <v>14:45:11.953</v>
      </c>
      <c r="T3292" t="str">
        <f>"14:45:11.555"</f>
        <v>14:45:11.555</v>
      </c>
      <c r="U3292" t="str">
        <f t="shared" si="153"/>
        <v>ad5732</v>
      </c>
      <c r="V3292">
        <v>0</v>
      </c>
      <c r="W3292">
        <v>0</v>
      </c>
      <c r="X3292">
        <v>1</v>
      </c>
      <c r="Z3292">
        <v>0</v>
      </c>
      <c r="AA3292">
        <v>9</v>
      </c>
      <c r="AB3292">
        <v>3</v>
      </c>
      <c r="AC3292">
        <v>0</v>
      </c>
      <c r="AD3292">
        <v>10</v>
      </c>
      <c r="AE3292">
        <v>0</v>
      </c>
      <c r="AF3292">
        <v>3</v>
      </c>
      <c r="AG3292">
        <v>2</v>
      </c>
      <c r="AH3292">
        <v>0</v>
      </c>
      <c r="AI3292" t="s">
        <v>6687</v>
      </c>
      <c r="AJ3292">
        <v>40.386386000000002</v>
      </c>
      <c r="AK3292" t="s">
        <v>6688</v>
      </c>
      <c r="AL3292">
        <v>-74.750247000000002</v>
      </c>
      <c r="AM3292">
        <v>100</v>
      </c>
      <c r="AN3292">
        <v>2100</v>
      </c>
      <c r="AO3292" t="s">
        <v>115</v>
      </c>
      <c r="AP3292">
        <v>179</v>
      </c>
      <c r="AQ3292">
        <v>-20</v>
      </c>
      <c r="AR3292">
        <v>-704</v>
      </c>
      <c r="AZ3292">
        <v>3614</v>
      </c>
      <c r="BA3292">
        <v>1</v>
      </c>
      <c r="BB3292" t="str">
        <f t="shared" si="155"/>
        <v xml:space="preserve">N959MJ  </v>
      </c>
      <c r="BC3292">
        <v>1</v>
      </c>
      <c r="BE3292">
        <v>0</v>
      </c>
      <c r="BF3292">
        <v>0</v>
      </c>
      <c r="BG3292">
        <v>0</v>
      </c>
      <c r="BH3292">
        <v>2325</v>
      </c>
      <c r="BI3292">
        <v>225</v>
      </c>
      <c r="BJ3292">
        <v>1</v>
      </c>
      <c r="BK3292">
        <v>1</v>
      </c>
      <c r="BL3292">
        <v>1</v>
      </c>
      <c r="BM3292">
        <v>0</v>
      </c>
      <c r="BP3292">
        <v>0</v>
      </c>
      <c r="BQ3292">
        <v>0</v>
      </c>
      <c r="BX3292" t="str">
        <f>"14:45:11.961"</f>
        <v>14:45:11.961</v>
      </c>
      <c r="BY3292" t="str">
        <f>"958215631"</f>
        <v>958215631</v>
      </c>
      <c r="CL3292">
        <v>0</v>
      </c>
      <c r="CM3292">
        <v>2</v>
      </c>
      <c r="CN3292">
        <v>0</v>
      </c>
      <c r="CO3292">
        <v>2</v>
      </c>
      <c r="CP3292">
        <v>0</v>
      </c>
      <c r="CQ3292">
        <v>6</v>
      </c>
      <c r="CR3292" t="s">
        <v>116</v>
      </c>
      <c r="CS3292">
        <v>38</v>
      </c>
      <c r="CT3292">
        <v>3</v>
      </c>
      <c r="CU3292" t="s">
        <v>4719</v>
      </c>
      <c r="CV3292" t="s">
        <v>4720</v>
      </c>
      <c r="CY3292">
        <v>11090413</v>
      </c>
      <c r="CZ3292" t="s">
        <v>119</v>
      </c>
    </row>
    <row r="3293" spans="1:104" x14ac:dyDescent="0.25">
      <c r="A3293" t="str">
        <f>"14:45:13.266"</f>
        <v>14:45:13.266</v>
      </c>
      <c r="B3293" t="s">
        <v>108</v>
      </c>
      <c r="C3293" t="str">
        <f t="shared" si="154"/>
        <v>ffdfd3c0</v>
      </c>
      <c r="D3293" t="s">
        <v>109</v>
      </c>
      <c r="E3293">
        <v>4</v>
      </c>
      <c r="F3293">
        <v>1004</v>
      </c>
      <c r="G3293" t="s">
        <v>110</v>
      </c>
      <c r="J3293" t="s">
        <v>111</v>
      </c>
      <c r="K3293">
        <v>0</v>
      </c>
      <c r="L3293">
        <v>3</v>
      </c>
      <c r="M3293">
        <v>0</v>
      </c>
      <c r="N3293">
        <v>2</v>
      </c>
      <c r="O3293">
        <v>1</v>
      </c>
      <c r="P3293">
        <v>0</v>
      </c>
      <c r="Q3293">
        <v>0</v>
      </c>
      <c r="R3293" t="s">
        <v>112</v>
      </c>
      <c r="S3293" t="str">
        <f>"14:45:13.102"</f>
        <v>14:45:13.102</v>
      </c>
      <c r="T3293" t="str">
        <f>"14:45:12.602"</f>
        <v>14:45:12.602</v>
      </c>
      <c r="U3293" t="str">
        <f t="shared" si="153"/>
        <v>ad5732</v>
      </c>
      <c r="V3293">
        <v>0</v>
      </c>
      <c r="W3293">
        <v>0</v>
      </c>
      <c r="X3293">
        <v>1</v>
      </c>
      <c r="Z3293">
        <v>0</v>
      </c>
      <c r="AA3293">
        <v>9</v>
      </c>
      <c r="AB3293">
        <v>3</v>
      </c>
      <c r="AC3293">
        <v>0</v>
      </c>
      <c r="AD3293">
        <v>10</v>
      </c>
      <c r="AE3293">
        <v>0</v>
      </c>
      <c r="AF3293">
        <v>3</v>
      </c>
      <c r="AG3293">
        <v>2</v>
      </c>
      <c r="AH3293">
        <v>0</v>
      </c>
      <c r="AI3293" t="s">
        <v>6689</v>
      </c>
      <c r="AJ3293">
        <v>40.386257000000001</v>
      </c>
      <c r="AK3293" t="s">
        <v>6690</v>
      </c>
      <c r="AL3293">
        <v>-74.749110000000002</v>
      </c>
      <c r="AM3293">
        <v>100</v>
      </c>
      <c r="AN3293">
        <v>2100</v>
      </c>
      <c r="AO3293" t="s">
        <v>115</v>
      </c>
      <c r="AP3293">
        <v>179</v>
      </c>
      <c r="AQ3293">
        <v>-20</v>
      </c>
      <c r="AR3293">
        <v>-704</v>
      </c>
      <c r="AZ3293">
        <v>3614</v>
      </c>
      <c r="BA3293">
        <v>1</v>
      </c>
      <c r="BB3293" t="str">
        <f t="shared" si="155"/>
        <v xml:space="preserve">N959MJ  </v>
      </c>
      <c r="BC3293">
        <v>1</v>
      </c>
      <c r="BE3293">
        <v>0</v>
      </c>
      <c r="BF3293">
        <v>0</v>
      </c>
      <c r="BG3293">
        <v>0</v>
      </c>
      <c r="BH3293">
        <v>2300</v>
      </c>
      <c r="BI3293">
        <v>200</v>
      </c>
      <c r="BJ3293">
        <v>1</v>
      </c>
      <c r="BK3293">
        <v>1</v>
      </c>
      <c r="BL3293">
        <v>1</v>
      </c>
      <c r="BM3293">
        <v>0</v>
      </c>
      <c r="BP3293">
        <v>0</v>
      </c>
      <c r="BQ3293">
        <v>0</v>
      </c>
      <c r="BX3293" t="str">
        <f>"14:45:13.102"</f>
        <v>14:45:13.102</v>
      </c>
      <c r="BY3293" t="str">
        <f>"101831365"</f>
        <v>101831365</v>
      </c>
      <c r="CL3293">
        <v>0</v>
      </c>
      <c r="CM3293">
        <v>2</v>
      </c>
      <c r="CN3293">
        <v>0</v>
      </c>
      <c r="CO3293">
        <v>2</v>
      </c>
      <c r="CP3293">
        <v>0</v>
      </c>
      <c r="CQ3293">
        <v>7</v>
      </c>
      <c r="CR3293" t="s">
        <v>116</v>
      </c>
      <c r="CS3293">
        <v>38</v>
      </c>
      <c r="CT3293">
        <v>0</v>
      </c>
      <c r="CU3293" t="s">
        <v>4719</v>
      </c>
      <c r="CV3293" t="s">
        <v>4720</v>
      </c>
      <c r="CY3293">
        <v>7651103</v>
      </c>
      <c r="CZ3293" t="s">
        <v>119</v>
      </c>
    </row>
    <row r="3294" spans="1:104" x14ac:dyDescent="0.25">
      <c r="A3294" t="str">
        <f>"14:45:14.328"</f>
        <v>14:45:14.328</v>
      </c>
      <c r="B3294" t="s">
        <v>108</v>
      </c>
      <c r="C3294" t="str">
        <f t="shared" si="154"/>
        <v>ffdfd3c0</v>
      </c>
      <c r="D3294" t="s">
        <v>109</v>
      </c>
      <c r="E3294">
        <v>4</v>
      </c>
      <c r="F3294">
        <v>1004</v>
      </c>
      <c r="G3294" t="s">
        <v>110</v>
      </c>
      <c r="J3294" t="s">
        <v>111</v>
      </c>
      <c r="K3294">
        <v>0</v>
      </c>
      <c r="L3294">
        <v>3</v>
      </c>
      <c r="M3294">
        <v>0</v>
      </c>
      <c r="N3294">
        <v>2</v>
      </c>
      <c r="O3294">
        <v>1</v>
      </c>
      <c r="P3294">
        <v>0</v>
      </c>
      <c r="Q3294">
        <v>0</v>
      </c>
      <c r="R3294" t="s">
        <v>112</v>
      </c>
      <c r="S3294" t="str">
        <f>"14:45:14.133"</f>
        <v>14:45:14.133</v>
      </c>
      <c r="T3294" t="str">
        <f>"14:45:13.633"</f>
        <v>14:45:13.633</v>
      </c>
      <c r="U3294" t="str">
        <f t="shared" si="153"/>
        <v>ad5732</v>
      </c>
      <c r="V3294">
        <v>0</v>
      </c>
      <c r="W3294">
        <v>0</v>
      </c>
      <c r="X3294">
        <v>1</v>
      </c>
      <c r="Z3294">
        <v>0</v>
      </c>
      <c r="AA3294">
        <v>9</v>
      </c>
      <c r="AB3294">
        <v>3</v>
      </c>
      <c r="AC3294">
        <v>0</v>
      </c>
      <c r="AD3294">
        <v>10</v>
      </c>
      <c r="AE3294">
        <v>0</v>
      </c>
      <c r="AF3294">
        <v>3</v>
      </c>
      <c r="AG3294">
        <v>2</v>
      </c>
      <c r="AH3294">
        <v>0</v>
      </c>
      <c r="AI3294" t="s">
        <v>6691</v>
      </c>
      <c r="AJ3294">
        <v>40.386150000000001</v>
      </c>
      <c r="AK3294" t="s">
        <v>6692</v>
      </c>
      <c r="AL3294">
        <v>-74.747865000000004</v>
      </c>
      <c r="AM3294">
        <v>100</v>
      </c>
      <c r="AN3294">
        <v>2100</v>
      </c>
      <c r="AO3294" t="s">
        <v>115</v>
      </c>
      <c r="AP3294">
        <v>179</v>
      </c>
      <c r="AQ3294">
        <v>-20</v>
      </c>
      <c r="AR3294">
        <v>-704</v>
      </c>
      <c r="AZ3294">
        <v>3614</v>
      </c>
      <c r="BA3294">
        <v>1</v>
      </c>
      <c r="BB3294" t="str">
        <f t="shared" si="155"/>
        <v xml:space="preserve">N959MJ  </v>
      </c>
      <c r="BC3294">
        <v>1</v>
      </c>
      <c r="BE3294">
        <v>0</v>
      </c>
      <c r="BF3294">
        <v>0</v>
      </c>
      <c r="BG3294">
        <v>0</v>
      </c>
      <c r="BH3294">
        <v>2300</v>
      </c>
      <c r="BI3294">
        <v>200</v>
      </c>
      <c r="BJ3294">
        <v>1</v>
      </c>
      <c r="BK3294">
        <v>1</v>
      </c>
      <c r="BL3294">
        <v>1</v>
      </c>
      <c r="BM3294">
        <v>0</v>
      </c>
      <c r="BP3294">
        <v>0</v>
      </c>
      <c r="BQ3294">
        <v>0</v>
      </c>
      <c r="BX3294" t="str">
        <f>"14:45:14.133"</f>
        <v>14:45:14.133</v>
      </c>
      <c r="BY3294" t="str">
        <f>"134041545"</f>
        <v>134041545</v>
      </c>
      <c r="CL3294">
        <v>0</v>
      </c>
      <c r="CM3294">
        <v>2</v>
      </c>
      <c r="CN3294">
        <v>0</v>
      </c>
      <c r="CO3294">
        <v>2</v>
      </c>
      <c r="CP3294">
        <v>0</v>
      </c>
      <c r="CQ3294">
        <v>7</v>
      </c>
      <c r="CR3294" t="s">
        <v>116</v>
      </c>
      <c r="CS3294">
        <v>38</v>
      </c>
      <c r="CT3294">
        <v>0</v>
      </c>
      <c r="CU3294" t="s">
        <v>4719</v>
      </c>
      <c r="CV3294" t="s">
        <v>4720</v>
      </c>
      <c r="CY3294">
        <v>7652745</v>
      </c>
      <c r="CZ3294" t="s">
        <v>119</v>
      </c>
    </row>
    <row r="3295" spans="1:104" x14ac:dyDescent="0.25">
      <c r="A3295" t="str">
        <f>"14:45:15.281"</f>
        <v>14:45:15.281</v>
      </c>
      <c r="B3295" t="s">
        <v>108</v>
      </c>
      <c r="C3295" t="str">
        <f t="shared" si="154"/>
        <v>ffdfd3c0</v>
      </c>
      <c r="D3295" t="s">
        <v>109</v>
      </c>
      <c r="E3295">
        <v>4</v>
      </c>
      <c r="F3295">
        <v>1004</v>
      </c>
      <c r="G3295" t="s">
        <v>110</v>
      </c>
      <c r="J3295" t="s">
        <v>111</v>
      </c>
      <c r="K3295">
        <v>0</v>
      </c>
      <c r="L3295">
        <v>3</v>
      </c>
      <c r="M3295">
        <v>0</v>
      </c>
      <c r="N3295">
        <v>2</v>
      </c>
      <c r="O3295">
        <v>1</v>
      </c>
      <c r="P3295">
        <v>0</v>
      </c>
      <c r="Q3295">
        <v>0</v>
      </c>
      <c r="R3295" t="s">
        <v>112</v>
      </c>
      <c r="S3295" t="str">
        <f>"14:45:15.102"</f>
        <v>14:45:15.102</v>
      </c>
      <c r="T3295" t="str">
        <f>"14:45:14.703"</f>
        <v>14:45:14.703</v>
      </c>
      <c r="U3295" t="str">
        <f t="shared" si="153"/>
        <v>ad5732</v>
      </c>
      <c r="V3295">
        <v>0</v>
      </c>
      <c r="W3295">
        <v>0</v>
      </c>
      <c r="X3295">
        <v>1</v>
      </c>
      <c r="Z3295">
        <v>0</v>
      </c>
      <c r="AA3295">
        <v>9</v>
      </c>
      <c r="AB3295">
        <v>3</v>
      </c>
      <c r="AC3295">
        <v>0</v>
      </c>
      <c r="AD3295">
        <v>10</v>
      </c>
      <c r="AE3295">
        <v>0</v>
      </c>
      <c r="AF3295">
        <v>3</v>
      </c>
      <c r="AG3295">
        <v>2</v>
      </c>
      <c r="AH3295">
        <v>0</v>
      </c>
      <c r="AI3295" t="s">
        <v>6172</v>
      </c>
      <c r="AJ3295">
        <v>40.386063999999998</v>
      </c>
      <c r="AK3295" t="s">
        <v>6693</v>
      </c>
      <c r="AL3295">
        <v>-74.746921</v>
      </c>
      <c r="AM3295">
        <v>100</v>
      </c>
      <c r="AN3295">
        <v>2100</v>
      </c>
      <c r="AO3295" t="s">
        <v>115</v>
      </c>
      <c r="AP3295">
        <v>179</v>
      </c>
      <c r="AQ3295">
        <v>-20</v>
      </c>
      <c r="AR3295">
        <v>-704</v>
      </c>
      <c r="AZ3295">
        <v>3614</v>
      </c>
      <c r="BA3295">
        <v>1</v>
      </c>
      <c r="BB3295" t="str">
        <f t="shared" si="155"/>
        <v xml:space="preserve">N959MJ  </v>
      </c>
      <c r="BC3295">
        <v>1</v>
      </c>
      <c r="BE3295">
        <v>0</v>
      </c>
      <c r="BF3295">
        <v>0</v>
      </c>
      <c r="BG3295">
        <v>0</v>
      </c>
      <c r="BH3295">
        <v>2275</v>
      </c>
      <c r="BI3295">
        <v>175</v>
      </c>
      <c r="BJ3295">
        <v>1</v>
      </c>
      <c r="BK3295">
        <v>1</v>
      </c>
      <c r="BL3295">
        <v>1</v>
      </c>
      <c r="BM3295">
        <v>0</v>
      </c>
      <c r="BP3295">
        <v>0</v>
      </c>
      <c r="BQ3295">
        <v>0</v>
      </c>
      <c r="BX3295" t="str">
        <f>"14:45:15.109"</f>
        <v>14:45:15.109</v>
      </c>
      <c r="BY3295" t="str">
        <f>"105629946"</f>
        <v>105629946</v>
      </c>
      <c r="CL3295">
        <v>0</v>
      </c>
      <c r="CM3295">
        <v>2</v>
      </c>
      <c r="CN3295">
        <v>0</v>
      </c>
      <c r="CO3295">
        <v>2</v>
      </c>
      <c r="CP3295">
        <v>0</v>
      </c>
      <c r="CQ3295">
        <v>7</v>
      </c>
      <c r="CR3295" t="s">
        <v>116</v>
      </c>
      <c r="CS3295">
        <v>38</v>
      </c>
      <c r="CT3295">
        <v>3</v>
      </c>
      <c r="CU3295" t="s">
        <v>4719</v>
      </c>
      <c r="CV3295" t="s">
        <v>4720</v>
      </c>
      <c r="CY3295">
        <v>11095767</v>
      </c>
      <c r="CZ3295" t="s">
        <v>119</v>
      </c>
    </row>
    <row r="3296" spans="1:104" x14ac:dyDescent="0.25">
      <c r="A3296" t="str">
        <f>"14:45:16.141"</f>
        <v>14:45:16.141</v>
      </c>
      <c r="B3296" t="s">
        <v>108</v>
      </c>
      <c r="C3296" t="str">
        <f t="shared" si="154"/>
        <v>ffdfd3c0</v>
      </c>
      <c r="D3296" t="s">
        <v>109</v>
      </c>
      <c r="E3296">
        <v>4</v>
      </c>
      <c r="F3296">
        <v>1004</v>
      </c>
      <c r="G3296" t="s">
        <v>110</v>
      </c>
      <c r="J3296" t="s">
        <v>111</v>
      </c>
      <c r="K3296">
        <v>0</v>
      </c>
      <c r="L3296">
        <v>3</v>
      </c>
      <c r="M3296">
        <v>0</v>
      </c>
      <c r="N3296">
        <v>2</v>
      </c>
      <c r="O3296">
        <v>1</v>
      </c>
      <c r="P3296">
        <v>0</v>
      </c>
      <c r="Q3296">
        <v>0</v>
      </c>
      <c r="R3296" t="s">
        <v>112</v>
      </c>
      <c r="S3296" t="str">
        <f>"14:45:15.977"</f>
        <v>14:45:15.977</v>
      </c>
      <c r="T3296" t="str">
        <f>"14:45:15.578"</f>
        <v>14:45:15.578</v>
      </c>
      <c r="U3296" t="str">
        <f t="shared" si="153"/>
        <v>ad5732</v>
      </c>
      <c r="V3296">
        <v>0</v>
      </c>
      <c r="W3296">
        <v>0</v>
      </c>
      <c r="X3296">
        <v>1</v>
      </c>
      <c r="Z3296">
        <v>0</v>
      </c>
      <c r="AA3296">
        <v>9</v>
      </c>
      <c r="AB3296">
        <v>3</v>
      </c>
      <c r="AC3296">
        <v>0</v>
      </c>
      <c r="AD3296">
        <v>10</v>
      </c>
      <c r="AE3296">
        <v>0</v>
      </c>
      <c r="AF3296">
        <v>3</v>
      </c>
      <c r="AG3296">
        <v>2</v>
      </c>
      <c r="AH3296">
        <v>0</v>
      </c>
      <c r="AI3296" t="s">
        <v>6694</v>
      </c>
      <c r="AJ3296">
        <v>40.386021</v>
      </c>
      <c r="AK3296" t="s">
        <v>6695</v>
      </c>
      <c r="AL3296">
        <v>-74.745913000000002</v>
      </c>
      <c r="AM3296">
        <v>100</v>
      </c>
      <c r="AN3296">
        <v>2100</v>
      </c>
      <c r="AO3296" t="s">
        <v>115</v>
      </c>
      <c r="AP3296">
        <v>179</v>
      </c>
      <c r="AQ3296">
        <v>-20</v>
      </c>
      <c r="AR3296">
        <v>-704</v>
      </c>
      <c r="AZ3296">
        <v>3614</v>
      </c>
      <c r="BA3296">
        <v>1</v>
      </c>
      <c r="BB3296" t="str">
        <f t="shared" si="155"/>
        <v xml:space="preserve">N959MJ  </v>
      </c>
      <c r="BC3296">
        <v>1</v>
      </c>
      <c r="BE3296">
        <v>0</v>
      </c>
      <c r="BF3296">
        <v>0</v>
      </c>
      <c r="BG3296">
        <v>0</v>
      </c>
      <c r="BH3296">
        <v>2275</v>
      </c>
      <c r="BI3296">
        <v>175</v>
      </c>
      <c r="BJ3296">
        <v>1</v>
      </c>
      <c r="BK3296">
        <v>1</v>
      </c>
      <c r="BL3296">
        <v>1</v>
      </c>
      <c r="BM3296">
        <v>0</v>
      </c>
      <c r="BP3296">
        <v>0</v>
      </c>
      <c r="BQ3296">
        <v>0</v>
      </c>
      <c r="BX3296" t="str">
        <f>"14:45:15.977"</f>
        <v>14:45:15.977</v>
      </c>
      <c r="BY3296" t="str">
        <f>"977274013"</f>
        <v>977274013</v>
      </c>
      <c r="CL3296">
        <v>0</v>
      </c>
      <c r="CM3296">
        <v>2</v>
      </c>
      <c r="CN3296">
        <v>0</v>
      </c>
      <c r="CO3296">
        <v>2</v>
      </c>
      <c r="CP3296">
        <v>0</v>
      </c>
      <c r="CQ3296">
        <v>7</v>
      </c>
      <c r="CR3296" t="s">
        <v>116</v>
      </c>
      <c r="CS3296">
        <v>38</v>
      </c>
      <c r="CT3296">
        <v>0</v>
      </c>
      <c r="CU3296" t="s">
        <v>4719</v>
      </c>
      <c r="CV3296" t="s">
        <v>4720</v>
      </c>
      <c r="CY3296">
        <v>7655540</v>
      </c>
      <c r="CZ3296" t="s">
        <v>119</v>
      </c>
    </row>
    <row r="3297" spans="1:104" x14ac:dyDescent="0.25">
      <c r="A3297" t="str">
        <f>"14:45:17.250"</f>
        <v>14:45:17.250</v>
      </c>
      <c r="B3297" t="s">
        <v>108</v>
      </c>
      <c r="C3297" t="str">
        <f t="shared" si="154"/>
        <v>ffdfd3c0</v>
      </c>
      <c r="D3297" t="s">
        <v>109</v>
      </c>
      <c r="E3297">
        <v>4</v>
      </c>
      <c r="F3297">
        <v>1004</v>
      </c>
      <c r="G3297" t="s">
        <v>110</v>
      </c>
      <c r="J3297" t="s">
        <v>111</v>
      </c>
      <c r="K3297">
        <v>0</v>
      </c>
      <c r="L3297">
        <v>3</v>
      </c>
      <c r="M3297">
        <v>0</v>
      </c>
      <c r="N3297">
        <v>2</v>
      </c>
      <c r="O3297">
        <v>1</v>
      </c>
      <c r="P3297">
        <v>0</v>
      </c>
      <c r="Q3297">
        <v>0</v>
      </c>
      <c r="R3297" t="s">
        <v>112</v>
      </c>
      <c r="S3297" t="str">
        <f>"14:45:17.078"</f>
        <v>14:45:17.078</v>
      </c>
      <c r="T3297" t="str">
        <f>"14:45:16.578"</f>
        <v>14:45:16.578</v>
      </c>
      <c r="U3297" t="str">
        <f t="shared" si="153"/>
        <v>ad5732</v>
      </c>
      <c r="V3297">
        <v>0</v>
      </c>
      <c r="W3297">
        <v>0</v>
      </c>
      <c r="X3297">
        <v>1</v>
      </c>
      <c r="Z3297">
        <v>0</v>
      </c>
      <c r="AA3297">
        <v>9</v>
      </c>
      <c r="AB3297">
        <v>3</v>
      </c>
      <c r="AC3297">
        <v>0</v>
      </c>
      <c r="AD3297">
        <v>10</v>
      </c>
      <c r="AE3297">
        <v>0</v>
      </c>
      <c r="AF3297">
        <v>3</v>
      </c>
      <c r="AG3297">
        <v>2</v>
      </c>
      <c r="AH3297">
        <v>0</v>
      </c>
      <c r="AI3297" t="s">
        <v>6696</v>
      </c>
      <c r="AJ3297">
        <v>40.385891999999998</v>
      </c>
      <c r="AK3297" t="s">
        <v>6697</v>
      </c>
      <c r="AL3297">
        <v>-74.744731999999999</v>
      </c>
      <c r="AM3297">
        <v>100</v>
      </c>
      <c r="AN3297">
        <v>2000</v>
      </c>
      <c r="AO3297" t="s">
        <v>115</v>
      </c>
      <c r="AP3297">
        <v>179</v>
      </c>
      <c r="AQ3297">
        <v>-20</v>
      </c>
      <c r="AR3297">
        <v>-704</v>
      </c>
      <c r="AZ3297">
        <v>3614</v>
      </c>
      <c r="BA3297">
        <v>1</v>
      </c>
      <c r="BB3297" t="str">
        <f t="shared" si="155"/>
        <v xml:space="preserve">N959MJ  </v>
      </c>
      <c r="BC3297">
        <v>1</v>
      </c>
      <c r="BE3297">
        <v>0</v>
      </c>
      <c r="BF3297">
        <v>0</v>
      </c>
      <c r="BG3297">
        <v>0</v>
      </c>
      <c r="BH3297">
        <v>2250</v>
      </c>
      <c r="BI3297">
        <v>250</v>
      </c>
      <c r="BJ3297">
        <v>1</v>
      </c>
      <c r="BK3297">
        <v>1</v>
      </c>
      <c r="BL3297">
        <v>1</v>
      </c>
      <c r="BM3297">
        <v>0</v>
      </c>
      <c r="BP3297">
        <v>0</v>
      </c>
      <c r="BQ3297">
        <v>0</v>
      </c>
      <c r="BX3297" t="str">
        <f>"14:45:17.086"</f>
        <v>14:45:17.086</v>
      </c>
      <c r="BY3297" t="str">
        <f>"083213510"</f>
        <v>083213510</v>
      </c>
      <c r="CL3297">
        <v>0</v>
      </c>
      <c r="CM3297">
        <v>2</v>
      </c>
      <c r="CN3297">
        <v>0</v>
      </c>
      <c r="CO3297">
        <v>2</v>
      </c>
      <c r="CP3297">
        <v>0</v>
      </c>
      <c r="CQ3297">
        <v>7</v>
      </c>
      <c r="CR3297" t="s">
        <v>116</v>
      </c>
      <c r="CS3297">
        <v>38</v>
      </c>
      <c r="CT3297">
        <v>0</v>
      </c>
      <c r="CU3297" t="s">
        <v>4719</v>
      </c>
      <c r="CV3297" t="s">
        <v>4720</v>
      </c>
      <c r="CY3297">
        <v>7657220</v>
      </c>
      <c r="CZ3297" t="s">
        <v>119</v>
      </c>
    </row>
    <row r="3298" spans="1:104" x14ac:dyDescent="0.25">
      <c r="A3298" t="str">
        <f>"14:45:18.211"</f>
        <v>14:45:18.211</v>
      </c>
      <c r="B3298" t="s">
        <v>108</v>
      </c>
      <c r="C3298" t="str">
        <f t="shared" si="154"/>
        <v>ffdfd3c0</v>
      </c>
      <c r="D3298" t="s">
        <v>109</v>
      </c>
      <c r="E3298">
        <v>4</v>
      </c>
      <c r="F3298">
        <v>1004</v>
      </c>
      <c r="G3298" t="s">
        <v>110</v>
      </c>
      <c r="J3298" t="s">
        <v>111</v>
      </c>
      <c r="K3298">
        <v>0</v>
      </c>
      <c r="L3298">
        <v>3</v>
      </c>
      <c r="M3298">
        <v>0</v>
      </c>
      <c r="N3298">
        <v>2</v>
      </c>
      <c r="O3298">
        <v>1</v>
      </c>
      <c r="P3298">
        <v>0</v>
      </c>
      <c r="Q3298">
        <v>0</v>
      </c>
      <c r="R3298" t="s">
        <v>112</v>
      </c>
      <c r="S3298" t="str">
        <f>"14:45:18.023"</f>
        <v>14:45:18.023</v>
      </c>
      <c r="T3298" t="str">
        <f>"14:45:17.625"</f>
        <v>14:45:17.625</v>
      </c>
      <c r="U3298" t="str">
        <f t="shared" si="153"/>
        <v>ad5732</v>
      </c>
      <c r="V3298">
        <v>0</v>
      </c>
      <c r="W3298">
        <v>0</v>
      </c>
      <c r="X3298">
        <v>1</v>
      </c>
      <c r="Z3298">
        <v>0</v>
      </c>
      <c r="AA3298">
        <v>9</v>
      </c>
      <c r="AB3298">
        <v>3</v>
      </c>
      <c r="AC3298">
        <v>0</v>
      </c>
      <c r="AD3298">
        <v>10</v>
      </c>
      <c r="AE3298">
        <v>0</v>
      </c>
      <c r="AF3298">
        <v>3</v>
      </c>
      <c r="AG3298">
        <v>2</v>
      </c>
      <c r="AH3298">
        <v>0</v>
      </c>
      <c r="AI3298" t="s">
        <v>6698</v>
      </c>
      <c r="AJ3298">
        <v>40.385784999999998</v>
      </c>
      <c r="AK3298" t="s">
        <v>6699</v>
      </c>
      <c r="AL3298">
        <v>-74.743617</v>
      </c>
      <c r="AM3298">
        <v>100</v>
      </c>
      <c r="AN3298">
        <v>2000</v>
      </c>
      <c r="AO3298" t="s">
        <v>115</v>
      </c>
      <c r="AP3298">
        <v>179</v>
      </c>
      <c r="AQ3298">
        <v>-20</v>
      </c>
      <c r="AR3298">
        <v>-704</v>
      </c>
      <c r="AZ3298">
        <v>3614</v>
      </c>
      <c r="BA3298">
        <v>1</v>
      </c>
      <c r="BB3298" t="str">
        <f t="shared" si="155"/>
        <v xml:space="preserve">N959MJ  </v>
      </c>
      <c r="BC3298">
        <v>1</v>
      </c>
      <c r="BE3298">
        <v>0</v>
      </c>
      <c r="BF3298">
        <v>0</v>
      </c>
      <c r="BG3298">
        <v>0</v>
      </c>
      <c r="BH3298">
        <v>2250</v>
      </c>
      <c r="BI3298">
        <v>250</v>
      </c>
      <c r="BJ3298">
        <v>1</v>
      </c>
      <c r="BK3298">
        <v>1</v>
      </c>
      <c r="BL3298">
        <v>1</v>
      </c>
      <c r="BM3298">
        <v>0</v>
      </c>
      <c r="BP3298">
        <v>0</v>
      </c>
      <c r="BQ3298">
        <v>0</v>
      </c>
      <c r="BX3298" t="str">
        <f>"14:45:18.023"</f>
        <v>14:45:18.023</v>
      </c>
      <c r="BY3298" t="str">
        <f>"023671681"</f>
        <v>023671681</v>
      </c>
      <c r="CL3298">
        <v>0</v>
      </c>
      <c r="CM3298">
        <v>2</v>
      </c>
      <c r="CN3298">
        <v>0</v>
      </c>
      <c r="CO3298">
        <v>2</v>
      </c>
      <c r="CP3298">
        <v>0</v>
      </c>
      <c r="CQ3298">
        <v>7</v>
      </c>
      <c r="CR3298" t="s">
        <v>116</v>
      </c>
      <c r="CS3298">
        <v>38</v>
      </c>
      <c r="CT3298">
        <v>0</v>
      </c>
      <c r="CU3298" t="s">
        <v>4719</v>
      </c>
      <c r="CV3298" t="s">
        <v>4720</v>
      </c>
      <c r="CY3298">
        <v>7658754</v>
      </c>
      <c r="CZ3298" t="s">
        <v>119</v>
      </c>
    </row>
    <row r="3299" spans="1:104" x14ac:dyDescent="0.25">
      <c r="A3299" t="str">
        <f>"14:45:19.219"</f>
        <v>14:45:19.219</v>
      </c>
      <c r="B3299" t="s">
        <v>108</v>
      </c>
      <c r="C3299" t="str">
        <f t="shared" si="154"/>
        <v>ffdfd3c0</v>
      </c>
      <c r="D3299" t="s">
        <v>109</v>
      </c>
      <c r="E3299">
        <v>4</v>
      </c>
      <c r="F3299">
        <v>1004</v>
      </c>
      <c r="G3299" t="s">
        <v>110</v>
      </c>
      <c r="J3299" t="s">
        <v>111</v>
      </c>
      <c r="K3299">
        <v>0</v>
      </c>
      <c r="L3299">
        <v>3</v>
      </c>
      <c r="M3299">
        <v>0</v>
      </c>
      <c r="N3299">
        <v>2</v>
      </c>
      <c r="O3299">
        <v>1</v>
      </c>
      <c r="P3299">
        <v>0</v>
      </c>
      <c r="Q3299">
        <v>0</v>
      </c>
      <c r="R3299" t="s">
        <v>112</v>
      </c>
      <c r="S3299" t="str">
        <f>"14:45:19.031"</f>
        <v>14:45:19.031</v>
      </c>
      <c r="T3299" t="str">
        <f>"14:45:18.633"</f>
        <v>14:45:18.633</v>
      </c>
      <c r="U3299" t="str">
        <f t="shared" si="153"/>
        <v>ad5732</v>
      </c>
      <c r="V3299">
        <v>0</v>
      </c>
      <c r="W3299">
        <v>0</v>
      </c>
      <c r="X3299">
        <v>1</v>
      </c>
      <c r="Z3299">
        <v>0</v>
      </c>
      <c r="AA3299">
        <v>9</v>
      </c>
      <c r="AB3299">
        <v>3</v>
      </c>
      <c r="AC3299">
        <v>0</v>
      </c>
      <c r="AD3299">
        <v>10</v>
      </c>
      <c r="AE3299">
        <v>0</v>
      </c>
      <c r="AF3299">
        <v>3</v>
      </c>
      <c r="AG3299">
        <v>2</v>
      </c>
      <c r="AH3299">
        <v>0</v>
      </c>
      <c r="AI3299" t="s">
        <v>6700</v>
      </c>
      <c r="AJ3299">
        <v>40.385699000000002</v>
      </c>
      <c r="AK3299" t="s">
        <v>6701</v>
      </c>
      <c r="AL3299">
        <v>-74.742543999999995</v>
      </c>
      <c r="AM3299">
        <v>100</v>
      </c>
      <c r="AN3299">
        <v>2000</v>
      </c>
      <c r="AO3299" t="s">
        <v>115</v>
      </c>
      <c r="AP3299">
        <v>179</v>
      </c>
      <c r="AQ3299">
        <v>-21</v>
      </c>
      <c r="AR3299">
        <v>-704</v>
      </c>
      <c r="AZ3299">
        <v>3614</v>
      </c>
      <c r="BA3299">
        <v>1</v>
      </c>
      <c r="BB3299" t="str">
        <f t="shared" si="155"/>
        <v xml:space="preserve">N959MJ  </v>
      </c>
      <c r="BC3299">
        <v>1</v>
      </c>
      <c r="BE3299">
        <v>0</v>
      </c>
      <c r="BF3299">
        <v>0</v>
      </c>
      <c r="BG3299">
        <v>0</v>
      </c>
      <c r="BH3299">
        <v>2225</v>
      </c>
      <c r="BI3299">
        <v>225</v>
      </c>
      <c r="BJ3299">
        <v>1</v>
      </c>
      <c r="BK3299">
        <v>1</v>
      </c>
      <c r="BL3299">
        <v>1</v>
      </c>
      <c r="BM3299">
        <v>0</v>
      </c>
      <c r="BP3299">
        <v>0</v>
      </c>
      <c r="BQ3299">
        <v>0</v>
      </c>
      <c r="BX3299" t="str">
        <f>"14:45:19.039"</f>
        <v>14:45:19.039</v>
      </c>
      <c r="BY3299" t="str">
        <f>"037859182"</f>
        <v>037859182</v>
      </c>
      <c r="CL3299">
        <v>0</v>
      </c>
      <c r="CM3299">
        <v>2</v>
      </c>
      <c r="CN3299">
        <v>0</v>
      </c>
      <c r="CO3299">
        <v>2</v>
      </c>
      <c r="CP3299">
        <v>0</v>
      </c>
      <c r="CQ3299">
        <v>7</v>
      </c>
      <c r="CR3299" t="s">
        <v>116</v>
      </c>
      <c r="CS3299">
        <v>38</v>
      </c>
      <c r="CT3299">
        <v>3</v>
      </c>
      <c r="CU3299" t="s">
        <v>4719</v>
      </c>
      <c r="CV3299" t="s">
        <v>4720</v>
      </c>
      <c r="CY3299">
        <v>11102728</v>
      </c>
      <c r="CZ3299" t="s">
        <v>119</v>
      </c>
    </row>
    <row r="3300" spans="1:104" x14ac:dyDescent="0.25">
      <c r="A3300" t="str">
        <f>"14:45:20.180"</f>
        <v>14:45:20.180</v>
      </c>
      <c r="B3300" t="s">
        <v>108</v>
      </c>
      <c r="C3300" t="str">
        <f t="shared" si="154"/>
        <v>ffdfd3c0</v>
      </c>
      <c r="D3300" t="s">
        <v>109</v>
      </c>
      <c r="E3300">
        <v>4</v>
      </c>
      <c r="F3300">
        <v>1004</v>
      </c>
      <c r="G3300" t="s">
        <v>110</v>
      </c>
      <c r="J3300" t="s">
        <v>111</v>
      </c>
      <c r="K3300">
        <v>0</v>
      </c>
      <c r="L3300">
        <v>3</v>
      </c>
      <c r="M3300">
        <v>0</v>
      </c>
      <c r="N3300">
        <v>2</v>
      </c>
      <c r="O3300">
        <v>1</v>
      </c>
      <c r="P3300">
        <v>0</v>
      </c>
      <c r="Q3300">
        <v>0</v>
      </c>
      <c r="R3300" t="s">
        <v>112</v>
      </c>
      <c r="S3300" t="str">
        <f>"14:45:19.977"</f>
        <v>14:45:19.977</v>
      </c>
      <c r="T3300" t="str">
        <f>"14:45:19.578"</f>
        <v>14:45:19.578</v>
      </c>
      <c r="U3300" t="str">
        <f t="shared" si="153"/>
        <v>ad5732</v>
      </c>
      <c r="V3300">
        <v>0</v>
      </c>
      <c r="W3300">
        <v>0</v>
      </c>
      <c r="X3300">
        <v>1</v>
      </c>
      <c r="Z3300">
        <v>0</v>
      </c>
      <c r="AA3300">
        <v>9</v>
      </c>
      <c r="AB3300">
        <v>3</v>
      </c>
      <c r="AC3300">
        <v>0</v>
      </c>
      <c r="AD3300">
        <v>10</v>
      </c>
      <c r="AE3300">
        <v>0</v>
      </c>
      <c r="AF3300">
        <v>3</v>
      </c>
      <c r="AG3300">
        <v>2</v>
      </c>
      <c r="AH3300">
        <v>0</v>
      </c>
      <c r="AI3300" t="s">
        <v>6702</v>
      </c>
      <c r="AJ3300">
        <v>40.385612999999999</v>
      </c>
      <c r="AK3300" t="s">
        <v>6703</v>
      </c>
      <c r="AL3300">
        <v>-74.741578000000004</v>
      </c>
      <c r="AM3300">
        <v>100</v>
      </c>
      <c r="AN3300">
        <v>2000</v>
      </c>
      <c r="AO3300" t="s">
        <v>115</v>
      </c>
      <c r="AP3300">
        <v>179</v>
      </c>
      <c r="AQ3300">
        <v>-21</v>
      </c>
      <c r="AR3300">
        <v>-704</v>
      </c>
      <c r="AZ3300">
        <v>3614</v>
      </c>
      <c r="BA3300">
        <v>1</v>
      </c>
      <c r="BB3300" t="str">
        <f t="shared" si="155"/>
        <v xml:space="preserve">N959MJ  </v>
      </c>
      <c r="BC3300">
        <v>1</v>
      </c>
      <c r="BE3300">
        <v>0</v>
      </c>
      <c r="BF3300">
        <v>0</v>
      </c>
      <c r="BG3300">
        <v>0</v>
      </c>
      <c r="BH3300">
        <v>2225</v>
      </c>
      <c r="BI3300">
        <v>225</v>
      </c>
      <c r="BJ3300">
        <v>1</v>
      </c>
      <c r="BK3300">
        <v>1</v>
      </c>
      <c r="BL3300">
        <v>1</v>
      </c>
      <c r="BM3300">
        <v>0</v>
      </c>
      <c r="BP3300">
        <v>0</v>
      </c>
      <c r="BQ3300">
        <v>0</v>
      </c>
      <c r="BX3300" t="str">
        <f>"14:45:19.984"</f>
        <v>14:45:19.984</v>
      </c>
      <c r="BY3300" t="str">
        <f>"983232627"</f>
        <v>983232627</v>
      </c>
      <c r="CL3300">
        <v>0</v>
      </c>
      <c r="CM3300">
        <v>2</v>
      </c>
      <c r="CN3300">
        <v>0</v>
      </c>
      <c r="CO3300">
        <v>2</v>
      </c>
      <c r="CP3300">
        <v>0</v>
      </c>
      <c r="CQ3300">
        <v>7</v>
      </c>
      <c r="CR3300" t="s">
        <v>116</v>
      </c>
      <c r="CS3300">
        <v>38</v>
      </c>
      <c r="CT3300">
        <v>0</v>
      </c>
      <c r="CU3300" t="s">
        <v>4719</v>
      </c>
      <c r="CV3300" t="s">
        <v>4720</v>
      </c>
      <c r="CY3300">
        <v>7661804</v>
      </c>
      <c r="CZ3300" t="s">
        <v>119</v>
      </c>
    </row>
    <row r="3301" spans="1:104" x14ac:dyDescent="0.25">
      <c r="A3301" t="str">
        <f>"14:45:21.039"</f>
        <v>14:45:21.039</v>
      </c>
      <c r="B3301" t="s">
        <v>108</v>
      </c>
      <c r="C3301" t="str">
        <f t="shared" si="154"/>
        <v>ffdfd3c0</v>
      </c>
      <c r="D3301" t="s">
        <v>109</v>
      </c>
      <c r="E3301">
        <v>4</v>
      </c>
      <c r="F3301">
        <v>1004</v>
      </c>
      <c r="G3301" t="s">
        <v>110</v>
      </c>
      <c r="J3301" t="s">
        <v>111</v>
      </c>
      <c r="K3301">
        <v>0</v>
      </c>
      <c r="L3301">
        <v>3</v>
      </c>
      <c r="M3301">
        <v>0</v>
      </c>
      <c r="N3301">
        <v>2</v>
      </c>
      <c r="O3301">
        <v>1</v>
      </c>
      <c r="P3301">
        <v>0</v>
      </c>
      <c r="Q3301">
        <v>0</v>
      </c>
      <c r="R3301" t="s">
        <v>112</v>
      </c>
      <c r="S3301" t="str">
        <f>"14:45:20.836"</f>
        <v>14:45:20.836</v>
      </c>
      <c r="T3301" t="str">
        <f>"14:45:20.438"</f>
        <v>14:45:20.438</v>
      </c>
      <c r="U3301" t="str">
        <f t="shared" si="153"/>
        <v>ad5732</v>
      </c>
      <c r="V3301">
        <v>0</v>
      </c>
      <c r="W3301">
        <v>0</v>
      </c>
      <c r="X3301">
        <v>1</v>
      </c>
      <c r="Z3301">
        <v>0</v>
      </c>
      <c r="AA3301">
        <v>9</v>
      </c>
      <c r="AB3301">
        <v>3</v>
      </c>
      <c r="AC3301">
        <v>0</v>
      </c>
      <c r="AD3301">
        <v>10</v>
      </c>
      <c r="AE3301">
        <v>0</v>
      </c>
      <c r="AF3301">
        <v>3</v>
      </c>
      <c r="AG3301">
        <v>2</v>
      </c>
      <c r="AH3301">
        <v>0</v>
      </c>
      <c r="AI3301" t="s">
        <v>6704</v>
      </c>
      <c r="AJ3301">
        <v>40.385505999999999</v>
      </c>
      <c r="AK3301" t="s">
        <v>6705</v>
      </c>
      <c r="AL3301">
        <v>-74.740612999999996</v>
      </c>
      <c r="AM3301">
        <v>100</v>
      </c>
      <c r="AN3301">
        <v>2000</v>
      </c>
      <c r="AO3301" t="s">
        <v>115</v>
      </c>
      <c r="AP3301">
        <v>179</v>
      </c>
      <c r="AQ3301">
        <v>-21</v>
      </c>
      <c r="AR3301">
        <v>-704</v>
      </c>
      <c r="AZ3301">
        <v>3614</v>
      </c>
      <c r="BA3301">
        <v>1</v>
      </c>
      <c r="BB3301" t="str">
        <f t="shared" si="155"/>
        <v xml:space="preserve">N959MJ  </v>
      </c>
      <c r="BC3301">
        <v>1</v>
      </c>
      <c r="BE3301">
        <v>0</v>
      </c>
      <c r="BF3301">
        <v>0</v>
      </c>
      <c r="BG3301">
        <v>0</v>
      </c>
      <c r="BH3301">
        <v>2225</v>
      </c>
      <c r="BI3301">
        <v>225</v>
      </c>
      <c r="BJ3301">
        <v>1</v>
      </c>
      <c r="BK3301">
        <v>1</v>
      </c>
      <c r="BL3301">
        <v>1</v>
      </c>
      <c r="BM3301">
        <v>0</v>
      </c>
      <c r="BP3301">
        <v>0</v>
      </c>
      <c r="BQ3301">
        <v>0</v>
      </c>
      <c r="BX3301" t="str">
        <f>"14:45:20.844"</f>
        <v>14:45:20.844</v>
      </c>
      <c r="BY3301" t="str">
        <f>"841769395"</f>
        <v>841769395</v>
      </c>
      <c r="CL3301">
        <v>0</v>
      </c>
      <c r="CM3301">
        <v>2</v>
      </c>
      <c r="CN3301">
        <v>0</v>
      </c>
      <c r="CO3301">
        <v>2</v>
      </c>
      <c r="CP3301">
        <v>0</v>
      </c>
      <c r="CQ3301">
        <v>7</v>
      </c>
      <c r="CR3301" t="s">
        <v>116</v>
      </c>
      <c r="CS3301">
        <v>38</v>
      </c>
      <c r="CT3301">
        <v>3</v>
      </c>
      <c r="CU3301" t="s">
        <v>4719</v>
      </c>
      <c r="CV3301" t="s">
        <v>4720</v>
      </c>
      <c r="CY3301">
        <v>11106003</v>
      </c>
      <c r="CZ3301" t="s">
        <v>119</v>
      </c>
    </row>
    <row r="3302" spans="1:104" x14ac:dyDescent="0.25">
      <c r="A3302" t="str">
        <f>"14:45:21.898"</f>
        <v>14:45:21.898</v>
      </c>
      <c r="B3302" t="s">
        <v>108</v>
      </c>
      <c r="C3302" t="str">
        <f t="shared" si="154"/>
        <v>ffdfd3c0</v>
      </c>
      <c r="D3302" t="s">
        <v>109</v>
      </c>
      <c r="E3302">
        <v>4</v>
      </c>
      <c r="F3302">
        <v>1004</v>
      </c>
      <c r="G3302" t="s">
        <v>110</v>
      </c>
      <c r="J3302" t="s">
        <v>111</v>
      </c>
      <c r="K3302">
        <v>0</v>
      </c>
      <c r="L3302">
        <v>3</v>
      </c>
      <c r="M3302">
        <v>0</v>
      </c>
      <c r="N3302">
        <v>2</v>
      </c>
      <c r="O3302">
        <v>1</v>
      </c>
      <c r="P3302">
        <v>0</v>
      </c>
      <c r="Q3302">
        <v>0</v>
      </c>
      <c r="R3302" t="s">
        <v>112</v>
      </c>
      <c r="S3302" t="str">
        <f>"14:45:21.719"</f>
        <v>14:45:21.719</v>
      </c>
      <c r="T3302" t="str">
        <f>"14:45:21.320"</f>
        <v>14:45:21.320</v>
      </c>
      <c r="U3302" t="str">
        <f t="shared" si="153"/>
        <v>ad5732</v>
      </c>
      <c r="V3302">
        <v>0</v>
      </c>
      <c r="W3302">
        <v>0</v>
      </c>
      <c r="X3302">
        <v>1</v>
      </c>
      <c r="Z3302">
        <v>0</v>
      </c>
      <c r="AA3302">
        <v>9</v>
      </c>
      <c r="AB3302">
        <v>3</v>
      </c>
      <c r="AC3302">
        <v>0</v>
      </c>
      <c r="AD3302">
        <v>10</v>
      </c>
      <c r="AE3302">
        <v>0</v>
      </c>
      <c r="AF3302">
        <v>3</v>
      </c>
      <c r="AG3302">
        <v>2</v>
      </c>
      <c r="AH3302">
        <v>0</v>
      </c>
      <c r="AI3302" t="s">
        <v>6706</v>
      </c>
      <c r="AJ3302">
        <v>40.385420000000003</v>
      </c>
      <c r="AK3302" t="s">
        <v>6707</v>
      </c>
      <c r="AL3302">
        <v>-74.739625000000004</v>
      </c>
      <c r="AM3302">
        <v>100</v>
      </c>
      <c r="AN3302">
        <v>2000</v>
      </c>
      <c r="AO3302" t="s">
        <v>115</v>
      </c>
      <c r="AP3302">
        <v>179</v>
      </c>
      <c r="AQ3302">
        <v>-21</v>
      </c>
      <c r="AR3302">
        <v>-704</v>
      </c>
      <c r="AZ3302">
        <v>3614</v>
      </c>
      <c r="BA3302">
        <v>1</v>
      </c>
      <c r="BB3302" t="str">
        <f t="shared" si="155"/>
        <v xml:space="preserve">N959MJ  </v>
      </c>
      <c r="BC3302">
        <v>1</v>
      </c>
      <c r="BE3302">
        <v>0</v>
      </c>
      <c r="BF3302">
        <v>0</v>
      </c>
      <c r="BG3302">
        <v>0</v>
      </c>
      <c r="BH3302">
        <v>2200</v>
      </c>
      <c r="BI3302">
        <v>200</v>
      </c>
      <c r="BJ3302">
        <v>1</v>
      </c>
      <c r="BK3302">
        <v>1</v>
      </c>
      <c r="BL3302">
        <v>1</v>
      </c>
      <c r="BM3302">
        <v>0</v>
      </c>
      <c r="BP3302">
        <v>0</v>
      </c>
      <c r="BQ3302">
        <v>0</v>
      </c>
      <c r="BX3302" t="str">
        <f>"14:45:21.727"</f>
        <v>14:45:21.727</v>
      </c>
      <c r="BY3302" t="str">
        <f>"726520947"</f>
        <v>726520947</v>
      </c>
      <c r="CL3302">
        <v>0</v>
      </c>
      <c r="CM3302">
        <v>2</v>
      </c>
      <c r="CN3302">
        <v>0</v>
      </c>
      <c r="CO3302">
        <v>2</v>
      </c>
      <c r="CP3302">
        <v>0</v>
      </c>
      <c r="CQ3302">
        <v>7</v>
      </c>
      <c r="CR3302" t="s">
        <v>116</v>
      </c>
      <c r="CS3302">
        <v>38</v>
      </c>
      <c r="CT3302">
        <v>0</v>
      </c>
      <c r="CU3302" t="s">
        <v>4719</v>
      </c>
      <c r="CV3302" t="s">
        <v>4720</v>
      </c>
      <c r="CY3302">
        <v>7664484</v>
      </c>
      <c r="CZ3302" t="s">
        <v>119</v>
      </c>
    </row>
    <row r="3303" spans="1:104" x14ac:dyDescent="0.25">
      <c r="A3303" t="str">
        <f>"14:45:22.805"</f>
        <v>14:45:22.805</v>
      </c>
      <c r="B3303" t="s">
        <v>108</v>
      </c>
      <c r="C3303" t="str">
        <f t="shared" si="154"/>
        <v>ffdfd3c0</v>
      </c>
      <c r="D3303" t="s">
        <v>109</v>
      </c>
      <c r="E3303">
        <v>4</v>
      </c>
      <c r="F3303">
        <v>1004</v>
      </c>
      <c r="G3303" t="s">
        <v>110</v>
      </c>
      <c r="J3303" t="s">
        <v>111</v>
      </c>
      <c r="K3303">
        <v>0</v>
      </c>
      <c r="L3303">
        <v>3</v>
      </c>
      <c r="M3303">
        <v>0</v>
      </c>
      <c r="N3303">
        <v>2</v>
      </c>
      <c r="O3303">
        <v>1</v>
      </c>
      <c r="P3303">
        <v>0</v>
      </c>
      <c r="Q3303">
        <v>0</v>
      </c>
      <c r="R3303" t="s">
        <v>112</v>
      </c>
      <c r="S3303" t="str">
        <f>"14:45:22.617"</f>
        <v>14:45:22.617</v>
      </c>
      <c r="T3303" t="str">
        <f>"14:45:22.219"</f>
        <v>14:45:22.219</v>
      </c>
      <c r="U3303" t="str">
        <f t="shared" si="153"/>
        <v>ad5732</v>
      </c>
      <c r="V3303">
        <v>0</v>
      </c>
      <c r="W3303">
        <v>0</v>
      </c>
      <c r="X3303">
        <v>1</v>
      </c>
      <c r="Z3303">
        <v>0</v>
      </c>
      <c r="AA3303">
        <v>9</v>
      </c>
      <c r="AB3303">
        <v>3</v>
      </c>
      <c r="AC3303">
        <v>0</v>
      </c>
      <c r="AD3303">
        <v>10</v>
      </c>
      <c r="AE3303">
        <v>0</v>
      </c>
      <c r="AF3303">
        <v>3</v>
      </c>
      <c r="AG3303">
        <v>2</v>
      </c>
      <c r="AH3303">
        <v>0</v>
      </c>
      <c r="AI3303" t="s">
        <v>6708</v>
      </c>
      <c r="AJ3303">
        <v>40.385376999999998</v>
      </c>
      <c r="AK3303" t="s">
        <v>6709</v>
      </c>
      <c r="AL3303">
        <v>-74.738766999999996</v>
      </c>
      <c r="AM3303">
        <v>100</v>
      </c>
      <c r="AN3303">
        <v>2000</v>
      </c>
      <c r="AO3303" t="s">
        <v>115</v>
      </c>
      <c r="AP3303">
        <v>179</v>
      </c>
      <c r="AQ3303">
        <v>-21</v>
      </c>
      <c r="AR3303">
        <v>-640</v>
      </c>
      <c r="AZ3303">
        <v>3614</v>
      </c>
      <c r="BA3303">
        <v>1</v>
      </c>
      <c r="BB3303" t="str">
        <f t="shared" si="155"/>
        <v xml:space="preserve">N959MJ  </v>
      </c>
      <c r="BC3303">
        <v>1</v>
      </c>
      <c r="BE3303">
        <v>0</v>
      </c>
      <c r="BF3303">
        <v>0</v>
      </c>
      <c r="BG3303">
        <v>0</v>
      </c>
      <c r="BH3303">
        <v>2200</v>
      </c>
      <c r="BI3303">
        <v>200</v>
      </c>
      <c r="BJ3303">
        <v>1</v>
      </c>
      <c r="BK3303">
        <v>1</v>
      </c>
      <c r="BL3303">
        <v>1</v>
      </c>
      <c r="BM3303">
        <v>0</v>
      </c>
      <c r="BP3303">
        <v>0</v>
      </c>
      <c r="BQ3303">
        <v>0</v>
      </c>
      <c r="BX3303" t="str">
        <f>"14:45:22.625"</f>
        <v>14:45:22.625</v>
      </c>
      <c r="BY3303" t="str">
        <f>"621103174"</f>
        <v>621103174</v>
      </c>
      <c r="CL3303">
        <v>0</v>
      </c>
      <c r="CM3303">
        <v>2</v>
      </c>
      <c r="CN3303">
        <v>0</v>
      </c>
      <c r="CO3303">
        <v>2</v>
      </c>
      <c r="CP3303">
        <v>0</v>
      </c>
      <c r="CQ3303">
        <v>7</v>
      </c>
      <c r="CR3303" t="s">
        <v>116</v>
      </c>
      <c r="CS3303">
        <v>38</v>
      </c>
      <c r="CT3303">
        <v>0</v>
      </c>
      <c r="CU3303" t="s">
        <v>4719</v>
      </c>
      <c r="CV3303" t="s">
        <v>4720</v>
      </c>
      <c r="CY3303">
        <v>7665908</v>
      </c>
      <c r="CZ3303" t="s">
        <v>119</v>
      </c>
    </row>
    <row r="3304" spans="1:104" x14ac:dyDescent="0.25">
      <c r="A3304" t="str">
        <f>"14:45:23.813"</f>
        <v>14:45:23.813</v>
      </c>
      <c r="B3304" t="s">
        <v>108</v>
      </c>
      <c r="C3304" t="str">
        <f t="shared" si="154"/>
        <v>ffdfd3c0</v>
      </c>
      <c r="D3304" t="s">
        <v>109</v>
      </c>
      <c r="E3304">
        <v>4</v>
      </c>
      <c r="F3304">
        <v>1004</v>
      </c>
      <c r="G3304" t="s">
        <v>110</v>
      </c>
      <c r="J3304" t="s">
        <v>111</v>
      </c>
      <c r="K3304">
        <v>0</v>
      </c>
      <c r="L3304">
        <v>3</v>
      </c>
      <c r="M3304">
        <v>0</v>
      </c>
      <c r="N3304">
        <v>2</v>
      </c>
      <c r="O3304">
        <v>1</v>
      </c>
      <c r="P3304">
        <v>0</v>
      </c>
      <c r="Q3304">
        <v>0</v>
      </c>
      <c r="R3304" t="s">
        <v>112</v>
      </c>
      <c r="S3304" t="str">
        <f>"14:45:23.633"</f>
        <v>14:45:23.633</v>
      </c>
      <c r="T3304" t="str">
        <f>"14:45:23.133"</f>
        <v>14:45:23.133</v>
      </c>
      <c r="U3304" t="str">
        <f t="shared" si="153"/>
        <v>ad5732</v>
      </c>
      <c r="V3304">
        <v>0</v>
      </c>
      <c r="W3304">
        <v>0</v>
      </c>
      <c r="X3304">
        <v>1</v>
      </c>
      <c r="Z3304">
        <v>0</v>
      </c>
      <c r="AA3304">
        <v>9</v>
      </c>
      <c r="AB3304">
        <v>3</v>
      </c>
      <c r="AC3304">
        <v>0</v>
      </c>
      <c r="AD3304">
        <v>10</v>
      </c>
      <c r="AE3304">
        <v>0</v>
      </c>
      <c r="AF3304">
        <v>3</v>
      </c>
      <c r="AG3304">
        <v>2</v>
      </c>
      <c r="AH3304">
        <v>0</v>
      </c>
      <c r="AI3304" t="s">
        <v>6710</v>
      </c>
      <c r="AJ3304">
        <v>40.385269999999998</v>
      </c>
      <c r="AK3304" t="s">
        <v>6711</v>
      </c>
      <c r="AL3304">
        <v>-74.737566000000001</v>
      </c>
      <c r="AM3304">
        <v>100</v>
      </c>
      <c r="AN3304">
        <v>2000</v>
      </c>
      <c r="AO3304" t="s">
        <v>115</v>
      </c>
      <c r="AP3304">
        <v>179</v>
      </c>
      <c r="AQ3304">
        <v>-21</v>
      </c>
      <c r="AR3304">
        <v>-640</v>
      </c>
      <c r="AZ3304">
        <v>3614</v>
      </c>
      <c r="BA3304">
        <v>1</v>
      </c>
      <c r="BB3304" t="str">
        <f t="shared" si="155"/>
        <v xml:space="preserve">N959MJ  </v>
      </c>
      <c r="BC3304">
        <v>1</v>
      </c>
      <c r="BE3304">
        <v>0</v>
      </c>
      <c r="BF3304">
        <v>0</v>
      </c>
      <c r="BG3304">
        <v>0</v>
      </c>
      <c r="BH3304">
        <v>2175</v>
      </c>
      <c r="BI3304">
        <v>175</v>
      </c>
      <c r="BJ3304">
        <v>1</v>
      </c>
      <c r="BK3304">
        <v>1</v>
      </c>
      <c r="BL3304">
        <v>1</v>
      </c>
      <c r="BM3304">
        <v>0</v>
      </c>
      <c r="BP3304">
        <v>0</v>
      </c>
      <c r="BQ3304">
        <v>0</v>
      </c>
      <c r="BX3304" t="str">
        <f>"14:45:23.641"</f>
        <v>14:45:23.641</v>
      </c>
      <c r="BY3304" t="str">
        <f>"636929087"</f>
        <v>636929087</v>
      </c>
      <c r="CL3304">
        <v>0</v>
      </c>
      <c r="CM3304">
        <v>2</v>
      </c>
      <c r="CN3304">
        <v>0</v>
      </c>
      <c r="CO3304">
        <v>2</v>
      </c>
      <c r="CP3304">
        <v>0</v>
      </c>
      <c r="CQ3304">
        <v>7</v>
      </c>
      <c r="CR3304" t="s">
        <v>116</v>
      </c>
      <c r="CS3304">
        <v>38</v>
      </c>
      <c r="CT3304">
        <v>0</v>
      </c>
      <c r="CU3304" t="s">
        <v>4719</v>
      </c>
      <c r="CV3304" t="s">
        <v>4720</v>
      </c>
      <c r="CY3304">
        <v>7667475</v>
      </c>
      <c r="CZ3304" t="s">
        <v>119</v>
      </c>
    </row>
    <row r="3305" spans="1:104" x14ac:dyDescent="0.25">
      <c r="A3305" t="str">
        <f>"14:45:24.727"</f>
        <v>14:45:24.727</v>
      </c>
      <c r="B3305" t="s">
        <v>108</v>
      </c>
      <c r="C3305" t="str">
        <f t="shared" si="154"/>
        <v>ffdfd3c0</v>
      </c>
      <c r="D3305" t="s">
        <v>109</v>
      </c>
      <c r="E3305">
        <v>4</v>
      </c>
      <c r="F3305">
        <v>1004</v>
      </c>
      <c r="G3305" t="s">
        <v>110</v>
      </c>
      <c r="J3305" t="s">
        <v>111</v>
      </c>
      <c r="K3305">
        <v>0</v>
      </c>
      <c r="L3305">
        <v>3</v>
      </c>
      <c r="M3305">
        <v>0</v>
      </c>
      <c r="N3305">
        <v>2</v>
      </c>
      <c r="O3305">
        <v>1</v>
      </c>
      <c r="P3305">
        <v>0</v>
      </c>
      <c r="Q3305">
        <v>0</v>
      </c>
      <c r="R3305" t="s">
        <v>112</v>
      </c>
      <c r="S3305" t="str">
        <f>"14:45:24.531"</f>
        <v>14:45:24.531</v>
      </c>
      <c r="T3305" t="str">
        <f>"14:45:24.133"</f>
        <v>14:45:24.133</v>
      </c>
      <c r="U3305" t="str">
        <f t="shared" si="153"/>
        <v>ad5732</v>
      </c>
      <c r="V3305">
        <v>0</v>
      </c>
      <c r="W3305">
        <v>0</v>
      </c>
      <c r="X3305">
        <v>1</v>
      </c>
      <c r="Z3305">
        <v>0</v>
      </c>
      <c r="AA3305">
        <v>9</v>
      </c>
      <c r="AB3305">
        <v>3</v>
      </c>
      <c r="AC3305">
        <v>0</v>
      </c>
      <c r="AD3305">
        <v>10</v>
      </c>
      <c r="AE3305">
        <v>0</v>
      </c>
      <c r="AF3305">
        <v>3</v>
      </c>
      <c r="AG3305">
        <v>2</v>
      </c>
      <c r="AH3305">
        <v>0</v>
      </c>
      <c r="AI3305" t="s">
        <v>6712</v>
      </c>
      <c r="AJ3305">
        <v>40.385184000000002</v>
      </c>
      <c r="AK3305" t="s">
        <v>6713</v>
      </c>
      <c r="AL3305">
        <v>-74.736577999999994</v>
      </c>
      <c r="AM3305">
        <v>100</v>
      </c>
      <c r="AN3305">
        <v>2000</v>
      </c>
      <c r="AO3305" t="s">
        <v>115</v>
      </c>
      <c r="AP3305">
        <v>179</v>
      </c>
      <c r="AQ3305">
        <v>-21</v>
      </c>
      <c r="AR3305">
        <v>-640</v>
      </c>
      <c r="AZ3305">
        <v>3614</v>
      </c>
      <c r="BA3305">
        <v>1</v>
      </c>
      <c r="BB3305" t="str">
        <f t="shared" si="155"/>
        <v xml:space="preserve">N959MJ  </v>
      </c>
      <c r="BC3305">
        <v>1</v>
      </c>
      <c r="BE3305">
        <v>0</v>
      </c>
      <c r="BF3305">
        <v>0</v>
      </c>
      <c r="BG3305">
        <v>0</v>
      </c>
      <c r="BH3305">
        <v>2175</v>
      </c>
      <c r="BI3305">
        <v>175</v>
      </c>
      <c r="BJ3305">
        <v>1</v>
      </c>
      <c r="BK3305">
        <v>1</v>
      </c>
      <c r="BL3305">
        <v>1</v>
      </c>
      <c r="BM3305">
        <v>0</v>
      </c>
      <c r="BP3305">
        <v>0</v>
      </c>
      <c r="BQ3305">
        <v>0</v>
      </c>
      <c r="BX3305" t="str">
        <f>"14:45:24.531"</f>
        <v>14:45:24.531</v>
      </c>
      <c r="BY3305" t="str">
        <f>"533149641"</f>
        <v>533149641</v>
      </c>
      <c r="CL3305">
        <v>0</v>
      </c>
      <c r="CM3305">
        <v>2</v>
      </c>
      <c r="CN3305">
        <v>0</v>
      </c>
      <c r="CO3305">
        <v>2</v>
      </c>
      <c r="CP3305">
        <v>0</v>
      </c>
      <c r="CQ3305">
        <v>7</v>
      </c>
      <c r="CR3305" t="s">
        <v>116</v>
      </c>
      <c r="CS3305">
        <v>38</v>
      </c>
      <c r="CT3305">
        <v>0</v>
      </c>
      <c r="CU3305" t="s">
        <v>4719</v>
      </c>
      <c r="CV3305" t="s">
        <v>4720</v>
      </c>
      <c r="CY3305">
        <v>7668857</v>
      </c>
      <c r="CZ3305" t="s">
        <v>119</v>
      </c>
    </row>
    <row r="3306" spans="1:104" x14ac:dyDescent="0.25">
      <c r="A3306" t="str">
        <f>"14:45:25.633"</f>
        <v>14:45:25.633</v>
      </c>
      <c r="B3306" t="s">
        <v>108</v>
      </c>
      <c r="C3306" t="str">
        <f t="shared" si="154"/>
        <v>ffdfd3c0</v>
      </c>
      <c r="D3306" t="s">
        <v>109</v>
      </c>
      <c r="E3306">
        <v>4</v>
      </c>
      <c r="F3306">
        <v>1004</v>
      </c>
      <c r="G3306" t="s">
        <v>110</v>
      </c>
      <c r="J3306" t="s">
        <v>111</v>
      </c>
      <c r="K3306">
        <v>0</v>
      </c>
      <c r="L3306">
        <v>3</v>
      </c>
      <c r="M3306">
        <v>0</v>
      </c>
      <c r="N3306">
        <v>2</v>
      </c>
      <c r="O3306">
        <v>1</v>
      </c>
      <c r="P3306">
        <v>0</v>
      </c>
      <c r="Q3306">
        <v>0</v>
      </c>
      <c r="R3306" t="s">
        <v>112</v>
      </c>
      <c r="S3306" t="str">
        <f>"14:45:25.430"</f>
        <v>14:45:25.430</v>
      </c>
      <c r="T3306" t="str">
        <f>"14:45:25.031"</f>
        <v>14:45:25.031</v>
      </c>
      <c r="U3306" t="str">
        <f t="shared" si="153"/>
        <v>ad5732</v>
      </c>
      <c r="V3306">
        <v>0</v>
      </c>
      <c r="W3306">
        <v>0</v>
      </c>
      <c r="X3306">
        <v>1</v>
      </c>
      <c r="Z3306">
        <v>0</v>
      </c>
      <c r="AA3306">
        <v>9</v>
      </c>
      <c r="AB3306">
        <v>3</v>
      </c>
      <c r="AC3306">
        <v>0</v>
      </c>
      <c r="AD3306">
        <v>10</v>
      </c>
      <c r="AE3306">
        <v>0</v>
      </c>
      <c r="AF3306">
        <v>3</v>
      </c>
      <c r="AG3306">
        <v>2</v>
      </c>
      <c r="AH3306">
        <v>0</v>
      </c>
      <c r="AI3306" t="s">
        <v>6714</v>
      </c>
      <c r="AJ3306">
        <v>40.385097999999999</v>
      </c>
      <c r="AK3306" t="s">
        <v>6715</v>
      </c>
      <c r="AL3306">
        <v>-74.735613000000001</v>
      </c>
      <c r="AM3306">
        <v>100</v>
      </c>
      <c r="AN3306">
        <v>2000</v>
      </c>
      <c r="AO3306" t="s">
        <v>115</v>
      </c>
      <c r="AP3306">
        <v>178</v>
      </c>
      <c r="AQ3306">
        <v>-21</v>
      </c>
      <c r="AR3306">
        <v>-640</v>
      </c>
      <c r="AZ3306">
        <v>3614</v>
      </c>
      <c r="BA3306">
        <v>1</v>
      </c>
      <c r="BB3306" t="str">
        <f t="shared" si="155"/>
        <v xml:space="preserve">N959MJ  </v>
      </c>
      <c r="BC3306">
        <v>1</v>
      </c>
      <c r="BE3306">
        <v>0</v>
      </c>
      <c r="BF3306">
        <v>0</v>
      </c>
      <c r="BG3306">
        <v>0</v>
      </c>
      <c r="BH3306">
        <v>2150</v>
      </c>
      <c r="BI3306">
        <v>150</v>
      </c>
      <c r="BJ3306">
        <v>1</v>
      </c>
      <c r="BK3306">
        <v>1</v>
      </c>
      <c r="BL3306">
        <v>1</v>
      </c>
      <c r="BM3306">
        <v>0</v>
      </c>
      <c r="BP3306">
        <v>0</v>
      </c>
      <c r="BQ3306">
        <v>0</v>
      </c>
      <c r="BX3306" t="str">
        <f>"14:45:25.430"</f>
        <v>14:45:25.430</v>
      </c>
      <c r="BY3306" t="str">
        <f>"432647101"</f>
        <v>432647101</v>
      </c>
      <c r="CL3306">
        <v>0</v>
      </c>
      <c r="CM3306">
        <v>2</v>
      </c>
      <c r="CN3306">
        <v>0</v>
      </c>
      <c r="CO3306">
        <v>2</v>
      </c>
      <c r="CP3306">
        <v>0</v>
      </c>
      <c r="CQ3306">
        <v>7</v>
      </c>
      <c r="CR3306" t="s">
        <v>116</v>
      </c>
      <c r="CS3306">
        <v>38</v>
      </c>
      <c r="CT3306">
        <v>0</v>
      </c>
      <c r="CU3306" t="s">
        <v>4719</v>
      </c>
      <c r="CV3306" t="s">
        <v>4720</v>
      </c>
      <c r="CY3306">
        <v>7670272</v>
      </c>
      <c r="CZ3306" t="s">
        <v>119</v>
      </c>
    </row>
    <row r="3307" spans="1:104" x14ac:dyDescent="0.25">
      <c r="A3307" t="str">
        <f>"14:45:26.695"</f>
        <v>14:45:26.695</v>
      </c>
      <c r="B3307" t="s">
        <v>108</v>
      </c>
      <c r="C3307" t="str">
        <f t="shared" si="154"/>
        <v>ffdfd3c0</v>
      </c>
      <c r="D3307" t="s">
        <v>109</v>
      </c>
      <c r="E3307">
        <v>4</v>
      </c>
      <c r="F3307">
        <v>1004</v>
      </c>
      <c r="G3307" t="s">
        <v>110</v>
      </c>
      <c r="J3307" t="s">
        <v>111</v>
      </c>
      <c r="K3307">
        <v>0</v>
      </c>
      <c r="L3307">
        <v>3</v>
      </c>
      <c r="M3307">
        <v>0</v>
      </c>
      <c r="N3307">
        <v>2</v>
      </c>
      <c r="O3307">
        <v>1</v>
      </c>
      <c r="P3307">
        <v>0</v>
      </c>
      <c r="Q3307">
        <v>0</v>
      </c>
      <c r="R3307" t="s">
        <v>112</v>
      </c>
      <c r="S3307" t="str">
        <f>"14:45:26.508"</f>
        <v>14:45:26.508</v>
      </c>
      <c r="T3307" t="str">
        <f>"14:45:26.008"</f>
        <v>14:45:26.008</v>
      </c>
      <c r="U3307" t="str">
        <f t="shared" si="153"/>
        <v>ad5732</v>
      </c>
      <c r="V3307">
        <v>0</v>
      </c>
      <c r="W3307">
        <v>0</v>
      </c>
      <c r="X3307">
        <v>1</v>
      </c>
      <c r="Z3307">
        <v>0</v>
      </c>
      <c r="AA3307">
        <v>9</v>
      </c>
      <c r="AB3307">
        <v>3</v>
      </c>
      <c r="AC3307">
        <v>0</v>
      </c>
      <c r="AD3307">
        <v>10</v>
      </c>
      <c r="AE3307">
        <v>0</v>
      </c>
      <c r="AF3307">
        <v>3</v>
      </c>
      <c r="AG3307">
        <v>2</v>
      </c>
      <c r="AH3307">
        <v>0</v>
      </c>
      <c r="AI3307" t="s">
        <v>6716</v>
      </c>
      <c r="AJ3307">
        <v>40.384990999999999</v>
      </c>
      <c r="AK3307" t="s">
        <v>6717</v>
      </c>
      <c r="AL3307">
        <v>-74.734560999999999</v>
      </c>
      <c r="AM3307">
        <v>100</v>
      </c>
      <c r="AN3307">
        <v>2000</v>
      </c>
      <c r="AO3307" t="s">
        <v>115</v>
      </c>
      <c r="AP3307">
        <v>178</v>
      </c>
      <c r="AQ3307">
        <v>-21</v>
      </c>
      <c r="AR3307">
        <v>-640</v>
      </c>
      <c r="AZ3307">
        <v>3614</v>
      </c>
      <c r="BA3307">
        <v>1</v>
      </c>
      <c r="BB3307" t="str">
        <f t="shared" si="155"/>
        <v xml:space="preserve">N959MJ  </v>
      </c>
      <c r="BC3307">
        <v>1</v>
      </c>
      <c r="BE3307">
        <v>0</v>
      </c>
      <c r="BF3307">
        <v>0</v>
      </c>
      <c r="BG3307">
        <v>0</v>
      </c>
      <c r="BH3307">
        <v>2150</v>
      </c>
      <c r="BI3307">
        <v>150</v>
      </c>
      <c r="BJ3307">
        <v>1</v>
      </c>
      <c r="BK3307">
        <v>1</v>
      </c>
      <c r="BL3307">
        <v>1</v>
      </c>
      <c r="BM3307">
        <v>0</v>
      </c>
      <c r="BP3307">
        <v>0</v>
      </c>
      <c r="BQ3307">
        <v>0</v>
      </c>
      <c r="BX3307" t="str">
        <f>"14:45:26.508"</f>
        <v>14:45:26.508</v>
      </c>
      <c r="BY3307" t="str">
        <f>"509094895"</f>
        <v>509094895</v>
      </c>
      <c r="CL3307">
        <v>0</v>
      </c>
      <c r="CM3307">
        <v>2</v>
      </c>
      <c r="CN3307">
        <v>0</v>
      </c>
      <c r="CO3307">
        <v>2</v>
      </c>
      <c r="CP3307">
        <v>0</v>
      </c>
      <c r="CQ3307">
        <v>7</v>
      </c>
      <c r="CR3307" t="s">
        <v>116</v>
      </c>
      <c r="CS3307">
        <v>38</v>
      </c>
      <c r="CT3307">
        <v>0</v>
      </c>
      <c r="CU3307" t="s">
        <v>4719</v>
      </c>
      <c r="CV3307" t="s">
        <v>4720</v>
      </c>
      <c r="CY3307">
        <v>7671962</v>
      </c>
      <c r="CZ3307" t="s">
        <v>119</v>
      </c>
    </row>
    <row r="3308" spans="1:104" x14ac:dyDescent="0.25">
      <c r="A3308" t="str">
        <f>"14:45:27.750"</f>
        <v>14:45:27.750</v>
      </c>
      <c r="B3308" t="s">
        <v>108</v>
      </c>
      <c r="C3308" t="str">
        <f t="shared" si="154"/>
        <v>ffdfd3c0</v>
      </c>
      <c r="D3308" t="s">
        <v>109</v>
      </c>
      <c r="E3308">
        <v>4</v>
      </c>
      <c r="F3308">
        <v>1004</v>
      </c>
      <c r="G3308" t="s">
        <v>110</v>
      </c>
      <c r="J3308" t="s">
        <v>111</v>
      </c>
      <c r="K3308">
        <v>0</v>
      </c>
      <c r="L3308">
        <v>3</v>
      </c>
      <c r="M3308">
        <v>0</v>
      </c>
      <c r="N3308">
        <v>2</v>
      </c>
      <c r="O3308">
        <v>1</v>
      </c>
      <c r="P3308">
        <v>0</v>
      </c>
      <c r="Q3308">
        <v>0</v>
      </c>
      <c r="R3308" t="s">
        <v>112</v>
      </c>
      <c r="S3308" t="str">
        <f>"14:45:27.555"</f>
        <v>14:45:27.555</v>
      </c>
      <c r="T3308" t="str">
        <f>"14:45:27.156"</f>
        <v>14:45:27.156</v>
      </c>
      <c r="U3308" t="str">
        <f t="shared" si="153"/>
        <v>ad5732</v>
      </c>
      <c r="V3308">
        <v>0</v>
      </c>
      <c r="W3308">
        <v>0</v>
      </c>
      <c r="X3308">
        <v>1</v>
      </c>
      <c r="Z3308">
        <v>0</v>
      </c>
      <c r="AA3308">
        <v>9</v>
      </c>
      <c r="AB3308">
        <v>3</v>
      </c>
      <c r="AC3308">
        <v>0</v>
      </c>
      <c r="AD3308">
        <v>10</v>
      </c>
      <c r="AE3308">
        <v>0</v>
      </c>
      <c r="AF3308">
        <v>3</v>
      </c>
      <c r="AG3308">
        <v>2</v>
      </c>
      <c r="AH3308">
        <v>0</v>
      </c>
      <c r="AI3308" t="s">
        <v>6718</v>
      </c>
      <c r="AJ3308">
        <v>40.384861999999998</v>
      </c>
      <c r="AK3308" t="s">
        <v>6719</v>
      </c>
      <c r="AL3308">
        <v>-74.733338000000003</v>
      </c>
      <c r="AM3308">
        <v>100</v>
      </c>
      <c r="AN3308">
        <v>2000</v>
      </c>
      <c r="AO3308" t="s">
        <v>115</v>
      </c>
      <c r="AP3308">
        <v>178</v>
      </c>
      <c r="AQ3308">
        <v>-21</v>
      </c>
      <c r="AR3308">
        <v>-704</v>
      </c>
      <c r="AZ3308">
        <v>3614</v>
      </c>
      <c r="BA3308">
        <v>1</v>
      </c>
      <c r="BB3308" t="str">
        <f t="shared" si="155"/>
        <v xml:space="preserve">N959MJ  </v>
      </c>
      <c r="BC3308">
        <v>1</v>
      </c>
      <c r="BE3308">
        <v>0</v>
      </c>
      <c r="BF3308">
        <v>0</v>
      </c>
      <c r="BG3308">
        <v>0</v>
      </c>
      <c r="BH3308">
        <v>2150</v>
      </c>
      <c r="BI3308">
        <v>150</v>
      </c>
      <c r="BJ3308">
        <v>1</v>
      </c>
      <c r="BK3308">
        <v>1</v>
      </c>
      <c r="BL3308">
        <v>1</v>
      </c>
      <c r="BM3308">
        <v>0</v>
      </c>
      <c r="BP3308">
        <v>0</v>
      </c>
      <c r="BQ3308">
        <v>0</v>
      </c>
      <c r="BX3308" t="str">
        <f>"14:45:27.555"</f>
        <v>14:45:27.555</v>
      </c>
      <c r="BY3308" t="str">
        <f>"556051067"</f>
        <v>556051067</v>
      </c>
      <c r="CL3308">
        <v>0</v>
      </c>
      <c r="CM3308">
        <v>2</v>
      </c>
      <c r="CN3308">
        <v>0</v>
      </c>
      <c r="CO3308">
        <v>2</v>
      </c>
      <c r="CP3308">
        <v>0</v>
      </c>
      <c r="CQ3308">
        <v>7</v>
      </c>
      <c r="CR3308" t="s">
        <v>116</v>
      </c>
      <c r="CS3308">
        <v>38</v>
      </c>
      <c r="CT3308">
        <v>0</v>
      </c>
      <c r="CU3308" t="s">
        <v>4719</v>
      </c>
      <c r="CV3308" t="s">
        <v>4720</v>
      </c>
      <c r="CY3308">
        <v>7673675</v>
      </c>
      <c r="CZ3308" t="s">
        <v>119</v>
      </c>
    </row>
    <row r="3309" spans="1:104" x14ac:dyDescent="0.25">
      <c r="A3309" t="str">
        <f>"14:45:28.758"</f>
        <v>14:45:28.758</v>
      </c>
      <c r="B3309" t="s">
        <v>108</v>
      </c>
      <c r="C3309" t="str">
        <f t="shared" si="154"/>
        <v>ffdfd3c0</v>
      </c>
      <c r="D3309" t="s">
        <v>109</v>
      </c>
      <c r="E3309">
        <v>4</v>
      </c>
      <c r="F3309">
        <v>1004</v>
      </c>
      <c r="G3309" t="s">
        <v>110</v>
      </c>
      <c r="J3309" t="s">
        <v>111</v>
      </c>
      <c r="K3309">
        <v>0</v>
      </c>
      <c r="L3309">
        <v>3</v>
      </c>
      <c r="M3309">
        <v>0</v>
      </c>
      <c r="N3309">
        <v>2</v>
      </c>
      <c r="O3309">
        <v>1</v>
      </c>
      <c r="P3309">
        <v>0</v>
      </c>
      <c r="Q3309">
        <v>0</v>
      </c>
      <c r="R3309" t="s">
        <v>112</v>
      </c>
      <c r="S3309" t="str">
        <f>"14:45:28.578"</f>
        <v>14:45:28.578</v>
      </c>
      <c r="T3309" t="str">
        <f>"14:45:28.180"</f>
        <v>14:45:28.180</v>
      </c>
      <c r="U3309" t="str">
        <f t="shared" si="153"/>
        <v>ad5732</v>
      </c>
      <c r="V3309">
        <v>0</v>
      </c>
      <c r="W3309">
        <v>0</v>
      </c>
      <c r="X3309">
        <v>1</v>
      </c>
      <c r="Z3309">
        <v>0</v>
      </c>
      <c r="AA3309">
        <v>9</v>
      </c>
      <c r="AB3309">
        <v>3</v>
      </c>
      <c r="AC3309">
        <v>0</v>
      </c>
      <c r="AD3309">
        <v>10</v>
      </c>
      <c r="AE3309">
        <v>0</v>
      </c>
      <c r="AF3309">
        <v>3</v>
      </c>
      <c r="AG3309">
        <v>2</v>
      </c>
      <c r="AH3309">
        <v>0</v>
      </c>
      <c r="AI3309" t="s">
        <v>6720</v>
      </c>
      <c r="AJ3309">
        <v>40.384777</v>
      </c>
      <c r="AK3309" t="s">
        <v>6721</v>
      </c>
      <c r="AL3309">
        <v>-74.732243999999994</v>
      </c>
      <c r="AM3309">
        <v>100</v>
      </c>
      <c r="AN3309">
        <v>1900</v>
      </c>
      <c r="AO3309" t="s">
        <v>115</v>
      </c>
      <c r="AP3309">
        <v>178</v>
      </c>
      <c r="AQ3309">
        <v>-21</v>
      </c>
      <c r="AR3309">
        <v>-704</v>
      </c>
      <c r="AZ3309">
        <v>3614</v>
      </c>
      <c r="BA3309">
        <v>1</v>
      </c>
      <c r="BB3309" t="str">
        <f t="shared" si="155"/>
        <v xml:space="preserve">N959MJ  </v>
      </c>
      <c r="BC3309">
        <v>1</v>
      </c>
      <c r="BE3309">
        <v>0</v>
      </c>
      <c r="BF3309">
        <v>0</v>
      </c>
      <c r="BG3309">
        <v>0</v>
      </c>
      <c r="BH3309">
        <v>2125</v>
      </c>
      <c r="BI3309">
        <v>225</v>
      </c>
      <c r="BJ3309">
        <v>1</v>
      </c>
      <c r="BK3309">
        <v>1</v>
      </c>
      <c r="BL3309">
        <v>1</v>
      </c>
      <c r="BM3309">
        <v>0</v>
      </c>
      <c r="BP3309">
        <v>0</v>
      </c>
      <c r="BQ3309">
        <v>0</v>
      </c>
      <c r="BX3309" t="str">
        <f>"14:45:28.586"</f>
        <v>14:45:28.586</v>
      </c>
      <c r="BY3309" t="str">
        <f>"584984315"</f>
        <v>584984315</v>
      </c>
      <c r="CL3309">
        <v>0</v>
      </c>
      <c r="CM3309">
        <v>2</v>
      </c>
      <c r="CN3309">
        <v>0</v>
      </c>
      <c r="CO3309">
        <v>2</v>
      </c>
      <c r="CP3309">
        <v>0</v>
      </c>
      <c r="CQ3309">
        <v>7</v>
      </c>
      <c r="CR3309" t="s">
        <v>116</v>
      </c>
      <c r="CS3309">
        <v>38</v>
      </c>
      <c r="CT3309">
        <v>0</v>
      </c>
      <c r="CU3309" t="s">
        <v>4719</v>
      </c>
      <c r="CV3309" t="s">
        <v>4720</v>
      </c>
      <c r="CY3309">
        <v>7675248</v>
      </c>
      <c r="CZ3309" t="s">
        <v>119</v>
      </c>
    </row>
    <row r="3310" spans="1:104" x14ac:dyDescent="0.25">
      <c r="A3310" t="str">
        <f>"14:45:29.672"</f>
        <v>14:45:29.672</v>
      </c>
      <c r="B3310" t="s">
        <v>108</v>
      </c>
      <c r="C3310" t="str">
        <f t="shared" si="154"/>
        <v>ffdfd3c0</v>
      </c>
      <c r="D3310" t="s">
        <v>109</v>
      </c>
      <c r="E3310">
        <v>4</v>
      </c>
      <c r="F3310">
        <v>1004</v>
      </c>
      <c r="G3310" t="s">
        <v>110</v>
      </c>
      <c r="J3310" t="s">
        <v>111</v>
      </c>
      <c r="K3310">
        <v>0</v>
      </c>
      <c r="L3310">
        <v>3</v>
      </c>
      <c r="M3310">
        <v>0</v>
      </c>
      <c r="N3310">
        <v>2</v>
      </c>
      <c r="O3310">
        <v>1</v>
      </c>
      <c r="P3310">
        <v>0</v>
      </c>
      <c r="Q3310">
        <v>0</v>
      </c>
      <c r="R3310" t="s">
        <v>112</v>
      </c>
      <c r="S3310" t="str">
        <f>"14:45:29.492"</f>
        <v>14:45:29.492</v>
      </c>
      <c r="T3310" t="str">
        <f>"14:45:29.094"</f>
        <v>14:45:29.094</v>
      </c>
      <c r="U3310" t="str">
        <f t="shared" si="153"/>
        <v>ad5732</v>
      </c>
      <c r="V3310">
        <v>0</v>
      </c>
      <c r="W3310">
        <v>0</v>
      </c>
      <c r="X3310">
        <v>1</v>
      </c>
      <c r="Z3310">
        <v>0</v>
      </c>
      <c r="AA3310">
        <v>9</v>
      </c>
      <c r="AB3310">
        <v>3</v>
      </c>
      <c r="AC3310">
        <v>0</v>
      </c>
      <c r="AD3310">
        <v>10</v>
      </c>
      <c r="AE3310">
        <v>0</v>
      </c>
      <c r="AF3310">
        <v>3</v>
      </c>
      <c r="AG3310">
        <v>2</v>
      </c>
      <c r="AH3310">
        <v>0</v>
      </c>
      <c r="AI3310" t="s">
        <v>6722</v>
      </c>
      <c r="AJ3310">
        <v>40.384669000000002</v>
      </c>
      <c r="AK3310" t="s">
        <v>6723</v>
      </c>
      <c r="AL3310">
        <v>-74.731320999999994</v>
      </c>
      <c r="AM3310">
        <v>100</v>
      </c>
      <c r="AN3310">
        <v>1900</v>
      </c>
      <c r="AO3310" t="s">
        <v>115</v>
      </c>
      <c r="AP3310">
        <v>178</v>
      </c>
      <c r="AQ3310">
        <v>-21</v>
      </c>
      <c r="AR3310">
        <v>-704</v>
      </c>
      <c r="AZ3310">
        <v>3614</v>
      </c>
      <c r="BA3310">
        <v>1</v>
      </c>
      <c r="BB3310" t="str">
        <f t="shared" si="155"/>
        <v xml:space="preserve">N959MJ  </v>
      </c>
      <c r="BC3310">
        <v>1</v>
      </c>
      <c r="BE3310">
        <v>0</v>
      </c>
      <c r="BF3310">
        <v>0</v>
      </c>
      <c r="BG3310">
        <v>0</v>
      </c>
      <c r="BH3310">
        <v>2125</v>
      </c>
      <c r="BI3310">
        <v>225</v>
      </c>
      <c r="BJ3310">
        <v>1</v>
      </c>
      <c r="BK3310">
        <v>1</v>
      </c>
      <c r="BL3310">
        <v>1</v>
      </c>
      <c r="BM3310">
        <v>0</v>
      </c>
      <c r="BP3310">
        <v>0</v>
      </c>
      <c r="BQ3310">
        <v>0</v>
      </c>
      <c r="BX3310" t="str">
        <f>"14:45:29.492"</f>
        <v>14:45:29.492</v>
      </c>
      <c r="BY3310" t="str">
        <f>"494312370"</f>
        <v>494312370</v>
      </c>
      <c r="CL3310">
        <v>0</v>
      </c>
      <c r="CM3310">
        <v>2</v>
      </c>
      <c r="CN3310">
        <v>0</v>
      </c>
      <c r="CO3310">
        <v>2</v>
      </c>
      <c r="CP3310">
        <v>0</v>
      </c>
      <c r="CQ3310">
        <v>7</v>
      </c>
      <c r="CR3310" t="s">
        <v>116</v>
      </c>
      <c r="CS3310">
        <v>38</v>
      </c>
      <c r="CT3310">
        <v>0</v>
      </c>
      <c r="CU3310" t="s">
        <v>4719</v>
      </c>
      <c r="CV3310" t="s">
        <v>4720</v>
      </c>
      <c r="CY3310">
        <v>7676616</v>
      </c>
      <c r="CZ3310" t="s">
        <v>119</v>
      </c>
    </row>
    <row r="3311" spans="1:104" x14ac:dyDescent="0.25">
      <c r="A3311" t="str">
        <f>"14:45:30.578"</f>
        <v>14:45:30.578</v>
      </c>
      <c r="B3311" t="s">
        <v>108</v>
      </c>
      <c r="C3311" t="str">
        <f t="shared" si="154"/>
        <v>ffdfd3c0</v>
      </c>
      <c r="D3311" t="s">
        <v>109</v>
      </c>
      <c r="E3311">
        <v>4</v>
      </c>
      <c r="F3311">
        <v>1004</v>
      </c>
      <c r="G3311" t="s">
        <v>110</v>
      </c>
      <c r="J3311" t="s">
        <v>111</v>
      </c>
      <c r="K3311">
        <v>0</v>
      </c>
      <c r="L3311">
        <v>3</v>
      </c>
      <c r="M3311">
        <v>0</v>
      </c>
      <c r="N3311">
        <v>2</v>
      </c>
      <c r="O3311">
        <v>1</v>
      </c>
      <c r="P3311">
        <v>0</v>
      </c>
      <c r="Q3311">
        <v>0</v>
      </c>
      <c r="R3311" t="s">
        <v>112</v>
      </c>
      <c r="S3311" t="str">
        <f>"14:45:30.398"</f>
        <v>14:45:30.398</v>
      </c>
      <c r="T3311" t="str">
        <f>"14:45:30.000"</f>
        <v>14:45:30.000</v>
      </c>
      <c r="U3311" t="str">
        <f t="shared" si="153"/>
        <v>ad5732</v>
      </c>
      <c r="V3311">
        <v>0</v>
      </c>
      <c r="W3311">
        <v>0</v>
      </c>
      <c r="X3311">
        <v>1</v>
      </c>
      <c r="Z3311">
        <v>0</v>
      </c>
      <c r="AA3311">
        <v>9</v>
      </c>
      <c r="AB3311">
        <v>3</v>
      </c>
      <c r="AC3311">
        <v>0</v>
      </c>
      <c r="AD3311">
        <v>10</v>
      </c>
      <c r="AE3311">
        <v>0</v>
      </c>
      <c r="AF3311">
        <v>3</v>
      </c>
      <c r="AG3311">
        <v>2</v>
      </c>
      <c r="AH3311">
        <v>0</v>
      </c>
      <c r="AI3311" t="s">
        <v>6724</v>
      </c>
      <c r="AJ3311">
        <v>40.384605000000001</v>
      </c>
      <c r="AK3311" t="s">
        <v>6725</v>
      </c>
      <c r="AL3311">
        <v>-74.730356</v>
      </c>
      <c r="AM3311">
        <v>100</v>
      </c>
      <c r="AN3311">
        <v>1900</v>
      </c>
      <c r="AO3311" t="s">
        <v>115</v>
      </c>
      <c r="AP3311">
        <v>178</v>
      </c>
      <c r="AQ3311">
        <v>-21</v>
      </c>
      <c r="AR3311">
        <v>-704</v>
      </c>
      <c r="AZ3311">
        <v>3614</v>
      </c>
      <c r="BA3311">
        <v>1</v>
      </c>
      <c r="BB3311" t="str">
        <f t="shared" si="155"/>
        <v xml:space="preserve">N959MJ  </v>
      </c>
      <c r="BC3311">
        <v>1</v>
      </c>
      <c r="BE3311">
        <v>0</v>
      </c>
      <c r="BF3311">
        <v>0</v>
      </c>
      <c r="BG3311">
        <v>0</v>
      </c>
      <c r="BH3311">
        <v>2100</v>
      </c>
      <c r="BI3311">
        <v>200</v>
      </c>
      <c r="BJ3311">
        <v>1</v>
      </c>
      <c r="BK3311">
        <v>1</v>
      </c>
      <c r="BL3311">
        <v>1</v>
      </c>
      <c r="BM3311">
        <v>0</v>
      </c>
      <c r="BP3311">
        <v>0</v>
      </c>
      <c r="BQ3311">
        <v>0</v>
      </c>
      <c r="BX3311" t="str">
        <f>"14:45:30.398"</f>
        <v>14:45:30.398</v>
      </c>
      <c r="BY3311" t="str">
        <f>"398848701"</f>
        <v>398848701</v>
      </c>
      <c r="CL3311">
        <v>0</v>
      </c>
      <c r="CM3311">
        <v>2</v>
      </c>
      <c r="CN3311">
        <v>0</v>
      </c>
      <c r="CO3311">
        <v>2</v>
      </c>
      <c r="CP3311">
        <v>0</v>
      </c>
      <c r="CQ3311">
        <v>5</v>
      </c>
      <c r="CR3311" t="s">
        <v>116</v>
      </c>
      <c r="CS3311">
        <v>409</v>
      </c>
      <c r="CT3311">
        <v>1</v>
      </c>
      <c r="CU3311" t="s">
        <v>5087</v>
      </c>
      <c r="CV3311" t="s">
        <v>5088</v>
      </c>
      <c r="CY3311">
        <v>3988976</v>
      </c>
      <c r="CZ3311" t="s">
        <v>119</v>
      </c>
    </row>
    <row r="3312" spans="1:104" x14ac:dyDescent="0.25">
      <c r="A3312" t="str">
        <f>"14:45:31.438"</f>
        <v>14:45:31.438</v>
      </c>
      <c r="B3312" t="s">
        <v>108</v>
      </c>
      <c r="C3312" t="str">
        <f t="shared" si="154"/>
        <v>ffdfd3c0</v>
      </c>
      <c r="D3312" t="s">
        <v>109</v>
      </c>
      <c r="E3312">
        <v>4</v>
      </c>
      <c r="F3312">
        <v>1004</v>
      </c>
      <c r="G3312" t="s">
        <v>110</v>
      </c>
      <c r="J3312" t="s">
        <v>111</v>
      </c>
      <c r="K3312">
        <v>0</v>
      </c>
      <c r="L3312">
        <v>3</v>
      </c>
      <c r="M3312">
        <v>0</v>
      </c>
      <c r="N3312">
        <v>2</v>
      </c>
      <c r="O3312">
        <v>1</v>
      </c>
      <c r="P3312">
        <v>0</v>
      </c>
      <c r="Q3312">
        <v>0</v>
      </c>
      <c r="R3312" t="s">
        <v>112</v>
      </c>
      <c r="S3312" t="str">
        <f>"14:45:31.273"</f>
        <v>14:45:31.273</v>
      </c>
      <c r="T3312" t="str">
        <f>"14:45:30.875"</f>
        <v>14:45:30.875</v>
      </c>
      <c r="U3312" t="str">
        <f t="shared" si="153"/>
        <v>ad5732</v>
      </c>
      <c r="V3312">
        <v>0</v>
      </c>
      <c r="W3312">
        <v>0</v>
      </c>
      <c r="X3312">
        <v>1</v>
      </c>
      <c r="Z3312">
        <v>0</v>
      </c>
      <c r="AA3312">
        <v>9</v>
      </c>
      <c r="AB3312">
        <v>3</v>
      </c>
      <c r="AC3312">
        <v>0</v>
      </c>
      <c r="AD3312">
        <v>10</v>
      </c>
      <c r="AE3312">
        <v>0</v>
      </c>
      <c r="AF3312">
        <v>3</v>
      </c>
      <c r="AG3312">
        <v>2</v>
      </c>
      <c r="AH3312">
        <v>0</v>
      </c>
      <c r="AI3312" t="s">
        <v>6726</v>
      </c>
      <c r="AJ3312">
        <v>40.384540999999999</v>
      </c>
      <c r="AK3312" t="s">
        <v>6727</v>
      </c>
      <c r="AL3312">
        <v>-74.729369000000005</v>
      </c>
      <c r="AM3312">
        <v>100</v>
      </c>
      <c r="AN3312">
        <v>1900</v>
      </c>
      <c r="AO3312" t="s">
        <v>115</v>
      </c>
      <c r="AP3312">
        <v>178</v>
      </c>
      <c r="AQ3312">
        <v>-21</v>
      </c>
      <c r="AR3312">
        <v>-704</v>
      </c>
      <c r="AZ3312">
        <v>3614</v>
      </c>
      <c r="BA3312">
        <v>1</v>
      </c>
      <c r="BB3312" t="str">
        <f t="shared" si="155"/>
        <v xml:space="preserve">N959MJ  </v>
      </c>
      <c r="BC3312">
        <v>1</v>
      </c>
      <c r="BE3312">
        <v>0</v>
      </c>
      <c r="BF3312">
        <v>0</v>
      </c>
      <c r="BG3312">
        <v>0</v>
      </c>
      <c r="BH3312">
        <v>2100</v>
      </c>
      <c r="BI3312">
        <v>200</v>
      </c>
      <c r="BJ3312">
        <v>1</v>
      </c>
      <c r="BK3312">
        <v>1</v>
      </c>
      <c r="BL3312">
        <v>1</v>
      </c>
      <c r="BM3312">
        <v>0</v>
      </c>
      <c r="BP3312">
        <v>0</v>
      </c>
      <c r="BQ3312">
        <v>0</v>
      </c>
      <c r="BX3312" t="str">
        <f>"14:45:31.281"</f>
        <v>14:45:31.281</v>
      </c>
      <c r="BY3312" t="str">
        <f>"280199928"</f>
        <v>280199928</v>
      </c>
      <c r="CL3312">
        <v>0</v>
      </c>
      <c r="CM3312">
        <v>2</v>
      </c>
      <c r="CN3312">
        <v>0</v>
      </c>
      <c r="CO3312">
        <v>2</v>
      </c>
      <c r="CP3312">
        <v>0</v>
      </c>
      <c r="CQ3312">
        <v>7</v>
      </c>
      <c r="CR3312" t="s">
        <v>116</v>
      </c>
      <c r="CS3312">
        <v>38</v>
      </c>
      <c r="CT3312">
        <v>3</v>
      </c>
      <c r="CU3312" t="s">
        <v>4719</v>
      </c>
      <c r="CV3312" t="s">
        <v>4720</v>
      </c>
      <c r="CY3312">
        <v>11124315</v>
      </c>
      <c r="CZ3312" t="s">
        <v>119</v>
      </c>
    </row>
    <row r="3313" spans="1:104" x14ac:dyDescent="0.25">
      <c r="A3313" t="str">
        <f>"14:45:32.500"</f>
        <v>14:45:32.500</v>
      </c>
      <c r="B3313" t="s">
        <v>108</v>
      </c>
      <c r="C3313" t="str">
        <f t="shared" si="154"/>
        <v>ffdfd3c0</v>
      </c>
      <c r="D3313" t="s">
        <v>109</v>
      </c>
      <c r="E3313">
        <v>4</v>
      </c>
      <c r="F3313">
        <v>1004</v>
      </c>
      <c r="G3313" t="s">
        <v>110</v>
      </c>
      <c r="J3313" t="s">
        <v>111</v>
      </c>
      <c r="K3313">
        <v>0</v>
      </c>
      <c r="L3313">
        <v>3</v>
      </c>
      <c r="M3313">
        <v>0</v>
      </c>
      <c r="N3313">
        <v>2</v>
      </c>
      <c r="O3313">
        <v>1</v>
      </c>
      <c r="P3313">
        <v>0</v>
      </c>
      <c r="Q3313">
        <v>0</v>
      </c>
      <c r="R3313" t="s">
        <v>112</v>
      </c>
      <c r="S3313" t="str">
        <f>"14:45:32.305"</f>
        <v>14:45:32.305</v>
      </c>
      <c r="T3313" t="str">
        <f>"14:45:31.906"</f>
        <v>14:45:31.906</v>
      </c>
      <c r="U3313" t="str">
        <f t="shared" si="153"/>
        <v>ad5732</v>
      </c>
      <c r="V3313">
        <v>0</v>
      </c>
      <c r="W3313">
        <v>0</v>
      </c>
      <c r="X3313">
        <v>1</v>
      </c>
      <c r="Z3313">
        <v>0</v>
      </c>
      <c r="AA3313">
        <v>9</v>
      </c>
      <c r="AB3313">
        <v>3</v>
      </c>
      <c r="AC3313">
        <v>0</v>
      </c>
      <c r="AD3313">
        <v>10</v>
      </c>
      <c r="AE3313">
        <v>0</v>
      </c>
      <c r="AF3313">
        <v>3</v>
      </c>
      <c r="AG3313">
        <v>2</v>
      </c>
      <c r="AH3313">
        <v>0</v>
      </c>
      <c r="AI3313" t="s">
        <v>6728</v>
      </c>
      <c r="AJ3313">
        <v>40.384433000000001</v>
      </c>
      <c r="AK3313" t="s">
        <v>6729</v>
      </c>
      <c r="AL3313">
        <v>-74.728252999999995</v>
      </c>
      <c r="AM3313">
        <v>100</v>
      </c>
      <c r="AN3313">
        <v>1900</v>
      </c>
      <c r="AO3313" t="s">
        <v>115</v>
      </c>
      <c r="AP3313">
        <v>177</v>
      </c>
      <c r="AQ3313">
        <v>-21</v>
      </c>
      <c r="AR3313">
        <v>-704</v>
      </c>
      <c r="AZ3313">
        <v>3614</v>
      </c>
      <c r="BA3313">
        <v>1</v>
      </c>
      <c r="BB3313" t="str">
        <f t="shared" si="155"/>
        <v xml:space="preserve">N959MJ  </v>
      </c>
      <c r="BC3313">
        <v>1</v>
      </c>
      <c r="BE3313">
        <v>0</v>
      </c>
      <c r="BF3313">
        <v>0</v>
      </c>
      <c r="BG3313">
        <v>0</v>
      </c>
      <c r="BH3313">
        <v>2075</v>
      </c>
      <c r="BI3313">
        <v>175</v>
      </c>
      <c r="BJ3313">
        <v>1</v>
      </c>
      <c r="BK3313">
        <v>1</v>
      </c>
      <c r="BL3313">
        <v>1</v>
      </c>
      <c r="BM3313">
        <v>0</v>
      </c>
      <c r="BP3313">
        <v>0</v>
      </c>
      <c r="BQ3313">
        <v>0</v>
      </c>
      <c r="BX3313" t="str">
        <f>"14:45:32.313"</f>
        <v>14:45:32.313</v>
      </c>
      <c r="BY3313" t="str">
        <f>"309133242"</f>
        <v>309133242</v>
      </c>
      <c r="CL3313">
        <v>0</v>
      </c>
      <c r="CM3313">
        <v>2</v>
      </c>
      <c r="CN3313">
        <v>0</v>
      </c>
      <c r="CO3313">
        <v>2</v>
      </c>
      <c r="CP3313">
        <v>0</v>
      </c>
      <c r="CQ3313">
        <v>7</v>
      </c>
      <c r="CR3313" t="s">
        <v>116</v>
      </c>
      <c r="CS3313">
        <v>38</v>
      </c>
      <c r="CT3313">
        <v>0</v>
      </c>
      <c r="CU3313" t="s">
        <v>4719</v>
      </c>
      <c r="CV3313" t="s">
        <v>4720</v>
      </c>
      <c r="CY3313">
        <v>7681031</v>
      </c>
      <c r="CZ3313" t="s">
        <v>119</v>
      </c>
    </row>
    <row r="3314" spans="1:104" x14ac:dyDescent="0.25">
      <c r="A3314" t="str">
        <f>"14:45:33.656"</f>
        <v>14:45:33.656</v>
      </c>
      <c r="B3314" t="s">
        <v>108</v>
      </c>
      <c r="C3314" t="str">
        <f t="shared" si="154"/>
        <v>ffdfd3c0</v>
      </c>
      <c r="D3314" t="s">
        <v>109</v>
      </c>
      <c r="E3314">
        <v>4</v>
      </c>
      <c r="F3314">
        <v>1004</v>
      </c>
      <c r="G3314" t="s">
        <v>110</v>
      </c>
      <c r="J3314" t="s">
        <v>111</v>
      </c>
      <c r="K3314">
        <v>0</v>
      </c>
      <c r="L3314">
        <v>3</v>
      </c>
      <c r="M3314">
        <v>0</v>
      </c>
      <c r="N3314">
        <v>2</v>
      </c>
      <c r="O3314">
        <v>1</v>
      </c>
      <c r="P3314">
        <v>0</v>
      </c>
      <c r="Q3314">
        <v>0</v>
      </c>
      <c r="R3314" t="s">
        <v>112</v>
      </c>
      <c r="S3314" t="str">
        <f>"14:45:33.461"</f>
        <v>14:45:33.461</v>
      </c>
      <c r="T3314" t="str">
        <f>"14:45:32.961"</f>
        <v>14:45:32.961</v>
      </c>
      <c r="U3314" t="str">
        <f t="shared" si="153"/>
        <v>ad5732</v>
      </c>
      <c r="V3314">
        <v>0</v>
      </c>
      <c r="W3314">
        <v>0</v>
      </c>
      <c r="X3314">
        <v>1</v>
      </c>
      <c r="Z3314">
        <v>0</v>
      </c>
      <c r="AA3314">
        <v>9</v>
      </c>
      <c r="AB3314">
        <v>3</v>
      </c>
      <c r="AC3314">
        <v>0</v>
      </c>
      <c r="AD3314">
        <v>10</v>
      </c>
      <c r="AE3314">
        <v>0</v>
      </c>
      <c r="AF3314">
        <v>3</v>
      </c>
      <c r="AG3314">
        <v>2</v>
      </c>
      <c r="AH3314">
        <v>0</v>
      </c>
      <c r="AI3314" t="s">
        <v>6166</v>
      </c>
      <c r="AJ3314">
        <v>40.384304999999998</v>
      </c>
      <c r="AK3314" t="s">
        <v>6730</v>
      </c>
      <c r="AL3314">
        <v>-74.727007999999998</v>
      </c>
      <c r="AM3314">
        <v>100</v>
      </c>
      <c r="AN3314">
        <v>1800</v>
      </c>
      <c r="AO3314" t="s">
        <v>115</v>
      </c>
      <c r="AP3314">
        <v>177</v>
      </c>
      <c r="AQ3314">
        <v>-21</v>
      </c>
      <c r="AR3314">
        <v>-768</v>
      </c>
      <c r="AZ3314">
        <v>3614</v>
      </c>
      <c r="BA3314">
        <v>1</v>
      </c>
      <c r="BB3314" t="str">
        <f t="shared" si="155"/>
        <v xml:space="preserve">N959MJ  </v>
      </c>
      <c r="BC3314">
        <v>1</v>
      </c>
      <c r="BE3314">
        <v>0</v>
      </c>
      <c r="BF3314">
        <v>0</v>
      </c>
      <c r="BG3314">
        <v>0</v>
      </c>
      <c r="BH3314">
        <v>2075</v>
      </c>
      <c r="BI3314">
        <v>275</v>
      </c>
      <c r="BJ3314">
        <v>1</v>
      </c>
      <c r="BK3314">
        <v>1</v>
      </c>
      <c r="BL3314">
        <v>1</v>
      </c>
      <c r="BM3314">
        <v>0</v>
      </c>
      <c r="BP3314">
        <v>0</v>
      </c>
      <c r="BQ3314">
        <v>0</v>
      </c>
      <c r="BX3314" t="str">
        <f>"14:45:33.469"</f>
        <v>14:45:33.469</v>
      </c>
      <c r="BY3314" t="str">
        <f>"465864038"</f>
        <v>465864038</v>
      </c>
      <c r="CL3314">
        <v>0</v>
      </c>
      <c r="CM3314">
        <v>2</v>
      </c>
      <c r="CN3314">
        <v>0</v>
      </c>
      <c r="CO3314">
        <v>2</v>
      </c>
      <c r="CP3314">
        <v>0</v>
      </c>
      <c r="CQ3314">
        <v>7</v>
      </c>
      <c r="CR3314" t="s">
        <v>116</v>
      </c>
      <c r="CS3314">
        <v>38</v>
      </c>
      <c r="CT3314">
        <v>0</v>
      </c>
      <c r="CU3314" t="s">
        <v>4719</v>
      </c>
      <c r="CV3314" t="s">
        <v>4720</v>
      </c>
      <c r="CY3314">
        <v>7682822</v>
      </c>
      <c r="CZ3314" t="s">
        <v>119</v>
      </c>
    </row>
    <row r="3315" spans="1:104" x14ac:dyDescent="0.25">
      <c r="A3315" t="str">
        <f>"14:45:34.672"</f>
        <v>14:45:34.672</v>
      </c>
      <c r="B3315" t="s">
        <v>108</v>
      </c>
      <c r="C3315" t="str">
        <f t="shared" si="154"/>
        <v>ffdfd3c0</v>
      </c>
      <c r="D3315" t="s">
        <v>109</v>
      </c>
      <c r="E3315">
        <v>4</v>
      </c>
      <c r="F3315">
        <v>1004</v>
      </c>
      <c r="G3315" t="s">
        <v>110</v>
      </c>
      <c r="J3315" t="s">
        <v>111</v>
      </c>
      <c r="K3315">
        <v>0</v>
      </c>
      <c r="L3315">
        <v>3</v>
      </c>
      <c r="M3315">
        <v>0</v>
      </c>
      <c r="N3315">
        <v>2</v>
      </c>
      <c r="O3315">
        <v>1</v>
      </c>
      <c r="P3315">
        <v>0</v>
      </c>
      <c r="Q3315">
        <v>0</v>
      </c>
      <c r="R3315" t="s">
        <v>112</v>
      </c>
      <c r="S3315" t="str">
        <f>"14:45:34.461"</f>
        <v>14:45:34.461</v>
      </c>
      <c r="T3315" t="str">
        <f>"14:45:33.961"</f>
        <v>14:45:33.961</v>
      </c>
      <c r="U3315" t="str">
        <f t="shared" si="153"/>
        <v>ad5732</v>
      </c>
      <c r="V3315">
        <v>0</v>
      </c>
      <c r="W3315">
        <v>0</v>
      </c>
      <c r="X3315">
        <v>1</v>
      </c>
      <c r="Z3315">
        <v>0</v>
      </c>
      <c r="AA3315">
        <v>9</v>
      </c>
      <c r="AB3315">
        <v>3</v>
      </c>
      <c r="AC3315">
        <v>0</v>
      </c>
      <c r="AD3315">
        <v>10</v>
      </c>
      <c r="AE3315">
        <v>0</v>
      </c>
      <c r="AF3315">
        <v>3</v>
      </c>
      <c r="AG3315">
        <v>2</v>
      </c>
      <c r="AH3315">
        <v>0</v>
      </c>
      <c r="AI3315" t="s">
        <v>6731</v>
      </c>
      <c r="AJ3315">
        <v>40.384197</v>
      </c>
      <c r="AK3315" t="s">
        <v>6732</v>
      </c>
      <c r="AL3315">
        <v>-74.725935000000007</v>
      </c>
      <c r="AM3315">
        <v>100</v>
      </c>
      <c r="AN3315">
        <v>1800</v>
      </c>
      <c r="AO3315" t="s">
        <v>115</v>
      </c>
      <c r="AP3315">
        <v>177</v>
      </c>
      <c r="AQ3315">
        <v>-21</v>
      </c>
      <c r="AR3315">
        <v>-768</v>
      </c>
      <c r="AZ3315">
        <v>3614</v>
      </c>
      <c r="BA3315">
        <v>1</v>
      </c>
      <c r="BB3315" t="str">
        <f t="shared" si="155"/>
        <v xml:space="preserve">N959MJ  </v>
      </c>
      <c r="BC3315">
        <v>1</v>
      </c>
      <c r="BE3315">
        <v>0</v>
      </c>
      <c r="BF3315">
        <v>0</v>
      </c>
      <c r="BG3315">
        <v>0</v>
      </c>
      <c r="BH3315">
        <v>2050</v>
      </c>
      <c r="BI3315">
        <v>250</v>
      </c>
      <c r="BJ3315">
        <v>1</v>
      </c>
      <c r="BK3315">
        <v>1</v>
      </c>
      <c r="BL3315">
        <v>1</v>
      </c>
      <c r="BM3315">
        <v>0</v>
      </c>
      <c r="BP3315">
        <v>0</v>
      </c>
      <c r="BQ3315">
        <v>0</v>
      </c>
      <c r="BX3315" t="str">
        <f>"14:45:34.469"</f>
        <v>14:45:34.469</v>
      </c>
      <c r="BY3315" t="str">
        <f>"465305720"</f>
        <v>465305720</v>
      </c>
      <c r="CL3315">
        <v>0</v>
      </c>
      <c r="CM3315">
        <v>2</v>
      </c>
      <c r="CN3315">
        <v>0</v>
      </c>
      <c r="CO3315">
        <v>2</v>
      </c>
      <c r="CP3315">
        <v>0</v>
      </c>
      <c r="CQ3315">
        <v>7</v>
      </c>
      <c r="CR3315" t="s">
        <v>116</v>
      </c>
      <c r="CS3315">
        <v>38</v>
      </c>
      <c r="CT3315">
        <v>0</v>
      </c>
      <c r="CU3315" t="s">
        <v>4719</v>
      </c>
      <c r="CV3315" t="s">
        <v>4720</v>
      </c>
      <c r="CY3315">
        <v>7684314</v>
      </c>
      <c r="CZ3315" t="s">
        <v>119</v>
      </c>
    </row>
    <row r="3316" spans="1:104" x14ac:dyDescent="0.25">
      <c r="A3316" t="str">
        <f>"14:45:35.680"</f>
        <v>14:45:35.680</v>
      </c>
      <c r="B3316" t="s">
        <v>108</v>
      </c>
      <c r="C3316" t="str">
        <f t="shared" si="154"/>
        <v>ffdfd3c0</v>
      </c>
      <c r="D3316" t="s">
        <v>109</v>
      </c>
      <c r="E3316">
        <v>4</v>
      </c>
      <c r="F3316">
        <v>1004</v>
      </c>
      <c r="G3316" t="s">
        <v>110</v>
      </c>
      <c r="J3316" t="s">
        <v>111</v>
      </c>
      <c r="K3316">
        <v>0</v>
      </c>
      <c r="L3316">
        <v>3</v>
      </c>
      <c r="M3316">
        <v>0</v>
      </c>
      <c r="N3316">
        <v>2</v>
      </c>
      <c r="O3316">
        <v>1</v>
      </c>
      <c r="P3316">
        <v>0</v>
      </c>
      <c r="Q3316">
        <v>0</v>
      </c>
      <c r="R3316" t="s">
        <v>112</v>
      </c>
      <c r="S3316" t="str">
        <f>"14:45:35.477"</f>
        <v>14:45:35.477</v>
      </c>
      <c r="T3316" t="str">
        <f>"14:45:35.078"</f>
        <v>14:45:35.078</v>
      </c>
      <c r="U3316" t="str">
        <f t="shared" si="153"/>
        <v>ad5732</v>
      </c>
      <c r="V3316">
        <v>0</v>
      </c>
      <c r="W3316">
        <v>0</v>
      </c>
      <c r="X3316">
        <v>1</v>
      </c>
      <c r="Z3316">
        <v>0</v>
      </c>
      <c r="AA3316">
        <v>9</v>
      </c>
      <c r="AB3316">
        <v>3</v>
      </c>
      <c r="AC3316">
        <v>0</v>
      </c>
      <c r="AD3316">
        <v>10</v>
      </c>
      <c r="AE3316">
        <v>0</v>
      </c>
      <c r="AF3316">
        <v>3</v>
      </c>
      <c r="AG3316">
        <v>2</v>
      </c>
      <c r="AH3316">
        <v>0</v>
      </c>
      <c r="AI3316" t="s">
        <v>6733</v>
      </c>
      <c r="AJ3316">
        <v>40.384110999999997</v>
      </c>
      <c r="AK3316" t="s">
        <v>6734</v>
      </c>
      <c r="AL3316">
        <v>-74.724884000000003</v>
      </c>
      <c r="AM3316">
        <v>100</v>
      </c>
      <c r="AN3316">
        <v>1800</v>
      </c>
      <c r="AO3316" t="s">
        <v>115</v>
      </c>
      <c r="AP3316">
        <v>177</v>
      </c>
      <c r="AQ3316">
        <v>-21</v>
      </c>
      <c r="AR3316">
        <v>-768</v>
      </c>
      <c r="AZ3316">
        <v>3614</v>
      </c>
      <c r="BA3316">
        <v>1</v>
      </c>
      <c r="BB3316" t="str">
        <f t="shared" si="155"/>
        <v xml:space="preserve">N959MJ  </v>
      </c>
      <c r="BC3316">
        <v>1</v>
      </c>
      <c r="BE3316">
        <v>0</v>
      </c>
      <c r="BF3316">
        <v>0</v>
      </c>
      <c r="BG3316">
        <v>0</v>
      </c>
      <c r="BH3316">
        <v>2050</v>
      </c>
      <c r="BI3316">
        <v>250</v>
      </c>
      <c r="BJ3316">
        <v>1</v>
      </c>
      <c r="BK3316">
        <v>1</v>
      </c>
      <c r="BL3316">
        <v>1</v>
      </c>
      <c r="BM3316">
        <v>0</v>
      </c>
      <c r="BP3316">
        <v>0</v>
      </c>
      <c r="BQ3316">
        <v>0</v>
      </c>
      <c r="BX3316" t="str">
        <f>"14:45:35.484"</f>
        <v>14:45:35.484</v>
      </c>
      <c r="BY3316" t="str">
        <f>"482770159"</f>
        <v>482770159</v>
      </c>
      <c r="CL3316">
        <v>0</v>
      </c>
      <c r="CM3316">
        <v>2</v>
      </c>
      <c r="CN3316">
        <v>0</v>
      </c>
      <c r="CO3316">
        <v>2</v>
      </c>
      <c r="CP3316">
        <v>0</v>
      </c>
      <c r="CQ3316">
        <v>7</v>
      </c>
      <c r="CR3316" t="s">
        <v>116</v>
      </c>
      <c r="CS3316">
        <v>38</v>
      </c>
      <c r="CT3316">
        <v>3</v>
      </c>
      <c r="CU3316" t="s">
        <v>4719</v>
      </c>
      <c r="CV3316" t="s">
        <v>4720</v>
      </c>
      <c r="CY3316">
        <v>11131781</v>
      </c>
      <c r="CZ3316" t="s">
        <v>119</v>
      </c>
    </row>
    <row r="3317" spans="1:104" x14ac:dyDescent="0.25">
      <c r="A3317" t="str">
        <f>"14:45:36.688"</f>
        <v>14:45:36.688</v>
      </c>
      <c r="B3317" t="s">
        <v>108</v>
      </c>
      <c r="C3317" t="str">
        <f t="shared" si="154"/>
        <v>ffdfd3c0</v>
      </c>
      <c r="D3317" t="s">
        <v>109</v>
      </c>
      <c r="E3317">
        <v>4</v>
      </c>
      <c r="F3317">
        <v>1004</v>
      </c>
      <c r="G3317" t="s">
        <v>110</v>
      </c>
      <c r="J3317" t="s">
        <v>111</v>
      </c>
      <c r="K3317">
        <v>0</v>
      </c>
      <c r="L3317">
        <v>3</v>
      </c>
      <c r="M3317">
        <v>0</v>
      </c>
      <c r="N3317">
        <v>2</v>
      </c>
      <c r="O3317">
        <v>1</v>
      </c>
      <c r="P3317">
        <v>0</v>
      </c>
      <c r="Q3317">
        <v>0</v>
      </c>
      <c r="R3317" t="s">
        <v>112</v>
      </c>
      <c r="S3317" t="str">
        <f>"14:45:36.492"</f>
        <v>14:45:36.492</v>
      </c>
      <c r="T3317" t="str">
        <f>"14:45:35.992"</f>
        <v>14:45:35.992</v>
      </c>
      <c r="U3317" t="str">
        <f t="shared" si="153"/>
        <v>ad5732</v>
      </c>
      <c r="V3317">
        <v>0</v>
      </c>
      <c r="W3317">
        <v>0</v>
      </c>
      <c r="X3317">
        <v>1</v>
      </c>
      <c r="Z3317">
        <v>0</v>
      </c>
      <c r="AA3317">
        <v>9</v>
      </c>
      <c r="AB3317">
        <v>3</v>
      </c>
      <c r="AC3317">
        <v>0</v>
      </c>
      <c r="AD3317">
        <v>10</v>
      </c>
      <c r="AE3317">
        <v>0</v>
      </c>
      <c r="AF3317">
        <v>3</v>
      </c>
      <c r="AG3317">
        <v>2</v>
      </c>
      <c r="AH3317">
        <v>0</v>
      </c>
      <c r="AI3317" t="s">
        <v>6735</v>
      </c>
      <c r="AJ3317">
        <v>40.384025999999999</v>
      </c>
      <c r="AK3317" t="s">
        <v>6736</v>
      </c>
      <c r="AL3317">
        <v>-74.723768000000007</v>
      </c>
      <c r="AM3317">
        <v>100</v>
      </c>
      <c r="AN3317">
        <v>1800</v>
      </c>
      <c r="AO3317" t="s">
        <v>115</v>
      </c>
      <c r="AP3317">
        <v>177</v>
      </c>
      <c r="AQ3317">
        <v>-21</v>
      </c>
      <c r="AR3317">
        <v>-768</v>
      </c>
      <c r="AZ3317">
        <v>3614</v>
      </c>
      <c r="BA3317">
        <v>1</v>
      </c>
      <c r="BB3317" t="str">
        <f t="shared" si="155"/>
        <v xml:space="preserve">N959MJ  </v>
      </c>
      <c r="BC3317">
        <v>1</v>
      </c>
      <c r="BE3317">
        <v>0</v>
      </c>
      <c r="BF3317">
        <v>0</v>
      </c>
      <c r="BG3317">
        <v>0</v>
      </c>
      <c r="BH3317">
        <v>2025</v>
      </c>
      <c r="BI3317">
        <v>225</v>
      </c>
      <c r="BJ3317">
        <v>1</v>
      </c>
      <c r="BK3317">
        <v>1</v>
      </c>
      <c r="BL3317">
        <v>1</v>
      </c>
      <c r="BM3317">
        <v>0</v>
      </c>
      <c r="BP3317">
        <v>0</v>
      </c>
      <c r="BQ3317">
        <v>0</v>
      </c>
      <c r="BX3317" t="str">
        <f>"14:45:36.492"</f>
        <v>14:45:36.492</v>
      </c>
      <c r="BY3317" t="str">
        <f>"495582709"</f>
        <v>495582709</v>
      </c>
      <c r="CL3317">
        <v>0</v>
      </c>
      <c r="CM3317">
        <v>2</v>
      </c>
      <c r="CN3317">
        <v>0</v>
      </c>
      <c r="CO3317">
        <v>2</v>
      </c>
      <c r="CP3317">
        <v>0</v>
      </c>
      <c r="CQ3317">
        <v>3</v>
      </c>
      <c r="CR3317" t="s">
        <v>116</v>
      </c>
      <c r="CS3317">
        <v>408</v>
      </c>
      <c r="CT3317">
        <v>0</v>
      </c>
      <c r="CU3317" t="s">
        <v>2317</v>
      </c>
      <c r="CV3317" t="s">
        <v>2318</v>
      </c>
      <c r="CY3317">
        <v>13180351</v>
      </c>
      <c r="CZ3317" t="s">
        <v>119</v>
      </c>
    </row>
    <row r="3318" spans="1:104" x14ac:dyDescent="0.25">
      <c r="A3318" t="str">
        <f>"14:45:37.695"</f>
        <v>14:45:37.695</v>
      </c>
      <c r="B3318" t="s">
        <v>108</v>
      </c>
      <c r="C3318" t="str">
        <f t="shared" si="154"/>
        <v>ffdfd3c0</v>
      </c>
      <c r="D3318" t="s">
        <v>109</v>
      </c>
      <c r="E3318">
        <v>4</v>
      </c>
      <c r="F3318">
        <v>1004</v>
      </c>
      <c r="G3318" t="s">
        <v>110</v>
      </c>
      <c r="J3318" t="s">
        <v>111</v>
      </c>
      <c r="K3318">
        <v>0</v>
      </c>
      <c r="L3318">
        <v>3</v>
      </c>
      <c r="M3318">
        <v>0</v>
      </c>
      <c r="N3318">
        <v>2</v>
      </c>
      <c r="O3318">
        <v>1</v>
      </c>
      <c r="P3318">
        <v>0</v>
      </c>
      <c r="Q3318">
        <v>0</v>
      </c>
      <c r="R3318" t="s">
        <v>112</v>
      </c>
      <c r="S3318" t="str">
        <f>"14:45:37.539"</f>
        <v>14:45:37.539</v>
      </c>
      <c r="T3318" t="str">
        <f>"14:45:37.039"</f>
        <v>14:45:37.039</v>
      </c>
      <c r="U3318" t="str">
        <f t="shared" si="153"/>
        <v>ad5732</v>
      </c>
      <c r="V3318">
        <v>0</v>
      </c>
      <c r="W3318">
        <v>0</v>
      </c>
      <c r="X3318">
        <v>1</v>
      </c>
      <c r="Z3318">
        <v>0</v>
      </c>
      <c r="AA3318">
        <v>9</v>
      </c>
      <c r="AB3318">
        <v>3</v>
      </c>
      <c r="AC3318">
        <v>0</v>
      </c>
      <c r="AD3318">
        <v>10</v>
      </c>
      <c r="AE3318">
        <v>0</v>
      </c>
      <c r="AF3318">
        <v>3</v>
      </c>
      <c r="AG3318">
        <v>2</v>
      </c>
      <c r="AH3318">
        <v>0</v>
      </c>
      <c r="AI3318" t="s">
        <v>6737</v>
      </c>
      <c r="AJ3318">
        <v>40.383918000000001</v>
      </c>
      <c r="AK3318" t="s">
        <v>6738</v>
      </c>
      <c r="AL3318">
        <v>-74.722588000000002</v>
      </c>
      <c r="AM3318">
        <v>100</v>
      </c>
      <c r="AN3318">
        <v>1800</v>
      </c>
      <c r="AO3318" t="s">
        <v>115</v>
      </c>
      <c r="AP3318">
        <v>177</v>
      </c>
      <c r="AQ3318">
        <v>-21</v>
      </c>
      <c r="AR3318">
        <v>-768</v>
      </c>
      <c r="AZ3318">
        <v>3614</v>
      </c>
      <c r="BA3318">
        <v>1</v>
      </c>
      <c r="BB3318" t="str">
        <f t="shared" si="155"/>
        <v xml:space="preserve">N959MJ  </v>
      </c>
      <c r="BC3318">
        <v>1</v>
      </c>
      <c r="BE3318">
        <v>0</v>
      </c>
      <c r="BF3318">
        <v>0</v>
      </c>
      <c r="BG3318">
        <v>0</v>
      </c>
      <c r="BH3318">
        <v>2025</v>
      </c>
      <c r="BI3318">
        <v>225</v>
      </c>
      <c r="BJ3318">
        <v>1</v>
      </c>
      <c r="BK3318">
        <v>1</v>
      </c>
      <c r="BL3318">
        <v>1</v>
      </c>
      <c r="BM3318">
        <v>0</v>
      </c>
      <c r="BP3318">
        <v>0</v>
      </c>
      <c r="BQ3318">
        <v>0</v>
      </c>
      <c r="BX3318" t="str">
        <f>"14:45:37.547"</f>
        <v>14:45:37.547</v>
      </c>
      <c r="BY3318" t="str">
        <f>"543913661"</f>
        <v>543913661</v>
      </c>
      <c r="CL3318">
        <v>0</v>
      </c>
      <c r="CM3318">
        <v>2</v>
      </c>
      <c r="CN3318">
        <v>0</v>
      </c>
      <c r="CO3318">
        <v>2</v>
      </c>
      <c r="CP3318">
        <v>0</v>
      </c>
      <c r="CQ3318">
        <v>7</v>
      </c>
      <c r="CR3318" t="s">
        <v>116</v>
      </c>
      <c r="CS3318">
        <v>38</v>
      </c>
      <c r="CT3318">
        <v>0</v>
      </c>
      <c r="CU3318" t="s">
        <v>4719</v>
      </c>
      <c r="CV3318" t="s">
        <v>4720</v>
      </c>
      <c r="CY3318">
        <v>7689149</v>
      </c>
      <c r="CZ3318" t="s">
        <v>119</v>
      </c>
    </row>
    <row r="3319" spans="1:104" x14ac:dyDescent="0.25">
      <c r="A3319" t="str">
        <f>"14:45:38.906"</f>
        <v>14:45:38.906</v>
      </c>
      <c r="B3319" t="s">
        <v>108</v>
      </c>
      <c r="C3319" t="str">
        <f t="shared" si="154"/>
        <v>ffdfd3c0</v>
      </c>
      <c r="D3319" t="s">
        <v>109</v>
      </c>
      <c r="E3319">
        <v>4</v>
      </c>
      <c r="F3319">
        <v>1004</v>
      </c>
      <c r="G3319" t="s">
        <v>110</v>
      </c>
      <c r="J3319" t="s">
        <v>111</v>
      </c>
      <c r="K3319">
        <v>0</v>
      </c>
      <c r="L3319">
        <v>3</v>
      </c>
      <c r="M3319">
        <v>0</v>
      </c>
      <c r="N3319">
        <v>2</v>
      </c>
      <c r="O3319">
        <v>1</v>
      </c>
      <c r="P3319">
        <v>0</v>
      </c>
      <c r="Q3319">
        <v>0</v>
      </c>
      <c r="R3319" t="s">
        <v>112</v>
      </c>
      <c r="S3319" t="str">
        <f>"14:45:38.695"</f>
        <v>14:45:38.695</v>
      </c>
      <c r="T3319" t="str">
        <f>"14:45:38.195"</f>
        <v>14:45:38.195</v>
      </c>
      <c r="U3319" t="str">
        <f t="shared" si="153"/>
        <v>ad5732</v>
      </c>
      <c r="V3319">
        <v>0</v>
      </c>
      <c r="W3319">
        <v>0</v>
      </c>
      <c r="X3319">
        <v>1</v>
      </c>
      <c r="Z3319">
        <v>0</v>
      </c>
      <c r="AA3319">
        <v>9</v>
      </c>
      <c r="AB3319">
        <v>3</v>
      </c>
      <c r="AC3319">
        <v>0</v>
      </c>
      <c r="AD3319">
        <v>10</v>
      </c>
      <c r="AE3319">
        <v>0</v>
      </c>
      <c r="AF3319">
        <v>3</v>
      </c>
      <c r="AG3319">
        <v>2</v>
      </c>
      <c r="AH3319">
        <v>0</v>
      </c>
      <c r="AI3319" t="s">
        <v>6739</v>
      </c>
      <c r="AJ3319">
        <v>40.383831999999998</v>
      </c>
      <c r="AK3319" t="s">
        <v>6740</v>
      </c>
      <c r="AL3319">
        <v>-74.721451000000002</v>
      </c>
      <c r="AM3319">
        <v>100</v>
      </c>
      <c r="AN3319">
        <v>1800</v>
      </c>
      <c r="AO3319" t="s">
        <v>115</v>
      </c>
      <c r="AP3319">
        <v>177</v>
      </c>
      <c r="AQ3319">
        <v>-20</v>
      </c>
      <c r="AR3319">
        <v>-768</v>
      </c>
      <c r="AZ3319">
        <v>3614</v>
      </c>
      <c r="BA3319">
        <v>1</v>
      </c>
      <c r="BB3319" t="str">
        <f t="shared" si="155"/>
        <v xml:space="preserve">N959MJ  </v>
      </c>
      <c r="BC3319">
        <v>1</v>
      </c>
      <c r="BE3319">
        <v>0</v>
      </c>
      <c r="BF3319">
        <v>0</v>
      </c>
      <c r="BG3319">
        <v>0</v>
      </c>
      <c r="BH3319">
        <v>2000</v>
      </c>
      <c r="BI3319">
        <v>200</v>
      </c>
      <c r="BJ3319">
        <v>1</v>
      </c>
      <c r="BK3319">
        <v>1</v>
      </c>
      <c r="BL3319">
        <v>1</v>
      </c>
      <c r="BM3319">
        <v>0</v>
      </c>
      <c r="BP3319">
        <v>0</v>
      </c>
      <c r="BQ3319">
        <v>0</v>
      </c>
      <c r="BX3319" t="str">
        <f>"14:45:38.695"</f>
        <v>14:45:38.695</v>
      </c>
      <c r="BY3319" t="str">
        <f>"699006085"</f>
        <v>699006085</v>
      </c>
      <c r="CL3319">
        <v>0</v>
      </c>
      <c r="CM3319">
        <v>2</v>
      </c>
      <c r="CN3319">
        <v>0</v>
      </c>
      <c r="CO3319">
        <v>2</v>
      </c>
      <c r="CP3319">
        <v>0</v>
      </c>
      <c r="CQ3319">
        <v>7</v>
      </c>
      <c r="CR3319" t="s">
        <v>116</v>
      </c>
      <c r="CS3319">
        <v>38</v>
      </c>
      <c r="CT3319">
        <v>3</v>
      </c>
      <c r="CU3319" t="s">
        <v>4719</v>
      </c>
      <c r="CV3319" t="s">
        <v>4720</v>
      </c>
      <c r="CY3319">
        <v>11137261</v>
      </c>
      <c r="CZ3319" t="s">
        <v>119</v>
      </c>
    </row>
    <row r="3320" spans="1:104" x14ac:dyDescent="0.25">
      <c r="A3320" t="str">
        <f>"14:45:39.820"</f>
        <v>14:45:39.820</v>
      </c>
      <c r="B3320" t="s">
        <v>108</v>
      </c>
      <c r="C3320" t="str">
        <f t="shared" si="154"/>
        <v>ffdfd3c0</v>
      </c>
      <c r="D3320" t="s">
        <v>109</v>
      </c>
      <c r="E3320">
        <v>4</v>
      </c>
      <c r="F3320">
        <v>1004</v>
      </c>
      <c r="G3320" t="s">
        <v>110</v>
      </c>
      <c r="J3320" t="s">
        <v>111</v>
      </c>
      <c r="K3320">
        <v>0</v>
      </c>
      <c r="L3320">
        <v>3</v>
      </c>
      <c r="M3320">
        <v>0</v>
      </c>
      <c r="N3320">
        <v>2</v>
      </c>
      <c r="O3320">
        <v>1</v>
      </c>
      <c r="P3320">
        <v>0</v>
      </c>
      <c r="Q3320">
        <v>0</v>
      </c>
      <c r="R3320" t="s">
        <v>112</v>
      </c>
      <c r="S3320" t="str">
        <f>"14:45:39.578"</f>
        <v>14:45:39.578</v>
      </c>
      <c r="T3320" t="str">
        <f>"14:45:39.180"</f>
        <v>14:45:39.180</v>
      </c>
      <c r="U3320" t="str">
        <f t="shared" si="153"/>
        <v>ad5732</v>
      </c>
      <c r="V3320">
        <v>0</v>
      </c>
      <c r="W3320">
        <v>0</v>
      </c>
      <c r="X3320">
        <v>1</v>
      </c>
      <c r="Z3320">
        <v>0</v>
      </c>
      <c r="AA3320">
        <v>9</v>
      </c>
      <c r="AB3320">
        <v>3</v>
      </c>
      <c r="AC3320">
        <v>0</v>
      </c>
      <c r="AD3320">
        <v>10</v>
      </c>
      <c r="AE3320">
        <v>0</v>
      </c>
      <c r="AF3320">
        <v>3</v>
      </c>
      <c r="AG3320">
        <v>2</v>
      </c>
      <c r="AH3320">
        <v>0</v>
      </c>
      <c r="AI3320" t="s">
        <v>6741</v>
      </c>
      <c r="AJ3320">
        <v>40.383724999999998</v>
      </c>
      <c r="AK3320" t="s">
        <v>6742</v>
      </c>
      <c r="AL3320">
        <v>-74.720464000000007</v>
      </c>
      <c r="AM3320">
        <v>100</v>
      </c>
      <c r="AN3320">
        <v>1800</v>
      </c>
      <c r="AO3320" t="s">
        <v>115</v>
      </c>
      <c r="AP3320">
        <v>177</v>
      </c>
      <c r="AQ3320">
        <v>-20</v>
      </c>
      <c r="AR3320">
        <v>-768</v>
      </c>
      <c r="AZ3320">
        <v>3614</v>
      </c>
      <c r="BA3320">
        <v>1</v>
      </c>
      <c r="BB3320" t="str">
        <f t="shared" si="155"/>
        <v xml:space="preserve">N959MJ  </v>
      </c>
      <c r="BC3320">
        <v>1</v>
      </c>
      <c r="BE3320">
        <v>0</v>
      </c>
      <c r="BF3320">
        <v>0</v>
      </c>
      <c r="BG3320">
        <v>0</v>
      </c>
      <c r="BH3320">
        <v>2000</v>
      </c>
      <c r="BI3320">
        <v>200</v>
      </c>
      <c r="BJ3320">
        <v>1</v>
      </c>
      <c r="BK3320">
        <v>1</v>
      </c>
      <c r="BL3320">
        <v>1</v>
      </c>
      <c r="BM3320">
        <v>0</v>
      </c>
      <c r="BP3320">
        <v>0</v>
      </c>
      <c r="BQ3320">
        <v>0</v>
      </c>
      <c r="BX3320" t="str">
        <f>"14:45:39.586"</f>
        <v>14:45:39.586</v>
      </c>
      <c r="BY3320" t="str">
        <f>"585396175"</f>
        <v>585396175</v>
      </c>
      <c r="CL3320">
        <v>0</v>
      </c>
      <c r="CM3320">
        <v>2</v>
      </c>
      <c r="CN3320">
        <v>0</v>
      </c>
      <c r="CO3320">
        <v>2</v>
      </c>
      <c r="CP3320">
        <v>0</v>
      </c>
      <c r="CQ3320">
        <v>7</v>
      </c>
      <c r="CR3320" t="s">
        <v>116</v>
      </c>
      <c r="CS3320">
        <v>38</v>
      </c>
      <c r="CT3320">
        <v>0</v>
      </c>
      <c r="CU3320" t="s">
        <v>4719</v>
      </c>
      <c r="CV3320" t="s">
        <v>4720</v>
      </c>
      <c r="CY3320">
        <v>7692079</v>
      </c>
      <c r="CZ3320" t="s">
        <v>119</v>
      </c>
    </row>
    <row r="3321" spans="1:104" x14ac:dyDescent="0.25">
      <c r="A3321" t="str">
        <f>"14:45:40.875"</f>
        <v>14:45:40.875</v>
      </c>
      <c r="B3321" t="s">
        <v>108</v>
      </c>
      <c r="C3321" t="str">
        <f t="shared" si="154"/>
        <v>ffdfd3c0</v>
      </c>
      <c r="D3321" t="s">
        <v>109</v>
      </c>
      <c r="E3321">
        <v>4</v>
      </c>
      <c r="F3321">
        <v>1004</v>
      </c>
      <c r="G3321" t="s">
        <v>110</v>
      </c>
      <c r="J3321" t="s">
        <v>111</v>
      </c>
      <c r="K3321">
        <v>0</v>
      </c>
      <c r="L3321">
        <v>3</v>
      </c>
      <c r="M3321">
        <v>0</v>
      </c>
      <c r="N3321">
        <v>2</v>
      </c>
      <c r="O3321">
        <v>1</v>
      </c>
      <c r="P3321">
        <v>0</v>
      </c>
      <c r="Q3321">
        <v>0</v>
      </c>
      <c r="R3321" t="s">
        <v>112</v>
      </c>
      <c r="S3321" t="str">
        <f>"14:45:40.703"</f>
        <v>14:45:40.703</v>
      </c>
      <c r="T3321" t="str">
        <f>"14:45:40.203"</f>
        <v>14:45:40.203</v>
      </c>
      <c r="U3321" t="str">
        <f t="shared" si="153"/>
        <v>ad5732</v>
      </c>
      <c r="V3321">
        <v>0</v>
      </c>
      <c r="W3321">
        <v>0</v>
      </c>
      <c r="X3321">
        <v>1</v>
      </c>
      <c r="Z3321">
        <v>0</v>
      </c>
      <c r="AA3321">
        <v>9</v>
      </c>
      <c r="AB3321">
        <v>3</v>
      </c>
      <c r="AC3321">
        <v>0</v>
      </c>
      <c r="AD3321">
        <v>10</v>
      </c>
      <c r="AE3321">
        <v>0</v>
      </c>
      <c r="AF3321">
        <v>3</v>
      </c>
      <c r="AG3321">
        <v>2</v>
      </c>
      <c r="AH3321">
        <v>0</v>
      </c>
      <c r="AI3321" t="s">
        <v>6743</v>
      </c>
      <c r="AJ3321">
        <v>40.383639000000002</v>
      </c>
      <c r="AK3321" t="s">
        <v>6744</v>
      </c>
      <c r="AL3321">
        <v>-74.719325999999995</v>
      </c>
      <c r="AM3321">
        <v>100</v>
      </c>
      <c r="AN3321">
        <v>1800</v>
      </c>
      <c r="AO3321" t="s">
        <v>115</v>
      </c>
      <c r="AP3321">
        <v>176</v>
      </c>
      <c r="AQ3321">
        <v>-20</v>
      </c>
      <c r="AR3321">
        <v>-768</v>
      </c>
      <c r="AZ3321">
        <v>3614</v>
      </c>
      <c r="BA3321">
        <v>1</v>
      </c>
      <c r="BB3321" t="str">
        <f t="shared" si="155"/>
        <v xml:space="preserve">N959MJ  </v>
      </c>
      <c r="BC3321">
        <v>1</v>
      </c>
      <c r="BE3321">
        <v>0</v>
      </c>
      <c r="BF3321">
        <v>0</v>
      </c>
      <c r="BG3321">
        <v>0</v>
      </c>
      <c r="BH3321">
        <v>1975</v>
      </c>
      <c r="BI3321">
        <v>175</v>
      </c>
      <c r="BJ3321">
        <v>1</v>
      </c>
      <c r="BK3321">
        <v>1</v>
      </c>
      <c r="BL3321">
        <v>1</v>
      </c>
      <c r="BM3321">
        <v>0</v>
      </c>
      <c r="BP3321">
        <v>0</v>
      </c>
      <c r="BQ3321">
        <v>0</v>
      </c>
      <c r="BX3321" t="str">
        <f>"14:45:40.703"</f>
        <v>14:45:40.703</v>
      </c>
      <c r="BY3321" t="str">
        <f>"706081564"</f>
        <v>706081564</v>
      </c>
      <c r="CL3321">
        <v>0</v>
      </c>
      <c r="CM3321">
        <v>2</v>
      </c>
      <c r="CN3321">
        <v>0</v>
      </c>
      <c r="CO3321">
        <v>2</v>
      </c>
      <c r="CP3321">
        <v>0</v>
      </c>
      <c r="CQ3321">
        <v>7</v>
      </c>
      <c r="CR3321" t="s">
        <v>116</v>
      </c>
      <c r="CS3321">
        <v>38</v>
      </c>
      <c r="CT3321">
        <v>0</v>
      </c>
      <c r="CU3321" t="s">
        <v>4719</v>
      </c>
      <c r="CV3321" t="s">
        <v>4720</v>
      </c>
      <c r="CY3321">
        <v>7693785</v>
      </c>
      <c r="CZ3321" t="s">
        <v>119</v>
      </c>
    </row>
    <row r="3322" spans="1:104" x14ac:dyDescent="0.25">
      <c r="A3322" t="str">
        <f>"14:45:41.789"</f>
        <v>14:45:41.789</v>
      </c>
      <c r="B3322" t="s">
        <v>108</v>
      </c>
      <c r="C3322" t="str">
        <f t="shared" si="154"/>
        <v>ffdfd3c0</v>
      </c>
      <c r="D3322" t="s">
        <v>109</v>
      </c>
      <c r="E3322">
        <v>4</v>
      </c>
      <c r="F3322">
        <v>1004</v>
      </c>
      <c r="G3322" t="s">
        <v>110</v>
      </c>
      <c r="J3322" t="s">
        <v>111</v>
      </c>
      <c r="K3322">
        <v>0</v>
      </c>
      <c r="L3322">
        <v>3</v>
      </c>
      <c r="M3322">
        <v>0</v>
      </c>
      <c r="N3322">
        <v>2</v>
      </c>
      <c r="O3322">
        <v>1</v>
      </c>
      <c r="P3322">
        <v>0</v>
      </c>
      <c r="Q3322">
        <v>0</v>
      </c>
      <c r="R3322" t="s">
        <v>112</v>
      </c>
      <c r="S3322" t="str">
        <f>"14:45:41.609"</f>
        <v>14:45:41.609</v>
      </c>
      <c r="T3322" t="str">
        <f>"14:45:41.211"</f>
        <v>14:45:41.211</v>
      </c>
      <c r="U3322" t="str">
        <f t="shared" si="153"/>
        <v>ad5732</v>
      </c>
      <c r="V3322">
        <v>0</v>
      </c>
      <c r="W3322">
        <v>0</v>
      </c>
      <c r="X3322">
        <v>1</v>
      </c>
      <c r="Z3322">
        <v>0</v>
      </c>
      <c r="AA3322">
        <v>9</v>
      </c>
      <c r="AB3322">
        <v>3</v>
      </c>
      <c r="AC3322">
        <v>0</v>
      </c>
      <c r="AD3322">
        <v>10</v>
      </c>
      <c r="AE3322">
        <v>0</v>
      </c>
      <c r="AF3322">
        <v>3</v>
      </c>
      <c r="AG3322">
        <v>2</v>
      </c>
      <c r="AH3322">
        <v>0</v>
      </c>
      <c r="AI3322" t="s">
        <v>6745</v>
      </c>
      <c r="AJ3322">
        <v>40.383553999999997</v>
      </c>
      <c r="AK3322" t="s">
        <v>6746</v>
      </c>
      <c r="AL3322">
        <v>-74.718317999999996</v>
      </c>
      <c r="AM3322">
        <v>100</v>
      </c>
      <c r="AN3322">
        <v>1800</v>
      </c>
      <c r="AO3322" t="s">
        <v>115</v>
      </c>
      <c r="AP3322">
        <v>176</v>
      </c>
      <c r="AQ3322">
        <v>-20</v>
      </c>
      <c r="AR3322">
        <v>-704</v>
      </c>
      <c r="AZ3322">
        <v>3614</v>
      </c>
      <c r="BA3322">
        <v>1</v>
      </c>
      <c r="BB3322" t="str">
        <f t="shared" si="155"/>
        <v xml:space="preserve">N959MJ  </v>
      </c>
      <c r="BC3322">
        <v>1</v>
      </c>
      <c r="BE3322">
        <v>0</v>
      </c>
      <c r="BF3322">
        <v>0</v>
      </c>
      <c r="BG3322">
        <v>0</v>
      </c>
      <c r="BH3322">
        <v>1975</v>
      </c>
      <c r="BI3322">
        <v>175</v>
      </c>
      <c r="BJ3322">
        <v>1</v>
      </c>
      <c r="BK3322">
        <v>1</v>
      </c>
      <c r="BL3322">
        <v>1</v>
      </c>
      <c r="BM3322">
        <v>0</v>
      </c>
      <c r="BP3322">
        <v>0</v>
      </c>
      <c r="BQ3322">
        <v>0</v>
      </c>
      <c r="BX3322" t="str">
        <f>"14:45:41.609"</f>
        <v>14:45:41.609</v>
      </c>
      <c r="BY3322" t="str">
        <f>"612132768"</f>
        <v>612132768</v>
      </c>
      <c r="CL3322">
        <v>0</v>
      </c>
      <c r="CM3322">
        <v>2</v>
      </c>
      <c r="CN3322">
        <v>0</v>
      </c>
      <c r="CO3322">
        <v>2</v>
      </c>
      <c r="CP3322">
        <v>0</v>
      </c>
      <c r="CQ3322">
        <v>7</v>
      </c>
      <c r="CR3322" t="s">
        <v>116</v>
      </c>
      <c r="CS3322">
        <v>38</v>
      </c>
      <c r="CT3322">
        <v>0</v>
      </c>
      <c r="CU3322" t="s">
        <v>4719</v>
      </c>
      <c r="CV3322" t="s">
        <v>4720</v>
      </c>
      <c r="CY3322">
        <v>7695282</v>
      </c>
      <c r="CZ3322" t="s">
        <v>119</v>
      </c>
    </row>
    <row r="3323" spans="1:104" x14ac:dyDescent="0.25">
      <c r="A3323" t="str">
        <f>"14:45:42.844"</f>
        <v>14:45:42.844</v>
      </c>
      <c r="B3323" t="s">
        <v>108</v>
      </c>
      <c r="C3323" t="str">
        <f t="shared" si="154"/>
        <v>ffdfd3c0</v>
      </c>
      <c r="D3323" t="s">
        <v>109</v>
      </c>
      <c r="E3323">
        <v>4</v>
      </c>
      <c r="F3323">
        <v>1004</v>
      </c>
      <c r="G3323" t="s">
        <v>110</v>
      </c>
      <c r="J3323" t="s">
        <v>111</v>
      </c>
      <c r="K3323">
        <v>0</v>
      </c>
      <c r="L3323">
        <v>3</v>
      </c>
      <c r="M3323">
        <v>0</v>
      </c>
      <c r="N3323">
        <v>2</v>
      </c>
      <c r="O3323">
        <v>1</v>
      </c>
      <c r="P3323">
        <v>0</v>
      </c>
      <c r="Q3323">
        <v>0</v>
      </c>
      <c r="R3323" t="s">
        <v>112</v>
      </c>
      <c r="S3323" t="str">
        <f>"14:45:42.641"</f>
        <v>14:45:42.641</v>
      </c>
      <c r="T3323" t="str">
        <f>"14:45:42.141"</f>
        <v>14:45:42.141</v>
      </c>
      <c r="U3323" t="str">
        <f t="shared" si="153"/>
        <v>ad5732</v>
      </c>
      <c r="V3323">
        <v>0</v>
      </c>
      <c r="W3323">
        <v>0</v>
      </c>
      <c r="X3323">
        <v>1</v>
      </c>
      <c r="Z3323">
        <v>0</v>
      </c>
      <c r="AA3323">
        <v>9</v>
      </c>
      <c r="AB3323">
        <v>3</v>
      </c>
      <c r="AC3323">
        <v>0</v>
      </c>
      <c r="AD3323">
        <v>10</v>
      </c>
      <c r="AE3323">
        <v>0</v>
      </c>
      <c r="AF3323">
        <v>3</v>
      </c>
      <c r="AG3323">
        <v>2</v>
      </c>
      <c r="AH3323">
        <v>0</v>
      </c>
      <c r="AI3323" t="s">
        <v>6747</v>
      </c>
      <c r="AJ3323">
        <v>40.383425000000003</v>
      </c>
      <c r="AK3323" t="s">
        <v>6748</v>
      </c>
      <c r="AL3323">
        <v>-74.717202</v>
      </c>
      <c r="AM3323">
        <v>100</v>
      </c>
      <c r="AN3323">
        <v>1800</v>
      </c>
      <c r="AO3323" t="s">
        <v>115</v>
      </c>
      <c r="AP3323">
        <v>176</v>
      </c>
      <c r="AQ3323">
        <v>-20</v>
      </c>
      <c r="AR3323">
        <v>-704</v>
      </c>
      <c r="AZ3323">
        <v>3614</v>
      </c>
      <c r="BA3323">
        <v>1</v>
      </c>
      <c r="BB3323" t="str">
        <f t="shared" si="155"/>
        <v xml:space="preserve">N959MJ  </v>
      </c>
      <c r="BC3323">
        <v>1</v>
      </c>
      <c r="BE3323">
        <v>0</v>
      </c>
      <c r="BF3323">
        <v>0</v>
      </c>
      <c r="BG3323">
        <v>0</v>
      </c>
      <c r="BH3323">
        <v>1950</v>
      </c>
      <c r="BI3323">
        <v>150</v>
      </c>
      <c r="BJ3323">
        <v>1</v>
      </c>
      <c r="BK3323">
        <v>1</v>
      </c>
      <c r="BL3323">
        <v>1</v>
      </c>
      <c r="BM3323">
        <v>0</v>
      </c>
      <c r="BP3323">
        <v>0</v>
      </c>
      <c r="BQ3323">
        <v>0</v>
      </c>
      <c r="BX3323" t="str">
        <f>"14:45:42.648"</f>
        <v>14:45:42.648</v>
      </c>
      <c r="BY3323" t="str">
        <f>"647619860"</f>
        <v>647619860</v>
      </c>
      <c r="CL3323">
        <v>0</v>
      </c>
      <c r="CM3323">
        <v>2</v>
      </c>
      <c r="CN3323">
        <v>0</v>
      </c>
      <c r="CO3323">
        <v>2</v>
      </c>
      <c r="CP3323">
        <v>0</v>
      </c>
      <c r="CQ3323">
        <v>7</v>
      </c>
      <c r="CR3323" t="s">
        <v>116</v>
      </c>
      <c r="CS3323">
        <v>38</v>
      </c>
      <c r="CT3323">
        <v>0</v>
      </c>
      <c r="CU3323" t="s">
        <v>4719</v>
      </c>
      <c r="CV3323" t="s">
        <v>4720</v>
      </c>
      <c r="CY3323">
        <v>7696791</v>
      </c>
      <c r="CZ3323" t="s">
        <v>119</v>
      </c>
    </row>
    <row r="3324" spans="1:104" x14ac:dyDescent="0.25">
      <c r="A3324" t="str">
        <f>"14:45:43.758"</f>
        <v>14:45:43.758</v>
      </c>
      <c r="B3324" t="s">
        <v>108</v>
      </c>
      <c r="C3324" t="str">
        <f t="shared" si="154"/>
        <v>ffdfd3c0</v>
      </c>
      <c r="D3324" t="s">
        <v>109</v>
      </c>
      <c r="E3324">
        <v>4</v>
      </c>
      <c r="F3324">
        <v>1004</v>
      </c>
      <c r="G3324" t="s">
        <v>110</v>
      </c>
      <c r="J3324" t="s">
        <v>111</v>
      </c>
      <c r="K3324">
        <v>0</v>
      </c>
      <c r="L3324">
        <v>3</v>
      </c>
      <c r="M3324">
        <v>0</v>
      </c>
      <c r="N3324">
        <v>2</v>
      </c>
      <c r="O3324">
        <v>1</v>
      </c>
      <c r="P3324">
        <v>0</v>
      </c>
      <c r="Q3324">
        <v>0</v>
      </c>
      <c r="R3324" t="s">
        <v>112</v>
      </c>
      <c r="S3324" t="str">
        <f>"14:45:43.578"</f>
        <v>14:45:43.578</v>
      </c>
      <c r="T3324" t="str">
        <f>"14:45:42.680"</f>
        <v>14:45:42.680</v>
      </c>
      <c r="U3324" t="str">
        <f t="shared" si="153"/>
        <v>ad5732</v>
      </c>
      <c r="V3324">
        <v>0</v>
      </c>
      <c r="W3324">
        <v>0</v>
      </c>
      <c r="X3324">
        <v>1</v>
      </c>
      <c r="Z3324">
        <v>0</v>
      </c>
      <c r="AA3324">
        <v>9</v>
      </c>
      <c r="AB3324">
        <v>3</v>
      </c>
      <c r="AC3324">
        <v>0</v>
      </c>
      <c r="AD3324">
        <v>10</v>
      </c>
      <c r="AE3324">
        <v>0</v>
      </c>
      <c r="AF3324">
        <v>3</v>
      </c>
      <c r="AG3324">
        <v>2</v>
      </c>
      <c r="AH3324">
        <v>0</v>
      </c>
      <c r="AI3324" t="s">
        <v>6749</v>
      </c>
      <c r="AJ3324">
        <v>40.383360000000003</v>
      </c>
      <c r="AK3324" t="s">
        <v>6750</v>
      </c>
      <c r="AL3324">
        <v>-74.716194000000002</v>
      </c>
      <c r="AM3324">
        <v>100</v>
      </c>
      <c r="AN3324">
        <v>1800</v>
      </c>
      <c r="AO3324" t="s">
        <v>115</v>
      </c>
      <c r="AP3324">
        <v>176</v>
      </c>
      <c r="AQ3324">
        <v>-20</v>
      </c>
      <c r="AR3324">
        <v>-704</v>
      </c>
      <c r="AZ3324">
        <v>3614</v>
      </c>
      <c r="BA3324">
        <v>1</v>
      </c>
      <c r="BB3324" t="str">
        <f t="shared" si="155"/>
        <v xml:space="preserve">N959MJ  </v>
      </c>
      <c r="BC3324">
        <v>1</v>
      </c>
      <c r="BE3324">
        <v>0</v>
      </c>
      <c r="BF3324">
        <v>0</v>
      </c>
      <c r="BG3324">
        <v>0</v>
      </c>
      <c r="BH3324">
        <v>1950</v>
      </c>
      <c r="BI3324">
        <v>150</v>
      </c>
      <c r="BJ3324">
        <v>1</v>
      </c>
      <c r="BK3324">
        <v>1</v>
      </c>
      <c r="BL3324">
        <v>1</v>
      </c>
      <c r="BM3324">
        <v>0</v>
      </c>
      <c r="BP3324">
        <v>0</v>
      </c>
      <c r="BQ3324">
        <v>0</v>
      </c>
      <c r="BX3324" t="str">
        <f>"14:45:43.586"</f>
        <v>14:45:43.586</v>
      </c>
      <c r="BY3324" t="str">
        <f>"585113961"</f>
        <v>585113961</v>
      </c>
      <c r="CL3324">
        <v>0</v>
      </c>
      <c r="CM3324">
        <v>2</v>
      </c>
      <c r="CN3324">
        <v>0</v>
      </c>
      <c r="CO3324">
        <v>2</v>
      </c>
      <c r="CP3324">
        <v>0</v>
      </c>
      <c r="CQ3324">
        <v>2</v>
      </c>
      <c r="CR3324" t="s">
        <v>116</v>
      </c>
      <c r="CS3324">
        <v>40</v>
      </c>
      <c r="CT3324">
        <v>3</v>
      </c>
      <c r="CU3324" t="s">
        <v>2685</v>
      </c>
      <c r="CV3324" t="s">
        <v>2686</v>
      </c>
      <c r="CY3324">
        <v>8911188</v>
      </c>
      <c r="CZ3324" t="s">
        <v>119</v>
      </c>
    </row>
    <row r="3325" spans="1:104" x14ac:dyDescent="0.25">
      <c r="A3325" t="str">
        <f>"14:45:44.711"</f>
        <v>14:45:44.711</v>
      </c>
      <c r="B3325" t="s">
        <v>108</v>
      </c>
      <c r="C3325" t="str">
        <f t="shared" si="154"/>
        <v>ffdfd3c0</v>
      </c>
      <c r="D3325" t="s">
        <v>109</v>
      </c>
      <c r="E3325">
        <v>4</v>
      </c>
      <c r="F3325">
        <v>1004</v>
      </c>
      <c r="G3325" t="s">
        <v>110</v>
      </c>
      <c r="J3325" t="s">
        <v>111</v>
      </c>
      <c r="K3325">
        <v>0</v>
      </c>
      <c r="L3325">
        <v>3</v>
      </c>
      <c r="M3325">
        <v>0</v>
      </c>
      <c r="N3325">
        <v>2</v>
      </c>
      <c r="O3325">
        <v>1</v>
      </c>
      <c r="P3325">
        <v>0</v>
      </c>
      <c r="Q3325">
        <v>0</v>
      </c>
      <c r="R3325" t="s">
        <v>112</v>
      </c>
      <c r="S3325" t="str">
        <f>"14:45:44.547"</f>
        <v>14:45:44.547</v>
      </c>
      <c r="T3325" t="str">
        <f>"14:45:44.148"</f>
        <v>14:45:44.148</v>
      </c>
      <c r="U3325" t="str">
        <f t="shared" si="153"/>
        <v>ad5732</v>
      </c>
      <c r="V3325">
        <v>0</v>
      </c>
      <c r="W3325">
        <v>0</v>
      </c>
      <c r="X3325">
        <v>1</v>
      </c>
      <c r="Z3325">
        <v>0</v>
      </c>
      <c r="AA3325">
        <v>9</v>
      </c>
      <c r="AB3325">
        <v>3</v>
      </c>
      <c r="AC3325">
        <v>0</v>
      </c>
      <c r="AD3325">
        <v>10</v>
      </c>
      <c r="AE3325">
        <v>0</v>
      </c>
      <c r="AF3325">
        <v>3</v>
      </c>
      <c r="AG3325">
        <v>2</v>
      </c>
      <c r="AH3325">
        <v>0</v>
      </c>
      <c r="AI3325" t="s">
        <v>6751</v>
      </c>
      <c r="AJ3325">
        <v>40.383274999999998</v>
      </c>
      <c r="AK3325" t="s">
        <v>6752</v>
      </c>
      <c r="AL3325">
        <v>-74.715142</v>
      </c>
      <c r="AM3325">
        <v>100</v>
      </c>
      <c r="AN3325">
        <v>1700</v>
      </c>
      <c r="AO3325" t="s">
        <v>115</v>
      </c>
      <c r="AP3325">
        <v>176</v>
      </c>
      <c r="AQ3325">
        <v>-20</v>
      </c>
      <c r="AR3325">
        <v>-704</v>
      </c>
      <c r="AZ3325">
        <v>3614</v>
      </c>
      <c r="BA3325">
        <v>1</v>
      </c>
      <c r="BB3325" t="str">
        <f t="shared" si="155"/>
        <v xml:space="preserve">N959MJ  </v>
      </c>
      <c r="BC3325">
        <v>1</v>
      </c>
      <c r="BE3325">
        <v>0</v>
      </c>
      <c r="BF3325">
        <v>0</v>
      </c>
      <c r="BG3325">
        <v>0</v>
      </c>
      <c r="BH3325">
        <v>1925</v>
      </c>
      <c r="BI3325">
        <v>225</v>
      </c>
      <c r="BJ3325">
        <v>1</v>
      </c>
      <c r="BK3325">
        <v>1</v>
      </c>
      <c r="BL3325">
        <v>1</v>
      </c>
      <c r="BM3325">
        <v>0</v>
      </c>
      <c r="BP3325">
        <v>0</v>
      </c>
      <c r="BQ3325">
        <v>0</v>
      </c>
      <c r="BX3325" t="str">
        <f>"14:45:44.547"</f>
        <v>14:45:44.547</v>
      </c>
      <c r="BY3325" t="str">
        <f>"548197486"</f>
        <v>548197486</v>
      </c>
      <c r="CL3325">
        <v>0</v>
      </c>
      <c r="CM3325">
        <v>2</v>
      </c>
      <c r="CN3325">
        <v>0</v>
      </c>
      <c r="CO3325">
        <v>2</v>
      </c>
      <c r="CP3325">
        <v>0</v>
      </c>
      <c r="CQ3325">
        <v>7</v>
      </c>
      <c r="CR3325" t="s">
        <v>116</v>
      </c>
      <c r="CS3325">
        <v>38</v>
      </c>
      <c r="CT3325">
        <v>0</v>
      </c>
      <c r="CU3325" t="s">
        <v>4719</v>
      </c>
      <c r="CV3325" t="s">
        <v>4720</v>
      </c>
      <c r="CY3325">
        <v>7699721</v>
      </c>
      <c r="CZ3325" t="s">
        <v>119</v>
      </c>
    </row>
    <row r="3326" spans="1:104" x14ac:dyDescent="0.25">
      <c r="A3326" t="str">
        <f>"14:45:45.672"</f>
        <v>14:45:45.672</v>
      </c>
      <c r="B3326" t="s">
        <v>108</v>
      </c>
      <c r="C3326" t="str">
        <f t="shared" si="154"/>
        <v>ffdfd3c0</v>
      </c>
      <c r="D3326" t="s">
        <v>109</v>
      </c>
      <c r="E3326">
        <v>4</v>
      </c>
      <c r="F3326">
        <v>1004</v>
      </c>
      <c r="G3326" t="s">
        <v>110</v>
      </c>
      <c r="J3326" t="s">
        <v>111</v>
      </c>
      <c r="K3326">
        <v>0</v>
      </c>
      <c r="L3326">
        <v>3</v>
      </c>
      <c r="M3326">
        <v>0</v>
      </c>
      <c r="N3326">
        <v>2</v>
      </c>
      <c r="O3326">
        <v>1</v>
      </c>
      <c r="P3326">
        <v>0</v>
      </c>
      <c r="Q3326">
        <v>0</v>
      </c>
      <c r="R3326" t="s">
        <v>112</v>
      </c>
      <c r="S3326" t="str">
        <f>"14:45:45.469"</f>
        <v>14:45:45.469</v>
      </c>
      <c r="T3326" t="str">
        <f>"14:45:45.070"</f>
        <v>14:45:45.070</v>
      </c>
      <c r="U3326" t="str">
        <f t="shared" si="153"/>
        <v>ad5732</v>
      </c>
      <c r="V3326">
        <v>0</v>
      </c>
      <c r="W3326">
        <v>0</v>
      </c>
      <c r="X3326">
        <v>1</v>
      </c>
      <c r="Z3326">
        <v>0</v>
      </c>
      <c r="AA3326">
        <v>9</v>
      </c>
      <c r="AB3326">
        <v>3</v>
      </c>
      <c r="AC3326">
        <v>0</v>
      </c>
      <c r="AD3326">
        <v>10</v>
      </c>
      <c r="AE3326">
        <v>0</v>
      </c>
      <c r="AF3326">
        <v>3</v>
      </c>
      <c r="AG3326">
        <v>2</v>
      </c>
      <c r="AH3326">
        <v>0</v>
      </c>
      <c r="AI3326" t="s">
        <v>6753</v>
      </c>
      <c r="AJ3326">
        <v>40.383189000000002</v>
      </c>
      <c r="AK3326" t="s">
        <v>6754</v>
      </c>
      <c r="AL3326">
        <v>-74.714219999999997</v>
      </c>
      <c r="AM3326">
        <v>100</v>
      </c>
      <c r="AN3326">
        <v>1700</v>
      </c>
      <c r="AO3326" t="s">
        <v>115</v>
      </c>
      <c r="AP3326">
        <v>175</v>
      </c>
      <c r="AQ3326">
        <v>-20</v>
      </c>
      <c r="AR3326">
        <v>-704</v>
      </c>
      <c r="AZ3326">
        <v>3614</v>
      </c>
      <c r="BA3326">
        <v>1</v>
      </c>
      <c r="BB3326" t="str">
        <f t="shared" si="155"/>
        <v xml:space="preserve">N959MJ  </v>
      </c>
      <c r="BC3326">
        <v>1</v>
      </c>
      <c r="BE3326">
        <v>0</v>
      </c>
      <c r="BF3326">
        <v>0</v>
      </c>
      <c r="BG3326">
        <v>0</v>
      </c>
      <c r="BH3326">
        <v>1925</v>
      </c>
      <c r="BI3326">
        <v>225</v>
      </c>
      <c r="BJ3326">
        <v>1</v>
      </c>
      <c r="BK3326">
        <v>1</v>
      </c>
      <c r="BL3326">
        <v>1</v>
      </c>
      <c r="BM3326">
        <v>0</v>
      </c>
      <c r="BP3326">
        <v>0</v>
      </c>
      <c r="BQ3326">
        <v>0</v>
      </c>
      <c r="BX3326" t="str">
        <f>"14:45:45.469"</f>
        <v>14:45:45.469</v>
      </c>
      <c r="BY3326" t="str">
        <f>"470757209"</f>
        <v>470757209</v>
      </c>
      <c r="CL3326">
        <v>0</v>
      </c>
      <c r="CM3326">
        <v>2</v>
      </c>
      <c r="CN3326">
        <v>0</v>
      </c>
      <c r="CO3326">
        <v>2</v>
      </c>
      <c r="CP3326">
        <v>0</v>
      </c>
      <c r="CQ3326">
        <v>5</v>
      </c>
      <c r="CR3326" t="s">
        <v>116</v>
      </c>
      <c r="CS3326">
        <v>409</v>
      </c>
      <c r="CT3326">
        <v>1</v>
      </c>
      <c r="CU3326" t="s">
        <v>5087</v>
      </c>
      <c r="CV3326" t="s">
        <v>5088</v>
      </c>
      <c r="CY3326">
        <v>4018196</v>
      </c>
      <c r="CZ3326" t="s">
        <v>119</v>
      </c>
    </row>
    <row r="3327" spans="1:104" x14ac:dyDescent="0.25">
      <c r="A3327" t="str">
        <f>"14:45:46.633"</f>
        <v>14:45:46.633</v>
      </c>
      <c r="B3327" t="s">
        <v>108</v>
      </c>
      <c r="C3327" t="str">
        <f t="shared" si="154"/>
        <v>ffdfd3c0</v>
      </c>
      <c r="D3327" t="s">
        <v>109</v>
      </c>
      <c r="E3327">
        <v>4</v>
      </c>
      <c r="F3327">
        <v>1004</v>
      </c>
      <c r="G3327" t="s">
        <v>110</v>
      </c>
      <c r="J3327" t="s">
        <v>111</v>
      </c>
      <c r="K3327">
        <v>0</v>
      </c>
      <c r="L3327">
        <v>3</v>
      </c>
      <c r="M3327">
        <v>0</v>
      </c>
      <c r="N3327">
        <v>2</v>
      </c>
      <c r="O3327">
        <v>1</v>
      </c>
      <c r="P3327">
        <v>0</v>
      </c>
      <c r="Q3327">
        <v>0</v>
      </c>
      <c r="R3327" t="s">
        <v>112</v>
      </c>
      <c r="S3327" t="str">
        <f>"14:45:46.414"</f>
        <v>14:45:46.414</v>
      </c>
      <c r="T3327" t="str">
        <f>"14:45:46.016"</f>
        <v>14:45:46.016</v>
      </c>
      <c r="U3327" t="str">
        <f t="shared" si="153"/>
        <v>ad5732</v>
      </c>
      <c r="V3327">
        <v>0</v>
      </c>
      <c r="W3327">
        <v>0</v>
      </c>
      <c r="X3327">
        <v>1</v>
      </c>
      <c r="Z3327">
        <v>0</v>
      </c>
      <c r="AA3327">
        <v>9</v>
      </c>
      <c r="AB3327">
        <v>3</v>
      </c>
      <c r="AC3327">
        <v>0</v>
      </c>
      <c r="AD3327">
        <v>10</v>
      </c>
      <c r="AE3327">
        <v>0</v>
      </c>
      <c r="AF3327">
        <v>3</v>
      </c>
      <c r="AG3327">
        <v>2</v>
      </c>
      <c r="AH3327">
        <v>0</v>
      </c>
      <c r="AI3327" t="s">
        <v>6755</v>
      </c>
      <c r="AJ3327">
        <v>40.383080999999997</v>
      </c>
      <c r="AK3327" t="s">
        <v>6756</v>
      </c>
      <c r="AL3327">
        <v>-74.713189999999997</v>
      </c>
      <c r="AM3327">
        <v>100</v>
      </c>
      <c r="AN3327">
        <v>1700</v>
      </c>
      <c r="AO3327" t="s">
        <v>115</v>
      </c>
      <c r="AP3327">
        <v>175</v>
      </c>
      <c r="AQ3327">
        <v>-21</v>
      </c>
      <c r="AR3327">
        <v>-704</v>
      </c>
      <c r="AZ3327">
        <v>3614</v>
      </c>
      <c r="BA3327">
        <v>1</v>
      </c>
      <c r="BB3327" t="str">
        <f t="shared" si="155"/>
        <v xml:space="preserve">N959MJ  </v>
      </c>
      <c r="BC3327">
        <v>1</v>
      </c>
      <c r="BE3327">
        <v>0</v>
      </c>
      <c r="BF3327">
        <v>0</v>
      </c>
      <c r="BG3327">
        <v>0</v>
      </c>
      <c r="BH3327">
        <v>1900</v>
      </c>
      <c r="BI3327">
        <v>200</v>
      </c>
      <c r="BJ3327">
        <v>1</v>
      </c>
      <c r="BK3327">
        <v>1</v>
      </c>
      <c r="BL3327">
        <v>1</v>
      </c>
      <c r="BM3327">
        <v>0</v>
      </c>
      <c r="BP3327">
        <v>0</v>
      </c>
      <c r="BQ3327">
        <v>0</v>
      </c>
      <c r="BX3327" t="str">
        <f>"14:45:46.422"</f>
        <v>14:45:46.422</v>
      </c>
      <c r="BY3327" t="str">
        <f>"419548369"</f>
        <v>419548369</v>
      </c>
      <c r="CL3327">
        <v>0</v>
      </c>
      <c r="CM3327">
        <v>2</v>
      </c>
      <c r="CN3327">
        <v>0</v>
      </c>
      <c r="CO3327">
        <v>2</v>
      </c>
      <c r="CP3327">
        <v>0</v>
      </c>
      <c r="CQ3327">
        <v>2</v>
      </c>
      <c r="CR3327" t="s">
        <v>116</v>
      </c>
      <c r="CS3327">
        <v>408</v>
      </c>
      <c r="CT3327">
        <v>0</v>
      </c>
      <c r="CU3327" t="s">
        <v>2317</v>
      </c>
      <c r="CV3327" t="s">
        <v>2318</v>
      </c>
      <c r="CY3327">
        <v>13197844</v>
      </c>
      <c r="CZ3327" t="s">
        <v>119</v>
      </c>
    </row>
    <row r="3328" spans="1:104" x14ac:dyDescent="0.25">
      <c r="A3328" t="str">
        <f>"14:45:47.539"</f>
        <v>14:45:47.539</v>
      </c>
      <c r="B3328" t="s">
        <v>108</v>
      </c>
      <c r="C3328" t="str">
        <f t="shared" si="154"/>
        <v>ffdfd3c0</v>
      </c>
      <c r="D3328" t="s">
        <v>109</v>
      </c>
      <c r="E3328">
        <v>4</v>
      </c>
      <c r="F3328">
        <v>1004</v>
      </c>
      <c r="G3328" t="s">
        <v>110</v>
      </c>
      <c r="J3328" t="s">
        <v>111</v>
      </c>
      <c r="K3328">
        <v>0</v>
      </c>
      <c r="L3328">
        <v>3</v>
      </c>
      <c r="M3328">
        <v>0</v>
      </c>
      <c r="N3328">
        <v>2</v>
      </c>
      <c r="O3328">
        <v>1</v>
      </c>
      <c r="P3328">
        <v>0</v>
      </c>
      <c r="Q3328">
        <v>0</v>
      </c>
      <c r="R3328" t="s">
        <v>112</v>
      </c>
      <c r="S3328" t="str">
        <f>"14:45:47.375"</f>
        <v>14:45:47.375</v>
      </c>
      <c r="T3328" t="str">
        <f>"14:45:46.977"</f>
        <v>14:45:46.977</v>
      </c>
      <c r="U3328" t="str">
        <f t="shared" si="153"/>
        <v>ad5732</v>
      </c>
      <c r="V3328">
        <v>0</v>
      </c>
      <c r="W3328">
        <v>0</v>
      </c>
      <c r="X3328">
        <v>1</v>
      </c>
      <c r="Z3328">
        <v>0</v>
      </c>
      <c r="AA3328">
        <v>9</v>
      </c>
      <c r="AB3328">
        <v>3</v>
      </c>
      <c r="AC3328">
        <v>0</v>
      </c>
      <c r="AD3328">
        <v>10</v>
      </c>
      <c r="AE3328">
        <v>0</v>
      </c>
      <c r="AF3328">
        <v>3</v>
      </c>
      <c r="AG3328">
        <v>2</v>
      </c>
      <c r="AH3328">
        <v>0</v>
      </c>
      <c r="AI3328" t="s">
        <v>6757</v>
      </c>
      <c r="AJ3328">
        <v>40.382995999999999</v>
      </c>
      <c r="AK3328" t="s">
        <v>6758</v>
      </c>
      <c r="AL3328">
        <v>-74.712159999999997</v>
      </c>
      <c r="AM3328">
        <v>100</v>
      </c>
      <c r="AN3328">
        <v>1700</v>
      </c>
      <c r="AO3328" t="s">
        <v>115</v>
      </c>
      <c r="AP3328">
        <v>175</v>
      </c>
      <c r="AQ3328">
        <v>-21</v>
      </c>
      <c r="AR3328">
        <v>-640</v>
      </c>
      <c r="AZ3328">
        <v>3614</v>
      </c>
      <c r="BA3328">
        <v>1</v>
      </c>
      <c r="BB3328" t="str">
        <f t="shared" si="155"/>
        <v xml:space="preserve">N959MJ  </v>
      </c>
      <c r="BC3328">
        <v>1</v>
      </c>
      <c r="BE3328">
        <v>0</v>
      </c>
      <c r="BF3328">
        <v>0</v>
      </c>
      <c r="BG3328">
        <v>0</v>
      </c>
      <c r="BH3328">
        <v>1900</v>
      </c>
      <c r="BI3328">
        <v>200</v>
      </c>
      <c r="BJ3328">
        <v>1</v>
      </c>
      <c r="BK3328">
        <v>1</v>
      </c>
      <c r="BL3328">
        <v>1</v>
      </c>
      <c r="BM3328">
        <v>0</v>
      </c>
      <c r="BP3328">
        <v>0</v>
      </c>
      <c r="BQ3328">
        <v>0</v>
      </c>
      <c r="BX3328" t="str">
        <f>"14:45:47.375"</f>
        <v>14:45:47.375</v>
      </c>
      <c r="BY3328" t="str">
        <f>"377764169"</f>
        <v>377764169</v>
      </c>
      <c r="CL3328">
        <v>0</v>
      </c>
      <c r="CM3328">
        <v>2</v>
      </c>
      <c r="CN3328">
        <v>0</v>
      </c>
      <c r="CO3328">
        <v>2</v>
      </c>
      <c r="CP3328">
        <v>0</v>
      </c>
      <c r="CQ3328">
        <v>7</v>
      </c>
      <c r="CR3328" t="s">
        <v>116</v>
      </c>
      <c r="CS3328">
        <v>38</v>
      </c>
      <c r="CT3328">
        <v>0</v>
      </c>
      <c r="CU3328" t="s">
        <v>4719</v>
      </c>
      <c r="CV3328" t="s">
        <v>4720</v>
      </c>
      <c r="CY3328">
        <v>7704123</v>
      </c>
      <c r="CZ3328" t="s">
        <v>119</v>
      </c>
    </row>
    <row r="3329" spans="1:104" x14ac:dyDescent="0.25">
      <c r="A3329" t="str">
        <f>"14:45:49.109"</f>
        <v>14:45:49.109</v>
      </c>
      <c r="B3329" t="s">
        <v>108</v>
      </c>
      <c r="C3329" t="str">
        <f t="shared" si="154"/>
        <v>ffdfd3c0</v>
      </c>
      <c r="D3329" t="s">
        <v>109</v>
      </c>
      <c r="E3329">
        <v>4</v>
      </c>
      <c r="F3329">
        <v>1004</v>
      </c>
      <c r="G3329" t="s">
        <v>110</v>
      </c>
      <c r="J3329" t="s">
        <v>111</v>
      </c>
      <c r="K3329">
        <v>0</v>
      </c>
      <c r="L3329">
        <v>3</v>
      </c>
      <c r="M3329">
        <v>0</v>
      </c>
      <c r="N3329">
        <v>2</v>
      </c>
      <c r="O3329">
        <v>1</v>
      </c>
      <c r="P3329">
        <v>0</v>
      </c>
      <c r="Q3329">
        <v>0</v>
      </c>
      <c r="R3329" t="s">
        <v>112</v>
      </c>
      <c r="S3329" t="str">
        <f>"14:45:48.945"</f>
        <v>14:45:48.945</v>
      </c>
      <c r="T3329" t="str">
        <f>"14:45:48.547"</f>
        <v>14:45:48.547</v>
      </c>
      <c r="U3329" t="str">
        <f t="shared" si="153"/>
        <v>ad5732</v>
      </c>
      <c r="V3329">
        <v>0</v>
      </c>
      <c r="W3329">
        <v>0</v>
      </c>
      <c r="X3329">
        <v>1</v>
      </c>
      <c r="Z3329">
        <v>0</v>
      </c>
      <c r="AA3329">
        <v>9</v>
      </c>
      <c r="AB3329">
        <v>3</v>
      </c>
      <c r="AC3329">
        <v>0</v>
      </c>
      <c r="AD3329">
        <v>10</v>
      </c>
      <c r="AE3329">
        <v>0</v>
      </c>
      <c r="AF3329">
        <v>3</v>
      </c>
      <c r="AG3329">
        <v>2</v>
      </c>
      <c r="AH3329">
        <v>0</v>
      </c>
      <c r="AI3329" t="s">
        <v>6759</v>
      </c>
      <c r="AJ3329">
        <v>40.382866999999997</v>
      </c>
      <c r="AK3329" t="s">
        <v>6760</v>
      </c>
      <c r="AL3329">
        <v>-74.710442999999998</v>
      </c>
      <c r="AM3329">
        <v>100</v>
      </c>
      <c r="AN3329">
        <v>1700</v>
      </c>
      <c r="AO3329" t="s">
        <v>115</v>
      </c>
      <c r="AP3329">
        <v>175</v>
      </c>
      <c r="AQ3329">
        <v>-20</v>
      </c>
      <c r="AR3329">
        <v>-704</v>
      </c>
      <c r="AZ3329">
        <v>3614</v>
      </c>
      <c r="BA3329">
        <v>1</v>
      </c>
      <c r="BB3329" t="str">
        <f t="shared" si="155"/>
        <v xml:space="preserve">N959MJ  </v>
      </c>
      <c r="BC3329">
        <v>1</v>
      </c>
      <c r="BE3329">
        <v>0</v>
      </c>
      <c r="BF3329">
        <v>0</v>
      </c>
      <c r="BG3329">
        <v>0</v>
      </c>
      <c r="BH3329">
        <v>1875</v>
      </c>
      <c r="BI3329">
        <v>175</v>
      </c>
      <c r="BJ3329">
        <v>1</v>
      </c>
      <c r="BK3329">
        <v>1</v>
      </c>
      <c r="BL3329">
        <v>1</v>
      </c>
      <c r="BM3329">
        <v>0</v>
      </c>
      <c r="BP3329">
        <v>0</v>
      </c>
      <c r="BQ3329">
        <v>0</v>
      </c>
      <c r="BX3329" t="str">
        <f>"14:45:48.945"</f>
        <v>14:45:48.945</v>
      </c>
      <c r="BY3329" t="str">
        <f>"947379139"</f>
        <v>947379139</v>
      </c>
      <c r="CL3329">
        <v>0</v>
      </c>
      <c r="CM3329">
        <v>2</v>
      </c>
      <c r="CN3329">
        <v>0</v>
      </c>
      <c r="CO3329">
        <v>2</v>
      </c>
      <c r="CP3329">
        <v>0</v>
      </c>
      <c r="CQ3329">
        <v>7</v>
      </c>
      <c r="CR3329" t="s">
        <v>116</v>
      </c>
      <c r="CS3329">
        <v>38</v>
      </c>
      <c r="CT3329">
        <v>0</v>
      </c>
      <c r="CU3329" t="s">
        <v>4719</v>
      </c>
      <c r="CV3329" t="s">
        <v>4720</v>
      </c>
      <c r="CY3329">
        <v>7706367</v>
      </c>
      <c r="CZ3329" t="s">
        <v>119</v>
      </c>
    </row>
    <row r="3330" spans="1:104" x14ac:dyDescent="0.25">
      <c r="A3330" t="str">
        <f>"14:45:50.117"</f>
        <v>14:45:50.117</v>
      </c>
      <c r="B3330" t="s">
        <v>108</v>
      </c>
      <c r="C3330" t="str">
        <f t="shared" si="154"/>
        <v>ffdfd3c0</v>
      </c>
      <c r="D3330" t="s">
        <v>109</v>
      </c>
      <c r="E3330">
        <v>4</v>
      </c>
      <c r="F3330">
        <v>1004</v>
      </c>
      <c r="G3330" t="s">
        <v>110</v>
      </c>
      <c r="J3330" t="s">
        <v>111</v>
      </c>
      <c r="K3330">
        <v>0</v>
      </c>
      <c r="L3330">
        <v>3</v>
      </c>
      <c r="M3330">
        <v>0</v>
      </c>
      <c r="N3330">
        <v>2</v>
      </c>
      <c r="O3330">
        <v>1</v>
      </c>
      <c r="P3330">
        <v>0</v>
      </c>
      <c r="Q3330">
        <v>0</v>
      </c>
      <c r="R3330" t="s">
        <v>112</v>
      </c>
      <c r="S3330" t="str">
        <f>"14:45:49.906"</f>
        <v>14:45:49.906</v>
      </c>
      <c r="T3330" t="str">
        <f>"14:45:49.406"</f>
        <v>14:45:49.406</v>
      </c>
      <c r="U3330" t="str">
        <f t="shared" ref="U3330:U3393" si="156">"ad5732"</f>
        <v>ad5732</v>
      </c>
      <c r="V3330">
        <v>0</v>
      </c>
      <c r="W3330">
        <v>0</v>
      </c>
      <c r="X3330">
        <v>1</v>
      </c>
      <c r="Z3330">
        <v>0</v>
      </c>
      <c r="AA3330">
        <v>9</v>
      </c>
      <c r="AB3330">
        <v>3</v>
      </c>
      <c r="AC3330">
        <v>0</v>
      </c>
      <c r="AD3330">
        <v>10</v>
      </c>
      <c r="AE3330">
        <v>0</v>
      </c>
      <c r="AF3330">
        <v>3</v>
      </c>
      <c r="AG3330">
        <v>2</v>
      </c>
      <c r="AH3330">
        <v>0</v>
      </c>
      <c r="AI3330" t="s">
        <v>6761</v>
      </c>
      <c r="AJ3330">
        <v>40.382759999999998</v>
      </c>
      <c r="AK3330" t="s">
        <v>6762</v>
      </c>
      <c r="AL3330">
        <v>-74.709519999999998</v>
      </c>
      <c r="AM3330">
        <v>100</v>
      </c>
      <c r="AN3330">
        <v>1700</v>
      </c>
      <c r="AO3330" t="s">
        <v>115</v>
      </c>
      <c r="AP3330">
        <v>175</v>
      </c>
      <c r="AQ3330">
        <v>-20</v>
      </c>
      <c r="AR3330">
        <v>-704</v>
      </c>
      <c r="AZ3330">
        <v>3614</v>
      </c>
      <c r="BA3330">
        <v>1</v>
      </c>
      <c r="BB3330" t="str">
        <f t="shared" si="155"/>
        <v xml:space="preserve">N959MJ  </v>
      </c>
      <c r="BC3330">
        <v>1</v>
      </c>
      <c r="BE3330">
        <v>0</v>
      </c>
      <c r="BF3330">
        <v>0</v>
      </c>
      <c r="BG3330">
        <v>0</v>
      </c>
      <c r="BH3330">
        <v>1875</v>
      </c>
      <c r="BI3330">
        <v>175</v>
      </c>
      <c r="BJ3330">
        <v>1</v>
      </c>
      <c r="BK3330">
        <v>1</v>
      </c>
      <c r="BL3330">
        <v>1</v>
      </c>
      <c r="BM3330">
        <v>0</v>
      </c>
      <c r="BP3330">
        <v>0</v>
      </c>
      <c r="BQ3330">
        <v>0</v>
      </c>
      <c r="BX3330" t="str">
        <f>"14:45:49.906"</f>
        <v>14:45:49.906</v>
      </c>
      <c r="BY3330" t="str">
        <f>"909136965"</f>
        <v>909136965</v>
      </c>
      <c r="CL3330">
        <v>0</v>
      </c>
      <c r="CM3330">
        <v>2</v>
      </c>
      <c r="CN3330">
        <v>0</v>
      </c>
      <c r="CO3330">
        <v>2</v>
      </c>
      <c r="CP3330">
        <v>0</v>
      </c>
      <c r="CQ3330">
        <v>7</v>
      </c>
      <c r="CR3330" t="s">
        <v>116</v>
      </c>
      <c r="CS3330">
        <v>38</v>
      </c>
      <c r="CT3330">
        <v>0</v>
      </c>
      <c r="CU3330" t="s">
        <v>4719</v>
      </c>
      <c r="CV3330" t="s">
        <v>4720</v>
      </c>
      <c r="CY3330">
        <v>7707878</v>
      </c>
      <c r="CZ3330" t="s">
        <v>119</v>
      </c>
    </row>
    <row r="3331" spans="1:104" x14ac:dyDescent="0.25">
      <c r="A3331" t="str">
        <f>"14:45:51.172"</f>
        <v>14:45:51.172</v>
      </c>
      <c r="B3331" t="s">
        <v>108</v>
      </c>
      <c r="C3331" t="str">
        <f t="shared" si="154"/>
        <v>ffdfd3c0</v>
      </c>
      <c r="D3331" t="s">
        <v>109</v>
      </c>
      <c r="E3331">
        <v>4</v>
      </c>
      <c r="F3331">
        <v>1004</v>
      </c>
      <c r="G3331" t="s">
        <v>110</v>
      </c>
      <c r="J3331" t="s">
        <v>111</v>
      </c>
      <c r="K3331">
        <v>0</v>
      </c>
      <c r="L3331">
        <v>3</v>
      </c>
      <c r="M3331">
        <v>0</v>
      </c>
      <c r="N3331">
        <v>2</v>
      </c>
      <c r="O3331">
        <v>1</v>
      </c>
      <c r="P3331">
        <v>0</v>
      </c>
      <c r="Q3331">
        <v>0</v>
      </c>
      <c r="R3331" t="s">
        <v>112</v>
      </c>
      <c r="S3331" t="str">
        <f>"14:45:51.000"</f>
        <v>14:45:51.000</v>
      </c>
      <c r="T3331" t="str">
        <f>"14:45:50.500"</f>
        <v>14:45:50.500</v>
      </c>
      <c r="U3331" t="str">
        <f t="shared" si="156"/>
        <v>ad5732</v>
      </c>
      <c r="V3331">
        <v>0</v>
      </c>
      <c r="W3331">
        <v>0</v>
      </c>
      <c r="X3331">
        <v>1</v>
      </c>
      <c r="Z3331">
        <v>0</v>
      </c>
      <c r="AA3331">
        <v>9</v>
      </c>
      <c r="AB3331">
        <v>3</v>
      </c>
      <c r="AC3331">
        <v>0</v>
      </c>
      <c r="AD3331">
        <v>10</v>
      </c>
      <c r="AE3331">
        <v>0</v>
      </c>
      <c r="AF3331">
        <v>3</v>
      </c>
      <c r="AG3331">
        <v>2</v>
      </c>
      <c r="AH3331">
        <v>0</v>
      </c>
      <c r="AI3331" t="s">
        <v>6763</v>
      </c>
      <c r="AJ3331">
        <v>40.382674000000002</v>
      </c>
      <c r="AK3331" t="s">
        <v>6764</v>
      </c>
      <c r="AL3331">
        <v>-74.708382999999998</v>
      </c>
      <c r="AM3331">
        <v>100</v>
      </c>
      <c r="AN3331">
        <v>1700</v>
      </c>
      <c r="AO3331" t="s">
        <v>115</v>
      </c>
      <c r="AP3331">
        <v>174</v>
      </c>
      <c r="AQ3331">
        <v>-20</v>
      </c>
      <c r="AR3331">
        <v>-704</v>
      </c>
      <c r="AZ3331">
        <v>3614</v>
      </c>
      <c r="BA3331">
        <v>1</v>
      </c>
      <c r="BB3331" t="str">
        <f t="shared" si="155"/>
        <v xml:space="preserve">N959MJ  </v>
      </c>
      <c r="BC3331">
        <v>1</v>
      </c>
      <c r="BE3331">
        <v>0</v>
      </c>
      <c r="BF3331">
        <v>0</v>
      </c>
      <c r="BG3331">
        <v>0</v>
      </c>
      <c r="BH3331">
        <v>1850</v>
      </c>
      <c r="BI3331">
        <v>150</v>
      </c>
      <c r="BJ3331">
        <v>1</v>
      </c>
      <c r="BK3331">
        <v>1</v>
      </c>
      <c r="BL3331">
        <v>1</v>
      </c>
      <c r="BM3331">
        <v>0</v>
      </c>
      <c r="BP3331">
        <v>0</v>
      </c>
      <c r="BQ3331">
        <v>0</v>
      </c>
      <c r="BX3331" t="str">
        <f>"14:45:51.000"</f>
        <v>14:45:51.000</v>
      </c>
      <c r="BY3331" t="str">
        <f>"003745862"</f>
        <v>003745862</v>
      </c>
      <c r="CL3331">
        <v>0</v>
      </c>
      <c r="CM3331">
        <v>2</v>
      </c>
      <c r="CN3331">
        <v>0</v>
      </c>
      <c r="CO3331">
        <v>2</v>
      </c>
      <c r="CP3331">
        <v>0</v>
      </c>
      <c r="CQ3331">
        <v>5</v>
      </c>
      <c r="CR3331" t="s">
        <v>116</v>
      </c>
      <c r="CS3331">
        <v>305</v>
      </c>
      <c r="CT3331">
        <v>3</v>
      </c>
      <c r="CU3331" t="s">
        <v>6425</v>
      </c>
      <c r="CV3331" t="s">
        <v>6426</v>
      </c>
      <c r="CY3331">
        <v>5459922</v>
      </c>
      <c r="CZ3331" t="s">
        <v>119</v>
      </c>
    </row>
    <row r="3332" spans="1:104" x14ac:dyDescent="0.25">
      <c r="A3332" t="str">
        <f>"14:45:52.289"</f>
        <v>14:45:52.289</v>
      </c>
      <c r="B3332" t="s">
        <v>108</v>
      </c>
      <c r="C3332" t="str">
        <f t="shared" si="154"/>
        <v>ffdfd3c0</v>
      </c>
      <c r="D3332" t="s">
        <v>109</v>
      </c>
      <c r="E3332">
        <v>4</v>
      </c>
      <c r="F3332">
        <v>1004</v>
      </c>
      <c r="G3332" t="s">
        <v>110</v>
      </c>
      <c r="J3332" t="s">
        <v>111</v>
      </c>
      <c r="K3332">
        <v>0</v>
      </c>
      <c r="L3332">
        <v>3</v>
      </c>
      <c r="M3332">
        <v>0</v>
      </c>
      <c r="N3332">
        <v>2</v>
      </c>
      <c r="O3332">
        <v>1</v>
      </c>
      <c r="P3332">
        <v>0</v>
      </c>
      <c r="Q3332">
        <v>0</v>
      </c>
      <c r="R3332" t="s">
        <v>112</v>
      </c>
      <c r="S3332" t="str">
        <f>"14:45:52.109"</f>
        <v>14:45:52.109</v>
      </c>
      <c r="T3332" t="str">
        <f>"14:45:51.008"</f>
        <v>14:45:51.008</v>
      </c>
      <c r="U3332" t="str">
        <f t="shared" si="156"/>
        <v>ad5732</v>
      </c>
      <c r="V3332">
        <v>0</v>
      </c>
      <c r="W3332">
        <v>0</v>
      </c>
      <c r="X3332">
        <v>1</v>
      </c>
      <c r="Z3332">
        <v>0</v>
      </c>
      <c r="AA3332">
        <v>9</v>
      </c>
      <c r="AB3332">
        <v>3</v>
      </c>
      <c r="AC3332">
        <v>0</v>
      </c>
      <c r="AD3332">
        <v>10</v>
      </c>
      <c r="AE3332">
        <v>0</v>
      </c>
      <c r="AF3332">
        <v>3</v>
      </c>
      <c r="AG3332">
        <v>2</v>
      </c>
      <c r="AH3332">
        <v>0</v>
      </c>
      <c r="AI3332" t="s">
        <v>6765</v>
      </c>
      <c r="AJ3332">
        <v>40.382523999999997</v>
      </c>
      <c r="AK3332" t="s">
        <v>6766</v>
      </c>
      <c r="AL3332">
        <v>-74.707223999999997</v>
      </c>
      <c r="AM3332">
        <v>100</v>
      </c>
      <c r="AN3332">
        <v>1700</v>
      </c>
      <c r="AO3332" t="s">
        <v>115</v>
      </c>
      <c r="AP3332">
        <v>174</v>
      </c>
      <c r="AQ3332">
        <v>-20</v>
      </c>
      <c r="AR3332">
        <v>-704</v>
      </c>
      <c r="AZ3332">
        <v>3614</v>
      </c>
      <c r="BA3332">
        <v>1</v>
      </c>
      <c r="BB3332" t="str">
        <f t="shared" si="155"/>
        <v xml:space="preserve">N959MJ  </v>
      </c>
      <c r="BC3332">
        <v>1</v>
      </c>
      <c r="BE3332">
        <v>0</v>
      </c>
      <c r="BF3332">
        <v>0</v>
      </c>
      <c r="BG3332">
        <v>0</v>
      </c>
      <c r="BH3332">
        <v>1850</v>
      </c>
      <c r="BI3332">
        <v>150</v>
      </c>
      <c r="BJ3332">
        <v>1</v>
      </c>
      <c r="BK3332">
        <v>1</v>
      </c>
      <c r="BL3332">
        <v>1</v>
      </c>
      <c r="BM3332">
        <v>0</v>
      </c>
      <c r="BP3332">
        <v>0</v>
      </c>
      <c r="BQ3332">
        <v>0</v>
      </c>
      <c r="BX3332" t="str">
        <f>"14:45:52.117"</f>
        <v>14:45:52.117</v>
      </c>
      <c r="BY3332" t="str">
        <f>"114462350"</f>
        <v>114462350</v>
      </c>
      <c r="CL3332">
        <v>0</v>
      </c>
      <c r="CM3332">
        <v>2</v>
      </c>
      <c r="CN3332">
        <v>0</v>
      </c>
      <c r="CO3332">
        <v>2</v>
      </c>
      <c r="CP3332">
        <v>0</v>
      </c>
      <c r="CQ3332">
        <v>7</v>
      </c>
      <c r="CR3332" t="s">
        <v>116</v>
      </c>
      <c r="CS3332">
        <v>38</v>
      </c>
      <c r="CT3332">
        <v>0</v>
      </c>
      <c r="CU3332" t="s">
        <v>4719</v>
      </c>
      <c r="CV3332" t="s">
        <v>4720</v>
      </c>
      <c r="CY3332">
        <v>7711196</v>
      </c>
      <c r="CZ3332" t="s">
        <v>119</v>
      </c>
    </row>
    <row r="3333" spans="1:104" x14ac:dyDescent="0.25">
      <c r="A3333" t="str">
        <f>"14:45:53.148"</f>
        <v>14:45:53.148</v>
      </c>
      <c r="B3333" t="s">
        <v>108</v>
      </c>
      <c r="C3333" t="str">
        <f t="shared" si="154"/>
        <v>ffdfd3c0</v>
      </c>
      <c r="D3333" t="s">
        <v>109</v>
      </c>
      <c r="E3333">
        <v>4</v>
      </c>
      <c r="F3333">
        <v>1004</v>
      </c>
      <c r="G3333" t="s">
        <v>110</v>
      </c>
      <c r="J3333" t="s">
        <v>111</v>
      </c>
      <c r="K3333">
        <v>0</v>
      </c>
      <c r="L3333">
        <v>3</v>
      </c>
      <c r="M3333">
        <v>0</v>
      </c>
      <c r="N3333">
        <v>2</v>
      </c>
      <c r="O3333">
        <v>1</v>
      </c>
      <c r="P3333">
        <v>0</v>
      </c>
      <c r="Q3333">
        <v>0</v>
      </c>
      <c r="R3333" t="s">
        <v>112</v>
      </c>
      <c r="S3333" t="str">
        <f>"14:45:52.945"</f>
        <v>14:45:52.945</v>
      </c>
      <c r="T3333" t="str">
        <f>"14:45:52.547"</f>
        <v>14:45:52.547</v>
      </c>
      <c r="U3333" t="str">
        <f t="shared" si="156"/>
        <v>ad5732</v>
      </c>
      <c r="V3333">
        <v>0</v>
      </c>
      <c r="W3333">
        <v>0</v>
      </c>
      <c r="X3333">
        <v>1</v>
      </c>
      <c r="Z3333">
        <v>0</v>
      </c>
      <c r="AA3333">
        <v>9</v>
      </c>
      <c r="AB3333">
        <v>3</v>
      </c>
      <c r="AC3333">
        <v>0</v>
      </c>
      <c r="AD3333">
        <v>10</v>
      </c>
      <c r="AE3333">
        <v>0</v>
      </c>
      <c r="AF3333">
        <v>3</v>
      </c>
      <c r="AG3333">
        <v>2</v>
      </c>
      <c r="AH3333">
        <v>0</v>
      </c>
      <c r="AI3333" t="s">
        <v>6767</v>
      </c>
      <c r="AJ3333">
        <v>40.382438</v>
      </c>
      <c r="AK3333" t="s">
        <v>6768</v>
      </c>
      <c r="AL3333">
        <v>-74.706237000000002</v>
      </c>
      <c r="AM3333">
        <v>100</v>
      </c>
      <c r="AN3333">
        <v>1600</v>
      </c>
      <c r="AO3333" t="s">
        <v>115</v>
      </c>
      <c r="AP3333">
        <v>174</v>
      </c>
      <c r="AQ3333">
        <v>-20</v>
      </c>
      <c r="AR3333">
        <v>-704</v>
      </c>
      <c r="AZ3333">
        <v>3614</v>
      </c>
      <c r="BA3333">
        <v>1</v>
      </c>
      <c r="BB3333" t="str">
        <f t="shared" si="155"/>
        <v xml:space="preserve">N959MJ  </v>
      </c>
      <c r="BC3333">
        <v>1</v>
      </c>
      <c r="BE3333">
        <v>0</v>
      </c>
      <c r="BF3333">
        <v>0</v>
      </c>
      <c r="BG3333">
        <v>0</v>
      </c>
      <c r="BH3333">
        <v>1825</v>
      </c>
      <c r="BI3333">
        <v>225</v>
      </c>
      <c r="BJ3333">
        <v>1</v>
      </c>
      <c r="BK3333">
        <v>1</v>
      </c>
      <c r="BL3333">
        <v>1</v>
      </c>
      <c r="BM3333">
        <v>0</v>
      </c>
      <c r="BP3333">
        <v>0</v>
      </c>
      <c r="BQ3333">
        <v>0</v>
      </c>
      <c r="BX3333" t="str">
        <f>"14:45:52.953"</f>
        <v>14:45:52.953</v>
      </c>
      <c r="BY3333" t="str">
        <f>"950061063"</f>
        <v>950061063</v>
      </c>
      <c r="CL3333">
        <v>0</v>
      </c>
      <c r="CM3333">
        <v>2</v>
      </c>
      <c r="CN3333">
        <v>0</v>
      </c>
      <c r="CO3333">
        <v>2</v>
      </c>
      <c r="CP3333">
        <v>0</v>
      </c>
      <c r="CQ3333">
        <v>7</v>
      </c>
      <c r="CR3333" t="s">
        <v>116</v>
      </c>
      <c r="CS3333">
        <v>38</v>
      </c>
      <c r="CT3333">
        <v>0</v>
      </c>
      <c r="CU3333" t="s">
        <v>4719</v>
      </c>
      <c r="CV3333" t="s">
        <v>4720</v>
      </c>
      <c r="CY3333">
        <v>7712416</v>
      </c>
      <c r="CZ3333" t="s">
        <v>119</v>
      </c>
    </row>
    <row r="3334" spans="1:104" x14ac:dyDescent="0.25">
      <c r="A3334" t="str">
        <f>"14:45:54.102"</f>
        <v>14:45:54.102</v>
      </c>
      <c r="B3334" t="s">
        <v>108</v>
      </c>
      <c r="C3334" t="str">
        <f t="shared" si="154"/>
        <v>ffdfd3c0</v>
      </c>
      <c r="D3334" t="s">
        <v>109</v>
      </c>
      <c r="E3334">
        <v>4</v>
      </c>
      <c r="F3334">
        <v>1004</v>
      </c>
      <c r="G3334" t="s">
        <v>110</v>
      </c>
      <c r="J3334" t="s">
        <v>111</v>
      </c>
      <c r="K3334">
        <v>0</v>
      </c>
      <c r="L3334">
        <v>3</v>
      </c>
      <c r="M3334">
        <v>0</v>
      </c>
      <c r="N3334">
        <v>2</v>
      </c>
      <c r="O3334">
        <v>1</v>
      </c>
      <c r="P3334">
        <v>0</v>
      </c>
      <c r="Q3334">
        <v>0</v>
      </c>
      <c r="R3334" t="s">
        <v>112</v>
      </c>
      <c r="S3334" t="str">
        <f>"14:45:53.922"</f>
        <v>14:45:53.922</v>
      </c>
      <c r="T3334" t="str">
        <f>"14:45:53.523"</f>
        <v>14:45:53.523</v>
      </c>
      <c r="U3334" t="str">
        <f t="shared" si="156"/>
        <v>ad5732</v>
      </c>
      <c r="V3334">
        <v>0</v>
      </c>
      <c r="W3334">
        <v>0</v>
      </c>
      <c r="X3334">
        <v>1</v>
      </c>
      <c r="Z3334">
        <v>0</v>
      </c>
      <c r="AA3334">
        <v>9</v>
      </c>
      <c r="AB3334">
        <v>3</v>
      </c>
      <c r="AC3334">
        <v>0</v>
      </c>
      <c r="AD3334">
        <v>10</v>
      </c>
      <c r="AE3334">
        <v>0</v>
      </c>
      <c r="AF3334">
        <v>3</v>
      </c>
      <c r="AG3334">
        <v>2</v>
      </c>
      <c r="AH3334">
        <v>0</v>
      </c>
      <c r="AI3334" t="s">
        <v>6769</v>
      </c>
      <c r="AJ3334">
        <v>40.382351999999997</v>
      </c>
      <c r="AK3334" t="s">
        <v>6770</v>
      </c>
      <c r="AL3334">
        <v>-74.705207000000001</v>
      </c>
      <c r="AM3334">
        <v>100</v>
      </c>
      <c r="AN3334">
        <v>1600</v>
      </c>
      <c r="AO3334" t="s">
        <v>115</v>
      </c>
      <c r="AP3334">
        <v>174</v>
      </c>
      <c r="AQ3334">
        <v>-20</v>
      </c>
      <c r="AR3334">
        <v>-640</v>
      </c>
      <c r="AZ3334">
        <v>3614</v>
      </c>
      <c r="BA3334">
        <v>1</v>
      </c>
      <c r="BB3334" t="str">
        <f t="shared" si="155"/>
        <v xml:space="preserve">N959MJ  </v>
      </c>
      <c r="BC3334">
        <v>1</v>
      </c>
      <c r="BE3334">
        <v>0</v>
      </c>
      <c r="BF3334">
        <v>0</v>
      </c>
      <c r="BG3334">
        <v>0</v>
      </c>
      <c r="BH3334">
        <v>1825</v>
      </c>
      <c r="BI3334">
        <v>225</v>
      </c>
      <c r="BJ3334">
        <v>1</v>
      </c>
      <c r="BK3334">
        <v>1</v>
      </c>
      <c r="BL3334">
        <v>1</v>
      </c>
      <c r="BM3334">
        <v>0</v>
      </c>
      <c r="BP3334">
        <v>0</v>
      </c>
      <c r="BQ3334">
        <v>0</v>
      </c>
      <c r="BX3334" t="str">
        <f>"14:45:53.922"</f>
        <v>14:45:53.922</v>
      </c>
      <c r="BY3334" t="str">
        <f>"924926307"</f>
        <v>924926307</v>
      </c>
      <c r="CL3334">
        <v>0</v>
      </c>
      <c r="CM3334">
        <v>2</v>
      </c>
      <c r="CN3334">
        <v>0</v>
      </c>
      <c r="CO3334">
        <v>2</v>
      </c>
      <c r="CP3334">
        <v>0</v>
      </c>
      <c r="CQ3334">
        <v>7</v>
      </c>
      <c r="CR3334" t="s">
        <v>116</v>
      </c>
      <c r="CS3334">
        <v>38</v>
      </c>
      <c r="CT3334">
        <v>0</v>
      </c>
      <c r="CU3334" t="s">
        <v>4719</v>
      </c>
      <c r="CV3334" t="s">
        <v>4720</v>
      </c>
      <c r="CY3334">
        <v>7713895</v>
      </c>
      <c r="CZ3334" t="s">
        <v>119</v>
      </c>
    </row>
    <row r="3335" spans="1:104" x14ac:dyDescent="0.25">
      <c r="A3335" t="str">
        <f>"14:45:55.266"</f>
        <v>14:45:55.266</v>
      </c>
      <c r="B3335" t="s">
        <v>108</v>
      </c>
      <c r="C3335" t="str">
        <f t="shared" si="154"/>
        <v>ffdfd3c0</v>
      </c>
      <c r="D3335" t="s">
        <v>109</v>
      </c>
      <c r="E3335">
        <v>4</v>
      </c>
      <c r="F3335">
        <v>1004</v>
      </c>
      <c r="G3335" t="s">
        <v>110</v>
      </c>
      <c r="J3335" t="s">
        <v>111</v>
      </c>
      <c r="K3335">
        <v>0</v>
      </c>
      <c r="L3335">
        <v>3</v>
      </c>
      <c r="M3335">
        <v>0</v>
      </c>
      <c r="N3335">
        <v>2</v>
      </c>
      <c r="O3335">
        <v>1</v>
      </c>
      <c r="P3335">
        <v>0</v>
      </c>
      <c r="Q3335">
        <v>0</v>
      </c>
      <c r="R3335" t="s">
        <v>112</v>
      </c>
      <c r="S3335" t="str">
        <f>"14:45:55.086"</f>
        <v>14:45:55.086</v>
      </c>
      <c r="T3335" t="str">
        <f>"14:45:54.586"</f>
        <v>14:45:54.586</v>
      </c>
      <c r="U3335" t="str">
        <f t="shared" si="156"/>
        <v>ad5732</v>
      </c>
      <c r="V3335">
        <v>0</v>
      </c>
      <c r="W3335">
        <v>0</v>
      </c>
      <c r="X3335">
        <v>1</v>
      </c>
      <c r="Z3335">
        <v>0</v>
      </c>
      <c r="AA3335">
        <v>9</v>
      </c>
      <c r="AB3335">
        <v>3</v>
      </c>
      <c r="AC3335">
        <v>0</v>
      </c>
      <c r="AD3335">
        <v>10</v>
      </c>
      <c r="AE3335">
        <v>0</v>
      </c>
      <c r="AF3335">
        <v>3</v>
      </c>
      <c r="AG3335">
        <v>2</v>
      </c>
      <c r="AH3335">
        <v>0</v>
      </c>
      <c r="AI3335" t="s">
        <v>6771</v>
      </c>
      <c r="AJ3335">
        <v>40.382244999999998</v>
      </c>
      <c r="AK3335" t="s">
        <v>6772</v>
      </c>
      <c r="AL3335">
        <v>-74.704092000000003</v>
      </c>
      <c r="AM3335">
        <v>100</v>
      </c>
      <c r="AN3335">
        <v>1600</v>
      </c>
      <c r="AO3335" t="s">
        <v>115</v>
      </c>
      <c r="AP3335">
        <v>174</v>
      </c>
      <c r="AQ3335">
        <v>-20</v>
      </c>
      <c r="AR3335">
        <v>-384</v>
      </c>
      <c r="AZ3335">
        <v>3614</v>
      </c>
      <c r="BA3335">
        <v>1</v>
      </c>
      <c r="BB3335" t="str">
        <f t="shared" si="155"/>
        <v xml:space="preserve">N959MJ  </v>
      </c>
      <c r="BC3335">
        <v>1</v>
      </c>
      <c r="BE3335">
        <v>0</v>
      </c>
      <c r="BF3335">
        <v>0</v>
      </c>
      <c r="BG3335">
        <v>0</v>
      </c>
      <c r="BH3335">
        <v>1825</v>
      </c>
      <c r="BI3335">
        <v>225</v>
      </c>
      <c r="BJ3335">
        <v>1</v>
      </c>
      <c r="BK3335">
        <v>1</v>
      </c>
      <c r="BL3335">
        <v>1</v>
      </c>
      <c r="BM3335">
        <v>0</v>
      </c>
      <c r="BP3335">
        <v>0</v>
      </c>
      <c r="BQ3335">
        <v>0</v>
      </c>
      <c r="BX3335" t="str">
        <f>"14:45:55.086"</f>
        <v>14:45:55.086</v>
      </c>
      <c r="BY3335" t="str">
        <f>"086572493"</f>
        <v>086572493</v>
      </c>
      <c r="CL3335">
        <v>0</v>
      </c>
      <c r="CM3335">
        <v>2</v>
      </c>
      <c r="CN3335">
        <v>0</v>
      </c>
      <c r="CO3335">
        <v>2</v>
      </c>
      <c r="CP3335">
        <v>0</v>
      </c>
      <c r="CQ3335">
        <v>7</v>
      </c>
      <c r="CR3335" t="s">
        <v>116</v>
      </c>
      <c r="CS3335">
        <v>38</v>
      </c>
      <c r="CT3335">
        <v>0</v>
      </c>
      <c r="CU3335" t="s">
        <v>4719</v>
      </c>
      <c r="CV3335" t="s">
        <v>4720</v>
      </c>
      <c r="CY3335">
        <v>7715731</v>
      </c>
      <c r="CZ3335" t="s">
        <v>119</v>
      </c>
    </row>
    <row r="3336" spans="1:104" x14ac:dyDescent="0.25">
      <c r="A3336" t="str">
        <f>"14:45:56.227"</f>
        <v>14:45:56.227</v>
      </c>
      <c r="B3336" t="s">
        <v>108</v>
      </c>
      <c r="C3336" t="str">
        <f t="shared" si="154"/>
        <v>ffdfd3c0</v>
      </c>
      <c r="D3336" t="s">
        <v>109</v>
      </c>
      <c r="E3336">
        <v>4</v>
      </c>
      <c r="F3336">
        <v>1004</v>
      </c>
      <c r="G3336" t="s">
        <v>110</v>
      </c>
      <c r="J3336" t="s">
        <v>111</v>
      </c>
      <c r="K3336">
        <v>0</v>
      </c>
      <c r="L3336">
        <v>3</v>
      </c>
      <c r="M3336">
        <v>0</v>
      </c>
      <c r="N3336">
        <v>2</v>
      </c>
      <c r="O3336">
        <v>1</v>
      </c>
      <c r="P3336">
        <v>0</v>
      </c>
      <c r="Q3336">
        <v>0</v>
      </c>
      <c r="R3336" t="s">
        <v>112</v>
      </c>
      <c r="S3336" t="str">
        <f>"14:45:56.047"</f>
        <v>14:45:56.047</v>
      </c>
      <c r="T3336" t="str">
        <f>"14:45:55.547"</f>
        <v>14:45:55.547</v>
      </c>
      <c r="U3336" t="str">
        <f t="shared" si="156"/>
        <v>ad5732</v>
      </c>
      <c r="V3336">
        <v>0</v>
      </c>
      <c r="W3336">
        <v>0</v>
      </c>
      <c r="X3336">
        <v>1</v>
      </c>
      <c r="Z3336">
        <v>0</v>
      </c>
      <c r="AA3336">
        <v>9</v>
      </c>
      <c r="AB3336">
        <v>3</v>
      </c>
      <c r="AC3336">
        <v>0</v>
      </c>
      <c r="AD3336">
        <v>10</v>
      </c>
      <c r="AE3336">
        <v>0</v>
      </c>
      <c r="AF3336">
        <v>3</v>
      </c>
      <c r="AG3336">
        <v>2</v>
      </c>
      <c r="AH3336">
        <v>0</v>
      </c>
      <c r="AI3336" t="s">
        <v>6773</v>
      </c>
      <c r="AJ3336">
        <v>40.382159000000001</v>
      </c>
      <c r="AK3336" t="s">
        <v>6774</v>
      </c>
      <c r="AL3336">
        <v>-74.702976000000007</v>
      </c>
      <c r="AM3336">
        <v>100</v>
      </c>
      <c r="AN3336">
        <v>1600</v>
      </c>
      <c r="AO3336" t="s">
        <v>115</v>
      </c>
      <c r="AP3336">
        <v>173</v>
      </c>
      <c r="AQ3336">
        <v>-20</v>
      </c>
      <c r="AR3336">
        <v>-192</v>
      </c>
      <c r="AZ3336">
        <v>3614</v>
      </c>
      <c r="BA3336">
        <v>1</v>
      </c>
      <c r="BB3336" t="str">
        <f t="shared" si="155"/>
        <v xml:space="preserve">N959MJ  </v>
      </c>
      <c r="BC3336">
        <v>1</v>
      </c>
      <c r="BE3336">
        <v>0</v>
      </c>
      <c r="BF3336">
        <v>0</v>
      </c>
      <c r="BG3336">
        <v>0</v>
      </c>
      <c r="BH3336">
        <v>1800</v>
      </c>
      <c r="BI3336">
        <v>200</v>
      </c>
      <c r="BJ3336">
        <v>1</v>
      </c>
      <c r="BK3336">
        <v>1</v>
      </c>
      <c r="BL3336">
        <v>1</v>
      </c>
      <c r="BM3336">
        <v>0</v>
      </c>
      <c r="BP3336">
        <v>0</v>
      </c>
      <c r="BQ3336">
        <v>0</v>
      </c>
      <c r="BX3336" t="str">
        <f>"14:45:56.055"</f>
        <v>14:45:56.055</v>
      </c>
      <c r="BY3336" t="str">
        <f>"051607102"</f>
        <v>051607102</v>
      </c>
      <c r="CL3336">
        <v>0</v>
      </c>
      <c r="CM3336">
        <v>2</v>
      </c>
      <c r="CN3336">
        <v>0</v>
      </c>
      <c r="CO3336">
        <v>2</v>
      </c>
      <c r="CP3336">
        <v>0</v>
      </c>
      <c r="CQ3336">
        <v>7</v>
      </c>
      <c r="CR3336" t="s">
        <v>116</v>
      </c>
      <c r="CS3336">
        <v>38</v>
      </c>
      <c r="CT3336">
        <v>0</v>
      </c>
      <c r="CU3336" t="s">
        <v>4719</v>
      </c>
      <c r="CV3336" t="s">
        <v>4720</v>
      </c>
      <c r="CY3336">
        <v>7717259</v>
      </c>
      <c r="CZ3336" t="s">
        <v>119</v>
      </c>
    </row>
    <row r="3337" spans="1:104" x14ac:dyDescent="0.25">
      <c r="A3337" t="str">
        <f>"14:45:57.180"</f>
        <v>14:45:57.180</v>
      </c>
      <c r="B3337" t="s">
        <v>108</v>
      </c>
      <c r="C3337" t="str">
        <f t="shared" si="154"/>
        <v>ffdfd3c0</v>
      </c>
      <c r="D3337" t="s">
        <v>109</v>
      </c>
      <c r="E3337">
        <v>4</v>
      </c>
      <c r="F3337">
        <v>1004</v>
      </c>
      <c r="G3337" t="s">
        <v>110</v>
      </c>
      <c r="J3337" t="s">
        <v>111</v>
      </c>
      <c r="K3337">
        <v>0</v>
      </c>
      <c r="L3337">
        <v>3</v>
      </c>
      <c r="M3337">
        <v>0</v>
      </c>
      <c r="N3337">
        <v>2</v>
      </c>
      <c r="O3337">
        <v>1</v>
      </c>
      <c r="P3337">
        <v>0</v>
      </c>
      <c r="Q3337">
        <v>0</v>
      </c>
      <c r="R3337" t="s">
        <v>112</v>
      </c>
      <c r="S3337" t="str">
        <f>"14:45:57.016"</f>
        <v>14:45:57.016</v>
      </c>
      <c r="T3337" t="str">
        <f>"14:45:56.617"</f>
        <v>14:45:56.617</v>
      </c>
      <c r="U3337" t="str">
        <f t="shared" si="156"/>
        <v>ad5732</v>
      </c>
      <c r="V3337">
        <v>0</v>
      </c>
      <c r="W3337">
        <v>0</v>
      </c>
      <c r="X3337">
        <v>1</v>
      </c>
      <c r="Z3337">
        <v>0</v>
      </c>
      <c r="AA3337">
        <v>9</v>
      </c>
      <c r="AB3337">
        <v>3</v>
      </c>
      <c r="AC3337">
        <v>0</v>
      </c>
      <c r="AD3337">
        <v>10</v>
      </c>
      <c r="AE3337">
        <v>0</v>
      </c>
      <c r="AF3337">
        <v>3</v>
      </c>
      <c r="AG3337">
        <v>2</v>
      </c>
      <c r="AH3337">
        <v>0</v>
      </c>
      <c r="AI3337" t="s">
        <v>6158</v>
      </c>
      <c r="AJ3337">
        <v>40.382072999999998</v>
      </c>
      <c r="AK3337" t="s">
        <v>6775</v>
      </c>
      <c r="AL3337">
        <v>-74.702095999999997</v>
      </c>
      <c r="AM3337">
        <v>100</v>
      </c>
      <c r="AN3337">
        <v>1600</v>
      </c>
      <c r="AO3337" t="s">
        <v>115</v>
      </c>
      <c r="AP3337">
        <v>172</v>
      </c>
      <c r="AQ3337">
        <v>-20</v>
      </c>
      <c r="AR3337">
        <v>64</v>
      </c>
      <c r="AZ3337">
        <v>3614</v>
      </c>
      <c r="BA3337">
        <v>1</v>
      </c>
      <c r="BB3337" t="str">
        <f t="shared" si="155"/>
        <v xml:space="preserve">N959MJ  </v>
      </c>
      <c r="BC3337">
        <v>1</v>
      </c>
      <c r="BE3337">
        <v>0</v>
      </c>
      <c r="BF3337">
        <v>0</v>
      </c>
      <c r="BG3337">
        <v>0</v>
      </c>
      <c r="BH3337">
        <v>1800</v>
      </c>
      <c r="BI3337">
        <v>200</v>
      </c>
      <c r="BJ3337">
        <v>1</v>
      </c>
      <c r="BK3337">
        <v>1</v>
      </c>
      <c r="BL3337">
        <v>1</v>
      </c>
      <c r="BM3337">
        <v>0</v>
      </c>
      <c r="BP3337">
        <v>0</v>
      </c>
      <c r="BQ3337">
        <v>0</v>
      </c>
      <c r="BX3337" t="str">
        <f>"14:45:57.016"</f>
        <v>14:45:57.016</v>
      </c>
      <c r="BY3337" t="str">
        <f>"016641818"</f>
        <v>016641818</v>
      </c>
      <c r="CL3337">
        <v>0</v>
      </c>
      <c r="CM3337">
        <v>2</v>
      </c>
      <c r="CN3337">
        <v>0</v>
      </c>
      <c r="CO3337">
        <v>2</v>
      </c>
      <c r="CP3337">
        <v>0</v>
      </c>
      <c r="CQ3337">
        <v>7</v>
      </c>
      <c r="CR3337" t="s">
        <v>116</v>
      </c>
      <c r="CS3337">
        <v>38</v>
      </c>
      <c r="CT3337">
        <v>0</v>
      </c>
      <c r="CU3337" t="s">
        <v>4719</v>
      </c>
      <c r="CV3337" t="s">
        <v>4720</v>
      </c>
      <c r="CY3337">
        <v>7718687</v>
      </c>
      <c r="CZ3337" t="s">
        <v>119</v>
      </c>
    </row>
    <row r="3338" spans="1:104" x14ac:dyDescent="0.25">
      <c r="A3338" t="str">
        <f>"14:45:58.141"</f>
        <v>14:45:58.141</v>
      </c>
      <c r="B3338" t="s">
        <v>108</v>
      </c>
      <c r="C3338" t="str">
        <f t="shared" ref="C3338:C3401" si="157">"ffdfd3c0"</f>
        <v>ffdfd3c0</v>
      </c>
      <c r="D3338" t="s">
        <v>109</v>
      </c>
      <c r="E3338">
        <v>4</v>
      </c>
      <c r="F3338">
        <v>1004</v>
      </c>
      <c r="G3338" t="s">
        <v>110</v>
      </c>
      <c r="J3338" t="s">
        <v>111</v>
      </c>
      <c r="K3338">
        <v>0</v>
      </c>
      <c r="L3338">
        <v>3</v>
      </c>
      <c r="M3338">
        <v>0</v>
      </c>
      <c r="N3338">
        <v>2</v>
      </c>
      <c r="O3338">
        <v>1</v>
      </c>
      <c r="P3338">
        <v>0</v>
      </c>
      <c r="Q3338">
        <v>0</v>
      </c>
      <c r="R3338" t="s">
        <v>112</v>
      </c>
      <c r="S3338" t="str">
        <f>"14:45:57.969"</f>
        <v>14:45:57.969</v>
      </c>
      <c r="T3338" t="str">
        <f>"14:45:57.469"</f>
        <v>14:45:57.469</v>
      </c>
      <c r="U3338" t="str">
        <f t="shared" si="156"/>
        <v>ad5732</v>
      </c>
      <c r="V3338">
        <v>0</v>
      </c>
      <c r="W3338">
        <v>0</v>
      </c>
      <c r="X3338">
        <v>1</v>
      </c>
      <c r="Z3338">
        <v>0</v>
      </c>
      <c r="AA3338">
        <v>9</v>
      </c>
      <c r="AB3338">
        <v>3</v>
      </c>
      <c r="AC3338">
        <v>0</v>
      </c>
      <c r="AD3338">
        <v>10</v>
      </c>
      <c r="AE3338">
        <v>0</v>
      </c>
      <c r="AF3338">
        <v>3</v>
      </c>
      <c r="AG3338">
        <v>2</v>
      </c>
      <c r="AH3338">
        <v>0</v>
      </c>
      <c r="AI3338" t="s">
        <v>6776</v>
      </c>
      <c r="AJ3338">
        <v>40.381987000000002</v>
      </c>
      <c r="AK3338" t="s">
        <v>6777</v>
      </c>
      <c r="AL3338">
        <v>-74.701044999999993</v>
      </c>
      <c r="AM3338">
        <v>100</v>
      </c>
      <c r="AN3338">
        <v>1600</v>
      </c>
      <c r="AO3338" t="s">
        <v>115</v>
      </c>
      <c r="AP3338">
        <v>171</v>
      </c>
      <c r="AQ3338">
        <v>-19</v>
      </c>
      <c r="AR3338">
        <v>192</v>
      </c>
      <c r="AZ3338">
        <v>3614</v>
      </c>
      <c r="BA3338">
        <v>1</v>
      </c>
      <c r="BB3338" t="str">
        <f t="shared" ref="BB3338:BB3401" si="158">"N959MJ  "</f>
        <v xml:space="preserve">N959MJ  </v>
      </c>
      <c r="BC3338">
        <v>1</v>
      </c>
      <c r="BE3338">
        <v>0</v>
      </c>
      <c r="BF3338">
        <v>0</v>
      </c>
      <c r="BG3338">
        <v>0</v>
      </c>
      <c r="BH3338">
        <v>1800</v>
      </c>
      <c r="BI3338">
        <v>200</v>
      </c>
      <c r="BJ3338">
        <v>1</v>
      </c>
      <c r="BK3338">
        <v>1</v>
      </c>
      <c r="BL3338">
        <v>1</v>
      </c>
      <c r="BM3338">
        <v>0</v>
      </c>
      <c r="BP3338">
        <v>0</v>
      </c>
      <c r="BQ3338">
        <v>0</v>
      </c>
      <c r="BX3338" t="str">
        <f>"14:45:57.969"</f>
        <v>14:45:57.969</v>
      </c>
      <c r="BY3338" t="str">
        <f>"970207486"</f>
        <v>970207486</v>
      </c>
      <c r="CL3338">
        <v>0</v>
      </c>
      <c r="CM3338">
        <v>2</v>
      </c>
      <c r="CN3338">
        <v>0</v>
      </c>
      <c r="CO3338">
        <v>2</v>
      </c>
      <c r="CP3338">
        <v>0</v>
      </c>
      <c r="CQ3338">
        <v>7</v>
      </c>
      <c r="CR3338" t="s">
        <v>116</v>
      </c>
      <c r="CS3338">
        <v>38</v>
      </c>
      <c r="CT3338">
        <v>0</v>
      </c>
      <c r="CU3338" t="s">
        <v>4719</v>
      </c>
      <c r="CV3338" t="s">
        <v>4720</v>
      </c>
      <c r="CY3338">
        <v>7720103</v>
      </c>
      <c r="CZ3338" t="s">
        <v>119</v>
      </c>
    </row>
    <row r="3339" spans="1:104" x14ac:dyDescent="0.25">
      <c r="A3339" t="str">
        <f>"14:45:59.102"</f>
        <v>14:45:59.102</v>
      </c>
      <c r="B3339" t="s">
        <v>108</v>
      </c>
      <c r="C3339" t="str">
        <f t="shared" si="157"/>
        <v>ffdfd3c0</v>
      </c>
      <c r="D3339" t="s">
        <v>109</v>
      </c>
      <c r="E3339">
        <v>4</v>
      </c>
      <c r="F3339">
        <v>1004</v>
      </c>
      <c r="G3339" t="s">
        <v>110</v>
      </c>
      <c r="J3339" t="s">
        <v>111</v>
      </c>
      <c r="K3339">
        <v>0</v>
      </c>
      <c r="L3339">
        <v>3</v>
      </c>
      <c r="M3339">
        <v>0</v>
      </c>
      <c r="N3339">
        <v>2</v>
      </c>
      <c r="O3339">
        <v>1</v>
      </c>
      <c r="P3339">
        <v>0</v>
      </c>
      <c r="Q3339">
        <v>0</v>
      </c>
      <c r="R3339" t="s">
        <v>112</v>
      </c>
      <c r="S3339" t="str">
        <f>"14:45:58.945"</f>
        <v>14:45:58.945</v>
      </c>
      <c r="T3339" t="str">
        <f>"14:45:58.547"</f>
        <v>14:45:58.547</v>
      </c>
      <c r="U3339" t="str">
        <f t="shared" si="156"/>
        <v>ad5732</v>
      </c>
      <c r="V3339">
        <v>0</v>
      </c>
      <c r="W3339">
        <v>0</v>
      </c>
      <c r="X3339">
        <v>1</v>
      </c>
      <c r="Z3339">
        <v>0</v>
      </c>
      <c r="AA3339">
        <v>9</v>
      </c>
      <c r="AB3339">
        <v>3</v>
      </c>
      <c r="AC3339">
        <v>0</v>
      </c>
      <c r="AD3339">
        <v>10</v>
      </c>
      <c r="AE3339">
        <v>0</v>
      </c>
      <c r="AF3339">
        <v>3</v>
      </c>
      <c r="AG3339">
        <v>2</v>
      </c>
      <c r="AH3339">
        <v>0</v>
      </c>
      <c r="AI3339" t="s">
        <v>6778</v>
      </c>
      <c r="AJ3339">
        <v>40.381900999999999</v>
      </c>
      <c r="AK3339" t="s">
        <v>6779</v>
      </c>
      <c r="AL3339">
        <v>-74.700014999999993</v>
      </c>
      <c r="AM3339">
        <v>100</v>
      </c>
      <c r="AN3339">
        <v>1600</v>
      </c>
      <c r="AO3339" t="s">
        <v>115</v>
      </c>
      <c r="AP3339">
        <v>170</v>
      </c>
      <c r="AQ3339">
        <v>-19</v>
      </c>
      <c r="AR3339">
        <v>320</v>
      </c>
      <c r="AZ3339">
        <v>3614</v>
      </c>
      <c r="BA3339">
        <v>1</v>
      </c>
      <c r="BB3339" t="str">
        <f t="shared" si="158"/>
        <v xml:space="preserve">N959MJ  </v>
      </c>
      <c r="BC3339">
        <v>1</v>
      </c>
      <c r="BE3339">
        <v>0</v>
      </c>
      <c r="BF3339">
        <v>0</v>
      </c>
      <c r="BG3339">
        <v>0</v>
      </c>
      <c r="BH3339">
        <v>1825</v>
      </c>
      <c r="BI3339">
        <v>225</v>
      </c>
      <c r="BJ3339">
        <v>1</v>
      </c>
      <c r="BK3339">
        <v>1</v>
      </c>
      <c r="BL3339">
        <v>1</v>
      </c>
      <c r="BM3339">
        <v>0</v>
      </c>
      <c r="BP3339">
        <v>0</v>
      </c>
      <c r="BQ3339">
        <v>0</v>
      </c>
      <c r="BX3339" t="str">
        <f>"14:45:58.953"</f>
        <v>14:45:58.953</v>
      </c>
      <c r="BY3339" t="str">
        <f>"951626388"</f>
        <v>951626388</v>
      </c>
      <c r="CL3339">
        <v>0</v>
      </c>
      <c r="CM3339">
        <v>2</v>
      </c>
      <c r="CN3339">
        <v>0</v>
      </c>
      <c r="CO3339">
        <v>2</v>
      </c>
      <c r="CP3339">
        <v>0</v>
      </c>
      <c r="CQ3339">
        <v>7</v>
      </c>
      <c r="CR3339" t="s">
        <v>116</v>
      </c>
      <c r="CS3339">
        <v>38</v>
      </c>
      <c r="CT3339">
        <v>0</v>
      </c>
      <c r="CU3339" t="s">
        <v>4719</v>
      </c>
      <c r="CV3339" t="s">
        <v>4720</v>
      </c>
      <c r="CY3339">
        <v>7721584</v>
      </c>
      <c r="CZ3339" t="s">
        <v>119</v>
      </c>
    </row>
    <row r="3340" spans="1:104" x14ac:dyDescent="0.25">
      <c r="A3340" t="str">
        <f>"14:46:00.109"</f>
        <v>14:46:00.109</v>
      </c>
      <c r="B3340" t="s">
        <v>108</v>
      </c>
      <c r="C3340" t="str">
        <f t="shared" si="157"/>
        <v>ffdfd3c0</v>
      </c>
      <c r="D3340" t="s">
        <v>109</v>
      </c>
      <c r="E3340">
        <v>4</v>
      </c>
      <c r="F3340">
        <v>1004</v>
      </c>
      <c r="G3340" t="s">
        <v>110</v>
      </c>
      <c r="J3340" t="s">
        <v>111</v>
      </c>
      <c r="K3340">
        <v>0</v>
      </c>
      <c r="L3340">
        <v>3</v>
      </c>
      <c r="M3340">
        <v>0</v>
      </c>
      <c r="N3340">
        <v>2</v>
      </c>
      <c r="O3340">
        <v>1</v>
      </c>
      <c r="P3340">
        <v>0</v>
      </c>
      <c r="Q3340">
        <v>0</v>
      </c>
      <c r="R3340" t="s">
        <v>112</v>
      </c>
      <c r="S3340" t="str">
        <f>"14:45:59.938"</f>
        <v>14:45:59.938</v>
      </c>
      <c r="T3340" t="str">
        <f>"14:45:59.438"</f>
        <v>14:45:59.438</v>
      </c>
      <c r="U3340" t="str">
        <f t="shared" si="156"/>
        <v>ad5732</v>
      </c>
      <c r="V3340">
        <v>0</v>
      </c>
      <c r="W3340">
        <v>0</v>
      </c>
      <c r="X3340">
        <v>1</v>
      </c>
      <c r="Z3340">
        <v>0</v>
      </c>
      <c r="AA3340">
        <v>9</v>
      </c>
      <c r="AB3340">
        <v>3</v>
      </c>
      <c r="AC3340">
        <v>0</v>
      </c>
      <c r="AD3340">
        <v>10</v>
      </c>
      <c r="AE3340">
        <v>0</v>
      </c>
      <c r="AF3340">
        <v>3</v>
      </c>
      <c r="AG3340">
        <v>2</v>
      </c>
      <c r="AH3340">
        <v>0</v>
      </c>
      <c r="AI3340" t="s">
        <v>6780</v>
      </c>
      <c r="AJ3340">
        <v>40.381858000000001</v>
      </c>
      <c r="AK3340" t="s">
        <v>6781</v>
      </c>
      <c r="AL3340">
        <v>-74.698984999999993</v>
      </c>
      <c r="AM3340">
        <v>100</v>
      </c>
      <c r="AN3340">
        <v>1600</v>
      </c>
      <c r="AO3340" t="s">
        <v>115</v>
      </c>
      <c r="AP3340">
        <v>169</v>
      </c>
      <c r="AQ3340">
        <v>-19</v>
      </c>
      <c r="AR3340">
        <v>320</v>
      </c>
      <c r="AZ3340">
        <v>3614</v>
      </c>
      <c r="BA3340">
        <v>1</v>
      </c>
      <c r="BB3340" t="str">
        <f t="shared" si="158"/>
        <v xml:space="preserve">N959MJ  </v>
      </c>
      <c r="BC3340">
        <v>1</v>
      </c>
      <c r="BE3340">
        <v>0</v>
      </c>
      <c r="BF3340">
        <v>0</v>
      </c>
      <c r="BG3340">
        <v>0</v>
      </c>
      <c r="BH3340">
        <v>1825</v>
      </c>
      <c r="BI3340">
        <v>225</v>
      </c>
      <c r="BJ3340">
        <v>1</v>
      </c>
      <c r="BK3340">
        <v>1</v>
      </c>
      <c r="BL3340">
        <v>1</v>
      </c>
      <c r="BM3340">
        <v>0</v>
      </c>
      <c r="BP3340">
        <v>0</v>
      </c>
      <c r="BQ3340">
        <v>0</v>
      </c>
      <c r="BX3340" t="str">
        <f>"14:45:59.945"</f>
        <v>14:45:59.945</v>
      </c>
      <c r="BY3340" t="str">
        <f>"942875961"</f>
        <v>942875961</v>
      </c>
      <c r="CL3340">
        <v>0</v>
      </c>
      <c r="CM3340">
        <v>2</v>
      </c>
      <c r="CN3340">
        <v>0</v>
      </c>
      <c r="CO3340">
        <v>2</v>
      </c>
      <c r="CP3340">
        <v>0</v>
      </c>
      <c r="CQ3340">
        <v>7</v>
      </c>
      <c r="CR3340" t="s">
        <v>116</v>
      </c>
      <c r="CS3340">
        <v>38</v>
      </c>
      <c r="CT3340">
        <v>0</v>
      </c>
      <c r="CU3340" t="s">
        <v>4719</v>
      </c>
      <c r="CV3340" t="s">
        <v>4720</v>
      </c>
      <c r="CY3340">
        <v>7723189</v>
      </c>
      <c r="CZ3340" t="s">
        <v>119</v>
      </c>
    </row>
    <row r="3341" spans="1:104" x14ac:dyDescent="0.25">
      <c r="A3341" t="str">
        <f>"14:46:01.016"</f>
        <v>14:46:01.016</v>
      </c>
      <c r="B3341" t="s">
        <v>108</v>
      </c>
      <c r="C3341" t="str">
        <f t="shared" si="157"/>
        <v>ffdfd3c0</v>
      </c>
      <c r="D3341" t="s">
        <v>109</v>
      </c>
      <c r="E3341">
        <v>4</v>
      </c>
      <c r="F3341">
        <v>1004</v>
      </c>
      <c r="G3341" t="s">
        <v>110</v>
      </c>
      <c r="J3341" t="s">
        <v>111</v>
      </c>
      <c r="K3341">
        <v>0</v>
      </c>
      <c r="L3341">
        <v>3</v>
      </c>
      <c r="M3341">
        <v>0</v>
      </c>
      <c r="N3341">
        <v>2</v>
      </c>
      <c r="O3341">
        <v>1</v>
      </c>
      <c r="P3341">
        <v>0</v>
      </c>
      <c r="Q3341">
        <v>0</v>
      </c>
      <c r="R3341" t="s">
        <v>112</v>
      </c>
      <c r="S3341" t="str">
        <f>"14:46:00.852"</f>
        <v>14:46:00.852</v>
      </c>
      <c r="T3341" t="str">
        <f>"14:45:59.953"</f>
        <v>14:45:59.953</v>
      </c>
      <c r="U3341" t="str">
        <f t="shared" si="156"/>
        <v>ad5732</v>
      </c>
      <c r="V3341">
        <v>0</v>
      </c>
      <c r="W3341">
        <v>0</v>
      </c>
      <c r="X3341">
        <v>1</v>
      </c>
      <c r="Z3341">
        <v>0</v>
      </c>
      <c r="AA3341">
        <v>9</v>
      </c>
      <c r="AB3341">
        <v>3</v>
      </c>
      <c r="AC3341">
        <v>0</v>
      </c>
      <c r="AD3341">
        <v>10</v>
      </c>
      <c r="AE3341">
        <v>0</v>
      </c>
      <c r="AF3341">
        <v>3</v>
      </c>
      <c r="AG3341">
        <v>2</v>
      </c>
      <c r="AH3341">
        <v>0</v>
      </c>
      <c r="AI3341" t="s">
        <v>6782</v>
      </c>
      <c r="AJ3341">
        <v>40.381729999999997</v>
      </c>
      <c r="AK3341" t="s">
        <v>6783</v>
      </c>
      <c r="AL3341">
        <v>-74.698104999999998</v>
      </c>
      <c r="AM3341">
        <v>100</v>
      </c>
      <c r="AN3341">
        <v>1600</v>
      </c>
      <c r="AO3341" t="s">
        <v>115</v>
      </c>
      <c r="AP3341">
        <v>169</v>
      </c>
      <c r="AQ3341">
        <v>-18</v>
      </c>
      <c r="AR3341">
        <v>320</v>
      </c>
      <c r="AZ3341">
        <v>3614</v>
      </c>
      <c r="BA3341">
        <v>1</v>
      </c>
      <c r="BB3341" t="str">
        <f t="shared" si="158"/>
        <v xml:space="preserve">N959MJ  </v>
      </c>
      <c r="BC3341">
        <v>1</v>
      </c>
      <c r="BE3341">
        <v>0</v>
      </c>
      <c r="BF3341">
        <v>0</v>
      </c>
      <c r="BG3341">
        <v>0</v>
      </c>
      <c r="BH3341">
        <v>1825</v>
      </c>
      <c r="BI3341">
        <v>225</v>
      </c>
      <c r="BJ3341">
        <v>1</v>
      </c>
      <c r="BK3341">
        <v>1</v>
      </c>
      <c r="BL3341">
        <v>1</v>
      </c>
      <c r="BM3341">
        <v>0</v>
      </c>
      <c r="BP3341">
        <v>0</v>
      </c>
      <c r="BQ3341">
        <v>0</v>
      </c>
      <c r="BX3341" t="str">
        <f>"14:46:00.852"</f>
        <v>14:46:00.852</v>
      </c>
      <c r="BY3341" t="str">
        <f>"853967360"</f>
        <v>853967360</v>
      </c>
      <c r="CL3341">
        <v>0</v>
      </c>
      <c r="CM3341">
        <v>2</v>
      </c>
      <c r="CN3341">
        <v>0</v>
      </c>
      <c r="CO3341">
        <v>2</v>
      </c>
      <c r="CP3341">
        <v>0</v>
      </c>
      <c r="CQ3341">
        <v>5</v>
      </c>
      <c r="CR3341" t="s">
        <v>116</v>
      </c>
      <c r="CS3341">
        <v>409</v>
      </c>
      <c r="CT3341">
        <v>1</v>
      </c>
      <c r="CU3341" t="s">
        <v>5087</v>
      </c>
      <c r="CV3341" t="s">
        <v>5088</v>
      </c>
      <c r="CY3341">
        <v>4047937</v>
      </c>
      <c r="CZ3341" t="s">
        <v>119</v>
      </c>
    </row>
    <row r="3342" spans="1:104" x14ac:dyDescent="0.25">
      <c r="A3342" t="str">
        <f>"14:46:02.125"</f>
        <v>14:46:02.125</v>
      </c>
      <c r="B3342" t="s">
        <v>108</v>
      </c>
      <c r="C3342" t="str">
        <f t="shared" si="157"/>
        <v>ffdfd3c0</v>
      </c>
      <c r="D3342" t="s">
        <v>109</v>
      </c>
      <c r="E3342">
        <v>4</v>
      </c>
      <c r="F3342">
        <v>1004</v>
      </c>
      <c r="G3342" t="s">
        <v>110</v>
      </c>
      <c r="J3342" t="s">
        <v>111</v>
      </c>
      <c r="K3342">
        <v>0</v>
      </c>
      <c r="L3342">
        <v>3</v>
      </c>
      <c r="M3342">
        <v>0</v>
      </c>
      <c r="N3342">
        <v>2</v>
      </c>
      <c r="O3342">
        <v>1</v>
      </c>
      <c r="P3342">
        <v>0</v>
      </c>
      <c r="Q3342">
        <v>0</v>
      </c>
      <c r="R3342" t="s">
        <v>112</v>
      </c>
      <c r="S3342" t="str">
        <f>"14:46:01.969"</f>
        <v>14:46:01.969</v>
      </c>
      <c r="T3342" t="str">
        <f>"14:46:01.469"</f>
        <v>14:46:01.469</v>
      </c>
      <c r="U3342" t="str">
        <f t="shared" si="156"/>
        <v>ad5732</v>
      </c>
      <c r="V3342">
        <v>0</v>
      </c>
      <c r="W3342">
        <v>0</v>
      </c>
      <c r="X3342">
        <v>1</v>
      </c>
      <c r="Z3342">
        <v>0</v>
      </c>
      <c r="AA3342">
        <v>9</v>
      </c>
      <c r="AB3342">
        <v>3</v>
      </c>
      <c r="AC3342">
        <v>0</v>
      </c>
      <c r="AD3342">
        <v>10</v>
      </c>
      <c r="AE3342">
        <v>0</v>
      </c>
      <c r="AF3342">
        <v>3</v>
      </c>
      <c r="AG3342">
        <v>2</v>
      </c>
      <c r="AH3342">
        <v>0</v>
      </c>
      <c r="AI3342" t="s">
        <v>6784</v>
      </c>
      <c r="AJ3342">
        <v>40.381664999999998</v>
      </c>
      <c r="AK3342" t="s">
        <v>6785</v>
      </c>
      <c r="AL3342">
        <v>-74.696967999999998</v>
      </c>
      <c r="AM3342">
        <v>100</v>
      </c>
      <c r="AN3342">
        <v>1600</v>
      </c>
      <c r="AO3342" t="s">
        <v>115</v>
      </c>
      <c r="AP3342">
        <v>167</v>
      </c>
      <c r="AQ3342">
        <v>-18</v>
      </c>
      <c r="AR3342">
        <v>256</v>
      </c>
      <c r="AZ3342">
        <v>3614</v>
      </c>
      <c r="BA3342">
        <v>1</v>
      </c>
      <c r="BB3342" t="str">
        <f t="shared" si="158"/>
        <v xml:space="preserve">N959MJ  </v>
      </c>
      <c r="BC3342">
        <v>1</v>
      </c>
      <c r="BE3342">
        <v>0</v>
      </c>
      <c r="BF3342">
        <v>0</v>
      </c>
      <c r="BG3342">
        <v>0</v>
      </c>
      <c r="BH3342">
        <v>1825</v>
      </c>
      <c r="BI3342">
        <v>225</v>
      </c>
      <c r="BJ3342">
        <v>1</v>
      </c>
      <c r="BK3342">
        <v>1</v>
      </c>
      <c r="BL3342">
        <v>1</v>
      </c>
      <c r="BM3342">
        <v>0</v>
      </c>
      <c r="BP3342">
        <v>0</v>
      </c>
      <c r="BQ3342">
        <v>0</v>
      </c>
      <c r="BX3342" t="str">
        <f>"14:46:01.977"</f>
        <v>14:46:01.977</v>
      </c>
      <c r="BY3342" t="str">
        <f>"974527893"</f>
        <v>974527893</v>
      </c>
      <c r="CL3342">
        <v>0</v>
      </c>
      <c r="CM3342">
        <v>2</v>
      </c>
      <c r="CN3342">
        <v>0</v>
      </c>
      <c r="CO3342">
        <v>2</v>
      </c>
      <c r="CP3342">
        <v>0</v>
      </c>
      <c r="CQ3342">
        <v>7</v>
      </c>
      <c r="CR3342" t="s">
        <v>116</v>
      </c>
      <c r="CS3342">
        <v>38</v>
      </c>
      <c r="CT3342">
        <v>0</v>
      </c>
      <c r="CU3342" t="s">
        <v>4719</v>
      </c>
      <c r="CV3342" t="s">
        <v>4720</v>
      </c>
      <c r="CY3342">
        <v>7726143</v>
      </c>
      <c r="CZ3342" t="s">
        <v>119</v>
      </c>
    </row>
    <row r="3343" spans="1:104" x14ac:dyDescent="0.25">
      <c r="A3343" t="str">
        <f>"14:46:03.086"</f>
        <v>14:46:03.086</v>
      </c>
      <c r="B3343" t="s">
        <v>108</v>
      </c>
      <c r="C3343" t="str">
        <f t="shared" si="157"/>
        <v>ffdfd3c0</v>
      </c>
      <c r="D3343" t="s">
        <v>109</v>
      </c>
      <c r="E3343">
        <v>4</v>
      </c>
      <c r="F3343">
        <v>1004</v>
      </c>
      <c r="G3343" t="s">
        <v>110</v>
      </c>
      <c r="J3343" t="s">
        <v>111</v>
      </c>
      <c r="K3343">
        <v>0</v>
      </c>
      <c r="L3343">
        <v>3</v>
      </c>
      <c r="M3343">
        <v>0</v>
      </c>
      <c r="N3343">
        <v>2</v>
      </c>
      <c r="O3343">
        <v>1</v>
      </c>
      <c r="P3343">
        <v>0</v>
      </c>
      <c r="Q3343">
        <v>0</v>
      </c>
      <c r="R3343" t="s">
        <v>112</v>
      </c>
      <c r="S3343" t="str">
        <f>"14:46:02.906"</f>
        <v>14:46:02.906</v>
      </c>
      <c r="T3343" t="str">
        <f>"14:46:02.508"</f>
        <v>14:46:02.508</v>
      </c>
      <c r="U3343" t="str">
        <f t="shared" si="156"/>
        <v>ad5732</v>
      </c>
      <c r="V3343">
        <v>0</v>
      </c>
      <c r="W3343">
        <v>0</v>
      </c>
      <c r="X3343">
        <v>1</v>
      </c>
      <c r="Z3343">
        <v>0</v>
      </c>
      <c r="AA3343">
        <v>9</v>
      </c>
      <c r="AB3343">
        <v>3</v>
      </c>
      <c r="AC3343">
        <v>0</v>
      </c>
      <c r="AD3343">
        <v>10</v>
      </c>
      <c r="AE3343">
        <v>0</v>
      </c>
      <c r="AF3343">
        <v>3</v>
      </c>
      <c r="AG3343">
        <v>2</v>
      </c>
      <c r="AH3343">
        <v>0</v>
      </c>
      <c r="AI3343" t="s">
        <v>6786</v>
      </c>
      <c r="AJ3343">
        <v>40.381601000000003</v>
      </c>
      <c r="AK3343" t="s">
        <v>6787</v>
      </c>
      <c r="AL3343">
        <v>-74.696044999999998</v>
      </c>
      <c r="AM3343">
        <v>100</v>
      </c>
      <c r="AN3343">
        <v>1600</v>
      </c>
      <c r="AO3343" t="s">
        <v>115</v>
      </c>
      <c r="AP3343">
        <v>166</v>
      </c>
      <c r="AQ3343">
        <v>-18</v>
      </c>
      <c r="AR3343">
        <v>192</v>
      </c>
      <c r="AZ3343">
        <v>3614</v>
      </c>
      <c r="BA3343">
        <v>1</v>
      </c>
      <c r="BB3343" t="str">
        <f t="shared" si="158"/>
        <v xml:space="preserve">N959MJ  </v>
      </c>
      <c r="BC3343">
        <v>1</v>
      </c>
      <c r="BE3343">
        <v>0</v>
      </c>
      <c r="BF3343">
        <v>0</v>
      </c>
      <c r="BG3343">
        <v>0</v>
      </c>
      <c r="BH3343">
        <v>1825</v>
      </c>
      <c r="BI3343">
        <v>225</v>
      </c>
      <c r="BJ3343">
        <v>1</v>
      </c>
      <c r="BK3343">
        <v>1</v>
      </c>
      <c r="BL3343">
        <v>1</v>
      </c>
      <c r="BM3343">
        <v>0</v>
      </c>
      <c r="BP3343">
        <v>0</v>
      </c>
      <c r="BQ3343">
        <v>0</v>
      </c>
      <c r="BX3343" t="str">
        <f>"14:46:02.914"</f>
        <v>14:46:02.914</v>
      </c>
      <c r="BY3343" t="str">
        <f>"913347644"</f>
        <v>913347644</v>
      </c>
      <c r="CL3343">
        <v>0</v>
      </c>
      <c r="CM3343">
        <v>2</v>
      </c>
      <c r="CN3343">
        <v>0</v>
      </c>
      <c r="CO3343">
        <v>2</v>
      </c>
      <c r="CP3343">
        <v>0</v>
      </c>
      <c r="CQ3343">
        <v>7</v>
      </c>
      <c r="CR3343" t="s">
        <v>116</v>
      </c>
      <c r="CS3343">
        <v>38</v>
      </c>
      <c r="CT3343">
        <v>0</v>
      </c>
      <c r="CU3343" t="s">
        <v>4719</v>
      </c>
      <c r="CV3343" t="s">
        <v>4720</v>
      </c>
      <c r="CY3343">
        <v>7727536</v>
      </c>
      <c r="CZ3343" t="s">
        <v>119</v>
      </c>
    </row>
    <row r="3344" spans="1:104" x14ac:dyDescent="0.25">
      <c r="A3344" t="str">
        <f>"14:46:04.148"</f>
        <v>14:46:04.148</v>
      </c>
      <c r="B3344" t="s">
        <v>108</v>
      </c>
      <c r="C3344" t="str">
        <f t="shared" si="157"/>
        <v>ffdfd3c0</v>
      </c>
      <c r="D3344" t="s">
        <v>109</v>
      </c>
      <c r="E3344">
        <v>4</v>
      </c>
      <c r="F3344">
        <v>1004</v>
      </c>
      <c r="G3344" t="s">
        <v>110</v>
      </c>
      <c r="J3344" t="s">
        <v>111</v>
      </c>
      <c r="K3344">
        <v>0</v>
      </c>
      <c r="L3344">
        <v>3</v>
      </c>
      <c r="M3344">
        <v>0</v>
      </c>
      <c r="N3344">
        <v>2</v>
      </c>
      <c r="O3344">
        <v>1</v>
      </c>
      <c r="P3344">
        <v>0</v>
      </c>
      <c r="Q3344">
        <v>0</v>
      </c>
      <c r="R3344" t="s">
        <v>112</v>
      </c>
      <c r="S3344" t="str">
        <f>"14:46:03.922"</f>
        <v>14:46:03.922</v>
      </c>
      <c r="T3344" t="str">
        <f>"14:46:03.422"</f>
        <v>14:46:03.422</v>
      </c>
      <c r="U3344" t="str">
        <f t="shared" si="156"/>
        <v>ad5732</v>
      </c>
      <c r="V3344">
        <v>0</v>
      </c>
      <c r="W3344">
        <v>0</v>
      </c>
      <c r="X3344">
        <v>1</v>
      </c>
      <c r="Z3344">
        <v>0</v>
      </c>
      <c r="AA3344">
        <v>9</v>
      </c>
      <c r="AB3344">
        <v>3</v>
      </c>
      <c r="AC3344">
        <v>0</v>
      </c>
      <c r="AD3344">
        <v>10</v>
      </c>
      <c r="AE3344">
        <v>0</v>
      </c>
      <c r="AF3344">
        <v>3</v>
      </c>
      <c r="AG3344">
        <v>2</v>
      </c>
      <c r="AH3344">
        <v>0</v>
      </c>
      <c r="AI3344" t="s">
        <v>6788</v>
      </c>
      <c r="AJ3344">
        <v>40.381494000000004</v>
      </c>
      <c r="AK3344" t="s">
        <v>6789</v>
      </c>
      <c r="AL3344">
        <v>-74.694951000000003</v>
      </c>
      <c r="AM3344">
        <v>100</v>
      </c>
      <c r="AN3344">
        <v>1600</v>
      </c>
      <c r="AO3344" t="s">
        <v>115</v>
      </c>
      <c r="AP3344">
        <v>166</v>
      </c>
      <c r="AQ3344">
        <v>-18</v>
      </c>
      <c r="AR3344">
        <v>128</v>
      </c>
      <c r="AZ3344">
        <v>3614</v>
      </c>
      <c r="BA3344">
        <v>1</v>
      </c>
      <c r="BB3344" t="str">
        <f t="shared" si="158"/>
        <v xml:space="preserve">N959MJ  </v>
      </c>
      <c r="BC3344">
        <v>1</v>
      </c>
      <c r="BE3344">
        <v>0</v>
      </c>
      <c r="BF3344">
        <v>0</v>
      </c>
      <c r="BG3344">
        <v>0</v>
      </c>
      <c r="BH3344">
        <v>1825</v>
      </c>
      <c r="BI3344">
        <v>225</v>
      </c>
      <c r="BJ3344">
        <v>1</v>
      </c>
      <c r="BK3344">
        <v>1</v>
      </c>
      <c r="BL3344">
        <v>1</v>
      </c>
      <c r="BM3344">
        <v>0</v>
      </c>
      <c r="BP3344">
        <v>0</v>
      </c>
      <c r="BQ3344">
        <v>0</v>
      </c>
      <c r="BX3344" t="str">
        <f>"14:46:03.930"</f>
        <v>14:46:03.930</v>
      </c>
      <c r="BY3344" t="str">
        <f>"929173611"</f>
        <v>929173611</v>
      </c>
      <c r="CL3344">
        <v>0</v>
      </c>
      <c r="CM3344">
        <v>2</v>
      </c>
      <c r="CN3344">
        <v>0</v>
      </c>
      <c r="CO3344">
        <v>2</v>
      </c>
      <c r="CP3344">
        <v>0</v>
      </c>
      <c r="CQ3344">
        <v>7</v>
      </c>
      <c r="CR3344" t="s">
        <v>116</v>
      </c>
      <c r="CS3344">
        <v>38</v>
      </c>
      <c r="CT3344">
        <v>0</v>
      </c>
      <c r="CU3344" t="s">
        <v>4719</v>
      </c>
      <c r="CV3344" t="s">
        <v>4720</v>
      </c>
      <c r="CY3344">
        <v>7729187</v>
      </c>
      <c r="CZ3344" t="s">
        <v>119</v>
      </c>
    </row>
    <row r="3345" spans="1:104" x14ac:dyDescent="0.25">
      <c r="A3345" t="str">
        <f>"14:46:05.008"</f>
        <v>14:46:05.008</v>
      </c>
      <c r="B3345" t="s">
        <v>108</v>
      </c>
      <c r="C3345" t="str">
        <f t="shared" si="157"/>
        <v>ffdfd3c0</v>
      </c>
      <c r="D3345" t="s">
        <v>109</v>
      </c>
      <c r="E3345">
        <v>4</v>
      </c>
      <c r="F3345">
        <v>1004</v>
      </c>
      <c r="G3345" t="s">
        <v>110</v>
      </c>
      <c r="J3345" t="s">
        <v>111</v>
      </c>
      <c r="K3345">
        <v>0</v>
      </c>
      <c r="L3345">
        <v>3</v>
      </c>
      <c r="M3345">
        <v>0</v>
      </c>
      <c r="N3345">
        <v>2</v>
      </c>
      <c r="O3345">
        <v>1</v>
      </c>
      <c r="P3345">
        <v>0</v>
      </c>
      <c r="Q3345">
        <v>0</v>
      </c>
      <c r="R3345" t="s">
        <v>112</v>
      </c>
      <c r="S3345" t="str">
        <f>"14:46:04.828"</f>
        <v>14:46:04.828</v>
      </c>
      <c r="T3345" t="str">
        <f>"14:46:04.430"</f>
        <v>14:46:04.430</v>
      </c>
      <c r="U3345" t="str">
        <f t="shared" si="156"/>
        <v>ad5732</v>
      </c>
      <c r="V3345">
        <v>0</v>
      </c>
      <c r="W3345">
        <v>0</v>
      </c>
      <c r="X3345">
        <v>1</v>
      </c>
      <c r="Z3345">
        <v>0</v>
      </c>
      <c r="AA3345">
        <v>9</v>
      </c>
      <c r="AB3345">
        <v>3</v>
      </c>
      <c r="AC3345">
        <v>0</v>
      </c>
      <c r="AD3345">
        <v>10</v>
      </c>
      <c r="AE3345">
        <v>0</v>
      </c>
      <c r="AF3345">
        <v>3</v>
      </c>
      <c r="AG3345">
        <v>2</v>
      </c>
      <c r="AH3345">
        <v>0</v>
      </c>
      <c r="AI3345" t="s">
        <v>6790</v>
      </c>
      <c r="AJ3345">
        <v>40.381408</v>
      </c>
      <c r="AK3345" t="s">
        <v>6791</v>
      </c>
      <c r="AL3345">
        <v>-74.694049000000007</v>
      </c>
      <c r="AM3345">
        <v>100</v>
      </c>
      <c r="AN3345">
        <v>1600</v>
      </c>
      <c r="AO3345" t="s">
        <v>115</v>
      </c>
      <c r="AP3345">
        <v>165</v>
      </c>
      <c r="AQ3345">
        <v>-18</v>
      </c>
      <c r="AR3345">
        <v>128</v>
      </c>
      <c r="AZ3345">
        <v>3614</v>
      </c>
      <c r="BA3345">
        <v>1</v>
      </c>
      <c r="BB3345" t="str">
        <f t="shared" si="158"/>
        <v xml:space="preserve">N959MJ  </v>
      </c>
      <c r="BC3345">
        <v>1</v>
      </c>
      <c r="BE3345">
        <v>0</v>
      </c>
      <c r="BF3345">
        <v>0</v>
      </c>
      <c r="BG3345">
        <v>0</v>
      </c>
      <c r="BH3345">
        <v>1850</v>
      </c>
      <c r="BI3345">
        <v>250</v>
      </c>
      <c r="BJ3345">
        <v>1</v>
      </c>
      <c r="BK3345">
        <v>1</v>
      </c>
      <c r="BL3345">
        <v>1</v>
      </c>
      <c r="BM3345">
        <v>0</v>
      </c>
      <c r="BP3345">
        <v>0</v>
      </c>
      <c r="BQ3345">
        <v>0</v>
      </c>
      <c r="BX3345" t="str">
        <f>"14:46:04.836"</f>
        <v>14:46:04.836</v>
      </c>
      <c r="BY3345" t="str">
        <f>"833586409"</f>
        <v>833586409</v>
      </c>
      <c r="CL3345">
        <v>0</v>
      </c>
      <c r="CM3345">
        <v>2</v>
      </c>
      <c r="CN3345">
        <v>0</v>
      </c>
      <c r="CO3345">
        <v>2</v>
      </c>
      <c r="CP3345">
        <v>0</v>
      </c>
      <c r="CQ3345">
        <v>7</v>
      </c>
      <c r="CR3345" t="s">
        <v>116</v>
      </c>
      <c r="CS3345">
        <v>38</v>
      </c>
      <c r="CT3345">
        <v>0</v>
      </c>
      <c r="CU3345" t="s">
        <v>4719</v>
      </c>
      <c r="CV3345" t="s">
        <v>4720</v>
      </c>
      <c r="CY3345">
        <v>7730651</v>
      </c>
      <c r="CZ3345" t="s">
        <v>119</v>
      </c>
    </row>
    <row r="3346" spans="1:104" x14ac:dyDescent="0.25">
      <c r="A3346" t="str">
        <f>"14:46:05.867"</f>
        <v>14:46:05.867</v>
      </c>
      <c r="B3346" t="s">
        <v>108</v>
      </c>
      <c r="C3346" t="str">
        <f t="shared" si="157"/>
        <v>ffdfd3c0</v>
      </c>
      <c r="D3346" t="s">
        <v>109</v>
      </c>
      <c r="E3346">
        <v>4</v>
      </c>
      <c r="F3346">
        <v>1004</v>
      </c>
      <c r="G3346" t="s">
        <v>110</v>
      </c>
      <c r="J3346" t="s">
        <v>111</v>
      </c>
      <c r="K3346">
        <v>0</v>
      </c>
      <c r="L3346">
        <v>3</v>
      </c>
      <c r="M3346">
        <v>0</v>
      </c>
      <c r="N3346">
        <v>2</v>
      </c>
      <c r="O3346">
        <v>1</v>
      </c>
      <c r="P3346">
        <v>0</v>
      </c>
      <c r="Q3346">
        <v>0</v>
      </c>
      <c r="R3346" t="s">
        <v>112</v>
      </c>
      <c r="S3346" t="str">
        <f>"14:46:05.672"</f>
        <v>14:46:05.672</v>
      </c>
      <c r="T3346" t="str">
        <f>"14:46:05.273"</f>
        <v>14:46:05.273</v>
      </c>
      <c r="U3346" t="str">
        <f t="shared" si="156"/>
        <v>ad5732</v>
      </c>
      <c r="V3346">
        <v>0</v>
      </c>
      <c r="W3346">
        <v>0</v>
      </c>
      <c r="X3346">
        <v>1</v>
      </c>
      <c r="Z3346">
        <v>0</v>
      </c>
      <c r="AA3346">
        <v>9</v>
      </c>
      <c r="AB3346">
        <v>3</v>
      </c>
      <c r="AC3346">
        <v>0</v>
      </c>
      <c r="AD3346">
        <v>10</v>
      </c>
      <c r="AE3346">
        <v>0</v>
      </c>
      <c r="AF3346">
        <v>3</v>
      </c>
      <c r="AG3346">
        <v>2</v>
      </c>
      <c r="AH3346">
        <v>0</v>
      </c>
      <c r="AI3346" t="s">
        <v>6792</v>
      </c>
      <c r="AJ3346">
        <v>40.381365000000002</v>
      </c>
      <c r="AK3346" t="s">
        <v>6793</v>
      </c>
      <c r="AL3346">
        <v>-74.693234000000004</v>
      </c>
      <c r="AM3346">
        <v>100</v>
      </c>
      <c r="AN3346">
        <v>1600</v>
      </c>
      <c r="AO3346" t="s">
        <v>115</v>
      </c>
      <c r="AP3346">
        <v>164</v>
      </c>
      <c r="AQ3346">
        <v>-18</v>
      </c>
      <c r="AR3346">
        <v>64</v>
      </c>
      <c r="AZ3346">
        <v>3614</v>
      </c>
      <c r="BA3346">
        <v>1</v>
      </c>
      <c r="BB3346" t="str">
        <f t="shared" si="158"/>
        <v xml:space="preserve">N959MJ  </v>
      </c>
      <c r="BC3346">
        <v>1</v>
      </c>
      <c r="BE3346">
        <v>0</v>
      </c>
      <c r="BF3346">
        <v>0</v>
      </c>
      <c r="BG3346">
        <v>0</v>
      </c>
      <c r="BH3346">
        <v>1850</v>
      </c>
      <c r="BI3346">
        <v>250</v>
      </c>
      <c r="BJ3346">
        <v>1</v>
      </c>
      <c r="BK3346">
        <v>1</v>
      </c>
      <c r="BL3346">
        <v>1</v>
      </c>
      <c r="BM3346">
        <v>0</v>
      </c>
      <c r="BP3346">
        <v>0</v>
      </c>
      <c r="BQ3346">
        <v>0</v>
      </c>
      <c r="BX3346" t="str">
        <f>"14:46:05.680"</f>
        <v>14:46:05.680</v>
      </c>
      <c r="BY3346" t="str">
        <f>"677377333"</f>
        <v>677377333</v>
      </c>
      <c r="CL3346">
        <v>0</v>
      </c>
      <c r="CM3346">
        <v>2</v>
      </c>
      <c r="CN3346">
        <v>0</v>
      </c>
      <c r="CO3346">
        <v>2</v>
      </c>
      <c r="CP3346">
        <v>0</v>
      </c>
      <c r="CQ3346">
        <v>7</v>
      </c>
      <c r="CR3346" t="s">
        <v>116</v>
      </c>
      <c r="CS3346">
        <v>38</v>
      </c>
      <c r="CT3346">
        <v>0</v>
      </c>
      <c r="CU3346" t="s">
        <v>4719</v>
      </c>
      <c r="CV3346" t="s">
        <v>4720</v>
      </c>
      <c r="CY3346">
        <v>7731921</v>
      </c>
      <c r="CZ3346" t="s">
        <v>119</v>
      </c>
    </row>
    <row r="3347" spans="1:104" x14ac:dyDescent="0.25">
      <c r="A3347" t="str">
        <f>"14:46:06.922"</f>
        <v>14:46:06.922</v>
      </c>
      <c r="B3347" t="s">
        <v>108</v>
      </c>
      <c r="C3347" t="str">
        <f t="shared" si="157"/>
        <v>ffdfd3c0</v>
      </c>
      <c r="D3347" t="s">
        <v>109</v>
      </c>
      <c r="E3347">
        <v>4</v>
      </c>
      <c r="F3347">
        <v>1004</v>
      </c>
      <c r="G3347" t="s">
        <v>110</v>
      </c>
      <c r="J3347" t="s">
        <v>111</v>
      </c>
      <c r="K3347">
        <v>0</v>
      </c>
      <c r="L3347">
        <v>3</v>
      </c>
      <c r="M3347">
        <v>0</v>
      </c>
      <c r="N3347">
        <v>2</v>
      </c>
      <c r="O3347">
        <v>1</v>
      </c>
      <c r="P3347">
        <v>0</v>
      </c>
      <c r="Q3347">
        <v>0</v>
      </c>
      <c r="R3347" t="s">
        <v>112</v>
      </c>
      <c r="S3347" t="str">
        <f>"14:46:06.750"</f>
        <v>14:46:06.750</v>
      </c>
      <c r="T3347" t="str">
        <f>"14:46:06.352"</f>
        <v>14:46:06.352</v>
      </c>
      <c r="U3347" t="str">
        <f t="shared" si="156"/>
        <v>ad5732</v>
      </c>
      <c r="V3347">
        <v>0</v>
      </c>
      <c r="W3347">
        <v>0</v>
      </c>
      <c r="X3347">
        <v>1</v>
      </c>
      <c r="Z3347">
        <v>0</v>
      </c>
      <c r="AA3347">
        <v>9</v>
      </c>
      <c r="AB3347">
        <v>3</v>
      </c>
      <c r="AC3347">
        <v>0</v>
      </c>
      <c r="AD3347">
        <v>10</v>
      </c>
      <c r="AE3347">
        <v>0</v>
      </c>
      <c r="AF3347">
        <v>3</v>
      </c>
      <c r="AG3347">
        <v>2</v>
      </c>
      <c r="AH3347">
        <v>0</v>
      </c>
      <c r="AI3347" t="s">
        <v>6794</v>
      </c>
      <c r="AJ3347">
        <v>40.381258000000003</v>
      </c>
      <c r="AK3347" t="s">
        <v>6795</v>
      </c>
      <c r="AL3347">
        <v>-74.692139999999995</v>
      </c>
      <c r="AM3347">
        <v>100</v>
      </c>
      <c r="AN3347">
        <v>1600</v>
      </c>
      <c r="AO3347" t="s">
        <v>115</v>
      </c>
      <c r="AP3347">
        <v>164</v>
      </c>
      <c r="AQ3347">
        <v>-17</v>
      </c>
      <c r="AR3347">
        <v>64</v>
      </c>
      <c r="AZ3347">
        <v>3614</v>
      </c>
      <c r="BA3347">
        <v>1</v>
      </c>
      <c r="BB3347" t="str">
        <f t="shared" si="158"/>
        <v xml:space="preserve">N959MJ  </v>
      </c>
      <c r="BC3347">
        <v>1</v>
      </c>
      <c r="BE3347">
        <v>0</v>
      </c>
      <c r="BF3347">
        <v>0</v>
      </c>
      <c r="BG3347">
        <v>0</v>
      </c>
      <c r="BH3347">
        <v>1850</v>
      </c>
      <c r="BI3347">
        <v>250</v>
      </c>
      <c r="BJ3347">
        <v>1</v>
      </c>
      <c r="BK3347">
        <v>1</v>
      </c>
      <c r="BL3347">
        <v>1</v>
      </c>
      <c r="BM3347">
        <v>0</v>
      </c>
      <c r="BP3347">
        <v>0</v>
      </c>
      <c r="BQ3347">
        <v>0</v>
      </c>
      <c r="BX3347" t="str">
        <f>"14:46:06.750"</f>
        <v>14:46:06.750</v>
      </c>
      <c r="BY3347" t="str">
        <f>"753825173"</f>
        <v>753825173</v>
      </c>
      <c r="CL3347">
        <v>0</v>
      </c>
      <c r="CM3347">
        <v>2</v>
      </c>
      <c r="CN3347">
        <v>0</v>
      </c>
      <c r="CO3347">
        <v>2</v>
      </c>
      <c r="CP3347">
        <v>0</v>
      </c>
      <c r="CQ3347">
        <v>7</v>
      </c>
      <c r="CR3347" t="s">
        <v>116</v>
      </c>
      <c r="CS3347">
        <v>38</v>
      </c>
      <c r="CT3347">
        <v>0</v>
      </c>
      <c r="CU3347" t="s">
        <v>4719</v>
      </c>
      <c r="CV3347" t="s">
        <v>4720</v>
      </c>
      <c r="CY3347">
        <v>7733440</v>
      </c>
      <c r="CZ3347" t="s">
        <v>119</v>
      </c>
    </row>
    <row r="3348" spans="1:104" x14ac:dyDescent="0.25">
      <c r="A3348" t="str">
        <f>"14:46:07.883"</f>
        <v>14:46:07.883</v>
      </c>
      <c r="B3348" t="s">
        <v>108</v>
      </c>
      <c r="C3348" t="str">
        <f t="shared" si="157"/>
        <v>ffdfd3c0</v>
      </c>
      <c r="D3348" t="s">
        <v>109</v>
      </c>
      <c r="E3348">
        <v>4</v>
      </c>
      <c r="F3348">
        <v>1004</v>
      </c>
      <c r="G3348" t="s">
        <v>110</v>
      </c>
      <c r="J3348" t="s">
        <v>111</v>
      </c>
      <c r="K3348">
        <v>0</v>
      </c>
      <c r="L3348">
        <v>3</v>
      </c>
      <c r="M3348">
        <v>0</v>
      </c>
      <c r="N3348">
        <v>2</v>
      </c>
      <c r="O3348">
        <v>1</v>
      </c>
      <c r="P3348">
        <v>0</v>
      </c>
      <c r="Q3348">
        <v>0</v>
      </c>
      <c r="R3348" t="s">
        <v>112</v>
      </c>
      <c r="S3348" t="str">
        <f>"14:46:07.695"</f>
        <v>14:46:07.695</v>
      </c>
      <c r="T3348" t="str">
        <f>"14:46:07.297"</f>
        <v>14:46:07.297</v>
      </c>
      <c r="U3348" t="str">
        <f t="shared" si="156"/>
        <v>ad5732</v>
      </c>
      <c r="V3348">
        <v>0</v>
      </c>
      <c r="W3348">
        <v>0</v>
      </c>
      <c r="X3348">
        <v>1</v>
      </c>
      <c r="Z3348">
        <v>0</v>
      </c>
      <c r="AA3348">
        <v>9</v>
      </c>
      <c r="AB3348">
        <v>3</v>
      </c>
      <c r="AC3348">
        <v>0</v>
      </c>
      <c r="AD3348">
        <v>10</v>
      </c>
      <c r="AE3348">
        <v>0</v>
      </c>
      <c r="AF3348">
        <v>3</v>
      </c>
      <c r="AG3348">
        <v>2</v>
      </c>
      <c r="AH3348">
        <v>0</v>
      </c>
      <c r="AI3348" t="s">
        <v>6796</v>
      </c>
      <c r="AJ3348">
        <v>40.381171999999999</v>
      </c>
      <c r="AK3348" t="s">
        <v>6797</v>
      </c>
      <c r="AL3348">
        <v>-74.691303000000005</v>
      </c>
      <c r="AM3348">
        <v>100</v>
      </c>
      <c r="AN3348">
        <v>1600</v>
      </c>
      <c r="AO3348" t="s">
        <v>115</v>
      </c>
      <c r="AP3348">
        <v>163</v>
      </c>
      <c r="AQ3348">
        <v>-17</v>
      </c>
      <c r="AR3348">
        <v>0</v>
      </c>
      <c r="AZ3348">
        <v>3614</v>
      </c>
      <c r="BA3348">
        <v>1</v>
      </c>
      <c r="BB3348" t="str">
        <f t="shared" si="158"/>
        <v xml:space="preserve">N959MJ  </v>
      </c>
      <c r="BC3348">
        <v>1</v>
      </c>
      <c r="BE3348">
        <v>0</v>
      </c>
      <c r="BF3348">
        <v>0</v>
      </c>
      <c r="BG3348">
        <v>0</v>
      </c>
      <c r="BH3348">
        <v>1850</v>
      </c>
      <c r="BI3348">
        <v>250</v>
      </c>
      <c r="BJ3348">
        <v>1</v>
      </c>
      <c r="BK3348">
        <v>1</v>
      </c>
      <c r="BL3348">
        <v>1</v>
      </c>
      <c r="BM3348">
        <v>0</v>
      </c>
      <c r="BP3348">
        <v>0</v>
      </c>
      <c r="BQ3348">
        <v>0</v>
      </c>
      <c r="BX3348" t="str">
        <f>"14:46:07.695"</f>
        <v>14:46:07.695</v>
      </c>
      <c r="BY3348" t="str">
        <f>"699198734"</f>
        <v>699198734</v>
      </c>
      <c r="CL3348">
        <v>0</v>
      </c>
      <c r="CM3348">
        <v>2</v>
      </c>
      <c r="CN3348">
        <v>0</v>
      </c>
      <c r="CO3348">
        <v>2</v>
      </c>
      <c r="CP3348">
        <v>0</v>
      </c>
      <c r="CQ3348">
        <v>7</v>
      </c>
      <c r="CR3348" t="s">
        <v>116</v>
      </c>
      <c r="CS3348">
        <v>38</v>
      </c>
      <c r="CT3348">
        <v>0</v>
      </c>
      <c r="CU3348" t="s">
        <v>4719</v>
      </c>
      <c r="CV3348" t="s">
        <v>4720</v>
      </c>
      <c r="CY3348">
        <v>7734800</v>
      </c>
      <c r="CZ3348" t="s">
        <v>119</v>
      </c>
    </row>
    <row r="3349" spans="1:104" x14ac:dyDescent="0.25">
      <c r="A3349" t="str">
        <f>"14:46:08.789"</f>
        <v>14:46:08.789</v>
      </c>
      <c r="B3349" t="s">
        <v>108</v>
      </c>
      <c r="C3349" t="str">
        <f t="shared" si="157"/>
        <v>ffdfd3c0</v>
      </c>
      <c r="D3349" t="s">
        <v>109</v>
      </c>
      <c r="E3349">
        <v>4</v>
      </c>
      <c r="F3349">
        <v>1004</v>
      </c>
      <c r="G3349" t="s">
        <v>110</v>
      </c>
      <c r="J3349" t="s">
        <v>111</v>
      </c>
      <c r="K3349">
        <v>0</v>
      </c>
      <c r="L3349">
        <v>3</v>
      </c>
      <c r="M3349">
        <v>0</v>
      </c>
      <c r="N3349">
        <v>2</v>
      </c>
      <c r="O3349">
        <v>1</v>
      </c>
      <c r="P3349">
        <v>0</v>
      </c>
      <c r="Q3349">
        <v>0</v>
      </c>
      <c r="R3349" t="s">
        <v>112</v>
      </c>
      <c r="S3349" t="str">
        <f>"14:46:08.578"</f>
        <v>14:46:08.578</v>
      </c>
      <c r="T3349" t="str">
        <f>"14:46:08.180"</f>
        <v>14:46:08.180</v>
      </c>
      <c r="U3349" t="str">
        <f t="shared" si="156"/>
        <v>ad5732</v>
      </c>
      <c r="V3349">
        <v>0</v>
      </c>
      <c r="W3349">
        <v>0</v>
      </c>
      <c r="X3349">
        <v>1</v>
      </c>
      <c r="Z3349">
        <v>0</v>
      </c>
      <c r="AA3349">
        <v>9</v>
      </c>
      <c r="AB3349">
        <v>3</v>
      </c>
      <c r="AC3349">
        <v>0</v>
      </c>
      <c r="AD3349">
        <v>10</v>
      </c>
      <c r="AE3349">
        <v>0</v>
      </c>
      <c r="AF3349">
        <v>3</v>
      </c>
      <c r="AG3349">
        <v>2</v>
      </c>
      <c r="AH3349">
        <v>0</v>
      </c>
      <c r="AI3349" t="s">
        <v>6798</v>
      </c>
      <c r="AJ3349">
        <v>40.381129000000001</v>
      </c>
      <c r="AK3349" t="s">
        <v>6799</v>
      </c>
      <c r="AL3349">
        <v>-74.690359000000001</v>
      </c>
      <c r="AM3349">
        <v>100</v>
      </c>
      <c r="AN3349">
        <v>1600</v>
      </c>
      <c r="AO3349" t="s">
        <v>115</v>
      </c>
      <c r="AP3349">
        <v>163</v>
      </c>
      <c r="AQ3349">
        <v>-17</v>
      </c>
      <c r="AR3349">
        <v>0</v>
      </c>
      <c r="AZ3349">
        <v>3614</v>
      </c>
      <c r="BA3349">
        <v>1</v>
      </c>
      <c r="BB3349" t="str">
        <f t="shared" si="158"/>
        <v xml:space="preserve">N959MJ  </v>
      </c>
      <c r="BC3349">
        <v>1</v>
      </c>
      <c r="BE3349">
        <v>0</v>
      </c>
      <c r="BF3349">
        <v>0</v>
      </c>
      <c r="BG3349">
        <v>0</v>
      </c>
      <c r="BH3349">
        <v>1850</v>
      </c>
      <c r="BI3349">
        <v>250</v>
      </c>
      <c r="BJ3349">
        <v>1</v>
      </c>
      <c r="BK3349">
        <v>1</v>
      </c>
      <c r="BL3349">
        <v>1</v>
      </c>
      <c r="BM3349">
        <v>0</v>
      </c>
      <c r="BP3349">
        <v>0</v>
      </c>
      <c r="BQ3349">
        <v>0</v>
      </c>
      <c r="BX3349" t="str">
        <f>"14:46:08.586"</f>
        <v>14:46:08.586</v>
      </c>
      <c r="BY3349" t="str">
        <f>"585588773"</f>
        <v>585588773</v>
      </c>
      <c r="CL3349">
        <v>0</v>
      </c>
      <c r="CM3349">
        <v>2</v>
      </c>
      <c r="CN3349">
        <v>0</v>
      </c>
      <c r="CO3349">
        <v>2</v>
      </c>
      <c r="CP3349">
        <v>0</v>
      </c>
      <c r="CQ3349">
        <v>7</v>
      </c>
      <c r="CR3349" t="s">
        <v>116</v>
      </c>
      <c r="CS3349">
        <v>38</v>
      </c>
      <c r="CT3349">
        <v>0</v>
      </c>
      <c r="CU3349" t="s">
        <v>4719</v>
      </c>
      <c r="CV3349" t="s">
        <v>4720</v>
      </c>
      <c r="CY3349">
        <v>7736208</v>
      </c>
      <c r="CZ3349" t="s">
        <v>119</v>
      </c>
    </row>
    <row r="3350" spans="1:104" x14ac:dyDescent="0.25">
      <c r="A3350" t="str">
        <f>"14:46:09.602"</f>
        <v>14:46:09.602</v>
      </c>
      <c r="B3350" t="s">
        <v>108</v>
      </c>
      <c r="C3350" t="str">
        <f t="shared" si="157"/>
        <v>ffdfd3c0</v>
      </c>
      <c r="D3350" t="s">
        <v>109</v>
      </c>
      <c r="E3350">
        <v>4</v>
      </c>
      <c r="F3350">
        <v>1004</v>
      </c>
      <c r="G3350" t="s">
        <v>110</v>
      </c>
      <c r="J3350" t="s">
        <v>111</v>
      </c>
      <c r="K3350">
        <v>0</v>
      </c>
      <c r="L3350">
        <v>3</v>
      </c>
      <c r="M3350">
        <v>0</v>
      </c>
      <c r="N3350">
        <v>2</v>
      </c>
      <c r="O3350">
        <v>1</v>
      </c>
      <c r="P3350">
        <v>0</v>
      </c>
      <c r="Q3350">
        <v>0</v>
      </c>
      <c r="R3350" t="s">
        <v>112</v>
      </c>
      <c r="S3350" t="str">
        <f>"14:46:09.445"</f>
        <v>14:46:09.445</v>
      </c>
      <c r="T3350" t="str">
        <f>"14:46:09.047"</f>
        <v>14:46:09.047</v>
      </c>
      <c r="U3350" t="str">
        <f t="shared" si="156"/>
        <v>ad5732</v>
      </c>
      <c r="V3350">
        <v>0</v>
      </c>
      <c r="W3350">
        <v>0</v>
      </c>
      <c r="X3350">
        <v>1</v>
      </c>
      <c r="Z3350">
        <v>0</v>
      </c>
      <c r="AA3350">
        <v>9</v>
      </c>
      <c r="AB3350">
        <v>3</v>
      </c>
      <c r="AC3350">
        <v>0</v>
      </c>
      <c r="AD3350">
        <v>10</v>
      </c>
      <c r="AE3350">
        <v>0</v>
      </c>
      <c r="AF3350">
        <v>3</v>
      </c>
      <c r="AG3350">
        <v>2</v>
      </c>
      <c r="AH3350">
        <v>0</v>
      </c>
      <c r="AI3350" t="s">
        <v>6800</v>
      </c>
      <c r="AJ3350">
        <v>40.381042999999998</v>
      </c>
      <c r="AK3350" t="s">
        <v>6801</v>
      </c>
      <c r="AL3350">
        <v>-74.689499999999995</v>
      </c>
      <c r="AM3350">
        <v>100</v>
      </c>
      <c r="AN3350">
        <v>1600</v>
      </c>
      <c r="AO3350" t="s">
        <v>115</v>
      </c>
      <c r="AP3350">
        <v>162</v>
      </c>
      <c r="AQ3350">
        <v>-17</v>
      </c>
      <c r="AR3350">
        <v>0</v>
      </c>
      <c r="AZ3350">
        <v>3614</v>
      </c>
      <c r="BA3350">
        <v>1</v>
      </c>
      <c r="BB3350" t="str">
        <f t="shared" si="158"/>
        <v xml:space="preserve">N959MJ  </v>
      </c>
      <c r="BC3350">
        <v>1</v>
      </c>
      <c r="BE3350">
        <v>0</v>
      </c>
      <c r="BF3350">
        <v>0</v>
      </c>
      <c r="BG3350">
        <v>0</v>
      </c>
      <c r="BH3350">
        <v>1850</v>
      </c>
      <c r="BI3350">
        <v>250</v>
      </c>
      <c r="BJ3350">
        <v>1</v>
      </c>
      <c r="BK3350">
        <v>1</v>
      </c>
      <c r="BL3350">
        <v>1</v>
      </c>
      <c r="BM3350">
        <v>0</v>
      </c>
      <c r="BP3350">
        <v>0</v>
      </c>
      <c r="BQ3350">
        <v>0</v>
      </c>
      <c r="BX3350" t="str">
        <f>"14:46:09.445"</f>
        <v>14:46:09.445</v>
      </c>
      <c r="BY3350" t="str">
        <f>"449040948"</f>
        <v>449040948</v>
      </c>
      <c r="CL3350">
        <v>0</v>
      </c>
      <c r="CM3350">
        <v>2</v>
      </c>
      <c r="CN3350">
        <v>0</v>
      </c>
      <c r="CO3350">
        <v>2</v>
      </c>
      <c r="CP3350">
        <v>0</v>
      </c>
      <c r="CQ3350">
        <v>7</v>
      </c>
      <c r="CR3350" t="s">
        <v>116</v>
      </c>
      <c r="CS3350">
        <v>38</v>
      </c>
      <c r="CT3350">
        <v>0</v>
      </c>
      <c r="CU3350" t="s">
        <v>4719</v>
      </c>
      <c r="CV3350" t="s">
        <v>4720</v>
      </c>
      <c r="CY3350">
        <v>7737566</v>
      </c>
      <c r="CZ3350" t="s">
        <v>119</v>
      </c>
    </row>
    <row r="3351" spans="1:104" x14ac:dyDescent="0.25">
      <c r="A3351" t="str">
        <f>"14:46:10.508"</f>
        <v>14:46:10.508</v>
      </c>
      <c r="B3351" t="s">
        <v>108</v>
      </c>
      <c r="C3351" t="str">
        <f t="shared" si="157"/>
        <v>ffdfd3c0</v>
      </c>
      <c r="D3351" t="s">
        <v>109</v>
      </c>
      <c r="E3351">
        <v>4</v>
      </c>
      <c r="F3351">
        <v>1004</v>
      </c>
      <c r="G3351" t="s">
        <v>110</v>
      </c>
      <c r="J3351" t="s">
        <v>111</v>
      </c>
      <c r="K3351">
        <v>0</v>
      </c>
      <c r="L3351">
        <v>3</v>
      </c>
      <c r="M3351">
        <v>0</v>
      </c>
      <c r="N3351">
        <v>2</v>
      </c>
      <c r="O3351">
        <v>1</v>
      </c>
      <c r="P3351">
        <v>0</v>
      </c>
      <c r="Q3351">
        <v>0</v>
      </c>
      <c r="R3351" t="s">
        <v>112</v>
      </c>
      <c r="S3351" t="str">
        <f>"14:46:10.336"</f>
        <v>14:46:10.336</v>
      </c>
      <c r="T3351" t="str">
        <f>"14:46:09.938"</f>
        <v>14:46:09.938</v>
      </c>
      <c r="U3351" t="str">
        <f t="shared" si="156"/>
        <v>ad5732</v>
      </c>
      <c r="V3351">
        <v>0</v>
      </c>
      <c r="W3351">
        <v>0</v>
      </c>
      <c r="X3351">
        <v>1</v>
      </c>
      <c r="Z3351">
        <v>0</v>
      </c>
      <c r="AA3351">
        <v>9</v>
      </c>
      <c r="AB3351">
        <v>3</v>
      </c>
      <c r="AC3351">
        <v>0</v>
      </c>
      <c r="AD3351">
        <v>10</v>
      </c>
      <c r="AE3351">
        <v>0</v>
      </c>
      <c r="AF3351">
        <v>3</v>
      </c>
      <c r="AG3351">
        <v>2</v>
      </c>
      <c r="AH3351">
        <v>0</v>
      </c>
      <c r="AI3351" t="s">
        <v>6802</v>
      </c>
      <c r="AJ3351">
        <v>40.380979000000004</v>
      </c>
      <c r="AK3351" t="s">
        <v>6803</v>
      </c>
      <c r="AL3351">
        <v>-74.688598999999996</v>
      </c>
      <c r="AM3351">
        <v>100</v>
      </c>
      <c r="AN3351">
        <v>1600</v>
      </c>
      <c r="AO3351" t="s">
        <v>115</v>
      </c>
      <c r="AP3351">
        <v>162</v>
      </c>
      <c r="AQ3351">
        <v>-17</v>
      </c>
      <c r="AR3351">
        <v>0</v>
      </c>
      <c r="AZ3351">
        <v>3614</v>
      </c>
      <c r="BA3351">
        <v>1</v>
      </c>
      <c r="BB3351" t="str">
        <f t="shared" si="158"/>
        <v xml:space="preserve">N959MJ  </v>
      </c>
      <c r="BC3351">
        <v>1</v>
      </c>
      <c r="BE3351">
        <v>0</v>
      </c>
      <c r="BF3351">
        <v>0</v>
      </c>
      <c r="BG3351">
        <v>0</v>
      </c>
      <c r="BH3351">
        <v>1850</v>
      </c>
      <c r="BI3351">
        <v>250</v>
      </c>
      <c r="BJ3351">
        <v>1</v>
      </c>
      <c r="BK3351">
        <v>1</v>
      </c>
      <c r="BL3351">
        <v>1</v>
      </c>
      <c r="BM3351">
        <v>0</v>
      </c>
      <c r="BP3351">
        <v>0</v>
      </c>
      <c r="BQ3351">
        <v>0</v>
      </c>
      <c r="BX3351" t="str">
        <f>"14:46:10.336"</f>
        <v>14:46:10.336</v>
      </c>
      <c r="BY3351" t="str">
        <f>"337069362"</f>
        <v>337069362</v>
      </c>
      <c r="CL3351">
        <v>0</v>
      </c>
      <c r="CM3351">
        <v>2</v>
      </c>
      <c r="CN3351">
        <v>0</v>
      </c>
      <c r="CO3351">
        <v>2</v>
      </c>
      <c r="CP3351">
        <v>0</v>
      </c>
      <c r="CQ3351">
        <v>7</v>
      </c>
      <c r="CR3351" t="s">
        <v>116</v>
      </c>
      <c r="CS3351">
        <v>38</v>
      </c>
      <c r="CT3351">
        <v>0</v>
      </c>
      <c r="CU3351" t="s">
        <v>4719</v>
      </c>
      <c r="CV3351" t="s">
        <v>4720</v>
      </c>
      <c r="CY3351">
        <v>7738978</v>
      </c>
      <c r="CZ3351" t="s">
        <v>119</v>
      </c>
    </row>
    <row r="3352" spans="1:104" x14ac:dyDescent="0.25">
      <c r="A3352" t="str">
        <f>"14:46:11.516"</f>
        <v>14:46:11.516</v>
      </c>
      <c r="B3352" t="s">
        <v>108</v>
      </c>
      <c r="C3352" t="str">
        <f t="shared" si="157"/>
        <v>ffdfd3c0</v>
      </c>
      <c r="D3352" t="s">
        <v>109</v>
      </c>
      <c r="E3352">
        <v>4</v>
      </c>
      <c r="F3352">
        <v>1004</v>
      </c>
      <c r="G3352" t="s">
        <v>110</v>
      </c>
      <c r="J3352" t="s">
        <v>111</v>
      </c>
      <c r="K3352">
        <v>0</v>
      </c>
      <c r="L3352">
        <v>3</v>
      </c>
      <c r="M3352">
        <v>0</v>
      </c>
      <c r="N3352">
        <v>2</v>
      </c>
      <c r="O3352">
        <v>1</v>
      </c>
      <c r="P3352">
        <v>0</v>
      </c>
      <c r="Q3352">
        <v>0</v>
      </c>
      <c r="R3352" t="s">
        <v>112</v>
      </c>
      <c r="S3352" t="str">
        <f>"14:46:11.328"</f>
        <v>14:46:11.328</v>
      </c>
      <c r="T3352" t="str">
        <f>"14:46:10.930"</f>
        <v>14:46:10.930</v>
      </c>
      <c r="U3352" t="str">
        <f t="shared" si="156"/>
        <v>ad5732</v>
      </c>
      <c r="V3352">
        <v>0</v>
      </c>
      <c r="W3352">
        <v>0</v>
      </c>
      <c r="X3352">
        <v>1</v>
      </c>
      <c r="Z3352">
        <v>0</v>
      </c>
      <c r="AA3352">
        <v>9</v>
      </c>
      <c r="AB3352">
        <v>3</v>
      </c>
      <c r="AC3352">
        <v>0</v>
      </c>
      <c r="AD3352">
        <v>10</v>
      </c>
      <c r="AE3352">
        <v>0</v>
      </c>
      <c r="AF3352">
        <v>3</v>
      </c>
      <c r="AG3352">
        <v>2</v>
      </c>
      <c r="AH3352">
        <v>0</v>
      </c>
      <c r="AI3352" t="s">
        <v>6804</v>
      </c>
      <c r="AJ3352">
        <v>40.380893</v>
      </c>
      <c r="AK3352" t="s">
        <v>6805</v>
      </c>
      <c r="AL3352">
        <v>-74.687612000000001</v>
      </c>
      <c r="AM3352">
        <v>100</v>
      </c>
      <c r="AN3352">
        <v>1600</v>
      </c>
      <c r="AO3352" t="s">
        <v>115</v>
      </c>
      <c r="AP3352">
        <v>161</v>
      </c>
      <c r="AQ3352">
        <v>-17</v>
      </c>
      <c r="AR3352">
        <v>0</v>
      </c>
      <c r="AZ3352">
        <v>3614</v>
      </c>
      <c r="BA3352">
        <v>1</v>
      </c>
      <c r="BB3352" t="str">
        <f t="shared" si="158"/>
        <v xml:space="preserve">N959MJ  </v>
      </c>
      <c r="BC3352">
        <v>1</v>
      </c>
      <c r="BE3352">
        <v>0</v>
      </c>
      <c r="BF3352">
        <v>0</v>
      </c>
      <c r="BG3352">
        <v>0</v>
      </c>
      <c r="BH3352">
        <v>1850</v>
      </c>
      <c r="BI3352">
        <v>250</v>
      </c>
      <c r="BJ3352">
        <v>1</v>
      </c>
      <c r="BK3352">
        <v>1</v>
      </c>
      <c r="BL3352">
        <v>1</v>
      </c>
      <c r="BM3352">
        <v>0</v>
      </c>
      <c r="BP3352">
        <v>0</v>
      </c>
      <c r="BQ3352">
        <v>0</v>
      </c>
      <c r="BX3352" t="str">
        <f>"14:46:11.328"</f>
        <v>14:46:11.328</v>
      </c>
      <c r="BY3352" t="str">
        <f>"331595803"</f>
        <v>331595803</v>
      </c>
      <c r="CL3352">
        <v>0</v>
      </c>
      <c r="CM3352">
        <v>2</v>
      </c>
      <c r="CN3352">
        <v>0</v>
      </c>
      <c r="CO3352">
        <v>2</v>
      </c>
      <c r="CP3352">
        <v>0</v>
      </c>
      <c r="CQ3352">
        <v>7</v>
      </c>
      <c r="CR3352" t="s">
        <v>116</v>
      </c>
      <c r="CS3352">
        <v>38</v>
      </c>
      <c r="CT3352">
        <v>0</v>
      </c>
      <c r="CU3352" t="s">
        <v>4719</v>
      </c>
      <c r="CV3352" t="s">
        <v>4720</v>
      </c>
      <c r="CY3352">
        <v>7740411</v>
      </c>
      <c r="CZ3352" t="s">
        <v>119</v>
      </c>
    </row>
    <row r="3353" spans="1:104" x14ac:dyDescent="0.25">
      <c r="A3353" t="str">
        <f>"14:46:12.578"</f>
        <v>14:46:12.578</v>
      </c>
      <c r="B3353" t="s">
        <v>108</v>
      </c>
      <c r="C3353" t="str">
        <f t="shared" si="157"/>
        <v>ffdfd3c0</v>
      </c>
      <c r="D3353" t="s">
        <v>109</v>
      </c>
      <c r="E3353">
        <v>4</v>
      </c>
      <c r="F3353">
        <v>1004</v>
      </c>
      <c r="G3353" t="s">
        <v>110</v>
      </c>
      <c r="J3353" t="s">
        <v>111</v>
      </c>
      <c r="K3353">
        <v>0</v>
      </c>
      <c r="L3353">
        <v>3</v>
      </c>
      <c r="M3353">
        <v>0</v>
      </c>
      <c r="N3353">
        <v>2</v>
      </c>
      <c r="O3353">
        <v>1</v>
      </c>
      <c r="P3353">
        <v>0</v>
      </c>
      <c r="Q3353">
        <v>0</v>
      </c>
      <c r="R3353" t="s">
        <v>112</v>
      </c>
      <c r="S3353" t="str">
        <f>"14:46:12.352"</f>
        <v>14:46:12.352</v>
      </c>
      <c r="T3353" t="str">
        <f>"14:46:11.953"</f>
        <v>14:46:11.953</v>
      </c>
      <c r="U3353" t="str">
        <f t="shared" si="156"/>
        <v>ad5732</v>
      </c>
      <c r="V3353">
        <v>0</v>
      </c>
      <c r="W3353">
        <v>0</v>
      </c>
      <c r="X3353">
        <v>1</v>
      </c>
      <c r="Z3353">
        <v>0</v>
      </c>
      <c r="AA3353">
        <v>9</v>
      </c>
      <c r="AB3353">
        <v>3</v>
      </c>
      <c r="AC3353">
        <v>0</v>
      </c>
      <c r="AD3353">
        <v>10</v>
      </c>
      <c r="AE3353">
        <v>0</v>
      </c>
      <c r="AF3353">
        <v>3</v>
      </c>
      <c r="AG3353">
        <v>2</v>
      </c>
      <c r="AH3353">
        <v>0</v>
      </c>
      <c r="AI3353" t="s">
        <v>6806</v>
      </c>
      <c r="AJ3353">
        <v>40.380850000000002</v>
      </c>
      <c r="AK3353" t="s">
        <v>6807</v>
      </c>
      <c r="AL3353">
        <v>-74.686645999999996</v>
      </c>
      <c r="AM3353">
        <v>100</v>
      </c>
      <c r="AN3353">
        <v>1600</v>
      </c>
      <c r="AO3353" t="s">
        <v>115</v>
      </c>
      <c r="AP3353">
        <v>161</v>
      </c>
      <c r="AQ3353">
        <v>-17</v>
      </c>
      <c r="AR3353">
        <v>64</v>
      </c>
      <c r="AZ3353">
        <v>3614</v>
      </c>
      <c r="BA3353">
        <v>1</v>
      </c>
      <c r="BB3353" t="str">
        <f t="shared" si="158"/>
        <v xml:space="preserve">N959MJ  </v>
      </c>
      <c r="BC3353">
        <v>1</v>
      </c>
      <c r="BE3353">
        <v>0</v>
      </c>
      <c r="BF3353">
        <v>0</v>
      </c>
      <c r="BG3353">
        <v>0</v>
      </c>
      <c r="BH3353">
        <v>1850</v>
      </c>
      <c r="BI3353">
        <v>250</v>
      </c>
      <c r="BJ3353">
        <v>1</v>
      </c>
      <c r="BK3353">
        <v>1</v>
      </c>
      <c r="BL3353">
        <v>1</v>
      </c>
      <c r="BM3353">
        <v>0</v>
      </c>
      <c r="BP3353">
        <v>0</v>
      </c>
      <c r="BQ3353">
        <v>0</v>
      </c>
      <c r="BX3353" t="str">
        <f>"14:46:12.359"</f>
        <v>14:46:12.359</v>
      </c>
      <c r="BY3353" t="str">
        <f>"358890771"</f>
        <v>358890771</v>
      </c>
      <c r="CL3353">
        <v>0</v>
      </c>
      <c r="CM3353">
        <v>2</v>
      </c>
      <c r="CN3353">
        <v>0</v>
      </c>
      <c r="CO3353">
        <v>2</v>
      </c>
      <c r="CP3353">
        <v>0</v>
      </c>
      <c r="CQ3353">
        <v>7</v>
      </c>
      <c r="CR3353" t="s">
        <v>116</v>
      </c>
      <c r="CS3353">
        <v>38</v>
      </c>
      <c r="CT3353">
        <v>0</v>
      </c>
      <c r="CU3353" t="s">
        <v>4719</v>
      </c>
      <c r="CV3353" t="s">
        <v>4720</v>
      </c>
      <c r="CY3353">
        <v>7741922</v>
      </c>
      <c r="CZ3353" t="s">
        <v>119</v>
      </c>
    </row>
    <row r="3354" spans="1:104" x14ac:dyDescent="0.25">
      <c r="A3354" t="str">
        <f>"14:46:13.484"</f>
        <v>14:46:13.484</v>
      </c>
      <c r="B3354" t="s">
        <v>108</v>
      </c>
      <c r="C3354" t="str">
        <f t="shared" si="157"/>
        <v>ffdfd3c0</v>
      </c>
      <c r="D3354" t="s">
        <v>109</v>
      </c>
      <c r="E3354">
        <v>4</v>
      </c>
      <c r="F3354">
        <v>1004</v>
      </c>
      <c r="G3354" t="s">
        <v>110</v>
      </c>
      <c r="J3354" t="s">
        <v>111</v>
      </c>
      <c r="K3354">
        <v>0</v>
      </c>
      <c r="L3354">
        <v>3</v>
      </c>
      <c r="M3354">
        <v>0</v>
      </c>
      <c r="N3354">
        <v>2</v>
      </c>
      <c r="O3354">
        <v>1</v>
      </c>
      <c r="P3354">
        <v>0</v>
      </c>
      <c r="Q3354">
        <v>0</v>
      </c>
      <c r="R3354" t="s">
        <v>112</v>
      </c>
      <c r="S3354" t="str">
        <f>"14:46:13.305"</f>
        <v>14:46:13.305</v>
      </c>
      <c r="T3354" t="str">
        <f>"14:46:12.906"</f>
        <v>14:46:12.906</v>
      </c>
      <c r="U3354" t="str">
        <f t="shared" si="156"/>
        <v>ad5732</v>
      </c>
      <c r="V3354">
        <v>0</v>
      </c>
      <c r="W3354">
        <v>0</v>
      </c>
      <c r="X3354">
        <v>1</v>
      </c>
      <c r="Z3354">
        <v>0</v>
      </c>
      <c r="AA3354">
        <v>9</v>
      </c>
      <c r="AB3354">
        <v>3</v>
      </c>
      <c r="AC3354">
        <v>0</v>
      </c>
      <c r="AD3354">
        <v>10</v>
      </c>
      <c r="AE3354">
        <v>0</v>
      </c>
      <c r="AF3354">
        <v>3</v>
      </c>
      <c r="AG3354">
        <v>2</v>
      </c>
      <c r="AH3354">
        <v>0</v>
      </c>
      <c r="AI3354" t="s">
        <v>6808</v>
      </c>
      <c r="AJ3354">
        <v>40.380763999999999</v>
      </c>
      <c r="AK3354" t="s">
        <v>6809</v>
      </c>
      <c r="AL3354">
        <v>-74.685810000000004</v>
      </c>
      <c r="AM3354">
        <v>100</v>
      </c>
      <c r="AN3354">
        <v>1600</v>
      </c>
      <c r="AO3354" t="s">
        <v>115</v>
      </c>
      <c r="AP3354">
        <v>160</v>
      </c>
      <c r="AQ3354">
        <v>-17</v>
      </c>
      <c r="AR3354">
        <v>128</v>
      </c>
      <c r="AZ3354">
        <v>3614</v>
      </c>
      <c r="BA3354">
        <v>1</v>
      </c>
      <c r="BB3354" t="str">
        <f t="shared" si="158"/>
        <v xml:space="preserve">N959MJ  </v>
      </c>
      <c r="BC3354">
        <v>1</v>
      </c>
      <c r="BE3354">
        <v>0</v>
      </c>
      <c r="BF3354">
        <v>0</v>
      </c>
      <c r="BG3354">
        <v>0</v>
      </c>
      <c r="BH3354">
        <v>1850</v>
      </c>
      <c r="BI3354">
        <v>250</v>
      </c>
      <c r="BJ3354">
        <v>1</v>
      </c>
      <c r="BK3354">
        <v>1</v>
      </c>
      <c r="BL3354">
        <v>1</v>
      </c>
      <c r="BM3354">
        <v>0</v>
      </c>
      <c r="BP3354">
        <v>0</v>
      </c>
      <c r="BQ3354">
        <v>0</v>
      </c>
      <c r="BX3354" t="str">
        <f>"14:46:13.305"</f>
        <v>14:46:13.305</v>
      </c>
      <c r="BY3354" t="str">
        <f>"307666325"</f>
        <v>307666325</v>
      </c>
      <c r="CL3354">
        <v>0</v>
      </c>
      <c r="CM3354">
        <v>2</v>
      </c>
      <c r="CN3354">
        <v>0</v>
      </c>
      <c r="CO3354">
        <v>2</v>
      </c>
      <c r="CP3354">
        <v>0</v>
      </c>
      <c r="CQ3354">
        <v>5</v>
      </c>
      <c r="CR3354" t="s">
        <v>116</v>
      </c>
      <c r="CS3354">
        <v>409</v>
      </c>
      <c r="CT3354">
        <v>2</v>
      </c>
      <c r="CU3354" t="s">
        <v>5087</v>
      </c>
      <c r="CV3354" t="s">
        <v>5088</v>
      </c>
      <c r="CY3354">
        <v>1074468</v>
      </c>
      <c r="CZ3354" t="s">
        <v>119</v>
      </c>
    </row>
    <row r="3355" spans="1:104" x14ac:dyDescent="0.25">
      <c r="A3355" t="str">
        <f>"14:46:14.398"</f>
        <v>14:46:14.398</v>
      </c>
      <c r="B3355" t="s">
        <v>108</v>
      </c>
      <c r="C3355" t="str">
        <f t="shared" si="157"/>
        <v>ffdfd3c0</v>
      </c>
      <c r="D3355" t="s">
        <v>109</v>
      </c>
      <c r="E3355">
        <v>4</v>
      </c>
      <c r="F3355">
        <v>1004</v>
      </c>
      <c r="G3355" t="s">
        <v>110</v>
      </c>
      <c r="J3355" t="s">
        <v>111</v>
      </c>
      <c r="K3355">
        <v>0</v>
      </c>
      <c r="L3355">
        <v>3</v>
      </c>
      <c r="M3355">
        <v>0</v>
      </c>
      <c r="N3355">
        <v>2</v>
      </c>
      <c r="O3355">
        <v>1</v>
      </c>
      <c r="P3355">
        <v>0</v>
      </c>
      <c r="Q3355">
        <v>0</v>
      </c>
      <c r="R3355" t="s">
        <v>112</v>
      </c>
      <c r="S3355" t="str">
        <f>"14:46:14.227"</f>
        <v>14:46:14.227</v>
      </c>
      <c r="T3355" t="str">
        <f>"14:46:13.828"</f>
        <v>14:46:13.828</v>
      </c>
      <c r="U3355" t="str">
        <f t="shared" si="156"/>
        <v>ad5732</v>
      </c>
      <c r="V3355">
        <v>0</v>
      </c>
      <c r="W3355">
        <v>0</v>
      </c>
      <c r="X3355">
        <v>1</v>
      </c>
      <c r="Z3355">
        <v>0</v>
      </c>
      <c r="AA3355">
        <v>9</v>
      </c>
      <c r="AB3355">
        <v>3</v>
      </c>
      <c r="AC3355">
        <v>0</v>
      </c>
      <c r="AD3355">
        <v>10</v>
      </c>
      <c r="AE3355">
        <v>0</v>
      </c>
      <c r="AF3355">
        <v>3</v>
      </c>
      <c r="AG3355">
        <v>2</v>
      </c>
      <c r="AH3355">
        <v>0</v>
      </c>
      <c r="AI3355" t="s">
        <v>6810</v>
      </c>
      <c r="AJ3355">
        <v>40.380678000000003</v>
      </c>
      <c r="AK3355" t="s">
        <v>6811</v>
      </c>
      <c r="AL3355">
        <v>-74.684800999999993</v>
      </c>
      <c r="AM3355">
        <v>100</v>
      </c>
      <c r="AN3355">
        <v>1600</v>
      </c>
      <c r="AO3355" t="s">
        <v>115</v>
      </c>
      <c r="AP3355">
        <v>160</v>
      </c>
      <c r="AQ3355">
        <v>-17</v>
      </c>
      <c r="AR3355">
        <v>192</v>
      </c>
      <c r="AZ3355">
        <v>3614</v>
      </c>
      <c r="BA3355">
        <v>1</v>
      </c>
      <c r="BB3355" t="str">
        <f t="shared" si="158"/>
        <v xml:space="preserve">N959MJ  </v>
      </c>
      <c r="BC3355">
        <v>1</v>
      </c>
      <c r="BE3355">
        <v>0</v>
      </c>
      <c r="BF3355">
        <v>0</v>
      </c>
      <c r="BG3355">
        <v>0</v>
      </c>
      <c r="BH3355">
        <v>1850</v>
      </c>
      <c r="BI3355">
        <v>250</v>
      </c>
      <c r="BJ3355">
        <v>1</v>
      </c>
      <c r="BK3355">
        <v>1</v>
      </c>
      <c r="BL3355">
        <v>1</v>
      </c>
      <c r="BM3355">
        <v>0</v>
      </c>
      <c r="BP3355">
        <v>0</v>
      </c>
      <c r="BQ3355">
        <v>0</v>
      </c>
      <c r="BX3355" t="str">
        <f>"14:46:14.227"</f>
        <v>14:46:14.227</v>
      </c>
      <c r="BY3355" t="str">
        <f>"226699766"</f>
        <v>226699766</v>
      </c>
      <c r="CL3355">
        <v>0</v>
      </c>
      <c r="CM3355">
        <v>2</v>
      </c>
      <c r="CN3355">
        <v>0</v>
      </c>
      <c r="CO3355">
        <v>2</v>
      </c>
      <c r="CP3355">
        <v>0</v>
      </c>
      <c r="CQ3355">
        <v>7</v>
      </c>
      <c r="CR3355" t="s">
        <v>116</v>
      </c>
      <c r="CS3355">
        <v>38</v>
      </c>
      <c r="CT3355">
        <v>0</v>
      </c>
      <c r="CU3355" t="s">
        <v>4719</v>
      </c>
      <c r="CV3355" t="s">
        <v>4720</v>
      </c>
      <c r="CY3355">
        <v>7744846</v>
      </c>
      <c r="CZ3355" t="s">
        <v>119</v>
      </c>
    </row>
    <row r="3356" spans="1:104" x14ac:dyDescent="0.25">
      <c r="A3356" t="str">
        <f>"14:46:15.508"</f>
        <v>14:46:15.508</v>
      </c>
      <c r="B3356" t="s">
        <v>108</v>
      </c>
      <c r="C3356" t="str">
        <f t="shared" si="157"/>
        <v>ffdfd3c0</v>
      </c>
      <c r="D3356" t="s">
        <v>109</v>
      </c>
      <c r="E3356">
        <v>4</v>
      </c>
      <c r="F3356">
        <v>1004</v>
      </c>
      <c r="G3356" t="s">
        <v>110</v>
      </c>
      <c r="J3356" t="s">
        <v>111</v>
      </c>
      <c r="K3356">
        <v>0</v>
      </c>
      <c r="L3356">
        <v>3</v>
      </c>
      <c r="M3356">
        <v>0</v>
      </c>
      <c r="N3356">
        <v>2</v>
      </c>
      <c r="O3356">
        <v>1</v>
      </c>
      <c r="P3356">
        <v>0</v>
      </c>
      <c r="Q3356">
        <v>0</v>
      </c>
      <c r="R3356" t="s">
        <v>112</v>
      </c>
      <c r="S3356" t="str">
        <f>"14:46:15.289"</f>
        <v>14:46:15.289</v>
      </c>
      <c r="T3356" t="str">
        <f>"14:46:14.891"</f>
        <v>14:46:14.891</v>
      </c>
      <c r="U3356" t="str">
        <f t="shared" si="156"/>
        <v>ad5732</v>
      </c>
      <c r="V3356">
        <v>0</v>
      </c>
      <c r="W3356">
        <v>0</v>
      </c>
      <c r="X3356">
        <v>1</v>
      </c>
      <c r="Z3356">
        <v>0</v>
      </c>
      <c r="AA3356">
        <v>9</v>
      </c>
      <c r="AB3356">
        <v>3</v>
      </c>
      <c r="AC3356">
        <v>0</v>
      </c>
      <c r="AD3356">
        <v>10</v>
      </c>
      <c r="AE3356">
        <v>0</v>
      </c>
      <c r="AF3356">
        <v>3</v>
      </c>
      <c r="AG3356">
        <v>2</v>
      </c>
      <c r="AH3356">
        <v>0</v>
      </c>
      <c r="AI3356" t="s">
        <v>6812</v>
      </c>
      <c r="AJ3356">
        <v>40.380614000000001</v>
      </c>
      <c r="AK3356" t="s">
        <v>6813</v>
      </c>
      <c r="AL3356">
        <v>-74.683878000000007</v>
      </c>
      <c r="AM3356">
        <v>100</v>
      </c>
      <c r="AN3356">
        <v>1600</v>
      </c>
      <c r="AO3356" t="s">
        <v>115</v>
      </c>
      <c r="AP3356">
        <v>159</v>
      </c>
      <c r="AQ3356">
        <v>-17</v>
      </c>
      <c r="AR3356">
        <v>256</v>
      </c>
      <c r="AZ3356">
        <v>3614</v>
      </c>
      <c r="BA3356">
        <v>1</v>
      </c>
      <c r="BB3356" t="str">
        <f t="shared" si="158"/>
        <v xml:space="preserve">N959MJ  </v>
      </c>
      <c r="BC3356">
        <v>1</v>
      </c>
      <c r="BE3356">
        <v>0</v>
      </c>
      <c r="BF3356">
        <v>0</v>
      </c>
      <c r="BG3356">
        <v>0</v>
      </c>
      <c r="BH3356">
        <v>1850</v>
      </c>
      <c r="BI3356">
        <v>250</v>
      </c>
      <c r="BJ3356">
        <v>1</v>
      </c>
      <c r="BK3356">
        <v>1</v>
      </c>
      <c r="BL3356">
        <v>1</v>
      </c>
      <c r="BM3356">
        <v>0</v>
      </c>
      <c r="BP3356">
        <v>0</v>
      </c>
      <c r="BQ3356">
        <v>0</v>
      </c>
      <c r="BX3356" t="str">
        <f>"14:46:15.297"</f>
        <v>14:46:15.297</v>
      </c>
      <c r="BY3356" t="str">
        <f>"293317029"</f>
        <v>293317029</v>
      </c>
      <c r="CL3356">
        <v>0</v>
      </c>
      <c r="CM3356">
        <v>2</v>
      </c>
      <c r="CN3356">
        <v>0</v>
      </c>
      <c r="CO3356">
        <v>2</v>
      </c>
      <c r="CP3356">
        <v>0</v>
      </c>
      <c r="CQ3356">
        <v>7</v>
      </c>
      <c r="CR3356" t="s">
        <v>116</v>
      </c>
      <c r="CS3356">
        <v>38</v>
      </c>
      <c r="CT3356">
        <v>0</v>
      </c>
      <c r="CU3356" t="s">
        <v>4719</v>
      </c>
      <c r="CV3356" t="s">
        <v>4720</v>
      </c>
      <c r="CY3356">
        <v>7746488</v>
      </c>
      <c r="CZ3356" t="s">
        <v>119</v>
      </c>
    </row>
    <row r="3357" spans="1:104" x14ac:dyDescent="0.25">
      <c r="A3357" t="str">
        <f>"14:46:16.313"</f>
        <v>14:46:16.313</v>
      </c>
      <c r="B3357" t="s">
        <v>108</v>
      </c>
      <c r="C3357" t="str">
        <f t="shared" si="157"/>
        <v>ffdfd3c0</v>
      </c>
      <c r="D3357" t="s">
        <v>109</v>
      </c>
      <c r="E3357">
        <v>4</v>
      </c>
      <c r="F3357">
        <v>1004</v>
      </c>
      <c r="G3357" t="s">
        <v>110</v>
      </c>
      <c r="J3357" t="s">
        <v>111</v>
      </c>
      <c r="K3357">
        <v>0</v>
      </c>
      <c r="L3357">
        <v>3</v>
      </c>
      <c r="M3357">
        <v>0</v>
      </c>
      <c r="N3357">
        <v>2</v>
      </c>
      <c r="O3357">
        <v>1</v>
      </c>
      <c r="P3357">
        <v>0</v>
      </c>
      <c r="Q3357">
        <v>0</v>
      </c>
      <c r="R3357" t="s">
        <v>112</v>
      </c>
      <c r="S3357" t="str">
        <f>"14:46:16.125"</f>
        <v>14:46:16.125</v>
      </c>
      <c r="T3357" t="str">
        <f>"14:46:15.727"</f>
        <v>14:46:15.727</v>
      </c>
      <c r="U3357" t="str">
        <f t="shared" si="156"/>
        <v>ad5732</v>
      </c>
      <c r="V3357">
        <v>0</v>
      </c>
      <c r="W3357">
        <v>0</v>
      </c>
      <c r="X3357">
        <v>1</v>
      </c>
      <c r="Z3357">
        <v>0</v>
      </c>
      <c r="AA3357">
        <v>9</v>
      </c>
      <c r="AB3357">
        <v>3</v>
      </c>
      <c r="AC3357">
        <v>0</v>
      </c>
      <c r="AD3357">
        <v>10</v>
      </c>
      <c r="AE3357">
        <v>0</v>
      </c>
      <c r="AF3357">
        <v>3</v>
      </c>
      <c r="AG3357">
        <v>2</v>
      </c>
      <c r="AH3357">
        <v>0</v>
      </c>
      <c r="AI3357" t="s">
        <v>6814</v>
      </c>
      <c r="AJ3357">
        <v>40.380527999999998</v>
      </c>
      <c r="AK3357" t="s">
        <v>6815</v>
      </c>
      <c r="AL3357">
        <v>-74.683042</v>
      </c>
      <c r="AM3357">
        <v>100</v>
      </c>
      <c r="AN3357">
        <v>1600</v>
      </c>
      <c r="AO3357" t="s">
        <v>115</v>
      </c>
      <c r="AP3357">
        <v>158</v>
      </c>
      <c r="AQ3357">
        <v>-17</v>
      </c>
      <c r="AR3357">
        <v>192</v>
      </c>
      <c r="AZ3357">
        <v>3614</v>
      </c>
      <c r="BA3357">
        <v>1</v>
      </c>
      <c r="BB3357" t="str">
        <f t="shared" si="158"/>
        <v xml:space="preserve">N959MJ  </v>
      </c>
      <c r="BC3357">
        <v>1</v>
      </c>
      <c r="BE3357">
        <v>0</v>
      </c>
      <c r="BF3357">
        <v>0</v>
      </c>
      <c r="BG3357">
        <v>0</v>
      </c>
      <c r="BH3357">
        <v>1850</v>
      </c>
      <c r="BI3357">
        <v>250</v>
      </c>
      <c r="BJ3357">
        <v>1</v>
      </c>
      <c r="BK3357">
        <v>1</v>
      </c>
      <c r="BL3357">
        <v>1</v>
      </c>
      <c r="BM3357">
        <v>0</v>
      </c>
      <c r="BP3357">
        <v>0</v>
      </c>
      <c r="BQ3357">
        <v>0</v>
      </c>
      <c r="BX3357" t="str">
        <f>"14:46:16.133"</f>
        <v>14:46:16.133</v>
      </c>
      <c r="BY3357" t="str">
        <f>"130554297"</f>
        <v>130554297</v>
      </c>
      <c r="CL3357">
        <v>0</v>
      </c>
      <c r="CM3357">
        <v>2</v>
      </c>
      <c r="CN3357">
        <v>0</v>
      </c>
      <c r="CO3357">
        <v>2</v>
      </c>
      <c r="CP3357">
        <v>0</v>
      </c>
      <c r="CQ3357">
        <v>7</v>
      </c>
      <c r="CR3357" t="s">
        <v>116</v>
      </c>
      <c r="CS3357">
        <v>38</v>
      </c>
      <c r="CT3357">
        <v>0</v>
      </c>
      <c r="CU3357" t="s">
        <v>4719</v>
      </c>
      <c r="CV3357" t="s">
        <v>4720</v>
      </c>
      <c r="CY3357">
        <v>7747689</v>
      </c>
      <c r="CZ3357" t="s">
        <v>119</v>
      </c>
    </row>
    <row r="3358" spans="1:104" x14ac:dyDescent="0.25">
      <c r="A3358" t="str">
        <f>"14:46:17.172"</f>
        <v>14:46:17.172</v>
      </c>
      <c r="B3358" t="s">
        <v>108</v>
      </c>
      <c r="C3358" t="str">
        <f t="shared" si="157"/>
        <v>ffdfd3c0</v>
      </c>
      <c r="D3358" t="s">
        <v>109</v>
      </c>
      <c r="E3358">
        <v>4</v>
      </c>
      <c r="F3358">
        <v>1004</v>
      </c>
      <c r="G3358" t="s">
        <v>110</v>
      </c>
      <c r="J3358" t="s">
        <v>111</v>
      </c>
      <c r="K3358">
        <v>0</v>
      </c>
      <c r="L3358">
        <v>3</v>
      </c>
      <c r="M3358">
        <v>0</v>
      </c>
      <c r="N3358">
        <v>2</v>
      </c>
      <c r="O3358">
        <v>1</v>
      </c>
      <c r="P3358">
        <v>0</v>
      </c>
      <c r="Q3358">
        <v>0</v>
      </c>
      <c r="R3358" t="s">
        <v>112</v>
      </c>
      <c r="S3358" t="str">
        <f>"14:46:16.969"</f>
        <v>14:46:16.969</v>
      </c>
      <c r="T3358" t="str">
        <f>"14:46:16.570"</f>
        <v>14:46:16.570</v>
      </c>
      <c r="U3358" t="str">
        <f t="shared" si="156"/>
        <v>ad5732</v>
      </c>
      <c r="V3358">
        <v>0</v>
      </c>
      <c r="W3358">
        <v>0</v>
      </c>
      <c r="X3358">
        <v>1</v>
      </c>
      <c r="Z3358">
        <v>0</v>
      </c>
      <c r="AA3358">
        <v>9</v>
      </c>
      <c r="AB3358">
        <v>3</v>
      </c>
      <c r="AC3358">
        <v>0</v>
      </c>
      <c r="AD3358">
        <v>10</v>
      </c>
      <c r="AE3358">
        <v>0</v>
      </c>
      <c r="AF3358">
        <v>3</v>
      </c>
      <c r="AG3358">
        <v>2</v>
      </c>
      <c r="AH3358">
        <v>0</v>
      </c>
      <c r="AI3358" t="s">
        <v>6816</v>
      </c>
      <c r="AJ3358">
        <v>40.380485</v>
      </c>
      <c r="AK3358" t="s">
        <v>6817</v>
      </c>
      <c r="AL3358">
        <v>-74.682248000000001</v>
      </c>
      <c r="AM3358">
        <v>100</v>
      </c>
      <c r="AN3358">
        <v>1600</v>
      </c>
      <c r="AO3358" t="s">
        <v>115</v>
      </c>
      <c r="AP3358">
        <v>158</v>
      </c>
      <c r="AQ3358">
        <v>-17</v>
      </c>
      <c r="AR3358">
        <v>128</v>
      </c>
      <c r="AZ3358">
        <v>3614</v>
      </c>
      <c r="BA3358">
        <v>1</v>
      </c>
      <c r="BB3358" t="str">
        <f t="shared" si="158"/>
        <v xml:space="preserve">N959MJ  </v>
      </c>
      <c r="BC3358">
        <v>1</v>
      </c>
      <c r="BE3358">
        <v>0</v>
      </c>
      <c r="BF3358">
        <v>0</v>
      </c>
      <c r="BG3358">
        <v>0</v>
      </c>
      <c r="BH3358">
        <v>1850</v>
      </c>
      <c r="BI3358">
        <v>250</v>
      </c>
      <c r="BJ3358">
        <v>1</v>
      </c>
      <c r="BK3358">
        <v>1</v>
      </c>
      <c r="BL3358">
        <v>1</v>
      </c>
      <c r="BM3358">
        <v>0</v>
      </c>
      <c r="BP3358">
        <v>0</v>
      </c>
      <c r="BQ3358">
        <v>0</v>
      </c>
      <c r="BX3358" t="str">
        <f>"14:46:16.977"</f>
        <v>14:46:16.977</v>
      </c>
      <c r="BY3358" t="str">
        <f>"972706743"</f>
        <v>972706743</v>
      </c>
      <c r="CL3358">
        <v>0</v>
      </c>
      <c r="CM3358">
        <v>2</v>
      </c>
      <c r="CN3358">
        <v>0</v>
      </c>
      <c r="CO3358">
        <v>2</v>
      </c>
      <c r="CP3358">
        <v>0</v>
      </c>
      <c r="CQ3358">
        <v>7</v>
      </c>
      <c r="CR3358" t="s">
        <v>116</v>
      </c>
      <c r="CS3358">
        <v>38</v>
      </c>
      <c r="CT3358">
        <v>0</v>
      </c>
      <c r="CU3358" t="s">
        <v>4719</v>
      </c>
      <c r="CV3358" t="s">
        <v>4720</v>
      </c>
      <c r="CY3358">
        <v>7748909</v>
      </c>
      <c r="CZ3358" t="s">
        <v>119</v>
      </c>
    </row>
    <row r="3359" spans="1:104" x14ac:dyDescent="0.25">
      <c r="A3359" t="str">
        <f>"14:46:18.836"</f>
        <v>14:46:18.836</v>
      </c>
      <c r="B3359" t="s">
        <v>108</v>
      </c>
      <c r="C3359" t="str">
        <f t="shared" si="157"/>
        <v>ffdfd3c0</v>
      </c>
      <c r="D3359" t="s">
        <v>109</v>
      </c>
      <c r="E3359">
        <v>4</v>
      </c>
      <c r="F3359">
        <v>1004</v>
      </c>
      <c r="G3359" t="s">
        <v>110</v>
      </c>
      <c r="J3359" t="s">
        <v>111</v>
      </c>
      <c r="K3359">
        <v>0</v>
      </c>
      <c r="L3359">
        <v>3</v>
      </c>
      <c r="M3359">
        <v>0</v>
      </c>
      <c r="N3359">
        <v>2</v>
      </c>
      <c r="O3359">
        <v>1</v>
      </c>
      <c r="P3359">
        <v>0</v>
      </c>
      <c r="Q3359">
        <v>0</v>
      </c>
      <c r="R3359" t="s">
        <v>112</v>
      </c>
      <c r="S3359" t="str">
        <f>"14:46:18.664"</f>
        <v>14:46:18.664</v>
      </c>
      <c r="T3359" t="str">
        <f>"14:46:18.164"</f>
        <v>14:46:18.164</v>
      </c>
      <c r="U3359" t="str">
        <f t="shared" si="156"/>
        <v>ad5732</v>
      </c>
      <c r="V3359">
        <v>0</v>
      </c>
      <c r="W3359">
        <v>0</v>
      </c>
      <c r="X3359">
        <v>1</v>
      </c>
      <c r="Z3359">
        <v>0</v>
      </c>
      <c r="AA3359">
        <v>9</v>
      </c>
      <c r="AB3359">
        <v>3</v>
      </c>
      <c r="AC3359">
        <v>0</v>
      </c>
      <c r="AD3359">
        <v>10</v>
      </c>
      <c r="AE3359">
        <v>0</v>
      </c>
      <c r="AF3359">
        <v>3</v>
      </c>
      <c r="AG3359">
        <v>2</v>
      </c>
      <c r="AH3359">
        <v>0</v>
      </c>
      <c r="AI3359" t="s">
        <v>6818</v>
      </c>
      <c r="AJ3359">
        <v>40.380335000000002</v>
      </c>
      <c r="AK3359" t="s">
        <v>6819</v>
      </c>
      <c r="AL3359">
        <v>-74.680616999999998</v>
      </c>
      <c r="AM3359">
        <v>100</v>
      </c>
      <c r="AN3359">
        <v>1600</v>
      </c>
      <c r="AO3359" t="s">
        <v>115</v>
      </c>
      <c r="AP3359">
        <v>157</v>
      </c>
      <c r="AQ3359">
        <v>-17</v>
      </c>
      <c r="AR3359">
        <v>64</v>
      </c>
      <c r="AZ3359">
        <v>3614</v>
      </c>
      <c r="BA3359">
        <v>1</v>
      </c>
      <c r="BB3359" t="str">
        <f t="shared" si="158"/>
        <v xml:space="preserve">N959MJ  </v>
      </c>
      <c r="BC3359">
        <v>1</v>
      </c>
      <c r="BE3359">
        <v>0</v>
      </c>
      <c r="BF3359">
        <v>0</v>
      </c>
      <c r="BG3359">
        <v>0</v>
      </c>
      <c r="BH3359">
        <v>1850</v>
      </c>
      <c r="BI3359">
        <v>250</v>
      </c>
      <c r="BJ3359">
        <v>1</v>
      </c>
      <c r="BK3359">
        <v>1</v>
      </c>
      <c r="BL3359">
        <v>1</v>
      </c>
      <c r="BM3359">
        <v>0</v>
      </c>
      <c r="BP3359">
        <v>0</v>
      </c>
      <c r="BQ3359">
        <v>0</v>
      </c>
      <c r="BX3359" t="str">
        <f>"14:46:18.672"</f>
        <v>14:46:18.672</v>
      </c>
      <c r="BY3359" t="str">
        <f>"668480798"</f>
        <v>668480798</v>
      </c>
      <c r="CL3359">
        <v>0</v>
      </c>
      <c r="CM3359">
        <v>2</v>
      </c>
      <c r="CN3359">
        <v>0</v>
      </c>
      <c r="CO3359">
        <v>2</v>
      </c>
      <c r="CP3359">
        <v>0</v>
      </c>
      <c r="CQ3359">
        <v>7</v>
      </c>
      <c r="CR3359" t="s">
        <v>116</v>
      </c>
      <c r="CS3359">
        <v>38</v>
      </c>
      <c r="CT3359">
        <v>0</v>
      </c>
      <c r="CU3359" t="s">
        <v>4719</v>
      </c>
      <c r="CV3359" t="s">
        <v>4720</v>
      </c>
      <c r="CY3359">
        <v>7751661</v>
      </c>
      <c r="CZ3359" t="s">
        <v>119</v>
      </c>
    </row>
    <row r="3360" spans="1:104" x14ac:dyDescent="0.25">
      <c r="A3360" t="str">
        <f>"14:46:19.898"</f>
        <v>14:46:19.898</v>
      </c>
      <c r="B3360" t="s">
        <v>108</v>
      </c>
      <c r="C3360" t="str">
        <f t="shared" si="157"/>
        <v>ffdfd3c0</v>
      </c>
      <c r="D3360" t="s">
        <v>109</v>
      </c>
      <c r="E3360">
        <v>4</v>
      </c>
      <c r="F3360">
        <v>1004</v>
      </c>
      <c r="G3360" t="s">
        <v>110</v>
      </c>
      <c r="J3360" t="s">
        <v>111</v>
      </c>
      <c r="K3360">
        <v>0</v>
      </c>
      <c r="L3360">
        <v>3</v>
      </c>
      <c r="M3360">
        <v>0</v>
      </c>
      <c r="N3360">
        <v>2</v>
      </c>
      <c r="O3360">
        <v>1</v>
      </c>
      <c r="P3360">
        <v>0</v>
      </c>
      <c r="Q3360">
        <v>0</v>
      </c>
      <c r="R3360" t="s">
        <v>112</v>
      </c>
      <c r="S3360" t="str">
        <f>"14:46:19.695"</f>
        <v>14:46:19.695</v>
      </c>
      <c r="T3360" t="str">
        <f>"14:46:19.195"</f>
        <v>14:46:19.195</v>
      </c>
      <c r="U3360" t="str">
        <f t="shared" si="156"/>
        <v>ad5732</v>
      </c>
      <c r="V3360">
        <v>0</v>
      </c>
      <c r="W3360">
        <v>0</v>
      </c>
      <c r="X3360">
        <v>1</v>
      </c>
      <c r="Z3360">
        <v>0</v>
      </c>
      <c r="AA3360">
        <v>9</v>
      </c>
      <c r="AB3360">
        <v>3</v>
      </c>
      <c r="AC3360">
        <v>0</v>
      </c>
      <c r="AD3360">
        <v>10</v>
      </c>
      <c r="AE3360">
        <v>0</v>
      </c>
      <c r="AF3360">
        <v>3</v>
      </c>
      <c r="AG3360">
        <v>2</v>
      </c>
      <c r="AH3360">
        <v>0</v>
      </c>
      <c r="AI3360" t="s">
        <v>6820</v>
      </c>
      <c r="AJ3360">
        <v>40.380248999999999</v>
      </c>
      <c r="AK3360" t="s">
        <v>6821</v>
      </c>
      <c r="AL3360">
        <v>-74.679693999999998</v>
      </c>
      <c r="AM3360">
        <v>100</v>
      </c>
      <c r="AN3360">
        <v>1600</v>
      </c>
      <c r="AO3360" t="s">
        <v>115</v>
      </c>
      <c r="AP3360">
        <v>157</v>
      </c>
      <c r="AQ3360">
        <v>-17</v>
      </c>
      <c r="AR3360">
        <v>64</v>
      </c>
      <c r="AZ3360">
        <v>3614</v>
      </c>
      <c r="BA3360">
        <v>1</v>
      </c>
      <c r="BB3360" t="str">
        <f t="shared" si="158"/>
        <v xml:space="preserve">N959MJ  </v>
      </c>
      <c r="BC3360">
        <v>1</v>
      </c>
      <c r="BE3360">
        <v>0</v>
      </c>
      <c r="BF3360">
        <v>0</v>
      </c>
      <c r="BG3360">
        <v>0</v>
      </c>
      <c r="BH3360">
        <v>1850</v>
      </c>
      <c r="BI3360">
        <v>250</v>
      </c>
      <c r="BJ3360">
        <v>1</v>
      </c>
      <c r="BK3360">
        <v>1</v>
      </c>
      <c r="BL3360">
        <v>1</v>
      </c>
      <c r="BM3360">
        <v>0</v>
      </c>
      <c r="BP3360">
        <v>0</v>
      </c>
      <c r="BQ3360">
        <v>0</v>
      </c>
      <c r="BX3360" t="str">
        <f>"14:46:19.695"</f>
        <v>14:46:19.695</v>
      </c>
      <c r="BY3360" t="str">
        <f>"697539564"</f>
        <v>697539564</v>
      </c>
      <c r="CL3360">
        <v>0</v>
      </c>
      <c r="CM3360">
        <v>2</v>
      </c>
      <c r="CN3360">
        <v>0</v>
      </c>
      <c r="CO3360">
        <v>2</v>
      </c>
      <c r="CP3360">
        <v>0</v>
      </c>
      <c r="CQ3360">
        <v>5</v>
      </c>
      <c r="CR3360" t="s">
        <v>116</v>
      </c>
      <c r="CS3360">
        <v>305</v>
      </c>
      <c r="CT3360">
        <v>3</v>
      </c>
      <c r="CU3360" t="s">
        <v>6425</v>
      </c>
      <c r="CV3360" t="s">
        <v>6426</v>
      </c>
      <c r="CY3360">
        <v>5517609</v>
      </c>
      <c r="CZ3360" t="s">
        <v>119</v>
      </c>
    </row>
    <row r="3361" spans="1:104" x14ac:dyDescent="0.25">
      <c r="A3361" t="str">
        <f>"14:46:20.906"</f>
        <v>14:46:20.906</v>
      </c>
      <c r="B3361" t="s">
        <v>108</v>
      </c>
      <c r="C3361" t="str">
        <f t="shared" si="157"/>
        <v>ffdfd3c0</v>
      </c>
      <c r="D3361" t="s">
        <v>109</v>
      </c>
      <c r="E3361">
        <v>4</v>
      </c>
      <c r="F3361">
        <v>1004</v>
      </c>
      <c r="G3361" t="s">
        <v>110</v>
      </c>
      <c r="J3361" t="s">
        <v>111</v>
      </c>
      <c r="K3361">
        <v>0</v>
      </c>
      <c r="L3361">
        <v>3</v>
      </c>
      <c r="M3361">
        <v>0</v>
      </c>
      <c r="N3361">
        <v>2</v>
      </c>
      <c r="O3361">
        <v>1</v>
      </c>
      <c r="P3361">
        <v>0</v>
      </c>
      <c r="Q3361">
        <v>0</v>
      </c>
      <c r="R3361" t="s">
        <v>112</v>
      </c>
      <c r="S3361" t="str">
        <f>"14:46:20.711"</f>
        <v>14:46:20.711</v>
      </c>
      <c r="T3361" t="str">
        <f>"14:46:20.313"</f>
        <v>14:46:20.313</v>
      </c>
      <c r="U3361" t="str">
        <f t="shared" si="156"/>
        <v>ad5732</v>
      </c>
      <c r="V3361">
        <v>0</v>
      </c>
      <c r="W3361">
        <v>0</v>
      </c>
      <c r="X3361">
        <v>1</v>
      </c>
      <c r="Z3361">
        <v>0</v>
      </c>
      <c r="AA3361">
        <v>9</v>
      </c>
      <c r="AB3361">
        <v>3</v>
      </c>
      <c r="AC3361">
        <v>0</v>
      </c>
      <c r="AD3361">
        <v>10</v>
      </c>
      <c r="AE3361">
        <v>0</v>
      </c>
      <c r="AF3361">
        <v>3</v>
      </c>
      <c r="AG3361">
        <v>2</v>
      </c>
      <c r="AH3361">
        <v>0</v>
      </c>
      <c r="AI3361" t="s">
        <v>6822</v>
      </c>
      <c r="AJ3361">
        <v>40.380163000000003</v>
      </c>
      <c r="AK3361" t="s">
        <v>6823</v>
      </c>
      <c r="AL3361">
        <v>-74.678749999999994</v>
      </c>
      <c r="AM3361">
        <v>100</v>
      </c>
      <c r="AN3361">
        <v>1600</v>
      </c>
      <c r="AO3361" t="s">
        <v>115</v>
      </c>
      <c r="AP3361">
        <v>156</v>
      </c>
      <c r="AQ3361">
        <v>-17</v>
      </c>
      <c r="AR3361">
        <v>0</v>
      </c>
      <c r="AZ3361">
        <v>3614</v>
      </c>
      <c r="BA3361">
        <v>1</v>
      </c>
      <c r="BB3361" t="str">
        <f t="shared" si="158"/>
        <v xml:space="preserve">N959MJ  </v>
      </c>
      <c r="BC3361">
        <v>1</v>
      </c>
      <c r="BE3361">
        <v>0</v>
      </c>
      <c r="BF3361">
        <v>0</v>
      </c>
      <c r="BG3361">
        <v>0</v>
      </c>
      <c r="BH3361">
        <v>1850</v>
      </c>
      <c r="BI3361">
        <v>250</v>
      </c>
      <c r="BJ3361">
        <v>1</v>
      </c>
      <c r="BK3361">
        <v>1</v>
      </c>
      <c r="BL3361">
        <v>1</v>
      </c>
      <c r="BM3361">
        <v>0</v>
      </c>
      <c r="BP3361">
        <v>0</v>
      </c>
      <c r="BQ3361">
        <v>0</v>
      </c>
      <c r="BX3361" t="str">
        <f>"14:46:20.719"</f>
        <v>14:46:20.719</v>
      </c>
      <c r="BY3361" t="str">
        <f>"716517084"</f>
        <v>716517084</v>
      </c>
      <c r="CL3361">
        <v>0</v>
      </c>
      <c r="CM3361">
        <v>2</v>
      </c>
      <c r="CN3361">
        <v>0</v>
      </c>
      <c r="CO3361">
        <v>2</v>
      </c>
      <c r="CP3361">
        <v>0</v>
      </c>
      <c r="CQ3361">
        <v>7</v>
      </c>
      <c r="CR3361" t="s">
        <v>116</v>
      </c>
      <c r="CS3361">
        <v>38</v>
      </c>
      <c r="CT3361">
        <v>0</v>
      </c>
      <c r="CU3361" t="s">
        <v>4719</v>
      </c>
      <c r="CV3361" t="s">
        <v>4720</v>
      </c>
      <c r="CY3361">
        <v>7754765</v>
      </c>
      <c r="CZ3361" t="s">
        <v>119</v>
      </c>
    </row>
    <row r="3362" spans="1:104" x14ac:dyDescent="0.25">
      <c r="A3362" t="str">
        <f>"14:46:21.969"</f>
        <v>14:46:21.969</v>
      </c>
      <c r="B3362" t="s">
        <v>108</v>
      </c>
      <c r="C3362" t="str">
        <f t="shared" si="157"/>
        <v>ffdfd3c0</v>
      </c>
      <c r="D3362" t="s">
        <v>109</v>
      </c>
      <c r="E3362">
        <v>4</v>
      </c>
      <c r="F3362">
        <v>1004</v>
      </c>
      <c r="G3362" t="s">
        <v>110</v>
      </c>
      <c r="J3362" t="s">
        <v>111</v>
      </c>
      <c r="K3362">
        <v>0</v>
      </c>
      <c r="L3362">
        <v>3</v>
      </c>
      <c r="M3362">
        <v>0</v>
      </c>
      <c r="N3362">
        <v>2</v>
      </c>
      <c r="O3362">
        <v>1</v>
      </c>
      <c r="P3362">
        <v>0</v>
      </c>
      <c r="Q3362">
        <v>0</v>
      </c>
      <c r="R3362" t="s">
        <v>112</v>
      </c>
      <c r="S3362" t="str">
        <f>"14:46:21.766"</f>
        <v>14:46:21.766</v>
      </c>
      <c r="T3362" t="str">
        <f>"14:46:21.367"</f>
        <v>14:46:21.367</v>
      </c>
      <c r="U3362" t="str">
        <f t="shared" si="156"/>
        <v>ad5732</v>
      </c>
      <c r="V3362">
        <v>0</v>
      </c>
      <c r="W3362">
        <v>0</v>
      </c>
      <c r="X3362">
        <v>1</v>
      </c>
      <c r="Z3362">
        <v>0</v>
      </c>
      <c r="AA3362">
        <v>9</v>
      </c>
      <c r="AB3362">
        <v>3</v>
      </c>
      <c r="AC3362">
        <v>0</v>
      </c>
      <c r="AD3362">
        <v>10</v>
      </c>
      <c r="AE3362">
        <v>0</v>
      </c>
      <c r="AF3362">
        <v>3</v>
      </c>
      <c r="AG3362">
        <v>2</v>
      </c>
      <c r="AH3362">
        <v>0</v>
      </c>
      <c r="AI3362" t="s">
        <v>6824</v>
      </c>
      <c r="AJ3362">
        <v>40.380119999999998</v>
      </c>
      <c r="AK3362" t="s">
        <v>6825</v>
      </c>
      <c r="AL3362">
        <v>-74.677741999999995</v>
      </c>
      <c r="AM3362">
        <v>100</v>
      </c>
      <c r="AN3362">
        <v>1600</v>
      </c>
      <c r="AO3362" t="s">
        <v>115</v>
      </c>
      <c r="AP3362">
        <v>156</v>
      </c>
      <c r="AQ3362">
        <v>-17</v>
      </c>
      <c r="AR3362">
        <v>-64</v>
      </c>
      <c r="AZ3362">
        <v>3614</v>
      </c>
      <c r="BA3362">
        <v>1</v>
      </c>
      <c r="BB3362" t="str">
        <f t="shared" si="158"/>
        <v xml:space="preserve">N959MJ  </v>
      </c>
      <c r="BC3362">
        <v>1</v>
      </c>
      <c r="BE3362">
        <v>0</v>
      </c>
      <c r="BF3362">
        <v>0</v>
      </c>
      <c r="BG3362">
        <v>0</v>
      </c>
      <c r="BH3362">
        <v>1850</v>
      </c>
      <c r="BI3362">
        <v>250</v>
      </c>
      <c r="BJ3362">
        <v>1</v>
      </c>
      <c r="BK3362">
        <v>1</v>
      </c>
      <c r="BL3362">
        <v>1</v>
      </c>
      <c r="BM3362">
        <v>0</v>
      </c>
      <c r="BP3362">
        <v>0</v>
      </c>
      <c r="BQ3362">
        <v>0</v>
      </c>
      <c r="BX3362" t="str">
        <f>"14:46:21.773"</f>
        <v>14:46:21.773</v>
      </c>
      <c r="BY3362" t="str">
        <f>"770026871"</f>
        <v>770026871</v>
      </c>
      <c r="CL3362">
        <v>0</v>
      </c>
      <c r="CM3362">
        <v>2</v>
      </c>
      <c r="CN3362">
        <v>0</v>
      </c>
      <c r="CO3362">
        <v>2</v>
      </c>
      <c r="CP3362">
        <v>0</v>
      </c>
      <c r="CQ3362">
        <v>7</v>
      </c>
      <c r="CR3362" t="s">
        <v>116</v>
      </c>
      <c r="CS3362">
        <v>38</v>
      </c>
      <c r="CT3362">
        <v>0</v>
      </c>
      <c r="CU3362" t="s">
        <v>4719</v>
      </c>
      <c r="CV3362" t="s">
        <v>4720</v>
      </c>
      <c r="CY3362">
        <v>7756373</v>
      </c>
      <c r="CZ3362" t="s">
        <v>119</v>
      </c>
    </row>
    <row r="3363" spans="1:104" x14ac:dyDescent="0.25">
      <c r="A3363" t="str">
        <f>"14:46:22.875"</f>
        <v>14:46:22.875</v>
      </c>
      <c r="B3363" t="s">
        <v>108</v>
      </c>
      <c r="C3363" t="str">
        <f t="shared" si="157"/>
        <v>ffdfd3c0</v>
      </c>
      <c r="D3363" t="s">
        <v>109</v>
      </c>
      <c r="E3363">
        <v>4</v>
      </c>
      <c r="F3363">
        <v>1004</v>
      </c>
      <c r="G3363" t="s">
        <v>110</v>
      </c>
      <c r="J3363" t="s">
        <v>111</v>
      </c>
      <c r="K3363">
        <v>0</v>
      </c>
      <c r="L3363">
        <v>3</v>
      </c>
      <c r="M3363">
        <v>0</v>
      </c>
      <c r="N3363">
        <v>2</v>
      </c>
      <c r="O3363">
        <v>1</v>
      </c>
      <c r="P3363">
        <v>0</v>
      </c>
      <c r="Q3363">
        <v>0</v>
      </c>
      <c r="R3363" t="s">
        <v>112</v>
      </c>
      <c r="S3363" t="str">
        <f>"14:46:22.688"</f>
        <v>14:46:22.688</v>
      </c>
      <c r="T3363" t="str">
        <f>"14:46:22.289"</f>
        <v>14:46:22.289</v>
      </c>
      <c r="U3363" t="str">
        <f t="shared" si="156"/>
        <v>ad5732</v>
      </c>
      <c r="V3363">
        <v>0</v>
      </c>
      <c r="W3363">
        <v>0</v>
      </c>
      <c r="X3363">
        <v>1</v>
      </c>
      <c r="Z3363">
        <v>0</v>
      </c>
      <c r="AA3363">
        <v>9</v>
      </c>
      <c r="AB3363">
        <v>3</v>
      </c>
      <c r="AC3363">
        <v>0</v>
      </c>
      <c r="AD3363">
        <v>10</v>
      </c>
      <c r="AE3363">
        <v>0</v>
      </c>
      <c r="AF3363">
        <v>3</v>
      </c>
      <c r="AG3363">
        <v>2</v>
      </c>
      <c r="AH3363">
        <v>0</v>
      </c>
      <c r="AI3363" t="s">
        <v>6826</v>
      </c>
      <c r="AJ3363">
        <v>40.380012999999998</v>
      </c>
      <c r="AK3363" t="s">
        <v>6827</v>
      </c>
      <c r="AL3363">
        <v>-74.676883000000004</v>
      </c>
      <c r="AM3363">
        <v>100</v>
      </c>
      <c r="AN3363">
        <v>1600</v>
      </c>
      <c r="AO3363" t="s">
        <v>115</v>
      </c>
      <c r="AP3363">
        <v>156</v>
      </c>
      <c r="AQ3363">
        <v>-17</v>
      </c>
      <c r="AR3363">
        <v>0</v>
      </c>
      <c r="AZ3363">
        <v>3614</v>
      </c>
      <c r="BA3363">
        <v>1</v>
      </c>
      <c r="BB3363" t="str">
        <f t="shared" si="158"/>
        <v xml:space="preserve">N959MJ  </v>
      </c>
      <c r="BC3363">
        <v>1</v>
      </c>
      <c r="BE3363">
        <v>0</v>
      </c>
      <c r="BF3363">
        <v>0</v>
      </c>
      <c r="BG3363">
        <v>0</v>
      </c>
      <c r="BH3363">
        <v>1850</v>
      </c>
      <c r="BI3363">
        <v>250</v>
      </c>
      <c r="BJ3363">
        <v>1</v>
      </c>
      <c r="BK3363">
        <v>1</v>
      </c>
      <c r="BL3363">
        <v>1</v>
      </c>
      <c r="BM3363">
        <v>0</v>
      </c>
      <c r="BP3363">
        <v>0</v>
      </c>
      <c r="BQ3363">
        <v>0</v>
      </c>
      <c r="BX3363" t="str">
        <f>"14:46:22.688"</f>
        <v>14:46:22.688</v>
      </c>
      <c r="BY3363" t="str">
        <f>"690823917"</f>
        <v>690823917</v>
      </c>
      <c r="CL3363">
        <v>0</v>
      </c>
      <c r="CM3363">
        <v>2</v>
      </c>
      <c r="CN3363">
        <v>0</v>
      </c>
      <c r="CO3363">
        <v>2</v>
      </c>
      <c r="CP3363">
        <v>0</v>
      </c>
      <c r="CQ3363">
        <v>7</v>
      </c>
      <c r="CR3363" t="s">
        <v>116</v>
      </c>
      <c r="CS3363">
        <v>38</v>
      </c>
      <c r="CT3363">
        <v>0</v>
      </c>
      <c r="CU3363" t="s">
        <v>4719</v>
      </c>
      <c r="CV3363" t="s">
        <v>4720</v>
      </c>
      <c r="CY3363">
        <v>7757755</v>
      </c>
      <c r="CZ3363" t="s">
        <v>119</v>
      </c>
    </row>
    <row r="3364" spans="1:104" x14ac:dyDescent="0.25">
      <c r="A3364" t="str">
        <f>"14:46:23.891"</f>
        <v>14:46:23.891</v>
      </c>
      <c r="B3364" t="s">
        <v>108</v>
      </c>
      <c r="C3364" t="str">
        <f t="shared" si="157"/>
        <v>ffdfd3c0</v>
      </c>
      <c r="D3364" t="s">
        <v>109</v>
      </c>
      <c r="E3364">
        <v>4</v>
      </c>
      <c r="F3364">
        <v>1004</v>
      </c>
      <c r="G3364" t="s">
        <v>110</v>
      </c>
      <c r="J3364" t="s">
        <v>111</v>
      </c>
      <c r="K3364">
        <v>0</v>
      </c>
      <c r="L3364">
        <v>3</v>
      </c>
      <c r="M3364">
        <v>0</v>
      </c>
      <c r="N3364">
        <v>2</v>
      </c>
      <c r="O3364">
        <v>1</v>
      </c>
      <c r="P3364">
        <v>0</v>
      </c>
      <c r="Q3364">
        <v>0</v>
      </c>
      <c r="R3364" t="s">
        <v>112</v>
      </c>
      <c r="S3364" t="str">
        <f>"14:46:23.711"</f>
        <v>14:46:23.711</v>
      </c>
      <c r="T3364" t="str">
        <f>"14:46:23.211"</f>
        <v>14:46:23.211</v>
      </c>
      <c r="U3364" t="str">
        <f t="shared" si="156"/>
        <v>ad5732</v>
      </c>
      <c r="V3364">
        <v>0</v>
      </c>
      <c r="W3364">
        <v>0</v>
      </c>
      <c r="X3364">
        <v>1</v>
      </c>
      <c r="Z3364">
        <v>0</v>
      </c>
      <c r="AA3364">
        <v>9</v>
      </c>
      <c r="AB3364">
        <v>3</v>
      </c>
      <c r="AC3364">
        <v>0</v>
      </c>
      <c r="AD3364">
        <v>10</v>
      </c>
      <c r="AE3364">
        <v>0</v>
      </c>
      <c r="AF3364">
        <v>3</v>
      </c>
      <c r="AG3364">
        <v>2</v>
      </c>
      <c r="AH3364">
        <v>0</v>
      </c>
      <c r="AI3364" t="s">
        <v>6150</v>
      </c>
      <c r="AJ3364">
        <v>40.379927000000002</v>
      </c>
      <c r="AK3364" t="s">
        <v>6828</v>
      </c>
      <c r="AL3364">
        <v>-74.675939</v>
      </c>
      <c r="AM3364">
        <v>100</v>
      </c>
      <c r="AN3364">
        <v>1600</v>
      </c>
      <c r="AO3364" t="s">
        <v>115</v>
      </c>
      <c r="AP3364">
        <v>155</v>
      </c>
      <c r="AQ3364">
        <v>-17</v>
      </c>
      <c r="AR3364">
        <v>0</v>
      </c>
      <c r="AZ3364">
        <v>3614</v>
      </c>
      <c r="BA3364">
        <v>1</v>
      </c>
      <c r="BB3364" t="str">
        <f t="shared" si="158"/>
        <v xml:space="preserve">N959MJ  </v>
      </c>
      <c r="BC3364">
        <v>1</v>
      </c>
      <c r="BE3364">
        <v>0</v>
      </c>
      <c r="BF3364">
        <v>0</v>
      </c>
      <c r="BG3364">
        <v>0</v>
      </c>
      <c r="BH3364">
        <v>1850</v>
      </c>
      <c r="BI3364">
        <v>250</v>
      </c>
      <c r="BJ3364">
        <v>1</v>
      </c>
      <c r="BK3364">
        <v>1</v>
      </c>
      <c r="BL3364">
        <v>1</v>
      </c>
      <c r="BM3364">
        <v>0</v>
      </c>
      <c r="BP3364">
        <v>0</v>
      </c>
      <c r="BQ3364">
        <v>0</v>
      </c>
      <c r="BX3364" t="str">
        <f>"14:46:23.719"</f>
        <v>14:46:23.719</v>
      </c>
      <c r="BY3364" t="str">
        <f>"718118895"</f>
        <v>718118895</v>
      </c>
      <c r="CL3364">
        <v>0</v>
      </c>
      <c r="CM3364">
        <v>2</v>
      </c>
      <c r="CN3364">
        <v>0</v>
      </c>
      <c r="CO3364">
        <v>2</v>
      </c>
      <c r="CP3364">
        <v>0</v>
      </c>
      <c r="CQ3364">
        <v>7</v>
      </c>
      <c r="CR3364" t="s">
        <v>116</v>
      </c>
      <c r="CS3364">
        <v>38</v>
      </c>
      <c r="CT3364">
        <v>0</v>
      </c>
      <c r="CU3364" t="s">
        <v>4719</v>
      </c>
      <c r="CV3364" t="s">
        <v>4720</v>
      </c>
      <c r="CY3364">
        <v>7759360</v>
      </c>
      <c r="CZ3364" t="s">
        <v>119</v>
      </c>
    </row>
    <row r="3365" spans="1:104" x14ac:dyDescent="0.25">
      <c r="A3365" t="str">
        <f>"14:46:24.898"</f>
        <v>14:46:24.898</v>
      </c>
      <c r="B3365" t="s">
        <v>108</v>
      </c>
      <c r="C3365" t="str">
        <f t="shared" si="157"/>
        <v>ffdfd3c0</v>
      </c>
      <c r="D3365" t="s">
        <v>109</v>
      </c>
      <c r="E3365">
        <v>4</v>
      </c>
      <c r="F3365">
        <v>1004</v>
      </c>
      <c r="G3365" t="s">
        <v>110</v>
      </c>
      <c r="J3365" t="s">
        <v>111</v>
      </c>
      <c r="K3365">
        <v>0</v>
      </c>
      <c r="L3365">
        <v>3</v>
      </c>
      <c r="M3365">
        <v>0</v>
      </c>
      <c r="N3365">
        <v>2</v>
      </c>
      <c r="O3365">
        <v>1</v>
      </c>
      <c r="P3365">
        <v>0</v>
      </c>
      <c r="Q3365">
        <v>0</v>
      </c>
      <c r="R3365" t="s">
        <v>112</v>
      </c>
      <c r="S3365" t="str">
        <f>"14:46:24.703"</f>
        <v>14:46:24.703</v>
      </c>
      <c r="T3365" t="str">
        <f>"14:46:24.203"</f>
        <v>14:46:24.203</v>
      </c>
      <c r="U3365" t="str">
        <f t="shared" si="156"/>
        <v>ad5732</v>
      </c>
      <c r="V3365">
        <v>0</v>
      </c>
      <c r="W3365">
        <v>0</v>
      </c>
      <c r="X3365">
        <v>1</v>
      </c>
      <c r="Z3365">
        <v>0</v>
      </c>
      <c r="AA3365">
        <v>9</v>
      </c>
      <c r="AB3365">
        <v>3</v>
      </c>
      <c r="AC3365">
        <v>0</v>
      </c>
      <c r="AD3365">
        <v>10</v>
      </c>
      <c r="AE3365">
        <v>0</v>
      </c>
      <c r="AF3365">
        <v>3</v>
      </c>
      <c r="AG3365">
        <v>2</v>
      </c>
      <c r="AH3365">
        <v>0</v>
      </c>
      <c r="AI3365" t="s">
        <v>6829</v>
      </c>
      <c r="AJ3365">
        <v>40.379883999999997</v>
      </c>
      <c r="AK3365" t="s">
        <v>6830</v>
      </c>
      <c r="AL3365">
        <v>-74.675015999999999</v>
      </c>
      <c r="AM3365">
        <v>100</v>
      </c>
      <c r="AN3365">
        <v>1600</v>
      </c>
      <c r="AO3365" t="s">
        <v>115</v>
      </c>
      <c r="AP3365">
        <v>155</v>
      </c>
      <c r="AQ3365">
        <v>-17</v>
      </c>
      <c r="AR3365">
        <v>-64</v>
      </c>
      <c r="AZ3365">
        <v>3614</v>
      </c>
      <c r="BA3365">
        <v>1</v>
      </c>
      <c r="BB3365" t="str">
        <f t="shared" si="158"/>
        <v xml:space="preserve">N959MJ  </v>
      </c>
      <c r="BC3365">
        <v>1</v>
      </c>
      <c r="BE3365">
        <v>0</v>
      </c>
      <c r="BF3365">
        <v>0</v>
      </c>
      <c r="BG3365">
        <v>0</v>
      </c>
      <c r="BH3365">
        <v>1850</v>
      </c>
      <c r="BI3365">
        <v>250</v>
      </c>
      <c r="BJ3365">
        <v>1</v>
      </c>
      <c r="BK3365">
        <v>1</v>
      </c>
      <c r="BL3365">
        <v>1</v>
      </c>
      <c r="BM3365">
        <v>0</v>
      </c>
      <c r="BP3365">
        <v>0</v>
      </c>
      <c r="BQ3365">
        <v>0</v>
      </c>
      <c r="BX3365" t="str">
        <f>"14:46:24.711"</f>
        <v>14:46:24.711</v>
      </c>
      <c r="BY3365" t="str">
        <f>"707730054"</f>
        <v>707730054</v>
      </c>
      <c r="CL3365">
        <v>0</v>
      </c>
      <c r="CM3365">
        <v>2</v>
      </c>
      <c r="CN3365">
        <v>0</v>
      </c>
      <c r="CO3365">
        <v>2</v>
      </c>
      <c r="CP3365">
        <v>0</v>
      </c>
      <c r="CQ3365">
        <v>7</v>
      </c>
      <c r="CR3365" t="s">
        <v>116</v>
      </c>
      <c r="CS3365">
        <v>38</v>
      </c>
      <c r="CT3365">
        <v>0</v>
      </c>
      <c r="CU3365" t="s">
        <v>4719</v>
      </c>
      <c r="CV3365" t="s">
        <v>4720</v>
      </c>
      <c r="CY3365">
        <v>7760880</v>
      </c>
      <c r="CZ3365" t="s">
        <v>119</v>
      </c>
    </row>
    <row r="3366" spans="1:104" x14ac:dyDescent="0.25">
      <c r="A3366" t="str">
        <f>"14:46:26.008"</f>
        <v>14:46:26.008</v>
      </c>
      <c r="B3366" t="s">
        <v>108</v>
      </c>
      <c r="C3366" t="str">
        <f t="shared" si="157"/>
        <v>ffdfd3c0</v>
      </c>
      <c r="D3366" t="s">
        <v>109</v>
      </c>
      <c r="E3366">
        <v>4</v>
      </c>
      <c r="F3366">
        <v>1004</v>
      </c>
      <c r="G3366" t="s">
        <v>110</v>
      </c>
      <c r="J3366" t="s">
        <v>111</v>
      </c>
      <c r="K3366">
        <v>0</v>
      </c>
      <c r="L3366">
        <v>3</v>
      </c>
      <c r="M3366">
        <v>0</v>
      </c>
      <c r="N3366">
        <v>2</v>
      </c>
      <c r="O3366">
        <v>1</v>
      </c>
      <c r="P3366">
        <v>0</v>
      </c>
      <c r="Q3366">
        <v>0</v>
      </c>
      <c r="R3366" t="s">
        <v>112</v>
      </c>
      <c r="S3366" t="str">
        <f>"14:46:25.813"</f>
        <v>14:46:25.813</v>
      </c>
      <c r="T3366" t="str">
        <f>"14:46:25.313"</f>
        <v>14:46:25.313</v>
      </c>
      <c r="U3366" t="str">
        <f t="shared" si="156"/>
        <v>ad5732</v>
      </c>
      <c r="V3366">
        <v>0</v>
      </c>
      <c r="W3366">
        <v>0</v>
      </c>
      <c r="X3366">
        <v>1</v>
      </c>
      <c r="Z3366">
        <v>0</v>
      </c>
      <c r="AA3366">
        <v>9</v>
      </c>
      <c r="AB3366">
        <v>3</v>
      </c>
      <c r="AC3366">
        <v>0</v>
      </c>
      <c r="AD3366">
        <v>10</v>
      </c>
      <c r="AE3366">
        <v>0</v>
      </c>
      <c r="AF3366">
        <v>3</v>
      </c>
      <c r="AG3366">
        <v>2</v>
      </c>
      <c r="AH3366">
        <v>0</v>
      </c>
      <c r="AI3366" t="s">
        <v>6831</v>
      </c>
      <c r="AJ3366">
        <v>40.379798000000001</v>
      </c>
      <c r="AK3366" t="s">
        <v>6832</v>
      </c>
      <c r="AL3366">
        <v>-74.673944000000006</v>
      </c>
      <c r="AM3366">
        <v>100</v>
      </c>
      <c r="AN3366">
        <v>1600</v>
      </c>
      <c r="AO3366" t="s">
        <v>115</v>
      </c>
      <c r="AP3366">
        <v>155</v>
      </c>
      <c r="AQ3366">
        <v>-16</v>
      </c>
      <c r="AR3366">
        <v>0</v>
      </c>
      <c r="AZ3366">
        <v>3614</v>
      </c>
      <c r="BA3366">
        <v>1</v>
      </c>
      <c r="BB3366" t="str">
        <f t="shared" si="158"/>
        <v xml:space="preserve">N959MJ  </v>
      </c>
      <c r="BC3366">
        <v>1</v>
      </c>
      <c r="BE3366">
        <v>0</v>
      </c>
      <c r="BF3366">
        <v>0</v>
      </c>
      <c r="BG3366">
        <v>0</v>
      </c>
      <c r="BH3366">
        <v>1850</v>
      </c>
      <c r="BI3366">
        <v>250</v>
      </c>
      <c r="BJ3366">
        <v>1</v>
      </c>
      <c r="BK3366">
        <v>1</v>
      </c>
      <c r="BL3366">
        <v>1</v>
      </c>
      <c r="BM3366">
        <v>0</v>
      </c>
      <c r="BP3366">
        <v>0</v>
      </c>
      <c r="BQ3366">
        <v>0</v>
      </c>
      <c r="BX3366" t="str">
        <f>"14:46:25.820"</f>
        <v>14:46:25.820</v>
      </c>
      <c r="BY3366" t="str">
        <f>"818584862"</f>
        <v>818584862</v>
      </c>
      <c r="CL3366">
        <v>0</v>
      </c>
      <c r="CM3366">
        <v>2</v>
      </c>
      <c r="CN3366">
        <v>0</v>
      </c>
      <c r="CO3366">
        <v>2</v>
      </c>
      <c r="CP3366">
        <v>0</v>
      </c>
      <c r="CQ3366">
        <v>7</v>
      </c>
      <c r="CR3366" t="s">
        <v>116</v>
      </c>
      <c r="CS3366">
        <v>38</v>
      </c>
      <c r="CT3366">
        <v>0</v>
      </c>
      <c r="CU3366" t="s">
        <v>4719</v>
      </c>
      <c r="CV3366" t="s">
        <v>4720</v>
      </c>
      <c r="CY3366">
        <v>7762534</v>
      </c>
      <c r="CZ3366" t="s">
        <v>119</v>
      </c>
    </row>
    <row r="3367" spans="1:104" x14ac:dyDescent="0.25">
      <c r="A3367" t="str">
        <f>"14:46:26.867"</f>
        <v>14:46:26.867</v>
      </c>
      <c r="B3367" t="s">
        <v>108</v>
      </c>
      <c r="C3367" t="str">
        <f t="shared" si="157"/>
        <v>ffdfd3c0</v>
      </c>
      <c r="D3367" t="s">
        <v>109</v>
      </c>
      <c r="E3367">
        <v>4</v>
      </c>
      <c r="F3367">
        <v>1004</v>
      </c>
      <c r="G3367" t="s">
        <v>110</v>
      </c>
      <c r="J3367" t="s">
        <v>111</v>
      </c>
      <c r="K3367">
        <v>0</v>
      </c>
      <c r="L3367">
        <v>3</v>
      </c>
      <c r="M3367">
        <v>0</v>
      </c>
      <c r="N3367">
        <v>2</v>
      </c>
      <c r="O3367">
        <v>1</v>
      </c>
      <c r="P3367">
        <v>0</v>
      </c>
      <c r="Q3367">
        <v>0</v>
      </c>
      <c r="R3367" t="s">
        <v>112</v>
      </c>
      <c r="S3367" t="str">
        <f>"14:46:26.703"</f>
        <v>14:46:26.703</v>
      </c>
      <c r="T3367" t="str">
        <f>"14:46:26.305"</f>
        <v>14:46:26.305</v>
      </c>
      <c r="U3367" t="str">
        <f t="shared" si="156"/>
        <v>ad5732</v>
      </c>
      <c r="V3367">
        <v>0</v>
      </c>
      <c r="W3367">
        <v>0</v>
      </c>
      <c r="X3367">
        <v>1</v>
      </c>
      <c r="Z3367">
        <v>0</v>
      </c>
      <c r="AA3367">
        <v>9</v>
      </c>
      <c r="AB3367">
        <v>3</v>
      </c>
      <c r="AC3367">
        <v>0</v>
      </c>
      <c r="AD3367">
        <v>10</v>
      </c>
      <c r="AE3367">
        <v>0</v>
      </c>
      <c r="AF3367">
        <v>3</v>
      </c>
      <c r="AG3367">
        <v>2</v>
      </c>
      <c r="AH3367">
        <v>0</v>
      </c>
      <c r="AI3367" t="s">
        <v>6833</v>
      </c>
      <c r="AJ3367">
        <v>40.379733999999999</v>
      </c>
      <c r="AK3367" t="s">
        <v>6834</v>
      </c>
      <c r="AL3367">
        <v>-74.673128000000005</v>
      </c>
      <c r="AM3367">
        <v>100</v>
      </c>
      <c r="AN3367">
        <v>1600</v>
      </c>
      <c r="AO3367" t="s">
        <v>115</v>
      </c>
      <c r="AP3367">
        <v>154</v>
      </c>
      <c r="AQ3367">
        <v>-16</v>
      </c>
      <c r="AR3367">
        <v>0</v>
      </c>
      <c r="AZ3367">
        <v>3614</v>
      </c>
      <c r="BA3367">
        <v>1</v>
      </c>
      <c r="BB3367" t="str">
        <f t="shared" si="158"/>
        <v xml:space="preserve">N959MJ  </v>
      </c>
      <c r="BC3367">
        <v>1</v>
      </c>
      <c r="BE3367">
        <v>0</v>
      </c>
      <c r="BF3367">
        <v>0</v>
      </c>
      <c r="BG3367">
        <v>0</v>
      </c>
      <c r="BH3367">
        <v>1850</v>
      </c>
      <c r="BI3367">
        <v>250</v>
      </c>
      <c r="BJ3367">
        <v>1</v>
      </c>
      <c r="BK3367">
        <v>1</v>
      </c>
      <c r="BL3367">
        <v>1</v>
      </c>
      <c r="BM3367">
        <v>0</v>
      </c>
      <c r="BP3367">
        <v>0</v>
      </c>
      <c r="BQ3367">
        <v>0</v>
      </c>
      <c r="BX3367" t="str">
        <f>"14:46:26.711"</f>
        <v>14:46:26.711</v>
      </c>
      <c r="BY3367" t="str">
        <f>"708251799"</f>
        <v>708251799</v>
      </c>
      <c r="CL3367">
        <v>0</v>
      </c>
      <c r="CM3367">
        <v>2</v>
      </c>
      <c r="CN3367">
        <v>0</v>
      </c>
      <c r="CO3367">
        <v>2</v>
      </c>
      <c r="CP3367">
        <v>0</v>
      </c>
      <c r="CQ3367">
        <v>7</v>
      </c>
      <c r="CR3367" t="s">
        <v>116</v>
      </c>
      <c r="CS3367">
        <v>38</v>
      </c>
      <c r="CT3367">
        <v>0</v>
      </c>
      <c r="CU3367" t="s">
        <v>4719</v>
      </c>
      <c r="CV3367" t="s">
        <v>4720</v>
      </c>
      <c r="CY3367">
        <v>7763908</v>
      </c>
      <c r="CZ3367" t="s">
        <v>119</v>
      </c>
    </row>
    <row r="3368" spans="1:104" x14ac:dyDescent="0.25">
      <c r="A3368" t="str">
        <f>"14:46:27.977"</f>
        <v>14:46:27.977</v>
      </c>
      <c r="B3368" t="s">
        <v>108</v>
      </c>
      <c r="C3368" t="str">
        <f t="shared" si="157"/>
        <v>ffdfd3c0</v>
      </c>
      <c r="D3368" t="s">
        <v>109</v>
      </c>
      <c r="E3368">
        <v>4</v>
      </c>
      <c r="F3368">
        <v>1004</v>
      </c>
      <c r="G3368" t="s">
        <v>110</v>
      </c>
      <c r="J3368" t="s">
        <v>111</v>
      </c>
      <c r="K3368">
        <v>0</v>
      </c>
      <c r="L3368">
        <v>3</v>
      </c>
      <c r="M3368">
        <v>0</v>
      </c>
      <c r="N3368">
        <v>2</v>
      </c>
      <c r="O3368">
        <v>1</v>
      </c>
      <c r="P3368">
        <v>0</v>
      </c>
      <c r="Q3368">
        <v>0</v>
      </c>
      <c r="R3368" t="s">
        <v>112</v>
      </c>
      <c r="S3368" t="str">
        <f>"14:46:27.773"</f>
        <v>14:46:27.773</v>
      </c>
      <c r="T3368" t="str">
        <f>"14:46:27.273"</f>
        <v>14:46:27.273</v>
      </c>
      <c r="U3368" t="str">
        <f t="shared" si="156"/>
        <v>ad5732</v>
      </c>
      <c r="V3368">
        <v>0</v>
      </c>
      <c r="W3368">
        <v>0</v>
      </c>
      <c r="X3368">
        <v>1</v>
      </c>
      <c r="Z3368">
        <v>0</v>
      </c>
      <c r="AA3368">
        <v>9</v>
      </c>
      <c r="AB3368">
        <v>3</v>
      </c>
      <c r="AC3368">
        <v>0</v>
      </c>
      <c r="AD3368">
        <v>10</v>
      </c>
      <c r="AE3368">
        <v>0</v>
      </c>
      <c r="AF3368">
        <v>3</v>
      </c>
      <c r="AG3368">
        <v>2</v>
      </c>
      <c r="AH3368">
        <v>0</v>
      </c>
      <c r="AI3368" t="s">
        <v>6835</v>
      </c>
      <c r="AJ3368">
        <v>40.379648000000003</v>
      </c>
      <c r="AK3368" t="s">
        <v>6836</v>
      </c>
      <c r="AL3368">
        <v>-74.672055</v>
      </c>
      <c r="AM3368">
        <v>100</v>
      </c>
      <c r="AN3368">
        <v>1600</v>
      </c>
      <c r="AO3368" t="s">
        <v>115</v>
      </c>
      <c r="AP3368">
        <v>154</v>
      </c>
      <c r="AQ3368">
        <v>-16</v>
      </c>
      <c r="AR3368">
        <v>-64</v>
      </c>
      <c r="AZ3368">
        <v>3614</v>
      </c>
      <c r="BA3368">
        <v>1</v>
      </c>
      <c r="BB3368" t="str">
        <f t="shared" si="158"/>
        <v xml:space="preserve">N959MJ  </v>
      </c>
      <c r="BC3368">
        <v>1</v>
      </c>
      <c r="BE3368">
        <v>0</v>
      </c>
      <c r="BF3368">
        <v>0</v>
      </c>
      <c r="BG3368">
        <v>0</v>
      </c>
      <c r="BH3368">
        <v>1850</v>
      </c>
      <c r="BI3368">
        <v>250</v>
      </c>
      <c r="BJ3368">
        <v>1</v>
      </c>
      <c r="BK3368">
        <v>1</v>
      </c>
      <c r="BL3368">
        <v>1</v>
      </c>
      <c r="BM3368">
        <v>0</v>
      </c>
      <c r="BP3368">
        <v>0</v>
      </c>
      <c r="BQ3368">
        <v>0</v>
      </c>
      <c r="BX3368" t="str">
        <f>"14:46:27.781"</f>
        <v>14:46:27.781</v>
      </c>
      <c r="BY3368" t="str">
        <f>"778145943"</f>
        <v>778145943</v>
      </c>
      <c r="CL3368">
        <v>0</v>
      </c>
      <c r="CM3368">
        <v>2</v>
      </c>
      <c r="CN3368">
        <v>0</v>
      </c>
      <c r="CO3368">
        <v>2</v>
      </c>
      <c r="CP3368">
        <v>0</v>
      </c>
      <c r="CQ3368">
        <v>7</v>
      </c>
      <c r="CR3368" t="s">
        <v>116</v>
      </c>
      <c r="CS3368">
        <v>38</v>
      </c>
      <c r="CT3368">
        <v>0</v>
      </c>
      <c r="CU3368" t="s">
        <v>4719</v>
      </c>
      <c r="CV3368" t="s">
        <v>4720</v>
      </c>
      <c r="CY3368">
        <v>7765551</v>
      </c>
      <c r="CZ3368" t="s">
        <v>119</v>
      </c>
    </row>
    <row r="3369" spans="1:104" x14ac:dyDescent="0.25">
      <c r="A3369" t="str">
        <f>"14:46:28.984"</f>
        <v>14:46:28.984</v>
      </c>
      <c r="B3369" t="s">
        <v>108</v>
      </c>
      <c r="C3369" t="str">
        <f t="shared" si="157"/>
        <v>ffdfd3c0</v>
      </c>
      <c r="D3369" t="s">
        <v>109</v>
      </c>
      <c r="E3369">
        <v>4</v>
      </c>
      <c r="F3369">
        <v>1004</v>
      </c>
      <c r="G3369" t="s">
        <v>110</v>
      </c>
      <c r="J3369" t="s">
        <v>111</v>
      </c>
      <c r="K3369">
        <v>0</v>
      </c>
      <c r="L3369">
        <v>3</v>
      </c>
      <c r="M3369">
        <v>0</v>
      </c>
      <c r="N3369">
        <v>2</v>
      </c>
      <c r="O3369">
        <v>1</v>
      </c>
      <c r="P3369">
        <v>0</v>
      </c>
      <c r="Q3369">
        <v>0</v>
      </c>
      <c r="R3369" t="s">
        <v>112</v>
      </c>
      <c r="S3369" t="str">
        <f>"14:46:28.797"</f>
        <v>14:46:28.797</v>
      </c>
      <c r="T3369" t="str">
        <f>"14:46:28.398"</f>
        <v>14:46:28.398</v>
      </c>
      <c r="U3369" t="str">
        <f t="shared" si="156"/>
        <v>ad5732</v>
      </c>
      <c r="V3369">
        <v>0</v>
      </c>
      <c r="W3369">
        <v>0</v>
      </c>
      <c r="X3369">
        <v>1</v>
      </c>
      <c r="Z3369">
        <v>0</v>
      </c>
      <c r="AA3369">
        <v>9</v>
      </c>
      <c r="AB3369">
        <v>3</v>
      </c>
      <c r="AC3369">
        <v>0</v>
      </c>
      <c r="AD3369">
        <v>10</v>
      </c>
      <c r="AE3369">
        <v>0</v>
      </c>
      <c r="AF3369">
        <v>3</v>
      </c>
      <c r="AG3369">
        <v>2</v>
      </c>
      <c r="AH3369">
        <v>0</v>
      </c>
      <c r="AI3369" t="s">
        <v>6837</v>
      </c>
      <c r="AJ3369">
        <v>40.379562</v>
      </c>
      <c r="AK3369" t="s">
        <v>6838</v>
      </c>
      <c r="AL3369">
        <v>-74.671132999999998</v>
      </c>
      <c r="AM3369">
        <v>100</v>
      </c>
      <c r="AN3369">
        <v>1600</v>
      </c>
      <c r="AO3369" t="s">
        <v>115</v>
      </c>
      <c r="AP3369">
        <v>154</v>
      </c>
      <c r="AQ3369">
        <v>-16</v>
      </c>
      <c r="AR3369">
        <v>-64</v>
      </c>
      <c r="AZ3369">
        <v>3614</v>
      </c>
      <c r="BA3369">
        <v>1</v>
      </c>
      <c r="BB3369" t="str">
        <f t="shared" si="158"/>
        <v xml:space="preserve">N959MJ  </v>
      </c>
      <c r="BC3369">
        <v>1</v>
      </c>
      <c r="BE3369">
        <v>0</v>
      </c>
      <c r="BF3369">
        <v>0</v>
      </c>
      <c r="BG3369">
        <v>0</v>
      </c>
      <c r="BH3369">
        <v>1850</v>
      </c>
      <c r="BI3369">
        <v>250</v>
      </c>
      <c r="BJ3369">
        <v>1</v>
      </c>
      <c r="BK3369">
        <v>1</v>
      </c>
      <c r="BL3369">
        <v>1</v>
      </c>
      <c r="BM3369">
        <v>0</v>
      </c>
      <c r="BP3369">
        <v>0</v>
      </c>
      <c r="BQ3369">
        <v>0</v>
      </c>
      <c r="BX3369" t="str">
        <f>"14:46:28.797"</f>
        <v>14:46:28.797</v>
      </c>
      <c r="BY3369" t="str">
        <f>"800525641"</f>
        <v>800525641</v>
      </c>
      <c r="CL3369">
        <v>0</v>
      </c>
      <c r="CM3369">
        <v>2</v>
      </c>
      <c r="CN3369">
        <v>0</v>
      </c>
      <c r="CO3369">
        <v>2</v>
      </c>
      <c r="CP3369">
        <v>0</v>
      </c>
      <c r="CQ3369">
        <v>7</v>
      </c>
      <c r="CR3369" t="s">
        <v>116</v>
      </c>
      <c r="CS3369">
        <v>38</v>
      </c>
      <c r="CT3369">
        <v>0</v>
      </c>
      <c r="CU3369" t="s">
        <v>4719</v>
      </c>
      <c r="CV3369" t="s">
        <v>4720</v>
      </c>
      <c r="CY3369">
        <v>7767153</v>
      </c>
      <c r="CZ3369" t="s">
        <v>119</v>
      </c>
    </row>
    <row r="3370" spans="1:104" x14ac:dyDescent="0.25">
      <c r="A3370" t="str">
        <f>"14:46:30.148"</f>
        <v>14:46:30.148</v>
      </c>
      <c r="B3370" t="s">
        <v>108</v>
      </c>
      <c r="C3370" t="str">
        <f t="shared" si="157"/>
        <v>ffdfd3c0</v>
      </c>
      <c r="D3370" t="s">
        <v>109</v>
      </c>
      <c r="E3370">
        <v>4</v>
      </c>
      <c r="F3370">
        <v>1004</v>
      </c>
      <c r="G3370" t="s">
        <v>110</v>
      </c>
      <c r="J3370" t="s">
        <v>111</v>
      </c>
      <c r="K3370">
        <v>0</v>
      </c>
      <c r="L3370">
        <v>3</v>
      </c>
      <c r="M3370">
        <v>0</v>
      </c>
      <c r="N3370">
        <v>2</v>
      </c>
      <c r="O3370">
        <v>1</v>
      </c>
      <c r="P3370">
        <v>0</v>
      </c>
      <c r="Q3370">
        <v>0</v>
      </c>
      <c r="R3370" t="s">
        <v>112</v>
      </c>
      <c r="S3370" t="str">
        <f>"14:46:29.977"</f>
        <v>14:46:29.977</v>
      </c>
      <c r="T3370" t="str">
        <f>"14:46:29.477"</f>
        <v>14:46:29.477</v>
      </c>
      <c r="U3370" t="str">
        <f t="shared" si="156"/>
        <v>ad5732</v>
      </c>
      <c r="V3370">
        <v>0</v>
      </c>
      <c r="W3370">
        <v>0</v>
      </c>
      <c r="X3370">
        <v>1</v>
      </c>
      <c r="Z3370">
        <v>0</v>
      </c>
      <c r="AA3370">
        <v>9</v>
      </c>
      <c r="AB3370">
        <v>3</v>
      </c>
      <c r="AC3370">
        <v>0</v>
      </c>
      <c r="AD3370">
        <v>10</v>
      </c>
      <c r="AE3370">
        <v>0</v>
      </c>
      <c r="AF3370">
        <v>3</v>
      </c>
      <c r="AG3370">
        <v>2</v>
      </c>
      <c r="AH3370">
        <v>0</v>
      </c>
      <c r="AI3370" t="s">
        <v>6839</v>
      </c>
      <c r="AJ3370">
        <v>40.379477000000001</v>
      </c>
      <c r="AK3370" t="s">
        <v>6840</v>
      </c>
      <c r="AL3370">
        <v>-74.670038000000005</v>
      </c>
      <c r="AM3370">
        <v>100</v>
      </c>
      <c r="AN3370">
        <v>1600</v>
      </c>
      <c r="AO3370" t="s">
        <v>115</v>
      </c>
      <c r="AP3370">
        <v>153</v>
      </c>
      <c r="AQ3370">
        <v>-16</v>
      </c>
      <c r="AR3370">
        <v>-64</v>
      </c>
      <c r="AZ3370">
        <v>3614</v>
      </c>
      <c r="BA3370">
        <v>1</v>
      </c>
      <c r="BB3370" t="str">
        <f t="shared" si="158"/>
        <v xml:space="preserve">N959MJ  </v>
      </c>
      <c r="BC3370">
        <v>1</v>
      </c>
      <c r="BE3370">
        <v>0</v>
      </c>
      <c r="BF3370">
        <v>0</v>
      </c>
      <c r="BG3370">
        <v>0</v>
      </c>
      <c r="BH3370">
        <v>1850</v>
      </c>
      <c r="BI3370">
        <v>250</v>
      </c>
      <c r="BJ3370">
        <v>1</v>
      </c>
      <c r="BK3370">
        <v>1</v>
      </c>
      <c r="BL3370">
        <v>1</v>
      </c>
      <c r="BM3370">
        <v>0</v>
      </c>
      <c r="BP3370">
        <v>0</v>
      </c>
      <c r="BQ3370">
        <v>0</v>
      </c>
      <c r="BX3370" t="str">
        <f>"14:46:29.984"</f>
        <v>14:46:29.984</v>
      </c>
      <c r="BY3370" t="str">
        <f>"983596658"</f>
        <v>983596658</v>
      </c>
      <c r="CL3370">
        <v>0</v>
      </c>
      <c r="CM3370">
        <v>2</v>
      </c>
      <c r="CN3370">
        <v>0</v>
      </c>
      <c r="CO3370">
        <v>2</v>
      </c>
      <c r="CP3370">
        <v>0</v>
      </c>
      <c r="CQ3370">
        <v>5</v>
      </c>
      <c r="CR3370" t="s">
        <v>116</v>
      </c>
      <c r="CS3370">
        <v>409</v>
      </c>
      <c r="CT3370">
        <v>1</v>
      </c>
      <c r="CU3370" t="s">
        <v>5087</v>
      </c>
      <c r="CV3370" t="s">
        <v>5088</v>
      </c>
      <c r="CY3370">
        <v>4104563</v>
      </c>
      <c r="CZ3370" t="s">
        <v>119</v>
      </c>
    </row>
    <row r="3371" spans="1:104" x14ac:dyDescent="0.25">
      <c r="A3371" t="str">
        <f>"14:46:31.156"</f>
        <v>14:46:31.156</v>
      </c>
      <c r="B3371" t="s">
        <v>108</v>
      </c>
      <c r="C3371" t="str">
        <f t="shared" si="157"/>
        <v>ffdfd3c0</v>
      </c>
      <c r="D3371" t="s">
        <v>109</v>
      </c>
      <c r="E3371">
        <v>4</v>
      </c>
      <c r="F3371">
        <v>1004</v>
      </c>
      <c r="G3371" t="s">
        <v>110</v>
      </c>
      <c r="J3371" t="s">
        <v>111</v>
      </c>
      <c r="K3371">
        <v>0</v>
      </c>
      <c r="L3371">
        <v>3</v>
      </c>
      <c r="M3371">
        <v>0</v>
      </c>
      <c r="N3371">
        <v>2</v>
      </c>
      <c r="O3371">
        <v>1</v>
      </c>
      <c r="P3371">
        <v>0</v>
      </c>
      <c r="Q3371">
        <v>0</v>
      </c>
      <c r="R3371" t="s">
        <v>112</v>
      </c>
      <c r="S3371" t="str">
        <f>"14:46:30.992"</f>
        <v>14:46:30.992</v>
      </c>
      <c r="T3371" t="str">
        <f>"14:46:30.492"</f>
        <v>14:46:30.492</v>
      </c>
      <c r="U3371" t="str">
        <f t="shared" si="156"/>
        <v>ad5732</v>
      </c>
      <c r="V3371">
        <v>0</v>
      </c>
      <c r="W3371">
        <v>0</v>
      </c>
      <c r="X3371">
        <v>1</v>
      </c>
      <c r="Z3371">
        <v>0</v>
      </c>
      <c r="AA3371">
        <v>9</v>
      </c>
      <c r="AB3371">
        <v>3</v>
      </c>
      <c r="AC3371">
        <v>0</v>
      </c>
      <c r="AD3371">
        <v>10</v>
      </c>
      <c r="AE3371">
        <v>0</v>
      </c>
      <c r="AF3371">
        <v>3</v>
      </c>
      <c r="AG3371">
        <v>2</v>
      </c>
      <c r="AH3371">
        <v>0</v>
      </c>
      <c r="AI3371" t="s">
        <v>6841</v>
      </c>
      <c r="AJ3371">
        <v>40.379434000000003</v>
      </c>
      <c r="AK3371" t="s">
        <v>6842</v>
      </c>
      <c r="AL3371">
        <v>-74.669137000000006</v>
      </c>
      <c r="AM3371">
        <v>100</v>
      </c>
      <c r="AN3371">
        <v>1600</v>
      </c>
      <c r="AO3371" t="s">
        <v>115</v>
      </c>
      <c r="AP3371">
        <v>153</v>
      </c>
      <c r="AQ3371">
        <v>-16</v>
      </c>
      <c r="AR3371">
        <v>-128</v>
      </c>
      <c r="AZ3371">
        <v>3614</v>
      </c>
      <c r="BA3371">
        <v>1</v>
      </c>
      <c r="BB3371" t="str">
        <f t="shared" si="158"/>
        <v xml:space="preserve">N959MJ  </v>
      </c>
      <c r="BC3371">
        <v>1</v>
      </c>
      <c r="BE3371">
        <v>0</v>
      </c>
      <c r="BF3371">
        <v>0</v>
      </c>
      <c r="BG3371">
        <v>0</v>
      </c>
      <c r="BH3371">
        <v>1850</v>
      </c>
      <c r="BI3371">
        <v>250</v>
      </c>
      <c r="BJ3371">
        <v>1</v>
      </c>
      <c r="BK3371">
        <v>1</v>
      </c>
      <c r="BL3371">
        <v>1</v>
      </c>
      <c r="BM3371">
        <v>0</v>
      </c>
      <c r="BP3371">
        <v>0</v>
      </c>
      <c r="BQ3371">
        <v>0</v>
      </c>
      <c r="BX3371" t="str">
        <f>"14:46:30.992"</f>
        <v>14:46:30.992</v>
      </c>
      <c r="BY3371" t="str">
        <f>"992743648"</f>
        <v>992743648</v>
      </c>
      <c r="CL3371">
        <v>0</v>
      </c>
      <c r="CM3371">
        <v>2</v>
      </c>
      <c r="CN3371">
        <v>0</v>
      </c>
      <c r="CO3371">
        <v>2</v>
      </c>
      <c r="CP3371">
        <v>0</v>
      </c>
      <c r="CQ3371">
        <v>0</v>
      </c>
      <c r="CR3371" t="s">
        <v>116</v>
      </c>
      <c r="CS3371">
        <v>38</v>
      </c>
      <c r="CT3371">
        <v>0</v>
      </c>
      <c r="CU3371" t="s">
        <v>4719</v>
      </c>
      <c r="CV3371" t="s">
        <v>4720</v>
      </c>
      <c r="CY3371">
        <v>7770422</v>
      </c>
      <c r="CZ3371" t="s">
        <v>119</v>
      </c>
    </row>
    <row r="3372" spans="1:104" x14ac:dyDescent="0.25">
      <c r="A3372" t="str">
        <f>"14:46:32.320"</f>
        <v>14:46:32.320</v>
      </c>
      <c r="B3372" t="s">
        <v>108</v>
      </c>
      <c r="C3372" t="str">
        <f t="shared" si="157"/>
        <v>ffdfd3c0</v>
      </c>
      <c r="D3372" t="s">
        <v>109</v>
      </c>
      <c r="E3372">
        <v>4</v>
      </c>
      <c r="F3372">
        <v>1004</v>
      </c>
      <c r="G3372" t="s">
        <v>110</v>
      </c>
      <c r="J3372" t="s">
        <v>111</v>
      </c>
      <c r="K3372">
        <v>0</v>
      </c>
      <c r="L3372">
        <v>3</v>
      </c>
      <c r="M3372">
        <v>0</v>
      </c>
      <c r="N3372">
        <v>2</v>
      </c>
      <c r="O3372">
        <v>1</v>
      </c>
      <c r="P3372">
        <v>0</v>
      </c>
      <c r="Q3372">
        <v>0</v>
      </c>
      <c r="R3372" t="s">
        <v>112</v>
      </c>
      <c r="S3372" t="str">
        <f>"14:46:32.133"</f>
        <v>14:46:32.133</v>
      </c>
      <c r="T3372" t="str">
        <f>"14:46:31.633"</f>
        <v>14:46:31.633</v>
      </c>
      <c r="U3372" t="str">
        <f t="shared" si="156"/>
        <v>ad5732</v>
      </c>
      <c r="V3372">
        <v>0</v>
      </c>
      <c r="W3372">
        <v>0</v>
      </c>
      <c r="X3372">
        <v>1</v>
      </c>
      <c r="Z3372">
        <v>0</v>
      </c>
      <c r="AA3372">
        <v>9</v>
      </c>
      <c r="AB3372">
        <v>3</v>
      </c>
      <c r="AC3372">
        <v>0</v>
      </c>
      <c r="AD3372">
        <v>10</v>
      </c>
      <c r="AE3372">
        <v>0</v>
      </c>
      <c r="AF3372">
        <v>3</v>
      </c>
      <c r="AG3372">
        <v>2</v>
      </c>
      <c r="AH3372">
        <v>0</v>
      </c>
      <c r="AI3372" t="s">
        <v>6843</v>
      </c>
      <c r="AJ3372">
        <v>40.379325999999999</v>
      </c>
      <c r="AK3372" t="s">
        <v>6844</v>
      </c>
      <c r="AL3372">
        <v>-74.668020999999996</v>
      </c>
      <c r="AM3372">
        <v>100</v>
      </c>
      <c r="AN3372">
        <v>1600</v>
      </c>
      <c r="AO3372" t="s">
        <v>115</v>
      </c>
      <c r="AP3372">
        <v>153</v>
      </c>
      <c r="AQ3372">
        <v>-16</v>
      </c>
      <c r="AR3372">
        <v>-128</v>
      </c>
      <c r="AZ3372">
        <v>3614</v>
      </c>
      <c r="BA3372">
        <v>1</v>
      </c>
      <c r="BB3372" t="str">
        <f t="shared" si="158"/>
        <v xml:space="preserve">N959MJ  </v>
      </c>
      <c r="BC3372">
        <v>1</v>
      </c>
      <c r="BE3372">
        <v>0</v>
      </c>
      <c r="BF3372">
        <v>0</v>
      </c>
      <c r="BG3372">
        <v>0</v>
      </c>
      <c r="BH3372">
        <v>1850</v>
      </c>
      <c r="BI3372">
        <v>250</v>
      </c>
      <c r="BJ3372">
        <v>1</v>
      </c>
      <c r="BK3372">
        <v>1</v>
      </c>
      <c r="BL3372">
        <v>1</v>
      </c>
      <c r="BM3372">
        <v>0</v>
      </c>
      <c r="BP3372">
        <v>0</v>
      </c>
      <c r="BQ3372">
        <v>0</v>
      </c>
      <c r="BX3372" t="str">
        <f>"14:46:32.133"</f>
        <v>14:46:32.133</v>
      </c>
      <c r="BY3372" t="str">
        <f>"133090330"</f>
        <v>133090330</v>
      </c>
      <c r="CL3372">
        <v>0</v>
      </c>
      <c r="CM3372">
        <v>2</v>
      </c>
      <c r="CN3372">
        <v>0</v>
      </c>
      <c r="CO3372">
        <v>2</v>
      </c>
      <c r="CP3372">
        <v>0</v>
      </c>
      <c r="CQ3372">
        <v>7</v>
      </c>
      <c r="CR3372" t="s">
        <v>116</v>
      </c>
      <c r="CS3372">
        <v>38</v>
      </c>
      <c r="CT3372">
        <v>0</v>
      </c>
      <c r="CU3372" t="s">
        <v>4719</v>
      </c>
      <c r="CV3372" t="s">
        <v>4720</v>
      </c>
      <c r="CY3372">
        <v>7772237</v>
      </c>
      <c r="CZ3372" t="s">
        <v>119</v>
      </c>
    </row>
    <row r="3373" spans="1:104" x14ac:dyDescent="0.25">
      <c r="A3373" t="str">
        <f>"14:46:33.430"</f>
        <v>14:46:33.430</v>
      </c>
      <c r="B3373" t="s">
        <v>108</v>
      </c>
      <c r="C3373" t="str">
        <f t="shared" si="157"/>
        <v>ffdfd3c0</v>
      </c>
      <c r="D3373" t="s">
        <v>109</v>
      </c>
      <c r="E3373">
        <v>4</v>
      </c>
      <c r="F3373">
        <v>1004</v>
      </c>
      <c r="G3373" t="s">
        <v>110</v>
      </c>
      <c r="J3373" t="s">
        <v>111</v>
      </c>
      <c r="K3373">
        <v>0</v>
      </c>
      <c r="L3373">
        <v>3</v>
      </c>
      <c r="M3373">
        <v>0</v>
      </c>
      <c r="N3373">
        <v>2</v>
      </c>
      <c r="O3373">
        <v>1</v>
      </c>
      <c r="P3373">
        <v>0</v>
      </c>
      <c r="Q3373">
        <v>0</v>
      </c>
      <c r="R3373" t="s">
        <v>112</v>
      </c>
      <c r="S3373" t="str">
        <f>"14:46:33.266"</f>
        <v>14:46:33.266</v>
      </c>
      <c r="T3373" t="str">
        <f>"14:46:32.766"</f>
        <v>14:46:32.766</v>
      </c>
      <c r="U3373" t="str">
        <f t="shared" si="156"/>
        <v>ad5732</v>
      </c>
      <c r="V3373">
        <v>0</v>
      </c>
      <c r="W3373">
        <v>0</v>
      </c>
      <c r="X3373">
        <v>1</v>
      </c>
      <c r="Z3373">
        <v>0</v>
      </c>
      <c r="AA3373">
        <v>9</v>
      </c>
      <c r="AB3373">
        <v>3</v>
      </c>
      <c r="AC3373">
        <v>0</v>
      </c>
      <c r="AD3373">
        <v>10</v>
      </c>
      <c r="AE3373">
        <v>0</v>
      </c>
      <c r="AF3373">
        <v>3</v>
      </c>
      <c r="AG3373">
        <v>2</v>
      </c>
      <c r="AH3373">
        <v>0</v>
      </c>
      <c r="AI3373" t="s">
        <v>6845</v>
      </c>
      <c r="AJ3373">
        <v>40.379218999999999</v>
      </c>
      <c r="AK3373" t="s">
        <v>6846</v>
      </c>
      <c r="AL3373">
        <v>-74.666948000000005</v>
      </c>
      <c r="AM3373">
        <v>100</v>
      </c>
      <c r="AN3373">
        <v>1600</v>
      </c>
      <c r="AO3373" t="s">
        <v>115</v>
      </c>
      <c r="AP3373">
        <v>152</v>
      </c>
      <c r="AQ3373">
        <v>-16</v>
      </c>
      <c r="AR3373">
        <v>-64</v>
      </c>
      <c r="AZ3373">
        <v>3614</v>
      </c>
      <c r="BA3373">
        <v>1</v>
      </c>
      <c r="BB3373" t="str">
        <f t="shared" si="158"/>
        <v xml:space="preserve">N959MJ  </v>
      </c>
      <c r="BC3373">
        <v>1</v>
      </c>
      <c r="BE3373">
        <v>0</v>
      </c>
      <c r="BF3373">
        <v>0</v>
      </c>
      <c r="BG3373">
        <v>0</v>
      </c>
      <c r="BH3373">
        <v>1850</v>
      </c>
      <c r="BI3373">
        <v>250</v>
      </c>
      <c r="BJ3373">
        <v>1</v>
      </c>
      <c r="BK3373">
        <v>1</v>
      </c>
      <c r="BL3373">
        <v>1</v>
      </c>
      <c r="BM3373">
        <v>0</v>
      </c>
      <c r="BP3373">
        <v>0</v>
      </c>
      <c r="BQ3373">
        <v>0</v>
      </c>
      <c r="BX3373" t="str">
        <f>"14:46:33.266"</f>
        <v>14:46:33.266</v>
      </c>
      <c r="BY3373" t="str">
        <f>"268521524"</f>
        <v>268521524</v>
      </c>
      <c r="CL3373">
        <v>0</v>
      </c>
      <c r="CM3373">
        <v>2</v>
      </c>
      <c r="CN3373">
        <v>0</v>
      </c>
      <c r="CO3373">
        <v>2</v>
      </c>
      <c r="CP3373">
        <v>0</v>
      </c>
      <c r="CQ3373">
        <v>7</v>
      </c>
      <c r="CR3373" t="s">
        <v>116</v>
      </c>
      <c r="CS3373">
        <v>38</v>
      </c>
      <c r="CT3373">
        <v>0</v>
      </c>
      <c r="CU3373" t="s">
        <v>4719</v>
      </c>
      <c r="CV3373" t="s">
        <v>4720</v>
      </c>
      <c r="CY3373">
        <v>7774058</v>
      </c>
      <c r="CZ3373" t="s">
        <v>119</v>
      </c>
    </row>
    <row r="3374" spans="1:104" x14ac:dyDescent="0.25">
      <c r="A3374" t="str">
        <f>"14:46:34.336"</f>
        <v>14:46:34.336</v>
      </c>
      <c r="B3374" t="s">
        <v>108</v>
      </c>
      <c r="C3374" t="str">
        <f t="shared" si="157"/>
        <v>ffdfd3c0</v>
      </c>
      <c r="D3374" t="s">
        <v>109</v>
      </c>
      <c r="E3374">
        <v>4</v>
      </c>
      <c r="F3374">
        <v>1004</v>
      </c>
      <c r="G3374" t="s">
        <v>110</v>
      </c>
      <c r="J3374" t="s">
        <v>111</v>
      </c>
      <c r="K3374">
        <v>0</v>
      </c>
      <c r="L3374">
        <v>3</v>
      </c>
      <c r="M3374">
        <v>0</v>
      </c>
      <c r="N3374">
        <v>2</v>
      </c>
      <c r="O3374">
        <v>1</v>
      </c>
      <c r="P3374">
        <v>0</v>
      </c>
      <c r="Q3374">
        <v>0</v>
      </c>
      <c r="R3374" t="s">
        <v>112</v>
      </c>
      <c r="S3374" t="str">
        <f>"14:46:34.148"</f>
        <v>14:46:34.148</v>
      </c>
      <c r="T3374" t="str">
        <f>"14:46:33.750"</f>
        <v>14:46:33.750</v>
      </c>
      <c r="U3374" t="str">
        <f t="shared" si="156"/>
        <v>ad5732</v>
      </c>
      <c r="V3374">
        <v>0</v>
      </c>
      <c r="W3374">
        <v>0</v>
      </c>
      <c r="X3374">
        <v>1</v>
      </c>
      <c r="Z3374">
        <v>0</v>
      </c>
      <c r="AA3374">
        <v>9</v>
      </c>
      <c r="AB3374">
        <v>3</v>
      </c>
      <c r="AC3374">
        <v>0</v>
      </c>
      <c r="AD3374">
        <v>10</v>
      </c>
      <c r="AE3374">
        <v>0</v>
      </c>
      <c r="AF3374">
        <v>3</v>
      </c>
      <c r="AG3374">
        <v>2</v>
      </c>
      <c r="AH3374">
        <v>0</v>
      </c>
      <c r="AI3374" t="s">
        <v>6847</v>
      </c>
      <c r="AJ3374">
        <v>40.379198000000002</v>
      </c>
      <c r="AK3374" t="s">
        <v>6848</v>
      </c>
      <c r="AL3374">
        <v>-74.666196999999997</v>
      </c>
      <c r="AM3374">
        <v>100</v>
      </c>
      <c r="AN3374">
        <v>1600</v>
      </c>
      <c r="AO3374" t="s">
        <v>115</v>
      </c>
      <c r="AP3374">
        <v>152</v>
      </c>
      <c r="AQ3374">
        <v>-15</v>
      </c>
      <c r="AR3374">
        <v>0</v>
      </c>
      <c r="AZ3374">
        <v>3614</v>
      </c>
      <c r="BA3374">
        <v>1</v>
      </c>
      <c r="BB3374" t="str">
        <f t="shared" si="158"/>
        <v xml:space="preserve">N959MJ  </v>
      </c>
      <c r="BC3374">
        <v>1</v>
      </c>
      <c r="BE3374">
        <v>0</v>
      </c>
      <c r="BF3374">
        <v>0</v>
      </c>
      <c r="BG3374">
        <v>0</v>
      </c>
      <c r="BH3374">
        <v>1850</v>
      </c>
      <c r="BI3374">
        <v>250</v>
      </c>
      <c r="BJ3374">
        <v>1</v>
      </c>
      <c r="BK3374">
        <v>1</v>
      </c>
      <c r="BL3374">
        <v>1</v>
      </c>
      <c r="BM3374">
        <v>0</v>
      </c>
      <c r="BP3374">
        <v>0</v>
      </c>
      <c r="BQ3374">
        <v>0</v>
      </c>
      <c r="BX3374" t="str">
        <f>"14:46:34.156"</f>
        <v>14:46:34.156</v>
      </c>
      <c r="BY3374" t="str">
        <f>"154911670"</f>
        <v>154911670</v>
      </c>
      <c r="CL3374">
        <v>0</v>
      </c>
      <c r="CM3374">
        <v>2</v>
      </c>
      <c r="CN3374">
        <v>0</v>
      </c>
      <c r="CO3374">
        <v>2</v>
      </c>
      <c r="CP3374">
        <v>0</v>
      </c>
      <c r="CQ3374">
        <v>7</v>
      </c>
      <c r="CR3374" t="s">
        <v>116</v>
      </c>
      <c r="CS3374">
        <v>38</v>
      </c>
      <c r="CT3374">
        <v>0</v>
      </c>
      <c r="CU3374" t="s">
        <v>4719</v>
      </c>
      <c r="CV3374" t="s">
        <v>4720</v>
      </c>
      <c r="CY3374">
        <v>7775329</v>
      </c>
      <c r="CZ3374" t="s">
        <v>119</v>
      </c>
    </row>
    <row r="3375" spans="1:104" x14ac:dyDescent="0.25">
      <c r="A3375" t="str">
        <f>"14:46:35.352"</f>
        <v>14:46:35.352</v>
      </c>
      <c r="B3375" t="s">
        <v>108</v>
      </c>
      <c r="C3375" t="str">
        <f t="shared" si="157"/>
        <v>ffdfd3c0</v>
      </c>
      <c r="D3375" t="s">
        <v>109</v>
      </c>
      <c r="E3375">
        <v>4</v>
      </c>
      <c r="F3375">
        <v>1004</v>
      </c>
      <c r="G3375" t="s">
        <v>110</v>
      </c>
      <c r="J3375" t="s">
        <v>111</v>
      </c>
      <c r="K3375">
        <v>0</v>
      </c>
      <c r="L3375">
        <v>3</v>
      </c>
      <c r="M3375">
        <v>0</v>
      </c>
      <c r="N3375">
        <v>2</v>
      </c>
      <c r="O3375">
        <v>1</v>
      </c>
      <c r="P3375">
        <v>0</v>
      </c>
      <c r="Q3375">
        <v>0</v>
      </c>
      <c r="R3375" t="s">
        <v>112</v>
      </c>
      <c r="S3375" t="str">
        <f>"14:46:35.133"</f>
        <v>14:46:35.133</v>
      </c>
      <c r="T3375" t="str">
        <f>"14:46:34.734"</f>
        <v>14:46:34.734</v>
      </c>
      <c r="U3375" t="str">
        <f t="shared" si="156"/>
        <v>ad5732</v>
      </c>
      <c r="V3375">
        <v>0</v>
      </c>
      <c r="W3375">
        <v>0</v>
      </c>
      <c r="X3375">
        <v>1</v>
      </c>
      <c r="Z3375">
        <v>0</v>
      </c>
      <c r="AA3375">
        <v>9</v>
      </c>
      <c r="AB3375">
        <v>3</v>
      </c>
      <c r="AC3375">
        <v>0</v>
      </c>
      <c r="AD3375">
        <v>10</v>
      </c>
      <c r="AE3375">
        <v>0</v>
      </c>
      <c r="AF3375">
        <v>3</v>
      </c>
      <c r="AG3375">
        <v>2</v>
      </c>
      <c r="AH3375">
        <v>0</v>
      </c>
      <c r="AI3375" t="s">
        <v>6849</v>
      </c>
      <c r="AJ3375">
        <v>40.379111999999999</v>
      </c>
      <c r="AK3375" t="s">
        <v>6850</v>
      </c>
      <c r="AL3375">
        <v>-74.665274999999994</v>
      </c>
      <c r="AM3375">
        <v>100</v>
      </c>
      <c r="AN3375">
        <v>1600</v>
      </c>
      <c r="AO3375" t="s">
        <v>115</v>
      </c>
      <c r="AP3375">
        <v>151</v>
      </c>
      <c r="AQ3375">
        <v>-15</v>
      </c>
      <c r="AR3375">
        <v>128</v>
      </c>
      <c r="AZ3375">
        <v>3614</v>
      </c>
      <c r="BA3375">
        <v>1</v>
      </c>
      <c r="BB3375" t="str">
        <f t="shared" si="158"/>
        <v xml:space="preserve">N959MJ  </v>
      </c>
      <c r="BC3375">
        <v>1</v>
      </c>
      <c r="BE3375">
        <v>0</v>
      </c>
      <c r="BF3375">
        <v>0</v>
      </c>
      <c r="BG3375">
        <v>0</v>
      </c>
      <c r="BH3375">
        <v>1850</v>
      </c>
      <c r="BI3375">
        <v>250</v>
      </c>
      <c r="BJ3375">
        <v>1</v>
      </c>
      <c r="BK3375">
        <v>1</v>
      </c>
      <c r="BL3375">
        <v>1</v>
      </c>
      <c r="BM3375">
        <v>0</v>
      </c>
      <c r="BP3375">
        <v>0</v>
      </c>
      <c r="BQ3375">
        <v>0</v>
      </c>
      <c r="BX3375" t="str">
        <f>"14:46:35.133"</f>
        <v>14:46:35.133</v>
      </c>
      <c r="BY3375" t="str">
        <f>"133053826"</f>
        <v>133053826</v>
      </c>
      <c r="CL3375">
        <v>0</v>
      </c>
      <c r="CM3375">
        <v>2</v>
      </c>
      <c r="CN3375">
        <v>0</v>
      </c>
      <c r="CO3375">
        <v>2</v>
      </c>
      <c r="CP3375">
        <v>0</v>
      </c>
      <c r="CQ3375">
        <v>7</v>
      </c>
      <c r="CR3375" t="s">
        <v>116</v>
      </c>
      <c r="CS3375">
        <v>38</v>
      </c>
      <c r="CT3375">
        <v>0</v>
      </c>
      <c r="CU3375" t="s">
        <v>4719</v>
      </c>
      <c r="CV3375" t="s">
        <v>4720</v>
      </c>
      <c r="CY3375">
        <v>7776701</v>
      </c>
      <c r="CZ3375" t="s">
        <v>119</v>
      </c>
    </row>
    <row r="3376" spans="1:104" x14ac:dyDescent="0.25">
      <c r="A3376" t="str">
        <f>"14:46:36.211"</f>
        <v>14:46:36.211</v>
      </c>
      <c r="B3376" t="s">
        <v>108</v>
      </c>
      <c r="C3376" t="str">
        <f t="shared" si="157"/>
        <v>ffdfd3c0</v>
      </c>
      <c r="D3376" t="s">
        <v>109</v>
      </c>
      <c r="E3376">
        <v>4</v>
      </c>
      <c r="F3376">
        <v>1004</v>
      </c>
      <c r="G3376" t="s">
        <v>110</v>
      </c>
      <c r="J3376" t="s">
        <v>111</v>
      </c>
      <c r="K3376">
        <v>0</v>
      </c>
      <c r="L3376">
        <v>3</v>
      </c>
      <c r="M3376">
        <v>0</v>
      </c>
      <c r="N3376">
        <v>2</v>
      </c>
      <c r="O3376">
        <v>1</v>
      </c>
      <c r="P3376">
        <v>0</v>
      </c>
      <c r="Q3376">
        <v>0</v>
      </c>
      <c r="R3376" t="s">
        <v>112</v>
      </c>
      <c r="S3376" t="str">
        <f>"14:46:36.008"</f>
        <v>14:46:36.008</v>
      </c>
      <c r="T3376" t="str">
        <f>"14:46:35.609"</f>
        <v>14:46:35.609</v>
      </c>
      <c r="U3376" t="str">
        <f t="shared" si="156"/>
        <v>ad5732</v>
      </c>
      <c r="V3376">
        <v>0</v>
      </c>
      <c r="W3376">
        <v>0</v>
      </c>
      <c r="X3376">
        <v>1</v>
      </c>
      <c r="Z3376">
        <v>0</v>
      </c>
      <c r="AA3376">
        <v>9</v>
      </c>
      <c r="AB3376">
        <v>3</v>
      </c>
      <c r="AC3376">
        <v>0</v>
      </c>
      <c r="AD3376">
        <v>10</v>
      </c>
      <c r="AE3376">
        <v>0</v>
      </c>
      <c r="AF3376">
        <v>3</v>
      </c>
      <c r="AG3376">
        <v>2</v>
      </c>
      <c r="AH3376">
        <v>0</v>
      </c>
      <c r="AI3376" t="s">
        <v>6851</v>
      </c>
      <c r="AJ3376">
        <v>40.379069000000001</v>
      </c>
      <c r="AK3376" t="s">
        <v>6852</v>
      </c>
      <c r="AL3376">
        <v>-74.664545000000004</v>
      </c>
      <c r="AM3376">
        <v>100</v>
      </c>
      <c r="AN3376">
        <v>1600</v>
      </c>
      <c r="AO3376" t="s">
        <v>115</v>
      </c>
      <c r="AP3376">
        <v>151</v>
      </c>
      <c r="AQ3376">
        <v>-15</v>
      </c>
      <c r="AR3376">
        <v>256</v>
      </c>
      <c r="AZ3376">
        <v>3614</v>
      </c>
      <c r="BA3376">
        <v>1</v>
      </c>
      <c r="BB3376" t="str">
        <f t="shared" si="158"/>
        <v xml:space="preserve">N959MJ  </v>
      </c>
      <c r="BC3376">
        <v>1</v>
      </c>
      <c r="BE3376">
        <v>0</v>
      </c>
      <c r="BF3376">
        <v>0</v>
      </c>
      <c r="BG3376">
        <v>0</v>
      </c>
      <c r="BH3376">
        <v>1850</v>
      </c>
      <c r="BI3376">
        <v>250</v>
      </c>
      <c r="BJ3376">
        <v>1</v>
      </c>
      <c r="BK3376">
        <v>1</v>
      </c>
      <c r="BL3376">
        <v>1</v>
      </c>
      <c r="BM3376">
        <v>0</v>
      </c>
      <c r="BP3376">
        <v>0</v>
      </c>
      <c r="BQ3376">
        <v>0</v>
      </c>
      <c r="BX3376" t="str">
        <f>"14:46:36.016"</f>
        <v>14:46:36.016</v>
      </c>
      <c r="BY3376" t="str">
        <f>"012890167"</f>
        <v>012890167</v>
      </c>
      <c r="CL3376">
        <v>0</v>
      </c>
      <c r="CM3376">
        <v>2</v>
      </c>
      <c r="CN3376">
        <v>0</v>
      </c>
      <c r="CO3376">
        <v>2</v>
      </c>
      <c r="CP3376">
        <v>0</v>
      </c>
      <c r="CQ3376">
        <v>7</v>
      </c>
      <c r="CR3376" t="s">
        <v>116</v>
      </c>
      <c r="CS3376">
        <v>38</v>
      </c>
      <c r="CT3376">
        <v>0</v>
      </c>
      <c r="CU3376" t="s">
        <v>4719</v>
      </c>
      <c r="CV3376" t="s">
        <v>4720</v>
      </c>
      <c r="CY3376">
        <v>7778006</v>
      </c>
      <c r="CZ3376" t="s">
        <v>119</v>
      </c>
    </row>
    <row r="3377" spans="1:104" x14ac:dyDescent="0.25">
      <c r="A3377" t="str">
        <f>"14:46:37.219"</f>
        <v>14:46:37.219</v>
      </c>
      <c r="B3377" t="s">
        <v>108</v>
      </c>
      <c r="C3377" t="str">
        <f t="shared" si="157"/>
        <v>ffdfd3c0</v>
      </c>
      <c r="D3377" t="s">
        <v>109</v>
      </c>
      <c r="E3377">
        <v>4</v>
      </c>
      <c r="F3377">
        <v>1004</v>
      </c>
      <c r="G3377" t="s">
        <v>110</v>
      </c>
      <c r="J3377" t="s">
        <v>111</v>
      </c>
      <c r="K3377">
        <v>0</v>
      </c>
      <c r="L3377">
        <v>3</v>
      </c>
      <c r="M3377">
        <v>0</v>
      </c>
      <c r="N3377">
        <v>2</v>
      </c>
      <c r="O3377">
        <v>1</v>
      </c>
      <c r="P3377">
        <v>0</v>
      </c>
      <c r="Q3377">
        <v>0</v>
      </c>
      <c r="R3377" t="s">
        <v>112</v>
      </c>
      <c r="S3377" t="str">
        <f>"14:46:37.031"</f>
        <v>14:46:37.031</v>
      </c>
      <c r="T3377" t="str">
        <f>"14:46:36.531"</f>
        <v>14:46:36.531</v>
      </c>
      <c r="U3377" t="str">
        <f t="shared" si="156"/>
        <v>ad5732</v>
      </c>
      <c r="V3377">
        <v>0</v>
      </c>
      <c r="W3377">
        <v>0</v>
      </c>
      <c r="X3377">
        <v>1</v>
      </c>
      <c r="Z3377">
        <v>0</v>
      </c>
      <c r="AA3377">
        <v>9</v>
      </c>
      <c r="AB3377">
        <v>3</v>
      </c>
      <c r="AC3377">
        <v>0</v>
      </c>
      <c r="AD3377">
        <v>10</v>
      </c>
      <c r="AE3377">
        <v>0</v>
      </c>
      <c r="AF3377">
        <v>3</v>
      </c>
      <c r="AG3377">
        <v>2</v>
      </c>
      <c r="AH3377">
        <v>0</v>
      </c>
      <c r="AI3377" t="s">
        <v>6853</v>
      </c>
      <c r="AJ3377">
        <v>40.378982999999998</v>
      </c>
      <c r="AK3377" t="s">
        <v>6854</v>
      </c>
      <c r="AL3377">
        <v>-74.663515000000004</v>
      </c>
      <c r="AM3377">
        <v>100</v>
      </c>
      <c r="AN3377">
        <v>1600</v>
      </c>
      <c r="AO3377" t="s">
        <v>115</v>
      </c>
      <c r="AP3377">
        <v>150</v>
      </c>
      <c r="AQ3377">
        <v>-15</v>
      </c>
      <c r="AR3377">
        <v>256</v>
      </c>
      <c r="AZ3377">
        <v>3614</v>
      </c>
      <c r="BA3377">
        <v>1</v>
      </c>
      <c r="BB3377" t="str">
        <f t="shared" si="158"/>
        <v xml:space="preserve">N959MJ  </v>
      </c>
      <c r="BC3377">
        <v>1</v>
      </c>
      <c r="BE3377">
        <v>0</v>
      </c>
      <c r="BF3377">
        <v>0</v>
      </c>
      <c r="BG3377">
        <v>0</v>
      </c>
      <c r="BH3377">
        <v>1850</v>
      </c>
      <c r="BI3377">
        <v>250</v>
      </c>
      <c r="BJ3377">
        <v>1</v>
      </c>
      <c r="BK3377">
        <v>1</v>
      </c>
      <c r="BL3377">
        <v>1</v>
      </c>
      <c r="BM3377">
        <v>0</v>
      </c>
      <c r="BP3377">
        <v>0</v>
      </c>
      <c r="BQ3377">
        <v>0</v>
      </c>
      <c r="BX3377" t="str">
        <f>"14:46:37.031"</f>
        <v>14:46:37.031</v>
      </c>
      <c r="BY3377" t="str">
        <f>"033631380"</f>
        <v>033631380</v>
      </c>
      <c r="CL3377">
        <v>0</v>
      </c>
      <c r="CM3377">
        <v>2</v>
      </c>
      <c r="CN3377">
        <v>0</v>
      </c>
      <c r="CO3377">
        <v>2</v>
      </c>
      <c r="CP3377">
        <v>0</v>
      </c>
      <c r="CQ3377">
        <v>7</v>
      </c>
      <c r="CR3377" t="s">
        <v>116</v>
      </c>
      <c r="CS3377">
        <v>38</v>
      </c>
      <c r="CT3377">
        <v>0</v>
      </c>
      <c r="CU3377" t="s">
        <v>4719</v>
      </c>
      <c r="CV3377" t="s">
        <v>4720</v>
      </c>
      <c r="CY3377">
        <v>7779559</v>
      </c>
      <c r="CZ3377" t="s">
        <v>119</v>
      </c>
    </row>
    <row r="3378" spans="1:104" x14ac:dyDescent="0.25">
      <c r="A3378" t="str">
        <f>"14:46:38.180"</f>
        <v>14:46:38.180</v>
      </c>
      <c r="B3378" t="s">
        <v>108</v>
      </c>
      <c r="C3378" t="str">
        <f t="shared" si="157"/>
        <v>ffdfd3c0</v>
      </c>
      <c r="D3378" t="s">
        <v>109</v>
      </c>
      <c r="E3378">
        <v>4</v>
      </c>
      <c r="F3378">
        <v>1004</v>
      </c>
      <c r="G3378" t="s">
        <v>110</v>
      </c>
      <c r="J3378" t="s">
        <v>111</v>
      </c>
      <c r="K3378">
        <v>0</v>
      </c>
      <c r="L3378">
        <v>3</v>
      </c>
      <c r="M3378">
        <v>0</v>
      </c>
      <c r="N3378">
        <v>2</v>
      </c>
      <c r="O3378">
        <v>1</v>
      </c>
      <c r="P3378">
        <v>0</v>
      </c>
      <c r="Q3378">
        <v>0</v>
      </c>
      <c r="R3378" t="s">
        <v>112</v>
      </c>
      <c r="S3378" t="str">
        <f>"14:46:38.000"</f>
        <v>14:46:38.000</v>
      </c>
      <c r="T3378" t="str">
        <f>"14:46:37.602"</f>
        <v>14:46:37.602</v>
      </c>
      <c r="U3378" t="str">
        <f t="shared" si="156"/>
        <v>ad5732</v>
      </c>
      <c r="V3378">
        <v>0</v>
      </c>
      <c r="W3378">
        <v>0</v>
      </c>
      <c r="X3378">
        <v>1</v>
      </c>
      <c r="Z3378">
        <v>0</v>
      </c>
      <c r="AA3378">
        <v>9</v>
      </c>
      <c r="AB3378">
        <v>3</v>
      </c>
      <c r="AC3378">
        <v>0</v>
      </c>
      <c r="AD3378">
        <v>10</v>
      </c>
      <c r="AE3378">
        <v>0</v>
      </c>
      <c r="AF3378">
        <v>3</v>
      </c>
      <c r="AG3378">
        <v>2</v>
      </c>
      <c r="AH3378">
        <v>0</v>
      </c>
      <c r="AI3378" t="s">
        <v>6146</v>
      </c>
      <c r="AJ3378">
        <v>40.378919000000003</v>
      </c>
      <c r="AK3378" t="s">
        <v>6855</v>
      </c>
      <c r="AL3378">
        <v>-74.662721000000005</v>
      </c>
      <c r="AM3378">
        <v>100</v>
      </c>
      <c r="AN3378">
        <v>1600</v>
      </c>
      <c r="AO3378" t="s">
        <v>115</v>
      </c>
      <c r="AP3378">
        <v>150</v>
      </c>
      <c r="AQ3378">
        <v>-14</v>
      </c>
      <c r="AR3378">
        <v>320</v>
      </c>
      <c r="AZ3378">
        <v>3614</v>
      </c>
      <c r="BA3378">
        <v>1</v>
      </c>
      <c r="BB3378" t="str">
        <f t="shared" si="158"/>
        <v xml:space="preserve">N959MJ  </v>
      </c>
      <c r="BC3378">
        <v>1</v>
      </c>
      <c r="BE3378">
        <v>0</v>
      </c>
      <c r="BF3378">
        <v>0</v>
      </c>
      <c r="BG3378">
        <v>0</v>
      </c>
      <c r="BH3378">
        <v>1850</v>
      </c>
      <c r="BI3378">
        <v>250</v>
      </c>
      <c r="BJ3378">
        <v>1</v>
      </c>
      <c r="BK3378">
        <v>1</v>
      </c>
      <c r="BL3378">
        <v>1</v>
      </c>
      <c r="BM3378">
        <v>0</v>
      </c>
      <c r="BP3378">
        <v>0</v>
      </c>
      <c r="BQ3378">
        <v>0</v>
      </c>
      <c r="BX3378" t="str">
        <f>"14:46:38.000"</f>
        <v>14:46:38.000</v>
      </c>
      <c r="BY3378" t="str">
        <f>"000304493"</f>
        <v>000304493</v>
      </c>
      <c r="CL3378">
        <v>0</v>
      </c>
      <c r="CM3378">
        <v>2</v>
      </c>
      <c r="CN3378">
        <v>0</v>
      </c>
      <c r="CO3378">
        <v>2</v>
      </c>
      <c r="CP3378">
        <v>0</v>
      </c>
      <c r="CQ3378">
        <v>7</v>
      </c>
      <c r="CR3378" t="s">
        <v>116</v>
      </c>
      <c r="CS3378">
        <v>38</v>
      </c>
      <c r="CT3378">
        <v>0</v>
      </c>
      <c r="CU3378" t="s">
        <v>4719</v>
      </c>
      <c r="CV3378" t="s">
        <v>4720</v>
      </c>
      <c r="CY3378">
        <v>7781014</v>
      </c>
      <c r="CZ3378" t="s">
        <v>119</v>
      </c>
    </row>
    <row r="3379" spans="1:104" x14ac:dyDescent="0.25">
      <c r="A3379" t="str">
        <f>"14:46:39.188"</f>
        <v>14:46:39.188</v>
      </c>
      <c r="B3379" t="s">
        <v>108</v>
      </c>
      <c r="C3379" t="str">
        <f t="shared" si="157"/>
        <v>ffdfd3c0</v>
      </c>
      <c r="D3379" t="s">
        <v>109</v>
      </c>
      <c r="E3379">
        <v>4</v>
      </c>
      <c r="F3379">
        <v>1004</v>
      </c>
      <c r="G3379" t="s">
        <v>110</v>
      </c>
      <c r="J3379" t="s">
        <v>111</v>
      </c>
      <c r="K3379">
        <v>0</v>
      </c>
      <c r="L3379">
        <v>3</v>
      </c>
      <c r="M3379">
        <v>0</v>
      </c>
      <c r="N3379">
        <v>2</v>
      </c>
      <c r="O3379">
        <v>1</v>
      </c>
      <c r="P3379">
        <v>0</v>
      </c>
      <c r="Q3379">
        <v>0</v>
      </c>
      <c r="R3379" t="s">
        <v>112</v>
      </c>
      <c r="S3379" t="str">
        <f>"14:46:39.023"</f>
        <v>14:46:39.023</v>
      </c>
      <c r="T3379" t="str">
        <f>"14:46:38.625"</f>
        <v>14:46:38.625</v>
      </c>
      <c r="U3379" t="str">
        <f t="shared" si="156"/>
        <v>ad5732</v>
      </c>
      <c r="V3379">
        <v>0</v>
      </c>
      <c r="W3379">
        <v>0</v>
      </c>
      <c r="X3379">
        <v>1</v>
      </c>
      <c r="Z3379">
        <v>0</v>
      </c>
      <c r="AA3379">
        <v>9</v>
      </c>
      <c r="AB3379">
        <v>3</v>
      </c>
      <c r="AC3379">
        <v>0</v>
      </c>
      <c r="AD3379">
        <v>10</v>
      </c>
      <c r="AE3379">
        <v>0</v>
      </c>
      <c r="AF3379">
        <v>3</v>
      </c>
      <c r="AG3379">
        <v>2</v>
      </c>
      <c r="AH3379">
        <v>0</v>
      </c>
      <c r="AI3379" t="s">
        <v>6856</v>
      </c>
      <c r="AJ3379">
        <v>40.378853999999997</v>
      </c>
      <c r="AK3379" t="s">
        <v>6857</v>
      </c>
      <c r="AL3379">
        <v>-74.661713000000006</v>
      </c>
      <c r="AM3379">
        <v>100</v>
      </c>
      <c r="AN3379">
        <v>1700</v>
      </c>
      <c r="AO3379" t="s">
        <v>115</v>
      </c>
      <c r="AP3379">
        <v>149</v>
      </c>
      <c r="AQ3379">
        <v>-14</v>
      </c>
      <c r="AR3379">
        <v>256</v>
      </c>
      <c r="AZ3379">
        <v>3614</v>
      </c>
      <c r="BA3379">
        <v>1</v>
      </c>
      <c r="BB3379" t="str">
        <f t="shared" si="158"/>
        <v xml:space="preserve">N959MJ  </v>
      </c>
      <c r="BC3379">
        <v>1</v>
      </c>
      <c r="BE3379">
        <v>0</v>
      </c>
      <c r="BF3379">
        <v>0</v>
      </c>
      <c r="BG3379">
        <v>0</v>
      </c>
      <c r="BH3379">
        <v>1875</v>
      </c>
      <c r="BI3379">
        <v>175</v>
      </c>
      <c r="BJ3379">
        <v>1</v>
      </c>
      <c r="BK3379">
        <v>1</v>
      </c>
      <c r="BL3379">
        <v>1</v>
      </c>
      <c r="BM3379">
        <v>0</v>
      </c>
      <c r="BP3379">
        <v>0</v>
      </c>
      <c r="BQ3379">
        <v>0</v>
      </c>
      <c r="BX3379" t="str">
        <f>"14:46:39.023"</f>
        <v>14:46:39.023</v>
      </c>
      <c r="BY3379" t="str">
        <f>"024322606"</f>
        <v>024322606</v>
      </c>
      <c r="CL3379">
        <v>0</v>
      </c>
      <c r="CM3379">
        <v>2</v>
      </c>
      <c r="CN3379">
        <v>0</v>
      </c>
      <c r="CO3379">
        <v>2</v>
      </c>
      <c r="CP3379">
        <v>0</v>
      </c>
      <c r="CQ3379">
        <v>7</v>
      </c>
      <c r="CR3379" t="s">
        <v>116</v>
      </c>
      <c r="CS3379">
        <v>38</v>
      </c>
      <c r="CT3379">
        <v>0</v>
      </c>
      <c r="CU3379" t="s">
        <v>4719</v>
      </c>
      <c r="CV3379" t="s">
        <v>4720</v>
      </c>
      <c r="CY3379">
        <v>7782494</v>
      </c>
      <c r="CZ3379" t="s">
        <v>119</v>
      </c>
    </row>
    <row r="3380" spans="1:104" x14ac:dyDescent="0.25">
      <c r="A3380" t="str">
        <f>"14:46:40.297"</f>
        <v>14:46:40.297</v>
      </c>
      <c r="B3380" t="s">
        <v>108</v>
      </c>
      <c r="C3380" t="str">
        <f t="shared" si="157"/>
        <v>ffdfd3c0</v>
      </c>
      <c r="D3380" t="s">
        <v>109</v>
      </c>
      <c r="E3380">
        <v>4</v>
      </c>
      <c r="F3380">
        <v>1004</v>
      </c>
      <c r="G3380" t="s">
        <v>110</v>
      </c>
      <c r="J3380" t="s">
        <v>111</v>
      </c>
      <c r="K3380">
        <v>0</v>
      </c>
      <c r="L3380">
        <v>3</v>
      </c>
      <c r="M3380">
        <v>0</v>
      </c>
      <c r="N3380">
        <v>2</v>
      </c>
      <c r="O3380">
        <v>1</v>
      </c>
      <c r="P3380">
        <v>0</v>
      </c>
      <c r="Q3380">
        <v>0</v>
      </c>
      <c r="R3380" t="s">
        <v>112</v>
      </c>
      <c r="S3380" t="str">
        <f>"14:46:40.086"</f>
        <v>14:46:40.086</v>
      </c>
      <c r="T3380" t="str">
        <f>"14:46:39.586"</f>
        <v>14:46:39.586</v>
      </c>
      <c r="U3380" t="str">
        <f t="shared" si="156"/>
        <v>ad5732</v>
      </c>
      <c r="V3380">
        <v>0</v>
      </c>
      <c r="W3380">
        <v>0</v>
      </c>
      <c r="X3380">
        <v>1</v>
      </c>
      <c r="Z3380">
        <v>0</v>
      </c>
      <c r="AA3380">
        <v>9</v>
      </c>
      <c r="AB3380">
        <v>3</v>
      </c>
      <c r="AC3380">
        <v>0</v>
      </c>
      <c r="AD3380">
        <v>10</v>
      </c>
      <c r="AE3380">
        <v>0</v>
      </c>
      <c r="AF3380">
        <v>3</v>
      </c>
      <c r="AG3380">
        <v>2</v>
      </c>
      <c r="AH3380">
        <v>0</v>
      </c>
      <c r="AI3380" t="s">
        <v>6858</v>
      </c>
      <c r="AJ3380">
        <v>40.378810999999999</v>
      </c>
      <c r="AK3380" t="s">
        <v>6859</v>
      </c>
      <c r="AL3380">
        <v>-74.660832999999997</v>
      </c>
      <c r="AM3380">
        <v>100</v>
      </c>
      <c r="AN3380">
        <v>1700</v>
      </c>
      <c r="AO3380" t="s">
        <v>115</v>
      </c>
      <c r="AP3380">
        <v>149</v>
      </c>
      <c r="AQ3380">
        <v>-14</v>
      </c>
      <c r="AR3380">
        <v>192</v>
      </c>
      <c r="AZ3380">
        <v>3614</v>
      </c>
      <c r="BA3380">
        <v>1</v>
      </c>
      <c r="BB3380" t="str">
        <f t="shared" si="158"/>
        <v xml:space="preserve">N959MJ  </v>
      </c>
      <c r="BC3380">
        <v>1</v>
      </c>
      <c r="BE3380">
        <v>0</v>
      </c>
      <c r="BF3380">
        <v>0</v>
      </c>
      <c r="BG3380">
        <v>0</v>
      </c>
      <c r="BH3380">
        <v>1875</v>
      </c>
      <c r="BI3380">
        <v>175</v>
      </c>
      <c r="BJ3380">
        <v>1</v>
      </c>
      <c r="BK3380">
        <v>1</v>
      </c>
      <c r="BL3380">
        <v>1</v>
      </c>
      <c r="BM3380">
        <v>0</v>
      </c>
      <c r="BP3380">
        <v>0</v>
      </c>
      <c r="BQ3380">
        <v>0</v>
      </c>
      <c r="BX3380" t="str">
        <f>"14:46:40.094"</f>
        <v>14:46:40.094</v>
      </c>
      <c r="BY3380" t="str">
        <f>"090939906"</f>
        <v>090939906</v>
      </c>
      <c r="CL3380">
        <v>0</v>
      </c>
      <c r="CM3380">
        <v>2</v>
      </c>
      <c r="CN3380">
        <v>0</v>
      </c>
      <c r="CO3380">
        <v>2</v>
      </c>
      <c r="CP3380">
        <v>0</v>
      </c>
      <c r="CQ3380">
        <v>7</v>
      </c>
      <c r="CR3380" t="s">
        <v>116</v>
      </c>
      <c r="CS3380">
        <v>38</v>
      </c>
      <c r="CT3380">
        <v>0</v>
      </c>
      <c r="CU3380" t="s">
        <v>4719</v>
      </c>
      <c r="CV3380" t="s">
        <v>4720</v>
      </c>
      <c r="CY3380">
        <v>7784029</v>
      </c>
      <c r="CZ3380" t="s">
        <v>119</v>
      </c>
    </row>
    <row r="3381" spans="1:104" x14ac:dyDescent="0.25">
      <c r="A3381" t="str">
        <f>"14:46:41.305"</f>
        <v>14:46:41.305</v>
      </c>
      <c r="B3381" t="s">
        <v>108</v>
      </c>
      <c r="C3381" t="str">
        <f t="shared" si="157"/>
        <v>ffdfd3c0</v>
      </c>
      <c r="D3381" t="s">
        <v>109</v>
      </c>
      <c r="E3381">
        <v>4</v>
      </c>
      <c r="F3381">
        <v>1004</v>
      </c>
      <c r="G3381" t="s">
        <v>110</v>
      </c>
      <c r="J3381" t="s">
        <v>111</v>
      </c>
      <c r="K3381">
        <v>0</v>
      </c>
      <c r="L3381">
        <v>3</v>
      </c>
      <c r="M3381">
        <v>0</v>
      </c>
      <c r="N3381">
        <v>2</v>
      </c>
      <c r="O3381">
        <v>1</v>
      </c>
      <c r="P3381">
        <v>0</v>
      </c>
      <c r="Q3381">
        <v>0</v>
      </c>
      <c r="R3381" t="s">
        <v>112</v>
      </c>
      <c r="S3381" t="str">
        <f>"14:46:41.125"</f>
        <v>14:46:41.125</v>
      </c>
      <c r="T3381" t="str">
        <f>"14:46:40.727"</f>
        <v>14:46:40.727</v>
      </c>
      <c r="U3381" t="str">
        <f t="shared" si="156"/>
        <v>ad5732</v>
      </c>
      <c r="V3381">
        <v>0</v>
      </c>
      <c r="W3381">
        <v>0</v>
      </c>
      <c r="X3381">
        <v>1</v>
      </c>
      <c r="Z3381">
        <v>0</v>
      </c>
      <c r="AA3381">
        <v>9</v>
      </c>
      <c r="AB3381">
        <v>3</v>
      </c>
      <c r="AC3381">
        <v>0</v>
      </c>
      <c r="AD3381">
        <v>10</v>
      </c>
      <c r="AE3381">
        <v>0</v>
      </c>
      <c r="AF3381">
        <v>3</v>
      </c>
      <c r="AG3381">
        <v>2</v>
      </c>
      <c r="AH3381">
        <v>0</v>
      </c>
      <c r="AI3381" t="s">
        <v>6860</v>
      </c>
      <c r="AJ3381">
        <v>40.378683000000002</v>
      </c>
      <c r="AK3381" t="s">
        <v>6861</v>
      </c>
      <c r="AL3381">
        <v>-74.659846000000002</v>
      </c>
      <c r="AM3381">
        <v>100</v>
      </c>
      <c r="AN3381">
        <v>1700</v>
      </c>
      <c r="AO3381" t="s">
        <v>115</v>
      </c>
      <c r="AP3381">
        <v>148</v>
      </c>
      <c r="AQ3381">
        <v>-13</v>
      </c>
      <c r="AR3381">
        <v>64</v>
      </c>
      <c r="AZ3381">
        <v>3614</v>
      </c>
      <c r="BA3381">
        <v>1</v>
      </c>
      <c r="BB3381" t="str">
        <f t="shared" si="158"/>
        <v xml:space="preserve">N959MJ  </v>
      </c>
      <c r="BC3381">
        <v>1</v>
      </c>
      <c r="BE3381">
        <v>0</v>
      </c>
      <c r="BF3381">
        <v>0</v>
      </c>
      <c r="BG3381">
        <v>0</v>
      </c>
      <c r="BH3381">
        <v>1875</v>
      </c>
      <c r="BI3381">
        <v>175</v>
      </c>
      <c r="BJ3381">
        <v>1</v>
      </c>
      <c r="BK3381">
        <v>1</v>
      </c>
      <c r="BL3381">
        <v>1</v>
      </c>
      <c r="BM3381">
        <v>0</v>
      </c>
      <c r="BP3381">
        <v>0</v>
      </c>
      <c r="BQ3381">
        <v>0</v>
      </c>
      <c r="BX3381" t="str">
        <f>"14:46:41.125"</f>
        <v>14:46:41.125</v>
      </c>
      <c r="BY3381" t="str">
        <f>"128065466"</f>
        <v>128065466</v>
      </c>
      <c r="CL3381">
        <v>0</v>
      </c>
      <c r="CM3381">
        <v>2</v>
      </c>
      <c r="CN3381">
        <v>0</v>
      </c>
      <c r="CO3381">
        <v>2</v>
      </c>
      <c r="CP3381">
        <v>0</v>
      </c>
      <c r="CQ3381">
        <v>7</v>
      </c>
      <c r="CR3381" t="s">
        <v>116</v>
      </c>
      <c r="CS3381">
        <v>38</v>
      </c>
      <c r="CT3381">
        <v>0</v>
      </c>
      <c r="CU3381" t="s">
        <v>4719</v>
      </c>
      <c r="CV3381" t="s">
        <v>4720</v>
      </c>
      <c r="CY3381">
        <v>7785667</v>
      </c>
      <c r="CZ3381" t="s">
        <v>119</v>
      </c>
    </row>
    <row r="3382" spans="1:104" x14ac:dyDescent="0.25">
      <c r="A3382" t="str">
        <f>"14:46:42.266"</f>
        <v>14:46:42.266</v>
      </c>
      <c r="B3382" t="s">
        <v>108</v>
      </c>
      <c r="C3382" t="str">
        <f t="shared" si="157"/>
        <v>ffdfd3c0</v>
      </c>
      <c r="D3382" t="s">
        <v>109</v>
      </c>
      <c r="E3382">
        <v>4</v>
      </c>
      <c r="F3382">
        <v>1004</v>
      </c>
      <c r="G3382" t="s">
        <v>110</v>
      </c>
      <c r="J3382" t="s">
        <v>111</v>
      </c>
      <c r="K3382">
        <v>0</v>
      </c>
      <c r="L3382">
        <v>3</v>
      </c>
      <c r="M3382">
        <v>0</v>
      </c>
      <c r="N3382">
        <v>2</v>
      </c>
      <c r="O3382">
        <v>1</v>
      </c>
      <c r="P3382">
        <v>0</v>
      </c>
      <c r="Q3382">
        <v>0</v>
      </c>
      <c r="R3382" t="s">
        <v>112</v>
      </c>
      <c r="S3382" t="str">
        <f>"14:46:42.047"</f>
        <v>14:46:42.047</v>
      </c>
      <c r="T3382" t="str">
        <f>"14:46:41.547"</f>
        <v>14:46:41.547</v>
      </c>
      <c r="U3382" t="str">
        <f t="shared" si="156"/>
        <v>ad5732</v>
      </c>
      <c r="V3382">
        <v>0</v>
      </c>
      <c r="W3382">
        <v>0</v>
      </c>
      <c r="X3382">
        <v>1</v>
      </c>
      <c r="Z3382">
        <v>0</v>
      </c>
      <c r="AA3382">
        <v>9</v>
      </c>
      <c r="AB3382">
        <v>3</v>
      </c>
      <c r="AC3382">
        <v>0</v>
      </c>
      <c r="AD3382">
        <v>10</v>
      </c>
      <c r="AE3382">
        <v>0</v>
      </c>
      <c r="AF3382">
        <v>3</v>
      </c>
      <c r="AG3382">
        <v>2</v>
      </c>
      <c r="AH3382">
        <v>0</v>
      </c>
      <c r="AI3382" t="s">
        <v>6862</v>
      </c>
      <c r="AJ3382">
        <v>40.378661000000001</v>
      </c>
      <c r="AK3382" t="s">
        <v>6863</v>
      </c>
      <c r="AL3382">
        <v>-74.659030000000001</v>
      </c>
      <c r="AM3382">
        <v>100</v>
      </c>
      <c r="AN3382">
        <v>1700</v>
      </c>
      <c r="AO3382" t="s">
        <v>115</v>
      </c>
      <c r="AP3382">
        <v>148</v>
      </c>
      <c r="AQ3382">
        <v>-14</v>
      </c>
      <c r="AR3382">
        <v>0</v>
      </c>
      <c r="AZ3382">
        <v>3614</v>
      </c>
      <c r="BA3382">
        <v>1</v>
      </c>
      <c r="BB3382" t="str">
        <f t="shared" si="158"/>
        <v xml:space="preserve">N959MJ  </v>
      </c>
      <c r="BC3382">
        <v>1</v>
      </c>
      <c r="BE3382">
        <v>0</v>
      </c>
      <c r="BF3382">
        <v>0</v>
      </c>
      <c r="BG3382">
        <v>0</v>
      </c>
      <c r="BH3382">
        <v>1875</v>
      </c>
      <c r="BI3382">
        <v>175</v>
      </c>
      <c r="BJ3382">
        <v>1</v>
      </c>
      <c r="BK3382">
        <v>1</v>
      </c>
      <c r="BL3382">
        <v>1</v>
      </c>
      <c r="BM3382">
        <v>0</v>
      </c>
      <c r="BP3382">
        <v>0</v>
      </c>
      <c r="BQ3382">
        <v>0</v>
      </c>
      <c r="BX3382" t="str">
        <f>"14:46:42.055"</f>
        <v>14:46:42.055</v>
      </c>
      <c r="BY3382" t="str">
        <f>"053777865"</f>
        <v>053777865</v>
      </c>
      <c r="CL3382">
        <v>0</v>
      </c>
      <c r="CM3382">
        <v>2</v>
      </c>
      <c r="CN3382">
        <v>0</v>
      </c>
      <c r="CO3382">
        <v>2</v>
      </c>
      <c r="CP3382">
        <v>0</v>
      </c>
      <c r="CQ3382">
        <v>7</v>
      </c>
      <c r="CR3382" t="s">
        <v>116</v>
      </c>
      <c r="CS3382">
        <v>38</v>
      </c>
      <c r="CT3382">
        <v>0</v>
      </c>
      <c r="CU3382" t="s">
        <v>4719</v>
      </c>
      <c r="CV3382" t="s">
        <v>4720</v>
      </c>
      <c r="CY3382">
        <v>7787075</v>
      </c>
      <c r="CZ3382" t="s">
        <v>119</v>
      </c>
    </row>
    <row r="3383" spans="1:104" x14ac:dyDescent="0.25">
      <c r="A3383" t="str">
        <f>"14:46:43.328"</f>
        <v>14:46:43.328</v>
      </c>
      <c r="B3383" t="s">
        <v>108</v>
      </c>
      <c r="C3383" t="str">
        <f t="shared" si="157"/>
        <v>ffdfd3c0</v>
      </c>
      <c r="D3383" t="s">
        <v>109</v>
      </c>
      <c r="E3383">
        <v>4</v>
      </c>
      <c r="F3383">
        <v>1004</v>
      </c>
      <c r="G3383" t="s">
        <v>110</v>
      </c>
      <c r="J3383" t="s">
        <v>111</v>
      </c>
      <c r="K3383">
        <v>0</v>
      </c>
      <c r="L3383">
        <v>3</v>
      </c>
      <c r="M3383">
        <v>0</v>
      </c>
      <c r="N3383">
        <v>2</v>
      </c>
      <c r="O3383">
        <v>1</v>
      </c>
      <c r="P3383">
        <v>0</v>
      </c>
      <c r="Q3383">
        <v>0</v>
      </c>
      <c r="R3383" t="s">
        <v>112</v>
      </c>
      <c r="S3383" t="str">
        <f>"14:46:43.141"</f>
        <v>14:46:43.141</v>
      </c>
      <c r="T3383" t="str">
        <f>"14:46:42.641"</f>
        <v>14:46:42.641</v>
      </c>
      <c r="U3383" t="str">
        <f t="shared" si="156"/>
        <v>ad5732</v>
      </c>
      <c r="V3383">
        <v>0</v>
      </c>
      <c r="W3383">
        <v>0</v>
      </c>
      <c r="X3383">
        <v>1</v>
      </c>
      <c r="Z3383">
        <v>0</v>
      </c>
      <c r="AA3383">
        <v>9</v>
      </c>
      <c r="AB3383">
        <v>3</v>
      </c>
      <c r="AC3383">
        <v>0</v>
      </c>
      <c r="AD3383">
        <v>10</v>
      </c>
      <c r="AE3383">
        <v>0</v>
      </c>
      <c r="AF3383">
        <v>3</v>
      </c>
      <c r="AG3383">
        <v>2</v>
      </c>
      <c r="AH3383">
        <v>0</v>
      </c>
      <c r="AI3383" t="s">
        <v>6864</v>
      </c>
      <c r="AJ3383">
        <v>40.378596999999999</v>
      </c>
      <c r="AK3383" t="s">
        <v>6865</v>
      </c>
      <c r="AL3383">
        <v>-74.658022000000003</v>
      </c>
      <c r="AM3383">
        <v>100</v>
      </c>
      <c r="AN3383">
        <v>1700</v>
      </c>
      <c r="AO3383" t="s">
        <v>115</v>
      </c>
      <c r="AP3383">
        <v>148</v>
      </c>
      <c r="AQ3383">
        <v>-14</v>
      </c>
      <c r="AR3383">
        <v>-64</v>
      </c>
      <c r="AZ3383">
        <v>3614</v>
      </c>
      <c r="BA3383">
        <v>1</v>
      </c>
      <c r="BB3383" t="str">
        <f t="shared" si="158"/>
        <v xml:space="preserve">N959MJ  </v>
      </c>
      <c r="BC3383">
        <v>1</v>
      </c>
      <c r="BE3383">
        <v>0</v>
      </c>
      <c r="BF3383">
        <v>0</v>
      </c>
      <c r="BG3383">
        <v>0</v>
      </c>
      <c r="BH3383">
        <v>1875</v>
      </c>
      <c r="BI3383">
        <v>175</v>
      </c>
      <c r="BJ3383">
        <v>1</v>
      </c>
      <c r="BK3383">
        <v>1</v>
      </c>
      <c r="BL3383">
        <v>1</v>
      </c>
      <c r="BM3383">
        <v>0</v>
      </c>
      <c r="BP3383">
        <v>0</v>
      </c>
      <c r="BQ3383">
        <v>0</v>
      </c>
      <c r="BX3383" t="str">
        <f>"14:46:43.141"</f>
        <v>14:46:43.141</v>
      </c>
      <c r="BY3383" t="str">
        <f>"141694719"</f>
        <v>141694719</v>
      </c>
      <c r="CL3383">
        <v>0</v>
      </c>
      <c r="CM3383">
        <v>2</v>
      </c>
      <c r="CN3383">
        <v>0</v>
      </c>
      <c r="CO3383">
        <v>2</v>
      </c>
      <c r="CP3383">
        <v>0</v>
      </c>
      <c r="CQ3383">
        <v>7</v>
      </c>
      <c r="CR3383" t="s">
        <v>116</v>
      </c>
      <c r="CS3383">
        <v>38</v>
      </c>
      <c r="CT3383">
        <v>0</v>
      </c>
      <c r="CU3383" t="s">
        <v>4719</v>
      </c>
      <c r="CV3383" t="s">
        <v>4720</v>
      </c>
      <c r="CY3383">
        <v>7788716</v>
      </c>
      <c r="CZ3383" t="s">
        <v>119</v>
      </c>
    </row>
    <row r="3384" spans="1:104" x14ac:dyDescent="0.25">
      <c r="A3384" t="str">
        <f>"14:46:44.492"</f>
        <v>14:46:44.492</v>
      </c>
      <c r="B3384" t="s">
        <v>108</v>
      </c>
      <c r="C3384" t="str">
        <f t="shared" si="157"/>
        <v>ffdfd3c0</v>
      </c>
      <c r="D3384" t="s">
        <v>109</v>
      </c>
      <c r="E3384">
        <v>4</v>
      </c>
      <c r="F3384">
        <v>1004</v>
      </c>
      <c r="G3384" t="s">
        <v>110</v>
      </c>
      <c r="J3384" t="s">
        <v>111</v>
      </c>
      <c r="K3384">
        <v>0</v>
      </c>
      <c r="L3384">
        <v>3</v>
      </c>
      <c r="M3384">
        <v>0</v>
      </c>
      <c r="N3384">
        <v>2</v>
      </c>
      <c r="O3384">
        <v>1</v>
      </c>
      <c r="P3384">
        <v>0</v>
      </c>
      <c r="Q3384">
        <v>0</v>
      </c>
      <c r="R3384" t="s">
        <v>112</v>
      </c>
      <c r="S3384" t="str">
        <f>"14:46:44.258"</f>
        <v>14:46:44.258</v>
      </c>
      <c r="T3384" t="str">
        <f>"14:46:43.758"</f>
        <v>14:46:43.758</v>
      </c>
      <c r="U3384" t="str">
        <f t="shared" si="156"/>
        <v>ad5732</v>
      </c>
      <c r="V3384">
        <v>0</v>
      </c>
      <c r="W3384">
        <v>0</v>
      </c>
      <c r="X3384">
        <v>1</v>
      </c>
      <c r="Z3384">
        <v>0</v>
      </c>
      <c r="AA3384">
        <v>9</v>
      </c>
      <c r="AB3384">
        <v>3</v>
      </c>
      <c r="AC3384">
        <v>0</v>
      </c>
      <c r="AD3384">
        <v>10</v>
      </c>
      <c r="AE3384">
        <v>0</v>
      </c>
      <c r="AF3384">
        <v>3</v>
      </c>
      <c r="AG3384">
        <v>2</v>
      </c>
      <c r="AH3384">
        <v>0</v>
      </c>
      <c r="AI3384" t="s">
        <v>6866</v>
      </c>
      <c r="AJ3384">
        <v>40.378532</v>
      </c>
      <c r="AK3384" t="s">
        <v>6867</v>
      </c>
      <c r="AL3384">
        <v>-74.657034999999993</v>
      </c>
      <c r="AM3384">
        <v>100</v>
      </c>
      <c r="AN3384">
        <v>1700</v>
      </c>
      <c r="AO3384" t="s">
        <v>115</v>
      </c>
      <c r="AP3384">
        <v>147</v>
      </c>
      <c r="AQ3384">
        <v>-14</v>
      </c>
      <c r="AR3384">
        <v>-128</v>
      </c>
      <c r="AZ3384">
        <v>3614</v>
      </c>
      <c r="BA3384">
        <v>1</v>
      </c>
      <c r="BB3384" t="str">
        <f t="shared" si="158"/>
        <v xml:space="preserve">N959MJ  </v>
      </c>
      <c r="BC3384">
        <v>1</v>
      </c>
      <c r="BE3384">
        <v>0</v>
      </c>
      <c r="BF3384">
        <v>0</v>
      </c>
      <c r="BG3384">
        <v>0</v>
      </c>
      <c r="BH3384">
        <v>1875</v>
      </c>
      <c r="BI3384">
        <v>175</v>
      </c>
      <c r="BJ3384">
        <v>1</v>
      </c>
      <c r="BK3384">
        <v>1</v>
      </c>
      <c r="BL3384">
        <v>1</v>
      </c>
      <c r="BM3384">
        <v>0</v>
      </c>
      <c r="BP3384">
        <v>0</v>
      </c>
      <c r="BQ3384">
        <v>0</v>
      </c>
      <c r="BX3384" t="str">
        <f>"14:46:44.258"</f>
        <v>14:46:44.258</v>
      </c>
      <c r="BY3384" t="str">
        <f>"260741736"</f>
        <v>260741736</v>
      </c>
      <c r="CL3384">
        <v>0</v>
      </c>
      <c r="CM3384">
        <v>2</v>
      </c>
      <c r="CN3384">
        <v>0</v>
      </c>
      <c r="CO3384">
        <v>2</v>
      </c>
      <c r="CP3384">
        <v>0</v>
      </c>
      <c r="CQ3384">
        <v>7</v>
      </c>
      <c r="CR3384" t="s">
        <v>116</v>
      </c>
      <c r="CS3384">
        <v>38</v>
      </c>
      <c r="CT3384">
        <v>0</v>
      </c>
      <c r="CU3384" t="s">
        <v>4719</v>
      </c>
      <c r="CV3384" t="s">
        <v>4720</v>
      </c>
      <c r="CY3384">
        <v>7790406</v>
      </c>
      <c r="CZ3384" t="s">
        <v>119</v>
      </c>
    </row>
    <row r="3385" spans="1:104" x14ac:dyDescent="0.25">
      <c r="A3385" t="str">
        <f>"14:46:45.445"</f>
        <v>14:46:45.445</v>
      </c>
      <c r="B3385" t="s">
        <v>108</v>
      </c>
      <c r="C3385" t="str">
        <f t="shared" si="157"/>
        <v>ffdfd3c0</v>
      </c>
      <c r="D3385" t="s">
        <v>109</v>
      </c>
      <c r="E3385">
        <v>4</v>
      </c>
      <c r="F3385">
        <v>1004</v>
      </c>
      <c r="G3385" t="s">
        <v>110</v>
      </c>
      <c r="J3385" t="s">
        <v>111</v>
      </c>
      <c r="K3385">
        <v>0</v>
      </c>
      <c r="L3385">
        <v>3</v>
      </c>
      <c r="M3385">
        <v>0</v>
      </c>
      <c r="N3385">
        <v>2</v>
      </c>
      <c r="O3385">
        <v>1</v>
      </c>
      <c r="P3385">
        <v>0</v>
      </c>
      <c r="Q3385">
        <v>0</v>
      </c>
      <c r="R3385" t="s">
        <v>112</v>
      </c>
      <c r="S3385" t="str">
        <f>"14:46:45.242"</f>
        <v>14:46:45.242</v>
      </c>
      <c r="T3385" t="str">
        <f>"14:46:44.844"</f>
        <v>14:46:44.844</v>
      </c>
      <c r="U3385" t="str">
        <f t="shared" si="156"/>
        <v>ad5732</v>
      </c>
      <c r="V3385">
        <v>0</v>
      </c>
      <c r="W3385">
        <v>0</v>
      </c>
      <c r="X3385">
        <v>1</v>
      </c>
      <c r="Z3385">
        <v>0</v>
      </c>
      <c r="AA3385">
        <v>9</v>
      </c>
      <c r="AB3385">
        <v>3</v>
      </c>
      <c r="AC3385">
        <v>0</v>
      </c>
      <c r="AD3385">
        <v>10</v>
      </c>
      <c r="AE3385">
        <v>0</v>
      </c>
      <c r="AF3385">
        <v>3</v>
      </c>
      <c r="AG3385">
        <v>2</v>
      </c>
      <c r="AH3385">
        <v>0</v>
      </c>
      <c r="AI3385" t="s">
        <v>6868</v>
      </c>
      <c r="AJ3385">
        <v>40.378425</v>
      </c>
      <c r="AK3385" t="s">
        <v>6869</v>
      </c>
      <c r="AL3385">
        <v>-74.656154999999998</v>
      </c>
      <c r="AM3385">
        <v>100</v>
      </c>
      <c r="AN3385">
        <v>1700</v>
      </c>
      <c r="AO3385" t="s">
        <v>115</v>
      </c>
      <c r="AP3385">
        <v>147</v>
      </c>
      <c r="AQ3385">
        <v>-15</v>
      </c>
      <c r="AR3385">
        <v>-192</v>
      </c>
      <c r="AZ3385">
        <v>3614</v>
      </c>
      <c r="BA3385">
        <v>1</v>
      </c>
      <c r="BB3385" t="str">
        <f t="shared" si="158"/>
        <v xml:space="preserve">N959MJ  </v>
      </c>
      <c r="BC3385">
        <v>1</v>
      </c>
      <c r="BE3385">
        <v>0</v>
      </c>
      <c r="BF3385">
        <v>0</v>
      </c>
      <c r="BG3385">
        <v>0</v>
      </c>
      <c r="BH3385">
        <v>1875</v>
      </c>
      <c r="BI3385">
        <v>175</v>
      </c>
      <c r="BJ3385">
        <v>1</v>
      </c>
      <c r="BK3385">
        <v>1</v>
      </c>
      <c r="BL3385">
        <v>1</v>
      </c>
      <c r="BM3385">
        <v>0</v>
      </c>
      <c r="BP3385">
        <v>0</v>
      </c>
      <c r="BQ3385">
        <v>0</v>
      </c>
      <c r="BX3385" t="str">
        <f>"14:46:45.242"</f>
        <v>14:46:45.242</v>
      </c>
      <c r="BY3385" t="str">
        <f>"243799145"</f>
        <v>243799145</v>
      </c>
      <c r="CL3385">
        <v>0</v>
      </c>
      <c r="CM3385">
        <v>2</v>
      </c>
      <c r="CN3385">
        <v>0</v>
      </c>
      <c r="CO3385">
        <v>2</v>
      </c>
      <c r="CP3385">
        <v>0</v>
      </c>
      <c r="CQ3385">
        <v>7</v>
      </c>
      <c r="CR3385" t="s">
        <v>116</v>
      </c>
      <c r="CS3385">
        <v>38</v>
      </c>
      <c r="CT3385">
        <v>0</v>
      </c>
      <c r="CU3385" t="s">
        <v>4719</v>
      </c>
      <c r="CV3385" t="s">
        <v>4720</v>
      </c>
      <c r="CY3385">
        <v>7791921</v>
      </c>
      <c r="CZ3385" t="s">
        <v>119</v>
      </c>
    </row>
    <row r="3386" spans="1:104" x14ac:dyDescent="0.25">
      <c r="A3386" t="str">
        <f>"14:46:46.609"</f>
        <v>14:46:46.609</v>
      </c>
      <c r="B3386" t="s">
        <v>108</v>
      </c>
      <c r="C3386" t="str">
        <f t="shared" si="157"/>
        <v>ffdfd3c0</v>
      </c>
      <c r="D3386" t="s">
        <v>109</v>
      </c>
      <c r="E3386">
        <v>4</v>
      </c>
      <c r="F3386">
        <v>1004</v>
      </c>
      <c r="G3386" t="s">
        <v>110</v>
      </c>
      <c r="J3386" t="s">
        <v>111</v>
      </c>
      <c r="K3386">
        <v>0</v>
      </c>
      <c r="L3386">
        <v>3</v>
      </c>
      <c r="M3386">
        <v>0</v>
      </c>
      <c r="N3386">
        <v>2</v>
      </c>
      <c r="O3386">
        <v>1</v>
      </c>
      <c r="P3386">
        <v>0</v>
      </c>
      <c r="Q3386">
        <v>0</v>
      </c>
      <c r="R3386" t="s">
        <v>112</v>
      </c>
      <c r="S3386" t="str">
        <f>"14:46:46.406"</f>
        <v>14:46:46.406</v>
      </c>
      <c r="T3386" t="str">
        <f>"14:46:45.906"</f>
        <v>14:46:45.906</v>
      </c>
      <c r="U3386" t="str">
        <f t="shared" si="156"/>
        <v>ad5732</v>
      </c>
      <c r="V3386">
        <v>0</v>
      </c>
      <c r="W3386">
        <v>0</v>
      </c>
      <c r="X3386">
        <v>1</v>
      </c>
      <c r="Z3386">
        <v>0</v>
      </c>
      <c r="AA3386">
        <v>9</v>
      </c>
      <c r="AB3386">
        <v>3</v>
      </c>
      <c r="AC3386">
        <v>0</v>
      </c>
      <c r="AD3386">
        <v>10</v>
      </c>
      <c r="AE3386">
        <v>0</v>
      </c>
      <c r="AF3386">
        <v>3</v>
      </c>
      <c r="AG3386">
        <v>2</v>
      </c>
      <c r="AH3386">
        <v>0</v>
      </c>
      <c r="AI3386" t="s">
        <v>6870</v>
      </c>
      <c r="AJ3386">
        <v>40.378382000000002</v>
      </c>
      <c r="AK3386" t="s">
        <v>6871</v>
      </c>
      <c r="AL3386">
        <v>-74.655146999999999</v>
      </c>
      <c r="AM3386">
        <v>100</v>
      </c>
      <c r="AN3386">
        <v>1700</v>
      </c>
      <c r="AO3386" t="s">
        <v>115</v>
      </c>
      <c r="AP3386">
        <v>147</v>
      </c>
      <c r="AQ3386">
        <v>-15</v>
      </c>
      <c r="AR3386">
        <v>-192</v>
      </c>
      <c r="AZ3386">
        <v>3614</v>
      </c>
      <c r="BA3386">
        <v>1</v>
      </c>
      <c r="BB3386" t="str">
        <f t="shared" si="158"/>
        <v xml:space="preserve">N959MJ  </v>
      </c>
      <c r="BC3386">
        <v>1</v>
      </c>
      <c r="BE3386">
        <v>0</v>
      </c>
      <c r="BF3386">
        <v>0</v>
      </c>
      <c r="BG3386">
        <v>0</v>
      </c>
      <c r="BH3386">
        <v>1875</v>
      </c>
      <c r="BI3386">
        <v>175</v>
      </c>
      <c r="BJ3386">
        <v>1</v>
      </c>
      <c r="BK3386">
        <v>1</v>
      </c>
      <c r="BL3386">
        <v>1</v>
      </c>
      <c r="BM3386">
        <v>0</v>
      </c>
      <c r="BP3386">
        <v>0</v>
      </c>
      <c r="BQ3386">
        <v>0</v>
      </c>
      <c r="BX3386" t="str">
        <f>"14:46:46.414"</f>
        <v>14:46:46.414</v>
      </c>
      <c r="BY3386" t="str">
        <f>"411999070"</f>
        <v>411999070</v>
      </c>
      <c r="CL3386">
        <v>0</v>
      </c>
      <c r="CM3386">
        <v>2</v>
      </c>
      <c r="CN3386">
        <v>0</v>
      </c>
      <c r="CO3386">
        <v>2</v>
      </c>
      <c r="CP3386">
        <v>0</v>
      </c>
      <c r="CQ3386">
        <v>7</v>
      </c>
      <c r="CR3386" t="s">
        <v>116</v>
      </c>
      <c r="CS3386">
        <v>38</v>
      </c>
      <c r="CT3386">
        <v>0</v>
      </c>
      <c r="CU3386" t="s">
        <v>4719</v>
      </c>
      <c r="CV3386" t="s">
        <v>4720</v>
      </c>
      <c r="CY3386">
        <v>7793724</v>
      </c>
      <c r="CZ3386" t="s">
        <v>119</v>
      </c>
    </row>
    <row r="3387" spans="1:104" x14ac:dyDescent="0.25">
      <c r="A3387" t="str">
        <f>"14:46:47.563"</f>
        <v>14:46:47.563</v>
      </c>
      <c r="B3387" t="s">
        <v>108</v>
      </c>
      <c r="C3387" t="str">
        <f t="shared" si="157"/>
        <v>ffdfd3c0</v>
      </c>
      <c r="D3387" t="s">
        <v>109</v>
      </c>
      <c r="E3387">
        <v>4</v>
      </c>
      <c r="F3387">
        <v>1004</v>
      </c>
      <c r="G3387" t="s">
        <v>110</v>
      </c>
      <c r="J3387" t="s">
        <v>111</v>
      </c>
      <c r="K3387">
        <v>0</v>
      </c>
      <c r="L3387">
        <v>3</v>
      </c>
      <c r="M3387">
        <v>0</v>
      </c>
      <c r="N3387">
        <v>2</v>
      </c>
      <c r="O3387">
        <v>1</v>
      </c>
      <c r="P3387">
        <v>0</v>
      </c>
      <c r="Q3387">
        <v>0</v>
      </c>
      <c r="R3387" t="s">
        <v>112</v>
      </c>
      <c r="S3387" t="str">
        <f>"14:46:47.359"</f>
        <v>14:46:47.359</v>
      </c>
      <c r="T3387" t="str">
        <f>"14:46:46.961"</f>
        <v>14:46:46.961</v>
      </c>
      <c r="U3387" t="str">
        <f t="shared" si="156"/>
        <v>ad5732</v>
      </c>
      <c r="V3387">
        <v>0</v>
      </c>
      <c r="W3387">
        <v>0</v>
      </c>
      <c r="X3387">
        <v>1</v>
      </c>
      <c r="Z3387">
        <v>0</v>
      </c>
      <c r="AA3387">
        <v>9</v>
      </c>
      <c r="AB3387">
        <v>3</v>
      </c>
      <c r="AC3387">
        <v>0</v>
      </c>
      <c r="AD3387">
        <v>10</v>
      </c>
      <c r="AE3387">
        <v>0</v>
      </c>
      <c r="AF3387">
        <v>3</v>
      </c>
      <c r="AG3387">
        <v>2</v>
      </c>
      <c r="AH3387">
        <v>0</v>
      </c>
      <c r="AI3387" t="s">
        <v>6872</v>
      </c>
      <c r="AJ3387">
        <v>40.378275000000002</v>
      </c>
      <c r="AK3387" t="s">
        <v>6873</v>
      </c>
      <c r="AL3387">
        <v>-74.654287999999994</v>
      </c>
      <c r="AM3387">
        <v>100</v>
      </c>
      <c r="AN3387">
        <v>1700</v>
      </c>
      <c r="AO3387" t="s">
        <v>115</v>
      </c>
      <c r="AP3387">
        <v>147</v>
      </c>
      <c r="AQ3387">
        <v>-15</v>
      </c>
      <c r="AR3387">
        <v>-128</v>
      </c>
      <c r="AZ3387">
        <v>3614</v>
      </c>
      <c r="BA3387">
        <v>1</v>
      </c>
      <c r="BB3387" t="str">
        <f t="shared" si="158"/>
        <v xml:space="preserve">N959MJ  </v>
      </c>
      <c r="BC3387">
        <v>1</v>
      </c>
      <c r="BE3387">
        <v>0</v>
      </c>
      <c r="BF3387">
        <v>0</v>
      </c>
      <c r="BG3387">
        <v>0</v>
      </c>
      <c r="BH3387">
        <v>1875</v>
      </c>
      <c r="BI3387">
        <v>175</v>
      </c>
      <c r="BJ3387">
        <v>1</v>
      </c>
      <c r="BK3387">
        <v>1</v>
      </c>
      <c r="BL3387">
        <v>1</v>
      </c>
      <c r="BM3387">
        <v>0</v>
      </c>
      <c r="BP3387">
        <v>0</v>
      </c>
      <c r="BQ3387">
        <v>0</v>
      </c>
      <c r="BX3387" t="str">
        <f>"14:46:47.367"</f>
        <v>14:46:47.367</v>
      </c>
      <c r="BY3387" t="str">
        <f>"365564756"</f>
        <v>365564756</v>
      </c>
      <c r="CL3387">
        <v>0</v>
      </c>
      <c r="CM3387">
        <v>2</v>
      </c>
      <c r="CN3387">
        <v>0</v>
      </c>
      <c r="CO3387">
        <v>2</v>
      </c>
      <c r="CP3387">
        <v>0</v>
      </c>
      <c r="CQ3387">
        <v>7</v>
      </c>
      <c r="CR3387" t="s">
        <v>116</v>
      </c>
      <c r="CS3387">
        <v>38</v>
      </c>
      <c r="CT3387">
        <v>0</v>
      </c>
      <c r="CU3387" t="s">
        <v>4719</v>
      </c>
      <c r="CV3387" t="s">
        <v>4720</v>
      </c>
      <c r="CY3387">
        <v>7795094</v>
      </c>
      <c r="CZ3387" t="s">
        <v>119</v>
      </c>
    </row>
    <row r="3388" spans="1:104" x14ac:dyDescent="0.25">
      <c r="A3388" t="str">
        <f>"14:46:48.422"</f>
        <v>14:46:48.422</v>
      </c>
      <c r="B3388" t="s">
        <v>108</v>
      </c>
      <c r="C3388" t="str">
        <f t="shared" si="157"/>
        <v>ffdfd3c0</v>
      </c>
      <c r="D3388" t="s">
        <v>109</v>
      </c>
      <c r="E3388">
        <v>4</v>
      </c>
      <c r="F3388">
        <v>1004</v>
      </c>
      <c r="G3388" t="s">
        <v>110</v>
      </c>
      <c r="J3388" t="s">
        <v>111</v>
      </c>
      <c r="K3388">
        <v>0</v>
      </c>
      <c r="L3388">
        <v>3</v>
      </c>
      <c r="M3388">
        <v>0</v>
      </c>
      <c r="N3388">
        <v>2</v>
      </c>
      <c r="O3388">
        <v>1</v>
      </c>
      <c r="P3388">
        <v>0</v>
      </c>
      <c r="Q3388">
        <v>0</v>
      </c>
      <c r="R3388" t="s">
        <v>112</v>
      </c>
      <c r="S3388" t="str">
        <f>"14:46:48.227"</f>
        <v>14:46:48.227</v>
      </c>
      <c r="T3388" t="str">
        <f>"14:46:47.828"</f>
        <v>14:46:47.828</v>
      </c>
      <c r="U3388" t="str">
        <f t="shared" si="156"/>
        <v>ad5732</v>
      </c>
      <c r="V3388">
        <v>0</v>
      </c>
      <c r="W3388">
        <v>0</v>
      </c>
      <c r="X3388">
        <v>1</v>
      </c>
      <c r="Z3388">
        <v>0</v>
      </c>
      <c r="AA3388">
        <v>9</v>
      </c>
      <c r="AB3388">
        <v>3</v>
      </c>
      <c r="AC3388">
        <v>0</v>
      </c>
      <c r="AD3388">
        <v>10</v>
      </c>
      <c r="AE3388">
        <v>0</v>
      </c>
      <c r="AF3388">
        <v>3</v>
      </c>
      <c r="AG3388">
        <v>2</v>
      </c>
      <c r="AH3388">
        <v>0</v>
      </c>
      <c r="AI3388" t="s">
        <v>6874</v>
      </c>
      <c r="AJ3388">
        <v>40.378253000000001</v>
      </c>
      <c r="AK3388" t="s">
        <v>6875</v>
      </c>
      <c r="AL3388">
        <v>-74.653473000000005</v>
      </c>
      <c r="AM3388">
        <v>100</v>
      </c>
      <c r="AN3388">
        <v>1700</v>
      </c>
      <c r="AO3388" t="s">
        <v>115</v>
      </c>
      <c r="AP3388">
        <v>147</v>
      </c>
      <c r="AQ3388">
        <v>-15</v>
      </c>
      <c r="AR3388">
        <v>-64</v>
      </c>
      <c r="AZ3388">
        <v>3614</v>
      </c>
      <c r="BA3388">
        <v>1</v>
      </c>
      <c r="BB3388" t="str">
        <f t="shared" si="158"/>
        <v xml:space="preserve">N959MJ  </v>
      </c>
      <c r="BC3388">
        <v>1</v>
      </c>
      <c r="BE3388">
        <v>0</v>
      </c>
      <c r="BF3388">
        <v>0</v>
      </c>
      <c r="BG3388">
        <v>0</v>
      </c>
      <c r="BH3388">
        <v>1850</v>
      </c>
      <c r="BI3388">
        <v>150</v>
      </c>
      <c r="BJ3388">
        <v>1</v>
      </c>
      <c r="BK3388">
        <v>1</v>
      </c>
      <c r="BL3388">
        <v>1</v>
      </c>
      <c r="BM3388">
        <v>0</v>
      </c>
      <c r="BP3388">
        <v>0</v>
      </c>
      <c r="BQ3388">
        <v>0</v>
      </c>
      <c r="BX3388" t="str">
        <f>"14:46:48.227"</f>
        <v>14:46:48.227</v>
      </c>
      <c r="BY3388" t="str">
        <f>"227378384"</f>
        <v>227378384</v>
      </c>
      <c r="CL3388">
        <v>0</v>
      </c>
      <c r="CM3388">
        <v>2</v>
      </c>
      <c r="CN3388">
        <v>0</v>
      </c>
      <c r="CO3388">
        <v>2</v>
      </c>
      <c r="CP3388">
        <v>0</v>
      </c>
      <c r="CQ3388">
        <v>6</v>
      </c>
      <c r="CR3388" t="s">
        <v>116</v>
      </c>
      <c r="CS3388">
        <v>38</v>
      </c>
      <c r="CT3388">
        <v>1</v>
      </c>
      <c r="CU3388" t="s">
        <v>4719</v>
      </c>
      <c r="CV3388" t="s">
        <v>4720</v>
      </c>
      <c r="CY3388">
        <v>11754061</v>
      </c>
      <c r="CZ3388" t="s">
        <v>119</v>
      </c>
    </row>
    <row r="3389" spans="1:104" x14ac:dyDescent="0.25">
      <c r="A3389" t="str">
        <f>"14:46:49.383"</f>
        <v>14:46:49.383</v>
      </c>
      <c r="B3389" t="s">
        <v>108</v>
      </c>
      <c r="C3389" t="str">
        <f t="shared" si="157"/>
        <v>ffdfd3c0</v>
      </c>
      <c r="D3389" t="s">
        <v>109</v>
      </c>
      <c r="E3389">
        <v>4</v>
      </c>
      <c r="F3389">
        <v>1004</v>
      </c>
      <c r="G3389" t="s">
        <v>110</v>
      </c>
      <c r="J3389" t="s">
        <v>111</v>
      </c>
      <c r="K3389">
        <v>0</v>
      </c>
      <c r="L3389">
        <v>3</v>
      </c>
      <c r="M3389">
        <v>0</v>
      </c>
      <c r="N3389">
        <v>2</v>
      </c>
      <c r="O3389">
        <v>1</v>
      </c>
      <c r="P3389">
        <v>0</v>
      </c>
      <c r="Q3389">
        <v>0</v>
      </c>
      <c r="R3389" t="s">
        <v>112</v>
      </c>
      <c r="S3389" t="str">
        <f>"14:46:49.211"</f>
        <v>14:46:49.211</v>
      </c>
      <c r="T3389" t="str">
        <f>"14:46:48.813"</f>
        <v>14:46:48.813</v>
      </c>
      <c r="U3389" t="str">
        <f t="shared" si="156"/>
        <v>ad5732</v>
      </c>
      <c r="V3389">
        <v>0</v>
      </c>
      <c r="W3389">
        <v>0</v>
      </c>
      <c r="X3389">
        <v>1</v>
      </c>
      <c r="Z3389">
        <v>0</v>
      </c>
      <c r="AA3389">
        <v>9</v>
      </c>
      <c r="AB3389">
        <v>3</v>
      </c>
      <c r="AC3389">
        <v>0</v>
      </c>
      <c r="AD3389">
        <v>10</v>
      </c>
      <c r="AE3389">
        <v>0</v>
      </c>
      <c r="AF3389">
        <v>3</v>
      </c>
      <c r="AG3389">
        <v>2</v>
      </c>
      <c r="AH3389">
        <v>0</v>
      </c>
      <c r="AI3389" t="s">
        <v>6876</v>
      </c>
      <c r="AJ3389">
        <v>40.378188999999999</v>
      </c>
      <c r="AK3389" t="s">
        <v>6877</v>
      </c>
      <c r="AL3389">
        <v>-74.652699999999996</v>
      </c>
      <c r="AM3389">
        <v>100</v>
      </c>
      <c r="AN3389">
        <v>1700</v>
      </c>
      <c r="AO3389" t="s">
        <v>115</v>
      </c>
      <c r="AP3389">
        <v>147</v>
      </c>
      <c r="AQ3389">
        <v>-15</v>
      </c>
      <c r="AR3389">
        <v>-64</v>
      </c>
      <c r="AZ3389">
        <v>3614</v>
      </c>
      <c r="BA3389">
        <v>1</v>
      </c>
      <c r="BB3389" t="str">
        <f t="shared" si="158"/>
        <v xml:space="preserve">N959MJ  </v>
      </c>
      <c r="BC3389">
        <v>1</v>
      </c>
      <c r="BE3389">
        <v>0</v>
      </c>
      <c r="BF3389">
        <v>0</v>
      </c>
      <c r="BG3389">
        <v>0</v>
      </c>
      <c r="BH3389">
        <v>1850</v>
      </c>
      <c r="BI3389">
        <v>150</v>
      </c>
      <c r="BJ3389">
        <v>1</v>
      </c>
      <c r="BK3389">
        <v>1</v>
      </c>
      <c r="BL3389">
        <v>1</v>
      </c>
      <c r="BM3389">
        <v>0</v>
      </c>
      <c r="BP3389">
        <v>0</v>
      </c>
      <c r="BQ3389">
        <v>0</v>
      </c>
      <c r="BX3389" t="str">
        <f>"14:46:49.211"</f>
        <v>14:46:49.211</v>
      </c>
      <c r="BY3389" t="str">
        <f>"212199461"</f>
        <v>212199461</v>
      </c>
      <c r="CL3389">
        <v>0</v>
      </c>
      <c r="CM3389">
        <v>2</v>
      </c>
      <c r="CN3389">
        <v>0</v>
      </c>
      <c r="CO3389">
        <v>2</v>
      </c>
      <c r="CP3389">
        <v>0</v>
      </c>
      <c r="CQ3389">
        <v>5</v>
      </c>
      <c r="CR3389" t="s">
        <v>116</v>
      </c>
      <c r="CS3389">
        <v>409</v>
      </c>
      <c r="CT3389">
        <v>1</v>
      </c>
      <c r="CU3389" t="s">
        <v>5087</v>
      </c>
      <c r="CV3389" t="s">
        <v>5088</v>
      </c>
      <c r="CY3389">
        <v>4142232</v>
      </c>
      <c r="CZ3389" t="s">
        <v>119</v>
      </c>
    </row>
    <row r="3390" spans="1:104" x14ac:dyDescent="0.25">
      <c r="A3390" t="str">
        <f>"14:46:50.391"</f>
        <v>14:46:50.391</v>
      </c>
      <c r="B3390" t="s">
        <v>108</v>
      </c>
      <c r="C3390" t="str">
        <f t="shared" si="157"/>
        <v>ffdfd3c0</v>
      </c>
      <c r="D3390" t="s">
        <v>109</v>
      </c>
      <c r="E3390">
        <v>4</v>
      </c>
      <c r="F3390">
        <v>1004</v>
      </c>
      <c r="G3390" t="s">
        <v>110</v>
      </c>
      <c r="J3390" t="s">
        <v>111</v>
      </c>
      <c r="K3390">
        <v>0</v>
      </c>
      <c r="L3390">
        <v>3</v>
      </c>
      <c r="M3390">
        <v>0</v>
      </c>
      <c r="N3390">
        <v>2</v>
      </c>
      <c r="O3390">
        <v>1</v>
      </c>
      <c r="P3390">
        <v>0</v>
      </c>
      <c r="Q3390">
        <v>0</v>
      </c>
      <c r="R3390" t="s">
        <v>112</v>
      </c>
      <c r="S3390" t="str">
        <f>"14:46:50.203"</f>
        <v>14:46:50.203</v>
      </c>
      <c r="T3390" t="str">
        <f>"14:46:49.703"</f>
        <v>14:46:49.703</v>
      </c>
      <c r="U3390" t="str">
        <f t="shared" si="156"/>
        <v>ad5732</v>
      </c>
      <c r="V3390">
        <v>0</v>
      </c>
      <c r="W3390">
        <v>0</v>
      </c>
      <c r="X3390">
        <v>1</v>
      </c>
      <c r="Z3390">
        <v>0</v>
      </c>
      <c r="AA3390">
        <v>9</v>
      </c>
      <c r="AB3390">
        <v>3</v>
      </c>
      <c r="AC3390">
        <v>0</v>
      </c>
      <c r="AD3390">
        <v>10</v>
      </c>
      <c r="AE3390">
        <v>0</v>
      </c>
      <c r="AF3390">
        <v>3</v>
      </c>
      <c r="AG3390">
        <v>2</v>
      </c>
      <c r="AH3390">
        <v>0</v>
      </c>
      <c r="AI3390" t="s">
        <v>6878</v>
      </c>
      <c r="AJ3390">
        <v>40.378103000000003</v>
      </c>
      <c r="AK3390" t="s">
        <v>6879</v>
      </c>
      <c r="AL3390">
        <v>-74.651798999999997</v>
      </c>
      <c r="AM3390">
        <v>100</v>
      </c>
      <c r="AN3390">
        <v>1700</v>
      </c>
      <c r="AO3390" t="s">
        <v>115</v>
      </c>
      <c r="AP3390">
        <v>147</v>
      </c>
      <c r="AQ3390">
        <v>-15</v>
      </c>
      <c r="AR3390">
        <v>-64</v>
      </c>
      <c r="AZ3390">
        <v>3614</v>
      </c>
      <c r="BA3390">
        <v>1</v>
      </c>
      <c r="BB3390" t="str">
        <f t="shared" si="158"/>
        <v xml:space="preserve">N959MJ  </v>
      </c>
      <c r="BC3390">
        <v>1</v>
      </c>
      <c r="BE3390">
        <v>0</v>
      </c>
      <c r="BF3390">
        <v>0</v>
      </c>
      <c r="BG3390">
        <v>0</v>
      </c>
      <c r="BH3390">
        <v>1850</v>
      </c>
      <c r="BI3390">
        <v>150</v>
      </c>
      <c r="BJ3390">
        <v>1</v>
      </c>
      <c r="BK3390">
        <v>1</v>
      </c>
      <c r="BL3390">
        <v>1</v>
      </c>
      <c r="BM3390">
        <v>0</v>
      </c>
      <c r="BP3390">
        <v>0</v>
      </c>
      <c r="BQ3390">
        <v>0</v>
      </c>
      <c r="BX3390" t="str">
        <f>"14:46:50.203"</f>
        <v>14:46:50.203</v>
      </c>
      <c r="BY3390" t="str">
        <f>"204962182"</f>
        <v>204962182</v>
      </c>
      <c r="CL3390">
        <v>0</v>
      </c>
      <c r="CM3390">
        <v>2</v>
      </c>
      <c r="CN3390">
        <v>0</v>
      </c>
      <c r="CO3390">
        <v>2</v>
      </c>
      <c r="CP3390">
        <v>0</v>
      </c>
      <c r="CQ3390">
        <v>7</v>
      </c>
      <c r="CR3390" t="s">
        <v>116</v>
      </c>
      <c r="CS3390">
        <v>38</v>
      </c>
      <c r="CT3390">
        <v>0</v>
      </c>
      <c r="CU3390" t="s">
        <v>4719</v>
      </c>
      <c r="CV3390" t="s">
        <v>4720</v>
      </c>
      <c r="CY3390">
        <v>7799229</v>
      </c>
      <c r="CZ3390" t="s">
        <v>119</v>
      </c>
    </row>
    <row r="3391" spans="1:104" x14ac:dyDescent="0.25">
      <c r="A3391" t="str">
        <f>"14:46:51.352"</f>
        <v>14:46:51.352</v>
      </c>
      <c r="B3391" t="s">
        <v>108</v>
      </c>
      <c r="C3391" t="str">
        <f t="shared" si="157"/>
        <v>ffdfd3c0</v>
      </c>
      <c r="D3391" t="s">
        <v>109</v>
      </c>
      <c r="E3391">
        <v>4</v>
      </c>
      <c r="F3391">
        <v>1004</v>
      </c>
      <c r="G3391" t="s">
        <v>110</v>
      </c>
      <c r="J3391" t="s">
        <v>111</v>
      </c>
      <c r="K3391">
        <v>0</v>
      </c>
      <c r="L3391">
        <v>3</v>
      </c>
      <c r="M3391">
        <v>0</v>
      </c>
      <c r="N3391">
        <v>2</v>
      </c>
      <c r="O3391">
        <v>1</v>
      </c>
      <c r="P3391">
        <v>0</v>
      </c>
      <c r="Q3391">
        <v>0</v>
      </c>
      <c r="R3391" t="s">
        <v>112</v>
      </c>
      <c r="S3391" t="str">
        <f>"14:46:51.195"</f>
        <v>14:46:51.195</v>
      </c>
      <c r="T3391" t="str">
        <f>"14:46:50.797"</f>
        <v>14:46:50.797</v>
      </c>
      <c r="U3391" t="str">
        <f t="shared" si="156"/>
        <v>ad5732</v>
      </c>
      <c r="V3391">
        <v>0</v>
      </c>
      <c r="W3391">
        <v>0</v>
      </c>
      <c r="X3391">
        <v>1</v>
      </c>
      <c r="Z3391">
        <v>0</v>
      </c>
      <c r="AA3391">
        <v>9</v>
      </c>
      <c r="AB3391">
        <v>3</v>
      </c>
      <c r="AC3391">
        <v>0</v>
      </c>
      <c r="AD3391">
        <v>10</v>
      </c>
      <c r="AE3391">
        <v>0</v>
      </c>
      <c r="AF3391">
        <v>3</v>
      </c>
      <c r="AG3391">
        <v>2</v>
      </c>
      <c r="AH3391">
        <v>0</v>
      </c>
      <c r="AI3391" t="s">
        <v>6880</v>
      </c>
      <c r="AJ3391">
        <v>40.378059999999998</v>
      </c>
      <c r="AK3391" t="s">
        <v>6881</v>
      </c>
      <c r="AL3391">
        <v>-74.650941000000003</v>
      </c>
      <c r="AM3391">
        <v>100</v>
      </c>
      <c r="AN3391">
        <v>1700</v>
      </c>
      <c r="AO3391" t="s">
        <v>115</v>
      </c>
      <c r="AP3391">
        <v>146</v>
      </c>
      <c r="AQ3391">
        <v>-15</v>
      </c>
      <c r="AR3391">
        <v>0</v>
      </c>
      <c r="AZ3391">
        <v>3614</v>
      </c>
      <c r="BA3391">
        <v>1</v>
      </c>
      <c r="BB3391" t="str">
        <f t="shared" si="158"/>
        <v xml:space="preserve">N959MJ  </v>
      </c>
      <c r="BC3391">
        <v>1</v>
      </c>
      <c r="BE3391">
        <v>0</v>
      </c>
      <c r="BF3391">
        <v>0</v>
      </c>
      <c r="BG3391">
        <v>0</v>
      </c>
      <c r="BH3391">
        <v>1850</v>
      </c>
      <c r="BI3391">
        <v>150</v>
      </c>
      <c r="BJ3391">
        <v>1</v>
      </c>
      <c r="BK3391">
        <v>1</v>
      </c>
      <c r="BL3391">
        <v>1</v>
      </c>
      <c r="BM3391">
        <v>0</v>
      </c>
      <c r="BP3391">
        <v>0</v>
      </c>
      <c r="BQ3391">
        <v>0</v>
      </c>
      <c r="BX3391" t="str">
        <f>"14:46:51.203"</f>
        <v>14:46:51.203</v>
      </c>
      <c r="BY3391" t="str">
        <f>"199488593"</f>
        <v>199488593</v>
      </c>
      <c r="CL3391">
        <v>0</v>
      </c>
      <c r="CM3391">
        <v>2</v>
      </c>
      <c r="CN3391">
        <v>0</v>
      </c>
      <c r="CO3391">
        <v>2</v>
      </c>
      <c r="CP3391">
        <v>0</v>
      </c>
      <c r="CQ3391">
        <v>7</v>
      </c>
      <c r="CR3391" t="s">
        <v>116</v>
      </c>
      <c r="CS3391">
        <v>38</v>
      </c>
      <c r="CT3391">
        <v>0</v>
      </c>
      <c r="CU3391" t="s">
        <v>4719</v>
      </c>
      <c r="CV3391" t="s">
        <v>4720</v>
      </c>
      <c r="CY3391">
        <v>7800837</v>
      </c>
      <c r="CZ3391" t="s">
        <v>119</v>
      </c>
    </row>
    <row r="3392" spans="1:104" x14ac:dyDescent="0.25">
      <c r="A3392" t="str">
        <f>"14:46:52.359"</f>
        <v>14:46:52.359</v>
      </c>
      <c r="B3392" t="s">
        <v>108</v>
      </c>
      <c r="C3392" t="str">
        <f t="shared" si="157"/>
        <v>ffdfd3c0</v>
      </c>
      <c r="D3392" t="s">
        <v>109</v>
      </c>
      <c r="E3392">
        <v>4</v>
      </c>
      <c r="F3392">
        <v>1004</v>
      </c>
      <c r="G3392" t="s">
        <v>110</v>
      </c>
      <c r="J3392" t="s">
        <v>111</v>
      </c>
      <c r="K3392">
        <v>0</v>
      </c>
      <c r="L3392">
        <v>3</v>
      </c>
      <c r="M3392">
        <v>0</v>
      </c>
      <c r="N3392">
        <v>2</v>
      </c>
      <c r="O3392">
        <v>1</v>
      </c>
      <c r="P3392">
        <v>0</v>
      </c>
      <c r="Q3392">
        <v>0</v>
      </c>
      <c r="R3392" t="s">
        <v>112</v>
      </c>
      <c r="S3392" t="str">
        <f>"14:46:52.180"</f>
        <v>14:46:52.180</v>
      </c>
      <c r="T3392" t="str">
        <f>"14:46:51.781"</f>
        <v>14:46:51.781</v>
      </c>
      <c r="U3392" t="str">
        <f t="shared" si="156"/>
        <v>ad5732</v>
      </c>
      <c r="V3392">
        <v>0</v>
      </c>
      <c r="W3392">
        <v>0</v>
      </c>
      <c r="X3392">
        <v>1</v>
      </c>
      <c r="Z3392">
        <v>0</v>
      </c>
      <c r="AA3392">
        <v>9</v>
      </c>
      <c r="AB3392">
        <v>3</v>
      </c>
      <c r="AC3392">
        <v>0</v>
      </c>
      <c r="AD3392">
        <v>10</v>
      </c>
      <c r="AE3392">
        <v>0</v>
      </c>
      <c r="AF3392">
        <v>3</v>
      </c>
      <c r="AG3392">
        <v>2</v>
      </c>
      <c r="AH3392">
        <v>0</v>
      </c>
      <c r="AI3392" t="s">
        <v>6882</v>
      </c>
      <c r="AJ3392">
        <v>40.377952999999998</v>
      </c>
      <c r="AK3392" t="s">
        <v>6883</v>
      </c>
      <c r="AL3392">
        <v>-74.650018000000003</v>
      </c>
      <c r="AM3392">
        <v>100</v>
      </c>
      <c r="AN3392">
        <v>1700</v>
      </c>
      <c r="AO3392" t="s">
        <v>115</v>
      </c>
      <c r="AP3392">
        <v>146</v>
      </c>
      <c r="AQ3392">
        <v>-15</v>
      </c>
      <c r="AR3392">
        <v>0</v>
      </c>
      <c r="AZ3392">
        <v>3614</v>
      </c>
      <c r="BA3392">
        <v>1</v>
      </c>
      <c r="BB3392" t="str">
        <f t="shared" si="158"/>
        <v xml:space="preserve">N959MJ  </v>
      </c>
      <c r="BC3392">
        <v>1</v>
      </c>
      <c r="BE3392">
        <v>0</v>
      </c>
      <c r="BF3392">
        <v>0</v>
      </c>
      <c r="BG3392">
        <v>0</v>
      </c>
      <c r="BH3392">
        <v>1850</v>
      </c>
      <c r="BI3392">
        <v>150</v>
      </c>
      <c r="BJ3392">
        <v>1</v>
      </c>
      <c r="BK3392">
        <v>1</v>
      </c>
      <c r="BL3392">
        <v>1</v>
      </c>
      <c r="BM3392">
        <v>0</v>
      </c>
      <c r="BP3392">
        <v>0</v>
      </c>
      <c r="BQ3392">
        <v>0</v>
      </c>
      <c r="BX3392" t="str">
        <f>"14:46:52.188"</f>
        <v>14:46:52.188</v>
      </c>
      <c r="BY3392" t="str">
        <f>"187461280"</f>
        <v>187461280</v>
      </c>
      <c r="CL3392">
        <v>0</v>
      </c>
      <c r="CM3392">
        <v>2</v>
      </c>
      <c r="CN3392">
        <v>0</v>
      </c>
      <c r="CO3392">
        <v>2</v>
      </c>
      <c r="CP3392">
        <v>0</v>
      </c>
      <c r="CQ3392">
        <v>7</v>
      </c>
      <c r="CR3392" t="s">
        <v>116</v>
      </c>
      <c r="CS3392">
        <v>38</v>
      </c>
      <c r="CT3392">
        <v>0</v>
      </c>
      <c r="CU3392" t="s">
        <v>4719</v>
      </c>
      <c r="CV3392" t="s">
        <v>4720</v>
      </c>
      <c r="CY3392">
        <v>7802338</v>
      </c>
      <c r="CZ3392" t="s">
        <v>119</v>
      </c>
    </row>
    <row r="3393" spans="1:104" x14ac:dyDescent="0.25">
      <c r="A3393" t="str">
        <f>"14:46:53.375"</f>
        <v>14:46:53.375</v>
      </c>
      <c r="B3393" t="s">
        <v>108</v>
      </c>
      <c r="C3393" t="str">
        <f t="shared" si="157"/>
        <v>ffdfd3c0</v>
      </c>
      <c r="D3393" t="s">
        <v>109</v>
      </c>
      <c r="E3393">
        <v>4</v>
      </c>
      <c r="F3393">
        <v>1004</v>
      </c>
      <c r="G3393" t="s">
        <v>110</v>
      </c>
      <c r="J3393" t="s">
        <v>111</v>
      </c>
      <c r="K3393">
        <v>0</v>
      </c>
      <c r="L3393">
        <v>3</v>
      </c>
      <c r="M3393">
        <v>0</v>
      </c>
      <c r="N3393">
        <v>2</v>
      </c>
      <c r="O3393">
        <v>1</v>
      </c>
      <c r="P3393">
        <v>0</v>
      </c>
      <c r="Q3393">
        <v>0</v>
      </c>
      <c r="R3393" t="s">
        <v>112</v>
      </c>
      <c r="S3393" t="str">
        <f>"14:46:53.148"</f>
        <v>14:46:53.148</v>
      </c>
      <c r="T3393" t="str">
        <f>"14:46:52.648"</f>
        <v>14:46:52.648</v>
      </c>
      <c r="U3393" t="str">
        <f t="shared" si="156"/>
        <v>ad5732</v>
      </c>
      <c r="V3393">
        <v>0</v>
      </c>
      <c r="W3393">
        <v>0</v>
      </c>
      <c r="X3393">
        <v>1</v>
      </c>
      <c r="Z3393">
        <v>0</v>
      </c>
      <c r="AA3393">
        <v>9</v>
      </c>
      <c r="AB3393">
        <v>3</v>
      </c>
      <c r="AC3393">
        <v>0</v>
      </c>
      <c r="AD3393">
        <v>10</v>
      </c>
      <c r="AE3393">
        <v>0</v>
      </c>
      <c r="AF3393">
        <v>3</v>
      </c>
      <c r="AG3393">
        <v>2</v>
      </c>
      <c r="AH3393">
        <v>0</v>
      </c>
      <c r="AI3393" t="s">
        <v>6884</v>
      </c>
      <c r="AJ3393">
        <v>40.37791</v>
      </c>
      <c r="AK3393" t="s">
        <v>6885</v>
      </c>
      <c r="AL3393">
        <v>-74.649159999999995</v>
      </c>
      <c r="AM3393">
        <v>100</v>
      </c>
      <c r="AN3393">
        <v>1700</v>
      </c>
      <c r="AO3393" t="s">
        <v>115</v>
      </c>
      <c r="AP3393">
        <v>146</v>
      </c>
      <c r="AQ3393">
        <v>-15</v>
      </c>
      <c r="AR3393">
        <v>0</v>
      </c>
      <c r="AZ3393">
        <v>3614</v>
      </c>
      <c r="BA3393">
        <v>1</v>
      </c>
      <c r="BB3393" t="str">
        <f t="shared" si="158"/>
        <v xml:space="preserve">N959MJ  </v>
      </c>
      <c r="BC3393">
        <v>1</v>
      </c>
      <c r="BE3393">
        <v>0</v>
      </c>
      <c r="BF3393">
        <v>0</v>
      </c>
      <c r="BG3393">
        <v>0</v>
      </c>
      <c r="BH3393">
        <v>1850</v>
      </c>
      <c r="BI3393">
        <v>150</v>
      </c>
      <c r="BJ3393">
        <v>1</v>
      </c>
      <c r="BK3393">
        <v>1</v>
      </c>
      <c r="BL3393">
        <v>1</v>
      </c>
      <c r="BM3393">
        <v>0</v>
      </c>
      <c r="BP3393">
        <v>0</v>
      </c>
      <c r="BQ3393">
        <v>0</v>
      </c>
      <c r="BX3393" t="str">
        <f>"14:46:53.156"</f>
        <v>14:46:53.156</v>
      </c>
      <c r="BY3393" t="str">
        <f>"155772839"</f>
        <v>155772839</v>
      </c>
      <c r="CL3393">
        <v>0</v>
      </c>
      <c r="CM3393">
        <v>2</v>
      </c>
      <c r="CN3393">
        <v>0</v>
      </c>
      <c r="CO3393">
        <v>2</v>
      </c>
      <c r="CP3393">
        <v>0</v>
      </c>
      <c r="CQ3393">
        <v>7</v>
      </c>
      <c r="CR3393" t="s">
        <v>116</v>
      </c>
      <c r="CS3393">
        <v>38</v>
      </c>
      <c r="CT3393">
        <v>0</v>
      </c>
      <c r="CU3393" t="s">
        <v>4719</v>
      </c>
      <c r="CV3393" t="s">
        <v>4720</v>
      </c>
      <c r="CY3393">
        <v>7803793</v>
      </c>
      <c r="CZ3393" t="s">
        <v>119</v>
      </c>
    </row>
    <row r="3394" spans="1:104" x14ac:dyDescent="0.25">
      <c r="A3394" t="str">
        <f>"14:46:54.484"</f>
        <v>14:46:54.484</v>
      </c>
      <c r="B3394" t="s">
        <v>108</v>
      </c>
      <c r="C3394" t="str">
        <f t="shared" si="157"/>
        <v>ffdfd3c0</v>
      </c>
      <c r="D3394" t="s">
        <v>109</v>
      </c>
      <c r="E3394">
        <v>4</v>
      </c>
      <c r="F3394">
        <v>1004</v>
      </c>
      <c r="G3394" t="s">
        <v>110</v>
      </c>
      <c r="J3394" t="s">
        <v>111</v>
      </c>
      <c r="K3394">
        <v>0</v>
      </c>
      <c r="L3394">
        <v>3</v>
      </c>
      <c r="M3394">
        <v>0</v>
      </c>
      <c r="N3394">
        <v>2</v>
      </c>
      <c r="O3394">
        <v>1</v>
      </c>
      <c r="P3394">
        <v>0</v>
      </c>
      <c r="Q3394">
        <v>0</v>
      </c>
      <c r="R3394" t="s">
        <v>112</v>
      </c>
      <c r="S3394" t="str">
        <f>"14:46:54.281"</f>
        <v>14:46:54.281</v>
      </c>
      <c r="T3394" t="str">
        <f>"14:46:53.781"</f>
        <v>14:46:53.781</v>
      </c>
      <c r="U3394" t="str">
        <f t="shared" ref="U3394:U3457" si="159">"ad5732"</f>
        <v>ad5732</v>
      </c>
      <c r="V3394">
        <v>0</v>
      </c>
      <c r="W3394">
        <v>0</v>
      </c>
      <c r="X3394">
        <v>1</v>
      </c>
      <c r="Z3394">
        <v>0</v>
      </c>
      <c r="AA3394">
        <v>9</v>
      </c>
      <c r="AB3394">
        <v>3</v>
      </c>
      <c r="AC3394">
        <v>0</v>
      </c>
      <c r="AD3394">
        <v>10</v>
      </c>
      <c r="AE3394">
        <v>0</v>
      </c>
      <c r="AF3394">
        <v>3</v>
      </c>
      <c r="AG3394">
        <v>2</v>
      </c>
      <c r="AH3394">
        <v>0</v>
      </c>
      <c r="AI3394" t="s">
        <v>6886</v>
      </c>
      <c r="AJ3394">
        <v>40.377823999999997</v>
      </c>
      <c r="AK3394" t="s">
        <v>6887</v>
      </c>
      <c r="AL3394">
        <v>-74.648173</v>
      </c>
      <c r="AM3394">
        <v>100</v>
      </c>
      <c r="AN3394">
        <v>1700</v>
      </c>
      <c r="AO3394" t="s">
        <v>115</v>
      </c>
      <c r="AP3394">
        <v>146</v>
      </c>
      <c r="AQ3394">
        <v>-15</v>
      </c>
      <c r="AR3394">
        <v>0</v>
      </c>
      <c r="AZ3394">
        <v>3614</v>
      </c>
      <c r="BA3394">
        <v>1</v>
      </c>
      <c r="BB3394" t="str">
        <f t="shared" si="158"/>
        <v xml:space="preserve">N959MJ  </v>
      </c>
      <c r="BC3394">
        <v>1</v>
      </c>
      <c r="BE3394">
        <v>0</v>
      </c>
      <c r="BF3394">
        <v>0</v>
      </c>
      <c r="BG3394">
        <v>0</v>
      </c>
      <c r="BH3394">
        <v>1850</v>
      </c>
      <c r="BI3394">
        <v>150</v>
      </c>
      <c r="BJ3394">
        <v>1</v>
      </c>
      <c r="BK3394">
        <v>1</v>
      </c>
      <c r="BL3394">
        <v>1</v>
      </c>
      <c r="BM3394">
        <v>0</v>
      </c>
      <c r="BP3394">
        <v>0</v>
      </c>
      <c r="BQ3394">
        <v>0</v>
      </c>
      <c r="BX3394" t="str">
        <f>"14:46:54.281"</f>
        <v>14:46:54.281</v>
      </c>
      <c r="BY3394" t="str">
        <f>"283012050"</f>
        <v>283012050</v>
      </c>
      <c r="CL3394">
        <v>0</v>
      </c>
      <c r="CM3394">
        <v>2</v>
      </c>
      <c r="CN3394">
        <v>0</v>
      </c>
      <c r="CO3394">
        <v>2</v>
      </c>
      <c r="CP3394">
        <v>0</v>
      </c>
      <c r="CQ3394">
        <v>7</v>
      </c>
      <c r="CR3394" t="s">
        <v>116</v>
      </c>
      <c r="CS3394">
        <v>38</v>
      </c>
      <c r="CT3394">
        <v>0</v>
      </c>
      <c r="CU3394" t="s">
        <v>4719</v>
      </c>
      <c r="CV3394" t="s">
        <v>4720</v>
      </c>
      <c r="CY3394">
        <v>7805538</v>
      </c>
      <c r="CZ3394" t="s">
        <v>119</v>
      </c>
    </row>
    <row r="3395" spans="1:104" x14ac:dyDescent="0.25">
      <c r="A3395" t="str">
        <f>"14:46:55.344"</f>
        <v>14:46:55.344</v>
      </c>
      <c r="B3395" t="s">
        <v>108</v>
      </c>
      <c r="C3395" t="str">
        <f t="shared" si="157"/>
        <v>ffdfd3c0</v>
      </c>
      <c r="D3395" t="s">
        <v>109</v>
      </c>
      <c r="E3395">
        <v>4</v>
      </c>
      <c r="F3395">
        <v>1004</v>
      </c>
      <c r="G3395" t="s">
        <v>110</v>
      </c>
      <c r="J3395" t="s">
        <v>111</v>
      </c>
      <c r="K3395">
        <v>0</v>
      </c>
      <c r="L3395">
        <v>3</v>
      </c>
      <c r="M3395">
        <v>0</v>
      </c>
      <c r="N3395">
        <v>2</v>
      </c>
      <c r="O3395">
        <v>1</v>
      </c>
      <c r="P3395">
        <v>0</v>
      </c>
      <c r="Q3395">
        <v>0</v>
      </c>
      <c r="R3395" t="s">
        <v>112</v>
      </c>
      <c r="S3395" t="str">
        <f>"14:46:55.133"</f>
        <v>14:46:55.133</v>
      </c>
      <c r="T3395" t="str">
        <f>"14:46:54.734"</f>
        <v>14:46:54.734</v>
      </c>
      <c r="U3395" t="str">
        <f t="shared" si="159"/>
        <v>ad5732</v>
      </c>
      <c r="V3395">
        <v>0</v>
      </c>
      <c r="W3395">
        <v>0</v>
      </c>
      <c r="X3395">
        <v>1</v>
      </c>
      <c r="Z3395">
        <v>0</v>
      </c>
      <c r="AA3395">
        <v>9</v>
      </c>
      <c r="AB3395">
        <v>3</v>
      </c>
      <c r="AC3395">
        <v>0</v>
      </c>
      <c r="AD3395">
        <v>10</v>
      </c>
      <c r="AE3395">
        <v>0</v>
      </c>
      <c r="AF3395">
        <v>3</v>
      </c>
      <c r="AG3395">
        <v>2</v>
      </c>
      <c r="AH3395">
        <v>0</v>
      </c>
      <c r="AI3395" t="s">
        <v>6888</v>
      </c>
      <c r="AJ3395">
        <v>40.377780999999999</v>
      </c>
      <c r="AK3395" t="s">
        <v>6889</v>
      </c>
      <c r="AL3395">
        <v>-74.647400000000005</v>
      </c>
      <c r="AM3395">
        <v>100</v>
      </c>
      <c r="AN3395">
        <v>1700</v>
      </c>
      <c r="AO3395" t="s">
        <v>115</v>
      </c>
      <c r="AP3395">
        <v>145</v>
      </c>
      <c r="AQ3395">
        <v>-15</v>
      </c>
      <c r="AR3395">
        <v>0</v>
      </c>
      <c r="AZ3395">
        <v>3614</v>
      </c>
      <c r="BA3395">
        <v>1</v>
      </c>
      <c r="BB3395" t="str">
        <f t="shared" si="158"/>
        <v xml:space="preserve">N959MJ  </v>
      </c>
      <c r="BC3395">
        <v>1</v>
      </c>
      <c r="BE3395">
        <v>0</v>
      </c>
      <c r="BF3395">
        <v>0</v>
      </c>
      <c r="BG3395">
        <v>0</v>
      </c>
      <c r="BH3395">
        <v>1850</v>
      </c>
      <c r="BI3395">
        <v>150</v>
      </c>
      <c r="BJ3395">
        <v>1</v>
      </c>
      <c r="BK3395">
        <v>1</v>
      </c>
      <c r="BL3395">
        <v>1</v>
      </c>
      <c r="BM3395">
        <v>0</v>
      </c>
      <c r="BP3395">
        <v>0</v>
      </c>
      <c r="BQ3395">
        <v>0</v>
      </c>
      <c r="BX3395" t="str">
        <f>"14:46:55.133"</f>
        <v>14:46:55.133</v>
      </c>
      <c r="BY3395" t="str">
        <f>"133356757"</f>
        <v>133356757</v>
      </c>
      <c r="CL3395">
        <v>0</v>
      </c>
      <c r="CM3395">
        <v>2</v>
      </c>
      <c r="CN3395">
        <v>0</v>
      </c>
      <c r="CO3395">
        <v>2</v>
      </c>
      <c r="CP3395">
        <v>0</v>
      </c>
      <c r="CQ3395">
        <v>7</v>
      </c>
      <c r="CR3395" t="s">
        <v>116</v>
      </c>
      <c r="CS3395">
        <v>38</v>
      </c>
      <c r="CT3395">
        <v>0</v>
      </c>
      <c r="CU3395" t="s">
        <v>4719</v>
      </c>
      <c r="CV3395" t="s">
        <v>4720</v>
      </c>
      <c r="CY3395">
        <v>7806882</v>
      </c>
      <c r="CZ3395" t="s">
        <v>119</v>
      </c>
    </row>
    <row r="3396" spans="1:104" x14ac:dyDescent="0.25">
      <c r="A3396" t="str">
        <f>"14:46:56.250"</f>
        <v>14:46:56.250</v>
      </c>
      <c r="B3396" t="s">
        <v>108</v>
      </c>
      <c r="C3396" t="str">
        <f t="shared" si="157"/>
        <v>ffdfd3c0</v>
      </c>
      <c r="D3396" t="s">
        <v>109</v>
      </c>
      <c r="E3396">
        <v>4</v>
      </c>
      <c r="F3396">
        <v>1004</v>
      </c>
      <c r="G3396" t="s">
        <v>110</v>
      </c>
      <c r="J3396" t="s">
        <v>111</v>
      </c>
      <c r="K3396">
        <v>0</v>
      </c>
      <c r="L3396">
        <v>3</v>
      </c>
      <c r="M3396">
        <v>0</v>
      </c>
      <c r="N3396">
        <v>2</v>
      </c>
      <c r="O3396">
        <v>1</v>
      </c>
      <c r="P3396">
        <v>0</v>
      </c>
      <c r="Q3396">
        <v>0</v>
      </c>
      <c r="R3396" t="s">
        <v>112</v>
      </c>
      <c r="S3396" t="str">
        <f>"14:46:56.078"</f>
        <v>14:46:56.078</v>
      </c>
      <c r="T3396" t="str">
        <f>"14:46:55.680"</f>
        <v>14:46:55.680</v>
      </c>
      <c r="U3396" t="str">
        <f t="shared" si="159"/>
        <v>ad5732</v>
      </c>
      <c r="V3396">
        <v>0</v>
      </c>
      <c r="W3396">
        <v>0</v>
      </c>
      <c r="X3396">
        <v>1</v>
      </c>
      <c r="Z3396">
        <v>0</v>
      </c>
      <c r="AA3396">
        <v>9</v>
      </c>
      <c r="AB3396">
        <v>3</v>
      </c>
      <c r="AC3396">
        <v>0</v>
      </c>
      <c r="AD3396">
        <v>10</v>
      </c>
      <c r="AE3396">
        <v>0</v>
      </c>
      <c r="AF3396">
        <v>3</v>
      </c>
      <c r="AG3396">
        <v>2</v>
      </c>
      <c r="AH3396">
        <v>0</v>
      </c>
      <c r="AI3396" t="s">
        <v>6890</v>
      </c>
      <c r="AJ3396">
        <v>40.377696</v>
      </c>
      <c r="AK3396" t="s">
        <v>6891</v>
      </c>
      <c r="AL3396">
        <v>-74.646606000000006</v>
      </c>
      <c r="AM3396">
        <v>100</v>
      </c>
      <c r="AN3396">
        <v>1700</v>
      </c>
      <c r="AO3396" t="s">
        <v>115</v>
      </c>
      <c r="AP3396">
        <v>145</v>
      </c>
      <c r="AQ3396">
        <v>-15</v>
      </c>
      <c r="AR3396">
        <v>0</v>
      </c>
      <c r="AZ3396">
        <v>3614</v>
      </c>
      <c r="BA3396">
        <v>1</v>
      </c>
      <c r="BB3396" t="str">
        <f t="shared" si="158"/>
        <v xml:space="preserve">N959MJ  </v>
      </c>
      <c r="BC3396">
        <v>1</v>
      </c>
      <c r="BE3396">
        <v>0</v>
      </c>
      <c r="BF3396">
        <v>0</v>
      </c>
      <c r="BG3396">
        <v>0</v>
      </c>
      <c r="BH3396">
        <v>1850</v>
      </c>
      <c r="BI3396">
        <v>150</v>
      </c>
      <c r="BJ3396">
        <v>1</v>
      </c>
      <c r="BK3396">
        <v>1</v>
      </c>
      <c r="BL3396">
        <v>1</v>
      </c>
      <c r="BM3396">
        <v>0</v>
      </c>
      <c r="BP3396">
        <v>0</v>
      </c>
      <c r="BQ3396">
        <v>0</v>
      </c>
      <c r="BX3396" t="str">
        <f>"14:46:56.078"</f>
        <v>14:46:56.078</v>
      </c>
      <c r="BY3396" t="str">
        <f>"080368733"</f>
        <v>080368733</v>
      </c>
      <c r="CL3396">
        <v>0</v>
      </c>
      <c r="CM3396">
        <v>2</v>
      </c>
      <c r="CN3396">
        <v>0</v>
      </c>
      <c r="CO3396">
        <v>2</v>
      </c>
      <c r="CP3396">
        <v>0</v>
      </c>
      <c r="CQ3396">
        <v>7</v>
      </c>
      <c r="CR3396" t="s">
        <v>116</v>
      </c>
      <c r="CS3396">
        <v>38</v>
      </c>
      <c r="CT3396">
        <v>0</v>
      </c>
      <c r="CU3396" t="s">
        <v>4719</v>
      </c>
      <c r="CV3396" t="s">
        <v>4720</v>
      </c>
      <c r="CY3396">
        <v>7808349</v>
      </c>
      <c r="CZ3396" t="s">
        <v>119</v>
      </c>
    </row>
    <row r="3397" spans="1:104" x14ac:dyDescent="0.25">
      <c r="A3397" t="str">
        <f>"14:46:57.359"</f>
        <v>14:46:57.359</v>
      </c>
      <c r="B3397" t="s">
        <v>108</v>
      </c>
      <c r="C3397" t="str">
        <f t="shared" si="157"/>
        <v>ffdfd3c0</v>
      </c>
      <c r="D3397" t="s">
        <v>109</v>
      </c>
      <c r="E3397">
        <v>4</v>
      </c>
      <c r="F3397">
        <v>1004</v>
      </c>
      <c r="G3397" t="s">
        <v>110</v>
      </c>
      <c r="J3397" t="s">
        <v>111</v>
      </c>
      <c r="K3397">
        <v>0</v>
      </c>
      <c r="L3397">
        <v>3</v>
      </c>
      <c r="M3397">
        <v>0</v>
      </c>
      <c r="N3397">
        <v>2</v>
      </c>
      <c r="O3397">
        <v>1</v>
      </c>
      <c r="P3397">
        <v>0</v>
      </c>
      <c r="Q3397">
        <v>0</v>
      </c>
      <c r="R3397" t="s">
        <v>112</v>
      </c>
      <c r="S3397" t="str">
        <f>"14:46:57.172"</f>
        <v>14:46:57.172</v>
      </c>
      <c r="T3397" t="str">
        <f>"14:46:56.672"</f>
        <v>14:46:56.672</v>
      </c>
      <c r="U3397" t="str">
        <f t="shared" si="159"/>
        <v>ad5732</v>
      </c>
      <c r="V3397">
        <v>0</v>
      </c>
      <c r="W3397">
        <v>0</v>
      </c>
      <c r="X3397">
        <v>1</v>
      </c>
      <c r="Z3397">
        <v>0</v>
      </c>
      <c r="AA3397">
        <v>9</v>
      </c>
      <c r="AB3397">
        <v>3</v>
      </c>
      <c r="AC3397">
        <v>0</v>
      </c>
      <c r="AD3397">
        <v>10</v>
      </c>
      <c r="AE3397">
        <v>0</v>
      </c>
      <c r="AF3397">
        <v>3</v>
      </c>
      <c r="AG3397">
        <v>2</v>
      </c>
      <c r="AH3397">
        <v>0</v>
      </c>
      <c r="AI3397" t="s">
        <v>6892</v>
      </c>
      <c r="AJ3397">
        <v>40.377631000000001</v>
      </c>
      <c r="AK3397" t="s">
        <v>6893</v>
      </c>
      <c r="AL3397">
        <v>-74.645618999999996</v>
      </c>
      <c r="AM3397">
        <v>100</v>
      </c>
      <c r="AN3397">
        <v>1700</v>
      </c>
      <c r="AO3397" t="s">
        <v>115</v>
      </c>
      <c r="AP3397">
        <v>145</v>
      </c>
      <c r="AQ3397">
        <v>-15</v>
      </c>
      <c r="AR3397">
        <v>0</v>
      </c>
      <c r="AZ3397">
        <v>3614</v>
      </c>
      <c r="BA3397">
        <v>1</v>
      </c>
      <c r="BB3397" t="str">
        <f t="shared" si="158"/>
        <v xml:space="preserve">N959MJ  </v>
      </c>
      <c r="BC3397">
        <v>1</v>
      </c>
      <c r="BE3397">
        <v>0</v>
      </c>
      <c r="BF3397">
        <v>0</v>
      </c>
      <c r="BG3397">
        <v>0</v>
      </c>
      <c r="BH3397">
        <v>1850</v>
      </c>
      <c r="BI3397">
        <v>150</v>
      </c>
      <c r="BJ3397">
        <v>1</v>
      </c>
      <c r="BK3397">
        <v>1</v>
      </c>
      <c r="BL3397">
        <v>1</v>
      </c>
      <c r="BM3397">
        <v>0</v>
      </c>
      <c r="BP3397">
        <v>0</v>
      </c>
      <c r="BQ3397">
        <v>0</v>
      </c>
      <c r="BX3397" t="str">
        <f>"14:46:57.180"</f>
        <v>14:46:57.180</v>
      </c>
      <c r="BY3397" t="str">
        <f>"176477642"</f>
        <v>176477642</v>
      </c>
      <c r="CL3397">
        <v>0</v>
      </c>
      <c r="CM3397">
        <v>2</v>
      </c>
      <c r="CN3397">
        <v>0</v>
      </c>
      <c r="CO3397">
        <v>2</v>
      </c>
      <c r="CP3397">
        <v>0</v>
      </c>
      <c r="CQ3397">
        <v>7</v>
      </c>
      <c r="CR3397" t="s">
        <v>116</v>
      </c>
      <c r="CS3397">
        <v>38</v>
      </c>
      <c r="CT3397">
        <v>0</v>
      </c>
      <c r="CU3397" t="s">
        <v>4719</v>
      </c>
      <c r="CV3397" t="s">
        <v>4720</v>
      </c>
      <c r="CY3397">
        <v>7809901</v>
      </c>
      <c r="CZ3397" t="s">
        <v>119</v>
      </c>
    </row>
    <row r="3398" spans="1:104" x14ac:dyDescent="0.25">
      <c r="A3398" t="str">
        <f>"14:46:58.477"</f>
        <v>14:46:58.477</v>
      </c>
      <c r="B3398" t="s">
        <v>108</v>
      </c>
      <c r="C3398" t="str">
        <f t="shared" si="157"/>
        <v>ffdfd3c0</v>
      </c>
      <c r="D3398" t="s">
        <v>109</v>
      </c>
      <c r="E3398">
        <v>4</v>
      </c>
      <c r="F3398">
        <v>1004</v>
      </c>
      <c r="G3398" t="s">
        <v>110</v>
      </c>
      <c r="J3398" t="s">
        <v>111</v>
      </c>
      <c r="K3398">
        <v>0</v>
      </c>
      <c r="L3398">
        <v>3</v>
      </c>
      <c r="M3398">
        <v>0</v>
      </c>
      <c r="N3398">
        <v>2</v>
      </c>
      <c r="O3398">
        <v>1</v>
      </c>
      <c r="P3398">
        <v>0</v>
      </c>
      <c r="Q3398">
        <v>0</v>
      </c>
      <c r="R3398" t="s">
        <v>112</v>
      </c>
      <c r="S3398" t="str">
        <f>"14:46:58.281"</f>
        <v>14:46:58.281</v>
      </c>
      <c r="T3398" t="str">
        <f>"14:46:57.781"</f>
        <v>14:46:57.781</v>
      </c>
      <c r="U3398" t="str">
        <f t="shared" si="159"/>
        <v>ad5732</v>
      </c>
      <c r="V3398">
        <v>0</v>
      </c>
      <c r="W3398">
        <v>0</v>
      </c>
      <c r="X3398">
        <v>1</v>
      </c>
      <c r="Z3398">
        <v>0</v>
      </c>
      <c r="AA3398">
        <v>9</v>
      </c>
      <c r="AB3398">
        <v>3</v>
      </c>
      <c r="AC3398">
        <v>0</v>
      </c>
      <c r="AD3398">
        <v>10</v>
      </c>
      <c r="AE3398">
        <v>0</v>
      </c>
      <c r="AF3398">
        <v>3</v>
      </c>
      <c r="AG3398">
        <v>2</v>
      </c>
      <c r="AH3398">
        <v>0</v>
      </c>
      <c r="AI3398" t="s">
        <v>6894</v>
      </c>
      <c r="AJ3398">
        <v>40.377544999999998</v>
      </c>
      <c r="AK3398" t="s">
        <v>6895</v>
      </c>
      <c r="AL3398">
        <v>-74.644675000000007</v>
      </c>
      <c r="AM3398">
        <v>100</v>
      </c>
      <c r="AN3398">
        <v>1700</v>
      </c>
      <c r="AO3398" t="s">
        <v>115</v>
      </c>
      <c r="AP3398">
        <v>145</v>
      </c>
      <c r="AQ3398">
        <v>-14</v>
      </c>
      <c r="AR3398">
        <v>0</v>
      </c>
      <c r="AZ3398">
        <v>3614</v>
      </c>
      <c r="BA3398">
        <v>1</v>
      </c>
      <c r="BB3398" t="str">
        <f t="shared" si="158"/>
        <v xml:space="preserve">N959MJ  </v>
      </c>
      <c r="BC3398">
        <v>1</v>
      </c>
      <c r="BE3398">
        <v>0</v>
      </c>
      <c r="BF3398">
        <v>0</v>
      </c>
      <c r="BG3398">
        <v>0</v>
      </c>
      <c r="BH3398">
        <v>1850</v>
      </c>
      <c r="BI3398">
        <v>150</v>
      </c>
      <c r="BJ3398">
        <v>1</v>
      </c>
      <c r="BK3398">
        <v>1</v>
      </c>
      <c r="BL3398">
        <v>1</v>
      </c>
      <c r="BM3398">
        <v>0</v>
      </c>
      <c r="BP3398">
        <v>0</v>
      </c>
      <c r="BQ3398">
        <v>0</v>
      </c>
      <c r="BX3398" t="str">
        <f>"14:46:58.289"</f>
        <v>14:46:58.289</v>
      </c>
      <c r="BY3398" t="str">
        <f>"288970996"</f>
        <v>288970996</v>
      </c>
      <c r="CL3398">
        <v>0</v>
      </c>
      <c r="CM3398">
        <v>2</v>
      </c>
      <c r="CN3398">
        <v>0</v>
      </c>
      <c r="CO3398">
        <v>2</v>
      </c>
      <c r="CP3398">
        <v>0</v>
      </c>
      <c r="CQ3398">
        <v>7</v>
      </c>
      <c r="CR3398" t="s">
        <v>116</v>
      </c>
      <c r="CS3398">
        <v>38</v>
      </c>
      <c r="CT3398">
        <v>0</v>
      </c>
      <c r="CU3398" t="s">
        <v>4719</v>
      </c>
      <c r="CV3398" t="s">
        <v>4720</v>
      </c>
      <c r="CY3398">
        <v>7811521</v>
      </c>
      <c r="CZ3398" t="s">
        <v>119</v>
      </c>
    </row>
    <row r="3399" spans="1:104" x14ac:dyDescent="0.25">
      <c r="A3399" t="str">
        <f>"14:46:59.633"</f>
        <v>14:46:59.633</v>
      </c>
      <c r="B3399" t="s">
        <v>108</v>
      </c>
      <c r="C3399" t="str">
        <f t="shared" si="157"/>
        <v>ffdfd3c0</v>
      </c>
      <c r="D3399" t="s">
        <v>109</v>
      </c>
      <c r="E3399">
        <v>4</v>
      </c>
      <c r="F3399">
        <v>1004</v>
      </c>
      <c r="G3399" t="s">
        <v>110</v>
      </c>
      <c r="J3399" t="s">
        <v>111</v>
      </c>
      <c r="K3399">
        <v>0</v>
      </c>
      <c r="L3399">
        <v>3</v>
      </c>
      <c r="M3399">
        <v>0</v>
      </c>
      <c r="N3399">
        <v>2</v>
      </c>
      <c r="O3399">
        <v>1</v>
      </c>
      <c r="P3399">
        <v>0</v>
      </c>
      <c r="Q3399">
        <v>0</v>
      </c>
      <c r="R3399" t="s">
        <v>112</v>
      </c>
      <c r="S3399" t="str">
        <f>"14:46:59.438"</f>
        <v>14:46:59.438</v>
      </c>
      <c r="T3399" t="str">
        <f>"14:46:58.938"</f>
        <v>14:46:58.938</v>
      </c>
      <c r="U3399" t="str">
        <f t="shared" si="159"/>
        <v>ad5732</v>
      </c>
      <c r="V3399">
        <v>0</v>
      </c>
      <c r="W3399">
        <v>0</v>
      </c>
      <c r="X3399">
        <v>1</v>
      </c>
      <c r="Z3399">
        <v>0</v>
      </c>
      <c r="AA3399">
        <v>9</v>
      </c>
      <c r="AB3399">
        <v>3</v>
      </c>
      <c r="AC3399">
        <v>0</v>
      </c>
      <c r="AD3399">
        <v>10</v>
      </c>
      <c r="AE3399">
        <v>0</v>
      </c>
      <c r="AF3399">
        <v>3</v>
      </c>
      <c r="AG3399">
        <v>2</v>
      </c>
      <c r="AH3399">
        <v>0</v>
      </c>
      <c r="AI3399" t="s">
        <v>6896</v>
      </c>
      <c r="AJ3399">
        <v>40.377459999999999</v>
      </c>
      <c r="AK3399" t="s">
        <v>6897</v>
      </c>
      <c r="AL3399">
        <v>-74.643602000000001</v>
      </c>
      <c r="AM3399">
        <v>100</v>
      </c>
      <c r="AN3399">
        <v>1700</v>
      </c>
      <c r="AO3399" t="s">
        <v>115</v>
      </c>
      <c r="AP3399">
        <v>145</v>
      </c>
      <c r="AQ3399">
        <v>-14</v>
      </c>
      <c r="AR3399">
        <v>0</v>
      </c>
      <c r="AZ3399">
        <v>3614</v>
      </c>
      <c r="BA3399">
        <v>1</v>
      </c>
      <c r="BB3399" t="str">
        <f t="shared" si="158"/>
        <v xml:space="preserve">N959MJ  </v>
      </c>
      <c r="BC3399">
        <v>1</v>
      </c>
      <c r="BE3399">
        <v>0</v>
      </c>
      <c r="BF3399">
        <v>0</v>
      </c>
      <c r="BG3399">
        <v>0</v>
      </c>
      <c r="BH3399">
        <v>1850</v>
      </c>
      <c r="BI3399">
        <v>150</v>
      </c>
      <c r="BJ3399">
        <v>1</v>
      </c>
      <c r="BK3399">
        <v>1</v>
      </c>
      <c r="BL3399">
        <v>1</v>
      </c>
      <c r="BM3399">
        <v>0</v>
      </c>
      <c r="BP3399">
        <v>0</v>
      </c>
      <c r="BQ3399">
        <v>0</v>
      </c>
      <c r="BX3399" t="str">
        <f>"14:46:59.438"</f>
        <v>14:46:59.438</v>
      </c>
      <c r="BY3399" t="str">
        <f>"439148130"</f>
        <v>439148130</v>
      </c>
      <c r="CL3399">
        <v>0</v>
      </c>
      <c r="CM3399">
        <v>2</v>
      </c>
      <c r="CN3399">
        <v>0</v>
      </c>
      <c r="CO3399">
        <v>2</v>
      </c>
      <c r="CP3399">
        <v>0</v>
      </c>
      <c r="CQ3399">
        <v>7</v>
      </c>
      <c r="CR3399" t="s">
        <v>116</v>
      </c>
      <c r="CS3399">
        <v>38</v>
      </c>
      <c r="CT3399">
        <v>0</v>
      </c>
      <c r="CU3399" t="s">
        <v>4719</v>
      </c>
      <c r="CV3399" t="s">
        <v>4720</v>
      </c>
      <c r="CY3399">
        <v>7813347</v>
      </c>
      <c r="CZ3399" t="s">
        <v>119</v>
      </c>
    </row>
    <row r="3400" spans="1:104" x14ac:dyDescent="0.25">
      <c r="A3400" t="str">
        <f>"14:47:00.688"</f>
        <v>14:47:00.688</v>
      </c>
      <c r="B3400" t="s">
        <v>108</v>
      </c>
      <c r="C3400" t="str">
        <f t="shared" si="157"/>
        <v>ffdfd3c0</v>
      </c>
      <c r="D3400" t="s">
        <v>109</v>
      </c>
      <c r="E3400">
        <v>4</v>
      </c>
      <c r="F3400">
        <v>1004</v>
      </c>
      <c r="G3400" t="s">
        <v>110</v>
      </c>
      <c r="J3400" t="s">
        <v>111</v>
      </c>
      <c r="K3400">
        <v>0</v>
      </c>
      <c r="L3400">
        <v>3</v>
      </c>
      <c r="M3400">
        <v>0</v>
      </c>
      <c r="N3400">
        <v>2</v>
      </c>
      <c r="O3400">
        <v>1</v>
      </c>
      <c r="P3400">
        <v>0</v>
      </c>
      <c r="Q3400">
        <v>0</v>
      </c>
      <c r="R3400" t="s">
        <v>112</v>
      </c>
      <c r="S3400" t="str">
        <f>"14:47:00.453"</f>
        <v>14:47:00.453</v>
      </c>
      <c r="T3400" t="str">
        <f>"14:47:00.055"</f>
        <v>14:47:00.055</v>
      </c>
      <c r="U3400" t="str">
        <f t="shared" si="159"/>
        <v>ad5732</v>
      </c>
      <c r="V3400">
        <v>0</v>
      </c>
      <c r="W3400">
        <v>0</v>
      </c>
      <c r="X3400">
        <v>1</v>
      </c>
      <c r="Z3400">
        <v>0</v>
      </c>
      <c r="AA3400">
        <v>9</v>
      </c>
      <c r="AB3400">
        <v>3</v>
      </c>
      <c r="AC3400">
        <v>0</v>
      </c>
      <c r="AD3400">
        <v>10</v>
      </c>
      <c r="AE3400">
        <v>0</v>
      </c>
      <c r="AF3400">
        <v>3</v>
      </c>
      <c r="AG3400">
        <v>2</v>
      </c>
      <c r="AH3400">
        <v>0</v>
      </c>
      <c r="AI3400" t="s">
        <v>6898</v>
      </c>
      <c r="AJ3400">
        <v>40.377417000000001</v>
      </c>
      <c r="AK3400" t="s">
        <v>6899</v>
      </c>
      <c r="AL3400">
        <v>-74.642743999999993</v>
      </c>
      <c r="AM3400">
        <v>100</v>
      </c>
      <c r="AN3400">
        <v>1700</v>
      </c>
      <c r="AO3400" t="s">
        <v>115</v>
      </c>
      <c r="AP3400">
        <v>144</v>
      </c>
      <c r="AQ3400">
        <v>-14</v>
      </c>
      <c r="AR3400">
        <v>0</v>
      </c>
      <c r="AZ3400">
        <v>3614</v>
      </c>
      <c r="BA3400">
        <v>1</v>
      </c>
      <c r="BB3400" t="str">
        <f t="shared" si="158"/>
        <v xml:space="preserve">N959MJ  </v>
      </c>
      <c r="BC3400">
        <v>1</v>
      </c>
      <c r="BE3400">
        <v>0</v>
      </c>
      <c r="BF3400">
        <v>0</v>
      </c>
      <c r="BG3400">
        <v>0</v>
      </c>
      <c r="BH3400">
        <v>1850</v>
      </c>
      <c r="BI3400">
        <v>150</v>
      </c>
      <c r="BJ3400">
        <v>1</v>
      </c>
      <c r="BK3400">
        <v>1</v>
      </c>
      <c r="BL3400">
        <v>1</v>
      </c>
      <c r="BM3400">
        <v>0</v>
      </c>
      <c r="BP3400">
        <v>0</v>
      </c>
      <c r="BQ3400">
        <v>0</v>
      </c>
      <c r="BX3400" t="str">
        <f>"14:47:00.453"</f>
        <v>14:47:00.453</v>
      </c>
      <c r="BY3400" t="str">
        <f>"455278564"</f>
        <v>455278564</v>
      </c>
      <c r="CL3400">
        <v>0</v>
      </c>
      <c r="CM3400">
        <v>2</v>
      </c>
      <c r="CN3400">
        <v>0</v>
      </c>
      <c r="CO3400">
        <v>2</v>
      </c>
      <c r="CP3400">
        <v>0</v>
      </c>
      <c r="CQ3400">
        <v>1</v>
      </c>
      <c r="CR3400" t="s">
        <v>116</v>
      </c>
      <c r="CS3400">
        <v>40</v>
      </c>
      <c r="CT3400">
        <v>3</v>
      </c>
      <c r="CU3400" t="s">
        <v>2685</v>
      </c>
      <c r="CV3400" t="s">
        <v>2686</v>
      </c>
      <c r="CY3400">
        <v>9066563</v>
      </c>
      <c r="CZ3400" t="s">
        <v>119</v>
      </c>
    </row>
    <row r="3401" spans="1:104" x14ac:dyDescent="0.25">
      <c r="A3401" t="str">
        <f>"14:47:01.703"</f>
        <v>14:47:01.703</v>
      </c>
      <c r="B3401" t="s">
        <v>108</v>
      </c>
      <c r="C3401" t="str">
        <f t="shared" si="157"/>
        <v>ffdfd3c0</v>
      </c>
      <c r="D3401" t="s">
        <v>109</v>
      </c>
      <c r="E3401">
        <v>4</v>
      </c>
      <c r="F3401">
        <v>1004</v>
      </c>
      <c r="G3401" t="s">
        <v>110</v>
      </c>
      <c r="J3401" t="s">
        <v>111</v>
      </c>
      <c r="K3401">
        <v>0</v>
      </c>
      <c r="L3401">
        <v>3</v>
      </c>
      <c r="M3401">
        <v>0</v>
      </c>
      <c r="N3401">
        <v>2</v>
      </c>
      <c r="O3401">
        <v>1</v>
      </c>
      <c r="P3401">
        <v>0</v>
      </c>
      <c r="Q3401">
        <v>0</v>
      </c>
      <c r="R3401" t="s">
        <v>112</v>
      </c>
      <c r="S3401" t="str">
        <f>"14:47:01.523"</f>
        <v>14:47:01.523</v>
      </c>
      <c r="T3401" t="str">
        <f>"14:47:01.023"</f>
        <v>14:47:01.023</v>
      </c>
      <c r="U3401" t="str">
        <f t="shared" si="159"/>
        <v>ad5732</v>
      </c>
      <c r="V3401">
        <v>0</v>
      </c>
      <c r="W3401">
        <v>0</v>
      </c>
      <c r="X3401">
        <v>1</v>
      </c>
      <c r="Z3401">
        <v>0</v>
      </c>
      <c r="AA3401">
        <v>9</v>
      </c>
      <c r="AB3401">
        <v>3</v>
      </c>
      <c r="AC3401">
        <v>0</v>
      </c>
      <c r="AD3401">
        <v>10</v>
      </c>
      <c r="AE3401">
        <v>0</v>
      </c>
      <c r="AF3401">
        <v>3</v>
      </c>
      <c r="AG3401">
        <v>2</v>
      </c>
      <c r="AH3401">
        <v>0</v>
      </c>
      <c r="AI3401" t="s">
        <v>6900</v>
      </c>
      <c r="AJ3401">
        <v>40.377308999999997</v>
      </c>
      <c r="AK3401" t="s">
        <v>6901</v>
      </c>
      <c r="AL3401">
        <v>-74.641778000000002</v>
      </c>
      <c r="AM3401">
        <v>100</v>
      </c>
      <c r="AN3401">
        <v>1700</v>
      </c>
      <c r="AO3401" t="s">
        <v>115</v>
      </c>
      <c r="AP3401">
        <v>144</v>
      </c>
      <c r="AQ3401">
        <v>-14</v>
      </c>
      <c r="AR3401">
        <v>0</v>
      </c>
      <c r="AZ3401">
        <v>3614</v>
      </c>
      <c r="BA3401">
        <v>1</v>
      </c>
      <c r="BB3401" t="str">
        <f t="shared" si="158"/>
        <v xml:space="preserve">N959MJ  </v>
      </c>
      <c r="BC3401">
        <v>1</v>
      </c>
      <c r="BE3401">
        <v>0</v>
      </c>
      <c r="BF3401">
        <v>0</v>
      </c>
      <c r="BG3401">
        <v>0</v>
      </c>
      <c r="BH3401">
        <v>1850</v>
      </c>
      <c r="BI3401">
        <v>150</v>
      </c>
      <c r="BJ3401">
        <v>1</v>
      </c>
      <c r="BK3401">
        <v>1</v>
      </c>
      <c r="BL3401">
        <v>1</v>
      </c>
      <c r="BM3401">
        <v>0</v>
      </c>
      <c r="BP3401">
        <v>0</v>
      </c>
      <c r="BQ3401">
        <v>0</v>
      </c>
      <c r="BX3401" t="str">
        <f>"14:47:01.523"</f>
        <v>14:47:01.523</v>
      </c>
      <c r="BY3401" t="str">
        <f>"524868273"</f>
        <v>524868273</v>
      </c>
      <c r="CL3401">
        <v>0</v>
      </c>
      <c r="CM3401">
        <v>2</v>
      </c>
      <c r="CN3401">
        <v>0</v>
      </c>
      <c r="CO3401">
        <v>2</v>
      </c>
      <c r="CP3401">
        <v>0</v>
      </c>
      <c r="CQ3401">
        <v>7</v>
      </c>
      <c r="CR3401" t="s">
        <v>116</v>
      </c>
      <c r="CS3401">
        <v>38</v>
      </c>
      <c r="CT3401">
        <v>0</v>
      </c>
      <c r="CU3401" t="s">
        <v>4719</v>
      </c>
      <c r="CV3401" t="s">
        <v>4720</v>
      </c>
      <c r="CY3401">
        <v>7816566</v>
      </c>
      <c r="CZ3401" t="s">
        <v>119</v>
      </c>
    </row>
    <row r="3402" spans="1:104" x14ac:dyDescent="0.25">
      <c r="A3402" t="str">
        <f>"14:47:02.664"</f>
        <v>14:47:02.664</v>
      </c>
      <c r="B3402" t="s">
        <v>108</v>
      </c>
      <c r="C3402" t="str">
        <f t="shared" ref="C3402:C3465" si="160">"ffdfd3c0"</f>
        <v>ffdfd3c0</v>
      </c>
      <c r="D3402" t="s">
        <v>109</v>
      </c>
      <c r="E3402">
        <v>4</v>
      </c>
      <c r="F3402">
        <v>1004</v>
      </c>
      <c r="G3402" t="s">
        <v>110</v>
      </c>
      <c r="J3402" t="s">
        <v>111</v>
      </c>
      <c r="K3402">
        <v>0</v>
      </c>
      <c r="L3402">
        <v>3</v>
      </c>
      <c r="M3402">
        <v>0</v>
      </c>
      <c r="N3402">
        <v>2</v>
      </c>
      <c r="O3402">
        <v>1</v>
      </c>
      <c r="P3402">
        <v>0</v>
      </c>
      <c r="Q3402">
        <v>0</v>
      </c>
      <c r="R3402" t="s">
        <v>112</v>
      </c>
      <c r="S3402" t="str">
        <f>"14:47:02.461"</f>
        <v>14:47:02.461</v>
      </c>
      <c r="T3402" t="str">
        <f>"14:47:02.063"</f>
        <v>14:47:02.063</v>
      </c>
      <c r="U3402" t="str">
        <f t="shared" si="159"/>
        <v>ad5732</v>
      </c>
      <c r="V3402">
        <v>0</v>
      </c>
      <c r="W3402">
        <v>0</v>
      </c>
      <c r="X3402">
        <v>1</v>
      </c>
      <c r="Z3402">
        <v>0</v>
      </c>
      <c r="AA3402">
        <v>9</v>
      </c>
      <c r="AB3402">
        <v>3</v>
      </c>
      <c r="AC3402">
        <v>0</v>
      </c>
      <c r="AD3402">
        <v>10</v>
      </c>
      <c r="AE3402">
        <v>0</v>
      </c>
      <c r="AF3402">
        <v>3</v>
      </c>
      <c r="AG3402">
        <v>2</v>
      </c>
      <c r="AH3402">
        <v>0</v>
      </c>
      <c r="AI3402" t="s">
        <v>6902</v>
      </c>
      <c r="AJ3402">
        <v>40.377265999999999</v>
      </c>
      <c r="AK3402" t="s">
        <v>6903</v>
      </c>
      <c r="AL3402">
        <v>-74.640985000000001</v>
      </c>
      <c r="AM3402">
        <v>100</v>
      </c>
      <c r="AN3402">
        <v>1700</v>
      </c>
      <c r="AO3402" t="s">
        <v>115</v>
      </c>
      <c r="AP3402">
        <v>144</v>
      </c>
      <c r="AQ3402">
        <v>-14</v>
      </c>
      <c r="AR3402">
        <v>0</v>
      </c>
      <c r="AZ3402">
        <v>3614</v>
      </c>
      <c r="BA3402">
        <v>1</v>
      </c>
      <c r="BB3402" t="str">
        <f t="shared" ref="BB3402:BB3465" si="161">"N959MJ  "</f>
        <v xml:space="preserve">N959MJ  </v>
      </c>
      <c r="BC3402">
        <v>1</v>
      </c>
      <c r="BE3402">
        <v>0</v>
      </c>
      <c r="BF3402">
        <v>0</v>
      </c>
      <c r="BG3402">
        <v>0</v>
      </c>
      <c r="BH3402">
        <v>1850</v>
      </c>
      <c r="BI3402">
        <v>150</v>
      </c>
      <c r="BJ3402">
        <v>1</v>
      </c>
      <c r="BK3402">
        <v>1</v>
      </c>
      <c r="BL3402">
        <v>1</v>
      </c>
      <c r="BM3402">
        <v>0</v>
      </c>
      <c r="BP3402">
        <v>0</v>
      </c>
      <c r="BQ3402">
        <v>0</v>
      </c>
      <c r="BX3402" t="str">
        <f>"14:47:02.469"</f>
        <v>14:47:02.469</v>
      </c>
      <c r="BY3402" t="str">
        <f>"465433301"</f>
        <v>465433301</v>
      </c>
      <c r="CL3402">
        <v>0</v>
      </c>
      <c r="CM3402">
        <v>2</v>
      </c>
      <c r="CN3402">
        <v>0</v>
      </c>
      <c r="CO3402">
        <v>2</v>
      </c>
      <c r="CP3402">
        <v>0</v>
      </c>
      <c r="CQ3402">
        <v>6</v>
      </c>
      <c r="CR3402" t="s">
        <v>116</v>
      </c>
      <c r="CS3402">
        <v>305</v>
      </c>
      <c r="CT3402">
        <v>3</v>
      </c>
      <c r="CU3402" t="s">
        <v>6425</v>
      </c>
      <c r="CV3402" t="s">
        <v>6426</v>
      </c>
      <c r="CY3402">
        <v>5604102</v>
      </c>
      <c r="CZ3402" t="s">
        <v>119</v>
      </c>
    </row>
    <row r="3403" spans="1:104" x14ac:dyDescent="0.25">
      <c r="A3403" t="str">
        <f>"14:47:03.469"</f>
        <v>14:47:03.469</v>
      </c>
      <c r="B3403" t="s">
        <v>108</v>
      </c>
      <c r="C3403" t="str">
        <f t="shared" si="160"/>
        <v>ffdfd3c0</v>
      </c>
      <c r="D3403" t="s">
        <v>109</v>
      </c>
      <c r="E3403">
        <v>4</v>
      </c>
      <c r="F3403">
        <v>1004</v>
      </c>
      <c r="G3403" t="s">
        <v>110</v>
      </c>
      <c r="J3403" t="s">
        <v>111</v>
      </c>
      <c r="K3403">
        <v>0</v>
      </c>
      <c r="L3403">
        <v>3</v>
      </c>
      <c r="M3403">
        <v>0</v>
      </c>
      <c r="N3403">
        <v>2</v>
      </c>
      <c r="O3403">
        <v>1</v>
      </c>
      <c r="P3403">
        <v>0</v>
      </c>
      <c r="Q3403">
        <v>0</v>
      </c>
      <c r="R3403" t="s">
        <v>112</v>
      </c>
      <c r="S3403" t="str">
        <f>"14:47:03.297"</f>
        <v>14:47:03.297</v>
      </c>
      <c r="T3403" t="str">
        <f>"14:47:02.898"</f>
        <v>14:47:02.898</v>
      </c>
      <c r="U3403" t="str">
        <f t="shared" si="159"/>
        <v>ad5732</v>
      </c>
      <c r="V3403">
        <v>0</v>
      </c>
      <c r="W3403">
        <v>0</v>
      </c>
      <c r="X3403">
        <v>1</v>
      </c>
      <c r="Z3403">
        <v>0</v>
      </c>
      <c r="AA3403">
        <v>9</v>
      </c>
      <c r="AB3403">
        <v>3</v>
      </c>
      <c r="AC3403">
        <v>0</v>
      </c>
      <c r="AD3403">
        <v>10</v>
      </c>
      <c r="AE3403">
        <v>0</v>
      </c>
      <c r="AF3403">
        <v>3</v>
      </c>
      <c r="AG3403">
        <v>2</v>
      </c>
      <c r="AH3403">
        <v>0</v>
      </c>
      <c r="AI3403" t="s">
        <v>6904</v>
      </c>
      <c r="AJ3403">
        <v>40.377223000000001</v>
      </c>
      <c r="AK3403" t="s">
        <v>6905</v>
      </c>
      <c r="AL3403">
        <v>-74.640298000000001</v>
      </c>
      <c r="AM3403">
        <v>100</v>
      </c>
      <c r="AN3403">
        <v>1700</v>
      </c>
      <c r="AO3403" t="s">
        <v>115</v>
      </c>
      <c r="AP3403">
        <v>144</v>
      </c>
      <c r="AQ3403">
        <v>-15</v>
      </c>
      <c r="AR3403">
        <v>0</v>
      </c>
      <c r="AZ3403">
        <v>3614</v>
      </c>
      <c r="BA3403">
        <v>1</v>
      </c>
      <c r="BB3403" t="str">
        <f t="shared" si="161"/>
        <v xml:space="preserve">N959MJ  </v>
      </c>
      <c r="BC3403">
        <v>1</v>
      </c>
      <c r="BE3403">
        <v>0</v>
      </c>
      <c r="BF3403">
        <v>0</v>
      </c>
      <c r="BG3403">
        <v>0</v>
      </c>
      <c r="BH3403">
        <v>1850</v>
      </c>
      <c r="BI3403">
        <v>150</v>
      </c>
      <c r="BJ3403">
        <v>1</v>
      </c>
      <c r="BK3403">
        <v>1</v>
      </c>
      <c r="BL3403">
        <v>1</v>
      </c>
      <c r="BM3403">
        <v>0</v>
      </c>
      <c r="BP3403">
        <v>0</v>
      </c>
      <c r="BQ3403">
        <v>0</v>
      </c>
      <c r="BX3403" t="str">
        <f>"14:47:03.297"</f>
        <v>14:47:03.297</v>
      </c>
      <c r="BY3403" t="str">
        <f>"297754929"</f>
        <v>297754929</v>
      </c>
      <c r="CL3403">
        <v>0</v>
      </c>
      <c r="CM3403">
        <v>2</v>
      </c>
      <c r="CN3403">
        <v>0</v>
      </c>
      <c r="CO3403">
        <v>2</v>
      </c>
      <c r="CP3403">
        <v>0</v>
      </c>
      <c r="CQ3403">
        <v>6</v>
      </c>
      <c r="CR3403" t="s">
        <v>116</v>
      </c>
      <c r="CS3403">
        <v>305</v>
      </c>
      <c r="CT3403">
        <v>3</v>
      </c>
      <c r="CU3403" t="s">
        <v>6425</v>
      </c>
      <c r="CV3403" t="s">
        <v>6426</v>
      </c>
      <c r="CY3403">
        <v>5605782</v>
      </c>
      <c r="CZ3403" t="s">
        <v>119</v>
      </c>
    </row>
    <row r="3404" spans="1:104" x14ac:dyDescent="0.25">
      <c r="A3404" t="str">
        <f>"14:47:04.430"</f>
        <v>14:47:04.430</v>
      </c>
      <c r="B3404" t="s">
        <v>108</v>
      </c>
      <c r="C3404" t="str">
        <f t="shared" si="160"/>
        <v>ffdfd3c0</v>
      </c>
      <c r="D3404" t="s">
        <v>109</v>
      </c>
      <c r="E3404">
        <v>4</v>
      </c>
      <c r="F3404">
        <v>1004</v>
      </c>
      <c r="G3404" t="s">
        <v>110</v>
      </c>
      <c r="J3404" t="s">
        <v>111</v>
      </c>
      <c r="K3404">
        <v>0</v>
      </c>
      <c r="L3404">
        <v>3</v>
      </c>
      <c r="M3404">
        <v>0</v>
      </c>
      <c r="N3404">
        <v>2</v>
      </c>
      <c r="O3404">
        <v>1</v>
      </c>
      <c r="P3404">
        <v>0</v>
      </c>
      <c r="Q3404">
        <v>0</v>
      </c>
      <c r="R3404" t="s">
        <v>112</v>
      </c>
      <c r="S3404" t="str">
        <f>"14:47:04.234"</f>
        <v>14:47:04.234</v>
      </c>
      <c r="T3404" t="str">
        <f>"14:47:03.836"</f>
        <v>14:47:03.836</v>
      </c>
      <c r="U3404" t="str">
        <f t="shared" si="159"/>
        <v>ad5732</v>
      </c>
      <c r="V3404">
        <v>0</v>
      </c>
      <c r="W3404">
        <v>0</v>
      </c>
      <c r="X3404">
        <v>1</v>
      </c>
      <c r="Z3404">
        <v>0</v>
      </c>
      <c r="AA3404">
        <v>9</v>
      </c>
      <c r="AB3404">
        <v>3</v>
      </c>
      <c r="AC3404">
        <v>0</v>
      </c>
      <c r="AD3404">
        <v>10</v>
      </c>
      <c r="AE3404">
        <v>0</v>
      </c>
      <c r="AF3404">
        <v>3</v>
      </c>
      <c r="AG3404">
        <v>2</v>
      </c>
      <c r="AH3404">
        <v>0</v>
      </c>
      <c r="AI3404" t="s">
        <v>6906</v>
      </c>
      <c r="AJ3404">
        <v>40.377138000000002</v>
      </c>
      <c r="AK3404" t="s">
        <v>6907</v>
      </c>
      <c r="AL3404">
        <v>-74.639418000000006</v>
      </c>
      <c r="AM3404">
        <v>100</v>
      </c>
      <c r="AN3404">
        <v>1700</v>
      </c>
      <c r="AO3404" t="s">
        <v>115</v>
      </c>
      <c r="AP3404">
        <v>144</v>
      </c>
      <c r="AQ3404">
        <v>-15</v>
      </c>
      <c r="AR3404">
        <v>0</v>
      </c>
      <c r="AZ3404">
        <v>3614</v>
      </c>
      <c r="BA3404">
        <v>1</v>
      </c>
      <c r="BB3404" t="str">
        <f t="shared" si="161"/>
        <v xml:space="preserve">N959MJ  </v>
      </c>
      <c r="BC3404">
        <v>1</v>
      </c>
      <c r="BE3404">
        <v>0</v>
      </c>
      <c r="BF3404">
        <v>0</v>
      </c>
      <c r="BG3404">
        <v>0</v>
      </c>
      <c r="BH3404">
        <v>1850</v>
      </c>
      <c r="BI3404">
        <v>150</v>
      </c>
      <c r="BJ3404">
        <v>1</v>
      </c>
      <c r="BK3404">
        <v>1</v>
      </c>
      <c r="BL3404">
        <v>1</v>
      </c>
      <c r="BM3404">
        <v>0</v>
      </c>
      <c r="BP3404">
        <v>0</v>
      </c>
      <c r="BQ3404">
        <v>0</v>
      </c>
      <c r="BX3404" t="str">
        <f>"14:47:04.234"</f>
        <v>14:47:04.234</v>
      </c>
      <c r="BY3404" t="str">
        <f>"236468287"</f>
        <v>236468287</v>
      </c>
      <c r="CL3404">
        <v>0</v>
      </c>
      <c r="CM3404">
        <v>2</v>
      </c>
      <c r="CN3404">
        <v>0</v>
      </c>
      <c r="CO3404">
        <v>2</v>
      </c>
      <c r="CP3404">
        <v>0</v>
      </c>
      <c r="CQ3404">
        <v>7</v>
      </c>
      <c r="CR3404" t="s">
        <v>116</v>
      </c>
      <c r="CS3404">
        <v>38</v>
      </c>
      <c r="CT3404">
        <v>0</v>
      </c>
      <c r="CU3404" t="s">
        <v>4719</v>
      </c>
      <c r="CV3404" t="s">
        <v>4720</v>
      </c>
      <c r="CY3404">
        <v>7820622</v>
      </c>
      <c r="CZ3404" t="s">
        <v>119</v>
      </c>
    </row>
    <row r="3405" spans="1:104" x14ac:dyDescent="0.25">
      <c r="A3405" t="str">
        <f>"14:47:05.539"</f>
        <v>14:47:05.539</v>
      </c>
      <c r="B3405" t="s">
        <v>108</v>
      </c>
      <c r="C3405" t="str">
        <f t="shared" si="160"/>
        <v>ffdfd3c0</v>
      </c>
      <c r="D3405" t="s">
        <v>109</v>
      </c>
      <c r="E3405">
        <v>4</v>
      </c>
      <c r="F3405">
        <v>1004</v>
      </c>
      <c r="G3405" t="s">
        <v>110</v>
      </c>
      <c r="J3405" t="s">
        <v>111</v>
      </c>
      <c r="K3405">
        <v>0</v>
      </c>
      <c r="L3405">
        <v>3</v>
      </c>
      <c r="M3405">
        <v>0</v>
      </c>
      <c r="N3405">
        <v>2</v>
      </c>
      <c r="O3405">
        <v>1</v>
      </c>
      <c r="P3405">
        <v>0</v>
      </c>
      <c r="Q3405">
        <v>0</v>
      </c>
      <c r="R3405" t="s">
        <v>112</v>
      </c>
      <c r="S3405" t="str">
        <f>"14:47:05.359"</f>
        <v>14:47:05.359</v>
      </c>
      <c r="T3405" t="str">
        <f>"14:47:04.859"</f>
        <v>14:47:04.859</v>
      </c>
      <c r="U3405" t="str">
        <f t="shared" si="159"/>
        <v>ad5732</v>
      </c>
      <c r="V3405">
        <v>0</v>
      </c>
      <c r="W3405">
        <v>0</v>
      </c>
      <c r="X3405">
        <v>1</v>
      </c>
      <c r="Z3405">
        <v>0</v>
      </c>
      <c r="AA3405">
        <v>9</v>
      </c>
      <c r="AB3405">
        <v>3</v>
      </c>
      <c r="AC3405">
        <v>0</v>
      </c>
      <c r="AD3405">
        <v>10</v>
      </c>
      <c r="AE3405">
        <v>0</v>
      </c>
      <c r="AF3405">
        <v>3</v>
      </c>
      <c r="AG3405">
        <v>2</v>
      </c>
      <c r="AH3405">
        <v>0</v>
      </c>
      <c r="AI3405" t="s">
        <v>6908</v>
      </c>
      <c r="AJ3405">
        <v>40.377094999999997</v>
      </c>
      <c r="AK3405" t="s">
        <v>6909</v>
      </c>
      <c r="AL3405">
        <v>-74.638430999999997</v>
      </c>
      <c r="AM3405">
        <v>100</v>
      </c>
      <c r="AN3405">
        <v>1700</v>
      </c>
      <c r="AO3405" t="s">
        <v>115</v>
      </c>
      <c r="AP3405">
        <v>143</v>
      </c>
      <c r="AQ3405">
        <v>-15</v>
      </c>
      <c r="AR3405">
        <v>64</v>
      </c>
      <c r="AZ3405">
        <v>3614</v>
      </c>
      <c r="BA3405">
        <v>1</v>
      </c>
      <c r="BB3405" t="str">
        <f t="shared" si="161"/>
        <v xml:space="preserve">N959MJ  </v>
      </c>
      <c r="BC3405">
        <v>1</v>
      </c>
      <c r="BE3405">
        <v>0</v>
      </c>
      <c r="BF3405">
        <v>0</v>
      </c>
      <c r="BG3405">
        <v>0</v>
      </c>
      <c r="BH3405">
        <v>1850</v>
      </c>
      <c r="BI3405">
        <v>150</v>
      </c>
      <c r="BJ3405">
        <v>1</v>
      </c>
      <c r="BK3405">
        <v>1</v>
      </c>
      <c r="BL3405">
        <v>1</v>
      </c>
      <c r="BM3405">
        <v>0</v>
      </c>
      <c r="BP3405">
        <v>0</v>
      </c>
      <c r="BQ3405">
        <v>0</v>
      </c>
      <c r="BX3405" t="str">
        <f>"14:47:05.367"</f>
        <v>14:47:05.367</v>
      </c>
      <c r="BY3405" t="str">
        <f>"367089949"</f>
        <v>367089949</v>
      </c>
      <c r="CL3405">
        <v>0</v>
      </c>
      <c r="CM3405">
        <v>2</v>
      </c>
      <c r="CN3405">
        <v>0</v>
      </c>
      <c r="CO3405">
        <v>2</v>
      </c>
      <c r="CP3405">
        <v>0</v>
      </c>
      <c r="CQ3405">
        <v>6</v>
      </c>
      <c r="CR3405" t="s">
        <v>116</v>
      </c>
      <c r="CS3405">
        <v>305</v>
      </c>
      <c r="CT3405">
        <v>3</v>
      </c>
      <c r="CU3405" t="s">
        <v>6425</v>
      </c>
      <c r="CV3405" t="s">
        <v>6426</v>
      </c>
      <c r="CY3405">
        <v>5609978</v>
      </c>
      <c r="CZ3405" t="s">
        <v>119</v>
      </c>
    </row>
    <row r="3406" spans="1:104" x14ac:dyDescent="0.25">
      <c r="A3406" t="str">
        <f>"14:47:06.602"</f>
        <v>14:47:06.602</v>
      </c>
      <c r="B3406" t="s">
        <v>108</v>
      </c>
      <c r="C3406" t="str">
        <f t="shared" si="160"/>
        <v>ffdfd3c0</v>
      </c>
      <c r="D3406" t="s">
        <v>109</v>
      </c>
      <c r="E3406">
        <v>4</v>
      </c>
      <c r="F3406">
        <v>1004</v>
      </c>
      <c r="G3406" t="s">
        <v>110</v>
      </c>
      <c r="J3406" t="s">
        <v>111</v>
      </c>
      <c r="K3406">
        <v>0</v>
      </c>
      <c r="L3406">
        <v>3</v>
      </c>
      <c r="M3406">
        <v>0</v>
      </c>
      <c r="N3406">
        <v>2</v>
      </c>
      <c r="O3406">
        <v>1</v>
      </c>
      <c r="P3406">
        <v>0</v>
      </c>
      <c r="Q3406">
        <v>0</v>
      </c>
      <c r="R3406" t="s">
        <v>112</v>
      </c>
      <c r="S3406" t="str">
        <f>"14:47:06.438"</f>
        <v>14:47:06.438</v>
      </c>
      <c r="T3406" t="str">
        <f>"14:47:05.938"</f>
        <v>14:47:05.938</v>
      </c>
      <c r="U3406" t="str">
        <f t="shared" si="159"/>
        <v>ad5732</v>
      </c>
      <c r="V3406">
        <v>0</v>
      </c>
      <c r="W3406">
        <v>0</v>
      </c>
      <c r="X3406">
        <v>1</v>
      </c>
      <c r="Z3406">
        <v>0</v>
      </c>
      <c r="AA3406">
        <v>9</v>
      </c>
      <c r="AB3406">
        <v>3</v>
      </c>
      <c r="AC3406">
        <v>0</v>
      </c>
      <c r="AD3406">
        <v>10</v>
      </c>
      <c r="AE3406">
        <v>0</v>
      </c>
      <c r="AF3406">
        <v>3</v>
      </c>
      <c r="AG3406">
        <v>2</v>
      </c>
      <c r="AH3406">
        <v>0</v>
      </c>
      <c r="AI3406" t="s">
        <v>6910</v>
      </c>
      <c r="AJ3406">
        <v>40.376987</v>
      </c>
      <c r="AK3406" t="s">
        <v>6911</v>
      </c>
      <c r="AL3406">
        <v>-74.637486999999993</v>
      </c>
      <c r="AM3406">
        <v>100</v>
      </c>
      <c r="AN3406">
        <v>1700</v>
      </c>
      <c r="AO3406" t="s">
        <v>115</v>
      </c>
      <c r="AP3406">
        <v>143</v>
      </c>
      <c r="AQ3406">
        <v>-15</v>
      </c>
      <c r="AR3406">
        <v>64</v>
      </c>
      <c r="AZ3406">
        <v>3614</v>
      </c>
      <c r="BA3406">
        <v>1</v>
      </c>
      <c r="BB3406" t="str">
        <f t="shared" si="161"/>
        <v xml:space="preserve">N959MJ  </v>
      </c>
      <c r="BC3406">
        <v>1</v>
      </c>
      <c r="BE3406">
        <v>0</v>
      </c>
      <c r="BF3406">
        <v>0</v>
      </c>
      <c r="BG3406">
        <v>0</v>
      </c>
      <c r="BH3406">
        <v>1875</v>
      </c>
      <c r="BI3406">
        <v>175</v>
      </c>
      <c r="BJ3406">
        <v>1</v>
      </c>
      <c r="BK3406">
        <v>1</v>
      </c>
      <c r="BL3406">
        <v>1</v>
      </c>
      <c r="BM3406">
        <v>0</v>
      </c>
      <c r="BP3406">
        <v>0</v>
      </c>
      <c r="BQ3406">
        <v>0</v>
      </c>
      <c r="BX3406" t="str">
        <f>"14:47:06.445"</f>
        <v>14:47:06.445</v>
      </c>
      <c r="BY3406" t="str">
        <f>"441793754"</f>
        <v>441793754</v>
      </c>
      <c r="CL3406">
        <v>0</v>
      </c>
      <c r="CM3406">
        <v>2</v>
      </c>
      <c r="CN3406">
        <v>0</v>
      </c>
      <c r="CO3406">
        <v>2</v>
      </c>
      <c r="CP3406">
        <v>0</v>
      </c>
      <c r="CQ3406">
        <v>7</v>
      </c>
      <c r="CR3406" t="s">
        <v>116</v>
      </c>
      <c r="CS3406">
        <v>38</v>
      </c>
      <c r="CT3406">
        <v>0</v>
      </c>
      <c r="CU3406" t="s">
        <v>4719</v>
      </c>
      <c r="CV3406" t="s">
        <v>4720</v>
      </c>
      <c r="CY3406">
        <v>7823937</v>
      </c>
      <c r="CZ3406" t="s">
        <v>119</v>
      </c>
    </row>
    <row r="3407" spans="1:104" x14ac:dyDescent="0.25">
      <c r="A3407" t="str">
        <f>"14:47:07.609"</f>
        <v>14:47:07.609</v>
      </c>
      <c r="B3407" t="s">
        <v>108</v>
      </c>
      <c r="C3407" t="str">
        <f t="shared" si="160"/>
        <v>ffdfd3c0</v>
      </c>
      <c r="D3407" t="s">
        <v>109</v>
      </c>
      <c r="E3407">
        <v>4</v>
      </c>
      <c r="F3407">
        <v>1004</v>
      </c>
      <c r="G3407" t="s">
        <v>110</v>
      </c>
      <c r="J3407" t="s">
        <v>111</v>
      </c>
      <c r="K3407">
        <v>0</v>
      </c>
      <c r="L3407">
        <v>3</v>
      </c>
      <c r="M3407">
        <v>0</v>
      </c>
      <c r="N3407">
        <v>2</v>
      </c>
      <c r="O3407">
        <v>1</v>
      </c>
      <c r="P3407">
        <v>0</v>
      </c>
      <c r="Q3407">
        <v>0</v>
      </c>
      <c r="R3407" t="s">
        <v>112</v>
      </c>
      <c r="S3407" t="str">
        <f>"14:47:07.414"</f>
        <v>14:47:07.414</v>
      </c>
      <c r="T3407" t="str">
        <f>"14:47:06.914"</f>
        <v>14:47:06.914</v>
      </c>
      <c r="U3407" t="str">
        <f t="shared" si="159"/>
        <v>ad5732</v>
      </c>
      <c r="V3407">
        <v>0</v>
      </c>
      <c r="W3407">
        <v>0</v>
      </c>
      <c r="X3407">
        <v>1</v>
      </c>
      <c r="Z3407">
        <v>0</v>
      </c>
      <c r="AA3407">
        <v>9</v>
      </c>
      <c r="AB3407">
        <v>3</v>
      </c>
      <c r="AC3407">
        <v>0</v>
      </c>
      <c r="AD3407">
        <v>10</v>
      </c>
      <c r="AE3407">
        <v>0</v>
      </c>
      <c r="AF3407">
        <v>3</v>
      </c>
      <c r="AG3407">
        <v>2</v>
      </c>
      <c r="AH3407">
        <v>0</v>
      </c>
      <c r="AI3407" t="s">
        <v>6912</v>
      </c>
      <c r="AJ3407">
        <v>40.376944999999999</v>
      </c>
      <c r="AK3407" t="s">
        <v>6913</v>
      </c>
      <c r="AL3407">
        <v>-74.636713999999998</v>
      </c>
      <c r="AM3407">
        <v>100</v>
      </c>
      <c r="AN3407">
        <v>1700</v>
      </c>
      <c r="AO3407" t="s">
        <v>115</v>
      </c>
      <c r="AP3407">
        <v>143</v>
      </c>
      <c r="AQ3407">
        <v>-15</v>
      </c>
      <c r="AR3407">
        <v>64</v>
      </c>
      <c r="AZ3407">
        <v>3614</v>
      </c>
      <c r="BA3407">
        <v>1</v>
      </c>
      <c r="BB3407" t="str">
        <f t="shared" si="161"/>
        <v xml:space="preserve">N959MJ  </v>
      </c>
      <c r="BC3407">
        <v>1</v>
      </c>
      <c r="BE3407">
        <v>0</v>
      </c>
      <c r="BF3407">
        <v>0</v>
      </c>
      <c r="BG3407">
        <v>0</v>
      </c>
      <c r="BH3407">
        <v>1875</v>
      </c>
      <c r="BI3407">
        <v>175</v>
      </c>
      <c r="BJ3407">
        <v>1</v>
      </c>
      <c r="BK3407">
        <v>1</v>
      </c>
      <c r="BL3407">
        <v>1</v>
      </c>
      <c r="BM3407">
        <v>0</v>
      </c>
      <c r="BP3407">
        <v>0</v>
      </c>
      <c r="BQ3407">
        <v>0</v>
      </c>
      <c r="BX3407" t="str">
        <f>"14:47:07.414"</f>
        <v>14:47:07.414</v>
      </c>
      <c r="BY3407" t="str">
        <f>"415020590"</f>
        <v>415020590</v>
      </c>
      <c r="CL3407">
        <v>0</v>
      </c>
      <c r="CM3407">
        <v>2</v>
      </c>
      <c r="CN3407">
        <v>0</v>
      </c>
      <c r="CO3407">
        <v>2</v>
      </c>
      <c r="CP3407">
        <v>0</v>
      </c>
      <c r="CQ3407">
        <v>7</v>
      </c>
      <c r="CR3407" t="s">
        <v>116</v>
      </c>
      <c r="CS3407">
        <v>38</v>
      </c>
      <c r="CT3407">
        <v>0</v>
      </c>
      <c r="CU3407" t="s">
        <v>4719</v>
      </c>
      <c r="CV3407" t="s">
        <v>4720</v>
      </c>
      <c r="CY3407">
        <v>7825345</v>
      </c>
      <c r="CZ3407" t="s">
        <v>119</v>
      </c>
    </row>
    <row r="3408" spans="1:104" x14ac:dyDescent="0.25">
      <c r="A3408" t="str">
        <f>"14:47:08.672"</f>
        <v>14:47:08.672</v>
      </c>
      <c r="B3408" t="s">
        <v>108</v>
      </c>
      <c r="C3408" t="str">
        <f t="shared" si="160"/>
        <v>ffdfd3c0</v>
      </c>
      <c r="D3408" t="s">
        <v>109</v>
      </c>
      <c r="E3408">
        <v>4</v>
      </c>
      <c r="F3408">
        <v>1004</v>
      </c>
      <c r="G3408" t="s">
        <v>110</v>
      </c>
      <c r="J3408" t="s">
        <v>111</v>
      </c>
      <c r="K3408">
        <v>0</v>
      </c>
      <c r="L3408">
        <v>3</v>
      </c>
      <c r="M3408">
        <v>0</v>
      </c>
      <c r="N3408">
        <v>2</v>
      </c>
      <c r="O3408">
        <v>1</v>
      </c>
      <c r="P3408">
        <v>0</v>
      </c>
      <c r="Q3408">
        <v>0</v>
      </c>
      <c r="R3408" t="s">
        <v>112</v>
      </c>
      <c r="S3408" t="str">
        <f>"14:47:08.453"</f>
        <v>14:47:08.453</v>
      </c>
      <c r="T3408" t="str">
        <f>"14:47:08.055"</f>
        <v>14:47:08.055</v>
      </c>
      <c r="U3408" t="str">
        <f t="shared" si="159"/>
        <v>ad5732</v>
      </c>
      <c r="V3408">
        <v>0</v>
      </c>
      <c r="W3408">
        <v>0</v>
      </c>
      <c r="X3408">
        <v>1</v>
      </c>
      <c r="Z3408">
        <v>0</v>
      </c>
      <c r="AA3408">
        <v>9</v>
      </c>
      <c r="AB3408">
        <v>3</v>
      </c>
      <c r="AC3408">
        <v>0</v>
      </c>
      <c r="AD3408">
        <v>10</v>
      </c>
      <c r="AE3408">
        <v>0</v>
      </c>
      <c r="AF3408">
        <v>3</v>
      </c>
      <c r="AG3408">
        <v>2</v>
      </c>
      <c r="AH3408">
        <v>0</v>
      </c>
      <c r="AI3408" t="s">
        <v>6914</v>
      </c>
      <c r="AJ3408">
        <v>40.376859000000003</v>
      </c>
      <c r="AK3408" t="s">
        <v>6915</v>
      </c>
      <c r="AL3408">
        <v>-74.635812999999999</v>
      </c>
      <c r="AM3408">
        <v>100</v>
      </c>
      <c r="AN3408">
        <v>1700</v>
      </c>
      <c r="AO3408" t="s">
        <v>115</v>
      </c>
      <c r="AP3408">
        <v>142</v>
      </c>
      <c r="AQ3408">
        <v>-15</v>
      </c>
      <c r="AR3408">
        <v>64</v>
      </c>
      <c r="AZ3408">
        <v>3614</v>
      </c>
      <c r="BA3408">
        <v>1</v>
      </c>
      <c r="BB3408" t="str">
        <f t="shared" si="161"/>
        <v xml:space="preserve">N959MJ  </v>
      </c>
      <c r="BC3408">
        <v>1</v>
      </c>
      <c r="BE3408">
        <v>0</v>
      </c>
      <c r="BF3408">
        <v>0</v>
      </c>
      <c r="BG3408">
        <v>0</v>
      </c>
      <c r="BH3408">
        <v>1875</v>
      </c>
      <c r="BI3408">
        <v>175</v>
      </c>
      <c r="BJ3408">
        <v>1</v>
      </c>
      <c r="BK3408">
        <v>1</v>
      </c>
      <c r="BL3408">
        <v>1</v>
      </c>
      <c r="BM3408">
        <v>0</v>
      </c>
      <c r="BP3408">
        <v>0</v>
      </c>
      <c r="BQ3408">
        <v>0</v>
      </c>
      <c r="BX3408" t="str">
        <f>"14:47:08.461"</f>
        <v>14:47:08.461</v>
      </c>
      <c r="BY3408" t="str">
        <f>"460338310"</f>
        <v>460338310</v>
      </c>
      <c r="CL3408">
        <v>0</v>
      </c>
      <c r="CM3408">
        <v>2</v>
      </c>
      <c r="CN3408">
        <v>0</v>
      </c>
      <c r="CO3408">
        <v>2</v>
      </c>
      <c r="CP3408">
        <v>0</v>
      </c>
      <c r="CQ3408">
        <v>7</v>
      </c>
      <c r="CR3408" t="s">
        <v>116</v>
      </c>
      <c r="CS3408">
        <v>38</v>
      </c>
      <c r="CT3408">
        <v>0</v>
      </c>
      <c r="CU3408" t="s">
        <v>4719</v>
      </c>
      <c r="CV3408" t="s">
        <v>4720</v>
      </c>
      <c r="CY3408">
        <v>7826955</v>
      </c>
      <c r="CZ3408" t="s">
        <v>119</v>
      </c>
    </row>
    <row r="3409" spans="1:104" x14ac:dyDescent="0.25">
      <c r="A3409" t="str">
        <f>"14:47:09.633"</f>
        <v>14:47:09.633</v>
      </c>
      <c r="B3409" t="s">
        <v>108</v>
      </c>
      <c r="C3409" t="str">
        <f t="shared" si="160"/>
        <v>ffdfd3c0</v>
      </c>
      <c r="D3409" t="s">
        <v>109</v>
      </c>
      <c r="E3409">
        <v>4</v>
      </c>
      <c r="F3409">
        <v>1004</v>
      </c>
      <c r="G3409" t="s">
        <v>110</v>
      </c>
      <c r="J3409" t="s">
        <v>111</v>
      </c>
      <c r="K3409">
        <v>0</v>
      </c>
      <c r="L3409">
        <v>3</v>
      </c>
      <c r="M3409">
        <v>0</v>
      </c>
      <c r="N3409">
        <v>2</v>
      </c>
      <c r="O3409">
        <v>1</v>
      </c>
      <c r="P3409">
        <v>0</v>
      </c>
      <c r="Q3409">
        <v>0</v>
      </c>
      <c r="R3409" t="s">
        <v>112</v>
      </c>
      <c r="S3409" t="str">
        <f>"14:47:09.430"</f>
        <v>14:47:09.430</v>
      </c>
      <c r="T3409" t="str">
        <f>"14:47:08.930"</f>
        <v>14:47:08.930</v>
      </c>
      <c r="U3409" t="str">
        <f t="shared" si="159"/>
        <v>ad5732</v>
      </c>
      <c r="V3409">
        <v>0</v>
      </c>
      <c r="W3409">
        <v>0</v>
      </c>
      <c r="X3409">
        <v>1</v>
      </c>
      <c r="Z3409">
        <v>0</v>
      </c>
      <c r="AA3409">
        <v>9</v>
      </c>
      <c r="AB3409">
        <v>3</v>
      </c>
      <c r="AC3409">
        <v>0</v>
      </c>
      <c r="AD3409">
        <v>10</v>
      </c>
      <c r="AE3409">
        <v>0</v>
      </c>
      <c r="AF3409">
        <v>3</v>
      </c>
      <c r="AG3409">
        <v>2</v>
      </c>
      <c r="AH3409">
        <v>0</v>
      </c>
      <c r="AI3409" t="s">
        <v>6916</v>
      </c>
      <c r="AJ3409">
        <v>40.376793999999997</v>
      </c>
      <c r="AK3409" t="s">
        <v>6917</v>
      </c>
      <c r="AL3409">
        <v>-74.634933000000004</v>
      </c>
      <c r="AM3409">
        <v>100</v>
      </c>
      <c r="AN3409">
        <v>1700</v>
      </c>
      <c r="AO3409" t="s">
        <v>115</v>
      </c>
      <c r="AP3409">
        <v>142</v>
      </c>
      <c r="AQ3409">
        <v>-15</v>
      </c>
      <c r="AR3409">
        <v>0</v>
      </c>
      <c r="AZ3409">
        <v>3614</v>
      </c>
      <c r="BA3409">
        <v>1</v>
      </c>
      <c r="BB3409" t="str">
        <f t="shared" si="161"/>
        <v xml:space="preserve">N959MJ  </v>
      </c>
      <c r="BC3409">
        <v>1</v>
      </c>
      <c r="BE3409">
        <v>0</v>
      </c>
      <c r="BF3409">
        <v>0</v>
      </c>
      <c r="BG3409">
        <v>0</v>
      </c>
      <c r="BH3409">
        <v>1875</v>
      </c>
      <c r="BI3409">
        <v>175</v>
      </c>
      <c r="BJ3409">
        <v>1</v>
      </c>
      <c r="BK3409">
        <v>1</v>
      </c>
      <c r="BL3409">
        <v>1</v>
      </c>
      <c r="BM3409">
        <v>0</v>
      </c>
      <c r="BP3409">
        <v>0</v>
      </c>
      <c r="BQ3409">
        <v>0</v>
      </c>
      <c r="BX3409" t="str">
        <f>"14:47:09.438"</f>
        <v>14:47:09.438</v>
      </c>
      <c r="BY3409" t="str">
        <f>"436841996"</f>
        <v>436841996</v>
      </c>
      <c r="CL3409">
        <v>0</v>
      </c>
      <c r="CM3409">
        <v>2</v>
      </c>
      <c r="CN3409">
        <v>0</v>
      </c>
      <c r="CO3409">
        <v>2</v>
      </c>
      <c r="CP3409">
        <v>0</v>
      </c>
      <c r="CQ3409">
        <v>7</v>
      </c>
      <c r="CR3409" t="s">
        <v>116</v>
      </c>
      <c r="CS3409">
        <v>38</v>
      </c>
      <c r="CT3409">
        <v>0</v>
      </c>
      <c r="CU3409" t="s">
        <v>4719</v>
      </c>
      <c r="CV3409" t="s">
        <v>4720</v>
      </c>
      <c r="CY3409">
        <v>7828573</v>
      </c>
      <c r="CZ3409" t="s">
        <v>119</v>
      </c>
    </row>
    <row r="3410" spans="1:104" x14ac:dyDescent="0.25">
      <c r="A3410" t="str">
        <f>"14:47:10.539"</f>
        <v>14:47:10.539</v>
      </c>
      <c r="B3410" t="s">
        <v>108</v>
      </c>
      <c r="C3410" t="str">
        <f t="shared" si="160"/>
        <v>ffdfd3c0</v>
      </c>
      <c r="D3410" t="s">
        <v>109</v>
      </c>
      <c r="E3410">
        <v>4</v>
      </c>
      <c r="F3410">
        <v>1004</v>
      </c>
      <c r="G3410" t="s">
        <v>110</v>
      </c>
      <c r="J3410" t="s">
        <v>111</v>
      </c>
      <c r="K3410">
        <v>0</v>
      </c>
      <c r="L3410">
        <v>3</v>
      </c>
      <c r="M3410">
        <v>0</v>
      </c>
      <c r="N3410">
        <v>2</v>
      </c>
      <c r="O3410">
        <v>1</v>
      </c>
      <c r="P3410">
        <v>0</v>
      </c>
      <c r="Q3410">
        <v>0</v>
      </c>
      <c r="R3410" t="s">
        <v>112</v>
      </c>
      <c r="S3410" t="str">
        <f>"14:47:10.328"</f>
        <v>14:47:10.328</v>
      </c>
      <c r="T3410" t="str">
        <f>"14:47:09.930"</f>
        <v>14:47:09.930</v>
      </c>
      <c r="U3410" t="str">
        <f t="shared" si="159"/>
        <v>ad5732</v>
      </c>
      <c r="V3410">
        <v>0</v>
      </c>
      <c r="W3410">
        <v>0</v>
      </c>
      <c r="X3410">
        <v>1</v>
      </c>
      <c r="Z3410">
        <v>0</v>
      </c>
      <c r="AA3410">
        <v>9</v>
      </c>
      <c r="AB3410">
        <v>3</v>
      </c>
      <c r="AC3410">
        <v>0</v>
      </c>
      <c r="AD3410">
        <v>10</v>
      </c>
      <c r="AE3410">
        <v>0</v>
      </c>
      <c r="AF3410">
        <v>3</v>
      </c>
      <c r="AG3410">
        <v>2</v>
      </c>
      <c r="AH3410">
        <v>0</v>
      </c>
      <c r="AI3410" t="s">
        <v>6918</v>
      </c>
      <c r="AJ3410">
        <v>40.376730000000002</v>
      </c>
      <c r="AK3410" t="s">
        <v>6919</v>
      </c>
      <c r="AL3410">
        <v>-74.634161000000006</v>
      </c>
      <c r="AM3410">
        <v>100</v>
      </c>
      <c r="AN3410">
        <v>1700</v>
      </c>
      <c r="AO3410" t="s">
        <v>115</v>
      </c>
      <c r="AP3410">
        <v>142</v>
      </c>
      <c r="AQ3410">
        <v>-15</v>
      </c>
      <c r="AR3410">
        <v>0</v>
      </c>
      <c r="AZ3410">
        <v>3614</v>
      </c>
      <c r="BA3410">
        <v>1</v>
      </c>
      <c r="BB3410" t="str">
        <f t="shared" si="161"/>
        <v xml:space="preserve">N959MJ  </v>
      </c>
      <c r="BC3410">
        <v>1</v>
      </c>
      <c r="BE3410">
        <v>0</v>
      </c>
      <c r="BF3410">
        <v>0</v>
      </c>
      <c r="BG3410">
        <v>0</v>
      </c>
      <c r="BH3410">
        <v>1875</v>
      </c>
      <c r="BI3410">
        <v>175</v>
      </c>
      <c r="BJ3410">
        <v>1</v>
      </c>
      <c r="BK3410">
        <v>1</v>
      </c>
      <c r="BL3410">
        <v>1</v>
      </c>
      <c r="BM3410">
        <v>0</v>
      </c>
      <c r="BP3410">
        <v>0</v>
      </c>
      <c r="BQ3410">
        <v>0</v>
      </c>
      <c r="BX3410" t="str">
        <f>"14:47:10.328"</f>
        <v>14:47:10.328</v>
      </c>
      <c r="BY3410" t="str">
        <f>"328147389"</f>
        <v>328147389</v>
      </c>
      <c r="CL3410">
        <v>0</v>
      </c>
      <c r="CM3410">
        <v>2</v>
      </c>
      <c r="CN3410">
        <v>0</v>
      </c>
      <c r="CO3410">
        <v>2</v>
      </c>
      <c r="CP3410">
        <v>0</v>
      </c>
      <c r="CQ3410">
        <v>7</v>
      </c>
      <c r="CR3410" t="s">
        <v>116</v>
      </c>
      <c r="CS3410">
        <v>38</v>
      </c>
      <c r="CT3410">
        <v>0</v>
      </c>
      <c r="CU3410" t="s">
        <v>4719</v>
      </c>
      <c r="CV3410" t="s">
        <v>4720</v>
      </c>
      <c r="CY3410">
        <v>7829942</v>
      </c>
      <c r="CZ3410" t="s">
        <v>119</v>
      </c>
    </row>
    <row r="3411" spans="1:104" x14ac:dyDescent="0.25">
      <c r="A3411" t="str">
        <f>"14:47:11.648"</f>
        <v>14:47:11.648</v>
      </c>
      <c r="B3411" t="s">
        <v>108</v>
      </c>
      <c r="C3411" t="str">
        <f t="shared" si="160"/>
        <v>ffdfd3c0</v>
      </c>
      <c r="D3411" t="s">
        <v>109</v>
      </c>
      <c r="E3411">
        <v>4</v>
      </c>
      <c r="F3411">
        <v>1004</v>
      </c>
      <c r="G3411" t="s">
        <v>110</v>
      </c>
      <c r="J3411" t="s">
        <v>111</v>
      </c>
      <c r="K3411">
        <v>0</v>
      </c>
      <c r="L3411">
        <v>3</v>
      </c>
      <c r="M3411">
        <v>0</v>
      </c>
      <c r="N3411">
        <v>2</v>
      </c>
      <c r="O3411">
        <v>1</v>
      </c>
      <c r="P3411">
        <v>0</v>
      </c>
      <c r="Q3411">
        <v>0</v>
      </c>
      <c r="R3411" t="s">
        <v>112</v>
      </c>
      <c r="S3411" t="str">
        <f>"14:47:11.492"</f>
        <v>14:47:11.492</v>
      </c>
      <c r="T3411" t="str">
        <f>"14:47:10.992"</f>
        <v>14:47:10.992</v>
      </c>
      <c r="U3411" t="str">
        <f t="shared" si="159"/>
        <v>ad5732</v>
      </c>
      <c r="V3411">
        <v>0</v>
      </c>
      <c r="W3411">
        <v>0</v>
      </c>
      <c r="X3411">
        <v>1</v>
      </c>
      <c r="Z3411">
        <v>0</v>
      </c>
      <c r="AA3411">
        <v>9</v>
      </c>
      <c r="AB3411">
        <v>3</v>
      </c>
      <c r="AC3411">
        <v>0</v>
      </c>
      <c r="AD3411">
        <v>10</v>
      </c>
      <c r="AE3411">
        <v>0</v>
      </c>
      <c r="AF3411">
        <v>3</v>
      </c>
      <c r="AG3411">
        <v>2</v>
      </c>
      <c r="AH3411">
        <v>0</v>
      </c>
      <c r="AI3411" t="s">
        <v>6920</v>
      </c>
      <c r="AJ3411">
        <v>40.376666</v>
      </c>
      <c r="AK3411" t="s">
        <v>6921</v>
      </c>
      <c r="AL3411">
        <v>-74.633195000000001</v>
      </c>
      <c r="AM3411">
        <v>100</v>
      </c>
      <c r="AN3411">
        <v>1700</v>
      </c>
      <c r="AO3411" t="s">
        <v>115</v>
      </c>
      <c r="AP3411">
        <v>141</v>
      </c>
      <c r="AQ3411">
        <v>-15</v>
      </c>
      <c r="AR3411">
        <v>0</v>
      </c>
      <c r="AZ3411">
        <v>3614</v>
      </c>
      <c r="BA3411">
        <v>1</v>
      </c>
      <c r="BB3411" t="str">
        <f t="shared" si="161"/>
        <v xml:space="preserve">N959MJ  </v>
      </c>
      <c r="BC3411">
        <v>1</v>
      </c>
      <c r="BE3411">
        <v>0</v>
      </c>
      <c r="BF3411">
        <v>0</v>
      </c>
      <c r="BG3411">
        <v>0</v>
      </c>
      <c r="BH3411">
        <v>1875</v>
      </c>
      <c r="BI3411">
        <v>175</v>
      </c>
      <c r="BJ3411">
        <v>1</v>
      </c>
      <c r="BK3411">
        <v>1</v>
      </c>
      <c r="BL3411">
        <v>1</v>
      </c>
      <c r="BM3411">
        <v>0</v>
      </c>
      <c r="BP3411">
        <v>0</v>
      </c>
      <c r="BQ3411">
        <v>0</v>
      </c>
      <c r="BX3411" t="str">
        <f>"14:47:11.500"</f>
        <v>14:47:11.500</v>
      </c>
      <c r="BY3411" t="str">
        <f>"499624139"</f>
        <v>499624139</v>
      </c>
      <c r="CL3411">
        <v>0</v>
      </c>
      <c r="CM3411">
        <v>2</v>
      </c>
      <c r="CN3411">
        <v>0</v>
      </c>
      <c r="CO3411">
        <v>2</v>
      </c>
      <c r="CP3411">
        <v>0</v>
      </c>
      <c r="CQ3411">
        <v>7</v>
      </c>
      <c r="CR3411" t="s">
        <v>116</v>
      </c>
      <c r="CS3411">
        <v>38</v>
      </c>
      <c r="CT3411">
        <v>0</v>
      </c>
      <c r="CU3411" t="s">
        <v>4719</v>
      </c>
      <c r="CV3411" t="s">
        <v>4720</v>
      </c>
      <c r="CY3411">
        <v>7831739</v>
      </c>
      <c r="CZ3411" t="s">
        <v>119</v>
      </c>
    </row>
    <row r="3412" spans="1:104" x14ac:dyDescent="0.25">
      <c r="A3412" t="str">
        <f>"14:47:12.609"</f>
        <v>14:47:12.609</v>
      </c>
      <c r="B3412" t="s">
        <v>108</v>
      </c>
      <c r="C3412" t="str">
        <f t="shared" si="160"/>
        <v>ffdfd3c0</v>
      </c>
      <c r="D3412" t="s">
        <v>109</v>
      </c>
      <c r="E3412">
        <v>4</v>
      </c>
      <c r="F3412">
        <v>1004</v>
      </c>
      <c r="G3412" t="s">
        <v>110</v>
      </c>
      <c r="J3412" t="s">
        <v>111</v>
      </c>
      <c r="K3412">
        <v>0</v>
      </c>
      <c r="L3412">
        <v>3</v>
      </c>
      <c r="M3412">
        <v>0</v>
      </c>
      <c r="N3412">
        <v>2</v>
      </c>
      <c r="O3412">
        <v>1</v>
      </c>
      <c r="P3412">
        <v>0</v>
      </c>
      <c r="Q3412">
        <v>0</v>
      </c>
      <c r="R3412" t="s">
        <v>112</v>
      </c>
      <c r="S3412" t="str">
        <f>"14:47:12.422"</f>
        <v>14:47:12.422</v>
      </c>
      <c r="T3412" t="str">
        <f>"14:47:12.023"</f>
        <v>14:47:12.023</v>
      </c>
      <c r="U3412" t="str">
        <f t="shared" si="159"/>
        <v>ad5732</v>
      </c>
      <c r="V3412">
        <v>0</v>
      </c>
      <c r="W3412">
        <v>0</v>
      </c>
      <c r="X3412">
        <v>1</v>
      </c>
      <c r="Z3412">
        <v>0</v>
      </c>
      <c r="AA3412">
        <v>9</v>
      </c>
      <c r="AB3412">
        <v>3</v>
      </c>
      <c r="AC3412">
        <v>0</v>
      </c>
      <c r="AD3412">
        <v>10</v>
      </c>
      <c r="AE3412">
        <v>0</v>
      </c>
      <c r="AF3412">
        <v>3</v>
      </c>
      <c r="AG3412">
        <v>2</v>
      </c>
      <c r="AH3412">
        <v>0</v>
      </c>
      <c r="AI3412" t="s">
        <v>6922</v>
      </c>
      <c r="AJ3412">
        <v>40.376579999999997</v>
      </c>
      <c r="AK3412" t="s">
        <v>6923</v>
      </c>
      <c r="AL3412">
        <v>-74.632379999999998</v>
      </c>
      <c r="AM3412">
        <v>100</v>
      </c>
      <c r="AN3412">
        <v>1700</v>
      </c>
      <c r="AO3412" t="s">
        <v>115</v>
      </c>
      <c r="AP3412">
        <v>141</v>
      </c>
      <c r="AQ3412">
        <v>-16</v>
      </c>
      <c r="AR3412">
        <v>0</v>
      </c>
      <c r="AZ3412">
        <v>3614</v>
      </c>
      <c r="BA3412">
        <v>1</v>
      </c>
      <c r="BB3412" t="str">
        <f t="shared" si="161"/>
        <v xml:space="preserve">N959MJ  </v>
      </c>
      <c r="BC3412">
        <v>1</v>
      </c>
      <c r="BE3412">
        <v>0</v>
      </c>
      <c r="BF3412">
        <v>0</v>
      </c>
      <c r="BG3412">
        <v>0</v>
      </c>
      <c r="BH3412">
        <v>1875</v>
      </c>
      <c r="BI3412">
        <v>175</v>
      </c>
      <c r="BJ3412">
        <v>1</v>
      </c>
      <c r="BK3412">
        <v>1</v>
      </c>
      <c r="BL3412">
        <v>1</v>
      </c>
      <c r="BM3412">
        <v>0</v>
      </c>
      <c r="BP3412">
        <v>0</v>
      </c>
      <c r="BQ3412">
        <v>0</v>
      </c>
      <c r="BX3412" t="str">
        <f>"14:47:12.422"</f>
        <v>14:47:12.422</v>
      </c>
      <c r="BY3412" t="str">
        <f>"425336592"</f>
        <v>425336592</v>
      </c>
      <c r="CL3412">
        <v>0</v>
      </c>
      <c r="CM3412">
        <v>2</v>
      </c>
      <c r="CN3412">
        <v>0</v>
      </c>
      <c r="CO3412">
        <v>2</v>
      </c>
      <c r="CP3412">
        <v>0</v>
      </c>
      <c r="CQ3412">
        <v>7</v>
      </c>
      <c r="CR3412" t="s">
        <v>116</v>
      </c>
      <c r="CS3412">
        <v>38</v>
      </c>
      <c r="CT3412">
        <v>0</v>
      </c>
      <c r="CU3412" t="s">
        <v>4719</v>
      </c>
      <c r="CV3412" t="s">
        <v>4720</v>
      </c>
      <c r="CY3412">
        <v>7833090</v>
      </c>
      <c r="CZ3412" t="s">
        <v>119</v>
      </c>
    </row>
    <row r="3413" spans="1:104" x14ac:dyDescent="0.25">
      <c r="A3413" t="str">
        <f>"14:47:13.469"</f>
        <v>14:47:13.469</v>
      </c>
      <c r="B3413" t="s">
        <v>108</v>
      </c>
      <c r="C3413" t="str">
        <f t="shared" si="160"/>
        <v>ffdfd3c0</v>
      </c>
      <c r="D3413" t="s">
        <v>109</v>
      </c>
      <c r="E3413">
        <v>4</v>
      </c>
      <c r="F3413">
        <v>1004</v>
      </c>
      <c r="G3413" t="s">
        <v>110</v>
      </c>
      <c r="J3413" t="s">
        <v>111</v>
      </c>
      <c r="K3413">
        <v>0</v>
      </c>
      <c r="L3413">
        <v>3</v>
      </c>
      <c r="M3413">
        <v>0</v>
      </c>
      <c r="N3413">
        <v>2</v>
      </c>
      <c r="O3413">
        <v>1</v>
      </c>
      <c r="P3413">
        <v>0</v>
      </c>
      <c r="Q3413">
        <v>0</v>
      </c>
      <c r="R3413" t="s">
        <v>112</v>
      </c>
      <c r="S3413" t="str">
        <f>"14:47:13.273"</f>
        <v>14:47:13.273</v>
      </c>
      <c r="T3413" t="str">
        <f>"14:47:12.875"</f>
        <v>14:47:12.875</v>
      </c>
      <c r="U3413" t="str">
        <f t="shared" si="159"/>
        <v>ad5732</v>
      </c>
      <c r="V3413">
        <v>0</v>
      </c>
      <c r="W3413">
        <v>0</v>
      </c>
      <c r="X3413">
        <v>1</v>
      </c>
      <c r="Z3413">
        <v>0</v>
      </c>
      <c r="AA3413">
        <v>9</v>
      </c>
      <c r="AB3413">
        <v>3</v>
      </c>
      <c r="AC3413">
        <v>0</v>
      </c>
      <c r="AD3413">
        <v>10</v>
      </c>
      <c r="AE3413">
        <v>0</v>
      </c>
      <c r="AF3413">
        <v>3</v>
      </c>
      <c r="AG3413">
        <v>2</v>
      </c>
      <c r="AH3413">
        <v>0</v>
      </c>
      <c r="AI3413" t="s">
        <v>6924</v>
      </c>
      <c r="AJ3413">
        <v>40.376514999999998</v>
      </c>
      <c r="AK3413" t="s">
        <v>6925</v>
      </c>
      <c r="AL3413">
        <v>-74.631692999999999</v>
      </c>
      <c r="AM3413">
        <v>100</v>
      </c>
      <c r="AN3413">
        <v>1700</v>
      </c>
      <c r="AO3413" t="s">
        <v>115</v>
      </c>
      <c r="AP3413">
        <v>141</v>
      </c>
      <c r="AQ3413">
        <v>-16</v>
      </c>
      <c r="AR3413">
        <v>0</v>
      </c>
      <c r="AZ3413">
        <v>3614</v>
      </c>
      <c r="BA3413">
        <v>1</v>
      </c>
      <c r="BB3413" t="str">
        <f t="shared" si="161"/>
        <v xml:space="preserve">N959MJ  </v>
      </c>
      <c r="BC3413">
        <v>1</v>
      </c>
      <c r="BE3413">
        <v>0</v>
      </c>
      <c r="BF3413">
        <v>0</v>
      </c>
      <c r="BG3413">
        <v>0</v>
      </c>
      <c r="BH3413">
        <v>1875</v>
      </c>
      <c r="BI3413">
        <v>175</v>
      </c>
      <c r="BJ3413">
        <v>1</v>
      </c>
      <c r="BK3413">
        <v>1</v>
      </c>
      <c r="BL3413">
        <v>1</v>
      </c>
      <c r="BM3413">
        <v>0</v>
      </c>
      <c r="BP3413">
        <v>0</v>
      </c>
      <c r="BQ3413">
        <v>0</v>
      </c>
      <c r="BX3413" t="str">
        <f>"14:47:13.273"</f>
        <v>14:47:13.273</v>
      </c>
      <c r="BY3413" t="str">
        <f>"274042759"</f>
        <v>274042759</v>
      </c>
      <c r="CL3413">
        <v>0</v>
      </c>
      <c r="CM3413">
        <v>2</v>
      </c>
      <c r="CN3413">
        <v>0</v>
      </c>
      <c r="CO3413">
        <v>2</v>
      </c>
      <c r="CP3413">
        <v>0</v>
      </c>
      <c r="CQ3413">
        <v>7</v>
      </c>
      <c r="CR3413" t="s">
        <v>116</v>
      </c>
      <c r="CS3413">
        <v>38</v>
      </c>
      <c r="CT3413">
        <v>0</v>
      </c>
      <c r="CU3413" t="s">
        <v>4719</v>
      </c>
      <c r="CV3413" t="s">
        <v>4720</v>
      </c>
      <c r="CY3413">
        <v>7834421</v>
      </c>
      <c r="CZ3413" t="s">
        <v>119</v>
      </c>
    </row>
    <row r="3414" spans="1:104" x14ac:dyDescent="0.25">
      <c r="A3414" t="str">
        <f>"14:47:14.422"</f>
        <v>14:47:14.422</v>
      </c>
      <c r="B3414" t="s">
        <v>108</v>
      </c>
      <c r="C3414" t="str">
        <f t="shared" si="160"/>
        <v>ffdfd3c0</v>
      </c>
      <c r="D3414" t="s">
        <v>109</v>
      </c>
      <c r="E3414">
        <v>4</v>
      </c>
      <c r="F3414">
        <v>1004</v>
      </c>
      <c r="G3414" t="s">
        <v>110</v>
      </c>
      <c r="J3414" t="s">
        <v>111</v>
      </c>
      <c r="K3414">
        <v>0</v>
      </c>
      <c r="L3414">
        <v>3</v>
      </c>
      <c r="M3414">
        <v>0</v>
      </c>
      <c r="N3414">
        <v>2</v>
      </c>
      <c r="O3414">
        <v>1</v>
      </c>
      <c r="P3414">
        <v>0</v>
      </c>
      <c r="Q3414">
        <v>0</v>
      </c>
      <c r="R3414" t="s">
        <v>112</v>
      </c>
      <c r="S3414" t="str">
        <f>"14:47:14.250"</f>
        <v>14:47:14.250</v>
      </c>
      <c r="T3414" t="str">
        <f>"14:47:13.750"</f>
        <v>14:47:13.750</v>
      </c>
      <c r="U3414" t="str">
        <f t="shared" si="159"/>
        <v>ad5732</v>
      </c>
      <c r="V3414">
        <v>0</v>
      </c>
      <c r="W3414">
        <v>0</v>
      </c>
      <c r="X3414">
        <v>1</v>
      </c>
      <c r="Z3414">
        <v>0</v>
      </c>
      <c r="AA3414">
        <v>9</v>
      </c>
      <c r="AB3414">
        <v>3</v>
      </c>
      <c r="AC3414">
        <v>0</v>
      </c>
      <c r="AD3414">
        <v>10</v>
      </c>
      <c r="AE3414">
        <v>0</v>
      </c>
      <c r="AF3414">
        <v>3</v>
      </c>
      <c r="AG3414">
        <v>2</v>
      </c>
      <c r="AH3414">
        <v>0</v>
      </c>
      <c r="AI3414" t="s">
        <v>6926</v>
      </c>
      <c r="AJ3414">
        <v>40.376429999999999</v>
      </c>
      <c r="AK3414" t="s">
        <v>6927</v>
      </c>
      <c r="AL3414">
        <v>-74.630814000000001</v>
      </c>
      <c r="AM3414">
        <v>100</v>
      </c>
      <c r="AN3414">
        <v>1700</v>
      </c>
      <c r="AO3414" t="s">
        <v>115</v>
      </c>
      <c r="AP3414">
        <v>141</v>
      </c>
      <c r="AQ3414">
        <v>-16</v>
      </c>
      <c r="AR3414">
        <v>64</v>
      </c>
      <c r="AZ3414">
        <v>3614</v>
      </c>
      <c r="BA3414">
        <v>1</v>
      </c>
      <c r="BB3414" t="str">
        <f t="shared" si="161"/>
        <v xml:space="preserve">N959MJ  </v>
      </c>
      <c r="BC3414">
        <v>1</v>
      </c>
      <c r="BE3414">
        <v>0</v>
      </c>
      <c r="BF3414">
        <v>0</v>
      </c>
      <c r="BG3414">
        <v>0</v>
      </c>
      <c r="BH3414">
        <v>1875</v>
      </c>
      <c r="BI3414">
        <v>175</v>
      </c>
      <c r="BJ3414">
        <v>1</v>
      </c>
      <c r="BK3414">
        <v>1</v>
      </c>
      <c r="BL3414">
        <v>1</v>
      </c>
      <c r="BM3414">
        <v>0</v>
      </c>
      <c r="BP3414">
        <v>0</v>
      </c>
      <c r="BQ3414">
        <v>0</v>
      </c>
      <c r="BX3414" t="str">
        <f>"14:47:14.250"</f>
        <v>14:47:14.250</v>
      </c>
      <c r="BY3414" t="str">
        <f>"250648209"</f>
        <v>250648209</v>
      </c>
      <c r="CL3414">
        <v>0</v>
      </c>
      <c r="CM3414">
        <v>2</v>
      </c>
      <c r="CN3414">
        <v>0</v>
      </c>
      <c r="CO3414">
        <v>2</v>
      </c>
      <c r="CP3414">
        <v>0</v>
      </c>
      <c r="CQ3414">
        <v>6</v>
      </c>
      <c r="CR3414" t="s">
        <v>116</v>
      </c>
      <c r="CS3414">
        <v>305</v>
      </c>
      <c r="CT3414">
        <v>3</v>
      </c>
      <c r="CU3414" t="s">
        <v>6425</v>
      </c>
      <c r="CV3414" t="s">
        <v>6426</v>
      </c>
      <c r="CY3414">
        <v>5628148</v>
      </c>
      <c r="CZ3414" t="s">
        <v>119</v>
      </c>
    </row>
    <row r="3415" spans="1:104" x14ac:dyDescent="0.25">
      <c r="A3415" t="str">
        <f>"14:47:15.484"</f>
        <v>14:47:15.484</v>
      </c>
      <c r="B3415" t="s">
        <v>108</v>
      </c>
      <c r="C3415" t="str">
        <f t="shared" si="160"/>
        <v>ffdfd3c0</v>
      </c>
      <c r="D3415" t="s">
        <v>109</v>
      </c>
      <c r="E3415">
        <v>4</v>
      </c>
      <c r="F3415">
        <v>1004</v>
      </c>
      <c r="G3415" t="s">
        <v>110</v>
      </c>
      <c r="J3415" t="s">
        <v>111</v>
      </c>
      <c r="K3415">
        <v>0</v>
      </c>
      <c r="L3415">
        <v>3</v>
      </c>
      <c r="M3415">
        <v>0</v>
      </c>
      <c r="N3415">
        <v>2</v>
      </c>
      <c r="O3415">
        <v>1</v>
      </c>
      <c r="P3415">
        <v>0</v>
      </c>
      <c r="Q3415">
        <v>0</v>
      </c>
      <c r="R3415" t="s">
        <v>112</v>
      </c>
      <c r="S3415" t="str">
        <f>"14:47:15.305"</f>
        <v>14:47:15.305</v>
      </c>
      <c r="T3415" t="str">
        <f>"14:47:14.805"</f>
        <v>14:47:14.805</v>
      </c>
      <c r="U3415" t="str">
        <f t="shared" si="159"/>
        <v>ad5732</v>
      </c>
      <c r="V3415">
        <v>0</v>
      </c>
      <c r="W3415">
        <v>0</v>
      </c>
      <c r="X3415">
        <v>1</v>
      </c>
      <c r="Z3415">
        <v>0</v>
      </c>
      <c r="AA3415">
        <v>9</v>
      </c>
      <c r="AB3415">
        <v>3</v>
      </c>
      <c r="AC3415">
        <v>0</v>
      </c>
      <c r="AD3415">
        <v>10</v>
      </c>
      <c r="AE3415">
        <v>0</v>
      </c>
      <c r="AF3415">
        <v>3</v>
      </c>
      <c r="AG3415">
        <v>2</v>
      </c>
      <c r="AH3415">
        <v>0</v>
      </c>
      <c r="AI3415" t="s">
        <v>6928</v>
      </c>
      <c r="AJ3415">
        <v>40.376344000000003</v>
      </c>
      <c r="AK3415" t="s">
        <v>6929</v>
      </c>
      <c r="AL3415">
        <v>-74.629934000000006</v>
      </c>
      <c r="AM3415">
        <v>100</v>
      </c>
      <c r="AN3415">
        <v>1700</v>
      </c>
      <c r="AO3415" t="s">
        <v>115</v>
      </c>
      <c r="AP3415">
        <v>140</v>
      </c>
      <c r="AQ3415">
        <v>-16</v>
      </c>
      <c r="AR3415">
        <v>128</v>
      </c>
      <c r="AZ3415">
        <v>3614</v>
      </c>
      <c r="BA3415">
        <v>1</v>
      </c>
      <c r="BB3415" t="str">
        <f t="shared" si="161"/>
        <v xml:space="preserve">N959MJ  </v>
      </c>
      <c r="BC3415">
        <v>1</v>
      </c>
      <c r="BE3415">
        <v>0</v>
      </c>
      <c r="BF3415">
        <v>0</v>
      </c>
      <c r="BG3415">
        <v>0</v>
      </c>
      <c r="BH3415">
        <v>1875</v>
      </c>
      <c r="BI3415">
        <v>175</v>
      </c>
      <c r="BJ3415">
        <v>1</v>
      </c>
      <c r="BK3415">
        <v>1</v>
      </c>
      <c r="BL3415">
        <v>1</v>
      </c>
      <c r="BM3415">
        <v>0</v>
      </c>
      <c r="BP3415">
        <v>0</v>
      </c>
      <c r="BQ3415">
        <v>0</v>
      </c>
      <c r="BX3415" t="str">
        <f>"14:47:15.313"</f>
        <v>14:47:15.313</v>
      </c>
      <c r="BY3415" t="str">
        <f>"312248476"</f>
        <v>312248476</v>
      </c>
      <c r="CL3415">
        <v>0</v>
      </c>
      <c r="CM3415">
        <v>2</v>
      </c>
      <c r="CN3415">
        <v>0</v>
      </c>
      <c r="CO3415">
        <v>2</v>
      </c>
      <c r="CP3415">
        <v>0</v>
      </c>
      <c r="CQ3415">
        <v>7</v>
      </c>
      <c r="CR3415" t="s">
        <v>116</v>
      </c>
      <c r="CS3415">
        <v>38</v>
      </c>
      <c r="CT3415">
        <v>0</v>
      </c>
      <c r="CU3415" t="s">
        <v>4719</v>
      </c>
      <c r="CV3415" t="s">
        <v>4720</v>
      </c>
      <c r="CY3415">
        <v>7837561</v>
      </c>
      <c r="CZ3415" t="s">
        <v>119</v>
      </c>
    </row>
    <row r="3416" spans="1:104" x14ac:dyDescent="0.25">
      <c r="A3416" t="str">
        <f>"14:47:16.344"</f>
        <v>14:47:16.344</v>
      </c>
      <c r="B3416" t="s">
        <v>108</v>
      </c>
      <c r="C3416" t="str">
        <f t="shared" si="160"/>
        <v>ffdfd3c0</v>
      </c>
      <c r="D3416" t="s">
        <v>109</v>
      </c>
      <c r="E3416">
        <v>4</v>
      </c>
      <c r="F3416">
        <v>1004</v>
      </c>
      <c r="G3416" t="s">
        <v>110</v>
      </c>
      <c r="J3416" t="s">
        <v>111</v>
      </c>
      <c r="K3416">
        <v>0</v>
      </c>
      <c r="L3416">
        <v>3</v>
      </c>
      <c r="M3416">
        <v>0</v>
      </c>
      <c r="N3416">
        <v>2</v>
      </c>
      <c r="O3416">
        <v>1</v>
      </c>
      <c r="P3416">
        <v>0</v>
      </c>
      <c r="Q3416">
        <v>0</v>
      </c>
      <c r="R3416" t="s">
        <v>112</v>
      </c>
      <c r="S3416" t="str">
        <f>"14:47:16.172"</f>
        <v>14:47:16.172</v>
      </c>
      <c r="T3416" t="str">
        <f>"14:47:15.773"</f>
        <v>14:47:15.773</v>
      </c>
      <c r="U3416" t="str">
        <f t="shared" si="159"/>
        <v>ad5732</v>
      </c>
      <c r="V3416">
        <v>0</v>
      </c>
      <c r="W3416">
        <v>0</v>
      </c>
      <c r="X3416">
        <v>1</v>
      </c>
      <c r="Z3416">
        <v>0</v>
      </c>
      <c r="AA3416">
        <v>9</v>
      </c>
      <c r="AB3416">
        <v>3</v>
      </c>
      <c r="AC3416">
        <v>0</v>
      </c>
      <c r="AD3416">
        <v>10</v>
      </c>
      <c r="AE3416">
        <v>0</v>
      </c>
      <c r="AF3416">
        <v>3</v>
      </c>
      <c r="AG3416">
        <v>2</v>
      </c>
      <c r="AH3416">
        <v>0</v>
      </c>
      <c r="AI3416" t="s">
        <v>6930</v>
      </c>
      <c r="AJ3416">
        <v>40.376322000000002</v>
      </c>
      <c r="AK3416" t="s">
        <v>6931</v>
      </c>
      <c r="AL3416">
        <v>-74.629204000000001</v>
      </c>
      <c r="AM3416">
        <v>100</v>
      </c>
      <c r="AN3416">
        <v>1700</v>
      </c>
      <c r="AO3416" t="s">
        <v>115</v>
      </c>
      <c r="AP3416">
        <v>140</v>
      </c>
      <c r="AQ3416">
        <v>-16</v>
      </c>
      <c r="AR3416">
        <v>128</v>
      </c>
      <c r="AZ3416">
        <v>3614</v>
      </c>
      <c r="BA3416">
        <v>1</v>
      </c>
      <c r="BB3416" t="str">
        <f t="shared" si="161"/>
        <v xml:space="preserve">N959MJ  </v>
      </c>
      <c r="BC3416">
        <v>1</v>
      </c>
      <c r="BE3416">
        <v>0</v>
      </c>
      <c r="BF3416">
        <v>0</v>
      </c>
      <c r="BG3416">
        <v>0</v>
      </c>
      <c r="BH3416">
        <v>1875</v>
      </c>
      <c r="BI3416">
        <v>175</v>
      </c>
      <c r="BJ3416">
        <v>1</v>
      </c>
      <c r="BK3416">
        <v>1</v>
      </c>
      <c r="BL3416">
        <v>1</v>
      </c>
      <c r="BM3416">
        <v>0</v>
      </c>
      <c r="BP3416">
        <v>0</v>
      </c>
      <c r="BQ3416">
        <v>0</v>
      </c>
      <c r="BX3416" t="str">
        <f>"14:47:16.172"</f>
        <v>14:47:16.172</v>
      </c>
      <c r="BY3416" t="str">
        <f>"175700559"</f>
        <v>175700559</v>
      </c>
      <c r="CL3416">
        <v>0</v>
      </c>
      <c r="CM3416">
        <v>2</v>
      </c>
      <c r="CN3416">
        <v>0</v>
      </c>
      <c r="CO3416">
        <v>2</v>
      </c>
      <c r="CP3416">
        <v>0</v>
      </c>
      <c r="CQ3416">
        <v>7</v>
      </c>
      <c r="CR3416" t="s">
        <v>116</v>
      </c>
      <c r="CS3416">
        <v>38</v>
      </c>
      <c r="CT3416">
        <v>0</v>
      </c>
      <c r="CU3416" t="s">
        <v>4719</v>
      </c>
      <c r="CV3416" t="s">
        <v>4720</v>
      </c>
      <c r="CY3416">
        <v>7838843</v>
      </c>
      <c r="CZ3416" t="s">
        <v>119</v>
      </c>
    </row>
    <row r="3417" spans="1:104" x14ac:dyDescent="0.25">
      <c r="A3417" t="str">
        <f>"14:47:17.406"</f>
        <v>14:47:17.406</v>
      </c>
      <c r="B3417" t="s">
        <v>108</v>
      </c>
      <c r="C3417" t="str">
        <f t="shared" si="160"/>
        <v>ffdfd3c0</v>
      </c>
      <c r="D3417" t="s">
        <v>109</v>
      </c>
      <c r="E3417">
        <v>4</v>
      </c>
      <c r="F3417">
        <v>1004</v>
      </c>
      <c r="G3417" t="s">
        <v>110</v>
      </c>
      <c r="J3417" t="s">
        <v>111</v>
      </c>
      <c r="K3417">
        <v>0</v>
      </c>
      <c r="L3417">
        <v>3</v>
      </c>
      <c r="M3417">
        <v>0</v>
      </c>
      <c r="N3417">
        <v>2</v>
      </c>
      <c r="O3417">
        <v>1</v>
      </c>
      <c r="P3417">
        <v>0</v>
      </c>
      <c r="Q3417">
        <v>0</v>
      </c>
      <c r="R3417" t="s">
        <v>112</v>
      </c>
      <c r="S3417" t="str">
        <f>"14:47:17.203"</f>
        <v>14:47:17.203</v>
      </c>
      <c r="T3417" t="str">
        <f>"14:47:16.805"</f>
        <v>14:47:16.805</v>
      </c>
      <c r="U3417" t="str">
        <f t="shared" si="159"/>
        <v>ad5732</v>
      </c>
      <c r="V3417">
        <v>0</v>
      </c>
      <c r="W3417">
        <v>0</v>
      </c>
      <c r="X3417">
        <v>1</v>
      </c>
      <c r="Z3417">
        <v>0</v>
      </c>
      <c r="AA3417">
        <v>9</v>
      </c>
      <c r="AB3417">
        <v>3</v>
      </c>
      <c r="AC3417">
        <v>0</v>
      </c>
      <c r="AD3417">
        <v>10</v>
      </c>
      <c r="AE3417">
        <v>0</v>
      </c>
      <c r="AF3417">
        <v>3</v>
      </c>
      <c r="AG3417">
        <v>2</v>
      </c>
      <c r="AH3417">
        <v>0</v>
      </c>
      <c r="AI3417" t="s">
        <v>6932</v>
      </c>
      <c r="AJ3417">
        <v>40.376215000000002</v>
      </c>
      <c r="AK3417" t="s">
        <v>6933</v>
      </c>
      <c r="AL3417">
        <v>-74.628366999999997</v>
      </c>
      <c r="AM3417">
        <v>100</v>
      </c>
      <c r="AN3417">
        <v>1700</v>
      </c>
      <c r="AO3417" t="s">
        <v>115</v>
      </c>
      <c r="AP3417">
        <v>139</v>
      </c>
      <c r="AQ3417">
        <v>-16</v>
      </c>
      <c r="AR3417">
        <v>192</v>
      </c>
      <c r="AZ3417">
        <v>3614</v>
      </c>
      <c r="BA3417">
        <v>1</v>
      </c>
      <c r="BB3417" t="str">
        <f t="shared" si="161"/>
        <v xml:space="preserve">N959MJ  </v>
      </c>
      <c r="BC3417">
        <v>1</v>
      </c>
      <c r="BE3417">
        <v>0</v>
      </c>
      <c r="BF3417">
        <v>0</v>
      </c>
      <c r="BG3417">
        <v>0</v>
      </c>
      <c r="BH3417">
        <v>1875</v>
      </c>
      <c r="BI3417">
        <v>175</v>
      </c>
      <c r="BJ3417">
        <v>1</v>
      </c>
      <c r="BK3417">
        <v>1</v>
      </c>
      <c r="BL3417">
        <v>1</v>
      </c>
      <c r="BM3417">
        <v>0</v>
      </c>
      <c r="BP3417">
        <v>0</v>
      </c>
      <c r="BQ3417">
        <v>0</v>
      </c>
      <c r="BX3417" t="str">
        <f>"14:47:17.211"</f>
        <v>14:47:17.211</v>
      </c>
      <c r="BY3417" t="str">
        <f>"207934551"</f>
        <v>207934551</v>
      </c>
      <c r="CL3417">
        <v>0</v>
      </c>
      <c r="CM3417">
        <v>2</v>
      </c>
      <c r="CN3417">
        <v>0</v>
      </c>
      <c r="CO3417">
        <v>2</v>
      </c>
      <c r="CP3417">
        <v>0</v>
      </c>
      <c r="CQ3417">
        <v>7</v>
      </c>
      <c r="CR3417" t="s">
        <v>116</v>
      </c>
      <c r="CS3417">
        <v>38</v>
      </c>
      <c r="CT3417">
        <v>0</v>
      </c>
      <c r="CU3417" t="s">
        <v>4719</v>
      </c>
      <c r="CV3417" t="s">
        <v>4720</v>
      </c>
      <c r="CY3417">
        <v>7840345</v>
      </c>
      <c r="CZ3417" t="s">
        <v>119</v>
      </c>
    </row>
    <row r="3418" spans="1:104" x14ac:dyDescent="0.25">
      <c r="A3418" t="str">
        <f>"14:47:18.414"</f>
        <v>14:47:18.414</v>
      </c>
      <c r="B3418" t="s">
        <v>108</v>
      </c>
      <c r="C3418" t="str">
        <f t="shared" si="160"/>
        <v>ffdfd3c0</v>
      </c>
      <c r="D3418" t="s">
        <v>109</v>
      </c>
      <c r="E3418">
        <v>4</v>
      </c>
      <c r="F3418">
        <v>1004</v>
      </c>
      <c r="G3418" t="s">
        <v>110</v>
      </c>
      <c r="J3418" t="s">
        <v>111</v>
      </c>
      <c r="K3418">
        <v>0</v>
      </c>
      <c r="L3418">
        <v>3</v>
      </c>
      <c r="M3418">
        <v>0</v>
      </c>
      <c r="N3418">
        <v>2</v>
      </c>
      <c r="O3418">
        <v>1</v>
      </c>
      <c r="P3418">
        <v>0</v>
      </c>
      <c r="Q3418">
        <v>0</v>
      </c>
      <c r="R3418" t="s">
        <v>112</v>
      </c>
      <c r="S3418" t="str">
        <f>"14:47:18.242"</f>
        <v>14:47:18.242</v>
      </c>
      <c r="T3418" t="str">
        <f>"14:47:17.844"</f>
        <v>14:47:17.844</v>
      </c>
      <c r="U3418" t="str">
        <f t="shared" si="159"/>
        <v>ad5732</v>
      </c>
      <c r="V3418">
        <v>0</v>
      </c>
      <c r="W3418">
        <v>0</v>
      </c>
      <c r="X3418">
        <v>1</v>
      </c>
      <c r="Z3418">
        <v>0</v>
      </c>
      <c r="AA3418">
        <v>9</v>
      </c>
      <c r="AB3418">
        <v>3</v>
      </c>
      <c r="AC3418">
        <v>0</v>
      </c>
      <c r="AD3418">
        <v>10</v>
      </c>
      <c r="AE3418">
        <v>0</v>
      </c>
      <c r="AF3418">
        <v>3</v>
      </c>
      <c r="AG3418">
        <v>2</v>
      </c>
      <c r="AH3418">
        <v>0</v>
      </c>
      <c r="AI3418" t="s">
        <v>6934</v>
      </c>
      <c r="AJ3418">
        <v>40.376151</v>
      </c>
      <c r="AK3418" t="s">
        <v>6935</v>
      </c>
      <c r="AL3418">
        <v>-74.627444999999994</v>
      </c>
      <c r="AM3418">
        <v>100</v>
      </c>
      <c r="AN3418">
        <v>1700</v>
      </c>
      <c r="AO3418" t="s">
        <v>115</v>
      </c>
      <c r="AP3418">
        <v>139</v>
      </c>
      <c r="AQ3418">
        <v>-15</v>
      </c>
      <c r="AR3418">
        <v>192</v>
      </c>
      <c r="AZ3418">
        <v>3614</v>
      </c>
      <c r="BA3418">
        <v>1</v>
      </c>
      <c r="BB3418" t="str">
        <f t="shared" si="161"/>
        <v xml:space="preserve">N959MJ  </v>
      </c>
      <c r="BC3418">
        <v>1</v>
      </c>
      <c r="BE3418">
        <v>0</v>
      </c>
      <c r="BF3418">
        <v>0</v>
      </c>
      <c r="BG3418">
        <v>0</v>
      </c>
      <c r="BH3418">
        <v>1875</v>
      </c>
      <c r="BI3418">
        <v>175</v>
      </c>
      <c r="BJ3418">
        <v>1</v>
      </c>
      <c r="BK3418">
        <v>1</v>
      </c>
      <c r="BL3418">
        <v>1</v>
      </c>
      <c r="BM3418">
        <v>0</v>
      </c>
      <c r="BP3418">
        <v>0</v>
      </c>
      <c r="BQ3418">
        <v>0</v>
      </c>
      <c r="BX3418" t="str">
        <f>"14:47:18.242"</f>
        <v>14:47:18.242</v>
      </c>
      <c r="BY3418" t="str">
        <f>"243397987"</f>
        <v>243397987</v>
      </c>
      <c r="CL3418">
        <v>0</v>
      </c>
      <c r="CM3418">
        <v>2</v>
      </c>
      <c r="CN3418">
        <v>0</v>
      </c>
      <c r="CO3418">
        <v>2</v>
      </c>
      <c r="CP3418">
        <v>0</v>
      </c>
      <c r="CQ3418">
        <v>7</v>
      </c>
      <c r="CR3418" t="s">
        <v>116</v>
      </c>
      <c r="CS3418">
        <v>38</v>
      </c>
      <c r="CT3418">
        <v>0</v>
      </c>
      <c r="CU3418" t="s">
        <v>4719</v>
      </c>
      <c r="CV3418" t="s">
        <v>4720</v>
      </c>
      <c r="CY3418">
        <v>7841946</v>
      </c>
      <c r="CZ3418" t="s">
        <v>119</v>
      </c>
    </row>
    <row r="3419" spans="1:104" x14ac:dyDescent="0.25">
      <c r="A3419" t="str">
        <f>"14:47:19.320"</f>
        <v>14:47:19.320</v>
      </c>
      <c r="B3419" t="s">
        <v>108</v>
      </c>
      <c r="C3419" t="str">
        <f t="shared" si="160"/>
        <v>ffdfd3c0</v>
      </c>
      <c r="D3419" t="s">
        <v>109</v>
      </c>
      <c r="E3419">
        <v>4</v>
      </c>
      <c r="F3419">
        <v>1004</v>
      </c>
      <c r="G3419" t="s">
        <v>110</v>
      </c>
      <c r="J3419" t="s">
        <v>111</v>
      </c>
      <c r="K3419">
        <v>0</v>
      </c>
      <c r="L3419">
        <v>3</v>
      </c>
      <c r="M3419">
        <v>0</v>
      </c>
      <c r="N3419">
        <v>2</v>
      </c>
      <c r="O3419">
        <v>1</v>
      </c>
      <c r="P3419">
        <v>0</v>
      </c>
      <c r="Q3419">
        <v>0</v>
      </c>
      <c r="R3419" t="s">
        <v>112</v>
      </c>
      <c r="S3419" t="str">
        <f>"14:47:19.133"</f>
        <v>14:47:19.133</v>
      </c>
      <c r="T3419" t="str">
        <f>"14:47:18.734"</f>
        <v>14:47:18.734</v>
      </c>
      <c r="U3419" t="str">
        <f t="shared" si="159"/>
        <v>ad5732</v>
      </c>
      <c r="V3419">
        <v>0</v>
      </c>
      <c r="W3419">
        <v>0</v>
      </c>
      <c r="X3419">
        <v>1</v>
      </c>
      <c r="Z3419">
        <v>0</v>
      </c>
      <c r="AA3419">
        <v>9</v>
      </c>
      <c r="AB3419">
        <v>3</v>
      </c>
      <c r="AC3419">
        <v>0</v>
      </c>
      <c r="AD3419">
        <v>10</v>
      </c>
      <c r="AE3419">
        <v>0</v>
      </c>
      <c r="AF3419">
        <v>3</v>
      </c>
      <c r="AG3419">
        <v>2</v>
      </c>
      <c r="AH3419">
        <v>0</v>
      </c>
      <c r="AI3419" t="s">
        <v>6936</v>
      </c>
      <c r="AJ3419">
        <v>40.376086000000001</v>
      </c>
      <c r="AK3419" t="s">
        <v>6937</v>
      </c>
      <c r="AL3419">
        <v>-74.626715000000004</v>
      </c>
      <c r="AM3419">
        <v>100</v>
      </c>
      <c r="AN3419">
        <v>1700</v>
      </c>
      <c r="AO3419" t="s">
        <v>115</v>
      </c>
      <c r="AP3419">
        <v>139</v>
      </c>
      <c r="AQ3419">
        <v>-15</v>
      </c>
      <c r="AR3419">
        <v>192</v>
      </c>
      <c r="AZ3419">
        <v>3614</v>
      </c>
      <c r="BA3419">
        <v>1</v>
      </c>
      <c r="BB3419" t="str">
        <f t="shared" si="161"/>
        <v xml:space="preserve">N959MJ  </v>
      </c>
      <c r="BC3419">
        <v>1</v>
      </c>
      <c r="BE3419">
        <v>0</v>
      </c>
      <c r="BF3419">
        <v>0</v>
      </c>
      <c r="BG3419">
        <v>0</v>
      </c>
      <c r="BH3419">
        <v>1875</v>
      </c>
      <c r="BI3419">
        <v>175</v>
      </c>
      <c r="BJ3419">
        <v>1</v>
      </c>
      <c r="BK3419">
        <v>1</v>
      </c>
      <c r="BL3419">
        <v>1</v>
      </c>
      <c r="BM3419">
        <v>0</v>
      </c>
      <c r="BP3419">
        <v>0</v>
      </c>
      <c r="BQ3419">
        <v>0</v>
      </c>
      <c r="BX3419" t="str">
        <f>"14:47:19.141"</f>
        <v>14:47:19.141</v>
      </c>
      <c r="BY3419" t="str">
        <f>"137980233"</f>
        <v>137980233</v>
      </c>
      <c r="CL3419">
        <v>0</v>
      </c>
      <c r="CM3419">
        <v>2</v>
      </c>
      <c r="CN3419">
        <v>0</v>
      </c>
      <c r="CO3419">
        <v>2</v>
      </c>
      <c r="CP3419">
        <v>0</v>
      </c>
      <c r="CQ3419">
        <v>7</v>
      </c>
      <c r="CR3419" t="s">
        <v>116</v>
      </c>
      <c r="CS3419">
        <v>38</v>
      </c>
      <c r="CT3419">
        <v>0</v>
      </c>
      <c r="CU3419" t="s">
        <v>4719</v>
      </c>
      <c r="CV3419" t="s">
        <v>4720</v>
      </c>
      <c r="CY3419">
        <v>7843381</v>
      </c>
      <c r="CZ3419" t="s">
        <v>119</v>
      </c>
    </row>
    <row r="3420" spans="1:104" x14ac:dyDescent="0.25">
      <c r="A3420" t="str">
        <f>"14:47:20.383"</f>
        <v>14:47:20.383</v>
      </c>
      <c r="B3420" t="s">
        <v>108</v>
      </c>
      <c r="C3420" t="str">
        <f t="shared" si="160"/>
        <v>ffdfd3c0</v>
      </c>
      <c r="D3420" t="s">
        <v>109</v>
      </c>
      <c r="E3420">
        <v>4</v>
      </c>
      <c r="F3420">
        <v>1004</v>
      </c>
      <c r="G3420" t="s">
        <v>110</v>
      </c>
      <c r="J3420" t="s">
        <v>111</v>
      </c>
      <c r="K3420">
        <v>0</v>
      </c>
      <c r="L3420">
        <v>3</v>
      </c>
      <c r="M3420">
        <v>0</v>
      </c>
      <c r="N3420">
        <v>2</v>
      </c>
      <c r="O3420">
        <v>1</v>
      </c>
      <c r="P3420">
        <v>0</v>
      </c>
      <c r="Q3420">
        <v>0</v>
      </c>
      <c r="R3420" t="s">
        <v>112</v>
      </c>
      <c r="S3420" t="str">
        <f>"14:47:20.188"</f>
        <v>14:47:20.188</v>
      </c>
      <c r="T3420" t="str">
        <f>"14:47:19.688"</f>
        <v>14:47:19.688</v>
      </c>
      <c r="U3420" t="str">
        <f t="shared" si="159"/>
        <v>ad5732</v>
      </c>
      <c r="V3420">
        <v>0</v>
      </c>
      <c r="W3420">
        <v>0</v>
      </c>
      <c r="X3420">
        <v>1</v>
      </c>
      <c r="Z3420">
        <v>0</v>
      </c>
      <c r="AA3420">
        <v>9</v>
      </c>
      <c r="AB3420">
        <v>3</v>
      </c>
      <c r="AC3420">
        <v>0</v>
      </c>
      <c r="AD3420">
        <v>10</v>
      </c>
      <c r="AE3420">
        <v>0</v>
      </c>
      <c r="AF3420">
        <v>3</v>
      </c>
      <c r="AG3420">
        <v>2</v>
      </c>
      <c r="AH3420">
        <v>0</v>
      </c>
      <c r="AI3420" t="s">
        <v>6938</v>
      </c>
      <c r="AJ3420">
        <v>40.376043000000003</v>
      </c>
      <c r="AK3420" t="s">
        <v>6939</v>
      </c>
      <c r="AL3420">
        <v>-74.625856999999996</v>
      </c>
      <c r="AM3420">
        <v>100</v>
      </c>
      <c r="AN3420">
        <v>1700</v>
      </c>
      <c r="AO3420" t="s">
        <v>115</v>
      </c>
      <c r="AP3420">
        <v>138</v>
      </c>
      <c r="AQ3420">
        <v>-15</v>
      </c>
      <c r="AR3420">
        <v>128</v>
      </c>
      <c r="AZ3420">
        <v>3614</v>
      </c>
      <c r="BA3420">
        <v>1</v>
      </c>
      <c r="BB3420" t="str">
        <f t="shared" si="161"/>
        <v xml:space="preserve">N959MJ  </v>
      </c>
      <c r="BC3420">
        <v>1</v>
      </c>
      <c r="BE3420">
        <v>0</v>
      </c>
      <c r="BF3420">
        <v>0</v>
      </c>
      <c r="BG3420">
        <v>0</v>
      </c>
      <c r="BH3420">
        <v>1875</v>
      </c>
      <c r="BI3420">
        <v>175</v>
      </c>
      <c r="BJ3420">
        <v>1</v>
      </c>
      <c r="BK3420">
        <v>1</v>
      </c>
      <c r="BL3420">
        <v>1</v>
      </c>
      <c r="BM3420">
        <v>0</v>
      </c>
      <c r="BP3420">
        <v>0</v>
      </c>
      <c r="BQ3420">
        <v>0</v>
      </c>
      <c r="BX3420" t="str">
        <f>"14:47:20.195"</f>
        <v>14:47:20.195</v>
      </c>
      <c r="BY3420" t="str">
        <f>"193128574"</f>
        <v>193128574</v>
      </c>
      <c r="CL3420">
        <v>0</v>
      </c>
      <c r="CM3420">
        <v>2</v>
      </c>
      <c r="CN3420">
        <v>0</v>
      </c>
      <c r="CO3420">
        <v>2</v>
      </c>
      <c r="CP3420">
        <v>0</v>
      </c>
      <c r="CQ3420">
        <v>7</v>
      </c>
      <c r="CR3420" t="s">
        <v>116</v>
      </c>
      <c r="CS3420">
        <v>38</v>
      </c>
      <c r="CT3420">
        <v>0</v>
      </c>
      <c r="CU3420" t="s">
        <v>4719</v>
      </c>
      <c r="CV3420" t="s">
        <v>4720</v>
      </c>
      <c r="CY3420">
        <v>7844888</v>
      </c>
      <c r="CZ3420" t="s">
        <v>119</v>
      </c>
    </row>
    <row r="3421" spans="1:104" x14ac:dyDescent="0.25">
      <c r="A3421" t="str">
        <f>"14:47:21.391"</f>
        <v>14:47:21.391</v>
      </c>
      <c r="B3421" t="s">
        <v>108</v>
      </c>
      <c r="C3421" t="str">
        <f t="shared" si="160"/>
        <v>ffdfd3c0</v>
      </c>
      <c r="D3421" t="s">
        <v>109</v>
      </c>
      <c r="E3421">
        <v>4</v>
      </c>
      <c r="F3421">
        <v>1004</v>
      </c>
      <c r="G3421" t="s">
        <v>110</v>
      </c>
      <c r="J3421" t="s">
        <v>111</v>
      </c>
      <c r="K3421">
        <v>0</v>
      </c>
      <c r="L3421">
        <v>3</v>
      </c>
      <c r="M3421">
        <v>0</v>
      </c>
      <c r="N3421">
        <v>2</v>
      </c>
      <c r="O3421">
        <v>1</v>
      </c>
      <c r="P3421">
        <v>0</v>
      </c>
      <c r="Q3421">
        <v>0</v>
      </c>
      <c r="R3421" t="s">
        <v>112</v>
      </c>
      <c r="S3421" t="str">
        <f>"14:47:21.195"</f>
        <v>14:47:21.195</v>
      </c>
      <c r="T3421" t="str">
        <f>"14:47:20.695"</f>
        <v>14:47:20.695</v>
      </c>
      <c r="U3421" t="str">
        <f t="shared" si="159"/>
        <v>ad5732</v>
      </c>
      <c r="V3421">
        <v>0</v>
      </c>
      <c r="W3421">
        <v>0</v>
      </c>
      <c r="X3421">
        <v>1</v>
      </c>
      <c r="Z3421">
        <v>0</v>
      </c>
      <c r="AA3421">
        <v>9</v>
      </c>
      <c r="AB3421">
        <v>3</v>
      </c>
      <c r="AC3421">
        <v>0</v>
      </c>
      <c r="AD3421">
        <v>10</v>
      </c>
      <c r="AE3421">
        <v>0</v>
      </c>
      <c r="AF3421">
        <v>3</v>
      </c>
      <c r="AG3421">
        <v>2</v>
      </c>
      <c r="AH3421">
        <v>0</v>
      </c>
      <c r="AI3421" t="s">
        <v>6940</v>
      </c>
      <c r="AJ3421">
        <v>40.375936000000003</v>
      </c>
      <c r="AK3421" t="s">
        <v>6941</v>
      </c>
      <c r="AL3421">
        <v>-74.625062999999997</v>
      </c>
      <c r="AM3421">
        <v>100</v>
      </c>
      <c r="AN3421">
        <v>1700</v>
      </c>
      <c r="AO3421" t="s">
        <v>115</v>
      </c>
      <c r="AP3421">
        <v>138</v>
      </c>
      <c r="AQ3421">
        <v>-15</v>
      </c>
      <c r="AR3421">
        <v>64</v>
      </c>
      <c r="AZ3421">
        <v>3614</v>
      </c>
      <c r="BA3421">
        <v>1</v>
      </c>
      <c r="BB3421" t="str">
        <f t="shared" si="161"/>
        <v xml:space="preserve">N959MJ  </v>
      </c>
      <c r="BC3421">
        <v>1</v>
      </c>
      <c r="BE3421">
        <v>0</v>
      </c>
      <c r="BF3421">
        <v>0</v>
      </c>
      <c r="BG3421">
        <v>0</v>
      </c>
      <c r="BH3421">
        <v>1875</v>
      </c>
      <c r="BI3421">
        <v>175</v>
      </c>
      <c r="BJ3421">
        <v>1</v>
      </c>
      <c r="BK3421">
        <v>1</v>
      </c>
      <c r="BL3421">
        <v>1</v>
      </c>
      <c r="BM3421">
        <v>0</v>
      </c>
      <c r="BP3421">
        <v>0</v>
      </c>
      <c r="BQ3421">
        <v>0</v>
      </c>
      <c r="BX3421" t="str">
        <f>"14:47:21.195"</f>
        <v>14:47:21.195</v>
      </c>
      <c r="BY3421" t="str">
        <f>"197485518"</f>
        <v>197485518</v>
      </c>
      <c r="CL3421">
        <v>0</v>
      </c>
      <c r="CM3421">
        <v>2</v>
      </c>
      <c r="CN3421">
        <v>0</v>
      </c>
      <c r="CO3421">
        <v>2</v>
      </c>
      <c r="CP3421">
        <v>0</v>
      </c>
      <c r="CQ3421">
        <v>7</v>
      </c>
      <c r="CR3421" t="s">
        <v>116</v>
      </c>
      <c r="CS3421">
        <v>38</v>
      </c>
      <c r="CT3421">
        <v>0</v>
      </c>
      <c r="CU3421" t="s">
        <v>4719</v>
      </c>
      <c r="CV3421" t="s">
        <v>4720</v>
      </c>
      <c r="CY3421">
        <v>7846424</v>
      </c>
      <c r="CZ3421" t="s">
        <v>119</v>
      </c>
    </row>
    <row r="3422" spans="1:104" x14ac:dyDescent="0.25">
      <c r="A3422" t="str">
        <f>"14:47:22.453"</f>
        <v>14:47:22.453</v>
      </c>
      <c r="B3422" t="s">
        <v>108</v>
      </c>
      <c r="C3422" t="str">
        <f t="shared" si="160"/>
        <v>ffdfd3c0</v>
      </c>
      <c r="D3422" t="s">
        <v>109</v>
      </c>
      <c r="E3422">
        <v>4</v>
      </c>
      <c r="F3422">
        <v>1004</v>
      </c>
      <c r="G3422" t="s">
        <v>110</v>
      </c>
      <c r="J3422" t="s">
        <v>111</v>
      </c>
      <c r="K3422">
        <v>0</v>
      </c>
      <c r="L3422">
        <v>3</v>
      </c>
      <c r="M3422">
        <v>0</v>
      </c>
      <c r="N3422">
        <v>2</v>
      </c>
      <c r="O3422">
        <v>1</v>
      </c>
      <c r="P3422">
        <v>0</v>
      </c>
      <c r="Q3422">
        <v>0</v>
      </c>
      <c r="R3422" t="s">
        <v>112</v>
      </c>
      <c r="S3422" t="str">
        <f>"14:47:22.273"</f>
        <v>14:47:22.273</v>
      </c>
      <c r="T3422" t="str">
        <f>"14:47:21.773"</f>
        <v>14:47:21.773</v>
      </c>
      <c r="U3422" t="str">
        <f t="shared" si="159"/>
        <v>ad5732</v>
      </c>
      <c r="V3422">
        <v>0</v>
      </c>
      <c r="W3422">
        <v>0</v>
      </c>
      <c r="X3422">
        <v>1</v>
      </c>
      <c r="Z3422">
        <v>0</v>
      </c>
      <c r="AA3422">
        <v>9</v>
      </c>
      <c r="AB3422">
        <v>3</v>
      </c>
      <c r="AC3422">
        <v>0</v>
      </c>
      <c r="AD3422">
        <v>10</v>
      </c>
      <c r="AE3422">
        <v>0</v>
      </c>
      <c r="AF3422">
        <v>3</v>
      </c>
      <c r="AG3422">
        <v>2</v>
      </c>
      <c r="AH3422">
        <v>0</v>
      </c>
      <c r="AI3422" t="s">
        <v>6942</v>
      </c>
      <c r="AJ3422">
        <v>40.375872000000001</v>
      </c>
      <c r="AK3422" t="s">
        <v>6943</v>
      </c>
      <c r="AL3422">
        <v>-74.624076000000002</v>
      </c>
      <c r="AM3422">
        <v>100</v>
      </c>
      <c r="AN3422">
        <v>1700</v>
      </c>
      <c r="AO3422" t="s">
        <v>115</v>
      </c>
      <c r="AP3422">
        <v>138</v>
      </c>
      <c r="AQ3422">
        <v>-14</v>
      </c>
      <c r="AR3422">
        <v>0</v>
      </c>
      <c r="AZ3422">
        <v>3614</v>
      </c>
      <c r="BA3422">
        <v>1</v>
      </c>
      <c r="BB3422" t="str">
        <f t="shared" si="161"/>
        <v xml:space="preserve">N959MJ  </v>
      </c>
      <c r="BC3422">
        <v>1</v>
      </c>
      <c r="BE3422">
        <v>0</v>
      </c>
      <c r="BF3422">
        <v>0</v>
      </c>
      <c r="BG3422">
        <v>0</v>
      </c>
      <c r="BH3422">
        <v>1875</v>
      </c>
      <c r="BI3422">
        <v>175</v>
      </c>
      <c r="BJ3422">
        <v>1</v>
      </c>
      <c r="BK3422">
        <v>1</v>
      </c>
      <c r="BL3422">
        <v>1</v>
      </c>
      <c r="BM3422">
        <v>0</v>
      </c>
      <c r="BP3422">
        <v>0</v>
      </c>
      <c r="BQ3422">
        <v>0</v>
      </c>
      <c r="BX3422" t="str">
        <f>"14:47:22.273"</f>
        <v>14:47:22.273</v>
      </c>
      <c r="BY3422" t="str">
        <f>"277210246"</f>
        <v>277210246</v>
      </c>
      <c r="CL3422">
        <v>0</v>
      </c>
      <c r="CM3422">
        <v>2</v>
      </c>
      <c r="CN3422">
        <v>0</v>
      </c>
      <c r="CO3422">
        <v>2</v>
      </c>
      <c r="CP3422">
        <v>0</v>
      </c>
      <c r="CQ3422">
        <v>7</v>
      </c>
      <c r="CR3422" t="s">
        <v>116</v>
      </c>
      <c r="CS3422">
        <v>38</v>
      </c>
      <c r="CT3422">
        <v>0</v>
      </c>
      <c r="CU3422" t="s">
        <v>4719</v>
      </c>
      <c r="CV3422" t="s">
        <v>4720</v>
      </c>
      <c r="CY3422">
        <v>7848122</v>
      </c>
      <c r="CZ3422" t="s">
        <v>119</v>
      </c>
    </row>
    <row r="3423" spans="1:104" x14ac:dyDescent="0.25">
      <c r="A3423" t="str">
        <f>"14:47:23.461"</f>
        <v>14:47:23.461</v>
      </c>
      <c r="B3423" t="s">
        <v>108</v>
      </c>
      <c r="C3423" t="str">
        <f t="shared" si="160"/>
        <v>ffdfd3c0</v>
      </c>
      <c r="D3423" t="s">
        <v>109</v>
      </c>
      <c r="E3423">
        <v>4</v>
      </c>
      <c r="F3423">
        <v>1004</v>
      </c>
      <c r="G3423" t="s">
        <v>110</v>
      </c>
      <c r="J3423" t="s">
        <v>111</v>
      </c>
      <c r="K3423">
        <v>0</v>
      </c>
      <c r="L3423">
        <v>3</v>
      </c>
      <c r="M3423">
        <v>0</v>
      </c>
      <c r="N3423">
        <v>2</v>
      </c>
      <c r="O3423">
        <v>1</v>
      </c>
      <c r="P3423">
        <v>0</v>
      </c>
      <c r="Q3423">
        <v>0</v>
      </c>
      <c r="R3423" t="s">
        <v>112</v>
      </c>
      <c r="S3423" t="str">
        <f>"14:47:23.281"</f>
        <v>14:47:23.281</v>
      </c>
      <c r="T3423" t="str">
        <f>"14:47:22.781"</f>
        <v>14:47:22.781</v>
      </c>
      <c r="U3423" t="str">
        <f t="shared" si="159"/>
        <v>ad5732</v>
      </c>
      <c r="V3423">
        <v>0</v>
      </c>
      <c r="W3423">
        <v>0</v>
      </c>
      <c r="X3423">
        <v>1</v>
      </c>
      <c r="Z3423">
        <v>0</v>
      </c>
      <c r="AA3423">
        <v>9</v>
      </c>
      <c r="AB3423">
        <v>3</v>
      </c>
      <c r="AC3423">
        <v>0</v>
      </c>
      <c r="AD3423">
        <v>10</v>
      </c>
      <c r="AE3423">
        <v>0</v>
      </c>
      <c r="AF3423">
        <v>3</v>
      </c>
      <c r="AG3423">
        <v>2</v>
      </c>
      <c r="AH3423">
        <v>0</v>
      </c>
      <c r="AI3423" t="s">
        <v>6944</v>
      </c>
      <c r="AJ3423">
        <v>40.375829000000003</v>
      </c>
      <c r="AK3423" t="s">
        <v>6945</v>
      </c>
      <c r="AL3423">
        <v>-74.623260000000002</v>
      </c>
      <c r="AM3423">
        <v>100</v>
      </c>
      <c r="AN3423">
        <v>1700</v>
      </c>
      <c r="AO3423" t="s">
        <v>115</v>
      </c>
      <c r="AP3423">
        <v>138</v>
      </c>
      <c r="AQ3423">
        <v>-14</v>
      </c>
      <c r="AR3423">
        <v>0</v>
      </c>
      <c r="AZ3423">
        <v>3614</v>
      </c>
      <c r="BA3423">
        <v>1</v>
      </c>
      <c r="BB3423" t="str">
        <f t="shared" si="161"/>
        <v xml:space="preserve">N959MJ  </v>
      </c>
      <c r="BC3423">
        <v>1</v>
      </c>
      <c r="BE3423">
        <v>0</v>
      </c>
      <c r="BF3423">
        <v>0</v>
      </c>
      <c r="BG3423">
        <v>0</v>
      </c>
      <c r="BH3423">
        <v>1875</v>
      </c>
      <c r="BI3423">
        <v>175</v>
      </c>
      <c r="BJ3423">
        <v>1</v>
      </c>
      <c r="BK3423">
        <v>1</v>
      </c>
      <c r="BL3423">
        <v>1</v>
      </c>
      <c r="BM3423">
        <v>0</v>
      </c>
      <c r="BP3423">
        <v>0</v>
      </c>
      <c r="BQ3423">
        <v>0</v>
      </c>
      <c r="BX3423" t="str">
        <f>"14:47:23.281"</f>
        <v>14:47:23.281</v>
      </c>
      <c r="BY3423" t="str">
        <f>"284844142"</f>
        <v>284844142</v>
      </c>
      <c r="CL3423">
        <v>0</v>
      </c>
      <c r="CM3423">
        <v>2</v>
      </c>
      <c r="CN3423">
        <v>0</v>
      </c>
      <c r="CO3423">
        <v>2</v>
      </c>
      <c r="CP3423">
        <v>0</v>
      </c>
      <c r="CQ3423">
        <v>7</v>
      </c>
      <c r="CR3423" t="s">
        <v>116</v>
      </c>
      <c r="CS3423">
        <v>38</v>
      </c>
      <c r="CT3423">
        <v>0</v>
      </c>
      <c r="CU3423" t="s">
        <v>4719</v>
      </c>
      <c r="CV3423" t="s">
        <v>4720</v>
      </c>
      <c r="CY3423">
        <v>7849703</v>
      </c>
      <c r="CZ3423" t="s">
        <v>119</v>
      </c>
    </row>
    <row r="3424" spans="1:104" x14ac:dyDescent="0.25">
      <c r="A3424" t="str">
        <f>"14:47:24.570"</f>
        <v>14:47:24.570</v>
      </c>
      <c r="B3424" t="s">
        <v>108</v>
      </c>
      <c r="C3424" t="str">
        <f t="shared" si="160"/>
        <v>ffdfd3c0</v>
      </c>
      <c r="D3424" t="s">
        <v>109</v>
      </c>
      <c r="E3424">
        <v>4</v>
      </c>
      <c r="F3424">
        <v>1004</v>
      </c>
      <c r="G3424" t="s">
        <v>110</v>
      </c>
      <c r="J3424" t="s">
        <v>111</v>
      </c>
      <c r="K3424">
        <v>0</v>
      </c>
      <c r="L3424">
        <v>3</v>
      </c>
      <c r="M3424">
        <v>0</v>
      </c>
      <c r="N3424">
        <v>2</v>
      </c>
      <c r="O3424">
        <v>1</v>
      </c>
      <c r="P3424">
        <v>0</v>
      </c>
      <c r="Q3424">
        <v>0</v>
      </c>
      <c r="R3424" t="s">
        <v>112</v>
      </c>
      <c r="S3424" t="str">
        <f>"14:47:24.391"</f>
        <v>14:47:24.391</v>
      </c>
      <c r="T3424" t="str">
        <f>"14:47:23.891"</f>
        <v>14:47:23.891</v>
      </c>
      <c r="U3424" t="str">
        <f t="shared" si="159"/>
        <v>ad5732</v>
      </c>
      <c r="V3424">
        <v>0</v>
      </c>
      <c r="W3424">
        <v>0</v>
      </c>
      <c r="X3424">
        <v>1</v>
      </c>
      <c r="Z3424">
        <v>0</v>
      </c>
      <c r="AA3424">
        <v>9</v>
      </c>
      <c r="AB3424">
        <v>3</v>
      </c>
      <c r="AC3424">
        <v>0</v>
      </c>
      <c r="AD3424">
        <v>10</v>
      </c>
      <c r="AE3424">
        <v>0</v>
      </c>
      <c r="AF3424">
        <v>3</v>
      </c>
      <c r="AG3424">
        <v>2</v>
      </c>
      <c r="AH3424">
        <v>0</v>
      </c>
      <c r="AI3424" t="s">
        <v>6946</v>
      </c>
      <c r="AJ3424">
        <v>40.375763999999997</v>
      </c>
      <c r="AK3424" t="s">
        <v>6947</v>
      </c>
      <c r="AL3424">
        <v>-74.622315999999998</v>
      </c>
      <c r="AM3424">
        <v>100</v>
      </c>
      <c r="AN3424">
        <v>1700</v>
      </c>
      <c r="AO3424" t="s">
        <v>115</v>
      </c>
      <c r="AP3424">
        <v>138</v>
      </c>
      <c r="AQ3424">
        <v>-14</v>
      </c>
      <c r="AR3424">
        <v>-64</v>
      </c>
      <c r="AZ3424">
        <v>3614</v>
      </c>
      <c r="BA3424">
        <v>1</v>
      </c>
      <c r="BB3424" t="str">
        <f t="shared" si="161"/>
        <v xml:space="preserve">N959MJ  </v>
      </c>
      <c r="BC3424">
        <v>1</v>
      </c>
      <c r="BE3424">
        <v>0</v>
      </c>
      <c r="BF3424">
        <v>0</v>
      </c>
      <c r="BG3424">
        <v>0</v>
      </c>
      <c r="BH3424">
        <v>1875</v>
      </c>
      <c r="BI3424">
        <v>175</v>
      </c>
      <c r="BJ3424">
        <v>1</v>
      </c>
      <c r="BK3424">
        <v>1</v>
      </c>
      <c r="BL3424">
        <v>1</v>
      </c>
      <c r="BM3424">
        <v>0</v>
      </c>
      <c r="BP3424">
        <v>0</v>
      </c>
      <c r="BQ3424">
        <v>0</v>
      </c>
      <c r="BX3424" t="str">
        <f>"14:47:24.398"</f>
        <v>14:47:24.398</v>
      </c>
      <c r="BY3424" t="str">
        <f>"395698972"</f>
        <v>395698972</v>
      </c>
      <c r="CL3424">
        <v>0</v>
      </c>
      <c r="CM3424">
        <v>2</v>
      </c>
      <c r="CN3424">
        <v>0</v>
      </c>
      <c r="CO3424">
        <v>2</v>
      </c>
      <c r="CP3424">
        <v>0</v>
      </c>
      <c r="CQ3424">
        <v>7</v>
      </c>
      <c r="CR3424" t="s">
        <v>116</v>
      </c>
      <c r="CS3424">
        <v>38</v>
      </c>
      <c r="CT3424">
        <v>0</v>
      </c>
      <c r="CU3424" t="s">
        <v>4719</v>
      </c>
      <c r="CV3424" t="s">
        <v>4720</v>
      </c>
      <c r="CY3424">
        <v>7851504</v>
      </c>
      <c r="CZ3424" t="s">
        <v>119</v>
      </c>
    </row>
    <row r="3425" spans="1:104" x14ac:dyDescent="0.25">
      <c r="A3425" t="str">
        <f>"14:47:25.531"</f>
        <v>14:47:25.531</v>
      </c>
      <c r="B3425" t="s">
        <v>108</v>
      </c>
      <c r="C3425" t="str">
        <f t="shared" si="160"/>
        <v>ffdfd3c0</v>
      </c>
      <c r="D3425" t="s">
        <v>109</v>
      </c>
      <c r="E3425">
        <v>4</v>
      </c>
      <c r="F3425">
        <v>1004</v>
      </c>
      <c r="G3425" t="s">
        <v>110</v>
      </c>
      <c r="J3425" t="s">
        <v>111</v>
      </c>
      <c r="K3425">
        <v>0</v>
      </c>
      <c r="L3425">
        <v>3</v>
      </c>
      <c r="M3425">
        <v>0</v>
      </c>
      <c r="N3425">
        <v>2</v>
      </c>
      <c r="O3425">
        <v>1</v>
      </c>
      <c r="P3425">
        <v>0</v>
      </c>
      <c r="Q3425">
        <v>0</v>
      </c>
      <c r="R3425" t="s">
        <v>112</v>
      </c>
      <c r="S3425" t="str">
        <f>"14:47:25.352"</f>
        <v>14:47:25.352</v>
      </c>
      <c r="T3425" t="str">
        <f>"14:47:24.453"</f>
        <v>14:47:24.453</v>
      </c>
      <c r="U3425" t="str">
        <f t="shared" si="159"/>
        <v>ad5732</v>
      </c>
      <c r="V3425">
        <v>0</v>
      </c>
      <c r="W3425">
        <v>0</v>
      </c>
      <c r="X3425">
        <v>1</v>
      </c>
      <c r="Z3425">
        <v>0</v>
      </c>
      <c r="AA3425">
        <v>9</v>
      </c>
      <c r="AB3425">
        <v>3</v>
      </c>
      <c r="AC3425">
        <v>0</v>
      </c>
      <c r="AD3425">
        <v>10</v>
      </c>
      <c r="AE3425">
        <v>0</v>
      </c>
      <c r="AF3425">
        <v>3</v>
      </c>
      <c r="AG3425">
        <v>2</v>
      </c>
      <c r="AH3425">
        <v>0</v>
      </c>
      <c r="AI3425" t="s">
        <v>6948</v>
      </c>
      <c r="AJ3425">
        <v>40.375678999999998</v>
      </c>
      <c r="AK3425" t="s">
        <v>6949</v>
      </c>
      <c r="AL3425">
        <v>-74.621521999999999</v>
      </c>
      <c r="AM3425">
        <v>100</v>
      </c>
      <c r="AN3425">
        <v>1700</v>
      </c>
      <c r="AO3425" t="s">
        <v>115</v>
      </c>
      <c r="AP3425">
        <v>138</v>
      </c>
      <c r="AQ3425">
        <v>-14</v>
      </c>
      <c r="AR3425">
        <v>-64</v>
      </c>
      <c r="AZ3425">
        <v>3614</v>
      </c>
      <c r="BA3425">
        <v>1</v>
      </c>
      <c r="BB3425" t="str">
        <f t="shared" si="161"/>
        <v xml:space="preserve">N959MJ  </v>
      </c>
      <c r="BC3425">
        <v>1</v>
      </c>
      <c r="BE3425">
        <v>0</v>
      </c>
      <c r="BF3425">
        <v>0</v>
      </c>
      <c r="BG3425">
        <v>0</v>
      </c>
      <c r="BH3425">
        <v>1875</v>
      </c>
      <c r="BI3425">
        <v>175</v>
      </c>
      <c r="BJ3425">
        <v>1</v>
      </c>
      <c r="BK3425">
        <v>1</v>
      </c>
      <c r="BL3425">
        <v>1</v>
      </c>
      <c r="BM3425">
        <v>0</v>
      </c>
      <c r="BP3425">
        <v>0</v>
      </c>
      <c r="BQ3425">
        <v>0</v>
      </c>
      <c r="BX3425" t="str">
        <f>"14:47:25.352"</f>
        <v>14:47:25.352</v>
      </c>
      <c r="BY3425" t="str">
        <f>"354179937"</f>
        <v>354179937</v>
      </c>
      <c r="CL3425">
        <v>0</v>
      </c>
      <c r="CM3425">
        <v>2</v>
      </c>
      <c r="CN3425">
        <v>0</v>
      </c>
      <c r="CO3425">
        <v>2</v>
      </c>
      <c r="CP3425">
        <v>0</v>
      </c>
      <c r="CQ3425">
        <v>7</v>
      </c>
      <c r="CR3425" t="s">
        <v>116</v>
      </c>
      <c r="CS3425">
        <v>38</v>
      </c>
      <c r="CT3425">
        <v>0</v>
      </c>
      <c r="CU3425" t="s">
        <v>4719</v>
      </c>
      <c r="CV3425" t="s">
        <v>4720</v>
      </c>
      <c r="CY3425">
        <v>7852911</v>
      </c>
      <c r="CZ3425" t="s">
        <v>119</v>
      </c>
    </row>
    <row r="3426" spans="1:104" x14ac:dyDescent="0.25">
      <c r="A3426" t="str">
        <f>"14:47:26.539"</f>
        <v>14:47:26.539</v>
      </c>
      <c r="B3426" t="s">
        <v>108</v>
      </c>
      <c r="C3426" t="str">
        <f t="shared" si="160"/>
        <v>ffdfd3c0</v>
      </c>
      <c r="D3426" t="s">
        <v>109</v>
      </c>
      <c r="E3426">
        <v>4</v>
      </c>
      <c r="F3426">
        <v>1004</v>
      </c>
      <c r="G3426" t="s">
        <v>110</v>
      </c>
      <c r="J3426" t="s">
        <v>111</v>
      </c>
      <c r="K3426">
        <v>0</v>
      </c>
      <c r="L3426">
        <v>3</v>
      </c>
      <c r="M3426">
        <v>0</v>
      </c>
      <c r="N3426">
        <v>2</v>
      </c>
      <c r="O3426">
        <v>1</v>
      </c>
      <c r="P3426">
        <v>0</v>
      </c>
      <c r="Q3426">
        <v>0</v>
      </c>
      <c r="R3426" t="s">
        <v>112</v>
      </c>
      <c r="S3426" t="str">
        <f>"14:47:26.352"</f>
        <v>14:47:26.352</v>
      </c>
      <c r="T3426" t="str">
        <f>"14:47:25.852"</f>
        <v>14:47:25.852</v>
      </c>
      <c r="U3426" t="str">
        <f t="shared" si="159"/>
        <v>ad5732</v>
      </c>
      <c r="V3426">
        <v>0</v>
      </c>
      <c r="W3426">
        <v>0</v>
      </c>
      <c r="X3426">
        <v>1</v>
      </c>
      <c r="Z3426">
        <v>0</v>
      </c>
      <c r="AA3426">
        <v>9</v>
      </c>
      <c r="AB3426">
        <v>3</v>
      </c>
      <c r="AC3426">
        <v>0</v>
      </c>
      <c r="AD3426">
        <v>10</v>
      </c>
      <c r="AE3426">
        <v>0</v>
      </c>
      <c r="AF3426">
        <v>3</v>
      </c>
      <c r="AG3426">
        <v>2</v>
      </c>
      <c r="AH3426">
        <v>0</v>
      </c>
      <c r="AI3426" t="s">
        <v>6950</v>
      </c>
      <c r="AJ3426">
        <v>40.375636</v>
      </c>
      <c r="AK3426" t="s">
        <v>6951</v>
      </c>
      <c r="AL3426">
        <v>-74.620664000000005</v>
      </c>
      <c r="AM3426">
        <v>100</v>
      </c>
      <c r="AN3426">
        <v>1700</v>
      </c>
      <c r="AO3426" t="s">
        <v>115</v>
      </c>
      <c r="AP3426">
        <v>138</v>
      </c>
      <c r="AQ3426">
        <v>-13</v>
      </c>
      <c r="AR3426">
        <v>-128</v>
      </c>
      <c r="AZ3426">
        <v>3614</v>
      </c>
      <c r="BA3426">
        <v>1</v>
      </c>
      <c r="BB3426" t="str">
        <f t="shared" si="161"/>
        <v xml:space="preserve">N959MJ  </v>
      </c>
      <c r="BC3426">
        <v>1</v>
      </c>
      <c r="BE3426">
        <v>0</v>
      </c>
      <c r="BF3426">
        <v>0</v>
      </c>
      <c r="BG3426">
        <v>0</v>
      </c>
      <c r="BH3426">
        <v>1875</v>
      </c>
      <c r="BI3426">
        <v>175</v>
      </c>
      <c r="BJ3426">
        <v>1</v>
      </c>
      <c r="BK3426">
        <v>1</v>
      </c>
      <c r="BL3426">
        <v>1</v>
      </c>
      <c r="BM3426">
        <v>0</v>
      </c>
      <c r="BP3426">
        <v>0</v>
      </c>
      <c r="BQ3426">
        <v>0</v>
      </c>
      <c r="BX3426" t="str">
        <f>"14:47:26.359"</f>
        <v>14:47:26.359</v>
      </c>
      <c r="BY3426" t="str">
        <f>"356898565"</f>
        <v>356898565</v>
      </c>
      <c r="CL3426">
        <v>0</v>
      </c>
      <c r="CM3426">
        <v>2</v>
      </c>
      <c r="CN3426">
        <v>0</v>
      </c>
      <c r="CO3426">
        <v>2</v>
      </c>
      <c r="CP3426">
        <v>0</v>
      </c>
      <c r="CQ3426">
        <v>7</v>
      </c>
      <c r="CR3426" t="s">
        <v>116</v>
      </c>
      <c r="CS3426">
        <v>38</v>
      </c>
      <c r="CT3426">
        <v>0</v>
      </c>
      <c r="CU3426" t="s">
        <v>4719</v>
      </c>
      <c r="CV3426" t="s">
        <v>4720</v>
      </c>
      <c r="CY3426">
        <v>7854361</v>
      </c>
      <c r="CZ3426" t="s">
        <v>119</v>
      </c>
    </row>
    <row r="3427" spans="1:104" x14ac:dyDescent="0.25">
      <c r="A3427" t="str">
        <f>"14:47:27.500"</f>
        <v>14:47:27.500</v>
      </c>
      <c r="B3427" t="s">
        <v>108</v>
      </c>
      <c r="C3427" t="str">
        <f t="shared" si="160"/>
        <v>ffdfd3c0</v>
      </c>
      <c r="D3427" t="s">
        <v>109</v>
      </c>
      <c r="E3427">
        <v>4</v>
      </c>
      <c r="F3427">
        <v>1004</v>
      </c>
      <c r="G3427" t="s">
        <v>110</v>
      </c>
      <c r="J3427" t="s">
        <v>111</v>
      </c>
      <c r="K3427">
        <v>0</v>
      </c>
      <c r="L3427">
        <v>3</v>
      </c>
      <c r="M3427">
        <v>0</v>
      </c>
      <c r="N3427">
        <v>2</v>
      </c>
      <c r="O3427">
        <v>1</v>
      </c>
      <c r="P3427">
        <v>0</v>
      </c>
      <c r="Q3427">
        <v>0</v>
      </c>
      <c r="R3427" t="s">
        <v>112</v>
      </c>
      <c r="S3427" t="str">
        <f>"14:47:27.313"</f>
        <v>14:47:27.313</v>
      </c>
      <c r="T3427" t="str">
        <f>"14:47:26.914"</f>
        <v>14:47:26.914</v>
      </c>
      <c r="U3427" t="str">
        <f t="shared" si="159"/>
        <v>ad5732</v>
      </c>
      <c r="V3427">
        <v>0</v>
      </c>
      <c r="W3427">
        <v>0</v>
      </c>
      <c r="X3427">
        <v>1</v>
      </c>
      <c r="Z3427">
        <v>0</v>
      </c>
      <c r="AA3427">
        <v>9</v>
      </c>
      <c r="AB3427">
        <v>3</v>
      </c>
      <c r="AC3427">
        <v>0</v>
      </c>
      <c r="AD3427">
        <v>10</v>
      </c>
      <c r="AE3427">
        <v>0</v>
      </c>
      <c r="AF3427">
        <v>3</v>
      </c>
      <c r="AG3427">
        <v>2</v>
      </c>
      <c r="AH3427">
        <v>0</v>
      </c>
      <c r="AI3427" t="s">
        <v>6952</v>
      </c>
      <c r="AJ3427">
        <v>40.375549999999997</v>
      </c>
      <c r="AK3427" t="s">
        <v>6953</v>
      </c>
      <c r="AL3427">
        <v>-74.619891999999993</v>
      </c>
      <c r="AM3427">
        <v>100</v>
      </c>
      <c r="AN3427">
        <v>1700</v>
      </c>
      <c r="AO3427" t="s">
        <v>115</v>
      </c>
      <c r="AP3427">
        <v>138</v>
      </c>
      <c r="AQ3427">
        <v>-13</v>
      </c>
      <c r="AR3427">
        <v>-128</v>
      </c>
      <c r="AZ3427">
        <v>3614</v>
      </c>
      <c r="BA3427">
        <v>1</v>
      </c>
      <c r="BB3427" t="str">
        <f t="shared" si="161"/>
        <v xml:space="preserve">N959MJ  </v>
      </c>
      <c r="BC3427">
        <v>1</v>
      </c>
      <c r="BE3427">
        <v>0</v>
      </c>
      <c r="BF3427">
        <v>0</v>
      </c>
      <c r="BG3427">
        <v>0</v>
      </c>
      <c r="BH3427">
        <v>1875</v>
      </c>
      <c r="BI3427">
        <v>175</v>
      </c>
      <c r="BJ3427">
        <v>1</v>
      </c>
      <c r="BK3427">
        <v>1</v>
      </c>
      <c r="BL3427">
        <v>1</v>
      </c>
      <c r="BM3427">
        <v>0</v>
      </c>
      <c r="BP3427">
        <v>0</v>
      </c>
      <c r="BQ3427">
        <v>0</v>
      </c>
      <c r="BX3427" t="str">
        <f>"14:47:27.320"</f>
        <v>14:47:27.320</v>
      </c>
      <c r="BY3427" t="str">
        <f>"320294834"</f>
        <v>320294834</v>
      </c>
      <c r="CL3427">
        <v>0</v>
      </c>
      <c r="CM3427">
        <v>2</v>
      </c>
      <c r="CN3427">
        <v>0</v>
      </c>
      <c r="CO3427">
        <v>2</v>
      </c>
      <c r="CP3427">
        <v>0</v>
      </c>
      <c r="CQ3427">
        <v>7</v>
      </c>
      <c r="CR3427" t="s">
        <v>116</v>
      </c>
      <c r="CS3427">
        <v>38</v>
      </c>
      <c r="CT3427">
        <v>0</v>
      </c>
      <c r="CU3427" t="s">
        <v>4719</v>
      </c>
      <c r="CV3427" t="s">
        <v>4720</v>
      </c>
      <c r="CY3427">
        <v>7855786</v>
      </c>
      <c r="CZ3427" t="s">
        <v>119</v>
      </c>
    </row>
    <row r="3428" spans="1:104" x14ac:dyDescent="0.25">
      <c r="A3428" t="str">
        <f>"14:47:28.461"</f>
        <v>14:47:28.461</v>
      </c>
      <c r="B3428" t="s">
        <v>108</v>
      </c>
      <c r="C3428" t="str">
        <f t="shared" si="160"/>
        <v>ffdfd3c0</v>
      </c>
      <c r="D3428" t="s">
        <v>109</v>
      </c>
      <c r="E3428">
        <v>4</v>
      </c>
      <c r="F3428">
        <v>1004</v>
      </c>
      <c r="G3428" t="s">
        <v>110</v>
      </c>
      <c r="J3428" t="s">
        <v>111</v>
      </c>
      <c r="K3428">
        <v>0</v>
      </c>
      <c r="L3428">
        <v>3</v>
      </c>
      <c r="M3428">
        <v>0</v>
      </c>
      <c r="N3428">
        <v>2</v>
      </c>
      <c r="O3428">
        <v>1</v>
      </c>
      <c r="P3428">
        <v>0</v>
      </c>
      <c r="Q3428">
        <v>0</v>
      </c>
      <c r="R3428" t="s">
        <v>112</v>
      </c>
      <c r="S3428" t="str">
        <f>"14:47:28.297"</f>
        <v>14:47:28.297</v>
      </c>
      <c r="T3428" t="str">
        <f>"14:47:27.898"</f>
        <v>14:47:27.898</v>
      </c>
      <c r="U3428" t="str">
        <f t="shared" si="159"/>
        <v>ad5732</v>
      </c>
      <c r="V3428">
        <v>0</v>
      </c>
      <c r="W3428">
        <v>0</v>
      </c>
      <c r="X3428">
        <v>1</v>
      </c>
      <c r="Z3428">
        <v>0</v>
      </c>
      <c r="AA3428">
        <v>9</v>
      </c>
      <c r="AB3428">
        <v>3</v>
      </c>
      <c r="AC3428">
        <v>0</v>
      </c>
      <c r="AD3428">
        <v>10</v>
      </c>
      <c r="AE3428">
        <v>0</v>
      </c>
      <c r="AF3428">
        <v>3</v>
      </c>
      <c r="AG3428">
        <v>2</v>
      </c>
      <c r="AH3428">
        <v>0</v>
      </c>
      <c r="AI3428" t="s">
        <v>6954</v>
      </c>
      <c r="AJ3428">
        <v>40.375506999999999</v>
      </c>
      <c r="AK3428" t="s">
        <v>6955</v>
      </c>
      <c r="AL3428">
        <v>-74.619076000000007</v>
      </c>
      <c r="AM3428">
        <v>100</v>
      </c>
      <c r="AN3428">
        <v>1700</v>
      </c>
      <c r="AO3428" t="s">
        <v>115</v>
      </c>
      <c r="AP3428">
        <v>138</v>
      </c>
      <c r="AQ3428">
        <v>-13</v>
      </c>
      <c r="AR3428">
        <v>-128</v>
      </c>
      <c r="AZ3428">
        <v>3614</v>
      </c>
      <c r="BA3428">
        <v>1</v>
      </c>
      <c r="BB3428" t="str">
        <f t="shared" si="161"/>
        <v xml:space="preserve">N959MJ  </v>
      </c>
      <c r="BC3428">
        <v>1</v>
      </c>
      <c r="BE3428">
        <v>0</v>
      </c>
      <c r="BF3428">
        <v>0</v>
      </c>
      <c r="BG3428">
        <v>0</v>
      </c>
      <c r="BH3428">
        <v>1875</v>
      </c>
      <c r="BI3428">
        <v>175</v>
      </c>
      <c r="BJ3428">
        <v>1</v>
      </c>
      <c r="BK3428">
        <v>1</v>
      </c>
      <c r="BL3428">
        <v>1</v>
      </c>
      <c r="BM3428">
        <v>0</v>
      </c>
      <c r="BP3428">
        <v>0</v>
      </c>
      <c r="BQ3428">
        <v>0</v>
      </c>
      <c r="BX3428" t="str">
        <f>"14:47:28.297"</f>
        <v>14:47:28.297</v>
      </c>
      <c r="BY3428" t="str">
        <f>"298532724"</f>
        <v>298532724</v>
      </c>
      <c r="CL3428">
        <v>0</v>
      </c>
      <c r="CM3428">
        <v>2</v>
      </c>
      <c r="CN3428">
        <v>0</v>
      </c>
      <c r="CO3428">
        <v>2</v>
      </c>
      <c r="CP3428">
        <v>0</v>
      </c>
      <c r="CQ3428">
        <v>6</v>
      </c>
      <c r="CR3428" t="s">
        <v>116</v>
      </c>
      <c r="CS3428">
        <v>305</v>
      </c>
      <c r="CT3428">
        <v>3</v>
      </c>
      <c r="CU3428" t="s">
        <v>6425</v>
      </c>
      <c r="CV3428" t="s">
        <v>6426</v>
      </c>
      <c r="CY3428">
        <v>5656712</v>
      </c>
      <c r="CZ3428" t="s">
        <v>119</v>
      </c>
    </row>
    <row r="3429" spans="1:104" x14ac:dyDescent="0.25">
      <c r="A3429" t="str">
        <f>"14:47:29.469"</f>
        <v>14:47:29.469</v>
      </c>
      <c r="B3429" t="s">
        <v>108</v>
      </c>
      <c r="C3429" t="str">
        <f t="shared" si="160"/>
        <v>ffdfd3c0</v>
      </c>
      <c r="D3429" t="s">
        <v>109</v>
      </c>
      <c r="E3429">
        <v>4</v>
      </c>
      <c r="F3429">
        <v>1004</v>
      </c>
      <c r="G3429" t="s">
        <v>110</v>
      </c>
      <c r="J3429" t="s">
        <v>111</v>
      </c>
      <c r="K3429">
        <v>0</v>
      </c>
      <c r="L3429">
        <v>3</v>
      </c>
      <c r="M3429">
        <v>0</v>
      </c>
      <c r="N3429">
        <v>2</v>
      </c>
      <c r="O3429">
        <v>1</v>
      </c>
      <c r="P3429">
        <v>0</v>
      </c>
      <c r="Q3429">
        <v>0</v>
      </c>
      <c r="R3429" t="s">
        <v>112</v>
      </c>
      <c r="S3429" t="str">
        <f>"14:47:29.297"</f>
        <v>14:47:29.297</v>
      </c>
      <c r="T3429" t="str">
        <f>"14:47:28.797"</f>
        <v>14:47:28.797</v>
      </c>
      <c r="U3429" t="str">
        <f t="shared" si="159"/>
        <v>ad5732</v>
      </c>
      <c r="V3429">
        <v>0</v>
      </c>
      <c r="W3429">
        <v>0</v>
      </c>
      <c r="X3429">
        <v>1</v>
      </c>
      <c r="Z3429">
        <v>0</v>
      </c>
      <c r="AA3429">
        <v>9</v>
      </c>
      <c r="AB3429">
        <v>3</v>
      </c>
      <c r="AC3429">
        <v>0</v>
      </c>
      <c r="AD3429">
        <v>10</v>
      </c>
      <c r="AE3429">
        <v>0</v>
      </c>
      <c r="AF3429">
        <v>3</v>
      </c>
      <c r="AG3429">
        <v>2</v>
      </c>
      <c r="AH3429">
        <v>0</v>
      </c>
      <c r="AI3429" t="s">
        <v>6956</v>
      </c>
      <c r="AJ3429">
        <v>40.375464000000001</v>
      </c>
      <c r="AK3429" t="s">
        <v>6957</v>
      </c>
      <c r="AL3429">
        <v>-74.618261000000004</v>
      </c>
      <c r="AM3429">
        <v>100</v>
      </c>
      <c r="AN3429">
        <v>1700</v>
      </c>
      <c r="AO3429" t="s">
        <v>115</v>
      </c>
      <c r="AP3429">
        <v>138</v>
      </c>
      <c r="AQ3429">
        <v>-13</v>
      </c>
      <c r="AR3429">
        <v>-128</v>
      </c>
      <c r="AZ3429">
        <v>3614</v>
      </c>
      <c r="BA3429">
        <v>1</v>
      </c>
      <c r="BB3429" t="str">
        <f t="shared" si="161"/>
        <v xml:space="preserve">N959MJ  </v>
      </c>
      <c r="BC3429">
        <v>1</v>
      </c>
      <c r="BE3429">
        <v>0</v>
      </c>
      <c r="BF3429">
        <v>0</v>
      </c>
      <c r="BG3429">
        <v>0</v>
      </c>
      <c r="BH3429">
        <v>1875</v>
      </c>
      <c r="BI3429">
        <v>175</v>
      </c>
      <c r="BJ3429">
        <v>1</v>
      </c>
      <c r="BK3429">
        <v>1</v>
      </c>
      <c r="BL3429">
        <v>1</v>
      </c>
      <c r="BM3429">
        <v>0</v>
      </c>
      <c r="BP3429">
        <v>0</v>
      </c>
      <c r="BQ3429">
        <v>0</v>
      </c>
      <c r="BX3429" t="str">
        <f>"14:47:29.297"</f>
        <v>14:47:29.297</v>
      </c>
      <c r="BY3429" t="str">
        <f>"299517055"</f>
        <v>299517055</v>
      </c>
      <c r="CL3429">
        <v>0</v>
      </c>
      <c r="CM3429">
        <v>2</v>
      </c>
      <c r="CN3429">
        <v>0</v>
      </c>
      <c r="CO3429">
        <v>2</v>
      </c>
      <c r="CP3429">
        <v>0</v>
      </c>
      <c r="CQ3429">
        <v>7</v>
      </c>
      <c r="CR3429" t="s">
        <v>116</v>
      </c>
      <c r="CS3429">
        <v>38</v>
      </c>
      <c r="CT3429">
        <v>0</v>
      </c>
      <c r="CU3429" t="s">
        <v>4719</v>
      </c>
      <c r="CV3429" t="s">
        <v>4720</v>
      </c>
      <c r="CY3429">
        <v>7858833</v>
      </c>
      <c r="CZ3429" t="s">
        <v>119</v>
      </c>
    </row>
    <row r="3430" spans="1:104" x14ac:dyDescent="0.25">
      <c r="A3430" t="str">
        <f>"14:47:30.633"</f>
        <v>14:47:30.633</v>
      </c>
      <c r="B3430" t="s">
        <v>108</v>
      </c>
      <c r="C3430" t="str">
        <f t="shared" si="160"/>
        <v>ffdfd3c0</v>
      </c>
      <c r="D3430" t="s">
        <v>109</v>
      </c>
      <c r="E3430">
        <v>4</v>
      </c>
      <c r="F3430">
        <v>1004</v>
      </c>
      <c r="G3430" t="s">
        <v>110</v>
      </c>
      <c r="J3430" t="s">
        <v>111</v>
      </c>
      <c r="K3430">
        <v>0</v>
      </c>
      <c r="L3430">
        <v>3</v>
      </c>
      <c r="M3430">
        <v>0</v>
      </c>
      <c r="N3430">
        <v>2</v>
      </c>
      <c r="O3430">
        <v>1</v>
      </c>
      <c r="P3430">
        <v>0</v>
      </c>
      <c r="Q3430">
        <v>0</v>
      </c>
      <c r="R3430" t="s">
        <v>112</v>
      </c>
      <c r="S3430" t="str">
        <f>"14:47:30.453"</f>
        <v>14:47:30.453</v>
      </c>
      <c r="T3430" t="str">
        <f>"14:47:29.953"</f>
        <v>14:47:29.953</v>
      </c>
      <c r="U3430" t="str">
        <f t="shared" si="159"/>
        <v>ad5732</v>
      </c>
      <c r="V3430">
        <v>0</v>
      </c>
      <c r="W3430">
        <v>0</v>
      </c>
      <c r="X3430">
        <v>1</v>
      </c>
      <c r="Z3430">
        <v>0</v>
      </c>
      <c r="AA3430">
        <v>9</v>
      </c>
      <c r="AB3430">
        <v>3</v>
      </c>
      <c r="AC3430">
        <v>0</v>
      </c>
      <c r="AD3430">
        <v>10</v>
      </c>
      <c r="AE3430">
        <v>0</v>
      </c>
      <c r="AF3430">
        <v>3</v>
      </c>
      <c r="AG3430">
        <v>2</v>
      </c>
      <c r="AH3430">
        <v>0</v>
      </c>
      <c r="AI3430" t="s">
        <v>6958</v>
      </c>
      <c r="AJ3430">
        <v>40.375357000000001</v>
      </c>
      <c r="AK3430" t="s">
        <v>6959</v>
      </c>
      <c r="AL3430">
        <v>-74.617273999999995</v>
      </c>
      <c r="AM3430">
        <v>100</v>
      </c>
      <c r="AN3430">
        <v>1700</v>
      </c>
      <c r="AO3430" t="s">
        <v>115</v>
      </c>
      <c r="AP3430">
        <v>138</v>
      </c>
      <c r="AQ3430">
        <v>-13</v>
      </c>
      <c r="AR3430">
        <v>-64</v>
      </c>
      <c r="AZ3430">
        <v>3614</v>
      </c>
      <c r="BA3430">
        <v>1</v>
      </c>
      <c r="BB3430" t="str">
        <f t="shared" si="161"/>
        <v xml:space="preserve">N959MJ  </v>
      </c>
      <c r="BC3430">
        <v>1</v>
      </c>
      <c r="BE3430">
        <v>0</v>
      </c>
      <c r="BF3430">
        <v>0</v>
      </c>
      <c r="BG3430">
        <v>0</v>
      </c>
      <c r="BH3430">
        <v>1875</v>
      </c>
      <c r="BI3430">
        <v>175</v>
      </c>
      <c r="BJ3430">
        <v>1</v>
      </c>
      <c r="BK3430">
        <v>1</v>
      </c>
      <c r="BL3430">
        <v>1</v>
      </c>
      <c r="BM3430">
        <v>0</v>
      </c>
      <c r="BP3430">
        <v>0</v>
      </c>
      <c r="BQ3430">
        <v>0</v>
      </c>
      <c r="BX3430" t="str">
        <f>"14:47:30.461"</f>
        <v>14:47:30.461</v>
      </c>
      <c r="BY3430" t="str">
        <f>"457887033"</f>
        <v>457887033</v>
      </c>
      <c r="CL3430">
        <v>0</v>
      </c>
      <c r="CM3430">
        <v>2</v>
      </c>
      <c r="CN3430">
        <v>0</v>
      </c>
      <c r="CO3430">
        <v>2</v>
      </c>
      <c r="CP3430">
        <v>0</v>
      </c>
      <c r="CQ3430">
        <v>7</v>
      </c>
      <c r="CR3430" t="s">
        <v>116</v>
      </c>
      <c r="CS3430">
        <v>38</v>
      </c>
      <c r="CT3430">
        <v>0</v>
      </c>
      <c r="CU3430" t="s">
        <v>4719</v>
      </c>
      <c r="CV3430" t="s">
        <v>4720</v>
      </c>
      <c r="CY3430">
        <v>7860616</v>
      </c>
      <c r="CZ3430" t="s">
        <v>119</v>
      </c>
    </row>
    <row r="3431" spans="1:104" x14ac:dyDescent="0.25">
      <c r="A3431" t="str">
        <f>"14:47:31.594"</f>
        <v>14:47:31.594</v>
      </c>
      <c r="B3431" t="s">
        <v>108</v>
      </c>
      <c r="C3431" t="str">
        <f t="shared" si="160"/>
        <v>ffdfd3c0</v>
      </c>
      <c r="D3431" t="s">
        <v>109</v>
      </c>
      <c r="E3431">
        <v>4</v>
      </c>
      <c r="F3431">
        <v>1004</v>
      </c>
      <c r="G3431" t="s">
        <v>110</v>
      </c>
      <c r="J3431" t="s">
        <v>111</v>
      </c>
      <c r="K3431">
        <v>0</v>
      </c>
      <c r="L3431">
        <v>3</v>
      </c>
      <c r="M3431">
        <v>0</v>
      </c>
      <c r="N3431">
        <v>2</v>
      </c>
      <c r="O3431">
        <v>1</v>
      </c>
      <c r="P3431">
        <v>0</v>
      </c>
      <c r="Q3431">
        <v>0</v>
      </c>
      <c r="R3431" t="s">
        <v>112</v>
      </c>
      <c r="S3431" t="str">
        <f>"14:47:31.422"</f>
        <v>14:47:31.422</v>
      </c>
      <c r="T3431" t="str">
        <f>"14:47:30.922"</f>
        <v>14:47:30.922</v>
      </c>
      <c r="U3431" t="str">
        <f t="shared" si="159"/>
        <v>ad5732</v>
      </c>
      <c r="V3431">
        <v>0</v>
      </c>
      <c r="W3431">
        <v>0</v>
      </c>
      <c r="X3431">
        <v>1</v>
      </c>
      <c r="Z3431">
        <v>0</v>
      </c>
      <c r="AA3431">
        <v>9</v>
      </c>
      <c r="AB3431">
        <v>3</v>
      </c>
      <c r="AC3431">
        <v>0</v>
      </c>
      <c r="AD3431">
        <v>10</v>
      </c>
      <c r="AE3431">
        <v>0</v>
      </c>
      <c r="AF3431">
        <v>3</v>
      </c>
      <c r="AG3431">
        <v>2</v>
      </c>
      <c r="AH3431">
        <v>0</v>
      </c>
      <c r="AI3431" t="s">
        <v>6960</v>
      </c>
      <c r="AJ3431">
        <v>40.375314000000003</v>
      </c>
      <c r="AK3431" t="s">
        <v>6961</v>
      </c>
      <c r="AL3431">
        <v>-74.616394</v>
      </c>
      <c r="AM3431">
        <v>100</v>
      </c>
      <c r="AN3431">
        <v>1700</v>
      </c>
      <c r="AO3431" t="s">
        <v>115</v>
      </c>
      <c r="AP3431">
        <v>138</v>
      </c>
      <c r="AQ3431">
        <v>-13</v>
      </c>
      <c r="AR3431">
        <v>0</v>
      </c>
      <c r="AZ3431">
        <v>3614</v>
      </c>
      <c r="BA3431">
        <v>1</v>
      </c>
      <c r="BB3431" t="str">
        <f t="shared" si="161"/>
        <v xml:space="preserve">N959MJ  </v>
      </c>
      <c r="BC3431">
        <v>1</v>
      </c>
      <c r="BE3431">
        <v>0</v>
      </c>
      <c r="BF3431">
        <v>0</v>
      </c>
      <c r="BG3431">
        <v>0</v>
      </c>
      <c r="BH3431">
        <v>1875</v>
      </c>
      <c r="BI3431">
        <v>175</v>
      </c>
      <c r="BJ3431">
        <v>1</v>
      </c>
      <c r="BK3431">
        <v>1</v>
      </c>
      <c r="BL3431">
        <v>1</v>
      </c>
      <c r="BM3431">
        <v>0</v>
      </c>
      <c r="BP3431">
        <v>0</v>
      </c>
      <c r="BQ3431">
        <v>0</v>
      </c>
      <c r="BX3431" t="str">
        <f>"14:47:31.430"</f>
        <v>14:47:31.430</v>
      </c>
      <c r="BY3431" t="str">
        <f>"426197939"</f>
        <v>426197939</v>
      </c>
      <c r="CL3431">
        <v>0</v>
      </c>
      <c r="CM3431">
        <v>2</v>
      </c>
      <c r="CN3431">
        <v>0</v>
      </c>
      <c r="CO3431">
        <v>2</v>
      </c>
      <c r="CP3431">
        <v>0</v>
      </c>
      <c r="CQ3431">
        <v>7</v>
      </c>
      <c r="CR3431" t="s">
        <v>116</v>
      </c>
      <c r="CS3431">
        <v>38</v>
      </c>
      <c r="CT3431">
        <v>0</v>
      </c>
      <c r="CU3431" t="s">
        <v>4719</v>
      </c>
      <c r="CV3431" t="s">
        <v>4720</v>
      </c>
      <c r="CY3431">
        <v>7862179</v>
      </c>
      <c r="CZ3431" t="s">
        <v>119</v>
      </c>
    </row>
    <row r="3432" spans="1:104" x14ac:dyDescent="0.25">
      <c r="A3432" t="str">
        <f>"14:47:32.547"</f>
        <v>14:47:32.547</v>
      </c>
      <c r="B3432" t="s">
        <v>108</v>
      </c>
      <c r="C3432" t="str">
        <f t="shared" si="160"/>
        <v>ffdfd3c0</v>
      </c>
      <c r="D3432" t="s">
        <v>109</v>
      </c>
      <c r="E3432">
        <v>4</v>
      </c>
      <c r="F3432">
        <v>1004</v>
      </c>
      <c r="G3432" t="s">
        <v>110</v>
      </c>
      <c r="J3432" t="s">
        <v>111</v>
      </c>
      <c r="K3432">
        <v>0</v>
      </c>
      <c r="L3432">
        <v>3</v>
      </c>
      <c r="M3432">
        <v>0</v>
      </c>
      <c r="N3432">
        <v>2</v>
      </c>
      <c r="O3432">
        <v>1</v>
      </c>
      <c r="P3432">
        <v>0</v>
      </c>
      <c r="Q3432">
        <v>0</v>
      </c>
      <c r="R3432" t="s">
        <v>112</v>
      </c>
      <c r="S3432" t="str">
        <f>"14:47:32.367"</f>
        <v>14:47:32.367</v>
      </c>
      <c r="T3432" t="str">
        <f>"14:47:31.969"</f>
        <v>14:47:31.969</v>
      </c>
      <c r="U3432" t="str">
        <f t="shared" si="159"/>
        <v>ad5732</v>
      </c>
      <c r="V3432">
        <v>0</v>
      </c>
      <c r="W3432">
        <v>0</v>
      </c>
      <c r="X3432">
        <v>1</v>
      </c>
      <c r="Z3432">
        <v>0</v>
      </c>
      <c r="AA3432">
        <v>9</v>
      </c>
      <c r="AB3432">
        <v>3</v>
      </c>
      <c r="AC3432">
        <v>0</v>
      </c>
      <c r="AD3432">
        <v>10</v>
      </c>
      <c r="AE3432">
        <v>0</v>
      </c>
      <c r="AF3432">
        <v>3</v>
      </c>
      <c r="AG3432">
        <v>2</v>
      </c>
      <c r="AH3432">
        <v>0</v>
      </c>
      <c r="AI3432" t="s">
        <v>6962</v>
      </c>
      <c r="AJ3432">
        <v>40.375248999999997</v>
      </c>
      <c r="AK3432" t="s">
        <v>6963</v>
      </c>
      <c r="AL3432">
        <v>-74.615663999999995</v>
      </c>
      <c r="AM3432">
        <v>100</v>
      </c>
      <c r="AN3432">
        <v>1700</v>
      </c>
      <c r="AO3432" t="s">
        <v>115</v>
      </c>
      <c r="AP3432">
        <v>138</v>
      </c>
      <c r="AQ3432">
        <v>-13</v>
      </c>
      <c r="AR3432">
        <v>0</v>
      </c>
      <c r="AZ3432">
        <v>3614</v>
      </c>
      <c r="BA3432">
        <v>1</v>
      </c>
      <c r="BB3432" t="str">
        <f t="shared" si="161"/>
        <v xml:space="preserve">N959MJ  </v>
      </c>
      <c r="BC3432">
        <v>1</v>
      </c>
      <c r="BE3432">
        <v>0</v>
      </c>
      <c r="BF3432">
        <v>0</v>
      </c>
      <c r="BG3432">
        <v>0</v>
      </c>
      <c r="BH3432">
        <v>1875</v>
      </c>
      <c r="BI3432">
        <v>175</v>
      </c>
      <c r="BJ3432">
        <v>1</v>
      </c>
      <c r="BK3432">
        <v>1</v>
      </c>
      <c r="BL3432">
        <v>1</v>
      </c>
      <c r="BM3432">
        <v>0</v>
      </c>
      <c r="BP3432">
        <v>0</v>
      </c>
      <c r="BQ3432">
        <v>0</v>
      </c>
      <c r="BX3432" t="str">
        <f>"14:47:32.375"</f>
        <v>14:47:32.375</v>
      </c>
      <c r="BY3432" t="str">
        <f>"373209916"</f>
        <v>373209916</v>
      </c>
      <c r="CL3432">
        <v>0</v>
      </c>
      <c r="CM3432">
        <v>2</v>
      </c>
      <c r="CN3432">
        <v>0</v>
      </c>
      <c r="CO3432">
        <v>2</v>
      </c>
      <c r="CP3432">
        <v>0</v>
      </c>
      <c r="CQ3432">
        <v>7</v>
      </c>
      <c r="CR3432" t="s">
        <v>116</v>
      </c>
      <c r="CS3432">
        <v>38</v>
      </c>
      <c r="CT3432">
        <v>0</v>
      </c>
      <c r="CU3432" t="s">
        <v>4719</v>
      </c>
      <c r="CV3432" t="s">
        <v>4720</v>
      </c>
      <c r="CY3432">
        <v>7863784</v>
      </c>
      <c r="CZ3432" t="s">
        <v>119</v>
      </c>
    </row>
    <row r="3433" spans="1:104" x14ac:dyDescent="0.25">
      <c r="A3433" t="str">
        <f>"14:47:33.617"</f>
        <v>14:47:33.617</v>
      </c>
      <c r="B3433" t="s">
        <v>108</v>
      </c>
      <c r="C3433" t="str">
        <f t="shared" si="160"/>
        <v>ffdfd3c0</v>
      </c>
      <c r="D3433" t="s">
        <v>109</v>
      </c>
      <c r="E3433">
        <v>4</v>
      </c>
      <c r="F3433">
        <v>1004</v>
      </c>
      <c r="G3433" t="s">
        <v>110</v>
      </c>
      <c r="J3433" t="s">
        <v>111</v>
      </c>
      <c r="K3433">
        <v>0</v>
      </c>
      <c r="L3433">
        <v>3</v>
      </c>
      <c r="M3433">
        <v>0</v>
      </c>
      <c r="N3433">
        <v>2</v>
      </c>
      <c r="O3433">
        <v>1</v>
      </c>
      <c r="P3433">
        <v>0</v>
      </c>
      <c r="Q3433">
        <v>0</v>
      </c>
      <c r="R3433" t="s">
        <v>112</v>
      </c>
      <c r="S3433" t="str">
        <f>"14:47:33.406"</f>
        <v>14:47:33.406</v>
      </c>
      <c r="T3433" t="str">
        <f>"14:47:33.008"</f>
        <v>14:47:33.008</v>
      </c>
      <c r="U3433" t="str">
        <f t="shared" si="159"/>
        <v>ad5732</v>
      </c>
      <c r="V3433">
        <v>0</v>
      </c>
      <c r="W3433">
        <v>0</v>
      </c>
      <c r="X3433">
        <v>1</v>
      </c>
      <c r="Z3433">
        <v>0</v>
      </c>
      <c r="AA3433">
        <v>9</v>
      </c>
      <c r="AB3433">
        <v>3</v>
      </c>
      <c r="AC3433">
        <v>0</v>
      </c>
      <c r="AD3433">
        <v>10</v>
      </c>
      <c r="AE3433">
        <v>0</v>
      </c>
      <c r="AF3433">
        <v>3</v>
      </c>
      <c r="AG3433">
        <v>2</v>
      </c>
      <c r="AH3433">
        <v>0</v>
      </c>
      <c r="AI3433" t="s">
        <v>6964</v>
      </c>
      <c r="AJ3433">
        <v>40.375205999999999</v>
      </c>
      <c r="AK3433" t="s">
        <v>6965</v>
      </c>
      <c r="AL3433">
        <v>-74.614806000000002</v>
      </c>
      <c r="AM3433">
        <v>100</v>
      </c>
      <c r="AN3433">
        <v>1700</v>
      </c>
      <c r="AO3433" t="s">
        <v>115</v>
      </c>
      <c r="AP3433">
        <v>138</v>
      </c>
      <c r="AQ3433">
        <v>-13</v>
      </c>
      <c r="AR3433">
        <v>0</v>
      </c>
      <c r="AZ3433">
        <v>3614</v>
      </c>
      <c r="BA3433">
        <v>1</v>
      </c>
      <c r="BB3433" t="str">
        <f t="shared" si="161"/>
        <v xml:space="preserve">N959MJ  </v>
      </c>
      <c r="BC3433">
        <v>1</v>
      </c>
      <c r="BE3433">
        <v>0</v>
      </c>
      <c r="BF3433">
        <v>0</v>
      </c>
      <c r="BG3433">
        <v>0</v>
      </c>
      <c r="BH3433">
        <v>1875</v>
      </c>
      <c r="BI3433">
        <v>175</v>
      </c>
      <c r="BJ3433">
        <v>1</v>
      </c>
      <c r="BK3433">
        <v>1</v>
      </c>
      <c r="BL3433">
        <v>1</v>
      </c>
      <c r="BM3433">
        <v>0</v>
      </c>
      <c r="BP3433">
        <v>0</v>
      </c>
      <c r="BQ3433">
        <v>0</v>
      </c>
      <c r="BX3433" t="str">
        <f>"14:47:33.414"</f>
        <v>14:47:33.414</v>
      </c>
      <c r="BY3433" t="str">
        <f>"410335548"</f>
        <v>410335548</v>
      </c>
      <c r="CL3433">
        <v>0</v>
      </c>
      <c r="CM3433">
        <v>2</v>
      </c>
      <c r="CN3433">
        <v>0</v>
      </c>
      <c r="CO3433">
        <v>2</v>
      </c>
      <c r="CP3433">
        <v>0</v>
      </c>
      <c r="CQ3433">
        <v>7</v>
      </c>
      <c r="CR3433" t="s">
        <v>116</v>
      </c>
      <c r="CS3433">
        <v>38</v>
      </c>
      <c r="CT3433">
        <v>0</v>
      </c>
      <c r="CU3433" t="s">
        <v>4719</v>
      </c>
      <c r="CV3433" t="s">
        <v>4720</v>
      </c>
      <c r="CY3433">
        <v>7865380</v>
      </c>
      <c r="CZ3433" t="s">
        <v>119</v>
      </c>
    </row>
    <row r="3434" spans="1:104" x14ac:dyDescent="0.25">
      <c r="A3434" t="str">
        <f>"14:47:34.422"</f>
        <v>14:47:34.422</v>
      </c>
      <c r="B3434" t="s">
        <v>108</v>
      </c>
      <c r="C3434" t="str">
        <f t="shared" si="160"/>
        <v>ffdfd3c0</v>
      </c>
      <c r="D3434" t="s">
        <v>109</v>
      </c>
      <c r="E3434">
        <v>4</v>
      </c>
      <c r="F3434">
        <v>1004</v>
      </c>
      <c r="G3434" t="s">
        <v>110</v>
      </c>
      <c r="J3434" t="s">
        <v>111</v>
      </c>
      <c r="K3434">
        <v>0</v>
      </c>
      <c r="L3434">
        <v>3</v>
      </c>
      <c r="M3434">
        <v>0</v>
      </c>
      <c r="N3434">
        <v>2</v>
      </c>
      <c r="O3434">
        <v>1</v>
      </c>
      <c r="P3434">
        <v>0</v>
      </c>
      <c r="Q3434">
        <v>0</v>
      </c>
      <c r="R3434" t="s">
        <v>112</v>
      </c>
      <c r="S3434" t="str">
        <f>"14:47:34.258"</f>
        <v>14:47:34.258</v>
      </c>
      <c r="T3434" t="str">
        <f>"14:47:33.859"</f>
        <v>14:47:33.859</v>
      </c>
      <c r="U3434" t="str">
        <f t="shared" si="159"/>
        <v>ad5732</v>
      </c>
      <c r="V3434">
        <v>0</v>
      </c>
      <c r="W3434">
        <v>0</v>
      </c>
      <c r="X3434">
        <v>1</v>
      </c>
      <c r="Z3434">
        <v>0</v>
      </c>
      <c r="AA3434">
        <v>9</v>
      </c>
      <c r="AB3434">
        <v>3</v>
      </c>
      <c r="AC3434">
        <v>0</v>
      </c>
      <c r="AD3434">
        <v>10</v>
      </c>
      <c r="AE3434">
        <v>0</v>
      </c>
      <c r="AF3434">
        <v>3</v>
      </c>
      <c r="AG3434">
        <v>2</v>
      </c>
      <c r="AH3434">
        <v>0</v>
      </c>
      <c r="AI3434" t="s">
        <v>6966</v>
      </c>
      <c r="AJ3434">
        <v>40.375121</v>
      </c>
      <c r="AK3434" t="s">
        <v>6967</v>
      </c>
      <c r="AL3434">
        <v>-74.614076999999995</v>
      </c>
      <c r="AM3434">
        <v>100</v>
      </c>
      <c r="AN3434">
        <v>1700</v>
      </c>
      <c r="AO3434" t="s">
        <v>115</v>
      </c>
      <c r="AP3434">
        <v>138</v>
      </c>
      <c r="AQ3434">
        <v>-13</v>
      </c>
      <c r="AR3434">
        <v>64</v>
      </c>
      <c r="AZ3434">
        <v>3614</v>
      </c>
      <c r="BA3434">
        <v>1</v>
      </c>
      <c r="BB3434" t="str">
        <f t="shared" si="161"/>
        <v xml:space="preserve">N959MJ  </v>
      </c>
      <c r="BC3434">
        <v>1</v>
      </c>
      <c r="BE3434">
        <v>0</v>
      </c>
      <c r="BF3434">
        <v>0</v>
      </c>
      <c r="BG3434">
        <v>0</v>
      </c>
      <c r="BH3434">
        <v>1875</v>
      </c>
      <c r="BI3434">
        <v>175</v>
      </c>
      <c r="BJ3434">
        <v>1</v>
      </c>
      <c r="BK3434">
        <v>1</v>
      </c>
      <c r="BL3434">
        <v>1</v>
      </c>
      <c r="BM3434">
        <v>0</v>
      </c>
      <c r="BP3434">
        <v>0</v>
      </c>
      <c r="BQ3434">
        <v>0</v>
      </c>
      <c r="BX3434" t="str">
        <f>"14:47:34.266"</f>
        <v>14:47:34.266</v>
      </c>
      <c r="BY3434" t="str">
        <f>"265595452"</f>
        <v>265595452</v>
      </c>
      <c r="CL3434">
        <v>0</v>
      </c>
      <c r="CM3434">
        <v>2</v>
      </c>
      <c r="CN3434">
        <v>0</v>
      </c>
      <c r="CO3434">
        <v>2</v>
      </c>
      <c r="CP3434">
        <v>0</v>
      </c>
      <c r="CQ3434">
        <v>7</v>
      </c>
      <c r="CR3434" t="s">
        <v>116</v>
      </c>
      <c r="CS3434">
        <v>38</v>
      </c>
      <c r="CT3434">
        <v>0</v>
      </c>
      <c r="CU3434" t="s">
        <v>4719</v>
      </c>
      <c r="CV3434" t="s">
        <v>4720</v>
      </c>
      <c r="CY3434">
        <v>7866701</v>
      </c>
      <c r="CZ3434" t="s">
        <v>119</v>
      </c>
    </row>
    <row r="3435" spans="1:104" x14ac:dyDescent="0.25">
      <c r="A3435" t="str">
        <f>"14:47:35.477"</f>
        <v>14:47:35.477</v>
      </c>
      <c r="B3435" t="s">
        <v>108</v>
      </c>
      <c r="C3435" t="str">
        <f t="shared" si="160"/>
        <v>ffdfd3c0</v>
      </c>
      <c r="D3435" t="s">
        <v>109</v>
      </c>
      <c r="E3435">
        <v>4</v>
      </c>
      <c r="F3435">
        <v>1004</v>
      </c>
      <c r="G3435" t="s">
        <v>110</v>
      </c>
      <c r="J3435" t="s">
        <v>111</v>
      </c>
      <c r="K3435">
        <v>0</v>
      </c>
      <c r="L3435">
        <v>3</v>
      </c>
      <c r="M3435">
        <v>0</v>
      </c>
      <c r="N3435">
        <v>2</v>
      </c>
      <c r="O3435">
        <v>1</v>
      </c>
      <c r="P3435">
        <v>0</v>
      </c>
      <c r="Q3435">
        <v>0</v>
      </c>
      <c r="R3435" t="s">
        <v>112</v>
      </c>
      <c r="S3435" t="str">
        <f>"14:47:35.305"</f>
        <v>14:47:35.305</v>
      </c>
      <c r="T3435" t="str">
        <f>"14:47:34.805"</f>
        <v>14:47:34.805</v>
      </c>
      <c r="U3435" t="str">
        <f t="shared" si="159"/>
        <v>ad5732</v>
      </c>
      <c r="V3435">
        <v>0</v>
      </c>
      <c r="W3435">
        <v>0</v>
      </c>
      <c r="X3435">
        <v>1</v>
      </c>
      <c r="Z3435">
        <v>0</v>
      </c>
      <c r="AA3435">
        <v>9</v>
      </c>
      <c r="AB3435">
        <v>3</v>
      </c>
      <c r="AC3435">
        <v>0</v>
      </c>
      <c r="AD3435">
        <v>10</v>
      </c>
      <c r="AE3435">
        <v>0</v>
      </c>
      <c r="AF3435">
        <v>3</v>
      </c>
      <c r="AG3435">
        <v>2</v>
      </c>
      <c r="AH3435">
        <v>0</v>
      </c>
      <c r="AI3435" t="s">
        <v>6968</v>
      </c>
      <c r="AJ3435">
        <v>40.375078000000002</v>
      </c>
      <c r="AK3435" t="s">
        <v>6969</v>
      </c>
      <c r="AL3435">
        <v>-74.613218000000003</v>
      </c>
      <c r="AM3435">
        <v>100</v>
      </c>
      <c r="AN3435">
        <v>1700</v>
      </c>
      <c r="AO3435" t="s">
        <v>115</v>
      </c>
      <c r="AP3435">
        <v>137</v>
      </c>
      <c r="AQ3435">
        <v>-13</v>
      </c>
      <c r="AR3435">
        <v>64</v>
      </c>
      <c r="AZ3435">
        <v>3614</v>
      </c>
      <c r="BA3435">
        <v>1</v>
      </c>
      <c r="BB3435" t="str">
        <f t="shared" si="161"/>
        <v xml:space="preserve">N959MJ  </v>
      </c>
      <c r="BC3435">
        <v>1</v>
      </c>
      <c r="BE3435">
        <v>0</v>
      </c>
      <c r="BF3435">
        <v>0</v>
      </c>
      <c r="BG3435">
        <v>0</v>
      </c>
      <c r="BH3435">
        <v>1875</v>
      </c>
      <c r="BI3435">
        <v>175</v>
      </c>
      <c r="BJ3435">
        <v>1</v>
      </c>
      <c r="BK3435">
        <v>1</v>
      </c>
      <c r="BL3435">
        <v>1</v>
      </c>
      <c r="BM3435">
        <v>0</v>
      </c>
      <c r="BP3435">
        <v>0</v>
      </c>
      <c r="BQ3435">
        <v>0</v>
      </c>
      <c r="BX3435" t="str">
        <f>"14:47:35.305"</f>
        <v>14:47:35.305</v>
      </c>
      <c r="BY3435" t="str">
        <f>"305997889"</f>
        <v>305997889</v>
      </c>
      <c r="CL3435">
        <v>0</v>
      </c>
      <c r="CM3435">
        <v>2</v>
      </c>
      <c r="CN3435">
        <v>0</v>
      </c>
      <c r="CO3435">
        <v>2</v>
      </c>
      <c r="CP3435">
        <v>0</v>
      </c>
      <c r="CQ3435">
        <v>7</v>
      </c>
      <c r="CR3435" t="s">
        <v>116</v>
      </c>
      <c r="CS3435">
        <v>38</v>
      </c>
      <c r="CT3435">
        <v>0</v>
      </c>
      <c r="CU3435" t="s">
        <v>4719</v>
      </c>
      <c r="CV3435" t="s">
        <v>4720</v>
      </c>
      <c r="CY3435">
        <v>7868293</v>
      </c>
      <c r="CZ3435" t="s">
        <v>119</v>
      </c>
    </row>
    <row r="3436" spans="1:104" x14ac:dyDescent="0.25">
      <c r="A3436" t="str">
        <f>"14:47:36.484"</f>
        <v>14:47:36.484</v>
      </c>
      <c r="B3436" t="s">
        <v>108</v>
      </c>
      <c r="C3436" t="str">
        <f t="shared" si="160"/>
        <v>ffdfd3c0</v>
      </c>
      <c r="D3436" t="s">
        <v>109</v>
      </c>
      <c r="E3436">
        <v>4</v>
      </c>
      <c r="F3436">
        <v>1004</v>
      </c>
      <c r="G3436" t="s">
        <v>110</v>
      </c>
      <c r="J3436" t="s">
        <v>111</v>
      </c>
      <c r="K3436">
        <v>0</v>
      </c>
      <c r="L3436">
        <v>3</v>
      </c>
      <c r="M3436">
        <v>0</v>
      </c>
      <c r="N3436">
        <v>2</v>
      </c>
      <c r="O3436">
        <v>1</v>
      </c>
      <c r="P3436">
        <v>0</v>
      </c>
      <c r="Q3436">
        <v>0</v>
      </c>
      <c r="R3436" t="s">
        <v>112</v>
      </c>
      <c r="S3436" t="str">
        <f>"14:47:36.281"</f>
        <v>14:47:36.281</v>
      </c>
      <c r="T3436" t="str">
        <f>"14:47:35.883"</f>
        <v>14:47:35.883</v>
      </c>
      <c r="U3436" t="str">
        <f t="shared" si="159"/>
        <v>ad5732</v>
      </c>
      <c r="V3436">
        <v>0</v>
      </c>
      <c r="W3436">
        <v>0</v>
      </c>
      <c r="X3436">
        <v>1</v>
      </c>
      <c r="Z3436">
        <v>0</v>
      </c>
      <c r="AA3436">
        <v>9</v>
      </c>
      <c r="AB3436">
        <v>3</v>
      </c>
      <c r="AC3436">
        <v>0</v>
      </c>
      <c r="AD3436">
        <v>10</v>
      </c>
      <c r="AE3436">
        <v>0</v>
      </c>
      <c r="AF3436">
        <v>3</v>
      </c>
      <c r="AG3436">
        <v>2</v>
      </c>
      <c r="AH3436">
        <v>0</v>
      </c>
      <c r="AI3436" t="s">
        <v>6970</v>
      </c>
      <c r="AJ3436">
        <v>40.375034999999997</v>
      </c>
      <c r="AK3436" t="s">
        <v>6971</v>
      </c>
      <c r="AL3436">
        <v>-74.612403</v>
      </c>
      <c r="AM3436">
        <v>100</v>
      </c>
      <c r="AN3436">
        <v>1700</v>
      </c>
      <c r="AO3436" t="s">
        <v>115</v>
      </c>
      <c r="AP3436">
        <v>137</v>
      </c>
      <c r="AQ3436">
        <v>-13</v>
      </c>
      <c r="AR3436">
        <v>64</v>
      </c>
      <c r="AZ3436">
        <v>3614</v>
      </c>
      <c r="BA3436">
        <v>1</v>
      </c>
      <c r="BB3436" t="str">
        <f t="shared" si="161"/>
        <v xml:space="preserve">N959MJ  </v>
      </c>
      <c r="BC3436">
        <v>1</v>
      </c>
      <c r="BE3436">
        <v>0</v>
      </c>
      <c r="BF3436">
        <v>0</v>
      </c>
      <c r="BG3436">
        <v>0</v>
      </c>
      <c r="BH3436">
        <v>1875</v>
      </c>
      <c r="BI3436">
        <v>175</v>
      </c>
      <c r="BJ3436">
        <v>1</v>
      </c>
      <c r="BK3436">
        <v>1</v>
      </c>
      <c r="BL3436">
        <v>1</v>
      </c>
      <c r="BM3436">
        <v>0</v>
      </c>
      <c r="BP3436">
        <v>0</v>
      </c>
      <c r="BQ3436">
        <v>0</v>
      </c>
      <c r="BX3436" t="str">
        <f>"14:47:36.289"</f>
        <v>14:47:36.289</v>
      </c>
      <c r="BY3436" t="str">
        <f>"289055300"</f>
        <v>289055300</v>
      </c>
      <c r="CL3436">
        <v>0</v>
      </c>
      <c r="CM3436">
        <v>2</v>
      </c>
      <c r="CN3436">
        <v>0</v>
      </c>
      <c r="CO3436">
        <v>2</v>
      </c>
      <c r="CP3436">
        <v>0</v>
      </c>
      <c r="CQ3436">
        <v>7</v>
      </c>
      <c r="CR3436" t="s">
        <v>116</v>
      </c>
      <c r="CS3436">
        <v>38</v>
      </c>
      <c r="CT3436">
        <v>0</v>
      </c>
      <c r="CU3436" t="s">
        <v>4719</v>
      </c>
      <c r="CV3436" t="s">
        <v>4720</v>
      </c>
      <c r="CY3436">
        <v>7869753</v>
      </c>
      <c r="CZ3436" t="s">
        <v>119</v>
      </c>
    </row>
    <row r="3437" spans="1:104" x14ac:dyDescent="0.25">
      <c r="A3437" t="str">
        <f>"14:47:37.602"</f>
        <v>14:47:37.602</v>
      </c>
      <c r="B3437" t="s">
        <v>108</v>
      </c>
      <c r="C3437" t="str">
        <f t="shared" si="160"/>
        <v>ffdfd3c0</v>
      </c>
      <c r="D3437" t="s">
        <v>109</v>
      </c>
      <c r="E3437">
        <v>4</v>
      </c>
      <c r="F3437">
        <v>1004</v>
      </c>
      <c r="G3437" t="s">
        <v>110</v>
      </c>
      <c r="J3437" t="s">
        <v>111</v>
      </c>
      <c r="K3437">
        <v>0</v>
      </c>
      <c r="L3437">
        <v>3</v>
      </c>
      <c r="M3437">
        <v>0</v>
      </c>
      <c r="N3437">
        <v>2</v>
      </c>
      <c r="O3437">
        <v>1</v>
      </c>
      <c r="P3437">
        <v>0</v>
      </c>
      <c r="Q3437">
        <v>0</v>
      </c>
      <c r="R3437" t="s">
        <v>112</v>
      </c>
      <c r="S3437" t="str">
        <f>"14:47:37.438"</f>
        <v>14:47:37.438</v>
      </c>
      <c r="T3437" t="str">
        <f>"14:47:36.938"</f>
        <v>14:47:36.938</v>
      </c>
      <c r="U3437" t="str">
        <f t="shared" si="159"/>
        <v>ad5732</v>
      </c>
      <c r="V3437">
        <v>0</v>
      </c>
      <c r="W3437">
        <v>0</v>
      </c>
      <c r="X3437">
        <v>1</v>
      </c>
      <c r="Z3437">
        <v>0</v>
      </c>
      <c r="AA3437">
        <v>9</v>
      </c>
      <c r="AB3437">
        <v>3</v>
      </c>
      <c r="AC3437">
        <v>0</v>
      </c>
      <c r="AD3437">
        <v>10</v>
      </c>
      <c r="AE3437">
        <v>0</v>
      </c>
      <c r="AF3437">
        <v>3</v>
      </c>
      <c r="AG3437">
        <v>2</v>
      </c>
      <c r="AH3437">
        <v>0</v>
      </c>
      <c r="AI3437" t="s">
        <v>6972</v>
      </c>
      <c r="AJ3437">
        <v>40.374949000000001</v>
      </c>
      <c r="AK3437" t="s">
        <v>6973</v>
      </c>
      <c r="AL3437">
        <v>-74.611394000000004</v>
      </c>
      <c r="AM3437">
        <v>100</v>
      </c>
      <c r="AN3437">
        <v>1700</v>
      </c>
      <c r="AO3437" t="s">
        <v>115</v>
      </c>
      <c r="AP3437">
        <v>137</v>
      </c>
      <c r="AQ3437">
        <v>-13</v>
      </c>
      <c r="AR3437">
        <v>0</v>
      </c>
      <c r="AZ3437">
        <v>3614</v>
      </c>
      <c r="BA3437">
        <v>1</v>
      </c>
      <c r="BB3437" t="str">
        <f t="shared" si="161"/>
        <v xml:space="preserve">N959MJ  </v>
      </c>
      <c r="BC3437">
        <v>1</v>
      </c>
      <c r="BE3437">
        <v>0</v>
      </c>
      <c r="BF3437">
        <v>0</v>
      </c>
      <c r="BG3437">
        <v>0</v>
      </c>
      <c r="BH3437">
        <v>1875</v>
      </c>
      <c r="BI3437">
        <v>175</v>
      </c>
      <c r="BJ3437">
        <v>1</v>
      </c>
      <c r="BK3437">
        <v>1</v>
      </c>
      <c r="BL3437">
        <v>1</v>
      </c>
      <c r="BM3437">
        <v>0</v>
      </c>
      <c r="BP3437">
        <v>0</v>
      </c>
      <c r="BQ3437">
        <v>0</v>
      </c>
      <c r="BX3437" t="str">
        <f>"14:47:37.438"</f>
        <v>14:47:37.438</v>
      </c>
      <c r="BY3437" t="str">
        <f>"437594113"</f>
        <v>437594113</v>
      </c>
      <c r="CL3437">
        <v>0</v>
      </c>
      <c r="CM3437">
        <v>2</v>
      </c>
      <c r="CN3437">
        <v>0</v>
      </c>
      <c r="CO3437">
        <v>2</v>
      </c>
      <c r="CP3437">
        <v>0</v>
      </c>
      <c r="CQ3437">
        <v>7</v>
      </c>
      <c r="CR3437" t="s">
        <v>116</v>
      </c>
      <c r="CS3437">
        <v>38</v>
      </c>
      <c r="CT3437">
        <v>0</v>
      </c>
      <c r="CU3437" t="s">
        <v>4719</v>
      </c>
      <c r="CV3437" t="s">
        <v>4720</v>
      </c>
      <c r="CY3437">
        <v>7871513</v>
      </c>
      <c r="CZ3437" t="s">
        <v>119</v>
      </c>
    </row>
    <row r="3438" spans="1:104" x14ac:dyDescent="0.25">
      <c r="A3438" t="str">
        <f>"14:47:38.656"</f>
        <v>14:47:38.656</v>
      </c>
      <c r="B3438" t="s">
        <v>108</v>
      </c>
      <c r="C3438" t="str">
        <f t="shared" si="160"/>
        <v>ffdfd3c0</v>
      </c>
      <c r="D3438" t="s">
        <v>109</v>
      </c>
      <c r="E3438">
        <v>4</v>
      </c>
      <c r="F3438">
        <v>1004</v>
      </c>
      <c r="G3438" t="s">
        <v>110</v>
      </c>
      <c r="J3438" t="s">
        <v>111</v>
      </c>
      <c r="K3438">
        <v>0</v>
      </c>
      <c r="L3438">
        <v>3</v>
      </c>
      <c r="M3438">
        <v>0</v>
      </c>
      <c r="N3438">
        <v>2</v>
      </c>
      <c r="O3438">
        <v>1</v>
      </c>
      <c r="P3438">
        <v>0</v>
      </c>
      <c r="Q3438">
        <v>0</v>
      </c>
      <c r="R3438" t="s">
        <v>112</v>
      </c>
      <c r="S3438" t="str">
        <f>"14:47:38.453"</f>
        <v>14:47:38.453</v>
      </c>
      <c r="T3438" t="str">
        <f>"14:47:37.953"</f>
        <v>14:47:37.953</v>
      </c>
      <c r="U3438" t="str">
        <f t="shared" si="159"/>
        <v>ad5732</v>
      </c>
      <c r="V3438">
        <v>0</v>
      </c>
      <c r="W3438">
        <v>0</v>
      </c>
      <c r="X3438">
        <v>1</v>
      </c>
      <c r="Z3438">
        <v>0</v>
      </c>
      <c r="AA3438">
        <v>9</v>
      </c>
      <c r="AB3438">
        <v>3</v>
      </c>
      <c r="AC3438">
        <v>0</v>
      </c>
      <c r="AD3438">
        <v>10</v>
      </c>
      <c r="AE3438">
        <v>0</v>
      </c>
      <c r="AF3438">
        <v>3</v>
      </c>
      <c r="AG3438">
        <v>2</v>
      </c>
      <c r="AH3438">
        <v>0</v>
      </c>
      <c r="AI3438" t="s">
        <v>6974</v>
      </c>
      <c r="AJ3438">
        <v>40.374906000000003</v>
      </c>
      <c r="AK3438" t="s">
        <v>6975</v>
      </c>
      <c r="AL3438">
        <v>-74.610579000000001</v>
      </c>
      <c r="AM3438">
        <v>100</v>
      </c>
      <c r="AN3438">
        <v>1700</v>
      </c>
      <c r="AO3438" t="s">
        <v>115</v>
      </c>
      <c r="AP3438">
        <v>137</v>
      </c>
      <c r="AQ3438">
        <v>-13</v>
      </c>
      <c r="AR3438">
        <v>0</v>
      </c>
      <c r="AZ3438">
        <v>3614</v>
      </c>
      <c r="BA3438">
        <v>1</v>
      </c>
      <c r="BB3438" t="str">
        <f t="shared" si="161"/>
        <v xml:space="preserve">N959MJ  </v>
      </c>
      <c r="BC3438">
        <v>1</v>
      </c>
      <c r="BE3438">
        <v>0</v>
      </c>
      <c r="BF3438">
        <v>0</v>
      </c>
      <c r="BG3438">
        <v>0</v>
      </c>
      <c r="BH3438">
        <v>1875</v>
      </c>
      <c r="BI3438">
        <v>175</v>
      </c>
      <c r="BJ3438">
        <v>1</v>
      </c>
      <c r="BK3438">
        <v>1</v>
      </c>
      <c r="BL3438">
        <v>1</v>
      </c>
      <c r="BM3438">
        <v>0</v>
      </c>
      <c r="BP3438">
        <v>0</v>
      </c>
      <c r="BQ3438">
        <v>0</v>
      </c>
      <c r="BX3438" t="str">
        <f>"14:47:38.453"</f>
        <v>14:47:38.453</v>
      </c>
      <c r="BY3438" t="str">
        <f>"455058494"</f>
        <v>455058494</v>
      </c>
      <c r="CL3438">
        <v>0</v>
      </c>
      <c r="CM3438">
        <v>2</v>
      </c>
      <c r="CN3438">
        <v>0</v>
      </c>
      <c r="CO3438">
        <v>2</v>
      </c>
      <c r="CP3438">
        <v>0</v>
      </c>
      <c r="CQ3438">
        <v>7</v>
      </c>
      <c r="CR3438" t="s">
        <v>116</v>
      </c>
      <c r="CS3438">
        <v>38</v>
      </c>
      <c r="CT3438">
        <v>0</v>
      </c>
      <c r="CU3438" t="s">
        <v>4719</v>
      </c>
      <c r="CV3438" t="s">
        <v>4720</v>
      </c>
      <c r="CY3438">
        <v>7873013</v>
      </c>
      <c r="CZ3438" t="s">
        <v>119</v>
      </c>
    </row>
    <row r="3439" spans="1:104" x14ac:dyDescent="0.25">
      <c r="A3439" t="str">
        <f>"14:47:39.516"</f>
        <v>14:47:39.516</v>
      </c>
      <c r="B3439" t="s">
        <v>108</v>
      </c>
      <c r="C3439" t="str">
        <f t="shared" si="160"/>
        <v>ffdfd3c0</v>
      </c>
      <c r="D3439" t="s">
        <v>109</v>
      </c>
      <c r="E3439">
        <v>4</v>
      </c>
      <c r="F3439">
        <v>1004</v>
      </c>
      <c r="G3439" t="s">
        <v>110</v>
      </c>
      <c r="J3439" t="s">
        <v>111</v>
      </c>
      <c r="K3439">
        <v>0</v>
      </c>
      <c r="L3439">
        <v>3</v>
      </c>
      <c r="M3439">
        <v>0</v>
      </c>
      <c r="N3439">
        <v>2</v>
      </c>
      <c r="O3439">
        <v>1</v>
      </c>
      <c r="P3439">
        <v>0</v>
      </c>
      <c r="Q3439">
        <v>0</v>
      </c>
      <c r="R3439" t="s">
        <v>112</v>
      </c>
      <c r="S3439" t="str">
        <f>"14:47:39.313"</f>
        <v>14:47:39.313</v>
      </c>
      <c r="T3439" t="str">
        <f>"14:47:38.914"</f>
        <v>14:47:38.914</v>
      </c>
      <c r="U3439" t="str">
        <f t="shared" si="159"/>
        <v>ad5732</v>
      </c>
      <c r="V3439">
        <v>0</v>
      </c>
      <c r="W3439">
        <v>0</v>
      </c>
      <c r="X3439">
        <v>1</v>
      </c>
      <c r="Z3439">
        <v>0</v>
      </c>
      <c r="AA3439">
        <v>9</v>
      </c>
      <c r="AB3439">
        <v>3</v>
      </c>
      <c r="AC3439">
        <v>0</v>
      </c>
      <c r="AD3439">
        <v>10</v>
      </c>
      <c r="AE3439">
        <v>0</v>
      </c>
      <c r="AF3439">
        <v>3</v>
      </c>
      <c r="AG3439">
        <v>2</v>
      </c>
      <c r="AH3439">
        <v>0</v>
      </c>
      <c r="AI3439" t="s">
        <v>6132</v>
      </c>
      <c r="AJ3439">
        <v>40.374842000000001</v>
      </c>
      <c r="AK3439" t="s">
        <v>6976</v>
      </c>
      <c r="AL3439">
        <v>-74.609892000000002</v>
      </c>
      <c r="AM3439">
        <v>100</v>
      </c>
      <c r="AN3439">
        <v>1700</v>
      </c>
      <c r="AO3439" t="s">
        <v>115</v>
      </c>
      <c r="AP3439">
        <v>137</v>
      </c>
      <c r="AQ3439">
        <v>-13</v>
      </c>
      <c r="AR3439">
        <v>-64</v>
      </c>
      <c r="AZ3439">
        <v>3614</v>
      </c>
      <c r="BA3439">
        <v>1</v>
      </c>
      <c r="BB3439" t="str">
        <f t="shared" si="161"/>
        <v xml:space="preserve">N959MJ  </v>
      </c>
      <c r="BC3439">
        <v>1</v>
      </c>
      <c r="BE3439">
        <v>0</v>
      </c>
      <c r="BF3439">
        <v>0</v>
      </c>
      <c r="BG3439">
        <v>0</v>
      </c>
      <c r="BH3439">
        <v>1875</v>
      </c>
      <c r="BI3439">
        <v>175</v>
      </c>
      <c r="BJ3439">
        <v>1</v>
      </c>
      <c r="BK3439">
        <v>1</v>
      </c>
      <c r="BL3439">
        <v>1</v>
      </c>
      <c r="BM3439">
        <v>0</v>
      </c>
      <c r="BP3439">
        <v>0</v>
      </c>
      <c r="BQ3439">
        <v>0</v>
      </c>
      <c r="BX3439" t="str">
        <f>"14:47:39.320"</f>
        <v>14:47:39.320</v>
      </c>
      <c r="BY3439" t="str">
        <f>"320149026"</f>
        <v>320149026</v>
      </c>
      <c r="CL3439">
        <v>0</v>
      </c>
      <c r="CM3439">
        <v>2</v>
      </c>
      <c r="CN3439">
        <v>0</v>
      </c>
      <c r="CO3439">
        <v>2</v>
      </c>
      <c r="CP3439">
        <v>0</v>
      </c>
      <c r="CQ3439">
        <v>7</v>
      </c>
      <c r="CR3439" t="s">
        <v>116</v>
      </c>
      <c r="CS3439">
        <v>38</v>
      </c>
      <c r="CT3439">
        <v>0</v>
      </c>
      <c r="CU3439" t="s">
        <v>4719</v>
      </c>
      <c r="CV3439" t="s">
        <v>4720</v>
      </c>
      <c r="CY3439">
        <v>7874316</v>
      </c>
      <c r="CZ3439" t="s">
        <v>119</v>
      </c>
    </row>
    <row r="3440" spans="1:104" x14ac:dyDescent="0.25">
      <c r="A3440" t="str">
        <f>"14:47:40.477"</f>
        <v>14:47:40.477</v>
      </c>
      <c r="B3440" t="s">
        <v>108</v>
      </c>
      <c r="C3440" t="str">
        <f t="shared" si="160"/>
        <v>ffdfd3c0</v>
      </c>
      <c r="D3440" t="s">
        <v>109</v>
      </c>
      <c r="E3440">
        <v>4</v>
      </c>
      <c r="F3440">
        <v>1004</v>
      </c>
      <c r="G3440" t="s">
        <v>110</v>
      </c>
      <c r="J3440" t="s">
        <v>111</v>
      </c>
      <c r="K3440">
        <v>0</v>
      </c>
      <c r="L3440">
        <v>3</v>
      </c>
      <c r="M3440">
        <v>0</v>
      </c>
      <c r="N3440">
        <v>2</v>
      </c>
      <c r="O3440">
        <v>1</v>
      </c>
      <c r="P3440">
        <v>0</v>
      </c>
      <c r="Q3440">
        <v>0</v>
      </c>
      <c r="R3440" t="s">
        <v>112</v>
      </c>
      <c r="S3440" t="str">
        <f>"14:47:40.289"</f>
        <v>14:47:40.289</v>
      </c>
      <c r="T3440" t="str">
        <f>"14:47:39.891"</f>
        <v>14:47:39.891</v>
      </c>
      <c r="U3440" t="str">
        <f t="shared" si="159"/>
        <v>ad5732</v>
      </c>
      <c r="V3440">
        <v>0</v>
      </c>
      <c r="W3440">
        <v>0</v>
      </c>
      <c r="X3440">
        <v>1</v>
      </c>
      <c r="Z3440">
        <v>0</v>
      </c>
      <c r="AA3440">
        <v>9</v>
      </c>
      <c r="AB3440">
        <v>3</v>
      </c>
      <c r="AC3440">
        <v>0</v>
      </c>
      <c r="AD3440">
        <v>10</v>
      </c>
      <c r="AE3440">
        <v>0</v>
      </c>
      <c r="AF3440">
        <v>3</v>
      </c>
      <c r="AG3440">
        <v>2</v>
      </c>
      <c r="AH3440">
        <v>0</v>
      </c>
      <c r="AI3440" t="s">
        <v>6977</v>
      </c>
      <c r="AJ3440">
        <v>40.374799000000003</v>
      </c>
      <c r="AK3440" t="s">
        <v>6978</v>
      </c>
      <c r="AL3440">
        <v>-74.609098000000003</v>
      </c>
      <c r="AM3440">
        <v>100</v>
      </c>
      <c r="AN3440">
        <v>1700</v>
      </c>
      <c r="AO3440" t="s">
        <v>115</v>
      </c>
      <c r="AP3440">
        <v>137</v>
      </c>
      <c r="AQ3440">
        <v>-13</v>
      </c>
      <c r="AR3440">
        <v>-64</v>
      </c>
      <c r="AZ3440">
        <v>3614</v>
      </c>
      <c r="BA3440">
        <v>1</v>
      </c>
      <c r="BB3440" t="str">
        <f t="shared" si="161"/>
        <v xml:space="preserve">N959MJ  </v>
      </c>
      <c r="BC3440">
        <v>1</v>
      </c>
      <c r="BE3440">
        <v>0</v>
      </c>
      <c r="BF3440">
        <v>0</v>
      </c>
      <c r="BG3440">
        <v>0</v>
      </c>
      <c r="BH3440">
        <v>1875</v>
      </c>
      <c r="BI3440">
        <v>175</v>
      </c>
      <c r="BJ3440">
        <v>1</v>
      </c>
      <c r="BK3440">
        <v>1</v>
      </c>
      <c r="BL3440">
        <v>1</v>
      </c>
      <c r="BM3440">
        <v>0</v>
      </c>
      <c r="BP3440">
        <v>0</v>
      </c>
      <c r="BQ3440">
        <v>0</v>
      </c>
      <c r="BX3440" t="str">
        <f>"14:47:40.297"</f>
        <v>14:47:40.297</v>
      </c>
      <c r="BY3440" t="str">
        <f>"293500442"</f>
        <v>293500442</v>
      </c>
      <c r="CL3440">
        <v>0</v>
      </c>
      <c r="CM3440">
        <v>2</v>
      </c>
      <c r="CN3440">
        <v>0</v>
      </c>
      <c r="CO3440">
        <v>2</v>
      </c>
      <c r="CP3440">
        <v>0</v>
      </c>
      <c r="CQ3440">
        <v>5</v>
      </c>
      <c r="CR3440" t="s">
        <v>116</v>
      </c>
      <c r="CS3440">
        <v>409</v>
      </c>
      <c r="CT3440">
        <v>1</v>
      </c>
      <c r="CU3440" t="s">
        <v>5087</v>
      </c>
      <c r="CV3440" t="s">
        <v>5088</v>
      </c>
      <c r="CY3440">
        <v>4241631</v>
      </c>
      <c r="CZ3440" t="s">
        <v>119</v>
      </c>
    </row>
    <row r="3441" spans="1:104" x14ac:dyDescent="0.25">
      <c r="A3441" t="str">
        <f>"14:47:41.641"</f>
        <v>14:47:41.641</v>
      </c>
      <c r="B3441" t="s">
        <v>108</v>
      </c>
      <c r="C3441" t="str">
        <f t="shared" si="160"/>
        <v>ffdfd3c0</v>
      </c>
      <c r="D3441" t="s">
        <v>109</v>
      </c>
      <c r="E3441">
        <v>4</v>
      </c>
      <c r="F3441">
        <v>1004</v>
      </c>
      <c r="G3441" t="s">
        <v>110</v>
      </c>
      <c r="J3441" t="s">
        <v>111</v>
      </c>
      <c r="K3441">
        <v>0</v>
      </c>
      <c r="L3441">
        <v>3</v>
      </c>
      <c r="M3441">
        <v>0</v>
      </c>
      <c r="N3441">
        <v>2</v>
      </c>
      <c r="O3441">
        <v>1</v>
      </c>
      <c r="P3441">
        <v>0</v>
      </c>
      <c r="Q3441">
        <v>0</v>
      </c>
      <c r="R3441" t="s">
        <v>112</v>
      </c>
      <c r="S3441" t="str">
        <f>"14:47:41.430"</f>
        <v>14:47:41.430</v>
      </c>
      <c r="T3441" t="str">
        <f>"14:47:40.930"</f>
        <v>14:47:40.930</v>
      </c>
      <c r="U3441" t="str">
        <f t="shared" si="159"/>
        <v>ad5732</v>
      </c>
      <c r="V3441">
        <v>0</v>
      </c>
      <c r="W3441">
        <v>0</v>
      </c>
      <c r="X3441">
        <v>1</v>
      </c>
      <c r="Z3441">
        <v>0</v>
      </c>
      <c r="AA3441">
        <v>9</v>
      </c>
      <c r="AB3441">
        <v>3</v>
      </c>
      <c r="AC3441">
        <v>0</v>
      </c>
      <c r="AD3441">
        <v>10</v>
      </c>
      <c r="AE3441">
        <v>0</v>
      </c>
      <c r="AF3441">
        <v>3</v>
      </c>
      <c r="AG3441">
        <v>2</v>
      </c>
      <c r="AH3441">
        <v>0</v>
      </c>
      <c r="AI3441" t="s">
        <v>6979</v>
      </c>
      <c r="AJ3441">
        <v>40.374713</v>
      </c>
      <c r="AK3441" t="s">
        <v>6980</v>
      </c>
      <c r="AL3441">
        <v>-74.608090000000004</v>
      </c>
      <c r="AM3441">
        <v>100</v>
      </c>
      <c r="AN3441">
        <v>1700</v>
      </c>
      <c r="AO3441" t="s">
        <v>115</v>
      </c>
      <c r="AP3441">
        <v>137</v>
      </c>
      <c r="AQ3441">
        <v>-14</v>
      </c>
      <c r="AR3441">
        <v>-64</v>
      </c>
      <c r="AZ3441">
        <v>3614</v>
      </c>
      <c r="BA3441">
        <v>1</v>
      </c>
      <c r="BB3441" t="str">
        <f t="shared" si="161"/>
        <v xml:space="preserve">N959MJ  </v>
      </c>
      <c r="BC3441">
        <v>1</v>
      </c>
      <c r="BE3441">
        <v>0</v>
      </c>
      <c r="BF3441">
        <v>0</v>
      </c>
      <c r="BG3441">
        <v>0</v>
      </c>
      <c r="BH3441">
        <v>1875</v>
      </c>
      <c r="BI3441">
        <v>175</v>
      </c>
      <c r="BJ3441">
        <v>1</v>
      </c>
      <c r="BK3441">
        <v>1</v>
      </c>
      <c r="BL3441">
        <v>1</v>
      </c>
      <c r="BM3441">
        <v>0</v>
      </c>
      <c r="BP3441">
        <v>0</v>
      </c>
      <c r="BQ3441">
        <v>0</v>
      </c>
      <c r="BX3441" t="str">
        <f>"14:47:41.430"</f>
        <v>14:47:41.430</v>
      </c>
      <c r="BY3441" t="str">
        <f>"432084104"</f>
        <v>432084104</v>
      </c>
      <c r="CL3441">
        <v>0</v>
      </c>
      <c r="CM3441">
        <v>2</v>
      </c>
      <c r="CN3441">
        <v>0</v>
      </c>
      <c r="CO3441">
        <v>2</v>
      </c>
      <c r="CP3441">
        <v>0</v>
      </c>
      <c r="CQ3441">
        <v>7</v>
      </c>
      <c r="CR3441" t="s">
        <v>116</v>
      </c>
      <c r="CS3441">
        <v>38</v>
      </c>
      <c r="CT3441">
        <v>0</v>
      </c>
      <c r="CU3441" t="s">
        <v>4719</v>
      </c>
      <c r="CV3441" t="s">
        <v>4720</v>
      </c>
      <c r="CY3441">
        <v>7877553</v>
      </c>
      <c r="CZ3441" t="s">
        <v>119</v>
      </c>
    </row>
    <row r="3442" spans="1:104" x14ac:dyDescent="0.25">
      <c r="A3442" t="str">
        <f>"14:47:42.750"</f>
        <v>14:47:42.750</v>
      </c>
      <c r="B3442" t="s">
        <v>108</v>
      </c>
      <c r="C3442" t="str">
        <f t="shared" si="160"/>
        <v>ffdfd3c0</v>
      </c>
      <c r="D3442" t="s">
        <v>109</v>
      </c>
      <c r="E3442">
        <v>4</v>
      </c>
      <c r="F3442">
        <v>1004</v>
      </c>
      <c r="G3442" t="s">
        <v>110</v>
      </c>
      <c r="J3442" t="s">
        <v>111</v>
      </c>
      <c r="K3442">
        <v>0</v>
      </c>
      <c r="L3442">
        <v>3</v>
      </c>
      <c r="M3442">
        <v>0</v>
      </c>
      <c r="N3442">
        <v>2</v>
      </c>
      <c r="O3442">
        <v>1</v>
      </c>
      <c r="P3442">
        <v>0</v>
      </c>
      <c r="Q3442">
        <v>0</v>
      </c>
      <c r="R3442" t="s">
        <v>112</v>
      </c>
      <c r="S3442" t="str">
        <f>"14:47:42.555"</f>
        <v>14:47:42.555</v>
      </c>
      <c r="T3442" t="str">
        <f>"14:47:42.055"</f>
        <v>14:47:42.055</v>
      </c>
      <c r="U3442" t="str">
        <f t="shared" si="159"/>
        <v>ad5732</v>
      </c>
      <c r="V3442">
        <v>0</v>
      </c>
      <c r="W3442">
        <v>0</v>
      </c>
      <c r="X3442">
        <v>1</v>
      </c>
      <c r="Z3442">
        <v>0</v>
      </c>
      <c r="AA3442">
        <v>9</v>
      </c>
      <c r="AB3442">
        <v>3</v>
      </c>
      <c r="AC3442">
        <v>0</v>
      </c>
      <c r="AD3442">
        <v>10</v>
      </c>
      <c r="AE3442">
        <v>0</v>
      </c>
      <c r="AF3442">
        <v>3</v>
      </c>
      <c r="AG3442">
        <v>2</v>
      </c>
      <c r="AH3442">
        <v>0</v>
      </c>
      <c r="AI3442" t="s">
        <v>6981</v>
      </c>
      <c r="AJ3442">
        <v>40.374670000000002</v>
      </c>
      <c r="AK3442" t="s">
        <v>6982</v>
      </c>
      <c r="AL3442">
        <v>-74.607167000000004</v>
      </c>
      <c r="AM3442">
        <v>100</v>
      </c>
      <c r="AN3442">
        <v>1700</v>
      </c>
      <c r="AO3442" t="s">
        <v>115</v>
      </c>
      <c r="AP3442">
        <v>137</v>
      </c>
      <c r="AQ3442">
        <v>-14</v>
      </c>
      <c r="AR3442">
        <v>-64</v>
      </c>
      <c r="AZ3442">
        <v>3614</v>
      </c>
      <c r="BA3442">
        <v>1</v>
      </c>
      <c r="BB3442" t="str">
        <f t="shared" si="161"/>
        <v xml:space="preserve">N959MJ  </v>
      </c>
      <c r="BC3442">
        <v>1</v>
      </c>
      <c r="BE3442">
        <v>0</v>
      </c>
      <c r="BF3442">
        <v>0</v>
      </c>
      <c r="BG3442">
        <v>0</v>
      </c>
      <c r="BH3442">
        <v>1875</v>
      </c>
      <c r="BI3442">
        <v>175</v>
      </c>
      <c r="BJ3442">
        <v>1</v>
      </c>
      <c r="BK3442">
        <v>1</v>
      </c>
      <c r="BL3442">
        <v>1</v>
      </c>
      <c r="BM3442">
        <v>0</v>
      </c>
      <c r="BP3442">
        <v>0</v>
      </c>
      <c r="BQ3442">
        <v>0</v>
      </c>
      <c r="BX3442" t="str">
        <f>"14:47:42.555"</f>
        <v>14:47:42.555</v>
      </c>
      <c r="BY3442" t="str">
        <f>"557684803"</f>
        <v>557684803</v>
      </c>
      <c r="CL3442">
        <v>0</v>
      </c>
      <c r="CM3442">
        <v>2</v>
      </c>
      <c r="CN3442">
        <v>0</v>
      </c>
      <c r="CO3442">
        <v>2</v>
      </c>
      <c r="CP3442">
        <v>0</v>
      </c>
      <c r="CQ3442">
        <v>7</v>
      </c>
      <c r="CR3442" t="s">
        <v>116</v>
      </c>
      <c r="CS3442">
        <v>38</v>
      </c>
      <c r="CT3442">
        <v>0</v>
      </c>
      <c r="CU3442" t="s">
        <v>4719</v>
      </c>
      <c r="CV3442" t="s">
        <v>4720</v>
      </c>
      <c r="CY3442">
        <v>7879240</v>
      </c>
      <c r="CZ3442" t="s">
        <v>119</v>
      </c>
    </row>
    <row r="3443" spans="1:104" x14ac:dyDescent="0.25">
      <c r="A3443" t="str">
        <f>"14:47:43.758"</f>
        <v>14:47:43.758</v>
      </c>
      <c r="B3443" t="s">
        <v>108</v>
      </c>
      <c r="C3443" t="str">
        <f t="shared" si="160"/>
        <v>ffdfd3c0</v>
      </c>
      <c r="D3443" t="s">
        <v>109</v>
      </c>
      <c r="E3443">
        <v>4</v>
      </c>
      <c r="F3443">
        <v>1004</v>
      </c>
      <c r="G3443" t="s">
        <v>110</v>
      </c>
      <c r="J3443" t="s">
        <v>111</v>
      </c>
      <c r="K3443">
        <v>0</v>
      </c>
      <c r="L3443">
        <v>3</v>
      </c>
      <c r="M3443">
        <v>0</v>
      </c>
      <c r="N3443">
        <v>2</v>
      </c>
      <c r="O3443">
        <v>1</v>
      </c>
      <c r="P3443">
        <v>0</v>
      </c>
      <c r="Q3443">
        <v>0</v>
      </c>
      <c r="R3443" t="s">
        <v>112</v>
      </c>
      <c r="S3443" t="str">
        <f>"14:47:43.563"</f>
        <v>14:47:43.563</v>
      </c>
      <c r="T3443" t="str">
        <f>"14:47:43.164"</f>
        <v>14:47:43.164</v>
      </c>
      <c r="U3443" t="str">
        <f t="shared" si="159"/>
        <v>ad5732</v>
      </c>
      <c r="V3443">
        <v>0</v>
      </c>
      <c r="W3443">
        <v>0</v>
      </c>
      <c r="X3443">
        <v>1</v>
      </c>
      <c r="Z3443">
        <v>0</v>
      </c>
      <c r="AA3443">
        <v>9</v>
      </c>
      <c r="AB3443">
        <v>3</v>
      </c>
      <c r="AC3443">
        <v>0</v>
      </c>
      <c r="AD3443">
        <v>10</v>
      </c>
      <c r="AE3443">
        <v>0</v>
      </c>
      <c r="AF3443">
        <v>3</v>
      </c>
      <c r="AG3443">
        <v>2</v>
      </c>
      <c r="AH3443">
        <v>0</v>
      </c>
      <c r="AI3443" t="s">
        <v>6983</v>
      </c>
      <c r="AJ3443">
        <v>40.374563000000002</v>
      </c>
      <c r="AK3443" t="s">
        <v>6984</v>
      </c>
      <c r="AL3443">
        <v>-74.606395000000006</v>
      </c>
      <c r="AM3443">
        <v>100</v>
      </c>
      <c r="AN3443">
        <v>1700</v>
      </c>
      <c r="AO3443" t="s">
        <v>115</v>
      </c>
      <c r="AP3443">
        <v>137</v>
      </c>
      <c r="AQ3443">
        <v>-14</v>
      </c>
      <c r="AR3443">
        <v>0</v>
      </c>
      <c r="AZ3443">
        <v>3614</v>
      </c>
      <c r="BA3443">
        <v>1</v>
      </c>
      <c r="BB3443" t="str">
        <f t="shared" si="161"/>
        <v xml:space="preserve">N959MJ  </v>
      </c>
      <c r="BC3443">
        <v>1</v>
      </c>
      <c r="BE3443">
        <v>0</v>
      </c>
      <c r="BF3443">
        <v>0</v>
      </c>
      <c r="BG3443">
        <v>0</v>
      </c>
      <c r="BH3443">
        <v>1875</v>
      </c>
      <c r="BI3443">
        <v>175</v>
      </c>
      <c r="BJ3443">
        <v>1</v>
      </c>
      <c r="BK3443">
        <v>1</v>
      </c>
      <c r="BL3443">
        <v>1</v>
      </c>
      <c r="BM3443">
        <v>0</v>
      </c>
      <c r="BP3443">
        <v>0</v>
      </c>
      <c r="BQ3443">
        <v>0</v>
      </c>
      <c r="BX3443" t="str">
        <f>"14:47:43.563"</f>
        <v>14:47:43.563</v>
      </c>
      <c r="BY3443" t="str">
        <f>"563680231"</f>
        <v>563680231</v>
      </c>
      <c r="CL3443">
        <v>0</v>
      </c>
      <c r="CM3443">
        <v>2</v>
      </c>
      <c r="CN3443">
        <v>0</v>
      </c>
      <c r="CO3443">
        <v>2</v>
      </c>
      <c r="CP3443">
        <v>0</v>
      </c>
      <c r="CQ3443">
        <v>7</v>
      </c>
      <c r="CR3443" t="s">
        <v>116</v>
      </c>
      <c r="CS3443">
        <v>38</v>
      </c>
      <c r="CT3443">
        <v>0</v>
      </c>
      <c r="CU3443" t="s">
        <v>4719</v>
      </c>
      <c r="CV3443" t="s">
        <v>4720</v>
      </c>
      <c r="CY3443">
        <v>7880825</v>
      </c>
      <c r="CZ3443" t="s">
        <v>119</v>
      </c>
    </row>
    <row r="3444" spans="1:104" x14ac:dyDescent="0.25">
      <c r="A3444" t="str">
        <f>"14:47:44.719"</f>
        <v>14:47:44.719</v>
      </c>
      <c r="B3444" t="s">
        <v>108</v>
      </c>
      <c r="C3444" t="str">
        <f t="shared" si="160"/>
        <v>ffdfd3c0</v>
      </c>
      <c r="D3444" t="s">
        <v>109</v>
      </c>
      <c r="E3444">
        <v>4</v>
      </c>
      <c r="F3444">
        <v>1004</v>
      </c>
      <c r="G3444" t="s">
        <v>110</v>
      </c>
      <c r="J3444" t="s">
        <v>111</v>
      </c>
      <c r="K3444">
        <v>0</v>
      </c>
      <c r="L3444">
        <v>3</v>
      </c>
      <c r="M3444">
        <v>0</v>
      </c>
      <c r="N3444">
        <v>2</v>
      </c>
      <c r="O3444">
        <v>1</v>
      </c>
      <c r="P3444">
        <v>0</v>
      </c>
      <c r="Q3444">
        <v>0</v>
      </c>
      <c r="R3444" t="s">
        <v>112</v>
      </c>
      <c r="S3444" t="str">
        <f>"14:47:44.563"</f>
        <v>14:47:44.563</v>
      </c>
      <c r="T3444" t="str">
        <f>"14:47:44.164"</f>
        <v>14:47:44.164</v>
      </c>
      <c r="U3444" t="str">
        <f t="shared" si="159"/>
        <v>ad5732</v>
      </c>
      <c r="V3444">
        <v>0</v>
      </c>
      <c r="W3444">
        <v>0</v>
      </c>
      <c r="X3444">
        <v>1</v>
      </c>
      <c r="Z3444">
        <v>0</v>
      </c>
      <c r="AA3444">
        <v>9</v>
      </c>
      <c r="AB3444">
        <v>3</v>
      </c>
      <c r="AC3444">
        <v>0</v>
      </c>
      <c r="AD3444">
        <v>10</v>
      </c>
      <c r="AE3444">
        <v>0</v>
      </c>
      <c r="AF3444">
        <v>3</v>
      </c>
      <c r="AG3444">
        <v>2</v>
      </c>
      <c r="AH3444">
        <v>0</v>
      </c>
      <c r="AI3444" t="s">
        <v>6985</v>
      </c>
      <c r="AJ3444">
        <v>40.374519999999997</v>
      </c>
      <c r="AK3444" t="s">
        <v>6986</v>
      </c>
      <c r="AL3444">
        <v>-74.605536000000001</v>
      </c>
      <c r="AM3444">
        <v>100</v>
      </c>
      <c r="AN3444">
        <v>1700</v>
      </c>
      <c r="AO3444" t="s">
        <v>115</v>
      </c>
      <c r="AP3444">
        <v>136</v>
      </c>
      <c r="AQ3444">
        <v>-14</v>
      </c>
      <c r="AR3444">
        <v>0</v>
      </c>
      <c r="AZ3444">
        <v>3614</v>
      </c>
      <c r="BA3444">
        <v>1</v>
      </c>
      <c r="BB3444" t="str">
        <f t="shared" si="161"/>
        <v xml:space="preserve">N959MJ  </v>
      </c>
      <c r="BC3444">
        <v>1</v>
      </c>
      <c r="BE3444">
        <v>0</v>
      </c>
      <c r="BF3444">
        <v>0</v>
      </c>
      <c r="BG3444">
        <v>0</v>
      </c>
      <c r="BH3444">
        <v>1875</v>
      </c>
      <c r="BI3444">
        <v>175</v>
      </c>
      <c r="BJ3444">
        <v>1</v>
      </c>
      <c r="BK3444">
        <v>1</v>
      </c>
      <c r="BL3444">
        <v>1</v>
      </c>
      <c r="BM3444">
        <v>0</v>
      </c>
      <c r="BP3444">
        <v>0</v>
      </c>
      <c r="BQ3444">
        <v>0</v>
      </c>
      <c r="BX3444" t="str">
        <f>"14:47:44.563"</f>
        <v>14:47:44.563</v>
      </c>
      <c r="BY3444" t="str">
        <f>"563211055"</f>
        <v>563211055</v>
      </c>
      <c r="CL3444">
        <v>0</v>
      </c>
      <c r="CM3444">
        <v>2</v>
      </c>
      <c r="CN3444">
        <v>0</v>
      </c>
      <c r="CO3444">
        <v>2</v>
      </c>
      <c r="CP3444">
        <v>0</v>
      </c>
      <c r="CQ3444">
        <v>6</v>
      </c>
      <c r="CR3444" t="s">
        <v>116</v>
      </c>
      <c r="CS3444">
        <v>305</v>
      </c>
      <c r="CT3444">
        <v>3</v>
      </c>
      <c r="CU3444" t="s">
        <v>6425</v>
      </c>
      <c r="CV3444" t="s">
        <v>6426</v>
      </c>
      <c r="CY3444">
        <v>5689860</v>
      </c>
      <c r="CZ3444" t="s">
        <v>119</v>
      </c>
    </row>
    <row r="3445" spans="1:104" x14ac:dyDescent="0.25">
      <c r="A3445" t="str">
        <f>"14:47:45.828"</f>
        <v>14:47:45.828</v>
      </c>
      <c r="B3445" t="s">
        <v>108</v>
      </c>
      <c r="C3445" t="str">
        <f t="shared" si="160"/>
        <v>ffdfd3c0</v>
      </c>
      <c r="D3445" t="s">
        <v>109</v>
      </c>
      <c r="E3445">
        <v>4</v>
      </c>
      <c r="F3445">
        <v>1004</v>
      </c>
      <c r="G3445" t="s">
        <v>110</v>
      </c>
      <c r="J3445" t="s">
        <v>111</v>
      </c>
      <c r="K3445">
        <v>0</v>
      </c>
      <c r="L3445">
        <v>3</v>
      </c>
      <c r="M3445">
        <v>0</v>
      </c>
      <c r="N3445">
        <v>2</v>
      </c>
      <c r="O3445">
        <v>1</v>
      </c>
      <c r="P3445">
        <v>0</v>
      </c>
      <c r="Q3445">
        <v>0</v>
      </c>
      <c r="R3445" t="s">
        <v>112</v>
      </c>
      <c r="S3445" t="str">
        <f>"14:47:45.625"</f>
        <v>14:47:45.625</v>
      </c>
      <c r="T3445" t="str">
        <f>"14:47:45.227"</f>
        <v>14:47:45.227</v>
      </c>
      <c r="U3445" t="str">
        <f t="shared" si="159"/>
        <v>ad5732</v>
      </c>
      <c r="V3445">
        <v>0</v>
      </c>
      <c r="W3445">
        <v>0</v>
      </c>
      <c r="X3445">
        <v>1</v>
      </c>
      <c r="Z3445">
        <v>0</v>
      </c>
      <c r="AA3445">
        <v>9</v>
      </c>
      <c r="AB3445">
        <v>3</v>
      </c>
      <c r="AC3445">
        <v>0</v>
      </c>
      <c r="AD3445">
        <v>10</v>
      </c>
      <c r="AE3445">
        <v>0</v>
      </c>
      <c r="AF3445">
        <v>3</v>
      </c>
      <c r="AG3445">
        <v>2</v>
      </c>
      <c r="AH3445">
        <v>0</v>
      </c>
      <c r="AI3445" t="s">
        <v>6987</v>
      </c>
      <c r="AJ3445">
        <v>40.374434000000001</v>
      </c>
      <c r="AK3445" t="s">
        <v>6988</v>
      </c>
      <c r="AL3445">
        <v>-74.604657000000003</v>
      </c>
      <c r="AM3445">
        <v>100</v>
      </c>
      <c r="AN3445">
        <v>1700</v>
      </c>
      <c r="AO3445" t="s">
        <v>115</v>
      </c>
      <c r="AP3445">
        <v>136</v>
      </c>
      <c r="AQ3445">
        <v>-13</v>
      </c>
      <c r="AR3445">
        <v>64</v>
      </c>
      <c r="AZ3445">
        <v>3614</v>
      </c>
      <c r="BA3445">
        <v>1</v>
      </c>
      <c r="BB3445" t="str">
        <f t="shared" si="161"/>
        <v xml:space="preserve">N959MJ  </v>
      </c>
      <c r="BC3445">
        <v>1</v>
      </c>
      <c r="BE3445">
        <v>0</v>
      </c>
      <c r="BF3445">
        <v>0</v>
      </c>
      <c r="BG3445">
        <v>0</v>
      </c>
      <c r="BH3445">
        <v>1875</v>
      </c>
      <c r="BI3445">
        <v>175</v>
      </c>
      <c r="BJ3445">
        <v>1</v>
      </c>
      <c r="BK3445">
        <v>1</v>
      </c>
      <c r="BL3445">
        <v>1</v>
      </c>
      <c r="BM3445">
        <v>0</v>
      </c>
      <c r="BP3445">
        <v>0</v>
      </c>
      <c r="BQ3445">
        <v>0</v>
      </c>
      <c r="BX3445" t="str">
        <f>"14:47:45.633"</f>
        <v>14:47:45.633</v>
      </c>
      <c r="BY3445" t="str">
        <f>"631377679"</f>
        <v>631377679</v>
      </c>
      <c r="CL3445">
        <v>0</v>
      </c>
      <c r="CM3445">
        <v>2</v>
      </c>
      <c r="CN3445">
        <v>0</v>
      </c>
      <c r="CO3445">
        <v>2</v>
      </c>
      <c r="CP3445">
        <v>0</v>
      </c>
      <c r="CQ3445">
        <v>7</v>
      </c>
      <c r="CR3445" t="s">
        <v>116</v>
      </c>
      <c r="CS3445">
        <v>38</v>
      </c>
      <c r="CT3445">
        <v>0</v>
      </c>
      <c r="CU3445" t="s">
        <v>4719</v>
      </c>
      <c r="CV3445" t="s">
        <v>4720</v>
      </c>
      <c r="CY3445">
        <v>7883993</v>
      </c>
      <c r="CZ3445" t="s">
        <v>119</v>
      </c>
    </row>
    <row r="3446" spans="1:104" x14ac:dyDescent="0.25">
      <c r="A3446" t="str">
        <f>"14:47:46.938"</f>
        <v>14:47:46.938</v>
      </c>
      <c r="B3446" t="s">
        <v>108</v>
      </c>
      <c r="C3446" t="str">
        <f t="shared" si="160"/>
        <v>ffdfd3c0</v>
      </c>
      <c r="D3446" t="s">
        <v>109</v>
      </c>
      <c r="E3446">
        <v>4</v>
      </c>
      <c r="F3446">
        <v>1004</v>
      </c>
      <c r="G3446" t="s">
        <v>110</v>
      </c>
      <c r="J3446" t="s">
        <v>111</v>
      </c>
      <c r="K3446">
        <v>0</v>
      </c>
      <c r="L3446">
        <v>3</v>
      </c>
      <c r="M3446">
        <v>0</v>
      </c>
      <c r="N3446">
        <v>2</v>
      </c>
      <c r="O3446">
        <v>1</v>
      </c>
      <c r="P3446">
        <v>0</v>
      </c>
      <c r="Q3446">
        <v>0</v>
      </c>
      <c r="R3446" t="s">
        <v>112</v>
      </c>
      <c r="S3446" t="str">
        <f>"14:47:46.766"</f>
        <v>14:47:46.766</v>
      </c>
      <c r="T3446" t="str">
        <f>"14:47:45.664"</f>
        <v>14:47:45.664</v>
      </c>
      <c r="U3446" t="str">
        <f t="shared" si="159"/>
        <v>ad5732</v>
      </c>
      <c r="V3446">
        <v>0</v>
      </c>
      <c r="W3446">
        <v>0</v>
      </c>
      <c r="X3446">
        <v>1</v>
      </c>
      <c r="Z3446">
        <v>0</v>
      </c>
      <c r="AA3446">
        <v>9</v>
      </c>
      <c r="AB3446">
        <v>3</v>
      </c>
      <c r="AC3446">
        <v>0</v>
      </c>
      <c r="AD3446">
        <v>10</v>
      </c>
      <c r="AE3446">
        <v>0</v>
      </c>
      <c r="AF3446">
        <v>3</v>
      </c>
      <c r="AG3446">
        <v>2</v>
      </c>
      <c r="AH3446">
        <v>0</v>
      </c>
      <c r="AI3446" t="s">
        <v>6989</v>
      </c>
      <c r="AJ3446">
        <v>40.374391000000003</v>
      </c>
      <c r="AK3446" t="s">
        <v>6990</v>
      </c>
      <c r="AL3446">
        <v>-74.603755000000007</v>
      </c>
      <c r="AM3446">
        <v>100</v>
      </c>
      <c r="AN3446">
        <v>1700</v>
      </c>
      <c r="AO3446" t="s">
        <v>115</v>
      </c>
      <c r="AP3446">
        <v>136</v>
      </c>
      <c r="AQ3446">
        <v>-12</v>
      </c>
      <c r="AR3446">
        <v>64</v>
      </c>
      <c r="AZ3446">
        <v>3614</v>
      </c>
      <c r="BA3446">
        <v>1</v>
      </c>
      <c r="BB3446" t="str">
        <f t="shared" si="161"/>
        <v xml:space="preserve">N959MJ  </v>
      </c>
      <c r="BC3446">
        <v>1</v>
      </c>
      <c r="BE3446">
        <v>0</v>
      </c>
      <c r="BF3446">
        <v>0</v>
      </c>
      <c r="BG3446">
        <v>0</v>
      </c>
      <c r="BH3446">
        <v>1875</v>
      </c>
      <c r="BI3446">
        <v>175</v>
      </c>
      <c r="BJ3446">
        <v>1</v>
      </c>
      <c r="BK3446">
        <v>1</v>
      </c>
      <c r="BL3446">
        <v>1</v>
      </c>
      <c r="BM3446">
        <v>0</v>
      </c>
      <c r="BP3446">
        <v>0</v>
      </c>
      <c r="BQ3446">
        <v>0</v>
      </c>
      <c r="BX3446" t="str">
        <f>"14:47:46.773"</f>
        <v>14:47:46.773</v>
      </c>
      <c r="BY3446" t="str">
        <f>"773362736"</f>
        <v>773362736</v>
      </c>
      <c r="CL3446">
        <v>0</v>
      </c>
      <c r="CM3446">
        <v>2</v>
      </c>
      <c r="CN3446">
        <v>0</v>
      </c>
      <c r="CO3446">
        <v>2</v>
      </c>
      <c r="CP3446">
        <v>0</v>
      </c>
      <c r="CQ3446">
        <v>7</v>
      </c>
      <c r="CR3446" t="s">
        <v>116</v>
      </c>
      <c r="CS3446">
        <v>38</v>
      </c>
      <c r="CT3446">
        <v>0</v>
      </c>
      <c r="CU3446" t="s">
        <v>4719</v>
      </c>
      <c r="CV3446" t="s">
        <v>4720</v>
      </c>
      <c r="CY3446">
        <v>7885705</v>
      </c>
      <c r="CZ3446" t="s">
        <v>119</v>
      </c>
    </row>
    <row r="3447" spans="1:104" x14ac:dyDescent="0.25">
      <c r="A3447" t="str">
        <f>"14:47:48.047"</f>
        <v>14:47:48.047</v>
      </c>
      <c r="B3447" t="s">
        <v>108</v>
      </c>
      <c r="C3447" t="str">
        <f t="shared" si="160"/>
        <v>ffdfd3c0</v>
      </c>
      <c r="D3447" t="s">
        <v>109</v>
      </c>
      <c r="E3447">
        <v>4</v>
      </c>
      <c r="F3447">
        <v>1004</v>
      </c>
      <c r="G3447" t="s">
        <v>110</v>
      </c>
      <c r="J3447" t="s">
        <v>111</v>
      </c>
      <c r="K3447">
        <v>0</v>
      </c>
      <c r="L3447">
        <v>3</v>
      </c>
      <c r="M3447">
        <v>0</v>
      </c>
      <c r="N3447">
        <v>2</v>
      </c>
      <c r="O3447">
        <v>1</v>
      </c>
      <c r="P3447">
        <v>0</v>
      </c>
      <c r="Q3447">
        <v>0</v>
      </c>
      <c r="R3447" t="s">
        <v>112</v>
      </c>
      <c r="S3447" t="str">
        <f>"14:47:47.844"</f>
        <v>14:47:47.844</v>
      </c>
      <c r="T3447" t="str">
        <f>"14:47:47.445"</f>
        <v>14:47:47.445</v>
      </c>
      <c r="U3447" t="str">
        <f t="shared" si="159"/>
        <v>ad5732</v>
      </c>
      <c r="V3447">
        <v>0</v>
      </c>
      <c r="W3447">
        <v>0</v>
      </c>
      <c r="X3447">
        <v>1</v>
      </c>
      <c r="Z3447">
        <v>0</v>
      </c>
      <c r="AA3447">
        <v>9</v>
      </c>
      <c r="AB3447">
        <v>3</v>
      </c>
      <c r="AC3447">
        <v>0</v>
      </c>
      <c r="AD3447">
        <v>10</v>
      </c>
      <c r="AE3447">
        <v>0</v>
      </c>
      <c r="AF3447">
        <v>3</v>
      </c>
      <c r="AG3447">
        <v>2</v>
      </c>
      <c r="AH3447">
        <v>0</v>
      </c>
      <c r="AI3447" t="s">
        <v>6989</v>
      </c>
      <c r="AJ3447">
        <v>40.374391000000003</v>
      </c>
      <c r="AK3447" t="s">
        <v>6991</v>
      </c>
      <c r="AL3447">
        <v>-74.602853999999994</v>
      </c>
      <c r="AM3447">
        <v>100</v>
      </c>
      <c r="AN3447">
        <v>1700</v>
      </c>
      <c r="AO3447" t="s">
        <v>115</v>
      </c>
      <c r="AP3447">
        <v>137</v>
      </c>
      <c r="AQ3447">
        <v>-7</v>
      </c>
      <c r="AR3447">
        <v>0</v>
      </c>
      <c r="AZ3447">
        <v>3614</v>
      </c>
      <c r="BA3447">
        <v>1</v>
      </c>
      <c r="BB3447" t="str">
        <f t="shared" si="161"/>
        <v xml:space="preserve">N959MJ  </v>
      </c>
      <c r="BC3447">
        <v>1</v>
      </c>
      <c r="BE3447">
        <v>0</v>
      </c>
      <c r="BF3447">
        <v>0</v>
      </c>
      <c r="BG3447">
        <v>0</v>
      </c>
      <c r="BH3447">
        <v>1875</v>
      </c>
      <c r="BI3447">
        <v>175</v>
      </c>
      <c r="BJ3447">
        <v>1</v>
      </c>
      <c r="BK3447">
        <v>1</v>
      </c>
      <c r="BL3447">
        <v>1</v>
      </c>
      <c r="BM3447">
        <v>0</v>
      </c>
      <c r="BP3447">
        <v>0</v>
      </c>
      <c r="BQ3447">
        <v>0</v>
      </c>
      <c r="BX3447" t="str">
        <f>"14:47:47.844"</f>
        <v>14:47:47.844</v>
      </c>
      <c r="BY3447" t="str">
        <f>"846533753"</f>
        <v>846533753</v>
      </c>
      <c r="CL3447">
        <v>0</v>
      </c>
      <c r="CM3447">
        <v>2</v>
      </c>
      <c r="CN3447">
        <v>0</v>
      </c>
      <c r="CO3447">
        <v>2</v>
      </c>
      <c r="CP3447">
        <v>0</v>
      </c>
      <c r="CQ3447">
        <v>7</v>
      </c>
      <c r="CR3447" t="s">
        <v>116</v>
      </c>
      <c r="CS3447">
        <v>38</v>
      </c>
      <c r="CT3447">
        <v>0</v>
      </c>
      <c r="CU3447" t="s">
        <v>4719</v>
      </c>
      <c r="CV3447" t="s">
        <v>4720</v>
      </c>
      <c r="CY3447">
        <v>7887205</v>
      </c>
      <c r="CZ3447" t="s">
        <v>119</v>
      </c>
    </row>
    <row r="3448" spans="1:104" x14ac:dyDescent="0.25">
      <c r="A3448" t="str">
        <f>"14:47:49.063"</f>
        <v>14:47:49.063</v>
      </c>
      <c r="B3448" t="s">
        <v>108</v>
      </c>
      <c r="C3448" t="str">
        <f t="shared" si="160"/>
        <v>ffdfd3c0</v>
      </c>
      <c r="D3448" t="s">
        <v>109</v>
      </c>
      <c r="E3448">
        <v>4</v>
      </c>
      <c r="F3448">
        <v>1004</v>
      </c>
      <c r="G3448" t="s">
        <v>110</v>
      </c>
      <c r="J3448" t="s">
        <v>111</v>
      </c>
      <c r="K3448">
        <v>0</v>
      </c>
      <c r="L3448">
        <v>3</v>
      </c>
      <c r="M3448">
        <v>0</v>
      </c>
      <c r="N3448">
        <v>2</v>
      </c>
      <c r="O3448">
        <v>1</v>
      </c>
      <c r="P3448">
        <v>0</v>
      </c>
      <c r="Q3448">
        <v>0</v>
      </c>
      <c r="R3448" t="s">
        <v>112</v>
      </c>
      <c r="S3448" t="str">
        <f>"14:47:48.828"</f>
        <v>14:47:48.828</v>
      </c>
      <c r="T3448" t="str">
        <f>"14:47:48.328"</f>
        <v>14:47:48.328</v>
      </c>
      <c r="U3448" t="str">
        <f t="shared" si="159"/>
        <v>ad5732</v>
      </c>
      <c r="V3448">
        <v>0</v>
      </c>
      <c r="W3448">
        <v>0</v>
      </c>
      <c r="X3448">
        <v>1</v>
      </c>
      <c r="Z3448">
        <v>0</v>
      </c>
      <c r="AA3448">
        <v>9</v>
      </c>
      <c r="AB3448">
        <v>3</v>
      </c>
      <c r="AC3448">
        <v>0</v>
      </c>
      <c r="AD3448">
        <v>10</v>
      </c>
      <c r="AE3448">
        <v>0</v>
      </c>
      <c r="AF3448">
        <v>3</v>
      </c>
      <c r="AG3448">
        <v>2</v>
      </c>
      <c r="AH3448">
        <v>0</v>
      </c>
      <c r="AI3448" t="s">
        <v>6989</v>
      </c>
      <c r="AJ3448">
        <v>40.374391000000003</v>
      </c>
      <c r="AK3448" t="s">
        <v>6992</v>
      </c>
      <c r="AL3448">
        <v>-74.601973999999998</v>
      </c>
      <c r="AM3448">
        <v>100</v>
      </c>
      <c r="AN3448">
        <v>1700</v>
      </c>
      <c r="AO3448" t="s">
        <v>115</v>
      </c>
      <c r="AP3448">
        <v>137</v>
      </c>
      <c r="AQ3448">
        <v>-2</v>
      </c>
      <c r="AR3448">
        <v>-64</v>
      </c>
      <c r="AZ3448">
        <v>3614</v>
      </c>
      <c r="BA3448">
        <v>1</v>
      </c>
      <c r="BB3448" t="str">
        <f t="shared" si="161"/>
        <v xml:space="preserve">N959MJ  </v>
      </c>
      <c r="BC3448">
        <v>1</v>
      </c>
      <c r="BE3448">
        <v>0</v>
      </c>
      <c r="BF3448">
        <v>0</v>
      </c>
      <c r="BG3448">
        <v>0</v>
      </c>
      <c r="BH3448">
        <v>1875</v>
      </c>
      <c r="BI3448">
        <v>175</v>
      </c>
      <c r="BJ3448">
        <v>1</v>
      </c>
      <c r="BK3448">
        <v>1</v>
      </c>
      <c r="BL3448">
        <v>1</v>
      </c>
      <c r="BM3448">
        <v>0</v>
      </c>
      <c r="BP3448">
        <v>0</v>
      </c>
      <c r="BQ3448">
        <v>0</v>
      </c>
      <c r="BX3448" t="str">
        <f>"14:47:48.836"</f>
        <v>14:47:48.836</v>
      </c>
      <c r="BY3448" t="str">
        <f>"832868063"</f>
        <v>832868063</v>
      </c>
      <c r="CL3448">
        <v>0</v>
      </c>
      <c r="CM3448">
        <v>2</v>
      </c>
      <c r="CN3448">
        <v>0</v>
      </c>
      <c r="CO3448">
        <v>2</v>
      </c>
      <c r="CP3448">
        <v>0</v>
      </c>
      <c r="CQ3448">
        <v>7</v>
      </c>
      <c r="CR3448" t="s">
        <v>116</v>
      </c>
      <c r="CS3448">
        <v>38</v>
      </c>
      <c r="CT3448">
        <v>0</v>
      </c>
      <c r="CU3448" t="s">
        <v>4719</v>
      </c>
      <c r="CV3448" t="s">
        <v>4720</v>
      </c>
      <c r="CY3448">
        <v>7888665</v>
      </c>
      <c r="CZ3448" t="s">
        <v>119</v>
      </c>
    </row>
    <row r="3449" spans="1:104" x14ac:dyDescent="0.25">
      <c r="A3449" t="str">
        <f>"14:47:50.016"</f>
        <v>14:47:50.016</v>
      </c>
      <c r="B3449" t="s">
        <v>108</v>
      </c>
      <c r="C3449" t="str">
        <f t="shared" si="160"/>
        <v>ffdfd3c0</v>
      </c>
      <c r="D3449" t="s">
        <v>109</v>
      </c>
      <c r="E3449">
        <v>4</v>
      </c>
      <c r="F3449">
        <v>1004</v>
      </c>
      <c r="G3449" t="s">
        <v>110</v>
      </c>
      <c r="J3449" t="s">
        <v>111</v>
      </c>
      <c r="K3449">
        <v>0</v>
      </c>
      <c r="L3449">
        <v>3</v>
      </c>
      <c r="M3449">
        <v>0</v>
      </c>
      <c r="N3449">
        <v>2</v>
      </c>
      <c r="O3449">
        <v>1</v>
      </c>
      <c r="P3449">
        <v>0</v>
      </c>
      <c r="Q3449">
        <v>0</v>
      </c>
      <c r="R3449" t="s">
        <v>112</v>
      </c>
      <c r="S3449" t="str">
        <f>"14:47:49.844"</f>
        <v>14:47:49.844</v>
      </c>
      <c r="T3449" t="str">
        <f>"14:47:49.344"</f>
        <v>14:47:49.344</v>
      </c>
      <c r="U3449" t="str">
        <f t="shared" si="159"/>
        <v>ad5732</v>
      </c>
      <c r="V3449">
        <v>0</v>
      </c>
      <c r="W3449">
        <v>0</v>
      </c>
      <c r="X3449">
        <v>1</v>
      </c>
      <c r="Z3449">
        <v>0</v>
      </c>
      <c r="AA3449">
        <v>9</v>
      </c>
      <c r="AB3449">
        <v>3</v>
      </c>
      <c r="AC3449">
        <v>0</v>
      </c>
      <c r="AD3449">
        <v>10</v>
      </c>
      <c r="AE3449">
        <v>0</v>
      </c>
      <c r="AF3449">
        <v>3</v>
      </c>
      <c r="AG3449">
        <v>2</v>
      </c>
      <c r="AH3449">
        <v>0</v>
      </c>
      <c r="AI3449" t="s">
        <v>6989</v>
      </c>
      <c r="AJ3449">
        <v>40.374391000000003</v>
      </c>
      <c r="AK3449" t="s">
        <v>6993</v>
      </c>
      <c r="AL3449">
        <v>-74.601158999999996</v>
      </c>
      <c r="AM3449">
        <v>100</v>
      </c>
      <c r="AN3449">
        <v>1700</v>
      </c>
      <c r="AO3449" t="s">
        <v>115</v>
      </c>
      <c r="AP3449">
        <v>137</v>
      </c>
      <c r="AQ3449">
        <v>3</v>
      </c>
      <c r="AR3449">
        <v>-128</v>
      </c>
      <c r="AZ3449">
        <v>3614</v>
      </c>
      <c r="BA3449">
        <v>1</v>
      </c>
      <c r="BB3449" t="str">
        <f t="shared" si="161"/>
        <v xml:space="preserve">N959MJ  </v>
      </c>
      <c r="BC3449">
        <v>1</v>
      </c>
      <c r="BE3449">
        <v>0</v>
      </c>
      <c r="BF3449">
        <v>0</v>
      </c>
      <c r="BG3449">
        <v>0</v>
      </c>
      <c r="BH3449">
        <v>1875</v>
      </c>
      <c r="BI3449">
        <v>175</v>
      </c>
      <c r="BJ3449">
        <v>1</v>
      </c>
      <c r="BK3449">
        <v>1</v>
      </c>
      <c r="BL3449">
        <v>1</v>
      </c>
      <c r="BM3449">
        <v>0</v>
      </c>
      <c r="BP3449">
        <v>0</v>
      </c>
      <c r="BQ3449">
        <v>0</v>
      </c>
      <c r="BX3449" t="str">
        <f>"14:47:49.844"</f>
        <v>14:47:49.844</v>
      </c>
      <c r="BY3449" t="str">
        <f>"845417208"</f>
        <v>845417208</v>
      </c>
      <c r="CL3449">
        <v>0</v>
      </c>
      <c r="CM3449">
        <v>2</v>
      </c>
      <c r="CN3449">
        <v>0</v>
      </c>
      <c r="CO3449">
        <v>2</v>
      </c>
      <c r="CP3449">
        <v>0</v>
      </c>
      <c r="CQ3449">
        <v>7</v>
      </c>
      <c r="CR3449" t="s">
        <v>116</v>
      </c>
      <c r="CS3449">
        <v>38</v>
      </c>
      <c r="CT3449">
        <v>0</v>
      </c>
      <c r="CU3449" t="s">
        <v>4719</v>
      </c>
      <c r="CV3449" t="s">
        <v>4720</v>
      </c>
      <c r="CY3449">
        <v>7890177</v>
      </c>
      <c r="CZ3449" t="s">
        <v>119</v>
      </c>
    </row>
    <row r="3450" spans="1:104" x14ac:dyDescent="0.25">
      <c r="A3450" t="str">
        <f>"14:47:51.031"</f>
        <v>14:47:51.031</v>
      </c>
      <c r="B3450" t="s">
        <v>108</v>
      </c>
      <c r="C3450" t="str">
        <f t="shared" si="160"/>
        <v>ffdfd3c0</v>
      </c>
      <c r="D3450" t="s">
        <v>109</v>
      </c>
      <c r="E3450">
        <v>4</v>
      </c>
      <c r="F3450">
        <v>1004</v>
      </c>
      <c r="G3450" t="s">
        <v>110</v>
      </c>
      <c r="J3450" t="s">
        <v>111</v>
      </c>
      <c r="K3450">
        <v>0</v>
      </c>
      <c r="L3450">
        <v>3</v>
      </c>
      <c r="M3450">
        <v>0</v>
      </c>
      <c r="N3450">
        <v>2</v>
      </c>
      <c r="O3450">
        <v>1</v>
      </c>
      <c r="P3450">
        <v>0</v>
      </c>
      <c r="Q3450">
        <v>0</v>
      </c>
      <c r="R3450" t="s">
        <v>112</v>
      </c>
      <c r="S3450" t="str">
        <f>"14:47:50.867"</f>
        <v>14:47:50.867</v>
      </c>
      <c r="T3450" t="str">
        <f>"14:47:50.367"</f>
        <v>14:47:50.367</v>
      </c>
      <c r="U3450" t="str">
        <f t="shared" si="159"/>
        <v>ad5732</v>
      </c>
      <c r="V3450">
        <v>0</v>
      </c>
      <c r="W3450">
        <v>0</v>
      </c>
      <c r="X3450">
        <v>1</v>
      </c>
      <c r="Z3450">
        <v>0</v>
      </c>
      <c r="AA3450">
        <v>9</v>
      </c>
      <c r="AB3450">
        <v>3</v>
      </c>
      <c r="AC3450">
        <v>0</v>
      </c>
      <c r="AD3450">
        <v>10</v>
      </c>
      <c r="AE3450">
        <v>0</v>
      </c>
      <c r="AF3450">
        <v>3</v>
      </c>
      <c r="AG3450">
        <v>2</v>
      </c>
      <c r="AH3450">
        <v>0</v>
      </c>
      <c r="AI3450" t="s">
        <v>6987</v>
      </c>
      <c r="AJ3450">
        <v>40.374434000000001</v>
      </c>
      <c r="AK3450" t="s">
        <v>6994</v>
      </c>
      <c r="AL3450">
        <v>-74.600344000000007</v>
      </c>
      <c r="AM3450">
        <v>100</v>
      </c>
      <c r="AN3450">
        <v>1700</v>
      </c>
      <c r="AO3450" t="s">
        <v>115</v>
      </c>
      <c r="AP3450">
        <v>137</v>
      </c>
      <c r="AQ3450">
        <v>8</v>
      </c>
      <c r="AR3450">
        <v>-192</v>
      </c>
      <c r="AZ3450">
        <v>3614</v>
      </c>
      <c r="BA3450">
        <v>1</v>
      </c>
      <c r="BB3450" t="str">
        <f t="shared" si="161"/>
        <v xml:space="preserve">N959MJ  </v>
      </c>
      <c r="BC3450">
        <v>1</v>
      </c>
      <c r="BE3450">
        <v>0</v>
      </c>
      <c r="BF3450">
        <v>0</v>
      </c>
      <c r="BG3450">
        <v>0</v>
      </c>
      <c r="BH3450">
        <v>1875</v>
      </c>
      <c r="BI3450">
        <v>175</v>
      </c>
      <c r="BJ3450">
        <v>1</v>
      </c>
      <c r="BK3450">
        <v>1</v>
      </c>
      <c r="BL3450">
        <v>1</v>
      </c>
      <c r="BM3450">
        <v>0</v>
      </c>
      <c r="BP3450">
        <v>0</v>
      </c>
      <c r="BQ3450">
        <v>0</v>
      </c>
      <c r="BX3450" t="str">
        <f>"14:47:50.867"</f>
        <v>14:47:50.867</v>
      </c>
      <c r="BY3450" t="str">
        <f>"867796956"</f>
        <v>867796956</v>
      </c>
      <c r="CL3450">
        <v>0</v>
      </c>
      <c r="CM3450">
        <v>2</v>
      </c>
      <c r="CN3450">
        <v>0</v>
      </c>
      <c r="CO3450">
        <v>2</v>
      </c>
      <c r="CP3450">
        <v>0</v>
      </c>
      <c r="CQ3450">
        <v>7</v>
      </c>
      <c r="CR3450" t="s">
        <v>116</v>
      </c>
      <c r="CS3450">
        <v>38</v>
      </c>
      <c r="CT3450">
        <v>0</v>
      </c>
      <c r="CU3450" t="s">
        <v>4719</v>
      </c>
      <c r="CV3450" t="s">
        <v>4720</v>
      </c>
      <c r="CY3450">
        <v>7891751</v>
      </c>
      <c r="CZ3450" t="s">
        <v>119</v>
      </c>
    </row>
    <row r="3451" spans="1:104" x14ac:dyDescent="0.25">
      <c r="A3451" t="str">
        <f>"14:47:52.039"</f>
        <v>14:47:52.039</v>
      </c>
      <c r="B3451" t="s">
        <v>108</v>
      </c>
      <c r="C3451" t="str">
        <f t="shared" si="160"/>
        <v>ffdfd3c0</v>
      </c>
      <c r="D3451" t="s">
        <v>109</v>
      </c>
      <c r="E3451">
        <v>4</v>
      </c>
      <c r="F3451">
        <v>1004</v>
      </c>
      <c r="G3451" t="s">
        <v>110</v>
      </c>
      <c r="J3451" t="s">
        <v>111</v>
      </c>
      <c r="K3451">
        <v>0</v>
      </c>
      <c r="L3451">
        <v>3</v>
      </c>
      <c r="M3451">
        <v>0</v>
      </c>
      <c r="N3451">
        <v>2</v>
      </c>
      <c r="O3451">
        <v>1</v>
      </c>
      <c r="P3451">
        <v>0</v>
      </c>
      <c r="Q3451">
        <v>0</v>
      </c>
      <c r="R3451" t="s">
        <v>112</v>
      </c>
      <c r="S3451" t="str">
        <f>"14:47:51.852"</f>
        <v>14:47:51.852</v>
      </c>
      <c r="T3451" t="str">
        <f>"14:47:51.453"</f>
        <v>14:47:51.453</v>
      </c>
      <c r="U3451" t="str">
        <f t="shared" si="159"/>
        <v>ad5732</v>
      </c>
      <c r="V3451">
        <v>0</v>
      </c>
      <c r="W3451">
        <v>0</v>
      </c>
      <c r="X3451">
        <v>1</v>
      </c>
      <c r="Z3451">
        <v>0</v>
      </c>
      <c r="AA3451">
        <v>9</v>
      </c>
      <c r="AB3451">
        <v>3</v>
      </c>
      <c r="AC3451">
        <v>0</v>
      </c>
      <c r="AD3451">
        <v>10</v>
      </c>
      <c r="AE3451">
        <v>0</v>
      </c>
      <c r="AF3451">
        <v>3</v>
      </c>
      <c r="AG3451">
        <v>2</v>
      </c>
      <c r="AH3451">
        <v>0</v>
      </c>
      <c r="AI3451" t="s">
        <v>6985</v>
      </c>
      <c r="AJ3451">
        <v>40.374519999999997</v>
      </c>
      <c r="AK3451" t="s">
        <v>6995</v>
      </c>
      <c r="AL3451">
        <v>-74.599485000000001</v>
      </c>
      <c r="AM3451">
        <v>100</v>
      </c>
      <c r="AN3451">
        <v>1700</v>
      </c>
      <c r="AO3451" t="s">
        <v>115</v>
      </c>
      <c r="AP3451">
        <v>137</v>
      </c>
      <c r="AQ3451">
        <v>14</v>
      </c>
      <c r="AR3451">
        <v>-192</v>
      </c>
      <c r="AZ3451">
        <v>3614</v>
      </c>
      <c r="BA3451">
        <v>1</v>
      </c>
      <c r="BB3451" t="str">
        <f t="shared" si="161"/>
        <v xml:space="preserve">N959MJ  </v>
      </c>
      <c r="BC3451">
        <v>1</v>
      </c>
      <c r="BE3451">
        <v>0</v>
      </c>
      <c r="BF3451">
        <v>0</v>
      </c>
      <c r="BG3451">
        <v>0</v>
      </c>
      <c r="BH3451">
        <v>1875</v>
      </c>
      <c r="BI3451">
        <v>175</v>
      </c>
      <c r="BJ3451">
        <v>1</v>
      </c>
      <c r="BK3451">
        <v>1</v>
      </c>
      <c r="BL3451">
        <v>1</v>
      </c>
      <c r="BM3451">
        <v>0</v>
      </c>
      <c r="BP3451">
        <v>0</v>
      </c>
      <c r="BQ3451">
        <v>0</v>
      </c>
      <c r="BX3451" t="str">
        <f>"14:47:51.852"</f>
        <v>14:47:51.852</v>
      </c>
      <c r="BY3451" t="str">
        <f>"852492855"</f>
        <v>852492855</v>
      </c>
      <c r="CL3451">
        <v>0</v>
      </c>
      <c r="CM3451">
        <v>2</v>
      </c>
      <c r="CN3451">
        <v>0</v>
      </c>
      <c r="CO3451">
        <v>2</v>
      </c>
      <c r="CP3451">
        <v>0</v>
      </c>
      <c r="CQ3451">
        <v>7</v>
      </c>
      <c r="CR3451" t="s">
        <v>116</v>
      </c>
      <c r="CS3451">
        <v>38</v>
      </c>
      <c r="CT3451">
        <v>1</v>
      </c>
      <c r="CU3451" t="s">
        <v>4719</v>
      </c>
      <c r="CV3451" t="s">
        <v>4720</v>
      </c>
      <c r="CY3451">
        <v>11846687</v>
      </c>
      <c r="CZ3451" t="s">
        <v>119</v>
      </c>
    </row>
    <row r="3452" spans="1:104" x14ac:dyDescent="0.25">
      <c r="A3452" t="str">
        <f>"14:47:53.055"</f>
        <v>14:47:53.055</v>
      </c>
      <c r="B3452" t="s">
        <v>108</v>
      </c>
      <c r="C3452" t="str">
        <f t="shared" si="160"/>
        <v>ffdfd3c0</v>
      </c>
      <c r="D3452" t="s">
        <v>109</v>
      </c>
      <c r="E3452">
        <v>4</v>
      </c>
      <c r="F3452">
        <v>1004</v>
      </c>
      <c r="G3452" t="s">
        <v>110</v>
      </c>
      <c r="J3452" t="s">
        <v>111</v>
      </c>
      <c r="K3452">
        <v>0</v>
      </c>
      <c r="L3452">
        <v>3</v>
      </c>
      <c r="M3452">
        <v>0</v>
      </c>
      <c r="N3452">
        <v>2</v>
      </c>
      <c r="O3452">
        <v>1</v>
      </c>
      <c r="P3452">
        <v>0</v>
      </c>
      <c r="Q3452">
        <v>0</v>
      </c>
      <c r="R3452" t="s">
        <v>112</v>
      </c>
      <c r="S3452" t="str">
        <f>"14:47:52.875"</f>
        <v>14:47:52.875</v>
      </c>
      <c r="T3452" t="str">
        <f>"14:47:52.477"</f>
        <v>14:47:52.477</v>
      </c>
      <c r="U3452" t="str">
        <f t="shared" si="159"/>
        <v>ad5732</v>
      </c>
      <c r="V3452">
        <v>0</v>
      </c>
      <c r="W3452">
        <v>0</v>
      </c>
      <c r="X3452">
        <v>1</v>
      </c>
      <c r="Z3452">
        <v>0</v>
      </c>
      <c r="AA3452">
        <v>9</v>
      </c>
      <c r="AB3452">
        <v>3</v>
      </c>
      <c r="AC3452">
        <v>0</v>
      </c>
      <c r="AD3452">
        <v>10</v>
      </c>
      <c r="AE3452">
        <v>0</v>
      </c>
      <c r="AF3452">
        <v>3</v>
      </c>
      <c r="AG3452">
        <v>2</v>
      </c>
      <c r="AH3452">
        <v>0</v>
      </c>
      <c r="AI3452" t="s">
        <v>6996</v>
      </c>
      <c r="AJ3452">
        <v>40.374606</v>
      </c>
      <c r="AK3452" t="s">
        <v>6997</v>
      </c>
      <c r="AL3452">
        <v>-74.598669999999998</v>
      </c>
      <c r="AM3452">
        <v>100</v>
      </c>
      <c r="AN3452">
        <v>1600</v>
      </c>
      <c r="AO3452" t="s">
        <v>115</v>
      </c>
      <c r="AP3452">
        <v>136</v>
      </c>
      <c r="AQ3452">
        <v>20</v>
      </c>
      <c r="AR3452">
        <v>-128</v>
      </c>
      <c r="AZ3452">
        <v>3614</v>
      </c>
      <c r="BA3452">
        <v>1</v>
      </c>
      <c r="BB3452" t="str">
        <f t="shared" si="161"/>
        <v xml:space="preserve">N959MJ  </v>
      </c>
      <c r="BC3452">
        <v>1</v>
      </c>
      <c r="BE3452">
        <v>0</v>
      </c>
      <c r="BF3452">
        <v>0</v>
      </c>
      <c r="BG3452">
        <v>0</v>
      </c>
      <c r="BH3452">
        <v>1850</v>
      </c>
      <c r="BI3452">
        <v>250</v>
      </c>
      <c r="BJ3452">
        <v>1</v>
      </c>
      <c r="BK3452">
        <v>1</v>
      </c>
      <c r="BL3452">
        <v>1</v>
      </c>
      <c r="BM3452">
        <v>0</v>
      </c>
      <c r="BP3452">
        <v>0</v>
      </c>
      <c r="BQ3452">
        <v>0</v>
      </c>
      <c r="BX3452" t="str">
        <f>"14:47:52.875"</f>
        <v>14:47:52.875</v>
      </c>
      <c r="BY3452" t="str">
        <f>"876511020"</f>
        <v>876511020</v>
      </c>
      <c r="CL3452">
        <v>0</v>
      </c>
      <c r="CM3452">
        <v>2</v>
      </c>
      <c r="CN3452">
        <v>0</v>
      </c>
      <c r="CO3452">
        <v>2</v>
      </c>
      <c r="CP3452">
        <v>0</v>
      </c>
      <c r="CQ3452">
        <v>7</v>
      </c>
      <c r="CR3452" t="s">
        <v>116</v>
      </c>
      <c r="CS3452">
        <v>38</v>
      </c>
      <c r="CT3452">
        <v>0</v>
      </c>
      <c r="CU3452" t="s">
        <v>4719</v>
      </c>
      <c r="CV3452" t="s">
        <v>4720</v>
      </c>
      <c r="CY3452">
        <v>7894689</v>
      </c>
      <c r="CZ3452" t="s">
        <v>119</v>
      </c>
    </row>
    <row r="3453" spans="1:104" x14ac:dyDescent="0.25">
      <c r="A3453" t="str">
        <f>"14:47:54.109"</f>
        <v>14:47:54.109</v>
      </c>
      <c r="B3453" t="s">
        <v>108</v>
      </c>
      <c r="C3453" t="str">
        <f t="shared" si="160"/>
        <v>ffdfd3c0</v>
      </c>
      <c r="D3453" t="s">
        <v>109</v>
      </c>
      <c r="E3453">
        <v>4</v>
      </c>
      <c r="F3453">
        <v>1004</v>
      </c>
      <c r="G3453" t="s">
        <v>110</v>
      </c>
      <c r="J3453" t="s">
        <v>111</v>
      </c>
      <c r="K3453">
        <v>0</v>
      </c>
      <c r="L3453">
        <v>3</v>
      </c>
      <c r="M3453">
        <v>0</v>
      </c>
      <c r="N3453">
        <v>2</v>
      </c>
      <c r="O3453">
        <v>1</v>
      </c>
      <c r="P3453">
        <v>0</v>
      </c>
      <c r="Q3453">
        <v>0</v>
      </c>
      <c r="R3453" t="s">
        <v>112</v>
      </c>
      <c r="S3453" t="str">
        <f>"14:47:53.898"</f>
        <v>14:47:53.898</v>
      </c>
      <c r="T3453" t="str">
        <f>"14:47:53.398"</f>
        <v>14:47:53.398</v>
      </c>
      <c r="U3453" t="str">
        <f t="shared" si="159"/>
        <v>ad5732</v>
      </c>
      <c r="V3453">
        <v>0</v>
      </c>
      <c r="W3453">
        <v>0</v>
      </c>
      <c r="X3453">
        <v>1</v>
      </c>
      <c r="Z3453">
        <v>0</v>
      </c>
      <c r="AA3453">
        <v>9</v>
      </c>
      <c r="AB3453">
        <v>3</v>
      </c>
      <c r="AC3453">
        <v>0</v>
      </c>
      <c r="AD3453">
        <v>10</v>
      </c>
      <c r="AE3453">
        <v>0</v>
      </c>
      <c r="AF3453">
        <v>3</v>
      </c>
      <c r="AG3453">
        <v>2</v>
      </c>
      <c r="AH3453">
        <v>0</v>
      </c>
      <c r="AI3453" t="s">
        <v>6998</v>
      </c>
      <c r="AJ3453">
        <v>40.374755999999998</v>
      </c>
      <c r="AK3453" t="s">
        <v>6999</v>
      </c>
      <c r="AL3453">
        <v>-74.597854999999996</v>
      </c>
      <c r="AM3453">
        <v>100</v>
      </c>
      <c r="AN3453">
        <v>1600</v>
      </c>
      <c r="AO3453" t="s">
        <v>115</v>
      </c>
      <c r="AP3453">
        <v>135</v>
      </c>
      <c r="AQ3453">
        <v>26</v>
      </c>
      <c r="AR3453">
        <v>0</v>
      </c>
      <c r="AZ3453">
        <v>3614</v>
      </c>
      <c r="BA3453">
        <v>1</v>
      </c>
      <c r="BB3453" t="str">
        <f t="shared" si="161"/>
        <v xml:space="preserve">N959MJ  </v>
      </c>
      <c r="BC3453">
        <v>1</v>
      </c>
      <c r="BE3453">
        <v>0</v>
      </c>
      <c r="BF3453">
        <v>0</v>
      </c>
      <c r="BG3453">
        <v>0</v>
      </c>
      <c r="BH3453">
        <v>1850</v>
      </c>
      <c r="BI3453">
        <v>250</v>
      </c>
      <c r="BJ3453">
        <v>1</v>
      </c>
      <c r="BK3453">
        <v>1</v>
      </c>
      <c r="BL3453">
        <v>1</v>
      </c>
      <c r="BM3453">
        <v>0</v>
      </c>
      <c r="BP3453">
        <v>0</v>
      </c>
      <c r="BQ3453">
        <v>0</v>
      </c>
      <c r="BX3453" t="str">
        <f>"14:47:53.906"</f>
        <v>14:47:53.906</v>
      </c>
      <c r="BY3453" t="str">
        <f>"903806208"</f>
        <v>903806208</v>
      </c>
      <c r="CL3453">
        <v>0</v>
      </c>
      <c r="CM3453">
        <v>2</v>
      </c>
      <c r="CN3453">
        <v>0</v>
      </c>
      <c r="CO3453">
        <v>2</v>
      </c>
      <c r="CP3453">
        <v>0</v>
      </c>
      <c r="CQ3453">
        <v>7</v>
      </c>
      <c r="CR3453" t="s">
        <v>116</v>
      </c>
      <c r="CS3453">
        <v>38</v>
      </c>
      <c r="CT3453">
        <v>0</v>
      </c>
      <c r="CU3453" t="s">
        <v>4719</v>
      </c>
      <c r="CV3453" t="s">
        <v>4720</v>
      </c>
      <c r="CY3453">
        <v>7896253</v>
      </c>
      <c r="CZ3453" t="s">
        <v>119</v>
      </c>
    </row>
    <row r="3454" spans="1:104" x14ac:dyDescent="0.25">
      <c r="A3454" t="str">
        <f>"14:47:55.070"</f>
        <v>14:47:55.070</v>
      </c>
      <c r="B3454" t="s">
        <v>108</v>
      </c>
      <c r="C3454" t="str">
        <f t="shared" si="160"/>
        <v>ffdfd3c0</v>
      </c>
      <c r="D3454" t="s">
        <v>109</v>
      </c>
      <c r="E3454">
        <v>4</v>
      </c>
      <c r="F3454">
        <v>1004</v>
      </c>
      <c r="G3454" t="s">
        <v>110</v>
      </c>
      <c r="J3454" t="s">
        <v>111</v>
      </c>
      <c r="K3454">
        <v>0</v>
      </c>
      <c r="L3454">
        <v>3</v>
      </c>
      <c r="M3454">
        <v>0</v>
      </c>
      <c r="N3454">
        <v>2</v>
      </c>
      <c r="O3454">
        <v>1</v>
      </c>
      <c r="P3454">
        <v>0</v>
      </c>
      <c r="Q3454">
        <v>0</v>
      </c>
      <c r="R3454" t="s">
        <v>112</v>
      </c>
      <c r="S3454" t="str">
        <f>"14:47:54.898"</f>
        <v>14:47:54.898</v>
      </c>
      <c r="T3454" t="str">
        <f>"14:47:54.500"</f>
        <v>14:47:54.500</v>
      </c>
      <c r="U3454" t="str">
        <f t="shared" si="159"/>
        <v>ad5732</v>
      </c>
      <c r="V3454">
        <v>0</v>
      </c>
      <c r="W3454">
        <v>0</v>
      </c>
      <c r="X3454">
        <v>1</v>
      </c>
      <c r="Z3454">
        <v>0</v>
      </c>
      <c r="AA3454">
        <v>9</v>
      </c>
      <c r="AB3454">
        <v>3</v>
      </c>
      <c r="AC3454">
        <v>0</v>
      </c>
      <c r="AD3454">
        <v>10</v>
      </c>
      <c r="AE3454">
        <v>0</v>
      </c>
      <c r="AF3454">
        <v>3</v>
      </c>
      <c r="AG3454">
        <v>2</v>
      </c>
      <c r="AH3454">
        <v>0</v>
      </c>
      <c r="AI3454" t="s">
        <v>6974</v>
      </c>
      <c r="AJ3454">
        <v>40.374906000000003</v>
      </c>
      <c r="AK3454" t="s">
        <v>7000</v>
      </c>
      <c r="AL3454">
        <v>-74.597038999999995</v>
      </c>
      <c r="AM3454">
        <v>100</v>
      </c>
      <c r="AN3454">
        <v>1600</v>
      </c>
      <c r="AO3454" t="s">
        <v>115</v>
      </c>
      <c r="AP3454">
        <v>133</v>
      </c>
      <c r="AQ3454">
        <v>34</v>
      </c>
      <c r="AR3454">
        <v>128</v>
      </c>
      <c r="AZ3454">
        <v>3614</v>
      </c>
      <c r="BA3454">
        <v>1</v>
      </c>
      <c r="BB3454" t="str">
        <f t="shared" si="161"/>
        <v xml:space="preserve">N959MJ  </v>
      </c>
      <c r="BC3454">
        <v>1</v>
      </c>
      <c r="BE3454">
        <v>0</v>
      </c>
      <c r="BF3454">
        <v>0</v>
      </c>
      <c r="BG3454">
        <v>0</v>
      </c>
      <c r="BH3454">
        <v>1875</v>
      </c>
      <c r="BI3454">
        <v>275</v>
      </c>
      <c r="BJ3454">
        <v>1</v>
      </c>
      <c r="BK3454">
        <v>1</v>
      </c>
      <c r="BL3454">
        <v>1</v>
      </c>
      <c r="BM3454">
        <v>0</v>
      </c>
      <c r="BP3454">
        <v>0</v>
      </c>
      <c r="BQ3454">
        <v>0</v>
      </c>
      <c r="BX3454" t="str">
        <f>"14:47:54.906"</f>
        <v>14:47:54.906</v>
      </c>
      <c r="BY3454" t="str">
        <f>"904886298"</f>
        <v>904886298</v>
      </c>
      <c r="CL3454">
        <v>0</v>
      </c>
      <c r="CM3454">
        <v>2</v>
      </c>
      <c r="CN3454">
        <v>0</v>
      </c>
      <c r="CO3454">
        <v>2</v>
      </c>
      <c r="CP3454">
        <v>0</v>
      </c>
      <c r="CQ3454">
        <v>7</v>
      </c>
      <c r="CR3454" t="s">
        <v>116</v>
      </c>
      <c r="CS3454">
        <v>38</v>
      </c>
      <c r="CT3454">
        <v>0</v>
      </c>
      <c r="CU3454" t="s">
        <v>4719</v>
      </c>
      <c r="CV3454" t="s">
        <v>4720</v>
      </c>
      <c r="CY3454">
        <v>7897823</v>
      </c>
      <c r="CZ3454" t="s">
        <v>119</v>
      </c>
    </row>
    <row r="3455" spans="1:104" x14ac:dyDescent="0.25">
      <c r="A3455" t="str">
        <f>"14:47:56.133"</f>
        <v>14:47:56.133</v>
      </c>
      <c r="B3455" t="s">
        <v>108</v>
      </c>
      <c r="C3455" t="str">
        <f t="shared" si="160"/>
        <v>ffdfd3c0</v>
      </c>
      <c r="D3455" t="s">
        <v>109</v>
      </c>
      <c r="E3455">
        <v>4</v>
      </c>
      <c r="F3455">
        <v>1004</v>
      </c>
      <c r="G3455" t="s">
        <v>110</v>
      </c>
      <c r="J3455" t="s">
        <v>111</v>
      </c>
      <c r="K3455">
        <v>0</v>
      </c>
      <c r="L3455">
        <v>3</v>
      </c>
      <c r="M3455">
        <v>0</v>
      </c>
      <c r="N3455">
        <v>2</v>
      </c>
      <c r="O3455">
        <v>1</v>
      </c>
      <c r="P3455">
        <v>0</v>
      </c>
      <c r="Q3455">
        <v>0</v>
      </c>
      <c r="R3455" t="s">
        <v>112</v>
      </c>
      <c r="S3455" t="str">
        <f>"14:47:55.906"</f>
        <v>14:47:55.906</v>
      </c>
      <c r="T3455" t="str">
        <f>"14:47:55.508"</f>
        <v>14:47:55.508</v>
      </c>
      <c r="U3455" t="str">
        <f t="shared" si="159"/>
        <v>ad5732</v>
      </c>
      <c r="V3455">
        <v>0</v>
      </c>
      <c r="W3455">
        <v>0</v>
      </c>
      <c r="X3455">
        <v>1</v>
      </c>
      <c r="Z3455">
        <v>0</v>
      </c>
      <c r="AA3455">
        <v>9</v>
      </c>
      <c r="AB3455">
        <v>3</v>
      </c>
      <c r="AC3455">
        <v>0</v>
      </c>
      <c r="AD3455">
        <v>10</v>
      </c>
      <c r="AE3455">
        <v>0</v>
      </c>
      <c r="AF3455">
        <v>3</v>
      </c>
      <c r="AG3455">
        <v>2</v>
      </c>
      <c r="AH3455">
        <v>0</v>
      </c>
      <c r="AI3455" t="s">
        <v>6968</v>
      </c>
      <c r="AJ3455">
        <v>40.375078000000002</v>
      </c>
      <c r="AK3455" t="s">
        <v>7001</v>
      </c>
      <c r="AL3455">
        <v>-74.596224000000007</v>
      </c>
      <c r="AM3455">
        <v>100</v>
      </c>
      <c r="AN3455">
        <v>1600</v>
      </c>
      <c r="AO3455" t="s">
        <v>115</v>
      </c>
      <c r="AP3455">
        <v>131</v>
      </c>
      <c r="AQ3455">
        <v>40</v>
      </c>
      <c r="AR3455">
        <v>320</v>
      </c>
      <c r="AZ3455">
        <v>3614</v>
      </c>
      <c r="BA3455">
        <v>1</v>
      </c>
      <c r="BB3455" t="str">
        <f t="shared" si="161"/>
        <v xml:space="preserve">N959MJ  </v>
      </c>
      <c r="BC3455">
        <v>1</v>
      </c>
      <c r="BE3455">
        <v>0</v>
      </c>
      <c r="BF3455">
        <v>0</v>
      </c>
      <c r="BG3455">
        <v>0</v>
      </c>
      <c r="BH3455">
        <v>1875</v>
      </c>
      <c r="BI3455">
        <v>275</v>
      </c>
      <c r="BJ3455">
        <v>1</v>
      </c>
      <c r="BK3455">
        <v>1</v>
      </c>
      <c r="BL3455">
        <v>1</v>
      </c>
      <c r="BM3455">
        <v>0</v>
      </c>
      <c r="BP3455">
        <v>0</v>
      </c>
      <c r="BQ3455">
        <v>0</v>
      </c>
      <c r="BX3455" t="str">
        <f>"14:47:55.906"</f>
        <v>14:47:55.906</v>
      </c>
      <c r="BY3455" t="str">
        <f>"907604854"</f>
        <v>907604854</v>
      </c>
      <c r="CL3455">
        <v>0</v>
      </c>
      <c r="CM3455">
        <v>2</v>
      </c>
      <c r="CN3455">
        <v>0</v>
      </c>
      <c r="CO3455">
        <v>2</v>
      </c>
      <c r="CP3455">
        <v>0</v>
      </c>
      <c r="CQ3455">
        <v>7</v>
      </c>
      <c r="CR3455" t="s">
        <v>116</v>
      </c>
      <c r="CS3455">
        <v>38</v>
      </c>
      <c r="CT3455">
        <v>0</v>
      </c>
      <c r="CU3455" t="s">
        <v>4719</v>
      </c>
      <c r="CV3455" t="s">
        <v>4720</v>
      </c>
      <c r="CY3455">
        <v>7899387</v>
      </c>
      <c r="CZ3455" t="s">
        <v>119</v>
      </c>
    </row>
    <row r="3456" spans="1:104" x14ac:dyDescent="0.25">
      <c r="A3456" t="str">
        <f>"14:47:57.188"</f>
        <v>14:47:57.188</v>
      </c>
      <c r="B3456" t="s">
        <v>108</v>
      </c>
      <c r="C3456" t="str">
        <f t="shared" si="160"/>
        <v>ffdfd3c0</v>
      </c>
      <c r="D3456" t="s">
        <v>109</v>
      </c>
      <c r="E3456">
        <v>4</v>
      </c>
      <c r="F3456">
        <v>1004</v>
      </c>
      <c r="G3456" t="s">
        <v>110</v>
      </c>
      <c r="J3456" t="s">
        <v>111</v>
      </c>
      <c r="K3456">
        <v>0</v>
      </c>
      <c r="L3456">
        <v>3</v>
      </c>
      <c r="M3456">
        <v>0</v>
      </c>
      <c r="N3456">
        <v>2</v>
      </c>
      <c r="O3456">
        <v>1</v>
      </c>
      <c r="P3456">
        <v>0</v>
      </c>
      <c r="Q3456">
        <v>0</v>
      </c>
      <c r="R3456" t="s">
        <v>112</v>
      </c>
      <c r="S3456" t="str">
        <f>"14:47:57.023"</f>
        <v>14:47:57.023</v>
      </c>
      <c r="T3456" t="str">
        <f>"14:47:56.523"</f>
        <v>14:47:56.523</v>
      </c>
      <c r="U3456" t="str">
        <f t="shared" si="159"/>
        <v>ad5732</v>
      </c>
      <c r="V3456">
        <v>0</v>
      </c>
      <c r="W3456">
        <v>0</v>
      </c>
      <c r="X3456">
        <v>1</v>
      </c>
      <c r="Z3456">
        <v>0</v>
      </c>
      <c r="AA3456">
        <v>9</v>
      </c>
      <c r="AB3456">
        <v>3</v>
      </c>
      <c r="AC3456">
        <v>0</v>
      </c>
      <c r="AD3456">
        <v>10</v>
      </c>
      <c r="AE3456">
        <v>0</v>
      </c>
      <c r="AF3456">
        <v>3</v>
      </c>
      <c r="AG3456">
        <v>2</v>
      </c>
      <c r="AH3456">
        <v>0</v>
      </c>
      <c r="AI3456" t="s">
        <v>6958</v>
      </c>
      <c r="AJ3456">
        <v>40.375357000000001</v>
      </c>
      <c r="AK3456" t="s">
        <v>7002</v>
      </c>
      <c r="AL3456">
        <v>-74.595365999999999</v>
      </c>
      <c r="AM3456">
        <v>100</v>
      </c>
      <c r="AN3456">
        <v>1600</v>
      </c>
      <c r="AO3456" t="s">
        <v>115</v>
      </c>
      <c r="AP3456">
        <v>128</v>
      </c>
      <c r="AQ3456">
        <v>46</v>
      </c>
      <c r="AR3456">
        <v>384</v>
      </c>
      <c r="AZ3456">
        <v>3614</v>
      </c>
      <c r="BA3456">
        <v>1</v>
      </c>
      <c r="BB3456" t="str">
        <f t="shared" si="161"/>
        <v xml:space="preserve">N959MJ  </v>
      </c>
      <c r="BC3456">
        <v>1</v>
      </c>
      <c r="BE3456">
        <v>0</v>
      </c>
      <c r="BF3456">
        <v>0</v>
      </c>
      <c r="BG3456">
        <v>0</v>
      </c>
      <c r="BH3456">
        <v>1875</v>
      </c>
      <c r="BI3456">
        <v>275</v>
      </c>
      <c r="BJ3456">
        <v>1</v>
      </c>
      <c r="BK3456">
        <v>1</v>
      </c>
      <c r="BL3456">
        <v>1</v>
      </c>
      <c r="BM3456">
        <v>0</v>
      </c>
      <c r="BP3456">
        <v>0</v>
      </c>
      <c r="BQ3456">
        <v>0</v>
      </c>
      <c r="BX3456" t="str">
        <f>"14:47:57.023"</f>
        <v>14:47:57.023</v>
      </c>
      <c r="BY3456" t="str">
        <f>"025013508"</f>
        <v>025013508</v>
      </c>
      <c r="CL3456">
        <v>0</v>
      </c>
      <c r="CM3456">
        <v>2</v>
      </c>
      <c r="CN3456">
        <v>0</v>
      </c>
      <c r="CO3456">
        <v>2</v>
      </c>
      <c r="CP3456">
        <v>0</v>
      </c>
      <c r="CQ3456">
        <v>7</v>
      </c>
      <c r="CR3456" t="s">
        <v>116</v>
      </c>
      <c r="CS3456">
        <v>38</v>
      </c>
      <c r="CT3456">
        <v>0</v>
      </c>
      <c r="CU3456" t="s">
        <v>4719</v>
      </c>
      <c r="CV3456" t="s">
        <v>4720</v>
      </c>
      <c r="CY3456">
        <v>7901021</v>
      </c>
      <c r="CZ3456" t="s">
        <v>119</v>
      </c>
    </row>
    <row r="3457" spans="1:104" x14ac:dyDescent="0.25">
      <c r="A3457" t="str">
        <f>"14:47:58.203"</f>
        <v>14:47:58.203</v>
      </c>
      <c r="B3457" t="s">
        <v>108</v>
      </c>
      <c r="C3457" t="str">
        <f t="shared" si="160"/>
        <v>ffdfd3c0</v>
      </c>
      <c r="D3457" t="s">
        <v>109</v>
      </c>
      <c r="E3457">
        <v>4</v>
      </c>
      <c r="F3457">
        <v>1004</v>
      </c>
      <c r="G3457" t="s">
        <v>110</v>
      </c>
      <c r="J3457" t="s">
        <v>111</v>
      </c>
      <c r="K3457">
        <v>0</v>
      </c>
      <c r="L3457">
        <v>3</v>
      </c>
      <c r="M3457">
        <v>0</v>
      </c>
      <c r="N3457">
        <v>2</v>
      </c>
      <c r="O3457">
        <v>1</v>
      </c>
      <c r="P3457">
        <v>0</v>
      </c>
      <c r="Q3457">
        <v>0</v>
      </c>
      <c r="R3457" t="s">
        <v>112</v>
      </c>
      <c r="S3457" t="str">
        <f>"14:47:58.047"</f>
        <v>14:47:58.047</v>
      </c>
      <c r="T3457" t="str">
        <f>"14:47:57.547"</f>
        <v>14:47:57.547</v>
      </c>
      <c r="U3457" t="str">
        <f t="shared" si="159"/>
        <v>ad5732</v>
      </c>
      <c r="V3457">
        <v>0</v>
      </c>
      <c r="W3457">
        <v>0</v>
      </c>
      <c r="X3457">
        <v>1</v>
      </c>
      <c r="Z3457">
        <v>0</v>
      </c>
      <c r="AA3457">
        <v>9</v>
      </c>
      <c r="AB3457">
        <v>3</v>
      </c>
      <c r="AC3457">
        <v>0</v>
      </c>
      <c r="AD3457">
        <v>10</v>
      </c>
      <c r="AE3457">
        <v>0</v>
      </c>
      <c r="AF3457">
        <v>3</v>
      </c>
      <c r="AG3457">
        <v>2</v>
      </c>
      <c r="AH3457">
        <v>0</v>
      </c>
      <c r="AI3457" t="s">
        <v>7003</v>
      </c>
      <c r="AJ3457">
        <v>40.375593000000002</v>
      </c>
      <c r="AK3457" t="s">
        <v>7004</v>
      </c>
      <c r="AL3457">
        <v>-74.594615000000005</v>
      </c>
      <c r="AM3457">
        <v>100</v>
      </c>
      <c r="AN3457">
        <v>1600</v>
      </c>
      <c r="AO3457" t="s">
        <v>115</v>
      </c>
      <c r="AP3457">
        <v>125</v>
      </c>
      <c r="AQ3457">
        <v>51</v>
      </c>
      <c r="AR3457">
        <v>448</v>
      </c>
      <c r="AZ3457">
        <v>3614</v>
      </c>
      <c r="BA3457">
        <v>1</v>
      </c>
      <c r="BB3457" t="str">
        <f t="shared" si="161"/>
        <v xml:space="preserve">N959MJ  </v>
      </c>
      <c r="BC3457">
        <v>1</v>
      </c>
      <c r="BE3457">
        <v>0</v>
      </c>
      <c r="BF3457">
        <v>0</v>
      </c>
      <c r="BG3457">
        <v>0</v>
      </c>
      <c r="BH3457">
        <v>1875</v>
      </c>
      <c r="BI3457">
        <v>275</v>
      </c>
      <c r="BJ3457">
        <v>1</v>
      </c>
      <c r="BK3457">
        <v>1</v>
      </c>
      <c r="BL3457">
        <v>1</v>
      </c>
      <c r="BM3457">
        <v>0</v>
      </c>
      <c r="BP3457">
        <v>0</v>
      </c>
      <c r="BQ3457">
        <v>0</v>
      </c>
      <c r="BX3457" t="str">
        <f>"14:47:58.047"</f>
        <v>14:47:58.047</v>
      </c>
      <c r="BY3457" t="str">
        <f>"047476525"</f>
        <v>047476525</v>
      </c>
      <c r="CL3457">
        <v>0</v>
      </c>
      <c r="CM3457">
        <v>2</v>
      </c>
      <c r="CN3457">
        <v>0</v>
      </c>
      <c r="CO3457">
        <v>2</v>
      </c>
      <c r="CP3457">
        <v>0</v>
      </c>
      <c r="CQ3457">
        <v>6</v>
      </c>
      <c r="CR3457" t="s">
        <v>116</v>
      </c>
      <c r="CS3457">
        <v>305</v>
      </c>
      <c r="CT3457">
        <v>3</v>
      </c>
      <c r="CU3457" t="s">
        <v>6425</v>
      </c>
      <c r="CV3457" t="s">
        <v>6426</v>
      </c>
      <c r="CY3457">
        <v>5717272</v>
      </c>
      <c r="CZ3457" t="s">
        <v>119</v>
      </c>
    </row>
    <row r="3458" spans="1:104" x14ac:dyDescent="0.25">
      <c r="A3458" t="str">
        <f>"14:47:59.156"</f>
        <v>14:47:59.156</v>
      </c>
      <c r="B3458" t="s">
        <v>108</v>
      </c>
      <c r="C3458" t="str">
        <f t="shared" si="160"/>
        <v>ffdfd3c0</v>
      </c>
      <c r="D3458" t="s">
        <v>109</v>
      </c>
      <c r="E3458">
        <v>4</v>
      </c>
      <c r="F3458">
        <v>1004</v>
      </c>
      <c r="G3458" t="s">
        <v>110</v>
      </c>
      <c r="J3458" t="s">
        <v>111</v>
      </c>
      <c r="K3458">
        <v>0</v>
      </c>
      <c r="L3458">
        <v>3</v>
      </c>
      <c r="M3458">
        <v>0</v>
      </c>
      <c r="N3458">
        <v>2</v>
      </c>
      <c r="O3458">
        <v>1</v>
      </c>
      <c r="P3458">
        <v>0</v>
      </c>
      <c r="Q3458">
        <v>0</v>
      </c>
      <c r="R3458" t="s">
        <v>112</v>
      </c>
      <c r="S3458" t="str">
        <f>"14:47:58.969"</f>
        <v>14:47:58.969</v>
      </c>
      <c r="T3458" t="str">
        <f>"14:47:58.570"</f>
        <v>14:47:58.570</v>
      </c>
      <c r="U3458" t="str">
        <f t="shared" ref="U3458:U3521" si="162">"ad5732"</f>
        <v>ad5732</v>
      </c>
      <c r="V3458">
        <v>0</v>
      </c>
      <c r="W3458">
        <v>0</v>
      </c>
      <c r="X3458">
        <v>1</v>
      </c>
      <c r="Z3458">
        <v>0</v>
      </c>
      <c r="AA3458">
        <v>9</v>
      </c>
      <c r="AB3458">
        <v>3</v>
      </c>
      <c r="AC3458">
        <v>0</v>
      </c>
      <c r="AD3458">
        <v>10</v>
      </c>
      <c r="AE3458">
        <v>0</v>
      </c>
      <c r="AF3458">
        <v>3</v>
      </c>
      <c r="AG3458">
        <v>2</v>
      </c>
      <c r="AH3458">
        <v>0</v>
      </c>
      <c r="AI3458" t="s">
        <v>7005</v>
      </c>
      <c r="AJ3458">
        <v>40.37585</v>
      </c>
      <c r="AK3458" t="s">
        <v>7006</v>
      </c>
      <c r="AL3458">
        <v>-74.593928000000005</v>
      </c>
      <c r="AM3458">
        <v>100</v>
      </c>
      <c r="AN3458">
        <v>1700</v>
      </c>
      <c r="AO3458" t="s">
        <v>115</v>
      </c>
      <c r="AP3458">
        <v>122</v>
      </c>
      <c r="AQ3458">
        <v>56</v>
      </c>
      <c r="AR3458">
        <v>448</v>
      </c>
      <c r="AZ3458">
        <v>3614</v>
      </c>
      <c r="BA3458">
        <v>1</v>
      </c>
      <c r="BB3458" t="str">
        <f t="shared" si="161"/>
        <v xml:space="preserve">N959MJ  </v>
      </c>
      <c r="BC3458">
        <v>1</v>
      </c>
      <c r="BE3458">
        <v>0</v>
      </c>
      <c r="BF3458">
        <v>0</v>
      </c>
      <c r="BG3458">
        <v>0</v>
      </c>
      <c r="BH3458">
        <v>1900</v>
      </c>
      <c r="BI3458">
        <v>200</v>
      </c>
      <c r="BJ3458">
        <v>1</v>
      </c>
      <c r="BK3458">
        <v>1</v>
      </c>
      <c r="BL3458">
        <v>1</v>
      </c>
      <c r="BM3458">
        <v>0</v>
      </c>
      <c r="BP3458">
        <v>0</v>
      </c>
      <c r="BQ3458">
        <v>0</v>
      </c>
      <c r="BX3458" t="str">
        <f>"14:47:58.977"</f>
        <v>14:47:58.977</v>
      </c>
      <c r="BY3458" t="str">
        <f>"974744148"</f>
        <v>974744148</v>
      </c>
      <c r="CL3458">
        <v>0</v>
      </c>
      <c r="CM3458">
        <v>2</v>
      </c>
      <c r="CN3458">
        <v>0</v>
      </c>
      <c r="CO3458">
        <v>2</v>
      </c>
      <c r="CP3458">
        <v>0</v>
      </c>
      <c r="CQ3458">
        <v>7</v>
      </c>
      <c r="CR3458" t="s">
        <v>116</v>
      </c>
      <c r="CS3458">
        <v>38</v>
      </c>
      <c r="CT3458">
        <v>0</v>
      </c>
      <c r="CU3458" t="s">
        <v>4719</v>
      </c>
      <c r="CV3458" t="s">
        <v>4720</v>
      </c>
      <c r="CY3458">
        <v>7903933</v>
      </c>
      <c r="CZ3458" t="s">
        <v>119</v>
      </c>
    </row>
    <row r="3459" spans="1:104" x14ac:dyDescent="0.25">
      <c r="A3459" t="str">
        <f>"14:48:00.070"</f>
        <v>14:48:00.070</v>
      </c>
      <c r="B3459" t="s">
        <v>108</v>
      </c>
      <c r="C3459" t="str">
        <f t="shared" si="160"/>
        <v>ffdfd3c0</v>
      </c>
      <c r="D3459" t="s">
        <v>109</v>
      </c>
      <c r="E3459">
        <v>4</v>
      </c>
      <c r="F3459">
        <v>1004</v>
      </c>
      <c r="G3459" t="s">
        <v>110</v>
      </c>
      <c r="J3459" t="s">
        <v>111</v>
      </c>
      <c r="K3459">
        <v>0</v>
      </c>
      <c r="L3459">
        <v>3</v>
      </c>
      <c r="M3459">
        <v>0</v>
      </c>
      <c r="N3459">
        <v>2</v>
      </c>
      <c r="O3459">
        <v>1</v>
      </c>
      <c r="P3459">
        <v>0</v>
      </c>
      <c r="Q3459">
        <v>0</v>
      </c>
      <c r="R3459" t="s">
        <v>112</v>
      </c>
      <c r="S3459" t="str">
        <f>"14:47:59.891"</f>
        <v>14:47:59.891</v>
      </c>
      <c r="T3459" t="str">
        <f>"14:47:59.594"</f>
        <v>14:47:59.594</v>
      </c>
      <c r="U3459" t="str">
        <f t="shared" si="162"/>
        <v>ad5732</v>
      </c>
      <c r="V3459">
        <v>0</v>
      </c>
      <c r="W3459">
        <v>0</v>
      </c>
      <c r="X3459">
        <v>1</v>
      </c>
      <c r="Z3459">
        <v>0</v>
      </c>
      <c r="AA3459">
        <v>9</v>
      </c>
      <c r="AB3459">
        <v>3</v>
      </c>
      <c r="AC3459">
        <v>0</v>
      </c>
      <c r="AD3459">
        <v>10</v>
      </c>
      <c r="AE3459">
        <v>0</v>
      </c>
      <c r="AF3459">
        <v>3</v>
      </c>
      <c r="AG3459">
        <v>2</v>
      </c>
      <c r="AH3459">
        <v>0</v>
      </c>
      <c r="AI3459" t="s">
        <v>7007</v>
      </c>
      <c r="AJ3459">
        <v>40.376108000000002</v>
      </c>
      <c r="AK3459" t="s">
        <v>7008</v>
      </c>
      <c r="AL3459">
        <v>-74.593305999999998</v>
      </c>
      <c r="AM3459">
        <v>100</v>
      </c>
      <c r="AN3459">
        <v>1700</v>
      </c>
      <c r="AO3459" t="s">
        <v>115</v>
      </c>
      <c r="AP3459">
        <v>120</v>
      </c>
      <c r="AQ3459">
        <v>60</v>
      </c>
      <c r="AR3459">
        <v>384</v>
      </c>
      <c r="AZ3459">
        <v>3614</v>
      </c>
      <c r="BA3459">
        <v>1</v>
      </c>
      <c r="BB3459" t="str">
        <f t="shared" si="161"/>
        <v xml:space="preserve">N959MJ  </v>
      </c>
      <c r="BC3459">
        <v>1</v>
      </c>
      <c r="BE3459">
        <v>0</v>
      </c>
      <c r="BF3459">
        <v>0</v>
      </c>
      <c r="BG3459">
        <v>0</v>
      </c>
      <c r="BH3459">
        <v>1900</v>
      </c>
      <c r="BI3459">
        <v>200</v>
      </c>
      <c r="BJ3459">
        <v>1</v>
      </c>
      <c r="BK3459">
        <v>1</v>
      </c>
      <c r="BL3459">
        <v>1</v>
      </c>
      <c r="BM3459">
        <v>0</v>
      </c>
      <c r="BP3459">
        <v>0</v>
      </c>
      <c r="BQ3459">
        <v>0</v>
      </c>
      <c r="BX3459" t="str">
        <f>"14:47:59.891"</f>
        <v>14:47:59.891</v>
      </c>
      <c r="BY3459" t="str">
        <f>"892264500"</f>
        <v>892264500</v>
      </c>
      <c r="CL3459">
        <v>0</v>
      </c>
      <c r="CM3459">
        <v>2</v>
      </c>
      <c r="CN3459">
        <v>0</v>
      </c>
      <c r="CO3459">
        <v>2</v>
      </c>
      <c r="CP3459">
        <v>0</v>
      </c>
      <c r="CQ3459">
        <v>7</v>
      </c>
      <c r="CR3459" t="s">
        <v>116</v>
      </c>
      <c r="CS3459">
        <v>38</v>
      </c>
      <c r="CT3459">
        <v>0</v>
      </c>
      <c r="CU3459" t="s">
        <v>4719</v>
      </c>
      <c r="CV3459" t="s">
        <v>4720</v>
      </c>
      <c r="CY3459">
        <v>7905435</v>
      </c>
      <c r="CZ3459" t="s">
        <v>119</v>
      </c>
    </row>
    <row r="3460" spans="1:104" x14ac:dyDescent="0.25">
      <c r="A3460" t="str">
        <f>"14:48:01.078"</f>
        <v>14:48:01.078</v>
      </c>
      <c r="B3460" t="s">
        <v>108</v>
      </c>
      <c r="C3460" t="str">
        <f t="shared" si="160"/>
        <v>ffdfd3c0</v>
      </c>
      <c r="D3460" t="s">
        <v>109</v>
      </c>
      <c r="E3460">
        <v>4</v>
      </c>
      <c r="F3460">
        <v>1004</v>
      </c>
      <c r="G3460" t="s">
        <v>110</v>
      </c>
      <c r="J3460" t="s">
        <v>111</v>
      </c>
      <c r="K3460">
        <v>0</v>
      </c>
      <c r="L3460">
        <v>3</v>
      </c>
      <c r="M3460">
        <v>0</v>
      </c>
      <c r="N3460">
        <v>2</v>
      </c>
      <c r="O3460">
        <v>1</v>
      </c>
      <c r="P3460">
        <v>0</v>
      </c>
      <c r="Q3460">
        <v>0</v>
      </c>
      <c r="R3460" t="s">
        <v>112</v>
      </c>
      <c r="S3460" t="str">
        <f>"14:48:00.883"</f>
        <v>14:48:00.883</v>
      </c>
      <c r="T3460" t="str">
        <f>"14:48:00.383"</f>
        <v>14:48:00.383</v>
      </c>
      <c r="U3460" t="str">
        <f t="shared" si="162"/>
        <v>ad5732</v>
      </c>
      <c r="V3460">
        <v>0</v>
      </c>
      <c r="W3460">
        <v>0</v>
      </c>
      <c r="X3460">
        <v>1</v>
      </c>
      <c r="Z3460">
        <v>0</v>
      </c>
      <c r="AA3460">
        <v>9</v>
      </c>
      <c r="AB3460">
        <v>3</v>
      </c>
      <c r="AC3460">
        <v>0</v>
      </c>
      <c r="AD3460">
        <v>10</v>
      </c>
      <c r="AE3460">
        <v>0</v>
      </c>
      <c r="AF3460">
        <v>3</v>
      </c>
      <c r="AG3460">
        <v>2</v>
      </c>
      <c r="AH3460">
        <v>0</v>
      </c>
      <c r="AI3460" t="s">
        <v>7009</v>
      </c>
      <c r="AJ3460">
        <v>40.376387000000001</v>
      </c>
      <c r="AK3460" t="s">
        <v>7010</v>
      </c>
      <c r="AL3460">
        <v>-74.592555000000004</v>
      </c>
      <c r="AM3460">
        <v>100</v>
      </c>
      <c r="AN3460">
        <v>1700</v>
      </c>
      <c r="AO3460" t="s">
        <v>115</v>
      </c>
      <c r="AP3460">
        <v>118</v>
      </c>
      <c r="AQ3460">
        <v>63</v>
      </c>
      <c r="AR3460">
        <v>320</v>
      </c>
      <c r="AZ3460">
        <v>3614</v>
      </c>
      <c r="BA3460">
        <v>1</v>
      </c>
      <c r="BB3460" t="str">
        <f t="shared" si="161"/>
        <v xml:space="preserve">N959MJ  </v>
      </c>
      <c r="BC3460">
        <v>1</v>
      </c>
      <c r="BE3460">
        <v>0</v>
      </c>
      <c r="BF3460">
        <v>0</v>
      </c>
      <c r="BG3460">
        <v>0</v>
      </c>
      <c r="BH3460">
        <v>1900</v>
      </c>
      <c r="BI3460">
        <v>200</v>
      </c>
      <c r="BJ3460">
        <v>1</v>
      </c>
      <c r="BK3460">
        <v>1</v>
      </c>
      <c r="BL3460">
        <v>1</v>
      </c>
      <c r="BM3460">
        <v>0</v>
      </c>
      <c r="BP3460">
        <v>0</v>
      </c>
      <c r="BQ3460">
        <v>0</v>
      </c>
      <c r="BX3460" t="str">
        <f>"14:48:00.891"</f>
        <v>14:48:00.891</v>
      </c>
      <c r="BY3460" t="str">
        <f>"890067775"</f>
        <v>890067775</v>
      </c>
      <c r="CL3460">
        <v>0</v>
      </c>
      <c r="CM3460">
        <v>2</v>
      </c>
      <c r="CN3460">
        <v>0</v>
      </c>
      <c r="CO3460">
        <v>2</v>
      </c>
      <c r="CP3460">
        <v>0</v>
      </c>
      <c r="CQ3460">
        <v>7</v>
      </c>
      <c r="CR3460" t="s">
        <v>116</v>
      </c>
      <c r="CS3460">
        <v>38</v>
      </c>
      <c r="CT3460">
        <v>0</v>
      </c>
      <c r="CU3460" t="s">
        <v>4719</v>
      </c>
      <c r="CV3460" t="s">
        <v>4720</v>
      </c>
      <c r="CY3460">
        <v>7906971</v>
      </c>
      <c r="CZ3460" t="s">
        <v>119</v>
      </c>
    </row>
    <row r="3461" spans="1:104" x14ac:dyDescent="0.25">
      <c r="A3461" t="str">
        <f>"14:48:02.594"</f>
        <v>14:48:02.594</v>
      </c>
      <c r="B3461" t="s">
        <v>108</v>
      </c>
      <c r="C3461" t="str">
        <f t="shared" si="160"/>
        <v>ffdfd3c0</v>
      </c>
      <c r="D3461" t="s">
        <v>109</v>
      </c>
      <c r="E3461">
        <v>4</v>
      </c>
      <c r="F3461">
        <v>1004</v>
      </c>
      <c r="G3461" t="s">
        <v>110</v>
      </c>
      <c r="J3461" t="s">
        <v>111</v>
      </c>
      <c r="K3461">
        <v>0</v>
      </c>
      <c r="L3461">
        <v>3</v>
      </c>
      <c r="M3461">
        <v>0</v>
      </c>
      <c r="N3461">
        <v>2</v>
      </c>
      <c r="O3461">
        <v>1</v>
      </c>
      <c r="P3461">
        <v>0</v>
      </c>
      <c r="Q3461">
        <v>0</v>
      </c>
      <c r="R3461" t="s">
        <v>112</v>
      </c>
      <c r="S3461" t="str">
        <f>"14:48:02.422"</f>
        <v>14:48:02.422</v>
      </c>
      <c r="T3461" t="str">
        <f>"14:48:01.922"</f>
        <v>14:48:01.922</v>
      </c>
      <c r="U3461" t="str">
        <f t="shared" si="162"/>
        <v>ad5732</v>
      </c>
      <c r="V3461">
        <v>0</v>
      </c>
      <c r="W3461">
        <v>0</v>
      </c>
      <c r="X3461">
        <v>1</v>
      </c>
      <c r="Z3461">
        <v>0</v>
      </c>
      <c r="AA3461">
        <v>9</v>
      </c>
      <c r="AB3461">
        <v>3</v>
      </c>
      <c r="AC3461">
        <v>0</v>
      </c>
      <c r="AD3461">
        <v>10</v>
      </c>
      <c r="AE3461">
        <v>0</v>
      </c>
      <c r="AF3461">
        <v>3</v>
      </c>
      <c r="AG3461">
        <v>2</v>
      </c>
      <c r="AH3461">
        <v>0</v>
      </c>
      <c r="AI3461" t="s">
        <v>6914</v>
      </c>
      <c r="AJ3461">
        <v>40.376859000000003</v>
      </c>
      <c r="AK3461" t="s">
        <v>7011</v>
      </c>
      <c r="AL3461">
        <v>-74.591481999999999</v>
      </c>
      <c r="AM3461">
        <v>100</v>
      </c>
      <c r="AN3461">
        <v>1700</v>
      </c>
      <c r="AO3461" t="s">
        <v>115</v>
      </c>
      <c r="AP3461">
        <v>116</v>
      </c>
      <c r="AQ3461">
        <v>66</v>
      </c>
      <c r="AR3461">
        <v>192</v>
      </c>
      <c r="AZ3461">
        <v>3614</v>
      </c>
      <c r="BA3461">
        <v>1</v>
      </c>
      <c r="BB3461" t="str">
        <f t="shared" si="161"/>
        <v xml:space="preserve">N959MJ  </v>
      </c>
      <c r="BC3461">
        <v>1</v>
      </c>
      <c r="BE3461">
        <v>0</v>
      </c>
      <c r="BF3461">
        <v>0</v>
      </c>
      <c r="BG3461">
        <v>0</v>
      </c>
      <c r="BH3461">
        <v>1900</v>
      </c>
      <c r="BI3461">
        <v>200</v>
      </c>
      <c r="BJ3461">
        <v>1</v>
      </c>
      <c r="BK3461">
        <v>1</v>
      </c>
      <c r="BL3461">
        <v>1</v>
      </c>
      <c r="BM3461">
        <v>0</v>
      </c>
      <c r="BP3461">
        <v>0</v>
      </c>
      <c r="BQ3461">
        <v>0</v>
      </c>
      <c r="BX3461" t="str">
        <f>"14:48:02.422"</f>
        <v>14:48:02.422</v>
      </c>
      <c r="BY3461" t="str">
        <f>"422121681"</f>
        <v>422121681</v>
      </c>
      <c r="CL3461">
        <v>0</v>
      </c>
      <c r="CM3461">
        <v>2</v>
      </c>
      <c r="CN3461">
        <v>0</v>
      </c>
      <c r="CO3461">
        <v>2</v>
      </c>
      <c r="CP3461">
        <v>0</v>
      </c>
      <c r="CQ3461">
        <v>5</v>
      </c>
      <c r="CR3461" t="s">
        <v>116</v>
      </c>
      <c r="CS3461">
        <v>409</v>
      </c>
      <c r="CT3461">
        <v>1</v>
      </c>
      <c r="CU3461" t="s">
        <v>5087</v>
      </c>
      <c r="CV3461" t="s">
        <v>5088</v>
      </c>
      <c r="CY3461">
        <v>4284464</v>
      </c>
      <c r="CZ3461" t="s">
        <v>119</v>
      </c>
    </row>
    <row r="3462" spans="1:104" x14ac:dyDescent="0.25">
      <c r="A3462" t="str">
        <f>"14:48:03.602"</f>
        <v>14:48:03.602</v>
      </c>
      <c r="B3462" t="s">
        <v>108</v>
      </c>
      <c r="C3462" t="str">
        <f t="shared" si="160"/>
        <v>ffdfd3c0</v>
      </c>
      <c r="D3462" t="s">
        <v>109</v>
      </c>
      <c r="E3462">
        <v>4</v>
      </c>
      <c r="F3462">
        <v>1004</v>
      </c>
      <c r="G3462" t="s">
        <v>110</v>
      </c>
      <c r="J3462" t="s">
        <v>111</v>
      </c>
      <c r="K3462">
        <v>0</v>
      </c>
      <c r="L3462">
        <v>3</v>
      </c>
      <c r="M3462">
        <v>0</v>
      </c>
      <c r="N3462">
        <v>2</v>
      </c>
      <c r="O3462">
        <v>1</v>
      </c>
      <c r="P3462">
        <v>0</v>
      </c>
      <c r="Q3462">
        <v>0</v>
      </c>
      <c r="R3462" t="s">
        <v>112</v>
      </c>
      <c r="S3462" t="str">
        <f>"14:48:03.406"</f>
        <v>14:48:03.406</v>
      </c>
      <c r="T3462" t="str">
        <f>"14:48:03.008"</f>
        <v>14:48:03.008</v>
      </c>
      <c r="U3462" t="str">
        <f t="shared" si="162"/>
        <v>ad5732</v>
      </c>
      <c r="V3462">
        <v>0</v>
      </c>
      <c r="W3462">
        <v>0</v>
      </c>
      <c r="X3462">
        <v>1</v>
      </c>
      <c r="Z3462">
        <v>0</v>
      </c>
      <c r="AA3462">
        <v>9</v>
      </c>
      <c r="AB3462">
        <v>3</v>
      </c>
      <c r="AC3462">
        <v>0</v>
      </c>
      <c r="AD3462">
        <v>10</v>
      </c>
      <c r="AE3462">
        <v>0</v>
      </c>
      <c r="AF3462">
        <v>3</v>
      </c>
      <c r="AG3462">
        <v>2</v>
      </c>
      <c r="AH3462">
        <v>0</v>
      </c>
      <c r="AI3462" t="s">
        <v>6140</v>
      </c>
      <c r="AJ3462">
        <v>40.377181</v>
      </c>
      <c r="AK3462" t="s">
        <v>7012</v>
      </c>
      <c r="AL3462">
        <v>-74.590816000000004</v>
      </c>
      <c r="AM3462">
        <v>100</v>
      </c>
      <c r="AN3462">
        <v>1700</v>
      </c>
      <c r="AO3462" t="s">
        <v>115</v>
      </c>
      <c r="AP3462">
        <v>115</v>
      </c>
      <c r="AQ3462">
        <v>67</v>
      </c>
      <c r="AR3462">
        <v>128</v>
      </c>
      <c r="AZ3462">
        <v>3614</v>
      </c>
      <c r="BA3462">
        <v>1</v>
      </c>
      <c r="BB3462" t="str">
        <f t="shared" si="161"/>
        <v xml:space="preserve">N959MJ  </v>
      </c>
      <c r="BC3462">
        <v>1</v>
      </c>
      <c r="BE3462">
        <v>0</v>
      </c>
      <c r="BF3462">
        <v>0</v>
      </c>
      <c r="BG3462">
        <v>0</v>
      </c>
      <c r="BH3462">
        <v>1900</v>
      </c>
      <c r="BI3462">
        <v>200</v>
      </c>
      <c r="BJ3462">
        <v>1</v>
      </c>
      <c r="BK3462">
        <v>1</v>
      </c>
      <c r="BL3462">
        <v>1</v>
      </c>
      <c r="BM3462">
        <v>0</v>
      </c>
      <c r="BP3462">
        <v>0</v>
      </c>
      <c r="BQ3462">
        <v>0</v>
      </c>
      <c r="BX3462" t="str">
        <f>"14:48:03.414"</f>
        <v>14:48:03.414</v>
      </c>
      <c r="BY3462" t="str">
        <f>"411610175"</f>
        <v>411610175</v>
      </c>
      <c r="CL3462">
        <v>0</v>
      </c>
      <c r="CM3462">
        <v>2</v>
      </c>
      <c r="CN3462">
        <v>0</v>
      </c>
      <c r="CO3462">
        <v>2</v>
      </c>
      <c r="CP3462">
        <v>0</v>
      </c>
      <c r="CQ3462">
        <v>7</v>
      </c>
      <c r="CR3462" t="s">
        <v>116</v>
      </c>
      <c r="CS3462">
        <v>38</v>
      </c>
      <c r="CT3462">
        <v>0</v>
      </c>
      <c r="CU3462" t="s">
        <v>4719</v>
      </c>
      <c r="CV3462" t="s">
        <v>4720</v>
      </c>
      <c r="CY3462">
        <v>7910693</v>
      </c>
      <c r="CZ3462" t="s">
        <v>119</v>
      </c>
    </row>
    <row r="3463" spans="1:104" x14ac:dyDescent="0.25">
      <c r="A3463" t="str">
        <f>"14:48:04.508"</f>
        <v>14:48:04.508</v>
      </c>
      <c r="B3463" t="s">
        <v>108</v>
      </c>
      <c r="C3463" t="str">
        <f t="shared" si="160"/>
        <v>ffdfd3c0</v>
      </c>
      <c r="D3463" t="s">
        <v>109</v>
      </c>
      <c r="E3463">
        <v>4</v>
      </c>
      <c r="F3463">
        <v>1004</v>
      </c>
      <c r="G3463" t="s">
        <v>110</v>
      </c>
      <c r="J3463" t="s">
        <v>111</v>
      </c>
      <c r="K3463">
        <v>0</v>
      </c>
      <c r="L3463">
        <v>3</v>
      </c>
      <c r="M3463">
        <v>0</v>
      </c>
      <c r="N3463">
        <v>2</v>
      </c>
      <c r="O3463">
        <v>1</v>
      </c>
      <c r="P3463">
        <v>0</v>
      </c>
      <c r="Q3463">
        <v>0</v>
      </c>
      <c r="R3463" t="s">
        <v>112</v>
      </c>
      <c r="S3463" t="str">
        <f>"14:48:04.344"</f>
        <v>14:48:04.344</v>
      </c>
      <c r="T3463" t="str">
        <f>"14:48:03.945"</f>
        <v>14:48:03.945</v>
      </c>
      <c r="U3463" t="str">
        <f t="shared" si="162"/>
        <v>ad5732</v>
      </c>
      <c r="V3463">
        <v>0</v>
      </c>
      <c r="W3463">
        <v>0</v>
      </c>
      <c r="X3463">
        <v>1</v>
      </c>
      <c r="Z3463">
        <v>0</v>
      </c>
      <c r="AA3463">
        <v>9</v>
      </c>
      <c r="AB3463">
        <v>3</v>
      </c>
      <c r="AC3463">
        <v>0</v>
      </c>
      <c r="AD3463">
        <v>10</v>
      </c>
      <c r="AE3463">
        <v>0</v>
      </c>
      <c r="AF3463">
        <v>3</v>
      </c>
      <c r="AG3463">
        <v>2</v>
      </c>
      <c r="AH3463">
        <v>0</v>
      </c>
      <c r="AI3463" t="s">
        <v>7013</v>
      </c>
      <c r="AJ3463">
        <v>40.377502</v>
      </c>
      <c r="AK3463" t="s">
        <v>7014</v>
      </c>
      <c r="AL3463">
        <v>-74.590086999999997</v>
      </c>
      <c r="AM3463">
        <v>100</v>
      </c>
      <c r="AN3463">
        <v>1700</v>
      </c>
      <c r="AO3463" t="s">
        <v>115</v>
      </c>
      <c r="AP3463">
        <v>114</v>
      </c>
      <c r="AQ3463">
        <v>68</v>
      </c>
      <c r="AR3463">
        <v>64</v>
      </c>
      <c r="AZ3463">
        <v>3614</v>
      </c>
      <c r="BA3463">
        <v>1</v>
      </c>
      <c r="BB3463" t="str">
        <f t="shared" si="161"/>
        <v xml:space="preserve">N959MJ  </v>
      </c>
      <c r="BC3463">
        <v>1</v>
      </c>
      <c r="BE3463">
        <v>0</v>
      </c>
      <c r="BF3463">
        <v>0</v>
      </c>
      <c r="BG3463">
        <v>0</v>
      </c>
      <c r="BH3463">
        <v>1900</v>
      </c>
      <c r="BI3463">
        <v>200</v>
      </c>
      <c r="BJ3463">
        <v>1</v>
      </c>
      <c r="BK3463">
        <v>1</v>
      </c>
      <c r="BL3463">
        <v>1</v>
      </c>
      <c r="BM3463">
        <v>0</v>
      </c>
      <c r="BP3463">
        <v>0</v>
      </c>
      <c r="BQ3463">
        <v>0</v>
      </c>
      <c r="BX3463" t="str">
        <f>"14:48:04.344"</f>
        <v>14:48:04.344</v>
      </c>
      <c r="BY3463" t="str">
        <f>"345514806"</f>
        <v>345514806</v>
      </c>
      <c r="CL3463">
        <v>0</v>
      </c>
      <c r="CM3463">
        <v>2</v>
      </c>
      <c r="CN3463">
        <v>0</v>
      </c>
      <c r="CO3463">
        <v>2</v>
      </c>
      <c r="CP3463">
        <v>0</v>
      </c>
      <c r="CQ3463">
        <v>7</v>
      </c>
      <c r="CR3463" t="s">
        <v>116</v>
      </c>
      <c r="CS3463">
        <v>38</v>
      </c>
      <c r="CT3463">
        <v>0</v>
      </c>
      <c r="CU3463" t="s">
        <v>4719</v>
      </c>
      <c r="CV3463" t="s">
        <v>4720</v>
      </c>
      <c r="CY3463">
        <v>7912142</v>
      </c>
      <c r="CZ3463" t="s">
        <v>119</v>
      </c>
    </row>
    <row r="3464" spans="1:104" x14ac:dyDescent="0.25">
      <c r="A3464" t="str">
        <f>"14:48:05.617"</f>
        <v>14:48:05.617</v>
      </c>
      <c r="B3464" t="s">
        <v>108</v>
      </c>
      <c r="C3464" t="str">
        <f t="shared" si="160"/>
        <v>ffdfd3c0</v>
      </c>
      <c r="D3464" t="s">
        <v>109</v>
      </c>
      <c r="E3464">
        <v>4</v>
      </c>
      <c r="F3464">
        <v>1004</v>
      </c>
      <c r="G3464" t="s">
        <v>110</v>
      </c>
      <c r="J3464" t="s">
        <v>111</v>
      </c>
      <c r="K3464">
        <v>0</v>
      </c>
      <c r="L3464">
        <v>3</v>
      </c>
      <c r="M3464">
        <v>0</v>
      </c>
      <c r="N3464">
        <v>2</v>
      </c>
      <c r="O3464">
        <v>1</v>
      </c>
      <c r="P3464">
        <v>0</v>
      </c>
      <c r="Q3464">
        <v>0</v>
      </c>
      <c r="R3464" t="s">
        <v>112</v>
      </c>
      <c r="S3464" t="str">
        <f>"14:48:05.422"</f>
        <v>14:48:05.422</v>
      </c>
      <c r="T3464" t="str">
        <f>"14:48:05.023"</f>
        <v>14:48:05.023</v>
      </c>
      <c r="U3464" t="str">
        <f t="shared" si="162"/>
        <v>ad5732</v>
      </c>
      <c r="V3464">
        <v>0</v>
      </c>
      <c r="W3464">
        <v>0</v>
      </c>
      <c r="X3464">
        <v>1</v>
      </c>
      <c r="Z3464">
        <v>0</v>
      </c>
      <c r="AA3464">
        <v>9</v>
      </c>
      <c r="AB3464">
        <v>3</v>
      </c>
      <c r="AC3464">
        <v>0</v>
      </c>
      <c r="AD3464">
        <v>10</v>
      </c>
      <c r="AE3464">
        <v>0</v>
      </c>
      <c r="AF3464">
        <v>3</v>
      </c>
      <c r="AG3464">
        <v>2</v>
      </c>
      <c r="AH3464">
        <v>0</v>
      </c>
      <c r="AI3464" t="s">
        <v>6886</v>
      </c>
      <c r="AJ3464">
        <v>40.377823999999997</v>
      </c>
      <c r="AK3464" t="s">
        <v>7015</v>
      </c>
      <c r="AL3464">
        <v>-74.589357000000007</v>
      </c>
      <c r="AM3464">
        <v>100</v>
      </c>
      <c r="AN3464">
        <v>1700</v>
      </c>
      <c r="AO3464" t="s">
        <v>115</v>
      </c>
      <c r="AP3464">
        <v>114</v>
      </c>
      <c r="AQ3464">
        <v>68</v>
      </c>
      <c r="AR3464">
        <v>-64</v>
      </c>
      <c r="AZ3464">
        <v>3614</v>
      </c>
      <c r="BA3464">
        <v>1</v>
      </c>
      <c r="BB3464" t="str">
        <f t="shared" si="161"/>
        <v xml:space="preserve">N959MJ  </v>
      </c>
      <c r="BC3464">
        <v>1</v>
      </c>
      <c r="BE3464">
        <v>0</v>
      </c>
      <c r="BF3464">
        <v>0</v>
      </c>
      <c r="BG3464">
        <v>0</v>
      </c>
      <c r="BH3464">
        <v>1900</v>
      </c>
      <c r="BI3464">
        <v>200</v>
      </c>
      <c r="BJ3464">
        <v>1</v>
      </c>
      <c r="BK3464">
        <v>1</v>
      </c>
      <c r="BL3464">
        <v>1</v>
      </c>
      <c r="BM3464">
        <v>0</v>
      </c>
      <c r="BP3464">
        <v>0</v>
      </c>
      <c r="BQ3464">
        <v>0</v>
      </c>
      <c r="BX3464" t="str">
        <f>"14:48:05.422"</f>
        <v>14:48:05.422</v>
      </c>
      <c r="BY3464" t="str">
        <f>"425239539"</f>
        <v>425239539</v>
      </c>
      <c r="CL3464">
        <v>0</v>
      </c>
      <c r="CM3464">
        <v>2</v>
      </c>
      <c r="CN3464">
        <v>0</v>
      </c>
      <c r="CO3464">
        <v>2</v>
      </c>
      <c r="CP3464">
        <v>0</v>
      </c>
      <c r="CQ3464">
        <v>7</v>
      </c>
      <c r="CR3464" t="s">
        <v>116</v>
      </c>
      <c r="CS3464">
        <v>38</v>
      </c>
      <c r="CT3464">
        <v>0</v>
      </c>
      <c r="CU3464" t="s">
        <v>4719</v>
      </c>
      <c r="CV3464" t="s">
        <v>4720</v>
      </c>
      <c r="CY3464">
        <v>7913779</v>
      </c>
      <c r="CZ3464" t="s">
        <v>119</v>
      </c>
    </row>
    <row r="3465" spans="1:104" x14ac:dyDescent="0.25">
      <c r="A3465" t="str">
        <f>"14:48:06.578"</f>
        <v>14:48:06.578</v>
      </c>
      <c r="B3465" t="s">
        <v>108</v>
      </c>
      <c r="C3465" t="str">
        <f t="shared" si="160"/>
        <v>ffdfd3c0</v>
      </c>
      <c r="D3465" t="s">
        <v>109</v>
      </c>
      <c r="E3465">
        <v>4</v>
      </c>
      <c r="F3465">
        <v>1004</v>
      </c>
      <c r="G3465" t="s">
        <v>110</v>
      </c>
      <c r="J3465" t="s">
        <v>111</v>
      </c>
      <c r="K3465">
        <v>0</v>
      </c>
      <c r="L3465">
        <v>3</v>
      </c>
      <c r="M3465">
        <v>0</v>
      </c>
      <c r="N3465">
        <v>2</v>
      </c>
      <c r="O3465">
        <v>1</v>
      </c>
      <c r="P3465">
        <v>0</v>
      </c>
      <c r="Q3465">
        <v>0</v>
      </c>
      <c r="R3465" t="s">
        <v>112</v>
      </c>
      <c r="S3465" t="str">
        <f>"14:48:06.391"</f>
        <v>14:48:06.391</v>
      </c>
      <c r="T3465" t="str">
        <f>"14:48:05.992"</f>
        <v>14:48:05.992</v>
      </c>
      <c r="U3465" t="str">
        <f t="shared" si="162"/>
        <v>ad5732</v>
      </c>
      <c r="V3465">
        <v>0</v>
      </c>
      <c r="W3465">
        <v>0</v>
      </c>
      <c r="X3465">
        <v>1</v>
      </c>
      <c r="Z3465">
        <v>0</v>
      </c>
      <c r="AA3465">
        <v>9</v>
      </c>
      <c r="AB3465">
        <v>3</v>
      </c>
      <c r="AC3465">
        <v>0</v>
      </c>
      <c r="AD3465">
        <v>10</v>
      </c>
      <c r="AE3465">
        <v>0</v>
      </c>
      <c r="AF3465">
        <v>3</v>
      </c>
      <c r="AG3465">
        <v>2</v>
      </c>
      <c r="AH3465">
        <v>0</v>
      </c>
      <c r="AI3465" t="s">
        <v>6878</v>
      </c>
      <c r="AJ3465">
        <v>40.378103000000003</v>
      </c>
      <c r="AK3465" t="s">
        <v>7016</v>
      </c>
      <c r="AL3465">
        <v>-74.588735</v>
      </c>
      <c r="AM3465">
        <v>100</v>
      </c>
      <c r="AN3465">
        <v>1700</v>
      </c>
      <c r="AO3465" t="s">
        <v>115</v>
      </c>
      <c r="AP3465">
        <v>114</v>
      </c>
      <c r="AQ3465">
        <v>68</v>
      </c>
      <c r="AR3465">
        <v>-128</v>
      </c>
      <c r="AZ3465">
        <v>3614</v>
      </c>
      <c r="BA3465">
        <v>1</v>
      </c>
      <c r="BB3465" t="str">
        <f t="shared" si="161"/>
        <v xml:space="preserve">N959MJ  </v>
      </c>
      <c r="BC3465">
        <v>1</v>
      </c>
      <c r="BE3465">
        <v>0</v>
      </c>
      <c r="BF3465">
        <v>0</v>
      </c>
      <c r="BG3465">
        <v>0</v>
      </c>
      <c r="BH3465">
        <v>1900</v>
      </c>
      <c r="BI3465">
        <v>200</v>
      </c>
      <c r="BJ3465">
        <v>1</v>
      </c>
      <c r="BK3465">
        <v>1</v>
      </c>
      <c r="BL3465">
        <v>1</v>
      </c>
      <c r="BM3465">
        <v>0</v>
      </c>
      <c r="BP3465">
        <v>0</v>
      </c>
      <c r="BQ3465">
        <v>0</v>
      </c>
      <c r="BX3465" t="str">
        <f>"14:48:06.398"</f>
        <v>14:48:06.398</v>
      </c>
      <c r="BY3465" t="str">
        <f>"395189564"</f>
        <v>395189564</v>
      </c>
      <c r="CL3465">
        <v>0</v>
      </c>
      <c r="CM3465">
        <v>2</v>
      </c>
      <c r="CN3465">
        <v>0</v>
      </c>
      <c r="CO3465">
        <v>2</v>
      </c>
      <c r="CP3465">
        <v>0</v>
      </c>
      <c r="CQ3465">
        <v>7</v>
      </c>
      <c r="CR3465" t="s">
        <v>116</v>
      </c>
      <c r="CS3465">
        <v>38</v>
      </c>
      <c r="CT3465">
        <v>0</v>
      </c>
      <c r="CU3465" t="s">
        <v>4719</v>
      </c>
      <c r="CV3465" t="s">
        <v>4720</v>
      </c>
      <c r="CY3465">
        <v>7915175</v>
      </c>
      <c r="CZ3465" t="s">
        <v>119</v>
      </c>
    </row>
    <row r="3466" spans="1:104" x14ac:dyDescent="0.25">
      <c r="A3466" t="str">
        <f>"14:48:07.539"</f>
        <v>14:48:07.539</v>
      </c>
      <c r="B3466" t="s">
        <v>108</v>
      </c>
      <c r="C3466" t="str">
        <f t="shared" ref="C3466:C3529" si="163">"ffdfd3c0"</f>
        <v>ffdfd3c0</v>
      </c>
      <c r="D3466" t="s">
        <v>109</v>
      </c>
      <c r="E3466">
        <v>4</v>
      </c>
      <c r="F3466">
        <v>1004</v>
      </c>
      <c r="G3466" t="s">
        <v>110</v>
      </c>
      <c r="J3466" t="s">
        <v>111</v>
      </c>
      <c r="K3466">
        <v>0</v>
      </c>
      <c r="L3466">
        <v>3</v>
      </c>
      <c r="M3466">
        <v>0</v>
      </c>
      <c r="N3466">
        <v>2</v>
      </c>
      <c r="O3466">
        <v>1</v>
      </c>
      <c r="P3466">
        <v>0</v>
      </c>
      <c r="Q3466">
        <v>0</v>
      </c>
      <c r="R3466" t="s">
        <v>112</v>
      </c>
      <c r="S3466" t="str">
        <f>"14:48:07.320"</f>
        <v>14:48:07.320</v>
      </c>
      <c r="T3466" t="str">
        <f>"14:48:06.922"</f>
        <v>14:48:06.922</v>
      </c>
      <c r="U3466" t="str">
        <f t="shared" si="162"/>
        <v>ad5732</v>
      </c>
      <c r="V3466">
        <v>0</v>
      </c>
      <c r="W3466">
        <v>0</v>
      </c>
      <c r="X3466">
        <v>1</v>
      </c>
      <c r="Z3466">
        <v>0</v>
      </c>
      <c r="AA3466">
        <v>9</v>
      </c>
      <c r="AB3466">
        <v>3</v>
      </c>
      <c r="AC3466">
        <v>0</v>
      </c>
      <c r="AD3466">
        <v>10</v>
      </c>
      <c r="AE3466">
        <v>0</v>
      </c>
      <c r="AF3466">
        <v>3</v>
      </c>
      <c r="AG3466">
        <v>2</v>
      </c>
      <c r="AH3466">
        <v>0</v>
      </c>
      <c r="AI3466" t="s">
        <v>6868</v>
      </c>
      <c r="AJ3466">
        <v>40.378425</v>
      </c>
      <c r="AK3466" t="s">
        <v>7017</v>
      </c>
      <c r="AL3466">
        <v>-74.588005999999993</v>
      </c>
      <c r="AM3466">
        <v>100</v>
      </c>
      <c r="AN3466">
        <v>1700</v>
      </c>
      <c r="AO3466" t="s">
        <v>115</v>
      </c>
      <c r="AP3466">
        <v>114</v>
      </c>
      <c r="AQ3466">
        <v>68</v>
      </c>
      <c r="AR3466">
        <v>-192</v>
      </c>
      <c r="AZ3466">
        <v>3614</v>
      </c>
      <c r="BA3466">
        <v>1</v>
      </c>
      <c r="BB3466" t="str">
        <f t="shared" ref="BB3466:BB3529" si="164">"N959MJ  "</f>
        <v xml:space="preserve">N959MJ  </v>
      </c>
      <c r="BC3466">
        <v>1</v>
      </c>
      <c r="BE3466">
        <v>0</v>
      </c>
      <c r="BF3466">
        <v>0</v>
      </c>
      <c r="BG3466">
        <v>0</v>
      </c>
      <c r="BH3466">
        <v>1900</v>
      </c>
      <c r="BI3466">
        <v>200</v>
      </c>
      <c r="BJ3466">
        <v>1</v>
      </c>
      <c r="BK3466">
        <v>1</v>
      </c>
      <c r="BL3466">
        <v>1</v>
      </c>
      <c r="BM3466">
        <v>0</v>
      </c>
      <c r="BP3466">
        <v>0</v>
      </c>
      <c r="BQ3466">
        <v>0</v>
      </c>
      <c r="BX3466" t="str">
        <f>"14:48:07.328"</f>
        <v>14:48:07.328</v>
      </c>
      <c r="BY3466" t="str">
        <f>"327455771"</f>
        <v>327455771</v>
      </c>
      <c r="CL3466">
        <v>0</v>
      </c>
      <c r="CM3466">
        <v>2</v>
      </c>
      <c r="CN3466">
        <v>0</v>
      </c>
      <c r="CO3466">
        <v>2</v>
      </c>
      <c r="CP3466">
        <v>0</v>
      </c>
      <c r="CQ3466">
        <v>7</v>
      </c>
      <c r="CR3466" t="s">
        <v>116</v>
      </c>
      <c r="CS3466">
        <v>38</v>
      </c>
      <c r="CT3466">
        <v>0</v>
      </c>
      <c r="CU3466" t="s">
        <v>4719</v>
      </c>
      <c r="CV3466" t="s">
        <v>4720</v>
      </c>
      <c r="CY3466">
        <v>7916560</v>
      </c>
      <c r="CZ3466" t="s">
        <v>119</v>
      </c>
    </row>
    <row r="3467" spans="1:104" x14ac:dyDescent="0.25">
      <c r="A3467" t="str">
        <f>"14:48:08.445"</f>
        <v>14:48:08.445</v>
      </c>
      <c r="B3467" t="s">
        <v>108</v>
      </c>
      <c r="C3467" t="str">
        <f t="shared" si="163"/>
        <v>ffdfd3c0</v>
      </c>
      <c r="D3467" t="s">
        <v>109</v>
      </c>
      <c r="E3467">
        <v>4</v>
      </c>
      <c r="F3467">
        <v>1004</v>
      </c>
      <c r="G3467" t="s">
        <v>110</v>
      </c>
      <c r="J3467" t="s">
        <v>111</v>
      </c>
      <c r="K3467">
        <v>0</v>
      </c>
      <c r="L3467">
        <v>3</v>
      </c>
      <c r="M3467">
        <v>0</v>
      </c>
      <c r="N3467">
        <v>2</v>
      </c>
      <c r="O3467">
        <v>1</v>
      </c>
      <c r="P3467">
        <v>0</v>
      </c>
      <c r="Q3467">
        <v>0</v>
      </c>
      <c r="R3467" t="s">
        <v>112</v>
      </c>
      <c r="S3467" t="str">
        <f>"14:48:08.250"</f>
        <v>14:48:08.250</v>
      </c>
      <c r="T3467" t="str">
        <f>"14:48:07.852"</f>
        <v>14:48:07.852</v>
      </c>
      <c r="U3467" t="str">
        <f t="shared" si="162"/>
        <v>ad5732</v>
      </c>
      <c r="V3467">
        <v>0</v>
      </c>
      <c r="W3467">
        <v>0</v>
      </c>
      <c r="X3467">
        <v>1</v>
      </c>
      <c r="Z3467">
        <v>0</v>
      </c>
      <c r="AA3467">
        <v>9</v>
      </c>
      <c r="AB3467">
        <v>3</v>
      </c>
      <c r="AC3467">
        <v>0</v>
      </c>
      <c r="AD3467">
        <v>10</v>
      </c>
      <c r="AE3467">
        <v>0</v>
      </c>
      <c r="AF3467">
        <v>3</v>
      </c>
      <c r="AG3467">
        <v>2</v>
      </c>
      <c r="AH3467">
        <v>0</v>
      </c>
      <c r="AI3467" t="s">
        <v>7018</v>
      </c>
      <c r="AJ3467">
        <v>40.378703999999999</v>
      </c>
      <c r="AK3467" t="s">
        <v>7019</v>
      </c>
      <c r="AL3467">
        <v>-74.587425999999994</v>
      </c>
      <c r="AM3467">
        <v>100</v>
      </c>
      <c r="AN3467">
        <v>1700</v>
      </c>
      <c r="AO3467" t="s">
        <v>115</v>
      </c>
      <c r="AP3467">
        <v>114</v>
      </c>
      <c r="AQ3467">
        <v>67</v>
      </c>
      <c r="AR3467">
        <v>-192</v>
      </c>
      <c r="AZ3467">
        <v>3614</v>
      </c>
      <c r="BA3467">
        <v>1</v>
      </c>
      <c r="BB3467" t="str">
        <f t="shared" si="164"/>
        <v xml:space="preserve">N959MJ  </v>
      </c>
      <c r="BC3467">
        <v>1</v>
      </c>
      <c r="BE3467">
        <v>0</v>
      </c>
      <c r="BF3467">
        <v>0</v>
      </c>
      <c r="BG3467">
        <v>0</v>
      </c>
      <c r="BH3467">
        <v>1900</v>
      </c>
      <c r="BI3467">
        <v>200</v>
      </c>
      <c r="BJ3467">
        <v>1</v>
      </c>
      <c r="BK3467">
        <v>1</v>
      </c>
      <c r="BL3467">
        <v>1</v>
      </c>
      <c r="BM3467">
        <v>0</v>
      </c>
      <c r="BP3467">
        <v>0</v>
      </c>
      <c r="BQ3467">
        <v>0</v>
      </c>
      <c r="BX3467" t="str">
        <f>"14:48:08.258"</f>
        <v>14:48:08.258</v>
      </c>
      <c r="BY3467" t="str">
        <f>"254806604"</f>
        <v>254806604</v>
      </c>
      <c r="CL3467">
        <v>0</v>
      </c>
      <c r="CM3467">
        <v>2</v>
      </c>
      <c r="CN3467">
        <v>0</v>
      </c>
      <c r="CO3467">
        <v>2</v>
      </c>
      <c r="CP3467">
        <v>0</v>
      </c>
      <c r="CQ3467">
        <v>7</v>
      </c>
      <c r="CR3467" t="s">
        <v>116</v>
      </c>
      <c r="CS3467">
        <v>38</v>
      </c>
      <c r="CT3467">
        <v>0</v>
      </c>
      <c r="CU3467" t="s">
        <v>4719</v>
      </c>
      <c r="CV3467" t="s">
        <v>4720</v>
      </c>
      <c r="CY3467">
        <v>7917962</v>
      </c>
      <c r="CZ3467" t="s">
        <v>119</v>
      </c>
    </row>
    <row r="3468" spans="1:104" x14ac:dyDescent="0.25">
      <c r="A3468" t="str">
        <f>"14:48:09.461"</f>
        <v>14:48:09.461</v>
      </c>
      <c r="B3468" t="s">
        <v>108</v>
      </c>
      <c r="C3468" t="str">
        <f t="shared" si="163"/>
        <v>ffdfd3c0</v>
      </c>
      <c r="D3468" t="s">
        <v>109</v>
      </c>
      <c r="E3468">
        <v>4</v>
      </c>
      <c r="F3468">
        <v>1004</v>
      </c>
      <c r="G3468" t="s">
        <v>110</v>
      </c>
      <c r="J3468" t="s">
        <v>111</v>
      </c>
      <c r="K3468">
        <v>0</v>
      </c>
      <c r="L3468">
        <v>3</v>
      </c>
      <c r="M3468">
        <v>0</v>
      </c>
      <c r="N3468">
        <v>2</v>
      </c>
      <c r="O3468">
        <v>1</v>
      </c>
      <c r="P3468">
        <v>0</v>
      </c>
      <c r="Q3468">
        <v>0</v>
      </c>
      <c r="R3468" t="s">
        <v>112</v>
      </c>
      <c r="S3468" t="str">
        <f>"14:48:09.258"</f>
        <v>14:48:09.258</v>
      </c>
      <c r="T3468" t="str">
        <f>"14:48:08.859"</f>
        <v>14:48:08.859</v>
      </c>
      <c r="U3468" t="str">
        <f t="shared" si="162"/>
        <v>ad5732</v>
      </c>
      <c r="V3468">
        <v>0</v>
      </c>
      <c r="W3468">
        <v>0</v>
      </c>
      <c r="X3468">
        <v>1</v>
      </c>
      <c r="Z3468">
        <v>0</v>
      </c>
      <c r="AA3468">
        <v>9</v>
      </c>
      <c r="AB3468">
        <v>3</v>
      </c>
      <c r="AC3468">
        <v>0</v>
      </c>
      <c r="AD3468">
        <v>10</v>
      </c>
      <c r="AE3468">
        <v>0</v>
      </c>
      <c r="AF3468">
        <v>3</v>
      </c>
      <c r="AG3468">
        <v>2</v>
      </c>
      <c r="AH3468">
        <v>0</v>
      </c>
      <c r="AI3468" t="s">
        <v>6853</v>
      </c>
      <c r="AJ3468">
        <v>40.378982999999998</v>
      </c>
      <c r="AK3468" t="s">
        <v>7020</v>
      </c>
      <c r="AL3468">
        <v>-74.586740000000006</v>
      </c>
      <c r="AM3468">
        <v>100</v>
      </c>
      <c r="AN3468">
        <v>1700</v>
      </c>
      <c r="AO3468" t="s">
        <v>115</v>
      </c>
      <c r="AP3468">
        <v>115</v>
      </c>
      <c r="AQ3468">
        <v>67</v>
      </c>
      <c r="AR3468">
        <v>-256</v>
      </c>
      <c r="AZ3468">
        <v>3614</v>
      </c>
      <c r="BA3468">
        <v>1</v>
      </c>
      <c r="BB3468" t="str">
        <f t="shared" si="164"/>
        <v xml:space="preserve">N959MJ  </v>
      </c>
      <c r="BC3468">
        <v>1</v>
      </c>
      <c r="BE3468">
        <v>0</v>
      </c>
      <c r="BF3468">
        <v>0</v>
      </c>
      <c r="BG3468">
        <v>0</v>
      </c>
      <c r="BH3468">
        <v>1900</v>
      </c>
      <c r="BI3468">
        <v>200</v>
      </c>
      <c r="BJ3468">
        <v>1</v>
      </c>
      <c r="BK3468">
        <v>1</v>
      </c>
      <c r="BL3468">
        <v>1</v>
      </c>
      <c r="BM3468">
        <v>0</v>
      </c>
      <c r="BP3468">
        <v>0</v>
      </c>
      <c r="BQ3468">
        <v>0</v>
      </c>
      <c r="BX3468" t="str">
        <f>"14:48:09.266"</f>
        <v>14:48:09.266</v>
      </c>
      <c r="BY3468" t="str">
        <f>"264078928"</f>
        <v>264078928</v>
      </c>
      <c r="CL3468">
        <v>0</v>
      </c>
      <c r="CM3468">
        <v>2</v>
      </c>
      <c r="CN3468">
        <v>0</v>
      </c>
      <c r="CO3468">
        <v>2</v>
      </c>
      <c r="CP3468">
        <v>0</v>
      </c>
      <c r="CQ3468">
        <v>7</v>
      </c>
      <c r="CR3468" t="s">
        <v>116</v>
      </c>
      <c r="CS3468">
        <v>38</v>
      </c>
      <c r="CT3468">
        <v>0</v>
      </c>
      <c r="CU3468" t="s">
        <v>4719</v>
      </c>
      <c r="CV3468" t="s">
        <v>4720</v>
      </c>
      <c r="CY3468">
        <v>7919568</v>
      </c>
      <c r="CZ3468" t="s">
        <v>119</v>
      </c>
    </row>
    <row r="3469" spans="1:104" x14ac:dyDescent="0.25">
      <c r="A3469" t="str">
        <f>"14:48:10.320"</f>
        <v>14:48:10.320</v>
      </c>
      <c r="B3469" t="s">
        <v>108</v>
      </c>
      <c r="C3469" t="str">
        <f t="shared" si="163"/>
        <v>ffdfd3c0</v>
      </c>
      <c r="D3469" t="s">
        <v>109</v>
      </c>
      <c r="E3469">
        <v>4</v>
      </c>
      <c r="F3469">
        <v>1004</v>
      </c>
      <c r="G3469" t="s">
        <v>110</v>
      </c>
      <c r="J3469" t="s">
        <v>111</v>
      </c>
      <c r="K3469">
        <v>0</v>
      </c>
      <c r="L3469">
        <v>3</v>
      </c>
      <c r="M3469">
        <v>0</v>
      </c>
      <c r="N3469">
        <v>2</v>
      </c>
      <c r="O3469">
        <v>1</v>
      </c>
      <c r="P3469">
        <v>0</v>
      </c>
      <c r="Q3469">
        <v>0</v>
      </c>
      <c r="R3469" t="s">
        <v>112</v>
      </c>
      <c r="S3469" t="str">
        <f>"14:48:10.141"</f>
        <v>14:48:10.141</v>
      </c>
      <c r="T3469" t="str">
        <f>"14:48:09.742"</f>
        <v>14:48:09.742</v>
      </c>
      <c r="U3469" t="str">
        <f t="shared" si="162"/>
        <v>ad5732</v>
      </c>
      <c r="V3469">
        <v>0</v>
      </c>
      <c r="W3469">
        <v>0</v>
      </c>
      <c r="X3469">
        <v>1</v>
      </c>
      <c r="Z3469">
        <v>0</v>
      </c>
      <c r="AA3469">
        <v>9</v>
      </c>
      <c r="AB3469">
        <v>3</v>
      </c>
      <c r="AC3469">
        <v>0</v>
      </c>
      <c r="AD3469">
        <v>10</v>
      </c>
      <c r="AE3469">
        <v>0</v>
      </c>
      <c r="AF3469">
        <v>3</v>
      </c>
      <c r="AG3469">
        <v>2</v>
      </c>
      <c r="AH3469">
        <v>0</v>
      </c>
      <c r="AI3469" t="s">
        <v>7021</v>
      </c>
      <c r="AJ3469">
        <v>40.379283000000001</v>
      </c>
      <c r="AK3469" t="s">
        <v>7022</v>
      </c>
      <c r="AL3469">
        <v>-74.586117000000002</v>
      </c>
      <c r="AM3469">
        <v>100</v>
      </c>
      <c r="AN3469">
        <v>1700</v>
      </c>
      <c r="AO3469" t="s">
        <v>115</v>
      </c>
      <c r="AP3469">
        <v>115</v>
      </c>
      <c r="AQ3469">
        <v>66</v>
      </c>
      <c r="AR3469">
        <v>-256</v>
      </c>
      <c r="AZ3469">
        <v>3614</v>
      </c>
      <c r="BA3469">
        <v>1</v>
      </c>
      <c r="BB3469" t="str">
        <f t="shared" si="164"/>
        <v xml:space="preserve">N959MJ  </v>
      </c>
      <c r="BC3469">
        <v>1</v>
      </c>
      <c r="BE3469">
        <v>0</v>
      </c>
      <c r="BF3469">
        <v>0</v>
      </c>
      <c r="BG3469">
        <v>0</v>
      </c>
      <c r="BH3469">
        <v>1900</v>
      </c>
      <c r="BI3469">
        <v>200</v>
      </c>
      <c r="BJ3469">
        <v>1</v>
      </c>
      <c r="BK3469">
        <v>1</v>
      </c>
      <c r="BL3469">
        <v>1</v>
      </c>
      <c r="BM3469">
        <v>0</v>
      </c>
      <c r="BP3469">
        <v>0</v>
      </c>
      <c r="BQ3469">
        <v>0</v>
      </c>
      <c r="BX3469" t="str">
        <f>"14:48:10.148"</f>
        <v>14:48:10.148</v>
      </c>
      <c r="BY3469" t="str">
        <f>"147192220"</f>
        <v>147192220</v>
      </c>
      <c r="CL3469">
        <v>0</v>
      </c>
      <c r="CM3469">
        <v>2</v>
      </c>
      <c r="CN3469">
        <v>0</v>
      </c>
      <c r="CO3469">
        <v>2</v>
      </c>
      <c r="CP3469">
        <v>0</v>
      </c>
      <c r="CQ3469">
        <v>7</v>
      </c>
      <c r="CR3469" t="s">
        <v>116</v>
      </c>
      <c r="CS3469">
        <v>38</v>
      </c>
      <c r="CT3469">
        <v>0</v>
      </c>
      <c r="CU3469" t="s">
        <v>4719</v>
      </c>
      <c r="CV3469" t="s">
        <v>4720</v>
      </c>
      <c r="CY3469">
        <v>7920974</v>
      </c>
      <c r="CZ3469" t="s">
        <v>119</v>
      </c>
    </row>
    <row r="3470" spans="1:104" x14ac:dyDescent="0.25">
      <c r="A3470" t="str">
        <f>"14:48:11.273"</f>
        <v>14:48:11.273</v>
      </c>
      <c r="B3470" t="s">
        <v>108</v>
      </c>
      <c r="C3470" t="str">
        <f t="shared" si="163"/>
        <v>ffdfd3c0</v>
      </c>
      <c r="D3470" t="s">
        <v>109</v>
      </c>
      <c r="E3470">
        <v>4</v>
      </c>
      <c r="F3470">
        <v>1004</v>
      </c>
      <c r="G3470" t="s">
        <v>110</v>
      </c>
      <c r="J3470" t="s">
        <v>111</v>
      </c>
      <c r="K3470">
        <v>0</v>
      </c>
      <c r="L3470">
        <v>3</v>
      </c>
      <c r="M3470">
        <v>0</v>
      </c>
      <c r="N3470">
        <v>2</v>
      </c>
      <c r="O3470">
        <v>1</v>
      </c>
      <c r="P3470">
        <v>0</v>
      </c>
      <c r="Q3470">
        <v>0</v>
      </c>
      <c r="R3470" t="s">
        <v>112</v>
      </c>
      <c r="S3470" t="str">
        <f>"14:48:11.078"</f>
        <v>14:48:11.078</v>
      </c>
      <c r="T3470" t="str">
        <f>"14:48:10.680"</f>
        <v>14:48:10.680</v>
      </c>
      <c r="U3470" t="str">
        <f t="shared" si="162"/>
        <v>ad5732</v>
      </c>
      <c r="V3470">
        <v>0</v>
      </c>
      <c r="W3470">
        <v>0</v>
      </c>
      <c r="X3470">
        <v>1</v>
      </c>
      <c r="Z3470">
        <v>0</v>
      </c>
      <c r="AA3470">
        <v>9</v>
      </c>
      <c r="AB3470">
        <v>3</v>
      </c>
      <c r="AC3470">
        <v>0</v>
      </c>
      <c r="AD3470">
        <v>10</v>
      </c>
      <c r="AE3470">
        <v>0</v>
      </c>
      <c r="AF3470">
        <v>3</v>
      </c>
      <c r="AG3470">
        <v>2</v>
      </c>
      <c r="AH3470">
        <v>0</v>
      </c>
      <c r="AI3470" t="s">
        <v>7023</v>
      </c>
      <c r="AJ3470">
        <v>40.379541000000003</v>
      </c>
      <c r="AK3470" t="s">
        <v>7024</v>
      </c>
      <c r="AL3470">
        <v>-74.585494999999995</v>
      </c>
      <c r="AM3470">
        <v>100</v>
      </c>
      <c r="AN3470">
        <v>1700</v>
      </c>
      <c r="AO3470" t="s">
        <v>115</v>
      </c>
      <c r="AP3470">
        <v>115</v>
      </c>
      <c r="AQ3470">
        <v>66</v>
      </c>
      <c r="AR3470">
        <v>-192</v>
      </c>
      <c r="AZ3470">
        <v>3614</v>
      </c>
      <c r="BA3470">
        <v>1</v>
      </c>
      <c r="BB3470" t="str">
        <f t="shared" si="164"/>
        <v xml:space="preserve">N959MJ  </v>
      </c>
      <c r="BC3470">
        <v>1</v>
      </c>
      <c r="BE3470">
        <v>0</v>
      </c>
      <c r="BF3470">
        <v>0</v>
      </c>
      <c r="BG3470">
        <v>0</v>
      </c>
      <c r="BH3470">
        <v>1900</v>
      </c>
      <c r="BI3470">
        <v>200</v>
      </c>
      <c r="BJ3470">
        <v>1</v>
      </c>
      <c r="BK3470">
        <v>1</v>
      </c>
      <c r="BL3470">
        <v>1</v>
      </c>
      <c r="BM3470">
        <v>0</v>
      </c>
      <c r="BP3470">
        <v>0</v>
      </c>
      <c r="BQ3470">
        <v>0</v>
      </c>
      <c r="BX3470" t="str">
        <f>"14:48:11.078"</f>
        <v>14:48:11.078</v>
      </c>
      <c r="BY3470" t="str">
        <f>"081096810"</f>
        <v>081096810</v>
      </c>
      <c r="CL3470">
        <v>0</v>
      </c>
      <c r="CM3470">
        <v>2</v>
      </c>
      <c r="CN3470">
        <v>0</v>
      </c>
      <c r="CO3470">
        <v>2</v>
      </c>
      <c r="CP3470">
        <v>0</v>
      </c>
      <c r="CQ3470">
        <v>7</v>
      </c>
      <c r="CR3470" t="s">
        <v>116</v>
      </c>
      <c r="CS3470">
        <v>38</v>
      </c>
      <c r="CT3470">
        <v>0</v>
      </c>
      <c r="CU3470" t="s">
        <v>4719</v>
      </c>
      <c r="CV3470" t="s">
        <v>4720</v>
      </c>
      <c r="CY3470">
        <v>7922297</v>
      </c>
      <c r="CZ3470" t="s">
        <v>119</v>
      </c>
    </row>
    <row r="3471" spans="1:104" x14ac:dyDescent="0.25">
      <c r="A3471" t="str">
        <f>"14:48:12.289"</f>
        <v>14:48:12.289</v>
      </c>
      <c r="B3471" t="s">
        <v>108</v>
      </c>
      <c r="C3471" t="str">
        <f t="shared" si="163"/>
        <v>ffdfd3c0</v>
      </c>
      <c r="D3471" t="s">
        <v>109</v>
      </c>
      <c r="E3471">
        <v>4</v>
      </c>
      <c r="F3471">
        <v>1004</v>
      </c>
      <c r="G3471" t="s">
        <v>110</v>
      </c>
      <c r="J3471" t="s">
        <v>111</v>
      </c>
      <c r="K3471">
        <v>0</v>
      </c>
      <c r="L3471">
        <v>3</v>
      </c>
      <c r="M3471">
        <v>0</v>
      </c>
      <c r="N3471">
        <v>2</v>
      </c>
      <c r="O3471">
        <v>1</v>
      </c>
      <c r="P3471">
        <v>0</v>
      </c>
      <c r="Q3471">
        <v>0</v>
      </c>
      <c r="R3471" t="s">
        <v>112</v>
      </c>
      <c r="S3471" t="str">
        <f>"14:48:12.109"</f>
        <v>14:48:12.109</v>
      </c>
      <c r="T3471" t="str">
        <f>"14:48:11.609"</f>
        <v>14:48:11.609</v>
      </c>
      <c r="U3471" t="str">
        <f t="shared" si="162"/>
        <v>ad5732</v>
      </c>
      <c r="V3471">
        <v>0</v>
      </c>
      <c r="W3471">
        <v>0</v>
      </c>
      <c r="X3471">
        <v>1</v>
      </c>
      <c r="Z3471">
        <v>0</v>
      </c>
      <c r="AA3471">
        <v>9</v>
      </c>
      <c r="AB3471">
        <v>3</v>
      </c>
      <c r="AC3471">
        <v>0</v>
      </c>
      <c r="AD3471">
        <v>10</v>
      </c>
      <c r="AE3471">
        <v>0</v>
      </c>
      <c r="AF3471">
        <v>3</v>
      </c>
      <c r="AG3471">
        <v>2</v>
      </c>
      <c r="AH3471">
        <v>0</v>
      </c>
      <c r="AI3471" t="s">
        <v>6829</v>
      </c>
      <c r="AJ3471">
        <v>40.379883999999997</v>
      </c>
      <c r="AK3471" t="s">
        <v>7025</v>
      </c>
      <c r="AL3471">
        <v>-74.584807999999995</v>
      </c>
      <c r="AM3471">
        <v>100</v>
      </c>
      <c r="AN3471">
        <v>1700</v>
      </c>
      <c r="AO3471" t="s">
        <v>115</v>
      </c>
      <c r="AP3471">
        <v>115</v>
      </c>
      <c r="AQ3471">
        <v>65</v>
      </c>
      <c r="AR3471">
        <v>-128</v>
      </c>
      <c r="AZ3471">
        <v>3614</v>
      </c>
      <c r="BA3471">
        <v>1</v>
      </c>
      <c r="BB3471" t="str">
        <f t="shared" si="164"/>
        <v xml:space="preserve">N959MJ  </v>
      </c>
      <c r="BC3471">
        <v>1</v>
      </c>
      <c r="BE3471">
        <v>0</v>
      </c>
      <c r="BF3471">
        <v>0</v>
      </c>
      <c r="BG3471">
        <v>0</v>
      </c>
      <c r="BH3471">
        <v>1900</v>
      </c>
      <c r="BI3471">
        <v>200</v>
      </c>
      <c r="BJ3471">
        <v>1</v>
      </c>
      <c r="BK3471">
        <v>1</v>
      </c>
      <c r="BL3471">
        <v>1</v>
      </c>
      <c r="BM3471">
        <v>0</v>
      </c>
      <c r="BP3471">
        <v>0</v>
      </c>
      <c r="BQ3471">
        <v>0</v>
      </c>
      <c r="BX3471" t="str">
        <f>"14:48:12.109"</f>
        <v>14:48:12.109</v>
      </c>
      <c r="BY3471" t="str">
        <f>"111668719"</f>
        <v>111668719</v>
      </c>
      <c r="CL3471">
        <v>0</v>
      </c>
      <c r="CM3471">
        <v>2</v>
      </c>
      <c r="CN3471">
        <v>0</v>
      </c>
      <c r="CO3471">
        <v>2</v>
      </c>
      <c r="CP3471">
        <v>0</v>
      </c>
      <c r="CQ3471">
        <v>7</v>
      </c>
      <c r="CR3471" t="s">
        <v>116</v>
      </c>
      <c r="CS3471">
        <v>38</v>
      </c>
      <c r="CT3471">
        <v>0</v>
      </c>
      <c r="CU3471" t="s">
        <v>4719</v>
      </c>
      <c r="CV3471" t="s">
        <v>4720</v>
      </c>
      <c r="CY3471">
        <v>7923843</v>
      </c>
      <c r="CZ3471" t="s">
        <v>119</v>
      </c>
    </row>
    <row r="3472" spans="1:104" x14ac:dyDescent="0.25">
      <c r="A3472" t="str">
        <f>"14:48:13.344"</f>
        <v>14:48:13.344</v>
      </c>
      <c r="B3472" t="s">
        <v>108</v>
      </c>
      <c r="C3472" t="str">
        <f t="shared" si="163"/>
        <v>ffdfd3c0</v>
      </c>
      <c r="D3472" t="s">
        <v>109</v>
      </c>
      <c r="E3472">
        <v>4</v>
      </c>
      <c r="F3472">
        <v>1004</v>
      </c>
      <c r="G3472" t="s">
        <v>110</v>
      </c>
      <c r="J3472" t="s">
        <v>111</v>
      </c>
      <c r="K3472">
        <v>0</v>
      </c>
      <c r="L3472">
        <v>3</v>
      </c>
      <c r="M3472">
        <v>0</v>
      </c>
      <c r="N3472">
        <v>2</v>
      </c>
      <c r="O3472">
        <v>1</v>
      </c>
      <c r="P3472">
        <v>0</v>
      </c>
      <c r="Q3472">
        <v>0</v>
      </c>
      <c r="R3472" t="s">
        <v>112</v>
      </c>
      <c r="S3472" t="str">
        <f>"14:48:13.156"</f>
        <v>14:48:13.156</v>
      </c>
      <c r="T3472" t="str">
        <f>"14:48:12.656"</f>
        <v>14:48:12.656</v>
      </c>
      <c r="U3472" t="str">
        <f t="shared" si="162"/>
        <v>ad5732</v>
      </c>
      <c r="V3472">
        <v>0</v>
      </c>
      <c r="W3472">
        <v>0</v>
      </c>
      <c r="X3472">
        <v>1</v>
      </c>
      <c r="Z3472">
        <v>0</v>
      </c>
      <c r="AA3472">
        <v>9</v>
      </c>
      <c r="AB3472">
        <v>3</v>
      </c>
      <c r="AC3472">
        <v>0</v>
      </c>
      <c r="AD3472">
        <v>10</v>
      </c>
      <c r="AE3472">
        <v>0</v>
      </c>
      <c r="AF3472">
        <v>3</v>
      </c>
      <c r="AG3472">
        <v>2</v>
      </c>
      <c r="AH3472">
        <v>0</v>
      </c>
      <c r="AI3472" t="s">
        <v>7026</v>
      </c>
      <c r="AJ3472">
        <v>40.380206000000001</v>
      </c>
      <c r="AK3472" t="s">
        <v>7027</v>
      </c>
      <c r="AL3472">
        <v>-74.583993000000007</v>
      </c>
      <c r="AM3472">
        <v>100</v>
      </c>
      <c r="AN3472">
        <v>1700</v>
      </c>
      <c r="AO3472" t="s">
        <v>115</v>
      </c>
      <c r="AP3472">
        <v>116</v>
      </c>
      <c r="AQ3472">
        <v>65</v>
      </c>
      <c r="AR3472">
        <v>-64</v>
      </c>
      <c r="AZ3472">
        <v>3614</v>
      </c>
      <c r="BA3472">
        <v>1</v>
      </c>
      <c r="BB3472" t="str">
        <f t="shared" si="164"/>
        <v xml:space="preserve">N959MJ  </v>
      </c>
      <c r="BC3472">
        <v>1</v>
      </c>
      <c r="BE3472">
        <v>0</v>
      </c>
      <c r="BF3472">
        <v>0</v>
      </c>
      <c r="BG3472">
        <v>0</v>
      </c>
      <c r="BH3472">
        <v>1875</v>
      </c>
      <c r="BI3472">
        <v>175</v>
      </c>
      <c r="BJ3472">
        <v>1</v>
      </c>
      <c r="BK3472">
        <v>1</v>
      </c>
      <c r="BL3472">
        <v>1</v>
      </c>
      <c r="BM3472">
        <v>0</v>
      </c>
      <c r="BP3472">
        <v>0</v>
      </c>
      <c r="BQ3472">
        <v>0</v>
      </c>
      <c r="BX3472" t="str">
        <f>"14:48:13.164"</f>
        <v>14:48:13.164</v>
      </c>
      <c r="BY3472" t="str">
        <f>"161978178"</f>
        <v>161978178</v>
      </c>
      <c r="CL3472">
        <v>0</v>
      </c>
      <c r="CM3472">
        <v>2</v>
      </c>
      <c r="CN3472">
        <v>0</v>
      </c>
      <c r="CO3472">
        <v>2</v>
      </c>
      <c r="CP3472">
        <v>0</v>
      </c>
      <c r="CQ3472">
        <v>6</v>
      </c>
      <c r="CR3472" t="s">
        <v>116</v>
      </c>
      <c r="CS3472">
        <v>305</v>
      </c>
      <c r="CT3472">
        <v>3</v>
      </c>
      <c r="CU3472" t="s">
        <v>6425</v>
      </c>
      <c r="CV3472" t="s">
        <v>6426</v>
      </c>
      <c r="CY3472">
        <v>5747320</v>
      </c>
      <c r="CZ3472" t="s">
        <v>119</v>
      </c>
    </row>
    <row r="3473" spans="1:104" x14ac:dyDescent="0.25">
      <c r="A3473" t="str">
        <f>"14:48:14.305"</f>
        <v>14:48:14.305</v>
      </c>
      <c r="B3473" t="s">
        <v>108</v>
      </c>
      <c r="C3473" t="str">
        <f t="shared" si="163"/>
        <v>ffdfd3c0</v>
      </c>
      <c r="D3473" t="s">
        <v>109</v>
      </c>
      <c r="E3473">
        <v>4</v>
      </c>
      <c r="F3473">
        <v>1004</v>
      </c>
      <c r="G3473" t="s">
        <v>110</v>
      </c>
      <c r="J3473" t="s">
        <v>111</v>
      </c>
      <c r="K3473">
        <v>0</v>
      </c>
      <c r="L3473">
        <v>3</v>
      </c>
      <c r="M3473">
        <v>0</v>
      </c>
      <c r="N3473">
        <v>2</v>
      </c>
      <c r="O3473">
        <v>1</v>
      </c>
      <c r="P3473">
        <v>0</v>
      </c>
      <c r="Q3473">
        <v>0</v>
      </c>
      <c r="R3473" t="s">
        <v>112</v>
      </c>
      <c r="S3473" t="str">
        <f>"14:48:14.141"</f>
        <v>14:48:14.141</v>
      </c>
      <c r="T3473" t="str">
        <f>"14:48:13.742"</f>
        <v>14:48:13.742</v>
      </c>
      <c r="U3473" t="str">
        <f t="shared" si="162"/>
        <v>ad5732</v>
      </c>
      <c r="V3473">
        <v>0</v>
      </c>
      <c r="W3473">
        <v>0</v>
      </c>
      <c r="X3473">
        <v>1</v>
      </c>
      <c r="Z3473">
        <v>0</v>
      </c>
      <c r="AA3473">
        <v>9</v>
      </c>
      <c r="AB3473">
        <v>3</v>
      </c>
      <c r="AC3473">
        <v>0</v>
      </c>
      <c r="AD3473">
        <v>10</v>
      </c>
      <c r="AE3473">
        <v>0</v>
      </c>
      <c r="AF3473">
        <v>3</v>
      </c>
      <c r="AG3473">
        <v>2</v>
      </c>
      <c r="AH3473">
        <v>0</v>
      </c>
      <c r="AI3473" t="s">
        <v>6816</v>
      </c>
      <c r="AJ3473">
        <v>40.380485</v>
      </c>
      <c r="AK3473" t="s">
        <v>7028</v>
      </c>
      <c r="AL3473">
        <v>-74.583305999999993</v>
      </c>
      <c r="AM3473">
        <v>100</v>
      </c>
      <c r="AN3473">
        <v>1700</v>
      </c>
      <c r="AO3473" t="s">
        <v>115</v>
      </c>
      <c r="AP3473">
        <v>116</v>
      </c>
      <c r="AQ3473">
        <v>64</v>
      </c>
      <c r="AR3473">
        <v>0</v>
      </c>
      <c r="AZ3473">
        <v>3614</v>
      </c>
      <c r="BA3473">
        <v>1</v>
      </c>
      <c r="BB3473" t="str">
        <f t="shared" si="164"/>
        <v xml:space="preserve">N959MJ  </v>
      </c>
      <c r="BC3473">
        <v>1</v>
      </c>
      <c r="BE3473">
        <v>0</v>
      </c>
      <c r="BF3473">
        <v>0</v>
      </c>
      <c r="BG3473">
        <v>0</v>
      </c>
      <c r="BH3473">
        <v>1875</v>
      </c>
      <c r="BI3473">
        <v>175</v>
      </c>
      <c r="BJ3473">
        <v>1</v>
      </c>
      <c r="BK3473">
        <v>1</v>
      </c>
      <c r="BL3473">
        <v>1</v>
      </c>
      <c r="BM3473">
        <v>0</v>
      </c>
      <c r="BP3473">
        <v>0</v>
      </c>
      <c r="BQ3473">
        <v>0</v>
      </c>
      <c r="BX3473" t="str">
        <f>"14:48:14.141"</f>
        <v>14:48:14.141</v>
      </c>
      <c r="BY3473" t="str">
        <f>"143320862"</f>
        <v>143320862</v>
      </c>
      <c r="CL3473">
        <v>0</v>
      </c>
      <c r="CM3473">
        <v>2</v>
      </c>
      <c r="CN3473">
        <v>0</v>
      </c>
      <c r="CO3473">
        <v>2</v>
      </c>
      <c r="CP3473">
        <v>0</v>
      </c>
      <c r="CQ3473">
        <v>7</v>
      </c>
      <c r="CR3473" t="s">
        <v>116</v>
      </c>
      <c r="CS3473">
        <v>38</v>
      </c>
      <c r="CT3473">
        <v>0</v>
      </c>
      <c r="CU3473" t="s">
        <v>4719</v>
      </c>
      <c r="CV3473" t="s">
        <v>4720</v>
      </c>
      <c r="CY3473">
        <v>7926875</v>
      </c>
      <c r="CZ3473" t="s">
        <v>119</v>
      </c>
    </row>
    <row r="3474" spans="1:104" x14ac:dyDescent="0.25">
      <c r="A3474" t="str">
        <f>"14:48:15.469"</f>
        <v>14:48:15.469</v>
      </c>
      <c r="B3474" t="s">
        <v>108</v>
      </c>
      <c r="C3474" t="str">
        <f t="shared" si="163"/>
        <v>ffdfd3c0</v>
      </c>
      <c r="D3474" t="s">
        <v>109</v>
      </c>
      <c r="E3474">
        <v>4</v>
      </c>
      <c r="F3474">
        <v>1004</v>
      </c>
      <c r="G3474" t="s">
        <v>110</v>
      </c>
      <c r="J3474" t="s">
        <v>111</v>
      </c>
      <c r="K3474">
        <v>0</v>
      </c>
      <c r="L3474">
        <v>3</v>
      </c>
      <c r="M3474">
        <v>0</v>
      </c>
      <c r="N3474">
        <v>2</v>
      </c>
      <c r="O3474">
        <v>1</v>
      </c>
      <c r="P3474">
        <v>0</v>
      </c>
      <c r="Q3474">
        <v>0</v>
      </c>
      <c r="R3474" t="s">
        <v>112</v>
      </c>
      <c r="S3474" t="str">
        <f>"14:48:15.273"</f>
        <v>14:48:15.273</v>
      </c>
      <c r="T3474" t="str">
        <f>"14:48:14.773"</f>
        <v>14:48:14.773</v>
      </c>
      <c r="U3474" t="str">
        <f t="shared" si="162"/>
        <v>ad5732</v>
      </c>
      <c r="V3474">
        <v>0</v>
      </c>
      <c r="W3474">
        <v>0</v>
      </c>
      <c r="X3474">
        <v>1</v>
      </c>
      <c r="Z3474">
        <v>0</v>
      </c>
      <c r="AA3474">
        <v>9</v>
      </c>
      <c r="AB3474">
        <v>3</v>
      </c>
      <c r="AC3474">
        <v>0</v>
      </c>
      <c r="AD3474">
        <v>10</v>
      </c>
      <c r="AE3474">
        <v>0</v>
      </c>
      <c r="AF3474">
        <v>3</v>
      </c>
      <c r="AG3474">
        <v>2</v>
      </c>
      <c r="AH3474">
        <v>0</v>
      </c>
      <c r="AI3474" t="s">
        <v>7029</v>
      </c>
      <c r="AJ3474">
        <v>40.380806999999997</v>
      </c>
      <c r="AK3474" t="s">
        <v>7030</v>
      </c>
      <c r="AL3474">
        <v>-74.582491000000005</v>
      </c>
      <c r="AM3474">
        <v>100</v>
      </c>
      <c r="AN3474">
        <v>1700</v>
      </c>
      <c r="AO3474" t="s">
        <v>115</v>
      </c>
      <c r="AP3474">
        <v>116</v>
      </c>
      <c r="AQ3474">
        <v>63</v>
      </c>
      <c r="AR3474">
        <v>64</v>
      </c>
      <c r="AZ3474">
        <v>3614</v>
      </c>
      <c r="BA3474">
        <v>1</v>
      </c>
      <c r="BB3474" t="str">
        <f t="shared" si="164"/>
        <v xml:space="preserve">N959MJ  </v>
      </c>
      <c r="BC3474">
        <v>1</v>
      </c>
      <c r="BE3474">
        <v>0</v>
      </c>
      <c r="BF3474">
        <v>0</v>
      </c>
      <c r="BG3474">
        <v>0</v>
      </c>
      <c r="BH3474">
        <v>1875</v>
      </c>
      <c r="BI3474">
        <v>175</v>
      </c>
      <c r="BJ3474">
        <v>1</v>
      </c>
      <c r="BK3474">
        <v>1</v>
      </c>
      <c r="BL3474">
        <v>1</v>
      </c>
      <c r="BM3474">
        <v>0</v>
      </c>
      <c r="BP3474">
        <v>0</v>
      </c>
      <c r="BQ3474">
        <v>0</v>
      </c>
      <c r="BX3474" t="str">
        <f>"14:48:15.281"</f>
        <v>14:48:15.281</v>
      </c>
      <c r="BY3474" t="str">
        <f>"278752184"</f>
        <v>278752184</v>
      </c>
      <c r="CL3474">
        <v>0</v>
      </c>
      <c r="CM3474">
        <v>2</v>
      </c>
      <c r="CN3474">
        <v>0</v>
      </c>
      <c r="CO3474">
        <v>2</v>
      </c>
      <c r="CP3474">
        <v>0</v>
      </c>
      <c r="CQ3474">
        <v>7</v>
      </c>
      <c r="CR3474" t="s">
        <v>116</v>
      </c>
      <c r="CS3474">
        <v>38</v>
      </c>
      <c r="CT3474">
        <v>0</v>
      </c>
      <c r="CU3474" t="s">
        <v>4719</v>
      </c>
      <c r="CV3474" t="s">
        <v>4720</v>
      </c>
      <c r="CY3474">
        <v>7928588</v>
      </c>
      <c r="CZ3474" t="s">
        <v>119</v>
      </c>
    </row>
    <row r="3475" spans="1:104" x14ac:dyDescent="0.25">
      <c r="A3475" t="str">
        <f>"14:48:16.578"</f>
        <v>14:48:16.578</v>
      </c>
      <c r="B3475" t="s">
        <v>108</v>
      </c>
      <c r="C3475" t="str">
        <f t="shared" si="163"/>
        <v>ffdfd3c0</v>
      </c>
      <c r="D3475" t="s">
        <v>109</v>
      </c>
      <c r="E3475">
        <v>4</v>
      </c>
      <c r="F3475">
        <v>1004</v>
      </c>
      <c r="G3475" t="s">
        <v>110</v>
      </c>
      <c r="J3475" t="s">
        <v>111</v>
      </c>
      <c r="K3475">
        <v>0</v>
      </c>
      <c r="L3475">
        <v>3</v>
      </c>
      <c r="M3475">
        <v>0</v>
      </c>
      <c r="N3475">
        <v>2</v>
      </c>
      <c r="O3475">
        <v>1</v>
      </c>
      <c r="P3475">
        <v>0</v>
      </c>
      <c r="Q3475">
        <v>0</v>
      </c>
      <c r="R3475" t="s">
        <v>112</v>
      </c>
      <c r="S3475" t="str">
        <f>"14:48:16.367"</f>
        <v>14:48:16.367</v>
      </c>
      <c r="T3475" t="str">
        <f>"14:48:15.867"</f>
        <v>14:48:15.867</v>
      </c>
      <c r="U3475" t="str">
        <f t="shared" si="162"/>
        <v>ad5732</v>
      </c>
      <c r="V3475">
        <v>0</v>
      </c>
      <c r="W3475">
        <v>0</v>
      </c>
      <c r="X3475">
        <v>1</v>
      </c>
      <c r="Z3475">
        <v>0</v>
      </c>
      <c r="AA3475">
        <v>9</v>
      </c>
      <c r="AB3475">
        <v>3</v>
      </c>
      <c r="AC3475">
        <v>0</v>
      </c>
      <c r="AD3475">
        <v>10</v>
      </c>
      <c r="AE3475">
        <v>0</v>
      </c>
      <c r="AF3475">
        <v>3</v>
      </c>
      <c r="AG3475">
        <v>2</v>
      </c>
      <c r="AH3475">
        <v>0</v>
      </c>
      <c r="AI3475" t="s">
        <v>6798</v>
      </c>
      <c r="AJ3475">
        <v>40.381129000000001</v>
      </c>
      <c r="AK3475" t="s">
        <v>7031</v>
      </c>
      <c r="AL3475">
        <v>-74.581717999999995</v>
      </c>
      <c r="AM3475">
        <v>100</v>
      </c>
      <c r="AN3475">
        <v>1700</v>
      </c>
      <c r="AO3475" t="s">
        <v>115</v>
      </c>
      <c r="AP3475">
        <v>116</v>
      </c>
      <c r="AQ3475">
        <v>63</v>
      </c>
      <c r="AR3475">
        <v>64</v>
      </c>
      <c r="AZ3475">
        <v>3614</v>
      </c>
      <c r="BA3475">
        <v>1</v>
      </c>
      <c r="BB3475" t="str">
        <f t="shared" si="164"/>
        <v xml:space="preserve">N959MJ  </v>
      </c>
      <c r="BC3475">
        <v>1</v>
      </c>
      <c r="BE3475">
        <v>0</v>
      </c>
      <c r="BF3475">
        <v>0</v>
      </c>
      <c r="BG3475">
        <v>0</v>
      </c>
      <c r="BH3475">
        <v>1875</v>
      </c>
      <c r="BI3475">
        <v>175</v>
      </c>
      <c r="BJ3475">
        <v>1</v>
      </c>
      <c r="BK3475">
        <v>1</v>
      </c>
      <c r="BL3475">
        <v>1</v>
      </c>
      <c r="BM3475">
        <v>0</v>
      </c>
      <c r="BP3475">
        <v>0</v>
      </c>
      <c r="BQ3475">
        <v>0</v>
      </c>
      <c r="BX3475" t="str">
        <f>"14:48:16.367"</f>
        <v>14:48:16.367</v>
      </c>
      <c r="BY3475" t="str">
        <f>"368307540"</f>
        <v>368307540</v>
      </c>
      <c r="CL3475">
        <v>0</v>
      </c>
      <c r="CM3475">
        <v>2</v>
      </c>
      <c r="CN3475">
        <v>0</v>
      </c>
      <c r="CO3475">
        <v>2</v>
      </c>
      <c r="CP3475">
        <v>0</v>
      </c>
      <c r="CQ3475">
        <v>7</v>
      </c>
      <c r="CR3475" t="s">
        <v>116</v>
      </c>
      <c r="CS3475">
        <v>38</v>
      </c>
      <c r="CT3475">
        <v>0</v>
      </c>
      <c r="CU3475" t="s">
        <v>4719</v>
      </c>
      <c r="CV3475" t="s">
        <v>4720</v>
      </c>
      <c r="CY3475">
        <v>7930175</v>
      </c>
      <c r="CZ3475" t="s">
        <v>119</v>
      </c>
    </row>
    <row r="3476" spans="1:104" x14ac:dyDescent="0.25">
      <c r="A3476" t="str">
        <f>"14:48:17.539"</f>
        <v>14:48:17.539</v>
      </c>
      <c r="B3476" t="s">
        <v>108</v>
      </c>
      <c r="C3476" t="str">
        <f t="shared" si="163"/>
        <v>ffdfd3c0</v>
      </c>
      <c r="D3476" t="s">
        <v>109</v>
      </c>
      <c r="E3476">
        <v>4</v>
      </c>
      <c r="F3476">
        <v>1004</v>
      </c>
      <c r="G3476" t="s">
        <v>110</v>
      </c>
      <c r="J3476" t="s">
        <v>111</v>
      </c>
      <c r="K3476">
        <v>0</v>
      </c>
      <c r="L3476">
        <v>3</v>
      </c>
      <c r="M3476">
        <v>0</v>
      </c>
      <c r="N3476">
        <v>2</v>
      </c>
      <c r="O3476">
        <v>1</v>
      </c>
      <c r="P3476">
        <v>0</v>
      </c>
      <c r="Q3476">
        <v>0</v>
      </c>
      <c r="R3476" t="s">
        <v>112</v>
      </c>
      <c r="S3476" t="str">
        <f>"14:48:17.367"</f>
        <v>14:48:17.367</v>
      </c>
      <c r="T3476" t="str">
        <f>"14:48:16.867"</f>
        <v>14:48:16.867</v>
      </c>
      <c r="U3476" t="str">
        <f t="shared" si="162"/>
        <v>ad5732</v>
      </c>
      <c r="V3476">
        <v>0</v>
      </c>
      <c r="W3476">
        <v>0</v>
      </c>
      <c r="X3476">
        <v>1</v>
      </c>
      <c r="Z3476">
        <v>0</v>
      </c>
      <c r="AA3476">
        <v>9</v>
      </c>
      <c r="AB3476">
        <v>3</v>
      </c>
      <c r="AC3476">
        <v>0</v>
      </c>
      <c r="AD3476">
        <v>10</v>
      </c>
      <c r="AE3476">
        <v>0</v>
      </c>
      <c r="AF3476">
        <v>3</v>
      </c>
      <c r="AG3476">
        <v>2</v>
      </c>
      <c r="AH3476">
        <v>0</v>
      </c>
      <c r="AI3476" t="s">
        <v>7032</v>
      </c>
      <c r="AJ3476">
        <v>40.381428999999997</v>
      </c>
      <c r="AK3476" t="s">
        <v>7033</v>
      </c>
      <c r="AL3476">
        <v>-74.581052999999997</v>
      </c>
      <c r="AM3476">
        <v>100</v>
      </c>
      <c r="AN3476">
        <v>1700</v>
      </c>
      <c r="AO3476" t="s">
        <v>115</v>
      </c>
      <c r="AP3476">
        <v>115</v>
      </c>
      <c r="AQ3476">
        <v>63</v>
      </c>
      <c r="AR3476">
        <v>128</v>
      </c>
      <c r="AZ3476">
        <v>3614</v>
      </c>
      <c r="BA3476">
        <v>1</v>
      </c>
      <c r="BB3476" t="str">
        <f t="shared" si="164"/>
        <v xml:space="preserve">N959MJ  </v>
      </c>
      <c r="BC3476">
        <v>1</v>
      </c>
      <c r="BE3476">
        <v>0</v>
      </c>
      <c r="BF3476">
        <v>0</v>
      </c>
      <c r="BG3476">
        <v>0</v>
      </c>
      <c r="BH3476">
        <v>1900</v>
      </c>
      <c r="BI3476">
        <v>200</v>
      </c>
      <c r="BJ3476">
        <v>1</v>
      </c>
      <c r="BK3476">
        <v>1</v>
      </c>
      <c r="BL3476">
        <v>1</v>
      </c>
      <c r="BM3476">
        <v>0</v>
      </c>
      <c r="BP3476">
        <v>0</v>
      </c>
      <c r="BQ3476">
        <v>0</v>
      </c>
      <c r="BX3476" t="str">
        <f>"14:48:17.375"</f>
        <v>14:48:17.375</v>
      </c>
      <c r="BY3476" t="str">
        <f>"374303007"</f>
        <v>374303007</v>
      </c>
      <c r="CL3476">
        <v>0</v>
      </c>
      <c r="CM3476">
        <v>2</v>
      </c>
      <c r="CN3476">
        <v>0</v>
      </c>
      <c r="CO3476">
        <v>2</v>
      </c>
      <c r="CP3476">
        <v>0</v>
      </c>
      <c r="CQ3476">
        <v>7</v>
      </c>
      <c r="CR3476" t="s">
        <v>116</v>
      </c>
      <c r="CS3476">
        <v>38</v>
      </c>
      <c r="CT3476">
        <v>0</v>
      </c>
      <c r="CU3476" t="s">
        <v>4719</v>
      </c>
      <c r="CV3476" t="s">
        <v>4720</v>
      </c>
      <c r="CY3476">
        <v>7931726</v>
      </c>
      <c r="CZ3476" t="s">
        <v>119</v>
      </c>
    </row>
    <row r="3477" spans="1:104" x14ac:dyDescent="0.25">
      <c r="A3477" t="str">
        <f>"14:48:18.594"</f>
        <v>14:48:18.594</v>
      </c>
      <c r="B3477" t="s">
        <v>108</v>
      </c>
      <c r="C3477" t="str">
        <f t="shared" si="163"/>
        <v>ffdfd3c0</v>
      </c>
      <c r="D3477" t="s">
        <v>109</v>
      </c>
      <c r="E3477">
        <v>4</v>
      </c>
      <c r="F3477">
        <v>1004</v>
      </c>
      <c r="G3477" t="s">
        <v>110</v>
      </c>
      <c r="J3477" t="s">
        <v>111</v>
      </c>
      <c r="K3477">
        <v>0</v>
      </c>
      <c r="L3477">
        <v>3</v>
      </c>
      <c r="M3477">
        <v>0</v>
      </c>
      <c r="N3477">
        <v>2</v>
      </c>
      <c r="O3477">
        <v>1</v>
      </c>
      <c r="P3477">
        <v>0</v>
      </c>
      <c r="Q3477">
        <v>0</v>
      </c>
      <c r="R3477" t="s">
        <v>112</v>
      </c>
      <c r="S3477" t="str">
        <f>"14:48:18.398"</f>
        <v>14:48:18.398</v>
      </c>
      <c r="T3477" t="str">
        <f>"14:48:17.898"</f>
        <v>14:48:17.898</v>
      </c>
      <c r="U3477" t="str">
        <f t="shared" si="162"/>
        <v>ad5732</v>
      </c>
      <c r="V3477">
        <v>0</v>
      </c>
      <c r="W3477">
        <v>0</v>
      </c>
      <c r="X3477">
        <v>1</v>
      </c>
      <c r="Z3477">
        <v>0</v>
      </c>
      <c r="AA3477">
        <v>9</v>
      </c>
      <c r="AB3477">
        <v>3</v>
      </c>
      <c r="AC3477">
        <v>0</v>
      </c>
      <c r="AD3477">
        <v>10</v>
      </c>
      <c r="AE3477">
        <v>0</v>
      </c>
      <c r="AF3477">
        <v>3</v>
      </c>
      <c r="AG3477">
        <v>2</v>
      </c>
      <c r="AH3477">
        <v>0</v>
      </c>
      <c r="AI3477" t="s">
        <v>7034</v>
      </c>
      <c r="AJ3477">
        <v>40.381708000000003</v>
      </c>
      <c r="AK3477" t="s">
        <v>7035</v>
      </c>
      <c r="AL3477">
        <v>-74.580324000000005</v>
      </c>
      <c r="AM3477">
        <v>100</v>
      </c>
      <c r="AN3477">
        <v>1700</v>
      </c>
      <c r="AO3477" t="s">
        <v>115</v>
      </c>
      <c r="AP3477">
        <v>115</v>
      </c>
      <c r="AQ3477">
        <v>62</v>
      </c>
      <c r="AR3477">
        <v>64</v>
      </c>
      <c r="AZ3477">
        <v>3614</v>
      </c>
      <c r="BA3477">
        <v>1</v>
      </c>
      <c r="BB3477" t="str">
        <f t="shared" si="164"/>
        <v xml:space="preserve">N959MJ  </v>
      </c>
      <c r="BC3477">
        <v>1</v>
      </c>
      <c r="BE3477">
        <v>0</v>
      </c>
      <c r="BF3477">
        <v>0</v>
      </c>
      <c r="BG3477">
        <v>0</v>
      </c>
      <c r="BH3477">
        <v>1900</v>
      </c>
      <c r="BI3477">
        <v>200</v>
      </c>
      <c r="BJ3477">
        <v>1</v>
      </c>
      <c r="BK3477">
        <v>1</v>
      </c>
      <c r="BL3477">
        <v>1</v>
      </c>
      <c r="BM3477">
        <v>0</v>
      </c>
      <c r="BP3477">
        <v>0</v>
      </c>
      <c r="BQ3477">
        <v>0</v>
      </c>
      <c r="BX3477" t="str">
        <f>"14:48:18.398"</f>
        <v>14:48:18.398</v>
      </c>
      <c r="BY3477" t="str">
        <f>"399959625"</f>
        <v>399959625</v>
      </c>
      <c r="CL3477">
        <v>0</v>
      </c>
      <c r="CM3477">
        <v>2</v>
      </c>
      <c r="CN3477">
        <v>0</v>
      </c>
      <c r="CO3477">
        <v>2</v>
      </c>
      <c r="CP3477">
        <v>0</v>
      </c>
      <c r="CQ3477">
        <v>7</v>
      </c>
      <c r="CR3477" t="s">
        <v>116</v>
      </c>
      <c r="CS3477">
        <v>38</v>
      </c>
      <c r="CT3477">
        <v>0</v>
      </c>
      <c r="CU3477" t="s">
        <v>4719</v>
      </c>
      <c r="CV3477" t="s">
        <v>4720</v>
      </c>
      <c r="CY3477">
        <v>7933269</v>
      </c>
      <c r="CZ3477" t="s">
        <v>119</v>
      </c>
    </row>
    <row r="3478" spans="1:104" x14ac:dyDescent="0.25">
      <c r="A3478" t="str">
        <f>"14:48:19.406"</f>
        <v>14:48:19.406</v>
      </c>
      <c r="B3478" t="s">
        <v>108</v>
      </c>
      <c r="C3478" t="str">
        <f t="shared" si="163"/>
        <v>ffdfd3c0</v>
      </c>
      <c r="D3478" t="s">
        <v>109</v>
      </c>
      <c r="E3478">
        <v>4</v>
      </c>
      <c r="F3478">
        <v>1004</v>
      </c>
      <c r="G3478" t="s">
        <v>110</v>
      </c>
      <c r="J3478" t="s">
        <v>111</v>
      </c>
      <c r="K3478">
        <v>0</v>
      </c>
      <c r="L3478">
        <v>3</v>
      </c>
      <c r="M3478">
        <v>0</v>
      </c>
      <c r="N3478">
        <v>2</v>
      </c>
      <c r="O3478">
        <v>1</v>
      </c>
      <c r="P3478">
        <v>0</v>
      </c>
      <c r="Q3478">
        <v>0</v>
      </c>
      <c r="R3478" t="s">
        <v>112</v>
      </c>
      <c r="S3478" t="str">
        <f>"14:48:19.211"</f>
        <v>14:48:19.211</v>
      </c>
      <c r="T3478" t="str">
        <f>"14:48:18.813"</f>
        <v>14:48:18.813</v>
      </c>
      <c r="U3478" t="str">
        <f t="shared" si="162"/>
        <v>ad5732</v>
      </c>
      <c r="V3478">
        <v>0</v>
      </c>
      <c r="W3478">
        <v>0</v>
      </c>
      <c r="X3478">
        <v>1</v>
      </c>
      <c r="Z3478">
        <v>0</v>
      </c>
      <c r="AA3478">
        <v>9</v>
      </c>
      <c r="AB3478">
        <v>3</v>
      </c>
      <c r="AC3478">
        <v>0</v>
      </c>
      <c r="AD3478">
        <v>10</v>
      </c>
      <c r="AE3478">
        <v>0</v>
      </c>
      <c r="AF3478">
        <v>3</v>
      </c>
      <c r="AG3478">
        <v>2</v>
      </c>
      <c r="AH3478">
        <v>0</v>
      </c>
      <c r="AI3478" t="s">
        <v>7036</v>
      </c>
      <c r="AJ3478">
        <v>40.381943999999997</v>
      </c>
      <c r="AK3478" t="s">
        <v>7037</v>
      </c>
      <c r="AL3478">
        <v>-74.579830000000001</v>
      </c>
      <c r="AM3478">
        <v>100</v>
      </c>
      <c r="AN3478">
        <v>1700</v>
      </c>
      <c r="AO3478" t="s">
        <v>115</v>
      </c>
      <c r="AP3478">
        <v>115</v>
      </c>
      <c r="AQ3478">
        <v>62</v>
      </c>
      <c r="AR3478">
        <v>0</v>
      </c>
      <c r="AZ3478">
        <v>3614</v>
      </c>
      <c r="BA3478">
        <v>1</v>
      </c>
      <c r="BB3478" t="str">
        <f t="shared" si="164"/>
        <v xml:space="preserve">N959MJ  </v>
      </c>
      <c r="BC3478">
        <v>1</v>
      </c>
      <c r="BE3478">
        <v>0</v>
      </c>
      <c r="BF3478">
        <v>0</v>
      </c>
      <c r="BG3478">
        <v>0</v>
      </c>
      <c r="BH3478">
        <v>1900</v>
      </c>
      <c r="BI3478">
        <v>200</v>
      </c>
      <c r="BJ3478">
        <v>1</v>
      </c>
      <c r="BK3478">
        <v>1</v>
      </c>
      <c r="BL3478">
        <v>1</v>
      </c>
      <c r="BM3478">
        <v>0</v>
      </c>
      <c r="BP3478">
        <v>0</v>
      </c>
      <c r="BQ3478">
        <v>0</v>
      </c>
      <c r="BX3478" t="str">
        <f>"14:48:19.211"</f>
        <v>14:48:19.211</v>
      </c>
      <c r="BY3478" t="str">
        <f>"210982036"</f>
        <v>210982036</v>
      </c>
      <c r="CL3478">
        <v>0</v>
      </c>
      <c r="CM3478">
        <v>2</v>
      </c>
      <c r="CN3478">
        <v>0</v>
      </c>
      <c r="CO3478">
        <v>2</v>
      </c>
      <c r="CP3478">
        <v>0</v>
      </c>
      <c r="CQ3478">
        <v>7</v>
      </c>
      <c r="CR3478" t="s">
        <v>116</v>
      </c>
      <c r="CS3478">
        <v>38</v>
      </c>
      <c r="CT3478">
        <v>0</v>
      </c>
      <c r="CU3478" t="s">
        <v>4719</v>
      </c>
      <c r="CV3478" t="s">
        <v>4720</v>
      </c>
      <c r="CY3478">
        <v>7934615</v>
      </c>
      <c r="CZ3478" t="s">
        <v>119</v>
      </c>
    </row>
    <row r="3479" spans="1:104" x14ac:dyDescent="0.25">
      <c r="A3479" t="str">
        <f>"14:48:20.367"</f>
        <v>14:48:20.367</v>
      </c>
      <c r="B3479" t="s">
        <v>108</v>
      </c>
      <c r="C3479" t="str">
        <f t="shared" si="163"/>
        <v>ffdfd3c0</v>
      </c>
      <c r="D3479" t="s">
        <v>109</v>
      </c>
      <c r="E3479">
        <v>4</v>
      </c>
      <c r="F3479">
        <v>1004</v>
      </c>
      <c r="G3479" t="s">
        <v>110</v>
      </c>
      <c r="J3479" t="s">
        <v>111</v>
      </c>
      <c r="K3479">
        <v>0</v>
      </c>
      <c r="L3479">
        <v>3</v>
      </c>
      <c r="M3479">
        <v>0</v>
      </c>
      <c r="N3479">
        <v>2</v>
      </c>
      <c r="O3479">
        <v>1</v>
      </c>
      <c r="P3479">
        <v>0</v>
      </c>
      <c r="Q3479">
        <v>0</v>
      </c>
      <c r="R3479" t="s">
        <v>112</v>
      </c>
      <c r="S3479" t="str">
        <f>"14:48:20.172"</f>
        <v>14:48:20.172</v>
      </c>
      <c r="T3479" t="str">
        <f>"14:48:19.773"</f>
        <v>14:48:19.773</v>
      </c>
      <c r="U3479" t="str">
        <f t="shared" si="162"/>
        <v>ad5732</v>
      </c>
      <c r="V3479">
        <v>0</v>
      </c>
      <c r="W3479">
        <v>0</v>
      </c>
      <c r="X3479">
        <v>1</v>
      </c>
      <c r="Z3479">
        <v>0</v>
      </c>
      <c r="AA3479">
        <v>9</v>
      </c>
      <c r="AB3479">
        <v>3</v>
      </c>
      <c r="AC3479">
        <v>0</v>
      </c>
      <c r="AD3479">
        <v>10</v>
      </c>
      <c r="AE3479">
        <v>0</v>
      </c>
      <c r="AF3479">
        <v>3</v>
      </c>
      <c r="AG3479">
        <v>2</v>
      </c>
      <c r="AH3479">
        <v>0</v>
      </c>
      <c r="AI3479" t="s">
        <v>7038</v>
      </c>
      <c r="AJ3479">
        <v>40.382223000000003</v>
      </c>
      <c r="AK3479" t="s">
        <v>7039</v>
      </c>
      <c r="AL3479">
        <v>-74.579100999999994</v>
      </c>
      <c r="AM3479">
        <v>100</v>
      </c>
      <c r="AN3479">
        <v>1700</v>
      </c>
      <c r="AO3479" t="s">
        <v>115</v>
      </c>
      <c r="AP3479">
        <v>115</v>
      </c>
      <c r="AQ3479">
        <v>62</v>
      </c>
      <c r="AR3479">
        <v>-64</v>
      </c>
      <c r="AZ3479">
        <v>3614</v>
      </c>
      <c r="BA3479">
        <v>1</v>
      </c>
      <c r="BB3479" t="str">
        <f t="shared" si="164"/>
        <v xml:space="preserve">N959MJ  </v>
      </c>
      <c r="BC3479">
        <v>1</v>
      </c>
      <c r="BE3479">
        <v>0</v>
      </c>
      <c r="BF3479">
        <v>0</v>
      </c>
      <c r="BG3479">
        <v>0</v>
      </c>
      <c r="BH3479">
        <v>1900</v>
      </c>
      <c r="BI3479">
        <v>200</v>
      </c>
      <c r="BJ3479">
        <v>1</v>
      </c>
      <c r="BK3479">
        <v>1</v>
      </c>
      <c r="BL3479">
        <v>1</v>
      </c>
      <c r="BM3479">
        <v>0</v>
      </c>
      <c r="BP3479">
        <v>0</v>
      </c>
      <c r="BQ3479">
        <v>0</v>
      </c>
      <c r="BX3479" t="str">
        <f>"14:48:20.172"</f>
        <v>14:48:20.172</v>
      </c>
      <c r="BY3479" t="str">
        <f>"174378341"</f>
        <v>174378341</v>
      </c>
      <c r="CL3479">
        <v>0</v>
      </c>
      <c r="CM3479">
        <v>2</v>
      </c>
      <c r="CN3479">
        <v>0</v>
      </c>
      <c r="CO3479">
        <v>2</v>
      </c>
      <c r="CP3479">
        <v>0</v>
      </c>
      <c r="CQ3479">
        <v>7</v>
      </c>
      <c r="CR3479" t="s">
        <v>116</v>
      </c>
      <c r="CS3479">
        <v>38</v>
      </c>
      <c r="CT3479">
        <v>0</v>
      </c>
      <c r="CU3479" t="s">
        <v>4719</v>
      </c>
      <c r="CV3479" t="s">
        <v>4720</v>
      </c>
      <c r="CY3479">
        <v>7936017</v>
      </c>
      <c r="CZ3479" t="s">
        <v>119</v>
      </c>
    </row>
    <row r="3480" spans="1:104" x14ac:dyDescent="0.25">
      <c r="A3480" t="str">
        <f>"14:48:21.477"</f>
        <v>14:48:21.477</v>
      </c>
      <c r="B3480" t="s">
        <v>108</v>
      </c>
      <c r="C3480" t="str">
        <f t="shared" si="163"/>
        <v>ffdfd3c0</v>
      </c>
      <c r="D3480" t="s">
        <v>109</v>
      </c>
      <c r="E3480">
        <v>4</v>
      </c>
      <c r="F3480">
        <v>1004</v>
      </c>
      <c r="G3480" t="s">
        <v>110</v>
      </c>
      <c r="J3480" t="s">
        <v>111</v>
      </c>
      <c r="K3480">
        <v>0</v>
      </c>
      <c r="L3480">
        <v>3</v>
      </c>
      <c r="M3480">
        <v>0</v>
      </c>
      <c r="N3480">
        <v>2</v>
      </c>
      <c r="O3480">
        <v>1</v>
      </c>
      <c r="P3480">
        <v>0</v>
      </c>
      <c r="Q3480">
        <v>0</v>
      </c>
      <c r="R3480" t="s">
        <v>112</v>
      </c>
      <c r="S3480" t="str">
        <f>"14:48:21.273"</f>
        <v>14:48:21.273</v>
      </c>
      <c r="T3480" t="str">
        <f>"14:48:20.773"</f>
        <v>14:48:20.773</v>
      </c>
      <c r="U3480" t="str">
        <f t="shared" si="162"/>
        <v>ad5732</v>
      </c>
      <c r="V3480">
        <v>0</v>
      </c>
      <c r="W3480">
        <v>0</v>
      </c>
      <c r="X3480">
        <v>1</v>
      </c>
      <c r="Z3480">
        <v>0</v>
      </c>
      <c r="AA3480">
        <v>9</v>
      </c>
      <c r="AB3480">
        <v>3</v>
      </c>
      <c r="AC3480">
        <v>0</v>
      </c>
      <c r="AD3480">
        <v>10</v>
      </c>
      <c r="AE3480">
        <v>0</v>
      </c>
      <c r="AF3480">
        <v>3</v>
      </c>
      <c r="AG3480">
        <v>2</v>
      </c>
      <c r="AH3480">
        <v>0</v>
      </c>
      <c r="AI3480" t="s">
        <v>6765</v>
      </c>
      <c r="AJ3480">
        <v>40.382523999999997</v>
      </c>
      <c r="AK3480" t="s">
        <v>7040</v>
      </c>
      <c r="AL3480">
        <v>-74.578306999999995</v>
      </c>
      <c r="AM3480">
        <v>100</v>
      </c>
      <c r="AN3480">
        <v>1700</v>
      </c>
      <c r="AO3480" t="s">
        <v>115</v>
      </c>
      <c r="AP3480">
        <v>115</v>
      </c>
      <c r="AQ3480">
        <v>62</v>
      </c>
      <c r="AR3480">
        <v>-128</v>
      </c>
      <c r="AZ3480">
        <v>3614</v>
      </c>
      <c r="BA3480">
        <v>1</v>
      </c>
      <c r="BB3480" t="str">
        <f t="shared" si="164"/>
        <v xml:space="preserve">N959MJ  </v>
      </c>
      <c r="BC3480">
        <v>1</v>
      </c>
      <c r="BE3480">
        <v>0</v>
      </c>
      <c r="BF3480">
        <v>0</v>
      </c>
      <c r="BG3480">
        <v>0</v>
      </c>
      <c r="BH3480">
        <v>1900</v>
      </c>
      <c r="BI3480">
        <v>200</v>
      </c>
      <c r="BJ3480">
        <v>1</v>
      </c>
      <c r="BK3480">
        <v>1</v>
      </c>
      <c r="BL3480">
        <v>1</v>
      </c>
      <c r="BM3480">
        <v>0</v>
      </c>
      <c r="BP3480">
        <v>0</v>
      </c>
      <c r="BQ3480">
        <v>0</v>
      </c>
      <c r="BX3480" t="str">
        <f>"14:48:21.273"</f>
        <v>14:48:21.273</v>
      </c>
      <c r="BY3480" t="str">
        <f>"277041178"</f>
        <v>277041178</v>
      </c>
      <c r="CL3480">
        <v>0</v>
      </c>
      <c r="CM3480">
        <v>2</v>
      </c>
      <c r="CN3480">
        <v>0</v>
      </c>
      <c r="CO3480">
        <v>2</v>
      </c>
      <c r="CP3480">
        <v>0</v>
      </c>
      <c r="CQ3480">
        <v>7</v>
      </c>
      <c r="CR3480" t="s">
        <v>116</v>
      </c>
      <c r="CS3480">
        <v>38</v>
      </c>
      <c r="CT3480">
        <v>0</v>
      </c>
      <c r="CU3480" t="s">
        <v>4719</v>
      </c>
      <c r="CV3480" t="s">
        <v>4720</v>
      </c>
      <c r="CY3480">
        <v>7937724</v>
      </c>
      <c r="CZ3480" t="s">
        <v>119</v>
      </c>
    </row>
    <row r="3481" spans="1:104" x14ac:dyDescent="0.25">
      <c r="A3481" t="str">
        <f>"14:48:22.336"</f>
        <v>14:48:22.336</v>
      </c>
      <c r="B3481" t="s">
        <v>108</v>
      </c>
      <c r="C3481" t="str">
        <f t="shared" si="163"/>
        <v>ffdfd3c0</v>
      </c>
      <c r="D3481" t="s">
        <v>109</v>
      </c>
      <c r="E3481">
        <v>4</v>
      </c>
      <c r="F3481">
        <v>1004</v>
      </c>
      <c r="G3481" t="s">
        <v>110</v>
      </c>
      <c r="J3481" t="s">
        <v>111</v>
      </c>
      <c r="K3481">
        <v>0</v>
      </c>
      <c r="L3481">
        <v>3</v>
      </c>
      <c r="M3481">
        <v>0</v>
      </c>
      <c r="N3481">
        <v>2</v>
      </c>
      <c r="O3481">
        <v>1</v>
      </c>
      <c r="P3481">
        <v>0</v>
      </c>
      <c r="Q3481">
        <v>0</v>
      </c>
      <c r="R3481" t="s">
        <v>112</v>
      </c>
      <c r="S3481" t="str">
        <f>"14:48:22.156"</f>
        <v>14:48:22.156</v>
      </c>
      <c r="T3481" t="str">
        <f>"14:48:21.758"</f>
        <v>14:48:21.758</v>
      </c>
      <c r="U3481" t="str">
        <f t="shared" si="162"/>
        <v>ad5732</v>
      </c>
      <c r="V3481">
        <v>0</v>
      </c>
      <c r="W3481">
        <v>0</v>
      </c>
      <c r="X3481">
        <v>1</v>
      </c>
      <c r="Z3481">
        <v>0</v>
      </c>
      <c r="AA3481">
        <v>9</v>
      </c>
      <c r="AB3481">
        <v>3</v>
      </c>
      <c r="AC3481">
        <v>0</v>
      </c>
      <c r="AD3481">
        <v>10</v>
      </c>
      <c r="AE3481">
        <v>0</v>
      </c>
      <c r="AF3481">
        <v>3</v>
      </c>
      <c r="AG3481">
        <v>2</v>
      </c>
      <c r="AH3481">
        <v>0</v>
      </c>
      <c r="AI3481" t="s">
        <v>7041</v>
      </c>
      <c r="AJ3481">
        <v>40.382801999999998</v>
      </c>
      <c r="AK3481" t="s">
        <v>7042</v>
      </c>
      <c r="AL3481">
        <v>-74.577706000000006</v>
      </c>
      <c r="AM3481">
        <v>100</v>
      </c>
      <c r="AN3481">
        <v>1700</v>
      </c>
      <c r="AO3481" t="s">
        <v>115</v>
      </c>
      <c r="AP3481">
        <v>115</v>
      </c>
      <c r="AQ3481">
        <v>62</v>
      </c>
      <c r="AR3481">
        <v>-128</v>
      </c>
      <c r="AZ3481">
        <v>3614</v>
      </c>
      <c r="BA3481">
        <v>1</v>
      </c>
      <c r="BB3481" t="str">
        <f t="shared" si="164"/>
        <v xml:space="preserve">N959MJ  </v>
      </c>
      <c r="BC3481">
        <v>1</v>
      </c>
      <c r="BE3481">
        <v>0</v>
      </c>
      <c r="BF3481">
        <v>0</v>
      </c>
      <c r="BG3481">
        <v>0</v>
      </c>
      <c r="BH3481">
        <v>1875</v>
      </c>
      <c r="BI3481">
        <v>175</v>
      </c>
      <c r="BJ3481">
        <v>1</v>
      </c>
      <c r="BK3481">
        <v>1</v>
      </c>
      <c r="BL3481">
        <v>1</v>
      </c>
      <c r="BM3481">
        <v>0</v>
      </c>
      <c r="BP3481">
        <v>0</v>
      </c>
      <c r="BQ3481">
        <v>0</v>
      </c>
      <c r="BX3481" t="str">
        <f>"14:48:22.156"</f>
        <v>14:48:22.156</v>
      </c>
      <c r="BY3481" t="str">
        <f>"158515993"</f>
        <v>158515993</v>
      </c>
      <c r="CL3481">
        <v>0</v>
      </c>
      <c r="CM3481">
        <v>2</v>
      </c>
      <c r="CN3481">
        <v>0</v>
      </c>
      <c r="CO3481">
        <v>2</v>
      </c>
      <c r="CP3481">
        <v>0</v>
      </c>
      <c r="CQ3481">
        <v>7</v>
      </c>
      <c r="CR3481" t="s">
        <v>116</v>
      </c>
      <c r="CS3481">
        <v>38</v>
      </c>
      <c r="CT3481">
        <v>0</v>
      </c>
      <c r="CU3481" t="s">
        <v>4719</v>
      </c>
      <c r="CV3481" t="s">
        <v>4720</v>
      </c>
      <c r="CY3481">
        <v>7939100</v>
      </c>
      <c r="CZ3481" t="s">
        <v>119</v>
      </c>
    </row>
    <row r="3482" spans="1:104" x14ac:dyDescent="0.25">
      <c r="A3482" t="str">
        <f>"14:48:23.289"</f>
        <v>14:48:23.289</v>
      </c>
      <c r="B3482" t="s">
        <v>108</v>
      </c>
      <c r="C3482" t="str">
        <f t="shared" si="163"/>
        <v>ffdfd3c0</v>
      </c>
      <c r="D3482" t="s">
        <v>109</v>
      </c>
      <c r="E3482">
        <v>4</v>
      </c>
      <c r="F3482">
        <v>1004</v>
      </c>
      <c r="G3482" t="s">
        <v>110</v>
      </c>
      <c r="J3482" t="s">
        <v>111</v>
      </c>
      <c r="K3482">
        <v>0</v>
      </c>
      <c r="L3482">
        <v>3</v>
      </c>
      <c r="M3482">
        <v>0</v>
      </c>
      <c r="N3482">
        <v>2</v>
      </c>
      <c r="O3482">
        <v>1</v>
      </c>
      <c r="P3482">
        <v>0</v>
      </c>
      <c r="Q3482">
        <v>0</v>
      </c>
      <c r="R3482" t="s">
        <v>112</v>
      </c>
      <c r="S3482" t="str">
        <f>"14:48:23.063"</f>
        <v>14:48:23.063</v>
      </c>
      <c r="T3482" t="str">
        <f>"14:48:22.664"</f>
        <v>14:48:22.664</v>
      </c>
      <c r="U3482" t="str">
        <f t="shared" si="162"/>
        <v>ad5732</v>
      </c>
      <c r="V3482">
        <v>0</v>
      </c>
      <c r="W3482">
        <v>0</v>
      </c>
      <c r="X3482">
        <v>1</v>
      </c>
      <c r="Z3482">
        <v>0</v>
      </c>
      <c r="AA3482">
        <v>9</v>
      </c>
      <c r="AB3482">
        <v>3</v>
      </c>
      <c r="AC3482">
        <v>0</v>
      </c>
      <c r="AD3482">
        <v>10</v>
      </c>
      <c r="AE3482">
        <v>0</v>
      </c>
      <c r="AF3482">
        <v>3</v>
      </c>
      <c r="AG3482">
        <v>2</v>
      </c>
      <c r="AH3482">
        <v>0</v>
      </c>
      <c r="AI3482" t="s">
        <v>7043</v>
      </c>
      <c r="AJ3482">
        <v>40.383038999999997</v>
      </c>
      <c r="AK3482" t="s">
        <v>7044</v>
      </c>
      <c r="AL3482">
        <v>-74.577127000000004</v>
      </c>
      <c r="AM3482">
        <v>100</v>
      </c>
      <c r="AN3482">
        <v>1700</v>
      </c>
      <c r="AO3482" t="s">
        <v>115</v>
      </c>
      <c r="AP3482">
        <v>115</v>
      </c>
      <c r="AQ3482">
        <v>62</v>
      </c>
      <c r="AR3482">
        <v>-192</v>
      </c>
      <c r="AZ3482">
        <v>3614</v>
      </c>
      <c r="BA3482">
        <v>1</v>
      </c>
      <c r="BB3482" t="str">
        <f t="shared" si="164"/>
        <v xml:space="preserve">N959MJ  </v>
      </c>
      <c r="BC3482">
        <v>1</v>
      </c>
      <c r="BE3482">
        <v>0</v>
      </c>
      <c r="BF3482">
        <v>0</v>
      </c>
      <c r="BG3482">
        <v>0</v>
      </c>
      <c r="BH3482">
        <v>1875</v>
      </c>
      <c r="BI3482">
        <v>175</v>
      </c>
      <c r="BJ3482">
        <v>1</v>
      </c>
      <c r="BK3482">
        <v>1</v>
      </c>
      <c r="BL3482">
        <v>1</v>
      </c>
      <c r="BM3482">
        <v>0</v>
      </c>
      <c r="BP3482">
        <v>0</v>
      </c>
      <c r="BQ3482">
        <v>0</v>
      </c>
      <c r="BX3482" t="str">
        <f>"14:48:23.063"</f>
        <v>14:48:23.063</v>
      </c>
      <c r="BY3482" t="str">
        <f>"066205815"</f>
        <v>066205815</v>
      </c>
      <c r="CL3482">
        <v>0</v>
      </c>
      <c r="CM3482">
        <v>2</v>
      </c>
      <c r="CN3482">
        <v>0</v>
      </c>
      <c r="CO3482">
        <v>2</v>
      </c>
      <c r="CP3482">
        <v>0</v>
      </c>
      <c r="CQ3482">
        <v>7</v>
      </c>
      <c r="CR3482" t="s">
        <v>116</v>
      </c>
      <c r="CS3482">
        <v>38</v>
      </c>
      <c r="CT3482">
        <v>0</v>
      </c>
      <c r="CU3482" t="s">
        <v>4719</v>
      </c>
      <c r="CV3482" t="s">
        <v>4720</v>
      </c>
      <c r="CY3482">
        <v>7940499</v>
      </c>
      <c r="CZ3482" t="s">
        <v>119</v>
      </c>
    </row>
    <row r="3483" spans="1:104" x14ac:dyDescent="0.25">
      <c r="A3483" t="str">
        <f>"14:48:24.148"</f>
        <v>14:48:24.148</v>
      </c>
      <c r="B3483" t="s">
        <v>108</v>
      </c>
      <c r="C3483" t="str">
        <f t="shared" si="163"/>
        <v>ffdfd3c0</v>
      </c>
      <c r="D3483" t="s">
        <v>109</v>
      </c>
      <c r="E3483">
        <v>4</v>
      </c>
      <c r="F3483">
        <v>1004</v>
      </c>
      <c r="G3483" t="s">
        <v>110</v>
      </c>
      <c r="J3483" t="s">
        <v>111</v>
      </c>
      <c r="K3483">
        <v>0</v>
      </c>
      <c r="L3483">
        <v>3</v>
      </c>
      <c r="M3483">
        <v>0</v>
      </c>
      <c r="N3483">
        <v>2</v>
      </c>
      <c r="O3483">
        <v>1</v>
      </c>
      <c r="P3483">
        <v>0</v>
      </c>
      <c r="Q3483">
        <v>0</v>
      </c>
      <c r="R3483" t="s">
        <v>112</v>
      </c>
      <c r="S3483" t="str">
        <f>"14:48:23.977"</f>
        <v>14:48:23.977</v>
      </c>
      <c r="T3483" t="str">
        <f>"14:48:23.578"</f>
        <v>14:48:23.578</v>
      </c>
      <c r="U3483" t="str">
        <f t="shared" si="162"/>
        <v>ad5732</v>
      </c>
      <c r="V3483">
        <v>0</v>
      </c>
      <c r="W3483">
        <v>0</v>
      </c>
      <c r="X3483">
        <v>1</v>
      </c>
      <c r="Z3483">
        <v>0</v>
      </c>
      <c r="AA3483">
        <v>9</v>
      </c>
      <c r="AB3483">
        <v>3</v>
      </c>
      <c r="AC3483">
        <v>0</v>
      </c>
      <c r="AD3483">
        <v>10</v>
      </c>
      <c r="AE3483">
        <v>0</v>
      </c>
      <c r="AF3483">
        <v>3</v>
      </c>
      <c r="AG3483">
        <v>2</v>
      </c>
      <c r="AH3483">
        <v>0</v>
      </c>
      <c r="AI3483" t="s">
        <v>7045</v>
      </c>
      <c r="AJ3483">
        <v>40.383316999999998</v>
      </c>
      <c r="AK3483" t="s">
        <v>7046</v>
      </c>
      <c r="AL3483">
        <v>-74.576482999999996</v>
      </c>
      <c r="AM3483">
        <v>100</v>
      </c>
      <c r="AN3483">
        <v>1700</v>
      </c>
      <c r="AO3483" t="s">
        <v>115</v>
      </c>
      <c r="AP3483">
        <v>115</v>
      </c>
      <c r="AQ3483">
        <v>62</v>
      </c>
      <c r="AR3483">
        <v>-192</v>
      </c>
      <c r="AZ3483">
        <v>3614</v>
      </c>
      <c r="BA3483">
        <v>1</v>
      </c>
      <c r="BB3483" t="str">
        <f t="shared" si="164"/>
        <v xml:space="preserve">N959MJ  </v>
      </c>
      <c r="BC3483">
        <v>1</v>
      </c>
      <c r="BE3483">
        <v>0</v>
      </c>
      <c r="BF3483">
        <v>0</v>
      </c>
      <c r="BG3483">
        <v>0</v>
      </c>
      <c r="BH3483">
        <v>1875</v>
      </c>
      <c r="BI3483">
        <v>175</v>
      </c>
      <c r="BJ3483">
        <v>1</v>
      </c>
      <c r="BK3483">
        <v>1</v>
      </c>
      <c r="BL3483">
        <v>1</v>
      </c>
      <c r="BM3483">
        <v>0</v>
      </c>
      <c r="BP3483">
        <v>0</v>
      </c>
      <c r="BQ3483">
        <v>0</v>
      </c>
      <c r="BX3483" t="str">
        <f>"14:48:23.977"</f>
        <v>14:48:23.977</v>
      </c>
      <c r="BY3483" t="str">
        <f>"977172299"</f>
        <v>977172299</v>
      </c>
      <c r="CL3483">
        <v>0</v>
      </c>
      <c r="CM3483">
        <v>2</v>
      </c>
      <c r="CN3483">
        <v>0</v>
      </c>
      <c r="CO3483">
        <v>2</v>
      </c>
      <c r="CP3483">
        <v>0</v>
      </c>
      <c r="CQ3483">
        <v>7</v>
      </c>
      <c r="CR3483" t="s">
        <v>116</v>
      </c>
      <c r="CS3483">
        <v>38</v>
      </c>
      <c r="CT3483">
        <v>0</v>
      </c>
      <c r="CU3483" t="s">
        <v>4719</v>
      </c>
      <c r="CV3483" t="s">
        <v>4720</v>
      </c>
      <c r="CY3483">
        <v>7941990</v>
      </c>
      <c r="CZ3483" t="s">
        <v>119</v>
      </c>
    </row>
    <row r="3484" spans="1:104" x14ac:dyDescent="0.25">
      <c r="A3484" t="str">
        <f>"14:48:25.266"</f>
        <v>14:48:25.266</v>
      </c>
      <c r="B3484" t="s">
        <v>108</v>
      </c>
      <c r="C3484" t="str">
        <f t="shared" si="163"/>
        <v>ffdfd3c0</v>
      </c>
      <c r="D3484" t="s">
        <v>109</v>
      </c>
      <c r="E3484">
        <v>4</v>
      </c>
      <c r="F3484">
        <v>1004</v>
      </c>
      <c r="G3484" t="s">
        <v>110</v>
      </c>
      <c r="J3484" t="s">
        <v>111</v>
      </c>
      <c r="K3484">
        <v>0</v>
      </c>
      <c r="L3484">
        <v>3</v>
      </c>
      <c r="M3484">
        <v>0</v>
      </c>
      <c r="N3484">
        <v>2</v>
      </c>
      <c r="O3484">
        <v>1</v>
      </c>
      <c r="P3484">
        <v>0</v>
      </c>
      <c r="Q3484">
        <v>0</v>
      </c>
      <c r="R3484" t="s">
        <v>112</v>
      </c>
      <c r="S3484" t="str">
        <f>"14:48:25.055"</f>
        <v>14:48:25.055</v>
      </c>
      <c r="T3484" t="str">
        <f>"14:48:24.555"</f>
        <v>14:48:24.555</v>
      </c>
      <c r="U3484" t="str">
        <f t="shared" si="162"/>
        <v>ad5732</v>
      </c>
      <c r="V3484">
        <v>0</v>
      </c>
      <c r="W3484">
        <v>0</v>
      </c>
      <c r="X3484">
        <v>1</v>
      </c>
      <c r="Z3484">
        <v>0</v>
      </c>
      <c r="AA3484">
        <v>9</v>
      </c>
      <c r="AB3484">
        <v>3</v>
      </c>
      <c r="AC3484">
        <v>0</v>
      </c>
      <c r="AD3484">
        <v>10</v>
      </c>
      <c r="AE3484">
        <v>0</v>
      </c>
      <c r="AF3484">
        <v>3</v>
      </c>
      <c r="AG3484">
        <v>2</v>
      </c>
      <c r="AH3484">
        <v>0</v>
      </c>
      <c r="AI3484" t="s">
        <v>6743</v>
      </c>
      <c r="AJ3484">
        <v>40.383639000000002</v>
      </c>
      <c r="AK3484" t="s">
        <v>7047</v>
      </c>
      <c r="AL3484">
        <v>-74.575688999999997</v>
      </c>
      <c r="AM3484">
        <v>100</v>
      </c>
      <c r="AN3484">
        <v>1700</v>
      </c>
      <c r="AO3484" t="s">
        <v>115</v>
      </c>
      <c r="AP3484">
        <v>115</v>
      </c>
      <c r="AQ3484">
        <v>62</v>
      </c>
      <c r="AR3484">
        <v>-128</v>
      </c>
      <c r="AZ3484">
        <v>3614</v>
      </c>
      <c r="BA3484">
        <v>1</v>
      </c>
      <c r="BB3484" t="str">
        <f t="shared" si="164"/>
        <v xml:space="preserve">N959MJ  </v>
      </c>
      <c r="BC3484">
        <v>1</v>
      </c>
      <c r="BE3484">
        <v>0</v>
      </c>
      <c r="BF3484">
        <v>0</v>
      </c>
      <c r="BG3484">
        <v>0</v>
      </c>
      <c r="BH3484">
        <v>1875</v>
      </c>
      <c r="BI3484">
        <v>175</v>
      </c>
      <c r="BJ3484">
        <v>1</v>
      </c>
      <c r="BK3484">
        <v>1</v>
      </c>
      <c r="BL3484">
        <v>1</v>
      </c>
      <c r="BM3484">
        <v>0</v>
      </c>
      <c r="BP3484">
        <v>0</v>
      </c>
      <c r="BQ3484">
        <v>0</v>
      </c>
      <c r="BX3484" t="str">
        <f>"14:48:25.055"</f>
        <v>14:48:25.055</v>
      </c>
      <c r="BY3484" t="str">
        <f>"058535554"</f>
        <v>058535554</v>
      </c>
      <c r="CL3484">
        <v>0</v>
      </c>
      <c r="CM3484">
        <v>2</v>
      </c>
      <c r="CN3484">
        <v>0</v>
      </c>
      <c r="CO3484">
        <v>2</v>
      </c>
      <c r="CP3484">
        <v>0</v>
      </c>
      <c r="CQ3484">
        <v>7</v>
      </c>
      <c r="CR3484" t="s">
        <v>116</v>
      </c>
      <c r="CS3484">
        <v>38</v>
      </c>
      <c r="CT3484">
        <v>0</v>
      </c>
      <c r="CU3484" t="s">
        <v>4719</v>
      </c>
      <c r="CV3484" t="s">
        <v>4720</v>
      </c>
      <c r="CY3484">
        <v>7943558</v>
      </c>
      <c r="CZ3484" t="s">
        <v>119</v>
      </c>
    </row>
    <row r="3485" spans="1:104" x14ac:dyDescent="0.25">
      <c r="A3485" t="str">
        <f>"14:48:26.273"</f>
        <v>14:48:26.273</v>
      </c>
      <c r="B3485" t="s">
        <v>108</v>
      </c>
      <c r="C3485" t="str">
        <f t="shared" si="163"/>
        <v>ffdfd3c0</v>
      </c>
      <c r="D3485" t="s">
        <v>109</v>
      </c>
      <c r="E3485">
        <v>4</v>
      </c>
      <c r="F3485">
        <v>1004</v>
      </c>
      <c r="G3485" t="s">
        <v>110</v>
      </c>
      <c r="J3485" t="s">
        <v>111</v>
      </c>
      <c r="K3485">
        <v>0</v>
      </c>
      <c r="L3485">
        <v>3</v>
      </c>
      <c r="M3485">
        <v>0</v>
      </c>
      <c r="N3485">
        <v>2</v>
      </c>
      <c r="O3485">
        <v>1</v>
      </c>
      <c r="P3485">
        <v>0</v>
      </c>
      <c r="Q3485">
        <v>0</v>
      </c>
      <c r="R3485" t="s">
        <v>112</v>
      </c>
      <c r="S3485" t="str">
        <f>"14:48:26.078"</f>
        <v>14:48:26.078</v>
      </c>
      <c r="T3485" t="str">
        <f>"14:48:25.578"</f>
        <v>14:48:25.578</v>
      </c>
      <c r="U3485" t="str">
        <f t="shared" si="162"/>
        <v>ad5732</v>
      </c>
      <c r="V3485">
        <v>0</v>
      </c>
      <c r="W3485">
        <v>0</v>
      </c>
      <c r="X3485">
        <v>1</v>
      </c>
      <c r="Z3485">
        <v>0</v>
      </c>
      <c r="AA3485">
        <v>9</v>
      </c>
      <c r="AB3485">
        <v>3</v>
      </c>
      <c r="AC3485">
        <v>0</v>
      </c>
      <c r="AD3485">
        <v>10</v>
      </c>
      <c r="AE3485">
        <v>0</v>
      </c>
      <c r="AF3485">
        <v>3</v>
      </c>
      <c r="AG3485">
        <v>2</v>
      </c>
      <c r="AH3485">
        <v>0</v>
      </c>
      <c r="AI3485" t="s">
        <v>6737</v>
      </c>
      <c r="AJ3485">
        <v>40.383918000000001</v>
      </c>
      <c r="AK3485" t="s">
        <v>7048</v>
      </c>
      <c r="AL3485">
        <v>-74.575001999999998</v>
      </c>
      <c r="AM3485">
        <v>100</v>
      </c>
      <c r="AN3485">
        <v>1700</v>
      </c>
      <c r="AO3485" t="s">
        <v>115</v>
      </c>
      <c r="AP3485">
        <v>115</v>
      </c>
      <c r="AQ3485">
        <v>62</v>
      </c>
      <c r="AR3485">
        <v>-64</v>
      </c>
      <c r="AZ3485">
        <v>3614</v>
      </c>
      <c r="BA3485">
        <v>1</v>
      </c>
      <c r="BB3485" t="str">
        <f t="shared" si="164"/>
        <v xml:space="preserve">N959MJ  </v>
      </c>
      <c r="BC3485">
        <v>1</v>
      </c>
      <c r="BE3485">
        <v>0</v>
      </c>
      <c r="BF3485">
        <v>0</v>
      </c>
      <c r="BG3485">
        <v>0</v>
      </c>
      <c r="BH3485">
        <v>1875</v>
      </c>
      <c r="BI3485">
        <v>175</v>
      </c>
      <c r="BJ3485">
        <v>1</v>
      </c>
      <c r="BK3485">
        <v>1</v>
      </c>
      <c r="BL3485">
        <v>1</v>
      </c>
      <c r="BM3485">
        <v>0</v>
      </c>
      <c r="BP3485">
        <v>0</v>
      </c>
      <c r="BQ3485">
        <v>0</v>
      </c>
      <c r="BX3485" t="str">
        <f>"14:48:26.078"</f>
        <v>14:48:26.078</v>
      </c>
      <c r="BY3485" t="str">
        <f>"079276835"</f>
        <v>079276835</v>
      </c>
      <c r="CL3485">
        <v>0</v>
      </c>
      <c r="CM3485">
        <v>2</v>
      </c>
      <c r="CN3485">
        <v>0</v>
      </c>
      <c r="CO3485">
        <v>2</v>
      </c>
      <c r="CP3485">
        <v>0</v>
      </c>
      <c r="CQ3485">
        <v>7</v>
      </c>
      <c r="CR3485" t="s">
        <v>116</v>
      </c>
      <c r="CS3485">
        <v>38</v>
      </c>
      <c r="CT3485">
        <v>0</v>
      </c>
      <c r="CU3485" t="s">
        <v>4719</v>
      </c>
      <c r="CV3485" t="s">
        <v>4720</v>
      </c>
      <c r="CY3485">
        <v>7945034</v>
      </c>
      <c r="CZ3485" t="s">
        <v>119</v>
      </c>
    </row>
    <row r="3486" spans="1:104" x14ac:dyDescent="0.25">
      <c r="A3486" t="str">
        <f>"14:48:27.281"</f>
        <v>14:48:27.281</v>
      </c>
      <c r="B3486" t="s">
        <v>108</v>
      </c>
      <c r="C3486" t="str">
        <f t="shared" si="163"/>
        <v>ffdfd3c0</v>
      </c>
      <c r="D3486" t="s">
        <v>109</v>
      </c>
      <c r="E3486">
        <v>4</v>
      </c>
      <c r="F3486">
        <v>1004</v>
      </c>
      <c r="G3486" t="s">
        <v>110</v>
      </c>
      <c r="J3486" t="s">
        <v>111</v>
      </c>
      <c r="K3486">
        <v>0</v>
      </c>
      <c r="L3486">
        <v>3</v>
      </c>
      <c r="M3486">
        <v>0</v>
      </c>
      <c r="N3486">
        <v>2</v>
      </c>
      <c r="O3486">
        <v>1</v>
      </c>
      <c r="P3486">
        <v>0</v>
      </c>
      <c r="Q3486">
        <v>0</v>
      </c>
      <c r="R3486" t="s">
        <v>112</v>
      </c>
      <c r="S3486" t="str">
        <f>"14:48:27.078"</f>
        <v>14:48:27.078</v>
      </c>
      <c r="T3486" t="str">
        <f>"14:48:26.680"</f>
        <v>14:48:26.680</v>
      </c>
      <c r="U3486" t="str">
        <f t="shared" si="162"/>
        <v>ad5732</v>
      </c>
      <c r="V3486">
        <v>0</v>
      </c>
      <c r="W3486">
        <v>0</v>
      </c>
      <c r="X3486">
        <v>1</v>
      </c>
      <c r="Z3486">
        <v>0</v>
      </c>
      <c r="AA3486">
        <v>9</v>
      </c>
      <c r="AB3486">
        <v>3</v>
      </c>
      <c r="AC3486">
        <v>0</v>
      </c>
      <c r="AD3486">
        <v>10</v>
      </c>
      <c r="AE3486">
        <v>0</v>
      </c>
      <c r="AF3486">
        <v>3</v>
      </c>
      <c r="AG3486">
        <v>2</v>
      </c>
      <c r="AH3486">
        <v>0</v>
      </c>
      <c r="AI3486" t="s">
        <v>6731</v>
      </c>
      <c r="AJ3486">
        <v>40.384197</v>
      </c>
      <c r="AK3486" t="s">
        <v>7049</v>
      </c>
      <c r="AL3486">
        <v>-74.574315999999996</v>
      </c>
      <c r="AM3486">
        <v>100</v>
      </c>
      <c r="AN3486">
        <v>1700</v>
      </c>
      <c r="AO3486" t="s">
        <v>115</v>
      </c>
      <c r="AP3486">
        <v>114</v>
      </c>
      <c r="AQ3486">
        <v>62</v>
      </c>
      <c r="AR3486">
        <v>0</v>
      </c>
      <c r="AZ3486">
        <v>3614</v>
      </c>
      <c r="BA3486">
        <v>1</v>
      </c>
      <c r="BB3486" t="str">
        <f t="shared" si="164"/>
        <v xml:space="preserve">N959MJ  </v>
      </c>
      <c r="BC3486">
        <v>1</v>
      </c>
      <c r="BE3486">
        <v>0</v>
      </c>
      <c r="BF3486">
        <v>0</v>
      </c>
      <c r="BG3486">
        <v>0</v>
      </c>
      <c r="BH3486">
        <v>1875</v>
      </c>
      <c r="BI3486">
        <v>175</v>
      </c>
      <c r="BJ3486">
        <v>1</v>
      </c>
      <c r="BK3486">
        <v>1</v>
      </c>
      <c r="BL3486">
        <v>1</v>
      </c>
      <c r="BM3486">
        <v>0</v>
      </c>
      <c r="BP3486">
        <v>0</v>
      </c>
      <c r="BQ3486">
        <v>0</v>
      </c>
      <c r="BX3486" t="str">
        <f>"14:48:27.086"</f>
        <v>14:48:27.086</v>
      </c>
      <c r="BY3486" t="str">
        <f>"085272358"</f>
        <v>085272358</v>
      </c>
      <c r="CL3486">
        <v>0</v>
      </c>
      <c r="CM3486">
        <v>2</v>
      </c>
      <c r="CN3486">
        <v>0</v>
      </c>
      <c r="CO3486">
        <v>2</v>
      </c>
      <c r="CP3486">
        <v>0</v>
      </c>
      <c r="CQ3486">
        <v>7</v>
      </c>
      <c r="CR3486" t="s">
        <v>116</v>
      </c>
      <c r="CS3486">
        <v>38</v>
      </c>
      <c r="CT3486">
        <v>0</v>
      </c>
      <c r="CU3486" t="s">
        <v>4719</v>
      </c>
      <c r="CV3486" t="s">
        <v>4720</v>
      </c>
      <c r="CY3486">
        <v>7946557</v>
      </c>
      <c r="CZ3486" t="s">
        <v>119</v>
      </c>
    </row>
    <row r="3487" spans="1:104" x14ac:dyDescent="0.25">
      <c r="A3487" t="str">
        <f>"14:48:28.289"</f>
        <v>14:48:28.289</v>
      </c>
      <c r="B3487" t="s">
        <v>108</v>
      </c>
      <c r="C3487" t="str">
        <f t="shared" si="163"/>
        <v>ffdfd3c0</v>
      </c>
      <c r="D3487" t="s">
        <v>109</v>
      </c>
      <c r="E3487">
        <v>4</v>
      </c>
      <c r="F3487">
        <v>1004</v>
      </c>
      <c r="G3487" t="s">
        <v>110</v>
      </c>
      <c r="J3487" t="s">
        <v>111</v>
      </c>
      <c r="K3487">
        <v>0</v>
      </c>
      <c r="L3487">
        <v>3</v>
      </c>
      <c r="M3487">
        <v>0</v>
      </c>
      <c r="N3487">
        <v>2</v>
      </c>
      <c r="O3487">
        <v>1</v>
      </c>
      <c r="P3487">
        <v>0</v>
      </c>
      <c r="Q3487">
        <v>0</v>
      </c>
      <c r="R3487" t="s">
        <v>112</v>
      </c>
      <c r="S3487" t="str">
        <f>"14:48:28.117"</f>
        <v>14:48:28.117</v>
      </c>
      <c r="T3487" t="str">
        <f>"14:48:27.719"</f>
        <v>14:48:27.719</v>
      </c>
      <c r="U3487" t="str">
        <f t="shared" si="162"/>
        <v>ad5732</v>
      </c>
      <c r="V3487">
        <v>0</v>
      </c>
      <c r="W3487">
        <v>0</v>
      </c>
      <c r="X3487">
        <v>1</v>
      </c>
      <c r="Z3487">
        <v>0</v>
      </c>
      <c r="AA3487">
        <v>9</v>
      </c>
      <c r="AB3487">
        <v>3</v>
      </c>
      <c r="AC3487">
        <v>0</v>
      </c>
      <c r="AD3487">
        <v>10</v>
      </c>
      <c r="AE3487">
        <v>0</v>
      </c>
      <c r="AF3487">
        <v>3</v>
      </c>
      <c r="AG3487">
        <v>2</v>
      </c>
      <c r="AH3487">
        <v>0</v>
      </c>
      <c r="AI3487" t="s">
        <v>7050</v>
      </c>
      <c r="AJ3487">
        <v>40.384475999999999</v>
      </c>
      <c r="AK3487" t="s">
        <v>7051</v>
      </c>
      <c r="AL3487">
        <v>-74.573628999999997</v>
      </c>
      <c r="AM3487">
        <v>100</v>
      </c>
      <c r="AN3487">
        <v>1700</v>
      </c>
      <c r="AO3487" t="s">
        <v>115</v>
      </c>
      <c r="AP3487">
        <v>114</v>
      </c>
      <c r="AQ3487">
        <v>62</v>
      </c>
      <c r="AR3487">
        <v>64</v>
      </c>
      <c r="AZ3487">
        <v>3614</v>
      </c>
      <c r="BA3487">
        <v>1</v>
      </c>
      <c r="BB3487" t="str">
        <f t="shared" si="164"/>
        <v xml:space="preserve">N959MJ  </v>
      </c>
      <c r="BC3487">
        <v>1</v>
      </c>
      <c r="BE3487">
        <v>0</v>
      </c>
      <c r="BF3487">
        <v>0</v>
      </c>
      <c r="BG3487">
        <v>0</v>
      </c>
      <c r="BH3487">
        <v>1875</v>
      </c>
      <c r="BI3487">
        <v>175</v>
      </c>
      <c r="BJ3487">
        <v>1</v>
      </c>
      <c r="BK3487">
        <v>1</v>
      </c>
      <c r="BL3487">
        <v>1</v>
      </c>
      <c r="BM3487">
        <v>0</v>
      </c>
      <c r="BP3487">
        <v>0</v>
      </c>
      <c r="BQ3487">
        <v>0</v>
      </c>
      <c r="BX3487" t="str">
        <f>"14:48:28.125"</f>
        <v>14:48:28.125</v>
      </c>
      <c r="BY3487" t="str">
        <f>"124036501"</f>
        <v>124036501</v>
      </c>
      <c r="CL3487">
        <v>0</v>
      </c>
      <c r="CM3487">
        <v>2</v>
      </c>
      <c r="CN3487">
        <v>0</v>
      </c>
      <c r="CO3487">
        <v>2</v>
      </c>
      <c r="CP3487">
        <v>0</v>
      </c>
      <c r="CQ3487">
        <v>7</v>
      </c>
      <c r="CR3487" t="s">
        <v>116</v>
      </c>
      <c r="CS3487">
        <v>38</v>
      </c>
      <c r="CT3487">
        <v>0</v>
      </c>
      <c r="CU3487" t="s">
        <v>4719</v>
      </c>
      <c r="CV3487" t="s">
        <v>4720</v>
      </c>
      <c r="CY3487">
        <v>7948181</v>
      </c>
      <c r="CZ3487" t="s">
        <v>119</v>
      </c>
    </row>
    <row r="3488" spans="1:104" x14ac:dyDescent="0.25">
      <c r="A3488" t="str">
        <f>"14:48:29.305"</f>
        <v>14:48:29.305</v>
      </c>
      <c r="B3488" t="s">
        <v>108</v>
      </c>
      <c r="C3488" t="str">
        <f t="shared" si="163"/>
        <v>ffdfd3c0</v>
      </c>
      <c r="D3488" t="s">
        <v>109</v>
      </c>
      <c r="E3488">
        <v>4</v>
      </c>
      <c r="F3488">
        <v>1004</v>
      </c>
      <c r="G3488" t="s">
        <v>110</v>
      </c>
      <c r="J3488" t="s">
        <v>111</v>
      </c>
      <c r="K3488">
        <v>0</v>
      </c>
      <c r="L3488">
        <v>3</v>
      </c>
      <c r="M3488">
        <v>0</v>
      </c>
      <c r="N3488">
        <v>2</v>
      </c>
      <c r="O3488">
        <v>1</v>
      </c>
      <c r="P3488">
        <v>0</v>
      </c>
      <c r="Q3488">
        <v>0</v>
      </c>
      <c r="R3488" t="s">
        <v>112</v>
      </c>
      <c r="S3488" t="str">
        <f>"14:48:29.117"</f>
        <v>14:48:29.117</v>
      </c>
      <c r="T3488" t="str">
        <f>"14:48:28.617"</f>
        <v>14:48:28.617</v>
      </c>
      <c r="U3488" t="str">
        <f t="shared" si="162"/>
        <v>ad5732</v>
      </c>
      <c r="V3488">
        <v>0</v>
      </c>
      <c r="W3488">
        <v>0</v>
      </c>
      <c r="X3488">
        <v>1</v>
      </c>
      <c r="Z3488">
        <v>0</v>
      </c>
      <c r="AA3488">
        <v>9</v>
      </c>
      <c r="AB3488">
        <v>3</v>
      </c>
      <c r="AC3488">
        <v>0</v>
      </c>
      <c r="AD3488">
        <v>10</v>
      </c>
      <c r="AE3488">
        <v>0</v>
      </c>
      <c r="AF3488">
        <v>3</v>
      </c>
      <c r="AG3488">
        <v>2</v>
      </c>
      <c r="AH3488">
        <v>0</v>
      </c>
      <c r="AI3488" t="s">
        <v>7052</v>
      </c>
      <c r="AJ3488">
        <v>40.384754999999998</v>
      </c>
      <c r="AK3488" t="s">
        <v>7053</v>
      </c>
      <c r="AL3488">
        <v>-74.572941999999998</v>
      </c>
      <c r="AM3488">
        <v>100</v>
      </c>
      <c r="AN3488">
        <v>1700</v>
      </c>
      <c r="AO3488" t="s">
        <v>115</v>
      </c>
      <c r="AP3488">
        <v>114</v>
      </c>
      <c r="AQ3488">
        <v>62</v>
      </c>
      <c r="AR3488">
        <v>64</v>
      </c>
      <c r="AZ3488">
        <v>3614</v>
      </c>
      <c r="BA3488">
        <v>1</v>
      </c>
      <c r="BB3488" t="str">
        <f t="shared" si="164"/>
        <v xml:space="preserve">N959MJ  </v>
      </c>
      <c r="BC3488">
        <v>1</v>
      </c>
      <c r="BE3488">
        <v>0</v>
      </c>
      <c r="BF3488">
        <v>0</v>
      </c>
      <c r="BG3488">
        <v>0</v>
      </c>
      <c r="BH3488">
        <v>1875</v>
      </c>
      <c r="BI3488">
        <v>175</v>
      </c>
      <c r="BJ3488">
        <v>1</v>
      </c>
      <c r="BK3488">
        <v>1</v>
      </c>
      <c r="BL3488">
        <v>1</v>
      </c>
      <c r="BM3488">
        <v>0</v>
      </c>
      <c r="BP3488">
        <v>0</v>
      </c>
      <c r="BQ3488">
        <v>0</v>
      </c>
      <c r="BX3488" t="str">
        <f>"14:48:29.117"</f>
        <v>14:48:29.117</v>
      </c>
      <c r="BY3488" t="str">
        <f>"118562818"</f>
        <v>118562818</v>
      </c>
      <c r="CL3488">
        <v>0</v>
      </c>
      <c r="CM3488">
        <v>2</v>
      </c>
      <c r="CN3488">
        <v>0</v>
      </c>
      <c r="CO3488">
        <v>2</v>
      </c>
      <c r="CP3488">
        <v>0</v>
      </c>
      <c r="CQ3488">
        <v>7</v>
      </c>
      <c r="CR3488" t="s">
        <v>116</v>
      </c>
      <c r="CS3488">
        <v>38</v>
      </c>
      <c r="CT3488">
        <v>0</v>
      </c>
      <c r="CU3488" t="s">
        <v>4719</v>
      </c>
      <c r="CV3488" t="s">
        <v>4720</v>
      </c>
      <c r="CY3488">
        <v>7949763</v>
      </c>
      <c r="CZ3488" t="s">
        <v>119</v>
      </c>
    </row>
    <row r="3489" spans="1:104" x14ac:dyDescent="0.25">
      <c r="A3489" t="str">
        <f>"14:48:30.211"</f>
        <v>14:48:30.211</v>
      </c>
      <c r="B3489" t="s">
        <v>108</v>
      </c>
      <c r="C3489" t="str">
        <f t="shared" si="163"/>
        <v>ffdfd3c0</v>
      </c>
      <c r="D3489" t="s">
        <v>109</v>
      </c>
      <c r="E3489">
        <v>4</v>
      </c>
      <c r="F3489">
        <v>1004</v>
      </c>
      <c r="G3489" t="s">
        <v>110</v>
      </c>
      <c r="J3489" t="s">
        <v>111</v>
      </c>
      <c r="K3489">
        <v>0</v>
      </c>
      <c r="L3489">
        <v>3</v>
      </c>
      <c r="M3489">
        <v>0</v>
      </c>
      <c r="N3489">
        <v>2</v>
      </c>
      <c r="O3489">
        <v>1</v>
      </c>
      <c r="P3489">
        <v>0</v>
      </c>
      <c r="Q3489">
        <v>0</v>
      </c>
      <c r="R3489" t="s">
        <v>112</v>
      </c>
      <c r="S3489" t="str">
        <f>"14:48:30.031"</f>
        <v>14:48:30.031</v>
      </c>
      <c r="T3489" t="str">
        <f>"14:48:29.633"</f>
        <v>14:48:29.633</v>
      </c>
      <c r="U3489" t="str">
        <f t="shared" si="162"/>
        <v>ad5732</v>
      </c>
      <c r="V3489">
        <v>0</v>
      </c>
      <c r="W3489">
        <v>0</v>
      </c>
      <c r="X3489">
        <v>1</v>
      </c>
      <c r="Z3489">
        <v>0</v>
      </c>
      <c r="AA3489">
        <v>9</v>
      </c>
      <c r="AB3489">
        <v>3</v>
      </c>
      <c r="AC3489">
        <v>0</v>
      </c>
      <c r="AD3489">
        <v>10</v>
      </c>
      <c r="AE3489">
        <v>0</v>
      </c>
      <c r="AF3489">
        <v>3</v>
      </c>
      <c r="AG3489">
        <v>2</v>
      </c>
      <c r="AH3489">
        <v>0</v>
      </c>
      <c r="AI3489" t="s">
        <v>7054</v>
      </c>
      <c r="AJ3489">
        <v>40.385033999999997</v>
      </c>
      <c r="AK3489" t="s">
        <v>7055</v>
      </c>
      <c r="AL3489">
        <v>-74.572255999999996</v>
      </c>
      <c r="AM3489">
        <v>100</v>
      </c>
      <c r="AN3489">
        <v>1700</v>
      </c>
      <c r="AO3489" t="s">
        <v>115</v>
      </c>
      <c r="AP3489">
        <v>114</v>
      </c>
      <c r="AQ3489">
        <v>62</v>
      </c>
      <c r="AR3489">
        <v>64</v>
      </c>
      <c r="AZ3489">
        <v>3614</v>
      </c>
      <c r="BA3489">
        <v>1</v>
      </c>
      <c r="BB3489" t="str">
        <f t="shared" si="164"/>
        <v xml:space="preserve">N959MJ  </v>
      </c>
      <c r="BC3489">
        <v>1</v>
      </c>
      <c r="BE3489">
        <v>0</v>
      </c>
      <c r="BF3489">
        <v>0</v>
      </c>
      <c r="BG3489">
        <v>0</v>
      </c>
      <c r="BH3489">
        <v>1875</v>
      </c>
      <c r="BI3489">
        <v>175</v>
      </c>
      <c r="BJ3489">
        <v>1</v>
      </c>
      <c r="BK3489">
        <v>1</v>
      </c>
      <c r="BL3489">
        <v>1</v>
      </c>
      <c r="BM3489">
        <v>0</v>
      </c>
      <c r="BP3489">
        <v>0</v>
      </c>
      <c r="BQ3489">
        <v>0</v>
      </c>
      <c r="BX3489" t="str">
        <f>"14:48:30.039"</f>
        <v>14:48:30.039</v>
      </c>
      <c r="BY3489" t="str">
        <f>"036083117"</f>
        <v>036083117</v>
      </c>
      <c r="CL3489">
        <v>0</v>
      </c>
      <c r="CM3489">
        <v>2</v>
      </c>
      <c r="CN3489">
        <v>0</v>
      </c>
      <c r="CO3489">
        <v>2</v>
      </c>
      <c r="CP3489">
        <v>0</v>
      </c>
      <c r="CQ3489">
        <v>7</v>
      </c>
      <c r="CR3489" t="s">
        <v>116</v>
      </c>
      <c r="CS3489">
        <v>38</v>
      </c>
      <c r="CT3489">
        <v>0</v>
      </c>
      <c r="CU3489" t="s">
        <v>4719</v>
      </c>
      <c r="CV3489" t="s">
        <v>4720</v>
      </c>
      <c r="CY3489">
        <v>7951219</v>
      </c>
      <c r="CZ3489" t="s">
        <v>119</v>
      </c>
    </row>
    <row r="3490" spans="1:104" x14ac:dyDescent="0.25">
      <c r="A3490" t="str">
        <f>"14:48:31.375"</f>
        <v>14:48:31.375</v>
      </c>
      <c r="B3490" t="s">
        <v>108</v>
      </c>
      <c r="C3490" t="str">
        <f t="shared" si="163"/>
        <v>ffdfd3c0</v>
      </c>
      <c r="D3490" t="s">
        <v>109</v>
      </c>
      <c r="E3490">
        <v>4</v>
      </c>
      <c r="F3490">
        <v>1004</v>
      </c>
      <c r="G3490" t="s">
        <v>110</v>
      </c>
      <c r="J3490" t="s">
        <v>111</v>
      </c>
      <c r="K3490">
        <v>0</v>
      </c>
      <c r="L3490">
        <v>3</v>
      </c>
      <c r="M3490">
        <v>0</v>
      </c>
      <c r="N3490">
        <v>2</v>
      </c>
      <c r="O3490">
        <v>1</v>
      </c>
      <c r="P3490">
        <v>0</v>
      </c>
      <c r="Q3490">
        <v>0</v>
      </c>
      <c r="R3490" t="s">
        <v>112</v>
      </c>
      <c r="S3490" t="str">
        <f>"14:48:31.180"</f>
        <v>14:48:31.180</v>
      </c>
      <c r="T3490" t="str">
        <f>"14:48:30.680"</f>
        <v>14:48:30.680</v>
      </c>
      <c r="U3490" t="str">
        <f t="shared" si="162"/>
        <v>ad5732</v>
      </c>
      <c r="V3490">
        <v>0</v>
      </c>
      <c r="W3490">
        <v>0</v>
      </c>
      <c r="X3490">
        <v>1</v>
      </c>
      <c r="Z3490">
        <v>0</v>
      </c>
      <c r="AA3490">
        <v>9</v>
      </c>
      <c r="AB3490">
        <v>3</v>
      </c>
      <c r="AC3490">
        <v>0</v>
      </c>
      <c r="AD3490">
        <v>10</v>
      </c>
      <c r="AE3490">
        <v>0</v>
      </c>
      <c r="AF3490">
        <v>3</v>
      </c>
      <c r="AG3490">
        <v>2</v>
      </c>
      <c r="AH3490">
        <v>0</v>
      </c>
      <c r="AI3490" t="s">
        <v>6708</v>
      </c>
      <c r="AJ3490">
        <v>40.385376999999998</v>
      </c>
      <c r="AK3490" t="s">
        <v>7056</v>
      </c>
      <c r="AL3490">
        <v>-74.571461999999997</v>
      </c>
      <c r="AM3490">
        <v>100</v>
      </c>
      <c r="AN3490">
        <v>1700</v>
      </c>
      <c r="AO3490" t="s">
        <v>115</v>
      </c>
      <c r="AP3490">
        <v>113</v>
      </c>
      <c r="AQ3490">
        <v>62</v>
      </c>
      <c r="AR3490">
        <v>64</v>
      </c>
      <c r="AZ3490">
        <v>3614</v>
      </c>
      <c r="BA3490">
        <v>1</v>
      </c>
      <c r="BB3490" t="str">
        <f t="shared" si="164"/>
        <v xml:space="preserve">N959MJ  </v>
      </c>
      <c r="BC3490">
        <v>1</v>
      </c>
      <c r="BE3490">
        <v>0</v>
      </c>
      <c r="BF3490">
        <v>0</v>
      </c>
      <c r="BG3490">
        <v>0</v>
      </c>
      <c r="BH3490">
        <v>1875</v>
      </c>
      <c r="BI3490">
        <v>175</v>
      </c>
      <c r="BJ3490">
        <v>1</v>
      </c>
      <c r="BK3490">
        <v>1</v>
      </c>
      <c r="BL3490">
        <v>1</v>
      </c>
      <c r="BM3490">
        <v>0</v>
      </c>
      <c r="BP3490">
        <v>0</v>
      </c>
      <c r="BQ3490">
        <v>0</v>
      </c>
      <c r="BX3490" t="str">
        <f>"14:48:31.180"</f>
        <v>14:48:31.180</v>
      </c>
      <c r="BY3490" t="str">
        <f>"179775359"</f>
        <v>179775359</v>
      </c>
      <c r="CL3490">
        <v>0</v>
      </c>
      <c r="CM3490">
        <v>2</v>
      </c>
      <c r="CN3490">
        <v>0</v>
      </c>
      <c r="CO3490">
        <v>2</v>
      </c>
      <c r="CP3490">
        <v>0</v>
      </c>
      <c r="CQ3490">
        <v>6</v>
      </c>
      <c r="CR3490" t="s">
        <v>116</v>
      </c>
      <c r="CS3490">
        <v>305</v>
      </c>
      <c r="CT3490">
        <v>3</v>
      </c>
      <c r="CU3490" t="s">
        <v>6425</v>
      </c>
      <c r="CV3490" t="s">
        <v>6426</v>
      </c>
      <c r="CY3490">
        <v>5784117</v>
      </c>
      <c r="CZ3490" t="s">
        <v>119</v>
      </c>
    </row>
    <row r="3491" spans="1:104" x14ac:dyDescent="0.25">
      <c r="A3491" t="str">
        <f>"14:48:32.383"</f>
        <v>14:48:32.383</v>
      </c>
      <c r="B3491" t="s">
        <v>108</v>
      </c>
      <c r="C3491" t="str">
        <f t="shared" si="163"/>
        <v>ffdfd3c0</v>
      </c>
      <c r="D3491" t="s">
        <v>109</v>
      </c>
      <c r="E3491">
        <v>4</v>
      </c>
      <c r="F3491">
        <v>1004</v>
      </c>
      <c r="G3491" t="s">
        <v>110</v>
      </c>
      <c r="J3491" t="s">
        <v>111</v>
      </c>
      <c r="K3491">
        <v>0</v>
      </c>
      <c r="L3491">
        <v>3</v>
      </c>
      <c r="M3491">
        <v>0</v>
      </c>
      <c r="N3491">
        <v>2</v>
      </c>
      <c r="O3491">
        <v>1</v>
      </c>
      <c r="P3491">
        <v>0</v>
      </c>
      <c r="Q3491">
        <v>0</v>
      </c>
      <c r="R3491" t="s">
        <v>112</v>
      </c>
      <c r="S3491" t="str">
        <f>"14:48:32.211"</f>
        <v>14:48:32.211</v>
      </c>
      <c r="T3491" t="str">
        <f>"14:48:31.711"</f>
        <v>14:48:31.711</v>
      </c>
      <c r="U3491" t="str">
        <f t="shared" si="162"/>
        <v>ad5732</v>
      </c>
      <c r="V3491">
        <v>0</v>
      </c>
      <c r="W3491">
        <v>0</v>
      </c>
      <c r="X3491">
        <v>1</v>
      </c>
      <c r="Z3491">
        <v>0</v>
      </c>
      <c r="AA3491">
        <v>9</v>
      </c>
      <c r="AB3491">
        <v>3</v>
      </c>
      <c r="AC3491">
        <v>0</v>
      </c>
      <c r="AD3491">
        <v>10</v>
      </c>
      <c r="AE3491">
        <v>0</v>
      </c>
      <c r="AF3491">
        <v>3</v>
      </c>
      <c r="AG3491">
        <v>2</v>
      </c>
      <c r="AH3491">
        <v>0</v>
      </c>
      <c r="AI3491" t="s">
        <v>7057</v>
      </c>
      <c r="AJ3491">
        <v>40.385655999999997</v>
      </c>
      <c r="AK3491" t="s">
        <v>7058</v>
      </c>
      <c r="AL3491">
        <v>-74.570796000000001</v>
      </c>
      <c r="AM3491">
        <v>100</v>
      </c>
      <c r="AN3491">
        <v>1700</v>
      </c>
      <c r="AO3491" t="s">
        <v>115</v>
      </c>
      <c r="AP3491">
        <v>113</v>
      </c>
      <c r="AQ3491">
        <v>62</v>
      </c>
      <c r="AR3491">
        <v>64</v>
      </c>
      <c r="AZ3491">
        <v>3614</v>
      </c>
      <c r="BA3491">
        <v>1</v>
      </c>
      <c r="BB3491" t="str">
        <f t="shared" si="164"/>
        <v xml:space="preserve">N959MJ  </v>
      </c>
      <c r="BC3491">
        <v>1</v>
      </c>
      <c r="BE3491">
        <v>0</v>
      </c>
      <c r="BF3491">
        <v>0</v>
      </c>
      <c r="BG3491">
        <v>0</v>
      </c>
      <c r="BH3491">
        <v>1875</v>
      </c>
      <c r="BI3491">
        <v>175</v>
      </c>
      <c r="BJ3491">
        <v>1</v>
      </c>
      <c r="BK3491">
        <v>1</v>
      </c>
      <c r="BL3491">
        <v>1</v>
      </c>
      <c r="BM3491">
        <v>0</v>
      </c>
      <c r="BP3491">
        <v>0</v>
      </c>
      <c r="BQ3491">
        <v>0</v>
      </c>
      <c r="BX3491" t="str">
        <f>"14:48:32.211"</f>
        <v>14:48:32.211</v>
      </c>
      <c r="BY3491" t="str">
        <f>"211916962"</f>
        <v>211916962</v>
      </c>
      <c r="CL3491">
        <v>0</v>
      </c>
      <c r="CM3491">
        <v>2</v>
      </c>
      <c r="CN3491">
        <v>0</v>
      </c>
      <c r="CO3491">
        <v>2</v>
      </c>
      <c r="CP3491">
        <v>0</v>
      </c>
      <c r="CQ3491">
        <v>7</v>
      </c>
      <c r="CR3491" t="s">
        <v>116</v>
      </c>
      <c r="CS3491">
        <v>38</v>
      </c>
      <c r="CT3491">
        <v>0</v>
      </c>
      <c r="CU3491" t="s">
        <v>4719</v>
      </c>
      <c r="CV3491" t="s">
        <v>4720</v>
      </c>
      <c r="CY3491">
        <v>7954547</v>
      </c>
      <c r="CZ3491" t="s">
        <v>119</v>
      </c>
    </row>
    <row r="3492" spans="1:104" x14ac:dyDescent="0.25">
      <c r="A3492" t="str">
        <f>"14:48:33.391"</f>
        <v>14:48:33.391</v>
      </c>
      <c r="B3492" t="s">
        <v>108</v>
      </c>
      <c r="C3492" t="str">
        <f t="shared" si="163"/>
        <v>ffdfd3c0</v>
      </c>
      <c r="D3492" t="s">
        <v>109</v>
      </c>
      <c r="E3492">
        <v>4</v>
      </c>
      <c r="F3492">
        <v>1004</v>
      </c>
      <c r="G3492" t="s">
        <v>110</v>
      </c>
      <c r="J3492" t="s">
        <v>111</v>
      </c>
      <c r="K3492">
        <v>0</v>
      </c>
      <c r="L3492">
        <v>3</v>
      </c>
      <c r="M3492">
        <v>0</v>
      </c>
      <c r="N3492">
        <v>2</v>
      </c>
      <c r="O3492">
        <v>1</v>
      </c>
      <c r="P3492">
        <v>0</v>
      </c>
      <c r="Q3492">
        <v>0</v>
      </c>
      <c r="R3492" t="s">
        <v>112</v>
      </c>
      <c r="S3492" t="str">
        <f>"14:48:33.180"</f>
        <v>14:48:33.180</v>
      </c>
      <c r="T3492" t="str">
        <f>"14:48:32.781"</f>
        <v>14:48:32.781</v>
      </c>
      <c r="U3492" t="str">
        <f t="shared" si="162"/>
        <v>ad5732</v>
      </c>
      <c r="V3492">
        <v>0</v>
      </c>
      <c r="W3492">
        <v>0</v>
      </c>
      <c r="X3492">
        <v>1</v>
      </c>
      <c r="Z3492">
        <v>0</v>
      </c>
      <c r="AA3492">
        <v>9</v>
      </c>
      <c r="AB3492">
        <v>3</v>
      </c>
      <c r="AC3492">
        <v>0</v>
      </c>
      <c r="AD3492">
        <v>10</v>
      </c>
      <c r="AE3492">
        <v>0</v>
      </c>
      <c r="AF3492">
        <v>3</v>
      </c>
      <c r="AG3492">
        <v>2</v>
      </c>
      <c r="AH3492">
        <v>0</v>
      </c>
      <c r="AI3492" t="s">
        <v>7059</v>
      </c>
      <c r="AJ3492">
        <v>40.385935000000003</v>
      </c>
      <c r="AK3492" t="s">
        <v>7060</v>
      </c>
      <c r="AL3492">
        <v>-74.570131000000003</v>
      </c>
      <c r="AM3492">
        <v>100</v>
      </c>
      <c r="AN3492">
        <v>1700</v>
      </c>
      <c r="AO3492" t="s">
        <v>115</v>
      </c>
      <c r="AP3492">
        <v>113</v>
      </c>
      <c r="AQ3492">
        <v>61</v>
      </c>
      <c r="AR3492">
        <v>64</v>
      </c>
      <c r="AZ3492">
        <v>3614</v>
      </c>
      <c r="BA3492">
        <v>1</v>
      </c>
      <c r="BB3492" t="str">
        <f t="shared" si="164"/>
        <v xml:space="preserve">N959MJ  </v>
      </c>
      <c r="BC3492">
        <v>1</v>
      </c>
      <c r="BE3492">
        <v>0</v>
      </c>
      <c r="BF3492">
        <v>0</v>
      </c>
      <c r="BG3492">
        <v>0</v>
      </c>
      <c r="BH3492">
        <v>1875</v>
      </c>
      <c r="BI3492">
        <v>175</v>
      </c>
      <c r="BJ3492">
        <v>1</v>
      </c>
      <c r="BK3492">
        <v>1</v>
      </c>
      <c r="BL3492">
        <v>1</v>
      </c>
      <c r="BM3492">
        <v>0</v>
      </c>
      <c r="BP3492">
        <v>0</v>
      </c>
      <c r="BQ3492">
        <v>0</v>
      </c>
      <c r="BX3492" t="str">
        <f>"14:48:33.180"</f>
        <v>14:48:33.180</v>
      </c>
      <c r="BY3492" t="str">
        <f>"183573382"</f>
        <v>183573382</v>
      </c>
      <c r="CL3492">
        <v>0</v>
      </c>
      <c r="CM3492">
        <v>2</v>
      </c>
      <c r="CN3492">
        <v>0</v>
      </c>
      <c r="CO3492">
        <v>2</v>
      </c>
      <c r="CP3492">
        <v>0</v>
      </c>
      <c r="CQ3492">
        <v>6</v>
      </c>
      <c r="CR3492" t="s">
        <v>116</v>
      </c>
      <c r="CS3492">
        <v>305</v>
      </c>
      <c r="CT3492">
        <v>3</v>
      </c>
      <c r="CU3492" t="s">
        <v>6425</v>
      </c>
      <c r="CV3492" t="s">
        <v>6426</v>
      </c>
      <c r="CY3492">
        <v>5788148</v>
      </c>
      <c r="CZ3492" t="s">
        <v>119</v>
      </c>
    </row>
    <row r="3493" spans="1:104" x14ac:dyDescent="0.25">
      <c r="A3493" t="str">
        <f>"14:48:34.250"</f>
        <v>14:48:34.250</v>
      </c>
      <c r="B3493" t="s">
        <v>108</v>
      </c>
      <c r="C3493" t="str">
        <f t="shared" si="163"/>
        <v>ffdfd3c0</v>
      </c>
      <c r="D3493" t="s">
        <v>109</v>
      </c>
      <c r="E3493">
        <v>4</v>
      </c>
      <c r="F3493">
        <v>1004</v>
      </c>
      <c r="G3493" t="s">
        <v>110</v>
      </c>
      <c r="J3493" t="s">
        <v>111</v>
      </c>
      <c r="K3493">
        <v>0</v>
      </c>
      <c r="L3493">
        <v>3</v>
      </c>
      <c r="M3493">
        <v>0</v>
      </c>
      <c r="N3493">
        <v>2</v>
      </c>
      <c r="O3493">
        <v>1</v>
      </c>
      <c r="P3493">
        <v>0</v>
      </c>
      <c r="Q3493">
        <v>0</v>
      </c>
      <c r="R3493" t="s">
        <v>112</v>
      </c>
      <c r="S3493" t="str">
        <f>"14:48:34.055"</f>
        <v>14:48:34.055</v>
      </c>
      <c r="T3493" t="str">
        <f>"14:48:33.656"</f>
        <v>14:48:33.656</v>
      </c>
      <c r="U3493" t="str">
        <f t="shared" si="162"/>
        <v>ad5732</v>
      </c>
      <c r="V3493">
        <v>0</v>
      </c>
      <c r="W3493">
        <v>0</v>
      </c>
      <c r="X3493">
        <v>1</v>
      </c>
      <c r="Z3493">
        <v>0</v>
      </c>
      <c r="AA3493">
        <v>9</v>
      </c>
      <c r="AB3493">
        <v>3</v>
      </c>
      <c r="AC3493">
        <v>0</v>
      </c>
      <c r="AD3493">
        <v>10</v>
      </c>
      <c r="AE3493">
        <v>0</v>
      </c>
      <c r="AF3493">
        <v>3</v>
      </c>
      <c r="AG3493">
        <v>2</v>
      </c>
      <c r="AH3493">
        <v>0</v>
      </c>
      <c r="AI3493" t="s">
        <v>7061</v>
      </c>
      <c r="AJ3493">
        <v>40.386214000000002</v>
      </c>
      <c r="AK3493" t="s">
        <v>7062</v>
      </c>
      <c r="AL3493">
        <v>-74.569508999999996</v>
      </c>
      <c r="AM3493">
        <v>100</v>
      </c>
      <c r="AN3493">
        <v>1700</v>
      </c>
      <c r="AO3493" t="s">
        <v>115</v>
      </c>
      <c r="AP3493">
        <v>112</v>
      </c>
      <c r="AQ3493">
        <v>61</v>
      </c>
      <c r="AR3493">
        <v>64</v>
      </c>
      <c r="AZ3493">
        <v>3614</v>
      </c>
      <c r="BA3493">
        <v>1</v>
      </c>
      <c r="BB3493" t="str">
        <f t="shared" si="164"/>
        <v xml:space="preserve">N959MJ  </v>
      </c>
      <c r="BC3493">
        <v>1</v>
      </c>
      <c r="BE3493">
        <v>0</v>
      </c>
      <c r="BF3493">
        <v>0</v>
      </c>
      <c r="BG3493">
        <v>0</v>
      </c>
      <c r="BH3493">
        <v>1875</v>
      </c>
      <c r="BI3493">
        <v>175</v>
      </c>
      <c r="BJ3493">
        <v>1</v>
      </c>
      <c r="BK3493">
        <v>1</v>
      </c>
      <c r="BL3493">
        <v>1</v>
      </c>
      <c r="BM3493">
        <v>0</v>
      </c>
      <c r="BP3493">
        <v>0</v>
      </c>
      <c r="BQ3493">
        <v>0</v>
      </c>
      <c r="BX3493" t="str">
        <f>"14:48:34.055"</f>
        <v>14:48:34.055</v>
      </c>
      <c r="BY3493" t="str">
        <f>"055149972"</f>
        <v>055149972</v>
      </c>
      <c r="CL3493">
        <v>0</v>
      </c>
      <c r="CM3493">
        <v>2</v>
      </c>
      <c r="CN3493">
        <v>0</v>
      </c>
      <c r="CO3493">
        <v>2</v>
      </c>
      <c r="CP3493">
        <v>0</v>
      </c>
      <c r="CQ3493">
        <v>6</v>
      </c>
      <c r="CR3493" t="s">
        <v>116</v>
      </c>
      <c r="CS3493">
        <v>38</v>
      </c>
      <c r="CT3493">
        <v>1</v>
      </c>
      <c r="CU3493" t="s">
        <v>4719</v>
      </c>
      <c r="CV3493" t="s">
        <v>4720</v>
      </c>
      <c r="CY3493">
        <v>11907645</v>
      </c>
      <c r="CZ3493" t="s">
        <v>119</v>
      </c>
    </row>
    <row r="3494" spans="1:104" x14ac:dyDescent="0.25">
      <c r="A3494" t="str">
        <f>"14:48:35.313"</f>
        <v>14:48:35.313</v>
      </c>
      <c r="B3494" t="s">
        <v>108</v>
      </c>
      <c r="C3494" t="str">
        <f t="shared" si="163"/>
        <v>ffdfd3c0</v>
      </c>
      <c r="D3494" t="s">
        <v>109</v>
      </c>
      <c r="E3494">
        <v>4</v>
      </c>
      <c r="F3494">
        <v>1004</v>
      </c>
      <c r="G3494" t="s">
        <v>110</v>
      </c>
      <c r="J3494" t="s">
        <v>111</v>
      </c>
      <c r="K3494">
        <v>0</v>
      </c>
      <c r="L3494">
        <v>3</v>
      </c>
      <c r="M3494">
        <v>0</v>
      </c>
      <c r="N3494">
        <v>2</v>
      </c>
      <c r="O3494">
        <v>1</v>
      </c>
      <c r="P3494">
        <v>0</v>
      </c>
      <c r="Q3494">
        <v>0</v>
      </c>
      <c r="R3494" t="s">
        <v>112</v>
      </c>
      <c r="S3494" t="str">
        <f>"14:48:35.156"</f>
        <v>14:48:35.156</v>
      </c>
      <c r="T3494" t="str">
        <f>"14:48:34.656"</f>
        <v>14:48:34.656</v>
      </c>
      <c r="U3494" t="str">
        <f t="shared" si="162"/>
        <v>ad5732</v>
      </c>
      <c r="V3494">
        <v>0</v>
      </c>
      <c r="W3494">
        <v>0</v>
      </c>
      <c r="X3494">
        <v>1</v>
      </c>
      <c r="Z3494">
        <v>0</v>
      </c>
      <c r="AA3494">
        <v>9</v>
      </c>
      <c r="AB3494">
        <v>3</v>
      </c>
      <c r="AC3494">
        <v>0</v>
      </c>
      <c r="AD3494">
        <v>10</v>
      </c>
      <c r="AE3494">
        <v>0</v>
      </c>
      <c r="AF3494">
        <v>3</v>
      </c>
      <c r="AG3494">
        <v>2</v>
      </c>
      <c r="AH3494">
        <v>0</v>
      </c>
      <c r="AI3494" t="s">
        <v>7063</v>
      </c>
      <c r="AJ3494">
        <v>40.386515000000003</v>
      </c>
      <c r="AK3494" t="s">
        <v>7064</v>
      </c>
      <c r="AL3494">
        <v>-74.568779000000006</v>
      </c>
      <c r="AM3494">
        <v>100</v>
      </c>
      <c r="AN3494">
        <v>1700</v>
      </c>
      <c r="AO3494" t="s">
        <v>115</v>
      </c>
      <c r="AP3494">
        <v>112</v>
      </c>
      <c r="AQ3494">
        <v>61</v>
      </c>
      <c r="AR3494">
        <v>64</v>
      </c>
      <c r="AZ3494">
        <v>3614</v>
      </c>
      <c r="BA3494">
        <v>1</v>
      </c>
      <c r="BB3494" t="str">
        <f t="shared" si="164"/>
        <v xml:space="preserve">N959MJ  </v>
      </c>
      <c r="BC3494">
        <v>1</v>
      </c>
      <c r="BE3494">
        <v>0</v>
      </c>
      <c r="BF3494">
        <v>0</v>
      </c>
      <c r="BG3494">
        <v>0</v>
      </c>
      <c r="BH3494">
        <v>1875</v>
      </c>
      <c r="BI3494">
        <v>175</v>
      </c>
      <c r="BJ3494">
        <v>1</v>
      </c>
      <c r="BK3494">
        <v>1</v>
      </c>
      <c r="BL3494">
        <v>1</v>
      </c>
      <c r="BM3494">
        <v>0</v>
      </c>
      <c r="BP3494">
        <v>0</v>
      </c>
      <c r="BQ3494">
        <v>0</v>
      </c>
      <c r="BX3494" t="str">
        <f>"14:48:35.164"</f>
        <v>14:48:35.164</v>
      </c>
      <c r="BY3494" t="str">
        <f>"161089313"</f>
        <v>161089313</v>
      </c>
      <c r="CL3494">
        <v>0</v>
      </c>
      <c r="CM3494">
        <v>2</v>
      </c>
      <c r="CN3494">
        <v>0</v>
      </c>
      <c r="CO3494">
        <v>2</v>
      </c>
      <c r="CP3494">
        <v>0</v>
      </c>
      <c r="CQ3494">
        <v>7</v>
      </c>
      <c r="CR3494" t="s">
        <v>116</v>
      </c>
      <c r="CS3494">
        <v>38</v>
      </c>
      <c r="CT3494">
        <v>0</v>
      </c>
      <c r="CU3494" t="s">
        <v>4719</v>
      </c>
      <c r="CV3494" t="s">
        <v>4720</v>
      </c>
      <c r="CY3494">
        <v>7959045</v>
      </c>
      <c r="CZ3494" t="s">
        <v>119</v>
      </c>
    </row>
    <row r="3495" spans="1:104" x14ac:dyDescent="0.25">
      <c r="A3495" t="str">
        <f>"14:48:36.273"</f>
        <v>14:48:36.273</v>
      </c>
      <c r="B3495" t="s">
        <v>108</v>
      </c>
      <c r="C3495" t="str">
        <f t="shared" si="163"/>
        <v>ffdfd3c0</v>
      </c>
      <c r="D3495" t="s">
        <v>109</v>
      </c>
      <c r="E3495">
        <v>4</v>
      </c>
      <c r="F3495">
        <v>1004</v>
      </c>
      <c r="G3495" t="s">
        <v>110</v>
      </c>
      <c r="J3495" t="s">
        <v>111</v>
      </c>
      <c r="K3495">
        <v>0</v>
      </c>
      <c r="L3495">
        <v>3</v>
      </c>
      <c r="M3495">
        <v>0</v>
      </c>
      <c r="N3495">
        <v>2</v>
      </c>
      <c r="O3495">
        <v>1</v>
      </c>
      <c r="P3495">
        <v>0</v>
      </c>
      <c r="Q3495">
        <v>0</v>
      </c>
      <c r="R3495" t="s">
        <v>112</v>
      </c>
      <c r="S3495" t="str">
        <f>"14:48:36.094"</f>
        <v>14:48:36.094</v>
      </c>
      <c r="T3495" t="str">
        <f>"14:48:35.695"</f>
        <v>14:48:35.695</v>
      </c>
      <c r="U3495" t="str">
        <f t="shared" si="162"/>
        <v>ad5732</v>
      </c>
      <c r="V3495">
        <v>0</v>
      </c>
      <c r="W3495">
        <v>0</v>
      </c>
      <c r="X3495">
        <v>1</v>
      </c>
      <c r="Z3495">
        <v>0</v>
      </c>
      <c r="AA3495">
        <v>9</v>
      </c>
      <c r="AB3495">
        <v>3</v>
      </c>
      <c r="AC3495">
        <v>0</v>
      </c>
      <c r="AD3495">
        <v>10</v>
      </c>
      <c r="AE3495">
        <v>0</v>
      </c>
      <c r="AF3495">
        <v>3</v>
      </c>
      <c r="AG3495">
        <v>2</v>
      </c>
      <c r="AH3495">
        <v>0</v>
      </c>
      <c r="AI3495" t="s">
        <v>7065</v>
      </c>
      <c r="AJ3495">
        <v>40.386772000000001</v>
      </c>
      <c r="AK3495" t="s">
        <v>7066</v>
      </c>
      <c r="AL3495">
        <v>-74.568135999999996</v>
      </c>
      <c r="AM3495">
        <v>100</v>
      </c>
      <c r="AN3495">
        <v>1700</v>
      </c>
      <c r="AO3495" t="s">
        <v>115</v>
      </c>
      <c r="AP3495">
        <v>112</v>
      </c>
      <c r="AQ3495">
        <v>61</v>
      </c>
      <c r="AR3495">
        <v>0</v>
      </c>
      <c r="AZ3495">
        <v>3614</v>
      </c>
      <c r="BA3495">
        <v>1</v>
      </c>
      <c r="BB3495" t="str">
        <f t="shared" si="164"/>
        <v xml:space="preserve">N959MJ  </v>
      </c>
      <c r="BC3495">
        <v>1</v>
      </c>
      <c r="BE3495">
        <v>0</v>
      </c>
      <c r="BF3495">
        <v>0</v>
      </c>
      <c r="BG3495">
        <v>0</v>
      </c>
      <c r="BH3495">
        <v>1875</v>
      </c>
      <c r="BI3495">
        <v>175</v>
      </c>
      <c r="BJ3495">
        <v>1</v>
      </c>
      <c r="BK3495">
        <v>1</v>
      </c>
      <c r="BL3495">
        <v>1</v>
      </c>
      <c r="BM3495">
        <v>0</v>
      </c>
      <c r="BP3495">
        <v>0</v>
      </c>
      <c r="BQ3495">
        <v>0</v>
      </c>
      <c r="BX3495" t="str">
        <f>"14:48:36.102"</f>
        <v>14:48:36.102</v>
      </c>
      <c r="BY3495" t="str">
        <f>"101547641"</f>
        <v>101547641</v>
      </c>
      <c r="CL3495">
        <v>0</v>
      </c>
      <c r="CM3495">
        <v>2</v>
      </c>
      <c r="CN3495">
        <v>0</v>
      </c>
      <c r="CO3495">
        <v>2</v>
      </c>
      <c r="CP3495">
        <v>0</v>
      </c>
      <c r="CQ3495">
        <v>7</v>
      </c>
      <c r="CR3495" t="s">
        <v>116</v>
      </c>
      <c r="CS3495">
        <v>38</v>
      </c>
      <c r="CT3495">
        <v>0</v>
      </c>
      <c r="CU3495" t="s">
        <v>4719</v>
      </c>
      <c r="CV3495" t="s">
        <v>4720</v>
      </c>
      <c r="CY3495">
        <v>7960465</v>
      </c>
      <c r="CZ3495" t="s">
        <v>119</v>
      </c>
    </row>
    <row r="3496" spans="1:104" x14ac:dyDescent="0.25">
      <c r="A3496" t="str">
        <f>"14:48:37.281"</f>
        <v>14:48:37.281</v>
      </c>
      <c r="B3496" t="s">
        <v>108</v>
      </c>
      <c r="C3496" t="str">
        <f t="shared" si="163"/>
        <v>ffdfd3c0</v>
      </c>
      <c r="D3496" t="s">
        <v>109</v>
      </c>
      <c r="E3496">
        <v>4</v>
      </c>
      <c r="F3496">
        <v>1004</v>
      </c>
      <c r="G3496" t="s">
        <v>110</v>
      </c>
      <c r="J3496" t="s">
        <v>111</v>
      </c>
      <c r="K3496">
        <v>0</v>
      </c>
      <c r="L3496">
        <v>3</v>
      </c>
      <c r="M3496">
        <v>0</v>
      </c>
      <c r="N3496">
        <v>2</v>
      </c>
      <c r="O3496">
        <v>1</v>
      </c>
      <c r="P3496">
        <v>0</v>
      </c>
      <c r="Q3496">
        <v>0</v>
      </c>
      <c r="R3496" t="s">
        <v>112</v>
      </c>
      <c r="S3496" t="str">
        <f>"14:48:37.109"</f>
        <v>14:48:37.109</v>
      </c>
      <c r="T3496" t="str">
        <f>"14:48:36.711"</f>
        <v>14:48:36.711</v>
      </c>
      <c r="U3496" t="str">
        <f t="shared" si="162"/>
        <v>ad5732</v>
      </c>
      <c r="V3496">
        <v>0</v>
      </c>
      <c r="W3496">
        <v>0</v>
      </c>
      <c r="X3496">
        <v>1</v>
      </c>
      <c r="Z3496">
        <v>0</v>
      </c>
      <c r="AA3496">
        <v>9</v>
      </c>
      <c r="AB3496">
        <v>3</v>
      </c>
      <c r="AC3496">
        <v>0</v>
      </c>
      <c r="AD3496">
        <v>10</v>
      </c>
      <c r="AE3496">
        <v>0</v>
      </c>
      <c r="AF3496">
        <v>3</v>
      </c>
      <c r="AG3496">
        <v>2</v>
      </c>
      <c r="AH3496">
        <v>0</v>
      </c>
      <c r="AI3496" t="s">
        <v>7067</v>
      </c>
      <c r="AJ3496">
        <v>40.387051</v>
      </c>
      <c r="AK3496" t="s">
        <v>7068</v>
      </c>
      <c r="AL3496">
        <v>-74.567513000000005</v>
      </c>
      <c r="AM3496">
        <v>100</v>
      </c>
      <c r="AN3496">
        <v>1700</v>
      </c>
      <c r="AO3496" t="s">
        <v>115</v>
      </c>
      <c r="AP3496">
        <v>112</v>
      </c>
      <c r="AQ3496">
        <v>61</v>
      </c>
      <c r="AR3496">
        <v>0</v>
      </c>
      <c r="AZ3496">
        <v>3614</v>
      </c>
      <c r="BA3496">
        <v>1</v>
      </c>
      <c r="BB3496" t="str">
        <f t="shared" si="164"/>
        <v xml:space="preserve">N959MJ  </v>
      </c>
      <c r="BC3496">
        <v>1</v>
      </c>
      <c r="BE3496">
        <v>0</v>
      </c>
      <c r="BF3496">
        <v>0</v>
      </c>
      <c r="BG3496">
        <v>0</v>
      </c>
      <c r="BH3496">
        <v>1875</v>
      </c>
      <c r="BI3496">
        <v>175</v>
      </c>
      <c r="BJ3496">
        <v>1</v>
      </c>
      <c r="BK3496">
        <v>1</v>
      </c>
      <c r="BL3496">
        <v>1</v>
      </c>
      <c r="BM3496">
        <v>0</v>
      </c>
      <c r="BP3496">
        <v>0</v>
      </c>
      <c r="BQ3496">
        <v>0</v>
      </c>
      <c r="BX3496" t="str">
        <f>"14:48:37.117"</f>
        <v>14:48:37.117</v>
      </c>
      <c r="BY3496" t="str">
        <f>"115735256"</f>
        <v>115735256</v>
      </c>
      <c r="CL3496">
        <v>0</v>
      </c>
      <c r="CM3496">
        <v>2</v>
      </c>
      <c r="CN3496">
        <v>0</v>
      </c>
      <c r="CO3496">
        <v>2</v>
      </c>
      <c r="CP3496">
        <v>0</v>
      </c>
      <c r="CQ3496">
        <v>7</v>
      </c>
      <c r="CR3496" t="s">
        <v>116</v>
      </c>
      <c r="CS3496">
        <v>38</v>
      </c>
      <c r="CT3496">
        <v>0</v>
      </c>
      <c r="CU3496" t="s">
        <v>4719</v>
      </c>
      <c r="CV3496" t="s">
        <v>4720</v>
      </c>
      <c r="CY3496">
        <v>7961951</v>
      </c>
      <c r="CZ3496" t="s">
        <v>119</v>
      </c>
    </row>
    <row r="3497" spans="1:104" x14ac:dyDescent="0.25">
      <c r="A3497" t="str">
        <f>"14:48:38.242"</f>
        <v>14:48:38.242</v>
      </c>
      <c r="B3497" t="s">
        <v>108</v>
      </c>
      <c r="C3497" t="str">
        <f t="shared" si="163"/>
        <v>ffdfd3c0</v>
      </c>
      <c r="D3497" t="s">
        <v>109</v>
      </c>
      <c r="E3497">
        <v>4</v>
      </c>
      <c r="F3497">
        <v>1004</v>
      </c>
      <c r="G3497" t="s">
        <v>110</v>
      </c>
      <c r="J3497" t="s">
        <v>111</v>
      </c>
      <c r="K3497">
        <v>0</v>
      </c>
      <c r="L3497">
        <v>3</v>
      </c>
      <c r="M3497">
        <v>0</v>
      </c>
      <c r="N3497">
        <v>2</v>
      </c>
      <c r="O3497">
        <v>1</v>
      </c>
      <c r="P3497">
        <v>0</v>
      </c>
      <c r="Q3497">
        <v>0</v>
      </c>
      <c r="R3497" t="s">
        <v>112</v>
      </c>
      <c r="S3497" t="str">
        <f>"14:48:38.055"</f>
        <v>14:48:38.055</v>
      </c>
      <c r="T3497" t="str">
        <f>"14:48:37.156"</f>
        <v>14:48:37.156</v>
      </c>
      <c r="U3497" t="str">
        <f t="shared" si="162"/>
        <v>ad5732</v>
      </c>
      <c r="V3497">
        <v>0</v>
      </c>
      <c r="W3497">
        <v>0</v>
      </c>
      <c r="X3497">
        <v>1</v>
      </c>
      <c r="Z3497">
        <v>0</v>
      </c>
      <c r="AA3497">
        <v>9</v>
      </c>
      <c r="AB3497">
        <v>3</v>
      </c>
      <c r="AC3497">
        <v>0</v>
      </c>
      <c r="AD3497">
        <v>10</v>
      </c>
      <c r="AE3497">
        <v>0</v>
      </c>
      <c r="AF3497">
        <v>3</v>
      </c>
      <c r="AG3497">
        <v>2</v>
      </c>
      <c r="AH3497">
        <v>0</v>
      </c>
      <c r="AI3497" t="s">
        <v>7069</v>
      </c>
      <c r="AJ3497">
        <v>40.387329999999999</v>
      </c>
      <c r="AK3497" t="s">
        <v>7070</v>
      </c>
      <c r="AL3497">
        <v>-74.566827000000004</v>
      </c>
      <c r="AM3497">
        <v>100</v>
      </c>
      <c r="AN3497">
        <v>1700</v>
      </c>
      <c r="AO3497" t="s">
        <v>115</v>
      </c>
      <c r="AP3497">
        <v>112</v>
      </c>
      <c r="AQ3497">
        <v>61</v>
      </c>
      <c r="AR3497">
        <v>0</v>
      </c>
      <c r="AZ3497">
        <v>3614</v>
      </c>
      <c r="BA3497">
        <v>1</v>
      </c>
      <c r="BB3497" t="str">
        <f t="shared" si="164"/>
        <v xml:space="preserve">N959MJ  </v>
      </c>
      <c r="BC3497">
        <v>1</v>
      </c>
      <c r="BE3497">
        <v>0</v>
      </c>
      <c r="BF3497">
        <v>0</v>
      </c>
      <c r="BG3497">
        <v>0</v>
      </c>
      <c r="BH3497">
        <v>1875</v>
      </c>
      <c r="BI3497">
        <v>175</v>
      </c>
      <c r="BJ3497">
        <v>1</v>
      </c>
      <c r="BK3497">
        <v>1</v>
      </c>
      <c r="BL3497">
        <v>1</v>
      </c>
      <c r="BM3497">
        <v>0</v>
      </c>
      <c r="BP3497">
        <v>0</v>
      </c>
      <c r="BQ3497">
        <v>0</v>
      </c>
      <c r="BX3497" t="str">
        <f>"14:48:38.063"</f>
        <v>14:48:38.063</v>
      </c>
      <c r="BY3497" t="str">
        <f>"061108848"</f>
        <v>061108848</v>
      </c>
      <c r="CL3497">
        <v>0</v>
      </c>
      <c r="CM3497">
        <v>2</v>
      </c>
      <c r="CN3497">
        <v>0</v>
      </c>
      <c r="CO3497">
        <v>2</v>
      </c>
      <c r="CP3497">
        <v>0</v>
      </c>
      <c r="CQ3497">
        <v>7</v>
      </c>
      <c r="CR3497" t="s">
        <v>116</v>
      </c>
      <c r="CS3497">
        <v>38</v>
      </c>
      <c r="CT3497">
        <v>0</v>
      </c>
      <c r="CU3497" t="s">
        <v>4719</v>
      </c>
      <c r="CV3497" t="s">
        <v>4720</v>
      </c>
      <c r="CY3497">
        <v>7963359</v>
      </c>
      <c r="CZ3497" t="s">
        <v>119</v>
      </c>
    </row>
    <row r="3498" spans="1:104" x14ac:dyDescent="0.25">
      <c r="A3498" t="str">
        <f>"14:48:39.102"</f>
        <v>14:48:39.102</v>
      </c>
      <c r="B3498" t="s">
        <v>108</v>
      </c>
      <c r="C3498" t="str">
        <f t="shared" si="163"/>
        <v>ffdfd3c0</v>
      </c>
      <c r="D3498" t="s">
        <v>109</v>
      </c>
      <c r="E3498">
        <v>4</v>
      </c>
      <c r="F3498">
        <v>1004</v>
      </c>
      <c r="G3498" t="s">
        <v>110</v>
      </c>
      <c r="J3498" t="s">
        <v>111</v>
      </c>
      <c r="K3498">
        <v>0</v>
      </c>
      <c r="L3498">
        <v>3</v>
      </c>
      <c r="M3498">
        <v>0</v>
      </c>
      <c r="N3498">
        <v>2</v>
      </c>
      <c r="O3498">
        <v>1</v>
      </c>
      <c r="P3498">
        <v>0</v>
      </c>
      <c r="Q3498">
        <v>0</v>
      </c>
      <c r="R3498" t="s">
        <v>112</v>
      </c>
      <c r="S3498" t="str">
        <f>"14:48:38.914"</f>
        <v>14:48:38.914</v>
      </c>
      <c r="T3498" t="str">
        <f>"14:48:38.516"</f>
        <v>14:48:38.516</v>
      </c>
      <c r="U3498" t="str">
        <f t="shared" si="162"/>
        <v>ad5732</v>
      </c>
      <c r="V3498">
        <v>0</v>
      </c>
      <c r="W3498">
        <v>0</v>
      </c>
      <c r="X3498">
        <v>1</v>
      </c>
      <c r="Z3498">
        <v>0</v>
      </c>
      <c r="AA3498">
        <v>9</v>
      </c>
      <c r="AB3498">
        <v>3</v>
      </c>
      <c r="AC3498">
        <v>0</v>
      </c>
      <c r="AD3498">
        <v>10</v>
      </c>
      <c r="AE3498">
        <v>0</v>
      </c>
      <c r="AF3498">
        <v>3</v>
      </c>
      <c r="AG3498">
        <v>2</v>
      </c>
      <c r="AH3498">
        <v>0</v>
      </c>
      <c r="AI3498" t="s">
        <v>6661</v>
      </c>
      <c r="AJ3498">
        <v>40.387566</v>
      </c>
      <c r="AK3498" t="s">
        <v>7071</v>
      </c>
      <c r="AL3498">
        <v>-74.566269000000005</v>
      </c>
      <c r="AM3498">
        <v>100</v>
      </c>
      <c r="AN3498">
        <v>1700</v>
      </c>
      <c r="AO3498" t="s">
        <v>115</v>
      </c>
      <c r="AP3498">
        <v>111</v>
      </c>
      <c r="AQ3498">
        <v>61</v>
      </c>
      <c r="AR3498">
        <v>-64</v>
      </c>
      <c r="AZ3498">
        <v>3614</v>
      </c>
      <c r="BA3498">
        <v>1</v>
      </c>
      <c r="BB3498" t="str">
        <f t="shared" si="164"/>
        <v xml:space="preserve">N959MJ  </v>
      </c>
      <c r="BC3498">
        <v>1</v>
      </c>
      <c r="BE3498">
        <v>0</v>
      </c>
      <c r="BF3498">
        <v>0</v>
      </c>
      <c r="BG3498">
        <v>0</v>
      </c>
      <c r="BH3498">
        <v>1875</v>
      </c>
      <c r="BI3498">
        <v>175</v>
      </c>
      <c r="BJ3498">
        <v>1</v>
      </c>
      <c r="BK3498">
        <v>1</v>
      </c>
      <c r="BL3498">
        <v>1</v>
      </c>
      <c r="BM3498">
        <v>0</v>
      </c>
      <c r="BP3498">
        <v>0</v>
      </c>
      <c r="BQ3498">
        <v>0</v>
      </c>
      <c r="BX3498" t="str">
        <f>"14:48:38.922"</f>
        <v>14:48:38.922</v>
      </c>
      <c r="BY3498" t="str">
        <f>"919645685"</f>
        <v>919645685</v>
      </c>
      <c r="CL3498">
        <v>0</v>
      </c>
      <c r="CM3498">
        <v>2</v>
      </c>
      <c r="CN3498">
        <v>0</v>
      </c>
      <c r="CO3498">
        <v>2</v>
      </c>
      <c r="CP3498">
        <v>0</v>
      </c>
      <c r="CQ3498">
        <v>7</v>
      </c>
      <c r="CR3498" t="s">
        <v>116</v>
      </c>
      <c r="CS3498">
        <v>38</v>
      </c>
      <c r="CT3498">
        <v>0</v>
      </c>
      <c r="CU3498" t="s">
        <v>4719</v>
      </c>
      <c r="CV3498" t="s">
        <v>4720</v>
      </c>
      <c r="CY3498">
        <v>7964640</v>
      </c>
      <c r="CZ3498" t="s">
        <v>119</v>
      </c>
    </row>
    <row r="3499" spans="1:104" x14ac:dyDescent="0.25">
      <c r="A3499" t="str">
        <f>"14:48:39.953"</f>
        <v>14:48:39.953</v>
      </c>
      <c r="B3499" t="s">
        <v>108</v>
      </c>
      <c r="C3499" t="str">
        <f t="shared" si="163"/>
        <v>ffdfd3c0</v>
      </c>
      <c r="D3499" t="s">
        <v>109</v>
      </c>
      <c r="E3499">
        <v>4</v>
      </c>
      <c r="F3499">
        <v>1004</v>
      </c>
      <c r="G3499" t="s">
        <v>110</v>
      </c>
      <c r="J3499" t="s">
        <v>111</v>
      </c>
      <c r="K3499">
        <v>0</v>
      </c>
      <c r="L3499">
        <v>3</v>
      </c>
      <c r="M3499">
        <v>0</v>
      </c>
      <c r="N3499">
        <v>2</v>
      </c>
      <c r="O3499">
        <v>1</v>
      </c>
      <c r="P3499">
        <v>0</v>
      </c>
      <c r="Q3499">
        <v>0</v>
      </c>
      <c r="R3499" t="s">
        <v>112</v>
      </c>
      <c r="S3499" t="str">
        <f>"14:48:39.797"</f>
        <v>14:48:39.797</v>
      </c>
      <c r="T3499" t="str">
        <f>"14:48:39.398"</f>
        <v>14:48:39.398</v>
      </c>
      <c r="U3499" t="str">
        <f t="shared" si="162"/>
        <v>ad5732</v>
      </c>
      <c r="V3499">
        <v>0</v>
      </c>
      <c r="W3499">
        <v>0</v>
      </c>
      <c r="X3499">
        <v>1</v>
      </c>
      <c r="Z3499">
        <v>0</v>
      </c>
      <c r="AA3499">
        <v>9</v>
      </c>
      <c r="AB3499">
        <v>3</v>
      </c>
      <c r="AC3499">
        <v>0</v>
      </c>
      <c r="AD3499">
        <v>10</v>
      </c>
      <c r="AE3499">
        <v>0</v>
      </c>
      <c r="AF3499">
        <v>3</v>
      </c>
      <c r="AG3499">
        <v>2</v>
      </c>
      <c r="AH3499">
        <v>0</v>
      </c>
      <c r="AI3499" t="s">
        <v>7072</v>
      </c>
      <c r="AJ3499">
        <v>40.387802000000001</v>
      </c>
      <c r="AK3499" t="s">
        <v>7073</v>
      </c>
      <c r="AL3499">
        <v>-74.565668000000002</v>
      </c>
      <c r="AM3499">
        <v>100</v>
      </c>
      <c r="AN3499">
        <v>1700</v>
      </c>
      <c r="AO3499" t="s">
        <v>115</v>
      </c>
      <c r="AP3499">
        <v>111</v>
      </c>
      <c r="AQ3499">
        <v>61</v>
      </c>
      <c r="AR3499">
        <v>-64</v>
      </c>
      <c r="AZ3499">
        <v>3614</v>
      </c>
      <c r="BA3499">
        <v>1</v>
      </c>
      <c r="BB3499" t="str">
        <f t="shared" si="164"/>
        <v xml:space="preserve">N959MJ  </v>
      </c>
      <c r="BC3499">
        <v>1</v>
      </c>
      <c r="BE3499">
        <v>0</v>
      </c>
      <c r="BF3499">
        <v>0</v>
      </c>
      <c r="BG3499">
        <v>0</v>
      </c>
      <c r="BH3499">
        <v>1875</v>
      </c>
      <c r="BI3499">
        <v>175</v>
      </c>
      <c r="BJ3499">
        <v>1</v>
      </c>
      <c r="BK3499">
        <v>1</v>
      </c>
      <c r="BL3499">
        <v>1</v>
      </c>
      <c r="BM3499">
        <v>0</v>
      </c>
      <c r="BP3499">
        <v>0</v>
      </c>
      <c r="BQ3499">
        <v>0</v>
      </c>
      <c r="BX3499" t="str">
        <f>"14:48:39.805"</f>
        <v>14:48:39.805</v>
      </c>
      <c r="BY3499" t="str">
        <f>"804397402"</f>
        <v>804397402</v>
      </c>
      <c r="CL3499">
        <v>0</v>
      </c>
      <c r="CM3499">
        <v>2</v>
      </c>
      <c r="CN3499">
        <v>0</v>
      </c>
      <c r="CO3499">
        <v>2</v>
      </c>
      <c r="CP3499">
        <v>0</v>
      </c>
      <c r="CQ3499">
        <v>7</v>
      </c>
      <c r="CR3499" t="s">
        <v>116</v>
      </c>
      <c r="CS3499">
        <v>38</v>
      </c>
      <c r="CT3499">
        <v>0</v>
      </c>
      <c r="CU3499" t="s">
        <v>4719</v>
      </c>
      <c r="CV3499" t="s">
        <v>4720</v>
      </c>
      <c r="CY3499">
        <v>7966022</v>
      </c>
      <c r="CZ3499" t="s">
        <v>119</v>
      </c>
    </row>
    <row r="3500" spans="1:104" x14ac:dyDescent="0.25">
      <c r="A3500" t="str">
        <f>"14:48:40.867"</f>
        <v>14:48:40.867</v>
      </c>
      <c r="B3500" t="s">
        <v>108</v>
      </c>
      <c r="C3500" t="str">
        <f t="shared" si="163"/>
        <v>ffdfd3c0</v>
      </c>
      <c r="D3500" t="s">
        <v>109</v>
      </c>
      <c r="E3500">
        <v>4</v>
      </c>
      <c r="F3500">
        <v>1004</v>
      </c>
      <c r="G3500" t="s">
        <v>110</v>
      </c>
      <c r="J3500" t="s">
        <v>111</v>
      </c>
      <c r="K3500">
        <v>0</v>
      </c>
      <c r="L3500">
        <v>3</v>
      </c>
      <c r="M3500">
        <v>0</v>
      </c>
      <c r="N3500">
        <v>2</v>
      </c>
      <c r="O3500">
        <v>1</v>
      </c>
      <c r="P3500">
        <v>0</v>
      </c>
      <c r="Q3500">
        <v>0</v>
      </c>
      <c r="R3500" t="s">
        <v>112</v>
      </c>
      <c r="S3500" t="str">
        <f>"14:48:40.695"</f>
        <v>14:48:40.695</v>
      </c>
      <c r="T3500" t="str">
        <f>"14:48:40.297"</f>
        <v>14:48:40.297</v>
      </c>
      <c r="U3500" t="str">
        <f t="shared" si="162"/>
        <v>ad5732</v>
      </c>
      <c r="V3500">
        <v>0</v>
      </c>
      <c r="W3500">
        <v>0</v>
      </c>
      <c r="X3500">
        <v>1</v>
      </c>
      <c r="Z3500">
        <v>0</v>
      </c>
      <c r="AA3500">
        <v>9</v>
      </c>
      <c r="AB3500">
        <v>3</v>
      </c>
      <c r="AC3500">
        <v>0</v>
      </c>
      <c r="AD3500">
        <v>10</v>
      </c>
      <c r="AE3500">
        <v>0</v>
      </c>
      <c r="AF3500">
        <v>3</v>
      </c>
      <c r="AG3500">
        <v>2</v>
      </c>
      <c r="AH3500">
        <v>0</v>
      </c>
      <c r="AI3500" t="s">
        <v>7074</v>
      </c>
      <c r="AJ3500">
        <v>40.388060000000003</v>
      </c>
      <c r="AK3500" t="s">
        <v>7075</v>
      </c>
      <c r="AL3500">
        <v>-74.565089</v>
      </c>
      <c r="AM3500">
        <v>100</v>
      </c>
      <c r="AN3500">
        <v>1700</v>
      </c>
      <c r="AO3500" t="s">
        <v>115</v>
      </c>
      <c r="AP3500">
        <v>111</v>
      </c>
      <c r="AQ3500">
        <v>61</v>
      </c>
      <c r="AR3500">
        <v>-64</v>
      </c>
      <c r="AZ3500">
        <v>3614</v>
      </c>
      <c r="BA3500">
        <v>1</v>
      </c>
      <c r="BB3500" t="str">
        <f t="shared" si="164"/>
        <v xml:space="preserve">N959MJ  </v>
      </c>
      <c r="BC3500">
        <v>1</v>
      </c>
      <c r="BE3500">
        <v>0</v>
      </c>
      <c r="BF3500">
        <v>0</v>
      </c>
      <c r="BG3500">
        <v>0</v>
      </c>
      <c r="BH3500">
        <v>1875</v>
      </c>
      <c r="BI3500">
        <v>175</v>
      </c>
      <c r="BJ3500">
        <v>1</v>
      </c>
      <c r="BK3500">
        <v>1</v>
      </c>
      <c r="BL3500">
        <v>1</v>
      </c>
      <c r="BM3500">
        <v>0</v>
      </c>
      <c r="BP3500">
        <v>0</v>
      </c>
      <c r="BQ3500">
        <v>0</v>
      </c>
      <c r="BX3500" t="str">
        <f>"14:48:40.695"</f>
        <v>14:48:40.695</v>
      </c>
      <c r="BY3500" t="str">
        <f>"698979676"</f>
        <v>698979676</v>
      </c>
      <c r="CL3500">
        <v>0</v>
      </c>
      <c r="CM3500">
        <v>2</v>
      </c>
      <c r="CN3500">
        <v>0</v>
      </c>
      <c r="CO3500">
        <v>2</v>
      </c>
      <c r="CP3500">
        <v>0</v>
      </c>
      <c r="CQ3500">
        <v>7</v>
      </c>
      <c r="CR3500" t="s">
        <v>116</v>
      </c>
      <c r="CS3500">
        <v>38</v>
      </c>
      <c r="CT3500">
        <v>0</v>
      </c>
      <c r="CU3500" t="s">
        <v>4719</v>
      </c>
      <c r="CV3500" t="s">
        <v>4720</v>
      </c>
      <c r="CY3500">
        <v>7967403</v>
      </c>
      <c r="CZ3500" t="s">
        <v>119</v>
      </c>
    </row>
    <row r="3501" spans="1:104" x14ac:dyDescent="0.25">
      <c r="A3501" t="str">
        <f>"14:48:41.875"</f>
        <v>14:48:41.875</v>
      </c>
      <c r="B3501" t="s">
        <v>108</v>
      </c>
      <c r="C3501" t="str">
        <f t="shared" si="163"/>
        <v>ffdfd3c0</v>
      </c>
      <c r="D3501" t="s">
        <v>109</v>
      </c>
      <c r="E3501">
        <v>4</v>
      </c>
      <c r="F3501">
        <v>1004</v>
      </c>
      <c r="G3501" t="s">
        <v>110</v>
      </c>
      <c r="J3501" t="s">
        <v>111</v>
      </c>
      <c r="K3501">
        <v>0</v>
      </c>
      <c r="L3501">
        <v>3</v>
      </c>
      <c r="M3501">
        <v>0</v>
      </c>
      <c r="N3501">
        <v>2</v>
      </c>
      <c r="O3501">
        <v>1</v>
      </c>
      <c r="P3501">
        <v>0</v>
      </c>
      <c r="Q3501">
        <v>0</v>
      </c>
      <c r="R3501" t="s">
        <v>112</v>
      </c>
      <c r="S3501" t="str">
        <f>"14:48:41.711"</f>
        <v>14:48:41.711</v>
      </c>
      <c r="T3501" t="str">
        <f>"14:48:41.211"</f>
        <v>14:48:41.211</v>
      </c>
      <c r="U3501" t="str">
        <f t="shared" si="162"/>
        <v>ad5732</v>
      </c>
      <c r="V3501">
        <v>0</v>
      </c>
      <c r="W3501">
        <v>0</v>
      </c>
      <c r="X3501">
        <v>1</v>
      </c>
      <c r="Z3501">
        <v>0</v>
      </c>
      <c r="AA3501">
        <v>9</v>
      </c>
      <c r="AB3501">
        <v>3</v>
      </c>
      <c r="AC3501">
        <v>0</v>
      </c>
      <c r="AD3501">
        <v>10</v>
      </c>
      <c r="AE3501">
        <v>0</v>
      </c>
      <c r="AF3501">
        <v>3</v>
      </c>
      <c r="AG3501">
        <v>2</v>
      </c>
      <c r="AH3501">
        <v>0</v>
      </c>
      <c r="AI3501" t="s">
        <v>7076</v>
      </c>
      <c r="AJ3501">
        <v>40.388339000000002</v>
      </c>
      <c r="AK3501" t="s">
        <v>7077</v>
      </c>
      <c r="AL3501">
        <v>-74.564402000000001</v>
      </c>
      <c r="AM3501">
        <v>100</v>
      </c>
      <c r="AN3501">
        <v>1700</v>
      </c>
      <c r="AO3501" t="s">
        <v>115</v>
      </c>
      <c r="AP3501">
        <v>111</v>
      </c>
      <c r="AQ3501">
        <v>61</v>
      </c>
      <c r="AR3501">
        <v>-128</v>
      </c>
      <c r="AZ3501">
        <v>3614</v>
      </c>
      <c r="BA3501">
        <v>1</v>
      </c>
      <c r="BB3501" t="str">
        <f t="shared" si="164"/>
        <v xml:space="preserve">N959MJ  </v>
      </c>
      <c r="BC3501">
        <v>1</v>
      </c>
      <c r="BE3501">
        <v>0</v>
      </c>
      <c r="BF3501">
        <v>0</v>
      </c>
      <c r="BG3501">
        <v>0</v>
      </c>
      <c r="BH3501">
        <v>1875</v>
      </c>
      <c r="BI3501">
        <v>175</v>
      </c>
      <c r="BJ3501">
        <v>1</v>
      </c>
      <c r="BK3501">
        <v>1</v>
      </c>
      <c r="BL3501">
        <v>1</v>
      </c>
      <c r="BM3501">
        <v>0</v>
      </c>
      <c r="BP3501">
        <v>0</v>
      </c>
      <c r="BQ3501">
        <v>0</v>
      </c>
      <c r="BX3501" t="str">
        <f>"14:48:41.711"</f>
        <v>14:48:41.711</v>
      </c>
      <c r="BY3501" t="str">
        <f>"714805779"</f>
        <v>714805779</v>
      </c>
      <c r="CL3501">
        <v>0</v>
      </c>
      <c r="CM3501">
        <v>2</v>
      </c>
      <c r="CN3501">
        <v>0</v>
      </c>
      <c r="CO3501">
        <v>2</v>
      </c>
      <c r="CP3501">
        <v>0</v>
      </c>
      <c r="CQ3501">
        <v>7</v>
      </c>
      <c r="CR3501" t="s">
        <v>116</v>
      </c>
      <c r="CS3501">
        <v>38</v>
      </c>
      <c r="CT3501">
        <v>0</v>
      </c>
      <c r="CU3501" t="s">
        <v>4719</v>
      </c>
      <c r="CV3501" t="s">
        <v>4720</v>
      </c>
      <c r="CY3501">
        <v>7968982</v>
      </c>
      <c r="CZ3501" t="s">
        <v>119</v>
      </c>
    </row>
    <row r="3502" spans="1:104" x14ac:dyDescent="0.25">
      <c r="A3502" t="str">
        <f>"14:48:42.781"</f>
        <v>14:48:42.781</v>
      </c>
      <c r="B3502" t="s">
        <v>108</v>
      </c>
      <c r="C3502" t="str">
        <f t="shared" si="163"/>
        <v>ffdfd3c0</v>
      </c>
      <c r="D3502" t="s">
        <v>109</v>
      </c>
      <c r="E3502">
        <v>4</v>
      </c>
      <c r="F3502">
        <v>1004</v>
      </c>
      <c r="G3502" t="s">
        <v>110</v>
      </c>
      <c r="J3502" t="s">
        <v>111</v>
      </c>
      <c r="K3502">
        <v>0</v>
      </c>
      <c r="L3502">
        <v>3</v>
      </c>
      <c r="M3502">
        <v>0</v>
      </c>
      <c r="N3502">
        <v>2</v>
      </c>
      <c r="O3502">
        <v>1</v>
      </c>
      <c r="P3502">
        <v>0</v>
      </c>
      <c r="Q3502">
        <v>0</v>
      </c>
      <c r="R3502" t="s">
        <v>112</v>
      </c>
      <c r="S3502" t="str">
        <f>"14:48:42.609"</f>
        <v>14:48:42.609</v>
      </c>
      <c r="T3502" t="str">
        <f>"14:48:42.211"</f>
        <v>14:48:42.211</v>
      </c>
      <c r="U3502" t="str">
        <f t="shared" si="162"/>
        <v>ad5732</v>
      </c>
      <c r="V3502">
        <v>0</v>
      </c>
      <c r="W3502">
        <v>0</v>
      </c>
      <c r="X3502">
        <v>1</v>
      </c>
      <c r="Z3502">
        <v>0</v>
      </c>
      <c r="AA3502">
        <v>9</v>
      </c>
      <c r="AB3502">
        <v>3</v>
      </c>
      <c r="AC3502">
        <v>0</v>
      </c>
      <c r="AD3502">
        <v>10</v>
      </c>
      <c r="AE3502">
        <v>0</v>
      </c>
      <c r="AF3502">
        <v>3</v>
      </c>
      <c r="AG3502">
        <v>2</v>
      </c>
      <c r="AH3502">
        <v>0</v>
      </c>
      <c r="AI3502" t="s">
        <v>6639</v>
      </c>
      <c r="AJ3502">
        <v>40.388575000000003</v>
      </c>
      <c r="AK3502" t="s">
        <v>7078</v>
      </c>
      <c r="AL3502">
        <v>-74.563779999999994</v>
      </c>
      <c r="AM3502">
        <v>100</v>
      </c>
      <c r="AN3502">
        <v>1700</v>
      </c>
      <c r="AO3502" t="s">
        <v>115</v>
      </c>
      <c r="AP3502">
        <v>111</v>
      </c>
      <c r="AQ3502">
        <v>61</v>
      </c>
      <c r="AR3502">
        <v>-128</v>
      </c>
      <c r="AZ3502">
        <v>3614</v>
      </c>
      <c r="BA3502">
        <v>1</v>
      </c>
      <c r="BB3502" t="str">
        <f t="shared" si="164"/>
        <v xml:space="preserve">N959MJ  </v>
      </c>
      <c r="BC3502">
        <v>1</v>
      </c>
      <c r="BE3502">
        <v>0</v>
      </c>
      <c r="BF3502">
        <v>0</v>
      </c>
      <c r="BG3502">
        <v>0</v>
      </c>
      <c r="BH3502">
        <v>1875</v>
      </c>
      <c r="BI3502">
        <v>175</v>
      </c>
      <c r="BJ3502">
        <v>1</v>
      </c>
      <c r="BK3502">
        <v>1</v>
      </c>
      <c r="BL3502">
        <v>1</v>
      </c>
      <c r="BM3502">
        <v>0</v>
      </c>
      <c r="BP3502">
        <v>0</v>
      </c>
      <c r="BQ3502">
        <v>0</v>
      </c>
      <c r="BX3502" t="str">
        <f>"14:48:42.609"</f>
        <v>14:48:42.609</v>
      </c>
      <c r="BY3502" t="str">
        <f>"611026444"</f>
        <v>611026444</v>
      </c>
      <c r="CL3502">
        <v>0</v>
      </c>
      <c r="CM3502">
        <v>2</v>
      </c>
      <c r="CN3502">
        <v>0</v>
      </c>
      <c r="CO3502">
        <v>2</v>
      </c>
      <c r="CP3502">
        <v>0</v>
      </c>
      <c r="CQ3502">
        <v>7</v>
      </c>
      <c r="CR3502" t="s">
        <v>116</v>
      </c>
      <c r="CS3502">
        <v>38</v>
      </c>
      <c r="CT3502">
        <v>0</v>
      </c>
      <c r="CU3502" t="s">
        <v>4719</v>
      </c>
      <c r="CV3502" t="s">
        <v>4720</v>
      </c>
      <c r="CY3502">
        <v>7970350</v>
      </c>
      <c r="CZ3502" t="s">
        <v>119</v>
      </c>
    </row>
    <row r="3503" spans="1:104" x14ac:dyDescent="0.25">
      <c r="A3503" t="str">
        <f>"14:48:43.695"</f>
        <v>14:48:43.695</v>
      </c>
      <c r="B3503" t="s">
        <v>108</v>
      </c>
      <c r="C3503" t="str">
        <f t="shared" si="163"/>
        <v>ffdfd3c0</v>
      </c>
      <c r="D3503" t="s">
        <v>109</v>
      </c>
      <c r="E3503">
        <v>4</v>
      </c>
      <c r="F3503">
        <v>1004</v>
      </c>
      <c r="G3503" t="s">
        <v>110</v>
      </c>
      <c r="J3503" t="s">
        <v>111</v>
      </c>
      <c r="K3503">
        <v>0</v>
      </c>
      <c r="L3503">
        <v>3</v>
      </c>
      <c r="M3503">
        <v>0</v>
      </c>
      <c r="N3503">
        <v>2</v>
      </c>
      <c r="O3503">
        <v>1</v>
      </c>
      <c r="P3503">
        <v>0</v>
      </c>
      <c r="Q3503">
        <v>0</v>
      </c>
      <c r="R3503" t="s">
        <v>112</v>
      </c>
      <c r="S3503" t="str">
        <f>"14:48:43.508"</f>
        <v>14:48:43.508</v>
      </c>
      <c r="T3503" t="str">
        <f>"14:48:43.109"</f>
        <v>14:48:43.109</v>
      </c>
      <c r="U3503" t="str">
        <f t="shared" si="162"/>
        <v>ad5732</v>
      </c>
      <c r="V3503">
        <v>0</v>
      </c>
      <c r="W3503">
        <v>0</v>
      </c>
      <c r="X3503">
        <v>1</v>
      </c>
      <c r="Z3503">
        <v>0</v>
      </c>
      <c r="AA3503">
        <v>9</v>
      </c>
      <c r="AB3503">
        <v>3</v>
      </c>
      <c r="AC3503">
        <v>0</v>
      </c>
      <c r="AD3503">
        <v>10</v>
      </c>
      <c r="AE3503">
        <v>0</v>
      </c>
      <c r="AF3503">
        <v>3</v>
      </c>
      <c r="AG3503">
        <v>2</v>
      </c>
      <c r="AH3503">
        <v>0</v>
      </c>
      <c r="AI3503" t="s">
        <v>6633</v>
      </c>
      <c r="AJ3503">
        <v>40.388854000000002</v>
      </c>
      <c r="AK3503" t="s">
        <v>7079</v>
      </c>
      <c r="AL3503">
        <v>-74.563158000000001</v>
      </c>
      <c r="AM3503">
        <v>100</v>
      </c>
      <c r="AN3503">
        <v>1700</v>
      </c>
      <c r="AO3503" t="s">
        <v>115</v>
      </c>
      <c r="AP3503">
        <v>112</v>
      </c>
      <c r="AQ3503">
        <v>60</v>
      </c>
      <c r="AR3503">
        <v>-128</v>
      </c>
      <c r="AZ3503">
        <v>3614</v>
      </c>
      <c r="BA3503">
        <v>1</v>
      </c>
      <c r="BB3503" t="str">
        <f t="shared" si="164"/>
        <v xml:space="preserve">N959MJ  </v>
      </c>
      <c r="BC3503">
        <v>1</v>
      </c>
      <c r="BE3503">
        <v>0</v>
      </c>
      <c r="BF3503">
        <v>0</v>
      </c>
      <c r="BG3503">
        <v>0</v>
      </c>
      <c r="BH3503">
        <v>1875</v>
      </c>
      <c r="BI3503">
        <v>175</v>
      </c>
      <c r="BJ3503">
        <v>1</v>
      </c>
      <c r="BK3503">
        <v>1</v>
      </c>
      <c r="BL3503">
        <v>1</v>
      </c>
      <c r="BM3503">
        <v>0</v>
      </c>
      <c r="BP3503">
        <v>0</v>
      </c>
      <c r="BQ3503">
        <v>0</v>
      </c>
      <c r="BX3503" t="str">
        <f>"14:48:43.508"</f>
        <v>14:48:43.508</v>
      </c>
      <c r="BY3503" t="str">
        <f>"510671777"</f>
        <v>510671777</v>
      </c>
      <c r="CL3503">
        <v>0</v>
      </c>
      <c r="CM3503">
        <v>2</v>
      </c>
      <c r="CN3503">
        <v>0</v>
      </c>
      <c r="CO3503">
        <v>2</v>
      </c>
      <c r="CP3503">
        <v>0</v>
      </c>
      <c r="CQ3503">
        <v>7</v>
      </c>
      <c r="CR3503" t="s">
        <v>116</v>
      </c>
      <c r="CS3503">
        <v>38</v>
      </c>
      <c r="CT3503">
        <v>0</v>
      </c>
      <c r="CU3503" t="s">
        <v>4719</v>
      </c>
      <c r="CV3503" t="s">
        <v>4720</v>
      </c>
      <c r="CY3503">
        <v>7971696</v>
      </c>
      <c r="CZ3503" t="s">
        <v>119</v>
      </c>
    </row>
    <row r="3504" spans="1:104" x14ac:dyDescent="0.25">
      <c r="A3504" t="str">
        <f>"14:48:44.750"</f>
        <v>14:48:44.750</v>
      </c>
      <c r="B3504" t="s">
        <v>108</v>
      </c>
      <c r="C3504" t="str">
        <f t="shared" si="163"/>
        <v>ffdfd3c0</v>
      </c>
      <c r="D3504" t="s">
        <v>109</v>
      </c>
      <c r="E3504">
        <v>4</v>
      </c>
      <c r="F3504">
        <v>1004</v>
      </c>
      <c r="G3504" t="s">
        <v>110</v>
      </c>
      <c r="J3504" t="s">
        <v>111</v>
      </c>
      <c r="K3504">
        <v>0</v>
      </c>
      <c r="L3504">
        <v>3</v>
      </c>
      <c r="M3504">
        <v>0</v>
      </c>
      <c r="N3504">
        <v>2</v>
      </c>
      <c r="O3504">
        <v>1</v>
      </c>
      <c r="P3504">
        <v>0</v>
      </c>
      <c r="Q3504">
        <v>0</v>
      </c>
      <c r="R3504" t="s">
        <v>112</v>
      </c>
      <c r="S3504" t="str">
        <f>"14:48:44.586"</f>
        <v>14:48:44.586</v>
      </c>
      <c r="T3504" t="str">
        <f>"14:48:44.086"</f>
        <v>14:48:44.086</v>
      </c>
      <c r="U3504" t="str">
        <f t="shared" si="162"/>
        <v>ad5732</v>
      </c>
      <c r="V3504">
        <v>0</v>
      </c>
      <c r="W3504">
        <v>0</v>
      </c>
      <c r="X3504">
        <v>1</v>
      </c>
      <c r="Z3504">
        <v>0</v>
      </c>
      <c r="AA3504">
        <v>9</v>
      </c>
      <c r="AB3504">
        <v>3</v>
      </c>
      <c r="AC3504">
        <v>0</v>
      </c>
      <c r="AD3504">
        <v>10</v>
      </c>
      <c r="AE3504">
        <v>0</v>
      </c>
      <c r="AF3504">
        <v>3</v>
      </c>
      <c r="AG3504">
        <v>2</v>
      </c>
      <c r="AH3504">
        <v>0</v>
      </c>
      <c r="AI3504" t="s">
        <v>7080</v>
      </c>
      <c r="AJ3504">
        <v>40.389175000000002</v>
      </c>
      <c r="AK3504" t="s">
        <v>7081</v>
      </c>
      <c r="AL3504">
        <v>-74.562385000000006</v>
      </c>
      <c r="AM3504">
        <v>100</v>
      </c>
      <c r="AN3504">
        <v>1700</v>
      </c>
      <c r="AO3504" t="s">
        <v>115</v>
      </c>
      <c r="AP3504">
        <v>112</v>
      </c>
      <c r="AQ3504">
        <v>60</v>
      </c>
      <c r="AR3504">
        <v>-128</v>
      </c>
      <c r="AZ3504">
        <v>3614</v>
      </c>
      <c r="BA3504">
        <v>1</v>
      </c>
      <c r="BB3504" t="str">
        <f t="shared" si="164"/>
        <v xml:space="preserve">N959MJ  </v>
      </c>
      <c r="BC3504">
        <v>1</v>
      </c>
      <c r="BE3504">
        <v>0</v>
      </c>
      <c r="BF3504">
        <v>0</v>
      </c>
      <c r="BG3504">
        <v>0</v>
      </c>
      <c r="BH3504">
        <v>1875</v>
      </c>
      <c r="BI3504">
        <v>175</v>
      </c>
      <c r="BJ3504">
        <v>1</v>
      </c>
      <c r="BK3504">
        <v>1</v>
      </c>
      <c r="BL3504">
        <v>1</v>
      </c>
      <c r="BM3504">
        <v>0</v>
      </c>
      <c r="BP3504">
        <v>0</v>
      </c>
      <c r="BQ3504">
        <v>0</v>
      </c>
      <c r="BX3504" t="str">
        <f>"14:48:44.586"</f>
        <v>14:48:44.586</v>
      </c>
      <c r="BY3504" t="str">
        <f>"586971941"</f>
        <v>586971941</v>
      </c>
      <c r="CL3504">
        <v>0</v>
      </c>
      <c r="CM3504">
        <v>2</v>
      </c>
      <c r="CN3504">
        <v>0</v>
      </c>
      <c r="CO3504">
        <v>2</v>
      </c>
      <c r="CP3504">
        <v>0</v>
      </c>
      <c r="CQ3504">
        <v>7</v>
      </c>
      <c r="CR3504" t="s">
        <v>116</v>
      </c>
      <c r="CS3504">
        <v>38</v>
      </c>
      <c r="CT3504">
        <v>0</v>
      </c>
      <c r="CU3504" t="s">
        <v>4719</v>
      </c>
      <c r="CV3504" t="s">
        <v>4720</v>
      </c>
      <c r="CY3504">
        <v>7973397</v>
      </c>
      <c r="CZ3504" t="s">
        <v>119</v>
      </c>
    </row>
    <row r="3505" spans="1:104" x14ac:dyDescent="0.25">
      <c r="A3505" t="str">
        <f>"14:48:45.813"</f>
        <v>14:48:45.813</v>
      </c>
      <c r="B3505" t="s">
        <v>108</v>
      </c>
      <c r="C3505" t="str">
        <f t="shared" si="163"/>
        <v>ffdfd3c0</v>
      </c>
      <c r="D3505" t="s">
        <v>109</v>
      </c>
      <c r="E3505">
        <v>4</v>
      </c>
      <c r="F3505">
        <v>1004</v>
      </c>
      <c r="G3505" t="s">
        <v>110</v>
      </c>
      <c r="J3505" t="s">
        <v>111</v>
      </c>
      <c r="K3505">
        <v>0</v>
      </c>
      <c r="L3505">
        <v>3</v>
      </c>
      <c r="M3505">
        <v>0</v>
      </c>
      <c r="N3505">
        <v>2</v>
      </c>
      <c r="O3505">
        <v>1</v>
      </c>
      <c r="P3505">
        <v>0</v>
      </c>
      <c r="Q3505">
        <v>0</v>
      </c>
      <c r="R3505" t="s">
        <v>112</v>
      </c>
      <c r="S3505" t="str">
        <f>"14:48:45.633"</f>
        <v>14:48:45.633</v>
      </c>
      <c r="T3505" t="str">
        <f>"14:48:45.234"</f>
        <v>14:48:45.234</v>
      </c>
      <c r="U3505" t="str">
        <f t="shared" si="162"/>
        <v>ad5732</v>
      </c>
      <c r="V3505">
        <v>0</v>
      </c>
      <c r="W3505">
        <v>0</v>
      </c>
      <c r="X3505">
        <v>1</v>
      </c>
      <c r="Z3505">
        <v>0</v>
      </c>
      <c r="AA3505">
        <v>9</v>
      </c>
      <c r="AB3505">
        <v>3</v>
      </c>
      <c r="AC3505">
        <v>0</v>
      </c>
      <c r="AD3505">
        <v>10</v>
      </c>
      <c r="AE3505">
        <v>0</v>
      </c>
      <c r="AF3505">
        <v>3</v>
      </c>
      <c r="AG3505">
        <v>2</v>
      </c>
      <c r="AH3505">
        <v>0</v>
      </c>
      <c r="AI3505" t="s">
        <v>7082</v>
      </c>
      <c r="AJ3505">
        <v>40.389476000000002</v>
      </c>
      <c r="AK3505" t="s">
        <v>7083</v>
      </c>
      <c r="AL3505">
        <v>-74.561655999999999</v>
      </c>
      <c r="AM3505">
        <v>100</v>
      </c>
      <c r="AN3505">
        <v>1700</v>
      </c>
      <c r="AO3505" t="s">
        <v>115</v>
      </c>
      <c r="AP3505">
        <v>112</v>
      </c>
      <c r="AQ3505">
        <v>60</v>
      </c>
      <c r="AR3505">
        <v>-64</v>
      </c>
      <c r="AZ3505">
        <v>3614</v>
      </c>
      <c r="BA3505">
        <v>1</v>
      </c>
      <c r="BB3505" t="str">
        <f t="shared" si="164"/>
        <v xml:space="preserve">N959MJ  </v>
      </c>
      <c r="BC3505">
        <v>1</v>
      </c>
      <c r="BE3505">
        <v>0</v>
      </c>
      <c r="BF3505">
        <v>0</v>
      </c>
      <c r="BG3505">
        <v>0</v>
      </c>
      <c r="BH3505">
        <v>1875</v>
      </c>
      <c r="BI3505">
        <v>175</v>
      </c>
      <c r="BJ3505">
        <v>1</v>
      </c>
      <c r="BK3505">
        <v>1</v>
      </c>
      <c r="BL3505">
        <v>1</v>
      </c>
      <c r="BM3505">
        <v>0</v>
      </c>
      <c r="BP3505">
        <v>0</v>
      </c>
      <c r="BQ3505">
        <v>0</v>
      </c>
      <c r="BX3505" t="str">
        <f>"14:48:45.633"</f>
        <v>14:48:45.633</v>
      </c>
      <c r="BY3505" t="str">
        <f>"633928180"</f>
        <v>633928180</v>
      </c>
      <c r="CL3505">
        <v>0</v>
      </c>
      <c r="CM3505">
        <v>2</v>
      </c>
      <c r="CN3505">
        <v>0</v>
      </c>
      <c r="CO3505">
        <v>2</v>
      </c>
      <c r="CP3505">
        <v>0</v>
      </c>
      <c r="CQ3505">
        <v>7</v>
      </c>
      <c r="CR3505" t="s">
        <v>116</v>
      </c>
      <c r="CS3505">
        <v>38</v>
      </c>
      <c r="CT3505">
        <v>0</v>
      </c>
      <c r="CU3505" t="s">
        <v>4719</v>
      </c>
      <c r="CV3505" t="s">
        <v>4720</v>
      </c>
      <c r="CY3505">
        <v>7975014</v>
      </c>
      <c r="CZ3505" t="s">
        <v>119</v>
      </c>
    </row>
    <row r="3506" spans="1:104" x14ac:dyDescent="0.25">
      <c r="A3506" t="str">
        <f>"14:48:46.875"</f>
        <v>14:48:46.875</v>
      </c>
      <c r="B3506" t="s">
        <v>108</v>
      </c>
      <c r="C3506" t="str">
        <f t="shared" si="163"/>
        <v>ffdfd3c0</v>
      </c>
      <c r="D3506" t="s">
        <v>109</v>
      </c>
      <c r="E3506">
        <v>4</v>
      </c>
      <c r="F3506">
        <v>1004</v>
      </c>
      <c r="G3506" t="s">
        <v>110</v>
      </c>
      <c r="J3506" t="s">
        <v>111</v>
      </c>
      <c r="K3506">
        <v>0</v>
      </c>
      <c r="L3506">
        <v>3</v>
      </c>
      <c r="M3506">
        <v>0</v>
      </c>
      <c r="N3506">
        <v>2</v>
      </c>
      <c r="O3506">
        <v>1</v>
      </c>
      <c r="P3506">
        <v>0</v>
      </c>
      <c r="Q3506">
        <v>0</v>
      </c>
      <c r="R3506" t="s">
        <v>112</v>
      </c>
      <c r="S3506" t="str">
        <f>"14:48:46.656"</f>
        <v>14:48:46.656</v>
      </c>
      <c r="T3506" t="str">
        <f>"14:48:46.258"</f>
        <v>14:48:46.258</v>
      </c>
      <c r="U3506" t="str">
        <f t="shared" si="162"/>
        <v>ad5732</v>
      </c>
      <c r="V3506">
        <v>0</v>
      </c>
      <c r="W3506">
        <v>0</v>
      </c>
      <c r="X3506">
        <v>1</v>
      </c>
      <c r="Z3506">
        <v>0</v>
      </c>
      <c r="AA3506">
        <v>9</v>
      </c>
      <c r="AB3506">
        <v>3</v>
      </c>
      <c r="AC3506">
        <v>0</v>
      </c>
      <c r="AD3506">
        <v>10</v>
      </c>
      <c r="AE3506">
        <v>0</v>
      </c>
      <c r="AF3506">
        <v>3</v>
      </c>
      <c r="AG3506">
        <v>2</v>
      </c>
      <c r="AH3506">
        <v>0</v>
      </c>
      <c r="AI3506" t="s">
        <v>7084</v>
      </c>
      <c r="AJ3506">
        <v>40.389755000000001</v>
      </c>
      <c r="AK3506" t="s">
        <v>7085</v>
      </c>
      <c r="AL3506">
        <v>-74.561032999999995</v>
      </c>
      <c r="AM3506">
        <v>100</v>
      </c>
      <c r="AN3506">
        <v>1700</v>
      </c>
      <c r="AO3506" t="s">
        <v>115</v>
      </c>
      <c r="AP3506">
        <v>112</v>
      </c>
      <c r="AQ3506">
        <v>60</v>
      </c>
      <c r="AR3506">
        <v>-64</v>
      </c>
      <c r="AZ3506">
        <v>3614</v>
      </c>
      <c r="BA3506">
        <v>1</v>
      </c>
      <c r="BB3506" t="str">
        <f t="shared" si="164"/>
        <v xml:space="preserve">N959MJ  </v>
      </c>
      <c r="BC3506">
        <v>1</v>
      </c>
      <c r="BE3506">
        <v>0</v>
      </c>
      <c r="BF3506">
        <v>0</v>
      </c>
      <c r="BG3506">
        <v>0</v>
      </c>
      <c r="BH3506">
        <v>1875</v>
      </c>
      <c r="BI3506">
        <v>175</v>
      </c>
      <c r="BJ3506">
        <v>1</v>
      </c>
      <c r="BK3506">
        <v>1</v>
      </c>
      <c r="BL3506">
        <v>1</v>
      </c>
      <c r="BM3506">
        <v>0</v>
      </c>
      <c r="BP3506">
        <v>0</v>
      </c>
      <c r="BQ3506">
        <v>0</v>
      </c>
      <c r="BX3506" t="str">
        <f>"14:48:46.664"</f>
        <v>14:48:46.664</v>
      </c>
      <c r="BY3506" t="str">
        <f>"662861609"</f>
        <v>662861609</v>
      </c>
      <c r="CL3506">
        <v>0</v>
      </c>
      <c r="CM3506">
        <v>2</v>
      </c>
      <c r="CN3506">
        <v>0</v>
      </c>
      <c r="CO3506">
        <v>2</v>
      </c>
      <c r="CP3506">
        <v>0</v>
      </c>
      <c r="CQ3506">
        <v>7</v>
      </c>
      <c r="CR3506" t="s">
        <v>116</v>
      </c>
      <c r="CS3506">
        <v>38</v>
      </c>
      <c r="CT3506">
        <v>0</v>
      </c>
      <c r="CU3506" t="s">
        <v>4719</v>
      </c>
      <c r="CV3506" t="s">
        <v>4720</v>
      </c>
      <c r="CY3506">
        <v>7976557</v>
      </c>
      <c r="CZ3506" t="s">
        <v>119</v>
      </c>
    </row>
    <row r="3507" spans="1:104" x14ac:dyDescent="0.25">
      <c r="A3507" t="str">
        <f>"14:48:47.734"</f>
        <v>14:48:47.734</v>
      </c>
      <c r="B3507" t="s">
        <v>108</v>
      </c>
      <c r="C3507" t="str">
        <f t="shared" si="163"/>
        <v>ffdfd3c0</v>
      </c>
      <c r="D3507" t="s">
        <v>109</v>
      </c>
      <c r="E3507">
        <v>4</v>
      </c>
      <c r="F3507">
        <v>1004</v>
      </c>
      <c r="G3507" t="s">
        <v>110</v>
      </c>
      <c r="J3507" t="s">
        <v>111</v>
      </c>
      <c r="K3507">
        <v>0</v>
      </c>
      <c r="L3507">
        <v>3</v>
      </c>
      <c r="M3507">
        <v>0</v>
      </c>
      <c r="N3507">
        <v>2</v>
      </c>
      <c r="O3507">
        <v>1</v>
      </c>
      <c r="P3507">
        <v>0</v>
      </c>
      <c r="Q3507">
        <v>0</v>
      </c>
      <c r="R3507" t="s">
        <v>112</v>
      </c>
      <c r="S3507" t="str">
        <f>"14:48:47.570"</f>
        <v>14:48:47.570</v>
      </c>
      <c r="T3507" t="str">
        <f>"14:48:47.172"</f>
        <v>14:48:47.172</v>
      </c>
      <c r="U3507" t="str">
        <f t="shared" si="162"/>
        <v>ad5732</v>
      </c>
      <c r="V3507">
        <v>0</v>
      </c>
      <c r="W3507">
        <v>0</v>
      </c>
      <c r="X3507">
        <v>1</v>
      </c>
      <c r="Z3507">
        <v>0</v>
      </c>
      <c r="AA3507">
        <v>9</v>
      </c>
      <c r="AB3507">
        <v>3</v>
      </c>
      <c r="AC3507">
        <v>0</v>
      </c>
      <c r="AD3507">
        <v>10</v>
      </c>
      <c r="AE3507">
        <v>0</v>
      </c>
      <c r="AF3507">
        <v>3</v>
      </c>
      <c r="AG3507">
        <v>2</v>
      </c>
      <c r="AH3507">
        <v>0</v>
      </c>
      <c r="AI3507" t="s">
        <v>7086</v>
      </c>
      <c r="AJ3507">
        <v>40.389991000000002</v>
      </c>
      <c r="AK3507" t="s">
        <v>7087</v>
      </c>
      <c r="AL3507">
        <v>-74.560367999999997</v>
      </c>
      <c r="AM3507">
        <v>100</v>
      </c>
      <c r="AN3507">
        <v>1700</v>
      </c>
      <c r="AO3507" t="s">
        <v>115</v>
      </c>
      <c r="AP3507">
        <v>112</v>
      </c>
      <c r="AQ3507">
        <v>60</v>
      </c>
      <c r="AR3507">
        <v>0</v>
      </c>
      <c r="AZ3507">
        <v>3614</v>
      </c>
      <c r="BA3507">
        <v>1</v>
      </c>
      <c r="BB3507" t="str">
        <f t="shared" si="164"/>
        <v xml:space="preserve">N959MJ  </v>
      </c>
      <c r="BC3507">
        <v>1</v>
      </c>
      <c r="BE3507">
        <v>0</v>
      </c>
      <c r="BF3507">
        <v>0</v>
      </c>
      <c r="BG3507">
        <v>0</v>
      </c>
      <c r="BH3507">
        <v>1875</v>
      </c>
      <c r="BI3507">
        <v>175</v>
      </c>
      <c r="BJ3507">
        <v>1</v>
      </c>
      <c r="BK3507">
        <v>1</v>
      </c>
      <c r="BL3507">
        <v>1</v>
      </c>
      <c r="BM3507">
        <v>0</v>
      </c>
      <c r="BP3507">
        <v>0</v>
      </c>
      <c r="BQ3507">
        <v>0</v>
      </c>
      <c r="BX3507" t="str">
        <f>"14:48:47.570"</f>
        <v>14:48:47.570</v>
      </c>
      <c r="BY3507" t="str">
        <f>"572189806"</f>
        <v>572189806</v>
      </c>
      <c r="CL3507">
        <v>0</v>
      </c>
      <c r="CM3507">
        <v>2</v>
      </c>
      <c r="CN3507">
        <v>0</v>
      </c>
      <c r="CO3507">
        <v>2</v>
      </c>
      <c r="CP3507">
        <v>0</v>
      </c>
      <c r="CQ3507">
        <v>7</v>
      </c>
      <c r="CR3507" t="s">
        <v>116</v>
      </c>
      <c r="CS3507">
        <v>38</v>
      </c>
      <c r="CT3507">
        <v>0</v>
      </c>
      <c r="CU3507" t="s">
        <v>4719</v>
      </c>
      <c r="CV3507" t="s">
        <v>4720</v>
      </c>
      <c r="CY3507">
        <v>7977913</v>
      </c>
      <c r="CZ3507" t="s">
        <v>119</v>
      </c>
    </row>
    <row r="3508" spans="1:104" x14ac:dyDescent="0.25">
      <c r="A3508" t="str">
        <f>"14:48:48.641"</f>
        <v>14:48:48.641</v>
      </c>
      <c r="B3508" t="s">
        <v>108</v>
      </c>
      <c r="C3508" t="str">
        <f t="shared" si="163"/>
        <v>ffdfd3c0</v>
      </c>
      <c r="D3508" t="s">
        <v>109</v>
      </c>
      <c r="E3508">
        <v>4</v>
      </c>
      <c r="F3508">
        <v>1004</v>
      </c>
      <c r="G3508" t="s">
        <v>110</v>
      </c>
      <c r="J3508" t="s">
        <v>111</v>
      </c>
      <c r="K3508">
        <v>0</v>
      </c>
      <c r="L3508">
        <v>3</v>
      </c>
      <c r="M3508">
        <v>0</v>
      </c>
      <c r="N3508">
        <v>2</v>
      </c>
      <c r="O3508">
        <v>1</v>
      </c>
      <c r="P3508">
        <v>0</v>
      </c>
      <c r="Q3508">
        <v>0</v>
      </c>
      <c r="R3508" t="s">
        <v>112</v>
      </c>
      <c r="S3508" t="str">
        <f>"14:48:48.477"</f>
        <v>14:48:48.477</v>
      </c>
      <c r="T3508" t="str">
        <f>"14:48:48.078"</f>
        <v>14:48:48.078</v>
      </c>
      <c r="U3508" t="str">
        <f t="shared" si="162"/>
        <v>ad5732</v>
      </c>
      <c r="V3508">
        <v>0</v>
      </c>
      <c r="W3508">
        <v>0</v>
      </c>
      <c r="X3508">
        <v>1</v>
      </c>
      <c r="Z3508">
        <v>0</v>
      </c>
      <c r="AA3508">
        <v>9</v>
      </c>
      <c r="AB3508">
        <v>3</v>
      </c>
      <c r="AC3508">
        <v>0</v>
      </c>
      <c r="AD3508">
        <v>10</v>
      </c>
      <c r="AE3508">
        <v>0</v>
      </c>
      <c r="AF3508">
        <v>3</v>
      </c>
      <c r="AG3508">
        <v>2</v>
      </c>
      <c r="AH3508">
        <v>0</v>
      </c>
      <c r="AI3508" t="s">
        <v>7088</v>
      </c>
      <c r="AJ3508">
        <v>40.390248</v>
      </c>
      <c r="AK3508" t="s">
        <v>7089</v>
      </c>
      <c r="AL3508">
        <v>-74.559766999999994</v>
      </c>
      <c r="AM3508">
        <v>100</v>
      </c>
      <c r="AN3508">
        <v>1700</v>
      </c>
      <c r="AO3508" t="s">
        <v>115</v>
      </c>
      <c r="AP3508">
        <v>111</v>
      </c>
      <c r="AQ3508">
        <v>60</v>
      </c>
      <c r="AR3508">
        <v>0</v>
      </c>
      <c r="AZ3508">
        <v>3614</v>
      </c>
      <c r="BA3508">
        <v>1</v>
      </c>
      <c r="BB3508" t="str">
        <f t="shared" si="164"/>
        <v xml:space="preserve">N959MJ  </v>
      </c>
      <c r="BC3508">
        <v>1</v>
      </c>
      <c r="BE3508">
        <v>0</v>
      </c>
      <c r="BF3508">
        <v>0</v>
      </c>
      <c r="BG3508">
        <v>0</v>
      </c>
      <c r="BH3508">
        <v>1875</v>
      </c>
      <c r="BI3508">
        <v>175</v>
      </c>
      <c r="BJ3508">
        <v>1</v>
      </c>
      <c r="BK3508">
        <v>1</v>
      </c>
      <c r="BL3508">
        <v>1</v>
      </c>
      <c r="BM3508">
        <v>0</v>
      </c>
      <c r="BP3508">
        <v>0</v>
      </c>
      <c r="BQ3508">
        <v>0</v>
      </c>
      <c r="BX3508" t="str">
        <f>"14:48:48.477"</f>
        <v>14:48:48.477</v>
      </c>
      <c r="BY3508" t="str">
        <f>"476602611"</f>
        <v>476602611</v>
      </c>
      <c r="CL3508">
        <v>0</v>
      </c>
      <c r="CM3508">
        <v>2</v>
      </c>
      <c r="CN3508">
        <v>0</v>
      </c>
      <c r="CO3508">
        <v>2</v>
      </c>
      <c r="CP3508">
        <v>0</v>
      </c>
      <c r="CQ3508">
        <v>6</v>
      </c>
      <c r="CR3508" t="s">
        <v>116</v>
      </c>
      <c r="CS3508">
        <v>38</v>
      </c>
      <c r="CT3508">
        <v>0</v>
      </c>
      <c r="CU3508" t="s">
        <v>4719</v>
      </c>
      <c r="CV3508" t="s">
        <v>4720</v>
      </c>
      <c r="CY3508">
        <v>7979295</v>
      </c>
      <c r="CZ3508" t="s">
        <v>119</v>
      </c>
    </row>
    <row r="3509" spans="1:104" x14ac:dyDescent="0.25">
      <c r="A3509" t="str">
        <f>"14:48:49.547"</f>
        <v>14:48:49.547</v>
      </c>
      <c r="B3509" t="s">
        <v>108</v>
      </c>
      <c r="C3509" t="str">
        <f t="shared" si="163"/>
        <v>ffdfd3c0</v>
      </c>
      <c r="D3509" t="s">
        <v>109</v>
      </c>
      <c r="E3509">
        <v>4</v>
      </c>
      <c r="F3509">
        <v>1004</v>
      </c>
      <c r="G3509" t="s">
        <v>110</v>
      </c>
      <c r="J3509" t="s">
        <v>111</v>
      </c>
      <c r="K3509">
        <v>0</v>
      </c>
      <c r="L3509">
        <v>3</v>
      </c>
      <c r="M3509">
        <v>0</v>
      </c>
      <c r="N3509">
        <v>2</v>
      </c>
      <c r="O3509">
        <v>1</v>
      </c>
      <c r="P3509">
        <v>0</v>
      </c>
      <c r="Q3509">
        <v>0</v>
      </c>
      <c r="R3509" t="s">
        <v>112</v>
      </c>
      <c r="S3509" t="str">
        <f>"14:48:49.352"</f>
        <v>14:48:49.352</v>
      </c>
      <c r="T3509" t="str">
        <f>"14:48:48.953"</f>
        <v>14:48:48.953</v>
      </c>
      <c r="U3509" t="str">
        <f t="shared" si="162"/>
        <v>ad5732</v>
      </c>
      <c r="V3509">
        <v>0</v>
      </c>
      <c r="W3509">
        <v>0</v>
      </c>
      <c r="X3509">
        <v>1</v>
      </c>
      <c r="Z3509">
        <v>0</v>
      </c>
      <c r="AA3509">
        <v>9</v>
      </c>
      <c r="AB3509">
        <v>3</v>
      </c>
      <c r="AC3509">
        <v>0</v>
      </c>
      <c r="AD3509">
        <v>10</v>
      </c>
      <c r="AE3509">
        <v>0</v>
      </c>
      <c r="AF3509">
        <v>3</v>
      </c>
      <c r="AG3509">
        <v>2</v>
      </c>
      <c r="AH3509">
        <v>0</v>
      </c>
      <c r="AI3509" t="s">
        <v>6600</v>
      </c>
      <c r="AJ3509">
        <v>40.390506000000002</v>
      </c>
      <c r="AK3509" t="s">
        <v>7090</v>
      </c>
      <c r="AL3509">
        <v>-74.559145000000001</v>
      </c>
      <c r="AM3509">
        <v>100</v>
      </c>
      <c r="AN3509">
        <v>1700</v>
      </c>
      <c r="AO3509" t="s">
        <v>115</v>
      </c>
      <c r="AP3509">
        <v>111</v>
      </c>
      <c r="AQ3509">
        <v>60</v>
      </c>
      <c r="AR3509">
        <v>64</v>
      </c>
      <c r="AZ3509">
        <v>3614</v>
      </c>
      <c r="BA3509">
        <v>1</v>
      </c>
      <c r="BB3509" t="str">
        <f t="shared" si="164"/>
        <v xml:space="preserve">N959MJ  </v>
      </c>
      <c r="BC3509">
        <v>1</v>
      </c>
      <c r="BE3509">
        <v>0</v>
      </c>
      <c r="BF3509">
        <v>0</v>
      </c>
      <c r="BG3509">
        <v>0</v>
      </c>
      <c r="BH3509">
        <v>1875</v>
      </c>
      <c r="BI3509">
        <v>175</v>
      </c>
      <c r="BJ3509">
        <v>1</v>
      </c>
      <c r="BK3509">
        <v>1</v>
      </c>
      <c r="BL3509">
        <v>1</v>
      </c>
      <c r="BM3509">
        <v>0</v>
      </c>
      <c r="BP3509">
        <v>0</v>
      </c>
      <c r="BQ3509">
        <v>0</v>
      </c>
      <c r="BX3509" t="str">
        <f>"14:48:49.359"</f>
        <v>14:48:49.359</v>
      </c>
      <c r="BY3509" t="str">
        <f>"358138704"</f>
        <v>358138704</v>
      </c>
      <c r="CL3509">
        <v>0</v>
      </c>
      <c r="CM3509">
        <v>2</v>
      </c>
      <c r="CN3509">
        <v>0</v>
      </c>
      <c r="CO3509">
        <v>2</v>
      </c>
      <c r="CP3509">
        <v>0</v>
      </c>
      <c r="CQ3509">
        <v>6</v>
      </c>
      <c r="CR3509" t="s">
        <v>116</v>
      </c>
      <c r="CS3509">
        <v>305</v>
      </c>
      <c r="CT3509">
        <v>3</v>
      </c>
      <c r="CU3509" t="s">
        <v>6425</v>
      </c>
      <c r="CV3509" t="s">
        <v>6426</v>
      </c>
      <c r="CY3509">
        <v>5820288</v>
      </c>
      <c r="CZ3509" t="s">
        <v>119</v>
      </c>
    </row>
    <row r="3510" spans="1:104" x14ac:dyDescent="0.25">
      <c r="A3510" t="str">
        <f>"14:48:50.563"</f>
        <v>14:48:50.563</v>
      </c>
      <c r="B3510" t="s">
        <v>108</v>
      </c>
      <c r="C3510" t="str">
        <f t="shared" si="163"/>
        <v>ffdfd3c0</v>
      </c>
      <c r="D3510" t="s">
        <v>109</v>
      </c>
      <c r="E3510">
        <v>4</v>
      </c>
      <c r="F3510">
        <v>1004</v>
      </c>
      <c r="G3510" t="s">
        <v>110</v>
      </c>
      <c r="J3510" t="s">
        <v>111</v>
      </c>
      <c r="K3510">
        <v>0</v>
      </c>
      <c r="L3510">
        <v>3</v>
      </c>
      <c r="M3510">
        <v>0</v>
      </c>
      <c r="N3510">
        <v>2</v>
      </c>
      <c r="O3510">
        <v>1</v>
      </c>
      <c r="P3510">
        <v>0</v>
      </c>
      <c r="Q3510">
        <v>0</v>
      </c>
      <c r="R3510" t="s">
        <v>112</v>
      </c>
      <c r="S3510" t="str">
        <f>"14:48:50.383"</f>
        <v>14:48:50.383</v>
      </c>
      <c r="T3510" t="str">
        <f>"14:48:49.984"</f>
        <v>14:48:49.984</v>
      </c>
      <c r="U3510" t="str">
        <f t="shared" si="162"/>
        <v>ad5732</v>
      </c>
      <c r="V3510">
        <v>0</v>
      </c>
      <c r="W3510">
        <v>0</v>
      </c>
      <c r="X3510">
        <v>1</v>
      </c>
      <c r="Z3510">
        <v>0</v>
      </c>
      <c r="AA3510">
        <v>9</v>
      </c>
      <c r="AB3510">
        <v>3</v>
      </c>
      <c r="AC3510">
        <v>0</v>
      </c>
      <c r="AD3510">
        <v>10</v>
      </c>
      <c r="AE3510">
        <v>0</v>
      </c>
      <c r="AF3510">
        <v>3</v>
      </c>
      <c r="AG3510">
        <v>2</v>
      </c>
      <c r="AH3510">
        <v>0</v>
      </c>
      <c r="AI3510" t="s">
        <v>7091</v>
      </c>
      <c r="AJ3510">
        <v>40.390785000000001</v>
      </c>
      <c r="AK3510" t="s">
        <v>7092</v>
      </c>
      <c r="AL3510">
        <v>-74.558522999999994</v>
      </c>
      <c r="AM3510">
        <v>100</v>
      </c>
      <c r="AN3510">
        <v>1700</v>
      </c>
      <c r="AO3510" t="s">
        <v>115</v>
      </c>
      <c r="AP3510">
        <v>111</v>
      </c>
      <c r="AQ3510">
        <v>60</v>
      </c>
      <c r="AR3510">
        <v>64</v>
      </c>
      <c r="AZ3510">
        <v>3614</v>
      </c>
      <c r="BA3510">
        <v>1</v>
      </c>
      <c r="BB3510" t="str">
        <f t="shared" si="164"/>
        <v xml:space="preserve">N959MJ  </v>
      </c>
      <c r="BC3510">
        <v>1</v>
      </c>
      <c r="BE3510">
        <v>0</v>
      </c>
      <c r="BF3510">
        <v>0</v>
      </c>
      <c r="BG3510">
        <v>0</v>
      </c>
      <c r="BH3510">
        <v>1875</v>
      </c>
      <c r="BI3510">
        <v>175</v>
      </c>
      <c r="BJ3510">
        <v>1</v>
      </c>
      <c r="BK3510">
        <v>1</v>
      </c>
      <c r="BL3510">
        <v>1</v>
      </c>
      <c r="BM3510">
        <v>0</v>
      </c>
      <c r="BP3510">
        <v>0</v>
      </c>
      <c r="BQ3510">
        <v>0</v>
      </c>
      <c r="BX3510" t="str">
        <f>"14:48:50.391"</f>
        <v>14:48:50.391</v>
      </c>
      <c r="BY3510" t="str">
        <f>"387071742"</f>
        <v>387071742</v>
      </c>
      <c r="CL3510">
        <v>0</v>
      </c>
      <c r="CM3510">
        <v>2</v>
      </c>
      <c r="CN3510">
        <v>0</v>
      </c>
      <c r="CO3510">
        <v>2</v>
      </c>
      <c r="CP3510">
        <v>0</v>
      </c>
      <c r="CQ3510">
        <v>6</v>
      </c>
      <c r="CR3510" t="s">
        <v>116</v>
      </c>
      <c r="CS3510">
        <v>305</v>
      </c>
      <c r="CT3510">
        <v>3</v>
      </c>
      <c r="CU3510" t="s">
        <v>6425</v>
      </c>
      <c r="CV3510" t="s">
        <v>6426</v>
      </c>
      <c r="CY3510">
        <v>5822218</v>
      </c>
      <c r="CZ3510" t="s">
        <v>119</v>
      </c>
    </row>
    <row r="3511" spans="1:104" x14ac:dyDescent="0.25">
      <c r="A3511" t="str">
        <f>"14:48:51.719"</f>
        <v>14:48:51.719</v>
      </c>
      <c r="B3511" t="s">
        <v>108</v>
      </c>
      <c r="C3511" t="str">
        <f t="shared" si="163"/>
        <v>ffdfd3c0</v>
      </c>
      <c r="D3511" t="s">
        <v>109</v>
      </c>
      <c r="E3511">
        <v>4</v>
      </c>
      <c r="F3511">
        <v>1004</v>
      </c>
      <c r="G3511" t="s">
        <v>110</v>
      </c>
      <c r="J3511" t="s">
        <v>111</v>
      </c>
      <c r="K3511">
        <v>0</v>
      </c>
      <c r="L3511">
        <v>3</v>
      </c>
      <c r="M3511">
        <v>0</v>
      </c>
      <c r="N3511">
        <v>2</v>
      </c>
      <c r="O3511">
        <v>1</v>
      </c>
      <c r="P3511">
        <v>0</v>
      </c>
      <c r="Q3511">
        <v>0</v>
      </c>
      <c r="R3511" t="s">
        <v>112</v>
      </c>
      <c r="S3511" t="str">
        <f>"14:48:51.539"</f>
        <v>14:48:51.539</v>
      </c>
      <c r="T3511" t="str">
        <f>"14:48:51.039"</f>
        <v>14:48:51.039</v>
      </c>
      <c r="U3511" t="str">
        <f t="shared" si="162"/>
        <v>ad5732</v>
      </c>
      <c r="V3511">
        <v>0</v>
      </c>
      <c r="W3511">
        <v>0</v>
      </c>
      <c r="X3511">
        <v>1</v>
      </c>
      <c r="Z3511">
        <v>0</v>
      </c>
      <c r="AA3511">
        <v>9</v>
      </c>
      <c r="AB3511">
        <v>3</v>
      </c>
      <c r="AC3511">
        <v>0</v>
      </c>
      <c r="AD3511">
        <v>10</v>
      </c>
      <c r="AE3511">
        <v>0</v>
      </c>
      <c r="AF3511">
        <v>3</v>
      </c>
      <c r="AG3511">
        <v>2</v>
      </c>
      <c r="AH3511">
        <v>0</v>
      </c>
      <c r="AI3511" t="s">
        <v>7093</v>
      </c>
      <c r="AJ3511">
        <v>40.391106999999998</v>
      </c>
      <c r="AK3511" t="s">
        <v>7094</v>
      </c>
      <c r="AL3511">
        <v>-74.557686000000004</v>
      </c>
      <c r="AM3511">
        <v>100</v>
      </c>
      <c r="AN3511">
        <v>1700</v>
      </c>
      <c r="AO3511" t="s">
        <v>115</v>
      </c>
      <c r="AP3511">
        <v>111</v>
      </c>
      <c r="AQ3511">
        <v>60</v>
      </c>
      <c r="AR3511">
        <v>64</v>
      </c>
      <c r="AZ3511">
        <v>3614</v>
      </c>
      <c r="BA3511">
        <v>1</v>
      </c>
      <c r="BB3511" t="str">
        <f t="shared" si="164"/>
        <v xml:space="preserve">N959MJ  </v>
      </c>
      <c r="BC3511">
        <v>1</v>
      </c>
      <c r="BE3511">
        <v>0</v>
      </c>
      <c r="BF3511">
        <v>0</v>
      </c>
      <c r="BG3511">
        <v>0</v>
      </c>
      <c r="BH3511">
        <v>1875</v>
      </c>
      <c r="BI3511">
        <v>175</v>
      </c>
      <c r="BJ3511">
        <v>1</v>
      </c>
      <c r="BK3511">
        <v>1</v>
      </c>
      <c r="BL3511">
        <v>1</v>
      </c>
      <c r="BM3511">
        <v>0</v>
      </c>
      <c r="BP3511">
        <v>0</v>
      </c>
      <c r="BQ3511">
        <v>0</v>
      </c>
      <c r="BX3511" t="str">
        <f>"14:48:51.547"</f>
        <v>14:48:51.547</v>
      </c>
      <c r="BY3511" t="str">
        <f>"543741881"</f>
        <v>543741881</v>
      </c>
      <c r="CL3511">
        <v>0</v>
      </c>
      <c r="CM3511">
        <v>2</v>
      </c>
      <c r="CN3511">
        <v>0</v>
      </c>
      <c r="CO3511">
        <v>2</v>
      </c>
      <c r="CP3511">
        <v>0</v>
      </c>
      <c r="CQ3511">
        <v>6</v>
      </c>
      <c r="CR3511" t="s">
        <v>116</v>
      </c>
      <c r="CS3511">
        <v>38</v>
      </c>
      <c r="CT3511">
        <v>0</v>
      </c>
      <c r="CU3511" t="s">
        <v>4719</v>
      </c>
      <c r="CV3511" t="s">
        <v>4720</v>
      </c>
      <c r="CY3511">
        <v>7984070</v>
      </c>
      <c r="CZ3511" t="s">
        <v>119</v>
      </c>
    </row>
    <row r="3512" spans="1:104" x14ac:dyDescent="0.25">
      <c r="A3512" t="str">
        <f>"14:48:52.727"</f>
        <v>14:48:52.727</v>
      </c>
      <c r="B3512" t="s">
        <v>108</v>
      </c>
      <c r="C3512" t="str">
        <f t="shared" si="163"/>
        <v>ffdfd3c0</v>
      </c>
      <c r="D3512" t="s">
        <v>109</v>
      </c>
      <c r="E3512">
        <v>4</v>
      </c>
      <c r="F3512">
        <v>1004</v>
      </c>
      <c r="G3512" t="s">
        <v>110</v>
      </c>
      <c r="J3512" t="s">
        <v>111</v>
      </c>
      <c r="K3512">
        <v>0</v>
      </c>
      <c r="L3512">
        <v>3</v>
      </c>
      <c r="M3512">
        <v>0</v>
      </c>
      <c r="N3512">
        <v>2</v>
      </c>
      <c r="O3512">
        <v>1</v>
      </c>
      <c r="P3512">
        <v>0</v>
      </c>
      <c r="Q3512">
        <v>0</v>
      </c>
      <c r="R3512" t="s">
        <v>112</v>
      </c>
      <c r="S3512" t="str">
        <f>"14:48:52.539"</f>
        <v>14:48:52.539</v>
      </c>
      <c r="T3512" t="str">
        <f>"14:48:52.039"</f>
        <v>14:48:52.039</v>
      </c>
      <c r="U3512" t="str">
        <f t="shared" si="162"/>
        <v>ad5732</v>
      </c>
      <c r="V3512">
        <v>0</v>
      </c>
      <c r="W3512">
        <v>0</v>
      </c>
      <c r="X3512">
        <v>1</v>
      </c>
      <c r="Z3512">
        <v>0</v>
      </c>
      <c r="AA3512">
        <v>9</v>
      </c>
      <c r="AB3512">
        <v>3</v>
      </c>
      <c r="AC3512">
        <v>0</v>
      </c>
      <c r="AD3512">
        <v>10</v>
      </c>
      <c r="AE3512">
        <v>0</v>
      </c>
      <c r="AF3512">
        <v>3</v>
      </c>
      <c r="AG3512">
        <v>2</v>
      </c>
      <c r="AH3512">
        <v>0</v>
      </c>
      <c r="AI3512" t="s">
        <v>7095</v>
      </c>
      <c r="AJ3512">
        <v>40.391364000000003</v>
      </c>
      <c r="AK3512" t="s">
        <v>7096</v>
      </c>
      <c r="AL3512">
        <v>-74.556999000000005</v>
      </c>
      <c r="AM3512">
        <v>100</v>
      </c>
      <c r="AN3512">
        <v>1700</v>
      </c>
      <c r="AO3512" t="s">
        <v>115</v>
      </c>
      <c r="AP3512">
        <v>110</v>
      </c>
      <c r="AQ3512">
        <v>60</v>
      </c>
      <c r="AR3512">
        <v>64</v>
      </c>
      <c r="AZ3512">
        <v>3614</v>
      </c>
      <c r="BA3512">
        <v>1</v>
      </c>
      <c r="BB3512" t="str">
        <f t="shared" si="164"/>
        <v xml:space="preserve">N959MJ  </v>
      </c>
      <c r="BC3512">
        <v>1</v>
      </c>
      <c r="BE3512">
        <v>0</v>
      </c>
      <c r="BF3512">
        <v>0</v>
      </c>
      <c r="BG3512">
        <v>0</v>
      </c>
      <c r="BH3512">
        <v>1875</v>
      </c>
      <c r="BI3512">
        <v>175</v>
      </c>
      <c r="BJ3512">
        <v>1</v>
      </c>
      <c r="BK3512">
        <v>1</v>
      </c>
      <c r="BL3512">
        <v>1</v>
      </c>
      <c r="BM3512">
        <v>0</v>
      </c>
      <c r="BP3512">
        <v>0</v>
      </c>
      <c r="BQ3512">
        <v>0</v>
      </c>
      <c r="BX3512" t="str">
        <f>"14:48:52.547"</f>
        <v>14:48:52.547</v>
      </c>
      <c r="BY3512" t="str">
        <f>"543183618"</f>
        <v>543183618</v>
      </c>
      <c r="CL3512">
        <v>0</v>
      </c>
      <c r="CM3512">
        <v>2</v>
      </c>
      <c r="CN3512">
        <v>0</v>
      </c>
      <c r="CO3512">
        <v>2</v>
      </c>
      <c r="CP3512">
        <v>0</v>
      </c>
      <c r="CQ3512">
        <v>6</v>
      </c>
      <c r="CR3512" t="s">
        <v>116</v>
      </c>
      <c r="CS3512">
        <v>38</v>
      </c>
      <c r="CT3512">
        <v>0</v>
      </c>
      <c r="CU3512" t="s">
        <v>4719</v>
      </c>
      <c r="CV3512" t="s">
        <v>4720</v>
      </c>
      <c r="CY3512">
        <v>7985562</v>
      </c>
      <c r="CZ3512" t="s">
        <v>119</v>
      </c>
    </row>
    <row r="3513" spans="1:104" x14ac:dyDescent="0.25">
      <c r="A3513" t="str">
        <f>"14:48:53.742"</f>
        <v>14:48:53.742</v>
      </c>
      <c r="B3513" t="s">
        <v>108</v>
      </c>
      <c r="C3513" t="str">
        <f t="shared" si="163"/>
        <v>ffdfd3c0</v>
      </c>
      <c r="D3513" t="s">
        <v>109</v>
      </c>
      <c r="E3513">
        <v>4</v>
      </c>
      <c r="F3513">
        <v>1004</v>
      </c>
      <c r="G3513" t="s">
        <v>110</v>
      </c>
      <c r="J3513" t="s">
        <v>111</v>
      </c>
      <c r="K3513">
        <v>0</v>
      </c>
      <c r="L3513">
        <v>3</v>
      </c>
      <c r="M3513">
        <v>0</v>
      </c>
      <c r="N3513">
        <v>2</v>
      </c>
      <c r="O3513">
        <v>1</v>
      </c>
      <c r="P3513">
        <v>0</v>
      </c>
      <c r="Q3513">
        <v>0</v>
      </c>
      <c r="R3513" t="s">
        <v>112</v>
      </c>
      <c r="S3513" t="str">
        <f>"14:48:53.555"</f>
        <v>14:48:53.555</v>
      </c>
      <c r="T3513" t="str">
        <f>"14:48:53.156"</f>
        <v>14:48:53.156</v>
      </c>
      <c r="U3513" t="str">
        <f t="shared" si="162"/>
        <v>ad5732</v>
      </c>
      <c r="V3513">
        <v>0</v>
      </c>
      <c r="W3513">
        <v>0</v>
      </c>
      <c r="X3513">
        <v>1</v>
      </c>
      <c r="Z3513">
        <v>0</v>
      </c>
      <c r="AA3513">
        <v>9</v>
      </c>
      <c r="AB3513">
        <v>3</v>
      </c>
      <c r="AC3513">
        <v>0</v>
      </c>
      <c r="AD3513">
        <v>10</v>
      </c>
      <c r="AE3513">
        <v>0</v>
      </c>
      <c r="AF3513">
        <v>3</v>
      </c>
      <c r="AG3513">
        <v>2</v>
      </c>
      <c r="AH3513">
        <v>0</v>
      </c>
      <c r="AI3513" t="s">
        <v>7097</v>
      </c>
      <c r="AJ3513">
        <v>40.391643000000002</v>
      </c>
      <c r="AK3513" t="s">
        <v>7098</v>
      </c>
      <c r="AL3513">
        <v>-74.556398000000002</v>
      </c>
      <c r="AM3513">
        <v>100</v>
      </c>
      <c r="AN3513">
        <v>1700</v>
      </c>
      <c r="AO3513" t="s">
        <v>115</v>
      </c>
      <c r="AP3513">
        <v>110</v>
      </c>
      <c r="AQ3513">
        <v>60</v>
      </c>
      <c r="AR3513">
        <v>64</v>
      </c>
      <c r="AZ3513">
        <v>3614</v>
      </c>
      <c r="BA3513">
        <v>1</v>
      </c>
      <c r="BB3513" t="str">
        <f t="shared" si="164"/>
        <v xml:space="preserve">N959MJ  </v>
      </c>
      <c r="BC3513">
        <v>1</v>
      </c>
      <c r="BE3513">
        <v>0</v>
      </c>
      <c r="BF3513">
        <v>0</v>
      </c>
      <c r="BG3513">
        <v>0</v>
      </c>
      <c r="BH3513">
        <v>1875</v>
      </c>
      <c r="BI3513">
        <v>175</v>
      </c>
      <c r="BJ3513">
        <v>1</v>
      </c>
      <c r="BK3513">
        <v>1</v>
      </c>
      <c r="BL3513">
        <v>1</v>
      </c>
      <c r="BM3513">
        <v>0</v>
      </c>
      <c r="BP3513">
        <v>0</v>
      </c>
      <c r="BQ3513">
        <v>0</v>
      </c>
      <c r="BX3513" t="str">
        <f>"14:48:53.563"</f>
        <v>14:48:53.563</v>
      </c>
      <c r="BY3513" t="str">
        <f>"560648146"</f>
        <v>560648146</v>
      </c>
      <c r="CL3513">
        <v>0</v>
      </c>
      <c r="CM3513">
        <v>2</v>
      </c>
      <c r="CN3513">
        <v>0</v>
      </c>
      <c r="CO3513">
        <v>2</v>
      </c>
      <c r="CP3513">
        <v>0</v>
      </c>
      <c r="CQ3513">
        <v>7</v>
      </c>
      <c r="CR3513" t="s">
        <v>116</v>
      </c>
      <c r="CS3513">
        <v>38</v>
      </c>
      <c r="CT3513">
        <v>0</v>
      </c>
      <c r="CU3513" t="s">
        <v>4719</v>
      </c>
      <c r="CV3513" t="s">
        <v>4720</v>
      </c>
      <c r="CY3513">
        <v>7987101</v>
      </c>
      <c r="CZ3513" t="s">
        <v>119</v>
      </c>
    </row>
    <row r="3514" spans="1:104" x14ac:dyDescent="0.25">
      <c r="A3514" t="str">
        <f>"14:48:54.750"</f>
        <v>14:48:54.750</v>
      </c>
      <c r="B3514" t="s">
        <v>108</v>
      </c>
      <c r="C3514" t="str">
        <f t="shared" si="163"/>
        <v>ffdfd3c0</v>
      </c>
      <c r="D3514" t="s">
        <v>109</v>
      </c>
      <c r="E3514">
        <v>4</v>
      </c>
      <c r="F3514">
        <v>1004</v>
      </c>
      <c r="G3514" t="s">
        <v>110</v>
      </c>
      <c r="J3514" t="s">
        <v>111</v>
      </c>
      <c r="K3514">
        <v>0</v>
      </c>
      <c r="L3514">
        <v>3</v>
      </c>
      <c r="M3514">
        <v>0</v>
      </c>
      <c r="N3514">
        <v>2</v>
      </c>
      <c r="O3514">
        <v>1</v>
      </c>
      <c r="P3514">
        <v>0</v>
      </c>
      <c r="Q3514">
        <v>0</v>
      </c>
      <c r="R3514" t="s">
        <v>112</v>
      </c>
      <c r="S3514" t="str">
        <f>"14:48:54.570"</f>
        <v>14:48:54.570</v>
      </c>
      <c r="T3514" t="str">
        <f>"14:48:54.070"</f>
        <v>14:48:54.070</v>
      </c>
      <c r="U3514" t="str">
        <f t="shared" si="162"/>
        <v>ad5732</v>
      </c>
      <c r="V3514">
        <v>0</v>
      </c>
      <c r="W3514">
        <v>0</v>
      </c>
      <c r="X3514">
        <v>1</v>
      </c>
      <c r="Z3514">
        <v>0</v>
      </c>
      <c r="AA3514">
        <v>9</v>
      </c>
      <c r="AB3514">
        <v>3</v>
      </c>
      <c r="AC3514">
        <v>0</v>
      </c>
      <c r="AD3514">
        <v>10</v>
      </c>
      <c r="AE3514">
        <v>0</v>
      </c>
      <c r="AF3514">
        <v>3</v>
      </c>
      <c r="AG3514">
        <v>2</v>
      </c>
      <c r="AH3514">
        <v>0</v>
      </c>
      <c r="AI3514" t="s">
        <v>7099</v>
      </c>
      <c r="AJ3514">
        <v>40.391922000000001</v>
      </c>
      <c r="AK3514" t="s">
        <v>7100</v>
      </c>
      <c r="AL3514">
        <v>-74.555668999999995</v>
      </c>
      <c r="AM3514">
        <v>100</v>
      </c>
      <c r="AN3514">
        <v>1700</v>
      </c>
      <c r="AO3514" t="s">
        <v>115</v>
      </c>
      <c r="AP3514">
        <v>110</v>
      </c>
      <c r="AQ3514">
        <v>60</v>
      </c>
      <c r="AR3514">
        <v>64</v>
      </c>
      <c r="AZ3514">
        <v>3614</v>
      </c>
      <c r="BA3514">
        <v>1</v>
      </c>
      <c r="BB3514" t="str">
        <f t="shared" si="164"/>
        <v xml:space="preserve">N959MJ  </v>
      </c>
      <c r="BC3514">
        <v>1</v>
      </c>
      <c r="BE3514">
        <v>0</v>
      </c>
      <c r="BF3514">
        <v>0</v>
      </c>
      <c r="BG3514">
        <v>0</v>
      </c>
      <c r="BH3514">
        <v>1875</v>
      </c>
      <c r="BI3514">
        <v>175</v>
      </c>
      <c r="BJ3514">
        <v>1</v>
      </c>
      <c r="BK3514">
        <v>1</v>
      </c>
      <c r="BL3514">
        <v>1</v>
      </c>
      <c r="BM3514">
        <v>0</v>
      </c>
      <c r="BP3514">
        <v>0</v>
      </c>
      <c r="BQ3514">
        <v>0</v>
      </c>
      <c r="BX3514" t="str">
        <f>"14:48:54.570"</f>
        <v>14:48:54.570</v>
      </c>
      <c r="BY3514" t="str">
        <f>"573197334"</f>
        <v>573197334</v>
      </c>
      <c r="CL3514">
        <v>0</v>
      </c>
      <c r="CM3514">
        <v>2</v>
      </c>
      <c r="CN3514">
        <v>0</v>
      </c>
      <c r="CO3514">
        <v>2</v>
      </c>
      <c r="CP3514">
        <v>0</v>
      </c>
      <c r="CQ3514">
        <v>7</v>
      </c>
      <c r="CR3514" t="s">
        <v>116</v>
      </c>
      <c r="CS3514">
        <v>38</v>
      </c>
      <c r="CT3514">
        <v>0</v>
      </c>
      <c r="CU3514" t="s">
        <v>4719</v>
      </c>
      <c r="CV3514" t="s">
        <v>4720</v>
      </c>
      <c r="CY3514">
        <v>7988703</v>
      </c>
      <c r="CZ3514" t="s">
        <v>119</v>
      </c>
    </row>
    <row r="3515" spans="1:104" x14ac:dyDescent="0.25">
      <c r="A3515" t="str">
        <f>"14:48:55.813"</f>
        <v>14:48:55.813</v>
      </c>
      <c r="B3515" t="s">
        <v>108</v>
      </c>
      <c r="C3515" t="str">
        <f t="shared" si="163"/>
        <v>ffdfd3c0</v>
      </c>
      <c r="D3515" t="s">
        <v>109</v>
      </c>
      <c r="E3515">
        <v>4</v>
      </c>
      <c r="F3515">
        <v>1004</v>
      </c>
      <c r="G3515" t="s">
        <v>110</v>
      </c>
      <c r="J3515" t="s">
        <v>111</v>
      </c>
      <c r="K3515">
        <v>0</v>
      </c>
      <c r="L3515">
        <v>3</v>
      </c>
      <c r="M3515">
        <v>0</v>
      </c>
      <c r="N3515">
        <v>2</v>
      </c>
      <c r="O3515">
        <v>1</v>
      </c>
      <c r="P3515">
        <v>0</v>
      </c>
      <c r="Q3515">
        <v>0</v>
      </c>
      <c r="R3515" t="s">
        <v>112</v>
      </c>
      <c r="S3515" t="str">
        <f>"14:48:55.617"</f>
        <v>14:48:55.617</v>
      </c>
      <c r="T3515" t="str">
        <f>"14:48:55.117"</f>
        <v>14:48:55.117</v>
      </c>
      <c r="U3515" t="str">
        <f t="shared" si="162"/>
        <v>ad5732</v>
      </c>
      <c r="V3515">
        <v>0</v>
      </c>
      <c r="W3515">
        <v>0</v>
      </c>
      <c r="X3515">
        <v>1</v>
      </c>
      <c r="Z3515">
        <v>0</v>
      </c>
      <c r="AA3515">
        <v>9</v>
      </c>
      <c r="AB3515">
        <v>3</v>
      </c>
      <c r="AC3515">
        <v>0</v>
      </c>
      <c r="AD3515">
        <v>10</v>
      </c>
      <c r="AE3515">
        <v>0</v>
      </c>
      <c r="AF3515">
        <v>3</v>
      </c>
      <c r="AG3515">
        <v>2</v>
      </c>
      <c r="AH3515">
        <v>0</v>
      </c>
      <c r="AI3515" t="s">
        <v>7101</v>
      </c>
      <c r="AJ3515">
        <v>40.392201</v>
      </c>
      <c r="AK3515" t="s">
        <v>7102</v>
      </c>
      <c r="AL3515">
        <v>-74.555047000000002</v>
      </c>
      <c r="AM3515">
        <v>100</v>
      </c>
      <c r="AN3515">
        <v>1700</v>
      </c>
      <c r="AO3515" t="s">
        <v>115</v>
      </c>
      <c r="AP3515">
        <v>110</v>
      </c>
      <c r="AQ3515">
        <v>60</v>
      </c>
      <c r="AR3515">
        <v>0</v>
      </c>
      <c r="AZ3515">
        <v>3614</v>
      </c>
      <c r="BA3515">
        <v>1</v>
      </c>
      <c r="BB3515" t="str">
        <f t="shared" si="164"/>
        <v xml:space="preserve">N959MJ  </v>
      </c>
      <c r="BC3515">
        <v>1</v>
      </c>
      <c r="BE3515">
        <v>0</v>
      </c>
      <c r="BF3515">
        <v>0</v>
      </c>
      <c r="BG3515">
        <v>0</v>
      </c>
      <c r="BH3515">
        <v>1875</v>
      </c>
      <c r="BI3515">
        <v>175</v>
      </c>
      <c r="BJ3515">
        <v>1</v>
      </c>
      <c r="BK3515">
        <v>1</v>
      </c>
      <c r="BL3515">
        <v>1</v>
      </c>
      <c r="BM3515">
        <v>0</v>
      </c>
      <c r="BP3515">
        <v>0</v>
      </c>
      <c r="BQ3515">
        <v>0</v>
      </c>
      <c r="BX3515" t="str">
        <f>"14:48:55.625"</f>
        <v>14:48:55.625</v>
      </c>
      <c r="BY3515" t="str">
        <f>"621791888"</f>
        <v>621791888</v>
      </c>
      <c r="CL3515">
        <v>0</v>
      </c>
      <c r="CM3515">
        <v>2</v>
      </c>
      <c r="CN3515">
        <v>0</v>
      </c>
      <c r="CO3515">
        <v>2</v>
      </c>
      <c r="CP3515">
        <v>0</v>
      </c>
      <c r="CQ3515">
        <v>6</v>
      </c>
      <c r="CR3515" t="s">
        <v>116</v>
      </c>
      <c r="CS3515">
        <v>38</v>
      </c>
      <c r="CT3515">
        <v>1</v>
      </c>
      <c r="CU3515" t="s">
        <v>4719</v>
      </c>
      <c r="CV3515" t="s">
        <v>4720</v>
      </c>
      <c r="CY3515">
        <v>11938793</v>
      </c>
      <c r="CZ3515" t="s">
        <v>119</v>
      </c>
    </row>
    <row r="3516" spans="1:104" x14ac:dyDescent="0.25">
      <c r="A3516" t="str">
        <f>"14:48:56.969"</f>
        <v>14:48:56.969</v>
      </c>
      <c r="B3516" t="s">
        <v>108</v>
      </c>
      <c r="C3516" t="str">
        <f t="shared" si="163"/>
        <v>ffdfd3c0</v>
      </c>
      <c r="D3516" t="s">
        <v>109</v>
      </c>
      <c r="E3516">
        <v>4</v>
      </c>
      <c r="F3516">
        <v>1004</v>
      </c>
      <c r="G3516" t="s">
        <v>110</v>
      </c>
      <c r="J3516" t="s">
        <v>111</v>
      </c>
      <c r="K3516">
        <v>0</v>
      </c>
      <c r="L3516">
        <v>3</v>
      </c>
      <c r="M3516">
        <v>0</v>
      </c>
      <c r="N3516">
        <v>2</v>
      </c>
      <c r="O3516">
        <v>1</v>
      </c>
      <c r="P3516">
        <v>0</v>
      </c>
      <c r="Q3516">
        <v>0</v>
      </c>
      <c r="R3516" t="s">
        <v>112</v>
      </c>
      <c r="S3516" t="str">
        <f>"14:48:56.773"</f>
        <v>14:48:56.773</v>
      </c>
      <c r="T3516" t="str">
        <f>"14:48:56.273"</f>
        <v>14:48:56.273</v>
      </c>
      <c r="U3516" t="str">
        <f t="shared" si="162"/>
        <v>ad5732</v>
      </c>
      <c r="V3516">
        <v>0</v>
      </c>
      <c r="W3516">
        <v>0</v>
      </c>
      <c r="X3516">
        <v>1</v>
      </c>
      <c r="Z3516">
        <v>0</v>
      </c>
      <c r="AA3516">
        <v>9</v>
      </c>
      <c r="AB3516">
        <v>3</v>
      </c>
      <c r="AC3516">
        <v>0</v>
      </c>
      <c r="AD3516">
        <v>10</v>
      </c>
      <c r="AE3516">
        <v>0</v>
      </c>
      <c r="AF3516">
        <v>3</v>
      </c>
      <c r="AG3516">
        <v>2</v>
      </c>
      <c r="AH3516">
        <v>0</v>
      </c>
      <c r="AI3516" t="s">
        <v>7103</v>
      </c>
      <c r="AJ3516">
        <v>40.392566000000002</v>
      </c>
      <c r="AK3516" t="s">
        <v>7104</v>
      </c>
      <c r="AL3516">
        <v>-74.554253000000003</v>
      </c>
      <c r="AM3516">
        <v>100</v>
      </c>
      <c r="AN3516">
        <v>1700</v>
      </c>
      <c r="AO3516" t="s">
        <v>115</v>
      </c>
      <c r="AP3516">
        <v>110</v>
      </c>
      <c r="AQ3516">
        <v>60</v>
      </c>
      <c r="AR3516">
        <v>0</v>
      </c>
      <c r="AZ3516">
        <v>3614</v>
      </c>
      <c r="BA3516">
        <v>1</v>
      </c>
      <c r="BB3516" t="str">
        <f t="shared" si="164"/>
        <v xml:space="preserve">N959MJ  </v>
      </c>
      <c r="BC3516">
        <v>1</v>
      </c>
      <c r="BE3516">
        <v>0</v>
      </c>
      <c r="BF3516">
        <v>0</v>
      </c>
      <c r="BG3516">
        <v>0</v>
      </c>
      <c r="BH3516">
        <v>1875</v>
      </c>
      <c r="BI3516">
        <v>175</v>
      </c>
      <c r="BJ3516">
        <v>1</v>
      </c>
      <c r="BK3516">
        <v>1</v>
      </c>
      <c r="BL3516">
        <v>1</v>
      </c>
      <c r="BM3516">
        <v>0</v>
      </c>
      <c r="BP3516">
        <v>0</v>
      </c>
      <c r="BQ3516">
        <v>0</v>
      </c>
      <c r="BX3516" t="str">
        <f>"14:48:56.773"</f>
        <v>14:48:56.773</v>
      </c>
      <c r="BY3516" t="str">
        <f>"776998033"</f>
        <v>776998033</v>
      </c>
      <c r="CL3516">
        <v>0</v>
      </c>
      <c r="CM3516">
        <v>2</v>
      </c>
      <c r="CN3516">
        <v>0</v>
      </c>
      <c r="CO3516">
        <v>2</v>
      </c>
      <c r="CP3516">
        <v>0</v>
      </c>
      <c r="CQ3516">
        <v>5</v>
      </c>
      <c r="CR3516" t="s">
        <v>116</v>
      </c>
      <c r="CS3516">
        <v>409</v>
      </c>
      <c r="CT3516">
        <v>1</v>
      </c>
      <c r="CU3516" t="s">
        <v>5087</v>
      </c>
      <c r="CV3516" t="s">
        <v>5088</v>
      </c>
      <c r="CY3516">
        <v>4389910</v>
      </c>
      <c r="CZ3516" t="s">
        <v>119</v>
      </c>
    </row>
    <row r="3517" spans="1:104" x14ac:dyDescent="0.25">
      <c r="A3517" t="str">
        <f>"14:48:58.438"</f>
        <v>14:48:58.438</v>
      </c>
      <c r="B3517" t="s">
        <v>108</v>
      </c>
      <c r="C3517" t="str">
        <f t="shared" si="163"/>
        <v>ffdfd3c0</v>
      </c>
      <c r="D3517" t="s">
        <v>109</v>
      </c>
      <c r="E3517">
        <v>4</v>
      </c>
      <c r="F3517">
        <v>1004</v>
      </c>
      <c r="G3517" t="s">
        <v>110</v>
      </c>
      <c r="J3517" t="s">
        <v>111</v>
      </c>
      <c r="K3517">
        <v>0</v>
      </c>
      <c r="L3517">
        <v>3</v>
      </c>
      <c r="M3517">
        <v>0</v>
      </c>
      <c r="N3517">
        <v>2</v>
      </c>
      <c r="O3517">
        <v>1</v>
      </c>
      <c r="P3517">
        <v>0</v>
      </c>
      <c r="Q3517">
        <v>0</v>
      </c>
      <c r="R3517" t="s">
        <v>112</v>
      </c>
      <c r="S3517" t="str">
        <f>"14:48:58.250"</f>
        <v>14:48:58.250</v>
      </c>
      <c r="T3517" t="str">
        <f>"14:48:57.750"</f>
        <v>14:48:57.750</v>
      </c>
      <c r="U3517" t="str">
        <f t="shared" si="162"/>
        <v>ad5732</v>
      </c>
      <c r="V3517">
        <v>0</v>
      </c>
      <c r="W3517">
        <v>0</v>
      </c>
      <c r="X3517">
        <v>1</v>
      </c>
      <c r="Z3517">
        <v>0</v>
      </c>
      <c r="AA3517">
        <v>9</v>
      </c>
      <c r="AB3517">
        <v>3</v>
      </c>
      <c r="AC3517">
        <v>0</v>
      </c>
      <c r="AD3517">
        <v>10</v>
      </c>
      <c r="AE3517">
        <v>0</v>
      </c>
      <c r="AF3517">
        <v>3</v>
      </c>
      <c r="AG3517">
        <v>2</v>
      </c>
      <c r="AH3517">
        <v>0</v>
      </c>
      <c r="AI3517" t="s">
        <v>6555</v>
      </c>
      <c r="AJ3517">
        <v>40.392952000000001</v>
      </c>
      <c r="AK3517" t="s">
        <v>7105</v>
      </c>
      <c r="AL3517">
        <v>-74.553223000000003</v>
      </c>
      <c r="AM3517">
        <v>100</v>
      </c>
      <c r="AN3517">
        <v>1700</v>
      </c>
      <c r="AO3517" t="s">
        <v>115</v>
      </c>
      <c r="AP3517">
        <v>109</v>
      </c>
      <c r="AQ3517">
        <v>60</v>
      </c>
      <c r="AR3517">
        <v>-64</v>
      </c>
      <c r="AZ3517">
        <v>3614</v>
      </c>
      <c r="BA3517">
        <v>1</v>
      </c>
      <c r="BB3517" t="str">
        <f t="shared" si="164"/>
        <v xml:space="preserve">N959MJ  </v>
      </c>
      <c r="BC3517">
        <v>1</v>
      </c>
      <c r="BE3517">
        <v>0</v>
      </c>
      <c r="BF3517">
        <v>0</v>
      </c>
      <c r="BG3517">
        <v>0</v>
      </c>
      <c r="BH3517">
        <v>1875</v>
      </c>
      <c r="BI3517">
        <v>175</v>
      </c>
      <c r="BJ3517">
        <v>1</v>
      </c>
      <c r="BK3517">
        <v>1</v>
      </c>
      <c r="BL3517">
        <v>1</v>
      </c>
      <c r="BM3517">
        <v>0</v>
      </c>
      <c r="BP3517">
        <v>0</v>
      </c>
      <c r="BQ3517">
        <v>0</v>
      </c>
      <c r="BX3517" t="str">
        <f>"14:48:58.250"</f>
        <v>14:48:58.250</v>
      </c>
      <c r="BY3517" t="str">
        <f>"253166615"</f>
        <v>253166615</v>
      </c>
      <c r="CL3517">
        <v>0</v>
      </c>
      <c r="CM3517">
        <v>2</v>
      </c>
      <c r="CN3517">
        <v>0</v>
      </c>
      <c r="CO3517">
        <v>2</v>
      </c>
      <c r="CP3517">
        <v>0</v>
      </c>
      <c r="CQ3517">
        <v>6</v>
      </c>
      <c r="CR3517" t="s">
        <v>116</v>
      </c>
      <c r="CS3517">
        <v>305</v>
      </c>
      <c r="CT3517">
        <v>3</v>
      </c>
      <c r="CU3517" t="s">
        <v>6425</v>
      </c>
      <c r="CV3517" t="s">
        <v>6426</v>
      </c>
      <c r="CY3517">
        <v>5838151</v>
      </c>
      <c r="CZ3517" t="s">
        <v>119</v>
      </c>
    </row>
    <row r="3518" spans="1:104" x14ac:dyDescent="0.25">
      <c r="A3518" t="str">
        <f>"14:48:59.398"</f>
        <v>14:48:59.398</v>
      </c>
      <c r="B3518" t="s">
        <v>108</v>
      </c>
      <c r="C3518" t="str">
        <f t="shared" si="163"/>
        <v>ffdfd3c0</v>
      </c>
      <c r="D3518" t="s">
        <v>109</v>
      </c>
      <c r="E3518">
        <v>4</v>
      </c>
      <c r="F3518">
        <v>1004</v>
      </c>
      <c r="G3518" t="s">
        <v>110</v>
      </c>
      <c r="J3518" t="s">
        <v>111</v>
      </c>
      <c r="K3518">
        <v>0</v>
      </c>
      <c r="L3518">
        <v>3</v>
      </c>
      <c r="M3518">
        <v>0</v>
      </c>
      <c r="N3518">
        <v>2</v>
      </c>
      <c r="O3518">
        <v>1</v>
      </c>
      <c r="P3518">
        <v>0</v>
      </c>
      <c r="Q3518">
        <v>0</v>
      </c>
      <c r="R3518" t="s">
        <v>112</v>
      </c>
      <c r="S3518" t="str">
        <f>"14:48:59.203"</f>
        <v>14:48:59.203</v>
      </c>
      <c r="T3518" t="str">
        <f>"14:48:58.805"</f>
        <v>14:48:58.805</v>
      </c>
      <c r="U3518" t="str">
        <f t="shared" si="162"/>
        <v>ad5732</v>
      </c>
      <c r="V3518">
        <v>0</v>
      </c>
      <c r="W3518">
        <v>0</v>
      </c>
      <c r="X3518">
        <v>1</v>
      </c>
      <c r="Z3518">
        <v>0</v>
      </c>
      <c r="AA3518">
        <v>9</v>
      </c>
      <c r="AB3518">
        <v>3</v>
      </c>
      <c r="AC3518">
        <v>0</v>
      </c>
      <c r="AD3518">
        <v>10</v>
      </c>
      <c r="AE3518">
        <v>0</v>
      </c>
      <c r="AF3518">
        <v>3</v>
      </c>
      <c r="AG3518">
        <v>2</v>
      </c>
      <c r="AH3518">
        <v>0</v>
      </c>
      <c r="AI3518" t="s">
        <v>7106</v>
      </c>
      <c r="AJ3518">
        <v>40.393208999999999</v>
      </c>
      <c r="AK3518" t="s">
        <v>7107</v>
      </c>
      <c r="AL3518">
        <v>-74.552665000000005</v>
      </c>
      <c r="AM3518">
        <v>100</v>
      </c>
      <c r="AN3518">
        <v>1700</v>
      </c>
      <c r="AO3518" t="s">
        <v>115</v>
      </c>
      <c r="AP3518">
        <v>109</v>
      </c>
      <c r="AQ3518">
        <v>60</v>
      </c>
      <c r="AR3518">
        <v>-64</v>
      </c>
      <c r="AZ3518">
        <v>3614</v>
      </c>
      <c r="BA3518">
        <v>1</v>
      </c>
      <c r="BB3518" t="str">
        <f t="shared" si="164"/>
        <v xml:space="preserve">N959MJ  </v>
      </c>
      <c r="BC3518">
        <v>1</v>
      </c>
      <c r="BE3518">
        <v>0</v>
      </c>
      <c r="BF3518">
        <v>0</v>
      </c>
      <c r="BG3518">
        <v>0</v>
      </c>
      <c r="BH3518">
        <v>1875</v>
      </c>
      <c r="BI3518">
        <v>175</v>
      </c>
      <c r="BJ3518">
        <v>1</v>
      </c>
      <c r="BK3518">
        <v>1</v>
      </c>
      <c r="BL3518">
        <v>1</v>
      </c>
      <c r="BM3518">
        <v>0</v>
      </c>
      <c r="BP3518">
        <v>0</v>
      </c>
      <c r="BQ3518">
        <v>0</v>
      </c>
      <c r="BX3518" t="str">
        <f>"14:48:59.203"</f>
        <v>14:48:59.203</v>
      </c>
      <c r="BY3518" t="str">
        <f>"203397901"</f>
        <v>203397901</v>
      </c>
      <c r="CL3518">
        <v>0</v>
      </c>
      <c r="CM3518">
        <v>2</v>
      </c>
      <c r="CN3518">
        <v>0</v>
      </c>
      <c r="CO3518">
        <v>2</v>
      </c>
      <c r="CP3518">
        <v>0</v>
      </c>
      <c r="CQ3518">
        <v>6</v>
      </c>
      <c r="CR3518" t="s">
        <v>116</v>
      </c>
      <c r="CS3518">
        <v>38</v>
      </c>
      <c r="CT3518">
        <v>0</v>
      </c>
      <c r="CU3518" t="s">
        <v>4719</v>
      </c>
      <c r="CV3518" t="s">
        <v>4720</v>
      </c>
      <c r="CY3518">
        <v>7995775</v>
      </c>
      <c r="CZ3518" t="s">
        <v>119</v>
      </c>
    </row>
    <row r="3519" spans="1:104" x14ac:dyDescent="0.25">
      <c r="A3519" t="str">
        <f>"14:49:00.305"</f>
        <v>14:49:00.305</v>
      </c>
      <c r="B3519" t="s">
        <v>108</v>
      </c>
      <c r="C3519" t="str">
        <f t="shared" si="163"/>
        <v>ffdfd3c0</v>
      </c>
      <c r="D3519" t="s">
        <v>109</v>
      </c>
      <c r="E3519">
        <v>4</v>
      </c>
      <c r="F3519">
        <v>1004</v>
      </c>
      <c r="G3519" t="s">
        <v>110</v>
      </c>
      <c r="J3519" t="s">
        <v>111</v>
      </c>
      <c r="K3519">
        <v>0</v>
      </c>
      <c r="L3519">
        <v>3</v>
      </c>
      <c r="M3519">
        <v>0</v>
      </c>
      <c r="N3519">
        <v>2</v>
      </c>
      <c r="O3519">
        <v>1</v>
      </c>
      <c r="P3519">
        <v>0</v>
      </c>
      <c r="Q3519">
        <v>0</v>
      </c>
      <c r="R3519" t="s">
        <v>112</v>
      </c>
      <c r="S3519" t="str">
        <f>"14:49:00.133"</f>
        <v>14:49:00.133</v>
      </c>
      <c r="T3519" t="str">
        <f>"14:48:59.734"</f>
        <v>14:48:59.734</v>
      </c>
      <c r="U3519" t="str">
        <f t="shared" si="162"/>
        <v>ad5732</v>
      </c>
      <c r="V3519">
        <v>0</v>
      </c>
      <c r="W3519">
        <v>0</v>
      </c>
      <c r="X3519">
        <v>1</v>
      </c>
      <c r="Z3519">
        <v>0</v>
      </c>
      <c r="AA3519">
        <v>9</v>
      </c>
      <c r="AB3519">
        <v>3</v>
      </c>
      <c r="AC3519">
        <v>0</v>
      </c>
      <c r="AD3519">
        <v>10</v>
      </c>
      <c r="AE3519">
        <v>0</v>
      </c>
      <c r="AF3519">
        <v>3</v>
      </c>
      <c r="AG3519">
        <v>2</v>
      </c>
      <c r="AH3519">
        <v>0</v>
      </c>
      <c r="AI3519" t="s">
        <v>7108</v>
      </c>
      <c r="AJ3519">
        <v>40.393487999999998</v>
      </c>
      <c r="AK3519" t="s">
        <v>7109</v>
      </c>
      <c r="AL3519">
        <v>-74.552000000000007</v>
      </c>
      <c r="AM3519">
        <v>100</v>
      </c>
      <c r="AN3519">
        <v>1700</v>
      </c>
      <c r="AO3519" t="s">
        <v>115</v>
      </c>
      <c r="AP3519">
        <v>109</v>
      </c>
      <c r="AQ3519">
        <v>60</v>
      </c>
      <c r="AR3519">
        <v>-64</v>
      </c>
      <c r="AZ3519">
        <v>3614</v>
      </c>
      <c r="BA3519">
        <v>1</v>
      </c>
      <c r="BB3519" t="str">
        <f t="shared" si="164"/>
        <v xml:space="preserve">N959MJ  </v>
      </c>
      <c r="BC3519">
        <v>1</v>
      </c>
      <c r="BE3519">
        <v>0</v>
      </c>
      <c r="BF3519">
        <v>0</v>
      </c>
      <c r="BG3519">
        <v>0</v>
      </c>
      <c r="BH3519">
        <v>1875</v>
      </c>
      <c r="BI3519">
        <v>175</v>
      </c>
      <c r="BJ3519">
        <v>1</v>
      </c>
      <c r="BK3519">
        <v>1</v>
      </c>
      <c r="BL3519">
        <v>1</v>
      </c>
      <c r="BM3519">
        <v>0</v>
      </c>
      <c r="BP3519">
        <v>0</v>
      </c>
      <c r="BQ3519">
        <v>0</v>
      </c>
      <c r="BX3519" t="str">
        <f>"14:49:00.141"</f>
        <v>14:49:00.141</v>
      </c>
      <c r="BY3519" t="str">
        <f>"138940914"</f>
        <v>138940914</v>
      </c>
      <c r="CL3519">
        <v>0</v>
      </c>
      <c r="CM3519">
        <v>2</v>
      </c>
      <c r="CN3519">
        <v>0</v>
      </c>
      <c r="CO3519">
        <v>2</v>
      </c>
      <c r="CP3519">
        <v>0</v>
      </c>
      <c r="CQ3519">
        <v>6</v>
      </c>
      <c r="CR3519" t="s">
        <v>116</v>
      </c>
      <c r="CS3519">
        <v>38</v>
      </c>
      <c r="CT3519">
        <v>0</v>
      </c>
      <c r="CU3519" t="s">
        <v>4719</v>
      </c>
      <c r="CV3519" t="s">
        <v>4720</v>
      </c>
      <c r="CY3519">
        <v>7997221</v>
      </c>
      <c r="CZ3519" t="s">
        <v>119</v>
      </c>
    </row>
    <row r="3520" spans="1:104" x14ac:dyDescent="0.25">
      <c r="A3520" t="str">
        <f>"14:49:01.469"</f>
        <v>14:49:01.469</v>
      </c>
      <c r="B3520" t="s">
        <v>108</v>
      </c>
      <c r="C3520" t="str">
        <f t="shared" si="163"/>
        <v>ffdfd3c0</v>
      </c>
      <c r="D3520" t="s">
        <v>109</v>
      </c>
      <c r="E3520">
        <v>4</v>
      </c>
      <c r="F3520">
        <v>1004</v>
      </c>
      <c r="G3520" t="s">
        <v>110</v>
      </c>
      <c r="J3520" t="s">
        <v>111</v>
      </c>
      <c r="K3520">
        <v>0</v>
      </c>
      <c r="L3520">
        <v>3</v>
      </c>
      <c r="M3520">
        <v>0</v>
      </c>
      <c r="N3520">
        <v>2</v>
      </c>
      <c r="O3520">
        <v>1</v>
      </c>
      <c r="P3520">
        <v>0</v>
      </c>
      <c r="Q3520">
        <v>0</v>
      </c>
      <c r="R3520" t="s">
        <v>112</v>
      </c>
      <c r="S3520" t="str">
        <f>"14:49:01.258"</f>
        <v>14:49:01.258</v>
      </c>
      <c r="T3520" t="str">
        <f>"14:49:00.758"</f>
        <v>14:49:00.758</v>
      </c>
      <c r="U3520" t="str">
        <f t="shared" si="162"/>
        <v>ad5732</v>
      </c>
      <c r="V3520">
        <v>0</v>
      </c>
      <c r="W3520">
        <v>0</v>
      </c>
      <c r="X3520">
        <v>1</v>
      </c>
      <c r="Z3520">
        <v>0</v>
      </c>
      <c r="AA3520">
        <v>9</v>
      </c>
      <c r="AB3520">
        <v>3</v>
      </c>
      <c r="AC3520">
        <v>0</v>
      </c>
      <c r="AD3520">
        <v>10</v>
      </c>
      <c r="AE3520">
        <v>0</v>
      </c>
      <c r="AF3520">
        <v>3</v>
      </c>
      <c r="AG3520">
        <v>2</v>
      </c>
      <c r="AH3520">
        <v>0</v>
      </c>
      <c r="AI3520" t="s">
        <v>7110</v>
      </c>
      <c r="AJ3520">
        <v>40.393788999999998</v>
      </c>
      <c r="AK3520" t="s">
        <v>7111</v>
      </c>
      <c r="AL3520">
        <v>-74.551226999999997</v>
      </c>
      <c r="AM3520">
        <v>100</v>
      </c>
      <c r="AN3520">
        <v>1700</v>
      </c>
      <c r="AO3520" t="s">
        <v>115</v>
      </c>
      <c r="AP3520">
        <v>109</v>
      </c>
      <c r="AQ3520">
        <v>60</v>
      </c>
      <c r="AR3520">
        <v>0</v>
      </c>
      <c r="AZ3520">
        <v>3614</v>
      </c>
      <c r="BA3520">
        <v>1</v>
      </c>
      <c r="BB3520" t="str">
        <f t="shared" si="164"/>
        <v xml:space="preserve">N959MJ  </v>
      </c>
      <c r="BC3520">
        <v>1</v>
      </c>
      <c r="BE3520">
        <v>0</v>
      </c>
      <c r="BF3520">
        <v>0</v>
      </c>
      <c r="BG3520">
        <v>0</v>
      </c>
      <c r="BH3520">
        <v>1875</v>
      </c>
      <c r="BI3520">
        <v>175</v>
      </c>
      <c r="BJ3520">
        <v>1</v>
      </c>
      <c r="BK3520">
        <v>1</v>
      </c>
      <c r="BL3520">
        <v>1</v>
      </c>
      <c r="BM3520">
        <v>0</v>
      </c>
      <c r="BP3520">
        <v>0</v>
      </c>
      <c r="BQ3520">
        <v>0</v>
      </c>
      <c r="BX3520" t="str">
        <f>"14:49:01.266"</f>
        <v>14:49:01.266</v>
      </c>
      <c r="BY3520" t="str">
        <f>"262959689"</f>
        <v>262959689</v>
      </c>
      <c r="CL3520">
        <v>0</v>
      </c>
      <c r="CM3520">
        <v>2</v>
      </c>
      <c r="CN3520">
        <v>0</v>
      </c>
      <c r="CO3520">
        <v>2</v>
      </c>
      <c r="CP3520">
        <v>0</v>
      </c>
      <c r="CQ3520">
        <v>6</v>
      </c>
      <c r="CR3520" t="s">
        <v>116</v>
      </c>
      <c r="CS3520">
        <v>305</v>
      </c>
      <c r="CT3520">
        <v>3</v>
      </c>
      <c r="CU3520" t="s">
        <v>6425</v>
      </c>
      <c r="CV3520" t="s">
        <v>6426</v>
      </c>
      <c r="CY3520">
        <v>5843908</v>
      </c>
      <c r="CZ3520" t="s">
        <v>119</v>
      </c>
    </row>
    <row r="3521" spans="1:104" x14ac:dyDescent="0.25">
      <c r="A3521" t="str">
        <f>"14:49:02.320"</f>
        <v>14:49:02.320</v>
      </c>
      <c r="B3521" t="s">
        <v>108</v>
      </c>
      <c r="C3521" t="str">
        <f t="shared" si="163"/>
        <v>ffdfd3c0</v>
      </c>
      <c r="D3521" t="s">
        <v>109</v>
      </c>
      <c r="E3521">
        <v>4</v>
      </c>
      <c r="F3521">
        <v>1004</v>
      </c>
      <c r="G3521" t="s">
        <v>110</v>
      </c>
      <c r="J3521" t="s">
        <v>111</v>
      </c>
      <c r="K3521">
        <v>0</v>
      </c>
      <c r="L3521">
        <v>3</v>
      </c>
      <c r="M3521">
        <v>0</v>
      </c>
      <c r="N3521">
        <v>2</v>
      </c>
      <c r="O3521">
        <v>1</v>
      </c>
      <c r="P3521">
        <v>0</v>
      </c>
      <c r="Q3521">
        <v>0</v>
      </c>
      <c r="R3521" t="s">
        <v>112</v>
      </c>
      <c r="S3521" t="str">
        <f>"14:49:02.172"</f>
        <v>14:49:02.172</v>
      </c>
      <c r="T3521" t="str">
        <f>"14:49:01.672"</f>
        <v>14:49:01.672</v>
      </c>
      <c r="U3521" t="str">
        <f t="shared" si="162"/>
        <v>ad5732</v>
      </c>
      <c r="V3521">
        <v>0</v>
      </c>
      <c r="W3521">
        <v>0</v>
      </c>
      <c r="X3521">
        <v>1</v>
      </c>
      <c r="Z3521">
        <v>0</v>
      </c>
      <c r="AA3521">
        <v>9</v>
      </c>
      <c r="AB3521">
        <v>3</v>
      </c>
      <c r="AC3521">
        <v>0</v>
      </c>
      <c r="AD3521">
        <v>10</v>
      </c>
      <c r="AE3521">
        <v>0</v>
      </c>
      <c r="AF3521">
        <v>3</v>
      </c>
      <c r="AG3521">
        <v>2</v>
      </c>
      <c r="AH3521">
        <v>0</v>
      </c>
      <c r="AI3521" t="s">
        <v>6532</v>
      </c>
      <c r="AJ3521">
        <v>40.394024999999999</v>
      </c>
      <c r="AK3521" t="s">
        <v>7112</v>
      </c>
      <c r="AL3521">
        <v>-74.550668999999999</v>
      </c>
      <c r="AM3521">
        <v>100</v>
      </c>
      <c r="AN3521">
        <v>1700</v>
      </c>
      <c r="AO3521" t="s">
        <v>115</v>
      </c>
      <c r="AP3521">
        <v>109</v>
      </c>
      <c r="AQ3521">
        <v>60</v>
      </c>
      <c r="AR3521">
        <v>0</v>
      </c>
      <c r="AZ3521">
        <v>3614</v>
      </c>
      <c r="BA3521">
        <v>1</v>
      </c>
      <c r="BB3521" t="str">
        <f t="shared" si="164"/>
        <v xml:space="preserve">N959MJ  </v>
      </c>
      <c r="BC3521">
        <v>1</v>
      </c>
      <c r="BE3521">
        <v>0</v>
      </c>
      <c r="BF3521">
        <v>0</v>
      </c>
      <c r="BG3521">
        <v>0</v>
      </c>
      <c r="BH3521">
        <v>1875</v>
      </c>
      <c r="BI3521">
        <v>175</v>
      </c>
      <c r="BJ3521">
        <v>1</v>
      </c>
      <c r="BK3521">
        <v>1</v>
      </c>
      <c r="BL3521">
        <v>1</v>
      </c>
      <c r="BM3521">
        <v>0</v>
      </c>
      <c r="BP3521">
        <v>0</v>
      </c>
      <c r="BQ3521">
        <v>0</v>
      </c>
      <c r="BX3521" t="str">
        <f>"14:49:02.180"</f>
        <v>14:49:02.180</v>
      </c>
      <c r="BY3521" t="str">
        <f>"177202844"</f>
        <v>177202844</v>
      </c>
      <c r="CL3521">
        <v>0</v>
      </c>
      <c r="CM3521">
        <v>2</v>
      </c>
      <c r="CN3521">
        <v>0</v>
      </c>
      <c r="CO3521">
        <v>2</v>
      </c>
      <c r="CP3521">
        <v>0</v>
      </c>
      <c r="CQ3521">
        <v>6</v>
      </c>
      <c r="CR3521" t="s">
        <v>116</v>
      </c>
      <c r="CS3521">
        <v>305</v>
      </c>
      <c r="CT3521">
        <v>3</v>
      </c>
      <c r="CU3521" t="s">
        <v>6425</v>
      </c>
      <c r="CV3521" t="s">
        <v>6426</v>
      </c>
      <c r="CY3521">
        <v>5845776</v>
      </c>
      <c r="CZ3521" t="s">
        <v>119</v>
      </c>
    </row>
    <row r="3522" spans="1:104" x14ac:dyDescent="0.25">
      <c r="A3522" t="str">
        <f>"14:49:03.336"</f>
        <v>14:49:03.336</v>
      </c>
      <c r="B3522" t="s">
        <v>108</v>
      </c>
      <c r="C3522" t="str">
        <f t="shared" si="163"/>
        <v>ffdfd3c0</v>
      </c>
      <c r="D3522" t="s">
        <v>109</v>
      </c>
      <c r="E3522">
        <v>4</v>
      </c>
      <c r="F3522">
        <v>1004</v>
      </c>
      <c r="G3522" t="s">
        <v>110</v>
      </c>
      <c r="J3522" t="s">
        <v>111</v>
      </c>
      <c r="K3522">
        <v>0</v>
      </c>
      <c r="L3522">
        <v>3</v>
      </c>
      <c r="M3522">
        <v>0</v>
      </c>
      <c r="N3522">
        <v>2</v>
      </c>
      <c r="O3522">
        <v>1</v>
      </c>
      <c r="P3522">
        <v>0</v>
      </c>
      <c r="Q3522">
        <v>0</v>
      </c>
      <c r="R3522" t="s">
        <v>112</v>
      </c>
      <c r="S3522" t="str">
        <f>"14:49:03.133"</f>
        <v>14:49:03.133</v>
      </c>
      <c r="T3522" t="str">
        <f>"14:49:02.633"</f>
        <v>14:49:02.633</v>
      </c>
      <c r="U3522" t="str">
        <f t="shared" ref="U3522:U3585" si="165">"ad5732"</f>
        <v>ad5732</v>
      </c>
      <c r="V3522">
        <v>0</v>
      </c>
      <c r="W3522">
        <v>0</v>
      </c>
      <c r="X3522">
        <v>1</v>
      </c>
      <c r="Z3522">
        <v>0</v>
      </c>
      <c r="AA3522">
        <v>9</v>
      </c>
      <c r="AB3522">
        <v>3</v>
      </c>
      <c r="AC3522">
        <v>0</v>
      </c>
      <c r="AD3522">
        <v>10</v>
      </c>
      <c r="AE3522">
        <v>0</v>
      </c>
      <c r="AF3522">
        <v>3</v>
      </c>
      <c r="AG3522">
        <v>2</v>
      </c>
      <c r="AH3522">
        <v>0</v>
      </c>
      <c r="AI3522" t="s">
        <v>7113</v>
      </c>
      <c r="AJ3522">
        <v>40.394303999999998</v>
      </c>
      <c r="AK3522" t="s">
        <v>7114</v>
      </c>
      <c r="AL3522">
        <v>-74.549982999999997</v>
      </c>
      <c r="AM3522">
        <v>100</v>
      </c>
      <c r="AN3522">
        <v>1700</v>
      </c>
      <c r="AO3522" t="s">
        <v>115</v>
      </c>
      <c r="AP3522">
        <v>109</v>
      </c>
      <c r="AQ3522">
        <v>60</v>
      </c>
      <c r="AR3522">
        <v>64</v>
      </c>
      <c r="AZ3522">
        <v>3614</v>
      </c>
      <c r="BA3522">
        <v>1</v>
      </c>
      <c r="BB3522" t="str">
        <f t="shared" si="164"/>
        <v xml:space="preserve">N959MJ  </v>
      </c>
      <c r="BC3522">
        <v>1</v>
      </c>
      <c r="BE3522">
        <v>0</v>
      </c>
      <c r="BF3522">
        <v>0</v>
      </c>
      <c r="BG3522">
        <v>0</v>
      </c>
      <c r="BH3522">
        <v>1875</v>
      </c>
      <c r="BI3522">
        <v>175</v>
      </c>
      <c r="BJ3522">
        <v>1</v>
      </c>
      <c r="BK3522">
        <v>1</v>
      </c>
      <c r="BL3522">
        <v>1</v>
      </c>
      <c r="BM3522">
        <v>0</v>
      </c>
      <c r="BP3522">
        <v>0</v>
      </c>
      <c r="BQ3522">
        <v>0</v>
      </c>
      <c r="BX3522" t="str">
        <f>"14:49:03.133"</f>
        <v>14:49:03.133</v>
      </c>
      <c r="BY3522" t="str">
        <f>"134044897"</f>
        <v>134044897</v>
      </c>
      <c r="CL3522">
        <v>0</v>
      </c>
      <c r="CM3522">
        <v>2</v>
      </c>
      <c r="CN3522">
        <v>0</v>
      </c>
      <c r="CO3522">
        <v>2</v>
      </c>
      <c r="CP3522">
        <v>0</v>
      </c>
      <c r="CQ3522">
        <v>6</v>
      </c>
      <c r="CR3522" t="s">
        <v>116</v>
      </c>
      <c r="CS3522">
        <v>305</v>
      </c>
      <c r="CT3522">
        <v>3</v>
      </c>
      <c r="CU3522" t="s">
        <v>6425</v>
      </c>
      <c r="CV3522" t="s">
        <v>6426</v>
      </c>
      <c r="CY3522">
        <v>5847713</v>
      </c>
      <c r="CZ3522" t="s">
        <v>119</v>
      </c>
    </row>
    <row r="3523" spans="1:104" x14ac:dyDescent="0.25">
      <c r="A3523" t="str">
        <f>"14:49:04.242"</f>
        <v>14:49:04.242</v>
      </c>
      <c r="B3523" t="s">
        <v>108</v>
      </c>
      <c r="C3523" t="str">
        <f t="shared" si="163"/>
        <v>ffdfd3c0</v>
      </c>
      <c r="D3523" t="s">
        <v>109</v>
      </c>
      <c r="E3523">
        <v>4</v>
      </c>
      <c r="F3523">
        <v>1004</v>
      </c>
      <c r="G3523" t="s">
        <v>110</v>
      </c>
      <c r="J3523" t="s">
        <v>111</v>
      </c>
      <c r="K3523">
        <v>0</v>
      </c>
      <c r="L3523">
        <v>3</v>
      </c>
      <c r="M3523">
        <v>0</v>
      </c>
      <c r="N3523">
        <v>2</v>
      </c>
      <c r="O3523">
        <v>1</v>
      </c>
      <c r="P3523">
        <v>0</v>
      </c>
      <c r="Q3523">
        <v>0</v>
      </c>
      <c r="R3523" t="s">
        <v>112</v>
      </c>
      <c r="S3523" t="str">
        <f>"14:49:04.055"</f>
        <v>14:49:04.055</v>
      </c>
      <c r="T3523" t="str">
        <f>"14:49:03.555"</f>
        <v>14:49:03.555</v>
      </c>
      <c r="U3523" t="str">
        <f t="shared" si="165"/>
        <v>ad5732</v>
      </c>
      <c r="V3523">
        <v>0</v>
      </c>
      <c r="W3523">
        <v>0</v>
      </c>
      <c r="X3523">
        <v>1</v>
      </c>
      <c r="Z3523">
        <v>0</v>
      </c>
      <c r="AA3523">
        <v>9</v>
      </c>
      <c r="AB3523">
        <v>3</v>
      </c>
      <c r="AC3523">
        <v>0</v>
      </c>
      <c r="AD3523">
        <v>10</v>
      </c>
      <c r="AE3523">
        <v>0</v>
      </c>
      <c r="AF3523">
        <v>3</v>
      </c>
      <c r="AG3523">
        <v>2</v>
      </c>
      <c r="AH3523">
        <v>0</v>
      </c>
      <c r="AI3523" t="s">
        <v>7115</v>
      </c>
      <c r="AJ3523">
        <v>40.394582999999997</v>
      </c>
      <c r="AK3523" t="s">
        <v>7116</v>
      </c>
      <c r="AL3523">
        <v>-74.549424999999999</v>
      </c>
      <c r="AM3523">
        <v>100</v>
      </c>
      <c r="AN3523">
        <v>1700</v>
      </c>
      <c r="AO3523" t="s">
        <v>115</v>
      </c>
      <c r="AP3523">
        <v>109</v>
      </c>
      <c r="AQ3523">
        <v>60</v>
      </c>
      <c r="AR3523">
        <v>64</v>
      </c>
      <c r="AZ3523">
        <v>3614</v>
      </c>
      <c r="BA3523">
        <v>1</v>
      </c>
      <c r="BB3523" t="str">
        <f t="shared" si="164"/>
        <v xml:space="preserve">N959MJ  </v>
      </c>
      <c r="BC3523">
        <v>1</v>
      </c>
      <c r="BE3523">
        <v>0</v>
      </c>
      <c r="BF3523">
        <v>0</v>
      </c>
      <c r="BG3523">
        <v>0</v>
      </c>
      <c r="BH3523">
        <v>1875</v>
      </c>
      <c r="BI3523">
        <v>175</v>
      </c>
      <c r="BJ3523">
        <v>1</v>
      </c>
      <c r="BK3523">
        <v>1</v>
      </c>
      <c r="BL3523">
        <v>1</v>
      </c>
      <c r="BM3523">
        <v>0</v>
      </c>
      <c r="BP3523">
        <v>0</v>
      </c>
      <c r="BQ3523">
        <v>0</v>
      </c>
      <c r="BX3523" t="str">
        <f>"14:49:04.055"</f>
        <v>14:49:04.055</v>
      </c>
      <c r="BY3523" t="str">
        <f>"056424878"</f>
        <v>056424878</v>
      </c>
      <c r="CL3523">
        <v>0</v>
      </c>
      <c r="CM3523">
        <v>2</v>
      </c>
      <c r="CN3523">
        <v>0</v>
      </c>
      <c r="CO3523">
        <v>2</v>
      </c>
      <c r="CP3523">
        <v>0</v>
      </c>
      <c r="CQ3523">
        <v>6</v>
      </c>
      <c r="CR3523" t="s">
        <v>116</v>
      </c>
      <c r="CS3523">
        <v>38</v>
      </c>
      <c r="CT3523">
        <v>0</v>
      </c>
      <c r="CU3523" t="s">
        <v>4719</v>
      </c>
      <c r="CV3523" t="s">
        <v>4720</v>
      </c>
      <c r="CY3523">
        <v>8003118</v>
      </c>
      <c r="CZ3523" t="s">
        <v>119</v>
      </c>
    </row>
    <row r="3524" spans="1:104" x14ac:dyDescent="0.25">
      <c r="A3524" t="str">
        <f>"14:49:05.250"</f>
        <v>14:49:05.250</v>
      </c>
      <c r="B3524" t="s">
        <v>108</v>
      </c>
      <c r="C3524" t="str">
        <f t="shared" si="163"/>
        <v>ffdfd3c0</v>
      </c>
      <c r="D3524" t="s">
        <v>109</v>
      </c>
      <c r="E3524">
        <v>4</v>
      </c>
      <c r="F3524">
        <v>1004</v>
      </c>
      <c r="G3524" t="s">
        <v>110</v>
      </c>
      <c r="J3524" t="s">
        <v>111</v>
      </c>
      <c r="K3524">
        <v>0</v>
      </c>
      <c r="L3524">
        <v>3</v>
      </c>
      <c r="M3524">
        <v>0</v>
      </c>
      <c r="N3524">
        <v>2</v>
      </c>
      <c r="O3524">
        <v>1</v>
      </c>
      <c r="P3524">
        <v>0</v>
      </c>
      <c r="Q3524">
        <v>0</v>
      </c>
      <c r="R3524" t="s">
        <v>112</v>
      </c>
      <c r="S3524" t="str">
        <f>"14:49:05.039"</f>
        <v>14:49:05.039</v>
      </c>
      <c r="T3524" t="str">
        <f>"14:49:04.539"</f>
        <v>14:49:04.539</v>
      </c>
      <c r="U3524" t="str">
        <f t="shared" si="165"/>
        <v>ad5732</v>
      </c>
      <c r="V3524">
        <v>0</v>
      </c>
      <c r="W3524">
        <v>0</v>
      </c>
      <c r="X3524">
        <v>1</v>
      </c>
      <c r="Z3524">
        <v>0</v>
      </c>
      <c r="AA3524">
        <v>9</v>
      </c>
      <c r="AB3524">
        <v>3</v>
      </c>
      <c r="AC3524">
        <v>0</v>
      </c>
      <c r="AD3524">
        <v>10</v>
      </c>
      <c r="AE3524">
        <v>0</v>
      </c>
      <c r="AF3524">
        <v>3</v>
      </c>
      <c r="AG3524">
        <v>2</v>
      </c>
      <c r="AH3524">
        <v>0</v>
      </c>
      <c r="AI3524" t="s">
        <v>7117</v>
      </c>
      <c r="AJ3524">
        <v>40.394862000000003</v>
      </c>
      <c r="AK3524" t="s">
        <v>7118</v>
      </c>
      <c r="AL3524">
        <v>-74.548738</v>
      </c>
      <c r="AM3524">
        <v>100</v>
      </c>
      <c r="AN3524">
        <v>1700</v>
      </c>
      <c r="AO3524" t="s">
        <v>115</v>
      </c>
      <c r="AP3524">
        <v>108</v>
      </c>
      <c r="AQ3524">
        <v>60</v>
      </c>
      <c r="AR3524">
        <v>128</v>
      </c>
      <c r="AZ3524">
        <v>3614</v>
      </c>
      <c r="BA3524">
        <v>1</v>
      </c>
      <c r="BB3524" t="str">
        <f t="shared" si="164"/>
        <v xml:space="preserve">N959MJ  </v>
      </c>
      <c r="BC3524">
        <v>1</v>
      </c>
      <c r="BE3524">
        <v>0</v>
      </c>
      <c r="BF3524">
        <v>0</v>
      </c>
      <c r="BG3524">
        <v>0</v>
      </c>
      <c r="BH3524">
        <v>1875</v>
      </c>
      <c r="BI3524">
        <v>175</v>
      </c>
      <c r="BJ3524">
        <v>1</v>
      </c>
      <c r="BK3524">
        <v>1</v>
      </c>
      <c r="BL3524">
        <v>1</v>
      </c>
      <c r="BM3524">
        <v>0</v>
      </c>
      <c r="BP3524">
        <v>0</v>
      </c>
      <c r="BQ3524">
        <v>0</v>
      </c>
      <c r="BX3524" t="str">
        <f>"14:49:05.039"</f>
        <v>14:49:05.039</v>
      </c>
      <c r="BY3524" t="str">
        <f>"042814092"</f>
        <v>042814092</v>
      </c>
      <c r="CL3524">
        <v>0</v>
      </c>
      <c r="CM3524">
        <v>2</v>
      </c>
      <c r="CN3524">
        <v>0</v>
      </c>
      <c r="CO3524">
        <v>2</v>
      </c>
      <c r="CP3524">
        <v>0</v>
      </c>
      <c r="CQ3524">
        <v>5</v>
      </c>
      <c r="CR3524" t="s">
        <v>116</v>
      </c>
      <c r="CS3524">
        <v>305</v>
      </c>
      <c r="CT3524">
        <v>2</v>
      </c>
      <c r="CU3524" t="s">
        <v>6425</v>
      </c>
      <c r="CV3524" t="s">
        <v>6426</v>
      </c>
      <c r="CY3524">
        <v>13894328</v>
      </c>
      <c r="CZ3524" t="s">
        <v>119</v>
      </c>
    </row>
    <row r="3525" spans="1:104" x14ac:dyDescent="0.25">
      <c r="A3525" t="str">
        <f>"14:49:06.211"</f>
        <v>14:49:06.211</v>
      </c>
      <c r="B3525" t="s">
        <v>108</v>
      </c>
      <c r="C3525" t="str">
        <f t="shared" si="163"/>
        <v>ffdfd3c0</v>
      </c>
      <c r="D3525" t="s">
        <v>109</v>
      </c>
      <c r="E3525">
        <v>4</v>
      </c>
      <c r="F3525">
        <v>1004</v>
      </c>
      <c r="G3525" t="s">
        <v>110</v>
      </c>
      <c r="J3525" t="s">
        <v>111</v>
      </c>
      <c r="K3525">
        <v>0</v>
      </c>
      <c r="L3525">
        <v>3</v>
      </c>
      <c r="M3525">
        <v>0</v>
      </c>
      <c r="N3525">
        <v>2</v>
      </c>
      <c r="O3525">
        <v>1</v>
      </c>
      <c r="P3525">
        <v>0</v>
      </c>
      <c r="Q3525">
        <v>0</v>
      </c>
      <c r="R3525" t="s">
        <v>112</v>
      </c>
      <c r="S3525" t="str">
        <f>"14:49:06.016"</f>
        <v>14:49:06.016</v>
      </c>
      <c r="T3525" t="str">
        <f>"14:49:05.516"</f>
        <v>14:49:05.516</v>
      </c>
      <c r="U3525" t="str">
        <f t="shared" si="165"/>
        <v>ad5732</v>
      </c>
      <c r="V3525">
        <v>0</v>
      </c>
      <c r="W3525">
        <v>0</v>
      </c>
      <c r="X3525">
        <v>1</v>
      </c>
      <c r="Z3525">
        <v>0</v>
      </c>
      <c r="AA3525">
        <v>9</v>
      </c>
      <c r="AB3525">
        <v>3</v>
      </c>
      <c r="AC3525">
        <v>0</v>
      </c>
      <c r="AD3525">
        <v>10</v>
      </c>
      <c r="AE3525">
        <v>0</v>
      </c>
      <c r="AF3525">
        <v>3</v>
      </c>
      <c r="AG3525">
        <v>2</v>
      </c>
      <c r="AH3525">
        <v>0</v>
      </c>
      <c r="AI3525" t="s">
        <v>7119</v>
      </c>
      <c r="AJ3525">
        <v>40.395076000000003</v>
      </c>
      <c r="AK3525" t="s">
        <v>7120</v>
      </c>
      <c r="AL3525">
        <v>-74.548158999999998</v>
      </c>
      <c r="AM3525">
        <v>100</v>
      </c>
      <c r="AN3525">
        <v>1700</v>
      </c>
      <c r="AO3525" t="s">
        <v>115</v>
      </c>
      <c r="AP3525">
        <v>108</v>
      </c>
      <c r="AQ3525">
        <v>60</v>
      </c>
      <c r="AR3525">
        <v>128</v>
      </c>
      <c r="AZ3525">
        <v>3614</v>
      </c>
      <c r="BA3525">
        <v>1</v>
      </c>
      <c r="BB3525" t="str">
        <f t="shared" si="164"/>
        <v xml:space="preserve">N959MJ  </v>
      </c>
      <c r="BC3525">
        <v>1</v>
      </c>
      <c r="BE3525">
        <v>0</v>
      </c>
      <c r="BF3525">
        <v>0</v>
      </c>
      <c r="BG3525">
        <v>0</v>
      </c>
      <c r="BH3525">
        <v>1875</v>
      </c>
      <c r="BI3525">
        <v>175</v>
      </c>
      <c r="BJ3525">
        <v>1</v>
      </c>
      <c r="BK3525">
        <v>1</v>
      </c>
      <c r="BL3525">
        <v>1</v>
      </c>
      <c r="BM3525">
        <v>0</v>
      </c>
      <c r="BP3525">
        <v>0</v>
      </c>
      <c r="BQ3525">
        <v>0</v>
      </c>
      <c r="BX3525" t="str">
        <f>"14:49:06.016"</f>
        <v>14:49:06.016</v>
      </c>
      <c r="BY3525" t="str">
        <f>"017678949"</f>
        <v>017678949</v>
      </c>
      <c r="CL3525">
        <v>0</v>
      </c>
      <c r="CM3525">
        <v>2</v>
      </c>
      <c r="CN3525">
        <v>0</v>
      </c>
      <c r="CO3525">
        <v>2</v>
      </c>
      <c r="CP3525">
        <v>0</v>
      </c>
      <c r="CQ3525">
        <v>6</v>
      </c>
      <c r="CR3525" t="s">
        <v>116</v>
      </c>
      <c r="CS3525">
        <v>305</v>
      </c>
      <c r="CT3525">
        <v>3</v>
      </c>
      <c r="CU3525" t="s">
        <v>6425</v>
      </c>
      <c r="CV3525" t="s">
        <v>6426</v>
      </c>
      <c r="CY3525">
        <v>5853198</v>
      </c>
      <c r="CZ3525" t="s">
        <v>119</v>
      </c>
    </row>
    <row r="3526" spans="1:104" x14ac:dyDescent="0.25">
      <c r="A3526" t="str">
        <f>"14:49:07.219"</f>
        <v>14:49:07.219</v>
      </c>
      <c r="B3526" t="s">
        <v>108</v>
      </c>
      <c r="C3526" t="str">
        <f t="shared" si="163"/>
        <v>ffdfd3c0</v>
      </c>
      <c r="D3526" t="s">
        <v>109</v>
      </c>
      <c r="E3526">
        <v>4</v>
      </c>
      <c r="F3526">
        <v>1004</v>
      </c>
      <c r="G3526" t="s">
        <v>110</v>
      </c>
      <c r="J3526" t="s">
        <v>111</v>
      </c>
      <c r="K3526">
        <v>0</v>
      </c>
      <c r="L3526">
        <v>3</v>
      </c>
      <c r="M3526">
        <v>0</v>
      </c>
      <c r="N3526">
        <v>2</v>
      </c>
      <c r="O3526">
        <v>1</v>
      </c>
      <c r="P3526">
        <v>0</v>
      </c>
      <c r="Q3526">
        <v>0</v>
      </c>
      <c r="R3526" t="s">
        <v>112</v>
      </c>
      <c r="S3526" t="str">
        <f>"14:49:07.023"</f>
        <v>14:49:07.023</v>
      </c>
      <c r="T3526" t="str">
        <f>"14:49:06.625"</f>
        <v>14:49:06.625</v>
      </c>
      <c r="U3526" t="str">
        <f t="shared" si="165"/>
        <v>ad5732</v>
      </c>
      <c r="V3526">
        <v>0</v>
      </c>
      <c r="W3526">
        <v>0</v>
      </c>
      <c r="X3526">
        <v>1</v>
      </c>
      <c r="Z3526">
        <v>0</v>
      </c>
      <c r="AA3526">
        <v>9</v>
      </c>
      <c r="AB3526">
        <v>3</v>
      </c>
      <c r="AC3526">
        <v>0</v>
      </c>
      <c r="AD3526">
        <v>10</v>
      </c>
      <c r="AE3526">
        <v>0</v>
      </c>
      <c r="AF3526">
        <v>3</v>
      </c>
      <c r="AG3526">
        <v>2</v>
      </c>
      <c r="AH3526">
        <v>0</v>
      </c>
      <c r="AI3526" t="s">
        <v>7121</v>
      </c>
      <c r="AJ3526">
        <v>40.395398</v>
      </c>
      <c r="AK3526" t="s">
        <v>7122</v>
      </c>
      <c r="AL3526">
        <v>-74.547493000000003</v>
      </c>
      <c r="AM3526">
        <v>100</v>
      </c>
      <c r="AN3526">
        <v>1700</v>
      </c>
      <c r="AO3526" t="s">
        <v>115</v>
      </c>
      <c r="AP3526">
        <v>108</v>
      </c>
      <c r="AQ3526">
        <v>60</v>
      </c>
      <c r="AR3526">
        <v>128</v>
      </c>
      <c r="AZ3526">
        <v>3614</v>
      </c>
      <c r="BA3526">
        <v>1</v>
      </c>
      <c r="BB3526" t="str">
        <f t="shared" si="164"/>
        <v xml:space="preserve">N959MJ  </v>
      </c>
      <c r="BC3526">
        <v>1</v>
      </c>
      <c r="BE3526">
        <v>0</v>
      </c>
      <c r="BF3526">
        <v>0</v>
      </c>
      <c r="BG3526">
        <v>0</v>
      </c>
      <c r="BH3526">
        <v>1875</v>
      </c>
      <c r="BI3526">
        <v>175</v>
      </c>
      <c r="BJ3526">
        <v>1</v>
      </c>
      <c r="BK3526">
        <v>1</v>
      </c>
      <c r="BL3526">
        <v>1</v>
      </c>
      <c r="BM3526">
        <v>0</v>
      </c>
      <c r="BP3526">
        <v>0</v>
      </c>
      <c r="BQ3526">
        <v>0</v>
      </c>
      <c r="BX3526" t="str">
        <f>"14:49:07.023"</f>
        <v>14:49:07.023</v>
      </c>
      <c r="BY3526" t="str">
        <f>"025312436"</f>
        <v>025312436</v>
      </c>
      <c r="CL3526">
        <v>0</v>
      </c>
      <c r="CM3526">
        <v>2</v>
      </c>
      <c r="CN3526">
        <v>0</v>
      </c>
      <c r="CO3526">
        <v>2</v>
      </c>
      <c r="CP3526">
        <v>0</v>
      </c>
      <c r="CQ3526">
        <v>6</v>
      </c>
      <c r="CR3526" t="s">
        <v>116</v>
      </c>
      <c r="CS3526">
        <v>305</v>
      </c>
      <c r="CT3526">
        <v>3</v>
      </c>
      <c r="CU3526" t="s">
        <v>6425</v>
      </c>
      <c r="CV3526" t="s">
        <v>6426</v>
      </c>
      <c r="CY3526">
        <v>5855321</v>
      </c>
      <c r="CZ3526" t="s">
        <v>119</v>
      </c>
    </row>
    <row r="3527" spans="1:104" x14ac:dyDescent="0.25">
      <c r="A3527" t="str">
        <f>"14:49:08.180"</f>
        <v>14:49:08.180</v>
      </c>
      <c r="B3527" t="s">
        <v>108</v>
      </c>
      <c r="C3527" t="str">
        <f t="shared" si="163"/>
        <v>ffdfd3c0</v>
      </c>
      <c r="D3527" t="s">
        <v>109</v>
      </c>
      <c r="E3527">
        <v>4</v>
      </c>
      <c r="F3527">
        <v>1004</v>
      </c>
      <c r="G3527" t="s">
        <v>110</v>
      </c>
      <c r="J3527" t="s">
        <v>111</v>
      </c>
      <c r="K3527">
        <v>0</v>
      </c>
      <c r="L3527">
        <v>3</v>
      </c>
      <c r="M3527">
        <v>0</v>
      </c>
      <c r="N3527">
        <v>2</v>
      </c>
      <c r="O3527">
        <v>1</v>
      </c>
      <c r="P3527">
        <v>0</v>
      </c>
      <c r="Q3527">
        <v>0</v>
      </c>
      <c r="R3527" t="s">
        <v>112</v>
      </c>
      <c r="S3527" t="str">
        <f>"14:49:07.984"</f>
        <v>14:49:07.984</v>
      </c>
      <c r="T3527" t="str">
        <f>"14:49:07.086"</f>
        <v>14:49:07.086</v>
      </c>
      <c r="U3527" t="str">
        <f t="shared" si="165"/>
        <v>ad5732</v>
      </c>
      <c r="V3527">
        <v>0</v>
      </c>
      <c r="W3527">
        <v>0</v>
      </c>
      <c r="X3527">
        <v>1</v>
      </c>
      <c r="Z3527">
        <v>0</v>
      </c>
      <c r="AA3527">
        <v>9</v>
      </c>
      <c r="AB3527">
        <v>3</v>
      </c>
      <c r="AC3527">
        <v>0</v>
      </c>
      <c r="AD3527">
        <v>10</v>
      </c>
      <c r="AE3527">
        <v>0</v>
      </c>
      <c r="AF3527">
        <v>3</v>
      </c>
      <c r="AG3527">
        <v>2</v>
      </c>
      <c r="AH3527">
        <v>0</v>
      </c>
      <c r="AI3527" t="s">
        <v>7123</v>
      </c>
      <c r="AJ3527">
        <v>40.395676999999999</v>
      </c>
      <c r="AK3527" t="s">
        <v>7124</v>
      </c>
      <c r="AL3527">
        <v>-74.546870999999996</v>
      </c>
      <c r="AM3527">
        <v>100</v>
      </c>
      <c r="AN3527">
        <v>1700</v>
      </c>
      <c r="AO3527" t="s">
        <v>115</v>
      </c>
      <c r="AP3527">
        <v>108</v>
      </c>
      <c r="AQ3527">
        <v>60</v>
      </c>
      <c r="AR3527">
        <v>128</v>
      </c>
      <c r="AZ3527">
        <v>3614</v>
      </c>
      <c r="BA3527">
        <v>1</v>
      </c>
      <c r="BB3527" t="str">
        <f t="shared" si="164"/>
        <v xml:space="preserve">N959MJ  </v>
      </c>
      <c r="BC3527">
        <v>1</v>
      </c>
      <c r="BE3527">
        <v>0</v>
      </c>
      <c r="BF3527">
        <v>0</v>
      </c>
      <c r="BG3527">
        <v>0</v>
      </c>
      <c r="BH3527">
        <v>1875</v>
      </c>
      <c r="BI3527">
        <v>175</v>
      </c>
      <c r="BJ3527">
        <v>1</v>
      </c>
      <c r="BK3527">
        <v>1</v>
      </c>
      <c r="BL3527">
        <v>1</v>
      </c>
      <c r="BM3527">
        <v>0</v>
      </c>
      <c r="BP3527">
        <v>0</v>
      </c>
      <c r="BQ3527">
        <v>0</v>
      </c>
      <c r="BX3527" t="str">
        <f>"14:49:07.984"</f>
        <v>14:49:07.984</v>
      </c>
      <c r="BY3527" t="str">
        <f>"987016385"</f>
        <v>987016385</v>
      </c>
      <c r="CL3527">
        <v>0</v>
      </c>
      <c r="CM3527">
        <v>2</v>
      </c>
      <c r="CN3527">
        <v>0</v>
      </c>
      <c r="CO3527">
        <v>2</v>
      </c>
      <c r="CP3527">
        <v>0</v>
      </c>
      <c r="CQ3527">
        <v>6</v>
      </c>
      <c r="CR3527" t="s">
        <v>116</v>
      </c>
      <c r="CS3527">
        <v>38</v>
      </c>
      <c r="CT3527">
        <v>0</v>
      </c>
      <c r="CU3527" t="s">
        <v>4719</v>
      </c>
      <c r="CV3527" t="s">
        <v>4720</v>
      </c>
      <c r="CY3527">
        <v>8009112</v>
      </c>
      <c r="CZ3527" t="s">
        <v>119</v>
      </c>
    </row>
    <row r="3528" spans="1:104" x14ac:dyDescent="0.25">
      <c r="A3528" t="str">
        <f>"14:49:09.289"</f>
        <v>14:49:09.289</v>
      </c>
      <c r="B3528" t="s">
        <v>108</v>
      </c>
      <c r="C3528" t="str">
        <f t="shared" si="163"/>
        <v>ffdfd3c0</v>
      </c>
      <c r="D3528" t="s">
        <v>109</v>
      </c>
      <c r="E3528">
        <v>4</v>
      </c>
      <c r="F3528">
        <v>1004</v>
      </c>
      <c r="G3528" t="s">
        <v>110</v>
      </c>
      <c r="J3528" t="s">
        <v>111</v>
      </c>
      <c r="K3528">
        <v>0</v>
      </c>
      <c r="L3528">
        <v>3</v>
      </c>
      <c r="M3528">
        <v>0</v>
      </c>
      <c r="N3528">
        <v>2</v>
      </c>
      <c r="O3528">
        <v>1</v>
      </c>
      <c r="P3528">
        <v>0</v>
      </c>
      <c r="Q3528">
        <v>0</v>
      </c>
      <c r="R3528" t="s">
        <v>112</v>
      </c>
      <c r="S3528" t="str">
        <f>"14:49:09.078"</f>
        <v>14:49:09.078</v>
      </c>
      <c r="T3528" t="str">
        <f>"14:49:08.578"</f>
        <v>14:49:08.578</v>
      </c>
      <c r="U3528" t="str">
        <f t="shared" si="165"/>
        <v>ad5732</v>
      </c>
      <c r="V3528">
        <v>0</v>
      </c>
      <c r="W3528">
        <v>0</v>
      </c>
      <c r="X3528">
        <v>1</v>
      </c>
      <c r="Z3528">
        <v>0</v>
      </c>
      <c r="AA3528">
        <v>9</v>
      </c>
      <c r="AB3528">
        <v>3</v>
      </c>
      <c r="AC3528">
        <v>0</v>
      </c>
      <c r="AD3528">
        <v>10</v>
      </c>
      <c r="AE3528">
        <v>0</v>
      </c>
      <c r="AF3528">
        <v>3</v>
      </c>
      <c r="AG3528">
        <v>2</v>
      </c>
      <c r="AH3528">
        <v>0</v>
      </c>
      <c r="AI3528" t="s">
        <v>6488</v>
      </c>
      <c r="AJ3528">
        <v>40.395977000000002</v>
      </c>
      <c r="AK3528" t="s">
        <v>7125</v>
      </c>
      <c r="AL3528">
        <v>-74.546163000000007</v>
      </c>
      <c r="AM3528">
        <v>100</v>
      </c>
      <c r="AN3528">
        <v>1700</v>
      </c>
      <c r="AO3528" t="s">
        <v>115</v>
      </c>
      <c r="AP3528">
        <v>107</v>
      </c>
      <c r="AQ3528">
        <v>60</v>
      </c>
      <c r="AR3528">
        <v>64</v>
      </c>
      <c r="AZ3528">
        <v>3614</v>
      </c>
      <c r="BA3528">
        <v>1</v>
      </c>
      <c r="BB3528" t="str">
        <f t="shared" si="164"/>
        <v xml:space="preserve">N959MJ  </v>
      </c>
      <c r="BC3528">
        <v>1</v>
      </c>
      <c r="BE3528">
        <v>0</v>
      </c>
      <c r="BF3528">
        <v>0</v>
      </c>
      <c r="BG3528">
        <v>0</v>
      </c>
      <c r="BH3528">
        <v>1875</v>
      </c>
      <c r="BI3528">
        <v>175</v>
      </c>
      <c r="BJ3528">
        <v>1</v>
      </c>
      <c r="BK3528">
        <v>1</v>
      </c>
      <c r="BL3528">
        <v>1</v>
      </c>
      <c r="BM3528">
        <v>0</v>
      </c>
      <c r="BP3528">
        <v>0</v>
      </c>
      <c r="BQ3528">
        <v>0</v>
      </c>
      <c r="BX3528" t="str">
        <f>"14:49:09.078"</f>
        <v>14:49:09.078</v>
      </c>
      <c r="BY3528" t="str">
        <f>"081486967"</f>
        <v>081486967</v>
      </c>
      <c r="CL3528">
        <v>0</v>
      </c>
      <c r="CM3528">
        <v>2</v>
      </c>
      <c r="CN3528">
        <v>0</v>
      </c>
      <c r="CO3528">
        <v>2</v>
      </c>
      <c r="CP3528">
        <v>0</v>
      </c>
      <c r="CQ3528">
        <v>6</v>
      </c>
      <c r="CR3528" t="s">
        <v>116</v>
      </c>
      <c r="CS3528">
        <v>38</v>
      </c>
      <c r="CT3528">
        <v>0</v>
      </c>
      <c r="CU3528" t="s">
        <v>4719</v>
      </c>
      <c r="CV3528" t="s">
        <v>4720</v>
      </c>
      <c r="CY3528">
        <v>8010812</v>
      </c>
      <c r="CZ3528" t="s">
        <v>119</v>
      </c>
    </row>
    <row r="3529" spans="1:104" x14ac:dyDescent="0.25">
      <c r="A3529" t="str">
        <f>"14:49:10.398"</f>
        <v>14:49:10.398</v>
      </c>
      <c r="B3529" t="s">
        <v>108</v>
      </c>
      <c r="C3529" t="str">
        <f t="shared" si="163"/>
        <v>ffdfd3c0</v>
      </c>
      <c r="D3529" t="s">
        <v>109</v>
      </c>
      <c r="E3529">
        <v>4</v>
      </c>
      <c r="F3529">
        <v>1004</v>
      </c>
      <c r="G3529" t="s">
        <v>110</v>
      </c>
      <c r="J3529" t="s">
        <v>111</v>
      </c>
      <c r="K3529">
        <v>0</v>
      </c>
      <c r="L3529">
        <v>3</v>
      </c>
      <c r="M3529">
        <v>0</v>
      </c>
      <c r="N3529">
        <v>2</v>
      </c>
      <c r="O3529">
        <v>1</v>
      </c>
      <c r="P3529">
        <v>0</v>
      </c>
      <c r="Q3529">
        <v>0</v>
      </c>
      <c r="R3529" t="s">
        <v>112</v>
      </c>
      <c r="S3529" t="str">
        <f>"14:49:10.188"</f>
        <v>14:49:10.188</v>
      </c>
      <c r="T3529" t="str">
        <f>"14:49:09.688"</f>
        <v>14:49:09.688</v>
      </c>
      <c r="U3529" t="str">
        <f t="shared" si="165"/>
        <v>ad5732</v>
      </c>
      <c r="V3529">
        <v>0</v>
      </c>
      <c r="W3529">
        <v>0</v>
      </c>
      <c r="X3529">
        <v>1</v>
      </c>
      <c r="Z3529">
        <v>0</v>
      </c>
      <c r="AA3529">
        <v>9</v>
      </c>
      <c r="AB3529">
        <v>3</v>
      </c>
      <c r="AC3529">
        <v>0</v>
      </c>
      <c r="AD3529">
        <v>10</v>
      </c>
      <c r="AE3529">
        <v>0</v>
      </c>
      <c r="AF3529">
        <v>3</v>
      </c>
      <c r="AG3529">
        <v>2</v>
      </c>
      <c r="AH3529">
        <v>0</v>
      </c>
      <c r="AI3529" t="s">
        <v>7126</v>
      </c>
      <c r="AJ3529">
        <v>40.396278000000002</v>
      </c>
      <c r="AK3529" t="s">
        <v>7127</v>
      </c>
      <c r="AL3529">
        <v>-74.545411999999999</v>
      </c>
      <c r="AM3529">
        <v>100</v>
      </c>
      <c r="AN3529">
        <v>1700</v>
      </c>
      <c r="AO3529" t="s">
        <v>115</v>
      </c>
      <c r="AP3529">
        <v>107</v>
      </c>
      <c r="AQ3529">
        <v>60</v>
      </c>
      <c r="AR3529">
        <v>64</v>
      </c>
      <c r="AZ3529">
        <v>3614</v>
      </c>
      <c r="BA3529">
        <v>1</v>
      </c>
      <c r="BB3529" t="str">
        <f t="shared" si="164"/>
        <v xml:space="preserve">N959MJ  </v>
      </c>
      <c r="BC3529">
        <v>1</v>
      </c>
      <c r="BE3529">
        <v>0</v>
      </c>
      <c r="BF3529">
        <v>0</v>
      </c>
      <c r="BG3529">
        <v>0</v>
      </c>
      <c r="BH3529">
        <v>1900</v>
      </c>
      <c r="BI3529">
        <v>200</v>
      </c>
      <c r="BJ3529">
        <v>1</v>
      </c>
      <c r="BK3529">
        <v>1</v>
      </c>
      <c r="BL3529">
        <v>1</v>
      </c>
      <c r="BM3529">
        <v>0</v>
      </c>
      <c r="BP3529">
        <v>0</v>
      </c>
      <c r="BQ3529">
        <v>0</v>
      </c>
      <c r="BX3529" t="str">
        <f>"14:49:10.195"</f>
        <v>14:49:10.195</v>
      </c>
      <c r="BY3529" t="str">
        <f>"192341836"</f>
        <v>192341836</v>
      </c>
      <c r="CL3529">
        <v>0</v>
      </c>
      <c r="CM3529">
        <v>2</v>
      </c>
      <c r="CN3529">
        <v>0</v>
      </c>
      <c r="CO3529">
        <v>2</v>
      </c>
      <c r="CP3529">
        <v>0</v>
      </c>
      <c r="CQ3529">
        <v>6</v>
      </c>
      <c r="CR3529" t="s">
        <v>116</v>
      </c>
      <c r="CS3529">
        <v>38</v>
      </c>
      <c r="CT3529">
        <v>0</v>
      </c>
      <c r="CU3529" t="s">
        <v>4719</v>
      </c>
      <c r="CV3529" t="s">
        <v>4720</v>
      </c>
      <c r="CY3529">
        <v>8012458</v>
      </c>
      <c r="CZ3529" t="s">
        <v>119</v>
      </c>
    </row>
    <row r="3530" spans="1:104" x14ac:dyDescent="0.25">
      <c r="A3530" t="str">
        <f>"14:49:11.211"</f>
        <v>14:49:11.211</v>
      </c>
      <c r="B3530" t="s">
        <v>108</v>
      </c>
      <c r="C3530" t="str">
        <f t="shared" ref="C3530:C3593" si="166">"ffdfd3c0"</f>
        <v>ffdfd3c0</v>
      </c>
      <c r="D3530" t="s">
        <v>109</v>
      </c>
      <c r="E3530">
        <v>4</v>
      </c>
      <c r="F3530">
        <v>1004</v>
      </c>
      <c r="G3530" t="s">
        <v>110</v>
      </c>
      <c r="J3530" t="s">
        <v>111</v>
      </c>
      <c r="K3530">
        <v>0</v>
      </c>
      <c r="L3530">
        <v>3</v>
      </c>
      <c r="M3530">
        <v>0</v>
      </c>
      <c r="N3530">
        <v>2</v>
      </c>
      <c r="O3530">
        <v>1</v>
      </c>
      <c r="P3530">
        <v>0</v>
      </c>
      <c r="Q3530">
        <v>0</v>
      </c>
      <c r="R3530" t="s">
        <v>112</v>
      </c>
      <c r="S3530" t="str">
        <f>"14:49:11.023"</f>
        <v>14:49:11.023</v>
      </c>
      <c r="T3530" t="str">
        <f>"14:49:10.625"</f>
        <v>14:49:10.625</v>
      </c>
      <c r="U3530" t="str">
        <f t="shared" si="165"/>
        <v>ad5732</v>
      </c>
      <c r="V3530">
        <v>0</v>
      </c>
      <c r="W3530">
        <v>0</v>
      </c>
      <c r="X3530">
        <v>1</v>
      </c>
      <c r="Z3530">
        <v>0</v>
      </c>
      <c r="AA3530">
        <v>9</v>
      </c>
      <c r="AB3530">
        <v>3</v>
      </c>
      <c r="AC3530">
        <v>0</v>
      </c>
      <c r="AD3530">
        <v>10</v>
      </c>
      <c r="AE3530">
        <v>0</v>
      </c>
      <c r="AF3530">
        <v>3</v>
      </c>
      <c r="AG3530">
        <v>2</v>
      </c>
      <c r="AH3530">
        <v>0</v>
      </c>
      <c r="AI3530" t="s">
        <v>6474</v>
      </c>
      <c r="AJ3530">
        <v>40.396492000000002</v>
      </c>
      <c r="AK3530" t="s">
        <v>7128</v>
      </c>
      <c r="AL3530">
        <v>-74.544854000000001</v>
      </c>
      <c r="AM3530">
        <v>100</v>
      </c>
      <c r="AN3530">
        <v>1700</v>
      </c>
      <c r="AO3530" t="s">
        <v>115</v>
      </c>
      <c r="AP3530">
        <v>108</v>
      </c>
      <c r="AQ3530">
        <v>59</v>
      </c>
      <c r="AR3530">
        <v>64</v>
      </c>
      <c r="AZ3530">
        <v>3614</v>
      </c>
      <c r="BA3530">
        <v>1</v>
      </c>
      <c r="BB3530" t="str">
        <f t="shared" ref="BB3530:BB3593" si="167">"N959MJ  "</f>
        <v xml:space="preserve">N959MJ  </v>
      </c>
      <c r="BC3530">
        <v>1</v>
      </c>
      <c r="BE3530">
        <v>0</v>
      </c>
      <c r="BF3530">
        <v>0</v>
      </c>
      <c r="BG3530">
        <v>0</v>
      </c>
      <c r="BH3530">
        <v>1900</v>
      </c>
      <c r="BI3530">
        <v>200</v>
      </c>
      <c r="BJ3530">
        <v>1</v>
      </c>
      <c r="BK3530">
        <v>1</v>
      </c>
      <c r="BL3530">
        <v>1</v>
      </c>
      <c r="BM3530">
        <v>0</v>
      </c>
      <c r="BP3530">
        <v>0</v>
      </c>
      <c r="BQ3530">
        <v>0</v>
      </c>
      <c r="BX3530" t="str">
        <f>"14:49:11.031"</f>
        <v>14:49:11.031</v>
      </c>
      <c r="BY3530" t="str">
        <f>"027940671"</f>
        <v>027940671</v>
      </c>
      <c r="CL3530">
        <v>0</v>
      </c>
      <c r="CM3530">
        <v>2</v>
      </c>
      <c r="CN3530">
        <v>0</v>
      </c>
      <c r="CO3530">
        <v>2</v>
      </c>
      <c r="CP3530">
        <v>0</v>
      </c>
      <c r="CQ3530">
        <v>6</v>
      </c>
      <c r="CR3530" t="s">
        <v>116</v>
      </c>
      <c r="CS3530">
        <v>38</v>
      </c>
      <c r="CT3530">
        <v>0</v>
      </c>
      <c r="CU3530" t="s">
        <v>4719</v>
      </c>
      <c r="CV3530" t="s">
        <v>4720</v>
      </c>
      <c r="CY3530">
        <v>8013693</v>
      </c>
      <c r="CZ3530" t="s">
        <v>119</v>
      </c>
    </row>
    <row r="3531" spans="1:104" x14ac:dyDescent="0.25">
      <c r="A3531" t="str">
        <f>"14:49:12.164"</f>
        <v>14:49:12.164</v>
      </c>
      <c r="B3531" t="s">
        <v>108</v>
      </c>
      <c r="C3531" t="str">
        <f t="shared" si="166"/>
        <v>ffdfd3c0</v>
      </c>
      <c r="D3531" t="s">
        <v>109</v>
      </c>
      <c r="E3531">
        <v>4</v>
      </c>
      <c r="F3531">
        <v>1004</v>
      </c>
      <c r="G3531" t="s">
        <v>110</v>
      </c>
      <c r="J3531" t="s">
        <v>111</v>
      </c>
      <c r="K3531">
        <v>0</v>
      </c>
      <c r="L3531">
        <v>3</v>
      </c>
      <c r="M3531">
        <v>0</v>
      </c>
      <c r="N3531">
        <v>2</v>
      </c>
      <c r="O3531">
        <v>1</v>
      </c>
      <c r="P3531">
        <v>0</v>
      </c>
      <c r="Q3531">
        <v>0</v>
      </c>
      <c r="R3531" t="s">
        <v>112</v>
      </c>
      <c r="S3531" t="str">
        <f>"14:49:12.000"</f>
        <v>14:49:12.000</v>
      </c>
      <c r="T3531" t="str">
        <f>"14:49:11.602"</f>
        <v>14:49:11.602</v>
      </c>
      <c r="U3531" t="str">
        <f t="shared" si="165"/>
        <v>ad5732</v>
      </c>
      <c r="V3531">
        <v>0</v>
      </c>
      <c r="W3531">
        <v>0</v>
      </c>
      <c r="X3531">
        <v>1</v>
      </c>
      <c r="Z3531">
        <v>0</v>
      </c>
      <c r="AA3531">
        <v>9</v>
      </c>
      <c r="AB3531">
        <v>3</v>
      </c>
      <c r="AC3531">
        <v>0</v>
      </c>
      <c r="AD3531">
        <v>10</v>
      </c>
      <c r="AE3531">
        <v>0</v>
      </c>
      <c r="AF3531">
        <v>3</v>
      </c>
      <c r="AG3531">
        <v>2</v>
      </c>
      <c r="AH3531">
        <v>0</v>
      </c>
      <c r="AI3531" t="s">
        <v>6210</v>
      </c>
      <c r="AJ3531">
        <v>40.396729000000001</v>
      </c>
      <c r="AK3531" t="s">
        <v>7129</v>
      </c>
      <c r="AL3531">
        <v>-74.544252999999998</v>
      </c>
      <c r="AM3531">
        <v>100</v>
      </c>
      <c r="AN3531">
        <v>1700</v>
      </c>
      <c r="AO3531" t="s">
        <v>115</v>
      </c>
      <c r="AP3531">
        <v>109</v>
      </c>
      <c r="AQ3531">
        <v>57</v>
      </c>
      <c r="AR3531">
        <v>0</v>
      </c>
      <c r="AZ3531">
        <v>3614</v>
      </c>
      <c r="BA3531">
        <v>1</v>
      </c>
      <c r="BB3531" t="str">
        <f t="shared" si="167"/>
        <v xml:space="preserve">N959MJ  </v>
      </c>
      <c r="BC3531">
        <v>1</v>
      </c>
      <c r="BE3531">
        <v>0</v>
      </c>
      <c r="BF3531">
        <v>0</v>
      </c>
      <c r="BG3531">
        <v>0</v>
      </c>
      <c r="BH3531">
        <v>1900</v>
      </c>
      <c r="BI3531">
        <v>200</v>
      </c>
      <c r="BJ3531">
        <v>1</v>
      </c>
      <c r="BK3531">
        <v>1</v>
      </c>
      <c r="BL3531">
        <v>1</v>
      </c>
      <c r="BM3531">
        <v>0</v>
      </c>
      <c r="BP3531">
        <v>0</v>
      </c>
      <c r="BQ3531">
        <v>0</v>
      </c>
      <c r="BX3531" t="str">
        <f>"14:49:12.000"</f>
        <v>14:49:12.000</v>
      </c>
      <c r="BY3531" t="str">
        <f>"002858041"</f>
        <v>002858041</v>
      </c>
      <c r="CL3531">
        <v>0</v>
      </c>
      <c r="CM3531">
        <v>2</v>
      </c>
      <c r="CN3531">
        <v>0</v>
      </c>
      <c r="CO3531">
        <v>2</v>
      </c>
      <c r="CP3531">
        <v>0</v>
      </c>
      <c r="CQ3531">
        <v>6</v>
      </c>
      <c r="CR3531" t="s">
        <v>116</v>
      </c>
      <c r="CS3531">
        <v>305</v>
      </c>
      <c r="CT3531">
        <v>3</v>
      </c>
      <c r="CU3531" t="s">
        <v>6425</v>
      </c>
      <c r="CV3531" t="s">
        <v>6426</v>
      </c>
      <c r="CY3531">
        <v>5865396</v>
      </c>
      <c r="CZ3531" t="s">
        <v>119</v>
      </c>
    </row>
    <row r="3532" spans="1:104" x14ac:dyDescent="0.25">
      <c r="A3532" t="str">
        <f>"14:49:13.328"</f>
        <v>14:49:13.328</v>
      </c>
      <c r="B3532" t="s">
        <v>108</v>
      </c>
      <c r="C3532" t="str">
        <f t="shared" si="166"/>
        <v>ffdfd3c0</v>
      </c>
      <c r="D3532" t="s">
        <v>109</v>
      </c>
      <c r="E3532">
        <v>4</v>
      </c>
      <c r="F3532">
        <v>1004</v>
      </c>
      <c r="G3532" t="s">
        <v>110</v>
      </c>
      <c r="J3532" t="s">
        <v>111</v>
      </c>
      <c r="K3532">
        <v>0</v>
      </c>
      <c r="L3532">
        <v>3</v>
      </c>
      <c r="M3532">
        <v>0</v>
      </c>
      <c r="N3532">
        <v>2</v>
      </c>
      <c r="O3532">
        <v>1</v>
      </c>
      <c r="P3532">
        <v>0</v>
      </c>
      <c r="Q3532">
        <v>0</v>
      </c>
      <c r="R3532" t="s">
        <v>112</v>
      </c>
      <c r="S3532" t="str">
        <f>"14:49:13.164"</f>
        <v>14:49:13.164</v>
      </c>
      <c r="T3532" t="str">
        <f>"14:49:12.664"</f>
        <v>14:49:12.664</v>
      </c>
      <c r="U3532" t="str">
        <f t="shared" si="165"/>
        <v>ad5732</v>
      </c>
      <c r="V3532">
        <v>0</v>
      </c>
      <c r="W3532">
        <v>0</v>
      </c>
      <c r="X3532">
        <v>1</v>
      </c>
      <c r="Z3532">
        <v>0</v>
      </c>
      <c r="AA3532">
        <v>9</v>
      </c>
      <c r="AB3532">
        <v>3</v>
      </c>
      <c r="AC3532">
        <v>0</v>
      </c>
      <c r="AD3532">
        <v>10</v>
      </c>
      <c r="AE3532">
        <v>0</v>
      </c>
      <c r="AF3532">
        <v>3</v>
      </c>
      <c r="AG3532">
        <v>2</v>
      </c>
      <c r="AH3532">
        <v>0</v>
      </c>
      <c r="AI3532" t="s">
        <v>6462</v>
      </c>
      <c r="AJ3532">
        <v>40.39705</v>
      </c>
      <c r="AK3532" t="s">
        <v>7130</v>
      </c>
      <c r="AL3532">
        <v>-74.543458999999999</v>
      </c>
      <c r="AM3532">
        <v>100</v>
      </c>
      <c r="AN3532">
        <v>1700</v>
      </c>
      <c r="AO3532" t="s">
        <v>115</v>
      </c>
      <c r="AP3532">
        <v>110</v>
      </c>
      <c r="AQ3532">
        <v>54</v>
      </c>
      <c r="AR3532">
        <v>0</v>
      </c>
      <c r="AZ3532">
        <v>3614</v>
      </c>
      <c r="BA3532">
        <v>1</v>
      </c>
      <c r="BB3532" t="str">
        <f t="shared" si="167"/>
        <v xml:space="preserve">N959MJ  </v>
      </c>
      <c r="BC3532">
        <v>1</v>
      </c>
      <c r="BE3532">
        <v>0</v>
      </c>
      <c r="BF3532">
        <v>0</v>
      </c>
      <c r="BG3532">
        <v>0</v>
      </c>
      <c r="BH3532">
        <v>1900</v>
      </c>
      <c r="BI3532">
        <v>200</v>
      </c>
      <c r="BJ3532">
        <v>1</v>
      </c>
      <c r="BK3532">
        <v>1</v>
      </c>
      <c r="BL3532">
        <v>1</v>
      </c>
      <c r="BM3532">
        <v>0</v>
      </c>
      <c r="BP3532">
        <v>0</v>
      </c>
      <c r="BQ3532">
        <v>0</v>
      </c>
      <c r="BX3532" t="str">
        <f>"14:49:13.164"</f>
        <v>14:49:13.164</v>
      </c>
      <c r="BY3532" t="str">
        <f>"164503842"</f>
        <v>164503842</v>
      </c>
      <c r="CL3532">
        <v>0</v>
      </c>
      <c r="CM3532">
        <v>2</v>
      </c>
      <c r="CN3532">
        <v>0</v>
      </c>
      <c r="CO3532">
        <v>2</v>
      </c>
      <c r="CP3532">
        <v>0</v>
      </c>
      <c r="CQ3532">
        <v>6</v>
      </c>
      <c r="CR3532" t="s">
        <v>116</v>
      </c>
      <c r="CS3532">
        <v>305</v>
      </c>
      <c r="CT3532">
        <v>3</v>
      </c>
      <c r="CU3532" t="s">
        <v>6425</v>
      </c>
      <c r="CV3532" t="s">
        <v>6426</v>
      </c>
      <c r="CY3532">
        <v>5867710</v>
      </c>
      <c r="CZ3532" t="s">
        <v>119</v>
      </c>
    </row>
    <row r="3533" spans="1:104" x14ac:dyDescent="0.25">
      <c r="A3533" t="str">
        <f>"14:49:14.336"</f>
        <v>14:49:14.336</v>
      </c>
      <c r="B3533" t="s">
        <v>108</v>
      </c>
      <c r="C3533" t="str">
        <f t="shared" si="166"/>
        <v>ffdfd3c0</v>
      </c>
      <c r="D3533" t="s">
        <v>109</v>
      </c>
      <c r="E3533">
        <v>4</v>
      </c>
      <c r="F3533">
        <v>1004</v>
      </c>
      <c r="G3533" t="s">
        <v>110</v>
      </c>
      <c r="J3533" t="s">
        <v>111</v>
      </c>
      <c r="K3533">
        <v>0</v>
      </c>
      <c r="L3533">
        <v>3</v>
      </c>
      <c r="M3533">
        <v>0</v>
      </c>
      <c r="N3533">
        <v>2</v>
      </c>
      <c r="O3533">
        <v>1</v>
      </c>
      <c r="P3533">
        <v>0</v>
      </c>
      <c r="Q3533">
        <v>0</v>
      </c>
      <c r="R3533" t="s">
        <v>112</v>
      </c>
      <c r="S3533" t="str">
        <f>"14:49:14.125"</f>
        <v>14:49:14.125</v>
      </c>
      <c r="T3533" t="str">
        <f>"14:49:13.625"</f>
        <v>14:49:13.625</v>
      </c>
      <c r="U3533" t="str">
        <f t="shared" si="165"/>
        <v>ad5732</v>
      </c>
      <c r="V3533">
        <v>0</v>
      </c>
      <c r="W3533">
        <v>0</v>
      </c>
      <c r="X3533">
        <v>1</v>
      </c>
      <c r="Z3533">
        <v>0</v>
      </c>
      <c r="AA3533">
        <v>9</v>
      </c>
      <c r="AB3533">
        <v>3</v>
      </c>
      <c r="AC3533">
        <v>0</v>
      </c>
      <c r="AD3533">
        <v>10</v>
      </c>
      <c r="AE3533">
        <v>0</v>
      </c>
      <c r="AF3533">
        <v>3</v>
      </c>
      <c r="AG3533">
        <v>2</v>
      </c>
      <c r="AH3533">
        <v>0</v>
      </c>
      <c r="AI3533" t="s">
        <v>6212</v>
      </c>
      <c r="AJ3533">
        <v>40.397286000000001</v>
      </c>
      <c r="AK3533" t="s">
        <v>7131</v>
      </c>
      <c r="AL3533">
        <v>-74.542794000000001</v>
      </c>
      <c r="AM3533">
        <v>100</v>
      </c>
      <c r="AN3533">
        <v>1700</v>
      </c>
      <c r="AO3533" t="s">
        <v>115</v>
      </c>
      <c r="AP3533">
        <v>111</v>
      </c>
      <c r="AQ3533">
        <v>52</v>
      </c>
      <c r="AR3533">
        <v>-64</v>
      </c>
      <c r="AZ3533">
        <v>3614</v>
      </c>
      <c r="BA3533">
        <v>1</v>
      </c>
      <c r="BB3533" t="str">
        <f t="shared" si="167"/>
        <v xml:space="preserve">N959MJ  </v>
      </c>
      <c r="BC3533">
        <v>1</v>
      </c>
      <c r="BE3533">
        <v>0</v>
      </c>
      <c r="BF3533">
        <v>0</v>
      </c>
      <c r="BG3533">
        <v>0</v>
      </c>
      <c r="BH3533">
        <v>1900</v>
      </c>
      <c r="BI3533">
        <v>200</v>
      </c>
      <c r="BJ3533">
        <v>1</v>
      </c>
      <c r="BK3533">
        <v>1</v>
      </c>
      <c r="BL3533">
        <v>1</v>
      </c>
      <c r="BM3533">
        <v>0</v>
      </c>
      <c r="BP3533">
        <v>0</v>
      </c>
      <c r="BQ3533">
        <v>0</v>
      </c>
      <c r="BX3533" t="str">
        <f>"14:49:14.133"</f>
        <v>14:49:14.133</v>
      </c>
      <c r="BY3533" t="str">
        <f>"129486935"</f>
        <v>129486935</v>
      </c>
      <c r="CL3533">
        <v>0</v>
      </c>
      <c r="CM3533">
        <v>2</v>
      </c>
      <c r="CN3533">
        <v>0</v>
      </c>
      <c r="CO3533">
        <v>2</v>
      </c>
      <c r="CP3533">
        <v>0</v>
      </c>
      <c r="CQ3533">
        <v>6</v>
      </c>
      <c r="CR3533" t="s">
        <v>116</v>
      </c>
      <c r="CS3533">
        <v>38</v>
      </c>
      <c r="CT3533">
        <v>0</v>
      </c>
      <c r="CU3533" t="s">
        <v>4719</v>
      </c>
      <c r="CV3533" t="s">
        <v>4720</v>
      </c>
      <c r="CY3533">
        <v>8018264</v>
      </c>
      <c r="CZ3533" t="s">
        <v>119</v>
      </c>
    </row>
    <row r="3534" spans="1:104" x14ac:dyDescent="0.25">
      <c r="A3534" t="str">
        <f>"14:49:15.297"</f>
        <v>14:49:15.297</v>
      </c>
      <c r="B3534" t="s">
        <v>108</v>
      </c>
      <c r="C3534" t="str">
        <f t="shared" si="166"/>
        <v>ffdfd3c0</v>
      </c>
      <c r="D3534" t="s">
        <v>109</v>
      </c>
      <c r="E3534">
        <v>4</v>
      </c>
      <c r="F3534">
        <v>1004</v>
      </c>
      <c r="G3534" t="s">
        <v>110</v>
      </c>
      <c r="J3534" t="s">
        <v>111</v>
      </c>
      <c r="K3534">
        <v>0</v>
      </c>
      <c r="L3534">
        <v>3</v>
      </c>
      <c r="M3534">
        <v>0</v>
      </c>
      <c r="N3534">
        <v>2</v>
      </c>
      <c r="O3534">
        <v>1</v>
      </c>
      <c r="P3534">
        <v>0</v>
      </c>
      <c r="Q3534">
        <v>0</v>
      </c>
      <c r="R3534" t="s">
        <v>112</v>
      </c>
      <c r="S3534" t="str">
        <f>"14:49:15.094"</f>
        <v>14:49:15.094</v>
      </c>
      <c r="T3534" t="str">
        <f>"14:49:14.695"</f>
        <v>14:49:14.695</v>
      </c>
      <c r="U3534" t="str">
        <f t="shared" si="165"/>
        <v>ad5732</v>
      </c>
      <c r="V3534">
        <v>0</v>
      </c>
      <c r="W3534">
        <v>0</v>
      </c>
      <c r="X3534">
        <v>1</v>
      </c>
      <c r="Z3534">
        <v>0</v>
      </c>
      <c r="AA3534">
        <v>9</v>
      </c>
      <c r="AB3534">
        <v>3</v>
      </c>
      <c r="AC3534">
        <v>0</v>
      </c>
      <c r="AD3534">
        <v>10</v>
      </c>
      <c r="AE3534">
        <v>0</v>
      </c>
      <c r="AF3534">
        <v>3</v>
      </c>
      <c r="AG3534">
        <v>2</v>
      </c>
      <c r="AH3534">
        <v>0</v>
      </c>
      <c r="AI3534" t="s">
        <v>7132</v>
      </c>
      <c r="AJ3534">
        <v>40.397480000000002</v>
      </c>
      <c r="AK3534" t="s">
        <v>7133</v>
      </c>
      <c r="AL3534">
        <v>-74.542171999999994</v>
      </c>
      <c r="AM3534">
        <v>100</v>
      </c>
      <c r="AN3534">
        <v>1700</v>
      </c>
      <c r="AO3534" t="s">
        <v>115</v>
      </c>
      <c r="AP3534">
        <v>112</v>
      </c>
      <c r="AQ3534">
        <v>49</v>
      </c>
      <c r="AR3534">
        <v>-64</v>
      </c>
      <c r="AZ3534">
        <v>3614</v>
      </c>
      <c r="BA3534">
        <v>1</v>
      </c>
      <c r="BB3534" t="str">
        <f t="shared" si="167"/>
        <v xml:space="preserve">N959MJ  </v>
      </c>
      <c r="BC3534">
        <v>1</v>
      </c>
      <c r="BE3534">
        <v>0</v>
      </c>
      <c r="BF3534">
        <v>0</v>
      </c>
      <c r="BG3534">
        <v>0</v>
      </c>
      <c r="BH3534">
        <v>1900</v>
      </c>
      <c r="BI3534">
        <v>200</v>
      </c>
      <c r="BJ3534">
        <v>1</v>
      </c>
      <c r="BK3534">
        <v>1</v>
      </c>
      <c r="BL3534">
        <v>1</v>
      </c>
      <c r="BM3534">
        <v>0</v>
      </c>
      <c r="BP3534">
        <v>0</v>
      </c>
      <c r="BQ3534">
        <v>0</v>
      </c>
      <c r="BX3534" t="str">
        <f>"14:49:15.094"</f>
        <v>14:49:15.094</v>
      </c>
      <c r="BY3534" t="str">
        <f>"094572547"</f>
        <v>094572547</v>
      </c>
      <c r="CL3534">
        <v>0</v>
      </c>
      <c r="CM3534">
        <v>2</v>
      </c>
      <c r="CN3534">
        <v>0</v>
      </c>
      <c r="CO3534">
        <v>2</v>
      </c>
      <c r="CP3534">
        <v>0</v>
      </c>
      <c r="CQ3534">
        <v>6</v>
      </c>
      <c r="CR3534" t="s">
        <v>116</v>
      </c>
      <c r="CS3534">
        <v>305</v>
      </c>
      <c r="CT3534">
        <v>3</v>
      </c>
      <c r="CU3534" t="s">
        <v>6425</v>
      </c>
      <c r="CV3534" t="s">
        <v>6426</v>
      </c>
      <c r="CY3534">
        <v>5871425</v>
      </c>
      <c r="CZ3534" t="s">
        <v>119</v>
      </c>
    </row>
    <row r="3535" spans="1:104" x14ac:dyDescent="0.25">
      <c r="A3535" t="str">
        <f>"14:49:16.211"</f>
        <v>14:49:16.211</v>
      </c>
      <c r="B3535" t="s">
        <v>108</v>
      </c>
      <c r="C3535" t="str">
        <f t="shared" si="166"/>
        <v>ffdfd3c0</v>
      </c>
      <c r="D3535" t="s">
        <v>109</v>
      </c>
      <c r="E3535">
        <v>4</v>
      </c>
      <c r="F3535">
        <v>1004</v>
      </c>
      <c r="G3535" t="s">
        <v>110</v>
      </c>
      <c r="J3535" t="s">
        <v>111</v>
      </c>
      <c r="K3535">
        <v>0</v>
      </c>
      <c r="L3535">
        <v>3</v>
      </c>
      <c r="M3535">
        <v>0</v>
      </c>
      <c r="N3535">
        <v>2</v>
      </c>
      <c r="O3535">
        <v>1</v>
      </c>
      <c r="P3535">
        <v>0</v>
      </c>
      <c r="Q3535">
        <v>0</v>
      </c>
      <c r="R3535" t="s">
        <v>112</v>
      </c>
      <c r="S3535" t="str">
        <f>"14:49:16.047"</f>
        <v>14:49:16.047</v>
      </c>
      <c r="T3535" t="str">
        <f>"14:49:15.547"</f>
        <v>14:49:15.547</v>
      </c>
      <c r="U3535" t="str">
        <f t="shared" si="165"/>
        <v>ad5732</v>
      </c>
      <c r="V3535">
        <v>0</v>
      </c>
      <c r="W3535">
        <v>0</v>
      </c>
      <c r="X3535">
        <v>1</v>
      </c>
      <c r="Z3535">
        <v>0</v>
      </c>
      <c r="AA3535">
        <v>9</v>
      </c>
      <c r="AB3535">
        <v>3</v>
      </c>
      <c r="AC3535">
        <v>0</v>
      </c>
      <c r="AD3535">
        <v>10</v>
      </c>
      <c r="AE3535">
        <v>0</v>
      </c>
      <c r="AF3535">
        <v>3</v>
      </c>
      <c r="AG3535">
        <v>2</v>
      </c>
      <c r="AH3535">
        <v>0</v>
      </c>
      <c r="AI3535" t="s">
        <v>7134</v>
      </c>
      <c r="AJ3535">
        <v>40.397716000000003</v>
      </c>
      <c r="AK3535" t="s">
        <v>7135</v>
      </c>
      <c r="AL3535">
        <v>-74.541484999999994</v>
      </c>
      <c r="AM3535">
        <v>100</v>
      </c>
      <c r="AN3535">
        <v>1700</v>
      </c>
      <c r="AO3535" t="s">
        <v>115</v>
      </c>
      <c r="AP3535">
        <v>112</v>
      </c>
      <c r="AQ3535">
        <v>47</v>
      </c>
      <c r="AR3535">
        <v>-64</v>
      </c>
      <c r="AZ3535">
        <v>3614</v>
      </c>
      <c r="BA3535">
        <v>1</v>
      </c>
      <c r="BB3535" t="str">
        <f t="shared" si="167"/>
        <v xml:space="preserve">N959MJ  </v>
      </c>
      <c r="BC3535">
        <v>1</v>
      </c>
      <c r="BE3535">
        <v>0</v>
      </c>
      <c r="BF3535">
        <v>0</v>
      </c>
      <c r="BG3535">
        <v>0</v>
      </c>
      <c r="BH3535">
        <v>1875</v>
      </c>
      <c r="BI3535">
        <v>175</v>
      </c>
      <c r="BJ3535">
        <v>1</v>
      </c>
      <c r="BK3535">
        <v>1</v>
      </c>
      <c r="BL3535">
        <v>1</v>
      </c>
      <c r="BM3535">
        <v>0</v>
      </c>
      <c r="BP3535">
        <v>0</v>
      </c>
      <c r="BQ3535">
        <v>0</v>
      </c>
      <c r="BX3535" t="str">
        <f>"14:49:16.047"</f>
        <v>14:49:16.047</v>
      </c>
      <c r="BY3535" t="str">
        <f>"048137851"</f>
        <v>048137851</v>
      </c>
      <c r="CL3535">
        <v>0</v>
      </c>
      <c r="CM3535">
        <v>2</v>
      </c>
      <c r="CN3535">
        <v>0</v>
      </c>
      <c r="CO3535">
        <v>2</v>
      </c>
      <c r="CP3535">
        <v>0</v>
      </c>
      <c r="CQ3535">
        <v>6</v>
      </c>
      <c r="CR3535" t="s">
        <v>116</v>
      </c>
      <c r="CS3535">
        <v>305</v>
      </c>
      <c r="CT3535">
        <v>3</v>
      </c>
      <c r="CU3535" t="s">
        <v>6425</v>
      </c>
      <c r="CV3535" t="s">
        <v>6426</v>
      </c>
      <c r="CY3535">
        <v>5873384</v>
      </c>
      <c r="CZ3535" t="s">
        <v>119</v>
      </c>
    </row>
    <row r="3536" spans="1:104" x14ac:dyDescent="0.25">
      <c r="A3536" t="str">
        <f>"14:49:17.672"</f>
        <v>14:49:17.672</v>
      </c>
      <c r="B3536" t="s">
        <v>108</v>
      </c>
      <c r="C3536" t="str">
        <f t="shared" si="166"/>
        <v>ffdfd3c0</v>
      </c>
      <c r="D3536" t="s">
        <v>109</v>
      </c>
      <c r="E3536">
        <v>4</v>
      </c>
      <c r="F3536">
        <v>1004</v>
      </c>
      <c r="G3536" t="s">
        <v>110</v>
      </c>
      <c r="J3536" t="s">
        <v>111</v>
      </c>
      <c r="K3536">
        <v>0</v>
      </c>
      <c r="L3536">
        <v>3</v>
      </c>
      <c r="M3536">
        <v>0</v>
      </c>
      <c r="N3536">
        <v>2</v>
      </c>
      <c r="O3536">
        <v>1</v>
      </c>
      <c r="P3536">
        <v>0</v>
      </c>
      <c r="Q3536">
        <v>0</v>
      </c>
      <c r="R3536" t="s">
        <v>112</v>
      </c>
      <c r="S3536" t="str">
        <f>"14:49:17.492"</f>
        <v>14:49:17.492</v>
      </c>
      <c r="T3536" t="str">
        <f>"14:49:17.094"</f>
        <v>14:49:17.094</v>
      </c>
      <c r="U3536" t="str">
        <f t="shared" si="165"/>
        <v>ad5732</v>
      </c>
      <c r="V3536">
        <v>0</v>
      </c>
      <c r="W3536">
        <v>0</v>
      </c>
      <c r="X3536">
        <v>1</v>
      </c>
      <c r="Z3536">
        <v>0</v>
      </c>
      <c r="AA3536">
        <v>9</v>
      </c>
      <c r="AB3536">
        <v>3</v>
      </c>
      <c r="AC3536">
        <v>0</v>
      </c>
      <c r="AD3536">
        <v>10</v>
      </c>
      <c r="AE3536">
        <v>0</v>
      </c>
      <c r="AF3536">
        <v>3</v>
      </c>
      <c r="AG3536">
        <v>2</v>
      </c>
      <c r="AH3536">
        <v>0</v>
      </c>
      <c r="AI3536" t="s">
        <v>7136</v>
      </c>
      <c r="AJ3536">
        <v>40.397995000000002</v>
      </c>
      <c r="AK3536" t="s">
        <v>7137</v>
      </c>
      <c r="AL3536">
        <v>-74.540541000000005</v>
      </c>
      <c r="AM3536">
        <v>100</v>
      </c>
      <c r="AN3536">
        <v>1700</v>
      </c>
      <c r="AO3536" t="s">
        <v>115</v>
      </c>
      <c r="AP3536">
        <v>113</v>
      </c>
      <c r="AQ3536">
        <v>45</v>
      </c>
      <c r="AR3536">
        <v>0</v>
      </c>
      <c r="AZ3536">
        <v>3614</v>
      </c>
      <c r="BA3536">
        <v>1</v>
      </c>
      <c r="BB3536" t="str">
        <f t="shared" si="167"/>
        <v xml:space="preserve">N959MJ  </v>
      </c>
      <c r="BC3536">
        <v>1</v>
      </c>
      <c r="BE3536">
        <v>0</v>
      </c>
      <c r="BF3536">
        <v>0</v>
      </c>
      <c r="BG3536">
        <v>0</v>
      </c>
      <c r="BH3536">
        <v>1875</v>
      </c>
      <c r="BI3536">
        <v>175</v>
      </c>
      <c r="BJ3536">
        <v>1</v>
      </c>
      <c r="BK3536">
        <v>1</v>
      </c>
      <c r="BL3536">
        <v>1</v>
      </c>
      <c r="BM3536">
        <v>0</v>
      </c>
      <c r="BP3536">
        <v>0</v>
      </c>
      <c r="BQ3536">
        <v>0</v>
      </c>
      <c r="BX3536" t="str">
        <f>"14:49:17.500"</f>
        <v>14:49:17.500</v>
      </c>
      <c r="BY3536" t="str">
        <f>"496508581"</f>
        <v>496508581</v>
      </c>
      <c r="CL3536">
        <v>0</v>
      </c>
      <c r="CM3536">
        <v>2</v>
      </c>
      <c r="CN3536">
        <v>0</v>
      </c>
      <c r="CO3536">
        <v>2</v>
      </c>
      <c r="CP3536">
        <v>0</v>
      </c>
      <c r="CQ3536">
        <v>6</v>
      </c>
      <c r="CR3536" t="s">
        <v>116</v>
      </c>
      <c r="CS3536">
        <v>305</v>
      </c>
      <c r="CT3536">
        <v>3</v>
      </c>
      <c r="CU3536" t="s">
        <v>6425</v>
      </c>
      <c r="CV3536" t="s">
        <v>6426</v>
      </c>
      <c r="CY3536">
        <v>5876387</v>
      </c>
      <c r="CZ3536" t="s">
        <v>119</v>
      </c>
    </row>
    <row r="3537" spans="1:104" x14ac:dyDescent="0.25">
      <c r="A3537" t="str">
        <f>"14:49:18.680"</f>
        <v>14:49:18.680</v>
      </c>
      <c r="B3537" t="s">
        <v>108</v>
      </c>
      <c r="C3537" t="str">
        <f t="shared" si="166"/>
        <v>ffdfd3c0</v>
      </c>
      <c r="D3537" t="s">
        <v>109</v>
      </c>
      <c r="E3537">
        <v>4</v>
      </c>
      <c r="F3537">
        <v>1004</v>
      </c>
      <c r="G3537" t="s">
        <v>110</v>
      </c>
      <c r="J3537" t="s">
        <v>111</v>
      </c>
      <c r="K3537">
        <v>0</v>
      </c>
      <c r="L3537">
        <v>3</v>
      </c>
      <c r="M3537">
        <v>0</v>
      </c>
      <c r="N3537">
        <v>2</v>
      </c>
      <c r="O3537">
        <v>1</v>
      </c>
      <c r="P3537">
        <v>0</v>
      </c>
      <c r="Q3537">
        <v>0</v>
      </c>
      <c r="R3537" t="s">
        <v>112</v>
      </c>
      <c r="S3537" t="str">
        <f>"14:49:18.523"</f>
        <v>14:49:18.523</v>
      </c>
      <c r="T3537" t="str">
        <f>"14:49:18.023"</f>
        <v>14:49:18.023</v>
      </c>
      <c r="U3537" t="str">
        <f t="shared" si="165"/>
        <v>ad5732</v>
      </c>
      <c r="V3537">
        <v>0</v>
      </c>
      <c r="W3537">
        <v>0</v>
      </c>
      <c r="X3537">
        <v>1</v>
      </c>
      <c r="Z3537">
        <v>0</v>
      </c>
      <c r="AA3537">
        <v>9</v>
      </c>
      <c r="AB3537">
        <v>3</v>
      </c>
      <c r="AC3537">
        <v>0</v>
      </c>
      <c r="AD3537">
        <v>10</v>
      </c>
      <c r="AE3537">
        <v>0</v>
      </c>
      <c r="AF3537">
        <v>3</v>
      </c>
      <c r="AG3537">
        <v>2</v>
      </c>
      <c r="AH3537">
        <v>0</v>
      </c>
      <c r="AI3537" t="s">
        <v>6440</v>
      </c>
      <c r="AJ3537">
        <v>40.398166000000003</v>
      </c>
      <c r="AK3537" t="s">
        <v>7138</v>
      </c>
      <c r="AL3537">
        <v>-74.539811999999998</v>
      </c>
      <c r="AM3537">
        <v>100</v>
      </c>
      <c r="AN3537">
        <v>1700</v>
      </c>
      <c r="AO3537" t="s">
        <v>115</v>
      </c>
      <c r="AP3537">
        <v>114</v>
      </c>
      <c r="AQ3537">
        <v>43</v>
      </c>
      <c r="AR3537">
        <v>0</v>
      </c>
      <c r="AZ3537">
        <v>3614</v>
      </c>
      <c r="BA3537">
        <v>1</v>
      </c>
      <c r="BB3537" t="str">
        <f t="shared" si="167"/>
        <v xml:space="preserve">N959MJ  </v>
      </c>
      <c r="BC3537">
        <v>1</v>
      </c>
      <c r="BE3537">
        <v>0</v>
      </c>
      <c r="BF3537">
        <v>0</v>
      </c>
      <c r="BG3537">
        <v>0</v>
      </c>
      <c r="BH3537">
        <v>1875</v>
      </c>
      <c r="BI3537">
        <v>175</v>
      </c>
      <c r="BJ3537">
        <v>1</v>
      </c>
      <c r="BK3537">
        <v>1</v>
      </c>
      <c r="BL3537">
        <v>1</v>
      </c>
      <c r="BM3537">
        <v>0</v>
      </c>
      <c r="BP3537">
        <v>0</v>
      </c>
      <c r="BQ3537">
        <v>0</v>
      </c>
      <c r="BX3537" t="str">
        <f>"14:49:18.523"</f>
        <v>14:49:18.523</v>
      </c>
      <c r="BY3537" t="str">
        <f>"523803195"</f>
        <v>523803195</v>
      </c>
      <c r="CL3537">
        <v>0</v>
      </c>
      <c r="CM3537">
        <v>2</v>
      </c>
      <c r="CN3537">
        <v>0</v>
      </c>
      <c r="CO3537">
        <v>2</v>
      </c>
      <c r="CP3537">
        <v>0</v>
      </c>
      <c r="CQ3537">
        <v>6</v>
      </c>
      <c r="CR3537" t="s">
        <v>116</v>
      </c>
      <c r="CS3537">
        <v>305</v>
      </c>
      <c r="CT3537">
        <v>3</v>
      </c>
      <c r="CU3537" t="s">
        <v>6425</v>
      </c>
      <c r="CV3537" t="s">
        <v>6426</v>
      </c>
      <c r="CY3537">
        <v>5878390</v>
      </c>
      <c r="CZ3537" t="s">
        <v>119</v>
      </c>
    </row>
    <row r="3538" spans="1:104" x14ac:dyDescent="0.25">
      <c r="A3538" t="str">
        <f>"14:49:19.688"</f>
        <v>14:49:19.688</v>
      </c>
      <c r="B3538" t="s">
        <v>108</v>
      </c>
      <c r="C3538" t="str">
        <f t="shared" si="166"/>
        <v>ffdfd3c0</v>
      </c>
      <c r="D3538" t="s">
        <v>109</v>
      </c>
      <c r="E3538">
        <v>4</v>
      </c>
      <c r="F3538">
        <v>1004</v>
      </c>
      <c r="G3538" t="s">
        <v>110</v>
      </c>
      <c r="J3538" t="s">
        <v>111</v>
      </c>
      <c r="K3538">
        <v>0</v>
      </c>
      <c r="L3538">
        <v>3</v>
      </c>
      <c r="M3538">
        <v>0</v>
      </c>
      <c r="N3538">
        <v>2</v>
      </c>
      <c r="O3538">
        <v>1</v>
      </c>
      <c r="P3538">
        <v>0</v>
      </c>
      <c r="Q3538">
        <v>0</v>
      </c>
      <c r="R3538" t="s">
        <v>112</v>
      </c>
      <c r="S3538" t="str">
        <f>"14:49:19.484"</f>
        <v>14:49:19.484</v>
      </c>
      <c r="T3538" t="str">
        <f>"14:49:18.984"</f>
        <v>14:49:18.984</v>
      </c>
      <c r="U3538" t="str">
        <f t="shared" si="165"/>
        <v>ad5732</v>
      </c>
      <c r="V3538">
        <v>0</v>
      </c>
      <c r="W3538">
        <v>0</v>
      </c>
      <c r="X3538">
        <v>1</v>
      </c>
      <c r="Z3538">
        <v>0</v>
      </c>
      <c r="AA3538">
        <v>9</v>
      </c>
      <c r="AB3538">
        <v>3</v>
      </c>
      <c r="AC3538">
        <v>0</v>
      </c>
      <c r="AD3538">
        <v>10</v>
      </c>
      <c r="AE3538">
        <v>0</v>
      </c>
      <c r="AF3538">
        <v>3</v>
      </c>
      <c r="AG3538">
        <v>2</v>
      </c>
      <c r="AH3538">
        <v>0</v>
      </c>
      <c r="AI3538" t="s">
        <v>7139</v>
      </c>
      <c r="AJ3538">
        <v>40.398358999999999</v>
      </c>
      <c r="AK3538" t="s">
        <v>7140</v>
      </c>
      <c r="AL3538">
        <v>-74.539124999999999</v>
      </c>
      <c r="AM3538">
        <v>100</v>
      </c>
      <c r="AN3538">
        <v>1700</v>
      </c>
      <c r="AO3538" t="s">
        <v>115</v>
      </c>
      <c r="AP3538">
        <v>114</v>
      </c>
      <c r="AQ3538">
        <v>42</v>
      </c>
      <c r="AR3538">
        <v>0</v>
      </c>
      <c r="AZ3538">
        <v>3614</v>
      </c>
      <c r="BA3538">
        <v>1</v>
      </c>
      <c r="BB3538" t="str">
        <f t="shared" si="167"/>
        <v xml:space="preserve">N959MJ  </v>
      </c>
      <c r="BC3538">
        <v>1</v>
      </c>
      <c r="BE3538">
        <v>0</v>
      </c>
      <c r="BF3538">
        <v>0</v>
      </c>
      <c r="BG3538">
        <v>0</v>
      </c>
      <c r="BH3538">
        <v>1875</v>
      </c>
      <c r="BI3538">
        <v>175</v>
      </c>
      <c r="BJ3538">
        <v>1</v>
      </c>
      <c r="BK3538">
        <v>1</v>
      </c>
      <c r="BL3538">
        <v>1</v>
      </c>
      <c r="BM3538">
        <v>0</v>
      </c>
      <c r="BP3538">
        <v>0</v>
      </c>
      <c r="BQ3538">
        <v>0</v>
      </c>
      <c r="BX3538" t="str">
        <f>"14:49:19.484"</f>
        <v>14:49:19.484</v>
      </c>
      <c r="BY3538" t="str">
        <f>"485560741"</f>
        <v>485560741</v>
      </c>
      <c r="CL3538">
        <v>0</v>
      </c>
      <c r="CM3538">
        <v>2</v>
      </c>
      <c r="CN3538">
        <v>0</v>
      </c>
      <c r="CO3538">
        <v>2</v>
      </c>
      <c r="CP3538">
        <v>0</v>
      </c>
      <c r="CQ3538">
        <v>6</v>
      </c>
      <c r="CR3538" t="s">
        <v>116</v>
      </c>
      <c r="CS3538">
        <v>305</v>
      </c>
      <c r="CT3538">
        <v>3</v>
      </c>
      <c r="CU3538" t="s">
        <v>6425</v>
      </c>
      <c r="CV3538" t="s">
        <v>6426</v>
      </c>
      <c r="CY3538">
        <v>5880242</v>
      </c>
      <c r="CZ3538" t="s">
        <v>119</v>
      </c>
    </row>
    <row r="3539" spans="1:104" x14ac:dyDescent="0.25">
      <c r="A3539" t="str">
        <f>"14:49:20.750"</f>
        <v>14:49:20.750</v>
      </c>
      <c r="B3539" t="s">
        <v>108</v>
      </c>
      <c r="C3539" t="str">
        <f t="shared" si="166"/>
        <v>ffdfd3c0</v>
      </c>
      <c r="D3539" t="s">
        <v>109</v>
      </c>
      <c r="E3539">
        <v>4</v>
      </c>
      <c r="F3539">
        <v>1004</v>
      </c>
      <c r="G3539" t="s">
        <v>110</v>
      </c>
      <c r="J3539" t="s">
        <v>111</v>
      </c>
      <c r="K3539">
        <v>0</v>
      </c>
      <c r="L3539">
        <v>3</v>
      </c>
      <c r="M3539">
        <v>0</v>
      </c>
      <c r="N3539">
        <v>2</v>
      </c>
      <c r="O3539">
        <v>1</v>
      </c>
      <c r="P3539">
        <v>0</v>
      </c>
      <c r="Q3539">
        <v>0</v>
      </c>
      <c r="R3539" t="s">
        <v>112</v>
      </c>
      <c r="S3539" t="str">
        <f>"14:49:20.555"</f>
        <v>14:49:20.555</v>
      </c>
      <c r="T3539" t="str">
        <f>"14:49:20.055"</f>
        <v>14:49:20.055</v>
      </c>
      <c r="U3539" t="str">
        <f t="shared" si="165"/>
        <v>ad5732</v>
      </c>
      <c r="V3539">
        <v>0</v>
      </c>
      <c r="W3539">
        <v>0</v>
      </c>
      <c r="X3539">
        <v>1</v>
      </c>
      <c r="Z3539">
        <v>0</v>
      </c>
      <c r="AA3539">
        <v>9</v>
      </c>
      <c r="AB3539">
        <v>3</v>
      </c>
      <c r="AC3539">
        <v>0</v>
      </c>
      <c r="AD3539">
        <v>10</v>
      </c>
      <c r="AE3539">
        <v>0</v>
      </c>
      <c r="AF3539">
        <v>3</v>
      </c>
      <c r="AG3539">
        <v>2</v>
      </c>
      <c r="AH3539">
        <v>0</v>
      </c>
      <c r="AI3539" t="s">
        <v>6216</v>
      </c>
      <c r="AJ3539">
        <v>40.398595</v>
      </c>
      <c r="AK3539" t="s">
        <v>7141</v>
      </c>
      <c r="AL3539">
        <v>-74.538394999999994</v>
      </c>
      <c r="AM3539">
        <v>100</v>
      </c>
      <c r="AN3539">
        <v>1700</v>
      </c>
      <c r="AO3539" t="s">
        <v>115</v>
      </c>
      <c r="AP3539">
        <v>114</v>
      </c>
      <c r="AQ3539">
        <v>41</v>
      </c>
      <c r="AR3539">
        <v>64</v>
      </c>
      <c r="AZ3539">
        <v>3614</v>
      </c>
      <c r="BA3539">
        <v>1</v>
      </c>
      <c r="BB3539" t="str">
        <f t="shared" si="167"/>
        <v xml:space="preserve">N959MJ  </v>
      </c>
      <c r="BC3539">
        <v>1</v>
      </c>
      <c r="BE3539">
        <v>0</v>
      </c>
      <c r="BF3539">
        <v>0</v>
      </c>
      <c r="BG3539">
        <v>0</v>
      </c>
      <c r="BH3539">
        <v>1875</v>
      </c>
      <c r="BI3539">
        <v>175</v>
      </c>
      <c r="BJ3539">
        <v>1</v>
      </c>
      <c r="BK3539">
        <v>1</v>
      </c>
      <c r="BL3539">
        <v>1</v>
      </c>
      <c r="BM3539">
        <v>0</v>
      </c>
      <c r="BP3539">
        <v>0</v>
      </c>
      <c r="BQ3539">
        <v>0</v>
      </c>
      <c r="BX3539" t="str">
        <f>"14:49:20.563"</f>
        <v>14:49:20.563</v>
      </c>
      <c r="BY3539" t="str">
        <f>"562008260"</f>
        <v>562008260</v>
      </c>
      <c r="CL3539">
        <v>0</v>
      </c>
      <c r="CM3539">
        <v>2</v>
      </c>
      <c r="CN3539">
        <v>0</v>
      </c>
      <c r="CO3539">
        <v>2</v>
      </c>
      <c r="CP3539">
        <v>0</v>
      </c>
      <c r="CQ3539">
        <v>6</v>
      </c>
      <c r="CR3539" t="s">
        <v>116</v>
      </c>
      <c r="CS3539">
        <v>305</v>
      </c>
      <c r="CT3539">
        <v>3</v>
      </c>
      <c r="CU3539" t="s">
        <v>6425</v>
      </c>
      <c r="CV3539" t="s">
        <v>6426</v>
      </c>
      <c r="CY3539">
        <v>5882493</v>
      </c>
      <c r="CZ3539" t="s">
        <v>119</v>
      </c>
    </row>
    <row r="3540" spans="1:104" x14ac:dyDescent="0.25">
      <c r="A3540" t="str">
        <f>"14:49:21.664"</f>
        <v>14:49:21.664</v>
      </c>
      <c r="B3540" t="s">
        <v>108</v>
      </c>
      <c r="C3540" t="str">
        <f t="shared" si="166"/>
        <v>ffdfd3c0</v>
      </c>
      <c r="D3540" t="s">
        <v>109</v>
      </c>
      <c r="E3540">
        <v>4</v>
      </c>
      <c r="F3540">
        <v>1004</v>
      </c>
      <c r="G3540" t="s">
        <v>110</v>
      </c>
      <c r="J3540" t="s">
        <v>111</v>
      </c>
      <c r="K3540">
        <v>0</v>
      </c>
      <c r="L3540">
        <v>3</v>
      </c>
      <c r="M3540">
        <v>0</v>
      </c>
      <c r="N3540">
        <v>2</v>
      </c>
      <c r="O3540">
        <v>1</v>
      </c>
      <c r="P3540">
        <v>0</v>
      </c>
      <c r="Q3540">
        <v>0</v>
      </c>
      <c r="R3540" t="s">
        <v>112</v>
      </c>
      <c r="S3540" t="str">
        <f>"14:49:21.484"</f>
        <v>14:49:21.484</v>
      </c>
      <c r="T3540" t="str">
        <f>"14:49:21.086"</f>
        <v>14:49:21.086</v>
      </c>
      <c r="U3540" t="str">
        <f t="shared" si="165"/>
        <v>ad5732</v>
      </c>
      <c r="V3540">
        <v>0</v>
      </c>
      <c r="W3540">
        <v>0</v>
      </c>
      <c r="X3540">
        <v>1</v>
      </c>
      <c r="Z3540">
        <v>0</v>
      </c>
      <c r="AA3540">
        <v>9</v>
      </c>
      <c r="AB3540">
        <v>3</v>
      </c>
      <c r="AC3540">
        <v>0</v>
      </c>
      <c r="AD3540">
        <v>10</v>
      </c>
      <c r="AE3540">
        <v>0</v>
      </c>
      <c r="AF3540">
        <v>3</v>
      </c>
      <c r="AG3540">
        <v>2</v>
      </c>
      <c r="AH3540">
        <v>0</v>
      </c>
      <c r="AI3540" t="s">
        <v>6429</v>
      </c>
      <c r="AJ3540">
        <v>40.398766999999999</v>
      </c>
      <c r="AK3540" t="s">
        <v>7142</v>
      </c>
      <c r="AL3540">
        <v>-74.537751999999998</v>
      </c>
      <c r="AM3540">
        <v>100</v>
      </c>
      <c r="AN3540">
        <v>1700</v>
      </c>
      <c r="AO3540" t="s">
        <v>115</v>
      </c>
      <c r="AP3540">
        <v>114</v>
      </c>
      <c r="AQ3540">
        <v>41</v>
      </c>
      <c r="AR3540">
        <v>64</v>
      </c>
      <c r="AZ3540">
        <v>3614</v>
      </c>
      <c r="BA3540">
        <v>1</v>
      </c>
      <c r="BB3540" t="str">
        <f t="shared" si="167"/>
        <v xml:space="preserve">N959MJ  </v>
      </c>
      <c r="BC3540">
        <v>1</v>
      </c>
      <c r="BE3540">
        <v>0</v>
      </c>
      <c r="BF3540">
        <v>0</v>
      </c>
      <c r="BG3540">
        <v>0</v>
      </c>
      <c r="BH3540">
        <v>1875</v>
      </c>
      <c r="BI3540">
        <v>175</v>
      </c>
      <c r="BJ3540">
        <v>1</v>
      </c>
      <c r="BK3540">
        <v>1</v>
      </c>
      <c r="BL3540">
        <v>1</v>
      </c>
      <c r="BM3540">
        <v>0</v>
      </c>
      <c r="BP3540">
        <v>0</v>
      </c>
      <c r="BQ3540">
        <v>0</v>
      </c>
      <c r="BX3540" t="str">
        <f>"14:49:21.492"</f>
        <v>14:49:21.492</v>
      </c>
      <c r="BY3540" t="str">
        <f>"490997084"</f>
        <v>490997084</v>
      </c>
      <c r="CL3540">
        <v>0</v>
      </c>
      <c r="CM3540">
        <v>2</v>
      </c>
      <c r="CN3540">
        <v>0</v>
      </c>
      <c r="CO3540">
        <v>2</v>
      </c>
      <c r="CP3540">
        <v>0</v>
      </c>
      <c r="CQ3540">
        <v>6</v>
      </c>
      <c r="CR3540" t="s">
        <v>116</v>
      </c>
      <c r="CS3540">
        <v>305</v>
      </c>
      <c r="CT3540">
        <v>3</v>
      </c>
      <c r="CU3540" t="s">
        <v>6425</v>
      </c>
      <c r="CV3540" t="s">
        <v>6426</v>
      </c>
      <c r="CY3540">
        <v>5884472</v>
      </c>
      <c r="CZ3540" t="s">
        <v>119</v>
      </c>
    </row>
    <row r="3541" spans="1:104" x14ac:dyDescent="0.25">
      <c r="A3541" t="str">
        <f>"14:49:22.672"</f>
        <v>14:49:22.672</v>
      </c>
      <c r="B3541" t="s">
        <v>108</v>
      </c>
      <c r="C3541" t="str">
        <f t="shared" si="166"/>
        <v>ffdfd3c0</v>
      </c>
      <c r="D3541" t="s">
        <v>109</v>
      </c>
      <c r="E3541">
        <v>4</v>
      </c>
      <c r="F3541">
        <v>1004</v>
      </c>
      <c r="G3541" t="s">
        <v>110</v>
      </c>
      <c r="J3541" t="s">
        <v>111</v>
      </c>
      <c r="K3541">
        <v>0</v>
      </c>
      <c r="L3541">
        <v>3</v>
      </c>
      <c r="M3541">
        <v>0</v>
      </c>
      <c r="N3541">
        <v>2</v>
      </c>
      <c r="O3541">
        <v>1</v>
      </c>
      <c r="P3541">
        <v>0</v>
      </c>
      <c r="Q3541">
        <v>0</v>
      </c>
      <c r="R3541" t="s">
        <v>112</v>
      </c>
      <c r="S3541" t="str">
        <f>"14:49:22.461"</f>
        <v>14:49:22.461</v>
      </c>
      <c r="T3541" t="str">
        <f>"14:49:22.063"</f>
        <v>14:49:22.063</v>
      </c>
      <c r="U3541" t="str">
        <f t="shared" si="165"/>
        <v>ad5732</v>
      </c>
      <c r="V3541">
        <v>0</v>
      </c>
      <c r="W3541">
        <v>0</v>
      </c>
      <c r="X3541">
        <v>1</v>
      </c>
      <c r="Z3541">
        <v>0</v>
      </c>
      <c r="AA3541">
        <v>9</v>
      </c>
      <c r="AB3541">
        <v>3</v>
      </c>
      <c r="AC3541">
        <v>0</v>
      </c>
      <c r="AD3541">
        <v>10</v>
      </c>
      <c r="AE3541">
        <v>0</v>
      </c>
      <c r="AF3541">
        <v>3</v>
      </c>
      <c r="AG3541">
        <v>2</v>
      </c>
      <c r="AH3541">
        <v>0</v>
      </c>
      <c r="AI3541" t="s">
        <v>7143</v>
      </c>
      <c r="AJ3541">
        <v>40.398960000000002</v>
      </c>
      <c r="AK3541" t="s">
        <v>7144</v>
      </c>
      <c r="AL3541">
        <v>-74.537064999999998</v>
      </c>
      <c r="AM3541">
        <v>100</v>
      </c>
      <c r="AN3541">
        <v>1700</v>
      </c>
      <c r="AO3541" t="s">
        <v>115</v>
      </c>
      <c r="AP3541">
        <v>114</v>
      </c>
      <c r="AQ3541">
        <v>41</v>
      </c>
      <c r="AR3541">
        <v>64</v>
      </c>
      <c r="AZ3541">
        <v>3614</v>
      </c>
      <c r="BA3541">
        <v>1</v>
      </c>
      <c r="BB3541" t="str">
        <f t="shared" si="167"/>
        <v xml:space="preserve">N959MJ  </v>
      </c>
      <c r="BC3541">
        <v>1</v>
      </c>
      <c r="BE3541">
        <v>0</v>
      </c>
      <c r="BF3541">
        <v>0</v>
      </c>
      <c r="BG3541">
        <v>0</v>
      </c>
      <c r="BH3541">
        <v>1900</v>
      </c>
      <c r="BI3541">
        <v>200</v>
      </c>
      <c r="BJ3541">
        <v>1</v>
      </c>
      <c r="BK3541">
        <v>1</v>
      </c>
      <c r="BL3541">
        <v>1</v>
      </c>
      <c r="BM3541">
        <v>0</v>
      </c>
      <c r="BP3541">
        <v>0</v>
      </c>
      <c r="BQ3541">
        <v>0</v>
      </c>
      <c r="BX3541" t="str">
        <f>"14:49:22.461"</f>
        <v>14:49:22.461</v>
      </c>
      <c r="BY3541" t="str">
        <f>"460946700"</f>
        <v>460946700</v>
      </c>
      <c r="CL3541">
        <v>0</v>
      </c>
      <c r="CM3541">
        <v>2</v>
      </c>
      <c r="CN3541">
        <v>0</v>
      </c>
      <c r="CO3541">
        <v>2</v>
      </c>
      <c r="CP3541">
        <v>0</v>
      </c>
      <c r="CQ3541">
        <v>6</v>
      </c>
      <c r="CR3541" t="s">
        <v>116</v>
      </c>
      <c r="CS3541">
        <v>305</v>
      </c>
      <c r="CT3541">
        <v>3</v>
      </c>
      <c r="CU3541" t="s">
        <v>6425</v>
      </c>
      <c r="CV3541" t="s">
        <v>6426</v>
      </c>
      <c r="CY3541">
        <v>5886491</v>
      </c>
      <c r="CZ3541" t="s">
        <v>119</v>
      </c>
    </row>
    <row r="3542" spans="1:104" x14ac:dyDescent="0.25">
      <c r="A3542" t="str">
        <f>"14:49:23.531"</f>
        <v>14:49:23.531</v>
      </c>
      <c r="B3542" t="s">
        <v>108</v>
      </c>
      <c r="C3542" t="str">
        <f t="shared" si="166"/>
        <v>ffdfd3c0</v>
      </c>
      <c r="D3542" t="s">
        <v>109</v>
      </c>
      <c r="E3542">
        <v>4</v>
      </c>
      <c r="F3542">
        <v>1004</v>
      </c>
      <c r="G3542" t="s">
        <v>110</v>
      </c>
      <c r="J3542" t="s">
        <v>111</v>
      </c>
      <c r="K3542">
        <v>0</v>
      </c>
      <c r="L3542">
        <v>3</v>
      </c>
      <c r="M3542">
        <v>0</v>
      </c>
      <c r="N3542">
        <v>2</v>
      </c>
      <c r="O3542">
        <v>1</v>
      </c>
      <c r="P3542">
        <v>0</v>
      </c>
      <c r="Q3542">
        <v>0</v>
      </c>
      <c r="R3542" t="s">
        <v>112</v>
      </c>
      <c r="S3542" t="str">
        <f>"14:49:23.328"</f>
        <v>14:49:23.328</v>
      </c>
      <c r="T3542" t="str">
        <f>"14:49:22.930"</f>
        <v>14:49:22.930</v>
      </c>
      <c r="U3542" t="str">
        <f t="shared" si="165"/>
        <v>ad5732</v>
      </c>
      <c r="V3542">
        <v>0</v>
      </c>
      <c r="W3542">
        <v>0</v>
      </c>
      <c r="X3542">
        <v>1</v>
      </c>
      <c r="Z3542">
        <v>0</v>
      </c>
      <c r="AA3542">
        <v>9</v>
      </c>
      <c r="AB3542">
        <v>3</v>
      </c>
      <c r="AC3542">
        <v>0</v>
      </c>
      <c r="AD3542">
        <v>10</v>
      </c>
      <c r="AE3542">
        <v>0</v>
      </c>
      <c r="AF3542">
        <v>3</v>
      </c>
      <c r="AG3542">
        <v>2</v>
      </c>
      <c r="AH3542">
        <v>0</v>
      </c>
      <c r="AI3542" t="s">
        <v>7145</v>
      </c>
      <c r="AJ3542">
        <v>40.39911</v>
      </c>
      <c r="AK3542" t="s">
        <v>7146</v>
      </c>
      <c r="AL3542">
        <v>-74.536443000000006</v>
      </c>
      <c r="AM3542">
        <v>100</v>
      </c>
      <c r="AN3542">
        <v>1700</v>
      </c>
      <c r="AO3542" t="s">
        <v>115</v>
      </c>
      <c r="AP3542">
        <v>114</v>
      </c>
      <c r="AQ3542">
        <v>40</v>
      </c>
      <c r="AR3542">
        <v>64</v>
      </c>
      <c r="AZ3542">
        <v>3614</v>
      </c>
      <c r="BA3542">
        <v>1</v>
      </c>
      <c r="BB3542" t="str">
        <f t="shared" si="167"/>
        <v xml:space="preserve">N959MJ  </v>
      </c>
      <c r="BC3542">
        <v>1</v>
      </c>
      <c r="BE3542">
        <v>0</v>
      </c>
      <c r="BF3542">
        <v>0</v>
      </c>
      <c r="BG3542">
        <v>0</v>
      </c>
      <c r="BH3542">
        <v>1900</v>
      </c>
      <c r="BI3542">
        <v>200</v>
      </c>
      <c r="BJ3542">
        <v>1</v>
      </c>
      <c r="BK3542">
        <v>1</v>
      </c>
      <c r="BL3542">
        <v>1</v>
      </c>
      <c r="BM3542">
        <v>0</v>
      </c>
      <c r="BP3542">
        <v>0</v>
      </c>
      <c r="BQ3542">
        <v>0</v>
      </c>
      <c r="BX3542" t="str">
        <f>"14:49:23.328"</f>
        <v>14:49:23.328</v>
      </c>
      <c r="BY3542" t="str">
        <f>"329313773"</f>
        <v>329313773</v>
      </c>
      <c r="CL3542">
        <v>0</v>
      </c>
      <c r="CM3542">
        <v>2</v>
      </c>
      <c r="CN3542">
        <v>0</v>
      </c>
      <c r="CO3542">
        <v>2</v>
      </c>
      <c r="CP3542">
        <v>0</v>
      </c>
      <c r="CQ3542">
        <v>6</v>
      </c>
      <c r="CR3542" t="s">
        <v>116</v>
      </c>
      <c r="CS3542">
        <v>305</v>
      </c>
      <c r="CT3542">
        <v>3</v>
      </c>
      <c r="CU3542" t="s">
        <v>6425</v>
      </c>
      <c r="CV3542" t="s">
        <v>6426</v>
      </c>
      <c r="CY3542">
        <v>5888190</v>
      </c>
      <c r="CZ3542" t="s">
        <v>119</v>
      </c>
    </row>
    <row r="3543" spans="1:104" x14ac:dyDescent="0.25">
      <c r="A3543" t="str">
        <f>"14:49:24.539"</f>
        <v>14:49:24.539</v>
      </c>
      <c r="B3543" t="s">
        <v>108</v>
      </c>
      <c r="C3543" t="str">
        <f t="shared" si="166"/>
        <v>ffdfd3c0</v>
      </c>
      <c r="D3543" t="s">
        <v>109</v>
      </c>
      <c r="E3543">
        <v>4</v>
      </c>
      <c r="F3543">
        <v>1004</v>
      </c>
      <c r="G3543" t="s">
        <v>110</v>
      </c>
      <c r="J3543" t="s">
        <v>111</v>
      </c>
      <c r="K3543">
        <v>0</v>
      </c>
      <c r="L3543">
        <v>3</v>
      </c>
      <c r="M3543">
        <v>0</v>
      </c>
      <c r="N3543">
        <v>2</v>
      </c>
      <c r="O3543">
        <v>1</v>
      </c>
      <c r="P3543">
        <v>0</v>
      </c>
      <c r="Q3543">
        <v>0</v>
      </c>
      <c r="R3543" t="s">
        <v>112</v>
      </c>
      <c r="S3543" t="str">
        <f>"14:49:24.328"</f>
        <v>14:49:24.328</v>
      </c>
      <c r="T3543" t="str">
        <f>"14:49:23.828"</f>
        <v>14:49:23.828</v>
      </c>
      <c r="U3543" t="str">
        <f t="shared" si="165"/>
        <v>ad5732</v>
      </c>
      <c r="V3543">
        <v>0</v>
      </c>
      <c r="W3543">
        <v>0</v>
      </c>
      <c r="X3543">
        <v>1</v>
      </c>
      <c r="Z3543">
        <v>0</v>
      </c>
      <c r="AA3543">
        <v>9</v>
      </c>
      <c r="AB3543">
        <v>3</v>
      </c>
      <c r="AC3543">
        <v>0</v>
      </c>
      <c r="AD3543">
        <v>10</v>
      </c>
      <c r="AE3543">
        <v>0</v>
      </c>
      <c r="AF3543">
        <v>3</v>
      </c>
      <c r="AG3543">
        <v>2</v>
      </c>
      <c r="AH3543">
        <v>0</v>
      </c>
      <c r="AI3543" t="s">
        <v>7147</v>
      </c>
      <c r="AJ3543">
        <v>40.399281999999999</v>
      </c>
      <c r="AK3543" t="s">
        <v>7148</v>
      </c>
      <c r="AL3543">
        <v>-74.535756000000006</v>
      </c>
      <c r="AM3543">
        <v>100</v>
      </c>
      <c r="AN3543">
        <v>1700</v>
      </c>
      <c r="AO3543" t="s">
        <v>115</v>
      </c>
      <c r="AP3543">
        <v>114</v>
      </c>
      <c r="AQ3543">
        <v>40</v>
      </c>
      <c r="AR3543">
        <v>64</v>
      </c>
      <c r="AZ3543">
        <v>3614</v>
      </c>
      <c r="BA3543">
        <v>1</v>
      </c>
      <c r="BB3543" t="str">
        <f t="shared" si="167"/>
        <v xml:space="preserve">N959MJ  </v>
      </c>
      <c r="BC3543">
        <v>1</v>
      </c>
      <c r="BE3543">
        <v>0</v>
      </c>
      <c r="BF3543">
        <v>0</v>
      </c>
      <c r="BG3543">
        <v>0</v>
      </c>
      <c r="BH3543">
        <v>1900</v>
      </c>
      <c r="BI3543">
        <v>200</v>
      </c>
      <c r="BJ3543">
        <v>1</v>
      </c>
      <c r="BK3543">
        <v>1</v>
      </c>
      <c r="BL3543">
        <v>1</v>
      </c>
      <c r="BM3543">
        <v>0</v>
      </c>
      <c r="BP3543">
        <v>0</v>
      </c>
      <c r="BQ3543">
        <v>0</v>
      </c>
      <c r="BX3543" t="str">
        <f>"14:49:24.336"</f>
        <v>14:49:24.336</v>
      </c>
      <c r="BY3543" t="str">
        <f>"335308955"</f>
        <v>335308955</v>
      </c>
      <c r="CL3543">
        <v>0</v>
      </c>
      <c r="CM3543">
        <v>2</v>
      </c>
      <c r="CN3543">
        <v>0</v>
      </c>
      <c r="CO3543">
        <v>2</v>
      </c>
      <c r="CP3543">
        <v>0</v>
      </c>
      <c r="CQ3543">
        <v>6</v>
      </c>
      <c r="CR3543" t="s">
        <v>116</v>
      </c>
      <c r="CS3543">
        <v>305</v>
      </c>
      <c r="CT3543">
        <v>3</v>
      </c>
      <c r="CU3543" t="s">
        <v>6425</v>
      </c>
      <c r="CV3543" t="s">
        <v>6426</v>
      </c>
      <c r="CY3543">
        <v>5890120</v>
      </c>
      <c r="CZ3543" t="s">
        <v>119</v>
      </c>
    </row>
    <row r="3544" spans="1:104" x14ac:dyDescent="0.25">
      <c r="A3544" t="str">
        <f>"14:49:25.500"</f>
        <v>14:49:25.500</v>
      </c>
      <c r="B3544" t="s">
        <v>108</v>
      </c>
      <c r="C3544" t="str">
        <f t="shared" si="166"/>
        <v>ffdfd3c0</v>
      </c>
      <c r="D3544" t="s">
        <v>109</v>
      </c>
      <c r="E3544">
        <v>4</v>
      </c>
      <c r="F3544">
        <v>1004</v>
      </c>
      <c r="G3544" t="s">
        <v>110</v>
      </c>
      <c r="J3544" t="s">
        <v>111</v>
      </c>
      <c r="K3544">
        <v>0</v>
      </c>
      <c r="L3544">
        <v>3</v>
      </c>
      <c r="M3544">
        <v>0</v>
      </c>
      <c r="N3544">
        <v>2</v>
      </c>
      <c r="O3544">
        <v>1</v>
      </c>
      <c r="P3544">
        <v>0</v>
      </c>
      <c r="Q3544">
        <v>0</v>
      </c>
      <c r="R3544" t="s">
        <v>112</v>
      </c>
      <c r="S3544" t="str">
        <f>"14:49:25.313"</f>
        <v>14:49:25.313</v>
      </c>
      <c r="T3544" t="str">
        <f>"14:49:24.914"</f>
        <v>14:49:24.914</v>
      </c>
      <c r="U3544" t="str">
        <f t="shared" si="165"/>
        <v>ad5732</v>
      </c>
      <c r="V3544">
        <v>0</v>
      </c>
      <c r="W3544">
        <v>0</v>
      </c>
      <c r="X3544">
        <v>1</v>
      </c>
      <c r="Z3544">
        <v>0</v>
      </c>
      <c r="AA3544">
        <v>9</v>
      </c>
      <c r="AB3544">
        <v>3</v>
      </c>
      <c r="AC3544">
        <v>0</v>
      </c>
      <c r="AD3544">
        <v>10</v>
      </c>
      <c r="AE3544">
        <v>0</v>
      </c>
      <c r="AF3544">
        <v>3</v>
      </c>
      <c r="AG3544">
        <v>2</v>
      </c>
      <c r="AH3544">
        <v>0</v>
      </c>
      <c r="AI3544" t="s">
        <v>7149</v>
      </c>
      <c r="AJ3544">
        <v>40.399475000000002</v>
      </c>
      <c r="AK3544" t="s">
        <v>7150</v>
      </c>
      <c r="AL3544">
        <v>-74.535111999999998</v>
      </c>
      <c r="AM3544">
        <v>100</v>
      </c>
      <c r="AN3544">
        <v>1700</v>
      </c>
      <c r="AO3544" t="s">
        <v>115</v>
      </c>
      <c r="AP3544">
        <v>114</v>
      </c>
      <c r="AQ3544">
        <v>41</v>
      </c>
      <c r="AR3544">
        <v>64</v>
      </c>
      <c r="AZ3544">
        <v>3614</v>
      </c>
      <c r="BA3544">
        <v>1</v>
      </c>
      <c r="BB3544" t="str">
        <f t="shared" si="167"/>
        <v xml:space="preserve">N959MJ  </v>
      </c>
      <c r="BC3544">
        <v>1</v>
      </c>
      <c r="BE3544">
        <v>0</v>
      </c>
      <c r="BF3544">
        <v>0</v>
      </c>
      <c r="BG3544">
        <v>0</v>
      </c>
      <c r="BH3544">
        <v>1900</v>
      </c>
      <c r="BI3544">
        <v>200</v>
      </c>
      <c r="BJ3544">
        <v>1</v>
      </c>
      <c r="BK3544">
        <v>1</v>
      </c>
      <c r="BL3544">
        <v>1</v>
      </c>
      <c r="BM3544">
        <v>0</v>
      </c>
      <c r="BP3544">
        <v>0</v>
      </c>
      <c r="BQ3544">
        <v>0</v>
      </c>
      <c r="BX3544" t="str">
        <f>"14:49:25.313"</f>
        <v>14:49:25.313</v>
      </c>
      <c r="BY3544" t="str">
        <f>"313403888"</f>
        <v>313403888</v>
      </c>
      <c r="CL3544">
        <v>0</v>
      </c>
      <c r="CM3544">
        <v>2</v>
      </c>
      <c r="CN3544">
        <v>0</v>
      </c>
      <c r="CO3544">
        <v>2</v>
      </c>
      <c r="CP3544">
        <v>0</v>
      </c>
      <c r="CQ3544">
        <v>6</v>
      </c>
      <c r="CR3544" t="s">
        <v>116</v>
      </c>
      <c r="CS3544">
        <v>38</v>
      </c>
      <c r="CT3544">
        <v>0</v>
      </c>
      <c r="CU3544" t="s">
        <v>4719</v>
      </c>
      <c r="CV3544" t="s">
        <v>4720</v>
      </c>
      <c r="CY3544">
        <v>8034898</v>
      </c>
      <c r="CZ3544" t="s">
        <v>119</v>
      </c>
    </row>
    <row r="3545" spans="1:104" x14ac:dyDescent="0.25">
      <c r="A3545" t="str">
        <f>"14:49:26.406"</f>
        <v>14:49:26.406</v>
      </c>
      <c r="B3545" t="s">
        <v>108</v>
      </c>
      <c r="C3545" t="str">
        <f t="shared" si="166"/>
        <v>ffdfd3c0</v>
      </c>
      <c r="D3545" t="s">
        <v>109</v>
      </c>
      <c r="E3545">
        <v>4</v>
      </c>
      <c r="F3545">
        <v>1004</v>
      </c>
      <c r="G3545" t="s">
        <v>110</v>
      </c>
      <c r="J3545" t="s">
        <v>111</v>
      </c>
      <c r="K3545">
        <v>0</v>
      </c>
      <c r="L3545">
        <v>3</v>
      </c>
      <c r="M3545">
        <v>0</v>
      </c>
      <c r="N3545">
        <v>2</v>
      </c>
      <c r="O3545">
        <v>1</v>
      </c>
      <c r="P3545">
        <v>0</v>
      </c>
      <c r="Q3545">
        <v>0</v>
      </c>
      <c r="R3545" t="s">
        <v>112</v>
      </c>
      <c r="S3545" t="str">
        <f>"14:49:26.242"</f>
        <v>14:49:26.242</v>
      </c>
      <c r="T3545" t="str">
        <f>"14:49:25.844"</f>
        <v>14:49:25.844</v>
      </c>
      <c r="U3545" t="str">
        <f t="shared" si="165"/>
        <v>ad5732</v>
      </c>
      <c r="V3545">
        <v>0</v>
      </c>
      <c r="W3545">
        <v>0</v>
      </c>
      <c r="X3545">
        <v>1</v>
      </c>
      <c r="Z3545">
        <v>0</v>
      </c>
      <c r="AA3545">
        <v>9</v>
      </c>
      <c r="AB3545">
        <v>3</v>
      </c>
      <c r="AC3545">
        <v>0</v>
      </c>
      <c r="AD3545">
        <v>10</v>
      </c>
      <c r="AE3545">
        <v>0</v>
      </c>
      <c r="AF3545">
        <v>3</v>
      </c>
      <c r="AG3545">
        <v>2</v>
      </c>
      <c r="AH3545">
        <v>0</v>
      </c>
      <c r="AI3545" t="s">
        <v>6408</v>
      </c>
      <c r="AJ3545">
        <v>40.399667999999998</v>
      </c>
      <c r="AK3545" t="s">
        <v>7151</v>
      </c>
      <c r="AL3545">
        <v>-74.534425999999996</v>
      </c>
      <c r="AM3545">
        <v>100</v>
      </c>
      <c r="AN3545">
        <v>1700</v>
      </c>
      <c r="AO3545" t="s">
        <v>115</v>
      </c>
      <c r="AP3545">
        <v>114</v>
      </c>
      <c r="AQ3545">
        <v>41</v>
      </c>
      <c r="AR3545">
        <v>64</v>
      </c>
      <c r="AZ3545">
        <v>3614</v>
      </c>
      <c r="BA3545">
        <v>1</v>
      </c>
      <c r="BB3545" t="str">
        <f t="shared" si="167"/>
        <v xml:space="preserve">N959MJ  </v>
      </c>
      <c r="BC3545">
        <v>1</v>
      </c>
      <c r="BE3545">
        <v>0</v>
      </c>
      <c r="BF3545">
        <v>0</v>
      </c>
      <c r="BG3545">
        <v>0</v>
      </c>
      <c r="BH3545">
        <v>1900</v>
      </c>
      <c r="BI3545">
        <v>200</v>
      </c>
      <c r="BJ3545">
        <v>1</v>
      </c>
      <c r="BK3545">
        <v>1</v>
      </c>
      <c r="BL3545">
        <v>1</v>
      </c>
      <c r="BM3545">
        <v>0</v>
      </c>
      <c r="BP3545">
        <v>0</v>
      </c>
      <c r="BQ3545">
        <v>0</v>
      </c>
      <c r="BX3545" t="str">
        <f>"14:49:26.250"</f>
        <v>14:49:26.250</v>
      </c>
      <c r="BY3545" t="str">
        <f>"247499523"</f>
        <v>247499523</v>
      </c>
      <c r="CL3545">
        <v>0</v>
      </c>
      <c r="CM3545">
        <v>2</v>
      </c>
      <c r="CN3545">
        <v>0</v>
      </c>
      <c r="CO3545">
        <v>2</v>
      </c>
      <c r="CP3545">
        <v>0</v>
      </c>
      <c r="CQ3545">
        <v>5</v>
      </c>
      <c r="CR3545" t="s">
        <v>116</v>
      </c>
      <c r="CS3545">
        <v>83</v>
      </c>
      <c r="CT3545">
        <v>2</v>
      </c>
      <c r="CU3545" t="s">
        <v>7152</v>
      </c>
      <c r="CV3545" t="s">
        <v>7153</v>
      </c>
      <c r="CY3545">
        <v>15563261</v>
      </c>
      <c r="CZ3545" t="s">
        <v>119</v>
      </c>
    </row>
    <row r="3546" spans="1:104" x14ac:dyDescent="0.25">
      <c r="A3546" t="str">
        <f>"14:49:27.313"</f>
        <v>14:49:27.313</v>
      </c>
      <c r="B3546" t="s">
        <v>108</v>
      </c>
      <c r="C3546" t="str">
        <f t="shared" si="166"/>
        <v>ffdfd3c0</v>
      </c>
      <c r="D3546" t="s">
        <v>109</v>
      </c>
      <c r="E3546">
        <v>4</v>
      </c>
      <c r="F3546">
        <v>1004</v>
      </c>
      <c r="G3546" t="s">
        <v>110</v>
      </c>
      <c r="J3546" t="s">
        <v>111</v>
      </c>
      <c r="K3546">
        <v>0</v>
      </c>
      <c r="L3546">
        <v>3</v>
      </c>
      <c r="M3546">
        <v>0</v>
      </c>
      <c r="N3546">
        <v>2</v>
      </c>
      <c r="O3546">
        <v>1</v>
      </c>
      <c r="P3546">
        <v>0</v>
      </c>
      <c r="Q3546">
        <v>0</v>
      </c>
      <c r="R3546" t="s">
        <v>112</v>
      </c>
      <c r="S3546" t="str">
        <f>"14:49:27.117"</f>
        <v>14:49:27.117</v>
      </c>
      <c r="T3546" t="str">
        <f>"14:49:26.719"</f>
        <v>14:49:26.719</v>
      </c>
      <c r="U3546" t="str">
        <f t="shared" si="165"/>
        <v>ad5732</v>
      </c>
      <c r="V3546">
        <v>0</v>
      </c>
      <c r="W3546">
        <v>0</v>
      </c>
      <c r="X3546">
        <v>1</v>
      </c>
      <c r="Z3546">
        <v>0</v>
      </c>
      <c r="AA3546">
        <v>9</v>
      </c>
      <c r="AB3546">
        <v>3</v>
      </c>
      <c r="AC3546">
        <v>0</v>
      </c>
      <c r="AD3546">
        <v>10</v>
      </c>
      <c r="AE3546">
        <v>0</v>
      </c>
      <c r="AF3546">
        <v>3</v>
      </c>
      <c r="AG3546">
        <v>2</v>
      </c>
      <c r="AH3546">
        <v>0</v>
      </c>
      <c r="AI3546" t="s">
        <v>7154</v>
      </c>
      <c r="AJ3546">
        <v>40.399797</v>
      </c>
      <c r="AK3546" t="s">
        <v>7155</v>
      </c>
      <c r="AL3546">
        <v>-74.533867999999998</v>
      </c>
      <c r="AM3546">
        <v>100</v>
      </c>
      <c r="AN3546">
        <v>1700</v>
      </c>
      <c r="AO3546" t="s">
        <v>115</v>
      </c>
      <c r="AP3546">
        <v>114</v>
      </c>
      <c r="AQ3546">
        <v>41</v>
      </c>
      <c r="AR3546">
        <v>0</v>
      </c>
      <c r="AZ3546">
        <v>3614</v>
      </c>
      <c r="BA3546">
        <v>1</v>
      </c>
      <c r="BB3546" t="str">
        <f t="shared" si="167"/>
        <v xml:space="preserve">N959MJ  </v>
      </c>
      <c r="BC3546">
        <v>1</v>
      </c>
      <c r="BE3546">
        <v>0</v>
      </c>
      <c r="BF3546">
        <v>0</v>
      </c>
      <c r="BG3546">
        <v>0</v>
      </c>
      <c r="BH3546">
        <v>1900</v>
      </c>
      <c r="BI3546">
        <v>200</v>
      </c>
      <c r="BJ3546">
        <v>1</v>
      </c>
      <c r="BK3546">
        <v>1</v>
      </c>
      <c r="BL3546">
        <v>1</v>
      </c>
      <c r="BM3546">
        <v>0</v>
      </c>
      <c r="BP3546">
        <v>0</v>
      </c>
      <c r="BQ3546">
        <v>0</v>
      </c>
      <c r="BX3546" t="str">
        <f>"14:49:27.117"</f>
        <v>14:49:27.117</v>
      </c>
      <c r="BY3546" t="str">
        <f>"117314558"</f>
        <v>117314558</v>
      </c>
      <c r="CL3546">
        <v>0</v>
      </c>
      <c r="CM3546">
        <v>2</v>
      </c>
      <c r="CN3546">
        <v>0</v>
      </c>
      <c r="CO3546">
        <v>2</v>
      </c>
      <c r="CP3546">
        <v>0</v>
      </c>
      <c r="CQ3546">
        <v>6</v>
      </c>
      <c r="CR3546" t="s">
        <v>116</v>
      </c>
      <c r="CS3546">
        <v>38</v>
      </c>
      <c r="CT3546">
        <v>0</v>
      </c>
      <c r="CU3546" t="s">
        <v>4719</v>
      </c>
      <c r="CV3546" t="s">
        <v>4720</v>
      </c>
      <c r="CY3546">
        <v>8037728</v>
      </c>
      <c r="CZ3546" t="s">
        <v>119</v>
      </c>
    </row>
    <row r="3547" spans="1:104" x14ac:dyDescent="0.25">
      <c r="A3547" t="str">
        <f>"14:49:28.125"</f>
        <v>14:49:28.125</v>
      </c>
      <c r="B3547" t="s">
        <v>108</v>
      </c>
      <c r="C3547" t="str">
        <f t="shared" si="166"/>
        <v>ffdfd3c0</v>
      </c>
      <c r="D3547" t="s">
        <v>109</v>
      </c>
      <c r="E3547">
        <v>4</v>
      </c>
      <c r="F3547">
        <v>1004</v>
      </c>
      <c r="G3547" t="s">
        <v>110</v>
      </c>
      <c r="J3547" t="s">
        <v>111</v>
      </c>
      <c r="K3547">
        <v>0</v>
      </c>
      <c r="L3547">
        <v>3</v>
      </c>
      <c r="M3547">
        <v>0</v>
      </c>
      <c r="N3547">
        <v>2</v>
      </c>
      <c r="O3547">
        <v>1</v>
      </c>
      <c r="P3547">
        <v>0</v>
      </c>
      <c r="Q3547">
        <v>0</v>
      </c>
      <c r="R3547" t="s">
        <v>112</v>
      </c>
      <c r="S3547" t="str">
        <f>"14:49:27.922"</f>
        <v>14:49:27.922</v>
      </c>
      <c r="T3547" t="str">
        <f>"14:49:27.523"</f>
        <v>14:49:27.523</v>
      </c>
      <c r="U3547" t="str">
        <f t="shared" si="165"/>
        <v>ad5732</v>
      </c>
      <c r="V3547">
        <v>0</v>
      </c>
      <c r="W3547">
        <v>0</v>
      </c>
      <c r="X3547">
        <v>1</v>
      </c>
      <c r="Z3547">
        <v>0</v>
      </c>
      <c r="AA3547">
        <v>9</v>
      </c>
      <c r="AB3547">
        <v>3</v>
      </c>
      <c r="AC3547">
        <v>0</v>
      </c>
      <c r="AD3547">
        <v>10</v>
      </c>
      <c r="AE3547">
        <v>0</v>
      </c>
      <c r="AF3547">
        <v>3</v>
      </c>
      <c r="AG3547">
        <v>2</v>
      </c>
      <c r="AH3547">
        <v>0</v>
      </c>
      <c r="AI3547" t="s">
        <v>7156</v>
      </c>
      <c r="AJ3547">
        <v>40.399968999999999</v>
      </c>
      <c r="AK3547" t="s">
        <v>7157</v>
      </c>
      <c r="AL3547">
        <v>-74.533266999999995</v>
      </c>
      <c r="AM3547">
        <v>100</v>
      </c>
      <c r="AN3547">
        <v>1700</v>
      </c>
      <c r="AO3547" t="s">
        <v>115</v>
      </c>
      <c r="AP3547">
        <v>114</v>
      </c>
      <c r="AQ3547">
        <v>42</v>
      </c>
      <c r="AR3547">
        <v>-64</v>
      </c>
      <c r="AZ3547">
        <v>3614</v>
      </c>
      <c r="BA3547">
        <v>1</v>
      </c>
      <c r="BB3547" t="str">
        <f t="shared" si="167"/>
        <v xml:space="preserve">N959MJ  </v>
      </c>
      <c r="BC3547">
        <v>1</v>
      </c>
      <c r="BE3547">
        <v>0</v>
      </c>
      <c r="BF3547">
        <v>0</v>
      </c>
      <c r="BG3547">
        <v>0</v>
      </c>
      <c r="BH3547">
        <v>1900</v>
      </c>
      <c r="BI3547">
        <v>200</v>
      </c>
      <c r="BJ3547">
        <v>1</v>
      </c>
      <c r="BK3547">
        <v>1</v>
      </c>
      <c r="BL3547">
        <v>1</v>
      </c>
      <c r="BM3547">
        <v>0</v>
      </c>
      <c r="BP3547">
        <v>0</v>
      </c>
      <c r="BQ3547">
        <v>0</v>
      </c>
      <c r="BX3547" t="str">
        <f>"14:49:27.930"</f>
        <v>14:49:27.930</v>
      </c>
      <c r="BY3547" t="str">
        <f>"928336713"</f>
        <v>928336713</v>
      </c>
      <c r="CL3547">
        <v>0</v>
      </c>
      <c r="CM3547">
        <v>2</v>
      </c>
      <c r="CN3547">
        <v>0</v>
      </c>
      <c r="CO3547">
        <v>2</v>
      </c>
      <c r="CP3547">
        <v>0</v>
      </c>
      <c r="CQ3547">
        <v>6</v>
      </c>
      <c r="CR3547" t="s">
        <v>116</v>
      </c>
      <c r="CS3547">
        <v>38</v>
      </c>
      <c r="CT3547">
        <v>0</v>
      </c>
      <c r="CU3547" t="s">
        <v>4719</v>
      </c>
      <c r="CV3547" t="s">
        <v>4720</v>
      </c>
      <c r="CY3547">
        <v>8038947</v>
      </c>
      <c r="CZ3547" t="s">
        <v>119</v>
      </c>
    </row>
    <row r="3548" spans="1:104" x14ac:dyDescent="0.25">
      <c r="A3548" t="str">
        <f>"14:49:29.180"</f>
        <v>14:49:29.180</v>
      </c>
      <c r="B3548" t="s">
        <v>108</v>
      </c>
      <c r="C3548" t="str">
        <f t="shared" si="166"/>
        <v>ffdfd3c0</v>
      </c>
      <c r="D3548" t="s">
        <v>109</v>
      </c>
      <c r="E3548">
        <v>4</v>
      </c>
      <c r="F3548">
        <v>1004</v>
      </c>
      <c r="G3548" t="s">
        <v>110</v>
      </c>
      <c r="J3548" t="s">
        <v>111</v>
      </c>
      <c r="K3548">
        <v>0</v>
      </c>
      <c r="L3548">
        <v>3</v>
      </c>
      <c r="M3548">
        <v>0</v>
      </c>
      <c r="N3548">
        <v>2</v>
      </c>
      <c r="O3548">
        <v>1</v>
      </c>
      <c r="P3548">
        <v>0</v>
      </c>
      <c r="Q3548">
        <v>0</v>
      </c>
      <c r="R3548" t="s">
        <v>112</v>
      </c>
      <c r="S3548" t="str">
        <f>"14:49:28.992"</f>
        <v>14:49:28.992</v>
      </c>
      <c r="T3548" t="str">
        <f>"14:49:28.492"</f>
        <v>14:49:28.492</v>
      </c>
      <c r="U3548" t="str">
        <f t="shared" si="165"/>
        <v>ad5732</v>
      </c>
      <c r="V3548">
        <v>0</v>
      </c>
      <c r="W3548">
        <v>0</v>
      </c>
      <c r="X3548">
        <v>1</v>
      </c>
      <c r="Z3548">
        <v>0</v>
      </c>
      <c r="AA3548">
        <v>9</v>
      </c>
      <c r="AB3548">
        <v>3</v>
      </c>
      <c r="AC3548">
        <v>0</v>
      </c>
      <c r="AD3548">
        <v>10</v>
      </c>
      <c r="AE3548">
        <v>0</v>
      </c>
      <c r="AF3548">
        <v>3</v>
      </c>
      <c r="AG3548">
        <v>2</v>
      </c>
      <c r="AH3548">
        <v>0</v>
      </c>
      <c r="AI3548" t="s">
        <v>7158</v>
      </c>
      <c r="AJ3548">
        <v>40.400205</v>
      </c>
      <c r="AK3548" t="s">
        <v>7159</v>
      </c>
      <c r="AL3548">
        <v>-74.532601999999997</v>
      </c>
      <c r="AM3548">
        <v>100</v>
      </c>
      <c r="AN3548">
        <v>1700</v>
      </c>
      <c r="AO3548" t="s">
        <v>115</v>
      </c>
      <c r="AP3548">
        <v>113</v>
      </c>
      <c r="AQ3548">
        <v>43</v>
      </c>
      <c r="AR3548">
        <v>-128</v>
      </c>
      <c r="AZ3548">
        <v>3614</v>
      </c>
      <c r="BA3548">
        <v>1</v>
      </c>
      <c r="BB3548" t="str">
        <f t="shared" si="167"/>
        <v xml:space="preserve">N959MJ  </v>
      </c>
      <c r="BC3548">
        <v>1</v>
      </c>
      <c r="BE3548">
        <v>0</v>
      </c>
      <c r="BF3548">
        <v>0</v>
      </c>
      <c r="BG3548">
        <v>0</v>
      </c>
      <c r="BH3548">
        <v>1900</v>
      </c>
      <c r="BI3548">
        <v>200</v>
      </c>
      <c r="BJ3548">
        <v>1</v>
      </c>
      <c r="BK3548">
        <v>1</v>
      </c>
      <c r="BL3548">
        <v>1</v>
      </c>
      <c r="BM3548">
        <v>0</v>
      </c>
      <c r="BP3548">
        <v>0</v>
      </c>
      <c r="BQ3548">
        <v>0</v>
      </c>
      <c r="BX3548" t="str">
        <f>"14:49:29.000"</f>
        <v>14:49:29.000</v>
      </c>
      <c r="BY3548" t="str">
        <f>"999869280"</f>
        <v>999869280</v>
      </c>
      <c r="CL3548">
        <v>0</v>
      </c>
      <c r="CM3548">
        <v>2</v>
      </c>
      <c r="CN3548">
        <v>0</v>
      </c>
      <c r="CO3548">
        <v>2</v>
      </c>
      <c r="CP3548">
        <v>0</v>
      </c>
      <c r="CQ3548">
        <v>6</v>
      </c>
      <c r="CR3548" t="s">
        <v>116</v>
      </c>
      <c r="CS3548">
        <v>38</v>
      </c>
      <c r="CT3548">
        <v>0</v>
      </c>
      <c r="CU3548" t="s">
        <v>4719</v>
      </c>
      <c r="CV3548" t="s">
        <v>4720</v>
      </c>
      <c r="CY3548">
        <v>8040485</v>
      </c>
      <c r="CZ3548" t="s">
        <v>119</v>
      </c>
    </row>
    <row r="3549" spans="1:104" x14ac:dyDescent="0.25">
      <c r="A3549" t="str">
        <f>"14:49:30.195"</f>
        <v>14:49:30.195</v>
      </c>
      <c r="B3549" t="s">
        <v>108</v>
      </c>
      <c r="C3549" t="str">
        <f t="shared" si="166"/>
        <v>ffdfd3c0</v>
      </c>
      <c r="D3549" t="s">
        <v>109</v>
      </c>
      <c r="E3549">
        <v>4</v>
      </c>
      <c r="F3549">
        <v>1004</v>
      </c>
      <c r="G3549" t="s">
        <v>110</v>
      </c>
      <c r="J3549" t="s">
        <v>111</v>
      </c>
      <c r="K3549">
        <v>0</v>
      </c>
      <c r="L3549">
        <v>3</v>
      </c>
      <c r="M3549">
        <v>0</v>
      </c>
      <c r="N3549">
        <v>2</v>
      </c>
      <c r="O3549">
        <v>1</v>
      </c>
      <c r="P3549">
        <v>0</v>
      </c>
      <c r="Q3549">
        <v>0</v>
      </c>
      <c r="R3549" t="s">
        <v>112</v>
      </c>
      <c r="S3549" t="str">
        <f>"14:49:30.000"</f>
        <v>14:49:30.000</v>
      </c>
      <c r="T3549" t="str">
        <f>"14:49:29.500"</f>
        <v>14:49:29.500</v>
      </c>
      <c r="U3549" t="str">
        <f t="shared" si="165"/>
        <v>ad5732</v>
      </c>
      <c r="V3549">
        <v>0</v>
      </c>
      <c r="W3549">
        <v>0</v>
      </c>
      <c r="X3549">
        <v>1</v>
      </c>
      <c r="Z3549">
        <v>0</v>
      </c>
      <c r="AA3549">
        <v>9</v>
      </c>
      <c r="AB3549">
        <v>3</v>
      </c>
      <c r="AC3549">
        <v>0</v>
      </c>
      <c r="AD3549">
        <v>10</v>
      </c>
      <c r="AE3549">
        <v>0</v>
      </c>
      <c r="AF3549">
        <v>3</v>
      </c>
      <c r="AG3549">
        <v>2</v>
      </c>
      <c r="AH3549">
        <v>0</v>
      </c>
      <c r="AI3549" t="s">
        <v>6393</v>
      </c>
      <c r="AJ3549">
        <v>40.400398000000003</v>
      </c>
      <c r="AK3549" t="s">
        <v>7160</v>
      </c>
      <c r="AL3549">
        <v>-74.531914999999998</v>
      </c>
      <c r="AM3549">
        <v>100</v>
      </c>
      <c r="AN3549">
        <v>1700</v>
      </c>
      <c r="AO3549" t="s">
        <v>115</v>
      </c>
      <c r="AP3549">
        <v>113</v>
      </c>
      <c r="AQ3549">
        <v>46</v>
      </c>
      <c r="AR3549">
        <v>-128</v>
      </c>
      <c r="AZ3549">
        <v>3614</v>
      </c>
      <c r="BA3549">
        <v>1</v>
      </c>
      <c r="BB3549" t="str">
        <f t="shared" si="167"/>
        <v xml:space="preserve">N959MJ  </v>
      </c>
      <c r="BC3549">
        <v>1</v>
      </c>
      <c r="BE3549">
        <v>0</v>
      </c>
      <c r="BF3549">
        <v>0</v>
      </c>
      <c r="BG3549">
        <v>0</v>
      </c>
      <c r="BH3549">
        <v>1900</v>
      </c>
      <c r="BI3549">
        <v>200</v>
      </c>
      <c r="BJ3549">
        <v>1</v>
      </c>
      <c r="BK3549">
        <v>1</v>
      </c>
      <c r="BL3549">
        <v>1</v>
      </c>
      <c r="BM3549">
        <v>0</v>
      </c>
      <c r="BP3549">
        <v>0</v>
      </c>
      <c r="BQ3549">
        <v>0</v>
      </c>
      <c r="BX3549" t="str">
        <f>"14:49:30.008"</f>
        <v>14:49:30.008</v>
      </c>
      <c r="BY3549" t="str">
        <f>"005864797"</f>
        <v>005864797</v>
      </c>
      <c r="CL3549">
        <v>0</v>
      </c>
      <c r="CM3549">
        <v>2</v>
      </c>
      <c r="CN3549">
        <v>0</v>
      </c>
      <c r="CO3549">
        <v>2</v>
      </c>
      <c r="CP3549">
        <v>0</v>
      </c>
      <c r="CQ3549">
        <v>6</v>
      </c>
      <c r="CR3549" t="s">
        <v>116</v>
      </c>
      <c r="CS3549">
        <v>38</v>
      </c>
      <c r="CT3549">
        <v>0</v>
      </c>
      <c r="CU3549" t="s">
        <v>4719</v>
      </c>
      <c r="CV3549" t="s">
        <v>4720</v>
      </c>
      <c r="CY3549">
        <v>8041952</v>
      </c>
      <c r="CZ3549" t="s">
        <v>119</v>
      </c>
    </row>
    <row r="3550" spans="1:104" x14ac:dyDescent="0.25">
      <c r="A3550" t="str">
        <f>"14:49:31.102"</f>
        <v>14:49:31.102</v>
      </c>
      <c r="B3550" t="s">
        <v>108</v>
      </c>
      <c r="C3550" t="str">
        <f t="shared" si="166"/>
        <v>ffdfd3c0</v>
      </c>
      <c r="D3550" t="s">
        <v>109</v>
      </c>
      <c r="E3550">
        <v>4</v>
      </c>
      <c r="F3550">
        <v>1004</v>
      </c>
      <c r="G3550" t="s">
        <v>110</v>
      </c>
      <c r="J3550" t="s">
        <v>111</v>
      </c>
      <c r="K3550">
        <v>0</v>
      </c>
      <c r="L3550">
        <v>3</v>
      </c>
      <c r="M3550">
        <v>0</v>
      </c>
      <c r="N3550">
        <v>2</v>
      </c>
      <c r="O3550">
        <v>1</v>
      </c>
      <c r="P3550">
        <v>0</v>
      </c>
      <c r="Q3550">
        <v>0</v>
      </c>
      <c r="R3550" t="s">
        <v>112</v>
      </c>
      <c r="S3550" t="str">
        <f>"14:49:30.906"</f>
        <v>14:49:30.906</v>
      </c>
      <c r="T3550" t="str">
        <f>"14:49:30.508"</f>
        <v>14:49:30.508</v>
      </c>
      <c r="U3550" t="str">
        <f t="shared" si="165"/>
        <v>ad5732</v>
      </c>
      <c r="V3550">
        <v>0</v>
      </c>
      <c r="W3550">
        <v>0</v>
      </c>
      <c r="X3550">
        <v>1</v>
      </c>
      <c r="Z3550">
        <v>0</v>
      </c>
      <c r="AA3550">
        <v>9</v>
      </c>
      <c r="AB3550">
        <v>3</v>
      </c>
      <c r="AC3550">
        <v>0</v>
      </c>
      <c r="AD3550">
        <v>10</v>
      </c>
      <c r="AE3550">
        <v>0</v>
      </c>
      <c r="AF3550">
        <v>3</v>
      </c>
      <c r="AG3550">
        <v>2</v>
      </c>
      <c r="AH3550">
        <v>0</v>
      </c>
      <c r="AI3550" t="s">
        <v>7161</v>
      </c>
      <c r="AJ3550">
        <v>40.400633999999997</v>
      </c>
      <c r="AK3550" t="s">
        <v>7162</v>
      </c>
      <c r="AL3550">
        <v>-74.531313999999995</v>
      </c>
      <c r="AM3550">
        <v>100</v>
      </c>
      <c r="AN3550">
        <v>1700</v>
      </c>
      <c r="AO3550" t="s">
        <v>115</v>
      </c>
      <c r="AP3550">
        <v>112</v>
      </c>
      <c r="AQ3550">
        <v>50</v>
      </c>
      <c r="AR3550">
        <v>-192</v>
      </c>
      <c r="AZ3550">
        <v>3614</v>
      </c>
      <c r="BA3550">
        <v>1</v>
      </c>
      <c r="BB3550" t="str">
        <f t="shared" si="167"/>
        <v xml:space="preserve">N959MJ  </v>
      </c>
      <c r="BC3550">
        <v>1</v>
      </c>
      <c r="BE3550">
        <v>0</v>
      </c>
      <c r="BF3550">
        <v>0</v>
      </c>
      <c r="BG3550">
        <v>0</v>
      </c>
      <c r="BH3550">
        <v>1875</v>
      </c>
      <c r="BI3550">
        <v>175</v>
      </c>
      <c r="BJ3550">
        <v>1</v>
      </c>
      <c r="BK3550">
        <v>1</v>
      </c>
      <c r="BL3550">
        <v>1</v>
      </c>
      <c r="BM3550">
        <v>0</v>
      </c>
      <c r="BP3550">
        <v>0</v>
      </c>
      <c r="BQ3550">
        <v>0</v>
      </c>
      <c r="BX3550" t="str">
        <f>"14:49:30.906"</f>
        <v>14:49:30.906</v>
      </c>
      <c r="BY3550" t="str">
        <f>"908639225"</f>
        <v>908639225</v>
      </c>
      <c r="CL3550">
        <v>0</v>
      </c>
      <c r="CM3550">
        <v>2</v>
      </c>
      <c r="CN3550">
        <v>0</v>
      </c>
      <c r="CO3550">
        <v>2</v>
      </c>
      <c r="CP3550">
        <v>0</v>
      </c>
      <c r="CQ3550">
        <v>6</v>
      </c>
      <c r="CR3550" t="s">
        <v>116</v>
      </c>
      <c r="CS3550">
        <v>38</v>
      </c>
      <c r="CT3550">
        <v>0</v>
      </c>
      <c r="CU3550" t="s">
        <v>4719</v>
      </c>
      <c r="CV3550" t="s">
        <v>4720</v>
      </c>
      <c r="CY3550">
        <v>8043329</v>
      </c>
      <c r="CZ3550" t="s">
        <v>119</v>
      </c>
    </row>
    <row r="3551" spans="1:104" x14ac:dyDescent="0.25">
      <c r="A3551" t="str">
        <f>"14:49:32.063"</f>
        <v>14:49:32.063</v>
      </c>
      <c r="B3551" t="s">
        <v>108</v>
      </c>
      <c r="C3551" t="str">
        <f t="shared" si="166"/>
        <v>ffdfd3c0</v>
      </c>
      <c r="D3551" t="s">
        <v>109</v>
      </c>
      <c r="E3551">
        <v>4</v>
      </c>
      <c r="F3551">
        <v>1004</v>
      </c>
      <c r="G3551" t="s">
        <v>110</v>
      </c>
      <c r="J3551" t="s">
        <v>111</v>
      </c>
      <c r="K3551">
        <v>0</v>
      </c>
      <c r="L3551">
        <v>3</v>
      </c>
      <c r="M3551">
        <v>0</v>
      </c>
      <c r="N3551">
        <v>2</v>
      </c>
      <c r="O3551">
        <v>1</v>
      </c>
      <c r="P3551">
        <v>0</v>
      </c>
      <c r="Q3551">
        <v>0</v>
      </c>
      <c r="R3551" t="s">
        <v>112</v>
      </c>
      <c r="S3551" t="str">
        <f>"14:49:31.867"</f>
        <v>14:49:31.867</v>
      </c>
      <c r="T3551" t="str">
        <f>"14:49:31.469"</f>
        <v>14:49:31.469</v>
      </c>
      <c r="U3551" t="str">
        <f t="shared" si="165"/>
        <v>ad5732</v>
      </c>
      <c r="V3551">
        <v>0</v>
      </c>
      <c r="W3551">
        <v>0</v>
      </c>
      <c r="X3551">
        <v>1</v>
      </c>
      <c r="Z3551">
        <v>0</v>
      </c>
      <c r="AA3551">
        <v>9</v>
      </c>
      <c r="AB3551">
        <v>3</v>
      </c>
      <c r="AC3551">
        <v>0</v>
      </c>
      <c r="AD3551">
        <v>10</v>
      </c>
      <c r="AE3551">
        <v>0</v>
      </c>
      <c r="AF3551">
        <v>3</v>
      </c>
      <c r="AG3551">
        <v>2</v>
      </c>
      <c r="AH3551">
        <v>0</v>
      </c>
      <c r="AI3551" t="s">
        <v>7163</v>
      </c>
      <c r="AJ3551">
        <v>40.400869999999998</v>
      </c>
      <c r="AK3551" t="s">
        <v>7164</v>
      </c>
      <c r="AL3551">
        <v>-74.530627999999993</v>
      </c>
      <c r="AM3551">
        <v>100</v>
      </c>
      <c r="AN3551">
        <v>1700</v>
      </c>
      <c r="AO3551" t="s">
        <v>115</v>
      </c>
      <c r="AP3551">
        <v>111</v>
      </c>
      <c r="AQ3551">
        <v>52</v>
      </c>
      <c r="AR3551">
        <v>-128</v>
      </c>
      <c r="AZ3551">
        <v>3614</v>
      </c>
      <c r="BA3551">
        <v>1</v>
      </c>
      <c r="BB3551" t="str">
        <f t="shared" si="167"/>
        <v xml:space="preserve">N959MJ  </v>
      </c>
      <c r="BC3551">
        <v>1</v>
      </c>
      <c r="BE3551">
        <v>0</v>
      </c>
      <c r="BF3551">
        <v>0</v>
      </c>
      <c r="BG3551">
        <v>0</v>
      </c>
      <c r="BH3551">
        <v>1875</v>
      </c>
      <c r="BI3551">
        <v>175</v>
      </c>
      <c r="BJ3551">
        <v>1</v>
      </c>
      <c r="BK3551">
        <v>1</v>
      </c>
      <c r="BL3551">
        <v>1</v>
      </c>
      <c r="BM3551">
        <v>0</v>
      </c>
      <c r="BP3551">
        <v>0</v>
      </c>
      <c r="BQ3551">
        <v>0</v>
      </c>
      <c r="BX3551" t="str">
        <f>"14:49:31.867"</f>
        <v>14:49:31.867</v>
      </c>
      <c r="BY3551" t="str">
        <f>"868758679"</f>
        <v>868758679</v>
      </c>
      <c r="CL3551">
        <v>0</v>
      </c>
      <c r="CM3551">
        <v>2</v>
      </c>
      <c r="CN3551">
        <v>0</v>
      </c>
      <c r="CO3551">
        <v>2</v>
      </c>
      <c r="CP3551">
        <v>0</v>
      </c>
      <c r="CQ3551">
        <v>6</v>
      </c>
      <c r="CR3551" t="s">
        <v>116</v>
      </c>
      <c r="CS3551">
        <v>38</v>
      </c>
      <c r="CT3551">
        <v>0</v>
      </c>
      <c r="CU3551" t="s">
        <v>4719</v>
      </c>
      <c r="CV3551" t="s">
        <v>4720</v>
      </c>
      <c r="CY3551">
        <v>8044898</v>
      </c>
      <c r="CZ3551" t="s">
        <v>119</v>
      </c>
    </row>
    <row r="3552" spans="1:104" x14ac:dyDescent="0.25">
      <c r="A3552" t="str">
        <f>"14:49:33.070"</f>
        <v>14:49:33.070</v>
      </c>
      <c r="B3552" t="s">
        <v>108</v>
      </c>
      <c r="C3552" t="str">
        <f t="shared" si="166"/>
        <v>ffdfd3c0</v>
      </c>
      <c r="D3552" t="s">
        <v>109</v>
      </c>
      <c r="E3552">
        <v>4</v>
      </c>
      <c r="F3552">
        <v>1004</v>
      </c>
      <c r="G3552" t="s">
        <v>110</v>
      </c>
      <c r="J3552" t="s">
        <v>111</v>
      </c>
      <c r="K3552">
        <v>0</v>
      </c>
      <c r="L3552">
        <v>3</v>
      </c>
      <c r="M3552">
        <v>0</v>
      </c>
      <c r="N3552">
        <v>2</v>
      </c>
      <c r="O3552">
        <v>1</v>
      </c>
      <c r="P3552">
        <v>0</v>
      </c>
      <c r="Q3552">
        <v>0</v>
      </c>
      <c r="R3552" t="s">
        <v>112</v>
      </c>
      <c r="S3552" t="str">
        <f>"14:49:32.867"</f>
        <v>14:49:32.867</v>
      </c>
      <c r="T3552" t="str">
        <f>"14:49:32.367"</f>
        <v>14:49:32.367</v>
      </c>
      <c r="U3552" t="str">
        <f t="shared" si="165"/>
        <v>ad5732</v>
      </c>
      <c r="V3552">
        <v>0</v>
      </c>
      <c r="W3552">
        <v>0</v>
      </c>
      <c r="X3552">
        <v>1</v>
      </c>
      <c r="Z3552">
        <v>0</v>
      </c>
      <c r="AA3552">
        <v>9</v>
      </c>
      <c r="AB3552">
        <v>3</v>
      </c>
      <c r="AC3552">
        <v>0</v>
      </c>
      <c r="AD3552">
        <v>10</v>
      </c>
      <c r="AE3552">
        <v>0</v>
      </c>
      <c r="AF3552">
        <v>3</v>
      </c>
      <c r="AG3552">
        <v>2</v>
      </c>
      <c r="AH3552">
        <v>0</v>
      </c>
      <c r="AI3552" t="s">
        <v>6377</v>
      </c>
      <c r="AJ3552">
        <v>40.401148999999997</v>
      </c>
      <c r="AK3552" t="s">
        <v>7165</v>
      </c>
      <c r="AL3552">
        <v>-74.529940999999994</v>
      </c>
      <c r="AM3552">
        <v>100</v>
      </c>
      <c r="AN3552">
        <v>1700</v>
      </c>
      <c r="AO3552" t="s">
        <v>115</v>
      </c>
      <c r="AP3552">
        <v>110</v>
      </c>
      <c r="AQ3552">
        <v>55</v>
      </c>
      <c r="AR3552">
        <v>-64</v>
      </c>
      <c r="AZ3552">
        <v>3614</v>
      </c>
      <c r="BA3552">
        <v>1</v>
      </c>
      <c r="BB3552" t="str">
        <f t="shared" si="167"/>
        <v xml:space="preserve">N959MJ  </v>
      </c>
      <c r="BC3552">
        <v>1</v>
      </c>
      <c r="BE3552">
        <v>0</v>
      </c>
      <c r="BF3552">
        <v>0</v>
      </c>
      <c r="BG3552">
        <v>0</v>
      </c>
      <c r="BH3552">
        <v>1875</v>
      </c>
      <c r="BI3552">
        <v>175</v>
      </c>
      <c r="BJ3552">
        <v>1</v>
      </c>
      <c r="BK3552">
        <v>1</v>
      </c>
      <c r="BL3552">
        <v>1</v>
      </c>
      <c r="BM3552">
        <v>0</v>
      </c>
      <c r="BP3552">
        <v>0</v>
      </c>
      <c r="BQ3552">
        <v>0</v>
      </c>
      <c r="BX3552" t="str">
        <f>"14:49:32.875"</f>
        <v>14:49:32.875</v>
      </c>
      <c r="BY3552" t="str">
        <f>"871520961"</f>
        <v>871520961</v>
      </c>
      <c r="CL3552">
        <v>0</v>
      </c>
      <c r="CM3552">
        <v>2</v>
      </c>
      <c r="CN3552">
        <v>0</v>
      </c>
      <c r="CO3552">
        <v>2</v>
      </c>
      <c r="CP3552">
        <v>0</v>
      </c>
      <c r="CQ3552">
        <v>6</v>
      </c>
      <c r="CR3552" t="s">
        <v>116</v>
      </c>
      <c r="CS3552">
        <v>305</v>
      </c>
      <c r="CT3552">
        <v>3</v>
      </c>
      <c r="CU3552" t="s">
        <v>6425</v>
      </c>
      <c r="CV3552" t="s">
        <v>6426</v>
      </c>
      <c r="CY3552">
        <v>5907653</v>
      </c>
      <c r="CZ3552" t="s">
        <v>119</v>
      </c>
    </row>
    <row r="3553" spans="1:104" x14ac:dyDescent="0.25">
      <c r="A3553" t="str">
        <f>"14:49:33.930"</f>
        <v>14:49:33.930</v>
      </c>
      <c r="B3553" t="s">
        <v>108</v>
      </c>
      <c r="C3553" t="str">
        <f t="shared" si="166"/>
        <v>ffdfd3c0</v>
      </c>
      <c r="D3553" t="s">
        <v>109</v>
      </c>
      <c r="E3553">
        <v>4</v>
      </c>
      <c r="F3553">
        <v>1004</v>
      </c>
      <c r="G3553" t="s">
        <v>110</v>
      </c>
      <c r="J3553" t="s">
        <v>111</v>
      </c>
      <c r="K3553">
        <v>0</v>
      </c>
      <c r="L3553">
        <v>3</v>
      </c>
      <c r="M3553">
        <v>0</v>
      </c>
      <c r="N3553">
        <v>2</v>
      </c>
      <c r="O3553">
        <v>1</v>
      </c>
      <c r="P3553">
        <v>0</v>
      </c>
      <c r="Q3553">
        <v>0</v>
      </c>
      <c r="R3553" t="s">
        <v>112</v>
      </c>
      <c r="S3553" t="str">
        <f>"14:49:33.766"</f>
        <v>14:49:33.766</v>
      </c>
      <c r="T3553" t="str">
        <f>"14:49:32.867"</f>
        <v>14:49:32.867</v>
      </c>
      <c r="U3553" t="str">
        <f t="shared" si="165"/>
        <v>ad5732</v>
      </c>
      <c r="V3553">
        <v>0</v>
      </c>
      <c r="W3553">
        <v>0</v>
      </c>
      <c r="X3553">
        <v>1</v>
      </c>
      <c r="Z3553">
        <v>0</v>
      </c>
      <c r="AA3553">
        <v>9</v>
      </c>
      <c r="AB3553">
        <v>3</v>
      </c>
      <c r="AC3553">
        <v>0</v>
      </c>
      <c r="AD3553">
        <v>10</v>
      </c>
      <c r="AE3553">
        <v>0</v>
      </c>
      <c r="AF3553">
        <v>3</v>
      </c>
      <c r="AG3553">
        <v>2</v>
      </c>
      <c r="AH3553">
        <v>0</v>
      </c>
      <c r="AI3553" t="s">
        <v>6226</v>
      </c>
      <c r="AJ3553">
        <v>40.401342</v>
      </c>
      <c r="AK3553" t="s">
        <v>7166</v>
      </c>
      <c r="AL3553">
        <v>-74.529362000000006</v>
      </c>
      <c r="AM3553">
        <v>100</v>
      </c>
      <c r="AN3553">
        <v>1700</v>
      </c>
      <c r="AO3553" t="s">
        <v>115</v>
      </c>
      <c r="AP3553">
        <v>109</v>
      </c>
      <c r="AQ3553">
        <v>56</v>
      </c>
      <c r="AR3553">
        <v>0</v>
      </c>
      <c r="AZ3553">
        <v>3614</v>
      </c>
      <c r="BA3553">
        <v>1</v>
      </c>
      <c r="BB3553" t="str">
        <f t="shared" si="167"/>
        <v xml:space="preserve">N959MJ  </v>
      </c>
      <c r="BC3553">
        <v>1</v>
      </c>
      <c r="BE3553">
        <v>0</v>
      </c>
      <c r="BF3553">
        <v>0</v>
      </c>
      <c r="BG3553">
        <v>0</v>
      </c>
      <c r="BH3553">
        <v>1875</v>
      </c>
      <c r="BI3553">
        <v>175</v>
      </c>
      <c r="BJ3553">
        <v>1</v>
      </c>
      <c r="BK3553">
        <v>1</v>
      </c>
      <c r="BL3553">
        <v>1</v>
      </c>
      <c r="BM3553">
        <v>0</v>
      </c>
      <c r="BP3553">
        <v>0</v>
      </c>
      <c r="BQ3553">
        <v>0</v>
      </c>
      <c r="BX3553" t="str">
        <f>"14:49:33.773"</f>
        <v>14:49:33.773</v>
      </c>
      <c r="BY3553" t="str">
        <f>"772613339"</f>
        <v>772613339</v>
      </c>
      <c r="CL3553">
        <v>0</v>
      </c>
      <c r="CM3553">
        <v>2</v>
      </c>
      <c r="CN3553">
        <v>0</v>
      </c>
      <c r="CO3553">
        <v>2</v>
      </c>
      <c r="CP3553">
        <v>0</v>
      </c>
      <c r="CQ3553">
        <v>6</v>
      </c>
      <c r="CR3553" t="s">
        <v>116</v>
      </c>
      <c r="CS3553">
        <v>38</v>
      </c>
      <c r="CT3553">
        <v>0</v>
      </c>
      <c r="CU3553" t="s">
        <v>4719</v>
      </c>
      <c r="CV3553" t="s">
        <v>4720</v>
      </c>
      <c r="CY3553">
        <v>8047727</v>
      </c>
      <c r="CZ3553" t="s">
        <v>119</v>
      </c>
    </row>
    <row r="3554" spans="1:104" x14ac:dyDescent="0.25">
      <c r="A3554" t="str">
        <f>"14:49:34.789"</f>
        <v>14:49:34.789</v>
      </c>
      <c r="B3554" t="s">
        <v>108</v>
      </c>
      <c r="C3554" t="str">
        <f t="shared" si="166"/>
        <v>ffdfd3c0</v>
      </c>
      <c r="D3554" t="s">
        <v>109</v>
      </c>
      <c r="E3554">
        <v>4</v>
      </c>
      <c r="F3554">
        <v>1004</v>
      </c>
      <c r="G3554" t="s">
        <v>110</v>
      </c>
      <c r="J3554" t="s">
        <v>111</v>
      </c>
      <c r="K3554">
        <v>0</v>
      </c>
      <c r="L3554">
        <v>3</v>
      </c>
      <c r="M3554">
        <v>0</v>
      </c>
      <c r="N3554">
        <v>2</v>
      </c>
      <c r="O3554">
        <v>1</v>
      </c>
      <c r="P3554">
        <v>0</v>
      </c>
      <c r="Q3554">
        <v>0</v>
      </c>
      <c r="R3554" t="s">
        <v>112</v>
      </c>
      <c r="S3554" t="str">
        <f>"14:49:34.633"</f>
        <v>14:49:34.633</v>
      </c>
      <c r="T3554" t="str">
        <f>"14:49:34.234"</f>
        <v>14:49:34.234</v>
      </c>
      <c r="U3554" t="str">
        <f t="shared" si="165"/>
        <v>ad5732</v>
      </c>
      <c r="V3554">
        <v>0</v>
      </c>
      <c r="W3554">
        <v>0</v>
      </c>
      <c r="X3554">
        <v>1</v>
      </c>
      <c r="Z3554">
        <v>0</v>
      </c>
      <c r="AA3554">
        <v>9</v>
      </c>
      <c r="AB3554">
        <v>3</v>
      </c>
      <c r="AC3554">
        <v>0</v>
      </c>
      <c r="AD3554">
        <v>10</v>
      </c>
      <c r="AE3554">
        <v>0</v>
      </c>
      <c r="AF3554">
        <v>3</v>
      </c>
      <c r="AG3554">
        <v>2</v>
      </c>
      <c r="AH3554">
        <v>0</v>
      </c>
      <c r="AI3554" t="s">
        <v>6369</v>
      </c>
      <c r="AJ3554">
        <v>40.401620999999999</v>
      </c>
      <c r="AK3554" t="s">
        <v>7167</v>
      </c>
      <c r="AL3554">
        <v>-74.528761000000003</v>
      </c>
      <c r="AM3554">
        <v>100</v>
      </c>
      <c r="AN3554">
        <v>1700</v>
      </c>
      <c r="AO3554" t="s">
        <v>115</v>
      </c>
      <c r="AP3554">
        <v>108</v>
      </c>
      <c r="AQ3554">
        <v>58</v>
      </c>
      <c r="AR3554">
        <v>64</v>
      </c>
      <c r="AZ3554">
        <v>3614</v>
      </c>
      <c r="BA3554">
        <v>1</v>
      </c>
      <c r="BB3554" t="str">
        <f t="shared" si="167"/>
        <v xml:space="preserve">N959MJ  </v>
      </c>
      <c r="BC3554">
        <v>1</v>
      </c>
      <c r="BE3554">
        <v>0</v>
      </c>
      <c r="BF3554">
        <v>0</v>
      </c>
      <c r="BG3554">
        <v>0</v>
      </c>
      <c r="BH3554">
        <v>1875</v>
      </c>
      <c r="BI3554">
        <v>175</v>
      </c>
      <c r="BJ3554">
        <v>1</v>
      </c>
      <c r="BK3554">
        <v>1</v>
      </c>
      <c r="BL3554">
        <v>1</v>
      </c>
      <c r="BM3554">
        <v>0</v>
      </c>
      <c r="BP3554">
        <v>0</v>
      </c>
      <c r="BQ3554">
        <v>0</v>
      </c>
      <c r="BX3554" t="str">
        <f>"14:49:34.633"</f>
        <v>14:49:34.633</v>
      </c>
      <c r="BY3554" t="str">
        <f>"634427047"</f>
        <v>634427047</v>
      </c>
      <c r="CL3554">
        <v>0</v>
      </c>
      <c r="CM3554">
        <v>2</v>
      </c>
      <c r="CN3554">
        <v>0</v>
      </c>
      <c r="CO3554">
        <v>2</v>
      </c>
      <c r="CP3554">
        <v>0</v>
      </c>
      <c r="CQ3554">
        <v>6</v>
      </c>
      <c r="CR3554" t="s">
        <v>116</v>
      </c>
      <c r="CS3554">
        <v>38</v>
      </c>
      <c r="CT3554">
        <v>0</v>
      </c>
      <c r="CU3554" t="s">
        <v>4719</v>
      </c>
      <c r="CV3554" t="s">
        <v>4720</v>
      </c>
      <c r="CY3554">
        <v>8049070</v>
      </c>
      <c r="CZ3554" t="s">
        <v>119</v>
      </c>
    </row>
    <row r="3555" spans="1:104" x14ac:dyDescent="0.25">
      <c r="A3555" t="str">
        <f>"14:49:35.797"</f>
        <v>14:49:35.797</v>
      </c>
      <c r="B3555" t="s">
        <v>108</v>
      </c>
      <c r="C3555" t="str">
        <f t="shared" si="166"/>
        <v>ffdfd3c0</v>
      </c>
      <c r="D3555" t="s">
        <v>109</v>
      </c>
      <c r="E3555">
        <v>4</v>
      </c>
      <c r="F3555">
        <v>1004</v>
      </c>
      <c r="G3555" t="s">
        <v>110</v>
      </c>
      <c r="J3555" t="s">
        <v>111</v>
      </c>
      <c r="K3555">
        <v>0</v>
      </c>
      <c r="L3555">
        <v>3</v>
      </c>
      <c r="M3555">
        <v>0</v>
      </c>
      <c r="N3555">
        <v>2</v>
      </c>
      <c r="O3555">
        <v>1</v>
      </c>
      <c r="P3555">
        <v>0</v>
      </c>
      <c r="Q3555">
        <v>0</v>
      </c>
      <c r="R3555" t="s">
        <v>112</v>
      </c>
      <c r="S3555" t="str">
        <f>"14:49:35.641"</f>
        <v>14:49:35.641</v>
      </c>
      <c r="T3555" t="str">
        <f>"14:49:35.141"</f>
        <v>14:49:35.141</v>
      </c>
      <c r="U3555" t="str">
        <f t="shared" si="165"/>
        <v>ad5732</v>
      </c>
      <c r="V3555">
        <v>0</v>
      </c>
      <c r="W3555">
        <v>0</v>
      </c>
      <c r="X3555">
        <v>1</v>
      </c>
      <c r="Z3555">
        <v>0</v>
      </c>
      <c r="AA3555">
        <v>9</v>
      </c>
      <c r="AB3555">
        <v>3</v>
      </c>
      <c r="AC3555">
        <v>0</v>
      </c>
      <c r="AD3555">
        <v>10</v>
      </c>
      <c r="AE3555">
        <v>0</v>
      </c>
      <c r="AF3555">
        <v>3</v>
      </c>
      <c r="AG3555">
        <v>2</v>
      </c>
      <c r="AH3555">
        <v>0</v>
      </c>
      <c r="AI3555" t="s">
        <v>6363</v>
      </c>
      <c r="AJ3555">
        <v>40.401899999999998</v>
      </c>
      <c r="AK3555" t="s">
        <v>7168</v>
      </c>
      <c r="AL3555">
        <v>-74.528138999999996</v>
      </c>
      <c r="AM3555">
        <v>100</v>
      </c>
      <c r="AN3555">
        <v>1700</v>
      </c>
      <c r="AO3555" t="s">
        <v>115</v>
      </c>
      <c r="AP3555">
        <v>108</v>
      </c>
      <c r="AQ3555">
        <v>59</v>
      </c>
      <c r="AR3555">
        <v>128</v>
      </c>
      <c r="AZ3555">
        <v>3614</v>
      </c>
      <c r="BA3555">
        <v>1</v>
      </c>
      <c r="BB3555" t="str">
        <f t="shared" si="167"/>
        <v xml:space="preserve">N959MJ  </v>
      </c>
      <c r="BC3555">
        <v>1</v>
      </c>
      <c r="BE3555">
        <v>0</v>
      </c>
      <c r="BF3555">
        <v>0</v>
      </c>
      <c r="BG3555">
        <v>0</v>
      </c>
      <c r="BH3555">
        <v>1875</v>
      </c>
      <c r="BI3555">
        <v>175</v>
      </c>
      <c r="BJ3555">
        <v>1</v>
      </c>
      <c r="BK3555">
        <v>1</v>
      </c>
      <c r="BL3555">
        <v>1</v>
      </c>
      <c r="BM3555">
        <v>0</v>
      </c>
      <c r="BP3555">
        <v>0</v>
      </c>
      <c r="BQ3555">
        <v>0</v>
      </c>
      <c r="BX3555" t="str">
        <f>"14:49:35.648"</f>
        <v>14:49:35.648</v>
      </c>
      <c r="BY3555" t="str">
        <f>"645337746"</f>
        <v>645337746</v>
      </c>
      <c r="CL3555">
        <v>0</v>
      </c>
      <c r="CM3555">
        <v>2</v>
      </c>
      <c r="CN3555">
        <v>0</v>
      </c>
      <c r="CO3555">
        <v>2</v>
      </c>
      <c r="CP3555">
        <v>0</v>
      </c>
      <c r="CQ3555">
        <v>6</v>
      </c>
      <c r="CR3555" t="s">
        <v>116</v>
      </c>
      <c r="CS3555">
        <v>38</v>
      </c>
      <c r="CT3555">
        <v>0</v>
      </c>
      <c r="CU3555" t="s">
        <v>4719</v>
      </c>
      <c r="CV3555" t="s">
        <v>4720</v>
      </c>
      <c r="CY3555">
        <v>8050650</v>
      </c>
      <c r="CZ3555" t="s">
        <v>119</v>
      </c>
    </row>
    <row r="3556" spans="1:104" x14ac:dyDescent="0.25">
      <c r="A3556" t="str">
        <f>"14:49:36.906"</f>
        <v>14:49:36.906</v>
      </c>
      <c r="B3556" t="s">
        <v>108</v>
      </c>
      <c r="C3556" t="str">
        <f t="shared" si="166"/>
        <v>ffdfd3c0</v>
      </c>
      <c r="D3556" t="s">
        <v>109</v>
      </c>
      <c r="E3556">
        <v>4</v>
      </c>
      <c r="F3556">
        <v>1004</v>
      </c>
      <c r="G3556" t="s">
        <v>110</v>
      </c>
      <c r="J3556" t="s">
        <v>111</v>
      </c>
      <c r="K3556">
        <v>0</v>
      </c>
      <c r="L3556">
        <v>3</v>
      </c>
      <c r="M3556">
        <v>0</v>
      </c>
      <c r="N3556">
        <v>2</v>
      </c>
      <c r="O3556">
        <v>1</v>
      </c>
      <c r="P3556">
        <v>0</v>
      </c>
      <c r="Q3556">
        <v>0</v>
      </c>
      <c r="R3556" t="s">
        <v>112</v>
      </c>
      <c r="S3556" t="str">
        <f>"14:49:36.742"</f>
        <v>14:49:36.742</v>
      </c>
      <c r="T3556" t="str">
        <f>"14:49:36.242"</f>
        <v>14:49:36.242</v>
      </c>
      <c r="U3556" t="str">
        <f t="shared" si="165"/>
        <v>ad5732</v>
      </c>
      <c r="V3556">
        <v>0</v>
      </c>
      <c r="W3556">
        <v>0</v>
      </c>
      <c r="X3556">
        <v>1</v>
      </c>
      <c r="Z3556">
        <v>0</v>
      </c>
      <c r="AA3556">
        <v>9</v>
      </c>
      <c r="AB3556">
        <v>3</v>
      </c>
      <c r="AC3556">
        <v>0</v>
      </c>
      <c r="AD3556">
        <v>10</v>
      </c>
      <c r="AE3556">
        <v>0</v>
      </c>
      <c r="AF3556">
        <v>3</v>
      </c>
      <c r="AG3556">
        <v>2</v>
      </c>
      <c r="AH3556">
        <v>0</v>
      </c>
      <c r="AI3556" t="s">
        <v>7169</v>
      </c>
      <c r="AJ3556">
        <v>40.402178999999997</v>
      </c>
      <c r="AK3556" t="s">
        <v>7170</v>
      </c>
      <c r="AL3556">
        <v>-74.527409000000006</v>
      </c>
      <c r="AM3556">
        <v>100</v>
      </c>
      <c r="AN3556">
        <v>1700</v>
      </c>
      <c r="AO3556" t="s">
        <v>115</v>
      </c>
      <c r="AP3556">
        <v>107</v>
      </c>
      <c r="AQ3556">
        <v>59</v>
      </c>
      <c r="AR3556">
        <v>128</v>
      </c>
      <c r="AZ3556">
        <v>3614</v>
      </c>
      <c r="BA3556">
        <v>1</v>
      </c>
      <c r="BB3556" t="str">
        <f t="shared" si="167"/>
        <v xml:space="preserve">N959MJ  </v>
      </c>
      <c r="BC3556">
        <v>1</v>
      </c>
      <c r="BE3556">
        <v>0</v>
      </c>
      <c r="BF3556">
        <v>0</v>
      </c>
      <c r="BG3556">
        <v>0</v>
      </c>
      <c r="BH3556">
        <v>1875</v>
      </c>
      <c r="BI3556">
        <v>175</v>
      </c>
      <c r="BJ3556">
        <v>1</v>
      </c>
      <c r="BK3556">
        <v>1</v>
      </c>
      <c r="BL3556">
        <v>1</v>
      </c>
      <c r="BM3556">
        <v>0</v>
      </c>
      <c r="BP3556">
        <v>0</v>
      </c>
      <c r="BQ3556">
        <v>0</v>
      </c>
      <c r="BX3556" t="str">
        <f>"14:49:36.750"</f>
        <v>14:49:36.750</v>
      </c>
      <c r="BY3556" t="str">
        <f>"746404284"</f>
        <v>746404284</v>
      </c>
      <c r="CL3556">
        <v>0</v>
      </c>
      <c r="CM3556">
        <v>2</v>
      </c>
      <c r="CN3556">
        <v>0</v>
      </c>
      <c r="CO3556">
        <v>2</v>
      </c>
      <c r="CP3556">
        <v>0</v>
      </c>
      <c r="CQ3556">
        <v>6</v>
      </c>
      <c r="CR3556" t="s">
        <v>116</v>
      </c>
      <c r="CS3556">
        <v>305</v>
      </c>
      <c r="CT3556">
        <v>3</v>
      </c>
      <c r="CU3556" t="s">
        <v>6425</v>
      </c>
      <c r="CV3556" t="s">
        <v>6426</v>
      </c>
      <c r="CY3556">
        <v>5915478</v>
      </c>
      <c r="CZ3556" t="s">
        <v>119</v>
      </c>
    </row>
    <row r="3557" spans="1:104" x14ac:dyDescent="0.25">
      <c r="A3557" t="str">
        <f>"14:49:37.969"</f>
        <v>14:49:37.969</v>
      </c>
      <c r="B3557" t="s">
        <v>108</v>
      </c>
      <c r="C3557" t="str">
        <f t="shared" si="166"/>
        <v>ffdfd3c0</v>
      </c>
      <c r="D3557" t="s">
        <v>109</v>
      </c>
      <c r="E3557">
        <v>4</v>
      </c>
      <c r="F3557">
        <v>1004</v>
      </c>
      <c r="G3557" t="s">
        <v>110</v>
      </c>
      <c r="J3557" t="s">
        <v>111</v>
      </c>
      <c r="K3557">
        <v>0</v>
      </c>
      <c r="L3557">
        <v>3</v>
      </c>
      <c r="M3557">
        <v>0</v>
      </c>
      <c r="N3557">
        <v>2</v>
      </c>
      <c r="O3557">
        <v>1</v>
      </c>
      <c r="P3557">
        <v>0</v>
      </c>
      <c r="Q3557">
        <v>0</v>
      </c>
      <c r="R3557" t="s">
        <v>112</v>
      </c>
      <c r="S3557" t="str">
        <f>"14:49:37.773"</f>
        <v>14:49:37.773</v>
      </c>
      <c r="T3557" t="str">
        <f>"14:49:37.273"</f>
        <v>14:49:37.273</v>
      </c>
      <c r="U3557" t="str">
        <f t="shared" si="165"/>
        <v>ad5732</v>
      </c>
      <c r="V3557">
        <v>0</v>
      </c>
      <c r="W3557">
        <v>0</v>
      </c>
      <c r="X3557">
        <v>1</v>
      </c>
      <c r="Z3557">
        <v>0</v>
      </c>
      <c r="AA3557">
        <v>9</v>
      </c>
      <c r="AB3557">
        <v>3</v>
      </c>
      <c r="AC3557">
        <v>0</v>
      </c>
      <c r="AD3557">
        <v>10</v>
      </c>
      <c r="AE3557">
        <v>0</v>
      </c>
      <c r="AF3557">
        <v>3</v>
      </c>
      <c r="AG3557">
        <v>2</v>
      </c>
      <c r="AH3557">
        <v>0</v>
      </c>
      <c r="AI3557" t="s">
        <v>6353</v>
      </c>
      <c r="AJ3557">
        <v>40.402458000000003</v>
      </c>
      <c r="AK3557" t="s">
        <v>7171</v>
      </c>
      <c r="AL3557">
        <v>-74.526786999999999</v>
      </c>
      <c r="AM3557">
        <v>100</v>
      </c>
      <c r="AN3557">
        <v>1700</v>
      </c>
      <c r="AO3557" t="s">
        <v>115</v>
      </c>
      <c r="AP3557">
        <v>107</v>
      </c>
      <c r="AQ3557">
        <v>59</v>
      </c>
      <c r="AR3557">
        <v>128</v>
      </c>
      <c r="AZ3557">
        <v>3614</v>
      </c>
      <c r="BA3557">
        <v>1</v>
      </c>
      <c r="BB3557" t="str">
        <f t="shared" si="167"/>
        <v xml:space="preserve">N959MJ  </v>
      </c>
      <c r="BC3557">
        <v>1</v>
      </c>
      <c r="BE3557">
        <v>0</v>
      </c>
      <c r="BF3557">
        <v>0</v>
      </c>
      <c r="BG3557">
        <v>0</v>
      </c>
      <c r="BH3557">
        <v>1900</v>
      </c>
      <c r="BI3557">
        <v>200</v>
      </c>
      <c r="BJ3557">
        <v>1</v>
      </c>
      <c r="BK3557">
        <v>1</v>
      </c>
      <c r="BL3557">
        <v>1</v>
      </c>
      <c r="BM3557">
        <v>0</v>
      </c>
      <c r="BP3557">
        <v>0</v>
      </c>
      <c r="BQ3557">
        <v>0</v>
      </c>
      <c r="BX3557" t="str">
        <f>"14:49:37.773"</f>
        <v>14:49:37.773</v>
      </c>
      <c r="BY3557" t="str">
        <f>"775403806"</f>
        <v>775403806</v>
      </c>
      <c r="CL3557">
        <v>0</v>
      </c>
      <c r="CM3557">
        <v>2</v>
      </c>
      <c r="CN3557">
        <v>0</v>
      </c>
      <c r="CO3557">
        <v>2</v>
      </c>
      <c r="CP3557">
        <v>0</v>
      </c>
      <c r="CQ3557">
        <v>5</v>
      </c>
      <c r="CR3557" t="s">
        <v>116</v>
      </c>
      <c r="CS3557">
        <v>409</v>
      </c>
      <c r="CT3557">
        <v>1</v>
      </c>
      <c r="CU3557" t="s">
        <v>5087</v>
      </c>
      <c r="CV3557" t="s">
        <v>5088</v>
      </c>
      <c r="CY3557">
        <v>4469820</v>
      </c>
      <c r="CZ3557" t="s">
        <v>119</v>
      </c>
    </row>
    <row r="3558" spans="1:104" x14ac:dyDescent="0.25">
      <c r="A3558" t="str">
        <f>"14:49:38.977"</f>
        <v>14:49:38.977</v>
      </c>
      <c r="B3558" t="s">
        <v>108</v>
      </c>
      <c r="C3558" t="str">
        <f t="shared" si="166"/>
        <v>ffdfd3c0</v>
      </c>
      <c r="D3558" t="s">
        <v>109</v>
      </c>
      <c r="E3558">
        <v>4</v>
      </c>
      <c r="F3558">
        <v>1004</v>
      </c>
      <c r="G3558" t="s">
        <v>110</v>
      </c>
      <c r="J3558" t="s">
        <v>111</v>
      </c>
      <c r="K3558">
        <v>0</v>
      </c>
      <c r="L3558">
        <v>3</v>
      </c>
      <c r="M3558">
        <v>0</v>
      </c>
      <c r="N3558">
        <v>2</v>
      </c>
      <c r="O3558">
        <v>1</v>
      </c>
      <c r="P3558">
        <v>0</v>
      </c>
      <c r="Q3558">
        <v>0</v>
      </c>
      <c r="R3558" t="s">
        <v>112</v>
      </c>
      <c r="S3558" t="str">
        <f>"14:49:38.789"</f>
        <v>14:49:38.789</v>
      </c>
      <c r="T3558" t="str">
        <f>"14:49:38.391"</f>
        <v>14:49:38.391</v>
      </c>
      <c r="U3558" t="str">
        <f t="shared" si="165"/>
        <v>ad5732</v>
      </c>
      <c r="V3558">
        <v>0</v>
      </c>
      <c r="W3558">
        <v>0</v>
      </c>
      <c r="X3558">
        <v>1</v>
      </c>
      <c r="Z3558">
        <v>0</v>
      </c>
      <c r="AA3558">
        <v>9</v>
      </c>
      <c r="AB3558">
        <v>3</v>
      </c>
      <c r="AC3558">
        <v>0</v>
      </c>
      <c r="AD3558">
        <v>10</v>
      </c>
      <c r="AE3558">
        <v>0</v>
      </c>
      <c r="AF3558">
        <v>3</v>
      </c>
      <c r="AG3558">
        <v>2</v>
      </c>
      <c r="AH3558">
        <v>0</v>
      </c>
      <c r="AI3558" t="s">
        <v>7172</v>
      </c>
      <c r="AJ3558">
        <v>40.402715000000001</v>
      </c>
      <c r="AK3558" t="s">
        <v>7173</v>
      </c>
      <c r="AL3558">
        <v>-74.526122000000001</v>
      </c>
      <c r="AM3558">
        <v>100</v>
      </c>
      <c r="AN3558">
        <v>1700</v>
      </c>
      <c r="AO3558" t="s">
        <v>115</v>
      </c>
      <c r="AP3558">
        <v>107</v>
      </c>
      <c r="AQ3558">
        <v>59</v>
      </c>
      <c r="AR3558">
        <v>128</v>
      </c>
      <c r="AZ3558">
        <v>3614</v>
      </c>
      <c r="BA3558">
        <v>1</v>
      </c>
      <c r="BB3558" t="str">
        <f t="shared" si="167"/>
        <v xml:space="preserve">N959MJ  </v>
      </c>
      <c r="BC3558">
        <v>1</v>
      </c>
      <c r="BE3558">
        <v>0</v>
      </c>
      <c r="BF3558">
        <v>0</v>
      </c>
      <c r="BG3558">
        <v>0</v>
      </c>
      <c r="BH3558">
        <v>1900</v>
      </c>
      <c r="BI3558">
        <v>200</v>
      </c>
      <c r="BJ3558">
        <v>1</v>
      </c>
      <c r="BK3558">
        <v>1</v>
      </c>
      <c r="BL3558">
        <v>1</v>
      </c>
      <c r="BM3558">
        <v>0</v>
      </c>
      <c r="BP3558">
        <v>0</v>
      </c>
      <c r="BQ3558">
        <v>0</v>
      </c>
      <c r="BX3558" t="str">
        <f>"14:49:38.797"</f>
        <v>14:49:38.797</v>
      </c>
      <c r="BY3558" t="str">
        <f>"794439895"</f>
        <v>794439895</v>
      </c>
      <c r="CL3558">
        <v>0</v>
      </c>
      <c r="CM3558">
        <v>2</v>
      </c>
      <c r="CN3558">
        <v>0</v>
      </c>
      <c r="CO3558">
        <v>2</v>
      </c>
      <c r="CP3558">
        <v>0</v>
      </c>
      <c r="CQ3558">
        <v>6</v>
      </c>
      <c r="CR3558" t="s">
        <v>116</v>
      </c>
      <c r="CS3558">
        <v>305</v>
      </c>
      <c r="CT3558">
        <v>3</v>
      </c>
      <c r="CU3558" t="s">
        <v>6425</v>
      </c>
      <c r="CV3558" t="s">
        <v>6426</v>
      </c>
      <c r="CY3558">
        <v>5919504</v>
      </c>
      <c r="CZ3558" t="s">
        <v>119</v>
      </c>
    </row>
    <row r="3559" spans="1:104" x14ac:dyDescent="0.25">
      <c r="A3559" t="str">
        <f>"14:49:40.039"</f>
        <v>14:49:40.039</v>
      </c>
      <c r="B3559" t="s">
        <v>108</v>
      </c>
      <c r="C3559" t="str">
        <f t="shared" si="166"/>
        <v>ffdfd3c0</v>
      </c>
      <c r="D3559" t="s">
        <v>109</v>
      </c>
      <c r="E3559">
        <v>4</v>
      </c>
      <c r="F3559">
        <v>1004</v>
      </c>
      <c r="G3559" t="s">
        <v>110</v>
      </c>
      <c r="J3559" t="s">
        <v>111</v>
      </c>
      <c r="K3559">
        <v>0</v>
      </c>
      <c r="L3559">
        <v>3</v>
      </c>
      <c r="M3559">
        <v>0</v>
      </c>
      <c r="N3559">
        <v>2</v>
      </c>
      <c r="O3559">
        <v>1</v>
      </c>
      <c r="P3559">
        <v>0</v>
      </c>
      <c r="Q3559">
        <v>0</v>
      </c>
      <c r="R3559" t="s">
        <v>112</v>
      </c>
      <c r="S3559" t="str">
        <f>"14:49:39.844"</f>
        <v>14:49:39.844</v>
      </c>
      <c r="T3559" t="str">
        <f>"14:49:39.445"</f>
        <v>14:49:39.445</v>
      </c>
      <c r="U3559" t="str">
        <f t="shared" si="165"/>
        <v>ad5732</v>
      </c>
      <c r="V3559">
        <v>0</v>
      </c>
      <c r="W3559">
        <v>0</v>
      </c>
      <c r="X3559">
        <v>1</v>
      </c>
      <c r="Z3559">
        <v>0</v>
      </c>
      <c r="AA3559">
        <v>9</v>
      </c>
      <c r="AB3559">
        <v>3</v>
      </c>
      <c r="AC3559">
        <v>0</v>
      </c>
      <c r="AD3559">
        <v>10</v>
      </c>
      <c r="AE3559">
        <v>0</v>
      </c>
      <c r="AF3559">
        <v>3</v>
      </c>
      <c r="AG3559">
        <v>2</v>
      </c>
      <c r="AH3559">
        <v>0</v>
      </c>
      <c r="AI3559" t="s">
        <v>7174</v>
      </c>
      <c r="AJ3559">
        <v>40.403016000000001</v>
      </c>
      <c r="AK3559" t="s">
        <v>7175</v>
      </c>
      <c r="AL3559">
        <v>-74.525435000000002</v>
      </c>
      <c r="AM3559">
        <v>100</v>
      </c>
      <c r="AN3559">
        <v>1700</v>
      </c>
      <c r="AO3559" t="s">
        <v>115</v>
      </c>
      <c r="AP3559">
        <v>107</v>
      </c>
      <c r="AQ3559">
        <v>58</v>
      </c>
      <c r="AR3559">
        <v>64</v>
      </c>
      <c r="AZ3559">
        <v>3614</v>
      </c>
      <c r="BA3559">
        <v>1</v>
      </c>
      <c r="BB3559" t="str">
        <f t="shared" si="167"/>
        <v xml:space="preserve">N959MJ  </v>
      </c>
      <c r="BC3559">
        <v>1</v>
      </c>
      <c r="BE3559">
        <v>0</v>
      </c>
      <c r="BF3559">
        <v>0</v>
      </c>
      <c r="BG3559">
        <v>0</v>
      </c>
      <c r="BH3559">
        <v>1900</v>
      </c>
      <c r="BI3559">
        <v>200</v>
      </c>
      <c r="BJ3559">
        <v>1</v>
      </c>
      <c r="BK3559">
        <v>1</v>
      </c>
      <c r="BL3559">
        <v>1</v>
      </c>
      <c r="BM3559">
        <v>0</v>
      </c>
      <c r="BP3559">
        <v>0</v>
      </c>
      <c r="BQ3559">
        <v>0</v>
      </c>
      <c r="BX3559" t="str">
        <f>"14:49:39.852"</f>
        <v>14:49:39.852</v>
      </c>
      <c r="BY3559" t="str">
        <f>"847908376"</f>
        <v>847908376</v>
      </c>
      <c r="CL3559">
        <v>0</v>
      </c>
      <c r="CM3559">
        <v>2</v>
      </c>
      <c r="CN3559">
        <v>0</v>
      </c>
      <c r="CO3559">
        <v>2</v>
      </c>
      <c r="CP3559">
        <v>0</v>
      </c>
      <c r="CQ3559">
        <v>6</v>
      </c>
      <c r="CR3559" t="s">
        <v>116</v>
      </c>
      <c r="CS3559">
        <v>38</v>
      </c>
      <c r="CT3559">
        <v>0</v>
      </c>
      <c r="CU3559" t="s">
        <v>4719</v>
      </c>
      <c r="CV3559" t="s">
        <v>4720</v>
      </c>
      <c r="CY3559">
        <v>8057086</v>
      </c>
      <c r="CZ3559" t="s">
        <v>119</v>
      </c>
    </row>
    <row r="3560" spans="1:104" x14ac:dyDescent="0.25">
      <c r="A3560" t="str">
        <f>"14:49:40.945"</f>
        <v>14:49:40.945</v>
      </c>
      <c r="B3560" t="s">
        <v>108</v>
      </c>
      <c r="C3560" t="str">
        <f t="shared" si="166"/>
        <v>ffdfd3c0</v>
      </c>
      <c r="D3560" t="s">
        <v>109</v>
      </c>
      <c r="E3560">
        <v>4</v>
      </c>
      <c r="F3560">
        <v>1004</v>
      </c>
      <c r="G3560" t="s">
        <v>110</v>
      </c>
      <c r="J3560" t="s">
        <v>111</v>
      </c>
      <c r="K3560">
        <v>0</v>
      </c>
      <c r="L3560">
        <v>3</v>
      </c>
      <c r="M3560">
        <v>0</v>
      </c>
      <c r="N3560">
        <v>2</v>
      </c>
      <c r="O3560">
        <v>1</v>
      </c>
      <c r="P3560">
        <v>0</v>
      </c>
      <c r="Q3560">
        <v>0</v>
      </c>
      <c r="R3560" t="s">
        <v>112</v>
      </c>
      <c r="S3560" t="str">
        <f>"14:49:40.766"</f>
        <v>14:49:40.766</v>
      </c>
      <c r="T3560" t="str">
        <f>"14:49:40.367"</f>
        <v>14:49:40.367</v>
      </c>
      <c r="U3560" t="str">
        <f t="shared" si="165"/>
        <v>ad5732</v>
      </c>
      <c r="V3560">
        <v>0</v>
      </c>
      <c r="W3560">
        <v>0</v>
      </c>
      <c r="X3560">
        <v>1</v>
      </c>
      <c r="Z3560">
        <v>0</v>
      </c>
      <c r="AA3560">
        <v>9</v>
      </c>
      <c r="AB3560">
        <v>3</v>
      </c>
      <c r="AC3560">
        <v>0</v>
      </c>
      <c r="AD3560">
        <v>10</v>
      </c>
      <c r="AE3560">
        <v>0</v>
      </c>
      <c r="AF3560">
        <v>3</v>
      </c>
      <c r="AG3560">
        <v>2</v>
      </c>
      <c r="AH3560">
        <v>0</v>
      </c>
      <c r="AI3560" t="s">
        <v>7176</v>
      </c>
      <c r="AJ3560">
        <v>40.403272999999999</v>
      </c>
      <c r="AK3560" t="s">
        <v>7177</v>
      </c>
      <c r="AL3560">
        <v>-74.524833999999998</v>
      </c>
      <c r="AM3560">
        <v>100</v>
      </c>
      <c r="AN3560">
        <v>1700</v>
      </c>
      <c r="AO3560" t="s">
        <v>115</v>
      </c>
      <c r="AP3560">
        <v>107</v>
      </c>
      <c r="AQ3560">
        <v>58</v>
      </c>
      <c r="AR3560">
        <v>0</v>
      </c>
      <c r="AZ3560">
        <v>3614</v>
      </c>
      <c r="BA3560">
        <v>1</v>
      </c>
      <c r="BB3560" t="str">
        <f t="shared" si="167"/>
        <v xml:space="preserve">N959MJ  </v>
      </c>
      <c r="BC3560">
        <v>1</v>
      </c>
      <c r="BE3560">
        <v>0</v>
      </c>
      <c r="BF3560">
        <v>0</v>
      </c>
      <c r="BG3560">
        <v>0</v>
      </c>
      <c r="BH3560">
        <v>1900</v>
      </c>
      <c r="BI3560">
        <v>200</v>
      </c>
      <c r="BJ3560">
        <v>1</v>
      </c>
      <c r="BK3560">
        <v>1</v>
      </c>
      <c r="BL3560">
        <v>1</v>
      </c>
      <c r="BM3560">
        <v>0</v>
      </c>
      <c r="BP3560">
        <v>0</v>
      </c>
      <c r="BQ3560">
        <v>0</v>
      </c>
      <c r="BX3560" t="str">
        <f>"14:49:40.766"</f>
        <v>14:49:40.766</v>
      </c>
      <c r="BY3560" t="str">
        <f>"768705523"</f>
        <v>768705523</v>
      </c>
      <c r="CL3560">
        <v>0</v>
      </c>
      <c r="CM3560">
        <v>2</v>
      </c>
      <c r="CN3560">
        <v>0</v>
      </c>
      <c r="CO3560">
        <v>2</v>
      </c>
      <c r="CP3560">
        <v>0</v>
      </c>
      <c r="CQ3560">
        <v>6</v>
      </c>
      <c r="CR3560" t="s">
        <v>116</v>
      </c>
      <c r="CS3560">
        <v>38</v>
      </c>
      <c r="CT3560">
        <v>0</v>
      </c>
      <c r="CU3560" t="s">
        <v>4719</v>
      </c>
      <c r="CV3560" t="s">
        <v>4720</v>
      </c>
      <c r="CY3560">
        <v>8058520</v>
      </c>
      <c r="CZ3560" t="s">
        <v>119</v>
      </c>
    </row>
    <row r="3561" spans="1:104" x14ac:dyDescent="0.25">
      <c r="A3561" t="str">
        <f>"14:49:42.008"</f>
        <v>14:49:42.008</v>
      </c>
      <c r="B3561" t="s">
        <v>108</v>
      </c>
      <c r="C3561" t="str">
        <f t="shared" si="166"/>
        <v>ffdfd3c0</v>
      </c>
      <c r="D3561" t="s">
        <v>109</v>
      </c>
      <c r="E3561">
        <v>4</v>
      </c>
      <c r="F3561">
        <v>1004</v>
      </c>
      <c r="G3561" t="s">
        <v>110</v>
      </c>
      <c r="J3561" t="s">
        <v>111</v>
      </c>
      <c r="K3561">
        <v>0</v>
      </c>
      <c r="L3561">
        <v>3</v>
      </c>
      <c r="M3561">
        <v>0</v>
      </c>
      <c r="N3561">
        <v>2</v>
      </c>
      <c r="O3561">
        <v>1</v>
      </c>
      <c r="P3561">
        <v>0</v>
      </c>
      <c r="Q3561">
        <v>0</v>
      </c>
      <c r="R3561" t="s">
        <v>112</v>
      </c>
      <c r="S3561" t="str">
        <f>"14:49:41.789"</f>
        <v>14:49:41.789</v>
      </c>
      <c r="T3561" t="str">
        <f>"14:49:41.289"</f>
        <v>14:49:41.289</v>
      </c>
      <c r="U3561" t="str">
        <f t="shared" si="165"/>
        <v>ad5732</v>
      </c>
      <c r="V3561">
        <v>0</v>
      </c>
      <c r="W3561">
        <v>0</v>
      </c>
      <c r="X3561">
        <v>1</v>
      </c>
      <c r="Z3561">
        <v>0</v>
      </c>
      <c r="AA3561">
        <v>9</v>
      </c>
      <c r="AB3561">
        <v>3</v>
      </c>
      <c r="AC3561">
        <v>0</v>
      </c>
      <c r="AD3561">
        <v>10</v>
      </c>
      <c r="AE3561">
        <v>0</v>
      </c>
      <c r="AF3561">
        <v>3</v>
      </c>
      <c r="AG3561">
        <v>2</v>
      </c>
      <c r="AH3561">
        <v>0</v>
      </c>
      <c r="AI3561" t="s">
        <v>6234</v>
      </c>
      <c r="AJ3561">
        <v>40.403551999999998</v>
      </c>
      <c r="AK3561" t="s">
        <v>7178</v>
      </c>
      <c r="AL3561">
        <v>-74.524169000000001</v>
      </c>
      <c r="AM3561">
        <v>100</v>
      </c>
      <c r="AN3561">
        <v>1700</v>
      </c>
      <c r="AO3561" t="s">
        <v>115</v>
      </c>
      <c r="AP3561">
        <v>107</v>
      </c>
      <c r="AQ3561">
        <v>57</v>
      </c>
      <c r="AR3561">
        <v>-64</v>
      </c>
      <c r="AZ3561">
        <v>3614</v>
      </c>
      <c r="BA3561">
        <v>1</v>
      </c>
      <c r="BB3561" t="str">
        <f t="shared" si="167"/>
        <v xml:space="preserve">N959MJ  </v>
      </c>
      <c r="BC3561">
        <v>1</v>
      </c>
      <c r="BE3561">
        <v>0</v>
      </c>
      <c r="BF3561">
        <v>0</v>
      </c>
      <c r="BG3561">
        <v>0</v>
      </c>
      <c r="BH3561">
        <v>1900</v>
      </c>
      <c r="BI3561">
        <v>200</v>
      </c>
      <c r="BJ3561">
        <v>1</v>
      </c>
      <c r="BK3561">
        <v>1</v>
      </c>
      <c r="BL3561">
        <v>1</v>
      </c>
      <c r="BM3561">
        <v>0</v>
      </c>
      <c r="BP3561">
        <v>0</v>
      </c>
      <c r="BQ3561">
        <v>0</v>
      </c>
      <c r="BX3561" t="str">
        <f>"14:49:41.797"</f>
        <v>14:49:41.797</v>
      </c>
      <c r="BY3561" t="str">
        <f>"796000570"</f>
        <v>796000570</v>
      </c>
      <c r="CL3561">
        <v>0</v>
      </c>
      <c r="CM3561">
        <v>2</v>
      </c>
      <c r="CN3561">
        <v>0</v>
      </c>
      <c r="CO3561">
        <v>2</v>
      </c>
      <c r="CP3561">
        <v>0</v>
      </c>
      <c r="CQ3561">
        <v>6</v>
      </c>
      <c r="CR3561" t="s">
        <v>116</v>
      </c>
      <c r="CS3561">
        <v>38</v>
      </c>
      <c r="CT3561">
        <v>0</v>
      </c>
      <c r="CU3561" t="s">
        <v>4719</v>
      </c>
      <c r="CV3561" t="s">
        <v>4720</v>
      </c>
      <c r="CY3561">
        <v>8060153</v>
      </c>
      <c r="CZ3561" t="s">
        <v>119</v>
      </c>
    </row>
    <row r="3562" spans="1:104" x14ac:dyDescent="0.25">
      <c r="A3562" t="str">
        <f>"14:49:42.969"</f>
        <v>14:49:42.969</v>
      </c>
      <c r="B3562" t="s">
        <v>108</v>
      </c>
      <c r="C3562" t="str">
        <f t="shared" si="166"/>
        <v>ffdfd3c0</v>
      </c>
      <c r="D3562" t="s">
        <v>109</v>
      </c>
      <c r="E3562">
        <v>4</v>
      </c>
      <c r="F3562">
        <v>1004</v>
      </c>
      <c r="G3562" t="s">
        <v>110</v>
      </c>
      <c r="J3562" t="s">
        <v>111</v>
      </c>
      <c r="K3562">
        <v>0</v>
      </c>
      <c r="L3562">
        <v>3</v>
      </c>
      <c r="M3562">
        <v>0</v>
      </c>
      <c r="N3562">
        <v>2</v>
      </c>
      <c r="O3562">
        <v>1</v>
      </c>
      <c r="P3562">
        <v>0</v>
      </c>
      <c r="Q3562">
        <v>0</v>
      </c>
      <c r="R3562" t="s">
        <v>112</v>
      </c>
      <c r="S3562" t="str">
        <f>"14:49:42.781"</f>
        <v>14:49:42.781</v>
      </c>
      <c r="T3562" t="str">
        <f>"14:49:41.883"</f>
        <v>14:49:41.883</v>
      </c>
      <c r="U3562" t="str">
        <f t="shared" si="165"/>
        <v>ad5732</v>
      </c>
      <c r="V3562">
        <v>0</v>
      </c>
      <c r="W3562">
        <v>0</v>
      </c>
      <c r="X3562">
        <v>1</v>
      </c>
      <c r="Z3562">
        <v>0</v>
      </c>
      <c r="AA3562">
        <v>9</v>
      </c>
      <c r="AB3562">
        <v>3</v>
      </c>
      <c r="AC3562">
        <v>0</v>
      </c>
      <c r="AD3562">
        <v>10</v>
      </c>
      <c r="AE3562">
        <v>0</v>
      </c>
      <c r="AF3562">
        <v>3</v>
      </c>
      <c r="AG3562">
        <v>2</v>
      </c>
      <c r="AH3562">
        <v>0</v>
      </c>
      <c r="AI3562" t="s">
        <v>7179</v>
      </c>
      <c r="AJ3562">
        <v>40.403787999999999</v>
      </c>
      <c r="AK3562" t="s">
        <v>7180</v>
      </c>
      <c r="AL3562">
        <v>-74.523504000000003</v>
      </c>
      <c r="AM3562">
        <v>100</v>
      </c>
      <c r="AN3562">
        <v>1700</v>
      </c>
      <c r="AO3562" t="s">
        <v>115</v>
      </c>
      <c r="AP3562">
        <v>107</v>
      </c>
      <c r="AQ3562">
        <v>57</v>
      </c>
      <c r="AR3562">
        <v>-64</v>
      </c>
      <c r="AZ3562">
        <v>3614</v>
      </c>
      <c r="BA3562">
        <v>1</v>
      </c>
      <c r="BB3562" t="str">
        <f t="shared" si="167"/>
        <v xml:space="preserve">N959MJ  </v>
      </c>
      <c r="BC3562">
        <v>1</v>
      </c>
      <c r="BE3562">
        <v>0</v>
      </c>
      <c r="BF3562">
        <v>0</v>
      </c>
      <c r="BG3562">
        <v>0</v>
      </c>
      <c r="BH3562">
        <v>1900</v>
      </c>
      <c r="BI3562">
        <v>200</v>
      </c>
      <c r="BJ3562">
        <v>1</v>
      </c>
      <c r="BK3562">
        <v>1</v>
      </c>
      <c r="BL3562">
        <v>1</v>
      </c>
      <c r="BM3562">
        <v>0</v>
      </c>
      <c r="BP3562">
        <v>0</v>
      </c>
      <c r="BQ3562">
        <v>0</v>
      </c>
      <c r="BX3562" t="str">
        <f>"14:49:42.789"</f>
        <v>14:49:42.789</v>
      </c>
      <c r="BY3562" t="str">
        <f>"785611790"</f>
        <v>785611790</v>
      </c>
      <c r="CL3562">
        <v>0</v>
      </c>
      <c r="CM3562">
        <v>2</v>
      </c>
      <c r="CN3562">
        <v>0</v>
      </c>
      <c r="CO3562">
        <v>2</v>
      </c>
      <c r="CP3562">
        <v>0</v>
      </c>
      <c r="CQ3562">
        <v>6</v>
      </c>
      <c r="CR3562" t="s">
        <v>116</v>
      </c>
      <c r="CS3562">
        <v>38</v>
      </c>
      <c r="CT3562">
        <v>0</v>
      </c>
      <c r="CU3562" t="s">
        <v>4719</v>
      </c>
      <c r="CV3562" t="s">
        <v>4720</v>
      </c>
      <c r="CY3562">
        <v>8061565</v>
      </c>
      <c r="CZ3562" t="s">
        <v>119</v>
      </c>
    </row>
    <row r="3563" spans="1:104" x14ac:dyDescent="0.25">
      <c r="A3563" t="str">
        <f>"14:49:44.078"</f>
        <v>14:49:44.078</v>
      </c>
      <c r="B3563" t="s">
        <v>108</v>
      </c>
      <c r="C3563" t="str">
        <f t="shared" si="166"/>
        <v>ffdfd3c0</v>
      </c>
      <c r="D3563" t="s">
        <v>109</v>
      </c>
      <c r="E3563">
        <v>4</v>
      </c>
      <c r="F3563">
        <v>1004</v>
      </c>
      <c r="G3563" t="s">
        <v>110</v>
      </c>
      <c r="J3563" t="s">
        <v>111</v>
      </c>
      <c r="K3563">
        <v>0</v>
      </c>
      <c r="L3563">
        <v>3</v>
      </c>
      <c r="M3563">
        <v>0</v>
      </c>
      <c r="N3563">
        <v>2</v>
      </c>
      <c r="O3563">
        <v>1</v>
      </c>
      <c r="P3563">
        <v>0</v>
      </c>
      <c r="Q3563">
        <v>0</v>
      </c>
      <c r="R3563" t="s">
        <v>112</v>
      </c>
      <c r="S3563" t="str">
        <f>"14:49:43.891"</f>
        <v>14:49:43.891</v>
      </c>
      <c r="T3563" t="str">
        <f>"14:49:43.391"</f>
        <v>14:49:43.391</v>
      </c>
      <c r="U3563" t="str">
        <f t="shared" si="165"/>
        <v>ad5732</v>
      </c>
      <c r="V3563">
        <v>0</v>
      </c>
      <c r="W3563">
        <v>0</v>
      </c>
      <c r="X3563">
        <v>1</v>
      </c>
      <c r="Z3563">
        <v>0</v>
      </c>
      <c r="AA3563">
        <v>9</v>
      </c>
      <c r="AB3563">
        <v>3</v>
      </c>
      <c r="AC3563">
        <v>0</v>
      </c>
      <c r="AD3563">
        <v>10</v>
      </c>
      <c r="AE3563">
        <v>0</v>
      </c>
      <c r="AF3563">
        <v>3</v>
      </c>
      <c r="AG3563">
        <v>2</v>
      </c>
      <c r="AH3563">
        <v>0</v>
      </c>
      <c r="AI3563" t="s">
        <v>6236</v>
      </c>
      <c r="AJ3563">
        <v>40.404088000000002</v>
      </c>
      <c r="AK3563" t="s">
        <v>7181</v>
      </c>
      <c r="AL3563">
        <v>-74.522817000000003</v>
      </c>
      <c r="AM3563">
        <v>100</v>
      </c>
      <c r="AN3563">
        <v>1700</v>
      </c>
      <c r="AO3563" t="s">
        <v>115</v>
      </c>
      <c r="AP3563">
        <v>107</v>
      </c>
      <c r="AQ3563">
        <v>57</v>
      </c>
      <c r="AR3563">
        <v>-64</v>
      </c>
      <c r="AZ3563">
        <v>3614</v>
      </c>
      <c r="BA3563">
        <v>1</v>
      </c>
      <c r="BB3563" t="str">
        <f t="shared" si="167"/>
        <v xml:space="preserve">N959MJ  </v>
      </c>
      <c r="BC3563">
        <v>1</v>
      </c>
      <c r="BE3563">
        <v>0</v>
      </c>
      <c r="BF3563">
        <v>0</v>
      </c>
      <c r="BG3563">
        <v>0</v>
      </c>
      <c r="BH3563">
        <v>1900</v>
      </c>
      <c r="BI3563">
        <v>200</v>
      </c>
      <c r="BJ3563">
        <v>1</v>
      </c>
      <c r="BK3563">
        <v>1</v>
      </c>
      <c r="BL3563">
        <v>1</v>
      </c>
      <c r="BM3563">
        <v>0</v>
      </c>
      <c r="BP3563">
        <v>0</v>
      </c>
      <c r="BQ3563">
        <v>0</v>
      </c>
      <c r="BX3563" t="str">
        <f>"14:49:43.898"</f>
        <v>14:49:43.898</v>
      </c>
      <c r="BY3563" t="str">
        <f>"896466666"</f>
        <v>896466666</v>
      </c>
      <c r="CL3563">
        <v>0</v>
      </c>
      <c r="CM3563">
        <v>2</v>
      </c>
      <c r="CN3563">
        <v>0</v>
      </c>
      <c r="CO3563">
        <v>2</v>
      </c>
      <c r="CP3563">
        <v>0</v>
      </c>
      <c r="CQ3563">
        <v>6</v>
      </c>
      <c r="CR3563" t="s">
        <v>116</v>
      </c>
      <c r="CS3563">
        <v>38</v>
      </c>
      <c r="CT3563">
        <v>0</v>
      </c>
      <c r="CU3563" t="s">
        <v>4719</v>
      </c>
      <c r="CV3563" t="s">
        <v>4720</v>
      </c>
      <c r="CY3563">
        <v>8063246</v>
      </c>
      <c r="CZ3563" t="s">
        <v>119</v>
      </c>
    </row>
    <row r="3564" spans="1:104" x14ac:dyDescent="0.25">
      <c r="A3564" t="str">
        <f>"14:49:44.938"</f>
        <v>14:49:44.938</v>
      </c>
      <c r="B3564" t="s">
        <v>108</v>
      </c>
      <c r="C3564" t="str">
        <f t="shared" si="166"/>
        <v>ffdfd3c0</v>
      </c>
      <c r="D3564" t="s">
        <v>109</v>
      </c>
      <c r="E3564">
        <v>4</v>
      </c>
      <c r="F3564">
        <v>1004</v>
      </c>
      <c r="G3564" t="s">
        <v>110</v>
      </c>
      <c r="J3564" t="s">
        <v>111</v>
      </c>
      <c r="K3564">
        <v>0</v>
      </c>
      <c r="L3564">
        <v>3</v>
      </c>
      <c r="M3564">
        <v>0</v>
      </c>
      <c r="N3564">
        <v>2</v>
      </c>
      <c r="O3564">
        <v>1</v>
      </c>
      <c r="P3564">
        <v>0</v>
      </c>
      <c r="Q3564">
        <v>0</v>
      </c>
      <c r="R3564" t="s">
        <v>112</v>
      </c>
      <c r="S3564" t="str">
        <f>"14:49:44.781"</f>
        <v>14:49:44.781</v>
      </c>
      <c r="T3564" t="str">
        <f>"14:49:44.383"</f>
        <v>14:49:44.383</v>
      </c>
      <c r="U3564" t="str">
        <f t="shared" si="165"/>
        <v>ad5732</v>
      </c>
      <c r="V3564">
        <v>0</v>
      </c>
      <c r="W3564">
        <v>0</v>
      </c>
      <c r="X3564">
        <v>1</v>
      </c>
      <c r="Z3564">
        <v>0</v>
      </c>
      <c r="AA3564">
        <v>9</v>
      </c>
      <c r="AB3564">
        <v>3</v>
      </c>
      <c r="AC3564">
        <v>0</v>
      </c>
      <c r="AD3564">
        <v>10</v>
      </c>
      <c r="AE3564">
        <v>0</v>
      </c>
      <c r="AF3564">
        <v>3</v>
      </c>
      <c r="AG3564">
        <v>2</v>
      </c>
      <c r="AH3564">
        <v>0</v>
      </c>
      <c r="AI3564" t="s">
        <v>7182</v>
      </c>
      <c r="AJ3564">
        <v>40.404325</v>
      </c>
      <c r="AK3564" t="s">
        <v>7183</v>
      </c>
      <c r="AL3564">
        <v>-74.522216</v>
      </c>
      <c r="AM3564">
        <v>100</v>
      </c>
      <c r="AN3564">
        <v>1700</v>
      </c>
      <c r="AO3564" t="s">
        <v>115</v>
      </c>
      <c r="AP3564">
        <v>107</v>
      </c>
      <c r="AQ3564">
        <v>57</v>
      </c>
      <c r="AR3564">
        <v>-64</v>
      </c>
      <c r="AZ3564">
        <v>3614</v>
      </c>
      <c r="BA3564">
        <v>1</v>
      </c>
      <c r="BB3564" t="str">
        <f t="shared" si="167"/>
        <v xml:space="preserve">N959MJ  </v>
      </c>
      <c r="BC3564">
        <v>1</v>
      </c>
      <c r="BE3564">
        <v>0</v>
      </c>
      <c r="BF3564">
        <v>0</v>
      </c>
      <c r="BG3564">
        <v>0</v>
      </c>
      <c r="BH3564">
        <v>1900</v>
      </c>
      <c r="BI3564">
        <v>200</v>
      </c>
      <c r="BJ3564">
        <v>1</v>
      </c>
      <c r="BK3564">
        <v>1</v>
      </c>
      <c r="BL3564">
        <v>1</v>
      </c>
      <c r="BM3564">
        <v>0</v>
      </c>
      <c r="BP3564">
        <v>0</v>
      </c>
      <c r="BQ3564">
        <v>0</v>
      </c>
      <c r="BX3564" t="str">
        <f>"14:49:44.789"</f>
        <v>14:49:44.789</v>
      </c>
      <c r="BY3564" t="str">
        <f>"786133661"</f>
        <v>786133661</v>
      </c>
      <c r="CL3564">
        <v>0</v>
      </c>
      <c r="CM3564">
        <v>2</v>
      </c>
      <c r="CN3564">
        <v>0</v>
      </c>
      <c r="CO3564">
        <v>2</v>
      </c>
      <c r="CP3564">
        <v>0</v>
      </c>
      <c r="CQ3564">
        <v>6</v>
      </c>
      <c r="CR3564" t="s">
        <v>116</v>
      </c>
      <c r="CS3564">
        <v>38</v>
      </c>
      <c r="CT3564">
        <v>0</v>
      </c>
      <c r="CU3564" t="s">
        <v>4719</v>
      </c>
      <c r="CV3564" t="s">
        <v>4720</v>
      </c>
      <c r="CY3564">
        <v>8064665</v>
      </c>
      <c r="CZ3564" t="s">
        <v>119</v>
      </c>
    </row>
    <row r="3565" spans="1:104" x14ac:dyDescent="0.25">
      <c r="A3565" t="str">
        <f>"14:49:46.047"</f>
        <v>14:49:46.047</v>
      </c>
      <c r="B3565" t="s">
        <v>108</v>
      </c>
      <c r="C3565" t="str">
        <f t="shared" si="166"/>
        <v>ffdfd3c0</v>
      </c>
      <c r="D3565" t="s">
        <v>109</v>
      </c>
      <c r="E3565">
        <v>4</v>
      </c>
      <c r="F3565">
        <v>1004</v>
      </c>
      <c r="G3565" t="s">
        <v>110</v>
      </c>
      <c r="J3565" t="s">
        <v>111</v>
      </c>
      <c r="K3565">
        <v>0</v>
      </c>
      <c r="L3565">
        <v>3</v>
      </c>
      <c r="M3565">
        <v>0</v>
      </c>
      <c r="N3565">
        <v>2</v>
      </c>
      <c r="O3565">
        <v>1</v>
      </c>
      <c r="P3565">
        <v>0</v>
      </c>
      <c r="Q3565">
        <v>0</v>
      </c>
      <c r="R3565" t="s">
        <v>112</v>
      </c>
      <c r="S3565" t="str">
        <f>"14:49:45.852"</f>
        <v>14:49:45.852</v>
      </c>
      <c r="T3565" t="str">
        <f>"14:49:45.352"</f>
        <v>14:49:45.352</v>
      </c>
      <c r="U3565" t="str">
        <f t="shared" si="165"/>
        <v>ad5732</v>
      </c>
      <c r="V3565">
        <v>0</v>
      </c>
      <c r="W3565">
        <v>0</v>
      </c>
      <c r="X3565">
        <v>1</v>
      </c>
      <c r="Z3565">
        <v>0</v>
      </c>
      <c r="AA3565">
        <v>9</v>
      </c>
      <c r="AB3565">
        <v>3</v>
      </c>
      <c r="AC3565">
        <v>0</v>
      </c>
      <c r="AD3565">
        <v>10</v>
      </c>
      <c r="AE3565">
        <v>0</v>
      </c>
      <c r="AF3565">
        <v>3</v>
      </c>
      <c r="AG3565">
        <v>2</v>
      </c>
      <c r="AH3565">
        <v>0</v>
      </c>
      <c r="AI3565" t="s">
        <v>6317</v>
      </c>
      <c r="AJ3565">
        <v>40.404603000000002</v>
      </c>
      <c r="AK3565" t="s">
        <v>7184</v>
      </c>
      <c r="AL3565">
        <v>-74.521507999999997</v>
      </c>
      <c r="AM3565">
        <v>100</v>
      </c>
      <c r="AN3565">
        <v>1700</v>
      </c>
      <c r="AO3565" t="s">
        <v>115</v>
      </c>
      <c r="AP3565">
        <v>107</v>
      </c>
      <c r="AQ3565">
        <v>57</v>
      </c>
      <c r="AR3565">
        <v>-64</v>
      </c>
      <c r="AZ3565">
        <v>3614</v>
      </c>
      <c r="BA3565">
        <v>1</v>
      </c>
      <c r="BB3565" t="str">
        <f t="shared" si="167"/>
        <v xml:space="preserve">N959MJ  </v>
      </c>
      <c r="BC3565">
        <v>1</v>
      </c>
      <c r="BE3565">
        <v>0</v>
      </c>
      <c r="BF3565">
        <v>0</v>
      </c>
      <c r="BG3565">
        <v>0</v>
      </c>
      <c r="BH3565">
        <v>1900</v>
      </c>
      <c r="BI3565">
        <v>200</v>
      </c>
      <c r="BJ3565">
        <v>1</v>
      </c>
      <c r="BK3565">
        <v>1</v>
      </c>
      <c r="BL3565">
        <v>1</v>
      </c>
      <c r="BM3565">
        <v>0</v>
      </c>
      <c r="BP3565">
        <v>0</v>
      </c>
      <c r="BQ3565">
        <v>0</v>
      </c>
      <c r="BX3565" t="str">
        <f>"14:49:45.859"</f>
        <v>14:49:45.859</v>
      </c>
      <c r="BY3565" t="str">
        <f>"856027868"</f>
        <v>856027868</v>
      </c>
      <c r="CL3565">
        <v>0</v>
      </c>
      <c r="CM3565">
        <v>2</v>
      </c>
      <c r="CN3565">
        <v>0</v>
      </c>
      <c r="CO3565">
        <v>2</v>
      </c>
      <c r="CP3565">
        <v>0</v>
      </c>
      <c r="CQ3565">
        <v>7</v>
      </c>
      <c r="CR3565" t="s">
        <v>116</v>
      </c>
      <c r="CS3565">
        <v>38</v>
      </c>
      <c r="CT3565">
        <v>0</v>
      </c>
      <c r="CU3565" t="s">
        <v>4719</v>
      </c>
      <c r="CV3565" t="s">
        <v>4720</v>
      </c>
      <c r="CY3565">
        <v>8066363</v>
      </c>
      <c r="CZ3565" t="s">
        <v>119</v>
      </c>
    </row>
    <row r="3566" spans="1:104" x14ac:dyDescent="0.25">
      <c r="A3566" t="str">
        <f>"14:49:47.055"</f>
        <v>14:49:47.055</v>
      </c>
      <c r="B3566" t="s">
        <v>108</v>
      </c>
      <c r="C3566" t="str">
        <f t="shared" si="166"/>
        <v>ffdfd3c0</v>
      </c>
      <c r="D3566" t="s">
        <v>109</v>
      </c>
      <c r="E3566">
        <v>4</v>
      </c>
      <c r="F3566">
        <v>1004</v>
      </c>
      <c r="G3566" t="s">
        <v>110</v>
      </c>
      <c r="J3566" t="s">
        <v>111</v>
      </c>
      <c r="K3566">
        <v>0</v>
      </c>
      <c r="L3566">
        <v>3</v>
      </c>
      <c r="M3566">
        <v>0</v>
      </c>
      <c r="N3566">
        <v>2</v>
      </c>
      <c r="O3566">
        <v>1</v>
      </c>
      <c r="P3566">
        <v>0</v>
      </c>
      <c r="Q3566">
        <v>0</v>
      </c>
      <c r="R3566" t="s">
        <v>112</v>
      </c>
      <c r="S3566" t="str">
        <f>"14:49:46.875"</f>
        <v>14:49:46.875</v>
      </c>
      <c r="T3566" t="str">
        <f>"14:49:46.477"</f>
        <v>14:49:46.477</v>
      </c>
      <c r="U3566" t="str">
        <f t="shared" si="165"/>
        <v>ad5732</v>
      </c>
      <c r="V3566">
        <v>0</v>
      </c>
      <c r="W3566">
        <v>0</v>
      </c>
      <c r="X3566">
        <v>1</v>
      </c>
      <c r="Z3566">
        <v>0</v>
      </c>
      <c r="AA3566">
        <v>9</v>
      </c>
      <c r="AB3566">
        <v>3</v>
      </c>
      <c r="AC3566">
        <v>0</v>
      </c>
      <c r="AD3566">
        <v>10</v>
      </c>
      <c r="AE3566">
        <v>0</v>
      </c>
      <c r="AF3566">
        <v>3</v>
      </c>
      <c r="AG3566">
        <v>2</v>
      </c>
      <c r="AH3566">
        <v>0</v>
      </c>
      <c r="AI3566" t="s">
        <v>7185</v>
      </c>
      <c r="AJ3566">
        <v>40.404882000000001</v>
      </c>
      <c r="AK3566" t="s">
        <v>7186</v>
      </c>
      <c r="AL3566">
        <v>-74.520821999999995</v>
      </c>
      <c r="AM3566">
        <v>100</v>
      </c>
      <c r="AN3566">
        <v>1700</v>
      </c>
      <c r="AO3566" t="s">
        <v>115</v>
      </c>
      <c r="AP3566">
        <v>107</v>
      </c>
      <c r="AQ3566">
        <v>56</v>
      </c>
      <c r="AR3566">
        <v>0</v>
      </c>
      <c r="AZ3566">
        <v>3614</v>
      </c>
      <c r="BA3566">
        <v>1</v>
      </c>
      <c r="BB3566" t="str">
        <f t="shared" si="167"/>
        <v xml:space="preserve">N959MJ  </v>
      </c>
      <c r="BC3566">
        <v>1</v>
      </c>
      <c r="BE3566">
        <v>0</v>
      </c>
      <c r="BF3566">
        <v>0</v>
      </c>
      <c r="BG3566">
        <v>0</v>
      </c>
      <c r="BH3566">
        <v>1900</v>
      </c>
      <c r="BI3566">
        <v>200</v>
      </c>
      <c r="BJ3566">
        <v>1</v>
      </c>
      <c r="BK3566">
        <v>1</v>
      </c>
      <c r="BL3566">
        <v>1</v>
      </c>
      <c r="BM3566">
        <v>0</v>
      </c>
      <c r="BP3566">
        <v>0</v>
      </c>
      <c r="BQ3566">
        <v>0</v>
      </c>
      <c r="BX3566" t="str">
        <f>"14:49:46.875"</f>
        <v>14:49:46.875</v>
      </c>
      <c r="BY3566" t="str">
        <f>"878445804"</f>
        <v>878445804</v>
      </c>
      <c r="CL3566">
        <v>0</v>
      </c>
      <c r="CM3566">
        <v>2</v>
      </c>
      <c r="CN3566">
        <v>0</v>
      </c>
      <c r="CO3566">
        <v>2</v>
      </c>
      <c r="CP3566">
        <v>0</v>
      </c>
      <c r="CQ3566">
        <v>6</v>
      </c>
      <c r="CR3566" t="s">
        <v>116</v>
      </c>
      <c r="CS3566">
        <v>305</v>
      </c>
      <c r="CT3566">
        <v>3</v>
      </c>
      <c r="CU3566" t="s">
        <v>6425</v>
      </c>
      <c r="CV3566" t="s">
        <v>6426</v>
      </c>
      <c r="CY3566">
        <v>5935855</v>
      </c>
      <c r="CZ3566" t="s">
        <v>119</v>
      </c>
    </row>
    <row r="3567" spans="1:104" x14ac:dyDescent="0.25">
      <c r="A3567" t="str">
        <f>"14:49:48.219"</f>
        <v>14:49:48.219</v>
      </c>
      <c r="B3567" t="s">
        <v>108</v>
      </c>
      <c r="C3567" t="str">
        <f t="shared" si="166"/>
        <v>ffdfd3c0</v>
      </c>
      <c r="D3567" t="s">
        <v>109</v>
      </c>
      <c r="E3567">
        <v>4</v>
      </c>
      <c r="F3567">
        <v>1004</v>
      </c>
      <c r="G3567" t="s">
        <v>110</v>
      </c>
      <c r="J3567" t="s">
        <v>111</v>
      </c>
      <c r="K3567">
        <v>0</v>
      </c>
      <c r="L3567">
        <v>3</v>
      </c>
      <c r="M3567">
        <v>0</v>
      </c>
      <c r="N3567">
        <v>2</v>
      </c>
      <c r="O3567">
        <v>1</v>
      </c>
      <c r="P3567">
        <v>0</v>
      </c>
      <c r="Q3567">
        <v>0</v>
      </c>
      <c r="R3567" t="s">
        <v>112</v>
      </c>
      <c r="S3567" t="str">
        <f>"14:49:48.055"</f>
        <v>14:49:48.055</v>
      </c>
      <c r="T3567" t="str">
        <f>"14:49:47.555"</f>
        <v>14:49:47.555</v>
      </c>
      <c r="U3567" t="str">
        <f t="shared" si="165"/>
        <v>ad5732</v>
      </c>
      <c r="V3567">
        <v>0</v>
      </c>
      <c r="W3567">
        <v>0</v>
      </c>
      <c r="X3567">
        <v>1</v>
      </c>
      <c r="Z3567">
        <v>0</v>
      </c>
      <c r="AA3567">
        <v>9</v>
      </c>
      <c r="AB3567">
        <v>3</v>
      </c>
      <c r="AC3567">
        <v>0</v>
      </c>
      <c r="AD3567">
        <v>10</v>
      </c>
      <c r="AE3567">
        <v>0</v>
      </c>
      <c r="AF3567">
        <v>3</v>
      </c>
      <c r="AG3567">
        <v>2</v>
      </c>
      <c r="AH3567">
        <v>0</v>
      </c>
      <c r="AI3567" t="s">
        <v>6308</v>
      </c>
      <c r="AJ3567">
        <v>40.405203999999998</v>
      </c>
      <c r="AK3567" t="s">
        <v>7187</v>
      </c>
      <c r="AL3567">
        <v>-74.520071000000002</v>
      </c>
      <c r="AM3567">
        <v>100</v>
      </c>
      <c r="AN3567">
        <v>1700</v>
      </c>
      <c r="AO3567" t="s">
        <v>115</v>
      </c>
      <c r="AP3567">
        <v>107</v>
      </c>
      <c r="AQ3567">
        <v>57</v>
      </c>
      <c r="AR3567">
        <v>0</v>
      </c>
      <c r="AZ3567">
        <v>3614</v>
      </c>
      <c r="BA3567">
        <v>1</v>
      </c>
      <c r="BB3567" t="str">
        <f t="shared" si="167"/>
        <v xml:space="preserve">N959MJ  </v>
      </c>
      <c r="BC3567">
        <v>1</v>
      </c>
      <c r="BE3567">
        <v>0</v>
      </c>
      <c r="BF3567">
        <v>0</v>
      </c>
      <c r="BG3567">
        <v>0</v>
      </c>
      <c r="BH3567">
        <v>1900</v>
      </c>
      <c r="BI3567">
        <v>200</v>
      </c>
      <c r="BJ3567">
        <v>1</v>
      </c>
      <c r="BK3567">
        <v>1</v>
      </c>
      <c r="BL3567">
        <v>1</v>
      </c>
      <c r="BM3567">
        <v>0</v>
      </c>
      <c r="BP3567">
        <v>0</v>
      </c>
      <c r="BQ3567">
        <v>0</v>
      </c>
      <c r="BX3567" t="str">
        <f>"14:49:48.063"</f>
        <v>14:49:48.063</v>
      </c>
      <c r="BY3567" t="str">
        <f>"061353471"</f>
        <v>061353471</v>
      </c>
      <c r="CL3567">
        <v>0</v>
      </c>
      <c r="CM3567">
        <v>2</v>
      </c>
      <c r="CN3567">
        <v>0</v>
      </c>
      <c r="CO3567">
        <v>2</v>
      </c>
      <c r="CP3567">
        <v>0</v>
      </c>
      <c r="CQ3567">
        <v>6</v>
      </c>
      <c r="CR3567" t="s">
        <v>116</v>
      </c>
      <c r="CS3567">
        <v>38</v>
      </c>
      <c r="CT3567">
        <v>0</v>
      </c>
      <c r="CU3567" t="s">
        <v>4719</v>
      </c>
      <c r="CV3567" t="s">
        <v>4720</v>
      </c>
      <c r="CY3567">
        <v>8069598</v>
      </c>
      <c r="CZ3567" t="s">
        <v>119</v>
      </c>
    </row>
    <row r="3568" spans="1:104" x14ac:dyDescent="0.25">
      <c r="A3568" t="str">
        <f>"14:49:49.281"</f>
        <v>14:49:49.281</v>
      </c>
      <c r="B3568" t="s">
        <v>108</v>
      </c>
      <c r="C3568" t="str">
        <f t="shared" si="166"/>
        <v>ffdfd3c0</v>
      </c>
      <c r="D3568" t="s">
        <v>109</v>
      </c>
      <c r="E3568">
        <v>4</v>
      </c>
      <c r="F3568">
        <v>1004</v>
      </c>
      <c r="G3568" t="s">
        <v>110</v>
      </c>
      <c r="J3568" t="s">
        <v>111</v>
      </c>
      <c r="K3568">
        <v>0</v>
      </c>
      <c r="L3568">
        <v>3</v>
      </c>
      <c r="M3568">
        <v>0</v>
      </c>
      <c r="N3568">
        <v>2</v>
      </c>
      <c r="O3568">
        <v>1</v>
      </c>
      <c r="P3568">
        <v>0</v>
      </c>
      <c r="Q3568">
        <v>0</v>
      </c>
      <c r="R3568" t="s">
        <v>112</v>
      </c>
      <c r="S3568" t="str">
        <f>"14:49:49.070"</f>
        <v>14:49:49.070</v>
      </c>
      <c r="T3568" t="str">
        <f>"14:49:48.570"</f>
        <v>14:49:48.570</v>
      </c>
      <c r="U3568" t="str">
        <f t="shared" si="165"/>
        <v>ad5732</v>
      </c>
      <c r="V3568">
        <v>0</v>
      </c>
      <c r="W3568">
        <v>0</v>
      </c>
      <c r="X3568">
        <v>1</v>
      </c>
      <c r="Z3568">
        <v>0</v>
      </c>
      <c r="AA3568">
        <v>9</v>
      </c>
      <c r="AB3568">
        <v>3</v>
      </c>
      <c r="AC3568">
        <v>0</v>
      </c>
      <c r="AD3568">
        <v>10</v>
      </c>
      <c r="AE3568">
        <v>0</v>
      </c>
      <c r="AF3568">
        <v>3</v>
      </c>
      <c r="AG3568">
        <v>2</v>
      </c>
      <c r="AH3568">
        <v>0</v>
      </c>
      <c r="AI3568" t="s">
        <v>7188</v>
      </c>
      <c r="AJ3568">
        <v>40.405439999999999</v>
      </c>
      <c r="AK3568" t="s">
        <v>7189</v>
      </c>
      <c r="AL3568">
        <v>-74.519447999999997</v>
      </c>
      <c r="AM3568">
        <v>100</v>
      </c>
      <c r="AN3568">
        <v>1700</v>
      </c>
      <c r="AO3568" t="s">
        <v>115</v>
      </c>
      <c r="AP3568">
        <v>107</v>
      </c>
      <c r="AQ3568">
        <v>57</v>
      </c>
      <c r="AR3568">
        <v>0</v>
      </c>
      <c r="AZ3568">
        <v>3614</v>
      </c>
      <c r="BA3568">
        <v>1</v>
      </c>
      <c r="BB3568" t="str">
        <f t="shared" si="167"/>
        <v xml:space="preserve">N959MJ  </v>
      </c>
      <c r="BC3568">
        <v>1</v>
      </c>
      <c r="BE3568">
        <v>0</v>
      </c>
      <c r="BF3568">
        <v>0</v>
      </c>
      <c r="BG3568">
        <v>0</v>
      </c>
      <c r="BH3568">
        <v>1900</v>
      </c>
      <c r="BI3568">
        <v>200</v>
      </c>
      <c r="BJ3568">
        <v>1</v>
      </c>
      <c r="BK3568">
        <v>1</v>
      </c>
      <c r="BL3568">
        <v>1</v>
      </c>
      <c r="BM3568">
        <v>0</v>
      </c>
      <c r="BP3568">
        <v>0</v>
      </c>
      <c r="BQ3568">
        <v>0</v>
      </c>
      <c r="BX3568" t="str">
        <f>"14:49:49.070"</f>
        <v>14:49:49.070</v>
      </c>
      <c r="BY3568" t="str">
        <f>"070625743"</f>
        <v>070625743</v>
      </c>
      <c r="CL3568">
        <v>0</v>
      </c>
      <c r="CM3568">
        <v>2</v>
      </c>
      <c r="CN3568">
        <v>0</v>
      </c>
      <c r="CO3568">
        <v>2</v>
      </c>
      <c r="CP3568">
        <v>0</v>
      </c>
      <c r="CQ3568">
        <v>6</v>
      </c>
      <c r="CR3568" t="s">
        <v>116</v>
      </c>
      <c r="CS3568">
        <v>38</v>
      </c>
      <c r="CT3568">
        <v>0</v>
      </c>
      <c r="CU3568" t="s">
        <v>4719</v>
      </c>
      <c r="CV3568" t="s">
        <v>4720</v>
      </c>
      <c r="CY3568">
        <v>8071131</v>
      </c>
      <c r="CZ3568" t="s">
        <v>119</v>
      </c>
    </row>
    <row r="3569" spans="1:104" x14ac:dyDescent="0.25">
      <c r="A3569" t="str">
        <f>"14:49:50.391"</f>
        <v>14:49:50.391</v>
      </c>
      <c r="B3569" t="s">
        <v>108</v>
      </c>
      <c r="C3569" t="str">
        <f t="shared" si="166"/>
        <v>ffdfd3c0</v>
      </c>
      <c r="D3569" t="s">
        <v>109</v>
      </c>
      <c r="E3569">
        <v>4</v>
      </c>
      <c r="F3569">
        <v>1004</v>
      </c>
      <c r="G3569" t="s">
        <v>110</v>
      </c>
      <c r="J3569" t="s">
        <v>111</v>
      </c>
      <c r="K3569">
        <v>0</v>
      </c>
      <c r="L3569">
        <v>3</v>
      </c>
      <c r="M3569">
        <v>0</v>
      </c>
      <c r="N3569">
        <v>2</v>
      </c>
      <c r="O3569">
        <v>1</v>
      </c>
      <c r="P3569">
        <v>0</v>
      </c>
      <c r="Q3569">
        <v>0</v>
      </c>
      <c r="R3569" t="s">
        <v>112</v>
      </c>
      <c r="S3569" t="str">
        <f>"14:49:50.211"</f>
        <v>14:49:50.211</v>
      </c>
      <c r="T3569" t="str">
        <f>"14:49:49.711"</f>
        <v>14:49:49.711</v>
      </c>
      <c r="U3569" t="str">
        <f t="shared" si="165"/>
        <v>ad5732</v>
      </c>
      <c r="V3569">
        <v>0</v>
      </c>
      <c r="W3569">
        <v>0</v>
      </c>
      <c r="X3569">
        <v>1</v>
      </c>
      <c r="Z3569">
        <v>0</v>
      </c>
      <c r="AA3569">
        <v>9</v>
      </c>
      <c r="AB3569">
        <v>3</v>
      </c>
      <c r="AC3569">
        <v>0</v>
      </c>
      <c r="AD3569">
        <v>10</v>
      </c>
      <c r="AE3569">
        <v>0</v>
      </c>
      <c r="AF3569">
        <v>3</v>
      </c>
      <c r="AG3569">
        <v>2</v>
      </c>
      <c r="AH3569">
        <v>0</v>
      </c>
      <c r="AI3569" t="s">
        <v>6244</v>
      </c>
      <c r="AJ3569">
        <v>40.405740999999999</v>
      </c>
      <c r="AK3569" t="s">
        <v>7190</v>
      </c>
      <c r="AL3569">
        <v>-74.518739999999994</v>
      </c>
      <c r="AM3569">
        <v>100</v>
      </c>
      <c r="AN3569">
        <v>1700</v>
      </c>
      <c r="AO3569" t="s">
        <v>115</v>
      </c>
      <c r="AP3569">
        <v>107</v>
      </c>
      <c r="AQ3569">
        <v>57</v>
      </c>
      <c r="AR3569">
        <v>0</v>
      </c>
      <c r="AZ3569">
        <v>3614</v>
      </c>
      <c r="BA3569">
        <v>1</v>
      </c>
      <c r="BB3569" t="str">
        <f t="shared" si="167"/>
        <v xml:space="preserve">N959MJ  </v>
      </c>
      <c r="BC3569">
        <v>1</v>
      </c>
      <c r="BE3569">
        <v>0</v>
      </c>
      <c r="BF3569">
        <v>0</v>
      </c>
      <c r="BG3569">
        <v>0</v>
      </c>
      <c r="BH3569">
        <v>1900</v>
      </c>
      <c r="BI3569">
        <v>200</v>
      </c>
      <c r="BJ3569">
        <v>1</v>
      </c>
      <c r="BK3569">
        <v>1</v>
      </c>
      <c r="BL3569">
        <v>1</v>
      </c>
      <c r="BM3569">
        <v>0</v>
      </c>
      <c r="BP3569">
        <v>0</v>
      </c>
      <c r="BQ3569">
        <v>0</v>
      </c>
      <c r="BX3569" t="str">
        <f>"14:49:50.211"</f>
        <v>14:49:50.211</v>
      </c>
      <c r="BY3569" t="str">
        <f>"210972493"</f>
        <v>210972493</v>
      </c>
      <c r="CL3569">
        <v>0</v>
      </c>
      <c r="CM3569">
        <v>2</v>
      </c>
      <c r="CN3569">
        <v>0</v>
      </c>
      <c r="CO3569">
        <v>2</v>
      </c>
      <c r="CP3569">
        <v>0</v>
      </c>
      <c r="CQ3569">
        <v>6</v>
      </c>
      <c r="CR3569" t="s">
        <v>116</v>
      </c>
      <c r="CS3569">
        <v>38</v>
      </c>
      <c r="CT3569">
        <v>0</v>
      </c>
      <c r="CU3569" t="s">
        <v>4719</v>
      </c>
      <c r="CV3569" t="s">
        <v>4720</v>
      </c>
      <c r="CY3569">
        <v>8072910</v>
      </c>
      <c r="CZ3569" t="s">
        <v>119</v>
      </c>
    </row>
    <row r="3570" spans="1:104" x14ac:dyDescent="0.25">
      <c r="A3570" t="str">
        <f>"14:49:51.547"</f>
        <v>14:49:51.547</v>
      </c>
      <c r="B3570" t="s">
        <v>108</v>
      </c>
      <c r="C3570" t="str">
        <f t="shared" si="166"/>
        <v>ffdfd3c0</v>
      </c>
      <c r="D3570" t="s">
        <v>109</v>
      </c>
      <c r="E3570">
        <v>4</v>
      </c>
      <c r="F3570">
        <v>1004</v>
      </c>
      <c r="G3570" t="s">
        <v>110</v>
      </c>
      <c r="J3570" t="s">
        <v>111</v>
      </c>
      <c r="K3570">
        <v>0</v>
      </c>
      <c r="L3570">
        <v>3</v>
      </c>
      <c r="M3570">
        <v>0</v>
      </c>
      <c r="N3570">
        <v>2</v>
      </c>
      <c r="O3570">
        <v>1</v>
      </c>
      <c r="P3570">
        <v>0</v>
      </c>
      <c r="Q3570">
        <v>0</v>
      </c>
      <c r="R3570" t="s">
        <v>112</v>
      </c>
      <c r="S3570" t="str">
        <f>"14:49:51.344"</f>
        <v>14:49:51.344</v>
      </c>
      <c r="T3570" t="str">
        <f>"14:49:50.844"</f>
        <v>14:49:50.844</v>
      </c>
      <c r="U3570" t="str">
        <f t="shared" si="165"/>
        <v>ad5732</v>
      </c>
      <c r="V3570">
        <v>0</v>
      </c>
      <c r="W3570">
        <v>0</v>
      </c>
      <c r="X3570">
        <v>1</v>
      </c>
      <c r="Z3570">
        <v>0</v>
      </c>
      <c r="AA3570">
        <v>9</v>
      </c>
      <c r="AB3570">
        <v>3</v>
      </c>
      <c r="AC3570">
        <v>0</v>
      </c>
      <c r="AD3570">
        <v>10</v>
      </c>
      <c r="AE3570">
        <v>0</v>
      </c>
      <c r="AF3570">
        <v>3</v>
      </c>
      <c r="AG3570">
        <v>2</v>
      </c>
      <c r="AH3570">
        <v>0</v>
      </c>
      <c r="AI3570" t="s">
        <v>7191</v>
      </c>
      <c r="AJ3570">
        <v>40.406063000000003</v>
      </c>
      <c r="AK3570" t="s">
        <v>7192</v>
      </c>
      <c r="AL3570">
        <v>-74.517945999999995</v>
      </c>
      <c r="AM3570">
        <v>100</v>
      </c>
      <c r="AN3570">
        <v>1700</v>
      </c>
      <c r="AO3570" t="s">
        <v>115</v>
      </c>
      <c r="AP3570">
        <v>107</v>
      </c>
      <c r="AQ3570">
        <v>57</v>
      </c>
      <c r="AR3570">
        <v>0</v>
      </c>
      <c r="AZ3570">
        <v>3614</v>
      </c>
      <c r="BA3570">
        <v>1</v>
      </c>
      <c r="BB3570" t="str">
        <f t="shared" si="167"/>
        <v xml:space="preserve">N959MJ  </v>
      </c>
      <c r="BC3570">
        <v>1</v>
      </c>
      <c r="BE3570">
        <v>0</v>
      </c>
      <c r="BF3570">
        <v>0</v>
      </c>
      <c r="BG3570">
        <v>0</v>
      </c>
      <c r="BH3570">
        <v>1900</v>
      </c>
      <c r="BI3570">
        <v>200</v>
      </c>
      <c r="BJ3570">
        <v>1</v>
      </c>
      <c r="BK3570">
        <v>1</v>
      </c>
      <c r="BL3570">
        <v>1</v>
      </c>
      <c r="BM3570">
        <v>0</v>
      </c>
      <c r="BP3570">
        <v>0</v>
      </c>
      <c r="BQ3570">
        <v>0</v>
      </c>
      <c r="BX3570" t="str">
        <f>"14:49:51.344"</f>
        <v>14:49:51.344</v>
      </c>
      <c r="BY3570" t="str">
        <f>"346440214"</f>
        <v>346440214</v>
      </c>
      <c r="CL3570">
        <v>0</v>
      </c>
      <c r="CM3570">
        <v>2</v>
      </c>
      <c r="CN3570">
        <v>0</v>
      </c>
      <c r="CO3570">
        <v>2</v>
      </c>
      <c r="CP3570">
        <v>0</v>
      </c>
      <c r="CQ3570">
        <v>6</v>
      </c>
      <c r="CR3570" t="s">
        <v>116</v>
      </c>
      <c r="CS3570">
        <v>305</v>
      </c>
      <c r="CT3570">
        <v>3</v>
      </c>
      <c r="CU3570" t="s">
        <v>6425</v>
      </c>
      <c r="CV3570" t="s">
        <v>6426</v>
      </c>
      <c r="CY3570">
        <v>5944766</v>
      </c>
      <c r="CZ3570" t="s">
        <v>119</v>
      </c>
    </row>
    <row r="3571" spans="1:104" x14ac:dyDescent="0.25">
      <c r="A3571" t="str">
        <f>"14:49:52.414"</f>
        <v>14:49:52.414</v>
      </c>
      <c r="B3571" t="s">
        <v>108</v>
      </c>
      <c r="C3571" t="str">
        <f t="shared" si="166"/>
        <v>ffdfd3c0</v>
      </c>
      <c r="D3571" t="s">
        <v>109</v>
      </c>
      <c r="E3571">
        <v>4</v>
      </c>
      <c r="F3571">
        <v>1004</v>
      </c>
      <c r="G3571" t="s">
        <v>110</v>
      </c>
      <c r="J3571" t="s">
        <v>111</v>
      </c>
      <c r="K3571">
        <v>0</v>
      </c>
      <c r="L3571">
        <v>3</v>
      </c>
      <c r="M3571">
        <v>0</v>
      </c>
      <c r="N3571">
        <v>2</v>
      </c>
      <c r="O3571">
        <v>1</v>
      </c>
      <c r="P3571">
        <v>0</v>
      </c>
      <c r="Q3571">
        <v>0</v>
      </c>
      <c r="R3571" t="s">
        <v>112</v>
      </c>
      <c r="S3571" t="str">
        <f>"14:49:52.227"</f>
        <v>14:49:52.227</v>
      </c>
      <c r="T3571" t="str">
        <f>"14:49:51.828"</f>
        <v>14:49:51.828</v>
      </c>
      <c r="U3571" t="str">
        <f t="shared" si="165"/>
        <v>ad5732</v>
      </c>
      <c r="V3571">
        <v>0</v>
      </c>
      <c r="W3571">
        <v>0</v>
      </c>
      <c r="X3571">
        <v>1</v>
      </c>
      <c r="Z3571">
        <v>0</v>
      </c>
      <c r="AA3571">
        <v>9</v>
      </c>
      <c r="AB3571">
        <v>3</v>
      </c>
      <c r="AC3571">
        <v>0</v>
      </c>
      <c r="AD3571">
        <v>10</v>
      </c>
      <c r="AE3571">
        <v>0</v>
      </c>
      <c r="AF3571">
        <v>3</v>
      </c>
      <c r="AG3571">
        <v>2</v>
      </c>
      <c r="AH3571">
        <v>0</v>
      </c>
      <c r="AI3571" t="s">
        <v>7193</v>
      </c>
      <c r="AJ3571">
        <v>40.406277000000003</v>
      </c>
      <c r="AK3571" t="s">
        <v>7194</v>
      </c>
      <c r="AL3571">
        <v>-74.517324000000002</v>
      </c>
      <c r="AM3571">
        <v>100</v>
      </c>
      <c r="AN3571">
        <v>1700</v>
      </c>
      <c r="AO3571" t="s">
        <v>115</v>
      </c>
      <c r="AP3571">
        <v>107</v>
      </c>
      <c r="AQ3571">
        <v>57</v>
      </c>
      <c r="AR3571">
        <v>0</v>
      </c>
      <c r="AZ3571">
        <v>3614</v>
      </c>
      <c r="BA3571">
        <v>1</v>
      </c>
      <c r="BB3571" t="str">
        <f t="shared" si="167"/>
        <v xml:space="preserve">N959MJ  </v>
      </c>
      <c r="BC3571">
        <v>1</v>
      </c>
      <c r="BE3571">
        <v>0</v>
      </c>
      <c r="BF3571">
        <v>0</v>
      </c>
      <c r="BG3571">
        <v>0</v>
      </c>
      <c r="BH3571">
        <v>1900</v>
      </c>
      <c r="BI3571">
        <v>200</v>
      </c>
      <c r="BJ3571">
        <v>1</v>
      </c>
      <c r="BK3571">
        <v>1</v>
      </c>
      <c r="BL3571">
        <v>1</v>
      </c>
      <c r="BM3571">
        <v>0</v>
      </c>
      <c r="BP3571">
        <v>0</v>
      </c>
      <c r="BQ3571">
        <v>0</v>
      </c>
      <c r="BX3571" t="str">
        <f>"14:49:52.234"</f>
        <v>14:49:52.234</v>
      </c>
      <c r="BY3571" t="str">
        <f>"232793947"</f>
        <v>232793947</v>
      </c>
      <c r="CL3571">
        <v>0</v>
      </c>
      <c r="CM3571">
        <v>2</v>
      </c>
      <c r="CN3571">
        <v>0</v>
      </c>
      <c r="CO3571">
        <v>2</v>
      </c>
      <c r="CP3571">
        <v>0</v>
      </c>
      <c r="CQ3571">
        <v>6</v>
      </c>
      <c r="CR3571" t="s">
        <v>116</v>
      </c>
      <c r="CS3571">
        <v>38</v>
      </c>
      <c r="CT3571">
        <v>0</v>
      </c>
      <c r="CU3571" t="s">
        <v>4719</v>
      </c>
      <c r="CV3571" t="s">
        <v>4720</v>
      </c>
      <c r="CY3571">
        <v>8075878</v>
      </c>
      <c r="CZ3571" t="s">
        <v>119</v>
      </c>
    </row>
    <row r="3572" spans="1:104" x14ac:dyDescent="0.25">
      <c r="A3572" t="str">
        <f>"14:49:53.414"</f>
        <v>14:49:53.414</v>
      </c>
      <c r="B3572" t="s">
        <v>108</v>
      </c>
      <c r="C3572" t="str">
        <f t="shared" si="166"/>
        <v>ffdfd3c0</v>
      </c>
      <c r="D3572" t="s">
        <v>109</v>
      </c>
      <c r="E3572">
        <v>4</v>
      </c>
      <c r="F3572">
        <v>1004</v>
      </c>
      <c r="G3572" t="s">
        <v>110</v>
      </c>
      <c r="J3572" t="s">
        <v>111</v>
      </c>
      <c r="K3572">
        <v>0</v>
      </c>
      <c r="L3572">
        <v>3</v>
      </c>
      <c r="M3572">
        <v>0</v>
      </c>
      <c r="N3572">
        <v>2</v>
      </c>
      <c r="O3572">
        <v>1</v>
      </c>
      <c r="P3572">
        <v>0</v>
      </c>
      <c r="Q3572">
        <v>0</v>
      </c>
      <c r="R3572" t="s">
        <v>112</v>
      </c>
      <c r="S3572" t="str">
        <f>"14:49:53.203"</f>
        <v>14:49:53.203</v>
      </c>
      <c r="T3572" t="str">
        <f>"14:49:52.805"</f>
        <v>14:49:52.805</v>
      </c>
      <c r="U3572" t="str">
        <f t="shared" si="165"/>
        <v>ad5732</v>
      </c>
      <c r="V3572">
        <v>0</v>
      </c>
      <c r="W3572">
        <v>0</v>
      </c>
      <c r="X3572">
        <v>1</v>
      </c>
      <c r="Z3572">
        <v>0</v>
      </c>
      <c r="AA3572">
        <v>9</v>
      </c>
      <c r="AB3572">
        <v>3</v>
      </c>
      <c r="AC3572">
        <v>0</v>
      </c>
      <c r="AD3572">
        <v>10</v>
      </c>
      <c r="AE3572">
        <v>0</v>
      </c>
      <c r="AF3572">
        <v>3</v>
      </c>
      <c r="AG3572">
        <v>2</v>
      </c>
      <c r="AH3572">
        <v>0</v>
      </c>
      <c r="AI3572" t="s">
        <v>7195</v>
      </c>
      <c r="AJ3572">
        <v>40.406534999999998</v>
      </c>
      <c r="AK3572" t="s">
        <v>7196</v>
      </c>
      <c r="AL3572">
        <v>-74.516788000000005</v>
      </c>
      <c r="AM3572">
        <v>100</v>
      </c>
      <c r="AN3572">
        <v>1700</v>
      </c>
      <c r="AO3572" t="s">
        <v>115</v>
      </c>
      <c r="AP3572">
        <v>106</v>
      </c>
      <c r="AQ3572">
        <v>58</v>
      </c>
      <c r="AR3572">
        <v>0</v>
      </c>
      <c r="AZ3572">
        <v>3614</v>
      </c>
      <c r="BA3572">
        <v>1</v>
      </c>
      <c r="BB3572" t="str">
        <f t="shared" si="167"/>
        <v xml:space="preserve">N959MJ  </v>
      </c>
      <c r="BC3572">
        <v>1</v>
      </c>
      <c r="BE3572">
        <v>0</v>
      </c>
      <c r="BF3572">
        <v>0</v>
      </c>
      <c r="BG3572">
        <v>0</v>
      </c>
      <c r="BH3572">
        <v>1900</v>
      </c>
      <c r="BI3572">
        <v>200</v>
      </c>
      <c r="BJ3572">
        <v>1</v>
      </c>
      <c r="BK3572">
        <v>1</v>
      </c>
      <c r="BL3572">
        <v>1</v>
      </c>
      <c r="BM3572">
        <v>0</v>
      </c>
      <c r="BP3572">
        <v>0</v>
      </c>
      <c r="BQ3572">
        <v>0</v>
      </c>
      <c r="BX3572" t="str">
        <f>"14:49:53.211"</f>
        <v>14:49:53.211</v>
      </c>
      <c r="BY3572" t="str">
        <f>"210936069"</f>
        <v>210936069</v>
      </c>
      <c r="CL3572">
        <v>0</v>
      </c>
      <c r="CM3572">
        <v>2</v>
      </c>
      <c r="CN3572">
        <v>0</v>
      </c>
      <c r="CO3572">
        <v>2</v>
      </c>
      <c r="CP3572">
        <v>0</v>
      </c>
      <c r="CQ3572">
        <v>6</v>
      </c>
      <c r="CR3572" t="s">
        <v>116</v>
      </c>
      <c r="CS3572">
        <v>38</v>
      </c>
      <c r="CT3572">
        <v>0</v>
      </c>
      <c r="CU3572" t="s">
        <v>4719</v>
      </c>
      <c r="CV3572" t="s">
        <v>4720</v>
      </c>
      <c r="CY3572">
        <v>8077342</v>
      </c>
      <c r="CZ3572" t="s">
        <v>119</v>
      </c>
    </row>
    <row r="3573" spans="1:104" x14ac:dyDescent="0.25">
      <c r="A3573" t="str">
        <f>"14:49:54.273"</f>
        <v>14:49:54.273</v>
      </c>
      <c r="B3573" t="s">
        <v>108</v>
      </c>
      <c r="C3573" t="str">
        <f t="shared" si="166"/>
        <v>ffdfd3c0</v>
      </c>
      <c r="D3573" t="s">
        <v>109</v>
      </c>
      <c r="E3573">
        <v>4</v>
      </c>
      <c r="F3573">
        <v>1004</v>
      </c>
      <c r="G3573" t="s">
        <v>110</v>
      </c>
      <c r="J3573" t="s">
        <v>111</v>
      </c>
      <c r="K3573">
        <v>0</v>
      </c>
      <c r="L3573">
        <v>3</v>
      </c>
      <c r="M3573">
        <v>0</v>
      </c>
      <c r="N3573">
        <v>2</v>
      </c>
      <c r="O3573">
        <v>1</v>
      </c>
      <c r="P3573">
        <v>0</v>
      </c>
      <c r="Q3573">
        <v>0</v>
      </c>
      <c r="R3573" t="s">
        <v>112</v>
      </c>
      <c r="S3573" t="str">
        <f>"14:49:54.086"</f>
        <v>14:49:54.086</v>
      </c>
      <c r="T3573" t="str">
        <f>"14:49:53.688"</f>
        <v>14:49:53.688</v>
      </c>
      <c r="U3573" t="str">
        <f t="shared" si="165"/>
        <v>ad5732</v>
      </c>
      <c r="V3573">
        <v>0</v>
      </c>
      <c r="W3573">
        <v>0</v>
      </c>
      <c r="X3573">
        <v>1</v>
      </c>
      <c r="Z3573">
        <v>0</v>
      </c>
      <c r="AA3573">
        <v>9</v>
      </c>
      <c r="AB3573">
        <v>3</v>
      </c>
      <c r="AC3573">
        <v>0</v>
      </c>
      <c r="AD3573">
        <v>10</v>
      </c>
      <c r="AE3573">
        <v>0</v>
      </c>
      <c r="AF3573">
        <v>3</v>
      </c>
      <c r="AG3573">
        <v>2</v>
      </c>
      <c r="AH3573">
        <v>0</v>
      </c>
      <c r="AI3573" t="s">
        <v>7197</v>
      </c>
      <c r="AJ3573">
        <v>40.406792000000003</v>
      </c>
      <c r="AK3573" t="s">
        <v>7198</v>
      </c>
      <c r="AL3573">
        <v>-74.516208000000006</v>
      </c>
      <c r="AM3573">
        <v>100</v>
      </c>
      <c r="AN3573">
        <v>1700</v>
      </c>
      <c r="AO3573" t="s">
        <v>115</v>
      </c>
      <c r="AP3573">
        <v>106</v>
      </c>
      <c r="AQ3573">
        <v>58</v>
      </c>
      <c r="AR3573">
        <v>0</v>
      </c>
      <c r="AZ3573">
        <v>3614</v>
      </c>
      <c r="BA3573">
        <v>1</v>
      </c>
      <c r="BB3573" t="str">
        <f t="shared" si="167"/>
        <v xml:space="preserve">N959MJ  </v>
      </c>
      <c r="BC3573">
        <v>1</v>
      </c>
      <c r="BE3573">
        <v>0</v>
      </c>
      <c r="BF3573">
        <v>0</v>
      </c>
      <c r="BG3573">
        <v>0</v>
      </c>
      <c r="BH3573">
        <v>1900</v>
      </c>
      <c r="BI3573">
        <v>200</v>
      </c>
      <c r="BJ3573">
        <v>1</v>
      </c>
      <c r="BK3573">
        <v>1</v>
      </c>
      <c r="BL3573">
        <v>1</v>
      </c>
      <c r="BM3573">
        <v>0</v>
      </c>
      <c r="BP3573">
        <v>0</v>
      </c>
      <c r="BQ3573">
        <v>0</v>
      </c>
      <c r="BX3573" t="str">
        <f>"14:49:54.094"</f>
        <v>14:49:54.094</v>
      </c>
      <c r="BY3573" t="str">
        <f>"090878563"</f>
        <v>090878563</v>
      </c>
      <c r="CL3573">
        <v>0</v>
      </c>
      <c r="CM3573">
        <v>2</v>
      </c>
      <c r="CN3573">
        <v>0</v>
      </c>
      <c r="CO3573">
        <v>2</v>
      </c>
      <c r="CP3573">
        <v>0</v>
      </c>
      <c r="CQ3573">
        <v>5</v>
      </c>
      <c r="CR3573" t="s">
        <v>116</v>
      </c>
      <c r="CS3573">
        <v>409</v>
      </c>
      <c r="CT3573">
        <v>1</v>
      </c>
      <c r="CU3573" t="s">
        <v>5087</v>
      </c>
      <c r="CV3573" t="s">
        <v>5088</v>
      </c>
      <c r="CY3573">
        <v>4501401</v>
      </c>
      <c r="CZ3573" t="s">
        <v>119</v>
      </c>
    </row>
    <row r="3574" spans="1:104" x14ac:dyDescent="0.25">
      <c r="A3574" t="str">
        <f>"14:49:55.336"</f>
        <v>14:49:55.336</v>
      </c>
      <c r="B3574" t="s">
        <v>108</v>
      </c>
      <c r="C3574" t="str">
        <f t="shared" si="166"/>
        <v>ffdfd3c0</v>
      </c>
      <c r="D3574" t="s">
        <v>109</v>
      </c>
      <c r="E3574">
        <v>4</v>
      </c>
      <c r="F3574">
        <v>1004</v>
      </c>
      <c r="G3574" t="s">
        <v>110</v>
      </c>
      <c r="J3574" t="s">
        <v>111</v>
      </c>
      <c r="K3574">
        <v>0</v>
      </c>
      <c r="L3574">
        <v>3</v>
      </c>
      <c r="M3574">
        <v>0</v>
      </c>
      <c r="N3574">
        <v>2</v>
      </c>
      <c r="O3574">
        <v>1</v>
      </c>
      <c r="P3574">
        <v>0</v>
      </c>
      <c r="Q3574">
        <v>0</v>
      </c>
      <c r="R3574" t="s">
        <v>112</v>
      </c>
      <c r="S3574" t="str">
        <f>"14:49:55.109"</f>
        <v>14:49:55.109</v>
      </c>
      <c r="T3574" t="str">
        <f>"14:49:54.609"</f>
        <v>14:49:54.609</v>
      </c>
      <c r="U3574" t="str">
        <f t="shared" si="165"/>
        <v>ad5732</v>
      </c>
      <c r="V3574">
        <v>0</v>
      </c>
      <c r="W3574">
        <v>0</v>
      </c>
      <c r="X3574">
        <v>1</v>
      </c>
      <c r="Z3574">
        <v>0</v>
      </c>
      <c r="AA3574">
        <v>9</v>
      </c>
      <c r="AB3574">
        <v>3</v>
      </c>
      <c r="AC3574">
        <v>0</v>
      </c>
      <c r="AD3574">
        <v>10</v>
      </c>
      <c r="AE3574">
        <v>0</v>
      </c>
      <c r="AF3574">
        <v>3</v>
      </c>
      <c r="AG3574">
        <v>2</v>
      </c>
      <c r="AH3574">
        <v>0</v>
      </c>
      <c r="AI3574" t="s">
        <v>6284</v>
      </c>
      <c r="AJ3574">
        <v>40.407071000000002</v>
      </c>
      <c r="AK3574" t="s">
        <v>7199</v>
      </c>
      <c r="AL3574">
        <v>-74.515585999999999</v>
      </c>
      <c r="AM3574">
        <v>100</v>
      </c>
      <c r="AN3574">
        <v>1700</v>
      </c>
      <c r="AO3574" t="s">
        <v>115</v>
      </c>
      <c r="AP3574">
        <v>106</v>
      </c>
      <c r="AQ3574">
        <v>58</v>
      </c>
      <c r="AR3574">
        <v>0</v>
      </c>
      <c r="AZ3574">
        <v>3614</v>
      </c>
      <c r="BA3574">
        <v>1</v>
      </c>
      <c r="BB3574" t="str">
        <f t="shared" si="167"/>
        <v xml:space="preserve">N959MJ  </v>
      </c>
      <c r="BC3574">
        <v>1</v>
      </c>
      <c r="BE3574">
        <v>0</v>
      </c>
      <c r="BF3574">
        <v>0</v>
      </c>
      <c r="BG3574">
        <v>0</v>
      </c>
      <c r="BH3574">
        <v>1900</v>
      </c>
      <c r="BI3574">
        <v>200</v>
      </c>
      <c r="BJ3574">
        <v>1</v>
      </c>
      <c r="BK3574">
        <v>1</v>
      </c>
      <c r="BL3574">
        <v>1</v>
      </c>
      <c r="BM3574">
        <v>0</v>
      </c>
      <c r="BP3574">
        <v>0</v>
      </c>
      <c r="BQ3574">
        <v>0</v>
      </c>
      <c r="BX3574" t="str">
        <f>"14:49:55.109"</f>
        <v>14:49:55.109</v>
      </c>
      <c r="BY3574" t="str">
        <f>"111513869"</f>
        <v>111513869</v>
      </c>
      <c r="CL3574">
        <v>0</v>
      </c>
      <c r="CM3574">
        <v>2</v>
      </c>
      <c r="CN3574">
        <v>0</v>
      </c>
      <c r="CO3574">
        <v>2</v>
      </c>
      <c r="CP3574">
        <v>0</v>
      </c>
      <c r="CQ3574">
        <v>6</v>
      </c>
      <c r="CR3574" t="s">
        <v>116</v>
      </c>
      <c r="CS3574">
        <v>38</v>
      </c>
      <c r="CT3574">
        <v>0</v>
      </c>
      <c r="CU3574" t="s">
        <v>4719</v>
      </c>
      <c r="CV3574" t="s">
        <v>4720</v>
      </c>
      <c r="CY3574">
        <v>8080335</v>
      </c>
      <c r="CZ3574" t="s">
        <v>119</v>
      </c>
    </row>
    <row r="3575" spans="1:104" x14ac:dyDescent="0.25">
      <c r="A3575" t="str">
        <f>"14:49:56.242"</f>
        <v>14:49:56.242</v>
      </c>
      <c r="B3575" t="s">
        <v>108</v>
      </c>
      <c r="C3575" t="str">
        <f t="shared" si="166"/>
        <v>ffdfd3c0</v>
      </c>
      <c r="D3575" t="s">
        <v>109</v>
      </c>
      <c r="E3575">
        <v>4</v>
      </c>
      <c r="F3575">
        <v>1004</v>
      </c>
      <c r="G3575" t="s">
        <v>110</v>
      </c>
      <c r="J3575" t="s">
        <v>111</v>
      </c>
      <c r="K3575">
        <v>0</v>
      </c>
      <c r="L3575">
        <v>3</v>
      </c>
      <c r="M3575">
        <v>0</v>
      </c>
      <c r="N3575">
        <v>2</v>
      </c>
      <c r="O3575">
        <v>1</v>
      </c>
      <c r="P3575">
        <v>0</v>
      </c>
      <c r="Q3575">
        <v>0</v>
      </c>
      <c r="R3575" t="s">
        <v>112</v>
      </c>
      <c r="S3575" t="str">
        <f>"14:49:56.078"</f>
        <v>14:49:56.078</v>
      </c>
      <c r="T3575" t="str">
        <f>"14:49:55.680"</f>
        <v>14:49:55.680</v>
      </c>
      <c r="U3575" t="str">
        <f t="shared" si="165"/>
        <v>ad5732</v>
      </c>
      <c r="V3575">
        <v>0</v>
      </c>
      <c r="W3575">
        <v>0</v>
      </c>
      <c r="X3575">
        <v>1</v>
      </c>
      <c r="Z3575">
        <v>0</v>
      </c>
      <c r="AA3575">
        <v>9</v>
      </c>
      <c r="AB3575">
        <v>3</v>
      </c>
      <c r="AC3575">
        <v>0</v>
      </c>
      <c r="AD3575">
        <v>10</v>
      </c>
      <c r="AE3575">
        <v>0</v>
      </c>
      <c r="AF3575">
        <v>3</v>
      </c>
      <c r="AG3575">
        <v>2</v>
      </c>
      <c r="AH3575">
        <v>0</v>
      </c>
      <c r="AI3575" t="s">
        <v>7200</v>
      </c>
      <c r="AJ3575">
        <v>40.407350000000001</v>
      </c>
      <c r="AK3575" t="s">
        <v>7201</v>
      </c>
      <c r="AL3575">
        <v>-74.514899</v>
      </c>
      <c r="AM3575">
        <v>100</v>
      </c>
      <c r="AN3575">
        <v>1700</v>
      </c>
      <c r="AO3575" t="s">
        <v>115</v>
      </c>
      <c r="AP3575">
        <v>106</v>
      </c>
      <c r="AQ3575">
        <v>59</v>
      </c>
      <c r="AR3575">
        <v>0</v>
      </c>
      <c r="AZ3575">
        <v>3614</v>
      </c>
      <c r="BA3575">
        <v>1</v>
      </c>
      <c r="BB3575" t="str">
        <f t="shared" si="167"/>
        <v xml:space="preserve">N959MJ  </v>
      </c>
      <c r="BC3575">
        <v>1</v>
      </c>
      <c r="BE3575">
        <v>0</v>
      </c>
      <c r="BF3575">
        <v>0</v>
      </c>
      <c r="BG3575">
        <v>0</v>
      </c>
      <c r="BH3575">
        <v>1875</v>
      </c>
      <c r="BI3575">
        <v>175</v>
      </c>
      <c r="BJ3575">
        <v>1</v>
      </c>
      <c r="BK3575">
        <v>1</v>
      </c>
      <c r="BL3575">
        <v>1</v>
      </c>
      <c r="BM3575">
        <v>0</v>
      </c>
      <c r="BP3575">
        <v>0</v>
      </c>
      <c r="BQ3575">
        <v>0</v>
      </c>
      <c r="BX3575" t="str">
        <f>"14:49:56.078"</f>
        <v>14:49:56.078</v>
      </c>
      <c r="BY3575" t="str">
        <f>"078292728"</f>
        <v>078292728</v>
      </c>
      <c r="CL3575">
        <v>0</v>
      </c>
      <c r="CM3575">
        <v>2</v>
      </c>
      <c r="CN3575">
        <v>0</v>
      </c>
      <c r="CO3575">
        <v>2</v>
      </c>
      <c r="CP3575">
        <v>0</v>
      </c>
      <c r="CQ3575">
        <v>5</v>
      </c>
      <c r="CR3575" t="s">
        <v>116</v>
      </c>
      <c r="CS3575">
        <v>409</v>
      </c>
      <c r="CT3575">
        <v>1</v>
      </c>
      <c r="CU3575" t="s">
        <v>5087</v>
      </c>
      <c r="CV3575" t="s">
        <v>5088</v>
      </c>
      <c r="CY3575">
        <v>4505262</v>
      </c>
      <c r="CZ3575" t="s">
        <v>119</v>
      </c>
    </row>
    <row r="3576" spans="1:104" x14ac:dyDescent="0.25">
      <c r="A3576" t="str">
        <f>"14:49:57.305"</f>
        <v>14:49:57.305</v>
      </c>
      <c r="B3576" t="s">
        <v>108</v>
      </c>
      <c r="C3576" t="str">
        <f t="shared" si="166"/>
        <v>ffdfd3c0</v>
      </c>
      <c r="D3576" t="s">
        <v>109</v>
      </c>
      <c r="E3576">
        <v>4</v>
      </c>
      <c r="F3576">
        <v>1004</v>
      </c>
      <c r="G3576" t="s">
        <v>110</v>
      </c>
      <c r="J3576" t="s">
        <v>111</v>
      </c>
      <c r="K3576">
        <v>0</v>
      </c>
      <c r="L3576">
        <v>3</v>
      </c>
      <c r="M3576">
        <v>0</v>
      </c>
      <c r="N3576">
        <v>2</v>
      </c>
      <c r="O3576">
        <v>1</v>
      </c>
      <c r="P3576">
        <v>0</v>
      </c>
      <c r="Q3576">
        <v>0</v>
      </c>
      <c r="R3576" t="s">
        <v>112</v>
      </c>
      <c r="S3576" t="str">
        <f>"14:49:57.102"</f>
        <v>14:49:57.102</v>
      </c>
      <c r="T3576" t="str">
        <f>"14:49:56.703"</f>
        <v>14:49:56.703</v>
      </c>
      <c r="U3576" t="str">
        <f t="shared" si="165"/>
        <v>ad5732</v>
      </c>
      <c r="V3576">
        <v>0</v>
      </c>
      <c r="W3576">
        <v>0</v>
      </c>
      <c r="X3576">
        <v>1</v>
      </c>
      <c r="Z3576">
        <v>0</v>
      </c>
      <c r="AA3576">
        <v>9</v>
      </c>
      <c r="AB3576">
        <v>3</v>
      </c>
      <c r="AC3576">
        <v>0</v>
      </c>
      <c r="AD3576">
        <v>10</v>
      </c>
      <c r="AE3576">
        <v>0</v>
      </c>
      <c r="AF3576">
        <v>3</v>
      </c>
      <c r="AG3576">
        <v>2</v>
      </c>
      <c r="AH3576">
        <v>0</v>
      </c>
      <c r="AI3576" t="s">
        <v>6275</v>
      </c>
      <c r="AJ3576">
        <v>40.407629</v>
      </c>
      <c r="AK3576" t="s">
        <v>7202</v>
      </c>
      <c r="AL3576">
        <v>-74.514277000000007</v>
      </c>
      <c r="AM3576">
        <v>100</v>
      </c>
      <c r="AN3576">
        <v>1700</v>
      </c>
      <c r="AO3576" t="s">
        <v>115</v>
      </c>
      <c r="AP3576">
        <v>106</v>
      </c>
      <c r="AQ3576">
        <v>59</v>
      </c>
      <c r="AR3576">
        <v>0</v>
      </c>
      <c r="AZ3576">
        <v>3614</v>
      </c>
      <c r="BA3576">
        <v>1</v>
      </c>
      <c r="BB3576" t="str">
        <f t="shared" si="167"/>
        <v xml:space="preserve">N959MJ  </v>
      </c>
      <c r="BC3576">
        <v>1</v>
      </c>
      <c r="BE3576">
        <v>0</v>
      </c>
      <c r="BF3576">
        <v>0</v>
      </c>
      <c r="BG3576">
        <v>0</v>
      </c>
      <c r="BH3576">
        <v>1875</v>
      </c>
      <c r="BI3576">
        <v>175</v>
      </c>
      <c r="BJ3576">
        <v>1</v>
      </c>
      <c r="BK3576">
        <v>1</v>
      </c>
      <c r="BL3576">
        <v>1</v>
      </c>
      <c r="BM3576">
        <v>0</v>
      </c>
      <c r="BP3576">
        <v>0</v>
      </c>
      <c r="BQ3576">
        <v>0</v>
      </c>
      <c r="BX3576" t="str">
        <f>"14:49:57.102"</f>
        <v>14:49:57.102</v>
      </c>
      <c r="BY3576" t="str">
        <f>"102205172"</f>
        <v>102205172</v>
      </c>
      <c r="CL3576">
        <v>0</v>
      </c>
      <c r="CM3576">
        <v>2</v>
      </c>
      <c r="CN3576">
        <v>0</v>
      </c>
      <c r="CO3576">
        <v>2</v>
      </c>
      <c r="CP3576">
        <v>0</v>
      </c>
      <c r="CQ3576">
        <v>6</v>
      </c>
      <c r="CR3576" t="s">
        <v>116</v>
      </c>
      <c r="CS3576">
        <v>38</v>
      </c>
      <c r="CT3576">
        <v>0</v>
      </c>
      <c r="CU3576" t="s">
        <v>4719</v>
      </c>
      <c r="CV3576" t="s">
        <v>4720</v>
      </c>
      <c r="CY3576">
        <v>8083405</v>
      </c>
      <c r="CZ3576" t="s">
        <v>119</v>
      </c>
    </row>
    <row r="3577" spans="1:104" x14ac:dyDescent="0.25">
      <c r="A3577" t="str">
        <f>"14:49:58.313"</f>
        <v>14:49:58.313</v>
      </c>
      <c r="B3577" t="s">
        <v>108</v>
      </c>
      <c r="C3577" t="str">
        <f t="shared" si="166"/>
        <v>ffdfd3c0</v>
      </c>
      <c r="D3577" t="s">
        <v>109</v>
      </c>
      <c r="E3577">
        <v>4</v>
      </c>
      <c r="F3577">
        <v>1004</v>
      </c>
      <c r="G3577" t="s">
        <v>110</v>
      </c>
      <c r="J3577" t="s">
        <v>111</v>
      </c>
      <c r="K3577">
        <v>0</v>
      </c>
      <c r="L3577">
        <v>3</v>
      </c>
      <c r="M3577">
        <v>0</v>
      </c>
      <c r="N3577">
        <v>2</v>
      </c>
      <c r="O3577">
        <v>1</v>
      </c>
      <c r="P3577">
        <v>0</v>
      </c>
      <c r="Q3577">
        <v>0</v>
      </c>
      <c r="R3577" t="s">
        <v>112</v>
      </c>
      <c r="S3577" t="str">
        <f>"14:49:58.164"</f>
        <v>14:49:58.164</v>
      </c>
      <c r="T3577" t="str">
        <f>"14:49:57.664"</f>
        <v>14:49:57.664</v>
      </c>
      <c r="U3577" t="str">
        <f t="shared" si="165"/>
        <v>ad5732</v>
      </c>
      <c r="V3577">
        <v>0</v>
      </c>
      <c r="W3577">
        <v>0</v>
      </c>
      <c r="X3577">
        <v>1</v>
      </c>
      <c r="Z3577">
        <v>0</v>
      </c>
      <c r="AA3577">
        <v>9</v>
      </c>
      <c r="AB3577">
        <v>3</v>
      </c>
      <c r="AC3577">
        <v>0</v>
      </c>
      <c r="AD3577">
        <v>10</v>
      </c>
      <c r="AE3577">
        <v>0</v>
      </c>
      <c r="AF3577">
        <v>3</v>
      </c>
      <c r="AG3577">
        <v>2</v>
      </c>
      <c r="AH3577">
        <v>0</v>
      </c>
      <c r="AI3577" t="s">
        <v>6268</v>
      </c>
      <c r="AJ3577">
        <v>40.407907999999999</v>
      </c>
      <c r="AK3577" t="s">
        <v>7203</v>
      </c>
      <c r="AL3577">
        <v>-74.513547000000003</v>
      </c>
      <c r="AM3577">
        <v>100</v>
      </c>
      <c r="AN3577">
        <v>1700</v>
      </c>
      <c r="AO3577" t="s">
        <v>115</v>
      </c>
      <c r="AP3577">
        <v>105</v>
      </c>
      <c r="AQ3577">
        <v>60</v>
      </c>
      <c r="AR3577">
        <v>0</v>
      </c>
      <c r="AZ3577">
        <v>3614</v>
      </c>
      <c r="BA3577">
        <v>1</v>
      </c>
      <c r="BB3577" t="str">
        <f t="shared" si="167"/>
        <v xml:space="preserve">N959MJ  </v>
      </c>
      <c r="BC3577">
        <v>1</v>
      </c>
      <c r="BE3577">
        <v>0</v>
      </c>
      <c r="BF3577">
        <v>0</v>
      </c>
      <c r="BG3577">
        <v>0</v>
      </c>
      <c r="BH3577">
        <v>1875</v>
      </c>
      <c r="BI3577">
        <v>175</v>
      </c>
      <c r="BJ3577">
        <v>1</v>
      </c>
      <c r="BK3577">
        <v>1</v>
      </c>
      <c r="BL3577">
        <v>1</v>
      </c>
      <c r="BM3577">
        <v>0</v>
      </c>
      <c r="BP3577">
        <v>0</v>
      </c>
      <c r="BQ3577">
        <v>0</v>
      </c>
      <c r="BX3577" t="str">
        <f>"14:49:58.172"</f>
        <v>14:49:58.172</v>
      </c>
      <c r="BY3577" t="str">
        <f>"168856319"</f>
        <v>168856319</v>
      </c>
      <c r="CL3577">
        <v>0</v>
      </c>
      <c r="CM3577">
        <v>2</v>
      </c>
      <c r="CN3577">
        <v>0</v>
      </c>
      <c r="CO3577">
        <v>2</v>
      </c>
      <c r="CP3577">
        <v>0</v>
      </c>
      <c r="CQ3577">
        <v>6</v>
      </c>
      <c r="CR3577" t="s">
        <v>116</v>
      </c>
      <c r="CS3577">
        <v>305</v>
      </c>
      <c r="CT3577">
        <v>3</v>
      </c>
      <c r="CU3577" t="s">
        <v>6425</v>
      </c>
      <c r="CV3577" t="s">
        <v>6426</v>
      </c>
      <c r="CY3577">
        <v>5958432</v>
      </c>
      <c r="CZ3577" t="s">
        <v>119</v>
      </c>
    </row>
    <row r="3578" spans="1:104" x14ac:dyDescent="0.25">
      <c r="A3578" t="str">
        <f>"14:49:59.375"</f>
        <v>14:49:59.375</v>
      </c>
      <c r="B3578" t="s">
        <v>108</v>
      </c>
      <c r="C3578" t="str">
        <f t="shared" si="166"/>
        <v>ffdfd3c0</v>
      </c>
      <c r="D3578" t="s">
        <v>109</v>
      </c>
      <c r="E3578">
        <v>4</v>
      </c>
      <c r="F3578">
        <v>1004</v>
      </c>
      <c r="G3578" t="s">
        <v>110</v>
      </c>
      <c r="J3578" t="s">
        <v>111</v>
      </c>
      <c r="K3578">
        <v>0</v>
      </c>
      <c r="L3578">
        <v>3</v>
      </c>
      <c r="M3578">
        <v>0</v>
      </c>
      <c r="N3578">
        <v>2</v>
      </c>
      <c r="O3578">
        <v>1</v>
      </c>
      <c r="P3578">
        <v>0</v>
      </c>
      <c r="Q3578">
        <v>0</v>
      </c>
      <c r="R3578" t="s">
        <v>112</v>
      </c>
      <c r="S3578" t="str">
        <f>"14:49:59.203"</f>
        <v>14:49:59.203</v>
      </c>
      <c r="T3578" t="str">
        <f>"14:49:58.805"</f>
        <v>14:49:58.805</v>
      </c>
      <c r="U3578" t="str">
        <f t="shared" si="165"/>
        <v>ad5732</v>
      </c>
      <c r="V3578">
        <v>0</v>
      </c>
      <c r="W3578">
        <v>0</v>
      </c>
      <c r="X3578">
        <v>1</v>
      </c>
      <c r="Z3578">
        <v>0</v>
      </c>
      <c r="AA3578">
        <v>9</v>
      </c>
      <c r="AB3578">
        <v>3</v>
      </c>
      <c r="AC3578">
        <v>0</v>
      </c>
      <c r="AD3578">
        <v>10</v>
      </c>
      <c r="AE3578">
        <v>0</v>
      </c>
      <c r="AF3578">
        <v>3</v>
      </c>
      <c r="AG3578">
        <v>2</v>
      </c>
      <c r="AH3578">
        <v>0</v>
      </c>
      <c r="AI3578" t="s">
        <v>7204</v>
      </c>
      <c r="AJ3578">
        <v>40.408164999999997</v>
      </c>
      <c r="AK3578" t="s">
        <v>7205</v>
      </c>
      <c r="AL3578">
        <v>-74.512946999999997</v>
      </c>
      <c r="AM3578">
        <v>100</v>
      </c>
      <c r="AN3578">
        <v>1700</v>
      </c>
      <c r="AO3578" t="s">
        <v>115</v>
      </c>
      <c r="AP3578">
        <v>105</v>
      </c>
      <c r="AQ3578">
        <v>59</v>
      </c>
      <c r="AR3578">
        <v>0</v>
      </c>
      <c r="AZ3578">
        <v>3614</v>
      </c>
      <c r="BA3578">
        <v>1</v>
      </c>
      <c r="BB3578" t="str">
        <f t="shared" si="167"/>
        <v xml:space="preserve">N959MJ  </v>
      </c>
      <c r="BC3578">
        <v>1</v>
      </c>
      <c r="BE3578">
        <v>0</v>
      </c>
      <c r="BF3578">
        <v>0</v>
      </c>
      <c r="BG3578">
        <v>0</v>
      </c>
      <c r="BH3578">
        <v>1875</v>
      </c>
      <c r="BI3578">
        <v>175</v>
      </c>
      <c r="BJ3578">
        <v>1</v>
      </c>
      <c r="BK3578">
        <v>1</v>
      </c>
      <c r="BL3578">
        <v>1</v>
      </c>
      <c r="BM3578">
        <v>0</v>
      </c>
      <c r="BP3578">
        <v>0</v>
      </c>
      <c r="BQ3578">
        <v>0</v>
      </c>
      <c r="BX3578" t="str">
        <f>"14:49:59.203"</f>
        <v>14:49:59.203</v>
      </c>
      <c r="BY3578" t="str">
        <f>"205981543"</f>
        <v>205981543</v>
      </c>
      <c r="CL3578">
        <v>0</v>
      </c>
      <c r="CM3578">
        <v>2</v>
      </c>
      <c r="CN3578">
        <v>0</v>
      </c>
      <c r="CO3578">
        <v>2</v>
      </c>
      <c r="CP3578">
        <v>0</v>
      </c>
      <c r="CQ3578">
        <v>6</v>
      </c>
      <c r="CR3578" t="s">
        <v>116</v>
      </c>
      <c r="CS3578">
        <v>305</v>
      </c>
      <c r="CT3578">
        <v>3</v>
      </c>
      <c r="CU3578" t="s">
        <v>6425</v>
      </c>
      <c r="CV3578" t="s">
        <v>6426</v>
      </c>
      <c r="CY3578">
        <v>5960501</v>
      </c>
      <c r="CZ3578" t="s">
        <v>119</v>
      </c>
    </row>
    <row r="3579" spans="1:104" x14ac:dyDescent="0.25">
      <c r="A3579" t="str">
        <f>"14:50:00.336"</f>
        <v>14:50:00.336</v>
      </c>
      <c r="B3579" t="s">
        <v>108</v>
      </c>
      <c r="C3579" t="str">
        <f t="shared" si="166"/>
        <v>ffdfd3c0</v>
      </c>
      <c r="D3579" t="s">
        <v>109</v>
      </c>
      <c r="E3579">
        <v>4</v>
      </c>
      <c r="F3579">
        <v>1004</v>
      </c>
      <c r="G3579" t="s">
        <v>110</v>
      </c>
      <c r="J3579" t="s">
        <v>111</v>
      </c>
      <c r="K3579">
        <v>0</v>
      </c>
      <c r="L3579">
        <v>3</v>
      </c>
      <c r="M3579">
        <v>0</v>
      </c>
      <c r="N3579">
        <v>2</v>
      </c>
      <c r="O3579">
        <v>1</v>
      </c>
      <c r="P3579">
        <v>0</v>
      </c>
      <c r="Q3579">
        <v>0</v>
      </c>
      <c r="R3579" t="s">
        <v>112</v>
      </c>
      <c r="S3579" t="str">
        <f>"14:50:00.125"</f>
        <v>14:50:00.125</v>
      </c>
      <c r="T3579" t="str">
        <f>"14:49:59.625"</f>
        <v>14:49:59.625</v>
      </c>
      <c r="U3579" t="str">
        <f t="shared" si="165"/>
        <v>ad5732</v>
      </c>
      <c r="V3579">
        <v>0</v>
      </c>
      <c r="W3579">
        <v>0</v>
      </c>
      <c r="X3579">
        <v>1</v>
      </c>
      <c r="Z3579">
        <v>0</v>
      </c>
      <c r="AA3579">
        <v>9</v>
      </c>
      <c r="AB3579">
        <v>3</v>
      </c>
      <c r="AC3579">
        <v>0</v>
      </c>
      <c r="AD3579">
        <v>10</v>
      </c>
      <c r="AE3579">
        <v>0</v>
      </c>
      <c r="AF3579">
        <v>3</v>
      </c>
      <c r="AG3579">
        <v>2</v>
      </c>
      <c r="AH3579">
        <v>0</v>
      </c>
      <c r="AI3579" t="s">
        <v>7206</v>
      </c>
      <c r="AJ3579">
        <v>40.408444000000003</v>
      </c>
      <c r="AK3579" t="s">
        <v>7207</v>
      </c>
      <c r="AL3579">
        <v>-74.512259999999998</v>
      </c>
      <c r="AM3579">
        <v>100</v>
      </c>
      <c r="AN3579">
        <v>1700</v>
      </c>
      <c r="AO3579" t="s">
        <v>115</v>
      </c>
      <c r="AP3579">
        <v>105</v>
      </c>
      <c r="AQ3579">
        <v>59</v>
      </c>
      <c r="AR3579">
        <v>0</v>
      </c>
      <c r="AZ3579">
        <v>3614</v>
      </c>
      <c r="BA3579">
        <v>1</v>
      </c>
      <c r="BB3579" t="str">
        <f t="shared" si="167"/>
        <v xml:space="preserve">N959MJ  </v>
      </c>
      <c r="BC3579">
        <v>1</v>
      </c>
      <c r="BE3579">
        <v>0</v>
      </c>
      <c r="BF3579">
        <v>0</v>
      </c>
      <c r="BG3579">
        <v>0</v>
      </c>
      <c r="BH3579">
        <v>1900</v>
      </c>
      <c r="BI3579">
        <v>200</v>
      </c>
      <c r="BJ3579">
        <v>1</v>
      </c>
      <c r="BK3579">
        <v>1</v>
      </c>
      <c r="BL3579">
        <v>1</v>
      </c>
      <c r="BM3579">
        <v>0</v>
      </c>
      <c r="BP3579">
        <v>0</v>
      </c>
      <c r="BQ3579">
        <v>0</v>
      </c>
      <c r="BX3579" t="str">
        <f>"14:50:00.133"</f>
        <v>14:50:00.133</v>
      </c>
      <c r="BY3579" t="str">
        <f>"131693635"</f>
        <v>131693635</v>
      </c>
      <c r="CL3579">
        <v>0</v>
      </c>
      <c r="CM3579">
        <v>2</v>
      </c>
      <c r="CN3579">
        <v>0</v>
      </c>
      <c r="CO3579">
        <v>2</v>
      </c>
      <c r="CP3579">
        <v>0</v>
      </c>
      <c r="CQ3579">
        <v>6</v>
      </c>
      <c r="CR3579" t="s">
        <v>116</v>
      </c>
      <c r="CS3579">
        <v>305</v>
      </c>
      <c r="CT3579">
        <v>3</v>
      </c>
      <c r="CU3579" t="s">
        <v>6425</v>
      </c>
      <c r="CV3579" t="s">
        <v>6426</v>
      </c>
      <c r="CY3579">
        <v>5962358</v>
      </c>
      <c r="CZ3579" t="s">
        <v>119</v>
      </c>
    </row>
    <row r="3580" spans="1:104" x14ac:dyDescent="0.25">
      <c r="A3580" t="str">
        <f>"14:50:01.391"</f>
        <v>14:50:01.391</v>
      </c>
      <c r="B3580" t="s">
        <v>108</v>
      </c>
      <c r="C3580" t="str">
        <f t="shared" si="166"/>
        <v>ffdfd3c0</v>
      </c>
      <c r="D3580" t="s">
        <v>109</v>
      </c>
      <c r="E3580">
        <v>4</v>
      </c>
      <c r="F3580">
        <v>1004</v>
      </c>
      <c r="G3580" t="s">
        <v>110</v>
      </c>
      <c r="J3580" t="s">
        <v>111</v>
      </c>
      <c r="K3580">
        <v>0</v>
      </c>
      <c r="L3580">
        <v>3</v>
      </c>
      <c r="M3580">
        <v>0</v>
      </c>
      <c r="N3580">
        <v>2</v>
      </c>
      <c r="O3580">
        <v>1</v>
      </c>
      <c r="P3580">
        <v>0</v>
      </c>
      <c r="Q3580">
        <v>0</v>
      </c>
      <c r="R3580" t="s">
        <v>112</v>
      </c>
      <c r="S3580" t="str">
        <f>"14:50:01.219"</f>
        <v>14:50:01.219</v>
      </c>
      <c r="T3580" t="str">
        <f>"14:50:00.719"</f>
        <v>14:50:00.719</v>
      </c>
      <c r="U3580" t="str">
        <f t="shared" si="165"/>
        <v>ad5732</v>
      </c>
      <c r="V3580">
        <v>0</v>
      </c>
      <c r="W3580">
        <v>0</v>
      </c>
      <c r="X3580">
        <v>1</v>
      </c>
      <c r="Z3580">
        <v>0</v>
      </c>
      <c r="AA3580">
        <v>9</v>
      </c>
      <c r="AB3580">
        <v>3</v>
      </c>
      <c r="AC3580">
        <v>0</v>
      </c>
      <c r="AD3580">
        <v>10</v>
      </c>
      <c r="AE3580">
        <v>0</v>
      </c>
      <c r="AF3580">
        <v>3</v>
      </c>
      <c r="AG3580">
        <v>2</v>
      </c>
      <c r="AH3580">
        <v>0</v>
      </c>
      <c r="AI3580" t="s">
        <v>7208</v>
      </c>
      <c r="AJ3580">
        <v>40.408723000000002</v>
      </c>
      <c r="AK3580" t="s">
        <v>7209</v>
      </c>
      <c r="AL3580">
        <v>-74.511658999999995</v>
      </c>
      <c r="AM3580">
        <v>100</v>
      </c>
      <c r="AN3580">
        <v>1700</v>
      </c>
      <c r="AO3580" t="s">
        <v>115</v>
      </c>
      <c r="AP3580">
        <v>105</v>
      </c>
      <c r="AQ3580">
        <v>59</v>
      </c>
      <c r="AR3580">
        <v>0</v>
      </c>
      <c r="AZ3580">
        <v>3614</v>
      </c>
      <c r="BA3580">
        <v>1</v>
      </c>
      <c r="BB3580" t="str">
        <f t="shared" si="167"/>
        <v xml:space="preserve">N959MJ  </v>
      </c>
      <c r="BC3580">
        <v>1</v>
      </c>
      <c r="BE3580">
        <v>0</v>
      </c>
      <c r="BF3580">
        <v>0</v>
      </c>
      <c r="BG3580">
        <v>0</v>
      </c>
      <c r="BH3580">
        <v>1900</v>
      </c>
      <c r="BI3580">
        <v>200</v>
      </c>
      <c r="BJ3580">
        <v>1</v>
      </c>
      <c r="BK3580">
        <v>1</v>
      </c>
      <c r="BL3580">
        <v>1</v>
      </c>
      <c r="BM3580">
        <v>0</v>
      </c>
      <c r="BP3580">
        <v>0</v>
      </c>
      <c r="BQ3580">
        <v>0</v>
      </c>
      <c r="BX3580" t="str">
        <f>"14:50:01.219"</f>
        <v>14:50:01.219</v>
      </c>
      <c r="BY3580" t="str">
        <f>"219577496"</f>
        <v>219577496</v>
      </c>
      <c r="CL3580">
        <v>0</v>
      </c>
      <c r="CM3580">
        <v>2</v>
      </c>
      <c r="CN3580">
        <v>0</v>
      </c>
      <c r="CO3580">
        <v>2</v>
      </c>
      <c r="CP3580">
        <v>0</v>
      </c>
      <c r="CQ3580">
        <v>6</v>
      </c>
      <c r="CR3580" t="s">
        <v>116</v>
      </c>
      <c r="CS3580">
        <v>38</v>
      </c>
      <c r="CT3580">
        <v>0</v>
      </c>
      <c r="CU3580" t="s">
        <v>4719</v>
      </c>
      <c r="CV3580" t="s">
        <v>4720</v>
      </c>
      <c r="CY3580">
        <v>8089723</v>
      </c>
      <c r="CZ3580" t="s">
        <v>119</v>
      </c>
    </row>
    <row r="3581" spans="1:104" x14ac:dyDescent="0.25">
      <c r="A3581" t="str">
        <f>"14:50:02.508"</f>
        <v>14:50:02.508</v>
      </c>
      <c r="B3581" t="s">
        <v>108</v>
      </c>
      <c r="C3581" t="str">
        <f t="shared" si="166"/>
        <v>ffdfd3c0</v>
      </c>
      <c r="D3581" t="s">
        <v>109</v>
      </c>
      <c r="E3581">
        <v>4</v>
      </c>
      <c r="F3581">
        <v>1004</v>
      </c>
      <c r="G3581" t="s">
        <v>110</v>
      </c>
      <c r="J3581" t="s">
        <v>111</v>
      </c>
      <c r="K3581">
        <v>0</v>
      </c>
      <c r="L3581">
        <v>3</v>
      </c>
      <c r="M3581">
        <v>0</v>
      </c>
      <c r="N3581">
        <v>2</v>
      </c>
      <c r="O3581">
        <v>1</v>
      </c>
      <c r="P3581">
        <v>0</v>
      </c>
      <c r="Q3581">
        <v>0</v>
      </c>
      <c r="R3581" t="s">
        <v>112</v>
      </c>
      <c r="S3581" t="str">
        <f>"14:50:02.336"</f>
        <v>14:50:02.336</v>
      </c>
      <c r="T3581" t="str">
        <f>"14:50:01.836"</f>
        <v>14:50:01.836</v>
      </c>
      <c r="U3581" t="str">
        <f t="shared" si="165"/>
        <v>ad5732</v>
      </c>
      <c r="V3581">
        <v>0</v>
      </c>
      <c r="W3581">
        <v>0</v>
      </c>
      <c r="X3581">
        <v>1</v>
      </c>
      <c r="Z3581">
        <v>0</v>
      </c>
      <c r="AA3581">
        <v>9</v>
      </c>
      <c r="AB3581">
        <v>3</v>
      </c>
      <c r="AC3581">
        <v>0</v>
      </c>
      <c r="AD3581">
        <v>10</v>
      </c>
      <c r="AE3581">
        <v>0</v>
      </c>
      <c r="AF3581">
        <v>3</v>
      </c>
      <c r="AG3581">
        <v>2</v>
      </c>
      <c r="AH3581">
        <v>0</v>
      </c>
      <c r="AI3581" t="s">
        <v>7210</v>
      </c>
      <c r="AJ3581">
        <v>40.409044999999999</v>
      </c>
      <c r="AK3581" t="s">
        <v>7211</v>
      </c>
      <c r="AL3581">
        <v>-74.510864999999995</v>
      </c>
      <c r="AM3581">
        <v>100</v>
      </c>
      <c r="AN3581">
        <v>1700</v>
      </c>
      <c r="AO3581" t="s">
        <v>115</v>
      </c>
      <c r="AP3581">
        <v>105</v>
      </c>
      <c r="AQ3581">
        <v>59</v>
      </c>
      <c r="AR3581">
        <v>0</v>
      </c>
      <c r="AZ3581">
        <v>3614</v>
      </c>
      <c r="BA3581">
        <v>1</v>
      </c>
      <c r="BB3581" t="str">
        <f t="shared" si="167"/>
        <v xml:space="preserve">N959MJ  </v>
      </c>
      <c r="BC3581">
        <v>1</v>
      </c>
      <c r="BE3581">
        <v>0</v>
      </c>
      <c r="BF3581">
        <v>0</v>
      </c>
      <c r="BG3581">
        <v>0</v>
      </c>
      <c r="BH3581">
        <v>1900</v>
      </c>
      <c r="BI3581">
        <v>200</v>
      </c>
      <c r="BJ3581">
        <v>1</v>
      </c>
      <c r="BK3581">
        <v>1</v>
      </c>
      <c r="BL3581">
        <v>1</v>
      </c>
      <c r="BM3581">
        <v>0</v>
      </c>
      <c r="BP3581">
        <v>0</v>
      </c>
      <c r="BQ3581">
        <v>0</v>
      </c>
      <c r="BX3581" t="str">
        <f>"14:50:02.336"</f>
        <v>14:50:02.336</v>
      </c>
      <c r="BY3581" t="str">
        <f>"338624570"</f>
        <v>338624570</v>
      </c>
      <c r="CL3581">
        <v>0</v>
      </c>
      <c r="CM3581">
        <v>2</v>
      </c>
      <c r="CN3581">
        <v>0</v>
      </c>
      <c r="CO3581">
        <v>2</v>
      </c>
      <c r="CP3581">
        <v>0</v>
      </c>
      <c r="CQ3581">
        <v>6</v>
      </c>
      <c r="CR3581" t="s">
        <v>116</v>
      </c>
      <c r="CS3581">
        <v>38</v>
      </c>
      <c r="CT3581">
        <v>0</v>
      </c>
      <c r="CU3581" t="s">
        <v>4719</v>
      </c>
      <c r="CV3581" t="s">
        <v>4720</v>
      </c>
      <c r="CY3581">
        <v>8091398</v>
      </c>
      <c r="CZ3581" t="s">
        <v>119</v>
      </c>
    </row>
    <row r="3582" spans="1:104" x14ac:dyDescent="0.25">
      <c r="A3582" t="str">
        <f>"14:50:03.516"</f>
        <v>14:50:03.516</v>
      </c>
      <c r="B3582" t="s">
        <v>108</v>
      </c>
      <c r="C3582" t="str">
        <f t="shared" si="166"/>
        <v>ffdfd3c0</v>
      </c>
      <c r="D3582" t="s">
        <v>109</v>
      </c>
      <c r="E3582">
        <v>4</v>
      </c>
      <c r="F3582">
        <v>1004</v>
      </c>
      <c r="G3582" t="s">
        <v>110</v>
      </c>
      <c r="J3582" t="s">
        <v>111</v>
      </c>
      <c r="K3582">
        <v>0</v>
      </c>
      <c r="L3582">
        <v>3</v>
      </c>
      <c r="M3582">
        <v>0</v>
      </c>
      <c r="N3582">
        <v>2</v>
      </c>
      <c r="O3582">
        <v>1</v>
      </c>
      <c r="P3582">
        <v>0</v>
      </c>
      <c r="Q3582">
        <v>0</v>
      </c>
      <c r="R3582" t="s">
        <v>112</v>
      </c>
      <c r="S3582" t="str">
        <f>"14:50:03.320"</f>
        <v>14:50:03.320</v>
      </c>
      <c r="T3582" t="str">
        <f>"14:50:02.922"</f>
        <v>14:50:02.922</v>
      </c>
      <c r="U3582" t="str">
        <f t="shared" si="165"/>
        <v>ad5732</v>
      </c>
      <c r="V3582">
        <v>0</v>
      </c>
      <c r="W3582">
        <v>0</v>
      </c>
      <c r="X3582">
        <v>1</v>
      </c>
      <c r="Z3582">
        <v>0</v>
      </c>
      <c r="AA3582">
        <v>9</v>
      </c>
      <c r="AB3582">
        <v>3</v>
      </c>
      <c r="AC3582">
        <v>0</v>
      </c>
      <c r="AD3582">
        <v>10</v>
      </c>
      <c r="AE3582">
        <v>0</v>
      </c>
      <c r="AF3582">
        <v>3</v>
      </c>
      <c r="AG3582">
        <v>2</v>
      </c>
      <c r="AH3582">
        <v>0</v>
      </c>
      <c r="AI3582" t="s">
        <v>7212</v>
      </c>
      <c r="AJ3582">
        <v>40.409303000000001</v>
      </c>
      <c r="AK3582" t="s">
        <v>7213</v>
      </c>
      <c r="AL3582">
        <v>-74.510328999999999</v>
      </c>
      <c r="AM3582">
        <v>100</v>
      </c>
      <c r="AN3582">
        <v>1700</v>
      </c>
      <c r="AO3582" t="s">
        <v>115</v>
      </c>
      <c r="AP3582">
        <v>105</v>
      </c>
      <c r="AQ3582">
        <v>59</v>
      </c>
      <c r="AR3582">
        <v>0</v>
      </c>
      <c r="AZ3582">
        <v>3614</v>
      </c>
      <c r="BA3582">
        <v>1</v>
      </c>
      <c r="BB3582" t="str">
        <f t="shared" si="167"/>
        <v xml:space="preserve">N959MJ  </v>
      </c>
      <c r="BC3582">
        <v>1</v>
      </c>
      <c r="BE3582">
        <v>0</v>
      </c>
      <c r="BF3582">
        <v>0</v>
      </c>
      <c r="BG3582">
        <v>0</v>
      </c>
      <c r="BH3582">
        <v>1900</v>
      </c>
      <c r="BI3582">
        <v>200</v>
      </c>
      <c r="BJ3582">
        <v>1</v>
      </c>
      <c r="BK3582">
        <v>1</v>
      </c>
      <c r="BL3582">
        <v>1</v>
      </c>
      <c r="BM3582">
        <v>0</v>
      </c>
      <c r="BP3582">
        <v>0</v>
      </c>
      <c r="BQ3582">
        <v>0</v>
      </c>
      <c r="BX3582" t="str">
        <f>"14:50:03.320"</f>
        <v>14:50:03.320</v>
      </c>
      <c r="BY3582" t="str">
        <f>"321682034"</f>
        <v>321682034</v>
      </c>
      <c r="CL3582">
        <v>0</v>
      </c>
      <c r="CM3582">
        <v>2</v>
      </c>
      <c r="CN3582">
        <v>0</v>
      </c>
      <c r="CO3582">
        <v>2</v>
      </c>
      <c r="CP3582">
        <v>0</v>
      </c>
      <c r="CQ3582">
        <v>7</v>
      </c>
      <c r="CR3582" t="s">
        <v>116</v>
      </c>
      <c r="CS3582">
        <v>38</v>
      </c>
      <c r="CT3582">
        <v>0</v>
      </c>
      <c r="CU3582" t="s">
        <v>4719</v>
      </c>
      <c r="CV3582" t="s">
        <v>4720</v>
      </c>
      <c r="CY3582">
        <v>8092943</v>
      </c>
      <c r="CZ3582" t="s">
        <v>119</v>
      </c>
    </row>
    <row r="3583" spans="1:104" x14ac:dyDescent="0.25">
      <c r="A3583" t="str">
        <f>"14:50:04.680"</f>
        <v>14:50:04.680</v>
      </c>
      <c r="B3583" t="s">
        <v>108</v>
      </c>
      <c r="C3583" t="str">
        <f t="shared" si="166"/>
        <v>ffdfd3c0</v>
      </c>
      <c r="D3583" t="s">
        <v>109</v>
      </c>
      <c r="E3583">
        <v>4</v>
      </c>
      <c r="F3583">
        <v>1004</v>
      </c>
      <c r="G3583" t="s">
        <v>110</v>
      </c>
      <c r="J3583" t="s">
        <v>111</v>
      </c>
      <c r="K3583">
        <v>0</v>
      </c>
      <c r="L3583">
        <v>3</v>
      </c>
      <c r="M3583">
        <v>0</v>
      </c>
      <c r="N3583">
        <v>2</v>
      </c>
      <c r="O3583">
        <v>1</v>
      </c>
      <c r="P3583">
        <v>0</v>
      </c>
      <c r="Q3583">
        <v>0</v>
      </c>
      <c r="R3583" t="s">
        <v>112</v>
      </c>
      <c r="S3583" t="str">
        <f>"14:50:04.484"</f>
        <v>14:50:04.484</v>
      </c>
      <c r="T3583" t="str">
        <f>"14:50:03.984"</f>
        <v>14:50:03.984</v>
      </c>
      <c r="U3583" t="str">
        <f t="shared" si="165"/>
        <v>ad5732</v>
      </c>
      <c r="V3583">
        <v>0</v>
      </c>
      <c r="W3583">
        <v>0</v>
      </c>
      <c r="X3583">
        <v>1</v>
      </c>
      <c r="Z3583">
        <v>0</v>
      </c>
      <c r="AA3583">
        <v>9</v>
      </c>
      <c r="AB3583">
        <v>3</v>
      </c>
      <c r="AC3583">
        <v>0</v>
      </c>
      <c r="AD3583">
        <v>10</v>
      </c>
      <c r="AE3583">
        <v>0</v>
      </c>
      <c r="AF3583">
        <v>3</v>
      </c>
      <c r="AG3583">
        <v>2</v>
      </c>
      <c r="AH3583">
        <v>0</v>
      </c>
      <c r="AI3583" t="s">
        <v>7214</v>
      </c>
      <c r="AJ3583">
        <v>40.409624999999998</v>
      </c>
      <c r="AK3583" t="s">
        <v>7215</v>
      </c>
      <c r="AL3583">
        <v>-74.509535</v>
      </c>
      <c r="AM3583">
        <v>100</v>
      </c>
      <c r="AN3583">
        <v>1700</v>
      </c>
      <c r="AO3583" t="s">
        <v>115</v>
      </c>
      <c r="AP3583">
        <v>105</v>
      </c>
      <c r="AQ3583">
        <v>59</v>
      </c>
      <c r="AR3583">
        <v>0</v>
      </c>
      <c r="AZ3583">
        <v>3614</v>
      </c>
      <c r="BA3583">
        <v>1</v>
      </c>
      <c r="BB3583" t="str">
        <f t="shared" si="167"/>
        <v xml:space="preserve">N959MJ  </v>
      </c>
      <c r="BC3583">
        <v>1</v>
      </c>
      <c r="BE3583">
        <v>0</v>
      </c>
      <c r="BF3583">
        <v>0</v>
      </c>
      <c r="BG3583">
        <v>0</v>
      </c>
      <c r="BH3583">
        <v>1900</v>
      </c>
      <c r="BI3583">
        <v>200</v>
      </c>
      <c r="BJ3583">
        <v>1</v>
      </c>
      <c r="BK3583">
        <v>1</v>
      </c>
      <c r="BL3583">
        <v>1</v>
      </c>
      <c r="BM3583">
        <v>0</v>
      </c>
      <c r="BP3583">
        <v>0</v>
      </c>
      <c r="BQ3583">
        <v>0</v>
      </c>
      <c r="BX3583" t="str">
        <f>"14:50:04.492"</f>
        <v>14:50:04.492</v>
      </c>
      <c r="BY3583" t="str">
        <f>"489913386"</f>
        <v>489913386</v>
      </c>
      <c r="CL3583">
        <v>0</v>
      </c>
      <c r="CM3583">
        <v>2</v>
      </c>
      <c r="CN3583">
        <v>0</v>
      </c>
      <c r="CO3583">
        <v>2</v>
      </c>
      <c r="CP3583">
        <v>0</v>
      </c>
      <c r="CQ3583">
        <v>6</v>
      </c>
      <c r="CR3583" t="s">
        <v>116</v>
      </c>
      <c r="CS3583">
        <v>305</v>
      </c>
      <c r="CT3583">
        <v>3</v>
      </c>
      <c r="CU3583" t="s">
        <v>6425</v>
      </c>
      <c r="CV3583" t="s">
        <v>6426</v>
      </c>
      <c r="CY3583">
        <v>5971157</v>
      </c>
      <c r="CZ3583" t="s">
        <v>119</v>
      </c>
    </row>
    <row r="3584" spans="1:104" x14ac:dyDescent="0.25">
      <c r="A3584" t="str">
        <f>"14:50:05.641"</f>
        <v>14:50:05.641</v>
      </c>
      <c r="B3584" t="s">
        <v>108</v>
      </c>
      <c r="C3584" t="str">
        <f t="shared" si="166"/>
        <v>ffdfd3c0</v>
      </c>
      <c r="D3584" t="s">
        <v>109</v>
      </c>
      <c r="E3584">
        <v>4</v>
      </c>
      <c r="F3584">
        <v>1004</v>
      </c>
      <c r="G3584" t="s">
        <v>110</v>
      </c>
      <c r="J3584" t="s">
        <v>111</v>
      </c>
      <c r="K3584">
        <v>0</v>
      </c>
      <c r="L3584">
        <v>3</v>
      </c>
      <c r="M3584">
        <v>0</v>
      </c>
      <c r="N3584">
        <v>2</v>
      </c>
      <c r="O3584">
        <v>1</v>
      </c>
      <c r="P3584">
        <v>0</v>
      </c>
      <c r="Q3584">
        <v>0</v>
      </c>
      <c r="R3584" t="s">
        <v>112</v>
      </c>
      <c r="S3584" t="str">
        <f>"14:50:05.438"</f>
        <v>14:50:05.438</v>
      </c>
      <c r="T3584" t="str">
        <f>"14:50:05.039"</f>
        <v>14:50:05.039</v>
      </c>
      <c r="U3584" t="str">
        <f t="shared" si="165"/>
        <v>ad5732</v>
      </c>
      <c r="V3584">
        <v>0</v>
      </c>
      <c r="W3584">
        <v>0</v>
      </c>
      <c r="X3584">
        <v>1</v>
      </c>
      <c r="Z3584">
        <v>0</v>
      </c>
      <c r="AA3584">
        <v>9</v>
      </c>
      <c r="AB3584">
        <v>3</v>
      </c>
      <c r="AC3584">
        <v>0</v>
      </c>
      <c r="AD3584">
        <v>10</v>
      </c>
      <c r="AE3584">
        <v>0</v>
      </c>
      <c r="AF3584">
        <v>3</v>
      </c>
      <c r="AG3584">
        <v>2</v>
      </c>
      <c r="AH3584">
        <v>0</v>
      </c>
      <c r="AI3584" t="s">
        <v>7216</v>
      </c>
      <c r="AJ3584">
        <v>40.409903999999997</v>
      </c>
      <c r="AK3584" t="s">
        <v>7217</v>
      </c>
      <c r="AL3584">
        <v>-74.508913000000007</v>
      </c>
      <c r="AM3584">
        <v>100</v>
      </c>
      <c r="AN3584">
        <v>1700</v>
      </c>
      <c r="AO3584" t="s">
        <v>115</v>
      </c>
      <c r="AP3584">
        <v>105</v>
      </c>
      <c r="AQ3584">
        <v>59</v>
      </c>
      <c r="AR3584">
        <v>0</v>
      </c>
      <c r="AZ3584">
        <v>3614</v>
      </c>
      <c r="BA3584">
        <v>1</v>
      </c>
      <c r="BB3584" t="str">
        <f t="shared" si="167"/>
        <v xml:space="preserve">N959MJ  </v>
      </c>
      <c r="BC3584">
        <v>1</v>
      </c>
      <c r="BE3584">
        <v>0</v>
      </c>
      <c r="BF3584">
        <v>0</v>
      </c>
      <c r="BG3584">
        <v>0</v>
      </c>
      <c r="BH3584">
        <v>1900</v>
      </c>
      <c r="BI3584">
        <v>200</v>
      </c>
      <c r="BJ3584">
        <v>1</v>
      </c>
      <c r="BK3584">
        <v>1</v>
      </c>
      <c r="BL3584">
        <v>1</v>
      </c>
      <c r="BM3584">
        <v>0</v>
      </c>
      <c r="BP3584">
        <v>0</v>
      </c>
      <c r="BQ3584">
        <v>0</v>
      </c>
      <c r="BX3584" t="str">
        <f>"14:50:05.445"</f>
        <v>14:50:05.445</v>
      </c>
      <c r="BY3584" t="str">
        <f>"443478768"</f>
        <v>443478768</v>
      </c>
      <c r="CL3584">
        <v>0</v>
      </c>
      <c r="CM3584">
        <v>2</v>
      </c>
      <c r="CN3584">
        <v>0</v>
      </c>
      <c r="CO3584">
        <v>2</v>
      </c>
      <c r="CP3584">
        <v>0</v>
      </c>
      <c r="CQ3584">
        <v>6</v>
      </c>
      <c r="CR3584" t="s">
        <v>116</v>
      </c>
      <c r="CS3584">
        <v>305</v>
      </c>
      <c r="CT3584">
        <v>3</v>
      </c>
      <c r="CU3584" t="s">
        <v>6425</v>
      </c>
      <c r="CV3584" t="s">
        <v>6426</v>
      </c>
      <c r="CY3584">
        <v>5973046</v>
      </c>
      <c r="CZ3584" t="s">
        <v>119</v>
      </c>
    </row>
    <row r="3585" spans="1:104" x14ac:dyDescent="0.25">
      <c r="A3585" t="str">
        <f>"14:50:06.492"</f>
        <v>14:50:06.492</v>
      </c>
      <c r="B3585" t="s">
        <v>108</v>
      </c>
      <c r="C3585" t="str">
        <f t="shared" si="166"/>
        <v>ffdfd3c0</v>
      </c>
      <c r="D3585" t="s">
        <v>109</v>
      </c>
      <c r="E3585">
        <v>4</v>
      </c>
      <c r="F3585">
        <v>1004</v>
      </c>
      <c r="G3585" t="s">
        <v>110</v>
      </c>
      <c r="J3585" t="s">
        <v>111</v>
      </c>
      <c r="K3585">
        <v>0</v>
      </c>
      <c r="L3585">
        <v>3</v>
      </c>
      <c r="M3585">
        <v>0</v>
      </c>
      <c r="N3585">
        <v>2</v>
      </c>
      <c r="O3585">
        <v>1</v>
      </c>
      <c r="P3585">
        <v>0</v>
      </c>
      <c r="Q3585">
        <v>0</v>
      </c>
      <c r="R3585" t="s">
        <v>112</v>
      </c>
      <c r="S3585" t="str">
        <f>"14:50:06.305"</f>
        <v>14:50:06.305</v>
      </c>
      <c r="T3585" t="str">
        <f>"14:50:05.906"</f>
        <v>14:50:05.906</v>
      </c>
      <c r="U3585" t="str">
        <f t="shared" si="165"/>
        <v>ad5732</v>
      </c>
      <c r="V3585">
        <v>0</v>
      </c>
      <c r="W3585">
        <v>0</v>
      </c>
      <c r="X3585">
        <v>1</v>
      </c>
      <c r="Z3585">
        <v>0</v>
      </c>
      <c r="AA3585">
        <v>9</v>
      </c>
      <c r="AB3585">
        <v>3</v>
      </c>
      <c r="AC3585">
        <v>0</v>
      </c>
      <c r="AD3585">
        <v>10</v>
      </c>
      <c r="AE3585">
        <v>0</v>
      </c>
      <c r="AF3585">
        <v>3</v>
      </c>
      <c r="AG3585">
        <v>2</v>
      </c>
      <c r="AH3585">
        <v>0</v>
      </c>
      <c r="AI3585" t="s">
        <v>7218</v>
      </c>
      <c r="AJ3585">
        <v>40.410139999999998</v>
      </c>
      <c r="AK3585" t="s">
        <v>7219</v>
      </c>
      <c r="AL3585">
        <v>-74.508398</v>
      </c>
      <c r="AM3585">
        <v>100</v>
      </c>
      <c r="AN3585">
        <v>1700</v>
      </c>
      <c r="AO3585" t="s">
        <v>115</v>
      </c>
      <c r="AP3585">
        <v>105</v>
      </c>
      <c r="AQ3585">
        <v>58</v>
      </c>
      <c r="AR3585">
        <v>0</v>
      </c>
      <c r="AZ3585">
        <v>3614</v>
      </c>
      <c r="BA3585">
        <v>1</v>
      </c>
      <c r="BB3585" t="str">
        <f t="shared" si="167"/>
        <v xml:space="preserve">N959MJ  </v>
      </c>
      <c r="BC3585">
        <v>1</v>
      </c>
      <c r="BE3585">
        <v>0</v>
      </c>
      <c r="BF3585">
        <v>0</v>
      </c>
      <c r="BG3585">
        <v>0</v>
      </c>
      <c r="BH3585">
        <v>1900</v>
      </c>
      <c r="BI3585">
        <v>200</v>
      </c>
      <c r="BJ3585">
        <v>1</v>
      </c>
      <c r="BK3585">
        <v>1</v>
      </c>
      <c r="BL3585">
        <v>1</v>
      </c>
      <c r="BM3585">
        <v>0</v>
      </c>
      <c r="BP3585">
        <v>0</v>
      </c>
      <c r="BQ3585">
        <v>0</v>
      </c>
      <c r="BX3585" t="str">
        <f>"14:50:06.305"</f>
        <v>14:50:06.305</v>
      </c>
      <c r="BY3585" t="str">
        <f>"305292079"</f>
        <v>305292079</v>
      </c>
      <c r="CL3585">
        <v>0</v>
      </c>
      <c r="CM3585">
        <v>2</v>
      </c>
      <c r="CN3585">
        <v>0</v>
      </c>
      <c r="CO3585">
        <v>2</v>
      </c>
      <c r="CP3585">
        <v>0</v>
      </c>
      <c r="CQ3585">
        <v>6</v>
      </c>
      <c r="CR3585" t="s">
        <v>116</v>
      </c>
      <c r="CS3585">
        <v>305</v>
      </c>
      <c r="CT3585">
        <v>3</v>
      </c>
      <c r="CU3585" t="s">
        <v>6425</v>
      </c>
      <c r="CV3585" t="s">
        <v>6426</v>
      </c>
      <c r="CY3585">
        <v>5974679</v>
      </c>
      <c r="CZ3585" t="s">
        <v>119</v>
      </c>
    </row>
    <row r="3586" spans="1:104" x14ac:dyDescent="0.25">
      <c r="A3586" t="str">
        <f>"14:50:07.453"</f>
        <v>14:50:07.453</v>
      </c>
      <c r="B3586" t="s">
        <v>108</v>
      </c>
      <c r="C3586" t="str">
        <f t="shared" si="166"/>
        <v>ffdfd3c0</v>
      </c>
      <c r="D3586" t="s">
        <v>109</v>
      </c>
      <c r="E3586">
        <v>4</v>
      </c>
      <c r="F3586">
        <v>1004</v>
      </c>
      <c r="G3586" t="s">
        <v>110</v>
      </c>
      <c r="J3586" t="s">
        <v>111</v>
      </c>
      <c r="K3586">
        <v>0</v>
      </c>
      <c r="L3586">
        <v>3</v>
      </c>
      <c r="M3586">
        <v>0</v>
      </c>
      <c r="N3586">
        <v>2</v>
      </c>
      <c r="O3586">
        <v>1</v>
      </c>
      <c r="P3586">
        <v>0</v>
      </c>
      <c r="Q3586">
        <v>0</v>
      </c>
      <c r="R3586" t="s">
        <v>112</v>
      </c>
      <c r="S3586" t="str">
        <f>"14:50:07.289"</f>
        <v>14:50:07.289</v>
      </c>
      <c r="T3586" t="str">
        <f>"14:50:06.891"</f>
        <v>14:50:06.891</v>
      </c>
      <c r="U3586" t="str">
        <f t="shared" ref="U3586:U3649" si="168">"ad5732"</f>
        <v>ad5732</v>
      </c>
      <c r="V3586">
        <v>0</v>
      </c>
      <c r="W3586">
        <v>0</v>
      </c>
      <c r="X3586">
        <v>1</v>
      </c>
      <c r="Z3586">
        <v>0</v>
      </c>
      <c r="AA3586">
        <v>9</v>
      </c>
      <c r="AB3586">
        <v>3</v>
      </c>
      <c r="AC3586">
        <v>0</v>
      </c>
      <c r="AD3586">
        <v>10</v>
      </c>
      <c r="AE3586">
        <v>0</v>
      </c>
      <c r="AF3586">
        <v>3</v>
      </c>
      <c r="AG3586">
        <v>2</v>
      </c>
      <c r="AH3586">
        <v>0</v>
      </c>
      <c r="AI3586" t="s">
        <v>7220</v>
      </c>
      <c r="AJ3586">
        <v>40.410375999999999</v>
      </c>
      <c r="AK3586" t="s">
        <v>7221</v>
      </c>
      <c r="AL3586">
        <v>-74.507774999999995</v>
      </c>
      <c r="AM3586">
        <v>100</v>
      </c>
      <c r="AN3586">
        <v>1700</v>
      </c>
      <c r="AO3586" t="s">
        <v>115</v>
      </c>
      <c r="AP3586">
        <v>105</v>
      </c>
      <c r="AQ3586">
        <v>58</v>
      </c>
      <c r="AR3586">
        <v>0</v>
      </c>
      <c r="AZ3586">
        <v>3614</v>
      </c>
      <c r="BA3586">
        <v>1</v>
      </c>
      <c r="BB3586" t="str">
        <f t="shared" si="167"/>
        <v xml:space="preserve">N959MJ  </v>
      </c>
      <c r="BC3586">
        <v>1</v>
      </c>
      <c r="BE3586">
        <v>0</v>
      </c>
      <c r="BF3586">
        <v>0</v>
      </c>
      <c r="BG3586">
        <v>0</v>
      </c>
      <c r="BH3586">
        <v>1900</v>
      </c>
      <c r="BI3586">
        <v>200</v>
      </c>
      <c r="BJ3586">
        <v>1</v>
      </c>
      <c r="BK3586">
        <v>1</v>
      </c>
      <c r="BL3586">
        <v>1</v>
      </c>
      <c r="BM3586">
        <v>0</v>
      </c>
      <c r="BP3586">
        <v>0</v>
      </c>
      <c r="BQ3586">
        <v>0</v>
      </c>
      <c r="BX3586" t="str">
        <f>"14:50:07.289"</f>
        <v>14:50:07.289</v>
      </c>
      <c r="BY3586" t="str">
        <f>"289987651"</f>
        <v>289987651</v>
      </c>
      <c r="CL3586">
        <v>0</v>
      </c>
      <c r="CM3586">
        <v>2</v>
      </c>
      <c r="CN3586">
        <v>0</v>
      </c>
      <c r="CO3586">
        <v>2</v>
      </c>
      <c r="CP3586">
        <v>0</v>
      </c>
      <c r="CQ3586">
        <v>6</v>
      </c>
      <c r="CR3586" t="s">
        <v>116</v>
      </c>
      <c r="CS3586">
        <v>305</v>
      </c>
      <c r="CT3586">
        <v>3</v>
      </c>
      <c r="CU3586" t="s">
        <v>6425</v>
      </c>
      <c r="CV3586" t="s">
        <v>6426</v>
      </c>
      <c r="CY3586">
        <v>5976646</v>
      </c>
      <c r="CZ3586" t="s">
        <v>119</v>
      </c>
    </row>
    <row r="3587" spans="1:104" x14ac:dyDescent="0.25">
      <c r="A3587" t="str">
        <f>"14:50:08.461"</f>
        <v>14:50:08.461</v>
      </c>
      <c r="B3587" t="s">
        <v>108</v>
      </c>
      <c r="C3587" t="str">
        <f t="shared" si="166"/>
        <v>ffdfd3c0</v>
      </c>
      <c r="D3587" t="s">
        <v>109</v>
      </c>
      <c r="E3587">
        <v>4</v>
      </c>
      <c r="F3587">
        <v>1004</v>
      </c>
      <c r="G3587" t="s">
        <v>110</v>
      </c>
      <c r="J3587" t="s">
        <v>111</v>
      </c>
      <c r="K3587">
        <v>0</v>
      </c>
      <c r="L3587">
        <v>3</v>
      </c>
      <c r="M3587">
        <v>0</v>
      </c>
      <c r="N3587">
        <v>2</v>
      </c>
      <c r="O3587">
        <v>1</v>
      </c>
      <c r="P3587">
        <v>0</v>
      </c>
      <c r="Q3587">
        <v>0</v>
      </c>
      <c r="R3587" t="s">
        <v>112</v>
      </c>
      <c r="S3587" t="str">
        <f>"14:50:08.281"</f>
        <v>14:50:08.281</v>
      </c>
      <c r="T3587" t="str">
        <f>"14:50:07.781"</f>
        <v>14:50:07.781</v>
      </c>
      <c r="U3587" t="str">
        <f t="shared" si="168"/>
        <v>ad5732</v>
      </c>
      <c r="V3587">
        <v>0</v>
      </c>
      <c r="W3587">
        <v>0</v>
      </c>
      <c r="X3587">
        <v>1</v>
      </c>
      <c r="Z3587">
        <v>0</v>
      </c>
      <c r="AA3587">
        <v>9</v>
      </c>
      <c r="AB3587">
        <v>3</v>
      </c>
      <c r="AC3587">
        <v>0</v>
      </c>
      <c r="AD3587">
        <v>10</v>
      </c>
      <c r="AE3587">
        <v>0</v>
      </c>
      <c r="AF3587">
        <v>3</v>
      </c>
      <c r="AG3587">
        <v>2</v>
      </c>
      <c r="AH3587">
        <v>0</v>
      </c>
      <c r="AI3587" t="s">
        <v>7222</v>
      </c>
      <c r="AJ3587">
        <v>40.410654999999998</v>
      </c>
      <c r="AK3587" t="s">
        <v>7223</v>
      </c>
      <c r="AL3587">
        <v>-74.507153000000002</v>
      </c>
      <c r="AM3587">
        <v>100</v>
      </c>
      <c r="AN3587">
        <v>1700</v>
      </c>
      <c r="AO3587" t="s">
        <v>115</v>
      </c>
      <c r="AP3587">
        <v>105</v>
      </c>
      <c r="AQ3587">
        <v>58</v>
      </c>
      <c r="AR3587">
        <v>0</v>
      </c>
      <c r="AZ3587">
        <v>3614</v>
      </c>
      <c r="BA3587">
        <v>1</v>
      </c>
      <c r="BB3587" t="str">
        <f t="shared" si="167"/>
        <v xml:space="preserve">N959MJ  </v>
      </c>
      <c r="BC3587">
        <v>1</v>
      </c>
      <c r="BE3587">
        <v>0</v>
      </c>
      <c r="BF3587">
        <v>0</v>
      </c>
      <c r="BG3587">
        <v>0</v>
      </c>
      <c r="BH3587">
        <v>1900</v>
      </c>
      <c r="BI3587">
        <v>200</v>
      </c>
      <c r="BJ3587">
        <v>1</v>
      </c>
      <c r="BK3587">
        <v>1</v>
      </c>
      <c r="BL3587">
        <v>1</v>
      </c>
      <c r="BM3587">
        <v>0</v>
      </c>
      <c r="BP3587">
        <v>0</v>
      </c>
      <c r="BQ3587">
        <v>0</v>
      </c>
      <c r="BX3587" t="str">
        <f>"14:50:08.281"</f>
        <v>14:50:08.281</v>
      </c>
      <c r="BY3587" t="str">
        <f>"282875235"</f>
        <v>282875235</v>
      </c>
      <c r="CL3587">
        <v>0</v>
      </c>
      <c r="CM3587">
        <v>2</v>
      </c>
      <c r="CN3587">
        <v>0</v>
      </c>
      <c r="CO3587">
        <v>2</v>
      </c>
      <c r="CP3587">
        <v>0</v>
      </c>
      <c r="CQ3587">
        <v>6</v>
      </c>
      <c r="CR3587" t="s">
        <v>116</v>
      </c>
      <c r="CS3587">
        <v>305</v>
      </c>
      <c r="CT3587">
        <v>3</v>
      </c>
      <c r="CU3587" t="s">
        <v>6425</v>
      </c>
      <c r="CV3587" t="s">
        <v>6426</v>
      </c>
      <c r="CY3587">
        <v>5978702</v>
      </c>
      <c r="CZ3587" t="s">
        <v>119</v>
      </c>
    </row>
    <row r="3588" spans="1:104" x14ac:dyDescent="0.25">
      <c r="A3588" t="str">
        <f>"14:50:09.469"</f>
        <v>14:50:09.469</v>
      </c>
      <c r="B3588" t="s">
        <v>108</v>
      </c>
      <c r="C3588" t="str">
        <f t="shared" si="166"/>
        <v>ffdfd3c0</v>
      </c>
      <c r="D3588" t="s">
        <v>109</v>
      </c>
      <c r="E3588">
        <v>4</v>
      </c>
      <c r="F3588">
        <v>1004</v>
      </c>
      <c r="G3588" t="s">
        <v>110</v>
      </c>
      <c r="J3588" t="s">
        <v>111</v>
      </c>
      <c r="K3588">
        <v>0</v>
      </c>
      <c r="L3588">
        <v>3</v>
      </c>
      <c r="M3588">
        <v>0</v>
      </c>
      <c r="N3588">
        <v>2</v>
      </c>
      <c r="O3588">
        <v>1</v>
      </c>
      <c r="P3588">
        <v>0</v>
      </c>
      <c r="Q3588">
        <v>0</v>
      </c>
      <c r="R3588" t="s">
        <v>112</v>
      </c>
      <c r="S3588" t="str">
        <f>"14:50:09.273"</f>
        <v>14:50:09.273</v>
      </c>
      <c r="T3588" t="str">
        <f>"14:50:08.875"</f>
        <v>14:50:08.875</v>
      </c>
      <c r="U3588" t="str">
        <f t="shared" si="168"/>
        <v>ad5732</v>
      </c>
      <c r="V3588">
        <v>0</v>
      </c>
      <c r="W3588">
        <v>0</v>
      </c>
      <c r="X3588">
        <v>1</v>
      </c>
      <c r="Z3588">
        <v>0</v>
      </c>
      <c r="AA3588">
        <v>9</v>
      </c>
      <c r="AB3588">
        <v>3</v>
      </c>
      <c r="AC3588">
        <v>0</v>
      </c>
      <c r="AD3588">
        <v>10</v>
      </c>
      <c r="AE3588">
        <v>0</v>
      </c>
      <c r="AF3588">
        <v>3</v>
      </c>
      <c r="AG3588">
        <v>2</v>
      </c>
      <c r="AH3588">
        <v>0</v>
      </c>
      <c r="AI3588" t="s">
        <v>7224</v>
      </c>
      <c r="AJ3588">
        <v>40.410933</v>
      </c>
      <c r="AK3588" t="s">
        <v>7225</v>
      </c>
      <c r="AL3588">
        <v>-74.506466000000003</v>
      </c>
      <c r="AM3588">
        <v>100</v>
      </c>
      <c r="AN3588">
        <v>1700</v>
      </c>
      <c r="AO3588" t="s">
        <v>115</v>
      </c>
      <c r="AP3588">
        <v>106</v>
      </c>
      <c r="AQ3588">
        <v>58</v>
      </c>
      <c r="AR3588">
        <v>0</v>
      </c>
      <c r="AZ3588">
        <v>3614</v>
      </c>
      <c r="BA3588">
        <v>1</v>
      </c>
      <c r="BB3588" t="str">
        <f t="shared" si="167"/>
        <v xml:space="preserve">N959MJ  </v>
      </c>
      <c r="BC3588">
        <v>1</v>
      </c>
      <c r="BE3588">
        <v>0</v>
      </c>
      <c r="BF3588">
        <v>0</v>
      </c>
      <c r="BG3588">
        <v>0</v>
      </c>
      <c r="BH3588">
        <v>1900</v>
      </c>
      <c r="BI3588">
        <v>200</v>
      </c>
      <c r="BJ3588">
        <v>1</v>
      </c>
      <c r="BK3588">
        <v>1</v>
      </c>
      <c r="BL3588">
        <v>1</v>
      </c>
      <c r="BM3588">
        <v>0</v>
      </c>
      <c r="BP3588">
        <v>0</v>
      </c>
      <c r="BQ3588">
        <v>0</v>
      </c>
      <c r="BX3588" t="str">
        <f>"14:50:09.281"</f>
        <v>14:50:09.281</v>
      </c>
      <c r="BY3588" t="str">
        <f>"277371791"</f>
        <v>277371791</v>
      </c>
      <c r="CL3588">
        <v>0</v>
      </c>
      <c r="CM3588">
        <v>2</v>
      </c>
      <c r="CN3588">
        <v>0</v>
      </c>
      <c r="CO3588">
        <v>2</v>
      </c>
      <c r="CP3588">
        <v>0</v>
      </c>
      <c r="CQ3588">
        <v>6</v>
      </c>
      <c r="CR3588" t="s">
        <v>116</v>
      </c>
      <c r="CS3588">
        <v>38</v>
      </c>
      <c r="CT3588">
        <v>0</v>
      </c>
      <c r="CU3588" t="s">
        <v>4719</v>
      </c>
      <c r="CV3588" t="s">
        <v>4720</v>
      </c>
      <c r="CY3588">
        <v>8102121</v>
      </c>
      <c r="CZ3588" t="s">
        <v>119</v>
      </c>
    </row>
    <row r="3589" spans="1:104" x14ac:dyDescent="0.25">
      <c r="A3589" t="str">
        <f>"14:50:10.430"</f>
        <v>14:50:10.430</v>
      </c>
      <c r="B3589" t="s">
        <v>108</v>
      </c>
      <c r="C3589" t="str">
        <f t="shared" si="166"/>
        <v>ffdfd3c0</v>
      </c>
      <c r="D3589" t="s">
        <v>109</v>
      </c>
      <c r="E3589">
        <v>4</v>
      </c>
      <c r="F3589">
        <v>1004</v>
      </c>
      <c r="G3589" t="s">
        <v>110</v>
      </c>
      <c r="J3589" t="s">
        <v>111</v>
      </c>
      <c r="K3589">
        <v>0</v>
      </c>
      <c r="L3589">
        <v>3</v>
      </c>
      <c r="M3589">
        <v>0</v>
      </c>
      <c r="N3589">
        <v>2</v>
      </c>
      <c r="O3589">
        <v>1</v>
      </c>
      <c r="P3589">
        <v>0</v>
      </c>
      <c r="Q3589">
        <v>0</v>
      </c>
      <c r="R3589" t="s">
        <v>112</v>
      </c>
      <c r="S3589" t="str">
        <f>"14:50:10.258"</f>
        <v>14:50:10.258</v>
      </c>
      <c r="T3589" t="str">
        <f>"14:50:09.859"</f>
        <v>14:50:09.859</v>
      </c>
      <c r="U3589" t="str">
        <f t="shared" si="168"/>
        <v>ad5732</v>
      </c>
      <c r="V3589">
        <v>0</v>
      </c>
      <c r="W3589">
        <v>0</v>
      </c>
      <c r="X3589">
        <v>1</v>
      </c>
      <c r="Z3589">
        <v>0</v>
      </c>
      <c r="AA3589">
        <v>9</v>
      </c>
      <c r="AB3589">
        <v>3</v>
      </c>
      <c r="AC3589">
        <v>0</v>
      </c>
      <c r="AD3589">
        <v>10</v>
      </c>
      <c r="AE3589">
        <v>0</v>
      </c>
      <c r="AF3589">
        <v>3</v>
      </c>
      <c r="AG3589">
        <v>2</v>
      </c>
      <c r="AH3589">
        <v>0</v>
      </c>
      <c r="AI3589" t="s">
        <v>7226</v>
      </c>
      <c r="AJ3589">
        <v>40.411211999999999</v>
      </c>
      <c r="AK3589" t="s">
        <v>7227</v>
      </c>
      <c r="AL3589">
        <v>-74.505843999999996</v>
      </c>
      <c r="AM3589">
        <v>100</v>
      </c>
      <c r="AN3589">
        <v>1700</v>
      </c>
      <c r="AO3589" t="s">
        <v>115</v>
      </c>
      <c r="AP3589">
        <v>106</v>
      </c>
      <c r="AQ3589">
        <v>57</v>
      </c>
      <c r="AR3589">
        <v>0</v>
      </c>
      <c r="AZ3589">
        <v>3614</v>
      </c>
      <c r="BA3589">
        <v>1</v>
      </c>
      <c r="BB3589" t="str">
        <f t="shared" si="167"/>
        <v xml:space="preserve">N959MJ  </v>
      </c>
      <c r="BC3589">
        <v>1</v>
      </c>
      <c r="BE3589">
        <v>0</v>
      </c>
      <c r="BF3589">
        <v>0</v>
      </c>
      <c r="BG3589">
        <v>0</v>
      </c>
      <c r="BH3589">
        <v>1900</v>
      </c>
      <c r="BI3589">
        <v>200</v>
      </c>
      <c r="BJ3589">
        <v>1</v>
      </c>
      <c r="BK3589">
        <v>1</v>
      </c>
      <c r="BL3589">
        <v>1</v>
      </c>
      <c r="BM3589">
        <v>0</v>
      </c>
      <c r="BP3589">
        <v>0</v>
      </c>
      <c r="BQ3589">
        <v>0</v>
      </c>
      <c r="BX3589" t="str">
        <f>"14:50:10.266"</f>
        <v>14:50:10.266</v>
      </c>
      <c r="BY3589" t="str">
        <f>"265344533"</f>
        <v>265344533</v>
      </c>
      <c r="CL3589">
        <v>0</v>
      </c>
      <c r="CM3589">
        <v>2</v>
      </c>
      <c r="CN3589">
        <v>0</v>
      </c>
      <c r="CO3589">
        <v>2</v>
      </c>
      <c r="CP3589">
        <v>0</v>
      </c>
      <c r="CQ3589">
        <v>6</v>
      </c>
      <c r="CR3589" t="s">
        <v>116</v>
      </c>
      <c r="CS3589">
        <v>38</v>
      </c>
      <c r="CT3589">
        <v>0</v>
      </c>
      <c r="CU3589" t="s">
        <v>4719</v>
      </c>
      <c r="CV3589" t="s">
        <v>4720</v>
      </c>
      <c r="CY3589">
        <v>8103584</v>
      </c>
      <c r="CZ3589" t="s">
        <v>119</v>
      </c>
    </row>
    <row r="3590" spans="1:104" x14ac:dyDescent="0.25">
      <c r="A3590" t="str">
        <f>"14:50:11.445"</f>
        <v>14:50:11.445</v>
      </c>
      <c r="B3590" t="s">
        <v>108</v>
      </c>
      <c r="C3590" t="str">
        <f t="shared" si="166"/>
        <v>ffdfd3c0</v>
      </c>
      <c r="D3590" t="s">
        <v>109</v>
      </c>
      <c r="E3590">
        <v>4</v>
      </c>
      <c r="F3590">
        <v>1004</v>
      </c>
      <c r="G3590" t="s">
        <v>110</v>
      </c>
      <c r="J3590" t="s">
        <v>111</v>
      </c>
      <c r="K3590">
        <v>0</v>
      </c>
      <c r="L3590">
        <v>3</v>
      </c>
      <c r="M3590">
        <v>0</v>
      </c>
      <c r="N3590">
        <v>2</v>
      </c>
      <c r="O3590">
        <v>1</v>
      </c>
      <c r="P3590">
        <v>0</v>
      </c>
      <c r="Q3590">
        <v>0</v>
      </c>
      <c r="R3590" t="s">
        <v>112</v>
      </c>
      <c r="S3590" t="str">
        <f>"14:50:11.227"</f>
        <v>14:50:11.227</v>
      </c>
      <c r="T3590" t="str">
        <f>"14:50:10.727"</f>
        <v>14:50:10.727</v>
      </c>
      <c r="U3590" t="str">
        <f t="shared" si="168"/>
        <v>ad5732</v>
      </c>
      <c r="V3590">
        <v>0</v>
      </c>
      <c r="W3590">
        <v>0</v>
      </c>
      <c r="X3590">
        <v>1</v>
      </c>
      <c r="Z3590">
        <v>0</v>
      </c>
      <c r="AA3590">
        <v>9</v>
      </c>
      <c r="AB3590">
        <v>3</v>
      </c>
      <c r="AC3590">
        <v>0</v>
      </c>
      <c r="AD3590">
        <v>10</v>
      </c>
      <c r="AE3590">
        <v>0</v>
      </c>
      <c r="AF3590">
        <v>3</v>
      </c>
      <c r="AG3590">
        <v>2</v>
      </c>
      <c r="AH3590">
        <v>0</v>
      </c>
      <c r="AI3590" t="s">
        <v>7228</v>
      </c>
      <c r="AJ3590">
        <v>40.411448</v>
      </c>
      <c r="AK3590" t="s">
        <v>7229</v>
      </c>
      <c r="AL3590">
        <v>-74.505222000000003</v>
      </c>
      <c r="AM3590">
        <v>100</v>
      </c>
      <c r="AN3590">
        <v>1700</v>
      </c>
      <c r="AO3590" t="s">
        <v>115</v>
      </c>
      <c r="AP3590">
        <v>106</v>
      </c>
      <c r="AQ3590">
        <v>57</v>
      </c>
      <c r="AR3590">
        <v>0</v>
      </c>
      <c r="AZ3590">
        <v>3614</v>
      </c>
      <c r="BA3590">
        <v>1</v>
      </c>
      <c r="BB3590" t="str">
        <f t="shared" si="167"/>
        <v xml:space="preserve">N959MJ  </v>
      </c>
      <c r="BC3590">
        <v>1</v>
      </c>
      <c r="BE3590">
        <v>0</v>
      </c>
      <c r="BF3590">
        <v>0</v>
      </c>
      <c r="BG3590">
        <v>0</v>
      </c>
      <c r="BH3590">
        <v>1900</v>
      </c>
      <c r="BI3590">
        <v>200</v>
      </c>
      <c r="BJ3590">
        <v>1</v>
      </c>
      <c r="BK3590">
        <v>1</v>
      </c>
      <c r="BL3590">
        <v>1</v>
      </c>
      <c r="BM3590">
        <v>0</v>
      </c>
      <c r="BP3590">
        <v>0</v>
      </c>
      <c r="BQ3590">
        <v>0</v>
      </c>
      <c r="BX3590" t="str">
        <f>"14:50:11.234"</f>
        <v>14:50:11.234</v>
      </c>
      <c r="BY3590" t="str">
        <f>"233656134"</f>
        <v>233656134</v>
      </c>
      <c r="CL3590">
        <v>0</v>
      </c>
      <c r="CM3590">
        <v>2</v>
      </c>
      <c r="CN3590">
        <v>0</v>
      </c>
      <c r="CO3590">
        <v>2</v>
      </c>
      <c r="CP3590">
        <v>0</v>
      </c>
      <c r="CQ3590">
        <v>6</v>
      </c>
      <c r="CR3590" t="s">
        <v>116</v>
      </c>
      <c r="CS3590">
        <v>38</v>
      </c>
      <c r="CT3590">
        <v>0</v>
      </c>
      <c r="CU3590" t="s">
        <v>4719</v>
      </c>
      <c r="CV3590" t="s">
        <v>4720</v>
      </c>
      <c r="CY3590">
        <v>8104932</v>
      </c>
      <c r="CZ3590" t="s">
        <v>119</v>
      </c>
    </row>
    <row r="3591" spans="1:104" x14ac:dyDescent="0.25">
      <c r="A3591" t="str">
        <f>"14:50:12.555"</f>
        <v>14:50:12.555</v>
      </c>
      <c r="B3591" t="s">
        <v>108</v>
      </c>
      <c r="C3591" t="str">
        <f t="shared" si="166"/>
        <v>ffdfd3c0</v>
      </c>
      <c r="D3591" t="s">
        <v>109</v>
      </c>
      <c r="E3591">
        <v>4</v>
      </c>
      <c r="F3591">
        <v>1004</v>
      </c>
      <c r="G3591" t="s">
        <v>110</v>
      </c>
      <c r="J3591" t="s">
        <v>111</v>
      </c>
      <c r="K3591">
        <v>0</v>
      </c>
      <c r="L3591">
        <v>3</v>
      </c>
      <c r="M3591">
        <v>0</v>
      </c>
      <c r="N3591">
        <v>2</v>
      </c>
      <c r="O3591">
        <v>1</v>
      </c>
      <c r="P3591">
        <v>0</v>
      </c>
      <c r="Q3591">
        <v>0</v>
      </c>
      <c r="R3591" t="s">
        <v>112</v>
      </c>
      <c r="S3591" t="str">
        <f>"14:50:12.359"</f>
        <v>14:50:12.359</v>
      </c>
      <c r="T3591" t="str">
        <f>"14:50:11.859"</f>
        <v>14:50:11.859</v>
      </c>
      <c r="U3591" t="str">
        <f t="shared" si="168"/>
        <v>ad5732</v>
      </c>
      <c r="V3591">
        <v>0</v>
      </c>
      <c r="W3591">
        <v>0</v>
      </c>
      <c r="X3591">
        <v>1</v>
      </c>
      <c r="Z3591">
        <v>0</v>
      </c>
      <c r="AA3591">
        <v>9</v>
      </c>
      <c r="AB3591">
        <v>3</v>
      </c>
      <c r="AC3591">
        <v>0</v>
      </c>
      <c r="AD3591">
        <v>10</v>
      </c>
      <c r="AE3591">
        <v>0</v>
      </c>
      <c r="AF3591">
        <v>3</v>
      </c>
      <c r="AG3591">
        <v>2</v>
      </c>
      <c r="AH3591">
        <v>0</v>
      </c>
      <c r="AI3591" t="s">
        <v>7230</v>
      </c>
      <c r="AJ3591">
        <v>40.411749</v>
      </c>
      <c r="AK3591" t="s">
        <v>7231</v>
      </c>
      <c r="AL3591">
        <v>-74.504514</v>
      </c>
      <c r="AM3591">
        <v>100</v>
      </c>
      <c r="AN3591">
        <v>1700</v>
      </c>
      <c r="AO3591" t="s">
        <v>115</v>
      </c>
      <c r="AP3591">
        <v>106</v>
      </c>
      <c r="AQ3591">
        <v>57</v>
      </c>
      <c r="AR3591">
        <v>0</v>
      </c>
      <c r="AZ3591">
        <v>3614</v>
      </c>
      <c r="BA3591">
        <v>1</v>
      </c>
      <c r="BB3591" t="str">
        <f t="shared" si="167"/>
        <v xml:space="preserve">N959MJ  </v>
      </c>
      <c r="BC3591">
        <v>1</v>
      </c>
      <c r="BE3591">
        <v>0</v>
      </c>
      <c r="BF3591">
        <v>0</v>
      </c>
      <c r="BG3591">
        <v>0</v>
      </c>
      <c r="BH3591">
        <v>1900</v>
      </c>
      <c r="BI3591">
        <v>200</v>
      </c>
      <c r="BJ3591">
        <v>1</v>
      </c>
      <c r="BK3591">
        <v>1</v>
      </c>
      <c r="BL3591">
        <v>1</v>
      </c>
      <c r="BM3591">
        <v>0</v>
      </c>
      <c r="BP3591">
        <v>0</v>
      </c>
      <c r="BQ3591">
        <v>0</v>
      </c>
      <c r="BX3591" t="str">
        <f>"14:50:12.359"</f>
        <v>14:50:12.359</v>
      </c>
      <c r="BY3591" t="str">
        <f>"360895398"</f>
        <v>360895398</v>
      </c>
      <c r="CL3591">
        <v>0</v>
      </c>
      <c r="CM3591">
        <v>2</v>
      </c>
      <c r="CN3591">
        <v>0</v>
      </c>
      <c r="CO3591">
        <v>2</v>
      </c>
      <c r="CP3591">
        <v>0</v>
      </c>
      <c r="CQ3591">
        <v>6</v>
      </c>
      <c r="CR3591" t="s">
        <v>116</v>
      </c>
      <c r="CS3591">
        <v>38</v>
      </c>
      <c r="CT3591">
        <v>0</v>
      </c>
      <c r="CU3591" t="s">
        <v>4719</v>
      </c>
      <c r="CV3591" t="s">
        <v>4720</v>
      </c>
      <c r="CY3591">
        <v>8106690</v>
      </c>
      <c r="CZ3591" t="s">
        <v>119</v>
      </c>
    </row>
    <row r="3592" spans="1:104" x14ac:dyDescent="0.25">
      <c r="A3592" t="str">
        <f>"14:50:13.359"</f>
        <v>14:50:13.359</v>
      </c>
      <c r="B3592" t="s">
        <v>108</v>
      </c>
      <c r="C3592" t="str">
        <f t="shared" si="166"/>
        <v>ffdfd3c0</v>
      </c>
      <c r="D3592" t="s">
        <v>109</v>
      </c>
      <c r="E3592">
        <v>4</v>
      </c>
      <c r="F3592">
        <v>1004</v>
      </c>
      <c r="G3592" t="s">
        <v>110</v>
      </c>
      <c r="J3592" t="s">
        <v>111</v>
      </c>
      <c r="K3592">
        <v>0</v>
      </c>
      <c r="L3592">
        <v>3</v>
      </c>
      <c r="M3592">
        <v>0</v>
      </c>
      <c r="N3592">
        <v>2</v>
      </c>
      <c r="O3592">
        <v>1</v>
      </c>
      <c r="P3592">
        <v>0</v>
      </c>
      <c r="Q3592">
        <v>0</v>
      </c>
      <c r="R3592" t="s">
        <v>112</v>
      </c>
      <c r="S3592" t="str">
        <f>"14:50:13.211"</f>
        <v>14:50:13.211</v>
      </c>
      <c r="T3592" t="str">
        <f>"14:50:12.813"</f>
        <v>14:50:12.813</v>
      </c>
      <c r="U3592" t="str">
        <f t="shared" si="168"/>
        <v>ad5732</v>
      </c>
      <c r="V3592">
        <v>0</v>
      </c>
      <c r="W3592">
        <v>0</v>
      </c>
      <c r="X3592">
        <v>1</v>
      </c>
      <c r="Z3592">
        <v>0</v>
      </c>
      <c r="AA3592">
        <v>9</v>
      </c>
      <c r="AB3592">
        <v>3</v>
      </c>
      <c r="AC3592">
        <v>0</v>
      </c>
      <c r="AD3592">
        <v>10</v>
      </c>
      <c r="AE3592">
        <v>0</v>
      </c>
      <c r="AF3592">
        <v>3</v>
      </c>
      <c r="AG3592">
        <v>2</v>
      </c>
      <c r="AH3592">
        <v>0</v>
      </c>
      <c r="AI3592" t="s">
        <v>7232</v>
      </c>
      <c r="AJ3592">
        <v>40.411963</v>
      </c>
      <c r="AK3592" t="s">
        <v>7233</v>
      </c>
      <c r="AL3592">
        <v>-74.503977000000006</v>
      </c>
      <c r="AM3592">
        <v>100</v>
      </c>
      <c r="AN3592">
        <v>1700</v>
      </c>
      <c r="AO3592" t="s">
        <v>115</v>
      </c>
      <c r="AP3592">
        <v>106</v>
      </c>
      <c r="AQ3592">
        <v>57</v>
      </c>
      <c r="AR3592">
        <v>0</v>
      </c>
      <c r="AZ3592">
        <v>3614</v>
      </c>
      <c r="BA3592">
        <v>1</v>
      </c>
      <c r="BB3592" t="str">
        <f t="shared" si="167"/>
        <v xml:space="preserve">N959MJ  </v>
      </c>
      <c r="BC3592">
        <v>1</v>
      </c>
      <c r="BE3592">
        <v>0</v>
      </c>
      <c r="BF3592">
        <v>0</v>
      </c>
      <c r="BG3592">
        <v>0</v>
      </c>
      <c r="BH3592">
        <v>1900</v>
      </c>
      <c r="BI3592">
        <v>200</v>
      </c>
      <c r="BJ3592">
        <v>1</v>
      </c>
      <c r="BK3592">
        <v>1</v>
      </c>
      <c r="BL3592">
        <v>1</v>
      </c>
      <c r="BM3592">
        <v>0</v>
      </c>
      <c r="BP3592">
        <v>0</v>
      </c>
      <c r="BQ3592">
        <v>0</v>
      </c>
      <c r="BX3592" t="str">
        <f>"14:50:13.211"</f>
        <v>14:50:13.211</v>
      </c>
      <c r="BY3592" t="str">
        <f>"211268143"</f>
        <v>211268143</v>
      </c>
      <c r="CL3592">
        <v>0</v>
      </c>
      <c r="CM3592">
        <v>2</v>
      </c>
      <c r="CN3592">
        <v>0</v>
      </c>
      <c r="CO3592">
        <v>2</v>
      </c>
      <c r="CP3592">
        <v>0</v>
      </c>
      <c r="CQ3592">
        <v>7</v>
      </c>
      <c r="CR3592" t="s">
        <v>116</v>
      </c>
      <c r="CS3592">
        <v>305</v>
      </c>
      <c r="CT3592">
        <v>3</v>
      </c>
      <c r="CU3592" t="s">
        <v>6425</v>
      </c>
      <c r="CV3592" t="s">
        <v>6426</v>
      </c>
      <c r="CY3592">
        <v>5988634</v>
      </c>
      <c r="CZ3592" t="s">
        <v>119</v>
      </c>
    </row>
    <row r="3593" spans="1:104" x14ac:dyDescent="0.25">
      <c r="A3593" t="str">
        <f>"14:50:14.320"</f>
        <v>14:50:14.320</v>
      </c>
      <c r="B3593" t="s">
        <v>108</v>
      </c>
      <c r="C3593" t="str">
        <f t="shared" si="166"/>
        <v>ffdfd3c0</v>
      </c>
      <c r="D3593" t="s">
        <v>109</v>
      </c>
      <c r="E3593">
        <v>4</v>
      </c>
      <c r="F3593">
        <v>1004</v>
      </c>
      <c r="G3593" t="s">
        <v>110</v>
      </c>
      <c r="J3593" t="s">
        <v>111</v>
      </c>
      <c r="K3593">
        <v>0</v>
      </c>
      <c r="L3593">
        <v>3</v>
      </c>
      <c r="M3593">
        <v>0</v>
      </c>
      <c r="N3593">
        <v>2</v>
      </c>
      <c r="O3593">
        <v>1</v>
      </c>
      <c r="P3593">
        <v>0</v>
      </c>
      <c r="Q3593">
        <v>0</v>
      </c>
      <c r="R3593" t="s">
        <v>112</v>
      </c>
      <c r="S3593" t="str">
        <f>"14:50:14.156"</f>
        <v>14:50:14.156</v>
      </c>
      <c r="T3593" t="str">
        <f>"14:50:13.758"</f>
        <v>14:50:13.758</v>
      </c>
      <c r="U3593" t="str">
        <f t="shared" si="168"/>
        <v>ad5732</v>
      </c>
      <c r="V3593">
        <v>0</v>
      </c>
      <c r="W3593">
        <v>0</v>
      </c>
      <c r="X3593">
        <v>1</v>
      </c>
      <c r="Z3593">
        <v>0</v>
      </c>
      <c r="AA3593">
        <v>9</v>
      </c>
      <c r="AB3593">
        <v>3</v>
      </c>
      <c r="AC3593">
        <v>0</v>
      </c>
      <c r="AD3593">
        <v>10</v>
      </c>
      <c r="AE3593">
        <v>0</v>
      </c>
      <c r="AF3593">
        <v>3</v>
      </c>
      <c r="AG3593">
        <v>2</v>
      </c>
      <c r="AH3593">
        <v>0</v>
      </c>
      <c r="AI3593" t="s">
        <v>7234</v>
      </c>
      <c r="AJ3593">
        <v>40.412199000000001</v>
      </c>
      <c r="AK3593" t="s">
        <v>7235</v>
      </c>
      <c r="AL3593">
        <v>-74.503354999999999</v>
      </c>
      <c r="AM3593">
        <v>100</v>
      </c>
      <c r="AN3593">
        <v>1700</v>
      </c>
      <c r="AO3593" t="s">
        <v>115</v>
      </c>
      <c r="AP3593">
        <v>106</v>
      </c>
      <c r="AQ3593">
        <v>57</v>
      </c>
      <c r="AR3593">
        <v>0</v>
      </c>
      <c r="AZ3593">
        <v>3614</v>
      </c>
      <c r="BA3593">
        <v>1</v>
      </c>
      <c r="BB3593" t="str">
        <f t="shared" si="167"/>
        <v xml:space="preserve">N959MJ  </v>
      </c>
      <c r="BC3593">
        <v>1</v>
      </c>
      <c r="BE3593">
        <v>0</v>
      </c>
      <c r="BF3593">
        <v>0</v>
      </c>
      <c r="BG3593">
        <v>0</v>
      </c>
      <c r="BH3593">
        <v>1900</v>
      </c>
      <c r="BI3593">
        <v>200</v>
      </c>
      <c r="BJ3593">
        <v>1</v>
      </c>
      <c r="BK3593">
        <v>1</v>
      </c>
      <c r="BL3593">
        <v>1</v>
      </c>
      <c r="BM3593">
        <v>0</v>
      </c>
      <c r="BP3593">
        <v>0</v>
      </c>
      <c r="BQ3593">
        <v>0</v>
      </c>
      <c r="BX3593" t="str">
        <f>"14:50:14.156"</f>
        <v>14:50:14.156</v>
      </c>
      <c r="BY3593" t="str">
        <f>"158279800"</f>
        <v>158279800</v>
      </c>
      <c r="CL3593">
        <v>0</v>
      </c>
      <c r="CM3593">
        <v>2</v>
      </c>
      <c r="CN3593">
        <v>0</v>
      </c>
      <c r="CO3593">
        <v>2</v>
      </c>
      <c r="CP3593">
        <v>0</v>
      </c>
      <c r="CQ3593">
        <v>7</v>
      </c>
      <c r="CR3593" t="s">
        <v>116</v>
      </c>
      <c r="CS3593">
        <v>305</v>
      </c>
      <c r="CT3593">
        <v>3</v>
      </c>
      <c r="CU3593" t="s">
        <v>6425</v>
      </c>
      <c r="CV3593" t="s">
        <v>6426</v>
      </c>
      <c r="CY3593">
        <v>5990483</v>
      </c>
      <c r="CZ3593" t="s">
        <v>119</v>
      </c>
    </row>
    <row r="3594" spans="1:104" x14ac:dyDescent="0.25">
      <c r="A3594" t="str">
        <f>"14:50:15.430"</f>
        <v>14:50:15.430</v>
      </c>
      <c r="B3594" t="s">
        <v>108</v>
      </c>
      <c r="C3594" t="str">
        <f t="shared" ref="C3594:C3657" si="169">"ffdfd3c0"</f>
        <v>ffdfd3c0</v>
      </c>
      <c r="D3594" t="s">
        <v>109</v>
      </c>
      <c r="E3594">
        <v>4</v>
      </c>
      <c r="F3594">
        <v>1004</v>
      </c>
      <c r="G3594" t="s">
        <v>110</v>
      </c>
      <c r="J3594" t="s">
        <v>111</v>
      </c>
      <c r="K3594">
        <v>0</v>
      </c>
      <c r="L3594">
        <v>3</v>
      </c>
      <c r="M3594">
        <v>0</v>
      </c>
      <c r="N3594">
        <v>2</v>
      </c>
      <c r="O3594">
        <v>1</v>
      </c>
      <c r="P3594">
        <v>0</v>
      </c>
      <c r="Q3594">
        <v>0</v>
      </c>
      <c r="R3594" t="s">
        <v>112</v>
      </c>
      <c r="S3594" t="str">
        <f>"14:50:15.250"</f>
        <v>14:50:15.250</v>
      </c>
      <c r="T3594" t="str">
        <f>"14:50:14.750"</f>
        <v>14:50:14.750</v>
      </c>
      <c r="U3594" t="str">
        <f t="shared" si="168"/>
        <v>ad5732</v>
      </c>
      <c r="V3594">
        <v>0</v>
      </c>
      <c r="W3594">
        <v>0</v>
      </c>
      <c r="X3594">
        <v>1</v>
      </c>
      <c r="Z3594">
        <v>0</v>
      </c>
      <c r="AA3594">
        <v>9</v>
      </c>
      <c r="AB3594">
        <v>3</v>
      </c>
      <c r="AC3594">
        <v>0</v>
      </c>
      <c r="AD3594">
        <v>10</v>
      </c>
      <c r="AE3594">
        <v>0</v>
      </c>
      <c r="AF3594">
        <v>3</v>
      </c>
      <c r="AG3594">
        <v>2</v>
      </c>
      <c r="AH3594">
        <v>0</v>
      </c>
      <c r="AI3594" t="s">
        <v>7236</v>
      </c>
      <c r="AJ3594">
        <v>40.412500000000001</v>
      </c>
      <c r="AK3594" t="s">
        <v>7237</v>
      </c>
      <c r="AL3594">
        <v>-74.502668</v>
      </c>
      <c r="AM3594">
        <v>100</v>
      </c>
      <c r="AN3594">
        <v>1700</v>
      </c>
      <c r="AO3594" t="s">
        <v>115</v>
      </c>
      <c r="AP3594">
        <v>106</v>
      </c>
      <c r="AQ3594">
        <v>57</v>
      </c>
      <c r="AR3594">
        <v>0</v>
      </c>
      <c r="AZ3594">
        <v>3614</v>
      </c>
      <c r="BA3594">
        <v>1</v>
      </c>
      <c r="BB3594" t="str">
        <f t="shared" ref="BB3594:BB3657" si="170">"N959MJ  "</f>
        <v xml:space="preserve">N959MJ  </v>
      </c>
      <c r="BC3594">
        <v>1</v>
      </c>
      <c r="BE3594">
        <v>0</v>
      </c>
      <c r="BF3594">
        <v>0</v>
      </c>
      <c r="BG3594">
        <v>0</v>
      </c>
      <c r="BH3594">
        <v>1900</v>
      </c>
      <c r="BI3594">
        <v>200</v>
      </c>
      <c r="BJ3594">
        <v>1</v>
      </c>
      <c r="BK3594">
        <v>1</v>
      </c>
      <c r="BL3594">
        <v>1</v>
      </c>
      <c r="BM3594">
        <v>0</v>
      </c>
      <c r="BP3594">
        <v>0</v>
      </c>
      <c r="BQ3594">
        <v>0</v>
      </c>
      <c r="BX3594" t="str">
        <f>"14:50:15.258"</f>
        <v>14:50:15.258</v>
      </c>
      <c r="BY3594" t="str">
        <f>"254361153"</f>
        <v>254361153</v>
      </c>
      <c r="CL3594">
        <v>0</v>
      </c>
      <c r="CM3594">
        <v>2</v>
      </c>
      <c r="CN3594">
        <v>0</v>
      </c>
      <c r="CO3594">
        <v>2</v>
      </c>
      <c r="CP3594">
        <v>0</v>
      </c>
      <c r="CQ3594">
        <v>6</v>
      </c>
      <c r="CR3594" t="s">
        <v>116</v>
      </c>
      <c r="CS3594">
        <v>38</v>
      </c>
      <c r="CT3594">
        <v>0</v>
      </c>
      <c r="CU3594" t="s">
        <v>4719</v>
      </c>
      <c r="CV3594" t="s">
        <v>4720</v>
      </c>
      <c r="CY3594">
        <v>8111201</v>
      </c>
      <c r="CZ3594" t="s">
        <v>119</v>
      </c>
    </row>
    <row r="3595" spans="1:104" x14ac:dyDescent="0.25">
      <c r="A3595" t="str">
        <f>"14:50:16.539"</f>
        <v>14:50:16.539</v>
      </c>
      <c r="B3595" t="s">
        <v>108</v>
      </c>
      <c r="C3595" t="str">
        <f t="shared" si="169"/>
        <v>ffdfd3c0</v>
      </c>
      <c r="D3595" t="s">
        <v>109</v>
      </c>
      <c r="E3595">
        <v>4</v>
      </c>
      <c r="F3595">
        <v>1004</v>
      </c>
      <c r="G3595" t="s">
        <v>110</v>
      </c>
      <c r="J3595" t="s">
        <v>111</v>
      </c>
      <c r="K3595">
        <v>0</v>
      </c>
      <c r="L3595">
        <v>3</v>
      </c>
      <c r="M3595">
        <v>0</v>
      </c>
      <c r="N3595">
        <v>2</v>
      </c>
      <c r="O3595">
        <v>1</v>
      </c>
      <c r="P3595">
        <v>0</v>
      </c>
      <c r="Q3595">
        <v>0</v>
      </c>
      <c r="R3595" t="s">
        <v>112</v>
      </c>
      <c r="S3595" t="str">
        <f>"14:50:16.359"</f>
        <v>14:50:16.359</v>
      </c>
      <c r="T3595" t="str">
        <f>"14:50:15.859"</f>
        <v>14:50:15.859</v>
      </c>
      <c r="U3595" t="str">
        <f t="shared" si="168"/>
        <v>ad5732</v>
      </c>
      <c r="V3595">
        <v>0</v>
      </c>
      <c r="W3595">
        <v>0</v>
      </c>
      <c r="X3595">
        <v>1</v>
      </c>
      <c r="Z3595">
        <v>0</v>
      </c>
      <c r="AA3595">
        <v>9</v>
      </c>
      <c r="AB3595">
        <v>3</v>
      </c>
      <c r="AC3595">
        <v>0</v>
      </c>
      <c r="AD3595">
        <v>10</v>
      </c>
      <c r="AE3595">
        <v>0</v>
      </c>
      <c r="AF3595">
        <v>3</v>
      </c>
      <c r="AG3595">
        <v>2</v>
      </c>
      <c r="AH3595">
        <v>0</v>
      </c>
      <c r="AI3595" t="s">
        <v>7238</v>
      </c>
      <c r="AJ3595">
        <v>40.412799999999997</v>
      </c>
      <c r="AK3595" t="s">
        <v>7239</v>
      </c>
      <c r="AL3595">
        <v>-74.501959999999997</v>
      </c>
      <c r="AM3595">
        <v>100</v>
      </c>
      <c r="AN3595">
        <v>1700</v>
      </c>
      <c r="AO3595" t="s">
        <v>115</v>
      </c>
      <c r="AP3595">
        <v>106</v>
      </c>
      <c r="AQ3595">
        <v>58</v>
      </c>
      <c r="AR3595">
        <v>0</v>
      </c>
      <c r="AZ3595">
        <v>3614</v>
      </c>
      <c r="BA3595">
        <v>1</v>
      </c>
      <c r="BB3595" t="str">
        <f t="shared" si="170"/>
        <v xml:space="preserve">N959MJ  </v>
      </c>
      <c r="BC3595">
        <v>1</v>
      </c>
      <c r="BE3595">
        <v>0</v>
      </c>
      <c r="BF3595">
        <v>0</v>
      </c>
      <c r="BG3595">
        <v>0</v>
      </c>
      <c r="BH3595">
        <v>1900</v>
      </c>
      <c r="BI3595">
        <v>200</v>
      </c>
      <c r="BJ3595">
        <v>1</v>
      </c>
      <c r="BK3595">
        <v>1</v>
      </c>
      <c r="BL3595">
        <v>1</v>
      </c>
      <c r="BM3595">
        <v>0</v>
      </c>
      <c r="BP3595">
        <v>0</v>
      </c>
      <c r="BQ3595">
        <v>0</v>
      </c>
      <c r="BX3595" t="str">
        <f>"14:50:16.367"</f>
        <v>14:50:16.367</v>
      </c>
      <c r="BY3595" t="str">
        <f>"366881316"</f>
        <v>366881316</v>
      </c>
      <c r="CL3595">
        <v>0</v>
      </c>
      <c r="CM3595">
        <v>2</v>
      </c>
      <c r="CN3595">
        <v>0</v>
      </c>
      <c r="CO3595">
        <v>2</v>
      </c>
      <c r="CP3595">
        <v>0</v>
      </c>
      <c r="CQ3595">
        <v>7</v>
      </c>
      <c r="CR3595" t="s">
        <v>116</v>
      </c>
      <c r="CS3595">
        <v>305</v>
      </c>
      <c r="CT3595">
        <v>3</v>
      </c>
      <c r="CU3595" t="s">
        <v>6425</v>
      </c>
      <c r="CV3595" t="s">
        <v>6426</v>
      </c>
      <c r="CY3595">
        <v>5994957</v>
      </c>
      <c r="CZ3595" t="s">
        <v>119</v>
      </c>
    </row>
    <row r="3596" spans="1:104" x14ac:dyDescent="0.25">
      <c r="A3596" t="str">
        <f>"14:50:17.703"</f>
        <v>14:50:17.703</v>
      </c>
      <c r="B3596" t="s">
        <v>108</v>
      </c>
      <c r="C3596" t="str">
        <f t="shared" si="169"/>
        <v>ffdfd3c0</v>
      </c>
      <c r="D3596" t="s">
        <v>109</v>
      </c>
      <c r="E3596">
        <v>4</v>
      </c>
      <c r="F3596">
        <v>1004</v>
      </c>
      <c r="G3596" t="s">
        <v>110</v>
      </c>
      <c r="J3596" t="s">
        <v>111</v>
      </c>
      <c r="K3596">
        <v>0</v>
      </c>
      <c r="L3596">
        <v>3</v>
      </c>
      <c r="M3596">
        <v>0</v>
      </c>
      <c r="N3596">
        <v>2</v>
      </c>
      <c r="O3596">
        <v>1</v>
      </c>
      <c r="P3596">
        <v>0</v>
      </c>
      <c r="Q3596">
        <v>0</v>
      </c>
      <c r="R3596" t="s">
        <v>112</v>
      </c>
      <c r="S3596" t="str">
        <f>"14:50:17.516"</f>
        <v>14:50:17.516</v>
      </c>
      <c r="T3596" t="str">
        <f>"14:50:17.016"</f>
        <v>14:50:17.016</v>
      </c>
      <c r="U3596" t="str">
        <f t="shared" si="168"/>
        <v>ad5732</v>
      </c>
      <c r="V3596">
        <v>0</v>
      </c>
      <c r="W3596">
        <v>0</v>
      </c>
      <c r="X3596">
        <v>1</v>
      </c>
      <c r="Z3596">
        <v>0</v>
      </c>
      <c r="AA3596">
        <v>9</v>
      </c>
      <c r="AB3596">
        <v>3</v>
      </c>
      <c r="AC3596">
        <v>0</v>
      </c>
      <c r="AD3596">
        <v>10</v>
      </c>
      <c r="AE3596">
        <v>0</v>
      </c>
      <c r="AF3596">
        <v>3</v>
      </c>
      <c r="AG3596">
        <v>2</v>
      </c>
      <c r="AH3596">
        <v>0</v>
      </c>
      <c r="AI3596" t="s">
        <v>7240</v>
      </c>
      <c r="AJ3596">
        <v>40.413122000000001</v>
      </c>
      <c r="AK3596" t="s">
        <v>7241</v>
      </c>
      <c r="AL3596">
        <v>-74.501231000000004</v>
      </c>
      <c r="AM3596">
        <v>100</v>
      </c>
      <c r="AN3596">
        <v>1700</v>
      </c>
      <c r="AO3596" t="s">
        <v>115</v>
      </c>
      <c r="AP3596">
        <v>105</v>
      </c>
      <c r="AQ3596">
        <v>58</v>
      </c>
      <c r="AR3596">
        <v>0</v>
      </c>
      <c r="AZ3596">
        <v>3614</v>
      </c>
      <c r="BA3596">
        <v>1</v>
      </c>
      <c r="BB3596" t="str">
        <f t="shared" si="170"/>
        <v xml:space="preserve">N959MJ  </v>
      </c>
      <c r="BC3596">
        <v>1</v>
      </c>
      <c r="BE3596">
        <v>0</v>
      </c>
      <c r="BF3596">
        <v>0</v>
      </c>
      <c r="BG3596">
        <v>0</v>
      </c>
      <c r="BH3596">
        <v>1900</v>
      </c>
      <c r="BI3596">
        <v>200</v>
      </c>
      <c r="BJ3596">
        <v>1</v>
      </c>
      <c r="BK3596">
        <v>1</v>
      </c>
      <c r="BL3596">
        <v>1</v>
      </c>
      <c r="BM3596">
        <v>0</v>
      </c>
      <c r="BP3596">
        <v>0</v>
      </c>
      <c r="BQ3596">
        <v>0</v>
      </c>
      <c r="BX3596" t="str">
        <f>"14:50:17.516"</f>
        <v>14:50:17.516</v>
      </c>
      <c r="BY3596" t="str">
        <f>"517058051"</f>
        <v>517058051</v>
      </c>
      <c r="CL3596">
        <v>0</v>
      </c>
      <c r="CM3596">
        <v>2</v>
      </c>
      <c r="CN3596">
        <v>0</v>
      </c>
      <c r="CO3596">
        <v>2</v>
      </c>
      <c r="CP3596">
        <v>0</v>
      </c>
      <c r="CQ3596">
        <v>7</v>
      </c>
      <c r="CR3596" t="s">
        <v>116</v>
      </c>
      <c r="CS3596">
        <v>305</v>
      </c>
      <c r="CT3596">
        <v>3</v>
      </c>
      <c r="CU3596" t="s">
        <v>6425</v>
      </c>
      <c r="CV3596" t="s">
        <v>6426</v>
      </c>
      <c r="CY3596">
        <v>5997262</v>
      </c>
      <c r="CZ3596" t="s">
        <v>119</v>
      </c>
    </row>
    <row r="3597" spans="1:104" x14ac:dyDescent="0.25">
      <c r="A3597" t="str">
        <f>"14:50:18.711"</f>
        <v>14:50:18.711</v>
      </c>
      <c r="B3597" t="s">
        <v>108</v>
      </c>
      <c r="C3597" t="str">
        <f t="shared" si="169"/>
        <v>ffdfd3c0</v>
      </c>
      <c r="D3597" t="s">
        <v>109</v>
      </c>
      <c r="E3597">
        <v>4</v>
      </c>
      <c r="F3597">
        <v>1004</v>
      </c>
      <c r="G3597" t="s">
        <v>110</v>
      </c>
      <c r="J3597" t="s">
        <v>111</v>
      </c>
      <c r="K3597">
        <v>0</v>
      </c>
      <c r="L3597">
        <v>3</v>
      </c>
      <c r="M3597">
        <v>0</v>
      </c>
      <c r="N3597">
        <v>2</v>
      </c>
      <c r="O3597">
        <v>1</v>
      </c>
      <c r="P3597">
        <v>0</v>
      </c>
      <c r="Q3597">
        <v>0</v>
      </c>
      <c r="R3597" t="s">
        <v>112</v>
      </c>
      <c r="S3597" t="str">
        <f>"14:50:18.531"</f>
        <v>14:50:18.531</v>
      </c>
      <c r="T3597" t="str">
        <f>"14:50:18.133"</f>
        <v>14:50:18.133</v>
      </c>
      <c r="U3597" t="str">
        <f t="shared" si="168"/>
        <v>ad5732</v>
      </c>
      <c r="V3597">
        <v>0</v>
      </c>
      <c r="W3597">
        <v>0</v>
      </c>
      <c r="X3597">
        <v>1</v>
      </c>
      <c r="Z3597">
        <v>0</v>
      </c>
      <c r="AA3597">
        <v>9</v>
      </c>
      <c r="AB3597">
        <v>3</v>
      </c>
      <c r="AC3597">
        <v>0</v>
      </c>
      <c r="AD3597">
        <v>10</v>
      </c>
      <c r="AE3597">
        <v>0</v>
      </c>
      <c r="AF3597">
        <v>3</v>
      </c>
      <c r="AG3597">
        <v>2</v>
      </c>
      <c r="AH3597">
        <v>0</v>
      </c>
      <c r="AI3597" t="s">
        <v>7242</v>
      </c>
      <c r="AJ3597">
        <v>40.413401</v>
      </c>
      <c r="AK3597" t="s">
        <v>7243</v>
      </c>
      <c r="AL3597">
        <v>-74.500544000000005</v>
      </c>
      <c r="AM3597">
        <v>100</v>
      </c>
      <c r="AN3597">
        <v>1700</v>
      </c>
      <c r="AO3597" t="s">
        <v>115</v>
      </c>
      <c r="AP3597">
        <v>105</v>
      </c>
      <c r="AQ3597">
        <v>58</v>
      </c>
      <c r="AR3597">
        <v>0</v>
      </c>
      <c r="AZ3597">
        <v>3614</v>
      </c>
      <c r="BA3597">
        <v>1</v>
      </c>
      <c r="BB3597" t="str">
        <f t="shared" si="170"/>
        <v xml:space="preserve">N959MJ  </v>
      </c>
      <c r="BC3597">
        <v>1</v>
      </c>
      <c r="BE3597">
        <v>0</v>
      </c>
      <c r="BF3597">
        <v>0</v>
      </c>
      <c r="BG3597">
        <v>0</v>
      </c>
      <c r="BH3597">
        <v>1900</v>
      </c>
      <c r="BI3597">
        <v>200</v>
      </c>
      <c r="BJ3597">
        <v>1</v>
      </c>
      <c r="BK3597">
        <v>1</v>
      </c>
      <c r="BL3597">
        <v>1</v>
      </c>
      <c r="BM3597">
        <v>0</v>
      </c>
      <c r="BP3597">
        <v>0</v>
      </c>
      <c r="BQ3597">
        <v>0</v>
      </c>
      <c r="BX3597" t="str">
        <f>"14:50:18.531"</f>
        <v>14:50:18.531</v>
      </c>
      <c r="BY3597" t="str">
        <f>"532883685"</f>
        <v>532883685</v>
      </c>
      <c r="CL3597">
        <v>0</v>
      </c>
      <c r="CM3597">
        <v>2</v>
      </c>
      <c r="CN3597">
        <v>0</v>
      </c>
      <c r="CO3597">
        <v>2</v>
      </c>
      <c r="CP3597">
        <v>0</v>
      </c>
      <c r="CQ3597">
        <v>7</v>
      </c>
      <c r="CR3597" t="s">
        <v>116</v>
      </c>
      <c r="CS3597">
        <v>305</v>
      </c>
      <c r="CT3597">
        <v>3</v>
      </c>
      <c r="CU3597" t="s">
        <v>6425</v>
      </c>
      <c r="CV3597" t="s">
        <v>6426</v>
      </c>
      <c r="CY3597">
        <v>5999266</v>
      </c>
      <c r="CZ3597" t="s">
        <v>119</v>
      </c>
    </row>
    <row r="3598" spans="1:104" x14ac:dyDescent="0.25">
      <c r="A3598" t="str">
        <f>"14:50:19.773"</f>
        <v>14:50:19.773</v>
      </c>
      <c r="B3598" t="s">
        <v>108</v>
      </c>
      <c r="C3598" t="str">
        <f t="shared" si="169"/>
        <v>ffdfd3c0</v>
      </c>
      <c r="D3598" t="s">
        <v>109</v>
      </c>
      <c r="E3598">
        <v>4</v>
      </c>
      <c r="F3598">
        <v>1004</v>
      </c>
      <c r="G3598" t="s">
        <v>110</v>
      </c>
      <c r="J3598" t="s">
        <v>111</v>
      </c>
      <c r="K3598">
        <v>0</v>
      </c>
      <c r="L3598">
        <v>3</v>
      </c>
      <c r="M3598">
        <v>0</v>
      </c>
      <c r="N3598">
        <v>2</v>
      </c>
      <c r="O3598">
        <v>1</v>
      </c>
      <c r="P3598">
        <v>0</v>
      </c>
      <c r="Q3598">
        <v>0</v>
      </c>
      <c r="R3598" t="s">
        <v>112</v>
      </c>
      <c r="S3598" t="str">
        <f>"14:50:19.602"</f>
        <v>14:50:19.602</v>
      </c>
      <c r="T3598" t="str">
        <f>"14:50:19.102"</f>
        <v>14:50:19.102</v>
      </c>
      <c r="U3598" t="str">
        <f t="shared" si="168"/>
        <v>ad5732</v>
      </c>
      <c r="V3598">
        <v>0</v>
      </c>
      <c r="W3598">
        <v>0</v>
      </c>
      <c r="X3598">
        <v>1</v>
      </c>
      <c r="Z3598">
        <v>0</v>
      </c>
      <c r="AA3598">
        <v>9</v>
      </c>
      <c r="AB3598">
        <v>3</v>
      </c>
      <c r="AC3598">
        <v>0</v>
      </c>
      <c r="AD3598">
        <v>10</v>
      </c>
      <c r="AE3598">
        <v>0</v>
      </c>
      <c r="AF3598">
        <v>3</v>
      </c>
      <c r="AG3598">
        <v>2</v>
      </c>
      <c r="AH3598">
        <v>0</v>
      </c>
      <c r="AI3598" t="s">
        <v>7244</v>
      </c>
      <c r="AJ3598">
        <v>40.413659000000003</v>
      </c>
      <c r="AK3598" t="s">
        <v>7245</v>
      </c>
      <c r="AL3598">
        <v>-74.499879000000007</v>
      </c>
      <c r="AM3598">
        <v>100</v>
      </c>
      <c r="AN3598">
        <v>1700</v>
      </c>
      <c r="AO3598" t="s">
        <v>115</v>
      </c>
      <c r="AP3598">
        <v>105</v>
      </c>
      <c r="AQ3598">
        <v>58</v>
      </c>
      <c r="AR3598">
        <v>0</v>
      </c>
      <c r="AZ3598">
        <v>3614</v>
      </c>
      <c r="BA3598">
        <v>1</v>
      </c>
      <c r="BB3598" t="str">
        <f t="shared" si="170"/>
        <v xml:space="preserve">N959MJ  </v>
      </c>
      <c r="BC3598">
        <v>1</v>
      </c>
      <c r="BE3598">
        <v>0</v>
      </c>
      <c r="BF3598">
        <v>0</v>
      </c>
      <c r="BG3598">
        <v>0</v>
      </c>
      <c r="BH3598">
        <v>1900</v>
      </c>
      <c r="BI3598">
        <v>200</v>
      </c>
      <c r="BJ3598">
        <v>1</v>
      </c>
      <c r="BK3598">
        <v>1</v>
      </c>
      <c r="BL3598">
        <v>1</v>
      </c>
      <c r="BM3598">
        <v>0</v>
      </c>
      <c r="BP3598">
        <v>0</v>
      </c>
      <c r="BQ3598">
        <v>0</v>
      </c>
      <c r="BX3598" t="str">
        <f>"14:50:19.602"</f>
        <v>14:50:19.602</v>
      </c>
      <c r="BY3598" t="str">
        <f>"602777464"</f>
        <v>602777464</v>
      </c>
      <c r="CL3598">
        <v>0</v>
      </c>
      <c r="CM3598">
        <v>2</v>
      </c>
      <c r="CN3598">
        <v>0</v>
      </c>
      <c r="CO3598">
        <v>2</v>
      </c>
      <c r="CP3598">
        <v>0</v>
      </c>
      <c r="CQ3598">
        <v>7</v>
      </c>
      <c r="CR3598" t="s">
        <v>116</v>
      </c>
      <c r="CS3598">
        <v>305</v>
      </c>
      <c r="CT3598">
        <v>3</v>
      </c>
      <c r="CU3598" t="s">
        <v>6425</v>
      </c>
      <c r="CV3598" t="s">
        <v>6426</v>
      </c>
      <c r="CY3598">
        <v>6001413</v>
      </c>
      <c r="CZ3598" t="s">
        <v>119</v>
      </c>
    </row>
    <row r="3599" spans="1:104" x14ac:dyDescent="0.25">
      <c r="A3599" t="str">
        <f>"14:50:20.734"</f>
        <v>14:50:20.734</v>
      </c>
      <c r="B3599" t="s">
        <v>108</v>
      </c>
      <c r="C3599" t="str">
        <f t="shared" si="169"/>
        <v>ffdfd3c0</v>
      </c>
      <c r="D3599" t="s">
        <v>109</v>
      </c>
      <c r="E3599">
        <v>4</v>
      </c>
      <c r="F3599">
        <v>1004</v>
      </c>
      <c r="G3599" t="s">
        <v>110</v>
      </c>
      <c r="J3599" t="s">
        <v>111</v>
      </c>
      <c r="K3599">
        <v>0</v>
      </c>
      <c r="L3599">
        <v>3</v>
      </c>
      <c r="M3599">
        <v>0</v>
      </c>
      <c r="N3599">
        <v>2</v>
      </c>
      <c r="O3599">
        <v>1</v>
      </c>
      <c r="P3599">
        <v>0</v>
      </c>
      <c r="Q3599">
        <v>0</v>
      </c>
      <c r="R3599" t="s">
        <v>112</v>
      </c>
      <c r="S3599" t="str">
        <f>"14:50:20.539"</f>
        <v>14:50:20.539</v>
      </c>
      <c r="T3599" t="str">
        <f>"14:50:20.141"</f>
        <v>14:50:20.141</v>
      </c>
      <c r="U3599" t="str">
        <f t="shared" si="168"/>
        <v>ad5732</v>
      </c>
      <c r="V3599">
        <v>0</v>
      </c>
      <c r="W3599">
        <v>0</v>
      </c>
      <c r="X3599">
        <v>1</v>
      </c>
      <c r="Z3599">
        <v>0</v>
      </c>
      <c r="AA3599">
        <v>9</v>
      </c>
      <c r="AB3599">
        <v>3</v>
      </c>
      <c r="AC3599">
        <v>0</v>
      </c>
      <c r="AD3599">
        <v>10</v>
      </c>
      <c r="AE3599">
        <v>0</v>
      </c>
      <c r="AF3599">
        <v>3</v>
      </c>
      <c r="AG3599">
        <v>2</v>
      </c>
      <c r="AH3599">
        <v>0</v>
      </c>
      <c r="AI3599" t="s">
        <v>7246</v>
      </c>
      <c r="AJ3599">
        <v>40.413938000000002</v>
      </c>
      <c r="AK3599" t="s">
        <v>7247</v>
      </c>
      <c r="AL3599">
        <v>-74.499278000000004</v>
      </c>
      <c r="AM3599">
        <v>100</v>
      </c>
      <c r="AN3599">
        <v>1700</v>
      </c>
      <c r="AO3599" t="s">
        <v>115</v>
      </c>
      <c r="AP3599">
        <v>105</v>
      </c>
      <c r="AQ3599">
        <v>59</v>
      </c>
      <c r="AR3599">
        <v>0</v>
      </c>
      <c r="AZ3599">
        <v>3614</v>
      </c>
      <c r="BA3599">
        <v>1</v>
      </c>
      <c r="BB3599" t="str">
        <f t="shared" si="170"/>
        <v xml:space="preserve">N959MJ  </v>
      </c>
      <c r="BC3599">
        <v>1</v>
      </c>
      <c r="BE3599">
        <v>0</v>
      </c>
      <c r="BF3599">
        <v>0</v>
      </c>
      <c r="BG3599">
        <v>0</v>
      </c>
      <c r="BH3599">
        <v>1900</v>
      </c>
      <c r="BI3599">
        <v>200</v>
      </c>
      <c r="BJ3599">
        <v>1</v>
      </c>
      <c r="BK3599">
        <v>1</v>
      </c>
      <c r="BL3599">
        <v>1</v>
      </c>
      <c r="BM3599">
        <v>0</v>
      </c>
      <c r="BP3599">
        <v>0</v>
      </c>
      <c r="BQ3599">
        <v>0</v>
      </c>
      <c r="BX3599" t="str">
        <f>"14:50:20.547"</f>
        <v>14:50:20.547</v>
      </c>
      <c r="BY3599" t="str">
        <f>"543235401"</f>
        <v>543235401</v>
      </c>
      <c r="CL3599">
        <v>0</v>
      </c>
      <c r="CM3599">
        <v>2</v>
      </c>
      <c r="CN3599">
        <v>0</v>
      </c>
      <c r="CO3599">
        <v>2</v>
      </c>
      <c r="CP3599">
        <v>0</v>
      </c>
      <c r="CQ3599">
        <v>6</v>
      </c>
      <c r="CR3599" t="s">
        <v>116</v>
      </c>
      <c r="CS3599">
        <v>305</v>
      </c>
      <c r="CT3599">
        <v>3</v>
      </c>
      <c r="CU3599" t="s">
        <v>6425</v>
      </c>
      <c r="CV3599" t="s">
        <v>6426</v>
      </c>
      <c r="CY3599">
        <v>6003318</v>
      </c>
      <c r="CZ3599" t="s">
        <v>119</v>
      </c>
    </row>
    <row r="3600" spans="1:104" x14ac:dyDescent="0.25">
      <c r="A3600" t="str">
        <f>"14:50:21.586"</f>
        <v>14:50:21.586</v>
      </c>
      <c r="B3600" t="s">
        <v>108</v>
      </c>
      <c r="C3600" t="str">
        <f t="shared" si="169"/>
        <v>ffdfd3c0</v>
      </c>
      <c r="D3600" t="s">
        <v>109</v>
      </c>
      <c r="E3600">
        <v>4</v>
      </c>
      <c r="F3600">
        <v>1004</v>
      </c>
      <c r="G3600" t="s">
        <v>110</v>
      </c>
      <c r="J3600" t="s">
        <v>111</v>
      </c>
      <c r="K3600">
        <v>0</v>
      </c>
      <c r="L3600">
        <v>3</v>
      </c>
      <c r="M3600">
        <v>0</v>
      </c>
      <c r="N3600">
        <v>2</v>
      </c>
      <c r="O3600">
        <v>1</v>
      </c>
      <c r="P3600">
        <v>0</v>
      </c>
      <c r="Q3600">
        <v>0</v>
      </c>
      <c r="R3600" t="s">
        <v>112</v>
      </c>
      <c r="S3600" t="str">
        <f>"14:50:21.375"</f>
        <v>14:50:21.375</v>
      </c>
      <c r="T3600" t="str">
        <f>"14:50:20.977"</f>
        <v>14:50:20.977</v>
      </c>
      <c r="U3600" t="str">
        <f t="shared" si="168"/>
        <v>ad5732</v>
      </c>
      <c r="V3600">
        <v>0</v>
      </c>
      <c r="W3600">
        <v>0</v>
      </c>
      <c r="X3600">
        <v>1</v>
      </c>
      <c r="Z3600">
        <v>0</v>
      </c>
      <c r="AA3600">
        <v>9</v>
      </c>
      <c r="AB3600">
        <v>3</v>
      </c>
      <c r="AC3600">
        <v>0</v>
      </c>
      <c r="AD3600">
        <v>10</v>
      </c>
      <c r="AE3600">
        <v>0</v>
      </c>
      <c r="AF3600">
        <v>3</v>
      </c>
      <c r="AG3600">
        <v>2</v>
      </c>
      <c r="AH3600">
        <v>0</v>
      </c>
      <c r="AI3600" t="s">
        <v>7248</v>
      </c>
      <c r="AJ3600">
        <v>40.414174000000003</v>
      </c>
      <c r="AK3600" t="s">
        <v>7249</v>
      </c>
      <c r="AL3600">
        <v>-74.498784999999998</v>
      </c>
      <c r="AM3600">
        <v>100</v>
      </c>
      <c r="AN3600">
        <v>1700</v>
      </c>
      <c r="AO3600" t="s">
        <v>115</v>
      </c>
      <c r="AP3600">
        <v>105</v>
      </c>
      <c r="AQ3600">
        <v>59</v>
      </c>
      <c r="AR3600">
        <v>-64</v>
      </c>
      <c r="AZ3600">
        <v>3614</v>
      </c>
      <c r="BA3600">
        <v>1</v>
      </c>
      <c r="BB3600" t="str">
        <f t="shared" si="170"/>
        <v xml:space="preserve">N959MJ  </v>
      </c>
      <c r="BC3600">
        <v>1</v>
      </c>
      <c r="BE3600">
        <v>0</v>
      </c>
      <c r="BF3600">
        <v>0</v>
      </c>
      <c r="BG3600">
        <v>0</v>
      </c>
      <c r="BH3600">
        <v>1900</v>
      </c>
      <c r="BI3600">
        <v>200</v>
      </c>
      <c r="BJ3600">
        <v>1</v>
      </c>
      <c r="BK3600">
        <v>1</v>
      </c>
      <c r="BL3600">
        <v>1</v>
      </c>
      <c r="BM3600">
        <v>0</v>
      </c>
      <c r="BP3600">
        <v>0</v>
      </c>
      <c r="BQ3600">
        <v>0</v>
      </c>
      <c r="BX3600" t="str">
        <f>"14:50:21.375"</f>
        <v>14:50:21.375</v>
      </c>
      <c r="BY3600" t="str">
        <f>"375557112"</f>
        <v>375557112</v>
      </c>
      <c r="CL3600">
        <v>0</v>
      </c>
      <c r="CM3600">
        <v>2</v>
      </c>
      <c r="CN3600">
        <v>0</v>
      </c>
      <c r="CO3600">
        <v>2</v>
      </c>
      <c r="CP3600">
        <v>0</v>
      </c>
      <c r="CQ3600">
        <v>6</v>
      </c>
      <c r="CR3600" t="s">
        <v>116</v>
      </c>
      <c r="CS3600">
        <v>305</v>
      </c>
      <c r="CT3600">
        <v>3</v>
      </c>
      <c r="CU3600" t="s">
        <v>6425</v>
      </c>
      <c r="CV3600" t="s">
        <v>6426</v>
      </c>
      <c r="CY3600">
        <v>6005017</v>
      </c>
      <c r="CZ3600" t="s">
        <v>119</v>
      </c>
    </row>
    <row r="3601" spans="1:104" x14ac:dyDescent="0.25">
      <c r="A3601" t="str">
        <f>"14:50:22.500"</f>
        <v>14:50:22.500</v>
      </c>
      <c r="B3601" t="s">
        <v>108</v>
      </c>
      <c r="C3601" t="str">
        <f t="shared" si="169"/>
        <v>ffdfd3c0</v>
      </c>
      <c r="D3601" t="s">
        <v>109</v>
      </c>
      <c r="E3601">
        <v>4</v>
      </c>
      <c r="F3601">
        <v>1004</v>
      </c>
      <c r="G3601" t="s">
        <v>110</v>
      </c>
      <c r="J3601" t="s">
        <v>111</v>
      </c>
      <c r="K3601">
        <v>0</v>
      </c>
      <c r="L3601">
        <v>3</v>
      </c>
      <c r="M3601">
        <v>0</v>
      </c>
      <c r="N3601">
        <v>2</v>
      </c>
      <c r="O3601">
        <v>1</v>
      </c>
      <c r="P3601">
        <v>0</v>
      </c>
      <c r="Q3601">
        <v>0</v>
      </c>
      <c r="R3601" t="s">
        <v>112</v>
      </c>
      <c r="S3601" t="str">
        <f>"14:50:22.313"</f>
        <v>14:50:22.313</v>
      </c>
      <c r="T3601" t="str">
        <f>"14:50:21.914"</f>
        <v>14:50:21.914</v>
      </c>
      <c r="U3601" t="str">
        <f t="shared" si="168"/>
        <v>ad5732</v>
      </c>
      <c r="V3601">
        <v>0</v>
      </c>
      <c r="W3601">
        <v>0</v>
      </c>
      <c r="X3601">
        <v>1</v>
      </c>
      <c r="Z3601">
        <v>0</v>
      </c>
      <c r="AA3601">
        <v>9</v>
      </c>
      <c r="AB3601">
        <v>3</v>
      </c>
      <c r="AC3601">
        <v>0</v>
      </c>
      <c r="AD3601">
        <v>10</v>
      </c>
      <c r="AE3601">
        <v>0</v>
      </c>
      <c r="AF3601">
        <v>3</v>
      </c>
      <c r="AG3601">
        <v>2</v>
      </c>
      <c r="AH3601">
        <v>0</v>
      </c>
      <c r="AI3601" t="s">
        <v>7250</v>
      </c>
      <c r="AJ3601">
        <v>40.414409999999997</v>
      </c>
      <c r="AK3601" t="s">
        <v>7251</v>
      </c>
      <c r="AL3601">
        <v>-74.498161999999994</v>
      </c>
      <c r="AM3601">
        <v>100</v>
      </c>
      <c r="AN3601">
        <v>1700</v>
      </c>
      <c r="AO3601" t="s">
        <v>115</v>
      </c>
      <c r="AP3601">
        <v>105</v>
      </c>
      <c r="AQ3601">
        <v>59</v>
      </c>
      <c r="AR3601">
        <v>0</v>
      </c>
      <c r="AZ3601">
        <v>3614</v>
      </c>
      <c r="BA3601">
        <v>1</v>
      </c>
      <c r="BB3601" t="str">
        <f t="shared" si="170"/>
        <v xml:space="preserve">N959MJ  </v>
      </c>
      <c r="BC3601">
        <v>1</v>
      </c>
      <c r="BE3601">
        <v>0</v>
      </c>
      <c r="BF3601">
        <v>0</v>
      </c>
      <c r="BG3601">
        <v>0</v>
      </c>
      <c r="BH3601">
        <v>1900</v>
      </c>
      <c r="BI3601">
        <v>200</v>
      </c>
      <c r="BJ3601">
        <v>1</v>
      </c>
      <c r="BK3601">
        <v>1</v>
      </c>
      <c r="BL3601">
        <v>1</v>
      </c>
      <c r="BM3601">
        <v>0</v>
      </c>
      <c r="BP3601">
        <v>0</v>
      </c>
      <c r="BQ3601">
        <v>0</v>
      </c>
      <c r="BX3601" t="str">
        <f>"14:50:22.313"</f>
        <v>14:50:22.313</v>
      </c>
      <c r="BY3601" t="str">
        <f>"314376559"</f>
        <v>314376559</v>
      </c>
      <c r="CL3601">
        <v>0</v>
      </c>
      <c r="CM3601">
        <v>2</v>
      </c>
      <c r="CN3601">
        <v>0</v>
      </c>
      <c r="CO3601">
        <v>2</v>
      </c>
      <c r="CP3601">
        <v>0</v>
      </c>
      <c r="CQ3601">
        <v>6</v>
      </c>
      <c r="CR3601" t="s">
        <v>116</v>
      </c>
      <c r="CS3601">
        <v>305</v>
      </c>
      <c r="CT3601">
        <v>3</v>
      </c>
      <c r="CU3601" t="s">
        <v>6425</v>
      </c>
      <c r="CV3601" t="s">
        <v>6426</v>
      </c>
      <c r="CY3601">
        <v>6006849</v>
      </c>
      <c r="CZ3601" t="s">
        <v>119</v>
      </c>
    </row>
    <row r="3602" spans="1:104" x14ac:dyDescent="0.25">
      <c r="A3602" t="str">
        <f>"14:50:23.609"</f>
        <v>14:50:23.609</v>
      </c>
      <c r="B3602" t="s">
        <v>108</v>
      </c>
      <c r="C3602" t="str">
        <f t="shared" si="169"/>
        <v>ffdfd3c0</v>
      </c>
      <c r="D3602" t="s">
        <v>109</v>
      </c>
      <c r="E3602">
        <v>4</v>
      </c>
      <c r="F3602">
        <v>1004</v>
      </c>
      <c r="G3602" t="s">
        <v>110</v>
      </c>
      <c r="J3602" t="s">
        <v>111</v>
      </c>
      <c r="K3602">
        <v>0</v>
      </c>
      <c r="L3602">
        <v>3</v>
      </c>
      <c r="M3602">
        <v>0</v>
      </c>
      <c r="N3602">
        <v>2</v>
      </c>
      <c r="O3602">
        <v>1</v>
      </c>
      <c r="P3602">
        <v>0</v>
      </c>
      <c r="Q3602">
        <v>0</v>
      </c>
      <c r="R3602" t="s">
        <v>112</v>
      </c>
      <c r="S3602" t="str">
        <f>"14:50:23.438"</f>
        <v>14:50:23.438</v>
      </c>
      <c r="T3602" t="str">
        <f>"14:50:22.938"</f>
        <v>14:50:22.938</v>
      </c>
      <c r="U3602" t="str">
        <f t="shared" si="168"/>
        <v>ad5732</v>
      </c>
      <c r="V3602">
        <v>0</v>
      </c>
      <c r="W3602">
        <v>0</v>
      </c>
      <c r="X3602">
        <v>1</v>
      </c>
      <c r="Z3602">
        <v>0</v>
      </c>
      <c r="AA3602">
        <v>9</v>
      </c>
      <c r="AB3602">
        <v>3</v>
      </c>
      <c r="AC3602">
        <v>0</v>
      </c>
      <c r="AD3602">
        <v>10</v>
      </c>
      <c r="AE3602">
        <v>0</v>
      </c>
      <c r="AF3602">
        <v>3</v>
      </c>
      <c r="AG3602">
        <v>2</v>
      </c>
      <c r="AH3602">
        <v>0</v>
      </c>
      <c r="AI3602" t="s">
        <v>7252</v>
      </c>
      <c r="AJ3602">
        <v>40.414752999999997</v>
      </c>
      <c r="AK3602" t="s">
        <v>7253</v>
      </c>
      <c r="AL3602">
        <v>-74.497411</v>
      </c>
      <c r="AM3602">
        <v>100</v>
      </c>
      <c r="AN3602">
        <v>1700</v>
      </c>
      <c r="AO3602" t="s">
        <v>115</v>
      </c>
      <c r="AP3602">
        <v>105</v>
      </c>
      <c r="AQ3602">
        <v>59</v>
      </c>
      <c r="AR3602">
        <v>0</v>
      </c>
      <c r="AZ3602">
        <v>3614</v>
      </c>
      <c r="BA3602">
        <v>1</v>
      </c>
      <c r="BB3602" t="str">
        <f t="shared" si="170"/>
        <v xml:space="preserve">N959MJ  </v>
      </c>
      <c r="BC3602">
        <v>1</v>
      </c>
      <c r="BE3602">
        <v>0</v>
      </c>
      <c r="BF3602">
        <v>0</v>
      </c>
      <c r="BG3602">
        <v>0</v>
      </c>
      <c r="BH3602">
        <v>1900</v>
      </c>
      <c r="BI3602">
        <v>200</v>
      </c>
      <c r="BJ3602">
        <v>1</v>
      </c>
      <c r="BK3602">
        <v>1</v>
      </c>
      <c r="BL3602">
        <v>1</v>
      </c>
      <c r="BM3602">
        <v>0</v>
      </c>
      <c r="BP3602">
        <v>0</v>
      </c>
      <c r="BQ3602">
        <v>0</v>
      </c>
      <c r="BX3602" t="str">
        <f>"14:50:23.445"</f>
        <v>14:50:23.445</v>
      </c>
      <c r="BY3602" t="str">
        <f>"444892303"</f>
        <v>444892303</v>
      </c>
      <c r="CL3602">
        <v>0</v>
      </c>
      <c r="CM3602">
        <v>2</v>
      </c>
      <c r="CN3602">
        <v>0</v>
      </c>
      <c r="CO3602">
        <v>2</v>
      </c>
      <c r="CP3602">
        <v>0</v>
      </c>
      <c r="CQ3602">
        <v>7</v>
      </c>
      <c r="CR3602" t="s">
        <v>116</v>
      </c>
      <c r="CS3602">
        <v>305</v>
      </c>
      <c r="CT3602">
        <v>3</v>
      </c>
      <c r="CU3602" t="s">
        <v>6425</v>
      </c>
      <c r="CV3602" t="s">
        <v>6426</v>
      </c>
      <c r="CY3602">
        <v>6009075</v>
      </c>
      <c r="CZ3602" t="s">
        <v>119</v>
      </c>
    </row>
    <row r="3603" spans="1:104" x14ac:dyDescent="0.25">
      <c r="A3603" t="str">
        <f>"14:50:24.719"</f>
        <v>14:50:24.719</v>
      </c>
      <c r="B3603" t="s">
        <v>108</v>
      </c>
      <c r="C3603" t="str">
        <f t="shared" si="169"/>
        <v>ffdfd3c0</v>
      </c>
      <c r="D3603" t="s">
        <v>109</v>
      </c>
      <c r="E3603">
        <v>4</v>
      </c>
      <c r="F3603">
        <v>1004</v>
      </c>
      <c r="G3603" t="s">
        <v>110</v>
      </c>
      <c r="J3603" t="s">
        <v>111</v>
      </c>
      <c r="K3603">
        <v>0</v>
      </c>
      <c r="L3603">
        <v>3</v>
      </c>
      <c r="M3603">
        <v>0</v>
      </c>
      <c r="N3603">
        <v>2</v>
      </c>
      <c r="O3603">
        <v>1</v>
      </c>
      <c r="P3603">
        <v>0</v>
      </c>
      <c r="Q3603">
        <v>0</v>
      </c>
      <c r="R3603" t="s">
        <v>112</v>
      </c>
      <c r="S3603" t="str">
        <f>"14:50:24.516"</f>
        <v>14:50:24.516</v>
      </c>
      <c r="T3603" t="str">
        <f>"14:50:24.016"</f>
        <v>14:50:24.016</v>
      </c>
      <c r="U3603" t="str">
        <f t="shared" si="168"/>
        <v>ad5732</v>
      </c>
      <c r="V3603">
        <v>0</v>
      </c>
      <c r="W3603">
        <v>0</v>
      </c>
      <c r="X3603">
        <v>1</v>
      </c>
      <c r="Z3603">
        <v>0</v>
      </c>
      <c r="AA3603">
        <v>9</v>
      </c>
      <c r="AB3603">
        <v>3</v>
      </c>
      <c r="AC3603">
        <v>0</v>
      </c>
      <c r="AD3603">
        <v>10</v>
      </c>
      <c r="AE3603">
        <v>0</v>
      </c>
      <c r="AF3603">
        <v>3</v>
      </c>
      <c r="AG3603">
        <v>2</v>
      </c>
      <c r="AH3603">
        <v>0</v>
      </c>
      <c r="AI3603" t="s">
        <v>7254</v>
      </c>
      <c r="AJ3603">
        <v>40.414968000000002</v>
      </c>
      <c r="AK3603" t="s">
        <v>7255</v>
      </c>
      <c r="AL3603">
        <v>-74.496789000000007</v>
      </c>
      <c r="AM3603">
        <v>100</v>
      </c>
      <c r="AN3603">
        <v>1700</v>
      </c>
      <c r="AO3603" t="s">
        <v>115</v>
      </c>
      <c r="AP3603">
        <v>105</v>
      </c>
      <c r="AQ3603">
        <v>59</v>
      </c>
      <c r="AR3603">
        <v>0</v>
      </c>
      <c r="AZ3603">
        <v>3614</v>
      </c>
      <c r="BA3603">
        <v>1</v>
      </c>
      <c r="BB3603" t="str">
        <f t="shared" si="170"/>
        <v xml:space="preserve">N959MJ  </v>
      </c>
      <c r="BC3603">
        <v>1</v>
      </c>
      <c r="BE3603">
        <v>0</v>
      </c>
      <c r="BF3603">
        <v>0</v>
      </c>
      <c r="BG3603">
        <v>0</v>
      </c>
      <c r="BH3603">
        <v>1900</v>
      </c>
      <c r="BI3603">
        <v>200</v>
      </c>
      <c r="BJ3603">
        <v>1</v>
      </c>
      <c r="BK3603">
        <v>1</v>
      </c>
      <c r="BL3603">
        <v>1</v>
      </c>
      <c r="BM3603">
        <v>0</v>
      </c>
      <c r="BP3603">
        <v>0</v>
      </c>
      <c r="BQ3603">
        <v>0</v>
      </c>
      <c r="BX3603" t="str">
        <f>"14:50:24.523"</f>
        <v>14:50:24.523</v>
      </c>
      <c r="BY3603" t="str">
        <f>"519677706"</f>
        <v>519677706</v>
      </c>
      <c r="CL3603">
        <v>0</v>
      </c>
      <c r="CM3603">
        <v>2</v>
      </c>
      <c r="CN3603">
        <v>0</v>
      </c>
      <c r="CO3603">
        <v>2</v>
      </c>
      <c r="CP3603">
        <v>0</v>
      </c>
      <c r="CQ3603">
        <v>6</v>
      </c>
      <c r="CR3603" t="s">
        <v>116</v>
      </c>
      <c r="CS3603">
        <v>38</v>
      </c>
      <c r="CT3603">
        <v>0</v>
      </c>
      <c r="CU3603" t="s">
        <v>4719</v>
      </c>
      <c r="CV3603" t="s">
        <v>4720</v>
      </c>
      <c r="CY3603">
        <v>8125345</v>
      </c>
      <c r="CZ3603" t="s">
        <v>119</v>
      </c>
    </row>
    <row r="3604" spans="1:104" x14ac:dyDescent="0.25">
      <c r="A3604" t="str">
        <f>"14:50:25.680"</f>
        <v>14:50:25.680</v>
      </c>
      <c r="B3604" t="s">
        <v>108</v>
      </c>
      <c r="C3604" t="str">
        <f t="shared" si="169"/>
        <v>ffdfd3c0</v>
      </c>
      <c r="D3604" t="s">
        <v>109</v>
      </c>
      <c r="E3604">
        <v>4</v>
      </c>
      <c r="F3604">
        <v>1004</v>
      </c>
      <c r="G3604" t="s">
        <v>110</v>
      </c>
      <c r="J3604" t="s">
        <v>111</v>
      </c>
      <c r="K3604">
        <v>0</v>
      </c>
      <c r="L3604">
        <v>3</v>
      </c>
      <c r="M3604">
        <v>0</v>
      </c>
      <c r="N3604">
        <v>2</v>
      </c>
      <c r="O3604">
        <v>1</v>
      </c>
      <c r="P3604">
        <v>0</v>
      </c>
      <c r="Q3604">
        <v>0</v>
      </c>
      <c r="R3604" t="s">
        <v>112</v>
      </c>
      <c r="S3604" t="str">
        <f>"14:50:25.492"</f>
        <v>14:50:25.492</v>
      </c>
      <c r="T3604" t="str">
        <f>"14:50:24.992"</f>
        <v>14:50:24.992</v>
      </c>
      <c r="U3604" t="str">
        <f t="shared" si="168"/>
        <v>ad5732</v>
      </c>
      <c r="V3604">
        <v>0</v>
      </c>
      <c r="W3604">
        <v>0</v>
      </c>
      <c r="X3604">
        <v>1</v>
      </c>
      <c r="Z3604">
        <v>0</v>
      </c>
      <c r="AA3604">
        <v>9</v>
      </c>
      <c r="AB3604">
        <v>3</v>
      </c>
      <c r="AC3604">
        <v>0</v>
      </c>
      <c r="AD3604">
        <v>10</v>
      </c>
      <c r="AE3604">
        <v>0</v>
      </c>
      <c r="AF3604">
        <v>3</v>
      </c>
      <c r="AG3604">
        <v>2</v>
      </c>
      <c r="AH3604">
        <v>0</v>
      </c>
      <c r="AI3604" t="s">
        <v>7256</v>
      </c>
      <c r="AJ3604">
        <v>40.415246000000003</v>
      </c>
      <c r="AK3604" t="s">
        <v>7257</v>
      </c>
      <c r="AL3604">
        <v>-74.496167</v>
      </c>
      <c r="AM3604">
        <v>100</v>
      </c>
      <c r="AN3604">
        <v>1700</v>
      </c>
      <c r="AO3604" t="s">
        <v>115</v>
      </c>
      <c r="AP3604">
        <v>105</v>
      </c>
      <c r="AQ3604">
        <v>59</v>
      </c>
      <c r="AR3604">
        <v>0</v>
      </c>
      <c r="AZ3604">
        <v>3614</v>
      </c>
      <c r="BA3604">
        <v>1</v>
      </c>
      <c r="BB3604" t="str">
        <f t="shared" si="170"/>
        <v xml:space="preserve">N959MJ  </v>
      </c>
      <c r="BC3604">
        <v>1</v>
      </c>
      <c r="BE3604">
        <v>0</v>
      </c>
      <c r="BF3604">
        <v>0</v>
      </c>
      <c r="BG3604">
        <v>0</v>
      </c>
      <c r="BH3604">
        <v>1900</v>
      </c>
      <c r="BI3604">
        <v>200</v>
      </c>
      <c r="BJ3604">
        <v>1</v>
      </c>
      <c r="BK3604">
        <v>1</v>
      </c>
      <c r="BL3604">
        <v>1</v>
      </c>
      <c r="BM3604">
        <v>0</v>
      </c>
      <c r="BP3604">
        <v>0</v>
      </c>
      <c r="BQ3604">
        <v>0</v>
      </c>
      <c r="BX3604" t="str">
        <f>"14:50:25.492"</f>
        <v>14:50:25.492</v>
      </c>
      <c r="BY3604" t="str">
        <f>"492904470"</f>
        <v>492904470</v>
      </c>
      <c r="CL3604">
        <v>0</v>
      </c>
      <c r="CM3604">
        <v>2</v>
      </c>
      <c r="CN3604">
        <v>0</v>
      </c>
      <c r="CO3604">
        <v>2</v>
      </c>
      <c r="CP3604">
        <v>0</v>
      </c>
      <c r="CQ3604">
        <v>6</v>
      </c>
      <c r="CR3604" t="s">
        <v>116</v>
      </c>
      <c r="CS3604">
        <v>38</v>
      </c>
      <c r="CT3604">
        <v>0</v>
      </c>
      <c r="CU3604" t="s">
        <v>4719</v>
      </c>
      <c r="CV3604" t="s">
        <v>4720</v>
      </c>
      <c r="CY3604">
        <v>8126762</v>
      </c>
      <c r="CZ3604" t="s">
        <v>119</v>
      </c>
    </row>
    <row r="3605" spans="1:104" x14ac:dyDescent="0.25">
      <c r="A3605" t="str">
        <f>"14:50:26.742"</f>
        <v>14:50:26.742</v>
      </c>
      <c r="B3605" t="s">
        <v>108</v>
      </c>
      <c r="C3605" t="str">
        <f t="shared" si="169"/>
        <v>ffdfd3c0</v>
      </c>
      <c r="D3605" t="s">
        <v>109</v>
      </c>
      <c r="E3605">
        <v>4</v>
      </c>
      <c r="F3605">
        <v>1004</v>
      </c>
      <c r="G3605" t="s">
        <v>110</v>
      </c>
      <c r="J3605" t="s">
        <v>111</v>
      </c>
      <c r="K3605">
        <v>0</v>
      </c>
      <c r="L3605">
        <v>3</v>
      </c>
      <c r="M3605">
        <v>0</v>
      </c>
      <c r="N3605">
        <v>2</v>
      </c>
      <c r="O3605">
        <v>1</v>
      </c>
      <c r="P3605">
        <v>0</v>
      </c>
      <c r="Q3605">
        <v>0</v>
      </c>
      <c r="R3605" t="s">
        <v>112</v>
      </c>
      <c r="S3605" t="str">
        <f>"14:50:26.531"</f>
        <v>14:50:26.531</v>
      </c>
      <c r="T3605" t="str">
        <f>"14:50:26.133"</f>
        <v>14:50:26.133</v>
      </c>
      <c r="U3605" t="str">
        <f t="shared" si="168"/>
        <v>ad5732</v>
      </c>
      <c r="V3605">
        <v>0</v>
      </c>
      <c r="W3605">
        <v>0</v>
      </c>
      <c r="X3605">
        <v>1</v>
      </c>
      <c r="Z3605">
        <v>0</v>
      </c>
      <c r="AA3605">
        <v>9</v>
      </c>
      <c r="AB3605">
        <v>3</v>
      </c>
      <c r="AC3605">
        <v>0</v>
      </c>
      <c r="AD3605">
        <v>10</v>
      </c>
      <c r="AE3605">
        <v>0</v>
      </c>
      <c r="AF3605">
        <v>3</v>
      </c>
      <c r="AG3605">
        <v>2</v>
      </c>
      <c r="AH3605">
        <v>0</v>
      </c>
      <c r="AI3605" t="s">
        <v>7258</v>
      </c>
      <c r="AJ3605">
        <v>40.415590000000002</v>
      </c>
      <c r="AK3605" t="s">
        <v>7259</v>
      </c>
      <c r="AL3605">
        <v>-74.495416000000006</v>
      </c>
      <c r="AM3605">
        <v>100</v>
      </c>
      <c r="AN3605">
        <v>1700</v>
      </c>
      <c r="AO3605" t="s">
        <v>115</v>
      </c>
      <c r="AP3605">
        <v>104</v>
      </c>
      <c r="AQ3605">
        <v>60</v>
      </c>
      <c r="AR3605">
        <v>0</v>
      </c>
      <c r="AZ3605">
        <v>3614</v>
      </c>
      <c r="BA3605">
        <v>1</v>
      </c>
      <c r="BB3605" t="str">
        <f t="shared" si="170"/>
        <v xml:space="preserve">N959MJ  </v>
      </c>
      <c r="BC3605">
        <v>1</v>
      </c>
      <c r="BE3605">
        <v>0</v>
      </c>
      <c r="BF3605">
        <v>0</v>
      </c>
      <c r="BG3605">
        <v>0</v>
      </c>
      <c r="BH3605">
        <v>1900</v>
      </c>
      <c r="BI3605">
        <v>200</v>
      </c>
      <c r="BJ3605">
        <v>1</v>
      </c>
      <c r="BK3605">
        <v>1</v>
      </c>
      <c r="BL3605">
        <v>1</v>
      </c>
      <c r="BM3605">
        <v>0</v>
      </c>
      <c r="BP3605">
        <v>0</v>
      </c>
      <c r="BQ3605">
        <v>0</v>
      </c>
      <c r="BX3605" t="str">
        <f>"14:50:26.539"</f>
        <v>14:50:26.539</v>
      </c>
      <c r="BY3605" t="str">
        <f>"538222402"</f>
        <v>538222402</v>
      </c>
      <c r="CL3605">
        <v>0</v>
      </c>
      <c r="CM3605">
        <v>2</v>
      </c>
      <c r="CN3605">
        <v>0</v>
      </c>
      <c r="CO3605">
        <v>2</v>
      </c>
      <c r="CP3605">
        <v>0</v>
      </c>
      <c r="CQ3605">
        <v>6</v>
      </c>
      <c r="CR3605" t="s">
        <v>116</v>
      </c>
      <c r="CS3605">
        <v>38</v>
      </c>
      <c r="CT3605">
        <v>0</v>
      </c>
      <c r="CU3605" t="s">
        <v>4719</v>
      </c>
      <c r="CV3605" t="s">
        <v>4720</v>
      </c>
      <c r="CY3605">
        <v>8128432</v>
      </c>
      <c r="CZ3605" t="s">
        <v>119</v>
      </c>
    </row>
    <row r="3606" spans="1:104" x14ac:dyDescent="0.25">
      <c r="A3606" t="str">
        <f>"14:50:27.695"</f>
        <v>14:50:27.695</v>
      </c>
      <c r="B3606" t="s">
        <v>108</v>
      </c>
      <c r="C3606" t="str">
        <f t="shared" si="169"/>
        <v>ffdfd3c0</v>
      </c>
      <c r="D3606" t="s">
        <v>109</v>
      </c>
      <c r="E3606">
        <v>4</v>
      </c>
      <c r="F3606">
        <v>1004</v>
      </c>
      <c r="G3606" t="s">
        <v>110</v>
      </c>
      <c r="J3606" t="s">
        <v>111</v>
      </c>
      <c r="K3606">
        <v>0</v>
      </c>
      <c r="L3606">
        <v>3</v>
      </c>
      <c r="M3606">
        <v>0</v>
      </c>
      <c r="N3606">
        <v>2</v>
      </c>
      <c r="O3606">
        <v>1</v>
      </c>
      <c r="P3606">
        <v>0</v>
      </c>
      <c r="Q3606">
        <v>0</v>
      </c>
      <c r="R3606" t="s">
        <v>112</v>
      </c>
      <c r="S3606" t="str">
        <f>"14:50:27.508"</f>
        <v>14:50:27.508</v>
      </c>
      <c r="T3606" t="str">
        <f>"14:50:27.008"</f>
        <v>14:50:27.008</v>
      </c>
      <c r="U3606" t="str">
        <f t="shared" si="168"/>
        <v>ad5732</v>
      </c>
      <c r="V3606">
        <v>0</v>
      </c>
      <c r="W3606">
        <v>0</v>
      </c>
      <c r="X3606">
        <v>1</v>
      </c>
      <c r="Z3606">
        <v>0</v>
      </c>
      <c r="AA3606">
        <v>9</v>
      </c>
      <c r="AB3606">
        <v>3</v>
      </c>
      <c r="AC3606">
        <v>0</v>
      </c>
      <c r="AD3606">
        <v>10</v>
      </c>
      <c r="AE3606">
        <v>0</v>
      </c>
      <c r="AF3606">
        <v>3</v>
      </c>
      <c r="AG3606">
        <v>2</v>
      </c>
      <c r="AH3606">
        <v>0</v>
      </c>
      <c r="AI3606" t="s">
        <v>7260</v>
      </c>
      <c r="AJ3606">
        <v>40.415804000000001</v>
      </c>
      <c r="AK3606" t="s">
        <v>7261</v>
      </c>
      <c r="AL3606">
        <v>-74.494857999999994</v>
      </c>
      <c r="AM3606">
        <v>100</v>
      </c>
      <c r="AN3606">
        <v>1700</v>
      </c>
      <c r="AO3606" t="s">
        <v>115</v>
      </c>
      <c r="AP3606">
        <v>104</v>
      </c>
      <c r="AQ3606">
        <v>60</v>
      </c>
      <c r="AR3606">
        <v>64</v>
      </c>
      <c r="AZ3606">
        <v>3614</v>
      </c>
      <c r="BA3606">
        <v>1</v>
      </c>
      <c r="BB3606" t="str">
        <f t="shared" si="170"/>
        <v xml:space="preserve">N959MJ  </v>
      </c>
      <c r="BC3606">
        <v>1</v>
      </c>
      <c r="BE3606">
        <v>0</v>
      </c>
      <c r="BF3606">
        <v>0</v>
      </c>
      <c r="BG3606">
        <v>0</v>
      </c>
      <c r="BH3606">
        <v>1900</v>
      </c>
      <c r="BI3606">
        <v>200</v>
      </c>
      <c r="BJ3606">
        <v>1</v>
      </c>
      <c r="BK3606">
        <v>1</v>
      </c>
      <c r="BL3606">
        <v>1</v>
      </c>
      <c r="BM3606">
        <v>0</v>
      </c>
      <c r="BP3606">
        <v>0</v>
      </c>
      <c r="BQ3606">
        <v>0</v>
      </c>
      <c r="BX3606" t="str">
        <f>"14:50:27.516"</f>
        <v>14:50:27.516</v>
      </c>
      <c r="BY3606" t="str">
        <f>"514726094"</f>
        <v>514726094</v>
      </c>
      <c r="CL3606">
        <v>0</v>
      </c>
      <c r="CM3606">
        <v>2</v>
      </c>
      <c r="CN3606">
        <v>0</v>
      </c>
      <c r="CO3606">
        <v>2</v>
      </c>
      <c r="CP3606">
        <v>0</v>
      </c>
      <c r="CQ3606">
        <v>6</v>
      </c>
      <c r="CR3606" t="s">
        <v>116</v>
      </c>
      <c r="CS3606">
        <v>38</v>
      </c>
      <c r="CT3606">
        <v>0</v>
      </c>
      <c r="CU3606" t="s">
        <v>4719</v>
      </c>
      <c r="CV3606" t="s">
        <v>4720</v>
      </c>
      <c r="CY3606">
        <v>8129999</v>
      </c>
      <c r="CZ3606" t="s">
        <v>119</v>
      </c>
    </row>
    <row r="3607" spans="1:104" x14ac:dyDescent="0.25">
      <c r="A3607" t="str">
        <f>"14:50:28.609"</f>
        <v>14:50:28.609</v>
      </c>
      <c r="B3607" t="s">
        <v>108</v>
      </c>
      <c r="C3607" t="str">
        <f t="shared" si="169"/>
        <v>ffdfd3c0</v>
      </c>
      <c r="D3607" t="s">
        <v>109</v>
      </c>
      <c r="E3607">
        <v>4</v>
      </c>
      <c r="F3607">
        <v>1004</v>
      </c>
      <c r="G3607" t="s">
        <v>110</v>
      </c>
      <c r="J3607" t="s">
        <v>111</v>
      </c>
      <c r="K3607">
        <v>0</v>
      </c>
      <c r="L3607">
        <v>3</v>
      </c>
      <c r="M3607">
        <v>0</v>
      </c>
      <c r="N3607">
        <v>2</v>
      </c>
      <c r="O3607">
        <v>1</v>
      </c>
      <c r="P3607">
        <v>0</v>
      </c>
      <c r="Q3607">
        <v>0</v>
      </c>
      <c r="R3607" t="s">
        <v>112</v>
      </c>
      <c r="S3607" t="str">
        <f>"14:50:28.398"</f>
        <v>14:50:28.398</v>
      </c>
      <c r="T3607" t="str">
        <f>"14:50:28.000"</f>
        <v>14:50:28.000</v>
      </c>
      <c r="U3607" t="str">
        <f t="shared" si="168"/>
        <v>ad5732</v>
      </c>
      <c r="V3607">
        <v>0</v>
      </c>
      <c r="W3607">
        <v>0</v>
      </c>
      <c r="X3607">
        <v>1</v>
      </c>
      <c r="Z3607">
        <v>0</v>
      </c>
      <c r="AA3607">
        <v>9</v>
      </c>
      <c r="AB3607">
        <v>3</v>
      </c>
      <c r="AC3607">
        <v>0</v>
      </c>
      <c r="AD3607">
        <v>10</v>
      </c>
      <c r="AE3607">
        <v>0</v>
      </c>
      <c r="AF3607">
        <v>3</v>
      </c>
      <c r="AG3607">
        <v>2</v>
      </c>
      <c r="AH3607">
        <v>0</v>
      </c>
      <c r="AI3607" t="s">
        <v>7262</v>
      </c>
      <c r="AJ3607">
        <v>40.416083</v>
      </c>
      <c r="AK3607" t="s">
        <v>7263</v>
      </c>
      <c r="AL3607">
        <v>-74.494320999999999</v>
      </c>
      <c r="AM3607">
        <v>100</v>
      </c>
      <c r="AN3607">
        <v>1700</v>
      </c>
      <c r="AO3607" t="s">
        <v>115</v>
      </c>
      <c r="AP3607">
        <v>104</v>
      </c>
      <c r="AQ3607">
        <v>60</v>
      </c>
      <c r="AR3607">
        <v>64</v>
      </c>
      <c r="AZ3607">
        <v>3614</v>
      </c>
      <c r="BA3607">
        <v>1</v>
      </c>
      <c r="BB3607" t="str">
        <f t="shared" si="170"/>
        <v xml:space="preserve">N959MJ  </v>
      </c>
      <c r="BC3607">
        <v>1</v>
      </c>
      <c r="BE3607">
        <v>0</v>
      </c>
      <c r="BF3607">
        <v>0</v>
      </c>
      <c r="BG3607">
        <v>0</v>
      </c>
      <c r="BH3607">
        <v>1900</v>
      </c>
      <c r="BI3607">
        <v>200</v>
      </c>
      <c r="BJ3607">
        <v>1</v>
      </c>
      <c r="BK3607">
        <v>1</v>
      </c>
      <c r="BL3607">
        <v>1</v>
      </c>
      <c r="BM3607">
        <v>0</v>
      </c>
      <c r="BP3607">
        <v>0</v>
      </c>
      <c r="BQ3607">
        <v>0</v>
      </c>
      <c r="BX3607" t="str">
        <f>"14:50:28.406"</f>
        <v>14:50:28.406</v>
      </c>
      <c r="BY3607" t="str">
        <f>"406031523"</f>
        <v>406031523</v>
      </c>
      <c r="CL3607">
        <v>0</v>
      </c>
      <c r="CM3607">
        <v>2</v>
      </c>
      <c r="CN3607">
        <v>0</v>
      </c>
      <c r="CO3607">
        <v>2</v>
      </c>
      <c r="CP3607">
        <v>0</v>
      </c>
      <c r="CQ3607">
        <v>6</v>
      </c>
      <c r="CR3607" t="s">
        <v>116</v>
      </c>
      <c r="CS3607">
        <v>38</v>
      </c>
      <c r="CT3607">
        <v>0</v>
      </c>
      <c r="CU3607" t="s">
        <v>4719</v>
      </c>
      <c r="CV3607" t="s">
        <v>4720</v>
      </c>
      <c r="CY3607">
        <v>8131463</v>
      </c>
      <c r="CZ3607" t="s">
        <v>119</v>
      </c>
    </row>
    <row r="3608" spans="1:104" x14ac:dyDescent="0.25">
      <c r="A3608" t="str">
        <f>"14:50:29.766"</f>
        <v>14:50:29.766</v>
      </c>
      <c r="B3608" t="s">
        <v>108</v>
      </c>
      <c r="C3608" t="str">
        <f t="shared" si="169"/>
        <v>ffdfd3c0</v>
      </c>
      <c r="D3608" t="s">
        <v>109</v>
      </c>
      <c r="E3608">
        <v>4</v>
      </c>
      <c r="F3608">
        <v>1004</v>
      </c>
      <c r="G3608" t="s">
        <v>110</v>
      </c>
      <c r="J3608" t="s">
        <v>111</v>
      </c>
      <c r="K3608">
        <v>0</v>
      </c>
      <c r="L3608">
        <v>3</v>
      </c>
      <c r="M3608">
        <v>0</v>
      </c>
      <c r="N3608">
        <v>2</v>
      </c>
      <c r="O3608">
        <v>1</v>
      </c>
      <c r="P3608">
        <v>0</v>
      </c>
      <c r="Q3608">
        <v>0</v>
      </c>
      <c r="R3608" t="s">
        <v>112</v>
      </c>
      <c r="S3608" t="str">
        <f>"14:50:29.570"</f>
        <v>14:50:29.570</v>
      </c>
      <c r="T3608" t="str">
        <f>"14:50:29.070"</f>
        <v>14:50:29.070</v>
      </c>
      <c r="U3608" t="str">
        <f t="shared" si="168"/>
        <v>ad5732</v>
      </c>
      <c r="V3608">
        <v>0</v>
      </c>
      <c r="W3608">
        <v>0</v>
      </c>
      <c r="X3608">
        <v>1</v>
      </c>
      <c r="Z3608">
        <v>0</v>
      </c>
      <c r="AA3608">
        <v>9</v>
      </c>
      <c r="AB3608">
        <v>3</v>
      </c>
      <c r="AC3608">
        <v>0</v>
      </c>
      <c r="AD3608">
        <v>10</v>
      </c>
      <c r="AE3608">
        <v>0</v>
      </c>
      <c r="AF3608">
        <v>3</v>
      </c>
      <c r="AG3608">
        <v>2</v>
      </c>
      <c r="AH3608">
        <v>0</v>
      </c>
      <c r="AI3608" t="s">
        <v>7264</v>
      </c>
      <c r="AJ3608">
        <v>40.416404999999997</v>
      </c>
      <c r="AK3608" t="s">
        <v>7265</v>
      </c>
      <c r="AL3608">
        <v>-74.493592000000007</v>
      </c>
      <c r="AM3608">
        <v>100</v>
      </c>
      <c r="AN3608">
        <v>1700</v>
      </c>
      <c r="AO3608" t="s">
        <v>115</v>
      </c>
      <c r="AP3608">
        <v>104</v>
      </c>
      <c r="AQ3608">
        <v>60</v>
      </c>
      <c r="AR3608">
        <v>64</v>
      </c>
      <c r="AZ3608">
        <v>3614</v>
      </c>
      <c r="BA3608">
        <v>1</v>
      </c>
      <c r="BB3608" t="str">
        <f t="shared" si="170"/>
        <v xml:space="preserve">N959MJ  </v>
      </c>
      <c r="BC3608">
        <v>1</v>
      </c>
      <c r="BE3608">
        <v>0</v>
      </c>
      <c r="BF3608">
        <v>0</v>
      </c>
      <c r="BG3608">
        <v>0</v>
      </c>
      <c r="BH3608">
        <v>1900</v>
      </c>
      <c r="BI3608">
        <v>200</v>
      </c>
      <c r="BJ3608">
        <v>1</v>
      </c>
      <c r="BK3608">
        <v>1</v>
      </c>
      <c r="BL3608">
        <v>1</v>
      </c>
      <c r="BM3608">
        <v>0</v>
      </c>
      <c r="BP3608">
        <v>0</v>
      </c>
      <c r="BQ3608">
        <v>0</v>
      </c>
      <c r="BX3608" t="str">
        <f>"14:50:29.578"</f>
        <v>14:50:29.578</v>
      </c>
      <c r="BY3608" t="str">
        <f>"577529946"</f>
        <v>577529946</v>
      </c>
      <c r="CL3608">
        <v>0</v>
      </c>
      <c r="CM3608">
        <v>2</v>
      </c>
      <c r="CN3608">
        <v>0</v>
      </c>
      <c r="CO3608">
        <v>2</v>
      </c>
      <c r="CP3608">
        <v>0</v>
      </c>
      <c r="CQ3608">
        <v>6</v>
      </c>
      <c r="CR3608" t="s">
        <v>116</v>
      </c>
      <c r="CS3608">
        <v>305</v>
      </c>
      <c r="CT3608">
        <v>3</v>
      </c>
      <c r="CU3608" t="s">
        <v>6425</v>
      </c>
      <c r="CV3608" t="s">
        <v>6426</v>
      </c>
      <c r="CY3608">
        <v>6021082</v>
      </c>
      <c r="CZ3608" t="s">
        <v>119</v>
      </c>
    </row>
    <row r="3609" spans="1:104" x14ac:dyDescent="0.25">
      <c r="A3609" t="str">
        <f>"14:50:30.727"</f>
        <v>14:50:30.727</v>
      </c>
      <c r="B3609" t="s">
        <v>108</v>
      </c>
      <c r="C3609" t="str">
        <f t="shared" si="169"/>
        <v>ffdfd3c0</v>
      </c>
      <c r="D3609" t="s">
        <v>109</v>
      </c>
      <c r="E3609">
        <v>4</v>
      </c>
      <c r="F3609">
        <v>1004</v>
      </c>
      <c r="G3609" t="s">
        <v>110</v>
      </c>
      <c r="J3609" t="s">
        <v>111</v>
      </c>
      <c r="K3609">
        <v>0</v>
      </c>
      <c r="L3609">
        <v>3</v>
      </c>
      <c r="M3609">
        <v>0</v>
      </c>
      <c r="N3609">
        <v>2</v>
      </c>
      <c r="O3609">
        <v>1</v>
      </c>
      <c r="P3609">
        <v>0</v>
      </c>
      <c r="Q3609">
        <v>0</v>
      </c>
      <c r="R3609" t="s">
        <v>112</v>
      </c>
      <c r="S3609" t="str">
        <f>"14:50:30.500"</f>
        <v>14:50:30.500</v>
      </c>
      <c r="T3609" t="str">
        <f>"14:50:30.102"</f>
        <v>14:50:30.102</v>
      </c>
      <c r="U3609" t="str">
        <f t="shared" si="168"/>
        <v>ad5732</v>
      </c>
      <c r="V3609">
        <v>0</v>
      </c>
      <c r="W3609">
        <v>0</v>
      </c>
      <c r="X3609">
        <v>1</v>
      </c>
      <c r="Z3609">
        <v>0</v>
      </c>
      <c r="AA3609">
        <v>9</v>
      </c>
      <c r="AB3609">
        <v>3</v>
      </c>
      <c r="AC3609">
        <v>0</v>
      </c>
      <c r="AD3609">
        <v>10</v>
      </c>
      <c r="AE3609">
        <v>0</v>
      </c>
      <c r="AF3609">
        <v>3</v>
      </c>
      <c r="AG3609">
        <v>2</v>
      </c>
      <c r="AH3609">
        <v>0</v>
      </c>
      <c r="AI3609" t="s">
        <v>7266</v>
      </c>
      <c r="AJ3609">
        <v>40.416663</v>
      </c>
      <c r="AK3609" t="s">
        <v>7267</v>
      </c>
      <c r="AL3609">
        <v>-74.492991000000004</v>
      </c>
      <c r="AM3609">
        <v>100</v>
      </c>
      <c r="AN3609">
        <v>1700</v>
      </c>
      <c r="AO3609" t="s">
        <v>115</v>
      </c>
      <c r="AP3609">
        <v>104</v>
      </c>
      <c r="AQ3609">
        <v>60</v>
      </c>
      <c r="AR3609">
        <v>64</v>
      </c>
      <c r="AZ3609">
        <v>3614</v>
      </c>
      <c r="BA3609">
        <v>1</v>
      </c>
      <c r="BB3609" t="str">
        <f t="shared" si="170"/>
        <v xml:space="preserve">N959MJ  </v>
      </c>
      <c r="BC3609">
        <v>1</v>
      </c>
      <c r="BE3609">
        <v>0</v>
      </c>
      <c r="BF3609">
        <v>0</v>
      </c>
      <c r="BG3609">
        <v>0</v>
      </c>
      <c r="BH3609">
        <v>1900</v>
      </c>
      <c r="BI3609">
        <v>200</v>
      </c>
      <c r="BJ3609">
        <v>1</v>
      </c>
      <c r="BK3609">
        <v>1</v>
      </c>
      <c r="BL3609">
        <v>1</v>
      </c>
      <c r="BM3609">
        <v>0</v>
      </c>
      <c r="BP3609">
        <v>0</v>
      </c>
      <c r="BQ3609">
        <v>0</v>
      </c>
      <c r="BX3609" t="str">
        <f>"14:50:30.500"</f>
        <v>14:50:30.500</v>
      </c>
      <c r="BY3609" t="str">
        <f>"503220819"</f>
        <v>503220819</v>
      </c>
      <c r="CL3609">
        <v>0</v>
      </c>
      <c r="CM3609">
        <v>2</v>
      </c>
      <c r="CN3609">
        <v>0</v>
      </c>
      <c r="CO3609">
        <v>2</v>
      </c>
      <c r="CP3609">
        <v>0</v>
      </c>
      <c r="CQ3609">
        <v>6</v>
      </c>
      <c r="CR3609" t="s">
        <v>116</v>
      </c>
      <c r="CS3609">
        <v>38</v>
      </c>
      <c r="CT3609">
        <v>0</v>
      </c>
      <c r="CU3609" t="s">
        <v>4719</v>
      </c>
      <c r="CV3609" t="s">
        <v>4720</v>
      </c>
      <c r="CY3609">
        <v>8134570</v>
      </c>
      <c r="CZ3609" t="s">
        <v>119</v>
      </c>
    </row>
    <row r="3610" spans="1:104" x14ac:dyDescent="0.25">
      <c r="A3610" t="str">
        <f>"14:50:31.539"</f>
        <v>14:50:31.539</v>
      </c>
      <c r="B3610" t="s">
        <v>108</v>
      </c>
      <c r="C3610" t="str">
        <f t="shared" si="169"/>
        <v>ffdfd3c0</v>
      </c>
      <c r="D3610" t="s">
        <v>109</v>
      </c>
      <c r="E3610">
        <v>4</v>
      </c>
      <c r="F3610">
        <v>1004</v>
      </c>
      <c r="G3610" t="s">
        <v>110</v>
      </c>
      <c r="J3610" t="s">
        <v>111</v>
      </c>
      <c r="K3610">
        <v>0</v>
      </c>
      <c r="L3610">
        <v>3</v>
      </c>
      <c r="M3610">
        <v>0</v>
      </c>
      <c r="N3610">
        <v>2</v>
      </c>
      <c r="O3610">
        <v>1</v>
      </c>
      <c r="P3610">
        <v>0</v>
      </c>
      <c r="Q3610">
        <v>0</v>
      </c>
      <c r="R3610" t="s">
        <v>112</v>
      </c>
      <c r="S3610" t="str">
        <f>"14:50:31.352"</f>
        <v>14:50:31.352</v>
      </c>
      <c r="T3610" t="str">
        <f>"14:50:30.953"</f>
        <v>14:50:30.953</v>
      </c>
      <c r="U3610" t="str">
        <f t="shared" si="168"/>
        <v>ad5732</v>
      </c>
      <c r="V3610">
        <v>0</v>
      </c>
      <c r="W3610">
        <v>0</v>
      </c>
      <c r="X3610">
        <v>1</v>
      </c>
      <c r="Z3610">
        <v>0</v>
      </c>
      <c r="AA3610">
        <v>9</v>
      </c>
      <c r="AB3610">
        <v>3</v>
      </c>
      <c r="AC3610">
        <v>0</v>
      </c>
      <c r="AD3610">
        <v>10</v>
      </c>
      <c r="AE3610">
        <v>0</v>
      </c>
      <c r="AF3610">
        <v>3</v>
      </c>
      <c r="AG3610">
        <v>2</v>
      </c>
      <c r="AH3610">
        <v>0</v>
      </c>
      <c r="AI3610" t="s">
        <v>7268</v>
      </c>
      <c r="AJ3610">
        <v>40.416919999999998</v>
      </c>
      <c r="AK3610" t="s">
        <v>7269</v>
      </c>
      <c r="AL3610">
        <v>-74.492433000000005</v>
      </c>
      <c r="AM3610">
        <v>100</v>
      </c>
      <c r="AN3610">
        <v>1700</v>
      </c>
      <c r="AO3610" t="s">
        <v>115</v>
      </c>
      <c r="AP3610">
        <v>104</v>
      </c>
      <c r="AQ3610">
        <v>60</v>
      </c>
      <c r="AR3610">
        <v>64</v>
      </c>
      <c r="AZ3610">
        <v>3614</v>
      </c>
      <c r="BA3610">
        <v>1</v>
      </c>
      <c r="BB3610" t="str">
        <f t="shared" si="170"/>
        <v xml:space="preserve">N959MJ  </v>
      </c>
      <c r="BC3610">
        <v>1</v>
      </c>
      <c r="BE3610">
        <v>0</v>
      </c>
      <c r="BF3610">
        <v>0</v>
      </c>
      <c r="BG3610">
        <v>0</v>
      </c>
      <c r="BH3610">
        <v>1900</v>
      </c>
      <c r="BI3610">
        <v>200</v>
      </c>
      <c r="BJ3610">
        <v>1</v>
      </c>
      <c r="BK3610">
        <v>1</v>
      </c>
      <c r="BL3610">
        <v>1</v>
      </c>
      <c r="BM3610">
        <v>0</v>
      </c>
      <c r="BP3610">
        <v>0</v>
      </c>
      <c r="BQ3610">
        <v>0</v>
      </c>
      <c r="BX3610" t="str">
        <f>"14:50:31.352"</f>
        <v>14:50:31.352</v>
      </c>
      <c r="BY3610" t="str">
        <f>"351927047"</f>
        <v>351927047</v>
      </c>
      <c r="CL3610">
        <v>0</v>
      </c>
      <c r="CM3610">
        <v>2</v>
      </c>
      <c r="CN3610">
        <v>0</v>
      </c>
      <c r="CO3610">
        <v>2</v>
      </c>
      <c r="CP3610">
        <v>0</v>
      </c>
      <c r="CQ3610">
        <v>6</v>
      </c>
      <c r="CR3610" t="s">
        <v>116</v>
      </c>
      <c r="CS3610">
        <v>38</v>
      </c>
      <c r="CT3610">
        <v>0</v>
      </c>
      <c r="CU3610" t="s">
        <v>4719</v>
      </c>
      <c r="CV3610" t="s">
        <v>4720</v>
      </c>
      <c r="CY3610">
        <v>8135938</v>
      </c>
      <c r="CZ3610" t="s">
        <v>119</v>
      </c>
    </row>
    <row r="3611" spans="1:104" x14ac:dyDescent="0.25">
      <c r="A3611" t="str">
        <f>"14:50:32.500"</f>
        <v>14:50:32.500</v>
      </c>
      <c r="B3611" t="s">
        <v>108</v>
      </c>
      <c r="C3611" t="str">
        <f t="shared" si="169"/>
        <v>ffdfd3c0</v>
      </c>
      <c r="D3611" t="s">
        <v>109</v>
      </c>
      <c r="E3611">
        <v>4</v>
      </c>
      <c r="F3611">
        <v>1004</v>
      </c>
      <c r="G3611" t="s">
        <v>110</v>
      </c>
      <c r="J3611" t="s">
        <v>111</v>
      </c>
      <c r="K3611">
        <v>0</v>
      </c>
      <c r="L3611">
        <v>3</v>
      </c>
      <c r="M3611">
        <v>0</v>
      </c>
      <c r="N3611">
        <v>2</v>
      </c>
      <c r="O3611">
        <v>1</v>
      </c>
      <c r="P3611">
        <v>0</v>
      </c>
      <c r="Q3611">
        <v>0</v>
      </c>
      <c r="R3611" t="s">
        <v>112</v>
      </c>
      <c r="S3611" t="str">
        <f>"14:50:32.328"</f>
        <v>14:50:32.328</v>
      </c>
      <c r="T3611" t="str">
        <f>"14:50:31.828"</f>
        <v>14:50:31.828</v>
      </c>
      <c r="U3611" t="str">
        <f t="shared" si="168"/>
        <v>ad5732</v>
      </c>
      <c r="V3611">
        <v>0</v>
      </c>
      <c r="W3611">
        <v>0</v>
      </c>
      <c r="X3611">
        <v>1</v>
      </c>
      <c r="Z3611">
        <v>0</v>
      </c>
      <c r="AA3611">
        <v>9</v>
      </c>
      <c r="AB3611">
        <v>3</v>
      </c>
      <c r="AC3611">
        <v>0</v>
      </c>
      <c r="AD3611">
        <v>10</v>
      </c>
      <c r="AE3611">
        <v>0</v>
      </c>
      <c r="AF3611">
        <v>3</v>
      </c>
      <c r="AG3611">
        <v>2</v>
      </c>
      <c r="AH3611">
        <v>0</v>
      </c>
      <c r="AI3611" t="s">
        <v>7270</v>
      </c>
      <c r="AJ3611">
        <v>40.417198999999997</v>
      </c>
      <c r="AK3611" t="s">
        <v>7271</v>
      </c>
      <c r="AL3611">
        <v>-74.491810999999998</v>
      </c>
      <c r="AM3611">
        <v>100</v>
      </c>
      <c r="AN3611">
        <v>1700</v>
      </c>
      <c r="AO3611" t="s">
        <v>115</v>
      </c>
      <c r="AP3611">
        <v>104</v>
      </c>
      <c r="AQ3611">
        <v>61</v>
      </c>
      <c r="AR3611">
        <v>64</v>
      </c>
      <c r="AZ3611">
        <v>3614</v>
      </c>
      <c r="BA3611">
        <v>1</v>
      </c>
      <c r="BB3611" t="str">
        <f t="shared" si="170"/>
        <v xml:space="preserve">N959MJ  </v>
      </c>
      <c r="BC3611">
        <v>1</v>
      </c>
      <c r="BE3611">
        <v>0</v>
      </c>
      <c r="BF3611">
        <v>0</v>
      </c>
      <c r="BG3611">
        <v>0</v>
      </c>
      <c r="BH3611">
        <v>1900</v>
      </c>
      <c r="BI3611">
        <v>200</v>
      </c>
      <c r="BJ3611">
        <v>1</v>
      </c>
      <c r="BK3611">
        <v>1</v>
      </c>
      <c r="BL3611">
        <v>1</v>
      </c>
      <c r="BM3611">
        <v>0</v>
      </c>
      <c r="BP3611">
        <v>0</v>
      </c>
      <c r="BQ3611">
        <v>0</v>
      </c>
      <c r="BX3611" t="str">
        <f>"14:50:32.328"</f>
        <v>14:50:32.328</v>
      </c>
      <c r="BY3611" t="str">
        <f>"328451361"</f>
        <v>328451361</v>
      </c>
      <c r="CL3611">
        <v>0</v>
      </c>
      <c r="CM3611">
        <v>2</v>
      </c>
      <c r="CN3611">
        <v>0</v>
      </c>
      <c r="CO3611">
        <v>2</v>
      </c>
      <c r="CP3611">
        <v>0</v>
      </c>
      <c r="CQ3611">
        <v>6</v>
      </c>
      <c r="CR3611" t="s">
        <v>116</v>
      </c>
      <c r="CS3611">
        <v>305</v>
      </c>
      <c r="CT3611">
        <v>3</v>
      </c>
      <c r="CU3611" t="s">
        <v>6425</v>
      </c>
      <c r="CV3611" t="s">
        <v>6426</v>
      </c>
      <c r="CY3611">
        <v>6026612</v>
      </c>
      <c r="CZ3611" t="s">
        <v>119</v>
      </c>
    </row>
    <row r="3612" spans="1:104" x14ac:dyDescent="0.25">
      <c r="A3612" t="str">
        <f>"14:50:33.555"</f>
        <v>14:50:33.555</v>
      </c>
      <c r="B3612" t="s">
        <v>108</v>
      </c>
      <c r="C3612" t="str">
        <f t="shared" si="169"/>
        <v>ffdfd3c0</v>
      </c>
      <c r="D3612" t="s">
        <v>109</v>
      </c>
      <c r="E3612">
        <v>4</v>
      </c>
      <c r="F3612">
        <v>1004</v>
      </c>
      <c r="G3612" t="s">
        <v>110</v>
      </c>
      <c r="J3612" t="s">
        <v>111</v>
      </c>
      <c r="K3612">
        <v>0</v>
      </c>
      <c r="L3612">
        <v>3</v>
      </c>
      <c r="M3612">
        <v>0</v>
      </c>
      <c r="N3612">
        <v>2</v>
      </c>
      <c r="O3612">
        <v>1</v>
      </c>
      <c r="P3612">
        <v>0</v>
      </c>
      <c r="Q3612">
        <v>0</v>
      </c>
      <c r="R3612" t="s">
        <v>112</v>
      </c>
      <c r="S3612" t="str">
        <f>"14:50:33.383"</f>
        <v>14:50:33.383</v>
      </c>
      <c r="T3612" t="str">
        <f>"14:50:32.883"</f>
        <v>14:50:32.883</v>
      </c>
      <c r="U3612" t="str">
        <f t="shared" si="168"/>
        <v>ad5732</v>
      </c>
      <c r="V3612">
        <v>0</v>
      </c>
      <c r="W3612">
        <v>0</v>
      </c>
      <c r="X3612">
        <v>1</v>
      </c>
      <c r="Z3612">
        <v>0</v>
      </c>
      <c r="AA3612">
        <v>9</v>
      </c>
      <c r="AB3612">
        <v>3</v>
      </c>
      <c r="AC3612">
        <v>0</v>
      </c>
      <c r="AD3612">
        <v>10</v>
      </c>
      <c r="AE3612">
        <v>0</v>
      </c>
      <c r="AF3612">
        <v>3</v>
      </c>
      <c r="AG3612">
        <v>2</v>
      </c>
      <c r="AH3612">
        <v>0</v>
      </c>
      <c r="AI3612" t="s">
        <v>7272</v>
      </c>
      <c r="AJ3612">
        <v>40.417456999999999</v>
      </c>
      <c r="AK3612" t="s">
        <v>7273</v>
      </c>
      <c r="AL3612">
        <v>-74.491146000000001</v>
      </c>
      <c r="AM3612">
        <v>100</v>
      </c>
      <c r="AN3612">
        <v>1700</v>
      </c>
      <c r="AO3612" t="s">
        <v>115</v>
      </c>
      <c r="AP3612">
        <v>104</v>
      </c>
      <c r="AQ3612">
        <v>61</v>
      </c>
      <c r="AR3612">
        <v>0</v>
      </c>
      <c r="AZ3612">
        <v>3614</v>
      </c>
      <c r="BA3612">
        <v>1</v>
      </c>
      <c r="BB3612" t="str">
        <f t="shared" si="170"/>
        <v xml:space="preserve">N959MJ  </v>
      </c>
      <c r="BC3612">
        <v>1</v>
      </c>
      <c r="BE3612">
        <v>0</v>
      </c>
      <c r="BF3612">
        <v>0</v>
      </c>
      <c r="BG3612">
        <v>0</v>
      </c>
      <c r="BH3612">
        <v>1900</v>
      </c>
      <c r="BI3612">
        <v>200</v>
      </c>
      <c r="BJ3612">
        <v>1</v>
      </c>
      <c r="BK3612">
        <v>1</v>
      </c>
      <c r="BL3612">
        <v>1</v>
      </c>
      <c r="BM3612">
        <v>0</v>
      </c>
      <c r="BP3612">
        <v>0</v>
      </c>
      <c r="BQ3612">
        <v>0</v>
      </c>
      <c r="BX3612" t="str">
        <f>"14:50:33.391"</f>
        <v>14:50:33.391</v>
      </c>
      <c r="BY3612" t="str">
        <f>"390132843"</f>
        <v>390132843</v>
      </c>
      <c r="CL3612">
        <v>0</v>
      </c>
      <c r="CM3612">
        <v>2</v>
      </c>
      <c r="CN3612">
        <v>0</v>
      </c>
      <c r="CO3612">
        <v>2</v>
      </c>
      <c r="CP3612">
        <v>0</v>
      </c>
      <c r="CQ3612">
        <v>6</v>
      </c>
      <c r="CR3612" t="s">
        <v>116</v>
      </c>
      <c r="CS3612">
        <v>38</v>
      </c>
      <c r="CT3612">
        <v>0</v>
      </c>
      <c r="CU3612" t="s">
        <v>4719</v>
      </c>
      <c r="CV3612" t="s">
        <v>4720</v>
      </c>
      <c r="CY3612">
        <v>8139204</v>
      </c>
      <c r="CZ3612" t="s">
        <v>119</v>
      </c>
    </row>
    <row r="3613" spans="1:104" x14ac:dyDescent="0.25">
      <c r="A3613" t="str">
        <f>"14:50:34.414"</f>
        <v>14:50:34.414</v>
      </c>
      <c r="B3613" t="s">
        <v>108</v>
      </c>
      <c r="C3613" t="str">
        <f t="shared" si="169"/>
        <v>ffdfd3c0</v>
      </c>
      <c r="D3613" t="s">
        <v>109</v>
      </c>
      <c r="E3613">
        <v>4</v>
      </c>
      <c r="F3613">
        <v>1004</v>
      </c>
      <c r="G3613" t="s">
        <v>110</v>
      </c>
      <c r="J3613" t="s">
        <v>111</v>
      </c>
      <c r="K3613">
        <v>0</v>
      </c>
      <c r="L3613">
        <v>3</v>
      </c>
      <c r="M3613">
        <v>0</v>
      </c>
      <c r="N3613">
        <v>2</v>
      </c>
      <c r="O3613">
        <v>1</v>
      </c>
      <c r="P3613">
        <v>0</v>
      </c>
      <c r="Q3613">
        <v>0</v>
      </c>
      <c r="R3613" t="s">
        <v>112</v>
      </c>
      <c r="S3613" t="str">
        <f>"14:50:34.250"</f>
        <v>14:50:34.250</v>
      </c>
      <c r="T3613" t="str">
        <f>"14:50:33.852"</f>
        <v>14:50:33.852</v>
      </c>
      <c r="U3613" t="str">
        <f t="shared" si="168"/>
        <v>ad5732</v>
      </c>
      <c r="V3613">
        <v>0</v>
      </c>
      <c r="W3613">
        <v>0</v>
      </c>
      <c r="X3613">
        <v>1</v>
      </c>
      <c r="Z3613">
        <v>0</v>
      </c>
      <c r="AA3613">
        <v>9</v>
      </c>
      <c r="AB3613">
        <v>3</v>
      </c>
      <c r="AC3613">
        <v>0</v>
      </c>
      <c r="AD3613">
        <v>10</v>
      </c>
      <c r="AE3613">
        <v>0</v>
      </c>
      <c r="AF3613">
        <v>3</v>
      </c>
      <c r="AG3613">
        <v>2</v>
      </c>
      <c r="AH3613">
        <v>0</v>
      </c>
      <c r="AI3613" t="s">
        <v>7274</v>
      </c>
      <c r="AJ3613">
        <v>40.417713999999997</v>
      </c>
      <c r="AK3613" t="s">
        <v>7275</v>
      </c>
      <c r="AL3613">
        <v>-74.490609000000006</v>
      </c>
      <c r="AM3613">
        <v>100</v>
      </c>
      <c r="AN3613">
        <v>1700</v>
      </c>
      <c r="AO3613" t="s">
        <v>115</v>
      </c>
      <c r="AP3613">
        <v>103</v>
      </c>
      <c r="AQ3613">
        <v>61</v>
      </c>
      <c r="AR3613">
        <v>0</v>
      </c>
      <c r="AZ3613">
        <v>3614</v>
      </c>
      <c r="BA3613">
        <v>1</v>
      </c>
      <c r="BB3613" t="str">
        <f t="shared" si="170"/>
        <v xml:space="preserve">N959MJ  </v>
      </c>
      <c r="BC3613">
        <v>1</v>
      </c>
      <c r="BE3613">
        <v>0</v>
      </c>
      <c r="BF3613">
        <v>0</v>
      </c>
      <c r="BG3613">
        <v>0</v>
      </c>
      <c r="BH3613">
        <v>1900</v>
      </c>
      <c r="BI3613">
        <v>200</v>
      </c>
      <c r="BJ3613">
        <v>1</v>
      </c>
      <c r="BK3613">
        <v>1</v>
      </c>
      <c r="BL3613">
        <v>1</v>
      </c>
      <c r="BM3613">
        <v>0</v>
      </c>
      <c r="BP3613">
        <v>0</v>
      </c>
      <c r="BQ3613">
        <v>0</v>
      </c>
      <c r="BX3613" t="str">
        <f>"14:50:34.250"</f>
        <v>14:50:34.250</v>
      </c>
      <c r="BY3613" t="str">
        <f>"253604846"</f>
        <v>253604846</v>
      </c>
      <c r="CL3613">
        <v>0</v>
      </c>
      <c r="CM3613">
        <v>2</v>
      </c>
      <c r="CN3613">
        <v>0</v>
      </c>
      <c r="CO3613">
        <v>2</v>
      </c>
      <c r="CP3613">
        <v>0</v>
      </c>
      <c r="CQ3613">
        <v>7</v>
      </c>
      <c r="CR3613" t="s">
        <v>116</v>
      </c>
      <c r="CS3613">
        <v>305</v>
      </c>
      <c r="CT3613">
        <v>3</v>
      </c>
      <c r="CU3613" t="s">
        <v>6425</v>
      </c>
      <c r="CV3613" t="s">
        <v>6426</v>
      </c>
      <c r="CY3613">
        <v>6030565</v>
      </c>
      <c r="CZ3613" t="s">
        <v>119</v>
      </c>
    </row>
    <row r="3614" spans="1:104" x14ac:dyDescent="0.25">
      <c r="A3614" t="str">
        <f>"14:50:35.477"</f>
        <v>14:50:35.477</v>
      </c>
      <c r="B3614" t="s">
        <v>108</v>
      </c>
      <c r="C3614" t="str">
        <f t="shared" si="169"/>
        <v>ffdfd3c0</v>
      </c>
      <c r="D3614" t="s">
        <v>109</v>
      </c>
      <c r="E3614">
        <v>4</v>
      </c>
      <c r="F3614">
        <v>1004</v>
      </c>
      <c r="G3614" t="s">
        <v>110</v>
      </c>
      <c r="J3614" t="s">
        <v>111</v>
      </c>
      <c r="K3614">
        <v>0</v>
      </c>
      <c r="L3614">
        <v>3</v>
      </c>
      <c r="M3614">
        <v>0</v>
      </c>
      <c r="N3614">
        <v>2</v>
      </c>
      <c r="O3614">
        <v>1</v>
      </c>
      <c r="P3614">
        <v>0</v>
      </c>
      <c r="Q3614">
        <v>0</v>
      </c>
      <c r="R3614" t="s">
        <v>112</v>
      </c>
      <c r="S3614" t="str">
        <f>"14:50:35.281"</f>
        <v>14:50:35.281</v>
      </c>
      <c r="T3614" t="str">
        <f>"14:50:34.883"</f>
        <v>14:50:34.883</v>
      </c>
      <c r="U3614" t="str">
        <f t="shared" si="168"/>
        <v>ad5732</v>
      </c>
      <c r="V3614">
        <v>0</v>
      </c>
      <c r="W3614">
        <v>0</v>
      </c>
      <c r="X3614">
        <v>1</v>
      </c>
      <c r="Z3614">
        <v>0</v>
      </c>
      <c r="AA3614">
        <v>9</v>
      </c>
      <c r="AB3614">
        <v>3</v>
      </c>
      <c r="AC3614">
        <v>0</v>
      </c>
      <c r="AD3614">
        <v>10</v>
      </c>
      <c r="AE3614">
        <v>0</v>
      </c>
      <c r="AF3614">
        <v>3</v>
      </c>
      <c r="AG3614">
        <v>2</v>
      </c>
      <c r="AH3614">
        <v>0</v>
      </c>
      <c r="AI3614" t="s">
        <v>7276</v>
      </c>
      <c r="AJ3614">
        <v>40.417993000000003</v>
      </c>
      <c r="AK3614" t="s">
        <v>7277</v>
      </c>
      <c r="AL3614">
        <v>-74.489986999999999</v>
      </c>
      <c r="AM3614">
        <v>100</v>
      </c>
      <c r="AN3614">
        <v>1700</v>
      </c>
      <c r="AO3614" t="s">
        <v>115</v>
      </c>
      <c r="AP3614">
        <v>104</v>
      </c>
      <c r="AQ3614">
        <v>61</v>
      </c>
      <c r="AR3614">
        <v>0</v>
      </c>
      <c r="AZ3614">
        <v>3614</v>
      </c>
      <c r="BA3614">
        <v>1</v>
      </c>
      <c r="BB3614" t="str">
        <f t="shared" si="170"/>
        <v xml:space="preserve">N959MJ  </v>
      </c>
      <c r="BC3614">
        <v>1</v>
      </c>
      <c r="BE3614">
        <v>0</v>
      </c>
      <c r="BF3614">
        <v>0</v>
      </c>
      <c r="BG3614">
        <v>0</v>
      </c>
      <c r="BH3614">
        <v>1900</v>
      </c>
      <c r="BI3614">
        <v>200</v>
      </c>
      <c r="BJ3614">
        <v>1</v>
      </c>
      <c r="BK3614">
        <v>1</v>
      </c>
      <c r="BL3614">
        <v>1</v>
      </c>
      <c r="BM3614">
        <v>0</v>
      </c>
      <c r="BP3614">
        <v>0</v>
      </c>
      <c r="BQ3614">
        <v>0</v>
      </c>
      <c r="BX3614" t="str">
        <f>"14:50:35.289"</f>
        <v>14:50:35.289</v>
      </c>
      <c r="BY3614" t="str">
        <f>"285814784"</f>
        <v>285814784</v>
      </c>
      <c r="CL3614">
        <v>0</v>
      </c>
      <c r="CM3614">
        <v>2</v>
      </c>
      <c r="CN3614">
        <v>0</v>
      </c>
      <c r="CO3614">
        <v>2</v>
      </c>
      <c r="CP3614">
        <v>0</v>
      </c>
      <c r="CQ3614">
        <v>6</v>
      </c>
      <c r="CR3614" t="s">
        <v>116</v>
      </c>
      <c r="CS3614">
        <v>305</v>
      </c>
      <c r="CT3614">
        <v>3</v>
      </c>
      <c r="CU3614" t="s">
        <v>6425</v>
      </c>
      <c r="CV3614" t="s">
        <v>6426</v>
      </c>
      <c r="CY3614">
        <v>6032636</v>
      </c>
      <c r="CZ3614" t="s">
        <v>119</v>
      </c>
    </row>
    <row r="3615" spans="1:104" x14ac:dyDescent="0.25">
      <c r="A3615" t="str">
        <f>"14:50:36.484"</f>
        <v>14:50:36.484</v>
      </c>
      <c r="B3615" t="s">
        <v>108</v>
      </c>
      <c r="C3615" t="str">
        <f t="shared" si="169"/>
        <v>ffdfd3c0</v>
      </c>
      <c r="D3615" t="s">
        <v>109</v>
      </c>
      <c r="E3615">
        <v>4</v>
      </c>
      <c r="F3615">
        <v>1004</v>
      </c>
      <c r="G3615" t="s">
        <v>110</v>
      </c>
      <c r="J3615" t="s">
        <v>111</v>
      </c>
      <c r="K3615">
        <v>0</v>
      </c>
      <c r="L3615">
        <v>3</v>
      </c>
      <c r="M3615">
        <v>0</v>
      </c>
      <c r="N3615">
        <v>2</v>
      </c>
      <c r="O3615">
        <v>1</v>
      </c>
      <c r="P3615">
        <v>0</v>
      </c>
      <c r="Q3615">
        <v>0</v>
      </c>
      <c r="R3615" t="s">
        <v>112</v>
      </c>
      <c r="S3615" t="str">
        <f>"14:50:36.320"</f>
        <v>14:50:36.320</v>
      </c>
      <c r="T3615" t="str">
        <f>"14:50:35.922"</f>
        <v>14:50:35.922</v>
      </c>
      <c r="U3615" t="str">
        <f t="shared" si="168"/>
        <v>ad5732</v>
      </c>
      <c r="V3615">
        <v>0</v>
      </c>
      <c r="W3615">
        <v>0</v>
      </c>
      <c r="X3615">
        <v>1</v>
      </c>
      <c r="Z3615">
        <v>0</v>
      </c>
      <c r="AA3615">
        <v>9</v>
      </c>
      <c r="AB3615">
        <v>3</v>
      </c>
      <c r="AC3615">
        <v>0</v>
      </c>
      <c r="AD3615">
        <v>10</v>
      </c>
      <c r="AE3615">
        <v>0</v>
      </c>
      <c r="AF3615">
        <v>3</v>
      </c>
      <c r="AG3615">
        <v>2</v>
      </c>
      <c r="AH3615">
        <v>0</v>
      </c>
      <c r="AI3615" t="s">
        <v>7278</v>
      </c>
      <c r="AJ3615">
        <v>40.418272000000002</v>
      </c>
      <c r="AK3615" t="s">
        <v>7279</v>
      </c>
      <c r="AL3615">
        <v>-74.489365000000006</v>
      </c>
      <c r="AM3615">
        <v>100</v>
      </c>
      <c r="AN3615">
        <v>1700</v>
      </c>
      <c r="AO3615" t="s">
        <v>115</v>
      </c>
      <c r="AP3615">
        <v>104</v>
      </c>
      <c r="AQ3615">
        <v>61</v>
      </c>
      <c r="AR3615">
        <v>-64</v>
      </c>
      <c r="AZ3615">
        <v>3614</v>
      </c>
      <c r="BA3615">
        <v>1</v>
      </c>
      <c r="BB3615" t="str">
        <f t="shared" si="170"/>
        <v xml:space="preserve">N959MJ  </v>
      </c>
      <c r="BC3615">
        <v>1</v>
      </c>
      <c r="BE3615">
        <v>0</v>
      </c>
      <c r="BF3615">
        <v>0</v>
      </c>
      <c r="BG3615">
        <v>0</v>
      </c>
      <c r="BH3615">
        <v>1900</v>
      </c>
      <c r="BI3615">
        <v>200</v>
      </c>
      <c r="BJ3615">
        <v>1</v>
      </c>
      <c r="BK3615">
        <v>1</v>
      </c>
      <c r="BL3615">
        <v>1</v>
      </c>
      <c r="BM3615">
        <v>0</v>
      </c>
      <c r="BP3615">
        <v>0</v>
      </c>
      <c r="BQ3615">
        <v>0</v>
      </c>
      <c r="BX3615" t="str">
        <f>"14:50:36.320"</f>
        <v>14:50:36.320</v>
      </c>
      <c r="BY3615" t="str">
        <f>"321301579"</f>
        <v>321301579</v>
      </c>
      <c r="CL3615">
        <v>0</v>
      </c>
      <c r="CM3615">
        <v>2</v>
      </c>
      <c r="CN3615">
        <v>0</v>
      </c>
      <c r="CO3615">
        <v>2</v>
      </c>
      <c r="CP3615">
        <v>0</v>
      </c>
      <c r="CQ3615">
        <v>7</v>
      </c>
      <c r="CR3615" t="s">
        <v>116</v>
      </c>
      <c r="CS3615">
        <v>305</v>
      </c>
      <c r="CT3615">
        <v>3</v>
      </c>
      <c r="CU3615" t="s">
        <v>6425</v>
      </c>
      <c r="CV3615" t="s">
        <v>6426</v>
      </c>
      <c r="CY3615">
        <v>6034749</v>
      </c>
      <c r="CZ3615" t="s">
        <v>119</v>
      </c>
    </row>
    <row r="3616" spans="1:104" x14ac:dyDescent="0.25">
      <c r="A3616" t="str">
        <f>"14:50:37.391"</f>
        <v>14:50:37.391</v>
      </c>
      <c r="B3616" t="s">
        <v>108</v>
      </c>
      <c r="C3616" t="str">
        <f t="shared" si="169"/>
        <v>ffdfd3c0</v>
      </c>
      <c r="D3616" t="s">
        <v>109</v>
      </c>
      <c r="E3616">
        <v>4</v>
      </c>
      <c r="F3616">
        <v>1004</v>
      </c>
      <c r="G3616" t="s">
        <v>110</v>
      </c>
      <c r="J3616" t="s">
        <v>111</v>
      </c>
      <c r="K3616">
        <v>0</v>
      </c>
      <c r="L3616">
        <v>3</v>
      </c>
      <c r="M3616">
        <v>0</v>
      </c>
      <c r="N3616">
        <v>2</v>
      </c>
      <c r="O3616">
        <v>1</v>
      </c>
      <c r="P3616">
        <v>0</v>
      </c>
      <c r="Q3616">
        <v>0</v>
      </c>
      <c r="R3616" t="s">
        <v>112</v>
      </c>
      <c r="S3616" t="str">
        <f>"14:50:37.211"</f>
        <v>14:50:37.211</v>
      </c>
      <c r="T3616" t="str">
        <f>"14:50:36.813"</f>
        <v>14:50:36.813</v>
      </c>
      <c r="U3616" t="str">
        <f t="shared" si="168"/>
        <v>ad5732</v>
      </c>
      <c r="V3616">
        <v>0</v>
      </c>
      <c r="W3616">
        <v>0</v>
      </c>
      <c r="X3616">
        <v>1</v>
      </c>
      <c r="Z3616">
        <v>0</v>
      </c>
      <c r="AA3616">
        <v>9</v>
      </c>
      <c r="AB3616">
        <v>3</v>
      </c>
      <c r="AC3616">
        <v>0</v>
      </c>
      <c r="AD3616">
        <v>10</v>
      </c>
      <c r="AE3616">
        <v>0</v>
      </c>
      <c r="AF3616">
        <v>3</v>
      </c>
      <c r="AG3616">
        <v>2</v>
      </c>
      <c r="AH3616">
        <v>0</v>
      </c>
      <c r="AI3616" t="s">
        <v>7280</v>
      </c>
      <c r="AJ3616">
        <v>40.418571999999998</v>
      </c>
      <c r="AK3616" t="s">
        <v>7281</v>
      </c>
      <c r="AL3616">
        <v>-74.488764000000003</v>
      </c>
      <c r="AM3616">
        <v>100</v>
      </c>
      <c r="AN3616">
        <v>1700</v>
      </c>
      <c r="AO3616" t="s">
        <v>115</v>
      </c>
      <c r="AP3616">
        <v>104</v>
      </c>
      <c r="AQ3616">
        <v>61</v>
      </c>
      <c r="AR3616">
        <v>-64</v>
      </c>
      <c r="AZ3616">
        <v>3614</v>
      </c>
      <c r="BA3616">
        <v>1</v>
      </c>
      <c r="BB3616" t="str">
        <f t="shared" si="170"/>
        <v xml:space="preserve">N959MJ  </v>
      </c>
      <c r="BC3616">
        <v>1</v>
      </c>
      <c r="BE3616">
        <v>0</v>
      </c>
      <c r="BF3616">
        <v>0</v>
      </c>
      <c r="BG3616">
        <v>0</v>
      </c>
      <c r="BH3616">
        <v>1900</v>
      </c>
      <c r="BI3616">
        <v>200</v>
      </c>
      <c r="BJ3616">
        <v>1</v>
      </c>
      <c r="BK3616">
        <v>1</v>
      </c>
      <c r="BL3616">
        <v>1</v>
      </c>
      <c r="BM3616">
        <v>0</v>
      </c>
      <c r="BP3616">
        <v>0</v>
      </c>
      <c r="BQ3616">
        <v>0</v>
      </c>
      <c r="BX3616" t="str">
        <f>"14:50:37.219"</f>
        <v>14:50:37.219</v>
      </c>
      <c r="BY3616" t="str">
        <f>"215864800"</f>
        <v>215864800</v>
      </c>
      <c r="CL3616">
        <v>0</v>
      </c>
      <c r="CM3616">
        <v>2</v>
      </c>
      <c r="CN3616">
        <v>0</v>
      </c>
      <c r="CO3616">
        <v>2</v>
      </c>
      <c r="CP3616">
        <v>0</v>
      </c>
      <c r="CQ3616">
        <v>6</v>
      </c>
      <c r="CR3616" t="s">
        <v>116</v>
      </c>
      <c r="CS3616">
        <v>38</v>
      </c>
      <c r="CT3616">
        <v>0</v>
      </c>
      <c r="CU3616" t="s">
        <v>4719</v>
      </c>
      <c r="CV3616" t="s">
        <v>4720</v>
      </c>
      <c r="CY3616">
        <v>8145114</v>
      </c>
      <c r="CZ3616" t="s">
        <v>119</v>
      </c>
    </row>
    <row r="3617" spans="1:104" x14ac:dyDescent="0.25">
      <c r="A3617" t="str">
        <f>"14:50:38.453"</f>
        <v>14:50:38.453</v>
      </c>
      <c r="B3617" t="s">
        <v>108</v>
      </c>
      <c r="C3617" t="str">
        <f t="shared" si="169"/>
        <v>ffdfd3c0</v>
      </c>
      <c r="D3617" t="s">
        <v>109</v>
      </c>
      <c r="E3617">
        <v>4</v>
      </c>
      <c r="F3617">
        <v>1004</v>
      </c>
      <c r="G3617" t="s">
        <v>110</v>
      </c>
      <c r="J3617" t="s">
        <v>111</v>
      </c>
      <c r="K3617">
        <v>0</v>
      </c>
      <c r="L3617">
        <v>3</v>
      </c>
      <c r="M3617">
        <v>0</v>
      </c>
      <c r="N3617">
        <v>2</v>
      </c>
      <c r="O3617">
        <v>1</v>
      </c>
      <c r="P3617">
        <v>0</v>
      </c>
      <c r="Q3617">
        <v>0</v>
      </c>
      <c r="R3617" t="s">
        <v>112</v>
      </c>
      <c r="S3617" t="str">
        <f>"14:50:38.266"</f>
        <v>14:50:38.266</v>
      </c>
      <c r="T3617" t="str">
        <f>"14:50:37.766"</f>
        <v>14:50:37.766</v>
      </c>
      <c r="U3617" t="str">
        <f t="shared" si="168"/>
        <v>ad5732</v>
      </c>
      <c r="V3617">
        <v>0</v>
      </c>
      <c r="W3617">
        <v>0</v>
      </c>
      <c r="X3617">
        <v>1</v>
      </c>
      <c r="Z3617">
        <v>0</v>
      </c>
      <c r="AA3617">
        <v>9</v>
      </c>
      <c r="AB3617">
        <v>3</v>
      </c>
      <c r="AC3617">
        <v>0</v>
      </c>
      <c r="AD3617">
        <v>10</v>
      </c>
      <c r="AE3617">
        <v>0</v>
      </c>
      <c r="AF3617">
        <v>3</v>
      </c>
      <c r="AG3617">
        <v>2</v>
      </c>
      <c r="AH3617">
        <v>0</v>
      </c>
      <c r="AI3617" t="s">
        <v>7282</v>
      </c>
      <c r="AJ3617">
        <v>40.418850999999997</v>
      </c>
      <c r="AK3617" t="s">
        <v>7283</v>
      </c>
      <c r="AL3617">
        <v>-74.488119999999995</v>
      </c>
      <c r="AM3617">
        <v>100</v>
      </c>
      <c r="AN3617">
        <v>1700</v>
      </c>
      <c r="AO3617" t="s">
        <v>115</v>
      </c>
      <c r="AP3617">
        <v>104</v>
      </c>
      <c r="AQ3617">
        <v>61</v>
      </c>
      <c r="AR3617">
        <v>-64</v>
      </c>
      <c r="AZ3617">
        <v>3614</v>
      </c>
      <c r="BA3617">
        <v>1</v>
      </c>
      <c r="BB3617" t="str">
        <f t="shared" si="170"/>
        <v xml:space="preserve">N959MJ  </v>
      </c>
      <c r="BC3617">
        <v>1</v>
      </c>
      <c r="BE3617">
        <v>0</v>
      </c>
      <c r="BF3617">
        <v>0</v>
      </c>
      <c r="BG3617">
        <v>0</v>
      </c>
      <c r="BH3617">
        <v>1900</v>
      </c>
      <c r="BI3617">
        <v>200</v>
      </c>
      <c r="BJ3617">
        <v>1</v>
      </c>
      <c r="BK3617">
        <v>1</v>
      </c>
      <c r="BL3617">
        <v>1</v>
      </c>
      <c r="BM3617">
        <v>0</v>
      </c>
      <c r="BP3617">
        <v>0</v>
      </c>
      <c r="BQ3617">
        <v>0</v>
      </c>
      <c r="BX3617" t="str">
        <f>"14:50:38.273"</f>
        <v>14:50:38.273</v>
      </c>
      <c r="BY3617" t="str">
        <f>"271113246"</f>
        <v>271113246</v>
      </c>
      <c r="CL3617">
        <v>0</v>
      </c>
      <c r="CM3617">
        <v>2</v>
      </c>
      <c r="CN3617">
        <v>0</v>
      </c>
      <c r="CO3617">
        <v>2</v>
      </c>
      <c r="CP3617">
        <v>0</v>
      </c>
      <c r="CQ3617">
        <v>5</v>
      </c>
      <c r="CR3617" t="s">
        <v>116</v>
      </c>
      <c r="CS3617">
        <v>409</v>
      </c>
      <c r="CT3617">
        <v>1</v>
      </c>
      <c r="CU3617" t="s">
        <v>5087</v>
      </c>
      <c r="CV3617" t="s">
        <v>5088</v>
      </c>
      <c r="CY3617">
        <v>4587475</v>
      </c>
      <c r="CZ3617" t="s">
        <v>119</v>
      </c>
    </row>
    <row r="3618" spans="1:104" x14ac:dyDescent="0.25">
      <c r="A3618" t="str">
        <f>"14:50:39.461"</f>
        <v>14:50:39.461</v>
      </c>
      <c r="B3618" t="s">
        <v>108</v>
      </c>
      <c r="C3618" t="str">
        <f t="shared" si="169"/>
        <v>ffdfd3c0</v>
      </c>
      <c r="D3618" t="s">
        <v>109</v>
      </c>
      <c r="E3618">
        <v>4</v>
      </c>
      <c r="F3618">
        <v>1004</v>
      </c>
      <c r="G3618" t="s">
        <v>110</v>
      </c>
      <c r="J3618" t="s">
        <v>111</v>
      </c>
      <c r="K3618">
        <v>0</v>
      </c>
      <c r="L3618">
        <v>3</v>
      </c>
      <c r="M3618">
        <v>0</v>
      </c>
      <c r="N3618">
        <v>2</v>
      </c>
      <c r="O3618">
        <v>1</v>
      </c>
      <c r="P3618">
        <v>0</v>
      </c>
      <c r="Q3618">
        <v>0</v>
      </c>
      <c r="R3618" t="s">
        <v>112</v>
      </c>
      <c r="S3618" t="str">
        <f>"14:50:39.273"</f>
        <v>14:50:39.273</v>
      </c>
      <c r="T3618" t="str">
        <f>"14:50:38.773"</f>
        <v>14:50:38.773</v>
      </c>
      <c r="U3618" t="str">
        <f t="shared" si="168"/>
        <v>ad5732</v>
      </c>
      <c r="V3618">
        <v>0</v>
      </c>
      <c r="W3618">
        <v>0</v>
      </c>
      <c r="X3618">
        <v>1</v>
      </c>
      <c r="Z3618">
        <v>0</v>
      </c>
      <c r="AA3618">
        <v>9</v>
      </c>
      <c r="AB3618">
        <v>3</v>
      </c>
      <c r="AC3618">
        <v>0</v>
      </c>
      <c r="AD3618">
        <v>10</v>
      </c>
      <c r="AE3618">
        <v>0</v>
      </c>
      <c r="AF3618">
        <v>3</v>
      </c>
      <c r="AG3618">
        <v>2</v>
      </c>
      <c r="AH3618">
        <v>0</v>
      </c>
      <c r="AI3618" t="s">
        <v>7284</v>
      </c>
      <c r="AJ3618">
        <v>40.419173000000001</v>
      </c>
      <c r="AK3618" t="s">
        <v>7285</v>
      </c>
      <c r="AL3618">
        <v>-74.487498000000002</v>
      </c>
      <c r="AM3618">
        <v>100</v>
      </c>
      <c r="AN3618">
        <v>1700</v>
      </c>
      <c r="AO3618" t="s">
        <v>115</v>
      </c>
      <c r="AP3618">
        <v>104</v>
      </c>
      <c r="AQ3618">
        <v>61</v>
      </c>
      <c r="AR3618">
        <v>0</v>
      </c>
      <c r="AZ3618">
        <v>3614</v>
      </c>
      <c r="BA3618">
        <v>1</v>
      </c>
      <c r="BB3618" t="str">
        <f t="shared" si="170"/>
        <v xml:space="preserve">N959MJ  </v>
      </c>
      <c r="BC3618">
        <v>1</v>
      </c>
      <c r="BE3618">
        <v>0</v>
      </c>
      <c r="BF3618">
        <v>0</v>
      </c>
      <c r="BG3618">
        <v>0</v>
      </c>
      <c r="BH3618">
        <v>1900</v>
      </c>
      <c r="BI3618">
        <v>200</v>
      </c>
      <c r="BJ3618">
        <v>1</v>
      </c>
      <c r="BK3618">
        <v>1</v>
      </c>
      <c r="BL3618">
        <v>1</v>
      </c>
      <c r="BM3618">
        <v>0</v>
      </c>
      <c r="BP3618">
        <v>0</v>
      </c>
      <c r="BQ3618">
        <v>0</v>
      </c>
      <c r="BX3618" t="str">
        <f>"14:50:39.273"</f>
        <v>14:50:39.273</v>
      </c>
      <c r="BY3618" t="str">
        <f>"275370182"</f>
        <v>275370182</v>
      </c>
      <c r="CL3618">
        <v>0</v>
      </c>
      <c r="CM3618">
        <v>2</v>
      </c>
      <c r="CN3618">
        <v>0</v>
      </c>
      <c r="CO3618">
        <v>2</v>
      </c>
      <c r="CP3618">
        <v>0</v>
      </c>
      <c r="CQ3618">
        <v>6</v>
      </c>
      <c r="CR3618" t="s">
        <v>116</v>
      </c>
      <c r="CS3618">
        <v>38</v>
      </c>
      <c r="CT3618">
        <v>0</v>
      </c>
      <c r="CU3618" t="s">
        <v>4719</v>
      </c>
      <c r="CV3618" t="s">
        <v>4720</v>
      </c>
      <c r="CY3618">
        <v>8148231</v>
      </c>
      <c r="CZ3618" t="s">
        <v>119</v>
      </c>
    </row>
    <row r="3619" spans="1:104" x14ac:dyDescent="0.25">
      <c r="A3619" t="str">
        <f>"14:50:40.523"</f>
        <v>14:50:40.523</v>
      </c>
      <c r="B3619" t="s">
        <v>108</v>
      </c>
      <c r="C3619" t="str">
        <f t="shared" si="169"/>
        <v>ffdfd3c0</v>
      </c>
      <c r="D3619" t="s">
        <v>109</v>
      </c>
      <c r="E3619">
        <v>4</v>
      </c>
      <c r="F3619">
        <v>1004</v>
      </c>
      <c r="G3619" t="s">
        <v>110</v>
      </c>
      <c r="J3619" t="s">
        <v>111</v>
      </c>
      <c r="K3619">
        <v>0</v>
      </c>
      <c r="L3619">
        <v>3</v>
      </c>
      <c r="M3619">
        <v>0</v>
      </c>
      <c r="N3619">
        <v>2</v>
      </c>
      <c r="O3619">
        <v>1</v>
      </c>
      <c r="P3619">
        <v>0</v>
      </c>
      <c r="Q3619">
        <v>0</v>
      </c>
      <c r="R3619" t="s">
        <v>112</v>
      </c>
      <c r="S3619" t="str">
        <f>"14:50:40.352"</f>
        <v>14:50:40.352</v>
      </c>
      <c r="T3619" t="str">
        <f>"14:50:39.852"</f>
        <v>14:50:39.852</v>
      </c>
      <c r="U3619" t="str">
        <f t="shared" si="168"/>
        <v>ad5732</v>
      </c>
      <c r="V3619">
        <v>0</v>
      </c>
      <c r="W3619">
        <v>0</v>
      </c>
      <c r="X3619">
        <v>1</v>
      </c>
      <c r="Z3619">
        <v>0</v>
      </c>
      <c r="AA3619">
        <v>9</v>
      </c>
      <c r="AB3619">
        <v>3</v>
      </c>
      <c r="AC3619">
        <v>0</v>
      </c>
      <c r="AD3619">
        <v>10</v>
      </c>
      <c r="AE3619">
        <v>0</v>
      </c>
      <c r="AF3619">
        <v>3</v>
      </c>
      <c r="AG3619">
        <v>2</v>
      </c>
      <c r="AH3619">
        <v>0</v>
      </c>
      <c r="AI3619" t="s">
        <v>7286</v>
      </c>
      <c r="AJ3619">
        <v>40.419431000000003</v>
      </c>
      <c r="AK3619" t="s">
        <v>7287</v>
      </c>
      <c r="AL3619">
        <v>-74.486746999999994</v>
      </c>
      <c r="AM3619">
        <v>100</v>
      </c>
      <c r="AN3619">
        <v>1700</v>
      </c>
      <c r="AO3619" t="s">
        <v>115</v>
      </c>
      <c r="AP3619">
        <v>104</v>
      </c>
      <c r="AQ3619">
        <v>61</v>
      </c>
      <c r="AR3619">
        <v>0</v>
      </c>
      <c r="AZ3619">
        <v>3614</v>
      </c>
      <c r="BA3619">
        <v>1</v>
      </c>
      <c r="BB3619" t="str">
        <f t="shared" si="170"/>
        <v xml:space="preserve">N959MJ  </v>
      </c>
      <c r="BC3619">
        <v>1</v>
      </c>
      <c r="BE3619">
        <v>0</v>
      </c>
      <c r="BF3619">
        <v>0</v>
      </c>
      <c r="BG3619">
        <v>0</v>
      </c>
      <c r="BH3619">
        <v>1900</v>
      </c>
      <c r="BI3619">
        <v>200</v>
      </c>
      <c r="BJ3619">
        <v>1</v>
      </c>
      <c r="BK3619">
        <v>1</v>
      </c>
      <c r="BL3619">
        <v>1</v>
      </c>
      <c r="BM3619">
        <v>0</v>
      </c>
      <c r="BP3619">
        <v>0</v>
      </c>
      <c r="BQ3619">
        <v>0</v>
      </c>
      <c r="BX3619" t="str">
        <f>"14:50:40.352"</f>
        <v>14:50:40.352</v>
      </c>
      <c r="BY3619" t="str">
        <f>"355094959"</f>
        <v>355094959</v>
      </c>
      <c r="CL3619">
        <v>0</v>
      </c>
      <c r="CM3619">
        <v>2</v>
      </c>
      <c r="CN3619">
        <v>0</v>
      </c>
      <c r="CO3619">
        <v>2</v>
      </c>
      <c r="CP3619">
        <v>0</v>
      </c>
      <c r="CQ3619">
        <v>6</v>
      </c>
      <c r="CR3619" t="s">
        <v>116</v>
      </c>
      <c r="CS3619">
        <v>38</v>
      </c>
      <c r="CT3619">
        <v>0</v>
      </c>
      <c r="CU3619" t="s">
        <v>4719</v>
      </c>
      <c r="CV3619" t="s">
        <v>4720</v>
      </c>
      <c r="CY3619">
        <v>8149865</v>
      </c>
      <c r="CZ3619" t="s">
        <v>119</v>
      </c>
    </row>
    <row r="3620" spans="1:104" x14ac:dyDescent="0.25">
      <c r="A3620" t="str">
        <f>"14:50:41.531"</f>
        <v>14:50:41.531</v>
      </c>
      <c r="B3620" t="s">
        <v>108</v>
      </c>
      <c r="C3620" t="str">
        <f t="shared" si="169"/>
        <v>ffdfd3c0</v>
      </c>
      <c r="D3620" t="s">
        <v>109</v>
      </c>
      <c r="E3620">
        <v>4</v>
      </c>
      <c r="F3620">
        <v>1004</v>
      </c>
      <c r="G3620" t="s">
        <v>110</v>
      </c>
      <c r="J3620" t="s">
        <v>111</v>
      </c>
      <c r="K3620">
        <v>0</v>
      </c>
      <c r="L3620">
        <v>3</v>
      </c>
      <c r="M3620">
        <v>0</v>
      </c>
      <c r="N3620">
        <v>2</v>
      </c>
      <c r="O3620">
        <v>1</v>
      </c>
      <c r="P3620">
        <v>0</v>
      </c>
      <c r="Q3620">
        <v>0</v>
      </c>
      <c r="R3620" t="s">
        <v>112</v>
      </c>
      <c r="S3620" t="str">
        <f>"14:50:41.359"</f>
        <v>14:50:41.359</v>
      </c>
      <c r="T3620" t="str">
        <f>"14:50:40.859"</f>
        <v>14:50:40.859</v>
      </c>
      <c r="U3620" t="str">
        <f t="shared" si="168"/>
        <v>ad5732</v>
      </c>
      <c r="V3620">
        <v>0</v>
      </c>
      <c r="W3620">
        <v>0</v>
      </c>
      <c r="X3620">
        <v>1</v>
      </c>
      <c r="Z3620">
        <v>0</v>
      </c>
      <c r="AA3620">
        <v>9</v>
      </c>
      <c r="AB3620">
        <v>3</v>
      </c>
      <c r="AC3620">
        <v>0</v>
      </c>
      <c r="AD3620">
        <v>10</v>
      </c>
      <c r="AE3620">
        <v>0</v>
      </c>
      <c r="AF3620">
        <v>3</v>
      </c>
      <c r="AG3620">
        <v>2</v>
      </c>
      <c r="AH3620">
        <v>0</v>
      </c>
      <c r="AI3620" t="s">
        <v>7288</v>
      </c>
      <c r="AJ3620">
        <v>40.419753</v>
      </c>
      <c r="AK3620" t="s">
        <v>7289</v>
      </c>
      <c r="AL3620">
        <v>-74.486146000000005</v>
      </c>
      <c r="AM3620">
        <v>100</v>
      </c>
      <c r="AN3620">
        <v>1700</v>
      </c>
      <c r="AO3620" t="s">
        <v>115</v>
      </c>
      <c r="AP3620">
        <v>104</v>
      </c>
      <c r="AQ3620">
        <v>60</v>
      </c>
      <c r="AR3620">
        <v>0</v>
      </c>
      <c r="AZ3620">
        <v>3614</v>
      </c>
      <c r="BA3620">
        <v>1</v>
      </c>
      <c r="BB3620" t="str">
        <f t="shared" si="170"/>
        <v xml:space="preserve">N959MJ  </v>
      </c>
      <c r="BC3620">
        <v>1</v>
      </c>
      <c r="BE3620">
        <v>0</v>
      </c>
      <c r="BF3620">
        <v>0</v>
      </c>
      <c r="BG3620">
        <v>0</v>
      </c>
      <c r="BH3620">
        <v>1900</v>
      </c>
      <c r="BI3620">
        <v>200</v>
      </c>
      <c r="BJ3620">
        <v>1</v>
      </c>
      <c r="BK3620">
        <v>1</v>
      </c>
      <c r="BL3620">
        <v>1</v>
      </c>
      <c r="BM3620">
        <v>0</v>
      </c>
      <c r="BP3620">
        <v>0</v>
      </c>
      <c r="BQ3620">
        <v>0</v>
      </c>
      <c r="BX3620" t="str">
        <f>"14:50:41.359"</f>
        <v>14:50:41.359</v>
      </c>
      <c r="BY3620" t="str">
        <f>"362728907"</f>
        <v>362728907</v>
      </c>
      <c r="CL3620">
        <v>0</v>
      </c>
      <c r="CM3620">
        <v>2</v>
      </c>
      <c r="CN3620">
        <v>0</v>
      </c>
      <c r="CO3620">
        <v>2</v>
      </c>
      <c r="CP3620">
        <v>0</v>
      </c>
      <c r="CQ3620">
        <v>6</v>
      </c>
      <c r="CR3620" t="s">
        <v>116</v>
      </c>
      <c r="CS3620">
        <v>38</v>
      </c>
      <c r="CT3620">
        <v>0</v>
      </c>
      <c r="CU3620" t="s">
        <v>4719</v>
      </c>
      <c r="CV3620" t="s">
        <v>4720</v>
      </c>
      <c r="CY3620">
        <v>8151438</v>
      </c>
      <c r="CZ3620" t="s">
        <v>119</v>
      </c>
    </row>
    <row r="3621" spans="1:104" x14ac:dyDescent="0.25">
      <c r="A3621" t="str">
        <f>"14:50:42.695"</f>
        <v>14:50:42.695</v>
      </c>
      <c r="B3621" t="s">
        <v>108</v>
      </c>
      <c r="C3621" t="str">
        <f t="shared" si="169"/>
        <v>ffdfd3c0</v>
      </c>
      <c r="D3621" t="s">
        <v>109</v>
      </c>
      <c r="E3621">
        <v>4</v>
      </c>
      <c r="F3621">
        <v>1004</v>
      </c>
      <c r="G3621" t="s">
        <v>110</v>
      </c>
      <c r="J3621" t="s">
        <v>111</v>
      </c>
      <c r="K3621">
        <v>0</v>
      </c>
      <c r="L3621">
        <v>3</v>
      </c>
      <c r="M3621">
        <v>0</v>
      </c>
      <c r="N3621">
        <v>2</v>
      </c>
      <c r="O3621">
        <v>1</v>
      </c>
      <c r="P3621">
        <v>0</v>
      </c>
      <c r="Q3621">
        <v>0</v>
      </c>
      <c r="R3621" t="s">
        <v>112</v>
      </c>
      <c r="S3621" t="str">
        <f>"14:50:42.469"</f>
        <v>14:50:42.469</v>
      </c>
      <c r="T3621" t="str">
        <f>"14:50:41.969"</f>
        <v>14:50:41.969</v>
      </c>
      <c r="U3621" t="str">
        <f t="shared" si="168"/>
        <v>ad5732</v>
      </c>
      <c r="V3621">
        <v>0</v>
      </c>
      <c r="W3621">
        <v>0</v>
      </c>
      <c r="X3621">
        <v>1</v>
      </c>
      <c r="Z3621">
        <v>0</v>
      </c>
      <c r="AA3621">
        <v>9</v>
      </c>
      <c r="AB3621">
        <v>3</v>
      </c>
      <c r="AC3621">
        <v>0</v>
      </c>
      <c r="AD3621">
        <v>10</v>
      </c>
      <c r="AE3621">
        <v>0</v>
      </c>
      <c r="AF3621">
        <v>3</v>
      </c>
      <c r="AG3621">
        <v>2</v>
      </c>
      <c r="AH3621">
        <v>0</v>
      </c>
      <c r="AI3621" t="s">
        <v>7290</v>
      </c>
      <c r="AJ3621">
        <v>40.420053000000003</v>
      </c>
      <c r="AK3621" t="s">
        <v>7291</v>
      </c>
      <c r="AL3621">
        <v>-74.485438000000002</v>
      </c>
      <c r="AM3621">
        <v>100</v>
      </c>
      <c r="AN3621">
        <v>1700</v>
      </c>
      <c r="AO3621" t="s">
        <v>115</v>
      </c>
      <c r="AP3621">
        <v>104</v>
      </c>
      <c r="AQ3621">
        <v>60</v>
      </c>
      <c r="AR3621">
        <v>64</v>
      </c>
      <c r="AZ3621">
        <v>3614</v>
      </c>
      <c r="BA3621">
        <v>1</v>
      </c>
      <c r="BB3621" t="str">
        <f t="shared" si="170"/>
        <v xml:space="preserve">N959MJ  </v>
      </c>
      <c r="BC3621">
        <v>1</v>
      </c>
      <c r="BE3621">
        <v>0</v>
      </c>
      <c r="BF3621">
        <v>0</v>
      </c>
      <c r="BG3621">
        <v>0</v>
      </c>
      <c r="BH3621">
        <v>1900</v>
      </c>
      <c r="BI3621">
        <v>200</v>
      </c>
      <c r="BJ3621">
        <v>1</v>
      </c>
      <c r="BK3621">
        <v>1</v>
      </c>
      <c r="BL3621">
        <v>1</v>
      </c>
      <c r="BM3621">
        <v>0</v>
      </c>
      <c r="BP3621">
        <v>0</v>
      </c>
      <c r="BQ3621">
        <v>0</v>
      </c>
      <c r="BX3621" t="str">
        <f>"14:50:42.477"</f>
        <v>14:50:42.477</v>
      </c>
      <c r="BY3621" t="str">
        <f>"473583790"</f>
        <v>473583790</v>
      </c>
      <c r="CL3621">
        <v>0</v>
      </c>
      <c r="CM3621">
        <v>2</v>
      </c>
      <c r="CN3621">
        <v>0</v>
      </c>
      <c r="CO3621">
        <v>2</v>
      </c>
      <c r="CP3621">
        <v>0</v>
      </c>
      <c r="CQ3621">
        <v>7</v>
      </c>
      <c r="CR3621" t="s">
        <v>116</v>
      </c>
      <c r="CS3621">
        <v>38</v>
      </c>
      <c r="CT3621">
        <v>0</v>
      </c>
      <c r="CU3621" t="s">
        <v>4719</v>
      </c>
      <c r="CV3621" t="s">
        <v>4720</v>
      </c>
      <c r="CY3621">
        <v>8153147</v>
      </c>
      <c r="CZ3621" t="s">
        <v>119</v>
      </c>
    </row>
    <row r="3622" spans="1:104" x14ac:dyDescent="0.25">
      <c r="A3622" t="str">
        <f>"14:50:43.609"</f>
        <v>14:50:43.609</v>
      </c>
      <c r="B3622" t="s">
        <v>108</v>
      </c>
      <c r="C3622" t="str">
        <f t="shared" si="169"/>
        <v>ffdfd3c0</v>
      </c>
      <c r="D3622" t="s">
        <v>109</v>
      </c>
      <c r="E3622">
        <v>4</v>
      </c>
      <c r="F3622">
        <v>1004</v>
      </c>
      <c r="G3622" t="s">
        <v>110</v>
      </c>
      <c r="J3622" t="s">
        <v>111</v>
      </c>
      <c r="K3622">
        <v>0</v>
      </c>
      <c r="L3622">
        <v>3</v>
      </c>
      <c r="M3622">
        <v>0</v>
      </c>
      <c r="N3622">
        <v>2</v>
      </c>
      <c r="O3622">
        <v>1</v>
      </c>
      <c r="P3622">
        <v>0</v>
      </c>
      <c r="Q3622">
        <v>0</v>
      </c>
      <c r="R3622" t="s">
        <v>112</v>
      </c>
      <c r="S3622" t="str">
        <f>"14:50:43.430"</f>
        <v>14:50:43.430</v>
      </c>
      <c r="T3622" t="str">
        <f>"14:50:42.930"</f>
        <v>14:50:42.930</v>
      </c>
      <c r="U3622" t="str">
        <f t="shared" si="168"/>
        <v>ad5732</v>
      </c>
      <c r="V3622">
        <v>0</v>
      </c>
      <c r="W3622">
        <v>0</v>
      </c>
      <c r="X3622">
        <v>1</v>
      </c>
      <c r="Z3622">
        <v>0</v>
      </c>
      <c r="AA3622">
        <v>9</v>
      </c>
      <c r="AB3622">
        <v>3</v>
      </c>
      <c r="AC3622">
        <v>0</v>
      </c>
      <c r="AD3622">
        <v>10</v>
      </c>
      <c r="AE3622">
        <v>0</v>
      </c>
      <c r="AF3622">
        <v>3</v>
      </c>
      <c r="AG3622">
        <v>2</v>
      </c>
      <c r="AH3622">
        <v>0</v>
      </c>
      <c r="AI3622" t="s">
        <v>7292</v>
      </c>
      <c r="AJ3622">
        <v>40.420332000000002</v>
      </c>
      <c r="AK3622" t="s">
        <v>7293</v>
      </c>
      <c r="AL3622">
        <v>-74.484815999999995</v>
      </c>
      <c r="AM3622">
        <v>100</v>
      </c>
      <c r="AN3622">
        <v>1700</v>
      </c>
      <c r="AO3622" t="s">
        <v>115</v>
      </c>
      <c r="AP3622">
        <v>104</v>
      </c>
      <c r="AQ3622">
        <v>60</v>
      </c>
      <c r="AR3622">
        <v>64</v>
      </c>
      <c r="AZ3622">
        <v>3614</v>
      </c>
      <c r="BA3622">
        <v>1</v>
      </c>
      <c r="BB3622" t="str">
        <f t="shared" si="170"/>
        <v xml:space="preserve">N959MJ  </v>
      </c>
      <c r="BC3622">
        <v>1</v>
      </c>
      <c r="BE3622">
        <v>0</v>
      </c>
      <c r="BF3622">
        <v>0</v>
      </c>
      <c r="BG3622">
        <v>0</v>
      </c>
      <c r="BH3622">
        <v>1900</v>
      </c>
      <c r="BI3622">
        <v>200</v>
      </c>
      <c r="BJ3622">
        <v>1</v>
      </c>
      <c r="BK3622">
        <v>1</v>
      </c>
      <c r="BL3622">
        <v>1</v>
      </c>
      <c r="BM3622">
        <v>0</v>
      </c>
      <c r="BP3622">
        <v>0</v>
      </c>
      <c r="BQ3622">
        <v>0</v>
      </c>
      <c r="BX3622" t="str">
        <f>"14:50:43.430"</f>
        <v>14:50:43.430</v>
      </c>
      <c r="BY3622" t="str">
        <f>"432064817"</f>
        <v>432064817</v>
      </c>
      <c r="CL3622">
        <v>0</v>
      </c>
      <c r="CM3622">
        <v>2</v>
      </c>
      <c r="CN3622">
        <v>0</v>
      </c>
      <c r="CO3622">
        <v>2</v>
      </c>
      <c r="CP3622">
        <v>0</v>
      </c>
      <c r="CQ3622">
        <v>6</v>
      </c>
      <c r="CR3622" t="s">
        <v>116</v>
      </c>
      <c r="CS3622">
        <v>38</v>
      </c>
      <c r="CT3622">
        <v>0</v>
      </c>
      <c r="CU3622" t="s">
        <v>4719</v>
      </c>
      <c r="CV3622" t="s">
        <v>4720</v>
      </c>
      <c r="CY3622">
        <v>8154606</v>
      </c>
      <c r="CZ3622" t="s">
        <v>119</v>
      </c>
    </row>
    <row r="3623" spans="1:104" x14ac:dyDescent="0.25">
      <c r="A3623" t="str">
        <f>"14:50:44.617"</f>
        <v>14:50:44.617</v>
      </c>
      <c r="B3623" t="s">
        <v>108</v>
      </c>
      <c r="C3623" t="str">
        <f t="shared" si="169"/>
        <v>ffdfd3c0</v>
      </c>
      <c r="D3623" t="s">
        <v>109</v>
      </c>
      <c r="E3623">
        <v>4</v>
      </c>
      <c r="F3623">
        <v>1004</v>
      </c>
      <c r="G3623" t="s">
        <v>110</v>
      </c>
      <c r="J3623" t="s">
        <v>111</v>
      </c>
      <c r="K3623">
        <v>0</v>
      </c>
      <c r="L3623">
        <v>3</v>
      </c>
      <c r="M3623">
        <v>0</v>
      </c>
      <c r="N3623">
        <v>2</v>
      </c>
      <c r="O3623">
        <v>1</v>
      </c>
      <c r="P3623">
        <v>0</v>
      </c>
      <c r="Q3623">
        <v>0</v>
      </c>
      <c r="R3623" t="s">
        <v>112</v>
      </c>
      <c r="S3623" t="str">
        <f>"14:50:44.430"</f>
        <v>14:50:44.430</v>
      </c>
      <c r="T3623" t="str">
        <f>"14:50:43.930"</f>
        <v>14:50:43.930</v>
      </c>
      <c r="U3623" t="str">
        <f t="shared" si="168"/>
        <v>ad5732</v>
      </c>
      <c r="V3623">
        <v>0</v>
      </c>
      <c r="W3623">
        <v>0</v>
      </c>
      <c r="X3623">
        <v>1</v>
      </c>
      <c r="Z3623">
        <v>0</v>
      </c>
      <c r="AA3623">
        <v>9</v>
      </c>
      <c r="AB3623">
        <v>3</v>
      </c>
      <c r="AC3623">
        <v>0</v>
      </c>
      <c r="AD3623">
        <v>10</v>
      </c>
      <c r="AE3623">
        <v>0</v>
      </c>
      <c r="AF3623">
        <v>3</v>
      </c>
      <c r="AG3623">
        <v>2</v>
      </c>
      <c r="AH3623">
        <v>0</v>
      </c>
      <c r="AI3623" t="s">
        <v>7294</v>
      </c>
      <c r="AJ3623">
        <v>40.420611000000001</v>
      </c>
      <c r="AK3623" t="s">
        <v>7295</v>
      </c>
      <c r="AL3623">
        <v>-74.484193000000005</v>
      </c>
      <c r="AM3623">
        <v>100</v>
      </c>
      <c r="AN3623">
        <v>1700</v>
      </c>
      <c r="AO3623" t="s">
        <v>115</v>
      </c>
      <c r="AP3623">
        <v>105</v>
      </c>
      <c r="AQ3623">
        <v>59</v>
      </c>
      <c r="AR3623">
        <v>0</v>
      </c>
      <c r="AZ3623">
        <v>3614</v>
      </c>
      <c r="BA3623">
        <v>1</v>
      </c>
      <c r="BB3623" t="str">
        <f t="shared" si="170"/>
        <v xml:space="preserve">N959MJ  </v>
      </c>
      <c r="BC3623">
        <v>1</v>
      </c>
      <c r="BE3623">
        <v>0</v>
      </c>
      <c r="BF3623">
        <v>0</v>
      </c>
      <c r="BG3623">
        <v>0</v>
      </c>
      <c r="BH3623">
        <v>1900</v>
      </c>
      <c r="BI3623">
        <v>200</v>
      </c>
      <c r="BJ3623">
        <v>1</v>
      </c>
      <c r="BK3623">
        <v>1</v>
      </c>
      <c r="BL3623">
        <v>1</v>
      </c>
      <c r="BM3623">
        <v>0</v>
      </c>
      <c r="BP3623">
        <v>0</v>
      </c>
      <c r="BQ3623">
        <v>0</v>
      </c>
      <c r="BX3623" t="str">
        <f>"14:50:44.438"</f>
        <v>14:50:44.438</v>
      </c>
      <c r="BY3623" t="str">
        <f>"434799523"</f>
        <v>434799523</v>
      </c>
      <c r="CL3623">
        <v>0</v>
      </c>
      <c r="CM3623">
        <v>2</v>
      </c>
      <c r="CN3623">
        <v>0</v>
      </c>
      <c r="CO3623">
        <v>2</v>
      </c>
      <c r="CP3623">
        <v>0</v>
      </c>
      <c r="CQ3623">
        <v>6</v>
      </c>
      <c r="CR3623" t="s">
        <v>116</v>
      </c>
      <c r="CS3623">
        <v>305</v>
      </c>
      <c r="CT3623">
        <v>3</v>
      </c>
      <c r="CU3623" t="s">
        <v>6425</v>
      </c>
      <c r="CV3623" t="s">
        <v>6426</v>
      </c>
      <c r="CY3623">
        <v>6051065</v>
      </c>
      <c r="CZ3623" t="s">
        <v>119</v>
      </c>
    </row>
    <row r="3624" spans="1:104" x14ac:dyDescent="0.25">
      <c r="A3624" t="str">
        <f>"14:50:45.570"</f>
        <v>14:50:45.570</v>
      </c>
      <c r="B3624" t="s">
        <v>108</v>
      </c>
      <c r="C3624" t="str">
        <f t="shared" si="169"/>
        <v>ffdfd3c0</v>
      </c>
      <c r="D3624" t="s">
        <v>109</v>
      </c>
      <c r="E3624">
        <v>4</v>
      </c>
      <c r="F3624">
        <v>1004</v>
      </c>
      <c r="G3624" t="s">
        <v>110</v>
      </c>
      <c r="J3624" t="s">
        <v>111</v>
      </c>
      <c r="K3624">
        <v>0</v>
      </c>
      <c r="L3624">
        <v>3</v>
      </c>
      <c r="M3624">
        <v>0</v>
      </c>
      <c r="N3624">
        <v>2</v>
      </c>
      <c r="O3624">
        <v>1</v>
      </c>
      <c r="P3624">
        <v>0</v>
      </c>
      <c r="Q3624">
        <v>0</v>
      </c>
      <c r="R3624" t="s">
        <v>112</v>
      </c>
      <c r="S3624" t="str">
        <f>"14:50:45.391"</f>
        <v>14:50:45.391</v>
      </c>
      <c r="T3624" t="str">
        <f>"14:50:44.992"</f>
        <v>14:50:44.992</v>
      </c>
      <c r="U3624" t="str">
        <f t="shared" si="168"/>
        <v>ad5732</v>
      </c>
      <c r="V3624">
        <v>0</v>
      </c>
      <c r="W3624">
        <v>0</v>
      </c>
      <c r="X3624">
        <v>1</v>
      </c>
      <c r="Z3624">
        <v>0</v>
      </c>
      <c r="AA3624">
        <v>9</v>
      </c>
      <c r="AB3624">
        <v>3</v>
      </c>
      <c r="AC3624">
        <v>0</v>
      </c>
      <c r="AD3624">
        <v>10</v>
      </c>
      <c r="AE3624">
        <v>0</v>
      </c>
      <c r="AF3624">
        <v>3</v>
      </c>
      <c r="AG3624">
        <v>2</v>
      </c>
      <c r="AH3624">
        <v>0</v>
      </c>
      <c r="AI3624" t="s">
        <v>7296</v>
      </c>
      <c r="AJ3624">
        <v>40.420847000000002</v>
      </c>
      <c r="AK3624" t="s">
        <v>7297</v>
      </c>
      <c r="AL3624">
        <v>-74.483570999999998</v>
      </c>
      <c r="AM3624">
        <v>100</v>
      </c>
      <c r="AN3624">
        <v>1700</v>
      </c>
      <c r="AO3624" t="s">
        <v>115</v>
      </c>
      <c r="AP3624">
        <v>105</v>
      </c>
      <c r="AQ3624">
        <v>59</v>
      </c>
      <c r="AR3624">
        <v>0</v>
      </c>
      <c r="AZ3624">
        <v>3614</v>
      </c>
      <c r="BA3624">
        <v>1</v>
      </c>
      <c r="BB3624" t="str">
        <f t="shared" si="170"/>
        <v xml:space="preserve">N959MJ  </v>
      </c>
      <c r="BC3624">
        <v>1</v>
      </c>
      <c r="BE3624">
        <v>0</v>
      </c>
      <c r="BF3624">
        <v>0</v>
      </c>
      <c r="BG3624">
        <v>0</v>
      </c>
      <c r="BH3624">
        <v>1900</v>
      </c>
      <c r="BI3624">
        <v>200</v>
      </c>
      <c r="BJ3624">
        <v>1</v>
      </c>
      <c r="BK3624">
        <v>1</v>
      </c>
      <c r="BL3624">
        <v>1</v>
      </c>
      <c r="BM3624">
        <v>0</v>
      </c>
      <c r="BP3624">
        <v>0</v>
      </c>
      <c r="BQ3624">
        <v>0</v>
      </c>
      <c r="BX3624" t="str">
        <f>"14:50:45.398"</f>
        <v>14:50:45.398</v>
      </c>
      <c r="BY3624" t="str">
        <f>"398179787"</f>
        <v>398179787</v>
      </c>
      <c r="CL3624">
        <v>0</v>
      </c>
      <c r="CM3624">
        <v>2</v>
      </c>
      <c r="CN3624">
        <v>0</v>
      </c>
      <c r="CO3624">
        <v>2</v>
      </c>
      <c r="CP3624">
        <v>0</v>
      </c>
      <c r="CQ3624">
        <v>6</v>
      </c>
      <c r="CR3624" t="s">
        <v>116</v>
      </c>
      <c r="CS3624">
        <v>38</v>
      </c>
      <c r="CT3624">
        <v>0</v>
      </c>
      <c r="CU3624" t="s">
        <v>4719</v>
      </c>
      <c r="CV3624" t="s">
        <v>4720</v>
      </c>
      <c r="CY3624">
        <v>8157684</v>
      </c>
      <c r="CZ3624" t="s">
        <v>119</v>
      </c>
    </row>
    <row r="3625" spans="1:104" x14ac:dyDescent="0.25">
      <c r="A3625" t="str">
        <f>"14:50:46.586"</f>
        <v>14:50:46.586</v>
      </c>
      <c r="B3625" t="s">
        <v>108</v>
      </c>
      <c r="C3625" t="str">
        <f t="shared" si="169"/>
        <v>ffdfd3c0</v>
      </c>
      <c r="D3625" t="s">
        <v>109</v>
      </c>
      <c r="E3625">
        <v>4</v>
      </c>
      <c r="F3625">
        <v>1004</v>
      </c>
      <c r="G3625" t="s">
        <v>110</v>
      </c>
      <c r="J3625" t="s">
        <v>111</v>
      </c>
      <c r="K3625">
        <v>0</v>
      </c>
      <c r="L3625">
        <v>3</v>
      </c>
      <c r="M3625">
        <v>0</v>
      </c>
      <c r="N3625">
        <v>2</v>
      </c>
      <c r="O3625">
        <v>1</v>
      </c>
      <c r="P3625">
        <v>0</v>
      </c>
      <c r="Q3625">
        <v>0</v>
      </c>
      <c r="R3625" t="s">
        <v>112</v>
      </c>
      <c r="S3625" t="str">
        <f>"14:50:46.375"</f>
        <v>14:50:46.375</v>
      </c>
      <c r="T3625" t="str">
        <f>"14:50:45.977"</f>
        <v>14:50:45.977</v>
      </c>
      <c r="U3625" t="str">
        <f t="shared" si="168"/>
        <v>ad5732</v>
      </c>
      <c r="V3625">
        <v>0</v>
      </c>
      <c r="W3625">
        <v>0</v>
      </c>
      <c r="X3625">
        <v>1</v>
      </c>
      <c r="Z3625">
        <v>0</v>
      </c>
      <c r="AA3625">
        <v>9</v>
      </c>
      <c r="AB3625">
        <v>3</v>
      </c>
      <c r="AC3625">
        <v>0</v>
      </c>
      <c r="AD3625">
        <v>10</v>
      </c>
      <c r="AE3625">
        <v>0</v>
      </c>
      <c r="AF3625">
        <v>3</v>
      </c>
      <c r="AG3625">
        <v>2</v>
      </c>
      <c r="AH3625">
        <v>0</v>
      </c>
      <c r="AI3625" t="s">
        <v>7298</v>
      </c>
      <c r="AJ3625">
        <v>40.421083000000003</v>
      </c>
      <c r="AK3625" t="s">
        <v>7299</v>
      </c>
      <c r="AL3625">
        <v>-74.482969999999995</v>
      </c>
      <c r="AM3625">
        <v>100</v>
      </c>
      <c r="AN3625">
        <v>1700</v>
      </c>
      <c r="AO3625" t="s">
        <v>115</v>
      </c>
      <c r="AP3625">
        <v>105</v>
      </c>
      <c r="AQ3625">
        <v>58</v>
      </c>
      <c r="AR3625">
        <v>0</v>
      </c>
      <c r="AZ3625">
        <v>3614</v>
      </c>
      <c r="BA3625">
        <v>1</v>
      </c>
      <c r="BB3625" t="str">
        <f t="shared" si="170"/>
        <v xml:space="preserve">N959MJ  </v>
      </c>
      <c r="BC3625">
        <v>1</v>
      </c>
      <c r="BE3625">
        <v>0</v>
      </c>
      <c r="BF3625">
        <v>0</v>
      </c>
      <c r="BG3625">
        <v>0</v>
      </c>
      <c r="BH3625">
        <v>1900</v>
      </c>
      <c r="BI3625">
        <v>200</v>
      </c>
      <c r="BJ3625">
        <v>1</v>
      </c>
      <c r="BK3625">
        <v>1</v>
      </c>
      <c r="BL3625">
        <v>1</v>
      </c>
      <c r="BM3625">
        <v>0</v>
      </c>
      <c r="BP3625">
        <v>0</v>
      </c>
      <c r="BQ3625">
        <v>0</v>
      </c>
      <c r="BX3625" t="str">
        <f>"14:50:46.375"</f>
        <v>14:50:46.375</v>
      </c>
      <c r="BY3625" t="str">
        <f>"376337239"</f>
        <v>376337239</v>
      </c>
      <c r="CL3625">
        <v>0</v>
      </c>
      <c r="CM3625">
        <v>2</v>
      </c>
      <c r="CN3625">
        <v>0</v>
      </c>
      <c r="CO3625">
        <v>2</v>
      </c>
      <c r="CP3625">
        <v>0</v>
      </c>
      <c r="CQ3625">
        <v>6</v>
      </c>
      <c r="CR3625" t="s">
        <v>116</v>
      </c>
      <c r="CS3625">
        <v>305</v>
      </c>
      <c r="CT3625">
        <v>3</v>
      </c>
      <c r="CU3625" t="s">
        <v>6425</v>
      </c>
      <c r="CV3625" t="s">
        <v>6426</v>
      </c>
      <c r="CY3625">
        <v>6054919</v>
      </c>
      <c r="CZ3625" t="s">
        <v>119</v>
      </c>
    </row>
    <row r="3626" spans="1:104" x14ac:dyDescent="0.25">
      <c r="A3626" t="str">
        <f>"14:50:47.539"</f>
        <v>14:50:47.539</v>
      </c>
      <c r="B3626" t="s">
        <v>108</v>
      </c>
      <c r="C3626" t="str">
        <f t="shared" si="169"/>
        <v>ffdfd3c0</v>
      </c>
      <c r="D3626" t="s">
        <v>109</v>
      </c>
      <c r="E3626">
        <v>4</v>
      </c>
      <c r="F3626">
        <v>1004</v>
      </c>
      <c r="G3626" t="s">
        <v>110</v>
      </c>
      <c r="J3626" t="s">
        <v>111</v>
      </c>
      <c r="K3626">
        <v>0</v>
      </c>
      <c r="L3626">
        <v>3</v>
      </c>
      <c r="M3626">
        <v>0</v>
      </c>
      <c r="N3626">
        <v>2</v>
      </c>
      <c r="O3626">
        <v>1</v>
      </c>
      <c r="P3626">
        <v>0</v>
      </c>
      <c r="Q3626">
        <v>0</v>
      </c>
      <c r="R3626" t="s">
        <v>112</v>
      </c>
      <c r="S3626" t="str">
        <f>"14:50:47.375"</f>
        <v>14:50:47.375</v>
      </c>
      <c r="T3626" t="str">
        <f>"14:50:46.875"</f>
        <v>14:50:46.875</v>
      </c>
      <c r="U3626" t="str">
        <f t="shared" si="168"/>
        <v>ad5732</v>
      </c>
      <c r="V3626">
        <v>0</v>
      </c>
      <c r="W3626">
        <v>0</v>
      </c>
      <c r="X3626">
        <v>1</v>
      </c>
      <c r="Z3626">
        <v>0</v>
      </c>
      <c r="AA3626">
        <v>9</v>
      </c>
      <c r="AB3626">
        <v>3</v>
      </c>
      <c r="AC3626">
        <v>0</v>
      </c>
      <c r="AD3626">
        <v>10</v>
      </c>
      <c r="AE3626">
        <v>0</v>
      </c>
      <c r="AF3626">
        <v>3</v>
      </c>
      <c r="AG3626">
        <v>2</v>
      </c>
      <c r="AH3626">
        <v>0</v>
      </c>
      <c r="AI3626" t="s">
        <v>7300</v>
      </c>
      <c r="AJ3626">
        <v>40.421362000000002</v>
      </c>
      <c r="AK3626" t="s">
        <v>7301</v>
      </c>
      <c r="AL3626">
        <v>-74.482369000000006</v>
      </c>
      <c r="AM3626">
        <v>100</v>
      </c>
      <c r="AN3626">
        <v>1700</v>
      </c>
      <c r="AO3626" t="s">
        <v>115</v>
      </c>
      <c r="AP3626">
        <v>105</v>
      </c>
      <c r="AQ3626">
        <v>58</v>
      </c>
      <c r="AR3626">
        <v>0</v>
      </c>
      <c r="AZ3626">
        <v>3614</v>
      </c>
      <c r="BA3626">
        <v>1</v>
      </c>
      <c r="BB3626" t="str">
        <f t="shared" si="170"/>
        <v xml:space="preserve">N959MJ  </v>
      </c>
      <c r="BC3626">
        <v>1</v>
      </c>
      <c r="BE3626">
        <v>0</v>
      </c>
      <c r="BF3626">
        <v>0</v>
      </c>
      <c r="BG3626">
        <v>0</v>
      </c>
      <c r="BH3626">
        <v>1900</v>
      </c>
      <c r="BI3626">
        <v>200</v>
      </c>
      <c r="BJ3626">
        <v>1</v>
      </c>
      <c r="BK3626">
        <v>1</v>
      </c>
      <c r="BL3626">
        <v>1</v>
      </c>
      <c r="BM3626">
        <v>0</v>
      </c>
      <c r="BP3626">
        <v>0</v>
      </c>
      <c r="BQ3626">
        <v>0</v>
      </c>
      <c r="BX3626" t="str">
        <f>"14:50:47.375"</f>
        <v>14:50:47.375</v>
      </c>
      <c r="BY3626" t="str">
        <f>"377417052"</f>
        <v>377417052</v>
      </c>
      <c r="CL3626">
        <v>0</v>
      </c>
      <c r="CM3626">
        <v>2</v>
      </c>
      <c r="CN3626">
        <v>0</v>
      </c>
      <c r="CO3626">
        <v>2</v>
      </c>
      <c r="CP3626">
        <v>0</v>
      </c>
      <c r="CQ3626">
        <v>6</v>
      </c>
      <c r="CR3626" t="s">
        <v>116</v>
      </c>
      <c r="CS3626">
        <v>305</v>
      </c>
      <c r="CT3626">
        <v>3</v>
      </c>
      <c r="CU3626" t="s">
        <v>6425</v>
      </c>
      <c r="CV3626" t="s">
        <v>6426</v>
      </c>
      <c r="CY3626">
        <v>6056857</v>
      </c>
      <c r="CZ3626" t="s">
        <v>119</v>
      </c>
    </row>
    <row r="3627" spans="1:104" x14ac:dyDescent="0.25">
      <c r="A3627" t="str">
        <f>"14:50:48.750"</f>
        <v>14:50:48.750</v>
      </c>
      <c r="B3627" t="s">
        <v>108</v>
      </c>
      <c r="C3627" t="str">
        <f t="shared" si="169"/>
        <v>ffdfd3c0</v>
      </c>
      <c r="D3627" t="s">
        <v>109</v>
      </c>
      <c r="E3627">
        <v>4</v>
      </c>
      <c r="F3627">
        <v>1004</v>
      </c>
      <c r="G3627" t="s">
        <v>110</v>
      </c>
      <c r="J3627" t="s">
        <v>111</v>
      </c>
      <c r="K3627">
        <v>0</v>
      </c>
      <c r="L3627">
        <v>3</v>
      </c>
      <c r="M3627">
        <v>0</v>
      </c>
      <c r="N3627">
        <v>2</v>
      </c>
      <c r="O3627">
        <v>1</v>
      </c>
      <c r="P3627">
        <v>0</v>
      </c>
      <c r="Q3627">
        <v>0</v>
      </c>
      <c r="R3627" t="s">
        <v>112</v>
      </c>
      <c r="S3627" t="str">
        <f>"14:50:48.531"</f>
        <v>14:50:48.531</v>
      </c>
      <c r="T3627" t="str">
        <f>"14:50:47.430"</f>
        <v>14:50:47.430</v>
      </c>
      <c r="U3627" t="str">
        <f t="shared" si="168"/>
        <v>ad5732</v>
      </c>
      <c r="V3627">
        <v>0</v>
      </c>
      <c r="W3627">
        <v>0</v>
      </c>
      <c r="X3627">
        <v>1</v>
      </c>
      <c r="Z3627">
        <v>0</v>
      </c>
      <c r="AA3627">
        <v>9</v>
      </c>
      <c r="AB3627">
        <v>3</v>
      </c>
      <c r="AC3627">
        <v>0</v>
      </c>
      <c r="AD3627">
        <v>10</v>
      </c>
      <c r="AE3627">
        <v>0</v>
      </c>
      <c r="AF3627">
        <v>3</v>
      </c>
      <c r="AG3627">
        <v>2</v>
      </c>
      <c r="AH3627">
        <v>0</v>
      </c>
      <c r="AI3627" t="s">
        <v>7302</v>
      </c>
      <c r="AJ3627">
        <v>40.421683999999999</v>
      </c>
      <c r="AK3627" t="s">
        <v>7303</v>
      </c>
      <c r="AL3627">
        <v>-74.481575000000007</v>
      </c>
      <c r="AM3627">
        <v>100</v>
      </c>
      <c r="AN3627">
        <v>1700</v>
      </c>
      <c r="AO3627" t="s">
        <v>115</v>
      </c>
      <c r="AP3627">
        <v>105</v>
      </c>
      <c r="AQ3627">
        <v>58</v>
      </c>
      <c r="AR3627">
        <v>0</v>
      </c>
      <c r="AZ3627">
        <v>3614</v>
      </c>
      <c r="BA3627">
        <v>1</v>
      </c>
      <c r="BB3627" t="str">
        <f t="shared" si="170"/>
        <v xml:space="preserve">N959MJ  </v>
      </c>
      <c r="BC3627">
        <v>1</v>
      </c>
      <c r="BE3627">
        <v>0</v>
      </c>
      <c r="BF3627">
        <v>0</v>
      </c>
      <c r="BG3627">
        <v>0</v>
      </c>
      <c r="BH3627">
        <v>1900</v>
      </c>
      <c r="BI3627">
        <v>200</v>
      </c>
      <c r="BJ3627">
        <v>1</v>
      </c>
      <c r="BK3627">
        <v>1</v>
      </c>
      <c r="BL3627">
        <v>1</v>
      </c>
      <c r="BM3627">
        <v>0</v>
      </c>
      <c r="BP3627">
        <v>0</v>
      </c>
      <c r="BQ3627">
        <v>0</v>
      </c>
      <c r="BX3627" t="str">
        <f>"14:50:48.539"</f>
        <v>14:50:48.539</v>
      </c>
      <c r="BY3627" t="str">
        <f>"535771476"</f>
        <v>535771476</v>
      </c>
      <c r="CL3627">
        <v>0</v>
      </c>
      <c r="CM3627">
        <v>2</v>
      </c>
      <c r="CN3627">
        <v>0</v>
      </c>
      <c r="CO3627">
        <v>2</v>
      </c>
      <c r="CP3627">
        <v>0</v>
      </c>
      <c r="CQ3627">
        <v>6</v>
      </c>
      <c r="CR3627" t="s">
        <v>116</v>
      </c>
      <c r="CS3627">
        <v>38</v>
      </c>
      <c r="CT3627">
        <v>0</v>
      </c>
      <c r="CU3627" t="s">
        <v>4719</v>
      </c>
      <c r="CV3627" t="s">
        <v>4720</v>
      </c>
      <c r="CY3627">
        <v>8162411</v>
      </c>
      <c r="CZ3627" t="s">
        <v>119</v>
      </c>
    </row>
    <row r="3628" spans="1:104" x14ac:dyDescent="0.25">
      <c r="A3628" t="str">
        <f>"14:50:49.664"</f>
        <v>14:50:49.664</v>
      </c>
      <c r="B3628" t="s">
        <v>108</v>
      </c>
      <c r="C3628" t="str">
        <f t="shared" si="169"/>
        <v>ffdfd3c0</v>
      </c>
      <c r="D3628" t="s">
        <v>109</v>
      </c>
      <c r="E3628">
        <v>4</v>
      </c>
      <c r="F3628">
        <v>1004</v>
      </c>
      <c r="G3628" t="s">
        <v>110</v>
      </c>
      <c r="J3628" t="s">
        <v>111</v>
      </c>
      <c r="K3628">
        <v>0</v>
      </c>
      <c r="L3628">
        <v>3</v>
      </c>
      <c r="M3628">
        <v>0</v>
      </c>
      <c r="N3628">
        <v>2</v>
      </c>
      <c r="O3628">
        <v>1</v>
      </c>
      <c r="P3628">
        <v>0</v>
      </c>
      <c r="Q3628">
        <v>0</v>
      </c>
      <c r="R3628" t="s">
        <v>112</v>
      </c>
      <c r="S3628" t="str">
        <f>"14:50:49.500"</f>
        <v>14:50:49.500</v>
      </c>
      <c r="T3628" t="str">
        <f>"14:50:49.000"</f>
        <v>14:50:49.000</v>
      </c>
      <c r="U3628" t="str">
        <f t="shared" si="168"/>
        <v>ad5732</v>
      </c>
      <c r="V3628">
        <v>0</v>
      </c>
      <c r="W3628">
        <v>0</v>
      </c>
      <c r="X3628">
        <v>1</v>
      </c>
      <c r="Z3628">
        <v>0</v>
      </c>
      <c r="AA3628">
        <v>9</v>
      </c>
      <c r="AB3628">
        <v>3</v>
      </c>
      <c r="AC3628">
        <v>0</v>
      </c>
      <c r="AD3628">
        <v>10</v>
      </c>
      <c r="AE3628">
        <v>0</v>
      </c>
      <c r="AF3628">
        <v>3</v>
      </c>
      <c r="AG3628">
        <v>2</v>
      </c>
      <c r="AH3628">
        <v>0</v>
      </c>
      <c r="AI3628" t="s">
        <v>7304</v>
      </c>
      <c r="AJ3628">
        <v>40.42192</v>
      </c>
      <c r="AK3628" t="s">
        <v>7305</v>
      </c>
      <c r="AL3628">
        <v>-74.480996000000005</v>
      </c>
      <c r="AM3628">
        <v>100</v>
      </c>
      <c r="AN3628">
        <v>1700</v>
      </c>
      <c r="AO3628" t="s">
        <v>115</v>
      </c>
      <c r="AP3628">
        <v>106</v>
      </c>
      <c r="AQ3628">
        <v>57</v>
      </c>
      <c r="AR3628">
        <v>0</v>
      </c>
      <c r="AZ3628">
        <v>3614</v>
      </c>
      <c r="BA3628">
        <v>1</v>
      </c>
      <c r="BB3628" t="str">
        <f t="shared" si="170"/>
        <v xml:space="preserve">N959MJ  </v>
      </c>
      <c r="BC3628">
        <v>1</v>
      </c>
      <c r="BE3628">
        <v>0</v>
      </c>
      <c r="BF3628">
        <v>0</v>
      </c>
      <c r="BG3628">
        <v>0</v>
      </c>
      <c r="BH3628">
        <v>1900</v>
      </c>
      <c r="BI3628">
        <v>200</v>
      </c>
      <c r="BJ3628">
        <v>1</v>
      </c>
      <c r="BK3628">
        <v>1</v>
      </c>
      <c r="BL3628">
        <v>1</v>
      </c>
      <c r="BM3628">
        <v>0</v>
      </c>
      <c r="BP3628">
        <v>0</v>
      </c>
      <c r="BQ3628">
        <v>0</v>
      </c>
      <c r="BX3628" t="str">
        <f>"14:50:49.508"</f>
        <v>14:50:49.508</v>
      </c>
      <c r="BY3628" t="str">
        <f>"504097218"</f>
        <v>504097218</v>
      </c>
      <c r="CL3628">
        <v>0</v>
      </c>
      <c r="CM3628">
        <v>2</v>
      </c>
      <c r="CN3628">
        <v>0</v>
      </c>
      <c r="CO3628">
        <v>2</v>
      </c>
      <c r="CP3628">
        <v>0</v>
      </c>
      <c r="CQ3628">
        <v>6</v>
      </c>
      <c r="CR3628" t="s">
        <v>116</v>
      </c>
      <c r="CS3628">
        <v>305</v>
      </c>
      <c r="CT3628">
        <v>3</v>
      </c>
      <c r="CU3628" t="s">
        <v>6425</v>
      </c>
      <c r="CV3628" t="s">
        <v>6426</v>
      </c>
      <c r="CY3628">
        <v>6061092</v>
      </c>
      <c r="CZ3628" t="s">
        <v>119</v>
      </c>
    </row>
    <row r="3629" spans="1:104" x14ac:dyDescent="0.25">
      <c r="A3629" t="str">
        <f>"14:50:50.672"</f>
        <v>14:50:50.672</v>
      </c>
      <c r="B3629" t="s">
        <v>108</v>
      </c>
      <c r="C3629" t="str">
        <f t="shared" si="169"/>
        <v>ffdfd3c0</v>
      </c>
      <c r="D3629" t="s">
        <v>109</v>
      </c>
      <c r="E3629">
        <v>4</v>
      </c>
      <c r="F3629">
        <v>1004</v>
      </c>
      <c r="G3629" t="s">
        <v>110</v>
      </c>
      <c r="J3629" t="s">
        <v>111</v>
      </c>
      <c r="K3629">
        <v>0</v>
      </c>
      <c r="L3629">
        <v>3</v>
      </c>
      <c r="M3629">
        <v>0</v>
      </c>
      <c r="N3629">
        <v>2</v>
      </c>
      <c r="O3629">
        <v>1</v>
      </c>
      <c r="P3629">
        <v>0</v>
      </c>
      <c r="Q3629">
        <v>0</v>
      </c>
      <c r="R3629" t="s">
        <v>112</v>
      </c>
      <c r="S3629" t="str">
        <f>"14:50:50.445"</f>
        <v>14:50:50.445</v>
      </c>
      <c r="T3629" t="str">
        <f>"14:50:50.047"</f>
        <v>14:50:50.047</v>
      </c>
      <c r="U3629" t="str">
        <f t="shared" si="168"/>
        <v>ad5732</v>
      </c>
      <c r="V3629">
        <v>0</v>
      </c>
      <c r="W3629">
        <v>0</v>
      </c>
      <c r="X3629">
        <v>1</v>
      </c>
      <c r="Z3629">
        <v>0</v>
      </c>
      <c r="AA3629">
        <v>9</v>
      </c>
      <c r="AB3629">
        <v>3</v>
      </c>
      <c r="AC3629">
        <v>0</v>
      </c>
      <c r="AD3629">
        <v>10</v>
      </c>
      <c r="AE3629">
        <v>0</v>
      </c>
      <c r="AF3629">
        <v>3</v>
      </c>
      <c r="AG3629">
        <v>2</v>
      </c>
      <c r="AH3629">
        <v>0</v>
      </c>
      <c r="AI3629" t="s">
        <v>7306</v>
      </c>
      <c r="AJ3629">
        <v>40.422198999999999</v>
      </c>
      <c r="AK3629" t="s">
        <v>7307</v>
      </c>
      <c r="AL3629">
        <v>-74.480309000000005</v>
      </c>
      <c r="AM3629">
        <v>100</v>
      </c>
      <c r="AN3629">
        <v>1700</v>
      </c>
      <c r="AO3629" t="s">
        <v>115</v>
      </c>
      <c r="AP3629">
        <v>106</v>
      </c>
      <c r="AQ3629">
        <v>57</v>
      </c>
      <c r="AR3629">
        <v>0</v>
      </c>
      <c r="AZ3629">
        <v>3614</v>
      </c>
      <c r="BA3629">
        <v>1</v>
      </c>
      <c r="BB3629" t="str">
        <f t="shared" si="170"/>
        <v xml:space="preserve">N959MJ  </v>
      </c>
      <c r="BC3629">
        <v>1</v>
      </c>
      <c r="BE3629">
        <v>0</v>
      </c>
      <c r="BF3629">
        <v>0</v>
      </c>
      <c r="BG3629">
        <v>0</v>
      </c>
      <c r="BH3629">
        <v>1900</v>
      </c>
      <c r="BI3629">
        <v>200</v>
      </c>
      <c r="BJ3629">
        <v>1</v>
      </c>
      <c r="BK3629">
        <v>1</v>
      </c>
      <c r="BL3629">
        <v>1</v>
      </c>
      <c r="BM3629">
        <v>0</v>
      </c>
      <c r="BP3629">
        <v>0</v>
      </c>
      <c r="BQ3629">
        <v>0</v>
      </c>
      <c r="BX3629" t="str">
        <f>"14:50:50.453"</f>
        <v>14:50:50.453</v>
      </c>
      <c r="BY3629" t="str">
        <f>"451095104"</f>
        <v>451095104</v>
      </c>
      <c r="CL3629">
        <v>0</v>
      </c>
      <c r="CM3629">
        <v>2</v>
      </c>
      <c r="CN3629">
        <v>0</v>
      </c>
      <c r="CO3629">
        <v>2</v>
      </c>
      <c r="CP3629">
        <v>0</v>
      </c>
      <c r="CQ3629">
        <v>7</v>
      </c>
      <c r="CR3629" t="s">
        <v>116</v>
      </c>
      <c r="CS3629">
        <v>38</v>
      </c>
      <c r="CT3629">
        <v>0</v>
      </c>
      <c r="CU3629" t="s">
        <v>4719</v>
      </c>
      <c r="CV3629" t="s">
        <v>4720</v>
      </c>
      <c r="CY3629">
        <v>8165353</v>
      </c>
      <c r="CZ3629" t="s">
        <v>119</v>
      </c>
    </row>
    <row r="3630" spans="1:104" x14ac:dyDescent="0.25">
      <c r="A3630" t="str">
        <f>"14:50:51.680"</f>
        <v>14:50:51.680</v>
      </c>
      <c r="B3630" t="s">
        <v>108</v>
      </c>
      <c r="C3630" t="str">
        <f t="shared" si="169"/>
        <v>ffdfd3c0</v>
      </c>
      <c r="D3630" t="s">
        <v>109</v>
      </c>
      <c r="E3630">
        <v>4</v>
      </c>
      <c r="F3630">
        <v>1004</v>
      </c>
      <c r="G3630" t="s">
        <v>110</v>
      </c>
      <c r="J3630" t="s">
        <v>111</v>
      </c>
      <c r="K3630">
        <v>0</v>
      </c>
      <c r="L3630">
        <v>3</v>
      </c>
      <c r="M3630">
        <v>0</v>
      </c>
      <c r="N3630">
        <v>2</v>
      </c>
      <c r="O3630">
        <v>1</v>
      </c>
      <c r="P3630">
        <v>0</v>
      </c>
      <c r="Q3630">
        <v>0</v>
      </c>
      <c r="R3630" t="s">
        <v>112</v>
      </c>
      <c r="S3630" t="str">
        <f>"14:50:51.484"</f>
        <v>14:50:51.484</v>
      </c>
      <c r="T3630" t="str">
        <f>"14:50:51.086"</f>
        <v>14:50:51.086</v>
      </c>
      <c r="U3630" t="str">
        <f t="shared" si="168"/>
        <v>ad5732</v>
      </c>
      <c r="V3630">
        <v>0</v>
      </c>
      <c r="W3630">
        <v>0</v>
      </c>
      <c r="X3630">
        <v>1</v>
      </c>
      <c r="Z3630">
        <v>0</v>
      </c>
      <c r="AA3630">
        <v>9</v>
      </c>
      <c r="AB3630">
        <v>3</v>
      </c>
      <c r="AC3630">
        <v>0</v>
      </c>
      <c r="AD3630">
        <v>10</v>
      </c>
      <c r="AE3630">
        <v>0</v>
      </c>
      <c r="AF3630">
        <v>3</v>
      </c>
      <c r="AG3630">
        <v>2</v>
      </c>
      <c r="AH3630">
        <v>0</v>
      </c>
      <c r="AI3630" t="s">
        <v>7308</v>
      </c>
      <c r="AJ3630">
        <v>40.422477999999998</v>
      </c>
      <c r="AK3630" t="s">
        <v>7309</v>
      </c>
      <c r="AL3630">
        <v>-74.479686999999998</v>
      </c>
      <c r="AM3630">
        <v>100</v>
      </c>
      <c r="AN3630">
        <v>1700</v>
      </c>
      <c r="AO3630" t="s">
        <v>115</v>
      </c>
      <c r="AP3630">
        <v>106</v>
      </c>
      <c r="AQ3630">
        <v>57</v>
      </c>
      <c r="AR3630">
        <v>0</v>
      </c>
      <c r="AZ3630">
        <v>3614</v>
      </c>
      <c r="BA3630">
        <v>1</v>
      </c>
      <c r="BB3630" t="str">
        <f t="shared" si="170"/>
        <v xml:space="preserve">N959MJ  </v>
      </c>
      <c r="BC3630">
        <v>1</v>
      </c>
      <c r="BE3630">
        <v>0</v>
      </c>
      <c r="BF3630">
        <v>0</v>
      </c>
      <c r="BG3630">
        <v>0</v>
      </c>
      <c r="BH3630">
        <v>1900</v>
      </c>
      <c r="BI3630">
        <v>200</v>
      </c>
      <c r="BJ3630">
        <v>1</v>
      </c>
      <c r="BK3630">
        <v>1</v>
      </c>
      <c r="BL3630">
        <v>1</v>
      </c>
      <c r="BM3630">
        <v>0</v>
      </c>
      <c r="BP3630">
        <v>0</v>
      </c>
      <c r="BQ3630">
        <v>0</v>
      </c>
      <c r="BX3630" t="str">
        <f>"14:50:51.484"</f>
        <v>14:50:51.484</v>
      </c>
      <c r="BY3630" t="str">
        <f>"488234119"</f>
        <v>488234119</v>
      </c>
      <c r="CL3630">
        <v>0</v>
      </c>
      <c r="CM3630">
        <v>2</v>
      </c>
      <c r="CN3630">
        <v>0</v>
      </c>
      <c r="CO3630">
        <v>2</v>
      </c>
      <c r="CP3630">
        <v>0</v>
      </c>
      <c r="CQ3630">
        <v>6</v>
      </c>
      <c r="CR3630" t="s">
        <v>116</v>
      </c>
      <c r="CS3630">
        <v>305</v>
      </c>
      <c r="CT3630">
        <v>3</v>
      </c>
      <c r="CU3630" t="s">
        <v>6425</v>
      </c>
      <c r="CV3630" t="s">
        <v>6426</v>
      </c>
      <c r="CY3630">
        <v>6064902</v>
      </c>
      <c r="CZ3630" t="s">
        <v>119</v>
      </c>
    </row>
    <row r="3631" spans="1:104" x14ac:dyDescent="0.25">
      <c r="A3631" t="str">
        <f>"14:50:52.539"</f>
        <v>14:50:52.539</v>
      </c>
      <c r="B3631" t="s">
        <v>108</v>
      </c>
      <c r="C3631" t="str">
        <f t="shared" si="169"/>
        <v>ffdfd3c0</v>
      </c>
      <c r="D3631" t="s">
        <v>109</v>
      </c>
      <c r="E3631">
        <v>4</v>
      </c>
      <c r="F3631">
        <v>1004</v>
      </c>
      <c r="G3631" t="s">
        <v>110</v>
      </c>
      <c r="J3631" t="s">
        <v>111</v>
      </c>
      <c r="K3631">
        <v>0</v>
      </c>
      <c r="L3631">
        <v>3</v>
      </c>
      <c r="M3631">
        <v>0</v>
      </c>
      <c r="N3631">
        <v>2</v>
      </c>
      <c r="O3631">
        <v>1</v>
      </c>
      <c r="P3631">
        <v>0</v>
      </c>
      <c r="Q3631">
        <v>0</v>
      </c>
      <c r="R3631" t="s">
        <v>112</v>
      </c>
      <c r="S3631" t="str">
        <f>"14:50:52.336"</f>
        <v>14:50:52.336</v>
      </c>
      <c r="T3631" t="str">
        <f>"14:50:51.938"</f>
        <v>14:50:51.938</v>
      </c>
      <c r="U3631" t="str">
        <f t="shared" si="168"/>
        <v>ad5732</v>
      </c>
      <c r="V3631">
        <v>0</v>
      </c>
      <c r="W3631">
        <v>0</v>
      </c>
      <c r="X3631">
        <v>1</v>
      </c>
      <c r="Z3631">
        <v>0</v>
      </c>
      <c r="AA3631">
        <v>9</v>
      </c>
      <c r="AB3631">
        <v>3</v>
      </c>
      <c r="AC3631">
        <v>0</v>
      </c>
      <c r="AD3631">
        <v>10</v>
      </c>
      <c r="AE3631">
        <v>0</v>
      </c>
      <c r="AF3631">
        <v>3</v>
      </c>
      <c r="AG3631">
        <v>2</v>
      </c>
      <c r="AH3631">
        <v>0</v>
      </c>
      <c r="AI3631" t="s">
        <v>7310</v>
      </c>
      <c r="AJ3631">
        <v>40.422691999999998</v>
      </c>
      <c r="AK3631" t="s">
        <v>7311</v>
      </c>
      <c r="AL3631">
        <v>-74.479129</v>
      </c>
      <c r="AM3631">
        <v>100</v>
      </c>
      <c r="AN3631">
        <v>1700</v>
      </c>
      <c r="AO3631" t="s">
        <v>115</v>
      </c>
      <c r="AP3631">
        <v>106</v>
      </c>
      <c r="AQ3631">
        <v>57</v>
      </c>
      <c r="AR3631">
        <v>0</v>
      </c>
      <c r="AZ3631">
        <v>3614</v>
      </c>
      <c r="BA3631">
        <v>1</v>
      </c>
      <c r="BB3631" t="str">
        <f t="shared" si="170"/>
        <v xml:space="preserve">N959MJ  </v>
      </c>
      <c r="BC3631">
        <v>1</v>
      </c>
      <c r="BE3631">
        <v>0</v>
      </c>
      <c r="BF3631">
        <v>0</v>
      </c>
      <c r="BG3631">
        <v>0</v>
      </c>
      <c r="BH3631">
        <v>1900</v>
      </c>
      <c r="BI3631">
        <v>200</v>
      </c>
      <c r="BJ3631">
        <v>1</v>
      </c>
      <c r="BK3631">
        <v>1</v>
      </c>
      <c r="BL3631">
        <v>1</v>
      </c>
      <c r="BM3631">
        <v>0</v>
      </c>
      <c r="BP3631">
        <v>0</v>
      </c>
      <c r="BQ3631">
        <v>0</v>
      </c>
      <c r="BX3631" t="str">
        <f>"14:50:52.344"</f>
        <v>14:50:52.344</v>
      </c>
      <c r="BY3631" t="str">
        <f>"343493787"</f>
        <v>343493787</v>
      </c>
      <c r="CL3631">
        <v>0</v>
      </c>
      <c r="CM3631">
        <v>2</v>
      </c>
      <c r="CN3631">
        <v>0</v>
      </c>
      <c r="CO3631">
        <v>2</v>
      </c>
      <c r="CP3631">
        <v>0</v>
      </c>
      <c r="CQ3631">
        <v>6</v>
      </c>
      <c r="CR3631" t="s">
        <v>116</v>
      </c>
      <c r="CS3631">
        <v>305</v>
      </c>
      <c r="CT3631">
        <v>3</v>
      </c>
      <c r="CU3631" t="s">
        <v>6425</v>
      </c>
      <c r="CV3631" t="s">
        <v>6426</v>
      </c>
      <c r="CY3631">
        <v>6066596</v>
      </c>
      <c r="CZ3631" t="s">
        <v>119</v>
      </c>
    </row>
    <row r="3632" spans="1:104" x14ac:dyDescent="0.25">
      <c r="A3632" t="str">
        <f>"14:50:53.602"</f>
        <v>14:50:53.602</v>
      </c>
      <c r="B3632" t="s">
        <v>108</v>
      </c>
      <c r="C3632" t="str">
        <f t="shared" si="169"/>
        <v>ffdfd3c0</v>
      </c>
      <c r="D3632" t="s">
        <v>109</v>
      </c>
      <c r="E3632">
        <v>4</v>
      </c>
      <c r="F3632">
        <v>1004</v>
      </c>
      <c r="G3632" t="s">
        <v>110</v>
      </c>
      <c r="J3632" t="s">
        <v>111</v>
      </c>
      <c r="K3632">
        <v>0</v>
      </c>
      <c r="L3632">
        <v>3</v>
      </c>
      <c r="M3632">
        <v>0</v>
      </c>
      <c r="N3632">
        <v>2</v>
      </c>
      <c r="O3632">
        <v>1</v>
      </c>
      <c r="P3632">
        <v>0</v>
      </c>
      <c r="Q3632">
        <v>0</v>
      </c>
      <c r="R3632" t="s">
        <v>112</v>
      </c>
      <c r="S3632" t="str">
        <f>"14:50:53.383"</f>
        <v>14:50:53.383</v>
      </c>
      <c r="T3632" t="str">
        <f>"14:50:52.883"</f>
        <v>14:50:52.883</v>
      </c>
      <c r="U3632" t="str">
        <f t="shared" si="168"/>
        <v>ad5732</v>
      </c>
      <c r="V3632">
        <v>0</v>
      </c>
      <c r="W3632">
        <v>0</v>
      </c>
      <c r="X3632">
        <v>1</v>
      </c>
      <c r="Z3632">
        <v>0</v>
      </c>
      <c r="AA3632">
        <v>9</v>
      </c>
      <c r="AB3632">
        <v>3</v>
      </c>
      <c r="AC3632">
        <v>0</v>
      </c>
      <c r="AD3632">
        <v>10</v>
      </c>
      <c r="AE3632">
        <v>0</v>
      </c>
      <c r="AF3632">
        <v>3</v>
      </c>
      <c r="AG3632">
        <v>2</v>
      </c>
      <c r="AH3632">
        <v>0</v>
      </c>
      <c r="AI3632" t="s">
        <v>7312</v>
      </c>
      <c r="AJ3632">
        <v>40.42295</v>
      </c>
      <c r="AK3632" t="s">
        <v>7313</v>
      </c>
      <c r="AL3632">
        <v>-74.478464000000002</v>
      </c>
      <c r="AM3632">
        <v>100</v>
      </c>
      <c r="AN3632">
        <v>1700</v>
      </c>
      <c r="AO3632" t="s">
        <v>115</v>
      </c>
      <c r="AP3632">
        <v>106</v>
      </c>
      <c r="AQ3632">
        <v>57</v>
      </c>
      <c r="AR3632">
        <v>0</v>
      </c>
      <c r="AZ3632">
        <v>3614</v>
      </c>
      <c r="BA3632">
        <v>1</v>
      </c>
      <c r="BB3632" t="str">
        <f t="shared" si="170"/>
        <v xml:space="preserve">N959MJ  </v>
      </c>
      <c r="BC3632">
        <v>1</v>
      </c>
      <c r="BE3632">
        <v>0</v>
      </c>
      <c r="BF3632">
        <v>0</v>
      </c>
      <c r="BG3632">
        <v>0</v>
      </c>
      <c r="BH3632">
        <v>1900</v>
      </c>
      <c r="BI3632">
        <v>200</v>
      </c>
      <c r="BJ3632">
        <v>1</v>
      </c>
      <c r="BK3632">
        <v>1</v>
      </c>
      <c r="BL3632">
        <v>1</v>
      </c>
      <c r="BM3632">
        <v>0</v>
      </c>
      <c r="BP3632">
        <v>0</v>
      </c>
      <c r="BQ3632">
        <v>0</v>
      </c>
      <c r="BX3632" t="str">
        <f>"14:50:53.383"</f>
        <v>14:50:53.383</v>
      </c>
      <c r="BY3632" t="str">
        <f>"383895865"</f>
        <v>383895865</v>
      </c>
      <c r="CL3632">
        <v>0</v>
      </c>
      <c r="CM3632">
        <v>2</v>
      </c>
      <c r="CN3632">
        <v>0</v>
      </c>
      <c r="CO3632">
        <v>2</v>
      </c>
      <c r="CP3632">
        <v>0</v>
      </c>
      <c r="CQ3632">
        <v>6</v>
      </c>
      <c r="CR3632" t="s">
        <v>116</v>
      </c>
      <c r="CS3632">
        <v>305</v>
      </c>
      <c r="CT3632">
        <v>3</v>
      </c>
      <c r="CU3632" t="s">
        <v>6425</v>
      </c>
      <c r="CV3632" t="s">
        <v>6426</v>
      </c>
      <c r="CY3632">
        <v>6068788</v>
      </c>
      <c r="CZ3632" t="s">
        <v>119</v>
      </c>
    </row>
    <row r="3633" spans="1:104" x14ac:dyDescent="0.25">
      <c r="A3633" t="str">
        <f>"14:50:54.563"</f>
        <v>14:50:54.563</v>
      </c>
      <c r="B3633" t="s">
        <v>108</v>
      </c>
      <c r="C3633" t="str">
        <f t="shared" si="169"/>
        <v>ffdfd3c0</v>
      </c>
      <c r="D3633" t="s">
        <v>109</v>
      </c>
      <c r="E3633">
        <v>4</v>
      </c>
      <c r="F3633">
        <v>1004</v>
      </c>
      <c r="G3633" t="s">
        <v>110</v>
      </c>
      <c r="J3633" t="s">
        <v>111</v>
      </c>
      <c r="K3633">
        <v>0</v>
      </c>
      <c r="L3633">
        <v>3</v>
      </c>
      <c r="M3633">
        <v>0</v>
      </c>
      <c r="N3633">
        <v>2</v>
      </c>
      <c r="O3633">
        <v>1</v>
      </c>
      <c r="P3633">
        <v>0</v>
      </c>
      <c r="Q3633">
        <v>0</v>
      </c>
      <c r="R3633" t="s">
        <v>112</v>
      </c>
      <c r="S3633" t="str">
        <f>"14:50:54.359"</f>
        <v>14:50:54.359</v>
      </c>
      <c r="T3633" t="str">
        <f>"14:50:53.961"</f>
        <v>14:50:53.961</v>
      </c>
      <c r="U3633" t="str">
        <f t="shared" si="168"/>
        <v>ad5732</v>
      </c>
      <c r="V3633">
        <v>0</v>
      </c>
      <c r="W3633">
        <v>0</v>
      </c>
      <c r="X3633">
        <v>1</v>
      </c>
      <c r="Z3633">
        <v>0</v>
      </c>
      <c r="AA3633">
        <v>9</v>
      </c>
      <c r="AB3633">
        <v>3</v>
      </c>
      <c r="AC3633">
        <v>0</v>
      </c>
      <c r="AD3633">
        <v>10</v>
      </c>
      <c r="AE3633">
        <v>0</v>
      </c>
      <c r="AF3633">
        <v>3</v>
      </c>
      <c r="AG3633">
        <v>2</v>
      </c>
      <c r="AH3633">
        <v>0</v>
      </c>
      <c r="AI3633" t="s">
        <v>7314</v>
      </c>
      <c r="AJ3633">
        <v>40.423228999999999</v>
      </c>
      <c r="AK3633" t="s">
        <v>7315</v>
      </c>
      <c r="AL3633">
        <v>-74.477841999999995</v>
      </c>
      <c r="AM3633">
        <v>100</v>
      </c>
      <c r="AN3633">
        <v>1700</v>
      </c>
      <c r="AO3633" t="s">
        <v>115</v>
      </c>
      <c r="AP3633">
        <v>106</v>
      </c>
      <c r="AQ3633">
        <v>57</v>
      </c>
      <c r="AR3633">
        <v>0</v>
      </c>
      <c r="AZ3633">
        <v>3614</v>
      </c>
      <c r="BA3633">
        <v>1</v>
      </c>
      <c r="BB3633" t="str">
        <f t="shared" si="170"/>
        <v xml:space="preserve">N959MJ  </v>
      </c>
      <c r="BC3633">
        <v>1</v>
      </c>
      <c r="BE3633">
        <v>0</v>
      </c>
      <c r="BF3633">
        <v>0</v>
      </c>
      <c r="BG3633">
        <v>0</v>
      </c>
      <c r="BH3633">
        <v>1900</v>
      </c>
      <c r="BI3633">
        <v>200</v>
      </c>
      <c r="BJ3633">
        <v>1</v>
      </c>
      <c r="BK3633">
        <v>1</v>
      </c>
      <c r="BL3633">
        <v>1</v>
      </c>
      <c r="BM3633">
        <v>0</v>
      </c>
      <c r="BP3633">
        <v>0</v>
      </c>
      <c r="BQ3633">
        <v>0</v>
      </c>
      <c r="BX3633" t="str">
        <f>"14:50:54.367"</f>
        <v>14:50:54.367</v>
      </c>
      <c r="BY3633" t="str">
        <f>"366952967"</f>
        <v>366952967</v>
      </c>
      <c r="CL3633">
        <v>0</v>
      </c>
      <c r="CM3633">
        <v>2</v>
      </c>
      <c r="CN3633">
        <v>0</v>
      </c>
      <c r="CO3633">
        <v>2</v>
      </c>
      <c r="CP3633">
        <v>0</v>
      </c>
      <c r="CQ3633">
        <v>6</v>
      </c>
      <c r="CR3633" t="s">
        <v>116</v>
      </c>
      <c r="CS3633">
        <v>305</v>
      </c>
      <c r="CT3633">
        <v>3</v>
      </c>
      <c r="CU3633" t="s">
        <v>6425</v>
      </c>
      <c r="CV3633" t="s">
        <v>6426</v>
      </c>
      <c r="CY3633">
        <v>6070789</v>
      </c>
      <c r="CZ3633" t="s">
        <v>119</v>
      </c>
    </row>
    <row r="3634" spans="1:104" x14ac:dyDescent="0.25">
      <c r="A3634" t="str">
        <f>"14:50:55.672"</f>
        <v>14:50:55.672</v>
      </c>
      <c r="B3634" t="s">
        <v>108</v>
      </c>
      <c r="C3634" t="str">
        <f t="shared" si="169"/>
        <v>ffdfd3c0</v>
      </c>
      <c r="D3634" t="s">
        <v>109</v>
      </c>
      <c r="E3634">
        <v>4</v>
      </c>
      <c r="F3634">
        <v>1004</v>
      </c>
      <c r="G3634" t="s">
        <v>110</v>
      </c>
      <c r="J3634" t="s">
        <v>111</v>
      </c>
      <c r="K3634">
        <v>0</v>
      </c>
      <c r="L3634">
        <v>3</v>
      </c>
      <c r="M3634">
        <v>0</v>
      </c>
      <c r="N3634">
        <v>2</v>
      </c>
      <c r="O3634">
        <v>1</v>
      </c>
      <c r="P3634">
        <v>0</v>
      </c>
      <c r="Q3634">
        <v>0</v>
      </c>
      <c r="R3634" t="s">
        <v>112</v>
      </c>
      <c r="S3634" t="str">
        <f>"14:50:55.508"</f>
        <v>14:50:55.508</v>
      </c>
      <c r="T3634" t="str">
        <f>"14:50:55.008"</f>
        <v>14:50:55.008</v>
      </c>
      <c r="U3634" t="str">
        <f t="shared" si="168"/>
        <v>ad5732</v>
      </c>
      <c r="V3634">
        <v>0</v>
      </c>
      <c r="W3634">
        <v>0</v>
      </c>
      <c r="X3634">
        <v>1</v>
      </c>
      <c r="Z3634">
        <v>0</v>
      </c>
      <c r="AA3634">
        <v>9</v>
      </c>
      <c r="AB3634">
        <v>3</v>
      </c>
      <c r="AC3634">
        <v>0</v>
      </c>
      <c r="AD3634">
        <v>10</v>
      </c>
      <c r="AE3634">
        <v>0</v>
      </c>
      <c r="AF3634">
        <v>3</v>
      </c>
      <c r="AG3634">
        <v>2</v>
      </c>
      <c r="AH3634">
        <v>0</v>
      </c>
      <c r="AI3634" t="s">
        <v>7316</v>
      </c>
      <c r="AJ3634">
        <v>40.423485999999997</v>
      </c>
      <c r="AK3634" t="s">
        <v>7317</v>
      </c>
      <c r="AL3634">
        <v>-74.477134000000007</v>
      </c>
      <c r="AM3634">
        <v>100</v>
      </c>
      <c r="AN3634">
        <v>1700</v>
      </c>
      <c r="AO3634" t="s">
        <v>115</v>
      </c>
      <c r="AP3634">
        <v>107</v>
      </c>
      <c r="AQ3634">
        <v>57</v>
      </c>
      <c r="AR3634">
        <v>0</v>
      </c>
      <c r="AZ3634">
        <v>3614</v>
      </c>
      <c r="BA3634">
        <v>1</v>
      </c>
      <c r="BB3634" t="str">
        <f t="shared" si="170"/>
        <v xml:space="preserve">N959MJ  </v>
      </c>
      <c r="BC3634">
        <v>1</v>
      </c>
      <c r="BE3634">
        <v>0</v>
      </c>
      <c r="BF3634">
        <v>0</v>
      </c>
      <c r="BG3634">
        <v>0</v>
      </c>
      <c r="BH3634">
        <v>1900</v>
      </c>
      <c r="BI3634">
        <v>200</v>
      </c>
      <c r="BJ3634">
        <v>1</v>
      </c>
      <c r="BK3634">
        <v>1</v>
      </c>
      <c r="BL3634">
        <v>1</v>
      </c>
      <c r="BM3634">
        <v>0</v>
      </c>
      <c r="BP3634">
        <v>0</v>
      </c>
      <c r="BQ3634">
        <v>0</v>
      </c>
      <c r="BX3634" t="str">
        <f>"14:50:55.516"</f>
        <v>14:50:55.516</v>
      </c>
      <c r="BY3634" t="str">
        <f>"515491375"</f>
        <v>515491375</v>
      </c>
      <c r="CL3634">
        <v>0</v>
      </c>
      <c r="CM3634">
        <v>2</v>
      </c>
      <c r="CN3634">
        <v>0</v>
      </c>
      <c r="CO3634">
        <v>2</v>
      </c>
      <c r="CP3634">
        <v>0</v>
      </c>
      <c r="CQ3634">
        <v>6</v>
      </c>
      <c r="CR3634" t="s">
        <v>116</v>
      </c>
      <c r="CS3634">
        <v>305</v>
      </c>
      <c r="CT3634">
        <v>3</v>
      </c>
      <c r="CU3634" t="s">
        <v>6425</v>
      </c>
      <c r="CV3634" t="s">
        <v>6426</v>
      </c>
      <c r="CY3634">
        <v>6073061</v>
      </c>
      <c r="CZ3634" t="s">
        <v>119</v>
      </c>
    </row>
    <row r="3635" spans="1:104" x14ac:dyDescent="0.25">
      <c r="A3635" t="str">
        <f>"14:50:56.734"</f>
        <v>14:50:56.734</v>
      </c>
      <c r="B3635" t="s">
        <v>108</v>
      </c>
      <c r="C3635" t="str">
        <f t="shared" si="169"/>
        <v>ffdfd3c0</v>
      </c>
      <c r="D3635" t="s">
        <v>109</v>
      </c>
      <c r="E3635">
        <v>4</v>
      </c>
      <c r="F3635">
        <v>1004</v>
      </c>
      <c r="G3635" t="s">
        <v>110</v>
      </c>
      <c r="J3635" t="s">
        <v>111</v>
      </c>
      <c r="K3635">
        <v>0</v>
      </c>
      <c r="L3635">
        <v>3</v>
      </c>
      <c r="M3635">
        <v>0</v>
      </c>
      <c r="N3635">
        <v>2</v>
      </c>
      <c r="O3635">
        <v>1</v>
      </c>
      <c r="P3635">
        <v>0</v>
      </c>
      <c r="Q3635">
        <v>0</v>
      </c>
      <c r="R3635" t="s">
        <v>112</v>
      </c>
      <c r="S3635" t="str">
        <f>"14:50:56.531"</f>
        <v>14:50:56.531</v>
      </c>
      <c r="T3635" t="str">
        <f>"14:50:56.031"</f>
        <v>14:50:56.031</v>
      </c>
      <c r="U3635" t="str">
        <f t="shared" si="168"/>
        <v>ad5732</v>
      </c>
      <c r="V3635">
        <v>0</v>
      </c>
      <c r="W3635">
        <v>0</v>
      </c>
      <c r="X3635">
        <v>1</v>
      </c>
      <c r="Z3635">
        <v>0</v>
      </c>
      <c r="AA3635">
        <v>9</v>
      </c>
      <c r="AB3635">
        <v>3</v>
      </c>
      <c r="AC3635">
        <v>0</v>
      </c>
      <c r="AD3635">
        <v>10</v>
      </c>
      <c r="AE3635">
        <v>0</v>
      </c>
      <c r="AF3635">
        <v>3</v>
      </c>
      <c r="AG3635">
        <v>2</v>
      </c>
      <c r="AH3635">
        <v>0</v>
      </c>
      <c r="AI3635" t="s">
        <v>7318</v>
      </c>
      <c r="AJ3635">
        <v>40.423786999999997</v>
      </c>
      <c r="AK3635" t="s">
        <v>7319</v>
      </c>
      <c r="AL3635">
        <v>-74.476382999999998</v>
      </c>
      <c r="AM3635">
        <v>100</v>
      </c>
      <c r="AN3635">
        <v>1700</v>
      </c>
      <c r="AO3635" t="s">
        <v>115</v>
      </c>
      <c r="AP3635">
        <v>106</v>
      </c>
      <c r="AQ3635">
        <v>57</v>
      </c>
      <c r="AR3635">
        <v>0</v>
      </c>
      <c r="AZ3635">
        <v>3614</v>
      </c>
      <c r="BA3635">
        <v>1</v>
      </c>
      <c r="BB3635" t="str">
        <f t="shared" si="170"/>
        <v xml:space="preserve">N959MJ  </v>
      </c>
      <c r="BC3635">
        <v>1</v>
      </c>
      <c r="BE3635">
        <v>0</v>
      </c>
      <c r="BF3635">
        <v>0</v>
      </c>
      <c r="BG3635">
        <v>0</v>
      </c>
      <c r="BH3635">
        <v>1900</v>
      </c>
      <c r="BI3635">
        <v>200</v>
      </c>
      <c r="BJ3635">
        <v>1</v>
      </c>
      <c r="BK3635">
        <v>1</v>
      </c>
      <c r="BL3635">
        <v>1</v>
      </c>
      <c r="BM3635">
        <v>0</v>
      </c>
      <c r="BP3635">
        <v>0</v>
      </c>
      <c r="BQ3635">
        <v>0</v>
      </c>
      <c r="BX3635" t="str">
        <f>"14:50:56.531"</f>
        <v>14:50:56.531</v>
      </c>
      <c r="BY3635" t="str">
        <f>"532943940"</f>
        <v>532943940</v>
      </c>
      <c r="CL3635">
        <v>0</v>
      </c>
      <c r="CM3635">
        <v>2</v>
      </c>
      <c r="CN3635">
        <v>0</v>
      </c>
      <c r="CO3635">
        <v>2</v>
      </c>
      <c r="CP3635">
        <v>0</v>
      </c>
      <c r="CQ3635">
        <v>6</v>
      </c>
      <c r="CR3635" t="s">
        <v>116</v>
      </c>
      <c r="CS3635">
        <v>38</v>
      </c>
      <c r="CT3635">
        <v>0</v>
      </c>
      <c r="CU3635" t="s">
        <v>4719</v>
      </c>
      <c r="CV3635" t="s">
        <v>4720</v>
      </c>
      <c r="CY3635">
        <v>8174803</v>
      </c>
      <c r="CZ3635" t="s">
        <v>119</v>
      </c>
    </row>
    <row r="3636" spans="1:104" x14ac:dyDescent="0.25">
      <c r="A3636" t="str">
        <f>"14:50:57.594"</f>
        <v>14:50:57.594</v>
      </c>
      <c r="B3636" t="s">
        <v>108</v>
      </c>
      <c r="C3636" t="str">
        <f t="shared" si="169"/>
        <v>ffdfd3c0</v>
      </c>
      <c r="D3636" t="s">
        <v>109</v>
      </c>
      <c r="E3636">
        <v>4</v>
      </c>
      <c r="F3636">
        <v>1004</v>
      </c>
      <c r="G3636" t="s">
        <v>110</v>
      </c>
      <c r="J3636" t="s">
        <v>111</v>
      </c>
      <c r="K3636">
        <v>0</v>
      </c>
      <c r="L3636">
        <v>3</v>
      </c>
      <c r="M3636">
        <v>0</v>
      </c>
      <c r="N3636">
        <v>2</v>
      </c>
      <c r="O3636">
        <v>1</v>
      </c>
      <c r="P3636">
        <v>0</v>
      </c>
      <c r="Q3636">
        <v>0</v>
      </c>
      <c r="R3636" t="s">
        <v>112</v>
      </c>
      <c r="S3636" t="str">
        <f>"14:50:57.391"</f>
        <v>14:50:57.391</v>
      </c>
      <c r="T3636" t="str">
        <f>"14:50:56.992"</f>
        <v>14:50:56.992</v>
      </c>
      <c r="U3636" t="str">
        <f t="shared" si="168"/>
        <v>ad5732</v>
      </c>
      <c r="V3636">
        <v>0</v>
      </c>
      <c r="W3636">
        <v>0</v>
      </c>
      <c r="X3636">
        <v>1</v>
      </c>
      <c r="Z3636">
        <v>0</v>
      </c>
      <c r="AA3636">
        <v>9</v>
      </c>
      <c r="AB3636">
        <v>3</v>
      </c>
      <c r="AC3636">
        <v>0</v>
      </c>
      <c r="AD3636">
        <v>10</v>
      </c>
      <c r="AE3636">
        <v>0</v>
      </c>
      <c r="AF3636">
        <v>3</v>
      </c>
      <c r="AG3636">
        <v>2</v>
      </c>
      <c r="AH3636">
        <v>0</v>
      </c>
      <c r="AI3636" t="s">
        <v>7320</v>
      </c>
      <c r="AJ3636">
        <v>40.424000999999997</v>
      </c>
      <c r="AK3636" t="s">
        <v>7321</v>
      </c>
      <c r="AL3636">
        <v>-74.475888999999995</v>
      </c>
      <c r="AM3636">
        <v>100</v>
      </c>
      <c r="AN3636">
        <v>1700</v>
      </c>
      <c r="AO3636" t="s">
        <v>115</v>
      </c>
      <c r="AP3636">
        <v>107</v>
      </c>
      <c r="AQ3636">
        <v>57</v>
      </c>
      <c r="AR3636">
        <v>0</v>
      </c>
      <c r="AZ3636">
        <v>3614</v>
      </c>
      <c r="BA3636">
        <v>1</v>
      </c>
      <c r="BB3636" t="str">
        <f t="shared" si="170"/>
        <v xml:space="preserve">N959MJ  </v>
      </c>
      <c r="BC3636">
        <v>1</v>
      </c>
      <c r="BE3636">
        <v>0</v>
      </c>
      <c r="BF3636">
        <v>0</v>
      </c>
      <c r="BG3636">
        <v>0</v>
      </c>
      <c r="BH3636">
        <v>1900</v>
      </c>
      <c r="BI3636">
        <v>200</v>
      </c>
      <c r="BJ3636">
        <v>1</v>
      </c>
      <c r="BK3636">
        <v>1</v>
      </c>
      <c r="BL3636">
        <v>1</v>
      </c>
      <c r="BM3636">
        <v>0</v>
      </c>
      <c r="BP3636">
        <v>0</v>
      </c>
      <c r="BQ3636">
        <v>0</v>
      </c>
      <c r="BX3636" t="str">
        <f>"14:50:57.398"</f>
        <v>14:50:57.398</v>
      </c>
      <c r="BY3636" t="str">
        <f>"398034527"</f>
        <v>398034527</v>
      </c>
      <c r="CL3636">
        <v>0</v>
      </c>
      <c r="CM3636">
        <v>2</v>
      </c>
      <c r="CN3636">
        <v>0</v>
      </c>
      <c r="CO3636">
        <v>2</v>
      </c>
      <c r="CP3636">
        <v>0</v>
      </c>
      <c r="CQ3636">
        <v>0</v>
      </c>
      <c r="CR3636" t="s">
        <v>116</v>
      </c>
      <c r="CS3636">
        <v>38</v>
      </c>
      <c r="CT3636">
        <v>0</v>
      </c>
      <c r="CU3636" t="s">
        <v>4719</v>
      </c>
      <c r="CV3636" t="s">
        <v>4720</v>
      </c>
      <c r="CY3636">
        <v>8176110</v>
      </c>
      <c r="CZ3636" t="s">
        <v>119</v>
      </c>
    </row>
    <row r="3637" spans="1:104" x14ac:dyDescent="0.25">
      <c r="A3637" t="str">
        <f>"14:50:58.547"</f>
        <v>14:50:58.547</v>
      </c>
      <c r="B3637" t="s">
        <v>108</v>
      </c>
      <c r="C3637" t="str">
        <f t="shared" si="169"/>
        <v>ffdfd3c0</v>
      </c>
      <c r="D3637" t="s">
        <v>109</v>
      </c>
      <c r="E3637">
        <v>4</v>
      </c>
      <c r="F3637">
        <v>1004</v>
      </c>
      <c r="G3637" t="s">
        <v>110</v>
      </c>
      <c r="J3637" t="s">
        <v>111</v>
      </c>
      <c r="K3637">
        <v>0</v>
      </c>
      <c r="L3637">
        <v>3</v>
      </c>
      <c r="M3637">
        <v>0</v>
      </c>
      <c r="N3637">
        <v>2</v>
      </c>
      <c r="O3637">
        <v>1</v>
      </c>
      <c r="P3637">
        <v>0</v>
      </c>
      <c r="Q3637">
        <v>0</v>
      </c>
      <c r="R3637" t="s">
        <v>112</v>
      </c>
      <c r="S3637" t="str">
        <f>"14:50:58.367"</f>
        <v>14:50:58.367</v>
      </c>
      <c r="T3637" t="str">
        <f>"14:50:57.969"</f>
        <v>14:50:57.969</v>
      </c>
      <c r="U3637" t="str">
        <f t="shared" si="168"/>
        <v>ad5732</v>
      </c>
      <c r="V3637">
        <v>0</v>
      </c>
      <c r="W3637">
        <v>0</v>
      </c>
      <c r="X3637">
        <v>1</v>
      </c>
      <c r="Z3637">
        <v>0</v>
      </c>
      <c r="AA3637">
        <v>9</v>
      </c>
      <c r="AB3637">
        <v>3</v>
      </c>
      <c r="AC3637">
        <v>0</v>
      </c>
      <c r="AD3637">
        <v>10</v>
      </c>
      <c r="AE3637">
        <v>0</v>
      </c>
      <c r="AF3637">
        <v>3</v>
      </c>
      <c r="AG3637">
        <v>2</v>
      </c>
      <c r="AH3637">
        <v>0</v>
      </c>
      <c r="AI3637" t="s">
        <v>7322</v>
      </c>
      <c r="AJ3637">
        <v>40.424280000000003</v>
      </c>
      <c r="AK3637" t="s">
        <v>7323</v>
      </c>
      <c r="AL3637">
        <v>-74.475223999999997</v>
      </c>
      <c r="AM3637">
        <v>100</v>
      </c>
      <c r="AN3637">
        <v>1700</v>
      </c>
      <c r="AO3637" t="s">
        <v>115</v>
      </c>
      <c r="AP3637">
        <v>106</v>
      </c>
      <c r="AQ3637">
        <v>57</v>
      </c>
      <c r="AR3637">
        <v>0</v>
      </c>
      <c r="AZ3637">
        <v>3614</v>
      </c>
      <c r="BA3637">
        <v>1</v>
      </c>
      <c r="BB3637" t="str">
        <f t="shared" si="170"/>
        <v xml:space="preserve">N959MJ  </v>
      </c>
      <c r="BC3637">
        <v>1</v>
      </c>
      <c r="BE3637">
        <v>0</v>
      </c>
      <c r="BF3637">
        <v>0</v>
      </c>
      <c r="BG3637">
        <v>0</v>
      </c>
      <c r="BH3637">
        <v>1900</v>
      </c>
      <c r="BI3637">
        <v>200</v>
      </c>
      <c r="BJ3637">
        <v>1</v>
      </c>
      <c r="BK3637">
        <v>1</v>
      </c>
      <c r="BL3637">
        <v>1</v>
      </c>
      <c r="BM3637">
        <v>0</v>
      </c>
      <c r="BP3637">
        <v>0</v>
      </c>
      <c r="BQ3637">
        <v>0</v>
      </c>
      <c r="BX3637" t="str">
        <f>"14:50:58.375"</f>
        <v>14:50:58.375</v>
      </c>
      <c r="BY3637" t="str">
        <f>"371272173"</f>
        <v>371272173</v>
      </c>
      <c r="CL3637">
        <v>0</v>
      </c>
      <c r="CM3637">
        <v>2</v>
      </c>
      <c r="CN3637">
        <v>0</v>
      </c>
      <c r="CO3637">
        <v>2</v>
      </c>
      <c r="CP3637">
        <v>0</v>
      </c>
      <c r="CQ3637">
        <v>6</v>
      </c>
      <c r="CR3637" t="s">
        <v>116</v>
      </c>
      <c r="CS3637">
        <v>305</v>
      </c>
      <c r="CT3637">
        <v>3</v>
      </c>
      <c r="CU3637" t="s">
        <v>6425</v>
      </c>
      <c r="CV3637" t="s">
        <v>6426</v>
      </c>
      <c r="CY3637">
        <v>6078976</v>
      </c>
      <c r="CZ3637" t="s">
        <v>119</v>
      </c>
    </row>
    <row r="3638" spans="1:104" x14ac:dyDescent="0.25">
      <c r="A3638" t="str">
        <f>"14:50:59.711"</f>
        <v>14:50:59.711</v>
      </c>
      <c r="B3638" t="s">
        <v>108</v>
      </c>
      <c r="C3638" t="str">
        <f t="shared" si="169"/>
        <v>ffdfd3c0</v>
      </c>
      <c r="D3638" t="s">
        <v>109</v>
      </c>
      <c r="E3638">
        <v>4</v>
      </c>
      <c r="F3638">
        <v>1004</v>
      </c>
      <c r="G3638" t="s">
        <v>110</v>
      </c>
      <c r="J3638" t="s">
        <v>111</v>
      </c>
      <c r="K3638">
        <v>0</v>
      </c>
      <c r="L3638">
        <v>3</v>
      </c>
      <c r="M3638">
        <v>0</v>
      </c>
      <c r="N3638">
        <v>2</v>
      </c>
      <c r="O3638">
        <v>1</v>
      </c>
      <c r="P3638">
        <v>0</v>
      </c>
      <c r="Q3638">
        <v>0</v>
      </c>
      <c r="R3638" t="s">
        <v>112</v>
      </c>
      <c r="S3638" t="str">
        <f>"14:50:59.508"</f>
        <v>14:50:59.508</v>
      </c>
      <c r="T3638" t="str">
        <f>"14:50:59.008"</f>
        <v>14:50:59.008</v>
      </c>
      <c r="U3638" t="str">
        <f t="shared" si="168"/>
        <v>ad5732</v>
      </c>
      <c r="V3638">
        <v>0</v>
      </c>
      <c r="W3638">
        <v>0</v>
      </c>
      <c r="X3638">
        <v>1</v>
      </c>
      <c r="Z3638">
        <v>0</v>
      </c>
      <c r="AA3638">
        <v>9</v>
      </c>
      <c r="AB3638">
        <v>3</v>
      </c>
      <c r="AC3638">
        <v>0</v>
      </c>
      <c r="AD3638">
        <v>10</v>
      </c>
      <c r="AE3638">
        <v>0</v>
      </c>
      <c r="AF3638">
        <v>3</v>
      </c>
      <c r="AG3638">
        <v>2</v>
      </c>
      <c r="AH3638">
        <v>0</v>
      </c>
      <c r="AI3638" t="s">
        <v>7324</v>
      </c>
      <c r="AJ3638">
        <v>40.424559000000002</v>
      </c>
      <c r="AK3638" t="s">
        <v>7325</v>
      </c>
      <c r="AL3638">
        <v>-74.474515999999994</v>
      </c>
      <c r="AM3638">
        <v>100</v>
      </c>
      <c r="AN3638">
        <v>1700</v>
      </c>
      <c r="AO3638" t="s">
        <v>115</v>
      </c>
      <c r="AP3638">
        <v>106</v>
      </c>
      <c r="AQ3638">
        <v>57</v>
      </c>
      <c r="AR3638">
        <v>0</v>
      </c>
      <c r="AZ3638">
        <v>3614</v>
      </c>
      <c r="BA3638">
        <v>1</v>
      </c>
      <c r="BB3638" t="str">
        <f t="shared" si="170"/>
        <v xml:space="preserve">N959MJ  </v>
      </c>
      <c r="BC3638">
        <v>1</v>
      </c>
      <c r="BE3638">
        <v>0</v>
      </c>
      <c r="BF3638">
        <v>0</v>
      </c>
      <c r="BG3638">
        <v>0</v>
      </c>
      <c r="BH3638">
        <v>1900</v>
      </c>
      <c r="BI3638">
        <v>200</v>
      </c>
      <c r="BJ3638">
        <v>1</v>
      </c>
      <c r="BK3638">
        <v>1</v>
      </c>
      <c r="BL3638">
        <v>1</v>
      </c>
      <c r="BM3638">
        <v>0</v>
      </c>
      <c r="BP3638">
        <v>0</v>
      </c>
      <c r="BQ3638">
        <v>0</v>
      </c>
      <c r="BX3638" t="str">
        <f>"14:50:59.508"</f>
        <v>14:50:59.508</v>
      </c>
      <c r="BY3638" t="str">
        <f>"509969634"</f>
        <v>509969634</v>
      </c>
      <c r="CL3638">
        <v>0</v>
      </c>
      <c r="CM3638">
        <v>2</v>
      </c>
      <c r="CN3638">
        <v>0</v>
      </c>
      <c r="CO3638">
        <v>2</v>
      </c>
      <c r="CP3638">
        <v>0</v>
      </c>
      <c r="CQ3638">
        <v>6</v>
      </c>
      <c r="CR3638" t="s">
        <v>116</v>
      </c>
      <c r="CS3638">
        <v>38</v>
      </c>
      <c r="CT3638">
        <v>0</v>
      </c>
      <c r="CU3638" t="s">
        <v>4719</v>
      </c>
      <c r="CV3638" t="s">
        <v>4720</v>
      </c>
      <c r="CY3638">
        <v>8179380</v>
      </c>
      <c r="CZ3638" t="s">
        <v>119</v>
      </c>
    </row>
    <row r="3639" spans="1:104" x14ac:dyDescent="0.25">
      <c r="A3639" t="str">
        <f>"14:51:00.820"</f>
        <v>14:51:00.820</v>
      </c>
      <c r="B3639" t="s">
        <v>108</v>
      </c>
      <c r="C3639" t="str">
        <f t="shared" si="169"/>
        <v>ffdfd3c0</v>
      </c>
      <c r="D3639" t="s">
        <v>109</v>
      </c>
      <c r="E3639">
        <v>4</v>
      </c>
      <c r="F3639">
        <v>1004</v>
      </c>
      <c r="G3639" t="s">
        <v>110</v>
      </c>
      <c r="J3639" t="s">
        <v>111</v>
      </c>
      <c r="K3639">
        <v>0</v>
      </c>
      <c r="L3639">
        <v>3</v>
      </c>
      <c r="M3639">
        <v>0</v>
      </c>
      <c r="N3639">
        <v>2</v>
      </c>
      <c r="O3639">
        <v>1</v>
      </c>
      <c r="P3639">
        <v>0</v>
      </c>
      <c r="Q3639">
        <v>0</v>
      </c>
      <c r="R3639" t="s">
        <v>112</v>
      </c>
      <c r="S3639" t="str">
        <f>"14:51:00.633"</f>
        <v>14:51:00.633</v>
      </c>
      <c r="T3639" t="str">
        <f>"14:50:59.531"</f>
        <v>14:50:59.531</v>
      </c>
      <c r="U3639" t="str">
        <f t="shared" si="168"/>
        <v>ad5732</v>
      </c>
      <c r="V3639">
        <v>0</v>
      </c>
      <c r="W3639">
        <v>0</v>
      </c>
      <c r="X3639">
        <v>1</v>
      </c>
      <c r="Z3639">
        <v>0</v>
      </c>
      <c r="AA3639">
        <v>9</v>
      </c>
      <c r="AB3639">
        <v>3</v>
      </c>
      <c r="AC3639">
        <v>0</v>
      </c>
      <c r="AD3639">
        <v>10</v>
      </c>
      <c r="AE3639">
        <v>0</v>
      </c>
      <c r="AF3639">
        <v>3</v>
      </c>
      <c r="AG3639">
        <v>2</v>
      </c>
      <c r="AH3639">
        <v>0</v>
      </c>
      <c r="AI3639" t="s">
        <v>7326</v>
      </c>
      <c r="AJ3639">
        <v>40.424902000000003</v>
      </c>
      <c r="AK3639" t="s">
        <v>7327</v>
      </c>
      <c r="AL3639">
        <v>-74.473765</v>
      </c>
      <c r="AM3639">
        <v>100</v>
      </c>
      <c r="AN3639">
        <v>1700</v>
      </c>
      <c r="AO3639" t="s">
        <v>115</v>
      </c>
      <c r="AP3639">
        <v>106</v>
      </c>
      <c r="AQ3639">
        <v>57</v>
      </c>
      <c r="AR3639">
        <v>0</v>
      </c>
      <c r="AZ3639">
        <v>3614</v>
      </c>
      <c r="BA3639">
        <v>1</v>
      </c>
      <c r="BB3639" t="str">
        <f t="shared" si="170"/>
        <v xml:space="preserve">N959MJ  </v>
      </c>
      <c r="BC3639">
        <v>1</v>
      </c>
      <c r="BE3639">
        <v>0</v>
      </c>
      <c r="BF3639">
        <v>0</v>
      </c>
      <c r="BG3639">
        <v>0</v>
      </c>
      <c r="BH3639">
        <v>1900</v>
      </c>
      <c r="BI3639">
        <v>200</v>
      </c>
      <c r="BJ3639">
        <v>1</v>
      </c>
      <c r="BK3639">
        <v>1</v>
      </c>
      <c r="BL3639">
        <v>1</v>
      </c>
      <c r="BM3639">
        <v>0</v>
      </c>
      <c r="BP3639">
        <v>0</v>
      </c>
      <c r="BQ3639">
        <v>0</v>
      </c>
      <c r="BX3639" t="str">
        <f>"14:51:00.633"</f>
        <v>14:51:00.633</v>
      </c>
      <c r="BY3639" t="str">
        <f>"635570486"</f>
        <v>635570486</v>
      </c>
      <c r="CL3639">
        <v>0</v>
      </c>
      <c r="CM3639">
        <v>2</v>
      </c>
      <c r="CN3639">
        <v>0</v>
      </c>
      <c r="CO3639">
        <v>2</v>
      </c>
      <c r="CP3639">
        <v>0</v>
      </c>
      <c r="CQ3639">
        <v>7</v>
      </c>
      <c r="CR3639" t="s">
        <v>116</v>
      </c>
      <c r="CS3639">
        <v>38</v>
      </c>
      <c r="CT3639">
        <v>0</v>
      </c>
      <c r="CU3639" t="s">
        <v>4719</v>
      </c>
      <c r="CV3639" t="s">
        <v>4720</v>
      </c>
      <c r="CY3639">
        <v>8181183</v>
      </c>
      <c r="CZ3639" t="s">
        <v>119</v>
      </c>
    </row>
    <row r="3640" spans="1:104" x14ac:dyDescent="0.25">
      <c r="A3640" t="str">
        <f>"14:51:02.336"</f>
        <v>14:51:02.336</v>
      </c>
      <c r="B3640" t="s">
        <v>108</v>
      </c>
      <c r="C3640" t="str">
        <f t="shared" si="169"/>
        <v>ffdfd3c0</v>
      </c>
      <c r="D3640" t="s">
        <v>109</v>
      </c>
      <c r="E3640">
        <v>4</v>
      </c>
      <c r="F3640">
        <v>1004</v>
      </c>
      <c r="G3640" t="s">
        <v>110</v>
      </c>
      <c r="J3640" t="s">
        <v>111</v>
      </c>
      <c r="K3640">
        <v>0</v>
      </c>
      <c r="L3640">
        <v>3</v>
      </c>
      <c r="M3640">
        <v>0</v>
      </c>
      <c r="N3640">
        <v>2</v>
      </c>
      <c r="O3640">
        <v>1</v>
      </c>
      <c r="P3640">
        <v>0</v>
      </c>
      <c r="Q3640">
        <v>0</v>
      </c>
      <c r="R3640" t="s">
        <v>112</v>
      </c>
      <c r="S3640" t="str">
        <f>"14:51:02.141"</f>
        <v>14:51:02.141</v>
      </c>
      <c r="T3640" t="str">
        <f>"14:51:01.641"</f>
        <v>14:51:01.641</v>
      </c>
      <c r="U3640" t="str">
        <f t="shared" si="168"/>
        <v>ad5732</v>
      </c>
      <c r="V3640">
        <v>0</v>
      </c>
      <c r="W3640">
        <v>0</v>
      </c>
      <c r="X3640">
        <v>1</v>
      </c>
      <c r="Z3640">
        <v>0</v>
      </c>
      <c r="AA3640">
        <v>9</v>
      </c>
      <c r="AB3640">
        <v>3</v>
      </c>
      <c r="AC3640">
        <v>0</v>
      </c>
      <c r="AD3640">
        <v>10</v>
      </c>
      <c r="AE3640">
        <v>0</v>
      </c>
      <c r="AF3640">
        <v>3</v>
      </c>
      <c r="AG3640">
        <v>2</v>
      </c>
      <c r="AH3640">
        <v>0</v>
      </c>
      <c r="AI3640" t="s">
        <v>7328</v>
      </c>
      <c r="AJ3640">
        <v>40.425288999999999</v>
      </c>
      <c r="AK3640" t="s">
        <v>7329</v>
      </c>
      <c r="AL3640">
        <v>-74.472778000000005</v>
      </c>
      <c r="AM3640">
        <v>100</v>
      </c>
      <c r="AN3640">
        <v>1700</v>
      </c>
      <c r="AO3640" t="s">
        <v>115</v>
      </c>
      <c r="AP3640">
        <v>106</v>
      </c>
      <c r="AQ3640">
        <v>58</v>
      </c>
      <c r="AR3640">
        <v>0</v>
      </c>
      <c r="AZ3640">
        <v>3614</v>
      </c>
      <c r="BA3640">
        <v>1</v>
      </c>
      <c r="BB3640" t="str">
        <f t="shared" si="170"/>
        <v xml:space="preserve">N959MJ  </v>
      </c>
      <c r="BC3640">
        <v>1</v>
      </c>
      <c r="BE3640">
        <v>0</v>
      </c>
      <c r="BF3640">
        <v>0</v>
      </c>
      <c r="BG3640">
        <v>0</v>
      </c>
      <c r="BH3640">
        <v>1900</v>
      </c>
      <c r="BI3640">
        <v>200</v>
      </c>
      <c r="BJ3640">
        <v>1</v>
      </c>
      <c r="BK3640">
        <v>1</v>
      </c>
      <c r="BL3640">
        <v>1</v>
      </c>
      <c r="BM3640">
        <v>0</v>
      </c>
      <c r="BP3640">
        <v>0</v>
      </c>
      <c r="BQ3640">
        <v>0</v>
      </c>
      <c r="BX3640" t="str">
        <f>"14:51:02.148"</f>
        <v>14:51:02.148</v>
      </c>
      <c r="BY3640" t="str">
        <f>"146202072"</f>
        <v>146202072</v>
      </c>
      <c r="CL3640">
        <v>0</v>
      </c>
      <c r="CM3640">
        <v>2</v>
      </c>
      <c r="CN3640">
        <v>0</v>
      </c>
      <c r="CO3640">
        <v>2</v>
      </c>
      <c r="CP3640">
        <v>0</v>
      </c>
      <c r="CQ3640">
        <v>6</v>
      </c>
      <c r="CR3640" t="s">
        <v>116</v>
      </c>
      <c r="CS3640">
        <v>38</v>
      </c>
      <c r="CT3640">
        <v>0</v>
      </c>
      <c r="CU3640" t="s">
        <v>4719</v>
      </c>
      <c r="CV3640" t="s">
        <v>4720</v>
      </c>
      <c r="CY3640">
        <v>8183484</v>
      </c>
      <c r="CZ3640" t="s">
        <v>119</v>
      </c>
    </row>
    <row r="3641" spans="1:104" x14ac:dyDescent="0.25">
      <c r="A3641" t="str">
        <f>"14:51:03.898"</f>
        <v>14:51:03.898</v>
      </c>
      <c r="B3641" t="s">
        <v>108</v>
      </c>
      <c r="C3641" t="str">
        <f t="shared" si="169"/>
        <v>ffdfd3c0</v>
      </c>
      <c r="D3641" t="s">
        <v>109</v>
      </c>
      <c r="E3641">
        <v>4</v>
      </c>
      <c r="F3641">
        <v>1004</v>
      </c>
      <c r="G3641" t="s">
        <v>110</v>
      </c>
      <c r="J3641" t="s">
        <v>111</v>
      </c>
      <c r="K3641">
        <v>0</v>
      </c>
      <c r="L3641">
        <v>3</v>
      </c>
      <c r="M3641">
        <v>0</v>
      </c>
      <c r="N3641">
        <v>2</v>
      </c>
      <c r="O3641">
        <v>1</v>
      </c>
      <c r="P3641">
        <v>0</v>
      </c>
      <c r="Q3641">
        <v>0</v>
      </c>
      <c r="R3641" t="s">
        <v>112</v>
      </c>
      <c r="S3641" t="str">
        <f>"14:51:03.703"</f>
        <v>14:51:03.703</v>
      </c>
      <c r="T3641" t="str">
        <f>"14:51:03.305"</f>
        <v>14:51:03.305</v>
      </c>
      <c r="U3641" t="str">
        <f t="shared" si="168"/>
        <v>ad5732</v>
      </c>
      <c r="V3641">
        <v>0</v>
      </c>
      <c r="W3641">
        <v>0</v>
      </c>
      <c r="X3641">
        <v>1</v>
      </c>
      <c r="Z3641">
        <v>0</v>
      </c>
      <c r="AA3641">
        <v>9</v>
      </c>
      <c r="AB3641">
        <v>3</v>
      </c>
      <c r="AC3641">
        <v>0</v>
      </c>
      <c r="AD3641">
        <v>10</v>
      </c>
      <c r="AE3641">
        <v>0</v>
      </c>
      <c r="AF3641">
        <v>3</v>
      </c>
      <c r="AG3641">
        <v>2</v>
      </c>
      <c r="AH3641">
        <v>0</v>
      </c>
      <c r="AI3641" t="s">
        <v>7330</v>
      </c>
      <c r="AJ3641">
        <v>40.425674999999998</v>
      </c>
      <c r="AK3641" t="s">
        <v>7331</v>
      </c>
      <c r="AL3641">
        <v>-74.471834000000001</v>
      </c>
      <c r="AM3641">
        <v>100</v>
      </c>
      <c r="AN3641">
        <v>1700</v>
      </c>
      <c r="AO3641" t="s">
        <v>115</v>
      </c>
      <c r="AP3641">
        <v>106</v>
      </c>
      <c r="AQ3641">
        <v>58</v>
      </c>
      <c r="AR3641">
        <v>0</v>
      </c>
      <c r="AZ3641">
        <v>3614</v>
      </c>
      <c r="BA3641">
        <v>1</v>
      </c>
      <c r="BB3641" t="str">
        <f t="shared" si="170"/>
        <v xml:space="preserve">N959MJ  </v>
      </c>
      <c r="BC3641">
        <v>1</v>
      </c>
      <c r="BE3641">
        <v>0</v>
      </c>
      <c r="BF3641">
        <v>0</v>
      </c>
      <c r="BG3641">
        <v>0</v>
      </c>
      <c r="BH3641">
        <v>1900</v>
      </c>
      <c r="BI3641">
        <v>200</v>
      </c>
      <c r="BJ3641">
        <v>1</v>
      </c>
      <c r="BK3641">
        <v>1</v>
      </c>
      <c r="BL3641">
        <v>1</v>
      </c>
      <c r="BM3641">
        <v>0</v>
      </c>
      <c r="BP3641">
        <v>0</v>
      </c>
      <c r="BQ3641">
        <v>0</v>
      </c>
      <c r="BX3641" t="str">
        <f>"14:51:03.711"</f>
        <v>14:51:03.711</v>
      </c>
      <c r="BY3641" t="str">
        <f>"709263443"</f>
        <v>709263443</v>
      </c>
      <c r="CL3641">
        <v>0</v>
      </c>
      <c r="CM3641">
        <v>2</v>
      </c>
      <c r="CN3641">
        <v>0</v>
      </c>
      <c r="CO3641">
        <v>2</v>
      </c>
      <c r="CP3641">
        <v>0</v>
      </c>
      <c r="CQ3641">
        <v>6</v>
      </c>
      <c r="CR3641" t="s">
        <v>116</v>
      </c>
      <c r="CS3641">
        <v>38</v>
      </c>
      <c r="CT3641">
        <v>0</v>
      </c>
      <c r="CU3641" t="s">
        <v>4719</v>
      </c>
      <c r="CV3641" t="s">
        <v>4720</v>
      </c>
      <c r="CY3641">
        <v>8185946</v>
      </c>
      <c r="CZ3641" t="s">
        <v>119</v>
      </c>
    </row>
    <row r="3642" spans="1:104" x14ac:dyDescent="0.25">
      <c r="A3642" t="str">
        <f>"14:51:05.016"</f>
        <v>14:51:05.016</v>
      </c>
      <c r="B3642" t="s">
        <v>108</v>
      </c>
      <c r="C3642" t="str">
        <f t="shared" si="169"/>
        <v>ffdfd3c0</v>
      </c>
      <c r="D3642" t="s">
        <v>109</v>
      </c>
      <c r="E3642">
        <v>4</v>
      </c>
      <c r="F3642">
        <v>1004</v>
      </c>
      <c r="G3642" t="s">
        <v>110</v>
      </c>
      <c r="J3642" t="s">
        <v>111</v>
      </c>
      <c r="K3642">
        <v>0</v>
      </c>
      <c r="L3642">
        <v>3</v>
      </c>
      <c r="M3642">
        <v>0</v>
      </c>
      <c r="N3642">
        <v>2</v>
      </c>
      <c r="O3642">
        <v>1</v>
      </c>
      <c r="P3642">
        <v>0</v>
      </c>
      <c r="Q3642">
        <v>0</v>
      </c>
      <c r="R3642" t="s">
        <v>112</v>
      </c>
      <c r="S3642" t="str">
        <f>"14:51:04.844"</f>
        <v>14:51:04.844</v>
      </c>
      <c r="T3642" t="str">
        <f>"14:51:04.344"</f>
        <v>14:51:04.344</v>
      </c>
      <c r="U3642" t="str">
        <f t="shared" si="168"/>
        <v>ad5732</v>
      </c>
      <c r="V3642">
        <v>0</v>
      </c>
      <c r="W3642">
        <v>0</v>
      </c>
      <c r="X3642">
        <v>1</v>
      </c>
      <c r="Z3642">
        <v>0</v>
      </c>
      <c r="AA3642">
        <v>9</v>
      </c>
      <c r="AB3642">
        <v>3</v>
      </c>
      <c r="AC3642">
        <v>0</v>
      </c>
      <c r="AD3642">
        <v>10</v>
      </c>
      <c r="AE3642">
        <v>0</v>
      </c>
      <c r="AF3642">
        <v>3</v>
      </c>
      <c r="AG3642">
        <v>2</v>
      </c>
      <c r="AH3642">
        <v>0</v>
      </c>
      <c r="AI3642" t="s">
        <v>7332</v>
      </c>
      <c r="AJ3642">
        <v>40.426017999999999</v>
      </c>
      <c r="AK3642" t="s">
        <v>7333</v>
      </c>
      <c r="AL3642">
        <v>-74.471082999999993</v>
      </c>
      <c r="AM3642">
        <v>100</v>
      </c>
      <c r="AN3642">
        <v>1700</v>
      </c>
      <c r="AO3642" t="s">
        <v>115</v>
      </c>
      <c r="AP3642">
        <v>106</v>
      </c>
      <c r="AQ3642">
        <v>59</v>
      </c>
      <c r="AR3642">
        <v>0</v>
      </c>
      <c r="AZ3642">
        <v>3614</v>
      </c>
      <c r="BA3642">
        <v>1</v>
      </c>
      <c r="BB3642" t="str">
        <f t="shared" si="170"/>
        <v xml:space="preserve">N959MJ  </v>
      </c>
      <c r="BC3642">
        <v>1</v>
      </c>
      <c r="BE3642">
        <v>0</v>
      </c>
      <c r="BF3642">
        <v>0</v>
      </c>
      <c r="BG3642">
        <v>0</v>
      </c>
      <c r="BH3642">
        <v>1900</v>
      </c>
      <c r="BI3642">
        <v>200</v>
      </c>
      <c r="BJ3642">
        <v>1</v>
      </c>
      <c r="BK3642">
        <v>1</v>
      </c>
      <c r="BL3642">
        <v>1</v>
      </c>
      <c r="BM3642">
        <v>0</v>
      </c>
      <c r="BP3642">
        <v>0</v>
      </c>
      <c r="BQ3642">
        <v>0</v>
      </c>
      <c r="BX3642" t="str">
        <f>"14:51:04.852"</f>
        <v>14:51:04.852</v>
      </c>
      <c r="BY3642" t="str">
        <f>"851256795"</f>
        <v>851256795</v>
      </c>
      <c r="CL3642">
        <v>0</v>
      </c>
      <c r="CM3642">
        <v>2</v>
      </c>
      <c r="CN3642">
        <v>0</v>
      </c>
      <c r="CO3642">
        <v>2</v>
      </c>
      <c r="CP3642">
        <v>0</v>
      </c>
      <c r="CQ3642">
        <v>6</v>
      </c>
      <c r="CR3642" t="s">
        <v>116</v>
      </c>
      <c r="CS3642">
        <v>305</v>
      </c>
      <c r="CT3642">
        <v>3</v>
      </c>
      <c r="CU3642" t="s">
        <v>6425</v>
      </c>
      <c r="CV3642" t="s">
        <v>6426</v>
      </c>
      <c r="CY3642">
        <v>6092200</v>
      </c>
      <c r="CZ3642" t="s">
        <v>119</v>
      </c>
    </row>
    <row r="3643" spans="1:104" x14ac:dyDescent="0.25">
      <c r="A3643" t="str">
        <f>"14:51:06.070"</f>
        <v>14:51:06.070</v>
      </c>
      <c r="B3643" t="s">
        <v>108</v>
      </c>
      <c r="C3643" t="str">
        <f t="shared" si="169"/>
        <v>ffdfd3c0</v>
      </c>
      <c r="D3643" t="s">
        <v>109</v>
      </c>
      <c r="E3643">
        <v>4</v>
      </c>
      <c r="F3643">
        <v>1004</v>
      </c>
      <c r="G3643" t="s">
        <v>110</v>
      </c>
      <c r="J3643" t="s">
        <v>111</v>
      </c>
      <c r="K3643">
        <v>0</v>
      </c>
      <c r="L3643">
        <v>3</v>
      </c>
      <c r="M3643">
        <v>0</v>
      </c>
      <c r="N3643">
        <v>2</v>
      </c>
      <c r="O3643">
        <v>1</v>
      </c>
      <c r="P3643">
        <v>0</v>
      </c>
      <c r="Q3643">
        <v>0</v>
      </c>
      <c r="R3643" t="s">
        <v>112</v>
      </c>
      <c r="S3643" t="str">
        <f>"14:51:05.922"</f>
        <v>14:51:05.922</v>
      </c>
      <c r="T3643" t="str">
        <f>"14:51:05.523"</f>
        <v>14:51:05.523</v>
      </c>
      <c r="U3643" t="str">
        <f t="shared" si="168"/>
        <v>ad5732</v>
      </c>
      <c r="V3643">
        <v>0</v>
      </c>
      <c r="W3643">
        <v>0</v>
      </c>
      <c r="X3643">
        <v>1</v>
      </c>
      <c r="Z3643">
        <v>0</v>
      </c>
      <c r="AA3643">
        <v>9</v>
      </c>
      <c r="AB3643">
        <v>3</v>
      </c>
      <c r="AC3643">
        <v>0</v>
      </c>
      <c r="AD3643">
        <v>10</v>
      </c>
      <c r="AE3643">
        <v>0</v>
      </c>
      <c r="AF3643">
        <v>3</v>
      </c>
      <c r="AG3643">
        <v>2</v>
      </c>
      <c r="AH3643">
        <v>0</v>
      </c>
      <c r="AI3643" t="s">
        <v>7334</v>
      </c>
      <c r="AJ3643">
        <v>40.426296999999998</v>
      </c>
      <c r="AK3643" t="s">
        <v>7335</v>
      </c>
      <c r="AL3643">
        <v>-74.470460000000003</v>
      </c>
      <c r="AM3643">
        <v>100</v>
      </c>
      <c r="AN3643">
        <v>1700</v>
      </c>
      <c r="AO3643" t="s">
        <v>115</v>
      </c>
      <c r="AP3643">
        <v>106</v>
      </c>
      <c r="AQ3643">
        <v>59</v>
      </c>
      <c r="AR3643">
        <v>0</v>
      </c>
      <c r="AZ3643">
        <v>3614</v>
      </c>
      <c r="BA3643">
        <v>1</v>
      </c>
      <c r="BB3643" t="str">
        <f t="shared" si="170"/>
        <v xml:space="preserve">N959MJ  </v>
      </c>
      <c r="BC3643">
        <v>1</v>
      </c>
      <c r="BE3643">
        <v>0</v>
      </c>
      <c r="BF3643">
        <v>0</v>
      </c>
      <c r="BG3643">
        <v>0</v>
      </c>
      <c r="BH3643">
        <v>1900</v>
      </c>
      <c r="BI3643">
        <v>200</v>
      </c>
      <c r="BJ3643">
        <v>1</v>
      </c>
      <c r="BK3643">
        <v>1</v>
      </c>
      <c r="BL3643">
        <v>1</v>
      </c>
      <c r="BM3643">
        <v>0</v>
      </c>
      <c r="BP3643">
        <v>0</v>
      </c>
      <c r="BQ3643">
        <v>0</v>
      </c>
      <c r="BX3643" t="str">
        <f>"14:51:05.922"</f>
        <v>14:51:05.922</v>
      </c>
      <c r="BY3643" t="str">
        <f>"924427449"</f>
        <v>924427449</v>
      </c>
      <c r="CL3643">
        <v>0</v>
      </c>
      <c r="CM3643">
        <v>2</v>
      </c>
      <c r="CN3643">
        <v>0</v>
      </c>
      <c r="CO3643">
        <v>2</v>
      </c>
      <c r="CP3643">
        <v>0</v>
      </c>
      <c r="CQ3643">
        <v>6</v>
      </c>
      <c r="CR3643" t="s">
        <v>116</v>
      </c>
      <c r="CS3643">
        <v>305</v>
      </c>
      <c r="CT3643">
        <v>3</v>
      </c>
      <c r="CU3643" t="s">
        <v>6425</v>
      </c>
      <c r="CV3643" t="s">
        <v>6426</v>
      </c>
      <c r="CY3643">
        <v>6094324</v>
      </c>
      <c r="CZ3643" t="s">
        <v>119</v>
      </c>
    </row>
    <row r="3644" spans="1:104" x14ac:dyDescent="0.25">
      <c r="A3644" t="str">
        <f>"14:51:07.086"</f>
        <v>14:51:07.086</v>
      </c>
      <c r="B3644" t="s">
        <v>108</v>
      </c>
      <c r="C3644" t="str">
        <f t="shared" si="169"/>
        <v>ffdfd3c0</v>
      </c>
      <c r="D3644" t="s">
        <v>109</v>
      </c>
      <c r="E3644">
        <v>4</v>
      </c>
      <c r="F3644">
        <v>1004</v>
      </c>
      <c r="G3644" t="s">
        <v>110</v>
      </c>
      <c r="J3644" t="s">
        <v>111</v>
      </c>
      <c r="K3644">
        <v>0</v>
      </c>
      <c r="L3644">
        <v>3</v>
      </c>
      <c r="M3644">
        <v>0</v>
      </c>
      <c r="N3644">
        <v>2</v>
      </c>
      <c r="O3644">
        <v>1</v>
      </c>
      <c r="P3644">
        <v>0</v>
      </c>
      <c r="Q3644">
        <v>0</v>
      </c>
      <c r="R3644" t="s">
        <v>112</v>
      </c>
      <c r="S3644" t="str">
        <f>"14:51:06.906"</f>
        <v>14:51:06.906</v>
      </c>
      <c r="T3644" t="str">
        <f>"14:51:06.406"</f>
        <v>14:51:06.406</v>
      </c>
      <c r="U3644" t="str">
        <f t="shared" si="168"/>
        <v>ad5732</v>
      </c>
      <c r="V3644">
        <v>0</v>
      </c>
      <c r="W3644">
        <v>0</v>
      </c>
      <c r="X3644">
        <v>1</v>
      </c>
      <c r="Z3644">
        <v>0</v>
      </c>
      <c r="AA3644">
        <v>9</v>
      </c>
      <c r="AB3644">
        <v>3</v>
      </c>
      <c r="AC3644">
        <v>0</v>
      </c>
      <c r="AD3644">
        <v>10</v>
      </c>
      <c r="AE3644">
        <v>0</v>
      </c>
      <c r="AF3644">
        <v>3</v>
      </c>
      <c r="AG3644">
        <v>2</v>
      </c>
      <c r="AH3644">
        <v>0</v>
      </c>
      <c r="AI3644" t="s">
        <v>7336</v>
      </c>
      <c r="AJ3644">
        <v>40.426575999999997</v>
      </c>
      <c r="AK3644" t="s">
        <v>7337</v>
      </c>
      <c r="AL3644">
        <v>-74.469774000000001</v>
      </c>
      <c r="AM3644">
        <v>100</v>
      </c>
      <c r="AN3644">
        <v>1700</v>
      </c>
      <c r="AO3644" t="s">
        <v>115</v>
      </c>
      <c r="AP3644">
        <v>106</v>
      </c>
      <c r="AQ3644">
        <v>59</v>
      </c>
      <c r="AR3644">
        <v>0</v>
      </c>
      <c r="AZ3644">
        <v>3614</v>
      </c>
      <c r="BA3644">
        <v>1</v>
      </c>
      <c r="BB3644" t="str">
        <f t="shared" si="170"/>
        <v xml:space="preserve">N959MJ  </v>
      </c>
      <c r="BC3644">
        <v>1</v>
      </c>
      <c r="BE3644">
        <v>0</v>
      </c>
      <c r="BF3644">
        <v>0</v>
      </c>
      <c r="BG3644">
        <v>0</v>
      </c>
      <c r="BH3644">
        <v>1900</v>
      </c>
      <c r="BI3644">
        <v>200</v>
      </c>
      <c r="BJ3644">
        <v>1</v>
      </c>
      <c r="BK3644">
        <v>1</v>
      </c>
      <c r="BL3644">
        <v>1</v>
      </c>
      <c r="BM3644">
        <v>0</v>
      </c>
      <c r="BP3644">
        <v>0</v>
      </c>
      <c r="BQ3644">
        <v>0</v>
      </c>
      <c r="BX3644" t="str">
        <f>"14:51:06.914"</f>
        <v>14:51:06.914</v>
      </c>
      <c r="BY3644" t="str">
        <f>"910850376"</f>
        <v>910850376</v>
      </c>
      <c r="CL3644">
        <v>0</v>
      </c>
      <c r="CM3644">
        <v>2</v>
      </c>
      <c r="CN3644">
        <v>0</v>
      </c>
      <c r="CO3644">
        <v>2</v>
      </c>
      <c r="CP3644">
        <v>0</v>
      </c>
      <c r="CQ3644">
        <v>6</v>
      </c>
      <c r="CR3644" t="s">
        <v>116</v>
      </c>
      <c r="CS3644">
        <v>409</v>
      </c>
      <c r="CT3644">
        <v>1</v>
      </c>
      <c r="CU3644" t="s">
        <v>5087</v>
      </c>
      <c r="CV3644" t="s">
        <v>5088</v>
      </c>
      <c r="CY3644">
        <v>4643972</v>
      </c>
      <c r="CZ3644" t="s">
        <v>119</v>
      </c>
    </row>
    <row r="3645" spans="1:104" x14ac:dyDescent="0.25">
      <c r="A3645" t="str">
        <f>"14:51:08.094"</f>
        <v>14:51:08.094</v>
      </c>
      <c r="B3645" t="s">
        <v>108</v>
      </c>
      <c r="C3645" t="str">
        <f t="shared" si="169"/>
        <v>ffdfd3c0</v>
      </c>
      <c r="D3645" t="s">
        <v>109</v>
      </c>
      <c r="E3645">
        <v>4</v>
      </c>
      <c r="F3645">
        <v>1004</v>
      </c>
      <c r="G3645" t="s">
        <v>110</v>
      </c>
      <c r="J3645" t="s">
        <v>111</v>
      </c>
      <c r="K3645">
        <v>0</v>
      </c>
      <c r="L3645">
        <v>3</v>
      </c>
      <c r="M3645">
        <v>0</v>
      </c>
      <c r="N3645">
        <v>2</v>
      </c>
      <c r="O3645">
        <v>1</v>
      </c>
      <c r="P3645">
        <v>0</v>
      </c>
      <c r="Q3645">
        <v>0</v>
      </c>
      <c r="R3645" t="s">
        <v>112</v>
      </c>
      <c r="S3645" t="str">
        <f>"14:51:07.922"</f>
        <v>14:51:07.922</v>
      </c>
      <c r="T3645" t="str">
        <f>"14:51:07.422"</f>
        <v>14:51:07.422</v>
      </c>
      <c r="U3645" t="str">
        <f t="shared" si="168"/>
        <v>ad5732</v>
      </c>
      <c r="V3645">
        <v>0</v>
      </c>
      <c r="W3645">
        <v>0</v>
      </c>
      <c r="X3645">
        <v>1</v>
      </c>
      <c r="Z3645">
        <v>0</v>
      </c>
      <c r="AA3645">
        <v>9</v>
      </c>
      <c r="AB3645">
        <v>3</v>
      </c>
      <c r="AC3645">
        <v>0</v>
      </c>
      <c r="AD3645">
        <v>10</v>
      </c>
      <c r="AE3645">
        <v>0</v>
      </c>
      <c r="AF3645">
        <v>3</v>
      </c>
      <c r="AG3645">
        <v>2</v>
      </c>
      <c r="AH3645">
        <v>0</v>
      </c>
      <c r="AI3645" t="s">
        <v>7338</v>
      </c>
      <c r="AJ3645">
        <v>40.426855000000003</v>
      </c>
      <c r="AK3645" t="s">
        <v>7339</v>
      </c>
      <c r="AL3645">
        <v>-74.469130000000007</v>
      </c>
      <c r="AM3645">
        <v>100</v>
      </c>
      <c r="AN3645">
        <v>1700</v>
      </c>
      <c r="AO3645" t="s">
        <v>115</v>
      </c>
      <c r="AP3645">
        <v>106</v>
      </c>
      <c r="AQ3645">
        <v>60</v>
      </c>
      <c r="AR3645">
        <v>-64</v>
      </c>
      <c r="AZ3645">
        <v>3614</v>
      </c>
      <c r="BA3645">
        <v>1</v>
      </c>
      <c r="BB3645" t="str">
        <f t="shared" si="170"/>
        <v xml:space="preserve">N959MJ  </v>
      </c>
      <c r="BC3645">
        <v>1</v>
      </c>
      <c r="BE3645">
        <v>0</v>
      </c>
      <c r="BF3645">
        <v>0</v>
      </c>
      <c r="BG3645">
        <v>0</v>
      </c>
      <c r="BH3645">
        <v>1900</v>
      </c>
      <c r="BI3645">
        <v>200</v>
      </c>
      <c r="BJ3645">
        <v>1</v>
      </c>
      <c r="BK3645">
        <v>1</v>
      </c>
      <c r="BL3645">
        <v>1</v>
      </c>
      <c r="BM3645">
        <v>0</v>
      </c>
      <c r="BP3645">
        <v>0</v>
      </c>
      <c r="BQ3645">
        <v>0</v>
      </c>
      <c r="BX3645" t="str">
        <f>"14:51:07.922"</f>
        <v>14:51:07.922</v>
      </c>
      <c r="BY3645" t="str">
        <f>"923310053"</f>
        <v>923310053</v>
      </c>
      <c r="CL3645">
        <v>0</v>
      </c>
      <c r="CM3645">
        <v>2</v>
      </c>
      <c r="CN3645">
        <v>0</v>
      </c>
      <c r="CO3645">
        <v>2</v>
      </c>
      <c r="CP3645">
        <v>0</v>
      </c>
      <c r="CQ3645">
        <v>6</v>
      </c>
      <c r="CR3645" t="s">
        <v>116</v>
      </c>
      <c r="CS3645">
        <v>305</v>
      </c>
      <c r="CT3645">
        <v>3</v>
      </c>
      <c r="CU3645" t="s">
        <v>6425</v>
      </c>
      <c r="CV3645" t="s">
        <v>6426</v>
      </c>
      <c r="CY3645">
        <v>6098490</v>
      </c>
      <c r="CZ3645" t="s">
        <v>119</v>
      </c>
    </row>
    <row r="3646" spans="1:104" x14ac:dyDescent="0.25">
      <c r="A3646" t="str">
        <f>"14:51:09.102"</f>
        <v>14:51:09.102</v>
      </c>
      <c r="B3646" t="s">
        <v>108</v>
      </c>
      <c r="C3646" t="str">
        <f t="shared" si="169"/>
        <v>ffdfd3c0</v>
      </c>
      <c r="D3646" t="s">
        <v>109</v>
      </c>
      <c r="E3646">
        <v>4</v>
      </c>
      <c r="F3646">
        <v>1004</v>
      </c>
      <c r="G3646" t="s">
        <v>110</v>
      </c>
      <c r="J3646" t="s">
        <v>111</v>
      </c>
      <c r="K3646">
        <v>0</v>
      </c>
      <c r="L3646">
        <v>3</v>
      </c>
      <c r="M3646">
        <v>0</v>
      </c>
      <c r="N3646">
        <v>2</v>
      </c>
      <c r="O3646">
        <v>1</v>
      </c>
      <c r="P3646">
        <v>0</v>
      </c>
      <c r="Q3646">
        <v>0</v>
      </c>
      <c r="R3646" t="s">
        <v>112</v>
      </c>
      <c r="S3646" t="str">
        <f>"14:51:08.945"</f>
        <v>14:51:08.945</v>
      </c>
      <c r="T3646" t="str">
        <f>"14:51:08.445"</f>
        <v>14:51:08.445</v>
      </c>
      <c r="U3646" t="str">
        <f t="shared" si="168"/>
        <v>ad5732</v>
      </c>
      <c r="V3646">
        <v>0</v>
      </c>
      <c r="W3646">
        <v>0</v>
      </c>
      <c r="X3646">
        <v>1</v>
      </c>
      <c r="Z3646">
        <v>0</v>
      </c>
      <c r="AA3646">
        <v>9</v>
      </c>
      <c r="AB3646">
        <v>3</v>
      </c>
      <c r="AC3646">
        <v>0</v>
      </c>
      <c r="AD3646">
        <v>10</v>
      </c>
      <c r="AE3646">
        <v>0</v>
      </c>
      <c r="AF3646">
        <v>3</v>
      </c>
      <c r="AG3646">
        <v>2</v>
      </c>
      <c r="AH3646">
        <v>0</v>
      </c>
      <c r="AI3646" t="s">
        <v>7340</v>
      </c>
      <c r="AJ3646">
        <v>40.427177</v>
      </c>
      <c r="AK3646" t="s">
        <v>7341</v>
      </c>
      <c r="AL3646">
        <v>-74.468442999999994</v>
      </c>
      <c r="AM3646">
        <v>100</v>
      </c>
      <c r="AN3646">
        <v>1700</v>
      </c>
      <c r="AO3646" t="s">
        <v>115</v>
      </c>
      <c r="AP3646">
        <v>106</v>
      </c>
      <c r="AQ3646">
        <v>60</v>
      </c>
      <c r="AR3646">
        <v>-64</v>
      </c>
      <c r="AZ3646">
        <v>3614</v>
      </c>
      <c r="BA3646">
        <v>1</v>
      </c>
      <c r="BB3646" t="str">
        <f t="shared" si="170"/>
        <v xml:space="preserve">N959MJ  </v>
      </c>
      <c r="BC3646">
        <v>1</v>
      </c>
      <c r="BE3646">
        <v>0</v>
      </c>
      <c r="BF3646">
        <v>0</v>
      </c>
      <c r="BG3646">
        <v>0</v>
      </c>
      <c r="BH3646">
        <v>1900</v>
      </c>
      <c r="BI3646">
        <v>200</v>
      </c>
      <c r="BJ3646">
        <v>1</v>
      </c>
      <c r="BK3646">
        <v>1</v>
      </c>
      <c r="BL3646">
        <v>1</v>
      </c>
      <c r="BM3646">
        <v>0</v>
      </c>
      <c r="BP3646">
        <v>0</v>
      </c>
      <c r="BQ3646">
        <v>0</v>
      </c>
      <c r="BX3646" t="str">
        <f>"14:51:08.945"</f>
        <v>14:51:08.945</v>
      </c>
      <c r="BY3646" t="str">
        <f>"945682862"</f>
        <v>945682862</v>
      </c>
      <c r="CL3646">
        <v>0</v>
      </c>
      <c r="CM3646">
        <v>2</v>
      </c>
      <c r="CN3646">
        <v>0</v>
      </c>
      <c r="CO3646">
        <v>2</v>
      </c>
      <c r="CP3646">
        <v>0</v>
      </c>
      <c r="CQ3646">
        <v>6</v>
      </c>
      <c r="CR3646" t="s">
        <v>116</v>
      </c>
      <c r="CS3646">
        <v>38</v>
      </c>
      <c r="CT3646">
        <v>0</v>
      </c>
      <c r="CU3646" t="s">
        <v>4719</v>
      </c>
      <c r="CV3646" t="s">
        <v>4720</v>
      </c>
      <c r="CY3646">
        <v>8194248</v>
      </c>
      <c r="CZ3646" t="s">
        <v>119</v>
      </c>
    </row>
    <row r="3647" spans="1:104" x14ac:dyDescent="0.25">
      <c r="A3647" t="str">
        <f>"14:51:10.109"</f>
        <v>14:51:10.109</v>
      </c>
      <c r="B3647" t="s">
        <v>108</v>
      </c>
      <c r="C3647" t="str">
        <f t="shared" si="169"/>
        <v>ffdfd3c0</v>
      </c>
      <c r="D3647" t="s">
        <v>109</v>
      </c>
      <c r="E3647">
        <v>4</v>
      </c>
      <c r="F3647">
        <v>1004</v>
      </c>
      <c r="G3647" t="s">
        <v>110</v>
      </c>
      <c r="J3647" t="s">
        <v>111</v>
      </c>
      <c r="K3647">
        <v>0</v>
      </c>
      <c r="L3647">
        <v>3</v>
      </c>
      <c r="M3647">
        <v>0</v>
      </c>
      <c r="N3647">
        <v>2</v>
      </c>
      <c r="O3647">
        <v>1</v>
      </c>
      <c r="P3647">
        <v>0</v>
      </c>
      <c r="Q3647">
        <v>0</v>
      </c>
      <c r="R3647" t="s">
        <v>112</v>
      </c>
      <c r="S3647" t="str">
        <f>"14:51:09.930"</f>
        <v>14:51:09.930</v>
      </c>
      <c r="T3647" t="str">
        <f>"14:51:09.531"</f>
        <v>14:51:09.531</v>
      </c>
      <c r="U3647" t="str">
        <f t="shared" si="168"/>
        <v>ad5732</v>
      </c>
      <c r="V3647">
        <v>0</v>
      </c>
      <c r="W3647">
        <v>0</v>
      </c>
      <c r="X3647">
        <v>1</v>
      </c>
      <c r="Z3647">
        <v>0</v>
      </c>
      <c r="AA3647">
        <v>9</v>
      </c>
      <c r="AB3647">
        <v>3</v>
      </c>
      <c r="AC3647">
        <v>0</v>
      </c>
      <c r="AD3647">
        <v>10</v>
      </c>
      <c r="AE3647">
        <v>0</v>
      </c>
      <c r="AF3647">
        <v>3</v>
      </c>
      <c r="AG3647">
        <v>2</v>
      </c>
      <c r="AH3647">
        <v>0</v>
      </c>
      <c r="AI3647" t="s">
        <v>7342</v>
      </c>
      <c r="AJ3647">
        <v>40.427433999999998</v>
      </c>
      <c r="AK3647" t="s">
        <v>7343</v>
      </c>
      <c r="AL3647">
        <v>-74.467843000000002</v>
      </c>
      <c r="AM3647">
        <v>100</v>
      </c>
      <c r="AN3647">
        <v>1700</v>
      </c>
      <c r="AO3647" t="s">
        <v>115</v>
      </c>
      <c r="AP3647">
        <v>106</v>
      </c>
      <c r="AQ3647">
        <v>60</v>
      </c>
      <c r="AR3647">
        <v>-64</v>
      </c>
      <c r="AZ3647">
        <v>3614</v>
      </c>
      <c r="BA3647">
        <v>1</v>
      </c>
      <c r="BB3647" t="str">
        <f t="shared" si="170"/>
        <v xml:space="preserve">N959MJ  </v>
      </c>
      <c r="BC3647">
        <v>1</v>
      </c>
      <c r="BE3647">
        <v>0</v>
      </c>
      <c r="BF3647">
        <v>0</v>
      </c>
      <c r="BG3647">
        <v>0</v>
      </c>
      <c r="BH3647">
        <v>1900</v>
      </c>
      <c r="BI3647">
        <v>200</v>
      </c>
      <c r="BJ3647">
        <v>1</v>
      </c>
      <c r="BK3647">
        <v>1</v>
      </c>
      <c r="BL3647">
        <v>1</v>
      </c>
      <c r="BM3647">
        <v>0</v>
      </c>
      <c r="BP3647">
        <v>0</v>
      </c>
      <c r="BQ3647">
        <v>0</v>
      </c>
      <c r="BX3647" t="str">
        <f>"14:51:09.930"</f>
        <v>14:51:09.930</v>
      </c>
      <c r="BY3647" t="str">
        <f>"930385084"</f>
        <v>930385084</v>
      </c>
      <c r="CL3647">
        <v>0</v>
      </c>
      <c r="CM3647">
        <v>2</v>
      </c>
      <c r="CN3647">
        <v>0</v>
      </c>
      <c r="CO3647">
        <v>2</v>
      </c>
      <c r="CP3647">
        <v>0</v>
      </c>
      <c r="CQ3647">
        <v>6</v>
      </c>
      <c r="CR3647" t="s">
        <v>116</v>
      </c>
      <c r="CS3647">
        <v>305</v>
      </c>
      <c r="CT3647">
        <v>3</v>
      </c>
      <c r="CU3647" t="s">
        <v>6425</v>
      </c>
      <c r="CV3647" t="s">
        <v>6426</v>
      </c>
      <c r="CY3647">
        <v>6102544</v>
      </c>
      <c r="CZ3647" t="s">
        <v>119</v>
      </c>
    </row>
    <row r="3648" spans="1:104" x14ac:dyDescent="0.25">
      <c r="A3648" t="str">
        <f>"14:51:11.125"</f>
        <v>14:51:11.125</v>
      </c>
      <c r="B3648" t="s">
        <v>108</v>
      </c>
      <c r="C3648" t="str">
        <f t="shared" si="169"/>
        <v>ffdfd3c0</v>
      </c>
      <c r="D3648" t="s">
        <v>109</v>
      </c>
      <c r="E3648">
        <v>4</v>
      </c>
      <c r="F3648">
        <v>1004</v>
      </c>
      <c r="G3648" t="s">
        <v>110</v>
      </c>
      <c r="J3648" t="s">
        <v>111</v>
      </c>
      <c r="K3648">
        <v>0</v>
      </c>
      <c r="L3648">
        <v>3</v>
      </c>
      <c r="M3648">
        <v>0</v>
      </c>
      <c r="N3648">
        <v>2</v>
      </c>
      <c r="O3648">
        <v>1</v>
      </c>
      <c r="P3648">
        <v>0</v>
      </c>
      <c r="Q3648">
        <v>0</v>
      </c>
      <c r="R3648" t="s">
        <v>112</v>
      </c>
      <c r="S3648" t="str">
        <f>"14:51:10.953"</f>
        <v>14:51:10.953</v>
      </c>
      <c r="T3648" t="str">
        <f>"14:51:10.555"</f>
        <v>14:51:10.555</v>
      </c>
      <c r="U3648" t="str">
        <f t="shared" si="168"/>
        <v>ad5732</v>
      </c>
      <c r="V3648">
        <v>0</v>
      </c>
      <c r="W3648">
        <v>0</v>
      </c>
      <c r="X3648">
        <v>1</v>
      </c>
      <c r="Z3648">
        <v>0</v>
      </c>
      <c r="AA3648">
        <v>9</v>
      </c>
      <c r="AB3648">
        <v>3</v>
      </c>
      <c r="AC3648">
        <v>0</v>
      </c>
      <c r="AD3648">
        <v>10</v>
      </c>
      <c r="AE3648">
        <v>0</v>
      </c>
      <c r="AF3648">
        <v>3</v>
      </c>
      <c r="AG3648">
        <v>2</v>
      </c>
      <c r="AH3648">
        <v>0</v>
      </c>
      <c r="AI3648" t="s">
        <v>7344</v>
      </c>
      <c r="AJ3648">
        <v>40.427712999999997</v>
      </c>
      <c r="AK3648" t="s">
        <v>7345</v>
      </c>
      <c r="AL3648">
        <v>-74.467156000000003</v>
      </c>
      <c r="AM3648">
        <v>100</v>
      </c>
      <c r="AN3648">
        <v>1700</v>
      </c>
      <c r="AO3648" t="s">
        <v>115</v>
      </c>
      <c r="AP3648">
        <v>106</v>
      </c>
      <c r="AQ3648">
        <v>60</v>
      </c>
      <c r="AR3648">
        <v>0</v>
      </c>
      <c r="AZ3648">
        <v>3614</v>
      </c>
      <c r="BA3648">
        <v>1</v>
      </c>
      <c r="BB3648" t="str">
        <f t="shared" si="170"/>
        <v xml:space="preserve">N959MJ  </v>
      </c>
      <c r="BC3648">
        <v>1</v>
      </c>
      <c r="BE3648">
        <v>0</v>
      </c>
      <c r="BF3648">
        <v>0</v>
      </c>
      <c r="BG3648">
        <v>0</v>
      </c>
      <c r="BH3648">
        <v>1900</v>
      </c>
      <c r="BI3648">
        <v>200</v>
      </c>
      <c r="BJ3648">
        <v>1</v>
      </c>
      <c r="BK3648">
        <v>1</v>
      </c>
      <c r="BL3648">
        <v>1</v>
      </c>
      <c r="BM3648">
        <v>0</v>
      </c>
      <c r="BP3648">
        <v>0</v>
      </c>
      <c r="BQ3648">
        <v>0</v>
      </c>
      <c r="BX3648" t="str">
        <f>"14:51:10.953"</f>
        <v>14:51:10.953</v>
      </c>
      <c r="BY3648" t="str">
        <f>"954396935"</f>
        <v>954396935</v>
      </c>
      <c r="CL3648">
        <v>0</v>
      </c>
      <c r="CM3648">
        <v>2</v>
      </c>
      <c r="CN3648">
        <v>0</v>
      </c>
      <c r="CO3648">
        <v>2</v>
      </c>
      <c r="CP3648">
        <v>0</v>
      </c>
      <c r="CQ3648">
        <v>6</v>
      </c>
      <c r="CR3648" t="s">
        <v>116</v>
      </c>
      <c r="CS3648">
        <v>38</v>
      </c>
      <c r="CT3648">
        <v>0</v>
      </c>
      <c r="CU3648" t="s">
        <v>4719</v>
      </c>
      <c r="CV3648" t="s">
        <v>4720</v>
      </c>
      <c r="CY3648">
        <v>8197335</v>
      </c>
      <c r="CZ3648" t="s">
        <v>119</v>
      </c>
    </row>
    <row r="3649" spans="1:104" x14ac:dyDescent="0.25">
      <c r="A3649" t="str">
        <f>"14:51:12.180"</f>
        <v>14:51:12.180</v>
      </c>
      <c r="B3649" t="s">
        <v>108</v>
      </c>
      <c r="C3649" t="str">
        <f t="shared" si="169"/>
        <v>ffdfd3c0</v>
      </c>
      <c r="D3649" t="s">
        <v>109</v>
      </c>
      <c r="E3649">
        <v>4</v>
      </c>
      <c r="F3649">
        <v>1004</v>
      </c>
      <c r="G3649" t="s">
        <v>110</v>
      </c>
      <c r="J3649" t="s">
        <v>111</v>
      </c>
      <c r="K3649">
        <v>0</v>
      </c>
      <c r="L3649">
        <v>3</v>
      </c>
      <c r="M3649">
        <v>0</v>
      </c>
      <c r="N3649">
        <v>2</v>
      </c>
      <c r="O3649">
        <v>1</v>
      </c>
      <c r="P3649">
        <v>0</v>
      </c>
      <c r="Q3649">
        <v>0</v>
      </c>
      <c r="R3649" t="s">
        <v>112</v>
      </c>
      <c r="S3649" t="str">
        <f>"14:51:11.977"</f>
        <v>14:51:11.977</v>
      </c>
      <c r="T3649" t="str">
        <f>"14:51:11.477"</f>
        <v>14:51:11.477</v>
      </c>
      <c r="U3649" t="str">
        <f t="shared" si="168"/>
        <v>ad5732</v>
      </c>
      <c r="V3649">
        <v>0</v>
      </c>
      <c r="W3649">
        <v>0</v>
      </c>
      <c r="X3649">
        <v>1</v>
      </c>
      <c r="Z3649">
        <v>0</v>
      </c>
      <c r="AA3649">
        <v>9</v>
      </c>
      <c r="AB3649">
        <v>3</v>
      </c>
      <c r="AC3649">
        <v>0</v>
      </c>
      <c r="AD3649">
        <v>10</v>
      </c>
      <c r="AE3649">
        <v>0</v>
      </c>
      <c r="AF3649">
        <v>3</v>
      </c>
      <c r="AG3649">
        <v>2</v>
      </c>
      <c r="AH3649">
        <v>0</v>
      </c>
      <c r="AI3649" t="s">
        <v>7346</v>
      </c>
      <c r="AJ3649">
        <v>40.427992000000003</v>
      </c>
      <c r="AK3649" t="s">
        <v>7347</v>
      </c>
      <c r="AL3649">
        <v>-74.466555</v>
      </c>
      <c r="AM3649">
        <v>100</v>
      </c>
      <c r="AN3649">
        <v>1700</v>
      </c>
      <c r="AO3649" t="s">
        <v>115</v>
      </c>
      <c r="AP3649">
        <v>105</v>
      </c>
      <c r="AQ3649">
        <v>60</v>
      </c>
      <c r="AR3649">
        <v>0</v>
      </c>
      <c r="AZ3649">
        <v>3614</v>
      </c>
      <c r="BA3649">
        <v>1</v>
      </c>
      <c r="BB3649" t="str">
        <f t="shared" si="170"/>
        <v xml:space="preserve">N959MJ  </v>
      </c>
      <c r="BC3649">
        <v>1</v>
      </c>
      <c r="BE3649">
        <v>0</v>
      </c>
      <c r="BF3649">
        <v>0</v>
      </c>
      <c r="BG3649">
        <v>0</v>
      </c>
      <c r="BH3649">
        <v>1900</v>
      </c>
      <c r="BI3649">
        <v>200</v>
      </c>
      <c r="BJ3649">
        <v>1</v>
      </c>
      <c r="BK3649">
        <v>1</v>
      </c>
      <c r="BL3649">
        <v>1</v>
      </c>
      <c r="BM3649">
        <v>0</v>
      </c>
      <c r="BP3649">
        <v>0</v>
      </c>
      <c r="BQ3649">
        <v>0</v>
      </c>
      <c r="BX3649" t="str">
        <f>"14:51:11.984"</f>
        <v>14:51:11.984</v>
      </c>
      <c r="BY3649" t="str">
        <f>"981697678"</f>
        <v>981697678</v>
      </c>
      <c r="CL3649">
        <v>0</v>
      </c>
      <c r="CM3649">
        <v>2</v>
      </c>
      <c r="CN3649">
        <v>0</v>
      </c>
      <c r="CO3649">
        <v>2</v>
      </c>
      <c r="CP3649">
        <v>0</v>
      </c>
      <c r="CQ3649">
        <v>6</v>
      </c>
      <c r="CR3649" t="s">
        <v>116</v>
      </c>
      <c r="CS3649">
        <v>305</v>
      </c>
      <c r="CT3649">
        <v>3</v>
      </c>
      <c r="CU3649" t="s">
        <v>6425</v>
      </c>
      <c r="CV3649" t="s">
        <v>6426</v>
      </c>
      <c r="CY3649">
        <v>6106768</v>
      </c>
      <c r="CZ3649" t="s">
        <v>119</v>
      </c>
    </row>
    <row r="3650" spans="1:104" x14ac:dyDescent="0.25">
      <c r="A3650" t="str">
        <f>"14:51:13.195"</f>
        <v>14:51:13.195</v>
      </c>
      <c r="B3650" t="s">
        <v>108</v>
      </c>
      <c r="C3650" t="str">
        <f t="shared" si="169"/>
        <v>ffdfd3c0</v>
      </c>
      <c r="D3650" t="s">
        <v>109</v>
      </c>
      <c r="E3650">
        <v>4</v>
      </c>
      <c r="F3650">
        <v>1004</v>
      </c>
      <c r="G3650" t="s">
        <v>110</v>
      </c>
      <c r="J3650" t="s">
        <v>111</v>
      </c>
      <c r="K3650">
        <v>0</v>
      </c>
      <c r="L3650">
        <v>3</v>
      </c>
      <c r="M3650">
        <v>0</v>
      </c>
      <c r="N3650">
        <v>2</v>
      </c>
      <c r="O3650">
        <v>1</v>
      </c>
      <c r="P3650">
        <v>0</v>
      </c>
      <c r="Q3650">
        <v>0</v>
      </c>
      <c r="R3650" t="s">
        <v>112</v>
      </c>
      <c r="S3650" t="str">
        <f>"14:51:12.977"</f>
        <v>14:51:12.977</v>
      </c>
      <c r="T3650" t="str">
        <f>"14:51:12.578"</f>
        <v>14:51:12.578</v>
      </c>
      <c r="U3650" t="str">
        <f t="shared" ref="U3650:U3713" si="171">"ad5732"</f>
        <v>ad5732</v>
      </c>
      <c r="V3650">
        <v>0</v>
      </c>
      <c r="W3650">
        <v>0</v>
      </c>
      <c r="X3650">
        <v>1</v>
      </c>
      <c r="Z3650">
        <v>0</v>
      </c>
      <c r="AA3650">
        <v>9</v>
      </c>
      <c r="AB3650">
        <v>3</v>
      </c>
      <c r="AC3650">
        <v>0</v>
      </c>
      <c r="AD3650">
        <v>10</v>
      </c>
      <c r="AE3650">
        <v>0</v>
      </c>
      <c r="AF3650">
        <v>3</v>
      </c>
      <c r="AG3650">
        <v>2</v>
      </c>
      <c r="AH3650">
        <v>0</v>
      </c>
      <c r="AI3650" t="s">
        <v>7348</v>
      </c>
      <c r="AJ3650">
        <v>40.428271000000002</v>
      </c>
      <c r="AK3650" t="s">
        <v>7349</v>
      </c>
      <c r="AL3650">
        <v>-74.465890000000002</v>
      </c>
      <c r="AM3650">
        <v>100</v>
      </c>
      <c r="AN3650">
        <v>1700</v>
      </c>
      <c r="AO3650" t="s">
        <v>115</v>
      </c>
      <c r="AP3650">
        <v>105</v>
      </c>
      <c r="AQ3650">
        <v>61</v>
      </c>
      <c r="AR3650">
        <v>0</v>
      </c>
      <c r="AZ3650">
        <v>3614</v>
      </c>
      <c r="BA3650">
        <v>1</v>
      </c>
      <c r="BB3650" t="str">
        <f t="shared" si="170"/>
        <v xml:space="preserve">N959MJ  </v>
      </c>
      <c r="BC3650">
        <v>1</v>
      </c>
      <c r="BE3650">
        <v>0</v>
      </c>
      <c r="BF3650">
        <v>0</v>
      </c>
      <c r="BG3650">
        <v>0</v>
      </c>
      <c r="BH3650">
        <v>1900</v>
      </c>
      <c r="BI3650">
        <v>200</v>
      </c>
      <c r="BJ3650">
        <v>1</v>
      </c>
      <c r="BK3650">
        <v>1</v>
      </c>
      <c r="BL3650">
        <v>1</v>
      </c>
      <c r="BM3650">
        <v>0</v>
      </c>
      <c r="BP3650">
        <v>0</v>
      </c>
      <c r="BQ3650">
        <v>0</v>
      </c>
      <c r="BX3650" t="str">
        <f>"14:51:12.984"</f>
        <v>14:51:12.984</v>
      </c>
      <c r="BY3650" t="str">
        <f>"982772260"</f>
        <v>982772260</v>
      </c>
      <c r="CL3650">
        <v>0</v>
      </c>
      <c r="CM3650">
        <v>2</v>
      </c>
      <c r="CN3650">
        <v>0</v>
      </c>
      <c r="CO3650">
        <v>2</v>
      </c>
      <c r="CP3650">
        <v>0</v>
      </c>
      <c r="CQ3650">
        <v>7</v>
      </c>
      <c r="CR3650" t="s">
        <v>116</v>
      </c>
      <c r="CS3650">
        <v>38</v>
      </c>
      <c r="CT3650">
        <v>0</v>
      </c>
      <c r="CU3650" t="s">
        <v>4719</v>
      </c>
      <c r="CV3650" t="s">
        <v>4720</v>
      </c>
      <c r="CY3650">
        <v>8200497</v>
      </c>
      <c r="CZ3650" t="s">
        <v>119</v>
      </c>
    </row>
    <row r="3651" spans="1:104" x14ac:dyDescent="0.25">
      <c r="A3651" t="str">
        <f>"14:51:14.148"</f>
        <v>14:51:14.148</v>
      </c>
      <c r="B3651" t="s">
        <v>108</v>
      </c>
      <c r="C3651" t="str">
        <f t="shared" si="169"/>
        <v>ffdfd3c0</v>
      </c>
      <c r="D3651" t="s">
        <v>109</v>
      </c>
      <c r="E3651">
        <v>4</v>
      </c>
      <c r="F3651">
        <v>1004</v>
      </c>
      <c r="G3651" t="s">
        <v>110</v>
      </c>
      <c r="J3651" t="s">
        <v>111</v>
      </c>
      <c r="K3651">
        <v>0</v>
      </c>
      <c r="L3651">
        <v>3</v>
      </c>
      <c r="M3651">
        <v>0</v>
      </c>
      <c r="N3651">
        <v>2</v>
      </c>
      <c r="O3651">
        <v>1</v>
      </c>
      <c r="P3651">
        <v>0</v>
      </c>
      <c r="Q3651">
        <v>0</v>
      </c>
      <c r="R3651" t="s">
        <v>112</v>
      </c>
      <c r="S3651" t="str">
        <f>"14:51:13.984"</f>
        <v>14:51:13.984</v>
      </c>
      <c r="T3651" t="str">
        <f>"14:51:13.586"</f>
        <v>14:51:13.586</v>
      </c>
      <c r="U3651" t="str">
        <f t="shared" si="171"/>
        <v>ad5732</v>
      </c>
      <c r="V3651">
        <v>0</v>
      </c>
      <c r="W3651">
        <v>0</v>
      </c>
      <c r="X3651">
        <v>1</v>
      </c>
      <c r="Z3651">
        <v>0</v>
      </c>
      <c r="AA3651">
        <v>9</v>
      </c>
      <c r="AB3651">
        <v>3</v>
      </c>
      <c r="AC3651">
        <v>0</v>
      </c>
      <c r="AD3651">
        <v>10</v>
      </c>
      <c r="AE3651">
        <v>0</v>
      </c>
      <c r="AF3651">
        <v>3</v>
      </c>
      <c r="AG3651">
        <v>2</v>
      </c>
      <c r="AH3651">
        <v>0</v>
      </c>
      <c r="AI3651" t="s">
        <v>7350</v>
      </c>
      <c r="AJ3651">
        <v>40.428550000000001</v>
      </c>
      <c r="AK3651" t="s">
        <v>7351</v>
      </c>
      <c r="AL3651">
        <v>-74.465267999999995</v>
      </c>
      <c r="AM3651">
        <v>100</v>
      </c>
      <c r="AN3651">
        <v>1700</v>
      </c>
      <c r="AO3651" t="s">
        <v>115</v>
      </c>
      <c r="AP3651">
        <v>105</v>
      </c>
      <c r="AQ3651">
        <v>61</v>
      </c>
      <c r="AR3651">
        <v>0</v>
      </c>
      <c r="AZ3651">
        <v>3614</v>
      </c>
      <c r="BA3651">
        <v>1</v>
      </c>
      <c r="BB3651" t="str">
        <f t="shared" si="170"/>
        <v xml:space="preserve">N959MJ  </v>
      </c>
      <c r="BC3651">
        <v>1</v>
      </c>
      <c r="BE3651">
        <v>0</v>
      </c>
      <c r="BF3651">
        <v>0</v>
      </c>
      <c r="BG3651">
        <v>0</v>
      </c>
      <c r="BH3651">
        <v>1900</v>
      </c>
      <c r="BI3651">
        <v>200</v>
      </c>
      <c r="BJ3651">
        <v>1</v>
      </c>
      <c r="BK3651">
        <v>1</v>
      </c>
      <c r="BL3651">
        <v>1</v>
      </c>
      <c r="BM3651">
        <v>0</v>
      </c>
      <c r="BP3651">
        <v>0</v>
      </c>
      <c r="BQ3651">
        <v>0</v>
      </c>
      <c r="BX3651" t="str">
        <f>"14:51:13.984"</f>
        <v>14:51:13.984</v>
      </c>
      <c r="BY3651" t="str">
        <f>"985490810"</f>
        <v>985490810</v>
      </c>
      <c r="CL3651">
        <v>0</v>
      </c>
      <c r="CM3651">
        <v>2</v>
      </c>
      <c r="CN3651">
        <v>0</v>
      </c>
      <c r="CO3651">
        <v>2</v>
      </c>
      <c r="CP3651">
        <v>0</v>
      </c>
      <c r="CQ3651">
        <v>6</v>
      </c>
      <c r="CR3651" t="s">
        <v>116</v>
      </c>
      <c r="CS3651">
        <v>38</v>
      </c>
      <c r="CT3651">
        <v>0</v>
      </c>
      <c r="CU3651" t="s">
        <v>4719</v>
      </c>
      <c r="CV3651" t="s">
        <v>4720</v>
      </c>
      <c r="CY3651">
        <v>8202083</v>
      </c>
      <c r="CZ3651" t="s">
        <v>119</v>
      </c>
    </row>
    <row r="3652" spans="1:104" x14ac:dyDescent="0.25">
      <c r="A3652" t="str">
        <f>"14:51:15.313"</f>
        <v>14:51:15.313</v>
      </c>
      <c r="B3652" t="s">
        <v>108</v>
      </c>
      <c r="C3652" t="str">
        <f t="shared" si="169"/>
        <v>ffdfd3c0</v>
      </c>
      <c r="D3652" t="s">
        <v>109</v>
      </c>
      <c r="E3652">
        <v>4</v>
      </c>
      <c r="F3652">
        <v>1004</v>
      </c>
      <c r="G3652" t="s">
        <v>110</v>
      </c>
      <c r="J3652" t="s">
        <v>111</v>
      </c>
      <c r="K3652">
        <v>0</v>
      </c>
      <c r="L3652">
        <v>3</v>
      </c>
      <c r="M3652">
        <v>0</v>
      </c>
      <c r="N3652">
        <v>2</v>
      </c>
      <c r="O3652">
        <v>1</v>
      </c>
      <c r="P3652">
        <v>0</v>
      </c>
      <c r="Q3652">
        <v>0</v>
      </c>
      <c r="R3652" t="s">
        <v>112</v>
      </c>
      <c r="S3652" t="str">
        <f>"14:51:15.102"</f>
        <v>14:51:15.102</v>
      </c>
      <c r="T3652" t="str">
        <f>"14:51:14.602"</f>
        <v>14:51:14.602</v>
      </c>
      <c r="U3652" t="str">
        <f t="shared" si="171"/>
        <v>ad5732</v>
      </c>
      <c r="V3652">
        <v>0</v>
      </c>
      <c r="W3652">
        <v>0</v>
      </c>
      <c r="X3652">
        <v>1</v>
      </c>
      <c r="Z3652">
        <v>0</v>
      </c>
      <c r="AA3652">
        <v>9</v>
      </c>
      <c r="AB3652">
        <v>3</v>
      </c>
      <c r="AC3652">
        <v>0</v>
      </c>
      <c r="AD3652">
        <v>10</v>
      </c>
      <c r="AE3652">
        <v>0</v>
      </c>
      <c r="AF3652">
        <v>3</v>
      </c>
      <c r="AG3652">
        <v>2</v>
      </c>
      <c r="AH3652">
        <v>0</v>
      </c>
      <c r="AI3652" t="s">
        <v>7352</v>
      </c>
      <c r="AJ3652">
        <v>40.428851000000002</v>
      </c>
      <c r="AK3652" t="s">
        <v>7353</v>
      </c>
      <c r="AL3652">
        <v>-74.464517000000001</v>
      </c>
      <c r="AM3652">
        <v>100</v>
      </c>
      <c r="AN3652">
        <v>1700</v>
      </c>
      <c r="AO3652" t="s">
        <v>115</v>
      </c>
      <c r="AP3652">
        <v>105</v>
      </c>
      <c r="AQ3652">
        <v>61</v>
      </c>
      <c r="AR3652">
        <v>64</v>
      </c>
      <c r="AZ3652">
        <v>3614</v>
      </c>
      <c r="BA3652">
        <v>1</v>
      </c>
      <c r="BB3652" t="str">
        <f t="shared" si="170"/>
        <v xml:space="preserve">N959MJ  </v>
      </c>
      <c r="BC3652">
        <v>1</v>
      </c>
      <c r="BE3652">
        <v>0</v>
      </c>
      <c r="BF3652">
        <v>0</v>
      </c>
      <c r="BG3652">
        <v>0</v>
      </c>
      <c r="BH3652">
        <v>1900</v>
      </c>
      <c r="BI3652">
        <v>200</v>
      </c>
      <c r="BJ3652">
        <v>1</v>
      </c>
      <c r="BK3652">
        <v>1</v>
      </c>
      <c r="BL3652">
        <v>1</v>
      </c>
      <c r="BM3652">
        <v>0</v>
      </c>
      <c r="BP3652">
        <v>0</v>
      </c>
      <c r="BQ3652">
        <v>0</v>
      </c>
      <c r="BX3652" t="str">
        <f>"14:51:15.102"</f>
        <v>14:51:15.102</v>
      </c>
      <c r="BY3652" t="str">
        <f>"102903793"</f>
        <v>102903793</v>
      </c>
      <c r="CL3652">
        <v>0</v>
      </c>
      <c r="CM3652">
        <v>2</v>
      </c>
      <c r="CN3652">
        <v>0</v>
      </c>
      <c r="CO3652">
        <v>2</v>
      </c>
      <c r="CP3652">
        <v>0</v>
      </c>
      <c r="CQ3652">
        <v>6</v>
      </c>
      <c r="CR3652" t="s">
        <v>116</v>
      </c>
      <c r="CS3652">
        <v>305</v>
      </c>
      <c r="CT3652">
        <v>3</v>
      </c>
      <c r="CU3652" t="s">
        <v>6425</v>
      </c>
      <c r="CV3652" t="s">
        <v>6426</v>
      </c>
      <c r="CY3652">
        <v>6112910</v>
      </c>
      <c r="CZ3652" t="s">
        <v>119</v>
      </c>
    </row>
    <row r="3653" spans="1:104" x14ac:dyDescent="0.25">
      <c r="A3653" t="str">
        <f>"14:51:16.320"</f>
        <v>14:51:16.320</v>
      </c>
      <c r="B3653" t="s">
        <v>108</v>
      </c>
      <c r="C3653" t="str">
        <f t="shared" si="169"/>
        <v>ffdfd3c0</v>
      </c>
      <c r="D3653" t="s">
        <v>109</v>
      </c>
      <c r="E3653">
        <v>4</v>
      </c>
      <c r="F3653">
        <v>1004</v>
      </c>
      <c r="G3653" t="s">
        <v>110</v>
      </c>
      <c r="J3653" t="s">
        <v>111</v>
      </c>
      <c r="K3653">
        <v>0</v>
      </c>
      <c r="L3653">
        <v>3</v>
      </c>
      <c r="M3653">
        <v>0</v>
      </c>
      <c r="N3653">
        <v>2</v>
      </c>
      <c r="O3653">
        <v>1</v>
      </c>
      <c r="P3653">
        <v>0</v>
      </c>
      <c r="Q3653">
        <v>0</v>
      </c>
      <c r="R3653" t="s">
        <v>112</v>
      </c>
      <c r="S3653" t="str">
        <f>"14:51:16.125"</f>
        <v>14:51:16.125</v>
      </c>
      <c r="T3653" t="str">
        <f>"14:51:15.625"</f>
        <v>14:51:15.625</v>
      </c>
      <c r="U3653" t="str">
        <f t="shared" si="171"/>
        <v>ad5732</v>
      </c>
      <c r="V3653">
        <v>0</v>
      </c>
      <c r="W3653">
        <v>0</v>
      </c>
      <c r="X3653">
        <v>1</v>
      </c>
      <c r="Z3653">
        <v>0</v>
      </c>
      <c r="AA3653">
        <v>9</v>
      </c>
      <c r="AB3653">
        <v>3</v>
      </c>
      <c r="AC3653">
        <v>0</v>
      </c>
      <c r="AD3653">
        <v>10</v>
      </c>
      <c r="AE3653">
        <v>0</v>
      </c>
      <c r="AF3653">
        <v>3</v>
      </c>
      <c r="AG3653">
        <v>2</v>
      </c>
      <c r="AH3653">
        <v>0</v>
      </c>
      <c r="AI3653" t="s">
        <v>7354</v>
      </c>
      <c r="AJ3653">
        <v>40.429130000000001</v>
      </c>
      <c r="AK3653" t="s">
        <v>7355</v>
      </c>
      <c r="AL3653">
        <v>-74.463893999999996</v>
      </c>
      <c r="AM3653">
        <v>100</v>
      </c>
      <c r="AN3653">
        <v>1700</v>
      </c>
      <c r="AO3653" t="s">
        <v>115</v>
      </c>
      <c r="AP3653">
        <v>105</v>
      </c>
      <c r="AQ3653">
        <v>61</v>
      </c>
      <c r="AR3653">
        <v>0</v>
      </c>
      <c r="AZ3653">
        <v>3614</v>
      </c>
      <c r="BA3653">
        <v>1</v>
      </c>
      <c r="BB3653" t="str">
        <f t="shared" si="170"/>
        <v xml:space="preserve">N959MJ  </v>
      </c>
      <c r="BC3653">
        <v>1</v>
      </c>
      <c r="BE3653">
        <v>0</v>
      </c>
      <c r="BF3653">
        <v>0</v>
      </c>
      <c r="BG3653">
        <v>0</v>
      </c>
      <c r="BH3653">
        <v>1900</v>
      </c>
      <c r="BI3653">
        <v>200</v>
      </c>
      <c r="BJ3653">
        <v>1</v>
      </c>
      <c r="BK3653">
        <v>1</v>
      </c>
      <c r="BL3653">
        <v>1</v>
      </c>
      <c r="BM3653">
        <v>0</v>
      </c>
      <c r="BP3653">
        <v>0</v>
      </c>
      <c r="BQ3653">
        <v>0</v>
      </c>
      <c r="BX3653" t="str">
        <f>"14:51:16.125"</f>
        <v>14:51:16.125</v>
      </c>
      <c r="BY3653" t="str">
        <f>"125279263"</f>
        <v>125279263</v>
      </c>
      <c r="CL3653">
        <v>0</v>
      </c>
      <c r="CM3653">
        <v>2</v>
      </c>
      <c r="CN3653">
        <v>0</v>
      </c>
      <c r="CO3653">
        <v>2</v>
      </c>
      <c r="CP3653">
        <v>0</v>
      </c>
      <c r="CQ3653">
        <v>5</v>
      </c>
      <c r="CR3653" t="s">
        <v>116</v>
      </c>
      <c r="CS3653">
        <v>38</v>
      </c>
      <c r="CT3653">
        <v>1</v>
      </c>
      <c r="CU3653" t="s">
        <v>4719</v>
      </c>
      <c r="CV3653" t="s">
        <v>4720</v>
      </c>
      <c r="CY3653">
        <v>12142658</v>
      </c>
      <c r="CZ3653" t="s">
        <v>119</v>
      </c>
    </row>
    <row r="3654" spans="1:104" x14ac:dyDescent="0.25">
      <c r="A3654" t="str">
        <f>"14:51:17.234"</f>
        <v>14:51:17.234</v>
      </c>
      <c r="B3654" t="s">
        <v>108</v>
      </c>
      <c r="C3654" t="str">
        <f t="shared" si="169"/>
        <v>ffdfd3c0</v>
      </c>
      <c r="D3654" t="s">
        <v>109</v>
      </c>
      <c r="E3654">
        <v>4</v>
      </c>
      <c r="F3654">
        <v>1004</v>
      </c>
      <c r="G3654" t="s">
        <v>110</v>
      </c>
      <c r="J3654" t="s">
        <v>111</v>
      </c>
      <c r="K3654">
        <v>0</v>
      </c>
      <c r="L3654">
        <v>3</v>
      </c>
      <c r="M3654">
        <v>0</v>
      </c>
      <c r="N3654">
        <v>2</v>
      </c>
      <c r="O3654">
        <v>1</v>
      </c>
      <c r="P3654">
        <v>0</v>
      </c>
      <c r="Q3654">
        <v>0</v>
      </c>
      <c r="R3654" t="s">
        <v>112</v>
      </c>
      <c r="S3654" t="str">
        <f>"14:51:17.047"</f>
        <v>14:51:17.047</v>
      </c>
      <c r="T3654" t="str">
        <f>"14:51:16.648"</f>
        <v>14:51:16.648</v>
      </c>
      <c r="U3654" t="str">
        <f t="shared" si="171"/>
        <v>ad5732</v>
      </c>
      <c r="V3654">
        <v>0</v>
      </c>
      <c r="W3654">
        <v>0</v>
      </c>
      <c r="X3654">
        <v>1</v>
      </c>
      <c r="Z3654">
        <v>0</v>
      </c>
      <c r="AA3654">
        <v>9</v>
      </c>
      <c r="AB3654">
        <v>3</v>
      </c>
      <c r="AC3654">
        <v>0</v>
      </c>
      <c r="AD3654">
        <v>10</v>
      </c>
      <c r="AE3654">
        <v>0</v>
      </c>
      <c r="AF3654">
        <v>3</v>
      </c>
      <c r="AG3654">
        <v>2</v>
      </c>
      <c r="AH3654">
        <v>0</v>
      </c>
      <c r="AI3654" t="s">
        <v>7356</v>
      </c>
      <c r="AJ3654">
        <v>40.429409</v>
      </c>
      <c r="AK3654" t="s">
        <v>7357</v>
      </c>
      <c r="AL3654">
        <v>-74.463272000000003</v>
      </c>
      <c r="AM3654">
        <v>100</v>
      </c>
      <c r="AN3654">
        <v>1700</v>
      </c>
      <c r="AO3654" t="s">
        <v>115</v>
      </c>
      <c r="AP3654">
        <v>105</v>
      </c>
      <c r="AQ3654">
        <v>61</v>
      </c>
      <c r="AR3654">
        <v>0</v>
      </c>
      <c r="AZ3654">
        <v>3614</v>
      </c>
      <c r="BA3654">
        <v>1</v>
      </c>
      <c r="BB3654" t="str">
        <f t="shared" si="170"/>
        <v xml:space="preserve">N959MJ  </v>
      </c>
      <c r="BC3654">
        <v>1</v>
      </c>
      <c r="BE3654">
        <v>0</v>
      </c>
      <c r="BF3654">
        <v>0</v>
      </c>
      <c r="BG3654">
        <v>0</v>
      </c>
      <c r="BH3654">
        <v>1900</v>
      </c>
      <c r="BI3654">
        <v>200</v>
      </c>
      <c r="BJ3654">
        <v>1</v>
      </c>
      <c r="BK3654">
        <v>1</v>
      </c>
      <c r="BL3654">
        <v>1</v>
      </c>
      <c r="BM3654">
        <v>0</v>
      </c>
      <c r="BP3654">
        <v>0</v>
      </c>
      <c r="BQ3654">
        <v>0</v>
      </c>
      <c r="BX3654" t="str">
        <f>"14:51:17.055"</f>
        <v>14:51:17.055</v>
      </c>
      <c r="BY3654" t="str">
        <f>"052630121"</f>
        <v>052630121</v>
      </c>
      <c r="CL3654">
        <v>0</v>
      </c>
      <c r="CM3654">
        <v>2</v>
      </c>
      <c r="CN3654">
        <v>0</v>
      </c>
      <c r="CO3654">
        <v>2</v>
      </c>
      <c r="CP3654">
        <v>0</v>
      </c>
      <c r="CQ3654">
        <v>6</v>
      </c>
      <c r="CR3654" t="s">
        <v>116</v>
      </c>
      <c r="CS3654">
        <v>38</v>
      </c>
      <c r="CT3654">
        <v>0</v>
      </c>
      <c r="CU3654" t="s">
        <v>4719</v>
      </c>
      <c r="CV3654" t="s">
        <v>4720</v>
      </c>
      <c r="CY3654">
        <v>8206659</v>
      </c>
      <c r="CZ3654" t="s">
        <v>119</v>
      </c>
    </row>
    <row r="3655" spans="1:104" x14ac:dyDescent="0.25">
      <c r="A3655" t="str">
        <f>"14:51:18.188"</f>
        <v>14:51:18.188</v>
      </c>
      <c r="B3655" t="s">
        <v>108</v>
      </c>
      <c r="C3655" t="str">
        <f t="shared" si="169"/>
        <v>ffdfd3c0</v>
      </c>
      <c r="D3655" t="s">
        <v>109</v>
      </c>
      <c r="E3655">
        <v>4</v>
      </c>
      <c r="F3655">
        <v>1004</v>
      </c>
      <c r="G3655" t="s">
        <v>110</v>
      </c>
      <c r="J3655" t="s">
        <v>111</v>
      </c>
      <c r="K3655">
        <v>0</v>
      </c>
      <c r="L3655">
        <v>3</v>
      </c>
      <c r="M3655">
        <v>0</v>
      </c>
      <c r="N3655">
        <v>2</v>
      </c>
      <c r="O3655">
        <v>1</v>
      </c>
      <c r="P3655">
        <v>0</v>
      </c>
      <c r="Q3655">
        <v>0</v>
      </c>
      <c r="R3655" t="s">
        <v>112</v>
      </c>
      <c r="S3655" t="str">
        <f>"14:51:17.969"</f>
        <v>14:51:17.969</v>
      </c>
      <c r="T3655" t="str">
        <f>"14:51:17.672"</f>
        <v>14:51:17.672</v>
      </c>
      <c r="U3655" t="str">
        <f t="shared" si="171"/>
        <v>ad5732</v>
      </c>
      <c r="V3655">
        <v>0</v>
      </c>
      <c r="W3655">
        <v>0</v>
      </c>
      <c r="X3655">
        <v>1</v>
      </c>
      <c r="Z3655">
        <v>0</v>
      </c>
      <c r="AA3655">
        <v>9</v>
      </c>
      <c r="AB3655">
        <v>3</v>
      </c>
      <c r="AC3655">
        <v>0</v>
      </c>
      <c r="AD3655">
        <v>10</v>
      </c>
      <c r="AE3655">
        <v>0</v>
      </c>
      <c r="AF3655">
        <v>3</v>
      </c>
      <c r="AG3655">
        <v>2</v>
      </c>
      <c r="AH3655">
        <v>0</v>
      </c>
      <c r="AI3655" t="s">
        <v>7358</v>
      </c>
      <c r="AJ3655">
        <v>40.429687999999999</v>
      </c>
      <c r="AK3655" t="s">
        <v>7359</v>
      </c>
      <c r="AL3655">
        <v>-74.462714000000005</v>
      </c>
      <c r="AM3655">
        <v>100</v>
      </c>
      <c r="AN3655">
        <v>1700</v>
      </c>
      <c r="AO3655" t="s">
        <v>115</v>
      </c>
      <c r="AP3655">
        <v>105</v>
      </c>
      <c r="AQ3655">
        <v>61</v>
      </c>
      <c r="AR3655">
        <v>64</v>
      </c>
      <c r="AZ3655">
        <v>3614</v>
      </c>
      <c r="BA3655">
        <v>1</v>
      </c>
      <c r="BB3655" t="str">
        <f t="shared" si="170"/>
        <v xml:space="preserve">N959MJ  </v>
      </c>
      <c r="BC3655">
        <v>1</v>
      </c>
      <c r="BE3655">
        <v>0</v>
      </c>
      <c r="BF3655">
        <v>0</v>
      </c>
      <c r="BG3655">
        <v>0</v>
      </c>
      <c r="BH3655">
        <v>1900</v>
      </c>
      <c r="BI3655">
        <v>200</v>
      </c>
      <c r="BJ3655">
        <v>1</v>
      </c>
      <c r="BK3655">
        <v>1</v>
      </c>
      <c r="BL3655">
        <v>1</v>
      </c>
      <c r="BM3655">
        <v>0</v>
      </c>
      <c r="BP3655">
        <v>0</v>
      </c>
      <c r="BQ3655">
        <v>0</v>
      </c>
      <c r="BX3655" t="str">
        <f>"14:51:17.969"</f>
        <v>14:51:17.969</v>
      </c>
      <c r="BY3655" t="str">
        <f>"970153718"</f>
        <v>970153718</v>
      </c>
      <c r="CL3655">
        <v>0</v>
      </c>
      <c r="CM3655">
        <v>2</v>
      </c>
      <c r="CN3655">
        <v>0</v>
      </c>
      <c r="CO3655">
        <v>2</v>
      </c>
      <c r="CP3655">
        <v>0</v>
      </c>
      <c r="CQ3655">
        <v>0</v>
      </c>
      <c r="CR3655" t="s">
        <v>116</v>
      </c>
      <c r="CS3655">
        <v>305</v>
      </c>
      <c r="CT3655">
        <v>3</v>
      </c>
      <c r="CU3655" t="s">
        <v>6425</v>
      </c>
      <c r="CV3655" t="s">
        <v>6426</v>
      </c>
      <c r="CY3655">
        <v>6118835</v>
      </c>
      <c r="CZ3655" t="s">
        <v>119</v>
      </c>
    </row>
    <row r="3656" spans="1:104" x14ac:dyDescent="0.25">
      <c r="A3656" t="str">
        <f>"14:51:19.148"</f>
        <v>14:51:19.148</v>
      </c>
      <c r="B3656" t="s">
        <v>108</v>
      </c>
      <c r="C3656" t="str">
        <f t="shared" si="169"/>
        <v>ffdfd3c0</v>
      </c>
      <c r="D3656" t="s">
        <v>109</v>
      </c>
      <c r="E3656">
        <v>4</v>
      </c>
      <c r="F3656">
        <v>1004</v>
      </c>
      <c r="G3656" t="s">
        <v>110</v>
      </c>
      <c r="J3656" t="s">
        <v>111</v>
      </c>
      <c r="K3656">
        <v>0</v>
      </c>
      <c r="L3656">
        <v>3</v>
      </c>
      <c r="M3656">
        <v>0</v>
      </c>
      <c r="N3656">
        <v>2</v>
      </c>
      <c r="O3656">
        <v>1</v>
      </c>
      <c r="P3656">
        <v>0</v>
      </c>
      <c r="Q3656">
        <v>0</v>
      </c>
      <c r="R3656" t="s">
        <v>112</v>
      </c>
      <c r="S3656" t="str">
        <f>"14:51:18.961"</f>
        <v>14:51:18.961</v>
      </c>
      <c r="T3656" t="str">
        <f>"14:51:18.461"</f>
        <v>14:51:18.461</v>
      </c>
      <c r="U3656" t="str">
        <f t="shared" si="171"/>
        <v>ad5732</v>
      </c>
      <c r="V3656">
        <v>0</v>
      </c>
      <c r="W3656">
        <v>0</v>
      </c>
      <c r="X3656">
        <v>1</v>
      </c>
      <c r="Z3656">
        <v>0</v>
      </c>
      <c r="AA3656">
        <v>9</v>
      </c>
      <c r="AB3656">
        <v>3</v>
      </c>
      <c r="AC3656">
        <v>0</v>
      </c>
      <c r="AD3656">
        <v>10</v>
      </c>
      <c r="AE3656">
        <v>0</v>
      </c>
      <c r="AF3656">
        <v>3</v>
      </c>
      <c r="AG3656">
        <v>2</v>
      </c>
      <c r="AH3656">
        <v>0</v>
      </c>
      <c r="AI3656" t="s">
        <v>7360</v>
      </c>
      <c r="AJ3656">
        <v>40.429966</v>
      </c>
      <c r="AK3656" t="s">
        <v>7361</v>
      </c>
      <c r="AL3656">
        <v>-74.462028000000004</v>
      </c>
      <c r="AM3656">
        <v>100</v>
      </c>
      <c r="AN3656">
        <v>1700</v>
      </c>
      <c r="AO3656" t="s">
        <v>115</v>
      </c>
      <c r="AP3656">
        <v>105</v>
      </c>
      <c r="AQ3656">
        <v>61</v>
      </c>
      <c r="AR3656">
        <v>64</v>
      </c>
      <c r="AZ3656">
        <v>3614</v>
      </c>
      <c r="BA3656">
        <v>1</v>
      </c>
      <c r="BB3656" t="str">
        <f t="shared" si="170"/>
        <v xml:space="preserve">N959MJ  </v>
      </c>
      <c r="BC3656">
        <v>1</v>
      </c>
      <c r="BE3656">
        <v>0</v>
      </c>
      <c r="BF3656">
        <v>0</v>
      </c>
      <c r="BG3656">
        <v>0</v>
      </c>
      <c r="BH3656">
        <v>1900</v>
      </c>
      <c r="BI3656">
        <v>200</v>
      </c>
      <c r="BJ3656">
        <v>1</v>
      </c>
      <c r="BK3656">
        <v>1</v>
      </c>
      <c r="BL3656">
        <v>1</v>
      </c>
      <c r="BM3656">
        <v>0</v>
      </c>
      <c r="BP3656">
        <v>0</v>
      </c>
      <c r="BQ3656">
        <v>0</v>
      </c>
      <c r="BX3656" t="str">
        <f>"14:51:18.969"</f>
        <v>14:51:18.969</v>
      </c>
      <c r="BY3656" t="str">
        <f>"967953761"</f>
        <v>967953761</v>
      </c>
      <c r="CL3656">
        <v>0</v>
      </c>
      <c r="CM3656">
        <v>2</v>
      </c>
      <c r="CN3656">
        <v>0</v>
      </c>
      <c r="CO3656">
        <v>2</v>
      </c>
      <c r="CP3656">
        <v>0</v>
      </c>
      <c r="CQ3656">
        <v>6</v>
      </c>
      <c r="CR3656" t="s">
        <v>116</v>
      </c>
      <c r="CS3656">
        <v>38</v>
      </c>
      <c r="CT3656">
        <v>0</v>
      </c>
      <c r="CU3656" t="s">
        <v>4719</v>
      </c>
      <c r="CV3656" t="s">
        <v>4720</v>
      </c>
      <c r="CY3656">
        <v>8209682</v>
      </c>
      <c r="CZ3656" t="s">
        <v>119</v>
      </c>
    </row>
    <row r="3657" spans="1:104" x14ac:dyDescent="0.25">
      <c r="A3657" t="str">
        <f>"14:51:20.109"</f>
        <v>14:51:20.109</v>
      </c>
      <c r="B3657" t="s">
        <v>108</v>
      </c>
      <c r="C3657" t="str">
        <f t="shared" si="169"/>
        <v>ffdfd3c0</v>
      </c>
      <c r="D3657" t="s">
        <v>109</v>
      </c>
      <c r="E3657">
        <v>4</v>
      </c>
      <c r="F3657">
        <v>1004</v>
      </c>
      <c r="G3657" t="s">
        <v>110</v>
      </c>
      <c r="J3657" t="s">
        <v>111</v>
      </c>
      <c r="K3657">
        <v>0</v>
      </c>
      <c r="L3657">
        <v>3</v>
      </c>
      <c r="M3657">
        <v>0</v>
      </c>
      <c r="N3657">
        <v>2</v>
      </c>
      <c r="O3657">
        <v>1</v>
      </c>
      <c r="P3657">
        <v>0</v>
      </c>
      <c r="Q3657">
        <v>0</v>
      </c>
      <c r="R3657" t="s">
        <v>112</v>
      </c>
      <c r="S3657" t="str">
        <f>"14:51:19.922"</f>
        <v>14:51:19.922</v>
      </c>
      <c r="T3657" t="str">
        <f>"14:51:19.523"</f>
        <v>14:51:19.523</v>
      </c>
      <c r="U3657" t="str">
        <f t="shared" si="171"/>
        <v>ad5732</v>
      </c>
      <c r="V3657">
        <v>0</v>
      </c>
      <c r="W3657">
        <v>0</v>
      </c>
      <c r="X3657">
        <v>1</v>
      </c>
      <c r="Z3657">
        <v>0</v>
      </c>
      <c r="AA3657">
        <v>9</v>
      </c>
      <c r="AB3657">
        <v>3</v>
      </c>
      <c r="AC3657">
        <v>0</v>
      </c>
      <c r="AD3657">
        <v>10</v>
      </c>
      <c r="AE3657">
        <v>0</v>
      </c>
      <c r="AF3657">
        <v>3</v>
      </c>
      <c r="AG3657">
        <v>2</v>
      </c>
      <c r="AH3657">
        <v>0</v>
      </c>
      <c r="AI3657" t="s">
        <v>7362</v>
      </c>
      <c r="AJ3657">
        <v>40.430202000000001</v>
      </c>
      <c r="AK3657" t="s">
        <v>7363</v>
      </c>
      <c r="AL3657">
        <v>-74.461470000000006</v>
      </c>
      <c r="AM3657">
        <v>100</v>
      </c>
      <c r="AN3657">
        <v>1700</v>
      </c>
      <c r="AO3657" t="s">
        <v>115</v>
      </c>
      <c r="AP3657">
        <v>105</v>
      </c>
      <c r="AQ3657">
        <v>61</v>
      </c>
      <c r="AR3657">
        <v>64</v>
      </c>
      <c r="AZ3657">
        <v>3614</v>
      </c>
      <c r="BA3657">
        <v>1</v>
      </c>
      <c r="BB3657" t="str">
        <f t="shared" si="170"/>
        <v xml:space="preserve">N959MJ  </v>
      </c>
      <c r="BC3657">
        <v>1</v>
      </c>
      <c r="BE3657">
        <v>0</v>
      </c>
      <c r="BF3657">
        <v>0</v>
      </c>
      <c r="BG3657">
        <v>0</v>
      </c>
      <c r="BH3657">
        <v>1900</v>
      </c>
      <c r="BI3657">
        <v>200</v>
      </c>
      <c r="BJ3657">
        <v>1</v>
      </c>
      <c r="BK3657">
        <v>1</v>
      </c>
      <c r="BL3657">
        <v>1</v>
      </c>
      <c r="BM3657">
        <v>0</v>
      </c>
      <c r="BP3657">
        <v>0</v>
      </c>
      <c r="BQ3657">
        <v>0</v>
      </c>
      <c r="BX3657" t="str">
        <f>"14:51:19.922"</f>
        <v>14:51:19.922</v>
      </c>
      <c r="BY3657" t="str">
        <f>"923157985"</f>
        <v>923157985</v>
      </c>
      <c r="CL3657">
        <v>0</v>
      </c>
      <c r="CM3657">
        <v>2</v>
      </c>
      <c r="CN3657">
        <v>0</v>
      </c>
      <c r="CO3657">
        <v>2</v>
      </c>
      <c r="CP3657">
        <v>0</v>
      </c>
      <c r="CQ3657">
        <v>6</v>
      </c>
      <c r="CR3657" t="s">
        <v>116</v>
      </c>
      <c r="CS3657">
        <v>38</v>
      </c>
      <c r="CT3657">
        <v>0</v>
      </c>
      <c r="CU3657" t="s">
        <v>4719</v>
      </c>
      <c r="CV3657" t="s">
        <v>4720</v>
      </c>
      <c r="CY3657">
        <v>8211244</v>
      </c>
      <c r="CZ3657" t="s">
        <v>119</v>
      </c>
    </row>
    <row r="3658" spans="1:104" x14ac:dyDescent="0.25">
      <c r="A3658" t="str">
        <f>"14:51:21.219"</f>
        <v>14:51:21.219</v>
      </c>
      <c r="B3658" t="s">
        <v>108</v>
      </c>
      <c r="C3658" t="str">
        <f t="shared" ref="C3658:C3721" si="172">"ffdfd3c0"</f>
        <v>ffdfd3c0</v>
      </c>
      <c r="D3658" t="s">
        <v>109</v>
      </c>
      <c r="E3658">
        <v>4</v>
      </c>
      <c r="F3658">
        <v>1004</v>
      </c>
      <c r="G3658" t="s">
        <v>110</v>
      </c>
      <c r="J3658" t="s">
        <v>111</v>
      </c>
      <c r="K3658">
        <v>0</v>
      </c>
      <c r="L3658">
        <v>3</v>
      </c>
      <c r="M3658">
        <v>0</v>
      </c>
      <c r="N3658">
        <v>2</v>
      </c>
      <c r="O3658">
        <v>1</v>
      </c>
      <c r="P3658">
        <v>0</v>
      </c>
      <c r="Q3658">
        <v>0</v>
      </c>
      <c r="R3658" t="s">
        <v>112</v>
      </c>
      <c r="S3658" t="str">
        <f>"14:51:21.031"</f>
        <v>14:51:21.031</v>
      </c>
      <c r="T3658" t="str">
        <f>"14:51:20.531"</f>
        <v>14:51:20.531</v>
      </c>
      <c r="U3658" t="str">
        <f t="shared" si="171"/>
        <v>ad5732</v>
      </c>
      <c r="V3658">
        <v>0</v>
      </c>
      <c r="W3658">
        <v>0</v>
      </c>
      <c r="X3658">
        <v>1</v>
      </c>
      <c r="Z3658">
        <v>0</v>
      </c>
      <c r="AA3658">
        <v>9</v>
      </c>
      <c r="AB3658">
        <v>3</v>
      </c>
      <c r="AC3658">
        <v>0</v>
      </c>
      <c r="AD3658">
        <v>10</v>
      </c>
      <c r="AE3658">
        <v>0</v>
      </c>
      <c r="AF3658">
        <v>3</v>
      </c>
      <c r="AG3658">
        <v>2</v>
      </c>
      <c r="AH3658">
        <v>0</v>
      </c>
      <c r="AI3658" t="s">
        <v>7364</v>
      </c>
      <c r="AJ3658">
        <v>40.430567000000003</v>
      </c>
      <c r="AK3658" t="s">
        <v>7365</v>
      </c>
      <c r="AL3658">
        <v>-74.460718999999997</v>
      </c>
      <c r="AM3658">
        <v>100</v>
      </c>
      <c r="AN3658">
        <v>1700</v>
      </c>
      <c r="AO3658" t="s">
        <v>115</v>
      </c>
      <c r="AP3658">
        <v>105</v>
      </c>
      <c r="AQ3658">
        <v>62</v>
      </c>
      <c r="AR3658">
        <v>64</v>
      </c>
      <c r="AZ3658">
        <v>3614</v>
      </c>
      <c r="BA3658">
        <v>1</v>
      </c>
      <c r="BB3658" t="str">
        <f t="shared" ref="BB3658:BB3721" si="173">"N959MJ  "</f>
        <v xml:space="preserve">N959MJ  </v>
      </c>
      <c r="BC3658">
        <v>1</v>
      </c>
      <c r="BE3658">
        <v>0</v>
      </c>
      <c r="BF3658">
        <v>0</v>
      </c>
      <c r="BG3658">
        <v>0</v>
      </c>
      <c r="BH3658">
        <v>1900</v>
      </c>
      <c r="BI3658">
        <v>200</v>
      </c>
      <c r="BJ3658">
        <v>1</v>
      </c>
      <c r="BK3658">
        <v>1</v>
      </c>
      <c r="BL3658">
        <v>1</v>
      </c>
      <c r="BM3658">
        <v>0</v>
      </c>
      <c r="BP3658">
        <v>0</v>
      </c>
      <c r="BQ3658">
        <v>0</v>
      </c>
      <c r="BX3658" t="str">
        <f>"14:51:21.039"</f>
        <v>14:51:21.039</v>
      </c>
      <c r="BY3658" t="str">
        <f>"035651310"</f>
        <v>035651310</v>
      </c>
      <c r="CL3658">
        <v>0</v>
      </c>
      <c r="CM3658">
        <v>2</v>
      </c>
      <c r="CN3658">
        <v>0</v>
      </c>
      <c r="CO3658">
        <v>2</v>
      </c>
      <c r="CP3658">
        <v>0</v>
      </c>
      <c r="CQ3658">
        <v>6</v>
      </c>
      <c r="CR3658" t="s">
        <v>116</v>
      </c>
      <c r="CS3658">
        <v>38</v>
      </c>
      <c r="CT3658">
        <v>0</v>
      </c>
      <c r="CU3658" t="s">
        <v>4719</v>
      </c>
      <c r="CV3658" t="s">
        <v>4720</v>
      </c>
      <c r="CY3658">
        <v>8212955</v>
      </c>
      <c r="CZ3658" t="s">
        <v>119</v>
      </c>
    </row>
    <row r="3659" spans="1:104" x14ac:dyDescent="0.25">
      <c r="A3659" t="str">
        <f>"14:51:22.133"</f>
        <v>14:51:22.133</v>
      </c>
      <c r="B3659" t="s">
        <v>108</v>
      </c>
      <c r="C3659" t="str">
        <f t="shared" si="172"/>
        <v>ffdfd3c0</v>
      </c>
      <c r="D3659" t="s">
        <v>109</v>
      </c>
      <c r="E3659">
        <v>4</v>
      </c>
      <c r="F3659">
        <v>1004</v>
      </c>
      <c r="G3659" t="s">
        <v>110</v>
      </c>
      <c r="J3659" t="s">
        <v>111</v>
      </c>
      <c r="K3659">
        <v>0</v>
      </c>
      <c r="L3659">
        <v>3</v>
      </c>
      <c r="M3659">
        <v>0</v>
      </c>
      <c r="N3659">
        <v>2</v>
      </c>
      <c r="O3659">
        <v>1</v>
      </c>
      <c r="P3659">
        <v>0</v>
      </c>
      <c r="Q3659">
        <v>0</v>
      </c>
      <c r="R3659" t="s">
        <v>112</v>
      </c>
      <c r="S3659" t="str">
        <f>"14:51:21.961"</f>
        <v>14:51:21.961</v>
      </c>
      <c r="T3659" t="str">
        <f>"14:51:21.563"</f>
        <v>14:51:21.563</v>
      </c>
      <c r="U3659" t="str">
        <f t="shared" si="171"/>
        <v>ad5732</v>
      </c>
      <c r="V3659">
        <v>0</v>
      </c>
      <c r="W3659">
        <v>0</v>
      </c>
      <c r="X3659">
        <v>1</v>
      </c>
      <c r="Z3659">
        <v>0</v>
      </c>
      <c r="AA3659">
        <v>9</v>
      </c>
      <c r="AB3659">
        <v>3</v>
      </c>
      <c r="AC3659">
        <v>0</v>
      </c>
      <c r="AD3659">
        <v>10</v>
      </c>
      <c r="AE3659">
        <v>0</v>
      </c>
      <c r="AF3659">
        <v>3</v>
      </c>
      <c r="AG3659">
        <v>2</v>
      </c>
      <c r="AH3659">
        <v>0</v>
      </c>
      <c r="AI3659" t="s">
        <v>7366</v>
      </c>
      <c r="AJ3659">
        <v>40.430824999999999</v>
      </c>
      <c r="AK3659" t="s">
        <v>7367</v>
      </c>
      <c r="AL3659">
        <v>-74.460138999999998</v>
      </c>
      <c r="AM3659">
        <v>100</v>
      </c>
      <c r="AN3659">
        <v>1700</v>
      </c>
      <c r="AO3659" t="s">
        <v>115</v>
      </c>
      <c r="AP3659">
        <v>104</v>
      </c>
      <c r="AQ3659">
        <v>62</v>
      </c>
      <c r="AR3659">
        <v>0</v>
      </c>
      <c r="AZ3659">
        <v>3614</v>
      </c>
      <c r="BA3659">
        <v>1</v>
      </c>
      <c r="BB3659" t="str">
        <f t="shared" si="173"/>
        <v xml:space="preserve">N959MJ  </v>
      </c>
      <c r="BC3659">
        <v>1</v>
      </c>
      <c r="BE3659">
        <v>0</v>
      </c>
      <c r="BF3659">
        <v>0</v>
      </c>
      <c r="BG3659">
        <v>0</v>
      </c>
      <c r="BH3659">
        <v>1900</v>
      </c>
      <c r="BI3659">
        <v>200</v>
      </c>
      <c r="BJ3659">
        <v>1</v>
      </c>
      <c r="BK3659">
        <v>1</v>
      </c>
      <c r="BL3659">
        <v>1</v>
      </c>
      <c r="BM3659">
        <v>0</v>
      </c>
      <c r="BP3659">
        <v>0</v>
      </c>
      <c r="BQ3659">
        <v>0</v>
      </c>
      <c r="BX3659" t="str">
        <f>"14:51:21.969"</f>
        <v>14:51:21.969</v>
      </c>
      <c r="BY3659" t="str">
        <f>"967917467"</f>
        <v>967917467</v>
      </c>
      <c r="CL3659">
        <v>0</v>
      </c>
      <c r="CM3659">
        <v>2</v>
      </c>
      <c r="CN3659">
        <v>0</v>
      </c>
      <c r="CO3659">
        <v>2</v>
      </c>
      <c r="CP3659">
        <v>0</v>
      </c>
      <c r="CQ3659">
        <v>6</v>
      </c>
      <c r="CR3659" t="s">
        <v>116</v>
      </c>
      <c r="CS3659">
        <v>38</v>
      </c>
      <c r="CT3659">
        <v>0</v>
      </c>
      <c r="CU3659" t="s">
        <v>4719</v>
      </c>
      <c r="CV3659" t="s">
        <v>4720</v>
      </c>
      <c r="CY3659">
        <v>8214403</v>
      </c>
      <c r="CZ3659" t="s">
        <v>119</v>
      </c>
    </row>
    <row r="3660" spans="1:104" x14ac:dyDescent="0.25">
      <c r="A3660" t="str">
        <f>"14:51:23.188"</f>
        <v>14:51:23.188</v>
      </c>
      <c r="B3660" t="s">
        <v>108</v>
      </c>
      <c r="C3660" t="str">
        <f t="shared" si="172"/>
        <v>ffdfd3c0</v>
      </c>
      <c r="D3660" t="s">
        <v>109</v>
      </c>
      <c r="E3660">
        <v>4</v>
      </c>
      <c r="F3660">
        <v>1004</v>
      </c>
      <c r="G3660" t="s">
        <v>110</v>
      </c>
      <c r="J3660" t="s">
        <v>111</v>
      </c>
      <c r="K3660">
        <v>0</v>
      </c>
      <c r="L3660">
        <v>3</v>
      </c>
      <c r="M3660">
        <v>0</v>
      </c>
      <c r="N3660">
        <v>2</v>
      </c>
      <c r="O3660">
        <v>1</v>
      </c>
      <c r="P3660">
        <v>0</v>
      </c>
      <c r="Q3660">
        <v>0</v>
      </c>
      <c r="R3660" t="s">
        <v>112</v>
      </c>
      <c r="S3660" t="str">
        <f>"14:51:23.016"</f>
        <v>14:51:23.016</v>
      </c>
      <c r="T3660" t="str">
        <f>"14:51:22.516"</f>
        <v>14:51:22.516</v>
      </c>
      <c r="U3660" t="str">
        <f t="shared" si="171"/>
        <v>ad5732</v>
      </c>
      <c r="V3660">
        <v>0</v>
      </c>
      <c r="W3660">
        <v>0</v>
      </c>
      <c r="X3660">
        <v>1</v>
      </c>
      <c r="Z3660">
        <v>0</v>
      </c>
      <c r="AA3660">
        <v>9</v>
      </c>
      <c r="AB3660">
        <v>3</v>
      </c>
      <c r="AC3660">
        <v>0</v>
      </c>
      <c r="AD3660">
        <v>10</v>
      </c>
      <c r="AE3660">
        <v>0</v>
      </c>
      <c r="AF3660">
        <v>3</v>
      </c>
      <c r="AG3660">
        <v>2</v>
      </c>
      <c r="AH3660">
        <v>0</v>
      </c>
      <c r="AI3660" t="s">
        <v>7368</v>
      </c>
      <c r="AJ3660">
        <v>40.431103999999998</v>
      </c>
      <c r="AK3660" t="s">
        <v>7369</v>
      </c>
      <c r="AL3660">
        <v>-74.459537999999995</v>
      </c>
      <c r="AM3660">
        <v>100</v>
      </c>
      <c r="AN3660">
        <v>1700</v>
      </c>
      <c r="AO3660" t="s">
        <v>115</v>
      </c>
      <c r="AP3660">
        <v>104</v>
      </c>
      <c r="AQ3660">
        <v>62</v>
      </c>
      <c r="AR3660">
        <v>0</v>
      </c>
      <c r="AZ3660">
        <v>3614</v>
      </c>
      <c r="BA3660">
        <v>1</v>
      </c>
      <c r="BB3660" t="str">
        <f t="shared" si="173"/>
        <v xml:space="preserve">N959MJ  </v>
      </c>
      <c r="BC3660">
        <v>1</v>
      </c>
      <c r="BE3660">
        <v>0</v>
      </c>
      <c r="BF3660">
        <v>0</v>
      </c>
      <c r="BG3660">
        <v>0</v>
      </c>
      <c r="BH3660">
        <v>1900</v>
      </c>
      <c r="BI3660">
        <v>200</v>
      </c>
      <c r="BJ3660">
        <v>1</v>
      </c>
      <c r="BK3660">
        <v>1</v>
      </c>
      <c r="BL3660">
        <v>1</v>
      </c>
      <c r="BM3660">
        <v>0</v>
      </c>
      <c r="BP3660">
        <v>0</v>
      </c>
      <c r="BQ3660">
        <v>0</v>
      </c>
      <c r="BX3660" t="str">
        <f>"14:51:23.016"</f>
        <v>14:51:23.016</v>
      </c>
      <c r="BY3660" t="str">
        <f>"018150530"</f>
        <v>018150530</v>
      </c>
      <c r="CL3660">
        <v>0</v>
      </c>
      <c r="CM3660">
        <v>2</v>
      </c>
      <c r="CN3660">
        <v>0</v>
      </c>
      <c r="CO3660">
        <v>2</v>
      </c>
      <c r="CP3660">
        <v>0</v>
      </c>
      <c r="CQ3660">
        <v>7</v>
      </c>
      <c r="CR3660" t="s">
        <v>116</v>
      </c>
      <c r="CS3660">
        <v>38</v>
      </c>
      <c r="CT3660">
        <v>0</v>
      </c>
      <c r="CU3660" t="s">
        <v>4719</v>
      </c>
      <c r="CV3660" t="s">
        <v>4720</v>
      </c>
      <c r="CY3660">
        <v>8216147</v>
      </c>
      <c r="CZ3660" t="s">
        <v>119</v>
      </c>
    </row>
    <row r="3661" spans="1:104" x14ac:dyDescent="0.25">
      <c r="A3661" t="str">
        <f>"14:51:24.250"</f>
        <v>14:51:24.250</v>
      </c>
      <c r="B3661" t="s">
        <v>108</v>
      </c>
      <c r="C3661" t="str">
        <f t="shared" si="172"/>
        <v>ffdfd3c0</v>
      </c>
      <c r="D3661" t="s">
        <v>109</v>
      </c>
      <c r="E3661">
        <v>4</v>
      </c>
      <c r="F3661">
        <v>1004</v>
      </c>
      <c r="G3661" t="s">
        <v>110</v>
      </c>
      <c r="J3661" t="s">
        <v>111</v>
      </c>
      <c r="K3661">
        <v>0</v>
      </c>
      <c r="L3661">
        <v>3</v>
      </c>
      <c r="M3661">
        <v>0</v>
      </c>
      <c r="N3661">
        <v>2</v>
      </c>
      <c r="O3661">
        <v>1</v>
      </c>
      <c r="P3661">
        <v>0</v>
      </c>
      <c r="Q3661">
        <v>0</v>
      </c>
      <c r="R3661" t="s">
        <v>112</v>
      </c>
      <c r="S3661" t="str">
        <f>"14:51:24.047"</f>
        <v>14:51:24.047</v>
      </c>
      <c r="T3661" t="str">
        <f>"14:51:23.547"</f>
        <v>14:51:23.547</v>
      </c>
      <c r="U3661" t="str">
        <f t="shared" si="171"/>
        <v>ad5732</v>
      </c>
      <c r="V3661">
        <v>0</v>
      </c>
      <c r="W3661">
        <v>0</v>
      </c>
      <c r="X3661">
        <v>1</v>
      </c>
      <c r="Z3661">
        <v>0</v>
      </c>
      <c r="AA3661">
        <v>9</v>
      </c>
      <c r="AB3661">
        <v>3</v>
      </c>
      <c r="AC3661">
        <v>0</v>
      </c>
      <c r="AD3661">
        <v>10</v>
      </c>
      <c r="AE3661">
        <v>0</v>
      </c>
      <c r="AF3661">
        <v>3</v>
      </c>
      <c r="AG3661">
        <v>2</v>
      </c>
      <c r="AH3661">
        <v>0</v>
      </c>
      <c r="AI3661" t="s">
        <v>7370</v>
      </c>
      <c r="AJ3661">
        <v>40.431404000000001</v>
      </c>
      <c r="AK3661" t="s">
        <v>7371</v>
      </c>
      <c r="AL3661">
        <v>-74.458830000000006</v>
      </c>
      <c r="AM3661">
        <v>100</v>
      </c>
      <c r="AN3661">
        <v>1700</v>
      </c>
      <c r="AO3661" t="s">
        <v>115</v>
      </c>
      <c r="AP3661">
        <v>104</v>
      </c>
      <c r="AQ3661">
        <v>63</v>
      </c>
      <c r="AR3661">
        <v>0</v>
      </c>
      <c r="AZ3661">
        <v>3614</v>
      </c>
      <c r="BA3661">
        <v>1</v>
      </c>
      <c r="BB3661" t="str">
        <f t="shared" si="173"/>
        <v xml:space="preserve">N959MJ  </v>
      </c>
      <c r="BC3661">
        <v>1</v>
      </c>
      <c r="BE3661">
        <v>0</v>
      </c>
      <c r="BF3661">
        <v>0</v>
      </c>
      <c r="BG3661">
        <v>0</v>
      </c>
      <c r="BH3661">
        <v>1900</v>
      </c>
      <c r="BI3661">
        <v>200</v>
      </c>
      <c r="BJ3661">
        <v>1</v>
      </c>
      <c r="BK3661">
        <v>1</v>
      </c>
      <c r="BL3661">
        <v>1</v>
      </c>
      <c r="BM3661">
        <v>0</v>
      </c>
      <c r="BP3661">
        <v>0</v>
      </c>
      <c r="BQ3661">
        <v>0</v>
      </c>
      <c r="BX3661" t="str">
        <f>"14:51:24.055"</f>
        <v>14:51:24.055</v>
      </c>
      <c r="BY3661" t="str">
        <f>"053638656"</f>
        <v>053638656</v>
      </c>
      <c r="CL3661">
        <v>0</v>
      </c>
      <c r="CM3661">
        <v>2</v>
      </c>
      <c r="CN3661">
        <v>0</v>
      </c>
      <c r="CO3661">
        <v>2</v>
      </c>
      <c r="CP3661">
        <v>0</v>
      </c>
      <c r="CQ3661">
        <v>7</v>
      </c>
      <c r="CR3661" t="s">
        <v>116</v>
      </c>
      <c r="CS3661">
        <v>305</v>
      </c>
      <c r="CT3661">
        <v>3</v>
      </c>
      <c r="CU3661" t="s">
        <v>6425</v>
      </c>
      <c r="CV3661" t="s">
        <v>6426</v>
      </c>
      <c r="CY3661">
        <v>6131132</v>
      </c>
      <c r="CZ3661" t="s">
        <v>119</v>
      </c>
    </row>
    <row r="3662" spans="1:104" x14ac:dyDescent="0.25">
      <c r="A3662" t="str">
        <f>"14:51:25.164"</f>
        <v>14:51:25.164</v>
      </c>
      <c r="B3662" t="s">
        <v>108</v>
      </c>
      <c r="C3662" t="str">
        <f t="shared" si="172"/>
        <v>ffdfd3c0</v>
      </c>
      <c r="D3662" t="s">
        <v>109</v>
      </c>
      <c r="E3662">
        <v>4</v>
      </c>
      <c r="F3662">
        <v>1004</v>
      </c>
      <c r="G3662" t="s">
        <v>110</v>
      </c>
      <c r="J3662" t="s">
        <v>111</v>
      </c>
      <c r="K3662">
        <v>0</v>
      </c>
      <c r="L3662">
        <v>3</v>
      </c>
      <c r="M3662">
        <v>0</v>
      </c>
      <c r="N3662">
        <v>2</v>
      </c>
      <c r="O3662">
        <v>1</v>
      </c>
      <c r="P3662">
        <v>0</v>
      </c>
      <c r="Q3662">
        <v>0</v>
      </c>
      <c r="R3662" t="s">
        <v>112</v>
      </c>
      <c r="S3662" t="str">
        <f>"14:51:24.984"</f>
        <v>14:51:24.984</v>
      </c>
      <c r="T3662" t="str">
        <f>"14:51:24.484"</f>
        <v>14:51:24.484</v>
      </c>
      <c r="U3662" t="str">
        <f t="shared" si="171"/>
        <v>ad5732</v>
      </c>
      <c r="V3662">
        <v>0</v>
      </c>
      <c r="W3662">
        <v>0</v>
      </c>
      <c r="X3662">
        <v>1</v>
      </c>
      <c r="Z3662">
        <v>0</v>
      </c>
      <c r="AA3662">
        <v>9</v>
      </c>
      <c r="AB3662">
        <v>3</v>
      </c>
      <c r="AC3662">
        <v>0</v>
      </c>
      <c r="AD3662">
        <v>10</v>
      </c>
      <c r="AE3662">
        <v>0</v>
      </c>
      <c r="AF3662">
        <v>3</v>
      </c>
      <c r="AG3662">
        <v>2</v>
      </c>
      <c r="AH3662">
        <v>0</v>
      </c>
      <c r="AI3662" t="s">
        <v>7372</v>
      </c>
      <c r="AJ3662">
        <v>40.431705000000001</v>
      </c>
      <c r="AK3662" t="s">
        <v>7373</v>
      </c>
      <c r="AL3662">
        <v>-74.458251000000004</v>
      </c>
      <c r="AM3662">
        <v>100</v>
      </c>
      <c r="AN3662">
        <v>1700</v>
      </c>
      <c r="AO3662" t="s">
        <v>115</v>
      </c>
      <c r="AP3662">
        <v>104</v>
      </c>
      <c r="AQ3662">
        <v>63</v>
      </c>
      <c r="AR3662">
        <v>0</v>
      </c>
      <c r="AZ3662">
        <v>3614</v>
      </c>
      <c r="BA3662">
        <v>1</v>
      </c>
      <c r="BB3662" t="str">
        <f t="shared" si="173"/>
        <v xml:space="preserve">N959MJ  </v>
      </c>
      <c r="BC3662">
        <v>1</v>
      </c>
      <c r="BE3662">
        <v>0</v>
      </c>
      <c r="BF3662">
        <v>0</v>
      </c>
      <c r="BG3662">
        <v>0</v>
      </c>
      <c r="BH3662">
        <v>1900</v>
      </c>
      <c r="BI3662">
        <v>200</v>
      </c>
      <c r="BJ3662">
        <v>1</v>
      </c>
      <c r="BK3662">
        <v>1</v>
      </c>
      <c r="BL3662">
        <v>1</v>
      </c>
      <c r="BM3662">
        <v>0</v>
      </c>
      <c r="BP3662">
        <v>0</v>
      </c>
      <c r="BQ3662">
        <v>0</v>
      </c>
      <c r="BX3662" t="str">
        <f>"14:51:24.984"</f>
        <v>14:51:24.984</v>
      </c>
      <c r="BY3662" t="str">
        <f>"985904520"</f>
        <v>985904520</v>
      </c>
      <c r="CL3662">
        <v>0</v>
      </c>
      <c r="CM3662">
        <v>2</v>
      </c>
      <c r="CN3662">
        <v>0</v>
      </c>
      <c r="CO3662">
        <v>2</v>
      </c>
      <c r="CP3662">
        <v>0</v>
      </c>
      <c r="CQ3662">
        <v>6</v>
      </c>
      <c r="CR3662" t="s">
        <v>116</v>
      </c>
      <c r="CS3662">
        <v>305</v>
      </c>
      <c r="CT3662">
        <v>3</v>
      </c>
      <c r="CU3662" t="s">
        <v>6425</v>
      </c>
      <c r="CV3662" t="s">
        <v>6426</v>
      </c>
      <c r="CY3662">
        <v>6132915</v>
      </c>
      <c r="CZ3662" t="s">
        <v>119</v>
      </c>
    </row>
    <row r="3663" spans="1:104" x14ac:dyDescent="0.25">
      <c r="A3663" t="str">
        <f>"14:51:26.070"</f>
        <v>14:51:26.070</v>
      </c>
      <c r="B3663" t="s">
        <v>108</v>
      </c>
      <c r="C3663" t="str">
        <f t="shared" si="172"/>
        <v>ffdfd3c0</v>
      </c>
      <c r="D3663" t="s">
        <v>109</v>
      </c>
      <c r="E3663">
        <v>4</v>
      </c>
      <c r="F3663">
        <v>1004</v>
      </c>
      <c r="G3663" t="s">
        <v>110</v>
      </c>
      <c r="J3663" t="s">
        <v>111</v>
      </c>
      <c r="K3663">
        <v>0</v>
      </c>
      <c r="L3663">
        <v>3</v>
      </c>
      <c r="M3663">
        <v>0</v>
      </c>
      <c r="N3663">
        <v>2</v>
      </c>
      <c r="O3663">
        <v>1</v>
      </c>
      <c r="P3663">
        <v>0</v>
      </c>
      <c r="Q3663">
        <v>0</v>
      </c>
      <c r="R3663" t="s">
        <v>112</v>
      </c>
      <c r="S3663" t="str">
        <f>"14:51:25.867"</f>
        <v>14:51:25.867</v>
      </c>
      <c r="T3663" t="str">
        <f>"14:51:25.469"</f>
        <v>14:51:25.469</v>
      </c>
      <c r="U3663" t="str">
        <f t="shared" si="171"/>
        <v>ad5732</v>
      </c>
      <c r="V3663">
        <v>0</v>
      </c>
      <c r="W3663">
        <v>0</v>
      </c>
      <c r="X3663">
        <v>1</v>
      </c>
      <c r="Z3663">
        <v>0</v>
      </c>
      <c r="AA3663">
        <v>9</v>
      </c>
      <c r="AB3663">
        <v>3</v>
      </c>
      <c r="AC3663">
        <v>0</v>
      </c>
      <c r="AD3663">
        <v>10</v>
      </c>
      <c r="AE3663">
        <v>0</v>
      </c>
      <c r="AF3663">
        <v>3</v>
      </c>
      <c r="AG3663">
        <v>2</v>
      </c>
      <c r="AH3663">
        <v>0</v>
      </c>
      <c r="AI3663" t="s">
        <v>7374</v>
      </c>
      <c r="AJ3663">
        <v>40.431961999999999</v>
      </c>
      <c r="AK3663" t="s">
        <v>7375</v>
      </c>
      <c r="AL3663">
        <v>-74.457714999999993</v>
      </c>
      <c r="AM3663">
        <v>100</v>
      </c>
      <c r="AN3663">
        <v>1700</v>
      </c>
      <c r="AO3663" t="s">
        <v>115</v>
      </c>
      <c r="AP3663">
        <v>104</v>
      </c>
      <c r="AQ3663">
        <v>63</v>
      </c>
      <c r="AR3663">
        <v>0</v>
      </c>
      <c r="AZ3663">
        <v>3614</v>
      </c>
      <c r="BA3663">
        <v>1</v>
      </c>
      <c r="BB3663" t="str">
        <f t="shared" si="173"/>
        <v xml:space="preserve">N959MJ  </v>
      </c>
      <c r="BC3663">
        <v>1</v>
      </c>
      <c r="BE3663">
        <v>0</v>
      </c>
      <c r="BF3663">
        <v>0</v>
      </c>
      <c r="BG3663">
        <v>0</v>
      </c>
      <c r="BH3663">
        <v>1900</v>
      </c>
      <c r="BI3663">
        <v>200</v>
      </c>
      <c r="BJ3663">
        <v>1</v>
      </c>
      <c r="BK3663">
        <v>1</v>
      </c>
      <c r="BL3663">
        <v>1</v>
      </c>
      <c r="BM3663">
        <v>0</v>
      </c>
      <c r="BP3663">
        <v>0</v>
      </c>
      <c r="BQ3663">
        <v>0</v>
      </c>
      <c r="BX3663" t="str">
        <f>"14:51:25.867"</f>
        <v>14:51:25.867</v>
      </c>
      <c r="BY3663" t="str">
        <f>"869017188"</f>
        <v>869017188</v>
      </c>
      <c r="CL3663">
        <v>0</v>
      </c>
      <c r="CM3663">
        <v>2</v>
      </c>
      <c r="CN3663">
        <v>0</v>
      </c>
      <c r="CO3663">
        <v>2</v>
      </c>
      <c r="CP3663">
        <v>0</v>
      </c>
      <c r="CQ3663">
        <v>7</v>
      </c>
      <c r="CR3663" t="s">
        <v>116</v>
      </c>
      <c r="CS3663">
        <v>38</v>
      </c>
      <c r="CT3663">
        <v>0</v>
      </c>
      <c r="CU3663" t="s">
        <v>4719</v>
      </c>
      <c r="CV3663" t="s">
        <v>4720</v>
      </c>
      <c r="CY3663">
        <v>8220352</v>
      </c>
      <c r="CZ3663" t="s">
        <v>119</v>
      </c>
    </row>
    <row r="3664" spans="1:104" x14ac:dyDescent="0.25">
      <c r="A3664" t="str">
        <f>"14:51:27.078"</f>
        <v>14:51:27.078</v>
      </c>
      <c r="B3664" t="s">
        <v>108</v>
      </c>
      <c r="C3664" t="str">
        <f t="shared" si="172"/>
        <v>ffdfd3c0</v>
      </c>
      <c r="D3664" t="s">
        <v>109</v>
      </c>
      <c r="E3664">
        <v>4</v>
      </c>
      <c r="F3664">
        <v>1004</v>
      </c>
      <c r="G3664" t="s">
        <v>110</v>
      </c>
      <c r="J3664" t="s">
        <v>111</v>
      </c>
      <c r="K3664">
        <v>0</v>
      </c>
      <c r="L3664">
        <v>3</v>
      </c>
      <c r="M3664">
        <v>0</v>
      </c>
      <c r="N3664">
        <v>2</v>
      </c>
      <c r="O3664">
        <v>1</v>
      </c>
      <c r="P3664">
        <v>0</v>
      </c>
      <c r="Q3664">
        <v>0</v>
      </c>
      <c r="R3664" t="s">
        <v>112</v>
      </c>
      <c r="S3664" t="str">
        <f>"14:51:26.906"</f>
        <v>14:51:26.906</v>
      </c>
      <c r="T3664" t="str">
        <f>"14:51:26.406"</f>
        <v>14:51:26.406</v>
      </c>
      <c r="U3664" t="str">
        <f t="shared" si="171"/>
        <v>ad5732</v>
      </c>
      <c r="V3664">
        <v>0</v>
      </c>
      <c r="W3664">
        <v>0</v>
      </c>
      <c r="X3664">
        <v>1</v>
      </c>
      <c r="Z3664">
        <v>0</v>
      </c>
      <c r="AA3664">
        <v>9</v>
      </c>
      <c r="AB3664">
        <v>3</v>
      </c>
      <c r="AC3664">
        <v>0</v>
      </c>
      <c r="AD3664">
        <v>10</v>
      </c>
      <c r="AE3664">
        <v>0</v>
      </c>
      <c r="AF3664">
        <v>3</v>
      </c>
      <c r="AG3664">
        <v>2</v>
      </c>
      <c r="AH3664">
        <v>0</v>
      </c>
      <c r="AI3664" t="s">
        <v>7376</v>
      </c>
      <c r="AJ3664">
        <v>40.432240999999998</v>
      </c>
      <c r="AK3664" t="s">
        <v>7377</v>
      </c>
      <c r="AL3664">
        <v>-74.457092000000003</v>
      </c>
      <c r="AM3664">
        <v>100</v>
      </c>
      <c r="AN3664">
        <v>1700</v>
      </c>
      <c r="AO3664" t="s">
        <v>115</v>
      </c>
      <c r="AP3664">
        <v>104</v>
      </c>
      <c r="AQ3664">
        <v>64</v>
      </c>
      <c r="AR3664">
        <v>0</v>
      </c>
      <c r="AZ3664">
        <v>3614</v>
      </c>
      <c r="BA3664">
        <v>1</v>
      </c>
      <c r="BB3664" t="str">
        <f t="shared" si="173"/>
        <v xml:space="preserve">N959MJ  </v>
      </c>
      <c r="BC3664">
        <v>1</v>
      </c>
      <c r="BE3664">
        <v>0</v>
      </c>
      <c r="BF3664">
        <v>0</v>
      </c>
      <c r="BG3664">
        <v>0</v>
      </c>
      <c r="BH3664">
        <v>1900</v>
      </c>
      <c r="BI3664">
        <v>200</v>
      </c>
      <c r="BJ3664">
        <v>1</v>
      </c>
      <c r="BK3664">
        <v>1</v>
      </c>
      <c r="BL3664">
        <v>1</v>
      </c>
      <c r="BM3664">
        <v>0</v>
      </c>
      <c r="BP3664">
        <v>0</v>
      </c>
      <c r="BQ3664">
        <v>0</v>
      </c>
      <c r="BX3664" t="str">
        <f>"14:51:26.914"</f>
        <v>14:51:26.914</v>
      </c>
      <c r="BY3664" t="str">
        <f>"911058108"</f>
        <v>911058108</v>
      </c>
      <c r="CL3664">
        <v>0</v>
      </c>
      <c r="CM3664">
        <v>2</v>
      </c>
      <c r="CN3664">
        <v>0</v>
      </c>
      <c r="CO3664">
        <v>2</v>
      </c>
      <c r="CP3664">
        <v>0</v>
      </c>
      <c r="CQ3664">
        <v>7</v>
      </c>
      <c r="CR3664" t="s">
        <v>116</v>
      </c>
      <c r="CS3664">
        <v>38</v>
      </c>
      <c r="CT3664">
        <v>0</v>
      </c>
      <c r="CU3664" t="s">
        <v>4719</v>
      </c>
      <c r="CV3664" t="s">
        <v>4720</v>
      </c>
      <c r="CY3664">
        <v>8221995</v>
      </c>
      <c r="CZ3664" t="s">
        <v>119</v>
      </c>
    </row>
    <row r="3665" spans="1:104" x14ac:dyDescent="0.25">
      <c r="A3665" t="str">
        <f>"14:51:27.984"</f>
        <v>14:51:27.984</v>
      </c>
      <c r="B3665" t="s">
        <v>108</v>
      </c>
      <c r="C3665" t="str">
        <f t="shared" si="172"/>
        <v>ffdfd3c0</v>
      </c>
      <c r="D3665" t="s">
        <v>109</v>
      </c>
      <c r="E3665">
        <v>4</v>
      </c>
      <c r="F3665">
        <v>1004</v>
      </c>
      <c r="G3665" t="s">
        <v>110</v>
      </c>
      <c r="J3665" t="s">
        <v>111</v>
      </c>
      <c r="K3665">
        <v>0</v>
      </c>
      <c r="L3665">
        <v>3</v>
      </c>
      <c r="M3665">
        <v>0</v>
      </c>
      <c r="N3665">
        <v>2</v>
      </c>
      <c r="O3665">
        <v>1</v>
      </c>
      <c r="P3665">
        <v>0</v>
      </c>
      <c r="Q3665">
        <v>0</v>
      </c>
      <c r="R3665" t="s">
        <v>112</v>
      </c>
      <c r="S3665" t="str">
        <f>"14:51:27.781"</f>
        <v>14:51:27.781</v>
      </c>
      <c r="T3665" t="str">
        <f>"14:51:27.383"</f>
        <v>14:51:27.383</v>
      </c>
      <c r="U3665" t="str">
        <f t="shared" si="171"/>
        <v>ad5732</v>
      </c>
      <c r="V3665">
        <v>0</v>
      </c>
      <c r="W3665">
        <v>0</v>
      </c>
      <c r="X3665">
        <v>1</v>
      </c>
      <c r="Z3665">
        <v>0</v>
      </c>
      <c r="AA3665">
        <v>9</v>
      </c>
      <c r="AB3665">
        <v>3</v>
      </c>
      <c r="AC3665">
        <v>0</v>
      </c>
      <c r="AD3665">
        <v>10</v>
      </c>
      <c r="AE3665">
        <v>0</v>
      </c>
      <c r="AF3665">
        <v>3</v>
      </c>
      <c r="AG3665">
        <v>2</v>
      </c>
      <c r="AH3665">
        <v>0</v>
      </c>
      <c r="AI3665" t="s">
        <v>7378</v>
      </c>
      <c r="AJ3665">
        <v>40.432519999999997</v>
      </c>
      <c r="AK3665" t="s">
        <v>7379</v>
      </c>
      <c r="AL3665">
        <v>-74.456491</v>
      </c>
      <c r="AM3665">
        <v>100</v>
      </c>
      <c r="AN3665">
        <v>1700</v>
      </c>
      <c r="AO3665" t="s">
        <v>115</v>
      </c>
      <c r="AP3665">
        <v>104</v>
      </c>
      <c r="AQ3665">
        <v>64</v>
      </c>
      <c r="AR3665">
        <v>0</v>
      </c>
      <c r="AZ3665">
        <v>3614</v>
      </c>
      <c r="BA3665">
        <v>1</v>
      </c>
      <c r="BB3665" t="str">
        <f t="shared" si="173"/>
        <v xml:space="preserve">N959MJ  </v>
      </c>
      <c r="BC3665">
        <v>1</v>
      </c>
      <c r="BE3665">
        <v>0</v>
      </c>
      <c r="BF3665">
        <v>0</v>
      </c>
      <c r="BG3665">
        <v>0</v>
      </c>
      <c r="BH3665">
        <v>1900</v>
      </c>
      <c r="BI3665">
        <v>200</v>
      </c>
      <c r="BJ3665">
        <v>1</v>
      </c>
      <c r="BK3665">
        <v>1</v>
      </c>
      <c r="BL3665">
        <v>1</v>
      </c>
      <c r="BM3665">
        <v>0</v>
      </c>
      <c r="BP3665">
        <v>0</v>
      </c>
      <c r="BQ3665">
        <v>0</v>
      </c>
      <c r="BX3665" t="str">
        <f>"14:51:27.789"</f>
        <v>14:51:27.789</v>
      </c>
      <c r="BY3665" t="str">
        <f>"787617790"</f>
        <v>787617790</v>
      </c>
      <c r="CL3665">
        <v>0</v>
      </c>
      <c r="CM3665">
        <v>2</v>
      </c>
      <c r="CN3665">
        <v>0</v>
      </c>
      <c r="CO3665">
        <v>2</v>
      </c>
      <c r="CP3665">
        <v>0</v>
      </c>
      <c r="CQ3665">
        <v>6</v>
      </c>
      <c r="CR3665" t="s">
        <v>116</v>
      </c>
      <c r="CS3665">
        <v>38</v>
      </c>
      <c r="CT3665">
        <v>0</v>
      </c>
      <c r="CU3665" t="s">
        <v>4719</v>
      </c>
      <c r="CV3665" t="s">
        <v>4720</v>
      </c>
      <c r="CY3665">
        <v>8223408</v>
      </c>
      <c r="CZ3665" t="s">
        <v>119</v>
      </c>
    </row>
    <row r="3666" spans="1:104" x14ac:dyDescent="0.25">
      <c r="A3666" t="str">
        <f>"14:51:28.898"</f>
        <v>14:51:28.898</v>
      </c>
      <c r="B3666" t="s">
        <v>108</v>
      </c>
      <c r="C3666" t="str">
        <f t="shared" si="172"/>
        <v>ffdfd3c0</v>
      </c>
      <c r="D3666" t="s">
        <v>109</v>
      </c>
      <c r="E3666">
        <v>4</v>
      </c>
      <c r="F3666">
        <v>1004</v>
      </c>
      <c r="G3666" t="s">
        <v>110</v>
      </c>
      <c r="J3666" t="s">
        <v>111</v>
      </c>
      <c r="K3666">
        <v>0</v>
      </c>
      <c r="L3666">
        <v>3</v>
      </c>
      <c r="M3666">
        <v>0</v>
      </c>
      <c r="N3666">
        <v>2</v>
      </c>
      <c r="O3666">
        <v>1</v>
      </c>
      <c r="P3666">
        <v>0</v>
      </c>
      <c r="Q3666">
        <v>0</v>
      </c>
      <c r="R3666" t="s">
        <v>112</v>
      </c>
      <c r="S3666" t="str">
        <f>"14:51:28.734"</f>
        <v>14:51:28.734</v>
      </c>
      <c r="T3666" t="str">
        <f>"14:51:28.234"</f>
        <v>14:51:28.234</v>
      </c>
      <c r="U3666" t="str">
        <f t="shared" si="171"/>
        <v>ad5732</v>
      </c>
      <c r="V3666">
        <v>0</v>
      </c>
      <c r="W3666">
        <v>0</v>
      </c>
      <c r="X3666">
        <v>1</v>
      </c>
      <c r="Z3666">
        <v>0</v>
      </c>
      <c r="AA3666">
        <v>9</v>
      </c>
      <c r="AB3666">
        <v>3</v>
      </c>
      <c r="AC3666">
        <v>0</v>
      </c>
      <c r="AD3666">
        <v>10</v>
      </c>
      <c r="AE3666">
        <v>0</v>
      </c>
      <c r="AF3666">
        <v>3</v>
      </c>
      <c r="AG3666">
        <v>2</v>
      </c>
      <c r="AH3666">
        <v>0</v>
      </c>
      <c r="AI3666" t="s">
        <v>7380</v>
      </c>
      <c r="AJ3666">
        <v>40.432799000000003</v>
      </c>
      <c r="AK3666" t="s">
        <v>7381</v>
      </c>
      <c r="AL3666">
        <v>-74.455869000000007</v>
      </c>
      <c r="AM3666">
        <v>100</v>
      </c>
      <c r="AN3666">
        <v>1700</v>
      </c>
      <c r="AO3666" t="s">
        <v>115</v>
      </c>
      <c r="AP3666">
        <v>104</v>
      </c>
      <c r="AQ3666">
        <v>64</v>
      </c>
      <c r="AR3666">
        <v>0</v>
      </c>
      <c r="AZ3666">
        <v>3614</v>
      </c>
      <c r="BA3666">
        <v>1</v>
      </c>
      <c r="BB3666" t="str">
        <f t="shared" si="173"/>
        <v xml:space="preserve">N959MJ  </v>
      </c>
      <c r="BC3666">
        <v>1</v>
      </c>
      <c r="BE3666">
        <v>0</v>
      </c>
      <c r="BF3666">
        <v>0</v>
      </c>
      <c r="BG3666">
        <v>0</v>
      </c>
      <c r="BH3666">
        <v>1900</v>
      </c>
      <c r="BI3666">
        <v>200</v>
      </c>
      <c r="BJ3666">
        <v>1</v>
      </c>
      <c r="BK3666">
        <v>1</v>
      </c>
      <c r="BL3666">
        <v>1</v>
      </c>
      <c r="BM3666">
        <v>0</v>
      </c>
      <c r="BP3666">
        <v>0</v>
      </c>
      <c r="BQ3666">
        <v>0</v>
      </c>
      <c r="BX3666" t="str">
        <f>"14:51:28.734"</f>
        <v>14:51:28.734</v>
      </c>
      <c r="BY3666" t="str">
        <f>"737905749"</f>
        <v>737905749</v>
      </c>
      <c r="CL3666">
        <v>0</v>
      </c>
      <c r="CM3666">
        <v>2</v>
      </c>
      <c r="CN3666">
        <v>0</v>
      </c>
      <c r="CO3666">
        <v>2</v>
      </c>
      <c r="CP3666">
        <v>0</v>
      </c>
      <c r="CQ3666">
        <v>6</v>
      </c>
      <c r="CR3666" t="s">
        <v>116</v>
      </c>
      <c r="CS3666">
        <v>305</v>
      </c>
      <c r="CT3666">
        <v>3</v>
      </c>
      <c r="CU3666" t="s">
        <v>6425</v>
      </c>
      <c r="CV3666" t="s">
        <v>6426</v>
      </c>
      <c r="CY3666">
        <v>6140569</v>
      </c>
      <c r="CZ3666" t="s">
        <v>119</v>
      </c>
    </row>
    <row r="3667" spans="1:104" x14ac:dyDescent="0.25">
      <c r="A3667" t="str">
        <f>"14:51:29.805"</f>
        <v>14:51:29.805</v>
      </c>
      <c r="B3667" t="s">
        <v>108</v>
      </c>
      <c r="C3667" t="str">
        <f t="shared" si="172"/>
        <v>ffdfd3c0</v>
      </c>
      <c r="D3667" t="s">
        <v>109</v>
      </c>
      <c r="E3667">
        <v>4</v>
      </c>
      <c r="F3667">
        <v>1004</v>
      </c>
      <c r="G3667" t="s">
        <v>110</v>
      </c>
      <c r="J3667" t="s">
        <v>111</v>
      </c>
      <c r="K3667">
        <v>0</v>
      </c>
      <c r="L3667">
        <v>3</v>
      </c>
      <c r="M3667">
        <v>0</v>
      </c>
      <c r="N3667">
        <v>2</v>
      </c>
      <c r="O3667">
        <v>1</v>
      </c>
      <c r="P3667">
        <v>0</v>
      </c>
      <c r="Q3667">
        <v>0</v>
      </c>
      <c r="R3667" t="s">
        <v>112</v>
      </c>
      <c r="S3667" t="str">
        <f>"14:51:29.617"</f>
        <v>14:51:29.617</v>
      </c>
      <c r="T3667" t="str">
        <f>"14:51:29.219"</f>
        <v>14:51:29.219</v>
      </c>
      <c r="U3667" t="str">
        <f t="shared" si="171"/>
        <v>ad5732</v>
      </c>
      <c r="V3667">
        <v>0</v>
      </c>
      <c r="W3667">
        <v>0</v>
      </c>
      <c r="X3667">
        <v>1</v>
      </c>
      <c r="Z3667">
        <v>0</v>
      </c>
      <c r="AA3667">
        <v>9</v>
      </c>
      <c r="AB3667">
        <v>3</v>
      </c>
      <c r="AC3667">
        <v>0</v>
      </c>
      <c r="AD3667">
        <v>10</v>
      </c>
      <c r="AE3667">
        <v>0</v>
      </c>
      <c r="AF3667">
        <v>3</v>
      </c>
      <c r="AG3667">
        <v>2</v>
      </c>
      <c r="AH3667">
        <v>0</v>
      </c>
      <c r="AI3667" t="s">
        <v>7382</v>
      </c>
      <c r="AJ3667">
        <v>40.433034999999997</v>
      </c>
      <c r="AK3667" t="s">
        <v>7383</v>
      </c>
      <c r="AL3667">
        <v>-74.455376000000001</v>
      </c>
      <c r="AM3667">
        <v>100</v>
      </c>
      <c r="AN3667">
        <v>1700</v>
      </c>
      <c r="AO3667" t="s">
        <v>115</v>
      </c>
      <c r="AP3667">
        <v>104</v>
      </c>
      <c r="AQ3667">
        <v>64</v>
      </c>
      <c r="AR3667">
        <v>0</v>
      </c>
      <c r="AZ3667">
        <v>3614</v>
      </c>
      <c r="BA3667">
        <v>1</v>
      </c>
      <c r="BB3667" t="str">
        <f t="shared" si="173"/>
        <v xml:space="preserve">N959MJ  </v>
      </c>
      <c r="BC3667">
        <v>1</v>
      </c>
      <c r="BE3667">
        <v>0</v>
      </c>
      <c r="BF3667">
        <v>0</v>
      </c>
      <c r="BG3667">
        <v>0</v>
      </c>
      <c r="BH3667">
        <v>1900</v>
      </c>
      <c r="BI3667">
        <v>200</v>
      </c>
      <c r="BJ3667">
        <v>1</v>
      </c>
      <c r="BK3667">
        <v>1</v>
      </c>
      <c r="BL3667">
        <v>1</v>
      </c>
      <c r="BM3667">
        <v>0</v>
      </c>
      <c r="BP3667">
        <v>0</v>
      </c>
      <c r="BQ3667">
        <v>0</v>
      </c>
      <c r="BX3667" t="str">
        <f>"14:51:29.617"</f>
        <v>14:51:29.617</v>
      </c>
      <c r="BY3667" t="str">
        <f>"617743011"</f>
        <v>617743011</v>
      </c>
      <c r="CL3667">
        <v>0</v>
      </c>
      <c r="CM3667">
        <v>2</v>
      </c>
      <c r="CN3667">
        <v>0</v>
      </c>
      <c r="CO3667">
        <v>2</v>
      </c>
      <c r="CP3667">
        <v>0</v>
      </c>
      <c r="CQ3667">
        <v>6</v>
      </c>
      <c r="CR3667" t="s">
        <v>116</v>
      </c>
      <c r="CS3667">
        <v>38</v>
      </c>
      <c r="CT3667">
        <v>0</v>
      </c>
      <c r="CU3667" t="s">
        <v>4719</v>
      </c>
      <c r="CV3667" t="s">
        <v>4720</v>
      </c>
      <c r="CY3667">
        <v>8226264</v>
      </c>
      <c r="CZ3667" t="s">
        <v>119</v>
      </c>
    </row>
    <row r="3668" spans="1:104" x14ac:dyDescent="0.25">
      <c r="A3668" t="str">
        <f>"14:51:30.867"</f>
        <v>14:51:30.867</v>
      </c>
      <c r="B3668" t="s">
        <v>108</v>
      </c>
      <c r="C3668" t="str">
        <f t="shared" si="172"/>
        <v>ffdfd3c0</v>
      </c>
      <c r="D3668" t="s">
        <v>109</v>
      </c>
      <c r="E3668">
        <v>4</v>
      </c>
      <c r="F3668">
        <v>1004</v>
      </c>
      <c r="G3668" t="s">
        <v>110</v>
      </c>
      <c r="J3668" t="s">
        <v>111</v>
      </c>
      <c r="K3668">
        <v>0</v>
      </c>
      <c r="L3668">
        <v>3</v>
      </c>
      <c r="M3668">
        <v>0</v>
      </c>
      <c r="N3668">
        <v>2</v>
      </c>
      <c r="O3668">
        <v>1</v>
      </c>
      <c r="P3668">
        <v>0</v>
      </c>
      <c r="Q3668">
        <v>0</v>
      </c>
      <c r="R3668" t="s">
        <v>112</v>
      </c>
      <c r="S3668" t="str">
        <f>"14:51:30.664"</f>
        <v>14:51:30.664</v>
      </c>
      <c r="T3668" t="str">
        <f>"14:51:30.266"</f>
        <v>14:51:30.266</v>
      </c>
      <c r="U3668" t="str">
        <f t="shared" si="171"/>
        <v>ad5732</v>
      </c>
      <c r="V3668">
        <v>0</v>
      </c>
      <c r="W3668">
        <v>0</v>
      </c>
      <c r="X3668">
        <v>1</v>
      </c>
      <c r="Z3668">
        <v>0</v>
      </c>
      <c r="AA3668">
        <v>9</v>
      </c>
      <c r="AB3668">
        <v>3</v>
      </c>
      <c r="AC3668">
        <v>0</v>
      </c>
      <c r="AD3668">
        <v>10</v>
      </c>
      <c r="AE3668">
        <v>0</v>
      </c>
      <c r="AF3668">
        <v>3</v>
      </c>
      <c r="AG3668">
        <v>2</v>
      </c>
      <c r="AH3668">
        <v>0</v>
      </c>
      <c r="AI3668" t="s">
        <v>7384</v>
      </c>
      <c r="AJ3668">
        <v>40.433357000000001</v>
      </c>
      <c r="AK3668" t="s">
        <v>7385</v>
      </c>
      <c r="AL3668">
        <v>-74.454667999999998</v>
      </c>
      <c r="AM3668">
        <v>100</v>
      </c>
      <c r="AN3668">
        <v>1700</v>
      </c>
      <c r="AO3668" t="s">
        <v>115</v>
      </c>
      <c r="AP3668">
        <v>104</v>
      </c>
      <c r="AQ3668">
        <v>64</v>
      </c>
      <c r="AR3668">
        <v>0</v>
      </c>
      <c r="AZ3668">
        <v>3614</v>
      </c>
      <c r="BA3668">
        <v>1</v>
      </c>
      <c r="BB3668" t="str">
        <f t="shared" si="173"/>
        <v xml:space="preserve">N959MJ  </v>
      </c>
      <c r="BC3668">
        <v>1</v>
      </c>
      <c r="BE3668">
        <v>0</v>
      </c>
      <c r="BF3668">
        <v>0</v>
      </c>
      <c r="BG3668">
        <v>0</v>
      </c>
      <c r="BH3668">
        <v>1900</v>
      </c>
      <c r="BI3668">
        <v>200</v>
      </c>
      <c r="BJ3668">
        <v>1</v>
      </c>
      <c r="BK3668">
        <v>1</v>
      </c>
      <c r="BL3668">
        <v>1</v>
      </c>
      <c r="BM3668">
        <v>0</v>
      </c>
      <c r="BP3668">
        <v>0</v>
      </c>
      <c r="BQ3668">
        <v>0</v>
      </c>
      <c r="BX3668" t="str">
        <f>"14:51:30.672"</f>
        <v>14:51:30.672</v>
      </c>
      <c r="BY3668" t="str">
        <f>"667974533"</f>
        <v>667974533</v>
      </c>
      <c r="CL3668">
        <v>0</v>
      </c>
      <c r="CM3668">
        <v>2</v>
      </c>
      <c r="CN3668">
        <v>0</v>
      </c>
      <c r="CO3668">
        <v>2</v>
      </c>
      <c r="CP3668">
        <v>0</v>
      </c>
      <c r="CQ3668">
        <v>7</v>
      </c>
      <c r="CR3668" t="s">
        <v>116</v>
      </c>
      <c r="CS3668">
        <v>305</v>
      </c>
      <c r="CT3668">
        <v>3</v>
      </c>
      <c r="CU3668" t="s">
        <v>6425</v>
      </c>
      <c r="CV3668" t="s">
        <v>6426</v>
      </c>
      <c r="CY3668">
        <v>6144597</v>
      </c>
      <c r="CZ3668" t="s">
        <v>119</v>
      </c>
    </row>
    <row r="3669" spans="1:104" x14ac:dyDescent="0.25">
      <c r="A3669" t="str">
        <f>"14:51:31.922"</f>
        <v>14:51:31.922</v>
      </c>
      <c r="B3669" t="s">
        <v>108</v>
      </c>
      <c r="C3669" t="str">
        <f t="shared" si="172"/>
        <v>ffdfd3c0</v>
      </c>
      <c r="D3669" t="s">
        <v>109</v>
      </c>
      <c r="E3669">
        <v>4</v>
      </c>
      <c r="F3669">
        <v>1004</v>
      </c>
      <c r="G3669" t="s">
        <v>110</v>
      </c>
      <c r="J3669" t="s">
        <v>111</v>
      </c>
      <c r="K3669">
        <v>0</v>
      </c>
      <c r="L3669">
        <v>3</v>
      </c>
      <c r="M3669">
        <v>0</v>
      </c>
      <c r="N3669">
        <v>2</v>
      </c>
      <c r="O3669">
        <v>1</v>
      </c>
      <c r="P3669">
        <v>0</v>
      </c>
      <c r="Q3669">
        <v>0</v>
      </c>
      <c r="R3669" t="s">
        <v>112</v>
      </c>
      <c r="S3669" t="str">
        <f>"14:51:31.742"</f>
        <v>14:51:31.742</v>
      </c>
      <c r="T3669" t="str">
        <f>"14:51:31.242"</f>
        <v>14:51:31.242</v>
      </c>
      <c r="U3669" t="str">
        <f t="shared" si="171"/>
        <v>ad5732</v>
      </c>
      <c r="V3669">
        <v>0</v>
      </c>
      <c r="W3669">
        <v>0</v>
      </c>
      <c r="X3669">
        <v>1</v>
      </c>
      <c r="Z3669">
        <v>0</v>
      </c>
      <c r="AA3669">
        <v>9</v>
      </c>
      <c r="AB3669">
        <v>3</v>
      </c>
      <c r="AC3669">
        <v>0</v>
      </c>
      <c r="AD3669">
        <v>10</v>
      </c>
      <c r="AE3669">
        <v>0</v>
      </c>
      <c r="AF3669">
        <v>3</v>
      </c>
      <c r="AG3669">
        <v>2</v>
      </c>
      <c r="AH3669">
        <v>0</v>
      </c>
      <c r="AI3669" t="s">
        <v>7386</v>
      </c>
      <c r="AJ3669">
        <v>40.433722000000003</v>
      </c>
      <c r="AK3669" t="s">
        <v>7387</v>
      </c>
      <c r="AL3669">
        <v>-74.453980999999999</v>
      </c>
      <c r="AM3669">
        <v>100</v>
      </c>
      <c r="AN3669">
        <v>1700</v>
      </c>
      <c r="AO3669" t="s">
        <v>115</v>
      </c>
      <c r="AP3669">
        <v>104</v>
      </c>
      <c r="AQ3669">
        <v>64</v>
      </c>
      <c r="AR3669">
        <v>0</v>
      </c>
      <c r="AZ3669">
        <v>3614</v>
      </c>
      <c r="BA3669">
        <v>1</v>
      </c>
      <c r="BB3669" t="str">
        <f t="shared" si="173"/>
        <v xml:space="preserve">N959MJ  </v>
      </c>
      <c r="BC3669">
        <v>1</v>
      </c>
      <c r="BE3669">
        <v>0</v>
      </c>
      <c r="BF3669">
        <v>0</v>
      </c>
      <c r="BG3669">
        <v>0</v>
      </c>
      <c r="BH3669">
        <v>1900</v>
      </c>
      <c r="BI3669">
        <v>200</v>
      </c>
      <c r="BJ3669">
        <v>1</v>
      </c>
      <c r="BK3669">
        <v>1</v>
      </c>
      <c r="BL3669">
        <v>1</v>
      </c>
      <c r="BM3669">
        <v>0</v>
      </c>
      <c r="BP3669">
        <v>0</v>
      </c>
      <c r="BQ3669">
        <v>0</v>
      </c>
      <c r="BX3669" t="str">
        <f>"14:51:31.742"</f>
        <v>14:51:31.742</v>
      </c>
      <c r="BY3669" t="str">
        <f>"744422105"</f>
        <v>744422105</v>
      </c>
      <c r="CL3669">
        <v>0</v>
      </c>
      <c r="CM3669">
        <v>2</v>
      </c>
      <c r="CN3669">
        <v>0</v>
      </c>
      <c r="CO3669">
        <v>2</v>
      </c>
      <c r="CP3669">
        <v>0</v>
      </c>
      <c r="CQ3669">
        <v>6</v>
      </c>
      <c r="CR3669" t="s">
        <v>116</v>
      </c>
      <c r="CS3669">
        <v>305</v>
      </c>
      <c r="CT3669">
        <v>3</v>
      </c>
      <c r="CU3669" t="s">
        <v>6425</v>
      </c>
      <c r="CV3669" t="s">
        <v>6426</v>
      </c>
      <c r="CY3669">
        <v>6146823</v>
      </c>
      <c r="CZ3669" t="s">
        <v>119</v>
      </c>
    </row>
    <row r="3670" spans="1:104" x14ac:dyDescent="0.25">
      <c r="A3670" t="str">
        <f>"14:51:32.984"</f>
        <v>14:51:32.984</v>
      </c>
      <c r="B3670" t="s">
        <v>108</v>
      </c>
      <c r="C3670" t="str">
        <f t="shared" si="172"/>
        <v>ffdfd3c0</v>
      </c>
      <c r="D3670" t="s">
        <v>109</v>
      </c>
      <c r="E3670">
        <v>4</v>
      </c>
      <c r="F3670">
        <v>1004</v>
      </c>
      <c r="G3670" t="s">
        <v>110</v>
      </c>
      <c r="J3670" t="s">
        <v>111</v>
      </c>
      <c r="K3670">
        <v>0</v>
      </c>
      <c r="L3670">
        <v>3</v>
      </c>
      <c r="M3670">
        <v>0</v>
      </c>
      <c r="N3670">
        <v>2</v>
      </c>
      <c r="O3670">
        <v>1</v>
      </c>
      <c r="P3670">
        <v>0</v>
      </c>
      <c r="Q3670">
        <v>0</v>
      </c>
      <c r="R3670" t="s">
        <v>112</v>
      </c>
      <c r="S3670" t="str">
        <f>"14:51:32.797"</f>
        <v>14:51:32.797</v>
      </c>
      <c r="T3670" t="str">
        <f>"14:51:32.297"</f>
        <v>14:51:32.297</v>
      </c>
      <c r="U3670" t="str">
        <f t="shared" si="171"/>
        <v>ad5732</v>
      </c>
      <c r="V3670">
        <v>0</v>
      </c>
      <c r="W3670">
        <v>0</v>
      </c>
      <c r="X3670">
        <v>1</v>
      </c>
      <c r="Z3670">
        <v>0</v>
      </c>
      <c r="AA3670">
        <v>9</v>
      </c>
      <c r="AB3670">
        <v>3</v>
      </c>
      <c r="AC3670">
        <v>0</v>
      </c>
      <c r="AD3670">
        <v>10</v>
      </c>
      <c r="AE3670">
        <v>0</v>
      </c>
      <c r="AF3670">
        <v>3</v>
      </c>
      <c r="AG3670">
        <v>2</v>
      </c>
      <c r="AH3670">
        <v>0</v>
      </c>
      <c r="AI3670" t="s">
        <v>7388</v>
      </c>
      <c r="AJ3670">
        <v>40.433999999999997</v>
      </c>
      <c r="AK3670" t="s">
        <v>7389</v>
      </c>
      <c r="AL3670">
        <v>-74.453359000000006</v>
      </c>
      <c r="AM3670">
        <v>100</v>
      </c>
      <c r="AN3670">
        <v>1700</v>
      </c>
      <c r="AO3670" t="s">
        <v>115</v>
      </c>
      <c r="AP3670">
        <v>104</v>
      </c>
      <c r="AQ3670">
        <v>64</v>
      </c>
      <c r="AR3670">
        <v>0</v>
      </c>
      <c r="AZ3670">
        <v>3614</v>
      </c>
      <c r="BA3670">
        <v>1</v>
      </c>
      <c r="BB3670" t="str">
        <f t="shared" si="173"/>
        <v xml:space="preserve">N959MJ  </v>
      </c>
      <c r="BC3670">
        <v>1</v>
      </c>
      <c r="BE3670">
        <v>0</v>
      </c>
      <c r="BF3670">
        <v>0</v>
      </c>
      <c r="BG3670">
        <v>0</v>
      </c>
      <c r="BH3670">
        <v>1900</v>
      </c>
      <c r="BI3670">
        <v>200</v>
      </c>
      <c r="BJ3670">
        <v>1</v>
      </c>
      <c r="BK3670">
        <v>1</v>
      </c>
      <c r="BL3670">
        <v>1</v>
      </c>
      <c r="BM3670">
        <v>0</v>
      </c>
      <c r="BP3670">
        <v>0</v>
      </c>
      <c r="BQ3670">
        <v>0</v>
      </c>
      <c r="BX3670" t="str">
        <f>"14:51:32.805"</f>
        <v>14:51:32.805</v>
      </c>
      <c r="BY3670" t="str">
        <f>"804487650"</f>
        <v>804487650</v>
      </c>
      <c r="CL3670">
        <v>0</v>
      </c>
      <c r="CM3670">
        <v>2</v>
      </c>
      <c r="CN3670">
        <v>0</v>
      </c>
      <c r="CO3670">
        <v>2</v>
      </c>
      <c r="CP3670">
        <v>0</v>
      </c>
      <c r="CQ3670">
        <v>6</v>
      </c>
      <c r="CR3670" t="s">
        <v>116</v>
      </c>
      <c r="CS3670">
        <v>38</v>
      </c>
      <c r="CT3670">
        <v>0</v>
      </c>
      <c r="CU3670" t="s">
        <v>4719</v>
      </c>
      <c r="CV3670" t="s">
        <v>4720</v>
      </c>
      <c r="CY3670">
        <v>8231228</v>
      </c>
      <c r="CZ3670" t="s">
        <v>119</v>
      </c>
    </row>
    <row r="3671" spans="1:104" x14ac:dyDescent="0.25">
      <c r="A3671" t="str">
        <f>"14:51:34.047"</f>
        <v>14:51:34.047</v>
      </c>
      <c r="B3671" t="s">
        <v>108</v>
      </c>
      <c r="C3671" t="str">
        <f t="shared" si="172"/>
        <v>ffdfd3c0</v>
      </c>
      <c r="D3671" t="s">
        <v>109</v>
      </c>
      <c r="E3671">
        <v>4</v>
      </c>
      <c r="F3671">
        <v>1004</v>
      </c>
      <c r="G3671" t="s">
        <v>110</v>
      </c>
      <c r="J3671" t="s">
        <v>111</v>
      </c>
      <c r="K3671">
        <v>0</v>
      </c>
      <c r="L3671">
        <v>3</v>
      </c>
      <c r="M3671">
        <v>0</v>
      </c>
      <c r="N3671">
        <v>2</v>
      </c>
      <c r="O3671">
        <v>1</v>
      </c>
      <c r="P3671">
        <v>0</v>
      </c>
      <c r="Q3671">
        <v>0</v>
      </c>
      <c r="R3671" t="s">
        <v>112</v>
      </c>
      <c r="S3671" t="str">
        <f>"14:51:33.859"</f>
        <v>14:51:33.859</v>
      </c>
      <c r="T3671" t="str">
        <f>"14:51:33.359"</f>
        <v>14:51:33.359</v>
      </c>
      <c r="U3671" t="str">
        <f t="shared" si="171"/>
        <v>ad5732</v>
      </c>
      <c r="V3671">
        <v>0</v>
      </c>
      <c r="W3671">
        <v>0</v>
      </c>
      <c r="X3671">
        <v>1</v>
      </c>
      <c r="Z3671">
        <v>0</v>
      </c>
      <c r="AA3671">
        <v>9</v>
      </c>
      <c r="AB3671">
        <v>3</v>
      </c>
      <c r="AC3671">
        <v>0</v>
      </c>
      <c r="AD3671">
        <v>10</v>
      </c>
      <c r="AE3671">
        <v>0</v>
      </c>
      <c r="AF3671">
        <v>3</v>
      </c>
      <c r="AG3671">
        <v>2</v>
      </c>
      <c r="AH3671">
        <v>0</v>
      </c>
      <c r="AI3671" t="s">
        <v>7390</v>
      </c>
      <c r="AJ3671">
        <v>40.434344000000003</v>
      </c>
      <c r="AK3671" t="s">
        <v>7391</v>
      </c>
      <c r="AL3671">
        <v>-74.452651000000003</v>
      </c>
      <c r="AM3671">
        <v>100</v>
      </c>
      <c r="AN3671">
        <v>1700</v>
      </c>
      <c r="AO3671" t="s">
        <v>115</v>
      </c>
      <c r="AP3671">
        <v>104</v>
      </c>
      <c r="AQ3671">
        <v>64</v>
      </c>
      <c r="AR3671">
        <v>0</v>
      </c>
      <c r="AZ3671">
        <v>3614</v>
      </c>
      <c r="BA3671">
        <v>1</v>
      </c>
      <c r="BB3671" t="str">
        <f t="shared" si="173"/>
        <v xml:space="preserve">N959MJ  </v>
      </c>
      <c r="BC3671">
        <v>1</v>
      </c>
      <c r="BE3671">
        <v>0</v>
      </c>
      <c r="BF3671">
        <v>0</v>
      </c>
      <c r="BG3671">
        <v>0</v>
      </c>
      <c r="BH3671">
        <v>1900</v>
      </c>
      <c r="BI3671">
        <v>200</v>
      </c>
      <c r="BJ3671">
        <v>1</v>
      </c>
      <c r="BK3671">
        <v>1</v>
      </c>
      <c r="BL3671">
        <v>1</v>
      </c>
      <c r="BM3671">
        <v>0</v>
      </c>
      <c r="BP3671">
        <v>0</v>
      </c>
      <c r="BQ3671">
        <v>0</v>
      </c>
      <c r="BX3671" t="str">
        <f>"14:51:33.859"</f>
        <v>14:51:33.859</v>
      </c>
      <c r="BY3671" t="str">
        <f>"862912907"</f>
        <v>862912907</v>
      </c>
      <c r="CL3671">
        <v>0</v>
      </c>
      <c r="CM3671">
        <v>2</v>
      </c>
      <c r="CN3671">
        <v>0</v>
      </c>
      <c r="CO3671">
        <v>2</v>
      </c>
      <c r="CP3671">
        <v>0</v>
      </c>
      <c r="CQ3671">
        <v>6</v>
      </c>
      <c r="CR3671" t="s">
        <v>116</v>
      </c>
      <c r="CS3671">
        <v>38</v>
      </c>
      <c r="CT3671">
        <v>0</v>
      </c>
      <c r="CU3671" t="s">
        <v>4719</v>
      </c>
      <c r="CV3671" t="s">
        <v>4720</v>
      </c>
      <c r="CY3671">
        <v>8232802</v>
      </c>
      <c r="CZ3671" t="s">
        <v>119</v>
      </c>
    </row>
    <row r="3672" spans="1:104" x14ac:dyDescent="0.25">
      <c r="A3672" t="str">
        <f>"14:51:35.055"</f>
        <v>14:51:35.055</v>
      </c>
      <c r="B3672" t="s">
        <v>108</v>
      </c>
      <c r="C3672" t="str">
        <f t="shared" si="172"/>
        <v>ffdfd3c0</v>
      </c>
      <c r="D3672" t="s">
        <v>109</v>
      </c>
      <c r="E3672">
        <v>4</v>
      </c>
      <c r="F3672">
        <v>1004</v>
      </c>
      <c r="G3672" t="s">
        <v>110</v>
      </c>
      <c r="J3672" t="s">
        <v>111</v>
      </c>
      <c r="K3672">
        <v>0</v>
      </c>
      <c r="L3672">
        <v>3</v>
      </c>
      <c r="M3672">
        <v>0</v>
      </c>
      <c r="N3672">
        <v>2</v>
      </c>
      <c r="O3672">
        <v>1</v>
      </c>
      <c r="P3672">
        <v>0</v>
      </c>
      <c r="Q3672">
        <v>0</v>
      </c>
      <c r="R3672" t="s">
        <v>112</v>
      </c>
      <c r="S3672" t="str">
        <f>"14:51:34.883"</f>
        <v>14:51:34.883</v>
      </c>
      <c r="T3672" t="str">
        <f>"14:51:34.484"</f>
        <v>14:51:34.484</v>
      </c>
      <c r="U3672" t="str">
        <f t="shared" si="171"/>
        <v>ad5732</v>
      </c>
      <c r="V3672">
        <v>0</v>
      </c>
      <c r="W3672">
        <v>0</v>
      </c>
      <c r="X3672">
        <v>1</v>
      </c>
      <c r="Z3672">
        <v>0</v>
      </c>
      <c r="AA3672">
        <v>9</v>
      </c>
      <c r="AB3672">
        <v>3</v>
      </c>
      <c r="AC3672">
        <v>0</v>
      </c>
      <c r="AD3672">
        <v>10</v>
      </c>
      <c r="AE3672">
        <v>0</v>
      </c>
      <c r="AF3672">
        <v>3</v>
      </c>
      <c r="AG3672">
        <v>2</v>
      </c>
      <c r="AH3672">
        <v>0</v>
      </c>
      <c r="AI3672" t="s">
        <v>7392</v>
      </c>
      <c r="AJ3672">
        <v>40.434623000000002</v>
      </c>
      <c r="AK3672" t="s">
        <v>7393</v>
      </c>
      <c r="AL3672">
        <v>-74.452027999999999</v>
      </c>
      <c r="AM3672">
        <v>100</v>
      </c>
      <c r="AN3672">
        <v>1700</v>
      </c>
      <c r="AO3672" t="s">
        <v>115</v>
      </c>
      <c r="AP3672">
        <v>104</v>
      </c>
      <c r="AQ3672">
        <v>64</v>
      </c>
      <c r="AR3672">
        <v>0</v>
      </c>
      <c r="AZ3672">
        <v>3614</v>
      </c>
      <c r="BA3672">
        <v>1</v>
      </c>
      <c r="BB3672" t="str">
        <f t="shared" si="173"/>
        <v xml:space="preserve">N959MJ  </v>
      </c>
      <c r="BC3672">
        <v>1</v>
      </c>
      <c r="BE3672">
        <v>0</v>
      </c>
      <c r="BF3672">
        <v>0</v>
      </c>
      <c r="BG3672">
        <v>0</v>
      </c>
      <c r="BH3672">
        <v>1900</v>
      </c>
      <c r="BI3672">
        <v>200</v>
      </c>
      <c r="BJ3672">
        <v>1</v>
      </c>
      <c r="BK3672">
        <v>1</v>
      </c>
      <c r="BL3672">
        <v>1</v>
      </c>
      <c r="BM3672">
        <v>0</v>
      </c>
      <c r="BP3672">
        <v>0</v>
      </c>
      <c r="BQ3672">
        <v>0</v>
      </c>
      <c r="BX3672" t="str">
        <f>"14:51:34.883"</f>
        <v>14:51:34.883</v>
      </c>
      <c r="BY3672" t="str">
        <f>"883651118"</f>
        <v>883651118</v>
      </c>
      <c r="CL3672">
        <v>0</v>
      </c>
      <c r="CM3672">
        <v>2</v>
      </c>
      <c r="CN3672">
        <v>0</v>
      </c>
      <c r="CO3672">
        <v>2</v>
      </c>
      <c r="CP3672">
        <v>0</v>
      </c>
      <c r="CQ3672">
        <v>6</v>
      </c>
      <c r="CR3672" t="s">
        <v>116</v>
      </c>
      <c r="CS3672">
        <v>305</v>
      </c>
      <c r="CT3672">
        <v>3</v>
      </c>
      <c r="CU3672" t="s">
        <v>6425</v>
      </c>
      <c r="CV3672" t="s">
        <v>6426</v>
      </c>
      <c r="CY3672">
        <v>6153202</v>
      </c>
      <c r="CZ3672" t="s">
        <v>119</v>
      </c>
    </row>
    <row r="3673" spans="1:104" x14ac:dyDescent="0.25">
      <c r="A3673" t="str">
        <f>"14:51:36.063"</f>
        <v>14:51:36.063</v>
      </c>
      <c r="B3673" t="s">
        <v>108</v>
      </c>
      <c r="C3673" t="str">
        <f t="shared" si="172"/>
        <v>ffdfd3c0</v>
      </c>
      <c r="D3673" t="s">
        <v>109</v>
      </c>
      <c r="E3673">
        <v>4</v>
      </c>
      <c r="F3673">
        <v>1004</v>
      </c>
      <c r="G3673" t="s">
        <v>110</v>
      </c>
      <c r="J3673" t="s">
        <v>111</v>
      </c>
      <c r="K3673">
        <v>0</v>
      </c>
      <c r="L3673">
        <v>3</v>
      </c>
      <c r="M3673">
        <v>0</v>
      </c>
      <c r="N3673">
        <v>2</v>
      </c>
      <c r="O3673">
        <v>1</v>
      </c>
      <c r="P3673">
        <v>0</v>
      </c>
      <c r="Q3673">
        <v>0</v>
      </c>
      <c r="R3673" t="s">
        <v>112</v>
      </c>
      <c r="S3673" t="str">
        <f>"14:51:35.891"</f>
        <v>14:51:35.891</v>
      </c>
      <c r="T3673" t="str">
        <f>"14:51:35.492"</f>
        <v>14:51:35.492</v>
      </c>
      <c r="U3673" t="str">
        <f t="shared" si="171"/>
        <v>ad5732</v>
      </c>
      <c r="V3673">
        <v>0</v>
      </c>
      <c r="W3673">
        <v>0</v>
      </c>
      <c r="X3673">
        <v>1</v>
      </c>
      <c r="Z3673">
        <v>0</v>
      </c>
      <c r="AA3673">
        <v>9</v>
      </c>
      <c r="AB3673">
        <v>3</v>
      </c>
      <c r="AC3673">
        <v>0</v>
      </c>
      <c r="AD3673">
        <v>10</v>
      </c>
      <c r="AE3673">
        <v>0</v>
      </c>
      <c r="AF3673">
        <v>3</v>
      </c>
      <c r="AG3673">
        <v>2</v>
      </c>
      <c r="AH3673">
        <v>0</v>
      </c>
      <c r="AI3673" t="s">
        <v>7394</v>
      </c>
      <c r="AJ3673">
        <v>40.434902000000001</v>
      </c>
      <c r="AK3673" t="s">
        <v>7395</v>
      </c>
      <c r="AL3673">
        <v>-74.451406000000006</v>
      </c>
      <c r="AM3673">
        <v>100</v>
      </c>
      <c r="AN3673">
        <v>1700</v>
      </c>
      <c r="AO3673" t="s">
        <v>115</v>
      </c>
      <c r="AP3673">
        <v>104</v>
      </c>
      <c r="AQ3673">
        <v>63</v>
      </c>
      <c r="AR3673">
        <v>0</v>
      </c>
      <c r="AZ3673">
        <v>3614</v>
      </c>
      <c r="BA3673">
        <v>1</v>
      </c>
      <c r="BB3673" t="str">
        <f t="shared" si="173"/>
        <v xml:space="preserve">N959MJ  </v>
      </c>
      <c r="BC3673">
        <v>1</v>
      </c>
      <c r="BE3673">
        <v>0</v>
      </c>
      <c r="BF3673">
        <v>0</v>
      </c>
      <c r="BG3673">
        <v>0</v>
      </c>
      <c r="BH3673">
        <v>1900</v>
      </c>
      <c r="BI3673">
        <v>200</v>
      </c>
      <c r="BJ3673">
        <v>1</v>
      </c>
      <c r="BK3673">
        <v>1</v>
      </c>
      <c r="BL3673">
        <v>1</v>
      </c>
      <c r="BM3673">
        <v>0</v>
      </c>
      <c r="BP3673">
        <v>0</v>
      </c>
      <c r="BQ3673">
        <v>0</v>
      </c>
      <c r="BX3673" t="str">
        <f>"14:51:35.898"</f>
        <v>14:51:35.898</v>
      </c>
      <c r="BY3673" t="str">
        <f>"897841820"</f>
        <v>897841820</v>
      </c>
      <c r="CL3673">
        <v>0</v>
      </c>
      <c r="CM3673">
        <v>2</v>
      </c>
      <c r="CN3673">
        <v>0</v>
      </c>
      <c r="CO3673">
        <v>2</v>
      </c>
      <c r="CP3673">
        <v>0</v>
      </c>
      <c r="CQ3673">
        <v>6</v>
      </c>
      <c r="CR3673" t="s">
        <v>116</v>
      </c>
      <c r="CS3673">
        <v>38</v>
      </c>
      <c r="CT3673">
        <v>0</v>
      </c>
      <c r="CU3673" t="s">
        <v>4719</v>
      </c>
      <c r="CV3673" t="s">
        <v>4720</v>
      </c>
      <c r="CY3673">
        <v>8235907</v>
      </c>
      <c r="CZ3673" t="s">
        <v>119</v>
      </c>
    </row>
    <row r="3674" spans="1:104" x14ac:dyDescent="0.25">
      <c r="A3674" t="str">
        <f>"14:51:37.078"</f>
        <v>14:51:37.078</v>
      </c>
      <c r="B3674" t="s">
        <v>108</v>
      </c>
      <c r="C3674" t="str">
        <f t="shared" si="172"/>
        <v>ffdfd3c0</v>
      </c>
      <c r="D3674" t="s">
        <v>109</v>
      </c>
      <c r="E3674">
        <v>4</v>
      </c>
      <c r="F3674">
        <v>1004</v>
      </c>
      <c r="G3674" t="s">
        <v>110</v>
      </c>
      <c r="J3674" t="s">
        <v>111</v>
      </c>
      <c r="K3674">
        <v>0</v>
      </c>
      <c r="L3674">
        <v>3</v>
      </c>
      <c r="M3674">
        <v>0</v>
      </c>
      <c r="N3674">
        <v>2</v>
      </c>
      <c r="O3674">
        <v>1</v>
      </c>
      <c r="P3674">
        <v>0</v>
      </c>
      <c r="Q3674">
        <v>0</v>
      </c>
      <c r="R3674" t="s">
        <v>112</v>
      </c>
      <c r="S3674" t="str">
        <f>"14:51:36.875"</f>
        <v>14:51:36.875</v>
      </c>
      <c r="T3674" t="str">
        <f>"14:51:36.477"</f>
        <v>14:51:36.477</v>
      </c>
      <c r="U3674" t="str">
        <f t="shared" si="171"/>
        <v>ad5732</v>
      </c>
      <c r="V3674">
        <v>0</v>
      </c>
      <c r="W3674">
        <v>0</v>
      </c>
      <c r="X3674">
        <v>1</v>
      </c>
      <c r="Z3674">
        <v>0</v>
      </c>
      <c r="AA3674">
        <v>9</v>
      </c>
      <c r="AB3674">
        <v>3</v>
      </c>
      <c r="AC3674">
        <v>0</v>
      </c>
      <c r="AD3674">
        <v>10</v>
      </c>
      <c r="AE3674">
        <v>0</v>
      </c>
      <c r="AF3674">
        <v>3</v>
      </c>
      <c r="AG3674">
        <v>2</v>
      </c>
      <c r="AH3674">
        <v>0</v>
      </c>
      <c r="AI3674" t="s">
        <v>7396</v>
      </c>
      <c r="AJ3674">
        <v>40.435223999999998</v>
      </c>
      <c r="AK3674" t="s">
        <v>7397</v>
      </c>
      <c r="AL3674">
        <v>-74.450783999999999</v>
      </c>
      <c r="AM3674">
        <v>100</v>
      </c>
      <c r="AN3674">
        <v>1700</v>
      </c>
      <c r="AO3674" t="s">
        <v>115</v>
      </c>
      <c r="AP3674">
        <v>104</v>
      </c>
      <c r="AQ3674">
        <v>63</v>
      </c>
      <c r="AR3674">
        <v>0</v>
      </c>
      <c r="AZ3674">
        <v>3614</v>
      </c>
      <c r="BA3674">
        <v>1</v>
      </c>
      <c r="BB3674" t="str">
        <f t="shared" si="173"/>
        <v xml:space="preserve">N959MJ  </v>
      </c>
      <c r="BC3674">
        <v>1</v>
      </c>
      <c r="BE3674">
        <v>0</v>
      </c>
      <c r="BF3674">
        <v>0</v>
      </c>
      <c r="BG3674">
        <v>0</v>
      </c>
      <c r="BH3674">
        <v>1900</v>
      </c>
      <c r="BI3674">
        <v>200</v>
      </c>
      <c r="BJ3674">
        <v>1</v>
      </c>
      <c r="BK3674">
        <v>1</v>
      </c>
      <c r="BL3674">
        <v>1</v>
      </c>
      <c r="BM3674">
        <v>0</v>
      </c>
      <c r="BP3674">
        <v>0</v>
      </c>
      <c r="BQ3674">
        <v>0</v>
      </c>
      <c r="BX3674" t="str">
        <f>"14:51:36.883"</f>
        <v>14:51:36.883</v>
      </c>
      <c r="BY3674" t="str">
        <f>"882533832"</f>
        <v>882533832</v>
      </c>
      <c r="CL3674">
        <v>0</v>
      </c>
      <c r="CM3674">
        <v>2</v>
      </c>
      <c r="CN3674">
        <v>0</v>
      </c>
      <c r="CO3674">
        <v>2</v>
      </c>
      <c r="CP3674">
        <v>0</v>
      </c>
      <c r="CQ3674">
        <v>6</v>
      </c>
      <c r="CR3674" t="s">
        <v>116</v>
      </c>
      <c r="CS3674">
        <v>305</v>
      </c>
      <c r="CT3674">
        <v>3</v>
      </c>
      <c r="CU3674" t="s">
        <v>6425</v>
      </c>
      <c r="CV3674" t="s">
        <v>6426</v>
      </c>
      <c r="CY3674">
        <v>6157295</v>
      </c>
      <c r="CZ3674" t="s">
        <v>119</v>
      </c>
    </row>
    <row r="3675" spans="1:104" x14ac:dyDescent="0.25">
      <c r="A3675" t="str">
        <f>"14:51:37.938"</f>
        <v>14:51:37.938</v>
      </c>
      <c r="B3675" t="s">
        <v>108</v>
      </c>
      <c r="C3675" t="str">
        <f t="shared" si="172"/>
        <v>ffdfd3c0</v>
      </c>
      <c r="D3675" t="s">
        <v>109</v>
      </c>
      <c r="E3675">
        <v>4</v>
      </c>
      <c r="F3675">
        <v>1004</v>
      </c>
      <c r="G3675" t="s">
        <v>110</v>
      </c>
      <c r="J3675" t="s">
        <v>111</v>
      </c>
      <c r="K3675">
        <v>0</v>
      </c>
      <c r="L3675">
        <v>3</v>
      </c>
      <c r="M3675">
        <v>0</v>
      </c>
      <c r="N3675">
        <v>2</v>
      </c>
      <c r="O3675">
        <v>1</v>
      </c>
      <c r="P3675">
        <v>0</v>
      </c>
      <c r="Q3675">
        <v>0</v>
      </c>
      <c r="R3675" t="s">
        <v>112</v>
      </c>
      <c r="S3675" t="str">
        <f>"14:51:37.750"</f>
        <v>14:51:37.750</v>
      </c>
      <c r="T3675" t="str">
        <f>"14:51:37.352"</f>
        <v>14:51:37.352</v>
      </c>
      <c r="U3675" t="str">
        <f t="shared" si="171"/>
        <v>ad5732</v>
      </c>
      <c r="V3675">
        <v>0</v>
      </c>
      <c r="W3675">
        <v>0</v>
      </c>
      <c r="X3675">
        <v>1</v>
      </c>
      <c r="Z3675">
        <v>0</v>
      </c>
      <c r="AA3675">
        <v>9</v>
      </c>
      <c r="AB3675">
        <v>3</v>
      </c>
      <c r="AC3675">
        <v>0</v>
      </c>
      <c r="AD3675">
        <v>10</v>
      </c>
      <c r="AE3675">
        <v>0</v>
      </c>
      <c r="AF3675">
        <v>3</v>
      </c>
      <c r="AG3675">
        <v>2</v>
      </c>
      <c r="AH3675">
        <v>0</v>
      </c>
      <c r="AI3675" t="s">
        <v>7398</v>
      </c>
      <c r="AJ3675">
        <v>40.435459999999999</v>
      </c>
      <c r="AK3675" t="s">
        <v>7399</v>
      </c>
      <c r="AL3675">
        <v>-74.450203999999999</v>
      </c>
      <c r="AM3675">
        <v>100</v>
      </c>
      <c r="AN3675">
        <v>1700</v>
      </c>
      <c r="AO3675" t="s">
        <v>115</v>
      </c>
      <c r="AP3675">
        <v>104</v>
      </c>
      <c r="AQ3675">
        <v>63</v>
      </c>
      <c r="AR3675">
        <v>0</v>
      </c>
      <c r="AZ3675">
        <v>3614</v>
      </c>
      <c r="BA3675">
        <v>1</v>
      </c>
      <c r="BB3675" t="str">
        <f t="shared" si="173"/>
        <v xml:space="preserve">N959MJ  </v>
      </c>
      <c r="BC3675">
        <v>1</v>
      </c>
      <c r="BE3675">
        <v>0</v>
      </c>
      <c r="BF3675">
        <v>0</v>
      </c>
      <c r="BG3675">
        <v>0</v>
      </c>
      <c r="BH3675">
        <v>1900</v>
      </c>
      <c r="BI3675">
        <v>200</v>
      </c>
      <c r="BJ3675">
        <v>1</v>
      </c>
      <c r="BK3675">
        <v>1</v>
      </c>
      <c r="BL3675">
        <v>1</v>
      </c>
      <c r="BM3675">
        <v>0</v>
      </c>
      <c r="BP3675">
        <v>0</v>
      </c>
      <c r="BQ3675">
        <v>0</v>
      </c>
      <c r="BX3675" t="str">
        <f>"14:51:37.758"</f>
        <v>14:51:37.758</v>
      </c>
      <c r="BY3675" t="str">
        <f>"755820440"</f>
        <v>755820440</v>
      </c>
      <c r="CL3675">
        <v>0</v>
      </c>
      <c r="CM3675">
        <v>2</v>
      </c>
      <c r="CN3675">
        <v>0</v>
      </c>
      <c r="CO3675">
        <v>2</v>
      </c>
      <c r="CP3675">
        <v>0</v>
      </c>
      <c r="CQ3675">
        <v>6</v>
      </c>
      <c r="CR3675" t="s">
        <v>116</v>
      </c>
      <c r="CS3675">
        <v>38</v>
      </c>
      <c r="CT3675">
        <v>0</v>
      </c>
      <c r="CU3675" t="s">
        <v>4719</v>
      </c>
      <c r="CV3675" t="s">
        <v>4720</v>
      </c>
      <c r="CY3675">
        <v>8238826</v>
      </c>
      <c r="CZ3675" t="s">
        <v>119</v>
      </c>
    </row>
    <row r="3676" spans="1:104" x14ac:dyDescent="0.25">
      <c r="A3676" t="str">
        <f>"14:51:38.992"</f>
        <v>14:51:38.992</v>
      </c>
      <c r="B3676" t="s">
        <v>108</v>
      </c>
      <c r="C3676" t="str">
        <f t="shared" si="172"/>
        <v>ffdfd3c0</v>
      </c>
      <c r="D3676" t="s">
        <v>109</v>
      </c>
      <c r="E3676">
        <v>4</v>
      </c>
      <c r="F3676">
        <v>1004</v>
      </c>
      <c r="G3676" t="s">
        <v>110</v>
      </c>
      <c r="J3676" t="s">
        <v>111</v>
      </c>
      <c r="K3676">
        <v>0</v>
      </c>
      <c r="L3676">
        <v>3</v>
      </c>
      <c r="M3676">
        <v>0</v>
      </c>
      <c r="N3676">
        <v>2</v>
      </c>
      <c r="O3676">
        <v>1</v>
      </c>
      <c r="P3676">
        <v>0</v>
      </c>
      <c r="Q3676">
        <v>0</v>
      </c>
      <c r="R3676" t="s">
        <v>112</v>
      </c>
      <c r="S3676" t="str">
        <f>"14:51:38.820"</f>
        <v>14:51:38.820</v>
      </c>
      <c r="T3676" t="str">
        <f>"14:51:38.320"</f>
        <v>14:51:38.320</v>
      </c>
      <c r="U3676" t="str">
        <f t="shared" si="171"/>
        <v>ad5732</v>
      </c>
      <c r="V3676">
        <v>0</v>
      </c>
      <c r="W3676">
        <v>0</v>
      </c>
      <c r="X3676">
        <v>1</v>
      </c>
      <c r="Z3676">
        <v>0</v>
      </c>
      <c r="AA3676">
        <v>9</v>
      </c>
      <c r="AB3676">
        <v>3</v>
      </c>
      <c r="AC3676">
        <v>0</v>
      </c>
      <c r="AD3676">
        <v>10</v>
      </c>
      <c r="AE3676">
        <v>0</v>
      </c>
      <c r="AF3676">
        <v>3</v>
      </c>
      <c r="AG3676">
        <v>2</v>
      </c>
      <c r="AH3676">
        <v>0</v>
      </c>
      <c r="AI3676" t="s">
        <v>7400</v>
      </c>
      <c r="AJ3676">
        <v>40.435780999999999</v>
      </c>
      <c r="AK3676" t="s">
        <v>7401</v>
      </c>
      <c r="AL3676">
        <v>-74.449582000000007</v>
      </c>
      <c r="AM3676">
        <v>100</v>
      </c>
      <c r="AN3676">
        <v>1700</v>
      </c>
      <c r="AO3676" t="s">
        <v>115</v>
      </c>
      <c r="AP3676">
        <v>105</v>
      </c>
      <c r="AQ3676">
        <v>63</v>
      </c>
      <c r="AR3676">
        <v>0</v>
      </c>
      <c r="AZ3676">
        <v>3614</v>
      </c>
      <c r="BA3676">
        <v>1</v>
      </c>
      <c r="BB3676" t="str">
        <f t="shared" si="173"/>
        <v xml:space="preserve">N959MJ  </v>
      </c>
      <c r="BC3676">
        <v>1</v>
      </c>
      <c r="BE3676">
        <v>0</v>
      </c>
      <c r="BF3676">
        <v>0</v>
      </c>
      <c r="BG3676">
        <v>0</v>
      </c>
      <c r="BH3676">
        <v>1900</v>
      </c>
      <c r="BI3676">
        <v>200</v>
      </c>
      <c r="BJ3676">
        <v>1</v>
      </c>
      <c r="BK3676">
        <v>1</v>
      </c>
      <c r="BL3676">
        <v>1</v>
      </c>
      <c r="BM3676">
        <v>0</v>
      </c>
      <c r="BP3676">
        <v>0</v>
      </c>
      <c r="BQ3676">
        <v>0</v>
      </c>
      <c r="BX3676" t="str">
        <f>"14:51:38.820"</f>
        <v>14:51:38.820</v>
      </c>
      <c r="BY3676" t="str">
        <f>"822437803"</f>
        <v>822437803</v>
      </c>
      <c r="CL3676">
        <v>0</v>
      </c>
      <c r="CM3676">
        <v>2</v>
      </c>
      <c r="CN3676">
        <v>0</v>
      </c>
      <c r="CO3676">
        <v>2</v>
      </c>
      <c r="CP3676">
        <v>0</v>
      </c>
      <c r="CQ3676">
        <v>6</v>
      </c>
      <c r="CR3676" t="s">
        <v>116</v>
      </c>
      <c r="CS3676">
        <v>38</v>
      </c>
      <c r="CT3676">
        <v>1</v>
      </c>
      <c r="CU3676" t="s">
        <v>4719</v>
      </c>
      <c r="CV3676" t="s">
        <v>4720</v>
      </c>
      <c r="CY3676">
        <v>12176622</v>
      </c>
      <c r="CZ3676" t="s">
        <v>119</v>
      </c>
    </row>
    <row r="3677" spans="1:104" x14ac:dyDescent="0.25">
      <c r="A3677" t="str">
        <f>"14:51:40.008"</f>
        <v>14:51:40.008</v>
      </c>
      <c r="B3677" t="s">
        <v>108</v>
      </c>
      <c r="C3677" t="str">
        <f t="shared" si="172"/>
        <v>ffdfd3c0</v>
      </c>
      <c r="D3677" t="s">
        <v>109</v>
      </c>
      <c r="E3677">
        <v>4</v>
      </c>
      <c r="F3677">
        <v>1004</v>
      </c>
      <c r="G3677" t="s">
        <v>110</v>
      </c>
      <c r="J3677" t="s">
        <v>111</v>
      </c>
      <c r="K3677">
        <v>0</v>
      </c>
      <c r="L3677">
        <v>3</v>
      </c>
      <c r="M3677">
        <v>0</v>
      </c>
      <c r="N3677">
        <v>2</v>
      </c>
      <c r="O3677">
        <v>1</v>
      </c>
      <c r="P3677">
        <v>0</v>
      </c>
      <c r="Q3677">
        <v>0</v>
      </c>
      <c r="R3677" t="s">
        <v>112</v>
      </c>
      <c r="S3677" t="str">
        <f>"14:51:39.797"</f>
        <v>14:51:39.797</v>
      </c>
      <c r="T3677" t="str">
        <f>"14:51:39.398"</f>
        <v>14:51:39.398</v>
      </c>
      <c r="U3677" t="str">
        <f t="shared" si="171"/>
        <v>ad5732</v>
      </c>
      <c r="V3677">
        <v>0</v>
      </c>
      <c r="W3677">
        <v>0</v>
      </c>
      <c r="X3677">
        <v>1</v>
      </c>
      <c r="Z3677">
        <v>0</v>
      </c>
      <c r="AA3677">
        <v>9</v>
      </c>
      <c r="AB3677">
        <v>3</v>
      </c>
      <c r="AC3677">
        <v>0</v>
      </c>
      <c r="AD3677">
        <v>10</v>
      </c>
      <c r="AE3677">
        <v>0</v>
      </c>
      <c r="AF3677">
        <v>3</v>
      </c>
      <c r="AG3677">
        <v>2</v>
      </c>
      <c r="AH3677">
        <v>0</v>
      </c>
      <c r="AI3677" t="s">
        <v>7402</v>
      </c>
      <c r="AJ3677">
        <v>40.436059999999998</v>
      </c>
      <c r="AK3677" t="s">
        <v>7403</v>
      </c>
      <c r="AL3677">
        <v>-74.448916999999994</v>
      </c>
      <c r="AM3677">
        <v>100</v>
      </c>
      <c r="AN3677">
        <v>1700</v>
      </c>
      <c r="AO3677" t="s">
        <v>115</v>
      </c>
      <c r="AP3677">
        <v>105</v>
      </c>
      <c r="AQ3677">
        <v>62</v>
      </c>
      <c r="AR3677">
        <v>0</v>
      </c>
      <c r="AZ3677">
        <v>3614</v>
      </c>
      <c r="BA3677">
        <v>1</v>
      </c>
      <c r="BB3677" t="str">
        <f t="shared" si="173"/>
        <v xml:space="preserve">N959MJ  </v>
      </c>
      <c r="BC3677">
        <v>1</v>
      </c>
      <c r="BE3677">
        <v>0</v>
      </c>
      <c r="BF3677">
        <v>0</v>
      </c>
      <c r="BG3677">
        <v>0</v>
      </c>
      <c r="BH3677">
        <v>1900</v>
      </c>
      <c r="BI3677">
        <v>200</v>
      </c>
      <c r="BJ3677">
        <v>1</v>
      </c>
      <c r="BK3677">
        <v>1</v>
      </c>
      <c r="BL3677">
        <v>1</v>
      </c>
      <c r="BM3677">
        <v>0</v>
      </c>
      <c r="BP3677">
        <v>0</v>
      </c>
      <c r="BQ3677">
        <v>0</v>
      </c>
      <c r="BX3677" t="str">
        <f>"14:51:39.805"</f>
        <v>14:51:39.805</v>
      </c>
      <c r="BY3677" t="str">
        <f>"802218458"</f>
        <v>802218458</v>
      </c>
      <c r="CL3677">
        <v>0</v>
      </c>
      <c r="CM3677">
        <v>2</v>
      </c>
      <c r="CN3677">
        <v>0</v>
      </c>
      <c r="CO3677">
        <v>2</v>
      </c>
      <c r="CP3677">
        <v>0</v>
      </c>
      <c r="CQ3677">
        <v>7</v>
      </c>
      <c r="CR3677" t="s">
        <v>116</v>
      </c>
      <c r="CS3677">
        <v>38</v>
      </c>
      <c r="CT3677">
        <v>0</v>
      </c>
      <c r="CU3677" t="s">
        <v>4719</v>
      </c>
      <c r="CV3677" t="s">
        <v>4720</v>
      </c>
      <c r="CY3677">
        <v>8241903</v>
      </c>
      <c r="CZ3677" t="s">
        <v>119</v>
      </c>
    </row>
    <row r="3678" spans="1:104" x14ac:dyDescent="0.25">
      <c r="A3678" t="str">
        <f>"14:51:40.859"</f>
        <v>14:51:40.859</v>
      </c>
      <c r="B3678" t="s">
        <v>108</v>
      </c>
      <c r="C3678" t="str">
        <f t="shared" si="172"/>
        <v>ffdfd3c0</v>
      </c>
      <c r="D3678" t="s">
        <v>109</v>
      </c>
      <c r="E3678">
        <v>4</v>
      </c>
      <c r="F3678">
        <v>1004</v>
      </c>
      <c r="G3678" t="s">
        <v>110</v>
      </c>
      <c r="J3678" t="s">
        <v>111</v>
      </c>
      <c r="K3678">
        <v>0</v>
      </c>
      <c r="L3678">
        <v>3</v>
      </c>
      <c r="M3678">
        <v>0</v>
      </c>
      <c r="N3678">
        <v>2</v>
      </c>
      <c r="O3678">
        <v>1</v>
      </c>
      <c r="P3678">
        <v>0</v>
      </c>
      <c r="Q3678">
        <v>0</v>
      </c>
      <c r="R3678" t="s">
        <v>112</v>
      </c>
      <c r="S3678" t="str">
        <f>"14:51:40.711"</f>
        <v>14:51:40.711</v>
      </c>
      <c r="T3678" t="str">
        <f>"14:51:40.313"</f>
        <v>14:51:40.313</v>
      </c>
      <c r="U3678" t="str">
        <f t="shared" si="171"/>
        <v>ad5732</v>
      </c>
      <c r="V3678">
        <v>0</v>
      </c>
      <c r="W3678">
        <v>0</v>
      </c>
      <c r="X3678">
        <v>1</v>
      </c>
      <c r="Z3678">
        <v>0</v>
      </c>
      <c r="AA3678">
        <v>9</v>
      </c>
      <c r="AB3678">
        <v>3</v>
      </c>
      <c r="AC3678">
        <v>0</v>
      </c>
      <c r="AD3678">
        <v>10</v>
      </c>
      <c r="AE3678">
        <v>0</v>
      </c>
      <c r="AF3678">
        <v>3</v>
      </c>
      <c r="AG3678">
        <v>2</v>
      </c>
      <c r="AH3678">
        <v>0</v>
      </c>
      <c r="AI3678" t="s">
        <v>7404</v>
      </c>
      <c r="AJ3678">
        <v>40.436295999999999</v>
      </c>
      <c r="AK3678" t="s">
        <v>7405</v>
      </c>
      <c r="AL3678">
        <v>-74.448358999999996</v>
      </c>
      <c r="AM3678">
        <v>100</v>
      </c>
      <c r="AN3678">
        <v>1700</v>
      </c>
      <c r="AO3678" t="s">
        <v>115</v>
      </c>
      <c r="AP3678">
        <v>105</v>
      </c>
      <c r="AQ3678">
        <v>62</v>
      </c>
      <c r="AR3678">
        <v>-64</v>
      </c>
      <c r="AZ3678">
        <v>3614</v>
      </c>
      <c r="BA3678">
        <v>1</v>
      </c>
      <c r="BB3678" t="str">
        <f t="shared" si="173"/>
        <v xml:space="preserve">N959MJ  </v>
      </c>
      <c r="BC3678">
        <v>1</v>
      </c>
      <c r="BE3678">
        <v>0</v>
      </c>
      <c r="BF3678">
        <v>0</v>
      </c>
      <c r="BG3678">
        <v>0</v>
      </c>
      <c r="BH3678">
        <v>1900</v>
      </c>
      <c r="BI3678">
        <v>200</v>
      </c>
      <c r="BJ3678">
        <v>1</v>
      </c>
      <c r="BK3678">
        <v>1</v>
      </c>
      <c r="BL3678">
        <v>1</v>
      </c>
      <c r="BM3678">
        <v>0</v>
      </c>
      <c r="BP3678">
        <v>0</v>
      </c>
      <c r="BQ3678">
        <v>0</v>
      </c>
      <c r="BX3678" t="str">
        <f>"14:51:40.719"</f>
        <v>14:51:40.719</v>
      </c>
      <c r="BY3678" t="str">
        <f>"714915531"</f>
        <v>714915531</v>
      </c>
      <c r="CL3678">
        <v>0</v>
      </c>
      <c r="CM3678">
        <v>2</v>
      </c>
      <c r="CN3678">
        <v>0</v>
      </c>
      <c r="CO3678">
        <v>2</v>
      </c>
      <c r="CP3678">
        <v>0</v>
      </c>
      <c r="CQ3678">
        <v>6</v>
      </c>
      <c r="CR3678" t="s">
        <v>116</v>
      </c>
      <c r="CS3678">
        <v>409</v>
      </c>
      <c r="CT3678">
        <v>1</v>
      </c>
      <c r="CU3678" t="s">
        <v>5087</v>
      </c>
      <c r="CV3678" t="s">
        <v>5088</v>
      </c>
      <c r="CY3678">
        <v>4711306</v>
      </c>
      <c r="CZ3678" t="s">
        <v>119</v>
      </c>
    </row>
    <row r="3679" spans="1:104" x14ac:dyDescent="0.25">
      <c r="A3679" t="str">
        <f>"14:51:41.773"</f>
        <v>14:51:41.773</v>
      </c>
      <c r="B3679" t="s">
        <v>108</v>
      </c>
      <c r="C3679" t="str">
        <f t="shared" si="172"/>
        <v>ffdfd3c0</v>
      </c>
      <c r="D3679" t="s">
        <v>109</v>
      </c>
      <c r="E3679">
        <v>4</v>
      </c>
      <c r="F3679">
        <v>1004</v>
      </c>
      <c r="G3679" t="s">
        <v>110</v>
      </c>
      <c r="J3679" t="s">
        <v>111</v>
      </c>
      <c r="K3679">
        <v>0</v>
      </c>
      <c r="L3679">
        <v>3</v>
      </c>
      <c r="M3679">
        <v>0</v>
      </c>
      <c r="N3679">
        <v>2</v>
      </c>
      <c r="O3679">
        <v>1</v>
      </c>
      <c r="P3679">
        <v>0</v>
      </c>
      <c r="Q3679">
        <v>0</v>
      </c>
      <c r="R3679" t="s">
        <v>112</v>
      </c>
      <c r="S3679" t="str">
        <f>"14:51:41.609"</f>
        <v>14:51:41.609</v>
      </c>
      <c r="T3679" t="str">
        <f>"14:51:41.211"</f>
        <v>14:51:41.211</v>
      </c>
      <c r="U3679" t="str">
        <f t="shared" si="171"/>
        <v>ad5732</v>
      </c>
      <c r="V3679">
        <v>0</v>
      </c>
      <c r="W3679">
        <v>0</v>
      </c>
      <c r="X3679">
        <v>1</v>
      </c>
      <c r="Z3679">
        <v>0</v>
      </c>
      <c r="AA3679">
        <v>9</v>
      </c>
      <c r="AB3679">
        <v>3</v>
      </c>
      <c r="AC3679">
        <v>0</v>
      </c>
      <c r="AD3679">
        <v>10</v>
      </c>
      <c r="AE3679">
        <v>0</v>
      </c>
      <c r="AF3679">
        <v>3</v>
      </c>
      <c r="AG3679">
        <v>2</v>
      </c>
      <c r="AH3679">
        <v>0</v>
      </c>
      <c r="AI3679" t="s">
        <v>7406</v>
      </c>
      <c r="AJ3679">
        <v>40.436554000000001</v>
      </c>
      <c r="AK3679" t="s">
        <v>7407</v>
      </c>
      <c r="AL3679">
        <v>-74.447757999999993</v>
      </c>
      <c r="AM3679">
        <v>100</v>
      </c>
      <c r="AN3679">
        <v>1700</v>
      </c>
      <c r="AO3679" t="s">
        <v>115</v>
      </c>
      <c r="AP3679">
        <v>105</v>
      </c>
      <c r="AQ3679">
        <v>61</v>
      </c>
      <c r="AR3679">
        <v>0</v>
      </c>
      <c r="AZ3679">
        <v>3614</v>
      </c>
      <c r="BA3679">
        <v>1</v>
      </c>
      <c r="BB3679" t="str">
        <f t="shared" si="173"/>
        <v xml:space="preserve">N959MJ  </v>
      </c>
      <c r="BC3679">
        <v>1</v>
      </c>
      <c r="BE3679">
        <v>0</v>
      </c>
      <c r="BF3679">
        <v>0</v>
      </c>
      <c r="BG3679">
        <v>0</v>
      </c>
      <c r="BH3679">
        <v>1900</v>
      </c>
      <c r="BI3679">
        <v>200</v>
      </c>
      <c r="BJ3679">
        <v>1</v>
      </c>
      <c r="BK3679">
        <v>1</v>
      </c>
      <c r="BL3679">
        <v>1</v>
      </c>
      <c r="BM3679">
        <v>0</v>
      </c>
      <c r="BP3679">
        <v>0</v>
      </c>
      <c r="BQ3679">
        <v>0</v>
      </c>
      <c r="BX3679" t="str">
        <f>"14:51:41.609"</f>
        <v>14:51:41.609</v>
      </c>
      <c r="BY3679" t="str">
        <f>"612682583"</f>
        <v>612682583</v>
      </c>
      <c r="CL3679">
        <v>0</v>
      </c>
      <c r="CM3679">
        <v>2</v>
      </c>
      <c r="CN3679">
        <v>0</v>
      </c>
      <c r="CO3679">
        <v>2</v>
      </c>
      <c r="CP3679">
        <v>0</v>
      </c>
      <c r="CQ3679">
        <v>6</v>
      </c>
      <c r="CR3679" t="s">
        <v>116</v>
      </c>
      <c r="CS3679">
        <v>38</v>
      </c>
      <c r="CT3679">
        <v>0</v>
      </c>
      <c r="CU3679" t="s">
        <v>4719</v>
      </c>
      <c r="CV3679" t="s">
        <v>4720</v>
      </c>
      <c r="CY3679">
        <v>8244876</v>
      </c>
      <c r="CZ3679" t="s">
        <v>119</v>
      </c>
    </row>
    <row r="3680" spans="1:104" x14ac:dyDescent="0.25">
      <c r="A3680" t="str">
        <f>"14:51:42.734"</f>
        <v>14:51:42.734</v>
      </c>
      <c r="B3680" t="s">
        <v>108</v>
      </c>
      <c r="C3680" t="str">
        <f t="shared" si="172"/>
        <v>ffdfd3c0</v>
      </c>
      <c r="D3680" t="s">
        <v>109</v>
      </c>
      <c r="E3680">
        <v>4</v>
      </c>
      <c r="F3680">
        <v>1004</v>
      </c>
      <c r="G3680" t="s">
        <v>110</v>
      </c>
      <c r="J3680" t="s">
        <v>111</v>
      </c>
      <c r="K3680">
        <v>0</v>
      </c>
      <c r="L3680">
        <v>3</v>
      </c>
      <c r="M3680">
        <v>0</v>
      </c>
      <c r="N3680">
        <v>2</v>
      </c>
      <c r="O3680">
        <v>1</v>
      </c>
      <c r="P3680">
        <v>0</v>
      </c>
      <c r="Q3680">
        <v>0</v>
      </c>
      <c r="R3680" t="s">
        <v>112</v>
      </c>
      <c r="S3680" t="str">
        <f>"14:51:42.539"</f>
        <v>14:51:42.539</v>
      </c>
      <c r="T3680" t="str">
        <f>"14:51:42.141"</f>
        <v>14:51:42.141</v>
      </c>
      <c r="U3680" t="str">
        <f t="shared" si="171"/>
        <v>ad5732</v>
      </c>
      <c r="V3680">
        <v>0</v>
      </c>
      <c r="W3680">
        <v>0</v>
      </c>
      <c r="X3680">
        <v>1</v>
      </c>
      <c r="Z3680">
        <v>0</v>
      </c>
      <c r="AA3680">
        <v>9</v>
      </c>
      <c r="AB3680">
        <v>3</v>
      </c>
      <c r="AC3680">
        <v>0</v>
      </c>
      <c r="AD3680">
        <v>10</v>
      </c>
      <c r="AE3680">
        <v>0</v>
      </c>
      <c r="AF3680">
        <v>3</v>
      </c>
      <c r="AG3680">
        <v>2</v>
      </c>
      <c r="AH3680">
        <v>0</v>
      </c>
      <c r="AI3680" t="s">
        <v>7408</v>
      </c>
      <c r="AJ3680">
        <v>40.436833</v>
      </c>
      <c r="AK3680" t="s">
        <v>7409</v>
      </c>
      <c r="AL3680">
        <v>-74.447136</v>
      </c>
      <c r="AM3680">
        <v>100</v>
      </c>
      <c r="AN3680">
        <v>1700</v>
      </c>
      <c r="AO3680" t="s">
        <v>115</v>
      </c>
      <c r="AP3680">
        <v>105</v>
      </c>
      <c r="AQ3680">
        <v>61</v>
      </c>
      <c r="AR3680">
        <v>0</v>
      </c>
      <c r="AZ3680">
        <v>3614</v>
      </c>
      <c r="BA3680">
        <v>1</v>
      </c>
      <c r="BB3680" t="str">
        <f t="shared" si="173"/>
        <v xml:space="preserve">N959MJ  </v>
      </c>
      <c r="BC3680">
        <v>1</v>
      </c>
      <c r="BE3680">
        <v>0</v>
      </c>
      <c r="BF3680">
        <v>0</v>
      </c>
      <c r="BG3680">
        <v>0</v>
      </c>
      <c r="BH3680">
        <v>1900</v>
      </c>
      <c r="BI3680">
        <v>200</v>
      </c>
      <c r="BJ3680">
        <v>1</v>
      </c>
      <c r="BK3680">
        <v>1</v>
      </c>
      <c r="BL3680">
        <v>1</v>
      </c>
      <c r="BM3680">
        <v>0</v>
      </c>
      <c r="BP3680">
        <v>0</v>
      </c>
      <c r="BQ3680">
        <v>0</v>
      </c>
      <c r="BX3680" t="str">
        <f>"14:51:42.547"</f>
        <v>14:51:42.547</v>
      </c>
      <c r="BY3680" t="str">
        <f>"546587195"</f>
        <v>546587195</v>
      </c>
      <c r="CL3680">
        <v>0</v>
      </c>
      <c r="CM3680">
        <v>2</v>
      </c>
      <c r="CN3680">
        <v>0</v>
      </c>
      <c r="CO3680">
        <v>2</v>
      </c>
      <c r="CP3680">
        <v>0</v>
      </c>
      <c r="CQ3680">
        <v>7</v>
      </c>
      <c r="CR3680" t="s">
        <v>116</v>
      </c>
      <c r="CS3680">
        <v>38</v>
      </c>
      <c r="CT3680">
        <v>0</v>
      </c>
      <c r="CU3680" t="s">
        <v>4719</v>
      </c>
      <c r="CV3680" t="s">
        <v>4720</v>
      </c>
      <c r="CY3680">
        <v>8246301</v>
      </c>
      <c r="CZ3680" t="s">
        <v>119</v>
      </c>
    </row>
    <row r="3681" spans="1:104" x14ac:dyDescent="0.25">
      <c r="A3681" t="str">
        <f>"14:51:43.789"</f>
        <v>14:51:43.789</v>
      </c>
      <c r="B3681" t="s">
        <v>108</v>
      </c>
      <c r="C3681" t="str">
        <f t="shared" si="172"/>
        <v>ffdfd3c0</v>
      </c>
      <c r="D3681" t="s">
        <v>109</v>
      </c>
      <c r="E3681">
        <v>4</v>
      </c>
      <c r="F3681">
        <v>1004</v>
      </c>
      <c r="G3681" t="s">
        <v>110</v>
      </c>
      <c r="J3681" t="s">
        <v>111</v>
      </c>
      <c r="K3681">
        <v>0</v>
      </c>
      <c r="L3681">
        <v>3</v>
      </c>
      <c r="M3681">
        <v>0</v>
      </c>
      <c r="N3681">
        <v>2</v>
      </c>
      <c r="O3681">
        <v>1</v>
      </c>
      <c r="P3681">
        <v>0</v>
      </c>
      <c r="Q3681">
        <v>0</v>
      </c>
      <c r="R3681" t="s">
        <v>112</v>
      </c>
      <c r="S3681" t="str">
        <f>"14:51:43.625"</f>
        <v>14:51:43.625</v>
      </c>
      <c r="T3681" t="str">
        <f>"14:51:43.227"</f>
        <v>14:51:43.227</v>
      </c>
      <c r="U3681" t="str">
        <f t="shared" si="171"/>
        <v>ad5732</v>
      </c>
      <c r="V3681">
        <v>0</v>
      </c>
      <c r="W3681">
        <v>0</v>
      </c>
      <c r="X3681">
        <v>1</v>
      </c>
      <c r="Z3681">
        <v>0</v>
      </c>
      <c r="AA3681">
        <v>9</v>
      </c>
      <c r="AB3681">
        <v>3</v>
      </c>
      <c r="AC3681">
        <v>0</v>
      </c>
      <c r="AD3681">
        <v>10</v>
      </c>
      <c r="AE3681">
        <v>0</v>
      </c>
      <c r="AF3681">
        <v>3</v>
      </c>
      <c r="AG3681">
        <v>2</v>
      </c>
      <c r="AH3681">
        <v>0</v>
      </c>
      <c r="AI3681" t="s">
        <v>7410</v>
      </c>
      <c r="AJ3681">
        <v>40.437111999999999</v>
      </c>
      <c r="AK3681" t="s">
        <v>7411</v>
      </c>
      <c r="AL3681">
        <v>-74.446471000000003</v>
      </c>
      <c r="AM3681">
        <v>100</v>
      </c>
      <c r="AN3681">
        <v>1700</v>
      </c>
      <c r="AO3681" t="s">
        <v>115</v>
      </c>
      <c r="AP3681">
        <v>106</v>
      </c>
      <c r="AQ3681">
        <v>60</v>
      </c>
      <c r="AR3681">
        <v>0</v>
      </c>
      <c r="AZ3681">
        <v>3614</v>
      </c>
      <c r="BA3681">
        <v>1</v>
      </c>
      <c r="BB3681" t="str">
        <f t="shared" si="173"/>
        <v xml:space="preserve">N959MJ  </v>
      </c>
      <c r="BC3681">
        <v>1</v>
      </c>
      <c r="BE3681">
        <v>0</v>
      </c>
      <c r="BF3681">
        <v>0</v>
      </c>
      <c r="BG3681">
        <v>0</v>
      </c>
      <c r="BH3681">
        <v>1900</v>
      </c>
      <c r="BI3681">
        <v>200</v>
      </c>
      <c r="BJ3681">
        <v>1</v>
      </c>
      <c r="BK3681">
        <v>1</v>
      </c>
      <c r="BL3681">
        <v>1</v>
      </c>
      <c r="BM3681">
        <v>0</v>
      </c>
      <c r="BP3681">
        <v>0</v>
      </c>
      <c r="BQ3681">
        <v>0</v>
      </c>
      <c r="BX3681" t="str">
        <f>"14:51:43.625"</f>
        <v>14:51:43.625</v>
      </c>
      <c r="BY3681" t="str">
        <f>"626305567"</f>
        <v>626305567</v>
      </c>
      <c r="CL3681">
        <v>0</v>
      </c>
      <c r="CM3681">
        <v>2</v>
      </c>
      <c r="CN3681">
        <v>0</v>
      </c>
      <c r="CO3681">
        <v>2</v>
      </c>
      <c r="CP3681">
        <v>0</v>
      </c>
      <c r="CQ3681">
        <v>7</v>
      </c>
      <c r="CR3681" t="s">
        <v>116</v>
      </c>
      <c r="CS3681">
        <v>305</v>
      </c>
      <c r="CT3681">
        <v>3</v>
      </c>
      <c r="CU3681" t="s">
        <v>6425</v>
      </c>
      <c r="CV3681" t="s">
        <v>6426</v>
      </c>
      <c r="CY3681">
        <v>6171099</v>
      </c>
      <c r="CZ3681" t="s">
        <v>119</v>
      </c>
    </row>
    <row r="3682" spans="1:104" x14ac:dyDescent="0.25">
      <c r="A3682" t="str">
        <f>"14:51:44.953"</f>
        <v>14:51:44.953</v>
      </c>
      <c r="B3682" t="s">
        <v>108</v>
      </c>
      <c r="C3682" t="str">
        <f t="shared" si="172"/>
        <v>ffdfd3c0</v>
      </c>
      <c r="D3682" t="s">
        <v>109</v>
      </c>
      <c r="E3682">
        <v>4</v>
      </c>
      <c r="F3682">
        <v>1004</v>
      </c>
      <c r="G3682" t="s">
        <v>110</v>
      </c>
      <c r="J3682" t="s">
        <v>111</v>
      </c>
      <c r="K3682">
        <v>0</v>
      </c>
      <c r="L3682">
        <v>3</v>
      </c>
      <c r="M3682">
        <v>0</v>
      </c>
      <c r="N3682">
        <v>2</v>
      </c>
      <c r="O3682">
        <v>1</v>
      </c>
      <c r="P3682">
        <v>0</v>
      </c>
      <c r="Q3682">
        <v>0</v>
      </c>
      <c r="R3682" t="s">
        <v>112</v>
      </c>
      <c r="S3682" t="str">
        <f>"14:51:44.742"</f>
        <v>14:51:44.742</v>
      </c>
      <c r="T3682" t="str">
        <f>"14:51:44.242"</f>
        <v>14:51:44.242</v>
      </c>
      <c r="U3682" t="str">
        <f t="shared" si="171"/>
        <v>ad5732</v>
      </c>
      <c r="V3682">
        <v>0</v>
      </c>
      <c r="W3682">
        <v>0</v>
      </c>
      <c r="X3682">
        <v>1</v>
      </c>
      <c r="Z3682">
        <v>0</v>
      </c>
      <c r="AA3682">
        <v>9</v>
      </c>
      <c r="AB3682">
        <v>3</v>
      </c>
      <c r="AC3682">
        <v>0</v>
      </c>
      <c r="AD3682">
        <v>10</v>
      </c>
      <c r="AE3682">
        <v>0</v>
      </c>
      <c r="AF3682">
        <v>3</v>
      </c>
      <c r="AG3682">
        <v>2</v>
      </c>
      <c r="AH3682">
        <v>0</v>
      </c>
      <c r="AI3682" t="s">
        <v>7412</v>
      </c>
      <c r="AJ3682">
        <v>40.437477000000001</v>
      </c>
      <c r="AK3682" t="s">
        <v>7413</v>
      </c>
      <c r="AL3682">
        <v>-74.445740999999998</v>
      </c>
      <c r="AM3682">
        <v>100</v>
      </c>
      <c r="AN3682">
        <v>1700</v>
      </c>
      <c r="AO3682" t="s">
        <v>115</v>
      </c>
      <c r="AP3682">
        <v>106</v>
      </c>
      <c r="AQ3682">
        <v>60</v>
      </c>
      <c r="AR3682">
        <v>0</v>
      </c>
      <c r="AZ3682">
        <v>3614</v>
      </c>
      <c r="BA3682">
        <v>1</v>
      </c>
      <c r="BB3682" t="str">
        <f t="shared" si="173"/>
        <v xml:space="preserve">N959MJ  </v>
      </c>
      <c r="BC3682">
        <v>1</v>
      </c>
      <c r="BE3682">
        <v>0</v>
      </c>
      <c r="BF3682">
        <v>0</v>
      </c>
      <c r="BG3682">
        <v>0</v>
      </c>
      <c r="BH3682">
        <v>1900</v>
      </c>
      <c r="BI3682">
        <v>200</v>
      </c>
      <c r="BJ3682">
        <v>1</v>
      </c>
      <c r="BK3682">
        <v>1</v>
      </c>
      <c r="BL3682">
        <v>1</v>
      </c>
      <c r="BM3682">
        <v>0</v>
      </c>
      <c r="BP3682">
        <v>0</v>
      </c>
      <c r="BQ3682">
        <v>0</v>
      </c>
      <c r="BX3682" t="str">
        <f>"14:51:44.742"</f>
        <v>14:51:44.742</v>
      </c>
      <c r="BY3682" t="str">
        <f>"745352226"</f>
        <v>745352226</v>
      </c>
      <c r="CL3682">
        <v>0</v>
      </c>
      <c r="CM3682">
        <v>2</v>
      </c>
      <c r="CN3682">
        <v>0</v>
      </c>
      <c r="CO3682">
        <v>2</v>
      </c>
      <c r="CP3682">
        <v>0</v>
      </c>
      <c r="CQ3682">
        <v>7</v>
      </c>
      <c r="CR3682" t="s">
        <v>116</v>
      </c>
      <c r="CS3682">
        <v>305</v>
      </c>
      <c r="CT3682">
        <v>3</v>
      </c>
      <c r="CU3682" t="s">
        <v>6425</v>
      </c>
      <c r="CV3682" t="s">
        <v>6426</v>
      </c>
      <c r="CY3682">
        <v>6173359</v>
      </c>
      <c r="CZ3682" t="s">
        <v>119</v>
      </c>
    </row>
    <row r="3683" spans="1:104" x14ac:dyDescent="0.25">
      <c r="A3683" t="str">
        <f>"14:51:45.914"</f>
        <v>14:51:45.914</v>
      </c>
      <c r="B3683" t="s">
        <v>108</v>
      </c>
      <c r="C3683" t="str">
        <f t="shared" si="172"/>
        <v>ffdfd3c0</v>
      </c>
      <c r="D3683" t="s">
        <v>109</v>
      </c>
      <c r="E3683">
        <v>4</v>
      </c>
      <c r="F3683">
        <v>1004</v>
      </c>
      <c r="G3683" t="s">
        <v>110</v>
      </c>
      <c r="J3683" t="s">
        <v>111</v>
      </c>
      <c r="K3683">
        <v>0</v>
      </c>
      <c r="L3683">
        <v>3</v>
      </c>
      <c r="M3683">
        <v>0</v>
      </c>
      <c r="N3683">
        <v>2</v>
      </c>
      <c r="O3683">
        <v>1</v>
      </c>
      <c r="P3683">
        <v>0</v>
      </c>
      <c r="Q3683">
        <v>0</v>
      </c>
      <c r="R3683" t="s">
        <v>112</v>
      </c>
      <c r="S3683" t="str">
        <f>"14:51:45.727"</f>
        <v>14:51:45.727</v>
      </c>
      <c r="T3683" t="str">
        <f>"14:51:45.227"</f>
        <v>14:51:45.227</v>
      </c>
      <c r="U3683" t="str">
        <f t="shared" si="171"/>
        <v>ad5732</v>
      </c>
      <c r="V3683">
        <v>0</v>
      </c>
      <c r="W3683">
        <v>0</v>
      </c>
      <c r="X3683">
        <v>1</v>
      </c>
      <c r="Z3683">
        <v>0</v>
      </c>
      <c r="AA3683">
        <v>9</v>
      </c>
      <c r="AB3683">
        <v>3</v>
      </c>
      <c r="AC3683">
        <v>0</v>
      </c>
      <c r="AD3683">
        <v>10</v>
      </c>
      <c r="AE3683">
        <v>0</v>
      </c>
      <c r="AF3683">
        <v>3</v>
      </c>
      <c r="AG3683">
        <v>2</v>
      </c>
      <c r="AH3683">
        <v>0</v>
      </c>
      <c r="AI3683" t="s">
        <v>7414</v>
      </c>
      <c r="AJ3683">
        <v>40.437733999999999</v>
      </c>
      <c r="AK3683" t="s">
        <v>7415</v>
      </c>
      <c r="AL3683">
        <v>-74.445076</v>
      </c>
      <c r="AM3683">
        <v>100</v>
      </c>
      <c r="AN3683">
        <v>1700</v>
      </c>
      <c r="AO3683" t="s">
        <v>115</v>
      </c>
      <c r="AP3683">
        <v>106</v>
      </c>
      <c r="AQ3683">
        <v>59</v>
      </c>
      <c r="AR3683">
        <v>0</v>
      </c>
      <c r="AZ3683">
        <v>3614</v>
      </c>
      <c r="BA3683">
        <v>1</v>
      </c>
      <c r="BB3683" t="str">
        <f t="shared" si="173"/>
        <v xml:space="preserve">N959MJ  </v>
      </c>
      <c r="BC3683">
        <v>1</v>
      </c>
      <c r="BE3683">
        <v>0</v>
      </c>
      <c r="BF3683">
        <v>0</v>
      </c>
      <c r="BG3683">
        <v>0</v>
      </c>
      <c r="BH3683">
        <v>1900</v>
      </c>
      <c r="BI3683">
        <v>200</v>
      </c>
      <c r="BJ3683">
        <v>1</v>
      </c>
      <c r="BK3683">
        <v>1</v>
      </c>
      <c r="BL3683">
        <v>1</v>
      </c>
      <c r="BM3683">
        <v>0</v>
      </c>
      <c r="BP3683">
        <v>0</v>
      </c>
      <c r="BQ3683">
        <v>0</v>
      </c>
      <c r="BX3683" t="str">
        <f>"14:51:45.727"</f>
        <v>14:51:45.727</v>
      </c>
      <c r="BY3683" t="str">
        <f>"730054956"</f>
        <v>730054956</v>
      </c>
      <c r="CL3683">
        <v>0</v>
      </c>
      <c r="CM3683">
        <v>2</v>
      </c>
      <c r="CN3683">
        <v>0</v>
      </c>
      <c r="CO3683">
        <v>2</v>
      </c>
      <c r="CP3683">
        <v>0</v>
      </c>
      <c r="CQ3683">
        <v>6</v>
      </c>
      <c r="CR3683" t="s">
        <v>116</v>
      </c>
      <c r="CS3683">
        <v>38</v>
      </c>
      <c r="CT3683">
        <v>0</v>
      </c>
      <c r="CU3683" t="s">
        <v>4719</v>
      </c>
      <c r="CV3683" t="s">
        <v>4720</v>
      </c>
      <c r="CY3683">
        <v>8251215</v>
      </c>
      <c r="CZ3683" t="s">
        <v>119</v>
      </c>
    </row>
    <row r="3684" spans="1:104" x14ac:dyDescent="0.25">
      <c r="A3684" t="str">
        <f>"14:51:46.773"</f>
        <v>14:51:46.773</v>
      </c>
      <c r="B3684" t="s">
        <v>108</v>
      </c>
      <c r="C3684" t="str">
        <f t="shared" si="172"/>
        <v>ffdfd3c0</v>
      </c>
      <c r="D3684" t="s">
        <v>109</v>
      </c>
      <c r="E3684">
        <v>4</v>
      </c>
      <c r="F3684">
        <v>1004</v>
      </c>
      <c r="G3684" t="s">
        <v>110</v>
      </c>
      <c r="J3684" t="s">
        <v>111</v>
      </c>
      <c r="K3684">
        <v>0</v>
      </c>
      <c r="L3684">
        <v>3</v>
      </c>
      <c r="M3684">
        <v>0</v>
      </c>
      <c r="N3684">
        <v>2</v>
      </c>
      <c r="O3684">
        <v>1</v>
      </c>
      <c r="P3684">
        <v>0</v>
      </c>
      <c r="Q3684">
        <v>0</v>
      </c>
      <c r="R3684" t="s">
        <v>112</v>
      </c>
      <c r="S3684" t="str">
        <f>"14:51:46.617"</f>
        <v>14:51:46.617</v>
      </c>
      <c r="T3684" t="str">
        <f>"14:51:46.219"</f>
        <v>14:51:46.219</v>
      </c>
      <c r="U3684" t="str">
        <f t="shared" si="171"/>
        <v>ad5732</v>
      </c>
      <c r="V3684">
        <v>0</v>
      </c>
      <c r="W3684">
        <v>0</v>
      </c>
      <c r="X3684">
        <v>1</v>
      </c>
      <c r="Z3684">
        <v>0</v>
      </c>
      <c r="AA3684">
        <v>9</v>
      </c>
      <c r="AB3684">
        <v>3</v>
      </c>
      <c r="AC3684">
        <v>0</v>
      </c>
      <c r="AD3684">
        <v>10</v>
      </c>
      <c r="AE3684">
        <v>0</v>
      </c>
      <c r="AF3684">
        <v>3</v>
      </c>
      <c r="AG3684">
        <v>2</v>
      </c>
      <c r="AH3684">
        <v>0</v>
      </c>
      <c r="AI3684" t="s">
        <v>7416</v>
      </c>
      <c r="AJ3684">
        <v>40.437927000000002</v>
      </c>
      <c r="AK3684" t="s">
        <v>7417</v>
      </c>
      <c r="AL3684">
        <v>-74.444581999999997</v>
      </c>
      <c r="AM3684">
        <v>100</v>
      </c>
      <c r="AN3684">
        <v>1700</v>
      </c>
      <c r="AO3684" t="s">
        <v>115</v>
      </c>
      <c r="AP3684">
        <v>106</v>
      </c>
      <c r="AQ3684">
        <v>59</v>
      </c>
      <c r="AR3684">
        <v>0</v>
      </c>
      <c r="AZ3684">
        <v>3614</v>
      </c>
      <c r="BA3684">
        <v>1</v>
      </c>
      <c r="BB3684" t="str">
        <f t="shared" si="173"/>
        <v xml:space="preserve">N959MJ  </v>
      </c>
      <c r="BC3684">
        <v>1</v>
      </c>
      <c r="BE3684">
        <v>0</v>
      </c>
      <c r="BF3684">
        <v>0</v>
      </c>
      <c r="BG3684">
        <v>0</v>
      </c>
      <c r="BH3684">
        <v>1900</v>
      </c>
      <c r="BI3684">
        <v>200</v>
      </c>
      <c r="BJ3684">
        <v>1</v>
      </c>
      <c r="BK3684">
        <v>1</v>
      </c>
      <c r="BL3684">
        <v>1</v>
      </c>
      <c r="BM3684">
        <v>0</v>
      </c>
      <c r="BP3684">
        <v>0</v>
      </c>
      <c r="BQ3684">
        <v>0</v>
      </c>
      <c r="BX3684" t="str">
        <f>"14:51:46.625"</f>
        <v>14:51:46.625</v>
      </c>
      <c r="BY3684" t="str">
        <f>"622998834"</f>
        <v>622998834</v>
      </c>
      <c r="CL3684">
        <v>0</v>
      </c>
      <c r="CM3684">
        <v>2</v>
      </c>
      <c r="CN3684">
        <v>0</v>
      </c>
      <c r="CO3684">
        <v>2</v>
      </c>
      <c r="CP3684">
        <v>0</v>
      </c>
      <c r="CQ3684">
        <v>6</v>
      </c>
      <c r="CR3684" t="s">
        <v>116</v>
      </c>
      <c r="CS3684">
        <v>38</v>
      </c>
      <c r="CT3684">
        <v>0</v>
      </c>
      <c r="CU3684" t="s">
        <v>4719</v>
      </c>
      <c r="CV3684" t="s">
        <v>4720</v>
      </c>
      <c r="CY3684">
        <v>8252647</v>
      </c>
      <c r="CZ3684" t="s">
        <v>119</v>
      </c>
    </row>
    <row r="3685" spans="1:104" x14ac:dyDescent="0.25">
      <c r="A3685" t="str">
        <f>"14:51:47.781"</f>
        <v>14:51:47.781</v>
      </c>
      <c r="B3685" t="s">
        <v>108</v>
      </c>
      <c r="C3685" t="str">
        <f t="shared" si="172"/>
        <v>ffdfd3c0</v>
      </c>
      <c r="D3685" t="s">
        <v>109</v>
      </c>
      <c r="E3685">
        <v>4</v>
      </c>
      <c r="F3685">
        <v>1004</v>
      </c>
      <c r="G3685" t="s">
        <v>110</v>
      </c>
      <c r="J3685" t="s">
        <v>111</v>
      </c>
      <c r="K3685">
        <v>0</v>
      </c>
      <c r="L3685">
        <v>3</v>
      </c>
      <c r="M3685">
        <v>0</v>
      </c>
      <c r="N3685">
        <v>2</v>
      </c>
      <c r="O3685">
        <v>1</v>
      </c>
      <c r="P3685">
        <v>0</v>
      </c>
      <c r="Q3685">
        <v>0</v>
      </c>
      <c r="R3685" t="s">
        <v>112</v>
      </c>
      <c r="S3685" t="str">
        <f>"14:51:47.617"</f>
        <v>14:51:47.617</v>
      </c>
      <c r="T3685" t="str">
        <f>"14:51:46.719"</f>
        <v>14:51:46.719</v>
      </c>
      <c r="U3685" t="str">
        <f t="shared" si="171"/>
        <v>ad5732</v>
      </c>
      <c r="V3685">
        <v>0</v>
      </c>
      <c r="W3685">
        <v>0</v>
      </c>
      <c r="X3685">
        <v>1</v>
      </c>
      <c r="Z3685">
        <v>0</v>
      </c>
      <c r="AA3685">
        <v>9</v>
      </c>
      <c r="AB3685">
        <v>3</v>
      </c>
      <c r="AC3685">
        <v>0</v>
      </c>
      <c r="AD3685">
        <v>10</v>
      </c>
      <c r="AE3685">
        <v>0</v>
      </c>
      <c r="AF3685">
        <v>3</v>
      </c>
      <c r="AG3685">
        <v>2</v>
      </c>
      <c r="AH3685">
        <v>0</v>
      </c>
      <c r="AI3685" t="s">
        <v>7418</v>
      </c>
      <c r="AJ3685">
        <v>40.438206000000001</v>
      </c>
      <c r="AK3685" t="s">
        <v>7419</v>
      </c>
      <c r="AL3685">
        <v>-74.443916999999999</v>
      </c>
      <c r="AM3685">
        <v>100</v>
      </c>
      <c r="AN3685">
        <v>1700</v>
      </c>
      <c r="AO3685" t="s">
        <v>115</v>
      </c>
      <c r="AP3685">
        <v>106</v>
      </c>
      <c r="AQ3685">
        <v>59</v>
      </c>
      <c r="AR3685">
        <v>0</v>
      </c>
      <c r="AZ3685">
        <v>3614</v>
      </c>
      <c r="BA3685">
        <v>1</v>
      </c>
      <c r="BB3685" t="str">
        <f t="shared" si="173"/>
        <v xml:space="preserve">N959MJ  </v>
      </c>
      <c r="BC3685">
        <v>1</v>
      </c>
      <c r="BE3685">
        <v>0</v>
      </c>
      <c r="BF3685">
        <v>0</v>
      </c>
      <c r="BG3685">
        <v>0</v>
      </c>
      <c r="BH3685">
        <v>1900</v>
      </c>
      <c r="BI3685">
        <v>200</v>
      </c>
      <c r="BJ3685">
        <v>1</v>
      </c>
      <c r="BK3685">
        <v>1</v>
      </c>
      <c r="BL3685">
        <v>1</v>
      </c>
      <c r="BM3685">
        <v>0</v>
      </c>
      <c r="BP3685">
        <v>0</v>
      </c>
      <c r="BQ3685">
        <v>0</v>
      </c>
      <c r="BX3685" t="str">
        <f>"14:51:47.617"</f>
        <v>14:51:47.617</v>
      </c>
      <c r="BY3685" t="str">
        <f>"620794247"</f>
        <v>620794247</v>
      </c>
      <c r="CL3685">
        <v>0</v>
      </c>
      <c r="CM3685">
        <v>2</v>
      </c>
      <c r="CN3685">
        <v>0</v>
      </c>
      <c r="CO3685">
        <v>2</v>
      </c>
      <c r="CP3685">
        <v>0</v>
      </c>
      <c r="CQ3685">
        <v>2</v>
      </c>
      <c r="CR3685" t="s">
        <v>116</v>
      </c>
      <c r="CS3685">
        <v>305</v>
      </c>
      <c r="CT3685">
        <v>2</v>
      </c>
      <c r="CU3685" t="s">
        <v>6425</v>
      </c>
      <c r="CV3685" t="s">
        <v>6426</v>
      </c>
      <c r="CY3685">
        <v>14136570</v>
      </c>
      <c r="CZ3685" t="s">
        <v>119</v>
      </c>
    </row>
    <row r="3686" spans="1:104" x14ac:dyDescent="0.25">
      <c r="A3686" t="str">
        <f>"14:51:48.844"</f>
        <v>14:51:48.844</v>
      </c>
      <c r="B3686" t="s">
        <v>108</v>
      </c>
      <c r="C3686" t="str">
        <f t="shared" si="172"/>
        <v>ffdfd3c0</v>
      </c>
      <c r="D3686" t="s">
        <v>109</v>
      </c>
      <c r="E3686">
        <v>4</v>
      </c>
      <c r="F3686">
        <v>1004</v>
      </c>
      <c r="G3686" t="s">
        <v>110</v>
      </c>
      <c r="J3686" t="s">
        <v>111</v>
      </c>
      <c r="K3686">
        <v>0</v>
      </c>
      <c r="L3686">
        <v>3</v>
      </c>
      <c r="M3686">
        <v>0</v>
      </c>
      <c r="N3686">
        <v>2</v>
      </c>
      <c r="O3686">
        <v>1</v>
      </c>
      <c r="P3686">
        <v>0</v>
      </c>
      <c r="Q3686">
        <v>0</v>
      </c>
      <c r="R3686" t="s">
        <v>112</v>
      </c>
      <c r="S3686" t="str">
        <f>"14:51:48.672"</f>
        <v>14:51:48.672</v>
      </c>
      <c r="T3686" t="str">
        <f>"14:51:48.172"</f>
        <v>14:51:48.172</v>
      </c>
      <c r="U3686" t="str">
        <f t="shared" si="171"/>
        <v>ad5732</v>
      </c>
      <c r="V3686">
        <v>0</v>
      </c>
      <c r="W3686">
        <v>0</v>
      </c>
      <c r="X3686">
        <v>1</v>
      </c>
      <c r="Z3686">
        <v>0</v>
      </c>
      <c r="AA3686">
        <v>9</v>
      </c>
      <c r="AB3686">
        <v>3</v>
      </c>
      <c r="AC3686">
        <v>0</v>
      </c>
      <c r="AD3686">
        <v>10</v>
      </c>
      <c r="AE3686">
        <v>0</v>
      </c>
      <c r="AF3686">
        <v>3</v>
      </c>
      <c r="AG3686">
        <v>2</v>
      </c>
      <c r="AH3686">
        <v>0</v>
      </c>
      <c r="AI3686" t="s">
        <v>7420</v>
      </c>
      <c r="AJ3686">
        <v>40.438485</v>
      </c>
      <c r="AK3686" t="s">
        <v>7421</v>
      </c>
      <c r="AL3686">
        <v>-74.443230999999997</v>
      </c>
      <c r="AM3686">
        <v>100</v>
      </c>
      <c r="AN3686">
        <v>1700</v>
      </c>
      <c r="AO3686" t="s">
        <v>115</v>
      </c>
      <c r="AP3686">
        <v>106</v>
      </c>
      <c r="AQ3686">
        <v>58</v>
      </c>
      <c r="AR3686">
        <v>0</v>
      </c>
      <c r="AZ3686">
        <v>3614</v>
      </c>
      <c r="BA3686">
        <v>1</v>
      </c>
      <c r="BB3686" t="str">
        <f t="shared" si="173"/>
        <v xml:space="preserve">N959MJ  </v>
      </c>
      <c r="BC3686">
        <v>1</v>
      </c>
      <c r="BE3686">
        <v>0</v>
      </c>
      <c r="BF3686">
        <v>0</v>
      </c>
      <c r="BG3686">
        <v>0</v>
      </c>
      <c r="BH3686">
        <v>1900</v>
      </c>
      <c r="BI3686">
        <v>200</v>
      </c>
      <c r="BJ3686">
        <v>1</v>
      </c>
      <c r="BK3686">
        <v>1</v>
      </c>
      <c r="BL3686">
        <v>1</v>
      </c>
      <c r="BM3686">
        <v>0</v>
      </c>
      <c r="BP3686">
        <v>0</v>
      </c>
      <c r="BQ3686">
        <v>0</v>
      </c>
      <c r="BX3686" t="str">
        <f>"14:51:48.680"</f>
        <v>14:51:48.680</v>
      </c>
      <c r="BY3686" t="str">
        <f>"677580604"</f>
        <v>677580604</v>
      </c>
      <c r="CL3686">
        <v>0</v>
      </c>
      <c r="CM3686">
        <v>2</v>
      </c>
      <c r="CN3686">
        <v>0</v>
      </c>
      <c r="CO3686">
        <v>2</v>
      </c>
      <c r="CP3686">
        <v>0</v>
      </c>
      <c r="CQ3686">
        <v>7</v>
      </c>
      <c r="CR3686" t="s">
        <v>116</v>
      </c>
      <c r="CS3686">
        <v>305</v>
      </c>
      <c r="CT3686">
        <v>3</v>
      </c>
      <c r="CU3686" t="s">
        <v>6425</v>
      </c>
      <c r="CV3686" t="s">
        <v>6426</v>
      </c>
      <c r="CY3686">
        <v>6181542</v>
      </c>
      <c r="CZ3686" t="s">
        <v>119</v>
      </c>
    </row>
    <row r="3687" spans="1:104" x14ac:dyDescent="0.25">
      <c r="A3687" t="str">
        <f>"14:51:49.953"</f>
        <v>14:51:49.953</v>
      </c>
      <c r="B3687" t="s">
        <v>108</v>
      </c>
      <c r="C3687" t="str">
        <f t="shared" si="172"/>
        <v>ffdfd3c0</v>
      </c>
      <c r="D3687" t="s">
        <v>109</v>
      </c>
      <c r="E3687">
        <v>4</v>
      </c>
      <c r="F3687">
        <v>1004</v>
      </c>
      <c r="G3687" t="s">
        <v>110</v>
      </c>
      <c r="J3687" t="s">
        <v>111</v>
      </c>
      <c r="K3687">
        <v>0</v>
      </c>
      <c r="L3687">
        <v>3</v>
      </c>
      <c r="M3687">
        <v>0</v>
      </c>
      <c r="N3687">
        <v>2</v>
      </c>
      <c r="O3687">
        <v>1</v>
      </c>
      <c r="P3687">
        <v>0</v>
      </c>
      <c r="Q3687">
        <v>0</v>
      </c>
      <c r="R3687" t="s">
        <v>112</v>
      </c>
      <c r="S3687" t="str">
        <f>"14:51:49.773"</f>
        <v>14:51:49.773</v>
      </c>
      <c r="T3687" t="str">
        <f>"14:51:49.273"</f>
        <v>14:51:49.273</v>
      </c>
      <c r="U3687" t="str">
        <f t="shared" si="171"/>
        <v>ad5732</v>
      </c>
      <c r="V3687">
        <v>0</v>
      </c>
      <c r="W3687">
        <v>0</v>
      </c>
      <c r="X3687">
        <v>1</v>
      </c>
      <c r="Z3687">
        <v>0</v>
      </c>
      <c r="AA3687">
        <v>9</v>
      </c>
      <c r="AB3687">
        <v>3</v>
      </c>
      <c r="AC3687">
        <v>0</v>
      </c>
      <c r="AD3687">
        <v>10</v>
      </c>
      <c r="AE3687">
        <v>0</v>
      </c>
      <c r="AF3687">
        <v>3</v>
      </c>
      <c r="AG3687">
        <v>2</v>
      </c>
      <c r="AH3687">
        <v>0</v>
      </c>
      <c r="AI3687" t="s">
        <v>7422</v>
      </c>
      <c r="AJ3687">
        <v>40.438806999999997</v>
      </c>
      <c r="AK3687" t="s">
        <v>7423</v>
      </c>
      <c r="AL3687">
        <v>-74.442500999999993</v>
      </c>
      <c r="AM3687">
        <v>100</v>
      </c>
      <c r="AN3687">
        <v>1700</v>
      </c>
      <c r="AO3687" t="s">
        <v>115</v>
      </c>
      <c r="AP3687">
        <v>106</v>
      </c>
      <c r="AQ3687">
        <v>58</v>
      </c>
      <c r="AR3687">
        <v>-64</v>
      </c>
      <c r="AZ3687">
        <v>3614</v>
      </c>
      <c r="BA3687">
        <v>1</v>
      </c>
      <c r="BB3687" t="str">
        <f t="shared" si="173"/>
        <v xml:space="preserve">N959MJ  </v>
      </c>
      <c r="BC3687">
        <v>1</v>
      </c>
      <c r="BE3687">
        <v>0</v>
      </c>
      <c r="BF3687">
        <v>0</v>
      </c>
      <c r="BG3687">
        <v>0</v>
      </c>
      <c r="BH3687">
        <v>1900</v>
      </c>
      <c r="BI3687">
        <v>200</v>
      </c>
      <c r="BJ3687">
        <v>1</v>
      </c>
      <c r="BK3687">
        <v>1</v>
      </c>
      <c r="BL3687">
        <v>1</v>
      </c>
      <c r="BM3687">
        <v>0</v>
      </c>
      <c r="BP3687">
        <v>0</v>
      </c>
      <c r="BQ3687">
        <v>0</v>
      </c>
      <c r="BX3687" t="str">
        <f>"14:51:49.773"</f>
        <v>14:51:49.773</v>
      </c>
      <c r="BY3687" t="str">
        <f>"775336456"</f>
        <v>775336456</v>
      </c>
      <c r="CL3687">
        <v>0</v>
      </c>
      <c r="CM3687">
        <v>2</v>
      </c>
      <c r="CN3687">
        <v>0</v>
      </c>
      <c r="CO3687">
        <v>2</v>
      </c>
      <c r="CP3687">
        <v>0</v>
      </c>
      <c r="CQ3687">
        <v>6</v>
      </c>
      <c r="CR3687" t="s">
        <v>116</v>
      </c>
      <c r="CS3687">
        <v>38</v>
      </c>
      <c r="CT3687">
        <v>0</v>
      </c>
      <c r="CU3687" t="s">
        <v>4719</v>
      </c>
      <c r="CV3687" t="s">
        <v>4720</v>
      </c>
      <c r="CY3687">
        <v>8257375</v>
      </c>
      <c r="CZ3687" t="s">
        <v>119</v>
      </c>
    </row>
    <row r="3688" spans="1:104" x14ac:dyDescent="0.25">
      <c r="A3688" t="str">
        <f>"14:51:50.961"</f>
        <v>14:51:50.961</v>
      </c>
      <c r="B3688" t="s">
        <v>108</v>
      </c>
      <c r="C3688" t="str">
        <f t="shared" si="172"/>
        <v>ffdfd3c0</v>
      </c>
      <c r="D3688" t="s">
        <v>109</v>
      </c>
      <c r="E3688">
        <v>4</v>
      </c>
      <c r="F3688">
        <v>1004</v>
      </c>
      <c r="G3688" t="s">
        <v>110</v>
      </c>
      <c r="J3688" t="s">
        <v>111</v>
      </c>
      <c r="K3688">
        <v>0</v>
      </c>
      <c r="L3688">
        <v>3</v>
      </c>
      <c r="M3688">
        <v>0</v>
      </c>
      <c r="N3688">
        <v>2</v>
      </c>
      <c r="O3688">
        <v>1</v>
      </c>
      <c r="P3688">
        <v>0</v>
      </c>
      <c r="Q3688">
        <v>0</v>
      </c>
      <c r="R3688" t="s">
        <v>112</v>
      </c>
      <c r="S3688" t="str">
        <f>"14:51:50.766"</f>
        <v>14:51:50.766</v>
      </c>
      <c r="T3688" t="str">
        <f>"14:51:50.367"</f>
        <v>14:51:50.367</v>
      </c>
      <c r="U3688" t="str">
        <f t="shared" si="171"/>
        <v>ad5732</v>
      </c>
      <c r="V3688">
        <v>0</v>
      </c>
      <c r="W3688">
        <v>0</v>
      </c>
      <c r="X3688">
        <v>1</v>
      </c>
      <c r="Z3688">
        <v>0</v>
      </c>
      <c r="AA3688">
        <v>9</v>
      </c>
      <c r="AB3688">
        <v>3</v>
      </c>
      <c r="AC3688">
        <v>0</v>
      </c>
      <c r="AD3688">
        <v>10</v>
      </c>
      <c r="AE3688">
        <v>0</v>
      </c>
      <c r="AF3688">
        <v>3</v>
      </c>
      <c r="AG3688">
        <v>2</v>
      </c>
      <c r="AH3688">
        <v>0</v>
      </c>
      <c r="AI3688" t="s">
        <v>7424</v>
      </c>
      <c r="AJ3688">
        <v>40.439064999999999</v>
      </c>
      <c r="AK3688" t="s">
        <v>7425</v>
      </c>
      <c r="AL3688">
        <v>-74.441900000000004</v>
      </c>
      <c r="AM3688">
        <v>100</v>
      </c>
      <c r="AN3688">
        <v>1700</v>
      </c>
      <c r="AO3688" t="s">
        <v>115</v>
      </c>
      <c r="AP3688">
        <v>106</v>
      </c>
      <c r="AQ3688">
        <v>58</v>
      </c>
      <c r="AR3688">
        <v>0</v>
      </c>
      <c r="AZ3688">
        <v>3614</v>
      </c>
      <c r="BA3688">
        <v>1</v>
      </c>
      <c r="BB3688" t="str">
        <f t="shared" si="173"/>
        <v xml:space="preserve">N959MJ  </v>
      </c>
      <c r="BC3688">
        <v>1</v>
      </c>
      <c r="BE3688">
        <v>0</v>
      </c>
      <c r="BF3688">
        <v>0</v>
      </c>
      <c r="BG3688">
        <v>0</v>
      </c>
      <c r="BH3688">
        <v>1900</v>
      </c>
      <c r="BI3688">
        <v>200</v>
      </c>
      <c r="BJ3688">
        <v>1</v>
      </c>
      <c r="BK3688">
        <v>1</v>
      </c>
      <c r="BL3688">
        <v>1</v>
      </c>
      <c r="BM3688">
        <v>0</v>
      </c>
      <c r="BP3688">
        <v>0</v>
      </c>
      <c r="BQ3688">
        <v>0</v>
      </c>
      <c r="BX3688" t="str">
        <f>"14:51:50.773"</f>
        <v>14:51:50.773</v>
      </c>
      <c r="BY3688" t="str">
        <f>"771501344"</f>
        <v>771501344</v>
      </c>
      <c r="CL3688">
        <v>0</v>
      </c>
      <c r="CM3688">
        <v>2</v>
      </c>
      <c r="CN3688">
        <v>0</v>
      </c>
      <c r="CO3688">
        <v>2</v>
      </c>
      <c r="CP3688">
        <v>0</v>
      </c>
      <c r="CQ3688">
        <v>7</v>
      </c>
      <c r="CR3688" t="s">
        <v>116</v>
      </c>
      <c r="CS3688">
        <v>38</v>
      </c>
      <c r="CT3688">
        <v>0</v>
      </c>
      <c r="CU3688" t="s">
        <v>4719</v>
      </c>
      <c r="CV3688" t="s">
        <v>4720</v>
      </c>
      <c r="CY3688">
        <v>8258974</v>
      </c>
      <c r="CZ3688" t="s">
        <v>119</v>
      </c>
    </row>
    <row r="3689" spans="1:104" x14ac:dyDescent="0.25">
      <c r="A3689" t="str">
        <f>"14:51:51.867"</f>
        <v>14:51:51.867</v>
      </c>
      <c r="B3689" t="s">
        <v>108</v>
      </c>
      <c r="C3689" t="str">
        <f t="shared" si="172"/>
        <v>ffdfd3c0</v>
      </c>
      <c r="D3689" t="s">
        <v>109</v>
      </c>
      <c r="E3689">
        <v>4</v>
      </c>
      <c r="F3689">
        <v>1004</v>
      </c>
      <c r="G3689" t="s">
        <v>110</v>
      </c>
      <c r="J3689" t="s">
        <v>111</v>
      </c>
      <c r="K3689">
        <v>0</v>
      </c>
      <c r="L3689">
        <v>3</v>
      </c>
      <c r="M3689">
        <v>0</v>
      </c>
      <c r="N3689">
        <v>2</v>
      </c>
      <c r="O3689">
        <v>1</v>
      </c>
      <c r="P3689">
        <v>0</v>
      </c>
      <c r="Q3689">
        <v>0</v>
      </c>
      <c r="R3689" t="s">
        <v>112</v>
      </c>
      <c r="S3689" t="str">
        <f>"14:51:51.695"</f>
        <v>14:51:51.695</v>
      </c>
      <c r="T3689" t="str">
        <f>"14:51:51.297"</f>
        <v>14:51:51.297</v>
      </c>
      <c r="U3689" t="str">
        <f t="shared" si="171"/>
        <v>ad5732</v>
      </c>
      <c r="V3689">
        <v>0</v>
      </c>
      <c r="W3689">
        <v>0</v>
      </c>
      <c r="X3689">
        <v>1</v>
      </c>
      <c r="Z3689">
        <v>0</v>
      </c>
      <c r="AA3689">
        <v>9</v>
      </c>
      <c r="AB3689">
        <v>3</v>
      </c>
      <c r="AC3689">
        <v>0</v>
      </c>
      <c r="AD3689">
        <v>10</v>
      </c>
      <c r="AE3689">
        <v>0</v>
      </c>
      <c r="AF3689">
        <v>3</v>
      </c>
      <c r="AG3689">
        <v>2</v>
      </c>
      <c r="AH3689">
        <v>0</v>
      </c>
      <c r="AI3689" t="s">
        <v>7426</v>
      </c>
      <c r="AJ3689">
        <v>40.439321999999997</v>
      </c>
      <c r="AK3689" t="s">
        <v>7427</v>
      </c>
      <c r="AL3689">
        <v>-74.441299000000001</v>
      </c>
      <c r="AM3689">
        <v>100</v>
      </c>
      <c r="AN3689">
        <v>1700</v>
      </c>
      <c r="AO3689" t="s">
        <v>115</v>
      </c>
      <c r="AP3689">
        <v>106</v>
      </c>
      <c r="AQ3689">
        <v>58</v>
      </c>
      <c r="AR3689">
        <v>0</v>
      </c>
      <c r="AZ3689">
        <v>3614</v>
      </c>
      <c r="BA3689">
        <v>1</v>
      </c>
      <c r="BB3689" t="str">
        <f t="shared" si="173"/>
        <v xml:space="preserve">N959MJ  </v>
      </c>
      <c r="BC3689">
        <v>1</v>
      </c>
      <c r="BE3689">
        <v>0</v>
      </c>
      <c r="BF3689">
        <v>0</v>
      </c>
      <c r="BG3689">
        <v>0</v>
      </c>
      <c r="BH3689">
        <v>1900</v>
      </c>
      <c r="BI3689">
        <v>200</v>
      </c>
      <c r="BJ3689">
        <v>1</v>
      </c>
      <c r="BK3689">
        <v>1</v>
      </c>
      <c r="BL3689">
        <v>1</v>
      </c>
      <c r="BM3689">
        <v>0</v>
      </c>
      <c r="BP3689">
        <v>0</v>
      </c>
      <c r="BQ3689">
        <v>0</v>
      </c>
      <c r="BX3689" t="str">
        <f>"14:51:51.703"</f>
        <v>14:51:51.703</v>
      </c>
      <c r="BY3689" t="str">
        <f>"702119522"</f>
        <v>702119522</v>
      </c>
      <c r="CL3689">
        <v>0</v>
      </c>
      <c r="CM3689">
        <v>2</v>
      </c>
      <c r="CN3689">
        <v>0</v>
      </c>
      <c r="CO3689">
        <v>2</v>
      </c>
      <c r="CP3689">
        <v>0</v>
      </c>
      <c r="CQ3689">
        <v>7</v>
      </c>
      <c r="CR3689" t="s">
        <v>116</v>
      </c>
      <c r="CS3689">
        <v>305</v>
      </c>
      <c r="CT3689">
        <v>3</v>
      </c>
      <c r="CU3689" t="s">
        <v>6425</v>
      </c>
      <c r="CV3689" t="s">
        <v>6426</v>
      </c>
      <c r="CY3689">
        <v>6187889</v>
      </c>
      <c r="CZ3689" t="s">
        <v>119</v>
      </c>
    </row>
    <row r="3690" spans="1:104" x14ac:dyDescent="0.25">
      <c r="A3690" t="str">
        <f>"14:51:53.438"</f>
        <v>14:51:53.438</v>
      </c>
      <c r="B3690" t="s">
        <v>108</v>
      </c>
      <c r="C3690" t="str">
        <f t="shared" si="172"/>
        <v>ffdfd3c0</v>
      </c>
      <c r="D3690" t="s">
        <v>109</v>
      </c>
      <c r="E3690">
        <v>4</v>
      </c>
      <c r="F3690">
        <v>1004</v>
      </c>
      <c r="G3690" t="s">
        <v>110</v>
      </c>
      <c r="J3690" t="s">
        <v>111</v>
      </c>
      <c r="K3690">
        <v>0</v>
      </c>
      <c r="L3690">
        <v>3</v>
      </c>
      <c r="M3690">
        <v>0</v>
      </c>
      <c r="N3690">
        <v>2</v>
      </c>
      <c r="O3690">
        <v>1</v>
      </c>
      <c r="P3690">
        <v>0</v>
      </c>
      <c r="Q3690">
        <v>0</v>
      </c>
      <c r="R3690" t="s">
        <v>112</v>
      </c>
      <c r="S3690" t="str">
        <f>"14:51:53.234"</f>
        <v>14:51:53.234</v>
      </c>
      <c r="T3690" t="str">
        <f>"14:51:52.734"</f>
        <v>14:51:52.734</v>
      </c>
      <c r="U3690" t="str">
        <f t="shared" si="171"/>
        <v>ad5732</v>
      </c>
      <c r="V3690">
        <v>0</v>
      </c>
      <c r="W3690">
        <v>0</v>
      </c>
      <c r="X3690">
        <v>1</v>
      </c>
      <c r="Z3690">
        <v>0</v>
      </c>
      <c r="AA3690">
        <v>9</v>
      </c>
      <c r="AB3690">
        <v>3</v>
      </c>
      <c r="AC3690">
        <v>0</v>
      </c>
      <c r="AD3690">
        <v>10</v>
      </c>
      <c r="AE3690">
        <v>0</v>
      </c>
      <c r="AF3690">
        <v>3</v>
      </c>
      <c r="AG3690">
        <v>2</v>
      </c>
      <c r="AH3690">
        <v>0</v>
      </c>
      <c r="AI3690" t="s">
        <v>7428</v>
      </c>
      <c r="AJ3690">
        <v>40.439751000000001</v>
      </c>
      <c r="AK3690" t="s">
        <v>7429</v>
      </c>
      <c r="AL3690">
        <v>-74.440247999999997</v>
      </c>
      <c r="AM3690">
        <v>100</v>
      </c>
      <c r="AN3690">
        <v>1700</v>
      </c>
      <c r="AO3690" t="s">
        <v>115</v>
      </c>
      <c r="AP3690">
        <v>106</v>
      </c>
      <c r="AQ3690">
        <v>57</v>
      </c>
      <c r="AR3690">
        <v>0</v>
      </c>
      <c r="AZ3690">
        <v>3614</v>
      </c>
      <c r="BA3690">
        <v>1</v>
      </c>
      <c r="BB3690" t="str">
        <f t="shared" si="173"/>
        <v xml:space="preserve">N959MJ  </v>
      </c>
      <c r="BC3690">
        <v>1</v>
      </c>
      <c r="BE3690">
        <v>0</v>
      </c>
      <c r="BF3690">
        <v>0</v>
      </c>
      <c r="BG3690">
        <v>0</v>
      </c>
      <c r="BH3690">
        <v>1900</v>
      </c>
      <c r="BI3690">
        <v>200</v>
      </c>
      <c r="BJ3690">
        <v>1</v>
      </c>
      <c r="BK3690">
        <v>1</v>
      </c>
      <c r="BL3690">
        <v>1</v>
      </c>
      <c r="BM3690">
        <v>0</v>
      </c>
      <c r="BP3690">
        <v>0</v>
      </c>
      <c r="BQ3690">
        <v>0</v>
      </c>
      <c r="BX3690" t="str">
        <f>"14:51:53.242"</f>
        <v>14:51:53.242</v>
      </c>
      <c r="BY3690" t="str">
        <f>"239066175"</f>
        <v>239066175</v>
      </c>
      <c r="CL3690">
        <v>0</v>
      </c>
      <c r="CM3690">
        <v>2</v>
      </c>
      <c r="CN3690">
        <v>0</v>
      </c>
      <c r="CO3690">
        <v>2</v>
      </c>
      <c r="CP3690">
        <v>0</v>
      </c>
      <c r="CQ3690">
        <v>5</v>
      </c>
      <c r="CR3690" t="s">
        <v>116</v>
      </c>
      <c r="CS3690">
        <v>409</v>
      </c>
      <c r="CT3690">
        <v>1</v>
      </c>
      <c r="CU3690" t="s">
        <v>5087</v>
      </c>
      <c r="CV3690" t="s">
        <v>5088</v>
      </c>
      <c r="CY3690">
        <v>4735948</v>
      </c>
      <c r="CZ3690" t="s">
        <v>119</v>
      </c>
    </row>
    <row r="3691" spans="1:104" x14ac:dyDescent="0.25">
      <c r="A3691" t="str">
        <f>"14:51:54.398"</f>
        <v>14:51:54.398</v>
      </c>
      <c r="B3691" t="s">
        <v>108</v>
      </c>
      <c r="C3691" t="str">
        <f t="shared" si="172"/>
        <v>ffdfd3c0</v>
      </c>
      <c r="D3691" t="s">
        <v>109</v>
      </c>
      <c r="E3691">
        <v>4</v>
      </c>
      <c r="F3691">
        <v>1004</v>
      </c>
      <c r="G3691" t="s">
        <v>110</v>
      </c>
      <c r="J3691" t="s">
        <v>111</v>
      </c>
      <c r="K3691">
        <v>0</v>
      </c>
      <c r="L3691">
        <v>3</v>
      </c>
      <c r="M3691">
        <v>0</v>
      </c>
      <c r="N3691">
        <v>2</v>
      </c>
      <c r="O3691">
        <v>1</v>
      </c>
      <c r="P3691">
        <v>0</v>
      </c>
      <c r="Q3691">
        <v>0</v>
      </c>
      <c r="R3691" t="s">
        <v>112</v>
      </c>
      <c r="S3691" t="str">
        <f>"14:51:54.172"</f>
        <v>14:51:54.172</v>
      </c>
      <c r="T3691" t="str">
        <f>"14:51:53.773"</f>
        <v>14:51:53.773</v>
      </c>
      <c r="U3691" t="str">
        <f t="shared" si="171"/>
        <v>ad5732</v>
      </c>
      <c r="V3691">
        <v>0</v>
      </c>
      <c r="W3691">
        <v>0</v>
      </c>
      <c r="X3691">
        <v>1</v>
      </c>
      <c r="Z3691">
        <v>0</v>
      </c>
      <c r="AA3691">
        <v>9</v>
      </c>
      <c r="AB3691">
        <v>3</v>
      </c>
      <c r="AC3691">
        <v>0</v>
      </c>
      <c r="AD3691">
        <v>10</v>
      </c>
      <c r="AE3691">
        <v>0</v>
      </c>
      <c r="AF3691">
        <v>3</v>
      </c>
      <c r="AG3691">
        <v>2</v>
      </c>
      <c r="AH3691">
        <v>0</v>
      </c>
      <c r="AI3691" t="s">
        <v>7430</v>
      </c>
      <c r="AJ3691">
        <v>40.439987000000002</v>
      </c>
      <c r="AK3691" t="s">
        <v>7431</v>
      </c>
      <c r="AL3691">
        <v>-74.439689999999999</v>
      </c>
      <c r="AM3691">
        <v>100</v>
      </c>
      <c r="AN3691">
        <v>1700</v>
      </c>
      <c r="AO3691" t="s">
        <v>115</v>
      </c>
      <c r="AP3691">
        <v>106</v>
      </c>
      <c r="AQ3691">
        <v>57</v>
      </c>
      <c r="AR3691">
        <v>0</v>
      </c>
      <c r="AZ3691">
        <v>3614</v>
      </c>
      <c r="BA3691">
        <v>1</v>
      </c>
      <c r="BB3691" t="str">
        <f t="shared" si="173"/>
        <v xml:space="preserve">N959MJ  </v>
      </c>
      <c r="BC3691">
        <v>1</v>
      </c>
      <c r="BE3691">
        <v>0</v>
      </c>
      <c r="BF3691">
        <v>0</v>
      </c>
      <c r="BG3691">
        <v>0</v>
      </c>
      <c r="BH3691">
        <v>1900</v>
      </c>
      <c r="BI3691">
        <v>200</v>
      </c>
      <c r="BJ3691">
        <v>1</v>
      </c>
      <c r="BK3691">
        <v>1</v>
      </c>
      <c r="BL3691">
        <v>1</v>
      </c>
      <c r="BM3691">
        <v>0</v>
      </c>
      <c r="BP3691">
        <v>0</v>
      </c>
      <c r="BQ3691">
        <v>0</v>
      </c>
      <c r="BX3691" t="str">
        <f>"14:51:54.180"</f>
        <v>14:51:54.180</v>
      </c>
      <c r="BY3691" t="str">
        <f>"179423489"</f>
        <v>179423489</v>
      </c>
      <c r="CL3691">
        <v>0</v>
      </c>
      <c r="CM3691">
        <v>2</v>
      </c>
      <c r="CN3691">
        <v>0</v>
      </c>
      <c r="CO3691">
        <v>2</v>
      </c>
      <c r="CP3691">
        <v>0</v>
      </c>
      <c r="CQ3691">
        <v>7</v>
      </c>
      <c r="CR3691" t="s">
        <v>116</v>
      </c>
      <c r="CS3691">
        <v>305</v>
      </c>
      <c r="CT3691">
        <v>3</v>
      </c>
      <c r="CU3691" t="s">
        <v>6425</v>
      </c>
      <c r="CV3691" t="s">
        <v>6426</v>
      </c>
      <c r="CY3691">
        <v>6192995</v>
      </c>
      <c r="CZ3691" t="s">
        <v>119</v>
      </c>
    </row>
    <row r="3692" spans="1:104" x14ac:dyDescent="0.25">
      <c r="A3692" t="str">
        <f>"14:51:55.406"</f>
        <v>14:51:55.406</v>
      </c>
      <c r="B3692" t="s">
        <v>108</v>
      </c>
      <c r="C3692" t="str">
        <f t="shared" si="172"/>
        <v>ffdfd3c0</v>
      </c>
      <c r="D3692" t="s">
        <v>109</v>
      </c>
      <c r="E3692">
        <v>4</v>
      </c>
      <c r="F3692">
        <v>1004</v>
      </c>
      <c r="G3692" t="s">
        <v>110</v>
      </c>
      <c r="J3692" t="s">
        <v>111</v>
      </c>
      <c r="K3692">
        <v>0</v>
      </c>
      <c r="L3692">
        <v>3</v>
      </c>
      <c r="M3692">
        <v>0</v>
      </c>
      <c r="N3692">
        <v>2</v>
      </c>
      <c r="O3692">
        <v>1</v>
      </c>
      <c r="P3692">
        <v>0</v>
      </c>
      <c r="Q3692">
        <v>0</v>
      </c>
      <c r="R3692" t="s">
        <v>112</v>
      </c>
      <c r="S3692" t="str">
        <f>"14:51:55.188"</f>
        <v>14:51:55.188</v>
      </c>
      <c r="T3692" t="str">
        <f>"14:51:54.789"</f>
        <v>14:51:54.789</v>
      </c>
      <c r="U3692" t="str">
        <f t="shared" si="171"/>
        <v>ad5732</v>
      </c>
      <c r="V3692">
        <v>0</v>
      </c>
      <c r="W3692">
        <v>0</v>
      </c>
      <c r="X3692">
        <v>1</v>
      </c>
      <c r="Z3692">
        <v>0</v>
      </c>
      <c r="AA3692">
        <v>9</v>
      </c>
      <c r="AB3692">
        <v>3</v>
      </c>
      <c r="AC3692">
        <v>0</v>
      </c>
      <c r="AD3692">
        <v>10</v>
      </c>
      <c r="AE3692">
        <v>0</v>
      </c>
      <c r="AF3692">
        <v>3</v>
      </c>
      <c r="AG3692">
        <v>2</v>
      </c>
      <c r="AH3692">
        <v>0</v>
      </c>
      <c r="AI3692" t="s">
        <v>7432</v>
      </c>
      <c r="AJ3692">
        <v>40.440266000000001</v>
      </c>
      <c r="AK3692" t="s">
        <v>7433</v>
      </c>
      <c r="AL3692">
        <v>-74.439025000000001</v>
      </c>
      <c r="AM3692">
        <v>100</v>
      </c>
      <c r="AN3692">
        <v>1700</v>
      </c>
      <c r="AO3692" t="s">
        <v>115</v>
      </c>
      <c r="AP3692">
        <v>106</v>
      </c>
      <c r="AQ3692">
        <v>57</v>
      </c>
      <c r="AR3692">
        <v>0</v>
      </c>
      <c r="AZ3692">
        <v>3614</v>
      </c>
      <c r="BA3692">
        <v>1</v>
      </c>
      <c r="BB3692" t="str">
        <f t="shared" si="173"/>
        <v xml:space="preserve">N959MJ  </v>
      </c>
      <c r="BC3692">
        <v>1</v>
      </c>
      <c r="BE3692">
        <v>0</v>
      </c>
      <c r="BF3692">
        <v>0</v>
      </c>
      <c r="BG3692">
        <v>0</v>
      </c>
      <c r="BH3692">
        <v>1900</v>
      </c>
      <c r="BI3692">
        <v>200</v>
      </c>
      <c r="BJ3692">
        <v>1</v>
      </c>
      <c r="BK3692">
        <v>1</v>
      </c>
      <c r="BL3692">
        <v>1</v>
      </c>
      <c r="BM3692">
        <v>0</v>
      </c>
      <c r="BP3692">
        <v>0</v>
      </c>
      <c r="BQ3692">
        <v>0</v>
      </c>
      <c r="BX3692" t="str">
        <f>"14:51:55.195"</f>
        <v>14:51:55.195</v>
      </c>
      <c r="BY3692" t="str">
        <f>"193610734"</f>
        <v>193610734</v>
      </c>
      <c r="CL3692">
        <v>0</v>
      </c>
      <c r="CM3692">
        <v>2</v>
      </c>
      <c r="CN3692">
        <v>0</v>
      </c>
      <c r="CO3692">
        <v>2</v>
      </c>
      <c r="CP3692">
        <v>0</v>
      </c>
      <c r="CQ3692">
        <v>6</v>
      </c>
      <c r="CR3692" t="s">
        <v>116</v>
      </c>
      <c r="CS3692">
        <v>305</v>
      </c>
      <c r="CT3692">
        <v>3</v>
      </c>
      <c r="CU3692" t="s">
        <v>6425</v>
      </c>
      <c r="CV3692" t="s">
        <v>6426</v>
      </c>
      <c r="CY3692">
        <v>6195129</v>
      </c>
      <c r="CZ3692" t="s">
        <v>119</v>
      </c>
    </row>
    <row r="3693" spans="1:104" x14ac:dyDescent="0.25">
      <c r="A3693" t="str">
        <f>"14:51:56.313"</f>
        <v>14:51:56.313</v>
      </c>
      <c r="B3693" t="s">
        <v>108</v>
      </c>
      <c r="C3693" t="str">
        <f t="shared" si="172"/>
        <v>ffdfd3c0</v>
      </c>
      <c r="D3693" t="s">
        <v>109</v>
      </c>
      <c r="E3693">
        <v>4</v>
      </c>
      <c r="F3693">
        <v>1004</v>
      </c>
      <c r="G3693" t="s">
        <v>110</v>
      </c>
      <c r="J3693" t="s">
        <v>111</v>
      </c>
      <c r="K3693">
        <v>0</v>
      </c>
      <c r="L3693">
        <v>3</v>
      </c>
      <c r="M3693">
        <v>0</v>
      </c>
      <c r="N3693">
        <v>2</v>
      </c>
      <c r="O3693">
        <v>1</v>
      </c>
      <c r="P3693">
        <v>0</v>
      </c>
      <c r="Q3693">
        <v>0</v>
      </c>
      <c r="R3693" t="s">
        <v>112</v>
      </c>
      <c r="S3693" t="str">
        <f>"14:51:56.133"</f>
        <v>14:51:56.133</v>
      </c>
      <c r="T3693" t="str">
        <f>"14:51:55.734"</f>
        <v>14:51:55.734</v>
      </c>
      <c r="U3693" t="str">
        <f t="shared" si="171"/>
        <v>ad5732</v>
      </c>
      <c r="V3693">
        <v>0</v>
      </c>
      <c r="W3693">
        <v>0</v>
      </c>
      <c r="X3693">
        <v>1</v>
      </c>
      <c r="Z3693">
        <v>0</v>
      </c>
      <c r="AA3693">
        <v>9</v>
      </c>
      <c r="AB3693">
        <v>3</v>
      </c>
      <c r="AC3693">
        <v>0</v>
      </c>
      <c r="AD3693">
        <v>10</v>
      </c>
      <c r="AE3693">
        <v>0</v>
      </c>
      <c r="AF3693">
        <v>3</v>
      </c>
      <c r="AG3693">
        <v>2</v>
      </c>
      <c r="AH3693">
        <v>0</v>
      </c>
      <c r="AI3693" t="s">
        <v>7434</v>
      </c>
      <c r="AJ3693">
        <v>40.440480999999998</v>
      </c>
      <c r="AK3693" t="s">
        <v>7435</v>
      </c>
      <c r="AL3693">
        <v>-74.438360000000003</v>
      </c>
      <c r="AM3693">
        <v>100</v>
      </c>
      <c r="AN3693">
        <v>1700</v>
      </c>
      <c r="AO3693" t="s">
        <v>115</v>
      </c>
      <c r="AP3693">
        <v>106</v>
      </c>
      <c r="AQ3693">
        <v>58</v>
      </c>
      <c r="AR3693">
        <v>0</v>
      </c>
      <c r="AZ3693">
        <v>3614</v>
      </c>
      <c r="BA3693">
        <v>1</v>
      </c>
      <c r="BB3693" t="str">
        <f t="shared" si="173"/>
        <v xml:space="preserve">N959MJ  </v>
      </c>
      <c r="BC3693">
        <v>1</v>
      </c>
      <c r="BE3693">
        <v>0</v>
      </c>
      <c r="BF3693">
        <v>0</v>
      </c>
      <c r="BG3693">
        <v>0</v>
      </c>
      <c r="BH3693">
        <v>1900</v>
      </c>
      <c r="BI3693">
        <v>200</v>
      </c>
      <c r="BJ3693">
        <v>1</v>
      </c>
      <c r="BK3693">
        <v>1</v>
      </c>
      <c r="BL3693">
        <v>1</v>
      </c>
      <c r="BM3693">
        <v>0</v>
      </c>
      <c r="BP3693">
        <v>0</v>
      </c>
      <c r="BQ3693">
        <v>0</v>
      </c>
      <c r="BX3693" t="str">
        <f>"14:51:56.141"</f>
        <v>14:51:56.141</v>
      </c>
      <c r="BY3693" t="str">
        <f>"138983986"</f>
        <v>138983986</v>
      </c>
      <c r="CL3693">
        <v>0</v>
      </c>
      <c r="CM3693">
        <v>2</v>
      </c>
      <c r="CN3693">
        <v>0</v>
      </c>
      <c r="CO3693">
        <v>2</v>
      </c>
      <c r="CP3693">
        <v>0</v>
      </c>
      <c r="CQ3693">
        <v>7</v>
      </c>
      <c r="CR3693" t="s">
        <v>116</v>
      </c>
      <c r="CS3693">
        <v>305</v>
      </c>
      <c r="CT3693">
        <v>3</v>
      </c>
      <c r="CU3693" t="s">
        <v>6425</v>
      </c>
      <c r="CV3693" t="s">
        <v>6426</v>
      </c>
      <c r="CY3693">
        <v>6197155</v>
      </c>
      <c r="CZ3693" t="s">
        <v>119</v>
      </c>
    </row>
    <row r="3694" spans="1:104" x14ac:dyDescent="0.25">
      <c r="A3694" t="str">
        <f>"14:51:57.172"</f>
        <v>14:51:57.172</v>
      </c>
      <c r="B3694" t="s">
        <v>108</v>
      </c>
      <c r="C3694" t="str">
        <f t="shared" si="172"/>
        <v>ffdfd3c0</v>
      </c>
      <c r="D3694" t="s">
        <v>109</v>
      </c>
      <c r="E3694">
        <v>4</v>
      </c>
      <c r="F3694">
        <v>1004</v>
      </c>
      <c r="G3694" t="s">
        <v>110</v>
      </c>
      <c r="J3694" t="s">
        <v>111</v>
      </c>
      <c r="K3694">
        <v>0</v>
      </c>
      <c r="L3694">
        <v>3</v>
      </c>
      <c r="M3694">
        <v>0</v>
      </c>
      <c r="N3694">
        <v>2</v>
      </c>
      <c r="O3694">
        <v>1</v>
      </c>
      <c r="P3694">
        <v>0</v>
      </c>
      <c r="Q3694">
        <v>0</v>
      </c>
      <c r="R3694" t="s">
        <v>112</v>
      </c>
      <c r="S3694" t="str">
        <f>"14:51:56.992"</f>
        <v>14:51:56.992</v>
      </c>
      <c r="T3694" t="str">
        <f>"14:51:56.594"</f>
        <v>14:51:56.594</v>
      </c>
      <c r="U3694" t="str">
        <f t="shared" si="171"/>
        <v>ad5732</v>
      </c>
      <c r="V3694">
        <v>0</v>
      </c>
      <c r="W3694">
        <v>0</v>
      </c>
      <c r="X3694">
        <v>1</v>
      </c>
      <c r="Z3694">
        <v>0</v>
      </c>
      <c r="AA3694">
        <v>9</v>
      </c>
      <c r="AB3694">
        <v>3</v>
      </c>
      <c r="AC3694">
        <v>0</v>
      </c>
      <c r="AD3694">
        <v>10</v>
      </c>
      <c r="AE3694">
        <v>0</v>
      </c>
      <c r="AF3694">
        <v>3</v>
      </c>
      <c r="AG3694">
        <v>2</v>
      </c>
      <c r="AH3694">
        <v>0</v>
      </c>
      <c r="AI3694" t="s">
        <v>7436</v>
      </c>
      <c r="AJ3694">
        <v>40.440716999999999</v>
      </c>
      <c r="AK3694" t="s">
        <v>7437</v>
      </c>
      <c r="AL3694">
        <v>-74.437866</v>
      </c>
      <c r="AM3694">
        <v>100</v>
      </c>
      <c r="AN3694">
        <v>1700</v>
      </c>
      <c r="AO3694" t="s">
        <v>115</v>
      </c>
      <c r="AP3694">
        <v>106</v>
      </c>
      <c r="AQ3694">
        <v>58</v>
      </c>
      <c r="AR3694">
        <v>0</v>
      </c>
      <c r="AZ3694">
        <v>3614</v>
      </c>
      <c r="BA3694">
        <v>1</v>
      </c>
      <c r="BB3694" t="str">
        <f t="shared" si="173"/>
        <v xml:space="preserve">N959MJ  </v>
      </c>
      <c r="BC3694">
        <v>1</v>
      </c>
      <c r="BE3694">
        <v>0</v>
      </c>
      <c r="BF3694">
        <v>0</v>
      </c>
      <c r="BG3694">
        <v>0</v>
      </c>
      <c r="BH3694">
        <v>1900</v>
      </c>
      <c r="BI3694">
        <v>200</v>
      </c>
      <c r="BJ3694">
        <v>1</v>
      </c>
      <c r="BK3694">
        <v>1</v>
      </c>
      <c r="BL3694">
        <v>1</v>
      </c>
      <c r="BM3694">
        <v>0</v>
      </c>
      <c r="BP3694">
        <v>0</v>
      </c>
      <c r="BQ3694">
        <v>0</v>
      </c>
      <c r="BX3694" t="str">
        <f>"14:51:57.000"</f>
        <v>14:51:57.000</v>
      </c>
      <c r="BY3694" t="str">
        <f>"997520523"</f>
        <v>997520523</v>
      </c>
      <c r="CL3694">
        <v>0</v>
      </c>
      <c r="CM3694">
        <v>2</v>
      </c>
      <c r="CN3694">
        <v>0</v>
      </c>
      <c r="CO3694">
        <v>2</v>
      </c>
      <c r="CP3694">
        <v>0</v>
      </c>
      <c r="CQ3694">
        <v>7</v>
      </c>
      <c r="CR3694" t="s">
        <v>116</v>
      </c>
      <c r="CS3694">
        <v>305</v>
      </c>
      <c r="CT3694">
        <v>3</v>
      </c>
      <c r="CU3694" t="s">
        <v>6425</v>
      </c>
      <c r="CV3694" t="s">
        <v>6426</v>
      </c>
      <c r="CY3694">
        <v>6198929</v>
      </c>
      <c r="CZ3694" t="s">
        <v>119</v>
      </c>
    </row>
    <row r="3695" spans="1:104" x14ac:dyDescent="0.25">
      <c r="A3695" t="str">
        <f>"14:51:58.078"</f>
        <v>14:51:58.078</v>
      </c>
      <c r="B3695" t="s">
        <v>108</v>
      </c>
      <c r="C3695" t="str">
        <f t="shared" si="172"/>
        <v>ffdfd3c0</v>
      </c>
      <c r="D3695" t="s">
        <v>109</v>
      </c>
      <c r="E3695">
        <v>4</v>
      </c>
      <c r="F3695">
        <v>1004</v>
      </c>
      <c r="G3695" t="s">
        <v>110</v>
      </c>
      <c r="J3695" t="s">
        <v>111</v>
      </c>
      <c r="K3695">
        <v>0</v>
      </c>
      <c r="L3695">
        <v>3</v>
      </c>
      <c r="M3695">
        <v>0</v>
      </c>
      <c r="N3695">
        <v>2</v>
      </c>
      <c r="O3695">
        <v>1</v>
      </c>
      <c r="P3695">
        <v>0</v>
      </c>
      <c r="Q3695">
        <v>0</v>
      </c>
      <c r="R3695" t="s">
        <v>112</v>
      </c>
      <c r="S3695" t="str">
        <f>"14:51:57.875"</f>
        <v>14:51:57.875</v>
      </c>
      <c r="T3695" t="str">
        <f>"14:51:57.078"</f>
        <v>14:51:57.078</v>
      </c>
      <c r="U3695" t="str">
        <f t="shared" si="171"/>
        <v>ad5732</v>
      </c>
      <c r="V3695">
        <v>0</v>
      </c>
      <c r="W3695">
        <v>0</v>
      </c>
      <c r="X3695">
        <v>1</v>
      </c>
      <c r="Z3695">
        <v>0</v>
      </c>
      <c r="AA3695">
        <v>9</v>
      </c>
      <c r="AB3695">
        <v>3</v>
      </c>
      <c r="AC3695">
        <v>0</v>
      </c>
      <c r="AD3695">
        <v>10</v>
      </c>
      <c r="AE3695">
        <v>0</v>
      </c>
      <c r="AF3695">
        <v>3</v>
      </c>
      <c r="AG3695">
        <v>2</v>
      </c>
      <c r="AH3695">
        <v>0</v>
      </c>
      <c r="AI3695" t="s">
        <v>7438</v>
      </c>
      <c r="AJ3695">
        <v>40.440953</v>
      </c>
      <c r="AK3695" t="s">
        <v>7439</v>
      </c>
      <c r="AL3695">
        <v>-74.437308000000002</v>
      </c>
      <c r="AM3695">
        <v>100</v>
      </c>
      <c r="AN3695">
        <v>1700</v>
      </c>
      <c r="AO3695" t="s">
        <v>115</v>
      </c>
      <c r="AP3695">
        <v>106</v>
      </c>
      <c r="AQ3695">
        <v>58</v>
      </c>
      <c r="AR3695">
        <v>0</v>
      </c>
      <c r="AZ3695">
        <v>3614</v>
      </c>
      <c r="BA3695">
        <v>1</v>
      </c>
      <c r="BB3695" t="str">
        <f t="shared" si="173"/>
        <v xml:space="preserve">N959MJ  </v>
      </c>
      <c r="BC3695">
        <v>1</v>
      </c>
      <c r="BE3695">
        <v>0</v>
      </c>
      <c r="BF3695">
        <v>0</v>
      </c>
      <c r="BG3695">
        <v>0</v>
      </c>
      <c r="BH3695">
        <v>1900</v>
      </c>
      <c r="BI3695">
        <v>200</v>
      </c>
      <c r="BJ3695">
        <v>1</v>
      </c>
      <c r="BK3695">
        <v>1</v>
      </c>
      <c r="BL3695">
        <v>1</v>
      </c>
      <c r="BM3695">
        <v>0</v>
      </c>
      <c r="BP3695">
        <v>0</v>
      </c>
      <c r="BQ3695">
        <v>0</v>
      </c>
      <c r="BX3695" t="str">
        <f>"14:51:57.883"</f>
        <v>14:51:57.883</v>
      </c>
      <c r="BY3695" t="str">
        <f>"882420614"</f>
        <v>882420614</v>
      </c>
      <c r="CL3695">
        <v>0</v>
      </c>
      <c r="CM3695">
        <v>2</v>
      </c>
      <c r="CN3695">
        <v>0</v>
      </c>
      <c r="CO3695">
        <v>2</v>
      </c>
      <c r="CP3695">
        <v>0</v>
      </c>
      <c r="CQ3695">
        <v>4</v>
      </c>
      <c r="CR3695" t="s">
        <v>116</v>
      </c>
      <c r="CS3695">
        <v>83</v>
      </c>
      <c r="CT3695">
        <v>1</v>
      </c>
      <c r="CU3695" t="s">
        <v>7152</v>
      </c>
      <c r="CV3695" t="s">
        <v>7153</v>
      </c>
      <c r="CY3695">
        <v>1718666</v>
      </c>
      <c r="CZ3695" t="s">
        <v>119</v>
      </c>
    </row>
    <row r="3696" spans="1:104" x14ac:dyDescent="0.25">
      <c r="A3696" t="str">
        <f>"14:51:58.992"</f>
        <v>14:51:58.992</v>
      </c>
      <c r="B3696" t="s">
        <v>108</v>
      </c>
      <c r="C3696" t="str">
        <f t="shared" si="172"/>
        <v>ffdfd3c0</v>
      </c>
      <c r="D3696" t="s">
        <v>109</v>
      </c>
      <c r="E3696">
        <v>4</v>
      </c>
      <c r="F3696">
        <v>1004</v>
      </c>
      <c r="G3696" t="s">
        <v>110</v>
      </c>
      <c r="J3696" t="s">
        <v>111</v>
      </c>
      <c r="K3696">
        <v>0</v>
      </c>
      <c r="L3696">
        <v>3</v>
      </c>
      <c r="M3696">
        <v>0</v>
      </c>
      <c r="N3696">
        <v>2</v>
      </c>
      <c r="O3696">
        <v>1</v>
      </c>
      <c r="P3696">
        <v>0</v>
      </c>
      <c r="Q3696">
        <v>0</v>
      </c>
      <c r="R3696" t="s">
        <v>112</v>
      </c>
      <c r="S3696" t="str">
        <f>"14:51:58.773"</f>
        <v>14:51:58.773</v>
      </c>
      <c r="T3696" t="str">
        <f>"14:51:58.375"</f>
        <v>14:51:58.375</v>
      </c>
      <c r="U3696" t="str">
        <f t="shared" si="171"/>
        <v>ad5732</v>
      </c>
      <c r="V3696">
        <v>0</v>
      </c>
      <c r="W3696">
        <v>0</v>
      </c>
      <c r="X3696">
        <v>1</v>
      </c>
      <c r="Z3696">
        <v>0</v>
      </c>
      <c r="AA3696">
        <v>9</v>
      </c>
      <c r="AB3696">
        <v>3</v>
      </c>
      <c r="AC3696">
        <v>0</v>
      </c>
      <c r="AD3696">
        <v>10</v>
      </c>
      <c r="AE3696">
        <v>0</v>
      </c>
      <c r="AF3696">
        <v>3</v>
      </c>
      <c r="AG3696">
        <v>2</v>
      </c>
      <c r="AH3696">
        <v>0</v>
      </c>
      <c r="AI3696" t="s">
        <v>7440</v>
      </c>
      <c r="AJ3696">
        <v>40.441231999999999</v>
      </c>
      <c r="AK3696" t="s">
        <v>7441</v>
      </c>
      <c r="AL3696">
        <v>-74.436706999999998</v>
      </c>
      <c r="AM3696">
        <v>100</v>
      </c>
      <c r="AN3696">
        <v>1700</v>
      </c>
      <c r="AO3696" t="s">
        <v>115</v>
      </c>
      <c r="AP3696">
        <v>106</v>
      </c>
      <c r="AQ3696">
        <v>58</v>
      </c>
      <c r="AR3696">
        <v>0</v>
      </c>
      <c r="AZ3696">
        <v>3614</v>
      </c>
      <c r="BA3696">
        <v>1</v>
      </c>
      <c r="BB3696" t="str">
        <f t="shared" si="173"/>
        <v xml:space="preserve">N959MJ  </v>
      </c>
      <c r="BC3696">
        <v>1</v>
      </c>
      <c r="BE3696">
        <v>0</v>
      </c>
      <c r="BF3696">
        <v>0</v>
      </c>
      <c r="BG3696">
        <v>0</v>
      </c>
      <c r="BH3696">
        <v>1900</v>
      </c>
      <c r="BI3696">
        <v>200</v>
      </c>
      <c r="BJ3696">
        <v>1</v>
      </c>
      <c r="BK3696">
        <v>1</v>
      </c>
      <c r="BL3696">
        <v>1</v>
      </c>
      <c r="BM3696">
        <v>0</v>
      </c>
      <c r="BP3696">
        <v>0</v>
      </c>
      <c r="BQ3696">
        <v>0</v>
      </c>
      <c r="BX3696" t="str">
        <f>"14:51:58.773"</f>
        <v>14:51:58.773</v>
      </c>
      <c r="BY3696" t="str">
        <f>"776866050"</f>
        <v>776866050</v>
      </c>
      <c r="CL3696">
        <v>0</v>
      </c>
      <c r="CM3696">
        <v>2</v>
      </c>
      <c r="CN3696">
        <v>0</v>
      </c>
      <c r="CO3696">
        <v>2</v>
      </c>
      <c r="CP3696">
        <v>0</v>
      </c>
      <c r="CQ3696">
        <v>6</v>
      </c>
      <c r="CR3696" t="s">
        <v>116</v>
      </c>
      <c r="CS3696">
        <v>38</v>
      </c>
      <c r="CT3696">
        <v>1</v>
      </c>
      <c r="CU3696" t="s">
        <v>4719</v>
      </c>
      <c r="CV3696" t="s">
        <v>4720</v>
      </c>
      <c r="CY3696">
        <v>12206249</v>
      </c>
      <c r="CZ3696" t="s">
        <v>119</v>
      </c>
    </row>
    <row r="3697" spans="1:104" x14ac:dyDescent="0.25">
      <c r="A3697" t="str">
        <f>"14:52:00.000"</f>
        <v>14:52:00.000</v>
      </c>
      <c r="B3697" t="s">
        <v>108</v>
      </c>
      <c r="C3697" t="str">
        <f t="shared" si="172"/>
        <v>ffdfd3c0</v>
      </c>
      <c r="D3697" t="s">
        <v>109</v>
      </c>
      <c r="E3697">
        <v>4</v>
      </c>
      <c r="F3697">
        <v>1004</v>
      </c>
      <c r="G3697" t="s">
        <v>110</v>
      </c>
      <c r="J3697" t="s">
        <v>111</v>
      </c>
      <c r="K3697">
        <v>0</v>
      </c>
      <c r="L3697">
        <v>3</v>
      </c>
      <c r="M3697">
        <v>0</v>
      </c>
      <c r="N3697">
        <v>2</v>
      </c>
      <c r="O3697">
        <v>1</v>
      </c>
      <c r="P3697">
        <v>0</v>
      </c>
      <c r="Q3697">
        <v>0</v>
      </c>
      <c r="R3697" t="s">
        <v>112</v>
      </c>
      <c r="S3697" t="str">
        <f>"14:51:59.789"</f>
        <v>14:51:59.789</v>
      </c>
      <c r="T3697" t="str">
        <f>"14:51:59.289"</f>
        <v>14:51:59.289</v>
      </c>
      <c r="U3697" t="str">
        <f t="shared" si="171"/>
        <v>ad5732</v>
      </c>
      <c r="V3697">
        <v>0</v>
      </c>
      <c r="W3697">
        <v>0</v>
      </c>
      <c r="X3697">
        <v>1</v>
      </c>
      <c r="Z3697">
        <v>0</v>
      </c>
      <c r="AA3697">
        <v>9</v>
      </c>
      <c r="AB3697">
        <v>3</v>
      </c>
      <c r="AC3697">
        <v>0</v>
      </c>
      <c r="AD3697">
        <v>10</v>
      </c>
      <c r="AE3697">
        <v>0</v>
      </c>
      <c r="AF3697">
        <v>3</v>
      </c>
      <c r="AG3697">
        <v>2</v>
      </c>
      <c r="AH3697">
        <v>0</v>
      </c>
      <c r="AI3697" t="s">
        <v>7442</v>
      </c>
      <c r="AJ3697">
        <v>40.441445999999999</v>
      </c>
      <c r="AK3697" t="s">
        <v>7443</v>
      </c>
      <c r="AL3697">
        <v>-74.436107000000007</v>
      </c>
      <c r="AM3697">
        <v>100</v>
      </c>
      <c r="AN3697">
        <v>1700</v>
      </c>
      <c r="AO3697" t="s">
        <v>115</v>
      </c>
      <c r="AP3697">
        <v>106</v>
      </c>
      <c r="AQ3697">
        <v>58</v>
      </c>
      <c r="AR3697">
        <v>0</v>
      </c>
      <c r="AZ3697">
        <v>3614</v>
      </c>
      <c r="BA3697">
        <v>1</v>
      </c>
      <c r="BB3697" t="str">
        <f t="shared" si="173"/>
        <v xml:space="preserve">N959MJ  </v>
      </c>
      <c r="BC3697">
        <v>1</v>
      </c>
      <c r="BE3697">
        <v>0</v>
      </c>
      <c r="BF3697">
        <v>0</v>
      </c>
      <c r="BG3697">
        <v>0</v>
      </c>
      <c r="BH3697">
        <v>1900</v>
      </c>
      <c r="BI3697">
        <v>200</v>
      </c>
      <c r="BJ3697">
        <v>1</v>
      </c>
      <c r="BK3697">
        <v>1</v>
      </c>
      <c r="BL3697">
        <v>1</v>
      </c>
      <c r="BM3697">
        <v>0</v>
      </c>
      <c r="BP3697">
        <v>0</v>
      </c>
      <c r="BQ3697">
        <v>0</v>
      </c>
      <c r="BX3697" t="str">
        <f>"14:51:59.789"</f>
        <v>14:51:59.789</v>
      </c>
      <c r="BY3697" t="str">
        <f>"792679604"</f>
        <v>792679604</v>
      </c>
      <c r="CL3697">
        <v>0</v>
      </c>
      <c r="CM3697">
        <v>2</v>
      </c>
      <c r="CN3697">
        <v>0</v>
      </c>
      <c r="CO3697">
        <v>2</v>
      </c>
      <c r="CP3697">
        <v>0</v>
      </c>
      <c r="CQ3697">
        <v>7</v>
      </c>
      <c r="CR3697" t="s">
        <v>116</v>
      </c>
      <c r="CS3697">
        <v>305</v>
      </c>
      <c r="CT3697">
        <v>3</v>
      </c>
      <c r="CU3697" t="s">
        <v>6425</v>
      </c>
      <c r="CV3697" t="s">
        <v>6426</v>
      </c>
      <c r="CY3697">
        <v>6204884</v>
      </c>
      <c r="CZ3697" t="s">
        <v>119</v>
      </c>
    </row>
    <row r="3698" spans="1:104" x14ac:dyDescent="0.25">
      <c r="A3698" t="str">
        <f>"14:52:00.859"</f>
        <v>14:52:00.859</v>
      </c>
      <c r="B3698" t="s">
        <v>108</v>
      </c>
      <c r="C3698" t="str">
        <f t="shared" si="172"/>
        <v>ffdfd3c0</v>
      </c>
      <c r="D3698" t="s">
        <v>109</v>
      </c>
      <c r="E3698">
        <v>4</v>
      </c>
      <c r="F3698">
        <v>1004</v>
      </c>
      <c r="G3698" t="s">
        <v>110</v>
      </c>
      <c r="J3698" t="s">
        <v>111</v>
      </c>
      <c r="K3698">
        <v>0</v>
      </c>
      <c r="L3698">
        <v>3</v>
      </c>
      <c r="M3698">
        <v>0</v>
      </c>
      <c r="N3698">
        <v>2</v>
      </c>
      <c r="O3698">
        <v>1</v>
      </c>
      <c r="P3698">
        <v>0</v>
      </c>
      <c r="Q3698">
        <v>0</v>
      </c>
      <c r="R3698" t="s">
        <v>112</v>
      </c>
      <c r="S3698" t="str">
        <f>"14:52:00.688"</f>
        <v>14:52:00.688</v>
      </c>
      <c r="T3698" t="str">
        <f>"14:52:00.289"</f>
        <v>14:52:00.289</v>
      </c>
      <c r="U3698" t="str">
        <f t="shared" si="171"/>
        <v>ad5732</v>
      </c>
      <c r="V3698">
        <v>0</v>
      </c>
      <c r="W3698">
        <v>0</v>
      </c>
      <c r="X3698">
        <v>1</v>
      </c>
      <c r="Z3698">
        <v>0</v>
      </c>
      <c r="AA3698">
        <v>9</v>
      </c>
      <c r="AB3698">
        <v>3</v>
      </c>
      <c r="AC3698">
        <v>0</v>
      </c>
      <c r="AD3698">
        <v>10</v>
      </c>
      <c r="AE3698">
        <v>0</v>
      </c>
      <c r="AF3698">
        <v>3</v>
      </c>
      <c r="AG3698">
        <v>2</v>
      </c>
      <c r="AH3698">
        <v>0</v>
      </c>
      <c r="AI3698" t="s">
        <v>7444</v>
      </c>
      <c r="AJ3698">
        <v>40.441704000000001</v>
      </c>
      <c r="AK3698" t="s">
        <v>7445</v>
      </c>
      <c r="AL3698">
        <v>-74.435484000000002</v>
      </c>
      <c r="AM3698">
        <v>100</v>
      </c>
      <c r="AN3698">
        <v>1700</v>
      </c>
      <c r="AO3698" t="s">
        <v>115</v>
      </c>
      <c r="AP3698">
        <v>106</v>
      </c>
      <c r="AQ3698">
        <v>58</v>
      </c>
      <c r="AR3698">
        <v>64</v>
      </c>
      <c r="AZ3698">
        <v>3614</v>
      </c>
      <c r="BA3698">
        <v>1</v>
      </c>
      <c r="BB3698" t="str">
        <f t="shared" si="173"/>
        <v xml:space="preserve">N959MJ  </v>
      </c>
      <c r="BC3698">
        <v>1</v>
      </c>
      <c r="BE3698">
        <v>0</v>
      </c>
      <c r="BF3698">
        <v>0</v>
      </c>
      <c r="BG3698">
        <v>0</v>
      </c>
      <c r="BH3698">
        <v>1900</v>
      </c>
      <c r="BI3698">
        <v>200</v>
      </c>
      <c r="BJ3698">
        <v>1</v>
      </c>
      <c r="BK3698">
        <v>1</v>
      </c>
      <c r="BL3698">
        <v>1</v>
      </c>
      <c r="BM3698">
        <v>0</v>
      </c>
      <c r="BP3698">
        <v>0</v>
      </c>
      <c r="BQ3698">
        <v>0</v>
      </c>
      <c r="BX3698" t="str">
        <f>"14:52:00.688"</f>
        <v>14:52:00.688</v>
      </c>
      <c r="BY3698" t="str">
        <f>"688912817"</f>
        <v>688912817</v>
      </c>
      <c r="CL3698">
        <v>0</v>
      </c>
      <c r="CM3698">
        <v>2</v>
      </c>
      <c r="CN3698">
        <v>0</v>
      </c>
      <c r="CO3698">
        <v>2</v>
      </c>
      <c r="CP3698">
        <v>0</v>
      </c>
      <c r="CQ3698">
        <v>6</v>
      </c>
      <c r="CR3698" t="s">
        <v>116</v>
      </c>
      <c r="CS3698">
        <v>38</v>
      </c>
      <c r="CT3698">
        <v>0</v>
      </c>
      <c r="CU3698" t="s">
        <v>4719</v>
      </c>
      <c r="CV3698" t="s">
        <v>4720</v>
      </c>
      <c r="CY3698">
        <v>8274162</v>
      </c>
      <c r="CZ3698" t="s">
        <v>119</v>
      </c>
    </row>
    <row r="3699" spans="1:104" x14ac:dyDescent="0.25">
      <c r="A3699" t="str">
        <f>"14:52:01.820"</f>
        <v>14:52:01.820</v>
      </c>
      <c r="B3699" t="s">
        <v>108</v>
      </c>
      <c r="C3699" t="str">
        <f t="shared" si="172"/>
        <v>ffdfd3c0</v>
      </c>
      <c r="D3699" t="s">
        <v>109</v>
      </c>
      <c r="E3699">
        <v>4</v>
      </c>
      <c r="F3699">
        <v>1004</v>
      </c>
      <c r="G3699" t="s">
        <v>110</v>
      </c>
      <c r="J3699" t="s">
        <v>111</v>
      </c>
      <c r="K3699">
        <v>0</v>
      </c>
      <c r="L3699">
        <v>3</v>
      </c>
      <c r="M3699">
        <v>0</v>
      </c>
      <c r="N3699">
        <v>2</v>
      </c>
      <c r="O3699">
        <v>1</v>
      </c>
      <c r="P3699">
        <v>0</v>
      </c>
      <c r="Q3699">
        <v>0</v>
      </c>
      <c r="R3699" t="s">
        <v>112</v>
      </c>
      <c r="S3699" t="str">
        <f>"14:52:01.586"</f>
        <v>14:52:01.586</v>
      </c>
      <c r="T3699" t="str">
        <f>"14:52:01.188"</f>
        <v>14:52:01.188</v>
      </c>
      <c r="U3699" t="str">
        <f t="shared" si="171"/>
        <v>ad5732</v>
      </c>
      <c r="V3699">
        <v>0</v>
      </c>
      <c r="W3699">
        <v>0</v>
      </c>
      <c r="X3699">
        <v>1</v>
      </c>
      <c r="Z3699">
        <v>0</v>
      </c>
      <c r="AA3699">
        <v>9</v>
      </c>
      <c r="AB3699">
        <v>3</v>
      </c>
      <c r="AC3699">
        <v>0</v>
      </c>
      <c r="AD3699">
        <v>10</v>
      </c>
      <c r="AE3699">
        <v>0</v>
      </c>
      <c r="AF3699">
        <v>3</v>
      </c>
      <c r="AG3699">
        <v>2</v>
      </c>
      <c r="AH3699">
        <v>0</v>
      </c>
      <c r="AI3699" t="s">
        <v>7446</v>
      </c>
      <c r="AJ3699">
        <v>40.441960999999999</v>
      </c>
      <c r="AK3699" t="s">
        <v>7447</v>
      </c>
      <c r="AL3699">
        <v>-74.434927000000002</v>
      </c>
      <c r="AM3699">
        <v>100</v>
      </c>
      <c r="AN3699">
        <v>1700</v>
      </c>
      <c r="AO3699" t="s">
        <v>115</v>
      </c>
      <c r="AP3699">
        <v>105</v>
      </c>
      <c r="AQ3699">
        <v>58</v>
      </c>
      <c r="AR3699">
        <v>192</v>
      </c>
      <c r="AZ3699">
        <v>3614</v>
      </c>
      <c r="BA3699">
        <v>1</v>
      </c>
      <c r="BB3699" t="str">
        <f t="shared" si="173"/>
        <v xml:space="preserve">N959MJ  </v>
      </c>
      <c r="BC3699">
        <v>1</v>
      </c>
      <c r="BE3699">
        <v>0</v>
      </c>
      <c r="BF3699">
        <v>0</v>
      </c>
      <c r="BG3699">
        <v>0</v>
      </c>
      <c r="BH3699">
        <v>1900</v>
      </c>
      <c r="BI3699">
        <v>200</v>
      </c>
      <c r="BJ3699">
        <v>1</v>
      </c>
      <c r="BK3699">
        <v>1</v>
      </c>
      <c r="BL3699">
        <v>1</v>
      </c>
      <c r="BM3699">
        <v>0</v>
      </c>
      <c r="BP3699">
        <v>0</v>
      </c>
      <c r="BQ3699">
        <v>0</v>
      </c>
      <c r="BX3699" t="str">
        <f>"14:52:01.586"</f>
        <v>14:52:01.586</v>
      </c>
      <c r="BY3699" t="str">
        <f>"588397299"</f>
        <v>588397299</v>
      </c>
      <c r="CL3699">
        <v>0</v>
      </c>
      <c r="CM3699">
        <v>2</v>
      </c>
      <c r="CN3699">
        <v>0</v>
      </c>
      <c r="CO3699">
        <v>2</v>
      </c>
      <c r="CP3699">
        <v>0</v>
      </c>
      <c r="CQ3699">
        <v>6</v>
      </c>
      <c r="CR3699" t="s">
        <v>116</v>
      </c>
      <c r="CS3699">
        <v>305</v>
      </c>
      <c r="CT3699">
        <v>3</v>
      </c>
      <c r="CU3699" t="s">
        <v>6425</v>
      </c>
      <c r="CV3699" t="s">
        <v>6426</v>
      </c>
      <c r="CY3699">
        <v>6208515</v>
      </c>
      <c r="CZ3699" t="s">
        <v>119</v>
      </c>
    </row>
    <row r="3700" spans="1:104" x14ac:dyDescent="0.25">
      <c r="A3700" t="str">
        <f>"14:52:02.875"</f>
        <v>14:52:02.875</v>
      </c>
      <c r="B3700" t="s">
        <v>108</v>
      </c>
      <c r="C3700" t="str">
        <f t="shared" si="172"/>
        <v>ffdfd3c0</v>
      </c>
      <c r="D3700" t="s">
        <v>109</v>
      </c>
      <c r="E3700">
        <v>4</v>
      </c>
      <c r="F3700">
        <v>1004</v>
      </c>
      <c r="G3700" t="s">
        <v>110</v>
      </c>
      <c r="J3700" t="s">
        <v>111</v>
      </c>
      <c r="K3700">
        <v>0</v>
      </c>
      <c r="L3700">
        <v>3</v>
      </c>
      <c r="M3700">
        <v>0</v>
      </c>
      <c r="N3700">
        <v>2</v>
      </c>
      <c r="O3700">
        <v>1</v>
      </c>
      <c r="P3700">
        <v>0</v>
      </c>
      <c r="Q3700">
        <v>0</v>
      </c>
      <c r="R3700" t="s">
        <v>112</v>
      </c>
      <c r="S3700" t="str">
        <f>"14:52:02.664"</f>
        <v>14:52:02.664</v>
      </c>
      <c r="T3700" t="str">
        <f>"14:52:02.164"</f>
        <v>14:52:02.164</v>
      </c>
      <c r="U3700" t="str">
        <f t="shared" si="171"/>
        <v>ad5732</v>
      </c>
      <c r="V3700">
        <v>0</v>
      </c>
      <c r="W3700">
        <v>0</v>
      </c>
      <c r="X3700">
        <v>1</v>
      </c>
      <c r="Z3700">
        <v>0</v>
      </c>
      <c r="AA3700">
        <v>9</v>
      </c>
      <c r="AB3700">
        <v>3</v>
      </c>
      <c r="AC3700">
        <v>0</v>
      </c>
      <c r="AD3700">
        <v>10</v>
      </c>
      <c r="AE3700">
        <v>0</v>
      </c>
      <c r="AF3700">
        <v>3</v>
      </c>
      <c r="AG3700">
        <v>2</v>
      </c>
      <c r="AH3700">
        <v>0</v>
      </c>
      <c r="AI3700" t="s">
        <v>7448</v>
      </c>
      <c r="AJ3700">
        <v>40.442261999999999</v>
      </c>
      <c r="AK3700" t="s">
        <v>7449</v>
      </c>
      <c r="AL3700">
        <v>-74.434240000000003</v>
      </c>
      <c r="AM3700">
        <v>100</v>
      </c>
      <c r="AN3700">
        <v>1700</v>
      </c>
      <c r="AO3700" t="s">
        <v>115</v>
      </c>
      <c r="AP3700">
        <v>104</v>
      </c>
      <c r="AQ3700">
        <v>57</v>
      </c>
      <c r="AR3700">
        <v>384</v>
      </c>
      <c r="AZ3700">
        <v>3614</v>
      </c>
      <c r="BA3700">
        <v>1</v>
      </c>
      <c r="BB3700" t="str">
        <f t="shared" si="173"/>
        <v xml:space="preserve">N959MJ  </v>
      </c>
      <c r="BC3700">
        <v>1</v>
      </c>
      <c r="BE3700">
        <v>0</v>
      </c>
      <c r="BF3700">
        <v>0</v>
      </c>
      <c r="BG3700">
        <v>0</v>
      </c>
      <c r="BH3700">
        <v>1900</v>
      </c>
      <c r="BI3700">
        <v>200</v>
      </c>
      <c r="BJ3700">
        <v>1</v>
      </c>
      <c r="BK3700">
        <v>1</v>
      </c>
      <c r="BL3700">
        <v>1</v>
      </c>
      <c r="BM3700">
        <v>0</v>
      </c>
      <c r="BP3700">
        <v>0</v>
      </c>
      <c r="BQ3700">
        <v>0</v>
      </c>
      <c r="BX3700" t="str">
        <f>"14:52:02.664"</f>
        <v>14:52:02.664</v>
      </c>
      <c r="BY3700" t="str">
        <f>"664858327"</f>
        <v>664858327</v>
      </c>
      <c r="CL3700">
        <v>0</v>
      </c>
      <c r="CM3700">
        <v>2</v>
      </c>
      <c r="CN3700">
        <v>0</v>
      </c>
      <c r="CO3700">
        <v>2</v>
      </c>
      <c r="CP3700">
        <v>0</v>
      </c>
      <c r="CQ3700">
        <v>6</v>
      </c>
      <c r="CR3700" t="s">
        <v>116</v>
      </c>
      <c r="CS3700">
        <v>38</v>
      </c>
      <c r="CT3700">
        <v>0</v>
      </c>
      <c r="CU3700" t="s">
        <v>4719</v>
      </c>
      <c r="CV3700" t="s">
        <v>4720</v>
      </c>
      <c r="CY3700">
        <v>8277127</v>
      </c>
      <c r="CZ3700" t="s">
        <v>119</v>
      </c>
    </row>
    <row r="3701" spans="1:104" x14ac:dyDescent="0.25">
      <c r="A3701" t="str">
        <f>"14:52:03.891"</f>
        <v>14:52:03.891</v>
      </c>
      <c r="B3701" t="s">
        <v>108</v>
      </c>
      <c r="C3701" t="str">
        <f t="shared" si="172"/>
        <v>ffdfd3c0</v>
      </c>
      <c r="D3701" t="s">
        <v>109</v>
      </c>
      <c r="E3701">
        <v>4</v>
      </c>
      <c r="F3701">
        <v>1004</v>
      </c>
      <c r="G3701" t="s">
        <v>110</v>
      </c>
      <c r="J3701" t="s">
        <v>111</v>
      </c>
      <c r="K3701">
        <v>0</v>
      </c>
      <c r="L3701">
        <v>3</v>
      </c>
      <c r="M3701">
        <v>0</v>
      </c>
      <c r="N3701">
        <v>2</v>
      </c>
      <c r="O3701">
        <v>1</v>
      </c>
      <c r="P3701">
        <v>0</v>
      </c>
      <c r="Q3701">
        <v>0</v>
      </c>
      <c r="R3701" t="s">
        <v>112</v>
      </c>
      <c r="S3701" t="str">
        <f>"14:52:03.711"</f>
        <v>14:52:03.711</v>
      </c>
      <c r="T3701" t="str">
        <f>"14:52:03.313"</f>
        <v>14:52:03.313</v>
      </c>
      <c r="U3701" t="str">
        <f t="shared" si="171"/>
        <v>ad5732</v>
      </c>
      <c r="V3701">
        <v>0</v>
      </c>
      <c r="W3701">
        <v>0</v>
      </c>
      <c r="X3701">
        <v>1</v>
      </c>
      <c r="Z3701">
        <v>0</v>
      </c>
      <c r="AA3701">
        <v>9</v>
      </c>
      <c r="AB3701">
        <v>3</v>
      </c>
      <c r="AC3701">
        <v>0</v>
      </c>
      <c r="AD3701">
        <v>10</v>
      </c>
      <c r="AE3701">
        <v>0</v>
      </c>
      <c r="AF3701">
        <v>3</v>
      </c>
      <c r="AG3701">
        <v>2</v>
      </c>
      <c r="AH3701">
        <v>0</v>
      </c>
      <c r="AI3701" t="s">
        <v>7450</v>
      </c>
      <c r="AJ3701">
        <v>40.442498000000001</v>
      </c>
      <c r="AK3701" t="s">
        <v>7451</v>
      </c>
      <c r="AL3701">
        <v>-74.433617999999996</v>
      </c>
      <c r="AM3701">
        <v>100</v>
      </c>
      <c r="AN3701">
        <v>1700</v>
      </c>
      <c r="AO3701" t="s">
        <v>115</v>
      </c>
      <c r="AP3701">
        <v>104</v>
      </c>
      <c r="AQ3701">
        <v>57</v>
      </c>
      <c r="AR3701">
        <v>384</v>
      </c>
      <c r="AZ3701">
        <v>3614</v>
      </c>
      <c r="BA3701">
        <v>1</v>
      </c>
      <c r="BB3701" t="str">
        <f t="shared" si="173"/>
        <v xml:space="preserve">N959MJ  </v>
      </c>
      <c r="BC3701">
        <v>1</v>
      </c>
      <c r="BE3701">
        <v>0</v>
      </c>
      <c r="BF3701">
        <v>0</v>
      </c>
      <c r="BG3701">
        <v>0</v>
      </c>
      <c r="BH3701">
        <v>1900</v>
      </c>
      <c r="BI3701">
        <v>200</v>
      </c>
      <c r="BJ3701">
        <v>1</v>
      </c>
      <c r="BK3701">
        <v>1</v>
      </c>
      <c r="BL3701">
        <v>1</v>
      </c>
      <c r="BM3701">
        <v>0</v>
      </c>
      <c r="BP3701">
        <v>0</v>
      </c>
      <c r="BQ3701">
        <v>0</v>
      </c>
      <c r="BX3701" t="str">
        <f>"14:52:03.711"</f>
        <v>14:52:03.711</v>
      </c>
      <c r="BY3701" t="str">
        <f>"711814584"</f>
        <v>711814584</v>
      </c>
      <c r="CL3701">
        <v>0</v>
      </c>
      <c r="CM3701">
        <v>2</v>
      </c>
      <c r="CN3701">
        <v>0</v>
      </c>
      <c r="CO3701">
        <v>2</v>
      </c>
      <c r="CP3701">
        <v>0</v>
      </c>
      <c r="CQ3701">
        <v>6</v>
      </c>
      <c r="CR3701" t="s">
        <v>116</v>
      </c>
      <c r="CS3701">
        <v>38</v>
      </c>
      <c r="CT3701">
        <v>0</v>
      </c>
      <c r="CU3701" t="s">
        <v>4719</v>
      </c>
      <c r="CV3701" t="s">
        <v>4720</v>
      </c>
      <c r="CY3701">
        <v>8278720</v>
      </c>
      <c r="CZ3701" t="s">
        <v>119</v>
      </c>
    </row>
    <row r="3702" spans="1:104" x14ac:dyDescent="0.25">
      <c r="A3702" t="str">
        <f>"14:52:04.945"</f>
        <v>14:52:04.945</v>
      </c>
      <c r="B3702" t="s">
        <v>108</v>
      </c>
      <c r="C3702" t="str">
        <f t="shared" si="172"/>
        <v>ffdfd3c0</v>
      </c>
      <c r="D3702" t="s">
        <v>109</v>
      </c>
      <c r="E3702">
        <v>4</v>
      </c>
      <c r="F3702">
        <v>1004</v>
      </c>
      <c r="G3702" t="s">
        <v>110</v>
      </c>
      <c r="J3702" t="s">
        <v>111</v>
      </c>
      <c r="K3702">
        <v>0</v>
      </c>
      <c r="L3702">
        <v>3</v>
      </c>
      <c r="M3702">
        <v>0</v>
      </c>
      <c r="N3702">
        <v>2</v>
      </c>
      <c r="O3702">
        <v>1</v>
      </c>
      <c r="P3702">
        <v>0</v>
      </c>
      <c r="Q3702">
        <v>0</v>
      </c>
      <c r="R3702" t="s">
        <v>112</v>
      </c>
      <c r="S3702" t="str">
        <f>"14:52:04.734"</f>
        <v>14:52:04.734</v>
      </c>
      <c r="T3702" t="str">
        <f>"14:52:04.336"</f>
        <v>14:52:04.336</v>
      </c>
      <c r="U3702" t="str">
        <f t="shared" si="171"/>
        <v>ad5732</v>
      </c>
      <c r="V3702">
        <v>0</v>
      </c>
      <c r="W3702">
        <v>0</v>
      </c>
      <c r="X3702">
        <v>1</v>
      </c>
      <c r="Z3702">
        <v>0</v>
      </c>
      <c r="AA3702">
        <v>9</v>
      </c>
      <c r="AB3702">
        <v>3</v>
      </c>
      <c r="AC3702">
        <v>0</v>
      </c>
      <c r="AD3702">
        <v>10</v>
      </c>
      <c r="AE3702">
        <v>0</v>
      </c>
      <c r="AF3702">
        <v>3</v>
      </c>
      <c r="AG3702">
        <v>2</v>
      </c>
      <c r="AH3702">
        <v>0</v>
      </c>
      <c r="AI3702" t="s">
        <v>7452</v>
      </c>
      <c r="AJ3702">
        <v>40.442777</v>
      </c>
      <c r="AK3702" t="s">
        <v>7453</v>
      </c>
      <c r="AL3702">
        <v>-74.432930999999996</v>
      </c>
      <c r="AM3702">
        <v>100</v>
      </c>
      <c r="AN3702">
        <v>1700</v>
      </c>
      <c r="AO3702" t="s">
        <v>115</v>
      </c>
      <c r="AP3702">
        <v>103</v>
      </c>
      <c r="AQ3702">
        <v>56</v>
      </c>
      <c r="AR3702">
        <v>256</v>
      </c>
      <c r="AZ3702">
        <v>3614</v>
      </c>
      <c r="BA3702">
        <v>1</v>
      </c>
      <c r="BB3702" t="str">
        <f t="shared" si="173"/>
        <v xml:space="preserve">N959MJ  </v>
      </c>
      <c r="BC3702">
        <v>1</v>
      </c>
      <c r="BE3702">
        <v>0</v>
      </c>
      <c r="BF3702">
        <v>0</v>
      </c>
      <c r="BG3702">
        <v>0</v>
      </c>
      <c r="BH3702">
        <v>1925</v>
      </c>
      <c r="BI3702">
        <v>225</v>
      </c>
      <c r="BJ3702">
        <v>1</v>
      </c>
      <c r="BK3702">
        <v>1</v>
      </c>
      <c r="BL3702">
        <v>1</v>
      </c>
      <c r="BM3702">
        <v>0</v>
      </c>
      <c r="BP3702">
        <v>0</v>
      </c>
      <c r="BQ3702">
        <v>0</v>
      </c>
      <c r="BX3702" t="str">
        <f>"14:52:04.742"</f>
        <v>14:52:04.742</v>
      </c>
      <c r="BY3702" t="str">
        <f>"740748013"</f>
        <v>740748013</v>
      </c>
      <c r="CL3702">
        <v>0</v>
      </c>
      <c r="CM3702">
        <v>2</v>
      </c>
      <c r="CN3702">
        <v>0</v>
      </c>
      <c r="CO3702">
        <v>2</v>
      </c>
      <c r="CP3702">
        <v>0</v>
      </c>
      <c r="CQ3702">
        <v>6</v>
      </c>
      <c r="CR3702" t="s">
        <v>116</v>
      </c>
      <c r="CS3702">
        <v>38</v>
      </c>
      <c r="CT3702">
        <v>0</v>
      </c>
      <c r="CU3702" t="s">
        <v>4719</v>
      </c>
      <c r="CV3702" t="s">
        <v>4720</v>
      </c>
      <c r="CY3702">
        <v>8280351</v>
      </c>
      <c r="CZ3702" t="s">
        <v>119</v>
      </c>
    </row>
    <row r="3703" spans="1:104" x14ac:dyDescent="0.25">
      <c r="A3703" t="str">
        <f>"14:52:05.805"</f>
        <v>14:52:05.805</v>
      </c>
      <c r="B3703" t="s">
        <v>108</v>
      </c>
      <c r="C3703" t="str">
        <f t="shared" si="172"/>
        <v>ffdfd3c0</v>
      </c>
      <c r="D3703" t="s">
        <v>109</v>
      </c>
      <c r="E3703">
        <v>4</v>
      </c>
      <c r="F3703">
        <v>1004</v>
      </c>
      <c r="G3703" t="s">
        <v>110</v>
      </c>
      <c r="J3703" t="s">
        <v>111</v>
      </c>
      <c r="K3703">
        <v>0</v>
      </c>
      <c r="L3703">
        <v>3</v>
      </c>
      <c r="M3703">
        <v>0</v>
      </c>
      <c r="N3703">
        <v>2</v>
      </c>
      <c r="O3703">
        <v>1</v>
      </c>
      <c r="P3703">
        <v>0</v>
      </c>
      <c r="Q3703">
        <v>0</v>
      </c>
      <c r="R3703" t="s">
        <v>112</v>
      </c>
      <c r="S3703" t="str">
        <f>"14:52:05.648"</f>
        <v>14:52:05.648</v>
      </c>
      <c r="T3703" t="str">
        <f>"14:52:05.250"</f>
        <v>14:52:05.250</v>
      </c>
      <c r="U3703" t="str">
        <f t="shared" si="171"/>
        <v>ad5732</v>
      </c>
      <c r="V3703">
        <v>0</v>
      </c>
      <c r="W3703">
        <v>0</v>
      </c>
      <c r="X3703">
        <v>1</v>
      </c>
      <c r="Z3703">
        <v>0</v>
      </c>
      <c r="AA3703">
        <v>9</v>
      </c>
      <c r="AB3703">
        <v>3</v>
      </c>
      <c r="AC3703">
        <v>0</v>
      </c>
      <c r="AD3703">
        <v>10</v>
      </c>
      <c r="AE3703">
        <v>0</v>
      </c>
      <c r="AF3703">
        <v>3</v>
      </c>
      <c r="AG3703">
        <v>2</v>
      </c>
      <c r="AH3703">
        <v>0</v>
      </c>
      <c r="AI3703" t="s">
        <v>7454</v>
      </c>
      <c r="AJ3703">
        <v>40.443055999999999</v>
      </c>
      <c r="AK3703" t="s">
        <v>7455</v>
      </c>
      <c r="AL3703">
        <v>-74.432372999999998</v>
      </c>
      <c r="AM3703">
        <v>100</v>
      </c>
      <c r="AN3703">
        <v>1700</v>
      </c>
      <c r="AO3703" t="s">
        <v>115</v>
      </c>
      <c r="AP3703">
        <v>103</v>
      </c>
      <c r="AQ3703">
        <v>56</v>
      </c>
      <c r="AR3703">
        <v>192</v>
      </c>
      <c r="AZ3703">
        <v>3614</v>
      </c>
      <c r="BA3703">
        <v>1</v>
      </c>
      <c r="BB3703" t="str">
        <f t="shared" si="173"/>
        <v xml:space="preserve">N959MJ  </v>
      </c>
      <c r="BC3703">
        <v>1</v>
      </c>
      <c r="BE3703">
        <v>0</v>
      </c>
      <c r="BF3703">
        <v>0</v>
      </c>
      <c r="BG3703">
        <v>0</v>
      </c>
      <c r="BH3703">
        <v>1925</v>
      </c>
      <c r="BI3703">
        <v>225</v>
      </c>
      <c r="BJ3703">
        <v>1</v>
      </c>
      <c r="BK3703">
        <v>1</v>
      </c>
      <c r="BL3703">
        <v>1</v>
      </c>
      <c r="BM3703">
        <v>0</v>
      </c>
      <c r="BP3703">
        <v>0</v>
      </c>
      <c r="BQ3703">
        <v>0</v>
      </c>
      <c r="BX3703" t="str">
        <f>"14:52:05.648"</f>
        <v>14:52:05.648</v>
      </c>
      <c r="BY3703" t="str">
        <f>"650076162"</f>
        <v>650076162</v>
      </c>
      <c r="CL3703">
        <v>0</v>
      </c>
      <c r="CM3703">
        <v>2</v>
      </c>
      <c r="CN3703">
        <v>0</v>
      </c>
      <c r="CO3703">
        <v>2</v>
      </c>
      <c r="CP3703">
        <v>0</v>
      </c>
      <c r="CQ3703">
        <v>6</v>
      </c>
      <c r="CR3703" t="s">
        <v>116</v>
      </c>
      <c r="CS3703">
        <v>38</v>
      </c>
      <c r="CT3703">
        <v>0</v>
      </c>
      <c r="CU3703" t="s">
        <v>4719</v>
      </c>
      <c r="CV3703" t="s">
        <v>4720</v>
      </c>
      <c r="CY3703">
        <v>8281713</v>
      </c>
      <c r="CZ3703" t="s">
        <v>119</v>
      </c>
    </row>
    <row r="3704" spans="1:104" x14ac:dyDescent="0.25">
      <c r="A3704" t="str">
        <f>"14:52:06.719"</f>
        <v>14:52:06.719</v>
      </c>
      <c r="B3704" t="s">
        <v>108</v>
      </c>
      <c r="C3704" t="str">
        <f t="shared" si="172"/>
        <v>ffdfd3c0</v>
      </c>
      <c r="D3704" t="s">
        <v>109</v>
      </c>
      <c r="E3704">
        <v>4</v>
      </c>
      <c r="F3704">
        <v>1004</v>
      </c>
      <c r="G3704" t="s">
        <v>110</v>
      </c>
      <c r="J3704" t="s">
        <v>111</v>
      </c>
      <c r="K3704">
        <v>0</v>
      </c>
      <c r="L3704">
        <v>3</v>
      </c>
      <c r="M3704">
        <v>0</v>
      </c>
      <c r="N3704">
        <v>2</v>
      </c>
      <c r="O3704">
        <v>1</v>
      </c>
      <c r="P3704">
        <v>0</v>
      </c>
      <c r="Q3704">
        <v>0</v>
      </c>
      <c r="R3704" t="s">
        <v>112</v>
      </c>
      <c r="S3704" t="str">
        <f>"14:52:06.547"</f>
        <v>14:52:06.547</v>
      </c>
      <c r="T3704" t="str">
        <f>"14:52:06.148"</f>
        <v>14:52:06.148</v>
      </c>
      <c r="U3704" t="str">
        <f t="shared" si="171"/>
        <v>ad5732</v>
      </c>
      <c r="V3704">
        <v>0</v>
      </c>
      <c r="W3704">
        <v>0</v>
      </c>
      <c r="X3704">
        <v>1</v>
      </c>
      <c r="Z3704">
        <v>0</v>
      </c>
      <c r="AA3704">
        <v>9</v>
      </c>
      <c r="AB3704">
        <v>3</v>
      </c>
      <c r="AC3704">
        <v>0</v>
      </c>
      <c r="AD3704">
        <v>10</v>
      </c>
      <c r="AE3704">
        <v>0</v>
      </c>
      <c r="AF3704">
        <v>3</v>
      </c>
      <c r="AG3704">
        <v>2</v>
      </c>
      <c r="AH3704">
        <v>0</v>
      </c>
      <c r="AI3704" t="s">
        <v>7456</v>
      </c>
      <c r="AJ3704">
        <v>40.443292</v>
      </c>
      <c r="AK3704" t="s">
        <v>7457</v>
      </c>
      <c r="AL3704">
        <v>-74.431815</v>
      </c>
      <c r="AM3704">
        <v>100</v>
      </c>
      <c r="AN3704">
        <v>1700</v>
      </c>
      <c r="AO3704" t="s">
        <v>115</v>
      </c>
      <c r="AP3704">
        <v>102</v>
      </c>
      <c r="AQ3704">
        <v>56</v>
      </c>
      <c r="AR3704">
        <v>64</v>
      </c>
      <c r="AZ3704">
        <v>3614</v>
      </c>
      <c r="BA3704">
        <v>1</v>
      </c>
      <c r="BB3704" t="str">
        <f t="shared" si="173"/>
        <v xml:space="preserve">N959MJ  </v>
      </c>
      <c r="BC3704">
        <v>1</v>
      </c>
      <c r="BE3704">
        <v>0</v>
      </c>
      <c r="BF3704">
        <v>0</v>
      </c>
      <c r="BG3704">
        <v>0</v>
      </c>
      <c r="BH3704">
        <v>1925</v>
      </c>
      <c r="BI3704">
        <v>225</v>
      </c>
      <c r="BJ3704">
        <v>1</v>
      </c>
      <c r="BK3704">
        <v>1</v>
      </c>
      <c r="BL3704">
        <v>1</v>
      </c>
      <c r="BM3704">
        <v>0</v>
      </c>
      <c r="BP3704">
        <v>0</v>
      </c>
      <c r="BQ3704">
        <v>0</v>
      </c>
      <c r="BX3704" t="str">
        <f>"14:52:06.555"</f>
        <v>14:52:06.555</v>
      </c>
      <c r="BY3704" t="str">
        <f>"554489008"</f>
        <v>554489008</v>
      </c>
      <c r="CL3704">
        <v>0</v>
      </c>
      <c r="CM3704">
        <v>2</v>
      </c>
      <c r="CN3704">
        <v>0</v>
      </c>
      <c r="CO3704">
        <v>2</v>
      </c>
      <c r="CP3704">
        <v>0</v>
      </c>
      <c r="CQ3704">
        <v>6</v>
      </c>
      <c r="CR3704" t="s">
        <v>116</v>
      </c>
      <c r="CS3704">
        <v>38</v>
      </c>
      <c r="CT3704">
        <v>1</v>
      </c>
      <c r="CU3704" t="s">
        <v>4719</v>
      </c>
      <c r="CV3704" t="s">
        <v>4720</v>
      </c>
      <c r="CY3704">
        <v>12217914</v>
      </c>
      <c r="CZ3704" t="s">
        <v>119</v>
      </c>
    </row>
    <row r="3705" spans="1:104" x14ac:dyDescent="0.25">
      <c r="A3705" t="str">
        <f>"14:52:07.625"</f>
        <v>14:52:07.625</v>
      </c>
      <c r="B3705" t="s">
        <v>108</v>
      </c>
      <c r="C3705" t="str">
        <f t="shared" si="172"/>
        <v>ffdfd3c0</v>
      </c>
      <c r="D3705" t="s">
        <v>109</v>
      </c>
      <c r="E3705">
        <v>4</v>
      </c>
      <c r="F3705">
        <v>1004</v>
      </c>
      <c r="G3705" t="s">
        <v>110</v>
      </c>
      <c r="J3705" t="s">
        <v>111</v>
      </c>
      <c r="K3705">
        <v>0</v>
      </c>
      <c r="L3705">
        <v>3</v>
      </c>
      <c r="M3705">
        <v>0</v>
      </c>
      <c r="N3705">
        <v>2</v>
      </c>
      <c r="O3705">
        <v>1</v>
      </c>
      <c r="P3705">
        <v>0</v>
      </c>
      <c r="Q3705">
        <v>0</v>
      </c>
      <c r="R3705" t="s">
        <v>112</v>
      </c>
      <c r="S3705" t="str">
        <f>"14:52:07.430"</f>
        <v>14:52:07.430</v>
      </c>
      <c r="T3705" t="str">
        <f>"14:52:07.031"</f>
        <v>14:52:07.031</v>
      </c>
      <c r="U3705" t="str">
        <f t="shared" si="171"/>
        <v>ad5732</v>
      </c>
      <c r="V3705">
        <v>0</v>
      </c>
      <c r="W3705">
        <v>0</v>
      </c>
      <c r="X3705">
        <v>1</v>
      </c>
      <c r="Z3705">
        <v>0</v>
      </c>
      <c r="AA3705">
        <v>9</v>
      </c>
      <c r="AB3705">
        <v>3</v>
      </c>
      <c r="AC3705">
        <v>0</v>
      </c>
      <c r="AD3705">
        <v>10</v>
      </c>
      <c r="AE3705">
        <v>0</v>
      </c>
      <c r="AF3705">
        <v>3</v>
      </c>
      <c r="AG3705">
        <v>2</v>
      </c>
      <c r="AH3705">
        <v>0</v>
      </c>
      <c r="AI3705" t="s">
        <v>7458</v>
      </c>
      <c r="AJ3705">
        <v>40.443505999999999</v>
      </c>
      <c r="AK3705" t="s">
        <v>7459</v>
      </c>
      <c r="AL3705">
        <v>-74.431257000000002</v>
      </c>
      <c r="AM3705">
        <v>100</v>
      </c>
      <c r="AN3705">
        <v>1700</v>
      </c>
      <c r="AO3705" t="s">
        <v>115</v>
      </c>
      <c r="AP3705">
        <v>102</v>
      </c>
      <c r="AQ3705">
        <v>55</v>
      </c>
      <c r="AR3705">
        <v>0</v>
      </c>
      <c r="AZ3705">
        <v>3614</v>
      </c>
      <c r="BA3705">
        <v>1</v>
      </c>
      <c r="BB3705" t="str">
        <f t="shared" si="173"/>
        <v xml:space="preserve">N959MJ  </v>
      </c>
      <c r="BC3705">
        <v>1</v>
      </c>
      <c r="BE3705">
        <v>0</v>
      </c>
      <c r="BF3705">
        <v>0</v>
      </c>
      <c r="BG3705">
        <v>0</v>
      </c>
      <c r="BH3705">
        <v>1925</v>
      </c>
      <c r="BI3705">
        <v>225</v>
      </c>
      <c r="BJ3705">
        <v>1</v>
      </c>
      <c r="BK3705">
        <v>1</v>
      </c>
      <c r="BL3705">
        <v>1</v>
      </c>
      <c r="BM3705">
        <v>0</v>
      </c>
      <c r="BP3705">
        <v>0</v>
      </c>
      <c r="BQ3705">
        <v>0</v>
      </c>
      <c r="BX3705" t="str">
        <f>"14:52:07.438"</f>
        <v>14:52:07.438</v>
      </c>
      <c r="BY3705" t="str">
        <f>"435963903"</f>
        <v>435963903</v>
      </c>
      <c r="CL3705">
        <v>0</v>
      </c>
      <c r="CM3705">
        <v>2</v>
      </c>
      <c r="CN3705">
        <v>0</v>
      </c>
      <c r="CO3705">
        <v>2</v>
      </c>
      <c r="CP3705">
        <v>0</v>
      </c>
      <c r="CQ3705">
        <v>6</v>
      </c>
      <c r="CR3705" t="s">
        <v>116</v>
      </c>
      <c r="CS3705">
        <v>38</v>
      </c>
      <c r="CT3705">
        <v>1</v>
      </c>
      <c r="CU3705" t="s">
        <v>4719</v>
      </c>
      <c r="CV3705" t="s">
        <v>4720</v>
      </c>
      <c r="CY3705">
        <v>12219297</v>
      </c>
      <c r="CZ3705" t="s">
        <v>119</v>
      </c>
    </row>
    <row r="3706" spans="1:104" x14ac:dyDescent="0.25">
      <c r="A3706" t="str">
        <f>"14:52:08.633"</f>
        <v>14:52:08.633</v>
      </c>
      <c r="B3706" t="s">
        <v>108</v>
      </c>
      <c r="C3706" t="str">
        <f t="shared" si="172"/>
        <v>ffdfd3c0</v>
      </c>
      <c r="D3706" t="s">
        <v>109</v>
      </c>
      <c r="E3706">
        <v>4</v>
      </c>
      <c r="F3706">
        <v>1004</v>
      </c>
      <c r="G3706" t="s">
        <v>110</v>
      </c>
      <c r="J3706" t="s">
        <v>111</v>
      </c>
      <c r="K3706">
        <v>0</v>
      </c>
      <c r="L3706">
        <v>3</v>
      </c>
      <c r="M3706">
        <v>0</v>
      </c>
      <c r="N3706">
        <v>2</v>
      </c>
      <c r="O3706">
        <v>1</v>
      </c>
      <c r="P3706">
        <v>0</v>
      </c>
      <c r="Q3706">
        <v>0</v>
      </c>
      <c r="R3706" t="s">
        <v>112</v>
      </c>
      <c r="S3706" t="str">
        <f>"14:52:08.461"</f>
        <v>14:52:08.461</v>
      </c>
      <c r="T3706" t="str">
        <f>"14:52:08.063"</f>
        <v>14:52:08.063</v>
      </c>
      <c r="U3706" t="str">
        <f t="shared" si="171"/>
        <v>ad5732</v>
      </c>
      <c r="V3706">
        <v>0</v>
      </c>
      <c r="W3706">
        <v>0</v>
      </c>
      <c r="X3706">
        <v>1</v>
      </c>
      <c r="Z3706">
        <v>0</v>
      </c>
      <c r="AA3706">
        <v>9</v>
      </c>
      <c r="AB3706">
        <v>3</v>
      </c>
      <c r="AC3706">
        <v>0</v>
      </c>
      <c r="AD3706">
        <v>10</v>
      </c>
      <c r="AE3706">
        <v>0</v>
      </c>
      <c r="AF3706">
        <v>3</v>
      </c>
      <c r="AG3706">
        <v>2</v>
      </c>
      <c r="AH3706">
        <v>0</v>
      </c>
      <c r="AI3706" t="s">
        <v>7460</v>
      </c>
      <c r="AJ3706">
        <v>40.443742</v>
      </c>
      <c r="AK3706" t="s">
        <v>7461</v>
      </c>
      <c r="AL3706">
        <v>-74.430634999999995</v>
      </c>
      <c r="AM3706">
        <v>100</v>
      </c>
      <c r="AN3706">
        <v>1700</v>
      </c>
      <c r="AO3706" t="s">
        <v>115</v>
      </c>
      <c r="AP3706">
        <v>102</v>
      </c>
      <c r="AQ3706">
        <v>55</v>
      </c>
      <c r="AR3706">
        <v>-64</v>
      </c>
      <c r="AZ3706">
        <v>3614</v>
      </c>
      <c r="BA3706">
        <v>1</v>
      </c>
      <c r="BB3706" t="str">
        <f t="shared" si="173"/>
        <v xml:space="preserve">N959MJ  </v>
      </c>
      <c r="BC3706">
        <v>1</v>
      </c>
      <c r="BE3706">
        <v>0</v>
      </c>
      <c r="BF3706">
        <v>0</v>
      </c>
      <c r="BG3706">
        <v>0</v>
      </c>
      <c r="BH3706">
        <v>1925</v>
      </c>
      <c r="BI3706">
        <v>225</v>
      </c>
      <c r="BJ3706">
        <v>1</v>
      </c>
      <c r="BK3706">
        <v>1</v>
      </c>
      <c r="BL3706">
        <v>1</v>
      </c>
      <c r="BM3706">
        <v>0</v>
      </c>
      <c r="BP3706">
        <v>0</v>
      </c>
      <c r="BQ3706">
        <v>0</v>
      </c>
      <c r="BX3706" t="str">
        <f>"14:52:08.469"</f>
        <v>14:52:08.469</v>
      </c>
      <c r="BY3706" t="str">
        <f>"464883772"</f>
        <v>464883772</v>
      </c>
      <c r="CL3706">
        <v>0</v>
      </c>
      <c r="CM3706">
        <v>2</v>
      </c>
      <c r="CN3706">
        <v>0</v>
      </c>
      <c r="CO3706">
        <v>2</v>
      </c>
      <c r="CP3706">
        <v>0</v>
      </c>
      <c r="CQ3706">
        <v>6</v>
      </c>
      <c r="CR3706" t="s">
        <v>116</v>
      </c>
      <c r="CS3706">
        <v>305</v>
      </c>
      <c r="CT3706">
        <v>3</v>
      </c>
      <c r="CU3706" t="s">
        <v>6425</v>
      </c>
      <c r="CV3706" t="s">
        <v>6426</v>
      </c>
      <c r="CY3706">
        <v>6222822</v>
      </c>
      <c r="CZ3706" t="s">
        <v>119</v>
      </c>
    </row>
    <row r="3707" spans="1:104" x14ac:dyDescent="0.25">
      <c r="A3707" t="str">
        <f>"14:52:09.797"</f>
        <v>14:52:09.797</v>
      </c>
      <c r="B3707" t="s">
        <v>108</v>
      </c>
      <c r="C3707" t="str">
        <f t="shared" si="172"/>
        <v>ffdfd3c0</v>
      </c>
      <c r="D3707" t="s">
        <v>109</v>
      </c>
      <c r="E3707">
        <v>4</v>
      </c>
      <c r="F3707">
        <v>1004</v>
      </c>
      <c r="G3707" t="s">
        <v>110</v>
      </c>
      <c r="J3707" t="s">
        <v>111</v>
      </c>
      <c r="K3707">
        <v>0</v>
      </c>
      <c r="L3707">
        <v>3</v>
      </c>
      <c r="M3707">
        <v>0</v>
      </c>
      <c r="N3707">
        <v>2</v>
      </c>
      <c r="O3707">
        <v>1</v>
      </c>
      <c r="P3707">
        <v>0</v>
      </c>
      <c r="Q3707">
        <v>0</v>
      </c>
      <c r="R3707" t="s">
        <v>112</v>
      </c>
      <c r="S3707" t="str">
        <f>"14:52:09.617"</f>
        <v>14:52:09.617</v>
      </c>
      <c r="T3707" t="str">
        <f>"14:52:09.117"</f>
        <v>14:52:09.117</v>
      </c>
      <c r="U3707" t="str">
        <f t="shared" si="171"/>
        <v>ad5732</v>
      </c>
      <c r="V3707">
        <v>0</v>
      </c>
      <c r="W3707">
        <v>0</v>
      </c>
      <c r="X3707">
        <v>1</v>
      </c>
      <c r="Z3707">
        <v>0</v>
      </c>
      <c r="AA3707">
        <v>9</v>
      </c>
      <c r="AB3707">
        <v>3</v>
      </c>
      <c r="AC3707">
        <v>0</v>
      </c>
      <c r="AD3707">
        <v>10</v>
      </c>
      <c r="AE3707">
        <v>0</v>
      </c>
      <c r="AF3707">
        <v>3</v>
      </c>
      <c r="AG3707">
        <v>2</v>
      </c>
      <c r="AH3707">
        <v>0</v>
      </c>
      <c r="AI3707" t="s">
        <v>7462</v>
      </c>
      <c r="AJ3707">
        <v>40.444020999999999</v>
      </c>
      <c r="AK3707" t="s">
        <v>7463</v>
      </c>
      <c r="AL3707">
        <v>-74.429927000000006</v>
      </c>
      <c r="AM3707">
        <v>100</v>
      </c>
      <c r="AN3707">
        <v>1700</v>
      </c>
      <c r="AO3707" t="s">
        <v>115</v>
      </c>
      <c r="AP3707">
        <v>103</v>
      </c>
      <c r="AQ3707">
        <v>55</v>
      </c>
      <c r="AR3707">
        <v>-128</v>
      </c>
      <c r="AZ3707">
        <v>3614</v>
      </c>
      <c r="BA3707">
        <v>1</v>
      </c>
      <c r="BB3707" t="str">
        <f t="shared" si="173"/>
        <v xml:space="preserve">N959MJ  </v>
      </c>
      <c r="BC3707">
        <v>1</v>
      </c>
      <c r="BE3707">
        <v>0</v>
      </c>
      <c r="BF3707">
        <v>0</v>
      </c>
      <c r="BG3707">
        <v>0</v>
      </c>
      <c r="BH3707">
        <v>1925</v>
      </c>
      <c r="BI3707">
        <v>225</v>
      </c>
      <c r="BJ3707">
        <v>1</v>
      </c>
      <c r="BK3707">
        <v>1</v>
      </c>
      <c r="BL3707">
        <v>1</v>
      </c>
      <c r="BM3707">
        <v>0</v>
      </c>
      <c r="BP3707">
        <v>0</v>
      </c>
      <c r="BQ3707">
        <v>0</v>
      </c>
      <c r="BX3707" t="str">
        <f>"14:52:09.625"</f>
        <v>14:52:09.625</v>
      </c>
      <c r="BY3707" t="str">
        <f>"621628336"</f>
        <v>621628336</v>
      </c>
      <c r="CL3707">
        <v>0</v>
      </c>
      <c r="CM3707">
        <v>2</v>
      </c>
      <c r="CN3707">
        <v>0</v>
      </c>
      <c r="CO3707">
        <v>2</v>
      </c>
      <c r="CP3707">
        <v>0</v>
      </c>
      <c r="CQ3707">
        <v>6</v>
      </c>
      <c r="CR3707" t="s">
        <v>116</v>
      </c>
      <c r="CS3707">
        <v>38</v>
      </c>
      <c r="CT3707">
        <v>0</v>
      </c>
      <c r="CU3707" t="s">
        <v>4719</v>
      </c>
      <c r="CV3707" t="s">
        <v>4720</v>
      </c>
      <c r="CY3707">
        <v>8287808</v>
      </c>
      <c r="CZ3707" t="s">
        <v>119</v>
      </c>
    </row>
    <row r="3708" spans="1:104" x14ac:dyDescent="0.25">
      <c r="A3708" t="str">
        <f>"14:52:10.805"</f>
        <v>14:52:10.805</v>
      </c>
      <c r="B3708" t="s">
        <v>108</v>
      </c>
      <c r="C3708" t="str">
        <f t="shared" si="172"/>
        <v>ffdfd3c0</v>
      </c>
      <c r="D3708" t="s">
        <v>109</v>
      </c>
      <c r="E3708">
        <v>4</v>
      </c>
      <c r="F3708">
        <v>1004</v>
      </c>
      <c r="G3708" t="s">
        <v>110</v>
      </c>
      <c r="J3708" t="s">
        <v>111</v>
      </c>
      <c r="K3708">
        <v>0</v>
      </c>
      <c r="L3708">
        <v>3</v>
      </c>
      <c r="M3708">
        <v>0</v>
      </c>
      <c r="N3708">
        <v>2</v>
      </c>
      <c r="O3708">
        <v>1</v>
      </c>
      <c r="P3708">
        <v>0</v>
      </c>
      <c r="Q3708">
        <v>0</v>
      </c>
      <c r="R3708" t="s">
        <v>112</v>
      </c>
      <c r="S3708" t="str">
        <f>"14:52:10.617"</f>
        <v>14:52:10.617</v>
      </c>
      <c r="T3708" t="str">
        <f>"14:52:10.117"</f>
        <v>14:52:10.117</v>
      </c>
      <c r="U3708" t="str">
        <f t="shared" si="171"/>
        <v>ad5732</v>
      </c>
      <c r="V3708">
        <v>0</v>
      </c>
      <c r="W3708">
        <v>0</v>
      </c>
      <c r="X3708">
        <v>1</v>
      </c>
      <c r="Z3708">
        <v>0</v>
      </c>
      <c r="AA3708">
        <v>9</v>
      </c>
      <c r="AB3708">
        <v>3</v>
      </c>
      <c r="AC3708">
        <v>0</v>
      </c>
      <c r="AD3708">
        <v>10</v>
      </c>
      <c r="AE3708">
        <v>0</v>
      </c>
      <c r="AF3708">
        <v>3</v>
      </c>
      <c r="AG3708">
        <v>2</v>
      </c>
      <c r="AH3708">
        <v>0</v>
      </c>
      <c r="AI3708" t="s">
        <v>7464</v>
      </c>
      <c r="AJ3708">
        <v>40.444299999999998</v>
      </c>
      <c r="AK3708" t="s">
        <v>7465</v>
      </c>
      <c r="AL3708">
        <v>-74.429326000000003</v>
      </c>
      <c r="AM3708">
        <v>100</v>
      </c>
      <c r="AN3708">
        <v>1700</v>
      </c>
      <c r="AO3708" t="s">
        <v>115</v>
      </c>
      <c r="AP3708">
        <v>103</v>
      </c>
      <c r="AQ3708">
        <v>55</v>
      </c>
      <c r="AR3708">
        <v>-192</v>
      </c>
      <c r="AZ3708">
        <v>3614</v>
      </c>
      <c r="BA3708">
        <v>1</v>
      </c>
      <c r="BB3708" t="str">
        <f t="shared" si="173"/>
        <v xml:space="preserve">N959MJ  </v>
      </c>
      <c r="BC3708">
        <v>1</v>
      </c>
      <c r="BE3708">
        <v>0</v>
      </c>
      <c r="BF3708">
        <v>0</v>
      </c>
      <c r="BG3708">
        <v>0</v>
      </c>
      <c r="BH3708">
        <v>1925</v>
      </c>
      <c r="BI3708">
        <v>225</v>
      </c>
      <c r="BJ3708">
        <v>1</v>
      </c>
      <c r="BK3708">
        <v>1</v>
      </c>
      <c r="BL3708">
        <v>1</v>
      </c>
      <c r="BM3708">
        <v>0</v>
      </c>
      <c r="BP3708">
        <v>0</v>
      </c>
      <c r="BQ3708">
        <v>0</v>
      </c>
      <c r="BX3708" t="str">
        <f>"14:52:10.617"</f>
        <v>14:52:10.617</v>
      </c>
      <c r="BY3708" t="str">
        <f>"621053594"</f>
        <v>621053594</v>
      </c>
      <c r="CL3708">
        <v>0</v>
      </c>
      <c r="CM3708">
        <v>2</v>
      </c>
      <c r="CN3708">
        <v>0</v>
      </c>
      <c r="CO3708">
        <v>2</v>
      </c>
      <c r="CP3708">
        <v>0</v>
      </c>
      <c r="CQ3708">
        <v>6</v>
      </c>
      <c r="CR3708" t="s">
        <v>116</v>
      </c>
      <c r="CS3708">
        <v>305</v>
      </c>
      <c r="CT3708">
        <v>3</v>
      </c>
      <c r="CU3708" t="s">
        <v>6425</v>
      </c>
      <c r="CV3708" t="s">
        <v>6426</v>
      </c>
      <c r="CY3708">
        <v>6227275</v>
      </c>
      <c r="CZ3708" t="s">
        <v>119</v>
      </c>
    </row>
    <row r="3709" spans="1:104" x14ac:dyDescent="0.25">
      <c r="A3709" t="str">
        <f>"14:52:11.813"</f>
        <v>14:52:11.813</v>
      </c>
      <c r="B3709" t="s">
        <v>108</v>
      </c>
      <c r="C3709" t="str">
        <f t="shared" si="172"/>
        <v>ffdfd3c0</v>
      </c>
      <c r="D3709" t="s">
        <v>109</v>
      </c>
      <c r="E3709">
        <v>4</v>
      </c>
      <c r="F3709">
        <v>1004</v>
      </c>
      <c r="G3709" t="s">
        <v>110</v>
      </c>
      <c r="J3709" t="s">
        <v>111</v>
      </c>
      <c r="K3709">
        <v>0</v>
      </c>
      <c r="L3709">
        <v>3</v>
      </c>
      <c r="M3709">
        <v>0</v>
      </c>
      <c r="N3709">
        <v>2</v>
      </c>
      <c r="O3709">
        <v>1</v>
      </c>
      <c r="P3709">
        <v>0</v>
      </c>
      <c r="Q3709">
        <v>0</v>
      </c>
      <c r="R3709" t="s">
        <v>112</v>
      </c>
      <c r="S3709" t="str">
        <f>"14:52:11.633"</f>
        <v>14:52:11.633</v>
      </c>
      <c r="T3709" t="str">
        <f>"14:52:11.234"</f>
        <v>14:52:11.234</v>
      </c>
      <c r="U3709" t="str">
        <f t="shared" si="171"/>
        <v>ad5732</v>
      </c>
      <c r="V3709">
        <v>0</v>
      </c>
      <c r="W3709">
        <v>0</v>
      </c>
      <c r="X3709">
        <v>1</v>
      </c>
      <c r="Z3709">
        <v>0</v>
      </c>
      <c r="AA3709">
        <v>9</v>
      </c>
      <c r="AB3709">
        <v>3</v>
      </c>
      <c r="AC3709">
        <v>0</v>
      </c>
      <c r="AD3709">
        <v>10</v>
      </c>
      <c r="AE3709">
        <v>0</v>
      </c>
      <c r="AF3709">
        <v>3</v>
      </c>
      <c r="AG3709">
        <v>2</v>
      </c>
      <c r="AH3709">
        <v>0</v>
      </c>
      <c r="AI3709" t="s">
        <v>7466</v>
      </c>
      <c r="AJ3709">
        <v>40.444578999999997</v>
      </c>
      <c r="AK3709" t="s">
        <v>7467</v>
      </c>
      <c r="AL3709">
        <v>-74.428618</v>
      </c>
      <c r="AM3709">
        <v>100</v>
      </c>
      <c r="AN3709">
        <v>1700</v>
      </c>
      <c r="AO3709" t="s">
        <v>115</v>
      </c>
      <c r="AP3709">
        <v>103</v>
      </c>
      <c r="AQ3709">
        <v>55</v>
      </c>
      <c r="AR3709">
        <v>-192</v>
      </c>
      <c r="AZ3709">
        <v>3614</v>
      </c>
      <c r="BA3709">
        <v>1</v>
      </c>
      <c r="BB3709" t="str">
        <f t="shared" si="173"/>
        <v xml:space="preserve">N959MJ  </v>
      </c>
      <c r="BC3709">
        <v>1</v>
      </c>
      <c r="BE3709">
        <v>0</v>
      </c>
      <c r="BF3709">
        <v>0</v>
      </c>
      <c r="BG3709">
        <v>0</v>
      </c>
      <c r="BH3709">
        <v>1900</v>
      </c>
      <c r="BI3709">
        <v>200</v>
      </c>
      <c r="BJ3709">
        <v>1</v>
      </c>
      <c r="BK3709">
        <v>1</v>
      </c>
      <c r="BL3709">
        <v>1</v>
      </c>
      <c r="BM3709">
        <v>0</v>
      </c>
      <c r="BP3709">
        <v>0</v>
      </c>
      <c r="BQ3709">
        <v>0</v>
      </c>
      <c r="BX3709" t="str">
        <f>"14:52:11.641"</f>
        <v>14:52:11.641</v>
      </c>
      <c r="BY3709" t="str">
        <f>"638517744"</f>
        <v>638517744</v>
      </c>
      <c r="CL3709">
        <v>0</v>
      </c>
      <c r="CM3709">
        <v>2</v>
      </c>
      <c r="CN3709">
        <v>0</v>
      </c>
      <c r="CO3709">
        <v>2</v>
      </c>
      <c r="CP3709">
        <v>0</v>
      </c>
      <c r="CQ3709">
        <v>6</v>
      </c>
      <c r="CR3709" t="s">
        <v>116</v>
      </c>
      <c r="CS3709">
        <v>305</v>
      </c>
      <c r="CT3709">
        <v>3</v>
      </c>
      <c r="CU3709" t="s">
        <v>6425</v>
      </c>
      <c r="CV3709" t="s">
        <v>6426</v>
      </c>
      <c r="CY3709">
        <v>6229388</v>
      </c>
      <c r="CZ3709" t="s">
        <v>119</v>
      </c>
    </row>
    <row r="3710" spans="1:104" x14ac:dyDescent="0.25">
      <c r="A3710" t="str">
        <f>"14:52:12.828"</f>
        <v>14:52:12.828</v>
      </c>
      <c r="B3710" t="s">
        <v>108</v>
      </c>
      <c r="C3710" t="str">
        <f t="shared" si="172"/>
        <v>ffdfd3c0</v>
      </c>
      <c r="D3710" t="s">
        <v>109</v>
      </c>
      <c r="E3710">
        <v>4</v>
      </c>
      <c r="F3710">
        <v>1004</v>
      </c>
      <c r="G3710" t="s">
        <v>110</v>
      </c>
      <c r="J3710" t="s">
        <v>111</v>
      </c>
      <c r="K3710">
        <v>0</v>
      </c>
      <c r="L3710">
        <v>3</v>
      </c>
      <c r="M3710">
        <v>0</v>
      </c>
      <c r="N3710">
        <v>2</v>
      </c>
      <c r="O3710">
        <v>1</v>
      </c>
      <c r="P3710">
        <v>0</v>
      </c>
      <c r="Q3710">
        <v>0</v>
      </c>
      <c r="R3710" t="s">
        <v>112</v>
      </c>
      <c r="S3710" t="str">
        <f>"14:52:12.648"</f>
        <v>14:52:12.648</v>
      </c>
      <c r="T3710" t="str">
        <f>"14:52:12.148"</f>
        <v>14:52:12.148</v>
      </c>
      <c r="U3710" t="str">
        <f t="shared" si="171"/>
        <v>ad5732</v>
      </c>
      <c r="V3710">
        <v>0</v>
      </c>
      <c r="W3710">
        <v>0</v>
      </c>
      <c r="X3710">
        <v>1</v>
      </c>
      <c r="Z3710">
        <v>0</v>
      </c>
      <c r="AA3710">
        <v>9</v>
      </c>
      <c r="AB3710">
        <v>3</v>
      </c>
      <c r="AC3710">
        <v>0</v>
      </c>
      <c r="AD3710">
        <v>10</v>
      </c>
      <c r="AE3710">
        <v>0</v>
      </c>
      <c r="AF3710">
        <v>3</v>
      </c>
      <c r="AG3710">
        <v>2</v>
      </c>
      <c r="AH3710">
        <v>0</v>
      </c>
      <c r="AI3710" t="s">
        <v>7468</v>
      </c>
      <c r="AJ3710">
        <v>40.444814999999998</v>
      </c>
      <c r="AK3710" t="s">
        <v>7469</v>
      </c>
      <c r="AL3710">
        <v>-74.427995999999993</v>
      </c>
      <c r="AM3710">
        <v>100</v>
      </c>
      <c r="AN3710">
        <v>1700</v>
      </c>
      <c r="AO3710" t="s">
        <v>115</v>
      </c>
      <c r="AP3710">
        <v>103</v>
      </c>
      <c r="AQ3710">
        <v>55</v>
      </c>
      <c r="AR3710">
        <v>-128</v>
      </c>
      <c r="AZ3710">
        <v>3614</v>
      </c>
      <c r="BA3710">
        <v>1</v>
      </c>
      <c r="BB3710" t="str">
        <f t="shared" si="173"/>
        <v xml:space="preserve">N959MJ  </v>
      </c>
      <c r="BC3710">
        <v>1</v>
      </c>
      <c r="BE3710">
        <v>0</v>
      </c>
      <c r="BF3710">
        <v>0</v>
      </c>
      <c r="BG3710">
        <v>0</v>
      </c>
      <c r="BH3710">
        <v>1900</v>
      </c>
      <c r="BI3710">
        <v>200</v>
      </c>
      <c r="BJ3710">
        <v>1</v>
      </c>
      <c r="BK3710">
        <v>1</v>
      </c>
      <c r="BL3710">
        <v>1</v>
      </c>
      <c r="BM3710">
        <v>0</v>
      </c>
      <c r="BP3710">
        <v>0</v>
      </c>
      <c r="BQ3710">
        <v>0</v>
      </c>
      <c r="BX3710" t="str">
        <f>"14:52:12.648"</f>
        <v>14:52:12.648</v>
      </c>
      <c r="BY3710" t="str">
        <f>"651083759"</f>
        <v>651083759</v>
      </c>
      <c r="CL3710">
        <v>0</v>
      </c>
      <c r="CM3710">
        <v>2</v>
      </c>
      <c r="CN3710">
        <v>0</v>
      </c>
      <c r="CO3710">
        <v>2</v>
      </c>
      <c r="CP3710">
        <v>0</v>
      </c>
      <c r="CQ3710">
        <v>6</v>
      </c>
      <c r="CR3710" t="s">
        <v>116</v>
      </c>
      <c r="CS3710">
        <v>38</v>
      </c>
      <c r="CT3710">
        <v>0</v>
      </c>
      <c r="CU3710" t="s">
        <v>4719</v>
      </c>
      <c r="CV3710" t="s">
        <v>4720</v>
      </c>
      <c r="CY3710">
        <v>8292386</v>
      </c>
      <c r="CZ3710" t="s">
        <v>119</v>
      </c>
    </row>
    <row r="3711" spans="1:104" x14ac:dyDescent="0.25">
      <c r="A3711" t="str">
        <f>"14:52:13.883"</f>
        <v>14:52:13.883</v>
      </c>
      <c r="B3711" t="s">
        <v>108</v>
      </c>
      <c r="C3711" t="str">
        <f t="shared" si="172"/>
        <v>ffdfd3c0</v>
      </c>
      <c r="D3711" t="s">
        <v>109</v>
      </c>
      <c r="E3711">
        <v>4</v>
      </c>
      <c r="F3711">
        <v>1004</v>
      </c>
      <c r="G3711" t="s">
        <v>110</v>
      </c>
      <c r="J3711" t="s">
        <v>111</v>
      </c>
      <c r="K3711">
        <v>0</v>
      </c>
      <c r="L3711">
        <v>3</v>
      </c>
      <c r="M3711">
        <v>0</v>
      </c>
      <c r="N3711">
        <v>2</v>
      </c>
      <c r="O3711">
        <v>1</v>
      </c>
      <c r="P3711">
        <v>0</v>
      </c>
      <c r="Q3711">
        <v>0</v>
      </c>
      <c r="R3711" t="s">
        <v>112</v>
      </c>
      <c r="S3711" t="str">
        <f>"14:52:13.695"</f>
        <v>14:52:13.695</v>
      </c>
      <c r="T3711" t="str">
        <f>"14:52:13.195"</f>
        <v>14:52:13.195</v>
      </c>
      <c r="U3711" t="str">
        <f t="shared" si="171"/>
        <v>ad5732</v>
      </c>
      <c r="V3711">
        <v>0</v>
      </c>
      <c r="W3711">
        <v>0</v>
      </c>
      <c r="X3711">
        <v>1</v>
      </c>
      <c r="Z3711">
        <v>0</v>
      </c>
      <c r="AA3711">
        <v>9</v>
      </c>
      <c r="AB3711">
        <v>3</v>
      </c>
      <c r="AC3711">
        <v>0</v>
      </c>
      <c r="AD3711">
        <v>10</v>
      </c>
      <c r="AE3711">
        <v>0</v>
      </c>
      <c r="AF3711">
        <v>3</v>
      </c>
      <c r="AG3711">
        <v>2</v>
      </c>
      <c r="AH3711">
        <v>0</v>
      </c>
      <c r="AI3711" t="s">
        <v>7470</v>
      </c>
      <c r="AJ3711">
        <v>40.445050999999999</v>
      </c>
      <c r="AK3711" t="s">
        <v>7471</v>
      </c>
      <c r="AL3711">
        <v>-74.427373000000003</v>
      </c>
      <c r="AM3711">
        <v>100</v>
      </c>
      <c r="AN3711">
        <v>1700</v>
      </c>
      <c r="AO3711" t="s">
        <v>115</v>
      </c>
      <c r="AP3711">
        <v>103</v>
      </c>
      <c r="AQ3711">
        <v>55</v>
      </c>
      <c r="AR3711">
        <v>-128</v>
      </c>
      <c r="AZ3711">
        <v>3614</v>
      </c>
      <c r="BA3711">
        <v>1</v>
      </c>
      <c r="BB3711" t="str">
        <f t="shared" si="173"/>
        <v xml:space="preserve">N959MJ  </v>
      </c>
      <c r="BC3711">
        <v>1</v>
      </c>
      <c r="BE3711">
        <v>0</v>
      </c>
      <c r="BF3711">
        <v>0</v>
      </c>
      <c r="BG3711">
        <v>0</v>
      </c>
      <c r="BH3711">
        <v>1900</v>
      </c>
      <c r="BI3711">
        <v>200</v>
      </c>
      <c r="BJ3711">
        <v>1</v>
      </c>
      <c r="BK3711">
        <v>1</v>
      </c>
      <c r="BL3711">
        <v>1</v>
      </c>
      <c r="BM3711">
        <v>0</v>
      </c>
      <c r="BP3711">
        <v>0</v>
      </c>
      <c r="BQ3711">
        <v>0</v>
      </c>
      <c r="BX3711" t="str">
        <f>"14:52:13.703"</f>
        <v>14:52:13.703</v>
      </c>
      <c r="BY3711" t="str">
        <f>"699678379"</f>
        <v>699678379</v>
      </c>
      <c r="CL3711">
        <v>0</v>
      </c>
      <c r="CM3711">
        <v>2</v>
      </c>
      <c r="CN3711">
        <v>0</v>
      </c>
      <c r="CO3711">
        <v>2</v>
      </c>
      <c r="CP3711">
        <v>0</v>
      </c>
      <c r="CQ3711">
        <v>6</v>
      </c>
      <c r="CR3711" t="s">
        <v>116</v>
      </c>
      <c r="CS3711">
        <v>38</v>
      </c>
      <c r="CT3711">
        <v>0</v>
      </c>
      <c r="CU3711" t="s">
        <v>4719</v>
      </c>
      <c r="CV3711" t="s">
        <v>4720</v>
      </c>
      <c r="CY3711">
        <v>8293946</v>
      </c>
      <c r="CZ3711" t="s">
        <v>119</v>
      </c>
    </row>
    <row r="3712" spans="1:104" x14ac:dyDescent="0.25">
      <c r="A3712" t="str">
        <f>"14:52:15.047"</f>
        <v>14:52:15.047</v>
      </c>
      <c r="B3712" t="s">
        <v>108</v>
      </c>
      <c r="C3712" t="str">
        <f t="shared" si="172"/>
        <v>ffdfd3c0</v>
      </c>
      <c r="D3712" t="s">
        <v>109</v>
      </c>
      <c r="E3712">
        <v>4</v>
      </c>
      <c r="F3712">
        <v>1004</v>
      </c>
      <c r="G3712" t="s">
        <v>110</v>
      </c>
      <c r="J3712" t="s">
        <v>111</v>
      </c>
      <c r="K3712">
        <v>0</v>
      </c>
      <c r="L3712">
        <v>3</v>
      </c>
      <c r="M3712">
        <v>0</v>
      </c>
      <c r="N3712">
        <v>2</v>
      </c>
      <c r="O3712">
        <v>1</v>
      </c>
      <c r="P3712">
        <v>0</v>
      </c>
      <c r="Q3712">
        <v>0</v>
      </c>
      <c r="R3712" t="s">
        <v>112</v>
      </c>
      <c r="S3712" t="str">
        <f>"14:52:14.852"</f>
        <v>14:52:14.852</v>
      </c>
      <c r="T3712" t="str">
        <f>"14:52:14.352"</f>
        <v>14:52:14.352</v>
      </c>
      <c r="U3712" t="str">
        <f t="shared" si="171"/>
        <v>ad5732</v>
      </c>
      <c r="V3712">
        <v>0</v>
      </c>
      <c r="W3712">
        <v>0</v>
      </c>
      <c r="X3712">
        <v>1</v>
      </c>
      <c r="Z3712">
        <v>0</v>
      </c>
      <c r="AA3712">
        <v>9</v>
      </c>
      <c r="AB3712">
        <v>3</v>
      </c>
      <c r="AC3712">
        <v>0</v>
      </c>
      <c r="AD3712">
        <v>10</v>
      </c>
      <c r="AE3712">
        <v>0</v>
      </c>
      <c r="AF3712">
        <v>3</v>
      </c>
      <c r="AG3712">
        <v>2</v>
      </c>
      <c r="AH3712">
        <v>0</v>
      </c>
      <c r="AI3712" t="s">
        <v>7472</v>
      </c>
      <c r="AJ3712">
        <v>40.445372999999996</v>
      </c>
      <c r="AK3712" t="s">
        <v>7473</v>
      </c>
      <c r="AL3712">
        <v>-74.426621999999995</v>
      </c>
      <c r="AM3712">
        <v>100</v>
      </c>
      <c r="AN3712">
        <v>1700</v>
      </c>
      <c r="AO3712" t="s">
        <v>115</v>
      </c>
      <c r="AP3712">
        <v>103</v>
      </c>
      <c r="AQ3712">
        <v>55</v>
      </c>
      <c r="AR3712">
        <v>-64</v>
      </c>
      <c r="AZ3712">
        <v>3614</v>
      </c>
      <c r="BA3712">
        <v>1</v>
      </c>
      <c r="BB3712" t="str">
        <f t="shared" si="173"/>
        <v xml:space="preserve">N959MJ  </v>
      </c>
      <c r="BC3712">
        <v>1</v>
      </c>
      <c r="BE3712">
        <v>0</v>
      </c>
      <c r="BF3712">
        <v>0</v>
      </c>
      <c r="BG3712">
        <v>0</v>
      </c>
      <c r="BH3712">
        <v>1900</v>
      </c>
      <c r="BI3712">
        <v>200</v>
      </c>
      <c r="BJ3712">
        <v>1</v>
      </c>
      <c r="BK3712">
        <v>1</v>
      </c>
      <c r="BL3712">
        <v>1</v>
      </c>
      <c r="BM3712">
        <v>0</v>
      </c>
      <c r="BP3712">
        <v>0</v>
      </c>
      <c r="BQ3712">
        <v>0</v>
      </c>
      <c r="BX3712" t="str">
        <f>"14:52:14.852"</f>
        <v>14:52:14.852</v>
      </c>
      <c r="BY3712" t="str">
        <f>"854752860"</f>
        <v>854752860</v>
      </c>
      <c r="CL3712">
        <v>0</v>
      </c>
      <c r="CM3712">
        <v>2</v>
      </c>
      <c r="CN3712">
        <v>0</v>
      </c>
      <c r="CO3712">
        <v>2</v>
      </c>
      <c r="CP3712">
        <v>0</v>
      </c>
      <c r="CQ3712">
        <v>6</v>
      </c>
      <c r="CR3712" t="s">
        <v>116</v>
      </c>
      <c r="CS3712">
        <v>305</v>
      </c>
      <c r="CT3712">
        <v>3</v>
      </c>
      <c r="CU3712" t="s">
        <v>6425</v>
      </c>
      <c r="CV3712" t="s">
        <v>6426</v>
      </c>
      <c r="CY3712">
        <v>6235906</v>
      </c>
      <c r="CZ3712" t="s">
        <v>119</v>
      </c>
    </row>
    <row r="3713" spans="1:104" x14ac:dyDescent="0.25">
      <c r="A3713" t="str">
        <f>"14:52:15.906"</f>
        <v>14:52:15.906</v>
      </c>
      <c r="B3713" t="s">
        <v>108</v>
      </c>
      <c r="C3713" t="str">
        <f t="shared" si="172"/>
        <v>ffdfd3c0</v>
      </c>
      <c r="D3713" t="s">
        <v>109</v>
      </c>
      <c r="E3713">
        <v>4</v>
      </c>
      <c r="F3713">
        <v>1004</v>
      </c>
      <c r="G3713" t="s">
        <v>110</v>
      </c>
      <c r="J3713" t="s">
        <v>111</v>
      </c>
      <c r="K3713">
        <v>0</v>
      </c>
      <c r="L3713">
        <v>3</v>
      </c>
      <c r="M3713">
        <v>0</v>
      </c>
      <c r="N3713">
        <v>2</v>
      </c>
      <c r="O3713">
        <v>1</v>
      </c>
      <c r="P3713">
        <v>0</v>
      </c>
      <c r="Q3713">
        <v>0</v>
      </c>
      <c r="R3713" t="s">
        <v>112</v>
      </c>
      <c r="S3713" t="str">
        <f>"14:52:15.734"</f>
        <v>14:52:15.734</v>
      </c>
      <c r="T3713" t="str">
        <f>"14:52:15.336"</f>
        <v>14:52:15.336</v>
      </c>
      <c r="U3713" t="str">
        <f t="shared" si="171"/>
        <v>ad5732</v>
      </c>
      <c r="V3713">
        <v>0</v>
      </c>
      <c r="W3713">
        <v>0</v>
      </c>
      <c r="X3713">
        <v>1</v>
      </c>
      <c r="Z3713">
        <v>0</v>
      </c>
      <c r="AA3713">
        <v>9</v>
      </c>
      <c r="AB3713">
        <v>3</v>
      </c>
      <c r="AC3713">
        <v>0</v>
      </c>
      <c r="AD3713">
        <v>10</v>
      </c>
      <c r="AE3713">
        <v>0</v>
      </c>
      <c r="AF3713">
        <v>3</v>
      </c>
      <c r="AG3713">
        <v>2</v>
      </c>
      <c r="AH3713">
        <v>0</v>
      </c>
      <c r="AI3713" t="s">
        <v>7474</v>
      </c>
      <c r="AJ3713">
        <v>40.445608999999997</v>
      </c>
      <c r="AK3713" t="s">
        <v>7475</v>
      </c>
      <c r="AL3713">
        <v>-74.426085999999998</v>
      </c>
      <c r="AM3713">
        <v>100</v>
      </c>
      <c r="AN3713">
        <v>1700</v>
      </c>
      <c r="AO3713" t="s">
        <v>115</v>
      </c>
      <c r="AP3713">
        <v>102</v>
      </c>
      <c r="AQ3713">
        <v>55</v>
      </c>
      <c r="AR3713">
        <v>0</v>
      </c>
      <c r="AZ3713">
        <v>3614</v>
      </c>
      <c r="BA3713">
        <v>1</v>
      </c>
      <c r="BB3713" t="str">
        <f t="shared" si="173"/>
        <v xml:space="preserve">N959MJ  </v>
      </c>
      <c r="BC3713">
        <v>1</v>
      </c>
      <c r="BE3713">
        <v>0</v>
      </c>
      <c r="BF3713">
        <v>0</v>
      </c>
      <c r="BG3713">
        <v>0</v>
      </c>
      <c r="BH3713">
        <v>1900</v>
      </c>
      <c r="BI3713">
        <v>200</v>
      </c>
      <c r="BJ3713">
        <v>1</v>
      </c>
      <c r="BK3713">
        <v>1</v>
      </c>
      <c r="BL3713">
        <v>1</v>
      </c>
      <c r="BM3713">
        <v>0</v>
      </c>
      <c r="BP3713">
        <v>0</v>
      </c>
      <c r="BQ3713">
        <v>0</v>
      </c>
      <c r="BX3713" t="str">
        <f>"14:52:15.742"</f>
        <v>14:52:15.742</v>
      </c>
      <c r="BY3713" t="str">
        <f>"741142733"</f>
        <v>741142733</v>
      </c>
      <c r="CL3713">
        <v>0</v>
      </c>
      <c r="CM3713">
        <v>2</v>
      </c>
      <c r="CN3713">
        <v>0</v>
      </c>
      <c r="CO3713">
        <v>2</v>
      </c>
      <c r="CP3713">
        <v>0</v>
      </c>
      <c r="CQ3713">
        <v>7</v>
      </c>
      <c r="CR3713" t="s">
        <v>116</v>
      </c>
      <c r="CS3713">
        <v>305</v>
      </c>
      <c r="CT3713">
        <v>3</v>
      </c>
      <c r="CU3713" t="s">
        <v>6425</v>
      </c>
      <c r="CV3713" t="s">
        <v>6426</v>
      </c>
      <c r="CY3713">
        <v>6237799</v>
      </c>
      <c r="CZ3713" t="s">
        <v>119</v>
      </c>
    </row>
    <row r="3714" spans="1:104" x14ac:dyDescent="0.25">
      <c r="A3714" t="str">
        <f>"14:52:17.016"</f>
        <v>14:52:17.016</v>
      </c>
      <c r="B3714" t="s">
        <v>108</v>
      </c>
      <c r="C3714" t="str">
        <f t="shared" si="172"/>
        <v>ffdfd3c0</v>
      </c>
      <c r="D3714" t="s">
        <v>109</v>
      </c>
      <c r="E3714">
        <v>4</v>
      </c>
      <c r="F3714">
        <v>1004</v>
      </c>
      <c r="G3714" t="s">
        <v>110</v>
      </c>
      <c r="J3714" t="s">
        <v>111</v>
      </c>
      <c r="K3714">
        <v>0</v>
      </c>
      <c r="L3714">
        <v>3</v>
      </c>
      <c r="M3714">
        <v>0</v>
      </c>
      <c r="N3714">
        <v>2</v>
      </c>
      <c r="O3714">
        <v>1</v>
      </c>
      <c r="P3714">
        <v>0</v>
      </c>
      <c r="Q3714">
        <v>0</v>
      </c>
      <c r="R3714" t="s">
        <v>112</v>
      </c>
      <c r="S3714" t="str">
        <f>"14:52:16.859"</f>
        <v>14:52:16.859</v>
      </c>
      <c r="T3714" t="str">
        <f>"14:52:16.359"</f>
        <v>14:52:16.359</v>
      </c>
      <c r="U3714" t="str">
        <f t="shared" ref="U3714:U3777" si="174">"ad5732"</f>
        <v>ad5732</v>
      </c>
      <c r="V3714">
        <v>0</v>
      </c>
      <c r="W3714">
        <v>0</v>
      </c>
      <c r="X3714">
        <v>1</v>
      </c>
      <c r="Z3714">
        <v>0</v>
      </c>
      <c r="AA3714">
        <v>9</v>
      </c>
      <c r="AB3714">
        <v>3</v>
      </c>
      <c r="AC3714">
        <v>0</v>
      </c>
      <c r="AD3714">
        <v>10</v>
      </c>
      <c r="AE3714">
        <v>0</v>
      </c>
      <c r="AF3714">
        <v>3</v>
      </c>
      <c r="AG3714">
        <v>2</v>
      </c>
      <c r="AH3714">
        <v>0</v>
      </c>
      <c r="AI3714" t="s">
        <v>7476</v>
      </c>
      <c r="AJ3714">
        <v>40.445887999999997</v>
      </c>
      <c r="AK3714" t="s">
        <v>7477</v>
      </c>
      <c r="AL3714">
        <v>-74.425377999999995</v>
      </c>
      <c r="AM3714">
        <v>100</v>
      </c>
      <c r="AN3714">
        <v>1700</v>
      </c>
      <c r="AO3714" t="s">
        <v>115</v>
      </c>
      <c r="AP3714">
        <v>102</v>
      </c>
      <c r="AQ3714">
        <v>55</v>
      </c>
      <c r="AR3714">
        <v>0</v>
      </c>
      <c r="AZ3714">
        <v>3614</v>
      </c>
      <c r="BA3714">
        <v>1</v>
      </c>
      <c r="BB3714" t="str">
        <f t="shared" si="173"/>
        <v xml:space="preserve">N959MJ  </v>
      </c>
      <c r="BC3714">
        <v>1</v>
      </c>
      <c r="BE3714">
        <v>0</v>
      </c>
      <c r="BF3714">
        <v>0</v>
      </c>
      <c r="BG3714">
        <v>0</v>
      </c>
      <c r="BH3714">
        <v>1900</v>
      </c>
      <c r="BI3714">
        <v>200</v>
      </c>
      <c r="BJ3714">
        <v>1</v>
      </c>
      <c r="BK3714">
        <v>1</v>
      </c>
      <c r="BL3714">
        <v>1</v>
      </c>
      <c r="BM3714">
        <v>0</v>
      </c>
      <c r="BP3714">
        <v>0</v>
      </c>
      <c r="BQ3714">
        <v>0</v>
      </c>
      <c r="BX3714" t="str">
        <f>"14:52:16.859"</f>
        <v>14:52:16.859</v>
      </c>
      <c r="BY3714" t="str">
        <f>"861827758"</f>
        <v>861827758</v>
      </c>
      <c r="CL3714">
        <v>0</v>
      </c>
      <c r="CM3714">
        <v>2</v>
      </c>
      <c r="CN3714">
        <v>0</v>
      </c>
      <c r="CO3714">
        <v>2</v>
      </c>
      <c r="CP3714">
        <v>0</v>
      </c>
      <c r="CQ3714">
        <v>6</v>
      </c>
      <c r="CR3714" t="s">
        <v>116</v>
      </c>
      <c r="CS3714">
        <v>305</v>
      </c>
      <c r="CT3714">
        <v>3</v>
      </c>
      <c r="CU3714" t="s">
        <v>6425</v>
      </c>
      <c r="CV3714" t="s">
        <v>6426</v>
      </c>
      <c r="CY3714">
        <v>6240209</v>
      </c>
      <c r="CZ3714" t="s">
        <v>119</v>
      </c>
    </row>
    <row r="3715" spans="1:104" x14ac:dyDescent="0.25">
      <c r="A3715" t="str">
        <f>"14:52:17.922"</f>
        <v>14:52:17.922</v>
      </c>
      <c r="B3715" t="s">
        <v>108</v>
      </c>
      <c r="C3715" t="str">
        <f t="shared" si="172"/>
        <v>ffdfd3c0</v>
      </c>
      <c r="D3715" t="s">
        <v>109</v>
      </c>
      <c r="E3715">
        <v>4</v>
      </c>
      <c r="F3715">
        <v>1004</v>
      </c>
      <c r="G3715" t="s">
        <v>110</v>
      </c>
      <c r="J3715" t="s">
        <v>111</v>
      </c>
      <c r="K3715">
        <v>0</v>
      </c>
      <c r="L3715">
        <v>3</v>
      </c>
      <c r="M3715">
        <v>0</v>
      </c>
      <c r="N3715">
        <v>2</v>
      </c>
      <c r="O3715">
        <v>1</v>
      </c>
      <c r="P3715">
        <v>0</v>
      </c>
      <c r="Q3715">
        <v>0</v>
      </c>
      <c r="R3715" t="s">
        <v>112</v>
      </c>
      <c r="S3715" t="str">
        <f>"14:52:17.766"</f>
        <v>14:52:17.766</v>
      </c>
      <c r="T3715" t="str">
        <f>"14:52:17.367"</f>
        <v>14:52:17.367</v>
      </c>
      <c r="U3715" t="str">
        <f t="shared" si="174"/>
        <v>ad5732</v>
      </c>
      <c r="V3715">
        <v>0</v>
      </c>
      <c r="W3715">
        <v>0</v>
      </c>
      <c r="X3715">
        <v>1</v>
      </c>
      <c r="Z3715">
        <v>0</v>
      </c>
      <c r="AA3715">
        <v>9</v>
      </c>
      <c r="AB3715">
        <v>3</v>
      </c>
      <c r="AC3715">
        <v>0</v>
      </c>
      <c r="AD3715">
        <v>10</v>
      </c>
      <c r="AE3715">
        <v>0</v>
      </c>
      <c r="AF3715">
        <v>3</v>
      </c>
      <c r="AG3715">
        <v>2</v>
      </c>
      <c r="AH3715">
        <v>0</v>
      </c>
      <c r="AI3715" t="s">
        <v>7478</v>
      </c>
      <c r="AJ3715">
        <v>40.446123999999998</v>
      </c>
      <c r="AK3715" t="s">
        <v>7479</v>
      </c>
      <c r="AL3715">
        <v>-74.424863000000002</v>
      </c>
      <c r="AM3715">
        <v>100</v>
      </c>
      <c r="AN3715">
        <v>1700</v>
      </c>
      <c r="AO3715" t="s">
        <v>115</v>
      </c>
      <c r="AP3715">
        <v>102</v>
      </c>
      <c r="AQ3715">
        <v>55</v>
      </c>
      <c r="AR3715">
        <v>0</v>
      </c>
      <c r="AZ3715">
        <v>3614</v>
      </c>
      <c r="BA3715">
        <v>1</v>
      </c>
      <c r="BB3715" t="str">
        <f t="shared" si="173"/>
        <v xml:space="preserve">N959MJ  </v>
      </c>
      <c r="BC3715">
        <v>1</v>
      </c>
      <c r="BE3715">
        <v>0</v>
      </c>
      <c r="BF3715">
        <v>0</v>
      </c>
      <c r="BG3715">
        <v>0</v>
      </c>
      <c r="BH3715">
        <v>1900</v>
      </c>
      <c r="BI3715">
        <v>200</v>
      </c>
      <c r="BJ3715">
        <v>1</v>
      </c>
      <c r="BK3715">
        <v>1</v>
      </c>
      <c r="BL3715">
        <v>1</v>
      </c>
      <c r="BM3715">
        <v>0</v>
      </c>
      <c r="BP3715">
        <v>0</v>
      </c>
      <c r="BQ3715">
        <v>0</v>
      </c>
      <c r="BX3715" t="str">
        <f>"14:52:17.766"</f>
        <v>14:52:17.766</v>
      </c>
      <c r="BY3715" t="str">
        <f>"767878804"</f>
        <v>767878804</v>
      </c>
      <c r="CL3715">
        <v>0</v>
      </c>
      <c r="CM3715">
        <v>2</v>
      </c>
      <c r="CN3715">
        <v>0</v>
      </c>
      <c r="CO3715">
        <v>2</v>
      </c>
      <c r="CP3715">
        <v>0</v>
      </c>
      <c r="CQ3715">
        <v>6</v>
      </c>
      <c r="CR3715" t="s">
        <v>116</v>
      </c>
      <c r="CS3715">
        <v>305</v>
      </c>
      <c r="CT3715">
        <v>3</v>
      </c>
      <c r="CU3715" t="s">
        <v>6425</v>
      </c>
      <c r="CV3715" t="s">
        <v>6426</v>
      </c>
      <c r="CY3715">
        <v>6242015</v>
      </c>
      <c r="CZ3715" t="s">
        <v>119</v>
      </c>
    </row>
    <row r="3716" spans="1:104" x14ac:dyDescent="0.25">
      <c r="A3716" t="str">
        <f>"14:52:18.984"</f>
        <v>14:52:18.984</v>
      </c>
      <c r="B3716" t="s">
        <v>108</v>
      </c>
      <c r="C3716" t="str">
        <f t="shared" si="172"/>
        <v>ffdfd3c0</v>
      </c>
      <c r="D3716" t="s">
        <v>109</v>
      </c>
      <c r="E3716">
        <v>4</v>
      </c>
      <c r="F3716">
        <v>1004</v>
      </c>
      <c r="G3716" t="s">
        <v>110</v>
      </c>
      <c r="J3716" t="s">
        <v>111</v>
      </c>
      <c r="K3716">
        <v>0</v>
      </c>
      <c r="L3716">
        <v>3</v>
      </c>
      <c r="M3716">
        <v>0</v>
      </c>
      <c r="N3716">
        <v>2</v>
      </c>
      <c r="O3716">
        <v>1</v>
      </c>
      <c r="P3716">
        <v>0</v>
      </c>
      <c r="Q3716">
        <v>0</v>
      </c>
      <c r="R3716" t="s">
        <v>112</v>
      </c>
      <c r="S3716" t="str">
        <f>"14:52:18.797"</f>
        <v>14:52:18.797</v>
      </c>
      <c r="T3716" t="str">
        <f>"14:52:18.297"</f>
        <v>14:52:18.297</v>
      </c>
      <c r="U3716" t="str">
        <f t="shared" si="174"/>
        <v>ad5732</v>
      </c>
      <c r="V3716">
        <v>0</v>
      </c>
      <c r="W3716">
        <v>0</v>
      </c>
      <c r="X3716">
        <v>1</v>
      </c>
      <c r="Z3716">
        <v>0</v>
      </c>
      <c r="AA3716">
        <v>9</v>
      </c>
      <c r="AB3716">
        <v>3</v>
      </c>
      <c r="AC3716">
        <v>0</v>
      </c>
      <c r="AD3716">
        <v>10</v>
      </c>
      <c r="AE3716">
        <v>0</v>
      </c>
      <c r="AF3716">
        <v>3</v>
      </c>
      <c r="AG3716">
        <v>2</v>
      </c>
      <c r="AH3716">
        <v>0</v>
      </c>
      <c r="AI3716" t="s">
        <v>7480</v>
      </c>
      <c r="AJ3716">
        <v>40.446359999999999</v>
      </c>
      <c r="AK3716" t="s">
        <v>7481</v>
      </c>
      <c r="AL3716">
        <v>-74.424198000000004</v>
      </c>
      <c r="AM3716">
        <v>100</v>
      </c>
      <c r="AN3716">
        <v>1700</v>
      </c>
      <c r="AO3716" t="s">
        <v>115</v>
      </c>
      <c r="AP3716">
        <v>102</v>
      </c>
      <c r="AQ3716">
        <v>55</v>
      </c>
      <c r="AR3716">
        <v>0</v>
      </c>
      <c r="AZ3716">
        <v>3614</v>
      </c>
      <c r="BA3716">
        <v>1</v>
      </c>
      <c r="BB3716" t="str">
        <f t="shared" si="173"/>
        <v xml:space="preserve">N959MJ  </v>
      </c>
      <c r="BC3716">
        <v>1</v>
      </c>
      <c r="BE3716">
        <v>0</v>
      </c>
      <c r="BF3716">
        <v>0</v>
      </c>
      <c r="BG3716">
        <v>0</v>
      </c>
      <c r="BH3716">
        <v>1900</v>
      </c>
      <c r="BI3716">
        <v>200</v>
      </c>
      <c r="BJ3716">
        <v>1</v>
      </c>
      <c r="BK3716">
        <v>1</v>
      </c>
      <c r="BL3716">
        <v>1</v>
      </c>
      <c r="BM3716">
        <v>0</v>
      </c>
      <c r="BP3716">
        <v>0</v>
      </c>
      <c r="BQ3716">
        <v>0</v>
      </c>
      <c r="BX3716" t="str">
        <f>"14:52:18.805"</f>
        <v>14:52:18.805</v>
      </c>
      <c r="BY3716" t="str">
        <f>"803472895"</f>
        <v>803472895</v>
      </c>
      <c r="CL3716">
        <v>0</v>
      </c>
      <c r="CM3716">
        <v>2</v>
      </c>
      <c r="CN3716">
        <v>0</v>
      </c>
      <c r="CO3716">
        <v>2</v>
      </c>
      <c r="CP3716">
        <v>0</v>
      </c>
      <c r="CQ3716">
        <v>5</v>
      </c>
      <c r="CR3716" t="s">
        <v>116</v>
      </c>
      <c r="CS3716">
        <v>409</v>
      </c>
      <c r="CT3716">
        <v>1</v>
      </c>
      <c r="CU3716" t="s">
        <v>5087</v>
      </c>
      <c r="CV3716" t="s">
        <v>5088</v>
      </c>
      <c r="CY3716">
        <v>4786235</v>
      </c>
      <c r="CZ3716" t="s">
        <v>119</v>
      </c>
    </row>
    <row r="3717" spans="1:104" x14ac:dyDescent="0.25">
      <c r="A3717" t="str">
        <f>"14:52:19.898"</f>
        <v>14:52:19.898</v>
      </c>
      <c r="B3717" t="s">
        <v>108</v>
      </c>
      <c r="C3717" t="str">
        <f t="shared" si="172"/>
        <v>ffdfd3c0</v>
      </c>
      <c r="D3717" t="s">
        <v>109</v>
      </c>
      <c r="E3717">
        <v>4</v>
      </c>
      <c r="F3717">
        <v>1004</v>
      </c>
      <c r="G3717" t="s">
        <v>110</v>
      </c>
      <c r="J3717" t="s">
        <v>111</v>
      </c>
      <c r="K3717">
        <v>0</v>
      </c>
      <c r="L3717">
        <v>3</v>
      </c>
      <c r="M3717">
        <v>0</v>
      </c>
      <c r="N3717">
        <v>2</v>
      </c>
      <c r="O3717">
        <v>1</v>
      </c>
      <c r="P3717">
        <v>0</v>
      </c>
      <c r="Q3717">
        <v>0</v>
      </c>
      <c r="R3717" t="s">
        <v>112</v>
      </c>
      <c r="S3717" t="str">
        <f>"14:52:19.734"</f>
        <v>14:52:19.734</v>
      </c>
      <c r="T3717" t="str">
        <f>"14:52:19.438"</f>
        <v>14:52:19.438</v>
      </c>
      <c r="U3717" t="str">
        <f t="shared" si="174"/>
        <v>ad5732</v>
      </c>
      <c r="V3717">
        <v>0</v>
      </c>
      <c r="W3717">
        <v>0</v>
      </c>
      <c r="X3717">
        <v>1</v>
      </c>
      <c r="Z3717">
        <v>0</v>
      </c>
      <c r="AA3717">
        <v>9</v>
      </c>
      <c r="AB3717">
        <v>3</v>
      </c>
      <c r="AC3717">
        <v>0</v>
      </c>
      <c r="AD3717">
        <v>10</v>
      </c>
      <c r="AE3717">
        <v>0</v>
      </c>
      <c r="AF3717">
        <v>3</v>
      </c>
      <c r="AG3717">
        <v>2</v>
      </c>
      <c r="AH3717">
        <v>0</v>
      </c>
      <c r="AI3717" t="s">
        <v>7482</v>
      </c>
      <c r="AJ3717">
        <v>40.446618000000001</v>
      </c>
      <c r="AK3717" t="s">
        <v>7483</v>
      </c>
      <c r="AL3717">
        <v>-74.423575</v>
      </c>
      <c r="AM3717">
        <v>100</v>
      </c>
      <c r="AN3717">
        <v>1700</v>
      </c>
      <c r="AO3717" t="s">
        <v>115</v>
      </c>
      <c r="AP3717">
        <v>101</v>
      </c>
      <c r="AQ3717">
        <v>55</v>
      </c>
      <c r="AR3717">
        <v>0</v>
      </c>
      <c r="AZ3717">
        <v>3614</v>
      </c>
      <c r="BA3717">
        <v>1</v>
      </c>
      <c r="BB3717" t="str">
        <f t="shared" si="173"/>
        <v xml:space="preserve">N959MJ  </v>
      </c>
      <c r="BC3717">
        <v>1</v>
      </c>
      <c r="BE3717">
        <v>0</v>
      </c>
      <c r="BF3717">
        <v>0</v>
      </c>
      <c r="BG3717">
        <v>0</v>
      </c>
      <c r="BH3717">
        <v>1900</v>
      </c>
      <c r="BI3717">
        <v>200</v>
      </c>
      <c r="BJ3717">
        <v>1</v>
      </c>
      <c r="BK3717">
        <v>1</v>
      </c>
      <c r="BL3717">
        <v>1</v>
      </c>
      <c r="BM3717">
        <v>0</v>
      </c>
      <c r="BP3717">
        <v>0</v>
      </c>
      <c r="BQ3717">
        <v>0</v>
      </c>
      <c r="BX3717" t="str">
        <f>"14:52:19.742"</f>
        <v>14:52:19.742</v>
      </c>
      <c r="BY3717" t="str">
        <f>"740546679"</f>
        <v>740546679</v>
      </c>
      <c r="CL3717">
        <v>0</v>
      </c>
      <c r="CM3717">
        <v>2</v>
      </c>
      <c r="CN3717">
        <v>0</v>
      </c>
      <c r="CO3717">
        <v>2</v>
      </c>
      <c r="CP3717">
        <v>0</v>
      </c>
      <c r="CQ3717">
        <v>6</v>
      </c>
      <c r="CR3717" t="s">
        <v>116</v>
      </c>
      <c r="CS3717">
        <v>305</v>
      </c>
      <c r="CT3717">
        <v>3</v>
      </c>
      <c r="CU3717" t="s">
        <v>6425</v>
      </c>
      <c r="CV3717" t="s">
        <v>6426</v>
      </c>
      <c r="CY3717">
        <v>6245993</v>
      </c>
      <c r="CZ3717" t="s">
        <v>119</v>
      </c>
    </row>
    <row r="3718" spans="1:104" x14ac:dyDescent="0.25">
      <c r="A3718" t="str">
        <f>"14:52:20.906"</f>
        <v>14:52:20.906</v>
      </c>
      <c r="B3718" t="s">
        <v>108</v>
      </c>
      <c r="C3718" t="str">
        <f t="shared" si="172"/>
        <v>ffdfd3c0</v>
      </c>
      <c r="D3718" t="s">
        <v>109</v>
      </c>
      <c r="E3718">
        <v>4</v>
      </c>
      <c r="F3718">
        <v>1004</v>
      </c>
      <c r="G3718" t="s">
        <v>110</v>
      </c>
      <c r="J3718" t="s">
        <v>111</v>
      </c>
      <c r="K3718">
        <v>0</v>
      </c>
      <c r="L3718">
        <v>3</v>
      </c>
      <c r="M3718">
        <v>0</v>
      </c>
      <c r="N3718">
        <v>2</v>
      </c>
      <c r="O3718">
        <v>1</v>
      </c>
      <c r="P3718">
        <v>0</v>
      </c>
      <c r="Q3718">
        <v>0</v>
      </c>
      <c r="R3718" t="s">
        <v>112</v>
      </c>
      <c r="S3718" t="str">
        <f>"14:52:20.703"</f>
        <v>14:52:20.703</v>
      </c>
      <c r="T3718" t="str">
        <f>"14:52:20.305"</f>
        <v>14:52:20.305</v>
      </c>
      <c r="U3718" t="str">
        <f t="shared" si="174"/>
        <v>ad5732</v>
      </c>
      <c r="V3718">
        <v>0</v>
      </c>
      <c r="W3718">
        <v>0</v>
      </c>
      <c r="X3718">
        <v>1</v>
      </c>
      <c r="Z3718">
        <v>0</v>
      </c>
      <c r="AA3718">
        <v>9</v>
      </c>
      <c r="AB3718">
        <v>3</v>
      </c>
      <c r="AC3718">
        <v>0</v>
      </c>
      <c r="AD3718">
        <v>10</v>
      </c>
      <c r="AE3718">
        <v>0</v>
      </c>
      <c r="AF3718">
        <v>3</v>
      </c>
      <c r="AG3718">
        <v>2</v>
      </c>
      <c r="AH3718">
        <v>0</v>
      </c>
      <c r="AI3718" t="s">
        <v>7484</v>
      </c>
      <c r="AJ3718">
        <v>40.446874999999999</v>
      </c>
      <c r="AK3718" t="s">
        <v>7485</v>
      </c>
      <c r="AL3718">
        <v>-74.423081999999994</v>
      </c>
      <c r="AM3718">
        <v>100</v>
      </c>
      <c r="AN3718">
        <v>1700</v>
      </c>
      <c r="AO3718" t="s">
        <v>115</v>
      </c>
      <c r="AP3718">
        <v>101</v>
      </c>
      <c r="AQ3718">
        <v>55</v>
      </c>
      <c r="AR3718">
        <v>0</v>
      </c>
      <c r="AZ3718">
        <v>3614</v>
      </c>
      <c r="BA3718">
        <v>1</v>
      </c>
      <c r="BB3718" t="str">
        <f t="shared" si="173"/>
        <v xml:space="preserve">N959MJ  </v>
      </c>
      <c r="BC3718">
        <v>1</v>
      </c>
      <c r="BE3718">
        <v>0</v>
      </c>
      <c r="BF3718">
        <v>0</v>
      </c>
      <c r="BG3718">
        <v>0</v>
      </c>
      <c r="BH3718">
        <v>1900</v>
      </c>
      <c r="BI3718">
        <v>200</v>
      </c>
      <c r="BJ3718">
        <v>1</v>
      </c>
      <c r="BK3718">
        <v>1</v>
      </c>
      <c r="BL3718">
        <v>1</v>
      </c>
      <c r="BM3718">
        <v>0</v>
      </c>
      <c r="BP3718">
        <v>0</v>
      </c>
      <c r="BQ3718">
        <v>0</v>
      </c>
      <c r="BX3718" t="str">
        <f>"14:52:20.703"</f>
        <v>14:52:20.703</v>
      </c>
      <c r="BY3718" t="str">
        <f>"703962915"</f>
        <v>703962915</v>
      </c>
      <c r="CL3718">
        <v>0</v>
      </c>
      <c r="CM3718">
        <v>2</v>
      </c>
      <c r="CN3718">
        <v>0</v>
      </c>
      <c r="CO3718">
        <v>2</v>
      </c>
      <c r="CP3718">
        <v>0</v>
      </c>
      <c r="CQ3718">
        <v>6</v>
      </c>
      <c r="CR3718" t="s">
        <v>116</v>
      </c>
      <c r="CS3718">
        <v>38</v>
      </c>
      <c r="CT3718">
        <v>0</v>
      </c>
      <c r="CU3718" t="s">
        <v>4719</v>
      </c>
      <c r="CV3718" t="s">
        <v>4720</v>
      </c>
      <c r="CY3718">
        <v>8304807</v>
      </c>
      <c r="CZ3718" t="s">
        <v>119</v>
      </c>
    </row>
    <row r="3719" spans="1:104" x14ac:dyDescent="0.25">
      <c r="A3719" t="str">
        <f>"14:52:21.813"</f>
        <v>14:52:21.813</v>
      </c>
      <c r="B3719" t="s">
        <v>108</v>
      </c>
      <c r="C3719" t="str">
        <f t="shared" si="172"/>
        <v>ffdfd3c0</v>
      </c>
      <c r="D3719" t="s">
        <v>109</v>
      </c>
      <c r="E3719">
        <v>4</v>
      </c>
      <c r="F3719">
        <v>1004</v>
      </c>
      <c r="G3719" t="s">
        <v>110</v>
      </c>
      <c r="J3719" t="s">
        <v>111</v>
      </c>
      <c r="K3719">
        <v>0</v>
      </c>
      <c r="L3719">
        <v>3</v>
      </c>
      <c r="M3719">
        <v>0</v>
      </c>
      <c r="N3719">
        <v>2</v>
      </c>
      <c r="O3719">
        <v>1</v>
      </c>
      <c r="P3719">
        <v>0</v>
      </c>
      <c r="Q3719">
        <v>0</v>
      </c>
      <c r="R3719" t="s">
        <v>112</v>
      </c>
      <c r="S3719" t="str">
        <f>"14:52:21.625"</f>
        <v>14:52:21.625</v>
      </c>
      <c r="T3719" t="str">
        <f>"14:52:21.227"</f>
        <v>14:52:21.227</v>
      </c>
      <c r="U3719" t="str">
        <f t="shared" si="174"/>
        <v>ad5732</v>
      </c>
      <c r="V3719">
        <v>0</v>
      </c>
      <c r="W3719">
        <v>0</v>
      </c>
      <c r="X3719">
        <v>1</v>
      </c>
      <c r="Z3719">
        <v>0</v>
      </c>
      <c r="AA3719">
        <v>9</v>
      </c>
      <c r="AB3719">
        <v>3</v>
      </c>
      <c r="AC3719">
        <v>0</v>
      </c>
      <c r="AD3719">
        <v>10</v>
      </c>
      <c r="AE3719">
        <v>0</v>
      </c>
      <c r="AF3719">
        <v>3</v>
      </c>
      <c r="AG3719">
        <v>2</v>
      </c>
      <c r="AH3719">
        <v>0</v>
      </c>
      <c r="AI3719" t="s">
        <v>7486</v>
      </c>
      <c r="AJ3719">
        <v>40.447090000000003</v>
      </c>
      <c r="AK3719" t="s">
        <v>7487</v>
      </c>
      <c r="AL3719">
        <v>-74.422481000000005</v>
      </c>
      <c r="AM3719">
        <v>100</v>
      </c>
      <c r="AN3719">
        <v>1700</v>
      </c>
      <c r="AO3719" t="s">
        <v>115</v>
      </c>
      <c r="AP3719">
        <v>101</v>
      </c>
      <c r="AQ3719">
        <v>55</v>
      </c>
      <c r="AR3719">
        <v>-64</v>
      </c>
      <c r="AZ3719">
        <v>3614</v>
      </c>
      <c r="BA3719">
        <v>1</v>
      </c>
      <c r="BB3719" t="str">
        <f t="shared" si="173"/>
        <v xml:space="preserve">N959MJ  </v>
      </c>
      <c r="BC3719">
        <v>1</v>
      </c>
      <c r="BE3719">
        <v>0</v>
      </c>
      <c r="BF3719">
        <v>0</v>
      </c>
      <c r="BG3719">
        <v>0</v>
      </c>
      <c r="BH3719">
        <v>1900</v>
      </c>
      <c r="BI3719">
        <v>200</v>
      </c>
      <c r="BJ3719">
        <v>1</v>
      </c>
      <c r="BK3719">
        <v>1</v>
      </c>
      <c r="BL3719">
        <v>1</v>
      </c>
      <c r="BM3719">
        <v>0</v>
      </c>
      <c r="BP3719">
        <v>0</v>
      </c>
      <c r="BQ3719">
        <v>0</v>
      </c>
      <c r="BX3719" t="str">
        <f>"14:52:21.625"</f>
        <v>14:52:21.625</v>
      </c>
      <c r="BY3719" t="str">
        <f>"626377925"</f>
        <v>626377925</v>
      </c>
      <c r="CL3719">
        <v>0</v>
      </c>
      <c r="CM3719">
        <v>2</v>
      </c>
      <c r="CN3719">
        <v>0</v>
      </c>
      <c r="CO3719">
        <v>2</v>
      </c>
      <c r="CP3719">
        <v>0</v>
      </c>
      <c r="CQ3719">
        <v>6</v>
      </c>
      <c r="CR3719" t="s">
        <v>116</v>
      </c>
      <c r="CS3719">
        <v>305</v>
      </c>
      <c r="CT3719">
        <v>3</v>
      </c>
      <c r="CU3719" t="s">
        <v>6425</v>
      </c>
      <c r="CV3719" t="s">
        <v>6426</v>
      </c>
      <c r="CY3719">
        <v>6249996</v>
      </c>
      <c r="CZ3719" t="s">
        <v>119</v>
      </c>
    </row>
    <row r="3720" spans="1:104" x14ac:dyDescent="0.25">
      <c r="A3720" t="str">
        <f>"14:52:22.773"</f>
        <v>14:52:22.773</v>
      </c>
      <c r="B3720" t="s">
        <v>108</v>
      </c>
      <c r="C3720" t="str">
        <f t="shared" si="172"/>
        <v>ffdfd3c0</v>
      </c>
      <c r="D3720" t="s">
        <v>109</v>
      </c>
      <c r="E3720">
        <v>4</v>
      </c>
      <c r="F3720">
        <v>1004</v>
      </c>
      <c r="G3720" t="s">
        <v>110</v>
      </c>
      <c r="J3720" t="s">
        <v>111</v>
      </c>
      <c r="K3720">
        <v>0</v>
      </c>
      <c r="L3720">
        <v>3</v>
      </c>
      <c r="M3720">
        <v>0</v>
      </c>
      <c r="N3720">
        <v>2</v>
      </c>
      <c r="O3720">
        <v>1</v>
      </c>
      <c r="P3720">
        <v>0</v>
      </c>
      <c r="Q3720">
        <v>0</v>
      </c>
      <c r="R3720" t="s">
        <v>112</v>
      </c>
      <c r="S3720" t="str">
        <f>"14:52:22.570"</f>
        <v>14:52:22.570</v>
      </c>
      <c r="T3720" t="str">
        <f>"14:52:22.172"</f>
        <v>14:52:22.172</v>
      </c>
      <c r="U3720" t="str">
        <f t="shared" si="174"/>
        <v>ad5732</v>
      </c>
      <c r="V3720">
        <v>0</v>
      </c>
      <c r="W3720">
        <v>0</v>
      </c>
      <c r="X3720">
        <v>1</v>
      </c>
      <c r="Z3720">
        <v>0</v>
      </c>
      <c r="AA3720">
        <v>9</v>
      </c>
      <c r="AB3720">
        <v>3</v>
      </c>
      <c r="AC3720">
        <v>0</v>
      </c>
      <c r="AD3720">
        <v>10</v>
      </c>
      <c r="AE3720">
        <v>0</v>
      </c>
      <c r="AF3720">
        <v>3</v>
      </c>
      <c r="AG3720">
        <v>2</v>
      </c>
      <c r="AH3720">
        <v>0</v>
      </c>
      <c r="AI3720" t="s">
        <v>7488</v>
      </c>
      <c r="AJ3720">
        <v>40.447347000000001</v>
      </c>
      <c r="AK3720" t="s">
        <v>7489</v>
      </c>
      <c r="AL3720">
        <v>-74.421880000000002</v>
      </c>
      <c r="AM3720">
        <v>100</v>
      </c>
      <c r="AN3720">
        <v>1700</v>
      </c>
      <c r="AO3720" t="s">
        <v>115</v>
      </c>
      <c r="AP3720">
        <v>100</v>
      </c>
      <c r="AQ3720">
        <v>56</v>
      </c>
      <c r="AR3720">
        <v>-64</v>
      </c>
      <c r="AZ3720">
        <v>3614</v>
      </c>
      <c r="BA3720">
        <v>1</v>
      </c>
      <c r="BB3720" t="str">
        <f t="shared" si="173"/>
        <v xml:space="preserve">N959MJ  </v>
      </c>
      <c r="BC3720">
        <v>1</v>
      </c>
      <c r="BE3720">
        <v>0</v>
      </c>
      <c r="BF3720">
        <v>0</v>
      </c>
      <c r="BG3720">
        <v>0</v>
      </c>
      <c r="BH3720">
        <v>1900</v>
      </c>
      <c r="BI3720">
        <v>200</v>
      </c>
      <c r="BJ3720">
        <v>1</v>
      </c>
      <c r="BK3720">
        <v>1</v>
      </c>
      <c r="BL3720">
        <v>1</v>
      </c>
      <c r="BM3720">
        <v>0</v>
      </c>
      <c r="BP3720">
        <v>0</v>
      </c>
      <c r="BQ3720">
        <v>0</v>
      </c>
      <c r="BX3720" t="str">
        <f>"14:52:22.578"</f>
        <v>14:52:22.578</v>
      </c>
      <c r="BY3720" t="str">
        <f>"575048861"</f>
        <v>575048861</v>
      </c>
      <c r="CL3720">
        <v>0</v>
      </c>
      <c r="CM3720">
        <v>2</v>
      </c>
      <c r="CN3720">
        <v>0</v>
      </c>
      <c r="CO3720">
        <v>2</v>
      </c>
      <c r="CP3720">
        <v>0</v>
      </c>
      <c r="CQ3720">
        <v>6</v>
      </c>
      <c r="CR3720" t="s">
        <v>116</v>
      </c>
      <c r="CS3720">
        <v>38</v>
      </c>
      <c r="CT3720">
        <v>0</v>
      </c>
      <c r="CU3720" t="s">
        <v>4719</v>
      </c>
      <c r="CV3720" t="s">
        <v>4720</v>
      </c>
      <c r="CY3720">
        <v>8307626</v>
      </c>
      <c r="CZ3720" t="s">
        <v>119</v>
      </c>
    </row>
    <row r="3721" spans="1:104" x14ac:dyDescent="0.25">
      <c r="A3721" t="str">
        <f>"14:52:23.734"</f>
        <v>14:52:23.734</v>
      </c>
      <c r="B3721" t="s">
        <v>108</v>
      </c>
      <c r="C3721" t="str">
        <f t="shared" si="172"/>
        <v>ffdfd3c0</v>
      </c>
      <c r="D3721" t="s">
        <v>109</v>
      </c>
      <c r="E3721">
        <v>4</v>
      </c>
      <c r="F3721">
        <v>1004</v>
      </c>
      <c r="G3721" t="s">
        <v>110</v>
      </c>
      <c r="J3721" t="s">
        <v>111</v>
      </c>
      <c r="K3721">
        <v>0</v>
      </c>
      <c r="L3721">
        <v>3</v>
      </c>
      <c r="M3721">
        <v>0</v>
      </c>
      <c r="N3721">
        <v>2</v>
      </c>
      <c r="O3721">
        <v>1</v>
      </c>
      <c r="P3721">
        <v>0</v>
      </c>
      <c r="Q3721">
        <v>0</v>
      </c>
      <c r="R3721" t="s">
        <v>112</v>
      </c>
      <c r="S3721" t="str">
        <f>"14:52:23.531"</f>
        <v>14:52:23.531</v>
      </c>
      <c r="T3721" t="str">
        <f>"14:52:23.133"</f>
        <v>14:52:23.133</v>
      </c>
      <c r="U3721" t="str">
        <f t="shared" si="174"/>
        <v>ad5732</v>
      </c>
      <c r="V3721">
        <v>0</v>
      </c>
      <c r="W3721">
        <v>0</v>
      </c>
      <c r="X3721">
        <v>1</v>
      </c>
      <c r="Z3721">
        <v>0</v>
      </c>
      <c r="AA3721">
        <v>9</v>
      </c>
      <c r="AB3721">
        <v>3</v>
      </c>
      <c r="AC3721">
        <v>0</v>
      </c>
      <c r="AD3721">
        <v>10</v>
      </c>
      <c r="AE3721">
        <v>0</v>
      </c>
      <c r="AF3721">
        <v>3</v>
      </c>
      <c r="AG3721">
        <v>2</v>
      </c>
      <c r="AH3721">
        <v>0</v>
      </c>
      <c r="AI3721" t="s">
        <v>7490</v>
      </c>
      <c r="AJ3721">
        <v>40.447583000000002</v>
      </c>
      <c r="AK3721" t="s">
        <v>7491</v>
      </c>
      <c r="AL3721">
        <v>-74.421322000000004</v>
      </c>
      <c r="AM3721">
        <v>100</v>
      </c>
      <c r="AN3721">
        <v>1700</v>
      </c>
      <c r="AO3721" t="s">
        <v>115</v>
      </c>
      <c r="AP3721">
        <v>100</v>
      </c>
      <c r="AQ3721">
        <v>56</v>
      </c>
      <c r="AR3721">
        <v>-64</v>
      </c>
      <c r="AZ3721">
        <v>3614</v>
      </c>
      <c r="BA3721">
        <v>1</v>
      </c>
      <c r="BB3721" t="str">
        <f t="shared" si="173"/>
        <v xml:space="preserve">N959MJ  </v>
      </c>
      <c r="BC3721">
        <v>1</v>
      </c>
      <c r="BE3721">
        <v>0</v>
      </c>
      <c r="BF3721">
        <v>0</v>
      </c>
      <c r="BG3721">
        <v>0</v>
      </c>
      <c r="BH3721">
        <v>1900</v>
      </c>
      <c r="BI3721">
        <v>200</v>
      </c>
      <c r="BJ3721">
        <v>1</v>
      </c>
      <c r="BK3721">
        <v>1</v>
      </c>
      <c r="BL3721">
        <v>1</v>
      </c>
      <c r="BM3721">
        <v>0</v>
      </c>
      <c r="BP3721">
        <v>0</v>
      </c>
      <c r="BQ3721">
        <v>0</v>
      </c>
      <c r="BX3721" t="str">
        <f>"14:52:23.531"</f>
        <v>14:52:23.531</v>
      </c>
      <c r="BY3721" t="str">
        <f>"533508728"</f>
        <v>533508728</v>
      </c>
      <c r="CL3721">
        <v>0</v>
      </c>
      <c r="CM3721">
        <v>2</v>
      </c>
      <c r="CN3721">
        <v>0</v>
      </c>
      <c r="CO3721">
        <v>2</v>
      </c>
      <c r="CP3721">
        <v>0</v>
      </c>
      <c r="CQ3721">
        <v>6</v>
      </c>
      <c r="CR3721" t="s">
        <v>116</v>
      </c>
      <c r="CS3721">
        <v>305</v>
      </c>
      <c r="CT3721">
        <v>3</v>
      </c>
      <c r="CU3721" t="s">
        <v>6425</v>
      </c>
      <c r="CV3721" t="s">
        <v>6426</v>
      </c>
      <c r="CY3721">
        <v>6253768</v>
      </c>
      <c r="CZ3721" t="s">
        <v>119</v>
      </c>
    </row>
    <row r="3722" spans="1:104" x14ac:dyDescent="0.25">
      <c r="A3722" t="str">
        <f>"14:52:24.789"</f>
        <v>14:52:24.789</v>
      </c>
      <c r="B3722" t="s">
        <v>108</v>
      </c>
      <c r="C3722" t="str">
        <f t="shared" ref="C3722:C3785" si="175">"ffdfd3c0"</f>
        <v>ffdfd3c0</v>
      </c>
      <c r="D3722" t="s">
        <v>109</v>
      </c>
      <c r="E3722">
        <v>4</v>
      </c>
      <c r="F3722">
        <v>1004</v>
      </c>
      <c r="G3722" t="s">
        <v>110</v>
      </c>
      <c r="J3722" t="s">
        <v>111</v>
      </c>
      <c r="K3722">
        <v>0</v>
      </c>
      <c r="L3722">
        <v>3</v>
      </c>
      <c r="M3722">
        <v>0</v>
      </c>
      <c r="N3722">
        <v>2</v>
      </c>
      <c r="O3722">
        <v>1</v>
      </c>
      <c r="P3722">
        <v>0</v>
      </c>
      <c r="Q3722">
        <v>0</v>
      </c>
      <c r="R3722" t="s">
        <v>112</v>
      </c>
      <c r="S3722" t="str">
        <f>"14:52:24.609"</f>
        <v>14:52:24.609</v>
      </c>
      <c r="T3722" t="str">
        <f>"14:52:23.609"</f>
        <v>14:52:23.609</v>
      </c>
      <c r="U3722" t="str">
        <f t="shared" si="174"/>
        <v>ad5732</v>
      </c>
      <c r="V3722">
        <v>0</v>
      </c>
      <c r="W3722">
        <v>0</v>
      </c>
      <c r="X3722">
        <v>1</v>
      </c>
      <c r="Z3722">
        <v>0</v>
      </c>
      <c r="AA3722">
        <v>9</v>
      </c>
      <c r="AB3722">
        <v>3</v>
      </c>
      <c r="AC3722">
        <v>0</v>
      </c>
      <c r="AD3722">
        <v>10</v>
      </c>
      <c r="AE3722">
        <v>0</v>
      </c>
      <c r="AF3722">
        <v>3</v>
      </c>
      <c r="AG3722">
        <v>2</v>
      </c>
      <c r="AH3722">
        <v>0</v>
      </c>
      <c r="AI3722" t="s">
        <v>7492</v>
      </c>
      <c r="AJ3722">
        <v>40.447862000000001</v>
      </c>
      <c r="AK3722" t="s">
        <v>7493</v>
      </c>
      <c r="AL3722">
        <v>-74.420721999999998</v>
      </c>
      <c r="AM3722">
        <v>100</v>
      </c>
      <c r="AN3722">
        <v>1700</v>
      </c>
      <c r="AO3722" t="s">
        <v>115</v>
      </c>
      <c r="AP3722">
        <v>100</v>
      </c>
      <c r="AQ3722">
        <v>56</v>
      </c>
      <c r="AR3722">
        <v>-64</v>
      </c>
      <c r="AZ3722">
        <v>3614</v>
      </c>
      <c r="BA3722">
        <v>1</v>
      </c>
      <c r="BB3722" t="str">
        <f t="shared" ref="BB3722:BB3785" si="176">"N959MJ  "</f>
        <v xml:space="preserve">N959MJ  </v>
      </c>
      <c r="BC3722">
        <v>1</v>
      </c>
      <c r="BE3722">
        <v>0</v>
      </c>
      <c r="BF3722">
        <v>0</v>
      </c>
      <c r="BG3722">
        <v>0</v>
      </c>
      <c r="BH3722">
        <v>1900</v>
      </c>
      <c r="BI3722">
        <v>200</v>
      </c>
      <c r="BJ3722">
        <v>1</v>
      </c>
      <c r="BK3722">
        <v>1</v>
      </c>
      <c r="BL3722">
        <v>1</v>
      </c>
      <c r="BM3722">
        <v>0</v>
      </c>
      <c r="BP3722">
        <v>0</v>
      </c>
      <c r="BQ3722">
        <v>0</v>
      </c>
      <c r="BX3722" t="str">
        <f>"14:52:24.617"</f>
        <v>14:52:24.617</v>
      </c>
      <c r="BY3722" t="str">
        <f>"614871564"</f>
        <v>614871564</v>
      </c>
      <c r="CL3722">
        <v>0</v>
      </c>
      <c r="CM3722">
        <v>2</v>
      </c>
      <c r="CN3722">
        <v>0</v>
      </c>
      <c r="CO3722">
        <v>2</v>
      </c>
      <c r="CP3722">
        <v>0</v>
      </c>
      <c r="CQ3722">
        <v>6</v>
      </c>
      <c r="CR3722" t="s">
        <v>116</v>
      </c>
      <c r="CS3722">
        <v>305</v>
      </c>
      <c r="CT3722">
        <v>3</v>
      </c>
      <c r="CU3722" t="s">
        <v>6425</v>
      </c>
      <c r="CV3722" t="s">
        <v>6426</v>
      </c>
      <c r="CY3722">
        <v>6255880</v>
      </c>
      <c r="CZ3722" t="s">
        <v>119</v>
      </c>
    </row>
    <row r="3723" spans="1:104" x14ac:dyDescent="0.25">
      <c r="A3723" t="str">
        <f>"14:52:25.703"</f>
        <v>14:52:25.703</v>
      </c>
      <c r="B3723" t="s">
        <v>108</v>
      </c>
      <c r="C3723" t="str">
        <f t="shared" si="175"/>
        <v>ffdfd3c0</v>
      </c>
      <c r="D3723" t="s">
        <v>109</v>
      </c>
      <c r="E3723">
        <v>4</v>
      </c>
      <c r="F3723">
        <v>1004</v>
      </c>
      <c r="G3723" t="s">
        <v>110</v>
      </c>
      <c r="J3723" t="s">
        <v>111</v>
      </c>
      <c r="K3723">
        <v>0</v>
      </c>
      <c r="L3723">
        <v>3</v>
      </c>
      <c r="M3723">
        <v>0</v>
      </c>
      <c r="N3723">
        <v>2</v>
      </c>
      <c r="O3723">
        <v>1</v>
      </c>
      <c r="P3723">
        <v>0</v>
      </c>
      <c r="Q3723">
        <v>0</v>
      </c>
      <c r="R3723" t="s">
        <v>112</v>
      </c>
      <c r="S3723" t="str">
        <f>"14:52:25.539"</f>
        <v>14:52:25.539</v>
      </c>
      <c r="T3723" t="str">
        <f>"14:52:25.141"</f>
        <v>14:52:25.141</v>
      </c>
      <c r="U3723" t="str">
        <f t="shared" si="174"/>
        <v>ad5732</v>
      </c>
      <c r="V3723">
        <v>0</v>
      </c>
      <c r="W3723">
        <v>0</v>
      </c>
      <c r="X3723">
        <v>1</v>
      </c>
      <c r="Z3723">
        <v>0</v>
      </c>
      <c r="AA3723">
        <v>9</v>
      </c>
      <c r="AB3723">
        <v>3</v>
      </c>
      <c r="AC3723">
        <v>0</v>
      </c>
      <c r="AD3723">
        <v>10</v>
      </c>
      <c r="AE3723">
        <v>0</v>
      </c>
      <c r="AF3723">
        <v>3</v>
      </c>
      <c r="AG3723">
        <v>2</v>
      </c>
      <c r="AH3723">
        <v>0</v>
      </c>
      <c r="AI3723" t="s">
        <v>7494</v>
      </c>
      <c r="AJ3723">
        <v>40.448141</v>
      </c>
      <c r="AK3723" t="s">
        <v>7495</v>
      </c>
      <c r="AL3723">
        <v>-74.420098999999993</v>
      </c>
      <c r="AM3723">
        <v>100</v>
      </c>
      <c r="AN3723">
        <v>1700</v>
      </c>
      <c r="AO3723" t="s">
        <v>115</v>
      </c>
      <c r="AP3723">
        <v>100</v>
      </c>
      <c r="AQ3723">
        <v>56</v>
      </c>
      <c r="AR3723">
        <v>-64</v>
      </c>
      <c r="AZ3723">
        <v>3614</v>
      </c>
      <c r="BA3723">
        <v>1</v>
      </c>
      <c r="BB3723" t="str">
        <f t="shared" si="176"/>
        <v xml:space="preserve">N959MJ  </v>
      </c>
      <c r="BC3723">
        <v>1</v>
      </c>
      <c r="BE3723">
        <v>0</v>
      </c>
      <c r="BF3723">
        <v>0</v>
      </c>
      <c r="BG3723">
        <v>0</v>
      </c>
      <c r="BH3723">
        <v>1900</v>
      </c>
      <c r="BI3723">
        <v>200</v>
      </c>
      <c r="BJ3723">
        <v>1</v>
      </c>
      <c r="BK3723">
        <v>1</v>
      </c>
      <c r="BL3723">
        <v>1</v>
      </c>
      <c r="BM3723">
        <v>0</v>
      </c>
      <c r="BP3723">
        <v>0</v>
      </c>
      <c r="BQ3723">
        <v>0</v>
      </c>
      <c r="BX3723" t="str">
        <f>"14:52:25.547"</f>
        <v>14:52:25.547</v>
      </c>
      <c r="BY3723" t="str">
        <f>"545498971"</f>
        <v>545498971</v>
      </c>
      <c r="CL3723">
        <v>0</v>
      </c>
      <c r="CM3723">
        <v>2</v>
      </c>
      <c r="CN3723">
        <v>0</v>
      </c>
      <c r="CO3723">
        <v>2</v>
      </c>
      <c r="CP3723">
        <v>0</v>
      </c>
      <c r="CQ3723">
        <v>6</v>
      </c>
      <c r="CR3723" t="s">
        <v>116</v>
      </c>
      <c r="CS3723">
        <v>305</v>
      </c>
      <c r="CT3723">
        <v>3</v>
      </c>
      <c r="CU3723" t="s">
        <v>6425</v>
      </c>
      <c r="CV3723" t="s">
        <v>6426</v>
      </c>
      <c r="CY3723">
        <v>6257853</v>
      </c>
      <c r="CZ3723" t="s">
        <v>119</v>
      </c>
    </row>
    <row r="3724" spans="1:104" x14ac:dyDescent="0.25">
      <c r="A3724" t="str">
        <f>"14:52:26.813"</f>
        <v>14:52:26.813</v>
      </c>
      <c r="B3724" t="s">
        <v>108</v>
      </c>
      <c r="C3724" t="str">
        <f t="shared" si="175"/>
        <v>ffdfd3c0</v>
      </c>
      <c r="D3724" t="s">
        <v>109</v>
      </c>
      <c r="E3724">
        <v>4</v>
      </c>
      <c r="F3724">
        <v>1004</v>
      </c>
      <c r="G3724" t="s">
        <v>110</v>
      </c>
      <c r="J3724" t="s">
        <v>111</v>
      </c>
      <c r="K3724">
        <v>0</v>
      </c>
      <c r="L3724">
        <v>3</v>
      </c>
      <c r="M3724">
        <v>0</v>
      </c>
      <c r="N3724">
        <v>2</v>
      </c>
      <c r="O3724">
        <v>1</v>
      </c>
      <c r="P3724">
        <v>0</v>
      </c>
      <c r="Q3724">
        <v>0</v>
      </c>
      <c r="R3724" t="s">
        <v>112</v>
      </c>
      <c r="S3724" t="str">
        <f>"14:52:26.648"</f>
        <v>14:52:26.648</v>
      </c>
      <c r="T3724" t="str">
        <f>"14:52:26.148"</f>
        <v>14:52:26.148</v>
      </c>
      <c r="U3724" t="str">
        <f t="shared" si="174"/>
        <v>ad5732</v>
      </c>
      <c r="V3724">
        <v>0</v>
      </c>
      <c r="W3724">
        <v>0</v>
      </c>
      <c r="X3724">
        <v>1</v>
      </c>
      <c r="Z3724">
        <v>0</v>
      </c>
      <c r="AA3724">
        <v>9</v>
      </c>
      <c r="AB3724">
        <v>3</v>
      </c>
      <c r="AC3724">
        <v>0</v>
      </c>
      <c r="AD3724">
        <v>10</v>
      </c>
      <c r="AE3724">
        <v>0</v>
      </c>
      <c r="AF3724">
        <v>3</v>
      </c>
      <c r="AG3724">
        <v>2</v>
      </c>
      <c r="AH3724">
        <v>0</v>
      </c>
      <c r="AI3724" t="s">
        <v>7496</v>
      </c>
      <c r="AJ3724">
        <v>40.448399000000002</v>
      </c>
      <c r="AK3724" t="s">
        <v>7497</v>
      </c>
      <c r="AL3724">
        <v>-74.419455999999997</v>
      </c>
      <c r="AM3724">
        <v>100</v>
      </c>
      <c r="AN3724">
        <v>1700</v>
      </c>
      <c r="AO3724" t="s">
        <v>115</v>
      </c>
      <c r="AP3724">
        <v>99</v>
      </c>
      <c r="AQ3724">
        <v>56</v>
      </c>
      <c r="AR3724">
        <v>0</v>
      </c>
      <c r="AZ3724">
        <v>3614</v>
      </c>
      <c r="BA3724">
        <v>1</v>
      </c>
      <c r="BB3724" t="str">
        <f t="shared" si="176"/>
        <v xml:space="preserve">N959MJ  </v>
      </c>
      <c r="BC3724">
        <v>1</v>
      </c>
      <c r="BE3724">
        <v>0</v>
      </c>
      <c r="BF3724">
        <v>0</v>
      </c>
      <c r="BG3724">
        <v>0</v>
      </c>
      <c r="BH3724">
        <v>1900</v>
      </c>
      <c r="BI3724">
        <v>200</v>
      </c>
      <c r="BJ3724">
        <v>1</v>
      </c>
      <c r="BK3724">
        <v>1</v>
      </c>
      <c r="BL3724">
        <v>1</v>
      </c>
      <c r="BM3724">
        <v>0</v>
      </c>
      <c r="BP3724">
        <v>0</v>
      </c>
      <c r="BQ3724">
        <v>0</v>
      </c>
      <c r="BX3724" t="str">
        <f>"14:52:26.656"</f>
        <v>14:52:26.656</v>
      </c>
      <c r="BY3724" t="str">
        <f>"654737329"</f>
        <v>654737329</v>
      </c>
      <c r="CL3724">
        <v>0</v>
      </c>
      <c r="CM3724">
        <v>2</v>
      </c>
      <c r="CN3724">
        <v>0</v>
      </c>
      <c r="CO3724">
        <v>2</v>
      </c>
      <c r="CP3724">
        <v>0</v>
      </c>
      <c r="CQ3724">
        <v>6</v>
      </c>
      <c r="CR3724" t="s">
        <v>116</v>
      </c>
      <c r="CS3724">
        <v>38</v>
      </c>
      <c r="CT3724">
        <v>0</v>
      </c>
      <c r="CU3724" t="s">
        <v>4719</v>
      </c>
      <c r="CV3724" t="s">
        <v>4720</v>
      </c>
      <c r="CY3724">
        <v>8313838</v>
      </c>
      <c r="CZ3724" t="s">
        <v>119</v>
      </c>
    </row>
    <row r="3725" spans="1:104" x14ac:dyDescent="0.25">
      <c r="A3725" t="str">
        <f>"14:52:27.875"</f>
        <v>14:52:27.875</v>
      </c>
      <c r="B3725" t="s">
        <v>108</v>
      </c>
      <c r="C3725" t="str">
        <f t="shared" si="175"/>
        <v>ffdfd3c0</v>
      </c>
      <c r="D3725" t="s">
        <v>109</v>
      </c>
      <c r="E3725">
        <v>4</v>
      </c>
      <c r="F3725">
        <v>1004</v>
      </c>
      <c r="G3725" t="s">
        <v>110</v>
      </c>
      <c r="J3725" t="s">
        <v>111</v>
      </c>
      <c r="K3725">
        <v>0</v>
      </c>
      <c r="L3725">
        <v>3</v>
      </c>
      <c r="M3725">
        <v>0</v>
      </c>
      <c r="N3725">
        <v>2</v>
      </c>
      <c r="O3725">
        <v>1</v>
      </c>
      <c r="P3725">
        <v>0</v>
      </c>
      <c r="Q3725">
        <v>0</v>
      </c>
      <c r="R3725" t="s">
        <v>112</v>
      </c>
      <c r="S3725" t="str">
        <f>"14:52:27.672"</f>
        <v>14:52:27.672</v>
      </c>
      <c r="T3725" t="str">
        <f>"14:52:26.672"</f>
        <v>14:52:26.672</v>
      </c>
      <c r="U3725" t="str">
        <f t="shared" si="174"/>
        <v>ad5732</v>
      </c>
      <c r="V3725">
        <v>0</v>
      </c>
      <c r="W3725">
        <v>0</v>
      </c>
      <c r="X3725">
        <v>1</v>
      </c>
      <c r="Z3725">
        <v>0</v>
      </c>
      <c r="AA3725">
        <v>9</v>
      </c>
      <c r="AB3725">
        <v>3</v>
      </c>
      <c r="AC3725">
        <v>0</v>
      </c>
      <c r="AD3725">
        <v>10</v>
      </c>
      <c r="AE3725">
        <v>0</v>
      </c>
      <c r="AF3725">
        <v>3</v>
      </c>
      <c r="AG3725">
        <v>2</v>
      </c>
      <c r="AH3725">
        <v>0</v>
      </c>
      <c r="AI3725" t="s">
        <v>7498</v>
      </c>
      <c r="AJ3725">
        <v>40.448678000000001</v>
      </c>
      <c r="AK3725" t="s">
        <v>7499</v>
      </c>
      <c r="AL3725">
        <v>-74.418833000000006</v>
      </c>
      <c r="AM3725">
        <v>100</v>
      </c>
      <c r="AN3725">
        <v>1700</v>
      </c>
      <c r="AO3725" t="s">
        <v>115</v>
      </c>
      <c r="AP3725">
        <v>99</v>
      </c>
      <c r="AQ3725">
        <v>56</v>
      </c>
      <c r="AR3725">
        <v>0</v>
      </c>
      <c r="AZ3725">
        <v>3614</v>
      </c>
      <c r="BA3725">
        <v>1</v>
      </c>
      <c r="BB3725" t="str">
        <f t="shared" si="176"/>
        <v xml:space="preserve">N959MJ  </v>
      </c>
      <c r="BC3725">
        <v>1</v>
      </c>
      <c r="BE3725">
        <v>0</v>
      </c>
      <c r="BF3725">
        <v>0</v>
      </c>
      <c r="BG3725">
        <v>0</v>
      </c>
      <c r="BH3725">
        <v>1900</v>
      </c>
      <c r="BI3725">
        <v>200</v>
      </c>
      <c r="BJ3725">
        <v>1</v>
      </c>
      <c r="BK3725">
        <v>1</v>
      </c>
      <c r="BL3725">
        <v>1</v>
      </c>
      <c r="BM3725">
        <v>0</v>
      </c>
      <c r="BP3725">
        <v>0</v>
      </c>
      <c r="BQ3725">
        <v>0</v>
      </c>
      <c r="BX3725" t="str">
        <f>"14:52:27.672"</f>
        <v>14:52:27.672</v>
      </c>
      <c r="BY3725" t="str">
        <f>"673817658"</f>
        <v>673817658</v>
      </c>
      <c r="CL3725">
        <v>0</v>
      </c>
      <c r="CM3725">
        <v>2</v>
      </c>
      <c r="CN3725">
        <v>0</v>
      </c>
      <c r="CO3725">
        <v>2</v>
      </c>
      <c r="CP3725">
        <v>0</v>
      </c>
      <c r="CQ3725">
        <v>1</v>
      </c>
      <c r="CR3725" t="s">
        <v>116</v>
      </c>
      <c r="CS3725">
        <v>305</v>
      </c>
      <c r="CT3725">
        <v>2</v>
      </c>
      <c r="CU3725" t="s">
        <v>6425</v>
      </c>
      <c r="CV3725" t="s">
        <v>6426</v>
      </c>
      <c r="CY3725">
        <v>14198440</v>
      </c>
      <c r="CZ3725" t="s">
        <v>119</v>
      </c>
    </row>
    <row r="3726" spans="1:104" x14ac:dyDescent="0.25">
      <c r="A3726" t="str">
        <f>"14:52:28.828"</f>
        <v>14:52:28.828</v>
      </c>
      <c r="B3726" t="s">
        <v>108</v>
      </c>
      <c r="C3726" t="str">
        <f t="shared" si="175"/>
        <v>ffdfd3c0</v>
      </c>
      <c r="D3726" t="s">
        <v>109</v>
      </c>
      <c r="E3726">
        <v>4</v>
      </c>
      <c r="F3726">
        <v>1004</v>
      </c>
      <c r="G3726" t="s">
        <v>110</v>
      </c>
      <c r="J3726" t="s">
        <v>111</v>
      </c>
      <c r="K3726">
        <v>0</v>
      </c>
      <c r="L3726">
        <v>3</v>
      </c>
      <c r="M3726">
        <v>0</v>
      </c>
      <c r="N3726">
        <v>2</v>
      </c>
      <c r="O3726">
        <v>1</v>
      </c>
      <c r="P3726">
        <v>0</v>
      </c>
      <c r="Q3726">
        <v>0</v>
      </c>
      <c r="R3726" t="s">
        <v>112</v>
      </c>
      <c r="S3726" t="str">
        <f>"14:52:28.672"</f>
        <v>14:52:28.672</v>
      </c>
      <c r="T3726" t="str">
        <f>"14:52:28.273"</f>
        <v>14:52:28.273</v>
      </c>
      <c r="U3726" t="str">
        <f t="shared" si="174"/>
        <v>ad5732</v>
      </c>
      <c r="V3726">
        <v>0</v>
      </c>
      <c r="W3726">
        <v>0</v>
      </c>
      <c r="X3726">
        <v>1</v>
      </c>
      <c r="Z3726">
        <v>0</v>
      </c>
      <c r="AA3726">
        <v>9</v>
      </c>
      <c r="AB3726">
        <v>3</v>
      </c>
      <c r="AC3726">
        <v>0</v>
      </c>
      <c r="AD3726">
        <v>10</v>
      </c>
      <c r="AE3726">
        <v>0</v>
      </c>
      <c r="AF3726">
        <v>3</v>
      </c>
      <c r="AG3726">
        <v>2</v>
      </c>
      <c r="AH3726">
        <v>0</v>
      </c>
      <c r="AI3726" t="s">
        <v>7500</v>
      </c>
      <c r="AJ3726">
        <v>40.448914000000002</v>
      </c>
      <c r="AK3726" t="s">
        <v>7501</v>
      </c>
      <c r="AL3726">
        <v>-74.418210999999999</v>
      </c>
      <c r="AM3726">
        <v>100</v>
      </c>
      <c r="AN3726">
        <v>1700</v>
      </c>
      <c r="AO3726" t="s">
        <v>115</v>
      </c>
      <c r="AP3726">
        <v>99</v>
      </c>
      <c r="AQ3726">
        <v>57</v>
      </c>
      <c r="AR3726">
        <v>0</v>
      </c>
      <c r="AZ3726">
        <v>3614</v>
      </c>
      <c r="BA3726">
        <v>1</v>
      </c>
      <c r="BB3726" t="str">
        <f t="shared" si="176"/>
        <v xml:space="preserve">N959MJ  </v>
      </c>
      <c r="BC3726">
        <v>1</v>
      </c>
      <c r="BE3726">
        <v>0</v>
      </c>
      <c r="BF3726">
        <v>0</v>
      </c>
      <c r="BG3726">
        <v>0</v>
      </c>
      <c r="BH3726">
        <v>1900</v>
      </c>
      <c r="BI3726">
        <v>200</v>
      </c>
      <c r="BJ3726">
        <v>1</v>
      </c>
      <c r="BK3726">
        <v>1</v>
      </c>
      <c r="BL3726">
        <v>1</v>
      </c>
      <c r="BM3726">
        <v>0</v>
      </c>
      <c r="BP3726">
        <v>0</v>
      </c>
      <c r="BQ3726">
        <v>0</v>
      </c>
      <c r="BX3726" t="str">
        <f>"14:52:28.672"</f>
        <v>14:52:28.672</v>
      </c>
      <c r="BY3726" t="str">
        <f>"673259056"</f>
        <v>673259056</v>
      </c>
      <c r="CL3726">
        <v>0</v>
      </c>
      <c r="CM3726">
        <v>2</v>
      </c>
      <c r="CN3726">
        <v>0</v>
      </c>
      <c r="CO3726">
        <v>2</v>
      </c>
      <c r="CP3726">
        <v>0</v>
      </c>
      <c r="CQ3726">
        <v>7</v>
      </c>
      <c r="CR3726" t="s">
        <v>116</v>
      </c>
      <c r="CS3726">
        <v>305</v>
      </c>
      <c r="CT3726">
        <v>3</v>
      </c>
      <c r="CU3726" t="s">
        <v>6425</v>
      </c>
      <c r="CV3726" t="s">
        <v>6426</v>
      </c>
      <c r="CY3726">
        <v>6264203</v>
      </c>
      <c r="CZ3726" t="s">
        <v>119</v>
      </c>
    </row>
    <row r="3727" spans="1:104" x14ac:dyDescent="0.25">
      <c r="A3727" t="str">
        <f>"14:52:29.789"</f>
        <v>14:52:29.789</v>
      </c>
      <c r="B3727" t="s">
        <v>108</v>
      </c>
      <c r="C3727" t="str">
        <f t="shared" si="175"/>
        <v>ffdfd3c0</v>
      </c>
      <c r="D3727" t="s">
        <v>109</v>
      </c>
      <c r="E3727">
        <v>4</v>
      </c>
      <c r="F3727">
        <v>1004</v>
      </c>
      <c r="G3727" t="s">
        <v>110</v>
      </c>
      <c r="J3727" t="s">
        <v>111</v>
      </c>
      <c r="K3727">
        <v>0</v>
      </c>
      <c r="L3727">
        <v>3</v>
      </c>
      <c r="M3727">
        <v>0</v>
      </c>
      <c r="N3727">
        <v>2</v>
      </c>
      <c r="O3727">
        <v>1</v>
      </c>
      <c r="P3727">
        <v>0</v>
      </c>
      <c r="Q3727">
        <v>0</v>
      </c>
      <c r="R3727" t="s">
        <v>112</v>
      </c>
      <c r="S3727" t="str">
        <f>"14:52:29.609"</f>
        <v>14:52:29.609</v>
      </c>
      <c r="T3727" t="str">
        <f>"14:52:29.109"</f>
        <v>14:52:29.109</v>
      </c>
      <c r="U3727" t="str">
        <f t="shared" si="174"/>
        <v>ad5732</v>
      </c>
      <c r="V3727">
        <v>0</v>
      </c>
      <c r="W3727">
        <v>0</v>
      </c>
      <c r="X3727">
        <v>1</v>
      </c>
      <c r="Z3727">
        <v>0</v>
      </c>
      <c r="AA3727">
        <v>9</v>
      </c>
      <c r="AB3727">
        <v>3</v>
      </c>
      <c r="AC3727">
        <v>0</v>
      </c>
      <c r="AD3727">
        <v>10</v>
      </c>
      <c r="AE3727">
        <v>0</v>
      </c>
      <c r="AF3727">
        <v>3</v>
      </c>
      <c r="AG3727">
        <v>2</v>
      </c>
      <c r="AH3727">
        <v>0</v>
      </c>
      <c r="AI3727" t="s">
        <v>7502</v>
      </c>
      <c r="AJ3727">
        <v>40.449193000000001</v>
      </c>
      <c r="AK3727" t="s">
        <v>7503</v>
      </c>
      <c r="AL3727">
        <v>-74.417653000000001</v>
      </c>
      <c r="AM3727">
        <v>100</v>
      </c>
      <c r="AN3727">
        <v>1700</v>
      </c>
      <c r="AO3727" t="s">
        <v>115</v>
      </c>
      <c r="AP3727">
        <v>99</v>
      </c>
      <c r="AQ3727">
        <v>57</v>
      </c>
      <c r="AR3727">
        <v>0</v>
      </c>
      <c r="AZ3727">
        <v>3614</v>
      </c>
      <c r="BA3727">
        <v>1</v>
      </c>
      <c r="BB3727" t="str">
        <f t="shared" si="176"/>
        <v xml:space="preserve">N959MJ  </v>
      </c>
      <c r="BC3727">
        <v>1</v>
      </c>
      <c r="BE3727">
        <v>0</v>
      </c>
      <c r="BF3727">
        <v>0</v>
      </c>
      <c r="BG3727">
        <v>0</v>
      </c>
      <c r="BH3727">
        <v>1900</v>
      </c>
      <c r="BI3727">
        <v>200</v>
      </c>
      <c r="BJ3727">
        <v>1</v>
      </c>
      <c r="BK3727">
        <v>1</v>
      </c>
      <c r="BL3727">
        <v>1</v>
      </c>
      <c r="BM3727">
        <v>0</v>
      </c>
      <c r="BP3727">
        <v>0</v>
      </c>
      <c r="BQ3727">
        <v>0</v>
      </c>
      <c r="BX3727" t="str">
        <f>"14:52:29.609"</f>
        <v>14:52:29.609</v>
      </c>
      <c r="BY3727" t="str">
        <f>"612079014"</f>
        <v>612079014</v>
      </c>
      <c r="CL3727">
        <v>0</v>
      </c>
      <c r="CM3727">
        <v>2</v>
      </c>
      <c r="CN3727">
        <v>0</v>
      </c>
      <c r="CO3727">
        <v>2</v>
      </c>
      <c r="CP3727">
        <v>0</v>
      </c>
      <c r="CQ3727">
        <v>7</v>
      </c>
      <c r="CR3727" t="s">
        <v>116</v>
      </c>
      <c r="CS3727">
        <v>305</v>
      </c>
      <c r="CT3727">
        <v>3</v>
      </c>
      <c r="CU3727" t="s">
        <v>6425</v>
      </c>
      <c r="CV3727" t="s">
        <v>6426</v>
      </c>
      <c r="CY3727">
        <v>6266204</v>
      </c>
      <c r="CZ3727" t="s">
        <v>119</v>
      </c>
    </row>
    <row r="3728" spans="1:104" x14ac:dyDescent="0.25">
      <c r="A3728" t="str">
        <f>"14:52:30.852"</f>
        <v>14:52:30.852</v>
      </c>
      <c r="B3728" t="s">
        <v>108</v>
      </c>
      <c r="C3728" t="str">
        <f t="shared" si="175"/>
        <v>ffdfd3c0</v>
      </c>
      <c r="D3728" t="s">
        <v>109</v>
      </c>
      <c r="E3728">
        <v>4</v>
      </c>
      <c r="F3728">
        <v>1004</v>
      </c>
      <c r="G3728" t="s">
        <v>110</v>
      </c>
      <c r="J3728" t="s">
        <v>111</v>
      </c>
      <c r="K3728">
        <v>0</v>
      </c>
      <c r="L3728">
        <v>3</v>
      </c>
      <c r="M3728">
        <v>0</v>
      </c>
      <c r="N3728">
        <v>2</v>
      </c>
      <c r="O3728">
        <v>1</v>
      </c>
      <c r="P3728">
        <v>0</v>
      </c>
      <c r="Q3728">
        <v>0</v>
      </c>
      <c r="R3728" t="s">
        <v>112</v>
      </c>
      <c r="S3728" t="str">
        <f>"14:52:30.664"</f>
        <v>14:52:30.664</v>
      </c>
      <c r="T3728" t="str">
        <f>"14:52:30.164"</f>
        <v>14:52:30.164</v>
      </c>
      <c r="U3728" t="str">
        <f t="shared" si="174"/>
        <v>ad5732</v>
      </c>
      <c r="V3728">
        <v>0</v>
      </c>
      <c r="W3728">
        <v>0</v>
      </c>
      <c r="X3728">
        <v>1</v>
      </c>
      <c r="Z3728">
        <v>0</v>
      </c>
      <c r="AA3728">
        <v>9</v>
      </c>
      <c r="AB3728">
        <v>3</v>
      </c>
      <c r="AC3728">
        <v>0</v>
      </c>
      <c r="AD3728">
        <v>10</v>
      </c>
      <c r="AE3728">
        <v>0</v>
      </c>
      <c r="AF3728">
        <v>3</v>
      </c>
      <c r="AG3728">
        <v>2</v>
      </c>
      <c r="AH3728">
        <v>0</v>
      </c>
      <c r="AI3728" t="s">
        <v>7504</v>
      </c>
      <c r="AJ3728">
        <v>40.449471000000003</v>
      </c>
      <c r="AK3728" t="s">
        <v>7505</v>
      </c>
      <c r="AL3728">
        <v>-74.417008999999993</v>
      </c>
      <c r="AM3728">
        <v>100</v>
      </c>
      <c r="AN3728">
        <v>1700</v>
      </c>
      <c r="AO3728" t="s">
        <v>115</v>
      </c>
      <c r="AP3728">
        <v>99</v>
      </c>
      <c r="AQ3728">
        <v>57</v>
      </c>
      <c r="AR3728">
        <v>0</v>
      </c>
      <c r="AZ3728">
        <v>3614</v>
      </c>
      <c r="BA3728">
        <v>1</v>
      </c>
      <c r="BB3728" t="str">
        <f t="shared" si="176"/>
        <v xml:space="preserve">N959MJ  </v>
      </c>
      <c r="BC3728">
        <v>1</v>
      </c>
      <c r="BE3728">
        <v>0</v>
      </c>
      <c r="BF3728">
        <v>0</v>
      </c>
      <c r="BG3728">
        <v>0</v>
      </c>
      <c r="BH3728">
        <v>1900</v>
      </c>
      <c r="BI3728">
        <v>200</v>
      </c>
      <c r="BJ3728">
        <v>1</v>
      </c>
      <c r="BK3728">
        <v>1</v>
      </c>
      <c r="BL3728">
        <v>1</v>
      </c>
      <c r="BM3728">
        <v>0</v>
      </c>
      <c r="BP3728">
        <v>0</v>
      </c>
      <c r="BQ3728">
        <v>0</v>
      </c>
      <c r="BX3728" t="str">
        <f>"14:52:30.664"</f>
        <v>14:52:30.664</v>
      </c>
      <c r="BY3728" t="str">
        <f>"665611933"</f>
        <v>665611933</v>
      </c>
      <c r="CL3728">
        <v>0</v>
      </c>
      <c r="CM3728">
        <v>2</v>
      </c>
      <c r="CN3728">
        <v>0</v>
      </c>
      <c r="CO3728">
        <v>2</v>
      </c>
      <c r="CP3728">
        <v>0</v>
      </c>
      <c r="CQ3728">
        <v>6</v>
      </c>
      <c r="CR3728" t="s">
        <v>116</v>
      </c>
      <c r="CS3728">
        <v>38</v>
      </c>
      <c r="CT3728">
        <v>0</v>
      </c>
      <c r="CU3728" t="s">
        <v>4719</v>
      </c>
      <c r="CV3728" t="s">
        <v>4720</v>
      </c>
      <c r="CY3728">
        <v>8319903</v>
      </c>
      <c r="CZ3728" t="s">
        <v>119</v>
      </c>
    </row>
    <row r="3729" spans="1:104" x14ac:dyDescent="0.25">
      <c r="A3729" t="str">
        <f>"14:52:31.813"</f>
        <v>14:52:31.813</v>
      </c>
      <c r="B3729" t="s">
        <v>108</v>
      </c>
      <c r="C3729" t="str">
        <f t="shared" si="175"/>
        <v>ffdfd3c0</v>
      </c>
      <c r="D3729" t="s">
        <v>109</v>
      </c>
      <c r="E3729">
        <v>4</v>
      </c>
      <c r="F3729">
        <v>1004</v>
      </c>
      <c r="G3729" t="s">
        <v>110</v>
      </c>
      <c r="J3729" t="s">
        <v>111</v>
      </c>
      <c r="K3729">
        <v>0</v>
      </c>
      <c r="L3729">
        <v>3</v>
      </c>
      <c r="M3729">
        <v>0</v>
      </c>
      <c r="N3729">
        <v>2</v>
      </c>
      <c r="O3729">
        <v>1</v>
      </c>
      <c r="P3729">
        <v>0</v>
      </c>
      <c r="Q3729">
        <v>0</v>
      </c>
      <c r="R3729" t="s">
        <v>112</v>
      </c>
      <c r="S3729" t="str">
        <f>"14:52:31.656"</f>
        <v>14:52:31.656</v>
      </c>
      <c r="T3729" t="str">
        <f>"14:52:31.258"</f>
        <v>14:52:31.258</v>
      </c>
      <c r="U3729" t="str">
        <f t="shared" si="174"/>
        <v>ad5732</v>
      </c>
      <c r="V3729">
        <v>0</v>
      </c>
      <c r="W3729">
        <v>0</v>
      </c>
      <c r="X3729">
        <v>1</v>
      </c>
      <c r="Z3729">
        <v>0</v>
      </c>
      <c r="AA3729">
        <v>9</v>
      </c>
      <c r="AB3729">
        <v>3</v>
      </c>
      <c r="AC3729">
        <v>0</v>
      </c>
      <c r="AD3729">
        <v>10</v>
      </c>
      <c r="AE3729">
        <v>0</v>
      </c>
      <c r="AF3729">
        <v>3</v>
      </c>
      <c r="AG3729">
        <v>2</v>
      </c>
      <c r="AH3729">
        <v>0</v>
      </c>
      <c r="AI3729" t="s">
        <v>7506</v>
      </c>
      <c r="AJ3729">
        <v>40.449708000000001</v>
      </c>
      <c r="AK3729" t="s">
        <v>7507</v>
      </c>
      <c r="AL3729">
        <v>-74.416450999999995</v>
      </c>
      <c r="AM3729">
        <v>100</v>
      </c>
      <c r="AN3729">
        <v>1700</v>
      </c>
      <c r="AO3729" t="s">
        <v>115</v>
      </c>
      <c r="AP3729">
        <v>98</v>
      </c>
      <c r="AQ3729">
        <v>57</v>
      </c>
      <c r="AR3729">
        <v>0</v>
      </c>
      <c r="AZ3729">
        <v>3614</v>
      </c>
      <c r="BA3729">
        <v>1</v>
      </c>
      <c r="BB3729" t="str">
        <f t="shared" si="176"/>
        <v xml:space="preserve">N959MJ  </v>
      </c>
      <c r="BC3729">
        <v>1</v>
      </c>
      <c r="BE3729">
        <v>0</v>
      </c>
      <c r="BF3729">
        <v>0</v>
      </c>
      <c r="BG3729">
        <v>0</v>
      </c>
      <c r="BH3729">
        <v>1900</v>
      </c>
      <c r="BI3729">
        <v>200</v>
      </c>
      <c r="BJ3729">
        <v>1</v>
      </c>
      <c r="BK3729">
        <v>1</v>
      </c>
      <c r="BL3729">
        <v>1</v>
      </c>
      <c r="BM3729">
        <v>0</v>
      </c>
      <c r="BP3729">
        <v>0</v>
      </c>
      <c r="BQ3729">
        <v>0</v>
      </c>
      <c r="BX3729" t="str">
        <f>"14:52:31.656"</f>
        <v>14:52:31.656</v>
      </c>
      <c r="BY3729" t="str">
        <f>"656861437"</f>
        <v>656861437</v>
      </c>
      <c r="CL3729">
        <v>0</v>
      </c>
      <c r="CM3729">
        <v>2</v>
      </c>
      <c r="CN3729">
        <v>0</v>
      </c>
      <c r="CO3729">
        <v>2</v>
      </c>
      <c r="CP3729">
        <v>0</v>
      </c>
      <c r="CQ3729">
        <v>6</v>
      </c>
      <c r="CR3729" t="s">
        <v>116</v>
      </c>
      <c r="CS3729">
        <v>38</v>
      </c>
      <c r="CT3729">
        <v>0</v>
      </c>
      <c r="CU3729" t="s">
        <v>4719</v>
      </c>
      <c r="CV3729" t="s">
        <v>4720</v>
      </c>
      <c r="CY3729">
        <v>8321421</v>
      </c>
      <c r="CZ3729" t="s">
        <v>119</v>
      </c>
    </row>
    <row r="3730" spans="1:104" x14ac:dyDescent="0.25">
      <c r="A3730" t="str">
        <f>"14:52:32.977"</f>
        <v>14:52:32.977</v>
      </c>
      <c r="B3730" t="s">
        <v>108</v>
      </c>
      <c r="C3730" t="str">
        <f t="shared" si="175"/>
        <v>ffdfd3c0</v>
      </c>
      <c r="D3730" t="s">
        <v>109</v>
      </c>
      <c r="E3730">
        <v>4</v>
      </c>
      <c r="F3730">
        <v>1004</v>
      </c>
      <c r="G3730" t="s">
        <v>110</v>
      </c>
      <c r="J3730" t="s">
        <v>111</v>
      </c>
      <c r="K3730">
        <v>0</v>
      </c>
      <c r="L3730">
        <v>3</v>
      </c>
      <c r="M3730">
        <v>0</v>
      </c>
      <c r="N3730">
        <v>2</v>
      </c>
      <c r="O3730">
        <v>1</v>
      </c>
      <c r="P3730">
        <v>0</v>
      </c>
      <c r="Q3730">
        <v>0</v>
      </c>
      <c r="R3730" t="s">
        <v>112</v>
      </c>
      <c r="S3730" t="str">
        <f>"14:52:32.766"</f>
        <v>14:52:32.766</v>
      </c>
      <c r="T3730" t="str">
        <f>"14:52:32.266"</f>
        <v>14:52:32.266</v>
      </c>
      <c r="U3730" t="str">
        <f t="shared" si="174"/>
        <v>ad5732</v>
      </c>
      <c r="V3730">
        <v>0</v>
      </c>
      <c r="W3730">
        <v>0</v>
      </c>
      <c r="X3730">
        <v>1</v>
      </c>
      <c r="Z3730">
        <v>0</v>
      </c>
      <c r="AA3730">
        <v>9</v>
      </c>
      <c r="AB3730">
        <v>3</v>
      </c>
      <c r="AC3730">
        <v>0</v>
      </c>
      <c r="AD3730">
        <v>10</v>
      </c>
      <c r="AE3730">
        <v>0</v>
      </c>
      <c r="AF3730">
        <v>3</v>
      </c>
      <c r="AG3730">
        <v>2</v>
      </c>
      <c r="AH3730">
        <v>0</v>
      </c>
      <c r="AI3730" t="s">
        <v>7508</v>
      </c>
      <c r="AJ3730">
        <v>40.450007999999997</v>
      </c>
      <c r="AK3730" t="s">
        <v>7509</v>
      </c>
      <c r="AL3730">
        <v>-74.415764999999993</v>
      </c>
      <c r="AM3730">
        <v>100</v>
      </c>
      <c r="AN3730">
        <v>1700</v>
      </c>
      <c r="AO3730" t="s">
        <v>115</v>
      </c>
      <c r="AP3730">
        <v>98</v>
      </c>
      <c r="AQ3730">
        <v>57</v>
      </c>
      <c r="AR3730">
        <v>0</v>
      </c>
      <c r="AZ3730">
        <v>3614</v>
      </c>
      <c r="BA3730">
        <v>1</v>
      </c>
      <c r="BB3730" t="str">
        <f t="shared" si="176"/>
        <v xml:space="preserve">N959MJ  </v>
      </c>
      <c r="BC3730">
        <v>1</v>
      </c>
      <c r="BE3730">
        <v>0</v>
      </c>
      <c r="BF3730">
        <v>0</v>
      </c>
      <c r="BG3730">
        <v>0</v>
      </c>
      <c r="BH3730">
        <v>1900</v>
      </c>
      <c r="BI3730">
        <v>200</v>
      </c>
      <c r="BJ3730">
        <v>1</v>
      </c>
      <c r="BK3730">
        <v>1</v>
      </c>
      <c r="BL3730">
        <v>1</v>
      </c>
      <c r="BM3730">
        <v>0</v>
      </c>
      <c r="BP3730">
        <v>0</v>
      </c>
      <c r="BQ3730">
        <v>0</v>
      </c>
      <c r="BX3730" t="str">
        <f>"14:52:32.766"</f>
        <v>14:52:32.766</v>
      </c>
      <c r="BY3730" t="str">
        <f>"767802624"</f>
        <v>767802624</v>
      </c>
      <c r="CL3730">
        <v>0</v>
      </c>
      <c r="CM3730">
        <v>2</v>
      </c>
      <c r="CN3730">
        <v>0</v>
      </c>
      <c r="CO3730">
        <v>2</v>
      </c>
      <c r="CP3730">
        <v>0</v>
      </c>
      <c r="CQ3730">
        <v>5</v>
      </c>
      <c r="CR3730" t="s">
        <v>116</v>
      </c>
      <c r="CS3730">
        <v>409</v>
      </c>
      <c r="CT3730">
        <v>1</v>
      </c>
      <c r="CU3730" t="s">
        <v>5087</v>
      </c>
      <c r="CV3730" t="s">
        <v>5088</v>
      </c>
      <c r="CY3730">
        <v>4813506</v>
      </c>
      <c r="CZ3730" t="s">
        <v>119</v>
      </c>
    </row>
    <row r="3731" spans="1:104" x14ac:dyDescent="0.25">
      <c r="A3731" t="str">
        <f>"14:52:33.781"</f>
        <v>14:52:33.781</v>
      </c>
      <c r="B3731" t="s">
        <v>108</v>
      </c>
      <c r="C3731" t="str">
        <f t="shared" si="175"/>
        <v>ffdfd3c0</v>
      </c>
      <c r="D3731" t="s">
        <v>109</v>
      </c>
      <c r="E3731">
        <v>4</v>
      </c>
      <c r="F3731">
        <v>1004</v>
      </c>
      <c r="G3731" t="s">
        <v>110</v>
      </c>
      <c r="J3731" t="s">
        <v>111</v>
      </c>
      <c r="K3731">
        <v>0</v>
      </c>
      <c r="L3731">
        <v>3</v>
      </c>
      <c r="M3731">
        <v>0</v>
      </c>
      <c r="N3731">
        <v>2</v>
      </c>
      <c r="O3731">
        <v>1</v>
      </c>
      <c r="P3731">
        <v>0</v>
      </c>
      <c r="Q3731">
        <v>0</v>
      </c>
      <c r="R3731" t="s">
        <v>112</v>
      </c>
      <c r="S3731" t="str">
        <f>"14:52:33.594"</f>
        <v>14:52:33.594</v>
      </c>
      <c r="T3731" t="str">
        <f>"14:52:33.195"</f>
        <v>14:52:33.195</v>
      </c>
      <c r="U3731" t="str">
        <f t="shared" si="174"/>
        <v>ad5732</v>
      </c>
      <c r="V3731">
        <v>0</v>
      </c>
      <c r="W3731">
        <v>0</v>
      </c>
      <c r="X3731">
        <v>1</v>
      </c>
      <c r="Z3731">
        <v>0</v>
      </c>
      <c r="AA3731">
        <v>9</v>
      </c>
      <c r="AB3731">
        <v>3</v>
      </c>
      <c r="AC3731">
        <v>0</v>
      </c>
      <c r="AD3731">
        <v>10</v>
      </c>
      <c r="AE3731">
        <v>0</v>
      </c>
      <c r="AF3731">
        <v>3</v>
      </c>
      <c r="AG3731">
        <v>2</v>
      </c>
      <c r="AH3731">
        <v>0</v>
      </c>
      <c r="AI3731" t="s">
        <v>7510</v>
      </c>
      <c r="AJ3731">
        <v>40.450243999999998</v>
      </c>
      <c r="AK3731" t="s">
        <v>7511</v>
      </c>
      <c r="AL3731">
        <v>-74.415293000000005</v>
      </c>
      <c r="AM3731">
        <v>100</v>
      </c>
      <c r="AN3731">
        <v>1700</v>
      </c>
      <c r="AO3731" t="s">
        <v>115</v>
      </c>
      <c r="AP3731">
        <v>98</v>
      </c>
      <c r="AQ3731">
        <v>57</v>
      </c>
      <c r="AR3731">
        <v>0</v>
      </c>
      <c r="AZ3731">
        <v>3614</v>
      </c>
      <c r="BA3731">
        <v>1</v>
      </c>
      <c r="BB3731" t="str">
        <f t="shared" si="176"/>
        <v xml:space="preserve">N959MJ  </v>
      </c>
      <c r="BC3731">
        <v>1</v>
      </c>
      <c r="BE3731">
        <v>0</v>
      </c>
      <c r="BF3731">
        <v>0</v>
      </c>
      <c r="BG3731">
        <v>0</v>
      </c>
      <c r="BH3731">
        <v>1900</v>
      </c>
      <c r="BI3731">
        <v>200</v>
      </c>
      <c r="BJ3731">
        <v>1</v>
      </c>
      <c r="BK3731">
        <v>1</v>
      </c>
      <c r="BL3731">
        <v>1</v>
      </c>
      <c r="BM3731">
        <v>0</v>
      </c>
      <c r="BP3731">
        <v>0</v>
      </c>
      <c r="BQ3731">
        <v>0</v>
      </c>
      <c r="BX3731" t="str">
        <f>"14:52:33.602"</f>
        <v>14:52:33.602</v>
      </c>
      <c r="BY3731" t="str">
        <f>"600013685"</f>
        <v>600013685</v>
      </c>
      <c r="CL3731">
        <v>0</v>
      </c>
      <c r="CM3731">
        <v>2</v>
      </c>
      <c r="CN3731">
        <v>0</v>
      </c>
      <c r="CO3731">
        <v>2</v>
      </c>
      <c r="CP3731">
        <v>0</v>
      </c>
      <c r="CQ3731">
        <v>6</v>
      </c>
      <c r="CR3731" t="s">
        <v>116</v>
      </c>
      <c r="CS3731">
        <v>305</v>
      </c>
      <c r="CT3731">
        <v>3</v>
      </c>
      <c r="CU3731" t="s">
        <v>6425</v>
      </c>
      <c r="CV3731" t="s">
        <v>6426</v>
      </c>
      <c r="CY3731">
        <v>6274455</v>
      </c>
      <c r="CZ3731" t="s">
        <v>119</v>
      </c>
    </row>
    <row r="3732" spans="1:104" x14ac:dyDescent="0.25">
      <c r="A3732" t="str">
        <f>"14:52:34.844"</f>
        <v>14:52:34.844</v>
      </c>
      <c r="B3732" t="s">
        <v>108</v>
      </c>
      <c r="C3732" t="str">
        <f t="shared" si="175"/>
        <v>ffdfd3c0</v>
      </c>
      <c r="D3732" t="s">
        <v>109</v>
      </c>
      <c r="E3732">
        <v>4</v>
      </c>
      <c r="F3732">
        <v>1004</v>
      </c>
      <c r="G3732" t="s">
        <v>110</v>
      </c>
      <c r="J3732" t="s">
        <v>111</v>
      </c>
      <c r="K3732">
        <v>0</v>
      </c>
      <c r="L3732">
        <v>3</v>
      </c>
      <c r="M3732">
        <v>0</v>
      </c>
      <c r="N3732">
        <v>2</v>
      </c>
      <c r="O3732">
        <v>1</v>
      </c>
      <c r="P3732">
        <v>0</v>
      </c>
      <c r="Q3732">
        <v>0</v>
      </c>
      <c r="R3732" t="s">
        <v>112</v>
      </c>
      <c r="S3732" t="str">
        <f>"14:52:34.680"</f>
        <v>14:52:34.680</v>
      </c>
      <c r="T3732" t="str">
        <f>"14:52:34.180"</f>
        <v>14:52:34.180</v>
      </c>
      <c r="U3732" t="str">
        <f t="shared" si="174"/>
        <v>ad5732</v>
      </c>
      <c r="V3732">
        <v>0</v>
      </c>
      <c r="W3732">
        <v>0</v>
      </c>
      <c r="X3732">
        <v>1</v>
      </c>
      <c r="Z3732">
        <v>0</v>
      </c>
      <c r="AA3732">
        <v>9</v>
      </c>
      <c r="AB3732">
        <v>3</v>
      </c>
      <c r="AC3732">
        <v>0</v>
      </c>
      <c r="AD3732">
        <v>10</v>
      </c>
      <c r="AE3732">
        <v>0</v>
      </c>
      <c r="AF3732">
        <v>3</v>
      </c>
      <c r="AG3732">
        <v>2</v>
      </c>
      <c r="AH3732">
        <v>0</v>
      </c>
      <c r="AI3732" t="s">
        <v>7512</v>
      </c>
      <c r="AJ3732">
        <v>40.450501000000003</v>
      </c>
      <c r="AK3732" t="s">
        <v>7513</v>
      </c>
      <c r="AL3732">
        <v>-74.414648999999997</v>
      </c>
      <c r="AM3732">
        <v>100</v>
      </c>
      <c r="AN3732">
        <v>1700</v>
      </c>
      <c r="AO3732" t="s">
        <v>115</v>
      </c>
      <c r="AP3732">
        <v>98</v>
      </c>
      <c r="AQ3732">
        <v>57</v>
      </c>
      <c r="AR3732">
        <v>0</v>
      </c>
      <c r="AZ3732">
        <v>3614</v>
      </c>
      <c r="BA3732">
        <v>1</v>
      </c>
      <c r="BB3732" t="str">
        <f t="shared" si="176"/>
        <v xml:space="preserve">N959MJ  </v>
      </c>
      <c r="BC3732">
        <v>1</v>
      </c>
      <c r="BE3732">
        <v>0</v>
      </c>
      <c r="BF3732">
        <v>0</v>
      </c>
      <c r="BG3732">
        <v>0</v>
      </c>
      <c r="BH3732">
        <v>1900</v>
      </c>
      <c r="BI3732">
        <v>200</v>
      </c>
      <c r="BJ3732">
        <v>1</v>
      </c>
      <c r="BK3732">
        <v>1</v>
      </c>
      <c r="BL3732">
        <v>1</v>
      </c>
      <c r="BM3732">
        <v>0</v>
      </c>
      <c r="BP3732">
        <v>0</v>
      </c>
      <c r="BQ3732">
        <v>0</v>
      </c>
      <c r="BX3732" t="str">
        <f>"14:52:34.680"</f>
        <v>14:52:34.680</v>
      </c>
      <c r="BY3732" t="str">
        <f>"681401520"</f>
        <v>681401520</v>
      </c>
      <c r="CL3732">
        <v>0</v>
      </c>
      <c r="CM3732">
        <v>2</v>
      </c>
      <c r="CN3732">
        <v>0</v>
      </c>
      <c r="CO3732">
        <v>2</v>
      </c>
      <c r="CP3732">
        <v>0</v>
      </c>
      <c r="CQ3732">
        <v>6</v>
      </c>
      <c r="CR3732" t="s">
        <v>116</v>
      </c>
      <c r="CS3732">
        <v>38</v>
      </c>
      <c r="CT3732">
        <v>0</v>
      </c>
      <c r="CU3732" t="s">
        <v>4719</v>
      </c>
      <c r="CV3732" t="s">
        <v>4720</v>
      </c>
      <c r="CY3732">
        <v>8326105</v>
      </c>
      <c r="CZ3732" t="s">
        <v>119</v>
      </c>
    </row>
    <row r="3733" spans="1:104" x14ac:dyDescent="0.25">
      <c r="A3733" t="str">
        <f>"14:52:35.797"</f>
        <v>14:52:35.797</v>
      </c>
      <c r="B3733" t="s">
        <v>108</v>
      </c>
      <c r="C3733" t="str">
        <f t="shared" si="175"/>
        <v>ffdfd3c0</v>
      </c>
      <c r="D3733" t="s">
        <v>109</v>
      </c>
      <c r="E3733">
        <v>4</v>
      </c>
      <c r="F3733">
        <v>1004</v>
      </c>
      <c r="G3733" t="s">
        <v>110</v>
      </c>
      <c r="J3733" t="s">
        <v>111</v>
      </c>
      <c r="K3733">
        <v>0</v>
      </c>
      <c r="L3733">
        <v>3</v>
      </c>
      <c r="M3733">
        <v>0</v>
      </c>
      <c r="N3733">
        <v>2</v>
      </c>
      <c r="O3733">
        <v>1</v>
      </c>
      <c r="P3733">
        <v>0</v>
      </c>
      <c r="Q3733">
        <v>0</v>
      </c>
      <c r="R3733" t="s">
        <v>112</v>
      </c>
      <c r="S3733" t="str">
        <f>"14:52:35.570"</f>
        <v>14:52:35.570</v>
      </c>
      <c r="T3733" t="str">
        <f>"14:52:35.172"</f>
        <v>14:52:35.172</v>
      </c>
      <c r="U3733" t="str">
        <f t="shared" si="174"/>
        <v>ad5732</v>
      </c>
      <c r="V3733">
        <v>0</v>
      </c>
      <c r="W3733">
        <v>0</v>
      </c>
      <c r="X3733">
        <v>1</v>
      </c>
      <c r="Z3733">
        <v>0</v>
      </c>
      <c r="AA3733">
        <v>9</v>
      </c>
      <c r="AB3733">
        <v>3</v>
      </c>
      <c r="AC3733">
        <v>0</v>
      </c>
      <c r="AD3733">
        <v>10</v>
      </c>
      <c r="AE3733">
        <v>0</v>
      </c>
      <c r="AF3733">
        <v>3</v>
      </c>
      <c r="AG3733">
        <v>2</v>
      </c>
      <c r="AH3733">
        <v>0</v>
      </c>
      <c r="AI3733" t="s">
        <v>7514</v>
      </c>
      <c r="AJ3733">
        <v>40.450736999999997</v>
      </c>
      <c r="AK3733" t="s">
        <v>7515</v>
      </c>
      <c r="AL3733">
        <v>-74.414134000000004</v>
      </c>
      <c r="AM3733">
        <v>100</v>
      </c>
      <c r="AN3733">
        <v>1700</v>
      </c>
      <c r="AO3733" t="s">
        <v>115</v>
      </c>
      <c r="AP3733">
        <v>98</v>
      </c>
      <c r="AQ3733">
        <v>57</v>
      </c>
      <c r="AR3733">
        <v>0</v>
      </c>
      <c r="AZ3733">
        <v>3614</v>
      </c>
      <c r="BA3733">
        <v>1</v>
      </c>
      <c r="BB3733" t="str">
        <f t="shared" si="176"/>
        <v xml:space="preserve">N959MJ  </v>
      </c>
      <c r="BC3733">
        <v>1</v>
      </c>
      <c r="BE3733">
        <v>0</v>
      </c>
      <c r="BF3733">
        <v>0</v>
      </c>
      <c r="BG3733">
        <v>0</v>
      </c>
      <c r="BH3733">
        <v>1900</v>
      </c>
      <c r="BI3733">
        <v>200</v>
      </c>
      <c r="BJ3733">
        <v>1</v>
      </c>
      <c r="BK3733">
        <v>1</v>
      </c>
      <c r="BL3733">
        <v>1</v>
      </c>
      <c r="BM3733">
        <v>0</v>
      </c>
      <c r="BP3733">
        <v>0</v>
      </c>
      <c r="BQ3733">
        <v>0</v>
      </c>
      <c r="BX3733" t="str">
        <f>"14:52:35.578"</f>
        <v>14:52:35.578</v>
      </c>
      <c r="BY3733" t="str">
        <f>"574345371"</f>
        <v>574345371</v>
      </c>
      <c r="CL3733">
        <v>0</v>
      </c>
      <c r="CM3733">
        <v>2</v>
      </c>
      <c r="CN3733">
        <v>0</v>
      </c>
      <c r="CO3733">
        <v>2</v>
      </c>
      <c r="CP3733">
        <v>0</v>
      </c>
      <c r="CQ3733">
        <v>6</v>
      </c>
      <c r="CR3733" t="s">
        <v>116</v>
      </c>
      <c r="CS3733">
        <v>38</v>
      </c>
      <c r="CT3733">
        <v>1</v>
      </c>
      <c r="CU3733" t="s">
        <v>4719</v>
      </c>
      <c r="CV3733" t="s">
        <v>4720</v>
      </c>
      <c r="CY3733">
        <v>12261949</v>
      </c>
      <c r="CZ3733" t="s">
        <v>119</v>
      </c>
    </row>
    <row r="3734" spans="1:104" x14ac:dyDescent="0.25">
      <c r="A3734" t="str">
        <f>"14:52:36.758"</f>
        <v>14:52:36.758</v>
      </c>
      <c r="B3734" t="s">
        <v>108</v>
      </c>
      <c r="C3734" t="str">
        <f t="shared" si="175"/>
        <v>ffdfd3c0</v>
      </c>
      <c r="D3734" t="s">
        <v>109</v>
      </c>
      <c r="E3734">
        <v>4</v>
      </c>
      <c r="F3734">
        <v>1004</v>
      </c>
      <c r="G3734" t="s">
        <v>110</v>
      </c>
      <c r="J3734" t="s">
        <v>111</v>
      </c>
      <c r="K3734">
        <v>0</v>
      </c>
      <c r="L3734">
        <v>3</v>
      </c>
      <c r="M3734">
        <v>0</v>
      </c>
      <c r="N3734">
        <v>2</v>
      </c>
      <c r="O3734">
        <v>1</v>
      </c>
      <c r="P3734">
        <v>0</v>
      </c>
      <c r="Q3734">
        <v>0</v>
      </c>
      <c r="R3734" t="s">
        <v>112</v>
      </c>
      <c r="S3734" t="str">
        <f>"14:52:36.602"</f>
        <v>14:52:36.602</v>
      </c>
      <c r="T3734" t="str">
        <f>"14:52:36.102"</f>
        <v>14:52:36.102</v>
      </c>
      <c r="U3734" t="str">
        <f t="shared" si="174"/>
        <v>ad5732</v>
      </c>
      <c r="V3734">
        <v>0</v>
      </c>
      <c r="W3734">
        <v>0</v>
      </c>
      <c r="X3734">
        <v>1</v>
      </c>
      <c r="Z3734">
        <v>0</v>
      </c>
      <c r="AA3734">
        <v>9</v>
      </c>
      <c r="AB3734">
        <v>3</v>
      </c>
      <c r="AC3734">
        <v>0</v>
      </c>
      <c r="AD3734">
        <v>10</v>
      </c>
      <c r="AE3734">
        <v>0</v>
      </c>
      <c r="AF3734">
        <v>3</v>
      </c>
      <c r="AG3734">
        <v>2</v>
      </c>
      <c r="AH3734">
        <v>0</v>
      </c>
      <c r="AI3734" t="s">
        <v>7516</v>
      </c>
      <c r="AJ3734">
        <v>40.451016000000003</v>
      </c>
      <c r="AK3734" t="s">
        <v>7517</v>
      </c>
      <c r="AL3734">
        <v>-74.413511999999997</v>
      </c>
      <c r="AM3734">
        <v>100</v>
      </c>
      <c r="AN3734">
        <v>1700</v>
      </c>
      <c r="AO3734" t="s">
        <v>115</v>
      </c>
      <c r="AP3734">
        <v>98</v>
      </c>
      <c r="AQ3734">
        <v>56</v>
      </c>
      <c r="AR3734">
        <v>0</v>
      </c>
      <c r="AZ3734">
        <v>3614</v>
      </c>
      <c r="BA3734">
        <v>1</v>
      </c>
      <c r="BB3734" t="str">
        <f t="shared" si="176"/>
        <v xml:space="preserve">N959MJ  </v>
      </c>
      <c r="BC3734">
        <v>1</v>
      </c>
      <c r="BE3734">
        <v>0</v>
      </c>
      <c r="BF3734">
        <v>0</v>
      </c>
      <c r="BG3734">
        <v>0</v>
      </c>
      <c r="BH3734">
        <v>1900</v>
      </c>
      <c r="BI3734">
        <v>200</v>
      </c>
      <c r="BJ3734">
        <v>1</v>
      </c>
      <c r="BK3734">
        <v>1</v>
      </c>
      <c r="BL3734">
        <v>1</v>
      </c>
      <c r="BM3734">
        <v>0</v>
      </c>
      <c r="BP3734">
        <v>0</v>
      </c>
      <c r="BQ3734">
        <v>0</v>
      </c>
      <c r="BX3734" t="str">
        <f>"14:52:36.602"</f>
        <v>14:52:36.602</v>
      </c>
      <c r="BY3734" t="str">
        <f>"601640425"</f>
        <v>601640425</v>
      </c>
      <c r="CL3734">
        <v>0</v>
      </c>
      <c r="CM3734">
        <v>2</v>
      </c>
      <c r="CN3734">
        <v>0</v>
      </c>
      <c r="CO3734">
        <v>2</v>
      </c>
      <c r="CP3734">
        <v>0</v>
      </c>
      <c r="CQ3734">
        <v>7</v>
      </c>
      <c r="CR3734" t="s">
        <v>116</v>
      </c>
      <c r="CS3734">
        <v>38</v>
      </c>
      <c r="CT3734">
        <v>0</v>
      </c>
      <c r="CU3734" t="s">
        <v>4719</v>
      </c>
      <c r="CV3734" t="s">
        <v>4720</v>
      </c>
      <c r="CY3734">
        <v>8329113</v>
      </c>
      <c r="CZ3734" t="s">
        <v>119</v>
      </c>
    </row>
    <row r="3735" spans="1:104" x14ac:dyDescent="0.25">
      <c r="A3735" t="str">
        <f>"14:52:37.719"</f>
        <v>14:52:37.719</v>
      </c>
      <c r="B3735" t="s">
        <v>108</v>
      </c>
      <c r="C3735" t="str">
        <f t="shared" si="175"/>
        <v>ffdfd3c0</v>
      </c>
      <c r="D3735" t="s">
        <v>109</v>
      </c>
      <c r="E3735">
        <v>4</v>
      </c>
      <c r="F3735">
        <v>1004</v>
      </c>
      <c r="G3735" t="s">
        <v>110</v>
      </c>
      <c r="J3735" t="s">
        <v>111</v>
      </c>
      <c r="K3735">
        <v>0</v>
      </c>
      <c r="L3735">
        <v>3</v>
      </c>
      <c r="M3735">
        <v>0</v>
      </c>
      <c r="N3735">
        <v>2</v>
      </c>
      <c r="O3735">
        <v>1</v>
      </c>
      <c r="P3735">
        <v>0</v>
      </c>
      <c r="Q3735">
        <v>0</v>
      </c>
      <c r="R3735" t="s">
        <v>112</v>
      </c>
      <c r="S3735" t="str">
        <f>"14:52:37.563"</f>
        <v>14:52:37.563</v>
      </c>
      <c r="T3735" t="str">
        <f>"14:52:37.063"</f>
        <v>14:52:37.063</v>
      </c>
      <c r="U3735" t="str">
        <f t="shared" si="174"/>
        <v>ad5732</v>
      </c>
      <c r="V3735">
        <v>0</v>
      </c>
      <c r="W3735">
        <v>0</v>
      </c>
      <c r="X3735">
        <v>1</v>
      </c>
      <c r="Z3735">
        <v>0</v>
      </c>
      <c r="AA3735">
        <v>9</v>
      </c>
      <c r="AB3735">
        <v>3</v>
      </c>
      <c r="AC3735">
        <v>0</v>
      </c>
      <c r="AD3735">
        <v>10</v>
      </c>
      <c r="AE3735">
        <v>0</v>
      </c>
      <c r="AF3735">
        <v>3</v>
      </c>
      <c r="AG3735">
        <v>2</v>
      </c>
      <c r="AH3735">
        <v>0</v>
      </c>
      <c r="AI3735" t="s">
        <v>7518</v>
      </c>
      <c r="AJ3735">
        <v>40.451251999999997</v>
      </c>
      <c r="AK3735" t="s">
        <v>7519</v>
      </c>
      <c r="AL3735">
        <v>-74.412910999999994</v>
      </c>
      <c r="AM3735">
        <v>100</v>
      </c>
      <c r="AN3735">
        <v>1700</v>
      </c>
      <c r="AO3735" t="s">
        <v>115</v>
      </c>
      <c r="AP3735">
        <v>98</v>
      </c>
      <c r="AQ3735">
        <v>56</v>
      </c>
      <c r="AR3735">
        <v>0</v>
      </c>
      <c r="AZ3735">
        <v>3614</v>
      </c>
      <c r="BA3735">
        <v>1</v>
      </c>
      <c r="BB3735" t="str">
        <f t="shared" si="176"/>
        <v xml:space="preserve">N959MJ  </v>
      </c>
      <c r="BC3735">
        <v>1</v>
      </c>
      <c r="BE3735">
        <v>0</v>
      </c>
      <c r="BF3735">
        <v>0</v>
      </c>
      <c r="BG3735">
        <v>0</v>
      </c>
      <c r="BH3735">
        <v>1900</v>
      </c>
      <c r="BI3735">
        <v>200</v>
      </c>
      <c r="BJ3735">
        <v>1</v>
      </c>
      <c r="BK3735">
        <v>1</v>
      </c>
      <c r="BL3735">
        <v>1</v>
      </c>
      <c r="BM3735">
        <v>0</v>
      </c>
      <c r="BP3735">
        <v>0</v>
      </c>
      <c r="BQ3735">
        <v>0</v>
      </c>
      <c r="BX3735" t="str">
        <f>"14:52:37.563"</f>
        <v>14:52:37.563</v>
      </c>
      <c r="BY3735" t="str">
        <f>"563372397"</f>
        <v>563372397</v>
      </c>
      <c r="CL3735">
        <v>0</v>
      </c>
      <c r="CM3735">
        <v>2</v>
      </c>
      <c r="CN3735">
        <v>0</v>
      </c>
      <c r="CO3735">
        <v>2</v>
      </c>
      <c r="CP3735">
        <v>0</v>
      </c>
      <c r="CQ3735">
        <v>6</v>
      </c>
      <c r="CR3735" t="s">
        <v>116</v>
      </c>
      <c r="CS3735">
        <v>305</v>
      </c>
      <c r="CT3735">
        <v>3</v>
      </c>
      <c r="CU3735" t="s">
        <v>6425</v>
      </c>
      <c r="CV3735" t="s">
        <v>6426</v>
      </c>
      <c r="CY3735">
        <v>6282806</v>
      </c>
      <c r="CZ3735" t="s">
        <v>119</v>
      </c>
    </row>
    <row r="3736" spans="1:104" x14ac:dyDescent="0.25">
      <c r="A3736" t="str">
        <f>"14:52:38.828"</f>
        <v>14:52:38.828</v>
      </c>
      <c r="B3736" t="s">
        <v>108</v>
      </c>
      <c r="C3736" t="str">
        <f t="shared" si="175"/>
        <v>ffdfd3c0</v>
      </c>
      <c r="D3736" t="s">
        <v>109</v>
      </c>
      <c r="E3736">
        <v>4</v>
      </c>
      <c r="F3736">
        <v>1004</v>
      </c>
      <c r="G3736" t="s">
        <v>110</v>
      </c>
      <c r="J3736" t="s">
        <v>111</v>
      </c>
      <c r="K3736">
        <v>0</v>
      </c>
      <c r="L3736">
        <v>3</v>
      </c>
      <c r="M3736">
        <v>0</v>
      </c>
      <c r="N3736">
        <v>2</v>
      </c>
      <c r="O3736">
        <v>1</v>
      </c>
      <c r="P3736">
        <v>0</v>
      </c>
      <c r="Q3736">
        <v>0</v>
      </c>
      <c r="R3736" t="s">
        <v>112</v>
      </c>
      <c r="S3736" t="str">
        <f>"14:52:38.633"</f>
        <v>14:52:38.633</v>
      </c>
      <c r="T3736" t="str">
        <f>"14:52:38.133"</f>
        <v>14:52:38.133</v>
      </c>
      <c r="U3736" t="str">
        <f t="shared" si="174"/>
        <v>ad5732</v>
      </c>
      <c r="V3736">
        <v>0</v>
      </c>
      <c r="W3736">
        <v>0</v>
      </c>
      <c r="X3736">
        <v>1</v>
      </c>
      <c r="Z3736">
        <v>0</v>
      </c>
      <c r="AA3736">
        <v>9</v>
      </c>
      <c r="AB3736">
        <v>3</v>
      </c>
      <c r="AC3736">
        <v>0</v>
      </c>
      <c r="AD3736">
        <v>10</v>
      </c>
      <c r="AE3736">
        <v>0</v>
      </c>
      <c r="AF3736">
        <v>3</v>
      </c>
      <c r="AG3736">
        <v>2</v>
      </c>
      <c r="AH3736">
        <v>0</v>
      </c>
      <c r="AI3736" t="s">
        <v>7520</v>
      </c>
      <c r="AJ3736">
        <v>40.451574000000001</v>
      </c>
      <c r="AK3736" t="s">
        <v>7521</v>
      </c>
      <c r="AL3736">
        <v>-74.412267</v>
      </c>
      <c r="AM3736">
        <v>100</v>
      </c>
      <c r="AN3736">
        <v>1700</v>
      </c>
      <c r="AO3736" t="s">
        <v>115</v>
      </c>
      <c r="AP3736">
        <v>97</v>
      </c>
      <c r="AQ3736">
        <v>56</v>
      </c>
      <c r="AR3736">
        <v>0</v>
      </c>
      <c r="AZ3736">
        <v>3614</v>
      </c>
      <c r="BA3736">
        <v>1</v>
      </c>
      <c r="BB3736" t="str">
        <f t="shared" si="176"/>
        <v xml:space="preserve">N959MJ  </v>
      </c>
      <c r="BC3736">
        <v>1</v>
      </c>
      <c r="BE3736">
        <v>0</v>
      </c>
      <c r="BF3736">
        <v>0</v>
      </c>
      <c r="BG3736">
        <v>0</v>
      </c>
      <c r="BH3736">
        <v>1900</v>
      </c>
      <c r="BI3736">
        <v>200</v>
      </c>
      <c r="BJ3736">
        <v>1</v>
      </c>
      <c r="BK3736">
        <v>1</v>
      </c>
      <c r="BL3736">
        <v>1</v>
      </c>
      <c r="BM3736">
        <v>0</v>
      </c>
      <c r="BP3736">
        <v>0</v>
      </c>
      <c r="BQ3736">
        <v>0</v>
      </c>
      <c r="BX3736" t="str">
        <f>"14:52:38.641"</f>
        <v>14:52:38.641</v>
      </c>
      <c r="BY3736" t="str">
        <f>"639846274"</f>
        <v>639846274</v>
      </c>
      <c r="CL3736">
        <v>0</v>
      </c>
      <c r="CM3736">
        <v>2</v>
      </c>
      <c r="CN3736">
        <v>0</v>
      </c>
      <c r="CO3736">
        <v>2</v>
      </c>
      <c r="CP3736">
        <v>0</v>
      </c>
      <c r="CQ3736">
        <v>6</v>
      </c>
      <c r="CR3736" t="s">
        <v>116</v>
      </c>
      <c r="CS3736">
        <v>38</v>
      </c>
      <c r="CT3736">
        <v>0</v>
      </c>
      <c r="CU3736" t="s">
        <v>4719</v>
      </c>
      <c r="CV3736" t="s">
        <v>4720</v>
      </c>
      <c r="CY3736">
        <v>8332224</v>
      </c>
      <c r="CZ3736" t="s">
        <v>119</v>
      </c>
    </row>
    <row r="3737" spans="1:104" x14ac:dyDescent="0.25">
      <c r="A3737" t="str">
        <f>"14:52:39.734"</f>
        <v>14:52:39.734</v>
      </c>
      <c r="B3737" t="s">
        <v>108</v>
      </c>
      <c r="C3737" t="str">
        <f t="shared" si="175"/>
        <v>ffdfd3c0</v>
      </c>
      <c r="D3737" t="s">
        <v>109</v>
      </c>
      <c r="E3737">
        <v>4</v>
      </c>
      <c r="F3737">
        <v>1004</v>
      </c>
      <c r="G3737" t="s">
        <v>110</v>
      </c>
      <c r="J3737" t="s">
        <v>111</v>
      </c>
      <c r="K3737">
        <v>0</v>
      </c>
      <c r="L3737">
        <v>3</v>
      </c>
      <c r="M3737">
        <v>0</v>
      </c>
      <c r="N3737">
        <v>2</v>
      </c>
      <c r="O3737">
        <v>1</v>
      </c>
      <c r="P3737">
        <v>0</v>
      </c>
      <c r="Q3737">
        <v>0</v>
      </c>
      <c r="R3737" t="s">
        <v>112</v>
      </c>
      <c r="S3737" t="str">
        <f>"14:52:39.563"</f>
        <v>14:52:39.563</v>
      </c>
      <c r="T3737" t="str">
        <f>"14:52:39.164"</f>
        <v>14:52:39.164</v>
      </c>
      <c r="U3737" t="str">
        <f t="shared" si="174"/>
        <v>ad5732</v>
      </c>
      <c r="V3737">
        <v>0</v>
      </c>
      <c r="W3737">
        <v>0</v>
      </c>
      <c r="X3737">
        <v>1</v>
      </c>
      <c r="Z3737">
        <v>0</v>
      </c>
      <c r="AA3737">
        <v>9</v>
      </c>
      <c r="AB3737">
        <v>3</v>
      </c>
      <c r="AC3737">
        <v>0</v>
      </c>
      <c r="AD3737">
        <v>10</v>
      </c>
      <c r="AE3737">
        <v>0</v>
      </c>
      <c r="AF3737">
        <v>3</v>
      </c>
      <c r="AG3737">
        <v>2</v>
      </c>
      <c r="AH3737">
        <v>0</v>
      </c>
      <c r="AI3737" t="s">
        <v>7522</v>
      </c>
      <c r="AJ3737">
        <v>40.451788999999998</v>
      </c>
      <c r="AK3737" t="s">
        <v>7523</v>
      </c>
      <c r="AL3737">
        <v>-74.411752000000007</v>
      </c>
      <c r="AM3737">
        <v>100</v>
      </c>
      <c r="AN3737">
        <v>1700</v>
      </c>
      <c r="AO3737" t="s">
        <v>115</v>
      </c>
      <c r="AP3737">
        <v>97</v>
      </c>
      <c r="AQ3737">
        <v>56</v>
      </c>
      <c r="AR3737">
        <v>0</v>
      </c>
      <c r="AZ3737">
        <v>3614</v>
      </c>
      <c r="BA3737">
        <v>1</v>
      </c>
      <c r="BB3737" t="str">
        <f t="shared" si="176"/>
        <v xml:space="preserve">N959MJ  </v>
      </c>
      <c r="BC3737">
        <v>1</v>
      </c>
      <c r="BE3737">
        <v>0</v>
      </c>
      <c r="BF3737">
        <v>0</v>
      </c>
      <c r="BG3737">
        <v>0</v>
      </c>
      <c r="BH3737">
        <v>1900</v>
      </c>
      <c r="BI3737">
        <v>200</v>
      </c>
      <c r="BJ3737">
        <v>1</v>
      </c>
      <c r="BK3737">
        <v>1</v>
      </c>
      <c r="BL3737">
        <v>1</v>
      </c>
      <c r="BM3737">
        <v>0</v>
      </c>
      <c r="BP3737">
        <v>0</v>
      </c>
      <c r="BQ3737">
        <v>0</v>
      </c>
      <c r="BX3737" t="str">
        <f>"14:52:39.570"</f>
        <v>14:52:39.570</v>
      </c>
      <c r="BY3737" t="str">
        <f>"568835496"</f>
        <v>568835496</v>
      </c>
      <c r="CL3737">
        <v>0</v>
      </c>
      <c r="CM3737">
        <v>2</v>
      </c>
      <c r="CN3737">
        <v>0</v>
      </c>
      <c r="CO3737">
        <v>2</v>
      </c>
      <c r="CP3737">
        <v>0</v>
      </c>
      <c r="CQ3737">
        <v>6</v>
      </c>
      <c r="CR3737" t="s">
        <v>116</v>
      </c>
      <c r="CS3737">
        <v>38</v>
      </c>
      <c r="CT3737">
        <v>0</v>
      </c>
      <c r="CU3737" t="s">
        <v>4719</v>
      </c>
      <c r="CV3737" t="s">
        <v>4720</v>
      </c>
      <c r="CY3737">
        <v>8333670</v>
      </c>
      <c r="CZ3737" t="s">
        <v>119</v>
      </c>
    </row>
    <row r="3738" spans="1:104" x14ac:dyDescent="0.25">
      <c r="A3738" t="str">
        <f>"14:52:40.750"</f>
        <v>14:52:40.750</v>
      </c>
      <c r="B3738" t="s">
        <v>108</v>
      </c>
      <c r="C3738" t="str">
        <f t="shared" si="175"/>
        <v>ffdfd3c0</v>
      </c>
      <c r="D3738" t="s">
        <v>109</v>
      </c>
      <c r="E3738">
        <v>4</v>
      </c>
      <c r="F3738">
        <v>1004</v>
      </c>
      <c r="G3738" t="s">
        <v>110</v>
      </c>
      <c r="J3738" t="s">
        <v>111</v>
      </c>
      <c r="K3738">
        <v>0</v>
      </c>
      <c r="L3738">
        <v>3</v>
      </c>
      <c r="M3738">
        <v>0</v>
      </c>
      <c r="N3738">
        <v>2</v>
      </c>
      <c r="O3738">
        <v>1</v>
      </c>
      <c r="P3738">
        <v>0</v>
      </c>
      <c r="Q3738">
        <v>0</v>
      </c>
      <c r="R3738" t="s">
        <v>112</v>
      </c>
      <c r="S3738" t="str">
        <f>"14:52:40.531"</f>
        <v>14:52:40.531</v>
      </c>
      <c r="T3738" t="str">
        <f>"14:52:40.133"</f>
        <v>14:52:40.133</v>
      </c>
      <c r="U3738" t="str">
        <f t="shared" si="174"/>
        <v>ad5732</v>
      </c>
      <c r="V3738">
        <v>0</v>
      </c>
      <c r="W3738">
        <v>0</v>
      </c>
      <c r="X3738">
        <v>1</v>
      </c>
      <c r="Z3738">
        <v>0</v>
      </c>
      <c r="AA3738">
        <v>9</v>
      </c>
      <c r="AB3738">
        <v>3</v>
      </c>
      <c r="AC3738">
        <v>0</v>
      </c>
      <c r="AD3738">
        <v>10</v>
      </c>
      <c r="AE3738">
        <v>0</v>
      </c>
      <c r="AF3738">
        <v>3</v>
      </c>
      <c r="AG3738">
        <v>2</v>
      </c>
      <c r="AH3738">
        <v>0</v>
      </c>
      <c r="AI3738" t="s">
        <v>7524</v>
      </c>
      <c r="AJ3738">
        <v>40.452024999999999</v>
      </c>
      <c r="AK3738" t="s">
        <v>7525</v>
      </c>
      <c r="AL3738">
        <v>-74.41113</v>
      </c>
      <c r="AM3738">
        <v>100</v>
      </c>
      <c r="AN3738">
        <v>1700</v>
      </c>
      <c r="AO3738" t="s">
        <v>115</v>
      </c>
      <c r="AP3738">
        <v>97</v>
      </c>
      <c r="AQ3738">
        <v>56</v>
      </c>
      <c r="AR3738">
        <v>0</v>
      </c>
      <c r="AZ3738">
        <v>3614</v>
      </c>
      <c r="BA3738">
        <v>1</v>
      </c>
      <c r="BB3738" t="str">
        <f t="shared" si="176"/>
        <v xml:space="preserve">N959MJ  </v>
      </c>
      <c r="BC3738">
        <v>1</v>
      </c>
      <c r="BE3738">
        <v>0</v>
      </c>
      <c r="BF3738">
        <v>0</v>
      </c>
      <c r="BG3738">
        <v>0</v>
      </c>
      <c r="BH3738">
        <v>1900</v>
      </c>
      <c r="BI3738">
        <v>200</v>
      </c>
      <c r="BJ3738">
        <v>1</v>
      </c>
      <c r="BK3738">
        <v>1</v>
      </c>
      <c r="BL3738">
        <v>1</v>
      </c>
      <c r="BM3738">
        <v>0</v>
      </c>
      <c r="BP3738">
        <v>0</v>
      </c>
      <c r="BQ3738">
        <v>0</v>
      </c>
      <c r="BX3738" t="str">
        <f>"14:52:40.539"</f>
        <v>14:52:40.539</v>
      </c>
      <c r="BY3738" t="str">
        <f>"538758637"</f>
        <v>538758637</v>
      </c>
      <c r="CL3738">
        <v>0</v>
      </c>
      <c r="CM3738">
        <v>2</v>
      </c>
      <c r="CN3738">
        <v>0</v>
      </c>
      <c r="CO3738">
        <v>2</v>
      </c>
      <c r="CP3738">
        <v>0</v>
      </c>
      <c r="CQ3738">
        <v>6</v>
      </c>
      <c r="CR3738" t="s">
        <v>116</v>
      </c>
      <c r="CS3738">
        <v>305</v>
      </c>
      <c r="CT3738">
        <v>3</v>
      </c>
      <c r="CU3738" t="s">
        <v>6425</v>
      </c>
      <c r="CV3738" t="s">
        <v>6426</v>
      </c>
      <c r="CY3738">
        <v>6288982</v>
      </c>
      <c r="CZ3738" t="s">
        <v>119</v>
      </c>
    </row>
    <row r="3739" spans="1:104" x14ac:dyDescent="0.25">
      <c r="A3739" t="str">
        <f>"14:52:41.555"</f>
        <v>14:52:41.555</v>
      </c>
      <c r="B3739" t="s">
        <v>108</v>
      </c>
      <c r="C3739" t="str">
        <f t="shared" si="175"/>
        <v>ffdfd3c0</v>
      </c>
      <c r="D3739" t="s">
        <v>109</v>
      </c>
      <c r="E3739">
        <v>4</v>
      </c>
      <c r="F3739">
        <v>1004</v>
      </c>
      <c r="G3739" t="s">
        <v>110</v>
      </c>
      <c r="J3739" t="s">
        <v>111</v>
      </c>
      <c r="K3739">
        <v>0</v>
      </c>
      <c r="L3739">
        <v>3</v>
      </c>
      <c r="M3739">
        <v>0</v>
      </c>
      <c r="N3739">
        <v>2</v>
      </c>
      <c r="O3739">
        <v>1</v>
      </c>
      <c r="P3739">
        <v>0</v>
      </c>
      <c r="Q3739">
        <v>0</v>
      </c>
      <c r="R3739" t="s">
        <v>112</v>
      </c>
      <c r="S3739" t="str">
        <f>"14:52:41.406"</f>
        <v>14:52:41.406</v>
      </c>
      <c r="T3739" t="str">
        <f>"14:52:41.008"</f>
        <v>14:52:41.008</v>
      </c>
      <c r="U3739" t="str">
        <f t="shared" si="174"/>
        <v>ad5732</v>
      </c>
      <c r="V3739">
        <v>0</v>
      </c>
      <c r="W3739">
        <v>0</v>
      </c>
      <c r="X3739">
        <v>1</v>
      </c>
      <c r="Z3739">
        <v>0</v>
      </c>
      <c r="AA3739">
        <v>9</v>
      </c>
      <c r="AB3739">
        <v>3</v>
      </c>
      <c r="AC3739">
        <v>0</v>
      </c>
      <c r="AD3739">
        <v>10</v>
      </c>
      <c r="AE3739">
        <v>0</v>
      </c>
      <c r="AF3739">
        <v>3</v>
      </c>
      <c r="AG3739">
        <v>2</v>
      </c>
      <c r="AH3739">
        <v>0</v>
      </c>
      <c r="AI3739" t="s">
        <v>7526</v>
      </c>
      <c r="AJ3739">
        <v>40.452261</v>
      </c>
      <c r="AK3739" t="s">
        <v>7527</v>
      </c>
      <c r="AL3739">
        <v>-74.410701000000003</v>
      </c>
      <c r="AM3739">
        <v>100</v>
      </c>
      <c r="AN3739">
        <v>1700</v>
      </c>
      <c r="AO3739" t="s">
        <v>115</v>
      </c>
      <c r="AP3739">
        <v>97</v>
      </c>
      <c r="AQ3739">
        <v>56</v>
      </c>
      <c r="AR3739">
        <v>-64</v>
      </c>
      <c r="AZ3739">
        <v>3614</v>
      </c>
      <c r="BA3739">
        <v>1</v>
      </c>
      <c r="BB3739" t="str">
        <f t="shared" si="176"/>
        <v xml:space="preserve">N959MJ  </v>
      </c>
      <c r="BC3739">
        <v>1</v>
      </c>
      <c r="BE3739">
        <v>0</v>
      </c>
      <c r="BF3739">
        <v>0</v>
      </c>
      <c r="BG3739">
        <v>0</v>
      </c>
      <c r="BH3739">
        <v>1900</v>
      </c>
      <c r="BI3739">
        <v>200</v>
      </c>
      <c r="BJ3739">
        <v>1</v>
      </c>
      <c r="BK3739">
        <v>1</v>
      </c>
      <c r="BL3739">
        <v>1</v>
      </c>
      <c r="BM3739">
        <v>0</v>
      </c>
      <c r="BP3739">
        <v>0</v>
      </c>
      <c r="BQ3739">
        <v>0</v>
      </c>
      <c r="BX3739" t="str">
        <f>"14:52:41.406"</f>
        <v>14:52:41.406</v>
      </c>
      <c r="BY3739" t="str">
        <f>"407152983"</f>
        <v>407152983</v>
      </c>
      <c r="CL3739">
        <v>0</v>
      </c>
      <c r="CM3739">
        <v>2</v>
      </c>
      <c r="CN3739">
        <v>0</v>
      </c>
      <c r="CO3739">
        <v>2</v>
      </c>
      <c r="CP3739">
        <v>0</v>
      </c>
      <c r="CQ3739">
        <v>7</v>
      </c>
      <c r="CR3739" t="s">
        <v>116</v>
      </c>
      <c r="CS3739">
        <v>38</v>
      </c>
      <c r="CT3739">
        <v>0</v>
      </c>
      <c r="CU3739" t="s">
        <v>4719</v>
      </c>
      <c r="CV3739" t="s">
        <v>4720</v>
      </c>
      <c r="CY3739">
        <v>8336566</v>
      </c>
      <c r="CZ3739" t="s">
        <v>119</v>
      </c>
    </row>
    <row r="3740" spans="1:104" x14ac:dyDescent="0.25">
      <c r="A3740" t="str">
        <f>"14:52:42.617"</f>
        <v>14:52:42.617</v>
      </c>
      <c r="B3740" t="s">
        <v>108</v>
      </c>
      <c r="C3740" t="str">
        <f t="shared" si="175"/>
        <v>ffdfd3c0</v>
      </c>
      <c r="D3740" t="s">
        <v>109</v>
      </c>
      <c r="E3740">
        <v>4</v>
      </c>
      <c r="F3740">
        <v>1004</v>
      </c>
      <c r="G3740" t="s">
        <v>110</v>
      </c>
      <c r="J3740" t="s">
        <v>111</v>
      </c>
      <c r="K3740">
        <v>0</v>
      </c>
      <c r="L3740">
        <v>3</v>
      </c>
      <c r="M3740">
        <v>0</v>
      </c>
      <c r="N3740">
        <v>2</v>
      </c>
      <c r="O3740">
        <v>1</v>
      </c>
      <c r="P3740">
        <v>0</v>
      </c>
      <c r="Q3740">
        <v>0</v>
      </c>
      <c r="R3740" t="s">
        <v>112</v>
      </c>
      <c r="S3740" t="str">
        <f>"14:52:42.406"</f>
        <v>14:52:42.406</v>
      </c>
      <c r="T3740" t="str">
        <f>"14:52:41.906"</f>
        <v>14:52:41.906</v>
      </c>
      <c r="U3740" t="str">
        <f t="shared" si="174"/>
        <v>ad5732</v>
      </c>
      <c r="V3740">
        <v>0</v>
      </c>
      <c r="W3740">
        <v>0</v>
      </c>
      <c r="X3740">
        <v>1</v>
      </c>
      <c r="Z3740">
        <v>0</v>
      </c>
      <c r="AA3740">
        <v>9</v>
      </c>
      <c r="AB3740">
        <v>3</v>
      </c>
      <c r="AC3740">
        <v>0</v>
      </c>
      <c r="AD3740">
        <v>10</v>
      </c>
      <c r="AE3740">
        <v>0</v>
      </c>
      <c r="AF3740">
        <v>3</v>
      </c>
      <c r="AG3740">
        <v>2</v>
      </c>
      <c r="AH3740">
        <v>0</v>
      </c>
      <c r="AI3740" t="s">
        <v>7528</v>
      </c>
      <c r="AJ3740">
        <v>40.452539999999999</v>
      </c>
      <c r="AK3740" t="s">
        <v>7529</v>
      </c>
      <c r="AL3740">
        <v>-74.4101</v>
      </c>
      <c r="AM3740">
        <v>100</v>
      </c>
      <c r="AN3740">
        <v>1700</v>
      </c>
      <c r="AO3740" t="s">
        <v>115</v>
      </c>
      <c r="AP3740">
        <v>97</v>
      </c>
      <c r="AQ3740">
        <v>56</v>
      </c>
      <c r="AR3740">
        <v>-64</v>
      </c>
      <c r="AZ3740">
        <v>3614</v>
      </c>
      <c r="BA3740">
        <v>1</v>
      </c>
      <c r="BB3740" t="str">
        <f t="shared" si="176"/>
        <v xml:space="preserve">N959MJ  </v>
      </c>
      <c r="BC3740">
        <v>1</v>
      </c>
      <c r="BE3740">
        <v>0</v>
      </c>
      <c r="BF3740">
        <v>0</v>
      </c>
      <c r="BG3740">
        <v>0</v>
      </c>
      <c r="BH3740">
        <v>1900</v>
      </c>
      <c r="BI3740">
        <v>200</v>
      </c>
      <c r="BJ3740">
        <v>1</v>
      </c>
      <c r="BK3740">
        <v>1</v>
      </c>
      <c r="BL3740">
        <v>1</v>
      </c>
      <c r="BM3740">
        <v>0</v>
      </c>
      <c r="BP3740">
        <v>0</v>
      </c>
      <c r="BQ3740">
        <v>0</v>
      </c>
      <c r="BX3740" t="str">
        <f>"14:52:42.414"</f>
        <v>14:52:42.414</v>
      </c>
      <c r="BY3740" t="str">
        <f>"413120952"</f>
        <v>413120952</v>
      </c>
      <c r="CL3740">
        <v>0</v>
      </c>
      <c r="CM3740">
        <v>2</v>
      </c>
      <c r="CN3740">
        <v>0</v>
      </c>
      <c r="CO3740">
        <v>2</v>
      </c>
      <c r="CP3740">
        <v>0</v>
      </c>
      <c r="CQ3740">
        <v>6</v>
      </c>
      <c r="CR3740" t="s">
        <v>116</v>
      </c>
      <c r="CS3740">
        <v>305</v>
      </c>
      <c r="CT3740">
        <v>3</v>
      </c>
      <c r="CU3740" t="s">
        <v>6425</v>
      </c>
      <c r="CV3740" t="s">
        <v>6426</v>
      </c>
      <c r="CY3740">
        <v>6292746</v>
      </c>
      <c r="CZ3740" t="s">
        <v>119</v>
      </c>
    </row>
    <row r="3741" spans="1:104" x14ac:dyDescent="0.25">
      <c r="A3741" t="str">
        <f>"14:52:43.578"</f>
        <v>14:52:43.578</v>
      </c>
      <c r="B3741" t="s">
        <v>108</v>
      </c>
      <c r="C3741" t="str">
        <f t="shared" si="175"/>
        <v>ffdfd3c0</v>
      </c>
      <c r="D3741" t="s">
        <v>109</v>
      </c>
      <c r="E3741">
        <v>4</v>
      </c>
      <c r="F3741">
        <v>1004</v>
      </c>
      <c r="G3741" t="s">
        <v>110</v>
      </c>
      <c r="J3741" t="s">
        <v>111</v>
      </c>
      <c r="K3741">
        <v>0</v>
      </c>
      <c r="L3741">
        <v>3</v>
      </c>
      <c r="M3741">
        <v>0</v>
      </c>
      <c r="N3741">
        <v>2</v>
      </c>
      <c r="O3741">
        <v>1</v>
      </c>
      <c r="P3741">
        <v>0</v>
      </c>
      <c r="Q3741">
        <v>0</v>
      </c>
      <c r="R3741" t="s">
        <v>112</v>
      </c>
      <c r="S3741" t="str">
        <f>"14:52:43.391"</f>
        <v>14:52:43.391</v>
      </c>
      <c r="T3741" t="str">
        <f>"14:52:42.992"</f>
        <v>14:52:42.992</v>
      </c>
      <c r="U3741" t="str">
        <f t="shared" si="174"/>
        <v>ad5732</v>
      </c>
      <c r="V3741">
        <v>0</v>
      </c>
      <c r="W3741">
        <v>0</v>
      </c>
      <c r="X3741">
        <v>1</v>
      </c>
      <c r="Z3741">
        <v>0</v>
      </c>
      <c r="AA3741">
        <v>9</v>
      </c>
      <c r="AB3741">
        <v>3</v>
      </c>
      <c r="AC3741">
        <v>0</v>
      </c>
      <c r="AD3741">
        <v>10</v>
      </c>
      <c r="AE3741">
        <v>0</v>
      </c>
      <c r="AF3741">
        <v>3</v>
      </c>
      <c r="AG3741">
        <v>2</v>
      </c>
      <c r="AH3741">
        <v>0</v>
      </c>
      <c r="AI3741" t="s">
        <v>7530</v>
      </c>
      <c r="AJ3741">
        <v>40.452753999999999</v>
      </c>
      <c r="AK3741" t="s">
        <v>7531</v>
      </c>
      <c r="AL3741">
        <v>-74.409477999999993</v>
      </c>
      <c r="AM3741">
        <v>100</v>
      </c>
      <c r="AN3741">
        <v>1700</v>
      </c>
      <c r="AO3741" t="s">
        <v>115</v>
      </c>
      <c r="AP3741">
        <v>97</v>
      </c>
      <c r="AQ3741">
        <v>55</v>
      </c>
      <c r="AR3741">
        <v>-64</v>
      </c>
      <c r="AZ3741">
        <v>3614</v>
      </c>
      <c r="BA3741">
        <v>1</v>
      </c>
      <c r="BB3741" t="str">
        <f t="shared" si="176"/>
        <v xml:space="preserve">N959MJ  </v>
      </c>
      <c r="BC3741">
        <v>1</v>
      </c>
      <c r="BE3741">
        <v>0</v>
      </c>
      <c r="BF3741">
        <v>0</v>
      </c>
      <c r="BG3741">
        <v>0</v>
      </c>
      <c r="BH3741">
        <v>1900</v>
      </c>
      <c r="BI3741">
        <v>200</v>
      </c>
      <c r="BJ3741">
        <v>1</v>
      </c>
      <c r="BK3741">
        <v>1</v>
      </c>
      <c r="BL3741">
        <v>1</v>
      </c>
      <c r="BM3741">
        <v>0</v>
      </c>
      <c r="BP3741">
        <v>0</v>
      </c>
      <c r="BQ3741">
        <v>0</v>
      </c>
      <c r="BX3741" t="str">
        <f>"14:52:43.391"</f>
        <v>14:52:43.391</v>
      </c>
      <c r="BY3741" t="str">
        <f>"391262577"</f>
        <v>391262577</v>
      </c>
      <c r="CL3741">
        <v>0</v>
      </c>
      <c r="CM3741">
        <v>2</v>
      </c>
      <c r="CN3741">
        <v>0</v>
      </c>
      <c r="CO3741">
        <v>2</v>
      </c>
      <c r="CP3741">
        <v>0</v>
      </c>
      <c r="CQ3741">
        <v>7</v>
      </c>
      <c r="CR3741" t="s">
        <v>116</v>
      </c>
      <c r="CS3741">
        <v>305</v>
      </c>
      <c r="CT3741">
        <v>3</v>
      </c>
      <c r="CU3741" t="s">
        <v>6425</v>
      </c>
      <c r="CV3741" t="s">
        <v>6426</v>
      </c>
      <c r="CY3741">
        <v>6294769</v>
      </c>
      <c r="CZ3741" t="s">
        <v>119</v>
      </c>
    </row>
    <row r="3742" spans="1:104" x14ac:dyDescent="0.25">
      <c r="A3742" t="str">
        <f>"14:52:44.531"</f>
        <v>14:52:44.531</v>
      </c>
      <c r="B3742" t="s">
        <v>108</v>
      </c>
      <c r="C3742" t="str">
        <f t="shared" si="175"/>
        <v>ffdfd3c0</v>
      </c>
      <c r="D3742" t="s">
        <v>109</v>
      </c>
      <c r="E3742">
        <v>4</v>
      </c>
      <c r="F3742">
        <v>1004</v>
      </c>
      <c r="G3742" t="s">
        <v>110</v>
      </c>
      <c r="J3742" t="s">
        <v>111</v>
      </c>
      <c r="K3742">
        <v>0</v>
      </c>
      <c r="L3742">
        <v>3</v>
      </c>
      <c r="M3742">
        <v>0</v>
      </c>
      <c r="N3742">
        <v>2</v>
      </c>
      <c r="O3742">
        <v>1</v>
      </c>
      <c r="P3742">
        <v>0</v>
      </c>
      <c r="Q3742">
        <v>0</v>
      </c>
      <c r="R3742" t="s">
        <v>112</v>
      </c>
      <c r="S3742" t="str">
        <f>"14:52:44.320"</f>
        <v>14:52:44.320</v>
      </c>
      <c r="T3742" t="str">
        <f>"14:52:43.922"</f>
        <v>14:52:43.922</v>
      </c>
      <c r="U3742" t="str">
        <f t="shared" si="174"/>
        <v>ad5732</v>
      </c>
      <c r="V3742">
        <v>0</v>
      </c>
      <c r="W3742">
        <v>0</v>
      </c>
      <c r="X3742">
        <v>1</v>
      </c>
      <c r="Z3742">
        <v>0</v>
      </c>
      <c r="AA3742">
        <v>9</v>
      </c>
      <c r="AB3742">
        <v>3</v>
      </c>
      <c r="AC3742">
        <v>0</v>
      </c>
      <c r="AD3742">
        <v>10</v>
      </c>
      <c r="AE3742">
        <v>0</v>
      </c>
      <c r="AF3742">
        <v>3</v>
      </c>
      <c r="AG3742">
        <v>2</v>
      </c>
      <c r="AH3742">
        <v>0</v>
      </c>
      <c r="AI3742" t="s">
        <v>7532</v>
      </c>
      <c r="AJ3742">
        <v>40.453012000000001</v>
      </c>
      <c r="AK3742" t="s">
        <v>7533</v>
      </c>
      <c r="AL3742">
        <v>-74.408963</v>
      </c>
      <c r="AM3742">
        <v>100</v>
      </c>
      <c r="AN3742">
        <v>1700</v>
      </c>
      <c r="AO3742" t="s">
        <v>115</v>
      </c>
      <c r="AP3742">
        <v>97</v>
      </c>
      <c r="AQ3742">
        <v>55</v>
      </c>
      <c r="AR3742">
        <v>0</v>
      </c>
      <c r="AZ3742">
        <v>3614</v>
      </c>
      <c r="BA3742">
        <v>1</v>
      </c>
      <c r="BB3742" t="str">
        <f t="shared" si="176"/>
        <v xml:space="preserve">N959MJ  </v>
      </c>
      <c r="BC3742">
        <v>1</v>
      </c>
      <c r="BE3742">
        <v>0</v>
      </c>
      <c r="BF3742">
        <v>0</v>
      </c>
      <c r="BG3742">
        <v>0</v>
      </c>
      <c r="BH3742">
        <v>1900</v>
      </c>
      <c r="BI3742">
        <v>200</v>
      </c>
      <c r="BJ3742">
        <v>1</v>
      </c>
      <c r="BK3742">
        <v>1</v>
      </c>
      <c r="BL3742">
        <v>1</v>
      </c>
      <c r="BM3742">
        <v>0</v>
      </c>
      <c r="BP3742">
        <v>0</v>
      </c>
      <c r="BQ3742">
        <v>0</v>
      </c>
      <c r="BX3742" t="str">
        <f>"14:52:44.328"</f>
        <v>14:52:44.328</v>
      </c>
      <c r="BY3742" t="str">
        <f>"325280277"</f>
        <v>325280277</v>
      </c>
      <c r="CL3742">
        <v>0</v>
      </c>
      <c r="CM3742">
        <v>2</v>
      </c>
      <c r="CN3742">
        <v>0</v>
      </c>
      <c r="CO3742">
        <v>2</v>
      </c>
      <c r="CP3742">
        <v>0</v>
      </c>
      <c r="CQ3742">
        <v>5</v>
      </c>
      <c r="CR3742" t="s">
        <v>116</v>
      </c>
      <c r="CS3742">
        <v>409</v>
      </c>
      <c r="CT3742">
        <v>1</v>
      </c>
      <c r="CU3742" t="s">
        <v>5087</v>
      </c>
      <c r="CV3742" t="s">
        <v>5088</v>
      </c>
      <c r="CY3742">
        <v>4836370</v>
      </c>
      <c r="CZ3742" t="s">
        <v>119</v>
      </c>
    </row>
    <row r="3743" spans="1:104" x14ac:dyDescent="0.25">
      <c r="A3743" t="str">
        <f>"14:52:45.344"</f>
        <v>14:52:45.344</v>
      </c>
      <c r="B3743" t="s">
        <v>108</v>
      </c>
      <c r="C3743" t="str">
        <f t="shared" si="175"/>
        <v>ffdfd3c0</v>
      </c>
      <c r="D3743" t="s">
        <v>109</v>
      </c>
      <c r="E3743">
        <v>4</v>
      </c>
      <c r="F3743">
        <v>1004</v>
      </c>
      <c r="G3743" t="s">
        <v>110</v>
      </c>
      <c r="J3743" t="s">
        <v>111</v>
      </c>
      <c r="K3743">
        <v>0</v>
      </c>
      <c r="L3743">
        <v>3</v>
      </c>
      <c r="M3743">
        <v>0</v>
      </c>
      <c r="N3743">
        <v>2</v>
      </c>
      <c r="O3743">
        <v>1</v>
      </c>
      <c r="P3743">
        <v>0</v>
      </c>
      <c r="Q3743">
        <v>0</v>
      </c>
      <c r="R3743" t="s">
        <v>112</v>
      </c>
      <c r="S3743" t="str">
        <f>"14:52:45.188"</f>
        <v>14:52:45.188</v>
      </c>
      <c r="T3743" t="str">
        <f>"14:52:44.789"</f>
        <v>14:52:44.789</v>
      </c>
      <c r="U3743" t="str">
        <f t="shared" si="174"/>
        <v>ad5732</v>
      </c>
      <c r="V3743">
        <v>0</v>
      </c>
      <c r="W3743">
        <v>0</v>
      </c>
      <c r="X3743">
        <v>1</v>
      </c>
      <c r="Z3743">
        <v>0</v>
      </c>
      <c r="AA3743">
        <v>9</v>
      </c>
      <c r="AB3743">
        <v>3</v>
      </c>
      <c r="AC3743">
        <v>0</v>
      </c>
      <c r="AD3743">
        <v>10</v>
      </c>
      <c r="AE3743">
        <v>0</v>
      </c>
      <c r="AF3743">
        <v>3</v>
      </c>
      <c r="AG3743">
        <v>2</v>
      </c>
      <c r="AH3743">
        <v>0</v>
      </c>
      <c r="AI3743" t="s">
        <v>7534</v>
      </c>
      <c r="AJ3743">
        <v>40.453226999999998</v>
      </c>
      <c r="AK3743" t="s">
        <v>7535</v>
      </c>
      <c r="AL3743">
        <v>-74.408448000000007</v>
      </c>
      <c r="AM3743">
        <v>100</v>
      </c>
      <c r="AN3743">
        <v>1700</v>
      </c>
      <c r="AO3743" t="s">
        <v>115</v>
      </c>
      <c r="AP3743">
        <v>97</v>
      </c>
      <c r="AQ3743">
        <v>55</v>
      </c>
      <c r="AR3743">
        <v>0</v>
      </c>
      <c r="AZ3743">
        <v>3614</v>
      </c>
      <c r="BA3743">
        <v>1</v>
      </c>
      <c r="BB3743" t="str">
        <f t="shared" si="176"/>
        <v xml:space="preserve">N959MJ  </v>
      </c>
      <c r="BC3743">
        <v>1</v>
      </c>
      <c r="BE3743">
        <v>0</v>
      </c>
      <c r="BF3743">
        <v>0</v>
      </c>
      <c r="BG3743">
        <v>0</v>
      </c>
      <c r="BH3743">
        <v>1900</v>
      </c>
      <c r="BI3743">
        <v>200</v>
      </c>
      <c r="BJ3743">
        <v>1</v>
      </c>
      <c r="BK3743">
        <v>1</v>
      </c>
      <c r="BL3743">
        <v>1</v>
      </c>
      <c r="BM3743">
        <v>0</v>
      </c>
      <c r="BP3743">
        <v>0</v>
      </c>
      <c r="BQ3743">
        <v>0</v>
      </c>
      <c r="BX3743" t="str">
        <f>"14:52:45.195"</f>
        <v>14:52:45.195</v>
      </c>
      <c r="BY3743" t="str">
        <f>"195286310"</f>
        <v>195286310</v>
      </c>
      <c r="CL3743">
        <v>0</v>
      </c>
      <c r="CM3743">
        <v>2</v>
      </c>
      <c r="CN3743">
        <v>0</v>
      </c>
      <c r="CO3743">
        <v>2</v>
      </c>
      <c r="CP3743">
        <v>0</v>
      </c>
      <c r="CQ3743">
        <v>5</v>
      </c>
      <c r="CR3743" t="s">
        <v>116</v>
      </c>
      <c r="CS3743">
        <v>409</v>
      </c>
      <c r="CT3743">
        <v>1</v>
      </c>
      <c r="CU3743" t="s">
        <v>5087</v>
      </c>
      <c r="CV3743" t="s">
        <v>5088</v>
      </c>
      <c r="CY3743">
        <v>4838190</v>
      </c>
      <c r="CZ3743" t="s">
        <v>119</v>
      </c>
    </row>
    <row r="3744" spans="1:104" x14ac:dyDescent="0.25">
      <c r="A3744" t="str">
        <f>"14:52:46.203"</f>
        <v>14:52:46.203</v>
      </c>
      <c r="B3744" t="s">
        <v>108</v>
      </c>
      <c r="C3744" t="str">
        <f t="shared" si="175"/>
        <v>ffdfd3c0</v>
      </c>
      <c r="D3744" t="s">
        <v>109</v>
      </c>
      <c r="E3744">
        <v>4</v>
      </c>
      <c r="F3744">
        <v>1004</v>
      </c>
      <c r="G3744" t="s">
        <v>110</v>
      </c>
      <c r="J3744" t="s">
        <v>111</v>
      </c>
      <c r="K3744">
        <v>0</v>
      </c>
      <c r="L3744">
        <v>3</v>
      </c>
      <c r="M3744">
        <v>0</v>
      </c>
      <c r="N3744">
        <v>2</v>
      </c>
      <c r="O3744">
        <v>1</v>
      </c>
      <c r="P3744">
        <v>0</v>
      </c>
      <c r="Q3744">
        <v>0</v>
      </c>
      <c r="R3744" t="s">
        <v>112</v>
      </c>
      <c r="S3744" t="str">
        <f>"14:52:46.000"</f>
        <v>14:52:46.000</v>
      </c>
      <c r="T3744" t="str">
        <f>"14:52:45.602"</f>
        <v>14:52:45.602</v>
      </c>
      <c r="U3744" t="str">
        <f t="shared" si="174"/>
        <v>ad5732</v>
      </c>
      <c r="V3744">
        <v>0</v>
      </c>
      <c r="W3744">
        <v>0</v>
      </c>
      <c r="X3744">
        <v>1</v>
      </c>
      <c r="Z3744">
        <v>0</v>
      </c>
      <c r="AA3744">
        <v>9</v>
      </c>
      <c r="AB3744">
        <v>3</v>
      </c>
      <c r="AC3744">
        <v>0</v>
      </c>
      <c r="AD3744">
        <v>10</v>
      </c>
      <c r="AE3744">
        <v>0</v>
      </c>
      <c r="AF3744">
        <v>3</v>
      </c>
      <c r="AG3744">
        <v>2</v>
      </c>
      <c r="AH3744">
        <v>0</v>
      </c>
      <c r="AI3744" t="s">
        <v>7536</v>
      </c>
      <c r="AJ3744">
        <v>40.453440999999998</v>
      </c>
      <c r="AK3744" t="s">
        <v>7537</v>
      </c>
      <c r="AL3744">
        <v>-74.407954000000004</v>
      </c>
      <c r="AM3744">
        <v>100</v>
      </c>
      <c r="AN3744">
        <v>1700</v>
      </c>
      <c r="AO3744" t="s">
        <v>115</v>
      </c>
      <c r="AP3744">
        <v>97</v>
      </c>
      <c r="AQ3744">
        <v>55</v>
      </c>
      <c r="AR3744">
        <v>0</v>
      </c>
      <c r="AZ3744">
        <v>3614</v>
      </c>
      <c r="BA3744">
        <v>1</v>
      </c>
      <c r="BB3744" t="str">
        <f t="shared" si="176"/>
        <v xml:space="preserve">N959MJ  </v>
      </c>
      <c r="BC3744">
        <v>1</v>
      </c>
      <c r="BE3744">
        <v>0</v>
      </c>
      <c r="BF3744">
        <v>0</v>
      </c>
      <c r="BG3744">
        <v>0</v>
      </c>
      <c r="BH3744">
        <v>1900</v>
      </c>
      <c r="BI3744">
        <v>200</v>
      </c>
      <c r="BJ3744">
        <v>1</v>
      </c>
      <c r="BK3744">
        <v>1</v>
      </c>
      <c r="BL3744">
        <v>1</v>
      </c>
      <c r="BM3744">
        <v>0</v>
      </c>
      <c r="BP3744">
        <v>0</v>
      </c>
      <c r="BQ3744">
        <v>0</v>
      </c>
      <c r="BX3744" t="str">
        <f>"14:52:46.008"</f>
        <v>14:52:46.008</v>
      </c>
      <c r="BY3744" t="str">
        <f>"006223466"</f>
        <v>006223466</v>
      </c>
      <c r="CL3744">
        <v>0</v>
      </c>
      <c r="CM3744">
        <v>2</v>
      </c>
      <c r="CN3744">
        <v>0</v>
      </c>
      <c r="CO3744">
        <v>2</v>
      </c>
      <c r="CP3744">
        <v>0</v>
      </c>
      <c r="CQ3744">
        <v>6</v>
      </c>
      <c r="CR3744" t="s">
        <v>116</v>
      </c>
      <c r="CS3744">
        <v>38</v>
      </c>
      <c r="CT3744">
        <v>0</v>
      </c>
      <c r="CU3744" t="s">
        <v>4719</v>
      </c>
      <c r="CV3744" t="s">
        <v>4720</v>
      </c>
      <c r="CY3744">
        <v>8343779</v>
      </c>
      <c r="CZ3744" t="s">
        <v>119</v>
      </c>
    </row>
    <row r="3745" spans="1:104" x14ac:dyDescent="0.25">
      <c r="A3745" t="str">
        <f>"14:52:47.258"</f>
        <v>14:52:47.258</v>
      </c>
      <c r="B3745" t="s">
        <v>108</v>
      </c>
      <c r="C3745" t="str">
        <f t="shared" si="175"/>
        <v>ffdfd3c0</v>
      </c>
      <c r="D3745" t="s">
        <v>109</v>
      </c>
      <c r="E3745">
        <v>4</v>
      </c>
      <c r="F3745">
        <v>1004</v>
      </c>
      <c r="G3745" t="s">
        <v>110</v>
      </c>
      <c r="J3745" t="s">
        <v>111</v>
      </c>
      <c r="K3745">
        <v>0</v>
      </c>
      <c r="L3745">
        <v>3</v>
      </c>
      <c r="M3745">
        <v>0</v>
      </c>
      <c r="N3745">
        <v>2</v>
      </c>
      <c r="O3745">
        <v>1</v>
      </c>
      <c r="P3745">
        <v>0</v>
      </c>
      <c r="Q3745">
        <v>0</v>
      </c>
      <c r="R3745" t="s">
        <v>112</v>
      </c>
      <c r="S3745" t="str">
        <f>"14:52:47.070"</f>
        <v>14:52:47.070</v>
      </c>
      <c r="T3745" t="str">
        <f>"14:52:46.570"</f>
        <v>14:52:46.570</v>
      </c>
      <c r="U3745" t="str">
        <f t="shared" si="174"/>
        <v>ad5732</v>
      </c>
      <c r="V3745">
        <v>0</v>
      </c>
      <c r="W3745">
        <v>0</v>
      </c>
      <c r="X3745">
        <v>1</v>
      </c>
      <c r="Z3745">
        <v>0</v>
      </c>
      <c r="AA3745">
        <v>9</v>
      </c>
      <c r="AB3745">
        <v>3</v>
      </c>
      <c r="AC3745">
        <v>0</v>
      </c>
      <c r="AD3745">
        <v>10</v>
      </c>
      <c r="AE3745">
        <v>0</v>
      </c>
      <c r="AF3745">
        <v>3</v>
      </c>
      <c r="AG3745">
        <v>2</v>
      </c>
      <c r="AH3745">
        <v>0</v>
      </c>
      <c r="AI3745" t="s">
        <v>7538</v>
      </c>
      <c r="AJ3745">
        <v>40.453699</v>
      </c>
      <c r="AK3745" t="s">
        <v>7539</v>
      </c>
      <c r="AL3745">
        <v>-74.407331999999997</v>
      </c>
      <c r="AM3745">
        <v>100</v>
      </c>
      <c r="AN3745">
        <v>1700</v>
      </c>
      <c r="AO3745" t="s">
        <v>115</v>
      </c>
      <c r="AP3745">
        <v>97</v>
      </c>
      <c r="AQ3745">
        <v>55</v>
      </c>
      <c r="AR3745">
        <v>64</v>
      </c>
      <c r="AZ3745">
        <v>3614</v>
      </c>
      <c r="BA3745">
        <v>1</v>
      </c>
      <c r="BB3745" t="str">
        <f t="shared" si="176"/>
        <v xml:space="preserve">N959MJ  </v>
      </c>
      <c r="BC3745">
        <v>1</v>
      </c>
      <c r="BE3745">
        <v>0</v>
      </c>
      <c r="BF3745">
        <v>0</v>
      </c>
      <c r="BG3745">
        <v>0</v>
      </c>
      <c r="BH3745">
        <v>1900</v>
      </c>
      <c r="BI3745">
        <v>200</v>
      </c>
      <c r="BJ3745">
        <v>1</v>
      </c>
      <c r="BK3745">
        <v>1</v>
      </c>
      <c r="BL3745">
        <v>1</v>
      </c>
      <c r="BM3745">
        <v>0</v>
      </c>
      <c r="BP3745">
        <v>0</v>
      </c>
      <c r="BQ3745">
        <v>0</v>
      </c>
      <c r="BX3745" t="str">
        <f>"14:52:47.078"</f>
        <v>14:52:47.078</v>
      </c>
      <c r="BY3745" t="str">
        <f>"077726918"</f>
        <v>077726918</v>
      </c>
      <c r="CL3745">
        <v>0</v>
      </c>
      <c r="CM3745">
        <v>2</v>
      </c>
      <c r="CN3745">
        <v>0</v>
      </c>
      <c r="CO3745">
        <v>2</v>
      </c>
      <c r="CP3745">
        <v>0</v>
      </c>
      <c r="CQ3745">
        <v>6</v>
      </c>
      <c r="CR3745" t="s">
        <v>116</v>
      </c>
      <c r="CS3745">
        <v>305</v>
      </c>
      <c r="CT3745">
        <v>3</v>
      </c>
      <c r="CU3745" t="s">
        <v>6425</v>
      </c>
      <c r="CV3745" t="s">
        <v>6426</v>
      </c>
      <c r="CY3745">
        <v>6302412</v>
      </c>
      <c r="CZ3745" t="s">
        <v>119</v>
      </c>
    </row>
    <row r="3746" spans="1:104" x14ac:dyDescent="0.25">
      <c r="A3746" t="str">
        <f>"14:52:48.273"</f>
        <v>14:52:48.273</v>
      </c>
      <c r="B3746" t="s">
        <v>108</v>
      </c>
      <c r="C3746" t="str">
        <f t="shared" si="175"/>
        <v>ffdfd3c0</v>
      </c>
      <c r="D3746" t="s">
        <v>109</v>
      </c>
      <c r="E3746">
        <v>4</v>
      </c>
      <c r="F3746">
        <v>1004</v>
      </c>
      <c r="G3746" t="s">
        <v>110</v>
      </c>
      <c r="J3746" t="s">
        <v>111</v>
      </c>
      <c r="K3746">
        <v>0</v>
      </c>
      <c r="L3746">
        <v>3</v>
      </c>
      <c r="M3746">
        <v>0</v>
      </c>
      <c r="N3746">
        <v>2</v>
      </c>
      <c r="O3746">
        <v>1</v>
      </c>
      <c r="P3746">
        <v>0</v>
      </c>
      <c r="Q3746">
        <v>0</v>
      </c>
      <c r="R3746" t="s">
        <v>112</v>
      </c>
      <c r="S3746" t="str">
        <f>"14:52:48.078"</f>
        <v>14:52:48.078</v>
      </c>
      <c r="T3746" t="str">
        <f>"14:52:47.578"</f>
        <v>14:52:47.578</v>
      </c>
      <c r="U3746" t="str">
        <f t="shared" si="174"/>
        <v>ad5732</v>
      </c>
      <c r="V3746">
        <v>0</v>
      </c>
      <c r="W3746">
        <v>0</v>
      </c>
      <c r="X3746">
        <v>1</v>
      </c>
      <c r="Z3746">
        <v>0</v>
      </c>
      <c r="AA3746">
        <v>9</v>
      </c>
      <c r="AB3746">
        <v>3</v>
      </c>
      <c r="AC3746">
        <v>0</v>
      </c>
      <c r="AD3746">
        <v>10</v>
      </c>
      <c r="AE3746">
        <v>0</v>
      </c>
      <c r="AF3746">
        <v>3</v>
      </c>
      <c r="AG3746">
        <v>2</v>
      </c>
      <c r="AH3746">
        <v>0</v>
      </c>
      <c r="AI3746" t="s">
        <v>7540</v>
      </c>
      <c r="AJ3746">
        <v>40.453935000000001</v>
      </c>
      <c r="AK3746" t="s">
        <v>7541</v>
      </c>
      <c r="AL3746">
        <v>-74.406710000000004</v>
      </c>
      <c r="AM3746">
        <v>100</v>
      </c>
      <c r="AN3746">
        <v>1700</v>
      </c>
      <c r="AO3746" t="s">
        <v>115</v>
      </c>
      <c r="AP3746">
        <v>97</v>
      </c>
      <c r="AQ3746">
        <v>54</v>
      </c>
      <c r="AR3746">
        <v>64</v>
      </c>
      <c r="AZ3746">
        <v>3614</v>
      </c>
      <c r="BA3746">
        <v>1</v>
      </c>
      <c r="BB3746" t="str">
        <f t="shared" si="176"/>
        <v xml:space="preserve">N959MJ  </v>
      </c>
      <c r="BC3746">
        <v>1</v>
      </c>
      <c r="BE3746">
        <v>0</v>
      </c>
      <c r="BF3746">
        <v>0</v>
      </c>
      <c r="BG3746">
        <v>0</v>
      </c>
      <c r="BH3746">
        <v>1900</v>
      </c>
      <c r="BI3746">
        <v>200</v>
      </c>
      <c r="BJ3746">
        <v>1</v>
      </c>
      <c r="BK3746">
        <v>1</v>
      </c>
      <c r="BL3746">
        <v>1</v>
      </c>
      <c r="BM3746">
        <v>0</v>
      </c>
      <c r="BP3746">
        <v>0</v>
      </c>
      <c r="BQ3746">
        <v>0</v>
      </c>
      <c r="BX3746" t="str">
        <f>"14:52:48.086"</f>
        <v>14:52:48.086</v>
      </c>
      <c r="BY3746" t="str">
        <f>"083751560"</f>
        <v>083751560</v>
      </c>
      <c r="CL3746">
        <v>0</v>
      </c>
      <c r="CM3746">
        <v>2</v>
      </c>
      <c r="CN3746">
        <v>0</v>
      </c>
      <c r="CO3746">
        <v>2</v>
      </c>
      <c r="CP3746">
        <v>0</v>
      </c>
      <c r="CQ3746">
        <v>6</v>
      </c>
      <c r="CR3746" t="s">
        <v>116</v>
      </c>
      <c r="CS3746">
        <v>38</v>
      </c>
      <c r="CT3746">
        <v>0</v>
      </c>
      <c r="CU3746" t="s">
        <v>4719</v>
      </c>
      <c r="CV3746" t="s">
        <v>4720</v>
      </c>
      <c r="CY3746">
        <v>8346946</v>
      </c>
      <c r="CZ3746" t="s">
        <v>119</v>
      </c>
    </row>
    <row r="3747" spans="1:104" x14ac:dyDescent="0.25">
      <c r="A3747" t="str">
        <f>"14:52:49.180"</f>
        <v>14:52:49.180</v>
      </c>
      <c r="B3747" t="s">
        <v>108</v>
      </c>
      <c r="C3747" t="str">
        <f t="shared" si="175"/>
        <v>ffdfd3c0</v>
      </c>
      <c r="D3747" t="s">
        <v>109</v>
      </c>
      <c r="E3747">
        <v>4</v>
      </c>
      <c r="F3747">
        <v>1004</v>
      </c>
      <c r="G3747" t="s">
        <v>110</v>
      </c>
      <c r="J3747" t="s">
        <v>111</v>
      </c>
      <c r="K3747">
        <v>0</v>
      </c>
      <c r="L3747">
        <v>3</v>
      </c>
      <c r="M3747">
        <v>0</v>
      </c>
      <c r="N3747">
        <v>2</v>
      </c>
      <c r="O3747">
        <v>1</v>
      </c>
      <c r="P3747">
        <v>0</v>
      </c>
      <c r="Q3747">
        <v>0</v>
      </c>
      <c r="R3747" t="s">
        <v>112</v>
      </c>
      <c r="S3747" t="str">
        <f>"14:52:48.984"</f>
        <v>14:52:48.984</v>
      </c>
      <c r="T3747" t="str">
        <f>"14:52:48.586"</f>
        <v>14:52:48.586</v>
      </c>
      <c r="U3747" t="str">
        <f t="shared" si="174"/>
        <v>ad5732</v>
      </c>
      <c r="V3747">
        <v>0</v>
      </c>
      <c r="W3747">
        <v>0</v>
      </c>
      <c r="X3747">
        <v>1</v>
      </c>
      <c r="Z3747">
        <v>0</v>
      </c>
      <c r="AA3747">
        <v>9</v>
      </c>
      <c r="AB3747">
        <v>3</v>
      </c>
      <c r="AC3747">
        <v>0</v>
      </c>
      <c r="AD3747">
        <v>10</v>
      </c>
      <c r="AE3747">
        <v>0</v>
      </c>
      <c r="AF3747">
        <v>3</v>
      </c>
      <c r="AG3747">
        <v>2</v>
      </c>
      <c r="AH3747">
        <v>0</v>
      </c>
      <c r="AI3747" t="s">
        <v>7542</v>
      </c>
      <c r="AJ3747">
        <v>40.454171000000002</v>
      </c>
      <c r="AK3747" t="s">
        <v>7543</v>
      </c>
      <c r="AL3747">
        <v>-74.406259000000006</v>
      </c>
      <c r="AM3747">
        <v>100</v>
      </c>
      <c r="AN3747">
        <v>1700</v>
      </c>
      <c r="AO3747" t="s">
        <v>115</v>
      </c>
      <c r="AP3747">
        <v>97</v>
      </c>
      <c r="AQ3747">
        <v>54</v>
      </c>
      <c r="AR3747">
        <v>64</v>
      </c>
      <c r="AZ3747">
        <v>3614</v>
      </c>
      <c r="BA3747">
        <v>1</v>
      </c>
      <c r="BB3747" t="str">
        <f t="shared" si="176"/>
        <v xml:space="preserve">N959MJ  </v>
      </c>
      <c r="BC3747">
        <v>1</v>
      </c>
      <c r="BE3747">
        <v>0</v>
      </c>
      <c r="BF3747">
        <v>0</v>
      </c>
      <c r="BG3747">
        <v>0</v>
      </c>
      <c r="BH3747">
        <v>1900</v>
      </c>
      <c r="BI3747">
        <v>200</v>
      </c>
      <c r="BJ3747">
        <v>1</v>
      </c>
      <c r="BK3747">
        <v>1</v>
      </c>
      <c r="BL3747">
        <v>1</v>
      </c>
      <c r="BM3747">
        <v>0</v>
      </c>
      <c r="BP3747">
        <v>0</v>
      </c>
      <c r="BQ3747">
        <v>0</v>
      </c>
      <c r="BX3747" t="str">
        <f>"14:52:48.984"</f>
        <v>14:52:48.984</v>
      </c>
      <c r="BY3747" t="str">
        <f>"986525996"</f>
        <v>986525996</v>
      </c>
      <c r="CL3747">
        <v>0</v>
      </c>
      <c r="CM3747">
        <v>2</v>
      </c>
      <c r="CN3747">
        <v>0</v>
      </c>
      <c r="CO3747">
        <v>2</v>
      </c>
      <c r="CP3747">
        <v>0</v>
      </c>
      <c r="CQ3747">
        <v>6</v>
      </c>
      <c r="CR3747" t="s">
        <v>116</v>
      </c>
      <c r="CS3747">
        <v>38</v>
      </c>
      <c r="CT3747">
        <v>0</v>
      </c>
      <c r="CU3747" t="s">
        <v>4719</v>
      </c>
      <c r="CV3747" t="s">
        <v>4720</v>
      </c>
      <c r="CY3747">
        <v>8348304</v>
      </c>
      <c r="CZ3747" t="s">
        <v>119</v>
      </c>
    </row>
    <row r="3748" spans="1:104" x14ac:dyDescent="0.25">
      <c r="A3748" t="str">
        <f>"14:52:50.141"</f>
        <v>14:52:50.141</v>
      </c>
      <c r="B3748" t="s">
        <v>108</v>
      </c>
      <c r="C3748" t="str">
        <f t="shared" si="175"/>
        <v>ffdfd3c0</v>
      </c>
      <c r="D3748" t="s">
        <v>109</v>
      </c>
      <c r="E3748">
        <v>4</v>
      </c>
      <c r="F3748">
        <v>1004</v>
      </c>
      <c r="G3748" t="s">
        <v>110</v>
      </c>
      <c r="J3748" t="s">
        <v>111</v>
      </c>
      <c r="K3748">
        <v>0</v>
      </c>
      <c r="L3748">
        <v>3</v>
      </c>
      <c r="M3748">
        <v>0</v>
      </c>
      <c r="N3748">
        <v>2</v>
      </c>
      <c r="O3748">
        <v>1</v>
      </c>
      <c r="P3748">
        <v>0</v>
      </c>
      <c r="Q3748">
        <v>0</v>
      </c>
      <c r="R3748" t="s">
        <v>112</v>
      </c>
      <c r="S3748" t="str">
        <f>"14:52:49.945"</f>
        <v>14:52:49.945</v>
      </c>
      <c r="T3748" t="str">
        <f>"14:52:49.547"</f>
        <v>14:52:49.547</v>
      </c>
      <c r="U3748" t="str">
        <f t="shared" si="174"/>
        <v>ad5732</v>
      </c>
      <c r="V3748">
        <v>0</v>
      </c>
      <c r="W3748">
        <v>0</v>
      </c>
      <c r="X3748">
        <v>1</v>
      </c>
      <c r="Z3748">
        <v>0</v>
      </c>
      <c r="AA3748">
        <v>9</v>
      </c>
      <c r="AB3748">
        <v>3</v>
      </c>
      <c r="AC3748">
        <v>0</v>
      </c>
      <c r="AD3748">
        <v>10</v>
      </c>
      <c r="AE3748">
        <v>0</v>
      </c>
      <c r="AF3748">
        <v>3</v>
      </c>
      <c r="AG3748">
        <v>2</v>
      </c>
      <c r="AH3748">
        <v>0</v>
      </c>
      <c r="AI3748" t="s">
        <v>7544</v>
      </c>
      <c r="AJ3748">
        <v>40.454450000000001</v>
      </c>
      <c r="AK3748" t="s">
        <v>7545</v>
      </c>
      <c r="AL3748">
        <v>-74.405636999999999</v>
      </c>
      <c r="AM3748">
        <v>100</v>
      </c>
      <c r="AN3748">
        <v>1700</v>
      </c>
      <c r="AO3748" t="s">
        <v>115</v>
      </c>
      <c r="AP3748">
        <v>97</v>
      </c>
      <c r="AQ3748">
        <v>54</v>
      </c>
      <c r="AR3748">
        <v>0</v>
      </c>
      <c r="AZ3748">
        <v>3614</v>
      </c>
      <c r="BA3748">
        <v>1</v>
      </c>
      <c r="BB3748" t="str">
        <f t="shared" si="176"/>
        <v xml:space="preserve">N959MJ  </v>
      </c>
      <c r="BC3748">
        <v>1</v>
      </c>
      <c r="BE3748">
        <v>0</v>
      </c>
      <c r="BF3748">
        <v>0</v>
      </c>
      <c r="BG3748">
        <v>0</v>
      </c>
      <c r="BH3748">
        <v>1900</v>
      </c>
      <c r="BI3748">
        <v>200</v>
      </c>
      <c r="BJ3748">
        <v>1</v>
      </c>
      <c r="BK3748">
        <v>1</v>
      </c>
      <c r="BL3748">
        <v>1</v>
      </c>
      <c r="BM3748">
        <v>0</v>
      </c>
      <c r="BP3748">
        <v>0</v>
      </c>
      <c r="BQ3748">
        <v>0</v>
      </c>
      <c r="BX3748" t="str">
        <f>"14:52:49.945"</f>
        <v>14:52:49.945</v>
      </c>
      <c r="BY3748" t="str">
        <f>"946615291"</f>
        <v>946615291</v>
      </c>
      <c r="CL3748">
        <v>0</v>
      </c>
      <c r="CM3748">
        <v>2</v>
      </c>
      <c r="CN3748">
        <v>0</v>
      </c>
      <c r="CO3748">
        <v>2</v>
      </c>
      <c r="CP3748">
        <v>0</v>
      </c>
      <c r="CQ3748">
        <v>6</v>
      </c>
      <c r="CR3748" t="s">
        <v>116</v>
      </c>
      <c r="CS3748">
        <v>305</v>
      </c>
      <c r="CT3748">
        <v>3</v>
      </c>
      <c r="CU3748" t="s">
        <v>6425</v>
      </c>
      <c r="CV3748" t="s">
        <v>6426</v>
      </c>
      <c r="CY3748">
        <v>6308366</v>
      </c>
      <c r="CZ3748" t="s">
        <v>119</v>
      </c>
    </row>
    <row r="3749" spans="1:104" x14ac:dyDescent="0.25">
      <c r="A3749" t="str">
        <f>"14:52:51.148"</f>
        <v>14:52:51.148</v>
      </c>
      <c r="B3749" t="s">
        <v>108</v>
      </c>
      <c r="C3749" t="str">
        <f t="shared" si="175"/>
        <v>ffdfd3c0</v>
      </c>
      <c r="D3749" t="s">
        <v>109</v>
      </c>
      <c r="E3749">
        <v>4</v>
      </c>
      <c r="F3749">
        <v>1004</v>
      </c>
      <c r="G3749" t="s">
        <v>110</v>
      </c>
      <c r="J3749" t="s">
        <v>111</v>
      </c>
      <c r="K3749">
        <v>0</v>
      </c>
      <c r="L3749">
        <v>3</v>
      </c>
      <c r="M3749">
        <v>0</v>
      </c>
      <c r="N3749">
        <v>2</v>
      </c>
      <c r="O3749">
        <v>1</v>
      </c>
      <c r="P3749">
        <v>0</v>
      </c>
      <c r="Q3749">
        <v>0</v>
      </c>
      <c r="R3749" t="s">
        <v>112</v>
      </c>
      <c r="S3749" t="str">
        <f>"14:52:50.945"</f>
        <v>14:52:50.945</v>
      </c>
      <c r="T3749" t="str">
        <f>"14:52:50.445"</f>
        <v>14:52:50.445</v>
      </c>
      <c r="U3749" t="str">
        <f t="shared" si="174"/>
        <v>ad5732</v>
      </c>
      <c r="V3749">
        <v>0</v>
      </c>
      <c r="W3749">
        <v>0</v>
      </c>
      <c r="X3749">
        <v>1</v>
      </c>
      <c r="Z3749">
        <v>0</v>
      </c>
      <c r="AA3749">
        <v>9</v>
      </c>
      <c r="AB3749">
        <v>3</v>
      </c>
      <c r="AC3749">
        <v>0</v>
      </c>
      <c r="AD3749">
        <v>10</v>
      </c>
      <c r="AE3749">
        <v>0</v>
      </c>
      <c r="AF3749">
        <v>3</v>
      </c>
      <c r="AG3749">
        <v>2</v>
      </c>
      <c r="AH3749">
        <v>0</v>
      </c>
      <c r="AI3749" t="s">
        <v>7546</v>
      </c>
      <c r="AJ3749">
        <v>40.454686000000002</v>
      </c>
      <c r="AK3749" t="s">
        <v>7547</v>
      </c>
      <c r="AL3749">
        <v>-74.405035999999996</v>
      </c>
      <c r="AM3749">
        <v>100</v>
      </c>
      <c r="AN3749">
        <v>1700</v>
      </c>
      <c r="AO3749" t="s">
        <v>115</v>
      </c>
      <c r="AP3749">
        <v>96</v>
      </c>
      <c r="AQ3749">
        <v>54</v>
      </c>
      <c r="AR3749">
        <v>0</v>
      </c>
      <c r="AZ3749">
        <v>3614</v>
      </c>
      <c r="BA3749">
        <v>1</v>
      </c>
      <c r="BB3749" t="str">
        <f t="shared" si="176"/>
        <v xml:space="preserve">N959MJ  </v>
      </c>
      <c r="BC3749">
        <v>1</v>
      </c>
      <c r="BE3749">
        <v>0</v>
      </c>
      <c r="BF3749">
        <v>0</v>
      </c>
      <c r="BG3749">
        <v>0</v>
      </c>
      <c r="BH3749">
        <v>1900</v>
      </c>
      <c r="BI3749">
        <v>200</v>
      </c>
      <c r="BJ3749">
        <v>1</v>
      </c>
      <c r="BK3749">
        <v>1</v>
      </c>
      <c r="BL3749">
        <v>1</v>
      </c>
      <c r="BM3749">
        <v>0</v>
      </c>
      <c r="BP3749">
        <v>0</v>
      </c>
      <c r="BQ3749">
        <v>0</v>
      </c>
      <c r="BX3749" t="str">
        <f>"14:52:50.953"</f>
        <v>14:52:50.953</v>
      </c>
      <c r="BY3749" t="str">
        <f>"949333567"</f>
        <v>949333567</v>
      </c>
      <c r="CL3749">
        <v>0</v>
      </c>
      <c r="CM3749">
        <v>2</v>
      </c>
      <c r="CN3749">
        <v>0</v>
      </c>
      <c r="CO3749">
        <v>2</v>
      </c>
      <c r="CP3749">
        <v>0</v>
      </c>
      <c r="CQ3749">
        <v>6</v>
      </c>
      <c r="CR3749" t="s">
        <v>116</v>
      </c>
      <c r="CS3749">
        <v>305</v>
      </c>
      <c r="CT3749">
        <v>3</v>
      </c>
      <c r="CU3749" t="s">
        <v>6425</v>
      </c>
      <c r="CV3749" t="s">
        <v>6426</v>
      </c>
      <c r="CY3749">
        <v>6310284</v>
      </c>
      <c r="CZ3749" t="s">
        <v>119</v>
      </c>
    </row>
    <row r="3750" spans="1:104" x14ac:dyDescent="0.25">
      <c r="A3750" t="str">
        <f>"14:52:52.008"</f>
        <v>14:52:52.008</v>
      </c>
      <c r="B3750" t="s">
        <v>108</v>
      </c>
      <c r="C3750" t="str">
        <f t="shared" si="175"/>
        <v>ffdfd3c0</v>
      </c>
      <c r="D3750" t="s">
        <v>109</v>
      </c>
      <c r="E3750">
        <v>4</v>
      </c>
      <c r="F3750">
        <v>1004</v>
      </c>
      <c r="G3750" t="s">
        <v>110</v>
      </c>
      <c r="J3750" t="s">
        <v>111</v>
      </c>
      <c r="K3750">
        <v>0</v>
      </c>
      <c r="L3750">
        <v>3</v>
      </c>
      <c r="M3750">
        <v>0</v>
      </c>
      <c r="N3750">
        <v>2</v>
      </c>
      <c r="O3750">
        <v>1</v>
      </c>
      <c r="P3750">
        <v>0</v>
      </c>
      <c r="Q3750">
        <v>0</v>
      </c>
      <c r="R3750" t="s">
        <v>112</v>
      </c>
      <c r="S3750" t="str">
        <f>"14:52:51.844"</f>
        <v>14:52:51.844</v>
      </c>
      <c r="T3750" t="str">
        <f>"14:52:51.445"</f>
        <v>14:52:51.445</v>
      </c>
      <c r="U3750" t="str">
        <f t="shared" si="174"/>
        <v>ad5732</v>
      </c>
      <c r="V3750">
        <v>0</v>
      </c>
      <c r="W3750">
        <v>0</v>
      </c>
      <c r="X3750">
        <v>1</v>
      </c>
      <c r="Z3750">
        <v>0</v>
      </c>
      <c r="AA3750">
        <v>9</v>
      </c>
      <c r="AB3750">
        <v>3</v>
      </c>
      <c r="AC3750">
        <v>0</v>
      </c>
      <c r="AD3750">
        <v>10</v>
      </c>
      <c r="AE3750">
        <v>0</v>
      </c>
      <c r="AF3750">
        <v>3</v>
      </c>
      <c r="AG3750">
        <v>2</v>
      </c>
      <c r="AH3750">
        <v>0</v>
      </c>
      <c r="AI3750" t="s">
        <v>7548</v>
      </c>
      <c r="AJ3750">
        <v>40.454922000000003</v>
      </c>
      <c r="AK3750" t="s">
        <v>7549</v>
      </c>
      <c r="AL3750">
        <v>-74.404542000000006</v>
      </c>
      <c r="AM3750">
        <v>100</v>
      </c>
      <c r="AN3750">
        <v>1700</v>
      </c>
      <c r="AO3750" t="s">
        <v>115</v>
      </c>
      <c r="AP3750">
        <v>96</v>
      </c>
      <c r="AQ3750">
        <v>54</v>
      </c>
      <c r="AR3750">
        <v>0</v>
      </c>
      <c r="AZ3750">
        <v>3614</v>
      </c>
      <c r="BA3750">
        <v>1</v>
      </c>
      <c r="BB3750" t="str">
        <f t="shared" si="176"/>
        <v xml:space="preserve">N959MJ  </v>
      </c>
      <c r="BC3750">
        <v>1</v>
      </c>
      <c r="BE3750">
        <v>0</v>
      </c>
      <c r="BF3750">
        <v>0</v>
      </c>
      <c r="BG3750">
        <v>0</v>
      </c>
      <c r="BH3750">
        <v>1900</v>
      </c>
      <c r="BI3750">
        <v>200</v>
      </c>
      <c r="BJ3750">
        <v>1</v>
      </c>
      <c r="BK3750">
        <v>1</v>
      </c>
      <c r="BL3750">
        <v>1</v>
      </c>
      <c r="BM3750">
        <v>0</v>
      </c>
      <c r="BP3750">
        <v>0</v>
      </c>
      <c r="BQ3750">
        <v>0</v>
      </c>
      <c r="BX3750" t="str">
        <f>"14:52:51.852"</f>
        <v>14:52:51.852</v>
      </c>
      <c r="BY3750" t="str">
        <f>"850500108"</f>
        <v>850500108</v>
      </c>
      <c r="CL3750">
        <v>0</v>
      </c>
      <c r="CM3750">
        <v>2</v>
      </c>
      <c r="CN3750">
        <v>0</v>
      </c>
      <c r="CO3750">
        <v>2</v>
      </c>
      <c r="CP3750">
        <v>0</v>
      </c>
      <c r="CQ3750">
        <v>6</v>
      </c>
      <c r="CR3750" t="s">
        <v>116</v>
      </c>
      <c r="CS3750">
        <v>38</v>
      </c>
      <c r="CT3750">
        <v>0</v>
      </c>
      <c r="CU3750" t="s">
        <v>4719</v>
      </c>
      <c r="CV3750" t="s">
        <v>4720</v>
      </c>
      <c r="CY3750">
        <v>8352784</v>
      </c>
      <c r="CZ3750" t="s">
        <v>119</v>
      </c>
    </row>
    <row r="3751" spans="1:104" x14ac:dyDescent="0.25">
      <c r="A3751" t="str">
        <f>"14:52:52.914"</f>
        <v>14:52:52.914</v>
      </c>
      <c r="B3751" t="s">
        <v>108</v>
      </c>
      <c r="C3751" t="str">
        <f t="shared" si="175"/>
        <v>ffdfd3c0</v>
      </c>
      <c r="D3751" t="s">
        <v>109</v>
      </c>
      <c r="E3751">
        <v>4</v>
      </c>
      <c r="F3751">
        <v>1004</v>
      </c>
      <c r="G3751" t="s">
        <v>110</v>
      </c>
      <c r="J3751" t="s">
        <v>111</v>
      </c>
      <c r="K3751">
        <v>0</v>
      </c>
      <c r="L3751">
        <v>3</v>
      </c>
      <c r="M3751">
        <v>0</v>
      </c>
      <c r="N3751">
        <v>2</v>
      </c>
      <c r="O3751">
        <v>1</v>
      </c>
      <c r="P3751">
        <v>0</v>
      </c>
      <c r="Q3751">
        <v>0</v>
      </c>
      <c r="R3751" t="s">
        <v>112</v>
      </c>
      <c r="S3751" t="str">
        <f>"14:52:52.711"</f>
        <v>14:52:52.711</v>
      </c>
      <c r="T3751" t="str">
        <f>"14:52:52.313"</f>
        <v>14:52:52.313</v>
      </c>
      <c r="U3751" t="str">
        <f t="shared" si="174"/>
        <v>ad5732</v>
      </c>
      <c r="V3751">
        <v>0</v>
      </c>
      <c r="W3751">
        <v>0</v>
      </c>
      <c r="X3751">
        <v>1</v>
      </c>
      <c r="Z3751">
        <v>0</v>
      </c>
      <c r="AA3751">
        <v>9</v>
      </c>
      <c r="AB3751">
        <v>3</v>
      </c>
      <c r="AC3751">
        <v>0</v>
      </c>
      <c r="AD3751">
        <v>10</v>
      </c>
      <c r="AE3751">
        <v>0</v>
      </c>
      <c r="AF3751">
        <v>3</v>
      </c>
      <c r="AG3751">
        <v>2</v>
      </c>
      <c r="AH3751">
        <v>0</v>
      </c>
      <c r="AI3751" t="s">
        <v>7550</v>
      </c>
      <c r="AJ3751">
        <v>40.455114999999999</v>
      </c>
      <c r="AK3751" t="s">
        <v>7551</v>
      </c>
      <c r="AL3751">
        <v>-74.404026999999999</v>
      </c>
      <c r="AM3751">
        <v>100</v>
      </c>
      <c r="AN3751">
        <v>1700</v>
      </c>
      <c r="AO3751" t="s">
        <v>115</v>
      </c>
      <c r="AP3751">
        <v>96</v>
      </c>
      <c r="AQ3751">
        <v>54</v>
      </c>
      <c r="AR3751">
        <v>0</v>
      </c>
      <c r="AZ3751">
        <v>3614</v>
      </c>
      <c r="BA3751">
        <v>1</v>
      </c>
      <c r="BB3751" t="str">
        <f t="shared" si="176"/>
        <v xml:space="preserve">N959MJ  </v>
      </c>
      <c r="BC3751">
        <v>1</v>
      </c>
      <c r="BE3751">
        <v>0</v>
      </c>
      <c r="BF3751">
        <v>0</v>
      </c>
      <c r="BG3751">
        <v>0</v>
      </c>
      <c r="BH3751">
        <v>1900</v>
      </c>
      <c r="BI3751">
        <v>200</v>
      </c>
      <c r="BJ3751">
        <v>1</v>
      </c>
      <c r="BK3751">
        <v>1</v>
      </c>
      <c r="BL3751">
        <v>1</v>
      </c>
      <c r="BM3751">
        <v>0</v>
      </c>
      <c r="BP3751">
        <v>0</v>
      </c>
      <c r="BQ3751">
        <v>0</v>
      </c>
      <c r="BX3751" t="str">
        <f>"14:52:52.711"</f>
        <v>14:52:52.711</v>
      </c>
      <c r="BY3751" t="str">
        <f>"712313808"</f>
        <v>712313808</v>
      </c>
      <c r="CL3751">
        <v>0</v>
      </c>
      <c r="CM3751">
        <v>2</v>
      </c>
      <c r="CN3751">
        <v>0</v>
      </c>
      <c r="CO3751">
        <v>2</v>
      </c>
      <c r="CP3751">
        <v>0</v>
      </c>
      <c r="CQ3751">
        <v>6</v>
      </c>
      <c r="CR3751" t="s">
        <v>116</v>
      </c>
      <c r="CS3751">
        <v>38</v>
      </c>
      <c r="CT3751">
        <v>0</v>
      </c>
      <c r="CU3751" t="s">
        <v>4719</v>
      </c>
      <c r="CV3751" t="s">
        <v>4720</v>
      </c>
      <c r="CY3751">
        <v>8354094</v>
      </c>
      <c r="CZ3751" t="s">
        <v>119</v>
      </c>
    </row>
    <row r="3752" spans="1:104" x14ac:dyDescent="0.25">
      <c r="A3752" t="str">
        <f>"14:52:53.922"</f>
        <v>14:52:53.922</v>
      </c>
      <c r="B3752" t="s">
        <v>108</v>
      </c>
      <c r="C3752" t="str">
        <f t="shared" si="175"/>
        <v>ffdfd3c0</v>
      </c>
      <c r="D3752" t="s">
        <v>109</v>
      </c>
      <c r="E3752">
        <v>4</v>
      </c>
      <c r="F3752">
        <v>1004</v>
      </c>
      <c r="G3752" t="s">
        <v>110</v>
      </c>
      <c r="J3752" t="s">
        <v>111</v>
      </c>
      <c r="K3752">
        <v>0</v>
      </c>
      <c r="L3752">
        <v>3</v>
      </c>
      <c r="M3752">
        <v>0</v>
      </c>
      <c r="N3752">
        <v>2</v>
      </c>
      <c r="O3752">
        <v>1</v>
      </c>
      <c r="P3752">
        <v>0</v>
      </c>
      <c r="Q3752">
        <v>0</v>
      </c>
      <c r="R3752" t="s">
        <v>112</v>
      </c>
      <c r="S3752" t="str">
        <f>"14:52:53.719"</f>
        <v>14:52:53.719</v>
      </c>
      <c r="T3752" t="str">
        <f>"14:52:53.219"</f>
        <v>14:52:53.219</v>
      </c>
      <c r="U3752" t="str">
        <f t="shared" si="174"/>
        <v>ad5732</v>
      </c>
      <c r="V3752">
        <v>0</v>
      </c>
      <c r="W3752">
        <v>0</v>
      </c>
      <c r="X3752">
        <v>1</v>
      </c>
      <c r="Z3752">
        <v>0</v>
      </c>
      <c r="AA3752">
        <v>9</v>
      </c>
      <c r="AB3752">
        <v>3</v>
      </c>
      <c r="AC3752">
        <v>0</v>
      </c>
      <c r="AD3752">
        <v>10</v>
      </c>
      <c r="AE3752">
        <v>0</v>
      </c>
      <c r="AF3752">
        <v>3</v>
      </c>
      <c r="AG3752">
        <v>2</v>
      </c>
      <c r="AH3752">
        <v>0</v>
      </c>
      <c r="AI3752" t="s">
        <v>7552</v>
      </c>
      <c r="AJ3752">
        <v>40.455393999999998</v>
      </c>
      <c r="AK3752" t="s">
        <v>7553</v>
      </c>
      <c r="AL3752">
        <v>-74.403469999999999</v>
      </c>
      <c r="AM3752">
        <v>100</v>
      </c>
      <c r="AN3752">
        <v>1700</v>
      </c>
      <c r="AO3752" t="s">
        <v>115</v>
      </c>
      <c r="AP3752">
        <v>96</v>
      </c>
      <c r="AQ3752">
        <v>54</v>
      </c>
      <c r="AR3752">
        <v>0</v>
      </c>
      <c r="AZ3752">
        <v>3614</v>
      </c>
      <c r="BA3752">
        <v>1</v>
      </c>
      <c r="BB3752" t="str">
        <f t="shared" si="176"/>
        <v xml:space="preserve">N959MJ  </v>
      </c>
      <c r="BC3752">
        <v>1</v>
      </c>
      <c r="BE3752">
        <v>0</v>
      </c>
      <c r="BF3752">
        <v>0</v>
      </c>
      <c r="BG3752">
        <v>0</v>
      </c>
      <c r="BH3752">
        <v>1900</v>
      </c>
      <c r="BI3752">
        <v>200</v>
      </c>
      <c r="BJ3752">
        <v>1</v>
      </c>
      <c r="BK3752">
        <v>1</v>
      </c>
      <c r="BL3752">
        <v>1</v>
      </c>
      <c r="BM3752">
        <v>0</v>
      </c>
      <c r="BP3752">
        <v>0</v>
      </c>
      <c r="BQ3752">
        <v>0</v>
      </c>
      <c r="BX3752" t="str">
        <f>"14:52:53.727"</f>
        <v>14:52:53.727</v>
      </c>
      <c r="BY3752" t="str">
        <f>"723193104"</f>
        <v>723193104</v>
      </c>
      <c r="CL3752">
        <v>0</v>
      </c>
      <c r="CM3752">
        <v>2</v>
      </c>
      <c r="CN3752">
        <v>0</v>
      </c>
      <c r="CO3752">
        <v>2</v>
      </c>
      <c r="CP3752">
        <v>0</v>
      </c>
      <c r="CQ3752">
        <v>6</v>
      </c>
      <c r="CR3752" t="s">
        <v>116</v>
      </c>
      <c r="CS3752">
        <v>305</v>
      </c>
      <c r="CT3752">
        <v>3</v>
      </c>
      <c r="CU3752" t="s">
        <v>6425</v>
      </c>
      <c r="CV3752" t="s">
        <v>6426</v>
      </c>
      <c r="CY3752">
        <v>6315929</v>
      </c>
      <c r="CZ3752" t="s">
        <v>119</v>
      </c>
    </row>
    <row r="3753" spans="1:104" x14ac:dyDescent="0.25">
      <c r="A3753" t="str">
        <f>"14:52:55.539"</f>
        <v>14:52:55.539</v>
      </c>
      <c r="B3753" t="s">
        <v>108</v>
      </c>
      <c r="C3753" t="str">
        <f t="shared" si="175"/>
        <v>ffdfd3c0</v>
      </c>
      <c r="D3753" t="s">
        <v>109</v>
      </c>
      <c r="E3753">
        <v>4</v>
      </c>
      <c r="F3753">
        <v>1004</v>
      </c>
      <c r="G3753" t="s">
        <v>110</v>
      </c>
      <c r="J3753" t="s">
        <v>111</v>
      </c>
      <c r="K3753">
        <v>0</v>
      </c>
      <c r="L3753">
        <v>3</v>
      </c>
      <c r="M3753">
        <v>0</v>
      </c>
      <c r="N3753">
        <v>2</v>
      </c>
      <c r="O3753">
        <v>1</v>
      </c>
      <c r="P3753">
        <v>0</v>
      </c>
      <c r="Q3753">
        <v>0</v>
      </c>
      <c r="R3753" t="s">
        <v>112</v>
      </c>
      <c r="S3753" t="str">
        <f>"14:52:55.352"</f>
        <v>14:52:55.352</v>
      </c>
      <c r="T3753" t="str">
        <f>"14:52:54.852"</f>
        <v>14:52:54.852</v>
      </c>
      <c r="U3753" t="str">
        <f t="shared" si="174"/>
        <v>ad5732</v>
      </c>
      <c r="V3753">
        <v>0</v>
      </c>
      <c r="W3753">
        <v>0</v>
      </c>
      <c r="X3753">
        <v>1</v>
      </c>
      <c r="Z3753">
        <v>0</v>
      </c>
      <c r="AA3753">
        <v>9</v>
      </c>
      <c r="AB3753">
        <v>3</v>
      </c>
      <c r="AC3753">
        <v>0</v>
      </c>
      <c r="AD3753">
        <v>10</v>
      </c>
      <c r="AE3753">
        <v>0</v>
      </c>
      <c r="AF3753">
        <v>3</v>
      </c>
      <c r="AG3753">
        <v>2</v>
      </c>
      <c r="AH3753">
        <v>0</v>
      </c>
      <c r="AI3753" t="s">
        <v>7554</v>
      </c>
      <c r="AJ3753">
        <v>40.455779999999997</v>
      </c>
      <c r="AK3753" t="s">
        <v>7555</v>
      </c>
      <c r="AL3753">
        <v>-74.402461000000002</v>
      </c>
      <c r="AM3753">
        <v>100</v>
      </c>
      <c r="AN3753">
        <v>1700</v>
      </c>
      <c r="AO3753" t="s">
        <v>115</v>
      </c>
      <c r="AP3753">
        <v>96</v>
      </c>
      <c r="AQ3753">
        <v>54</v>
      </c>
      <c r="AR3753">
        <v>0</v>
      </c>
      <c r="AZ3753">
        <v>3614</v>
      </c>
      <c r="BA3753">
        <v>1</v>
      </c>
      <c r="BB3753" t="str">
        <f t="shared" si="176"/>
        <v xml:space="preserve">N959MJ  </v>
      </c>
      <c r="BC3753">
        <v>1</v>
      </c>
      <c r="BE3753">
        <v>0</v>
      </c>
      <c r="BF3753">
        <v>0</v>
      </c>
      <c r="BG3753">
        <v>0</v>
      </c>
      <c r="BH3753">
        <v>1900</v>
      </c>
      <c r="BI3753">
        <v>200</v>
      </c>
      <c r="BJ3753">
        <v>1</v>
      </c>
      <c r="BK3753">
        <v>1</v>
      </c>
      <c r="BL3753">
        <v>1</v>
      </c>
      <c r="BM3753">
        <v>0</v>
      </c>
      <c r="BP3753">
        <v>0</v>
      </c>
      <c r="BQ3753">
        <v>0</v>
      </c>
      <c r="BX3753" t="str">
        <f>"14:52:55.352"</f>
        <v>14:52:55.352</v>
      </c>
      <c r="BY3753" t="str">
        <f>"351822930"</f>
        <v>351822930</v>
      </c>
      <c r="CL3753">
        <v>0</v>
      </c>
      <c r="CM3753">
        <v>2</v>
      </c>
      <c r="CN3753">
        <v>0</v>
      </c>
      <c r="CO3753">
        <v>2</v>
      </c>
      <c r="CP3753">
        <v>0</v>
      </c>
      <c r="CQ3753">
        <v>5</v>
      </c>
      <c r="CR3753" t="s">
        <v>116</v>
      </c>
      <c r="CS3753">
        <v>38</v>
      </c>
      <c r="CT3753">
        <v>1</v>
      </c>
      <c r="CU3753" t="s">
        <v>4719</v>
      </c>
      <c r="CV3753" t="s">
        <v>4720</v>
      </c>
      <c r="CY3753">
        <v>12292198</v>
      </c>
      <c r="CZ3753" t="s">
        <v>119</v>
      </c>
    </row>
    <row r="3754" spans="1:104" x14ac:dyDescent="0.25">
      <c r="A3754" t="str">
        <f>"14:52:56.547"</f>
        <v>14:52:56.547</v>
      </c>
      <c r="B3754" t="s">
        <v>108</v>
      </c>
      <c r="C3754" t="str">
        <f t="shared" si="175"/>
        <v>ffdfd3c0</v>
      </c>
      <c r="D3754" t="s">
        <v>109</v>
      </c>
      <c r="E3754">
        <v>4</v>
      </c>
      <c r="F3754">
        <v>1004</v>
      </c>
      <c r="G3754" t="s">
        <v>110</v>
      </c>
      <c r="J3754" t="s">
        <v>111</v>
      </c>
      <c r="K3754">
        <v>0</v>
      </c>
      <c r="L3754">
        <v>3</v>
      </c>
      <c r="M3754">
        <v>0</v>
      </c>
      <c r="N3754">
        <v>2</v>
      </c>
      <c r="O3754">
        <v>1</v>
      </c>
      <c r="P3754">
        <v>0</v>
      </c>
      <c r="Q3754">
        <v>0</v>
      </c>
      <c r="R3754" t="s">
        <v>112</v>
      </c>
      <c r="S3754" t="str">
        <f>"14:52:56.375"</f>
        <v>14:52:56.375</v>
      </c>
      <c r="T3754" t="str">
        <f>"14:52:55.875"</f>
        <v>14:52:55.875</v>
      </c>
      <c r="U3754" t="str">
        <f t="shared" si="174"/>
        <v>ad5732</v>
      </c>
      <c r="V3754">
        <v>0</v>
      </c>
      <c r="W3754">
        <v>0</v>
      </c>
      <c r="X3754">
        <v>1</v>
      </c>
      <c r="Z3754">
        <v>0</v>
      </c>
      <c r="AA3754">
        <v>9</v>
      </c>
      <c r="AB3754">
        <v>3</v>
      </c>
      <c r="AC3754">
        <v>0</v>
      </c>
      <c r="AD3754">
        <v>10</v>
      </c>
      <c r="AE3754">
        <v>0</v>
      </c>
      <c r="AF3754">
        <v>3</v>
      </c>
      <c r="AG3754">
        <v>2</v>
      </c>
      <c r="AH3754">
        <v>0</v>
      </c>
      <c r="AI3754" t="s">
        <v>7556</v>
      </c>
      <c r="AJ3754">
        <v>40.456059000000003</v>
      </c>
      <c r="AK3754" t="s">
        <v>7557</v>
      </c>
      <c r="AL3754">
        <v>-74.401925000000006</v>
      </c>
      <c r="AM3754">
        <v>100</v>
      </c>
      <c r="AN3754">
        <v>1700</v>
      </c>
      <c r="AO3754" t="s">
        <v>115</v>
      </c>
      <c r="AP3754">
        <v>96</v>
      </c>
      <c r="AQ3754">
        <v>54</v>
      </c>
      <c r="AR3754">
        <v>-64</v>
      </c>
      <c r="AZ3754">
        <v>3614</v>
      </c>
      <c r="BA3754">
        <v>1</v>
      </c>
      <c r="BB3754" t="str">
        <f t="shared" si="176"/>
        <v xml:space="preserve">N959MJ  </v>
      </c>
      <c r="BC3754">
        <v>1</v>
      </c>
      <c r="BE3754">
        <v>0</v>
      </c>
      <c r="BF3754">
        <v>0</v>
      </c>
      <c r="BG3754">
        <v>0</v>
      </c>
      <c r="BH3754">
        <v>1900</v>
      </c>
      <c r="BI3754">
        <v>200</v>
      </c>
      <c r="BJ3754">
        <v>1</v>
      </c>
      <c r="BK3754">
        <v>1</v>
      </c>
      <c r="BL3754">
        <v>1</v>
      </c>
      <c r="BM3754">
        <v>0</v>
      </c>
      <c r="BP3754">
        <v>0</v>
      </c>
      <c r="BQ3754">
        <v>0</v>
      </c>
      <c r="BX3754" t="str">
        <f>"14:52:56.375"</f>
        <v>14:52:56.375</v>
      </c>
      <c r="BY3754" t="str">
        <f>"377447398"</f>
        <v>377447398</v>
      </c>
      <c r="CL3754">
        <v>0</v>
      </c>
      <c r="CM3754">
        <v>2</v>
      </c>
      <c r="CN3754">
        <v>0</v>
      </c>
      <c r="CO3754">
        <v>2</v>
      </c>
      <c r="CP3754">
        <v>0</v>
      </c>
      <c r="CQ3754">
        <v>6</v>
      </c>
      <c r="CR3754" t="s">
        <v>116</v>
      </c>
      <c r="CS3754">
        <v>305</v>
      </c>
      <c r="CT3754">
        <v>3</v>
      </c>
      <c r="CU3754" t="s">
        <v>6425</v>
      </c>
      <c r="CV3754" t="s">
        <v>6426</v>
      </c>
      <c r="CY3754">
        <v>6321315</v>
      </c>
      <c r="CZ3754" t="s">
        <v>119</v>
      </c>
    </row>
    <row r="3755" spans="1:104" x14ac:dyDescent="0.25">
      <c r="A3755" t="str">
        <f>"14:52:57.609"</f>
        <v>14:52:57.609</v>
      </c>
      <c r="B3755" t="s">
        <v>108</v>
      </c>
      <c r="C3755" t="str">
        <f t="shared" si="175"/>
        <v>ffdfd3c0</v>
      </c>
      <c r="D3755" t="s">
        <v>109</v>
      </c>
      <c r="E3755">
        <v>4</v>
      </c>
      <c r="F3755">
        <v>1004</v>
      </c>
      <c r="G3755" t="s">
        <v>110</v>
      </c>
      <c r="J3755" t="s">
        <v>111</v>
      </c>
      <c r="K3755">
        <v>0</v>
      </c>
      <c r="L3755">
        <v>3</v>
      </c>
      <c r="M3755">
        <v>0</v>
      </c>
      <c r="N3755">
        <v>2</v>
      </c>
      <c r="O3755">
        <v>1</v>
      </c>
      <c r="P3755">
        <v>0</v>
      </c>
      <c r="Q3755">
        <v>0</v>
      </c>
      <c r="R3755" t="s">
        <v>112</v>
      </c>
      <c r="S3755" t="str">
        <f>"14:52:57.430"</f>
        <v>14:52:57.430</v>
      </c>
      <c r="T3755" t="str">
        <f>"14:52:56.930"</f>
        <v>14:52:56.930</v>
      </c>
      <c r="U3755" t="str">
        <f t="shared" si="174"/>
        <v>ad5732</v>
      </c>
      <c r="V3755">
        <v>0</v>
      </c>
      <c r="W3755">
        <v>0</v>
      </c>
      <c r="X3755">
        <v>1</v>
      </c>
      <c r="Z3755">
        <v>0</v>
      </c>
      <c r="AA3755">
        <v>9</v>
      </c>
      <c r="AB3755">
        <v>3</v>
      </c>
      <c r="AC3755">
        <v>0</v>
      </c>
      <c r="AD3755">
        <v>10</v>
      </c>
      <c r="AE3755">
        <v>0</v>
      </c>
      <c r="AF3755">
        <v>3</v>
      </c>
      <c r="AG3755">
        <v>2</v>
      </c>
      <c r="AH3755">
        <v>0</v>
      </c>
      <c r="AI3755" t="s">
        <v>7558</v>
      </c>
      <c r="AJ3755">
        <v>40.456316000000001</v>
      </c>
      <c r="AK3755" t="s">
        <v>7559</v>
      </c>
      <c r="AL3755">
        <v>-74.401280999999997</v>
      </c>
      <c r="AM3755">
        <v>100</v>
      </c>
      <c r="AN3755">
        <v>1700</v>
      </c>
      <c r="AO3755" t="s">
        <v>115</v>
      </c>
      <c r="AP3755">
        <v>96</v>
      </c>
      <c r="AQ3755">
        <v>54</v>
      </c>
      <c r="AR3755">
        <v>-64</v>
      </c>
      <c r="AZ3755">
        <v>3614</v>
      </c>
      <c r="BA3755">
        <v>1</v>
      </c>
      <c r="BB3755" t="str">
        <f t="shared" si="176"/>
        <v xml:space="preserve">N959MJ  </v>
      </c>
      <c r="BC3755">
        <v>1</v>
      </c>
      <c r="BE3755">
        <v>0</v>
      </c>
      <c r="BF3755">
        <v>0</v>
      </c>
      <c r="BG3755">
        <v>0</v>
      </c>
      <c r="BH3755">
        <v>1900</v>
      </c>
      <c r="BI3755">
        <v>200</v>
      </c>
      <c r="BJ3755">
        <v>1</v>
      </c>
      <c r="BK3755">
        <v>1</v>
      </c>
      <c r="BL3755">
        <v>1</v>
      </c>
      <c r="BM3755">
        <v>0</v>
      </c>
      <c r="BP3755">
        <v>0</v>
      </c>
      <c r="BQ3755">
        <v>0</v>
      </c>
      <c r="BX3755" t="str">
        <f>"14:52:57.438"</f>
        <v>14:52:57.438</v>
      </c>
      <c r="BY3755" t="str">
        <f>"434233771"</f>
        <v>434233771</v>
      </c>
      <c r="CL3755">
        <v>0</v>
      </c>
      <c r="CM3755">
        <v>2</v>
      </c>
      <c r="CN3755">
        <v>0</v>
      </c>
      <c r="CO3755">
        <v>2</v>
      </c>
      <c r="CP3755">
        <v>0</v>
      </c>
      <c r="CQ3755">
        <v>6</v>
      </c>
      <c r="CR3755" t="s">
        <v>116</v>
      </c>
      <c r="CS3755">
        <v>305</v>
      </c>
      <c r="CT3755">
        <v>3</v>
      </c>
      <c r="CU3755" t="s">
        <v>6425</v>
      </c>
      <c r="CV3755" t="s">
        <v>6426</v>
      </c>
      <c r="CY3755">
        <v>6323533</v>
      </c>
      <c r="CZ3755" t="s">
        <v>119</v>
      </c>
    </row>
    <row r="3756" spans="1:104" x14ac:dyDescent="0.25">
      <c r="A3756" t="str">
        <f>"14:52:58.570"</f>
        <v>14:52:58.570</v>
      </c>
      <c r="B3756" t="s">
        <v>108</v>
      </c>
      <c r="C3756" t="str">
        <f t="shared" si="175"/>
        <v>ffdfd3c0</v>
      </c>
      <c r="D3756" t="s">
        <v>109</v>
      </c>
      <c r="E3756">
        <v>4</v>
      </c>
      <c r="F3756">
        <v>1004</v>
      </c>
      <c r="G3756" t="s">
        <v>110</v>
      </c>
      <c r="J3756" t="s">
        <v>111</v>
      </c>
      <c r="K3756">
        <v>0</v>
      </c>
      <c r="L3756">
        <v>3</v>
      </c>
      <c r="M3756">
        <v>0</v>
      </c>
      <c r="N3756">
        <v>2</v>
      </c>
      <c r="O3756">
        <v>1</v>
      </c>
      <c r="P3756">
        <v>0</v>
      </c>
      <c r="Q3756">
        <v>0</v>
      </c>
      <c r="R3756" t="s">
        <v>112</v>
      </c>
      <c r="S3756" t="str">
        <f>"14:52:58.367"</f>
        <v>14:52:58.367</v>
      </c>
      <c r="T3756" t="str">
        <f>"14:52:57.969"</f>
        <v>14:52:57.969</v>
      </c>
      <c r="U3756" t="str">
        <f t="shared" si="174"/>
        <v>ad5732</v>
      </c>
      <c r="V3756">
        <v>0</v>
      </c>
      <c r="W3756">
        <v>0</v>
      </c>
      <c r="X3756">
        <v>1</v>
      </c>
      <c r="Z3756">
        <v>0</v>
      </c>
      <c r="AA3756">
        <v>9</v>
      </c>
      <c r="AB3756">
        <v>3</v>
      </c>
      <c r="AC3756">
        <v>0</v>
      </c>
      <c r="AD3756">
        <v>10</v>
      </c>
      <c r="AE3756">
        <v>0</v>
      </c>
      <c r="AF3756">
        <v>3</v>
      </c>
      <c r="AG3756">
        <v>2</v>
      </c>
      <c r="AH3756">
        <v>0</v>
      </c>
      <c r="AI3756" t="s">
        <v>7560</v>
      </c>
      <c r="AJ3756">
        <v>40.456553</v>
      </c>
      <c r="AK3756" t="s">
        <v>7561</v>
      </c>
      <c r="AL3756">
        <v>-74.400766000000004</v>
      </c>
      <c r="AM3756">
        <v>100</v>
      </c>
      <c r="AN3756">
        <v>1700</v>
      </c>
      <c r="AO3756" t="s">
        <v>115</v>
      </c>
      <c r="AP3756">
        <v>96</v>
      </c>
      <c r="AQ3756">
        <v>54</v>
      </c>
      <c r="AR3756">
        <v>-64</v>
      </c>
      <c r="AZ3756">
        <v>3614</v>
      </c>
      <c r="BA3756">
        <v>1</v>
      </c>
      <c r="BB3756" t="str">
        <f t="shared" si="176"/>
        <v xml:space="preserve">N959MJ  </v>
      </c>
      <c r="BC3756">
        <v>1</v>
      </c>
      <c r="BE3756">
        <v>0</v>
      </c>
      <c r="BF3756">
        <v>0</v>
      </c>
      <c r="BG3756">
        <v>0</v>
      </c>
      <c r="BH3756">
        <v>1900</v>
      </c>
      <c r="BI3756">
        <v>200</v>
      </c>
      <c r="BJ3756">
        <v>1</v>
      </c>
      <c r="BK3756">
        <v>1</v>
      </c>
      <c r="BL3756">
        <v>1</v>
      </c>
      <c r="BM3756">
        <v>0</v>
      </c>
      <c r="BP3756">
        <v>0</v>
      </c>
      <c r="BQ3756">
        <v>0</v>
      </c>
      <c r="BX3756" t="str">
        <f>"14:52:58.375"</f>
        <v>14:52:58.375</v>
      </c>
      <c r="BY3756" t="str">
        <f>"374724716"</f>
        <v>374724716</v>
      </c>
      <c r="CL3756">
        <v>0</v>
      </c>
      <c r="CM3756">
        <v>2</v>
      </c>
      <c r="CN3756">
        <v>0</v>
      </c>
      <c r="CO3756">
        <v>2</v>
      </c>
      <c r="CP3756">
        <v>0</v>
      </c>
      <c r="CQ3756">
        <v>6</v>
      </c>
      <c r="CR3756" t="s">
        <v>116</v>
      </c>
      <c r="CS3756">
        <v>38</v>
      </c>
      <c r="CT3756">
        <v>0</v>
      </c>
      <c r="CU3756" t="s">
        <v>4719</v>
      </c>
      <c r="CV3756" t="s">
        <v>4720</v>
      </c>
      <c r="CY3756">
        <v>8363102</v>
      </c>
      <c r="CZ3756" t="s">
        <v>119</v>
      </c>
    </row>
    <row r="3757" spans="1:104" x14ac:dyDescent="0.25">
      <c r="A3757" t="str">
        <f>"14:52:59.531"</f>
        <v>14:52:59.531</v>
      </c>
      <c r="B3757" t="s">
        <v>108</v>
      </c>
      <c r="C3757" t="str">
        <f t="shared" si="175"/>
        <v>ffdfd3c0</v>
      </c>
      <c r="D3757" t="s">
        <v>109</v>
      </c>
      <c r="E3757">
        <v>4</v>
      </c>
      <c r="F3757">
        <v>1004</v>
      </c>
      <c r="G3757" t="s">
        <v>110</v>
      </c>
      <c r="J3757" t="s">
        <v>111</v>
      </c>
      <c r="K3757">
        <v>0</v>
      </c>
      <c r="L3757">
        <v>3</v>
      </c>
      <c r="M3757">
        <v>0</v>
      </c>
      <c r="N3757">
        <v>2</v>
      </c>
      <c r="O3757">
        <v>1</v>
      </c>
      <c r="P3757">
        <v>0</v>
      </c>
      <c r="Q3757">
        <v>0</v>
      </c>
      <c r="R3757" t="s">
        <v>112</v>
      </c>
      <c r="S3757" t="str">
        <f>"14:52:59.344"</f>
        <v>14:52:59.344</v>
      </c>
      <c r="T3757" t="str">
        <f>"14:52:58.844"</f>
        <v>14:52:58.844</v>
      </c>
      <c r="U3757" t="str">
        <f t="shared" si="174"/>
        <v>ad5732</v>
      </c>
      <c r="V3757">
        <v>0</v>
      </c>
      <c r="W3757">
        <v>0</v>
      </c>
      <c r="X3757">
        <v>1</v>
      </c>
      <c r="Z3757">
        <v>0</v>
      </c>
      <c r="AA3757">
        <v>9</v>
      </c>
      <c r="AB3757">
        <v>3</v>
      </c>
      <c r="AC3757">
        <v>0</v>
      </c>
      <c r="AD3757">
        <v>10</v>
      </c>
      <c r="AE3757">
        <v>0</v>
      </c>
      <c r="AF3757">
        <v>3</v>
      </c>
      <c r="AG3757">
        <v>2</v>
      </c>
      <c r="AH3757">
        <v>0</v>
      </c>
      <c r="AI3757" t="s">
        <v>7562</v>
      </c>
      <c r="AJ3757">
        <v>40.456789000000001</v>
      </c>
      <c r="AK3757" t="s">
        <v>7563</v>
      </c>
      <c r="AL3757">
        <v>-74.400143999999997</v>
      </c>
      <c r="AM3757">
        <v>100</v>
      </c>
      <c r="AN3757">
        <v>1700</v>
      </c>
      <c r="AO3757" t="s">
        <v>115</v>
      </c>
      <c r="AP3757">
        <v>95</v>
      </c>
      <c r="AQ3757">
        <v>54</v>
      </c>
      <c r="AR3757">
        <v>-64</v>
      </c>
      <c r="AZ3757">
        <v>3614</v>
      </c>
      <c r="BA3757">
        <v>1</v>
      </c>
      <c r="BB3757" t="str">
        <f t="shared" si="176"/>
        <v xml:space="preserve">N959MJ  </v>
      </c>
      <c r="BC3757">
        <v>1</v>
      </c>
      <c r="BE3757">
        <v>0</v>
      </c>
      <c r="BF3757">
        <v>0</v>
      </c>
      <c r="BG3757">
        <v>0</v>
      </c>
      <c r="BH3757">
        <v>1900</v>
      </c>
      <c r="BI3757">
        <v>200</v>
      </c>
      <c r="BJ3757">
        <v>1</v>
      </c>
      <c r="BK3757">
        <v>1</v>
      </c>
      <c r="BL3757">
        <v>1</v>
      </c>
      <c r="BM3757">
        <v>0</v>
      </c>
      <c r="BP3757">
        <v>0</v>
      </c>
      <c r="BQ3757">
        <v>0</v>
      </c>
      <c r="BX3757" t="str">
        <f>"14:52:59.352"</f>
        <v>14:52:59.352</v>
      </c>
      <c r="BY3757" t="str">
        <f>"351195186"</f>
        <v>351195186</v>
      </c>
      <c r="CL3757">
        <v>0</v>
      </c>
      <c r="CM3757">
        <v>2</v>
      </c>
      <c r="CN3757">
        <v>0</v>
      </c>
      <c r="CO3757">
        <v>2</v>
      </c>
      <c r="CP3757">
        <v>0</v>
      </c>
      <c r="CQ3757">
        <v>6</v>
      </c>
      <c r="CR3757" t="s">
        <v>116</v>
      </c>
      <c r="CS3757">
        <v>305</v>
      </c>
      <c r="CT3757">
        <v>3</v>
      </c>
      <c r="CU3757" t="s">
        <v>6425</v>
      </c>
      <c r="CV3757" t="s">
        <v>6426</v>
      </c>
      <c r="CY3757">
        <v>6327571</v>
      </c>
      <c r="CZ3757" t="s">
        <v>119</v>
      </c>
    </row>
    <row r="3758" spans="1:104" x14ac:dyDescent="0.25">
      <c r="A3758" t="str">
        <f>"14:53:00.492"</f>
        <v>14:53:00.492</v>
      </c>
      <c r="B3758" t="s">
        <v>108</v>
      </c>
      <c r="C3758" t="str">
        <f t="shared" si="175"/>
        <v>ffdfd3c0</v>
      </c>
      <c r="D3758" t="s">
        <v>109</v>
      </c>
      <c r="E3758">
        <v>4</v>
      </c>
      <c r="F3758">
        <v>1004</v>
      </c>
      <c r="G3758" t="s">
        <v>110</v>
      </c>
      <c r="J3758" t="s">
        <v>111</v>
      </c>
      <c r="K3758">
        <v>0</v>
      </c>
      <c r="L3758">
        <v>3</v>
      </c>
      <c r="M3758">
        <v>0</v>
      </c>
      <c r="N3758">
        <v>2</v>
      </c>
      <c r="O3758">
        <v>1</v>
      </c>
      <c r="P3758">
        <v>0</v>
      </c>
      <c r="Q3758">
        <v>0</v>
      </c>
      <c r="R3758" t="s">
        <v>112</v>
      </c>
      <c r="S3758" t="str">
        <f>"14:53:00.281"</f>
        <v>14:53:00.281</v>
      </c>
      <c r="T3758" t="str">
        <f>"14:52:59.883"</f>
        <v>14:52:59.883</v>
      </c>
      <c r="U3758" t="str">
        <f t="shared" si="174"/>
        <v>ad5732</v>
      </c>
      <c r="V3758">
        <v>0</v>
      </c>
      <c r="W3758">
        <v>0</v>
      </c>
      <c r="X3758">
        <v>1</v>
      </c>
      <c r="Z3758">
        <v>0</v>
      </c>
      <c r="AA3758">
        <v>9</v>
      </c>
      <c r="AB3758">
        <v>3</v>
      </c>
      <c r="AC3758">
        <v>0</v>
      </c>
      <c r="AD3758">
        <v>10</v>
      </c>
      <c r="AE3758">
        <v>0</v>
      </c>
      <c r="AF3758">
        <v>3</v>
      </c>
      <c r="AG3758">
        <v>2</v>
      </c>
      <c r="AH3758">
        <v>0</v>
      </c>
      <c r="AI3758" t="s">
        <v>7564</v>
      </c>
      <c r="AJ3758">
        <v>40.457003</v>
      </c>
      <c r="AK3758" t="s">
        <v>7565</v>
      </c>
      <c r="AL3758">
        <v>-74.399671999999995</v>
      </c>
      <c r="AM3758">
        <v>100</v>
      </c>
      <c r="AN3758">
        <v>1700</v>
      </c>
      <c r="AO3758" t="s">
        <v>115</v>
      </c>
      <c r="AP3758">
        <v>95</v>
      </c>
      <c r="AQ3758">
        <v>54</v>
      </c>
      <c r="AR3758">
        <v>-64</v>
      </c>
      <c r="AZ3758">
        <v>3614</v>
      </c>
      <c r="BA3758">
        <v>1</v>
      </c>
      <c r="BB3758" t="str">
        <f t="shared" si="176"/>
        <v xml:space="preserve">N959MJ  </v>
      </c>
      <c r="BC3758">
        <v>1</v>
      </c>
      <c r="BE3758">
        <v>0</v>
      </c>
      <c r="BF3758">
        <v>0</v>
      </c>
      <c r="BG3758">
        <v>0</v>
      </c>
      <c r="BH3758">
        <v>1900</v>
      </c>
      <c r="BI3758">
        <v>200</v>
      </c>
      <c r="BJ3758">
        <v>1</v>
      </c>
      <c r="BK3758">
        <v>1</v>
      </c>
      <c r="BL3758">
        <v>1</v>
      </c>
      <c r="BM3758">
        <v>0</v>
      </c>
      <c r="BP3758">
        <v>0</v>
      </c>
      <c r="BQ3758">
        <v>0</v>
      </c>
      <c r="BX3758" t="str">
        <f>"14:53:00.281"</f>
        <v>14:53:00.281</v>
      </c>
      <c r="BY3758" t="str">
        <f>"281856189"</f>
        <v>281856189</v>
      </c>
      <c r="CL3758">
        <v>0</v>
      </c>
      <c r="CM3758">
        <v>2</v>
      </c>
      <c r="CN3758">
        <v>0</v>
      </c>
      <c r="CO3758">
        <v>2</v>
      </c>
      <c r="CP3758">
        <v>0</v>
      </c>
      <c r="CQ3758">
        <v>6</v>
      </c>
      <c r="CR3758" t="s">
        <v>116</v>
      </c>
      <c r="CS3758">
        <v>38</v>
      </c>
      <c r="CT3758">
        <v>0</v>
      </c>
      <c r="CU3758" t="s">
        <v>4719</v>
      </c>
      <c r="CV3758" t="s">
        <v>4720</v>
      </c>
      <c r="CY3758">
        <v>8366053</v>
      </c>
      <c r="CZ3758" t="s">
        <v>119</v>
      </c>
    </row>
    <row r="3759" spans="1:104" x14ac:dyDescent="0.25">
      <c r="A3759" t="str">
        <f>"14:53:01.648"</f>
        <v>14:53:01.648</v>
      </c>
      <c r="B3759" t="s">
        <v>108</v>
      </c>
      <c r="C3759" t="str">
        <f t="shared" si="175"/>
        <v>ffdfd3c0</v>
      </c>
      <c r="D3759" t="s">
        <v>109</v>
      </c>
      <c r="E3759">
        <v>4</v>
      </c>
      <c r="F3759">
        <v>1004</v>
      </c>
      <c r="G3759" t="s">
        <v>110</v>
      </c>
      <c r="J3759" t="s">
        <v>111</v>
      </c>
      <c r="K3759">
        <v>0</v>
      </c>
      <c r="L3759">
        <v>3</v>
      </c>
      <c r="M3759">
        <v>0</v>
      </c>
      <c r="N3759">
        <v>2</v>
      </c>
      <c r="O3759">
        <v>1</v>
      </c>
      <c r="P3759">
        <v>0</v>
      </c>
      <c r="Q3759">
        <v>0</v>
      </c>
      <c r="R3759" t="s">
        <v>112</v>
      </c>
      <c r="S3759" t="str">
        <f>"14:53:01.445"</f>
        <v>14:53:01.445</v>
      </c>
      <c r="T3759" t="str">
        <f>"14:53:00.945"</f>
        <v>14:53:00.945</v>
      </c>
      <c r="U3759" t="str">
        <f t="shared" si="174"/>
        <v>ad5732</v>
      </c>
      <c r="V3759">
        <v>0</v>
      </c>
      <c r="W3759">
        <v>0</v>
      </c>
      <c r="X3759">
        <v>1</v>
      </c>
      <c r="Z3759">
        <v>0</v>
      </c>
      <c r="AA3759">
        <v>9</v>
      </c>
      <c r="AB3759">
        <v>3</v>
      </c>
      <c r="AC3759">
        <v>0</v>
      </c>
      <c r="AD3759">
        <v>10</v>
      </c>
      <c r="AE3759">
        <v>0</v>
      </c>
      <c r="AF3759">
        <v>3</v>
      </c>
      <c r="AG3759">
        <v>2</v>
      </c>
      <c r="AH3759">
        <v>0</v>
      </c>
      <c r="AI3759" t="s">
        <v>7566</v>
      </c>
      <c r="AJ3759">
        <v>40.457346000000001</v>
      </c>
      <c r="AK3759" t="s">
        <v>7567</v>
      </c>
      <c r="AL3759">
        <v>-74.398984999999996</v>
      </c>
      <c r="AM3759">
        <v>100</v>
      </c>
      <c r="AN3759">
        <v>1700</v>
      </c>
      <c r="AO3759" t="s">
        <v>115</v>
      </c>
      <c r="AP3759">
        <v>95</v>
      </c>
      <c r="AQ3759">
        <v>54</v>
      </c>
      <c r="AR3759">
        <v>0</v>
      </c>
      <c r="AZ3759">
        <v>3614</v>
      </c>
      <c r="BA3759">
        <v>1</v>
      </c>
      <c r="BB3759" t="str">
        <f t="shared" si="176"/>
        <v xml:space="preserve">N959MJ  </v>
      </c>
      <c r="BC3759">
        <v>1</v>
      </c>
      <c r="BE3759">
        <v>0</v>
      </c>
      <c r="BF3759">
        <v>0</v>
      </c>
      <c r="BG3759">
        <v>0</v>
      </c>
      <c r="BH3759">
        <v>1900</v>
      </c>
      <c r="BI3759">
        <v>200</v>
      </c>
      <c r="BJ3759">
        <v>1</v>
      </c>
      <c r="BK3759">
        <v>1</v>
      </c>
      <c r="BL3759">
        <v>1</v>
      </c>
      <c r="BM3759">
        <v>0</v>
      </c>
      <c r="BP3759">
        <v>0</v>
      </c>
      <c r="BQ3759">
        <v>0</v>
      </c>
      <c r="BX3759" t="str">
        <f>"14:53:01.445"</f>
        <v>14:53:01.445</v>
      </c>
      <c r="BY3759" t="str">
        <f>"448383757"</f>
        <v>448383757</v>
      </c>
      <c r="CL3759">
        <v>0</v>
      </c>
      <c r="CM3759">
        <v>2</v>
      </c>
      <c r="CN3759">
        <v>0</v>
      </c>
      <c r="CO3759">
        <v>2</v>
      </c>
      <c r="CP3759">
        <v>0</v>
      </c>
      <c r="CQ3759">
        <v>6</v>
      </c>
      <c r="CR3759" t="s">
        <v>116</v>
      </c>
      <c r="CS3759">
        <v>305</v>
      </c>
      <c r="CT3759">
        <v>3</v>
      </c>
      <c r="CU3759" t="s">
        <v>6425</v>
      </c>
      <c r="CV3759" t="s">
        <v>6426</v>
      </c>
      <c r="CY3759">
        <v>6331629</v>
      </c>
      <c r="CZ3759" t="s">
        <v>119</v>
      </c>
    </row>
    <row r="3760" spans="1:104" x14ac:dyDescent="0.25">
      <c r="A3760" t="str">
        <f>"14:53:02.609"</f>
        <v>14:53:02.609</v>
      </c>
      <c r="B3760" t="s">
        <v>108</v>
      </c>
      <c r="C3760" t="str">
        <f t="shared" si="175"/>
        <v>ffdfd3c0</v>
      </c>
      <c r="D3760" t="s">
        <v>109</v>
      </c>
      <c r="E3760">
        <v>4</v>
      </c>
      <c r="F3760">
        <v>1004</v>
      </c>
      <c r="G3760" t="s">
        <v>110</v>
      </c>
      <c r="J3760" t="s">
        <v>111</v>
      </c>
      <c r="K3760">
        <v>0</v>
      </c>
      <c r="L3760">
        <v>3</v>
      </c>
      <c r="M3760">
        <v>0</v>
      </c>
      <c r="N3760">
        <v>2</v>
      </c>
      <c r="O3760">
        <v>1</v>
      </c>
      <c r="P3760">
        <v>0</v>
      </c>
      <c r="Q3760">
        <v>0</v>
      </c>
      <c r="R3760" t="s">
        <v>112</v>
      </c>
      <c r="S3760" t="str">
        <f>"14:53:02.438"</f>
        <v>14:53:02.438</v>
      </c>
      <c r="T3760" t="str">
        <f>"14:53:02.039"</f>
        <v>14:53:02.039</v>
      </c>
      <c r="U3760" t="str">
        <f t="shared" si="174"/>
        <v>ad5732</v>
      </c>
      <c r="V3760">
        <v>0</v>
      </c>
      <c r="W3760">
        <v>0</v>
      </c>
      <c r="X3760">
        <v>1</v>
      </c>
      <c r="Z3760">
        <v>0</v>
      </c>
      <c r="AA3760">
        <v>9</v>
      </c>
      <c r="AB3760">
        <v>3</v>
      </c>
      <c r="AC3760">
        <v>0</v>
      </c>
      <c r="AD3760">
        <v>10</v>
      </c>
      <c r="AE3760">
        <v>0</v>
      </c>
      <c r="AF3760">
        <v>3</v>
      </c>
      <c r="AG3760">
        <v>2</v>
      </c>
      <c r="AH3760">
        <v>0</v>
      </c>
      <c r="AI3760" t="s">
        <v>7568</v>
      </c>
      <c r="AJ3760">
        <v>40.457582000000002</v>
      </c>
      <c r="AK3760" t="s">
        <v>7569</v>
      </c>
      <c r="AL3760">
        <v>-74.398363000000003</v>
      </c>
      <c r="AM3760">
        <v>100</v>
      </c>
      <c r="AN3760">
        <v>1700</v>
      </c>
      <c r="AO3760" t="s">
        <v>115</v>
      </c>
      <c r="AP3760">
        <v>95</v>
      </c>
      <c r="AQ3760">
        <v>54</v>
      </c>
      <c r="AR3760">
        <v>64</v>
      </c>
      <c r="AZ3760">
        <v>3614</v>
      </c>
      <c r="BA3760">
        <v>1</v>
      </c>
      <c r="BB3760" t="str">
        <f t="shared" si="176"/>
        <v xml:space="preserve">N959MJ  </v>
      </c>
      <c r="BC3760">
        <v>1</v>
      </c>
      <c r="BE3760">
        <v>0</v>
      </c>
      <c r="BF3760">
        <v>0</v>
      </c>
      <c r="BG3760">
        <v>0</v>
      </c>
      <c r="BH3760">
        <v>1900</v>
      </c>
      <c r="BI3760">
        <v>200</v>
      </c>
      <c r="BJ3760">
        <v>1</v>
      </c>
      <c r="BK3760">
        <v>1</v>
      </c>
      <c r="BL3760">
        <v>1</v>
      </c>
      <c r="BM3760">
        <v>0</v>
      </c>
      <c r="BP3760">
        <v>0</v>
      </c>
      <c r="BQ3760">
        <v>0</v>
      </c>
      <c r="BX3760" t="str">
        <f>"14:53:02.438"</f>
        <v>14:53:02.438</v>
      </c>
      <c r="BY3760" t="str">
        <f>"441305785"</f>
        <v>441305785</v>
      </c>
      <c r="CL3760">
        <v>0</v>
      </c>
      <c r="CM3760">
        <v>2</v>
      </c>
      <c r="CN3760">
        <v>0</v>
      </c>
      <c r="CO3760">
        <v>2</v>
      </c>
      <c r="CP3760">
        <v>0</v>
      </c>
      <c r="CQ3760">
        <v>6</v>
      </c>
      <c r="CR3760" t="s">
        <v>116</v>
      </c>
      <c r="CS3760">
        <v>38</v>
      </c>
      <c r="CT3760">
        <v>0</v>
      </c>
      <c r="CU3760" t="s">
        <v>4719</v>
      </c>
      <c r="CV3760" t="s">
        <v>4720</v>
      </c>
      <c r="CY3760">
        <v>8369387</v>
      </c>
      <c r="CZ3760" t="s">
        <v>119</v>
      </c>
    </row>
    <row r="3761" spans="1:104" x14ac:dyDescent="0.25">
      <c r="A3761" t="str">
        <f>"14:53:03.570"</f>
        <v>14:53:03.570</v>
      </c>
      <c r="B3761" t="s">
        <v>108</v>
      </c>
      <c r="C3761" t="str">
        <f t="shared" si="175"/>
        <v>ffdfd3c0</v>
      </c>
      <c r="D3761" t="s">
        <v>109</v>
      </c>
      <c r="E3761">
        <v>4</v>
      </c>
      <c r="F3761">
        <v>1004</v>
      </c>
      <c r="G3761" t="s">
        <v>110</v>
      </c>
      <c r="J3761" t="s">
        <v>111</v>
      </c>
      <c r="K3761">
        <v>0</v>
      </c>
      <c r="L3761">
        <v>3</v>
      </c>
      <c r="M3761">
        <v>0</v>
      </c>
      <c r="N3761">
        <v>2</v>
      </c>
      <c r="O3761">
        <v>1</v>
      </c>
      <c r="P3761">
        <v>0</v>
      </c>
      <c r="Q3761">
        <v>0</v>
      </c>
      <c r="R3761" t="s">
        <v>112</v>
      </c>
      <c r="S3761" t="str">
        <f>"14:53:03.406"</f>
        <v>14:53:03.406</v>
      </c>
      <c r="T3761" t="str">
        <f>"14:53:02.906"</f>
        <v>14:53:02.906</v>
      </c>
      <c r="U3761" t="str">
        <f t="shared" si="174"/>
        <v>ad5732</v>
      </c>
      <c r="V3761">
        <v>0</v>
      </c>
      <c r="W3761">
        <v>0</v>
      </c>
      <c r="X3761">
        <v>1</v>
      </c>
      <c r="Z3761">
        <v>0</v>
      </c>
      <c r="AA3761">
        <v>9</v>
      </c>
      <c r="AB3761">
        <v>3</v>
      </c>
      <c r="AC3761">
        <v>0</v>
      </c>
      <c r="AD3761">
        <v>10</v>
      </c>
      <c r="AE3761">
        <v>0</v>
      </c>
      <c r="AF3761">
        <v>3</v>
      </c>
      <c r="AG3761">
        <v>2</v>
      </c>
      <c r="AH3761">
        <v>0</v>
      </c>
      <c r="AI3761" t="s">
        <v>7570</v>
      </c>
      <c r="AJ3761">
        <v>40.457796999999999</v>
      </c>
      <c r="AK3761" t="s">
        <v>7571</v>
      </c>
      <c r="AL3761">
        <v>-74.397891000000001</v>
      </c>
      <c r="AM3761">
        <v>100</v>
      </c>
      <c r="AN3761">
        <v>1700</v>
      </c>
      <c r="AO3761" t="s">
        <v>115</v>
      </c>
      <c r="AP3761">
        <v>95</v>
      </c>
      <c r="AQ3761">
        <v>54</v>
      </c>
      <c r="AR3761">
        <v>64</v>
      </c>
      <c r="AZ3761">
        <v>3614</v>
      </c>
      <c r="BA3761">
        <v>1</v>
      </c>
      <c r="BB3761" t="str">
        <f t="shared" si="176"/>
        <v xml:space="preserve">N959MJ  </v>
      </c>
      <c r="BC3761">
        <v>1</v>
      </c>
      <c r="BE3761">
        <v>0</v>
      </c>
      <c r="BF3761">
        <v>0</v>
      </c>
      <c r="BG3761">
        <v>0</v>
      </c>
      <c r="BH3761">
        <v>1900</v>
      </c>
      <c r="BI3761">
        <v>200</v>
      </c>
      <c r="BJ3761">
        <v>1</v>
      </c>
      <c r="BK3761">
        <v>1</v>
      </c>
      <c r="BL3761">
        <v>1</v>
      </c>
      <c r="BM3761">
        <v>0</v>
      </c>
      <c r="BP3761">
        <v>0</v>
      </c>
      <c r="BQ3761">
        <v>0</v>
      </c>
      <c r="BX3761" t="str">
        <f>"14:53:03.414"</f>
        <v>14:53:03.414</v>
      </c>
      <c r="BY3761" t="str">
        <f>"411255806"</f>
        <v>411255806</v>
      </c>
      <c r="CL3761">
        <v>0</v>
      </c>
      <c r="CM3761">
        <v>2</v>
      </c>
      <c r="CN3761">
        <v>0</v>
      </c>
      <c r="CO3761">
        <v>2</v>
      </c>
      <c r="CP3761">
        <v>0</v>
      </c>
      <c r="CQ3761">
        <v>6</v>
      </c>
      <c r="CR3761" t="s">
        <v>116</v>
      </c>
      <c r="CS3761">
        <v>38</v>
      </c>
      <c r="CT3761">
        <v>0</v>
      </c>
      <c r="CU3761" t="s">
        <v>4719</v>
      </c>
      <c r="CV3761" t="s">
        <v>4720</v>
      </c>
      <c r="CY3761">
        <v>8370975</v>
      </c>
      <c r="CZ3761" t="s">
        <v>119</v>
      </c>
    </row>
    <row r="3762" spans="1:104" x14ac:dyDescent="0.25">
      <c r="A3762" t="str">
        <f>"14:53:04.680"</f>
        <v>14:53:04.680</v>
      </c>
      <c r="B3762" t="s">
        <v>108</v>
      </c>
      <c r="C3762" t="str">
        <f t="shared" si="175"/>
        <v>ffdfd3c0</v>
      </c>
      <c r="D3762" t="s">
        <v>109</v>
      </c>
      <c r="E3762">
        <v>4</v>
      </c>
      <c r="F3762">
        <v>1004</v>
      </c>
      <c r="G3762" t="s">
        <v>110</v>
      </c>
      <c r="J3762" t="s">
        <v>111</v>
      </c>
      <c r="K3762">
        <v>0</v>
      </c>
      <c r="L3762">
        <v>3</v>
      </c>
      <c r="M3762">
        <v>0</v>
      </c>
      <c r="N3762">
        <v>2</v>
      </c>
      <c r="O3762">
        <v>1</v>
      </c>
      <c r="P3762">
        <v>0</v>
      </c>
      <c r="Q3762">
        <v>0</v>
      </c>
      <c r="R3762" t="s">
        <v>112</v>
      </c>
      <c r="S3762" t="str">
        <f>"14:53:04.477"</f>
        <v>14:53:04.477</v>
      </c>
      <c r="T3762" t="str">
        <f>"14:53:03.977"</f>
        <v>14:53:03.977</v>
      </c>
      <c r="U3762" t="str">
        <f t="shared" si="174"/>
        <v>ad5732</v>
      </c>
      <c r="V3762">
        <v>0</v>
      </c>
      <c r="W3762">
        <v>0</v>
      </c>
      <c r="X3762">
        <v>1</v>
      </c>
      <c r="Z3762">
        <v>0</v>
      </c>
      <c r="AA3762">
        <v>9</v>
      </c>
      <c r="AB3762">
        <v>3</v>
      </c>
      <c r="AC3762">
        <v>0</v>
      </c>
      <c r="AD3762">
        <v>10</v>
      </c>
      <c r="AE3762">
        <v>0</v>
      </c>
      <c r="AF3762">
        <v>3</v>
      </c>
      <c r="AG3762">
        <v>2</v>
      </c>
      <c r="AH3762">
        <v>0</v>
      </c>
      <c r="AI3762" t="s">
        <v>7572</v>
      </c>
      <c r="AJ3762">
        <v>40.458075999999998</v>
      </c>
      <c r="AK3762" t="s">
        <v>7573</v>
      </c>
      <c r="AL3762">
        <v>-74.397225000000006</v>
      </c>
      <c r="AM3762">
        <v>100</v>
      </c>
      <c r="AN3762">
        <v>1700</v>
      </c>
      <c r="AO3762" t="s">
        <v>115</v>
      </c>
      <c r="AP3762">
        <v>95</v>
      </c>
      <c r="AQ3762">
        <v>54</v>
      </c>
      <c r="AR3762">
        <v>128</v>
      </c>
      <c r="AZ3762">
        <v>3614</v>
      </c>
      <c r="BA3762">
        <v>1</v>
      </c>
      <c r="BB3762" t="str">
        <f t="shared" si="176"/>
        <v xml:space="preserve">N959MJ  </v>
      </c>
      <c r="BC3762">
        <v>1</v>
      </c>
      <c r="BE3762">
        <v>0</v>
      </c>
      <c r="BF3762">
        <v>0</v>
      </c>
      <c r="BG3762">
        <v>0</v>
      </c>
      <c r="BH3762">
        <v>1900</v>
      </c>
      <c r="BI3762">
        <v>200</v>
      </c>
      <c r="BJ3762">
        <v>1</v>
      </c>
      <c r="BK3762">
        <v>1</v>
      </c>
      <c r="BL3762">
        <v>1</v>
      </c>
      <c r="BM3762">
        <v>0</v>
      </c>
      <c r="BP3762">
        <v>0</v>
      </c>
      <c r="BQ3762">
        <v>0</v>
      </c>
      <c r="BX3762" t="str">
        <f>"14:53:04.484"</f>
        <v>14:53:04.484</v>
      </c>
      <c r="BY3762" t="str">
        <f>"482753413"</f>
        <v>482753413</v>
      </c>
      <c r="CL3762">
        <v>0</v>
      </c>
      <c r="CM3762">
        <v>2</v>
      </c>
      <c r="CN3762">
        <v>0</v>
      </c>
      <c r="CO3762">
        <v>2</v>
      </c>
      <c r="CP3762">
        <v>0</v>
      </c>
      <c r="CQ3762">
        <v>6</v>
      </c>
      <c r="CR3762" t="s">
        <v>116</v>
      </c>
      <c r="CS3762">
        <v>305</v>
      </c>
      <c r="CT3762">
        <v>3</v>
      </c>
      <c r="CU3762" t="s">
        <v>6425</v>
      </c>
      <c r="CV3762" t="s">
        <v>6426</v>
      </c>
      <c r="CY3762">
        <v>6337940</v>
      </c>
      <c r="CZ3762" t="s">
        <v>119</v>
      </c>
    </row>
    <row r="3763" spans="1:104" x14ac:dyDescent="0.25">
      <c r="A3763" t="str">
        <f>"14:53:05.742"</f>
        <v>14:53:05.742</v>
      </c>
      <c r="B3763" t="s">
        <v>108</v>
      </c>
      <c r="C3763" t="str">
        <f t="shared" si="175"/>
        <v>ffdfd3c0</v>
      </c>
      <c r="D3763" t="s">
        <v>109</v>
      </c>
      <c r="E3763">
        <v>4</v>
      </c>
      <c r="F3763">
        <v>1004</v>
      </c>
      <c r="G3763" t="s">
        <v>110</v>
      </c>
      <c r="J3763" t="s">
        <v>111</v>
      </c>
      <c r="K3763">
        <v>0</v>
      </c>
      <c r="L3763">
        <v>3</v>
      </c>
      <c r="M3763">
        <v>0</v>
      </c>
      <c r="N3763">
        <v>2</v>
      </c>
      <c r="O3763">
        <v>1</v>
      </c>
      <c r="P3763">
        <v>0</v>
      </c>
      <c r="Q3763">
        <v>0</v>
      </c>
      <c r="R3763" t="s">
        <v>112</v>
      </c>
      <c r="S3763" t="str">
        <f>"14:53:05.547"</f>
        <v>14:53:05.547</v>
      </c>
      <c r="T3763" t="str">
        <f>"14:53:05.047"</f>
        <v>14:53:05.047</v>
      </c>
      <c r="U3763" t="str">
        <f t="shared" si="174"/>
        <v>ad5732</v>
      </c>
      <c r="V3763">
        <v>0</v>
      </c>
      <c r="W3763">
        <v>0</v>
      </c>
      <c r="X3763">
        <v>1</v>
      </c>
      <c r="Z3763">
        <v>0</v>
      </c>
      <c r="AA3763">
        <v>9</v>
      </c>
      <c r="AB3763">
        <v>3</v>
      </c>
      <c r="AC3763">
        <v>0</v>
      </c>
      <c r="AD3763">
        <v>10</v>
      </c>
      <c r="AE3763">
        <v>0</v>
      </c>
      <c r="AF3763">
        <v>3</v>
      </c>
      <c r="AG3763">
        <v>2</v>
      </c>
      <c r="AH3763">
        <v>0</v>
      </c>
      <c r="AI3763" t="s">
        <v>7574</v>
      </c>
      <c r="AJ3763">
        <v>40.458333000000003</v>
      </c>
      <c r="AK3763" t="s">
        <v>7575</v>
      </c>
      <c r="AL3763">
        <v>-74.396602999999999</v>
      </c>
      <c r="AM3763">
        <v>100</v>
      </c>
      <c r="AN3763">
        <v>1700</v>
      </c>
      <c r="AO3763" t="s">
        <v>115</v>
      </c>
      <c r="AP3763">
        <v>95</v>
      </c>
      <c r="AQ3763">
        <v>54</v>
      </c>
      <c r="AR3763">
        <v>128</v>
      </c>
      <c r="AZ3763">
        <v>3614</v>
      </c>
      <c r="BA3763">
        <v>1</v>
      </c>
      <c r="BB3763" t="str">
        <f t="shared" si="176"/>
        <v xml:space="preserve">N959MJ  </v>
      </c>
      <c r="BC3763">
        <v>1</v>
      </c>
      <c r="BE3763">
        <v>0</v>
      </c>
      <c r="BF3763">
        <v>0</v>
      </c>
      <c r="BG3763">
        <v>0</v>
      </c>
      <c r="BH3763">
        <v>1900</v>
      </c>
      <c r="BI3763">
        <v>200</v>
      </c>
      <c r="BJ3763">
        <v>1</v>
      </c>
      <c r="BK3763">
        <v>1</v>
      </c>
      <c r="BL3763">
        <v>1</v>
      </c>
      <c r="BM3763">
        <v>0</v>
      </c>
      <c r="BP3763">
        <v>0</v>
      </c>
      <c r="BQ3763">
        <v>0</v>
      </c>
      <c r="BX3763" t="str">
        <f>"14:53:05.547"</f>
        <v>14:53:05.547</v>
      </c>
      <c r="BY3763" t="str">
        <f>"547731991"</f>
        <v>547731991</v>
      </c>
      <c r="CL3763">
        <v>0</v>
      </c>
      <c r="CM3763">
        <v>2</v>
      </c>
      <c r="CN3763">
        <v>0</v>
      </c>
      <c r="CO3763">
        <v>2</v>
      </c>
      <c r="CP3763">
        <v>0</v>
      </c>
      <c r="CQ3763">
        <v>6</v>
      </c>
      <c r="CR3763" t="s">
        <v>116</v>
      </c>
      <c r="CS3763">
        <v>305</v>
      </c>
      <c r="CT3763">
        <v>3</v>
      </c>
      <c r="CU3763" t="s">
        <v>6425</v>
      </c>
      <c r="CV3763" t="s">
        <v>6426</v>
      </c>
      <c r="CY3763">
        <v>6340029</v>
      </c>
      <c r="CZ3763" t="s">
        <v>119</v>
      </c>
    </row>
    <row r="3764" spans="1:104" x14ac:dyDescent="0.25">
      <c r="A3764" t="str">
        <f>"14:53:06.750"</f>
        <v>14:53:06.750</v>
      </c>
      <c r="B3764" t="s">
        <v>108</v>
      </c>
      <c r="C3764" t="str">
        <f t="shared" si="175"/>
        <v>ffdfd3c0</v>
      </c>
      <c r="D3764" t="s">
        <v>109</v>
      </c>
      <c r="E3764">
        <v>4</v>
      </c>
      <c r="F3764">
        <v>1004</v>
      </c>
      <c r="G3764" t="s">
        <v>110</v>
      </c>
      <c r="J3764" t="s">
        <v>111</v>
      </c>
      <c r="K3764">
        <v>0</v>
      </c>
      <c r="L3764">
        <v>3</v>
      </c>
      <c r="M3764">
        <v>0</v>
      </c>
      <c r="N3764">
        <v>2</v>
      </c>
      <c r="O3764">
        <v>1</v>
      </c>
      <c r="P3764">
        <v>0</v>
      </c>
      <c r="Q3764">
        <v>0</v>
      </c>
      <c r="R3764" t="s">
        <v>112</v>
      </c>
      <c r="S3764" t="str">
        <f>"14:53:06.586"</f>
        <v>14:53:06.586</v>
      </c>
      <c r="T3764" t="str">
        <f>"14:53:06.188"</f>
        <v>14:53:06.188</v>
      </c>
      <c r="U3764" t="str">
        <f t="shared" si="174"/>
        <v>ad5732</v>
      </c>
      <c r="V3764">
        <v>0</v>
      </c>
      <c r="W3764">
        <v>0</v>
      </c>
      <c r="X3764">
        <v>1</v>
      </c>
      <c r="Z3764">
        <v>0</v>
      </c>
      <c r="AA3764">
        <v>9</v>
      </c>
      <c r="AB3764">
        <v>3</v>
      </c>
      <c r="AC3764">
        <v>0</v>
      </c>
      <c r="AD3764">
        <v>10</v>
      </c>
      <c r="AE3764">
        <v>0</v>
      </c>
      <c r="AF3764">
        <v>3</v>
      </c>
      <c r="AG3764">
        <v>2</v>
      </c>
      <c r="AH3764">
        <v>0</v>
      </c>
      <c r="AI3764" t="s">
        <v>7576</v>
      </c>
      <c r="AJ3764">
        <v>40.458612000000002</v>
      </c>
      <c r="AK3764" t="s">
        <v>7577</v>
      </c>
      <c r="AL3764">
        <v>-74.396067000000002</v>
      </c>
      <c r="AM3764">
        <v>100</v>
      </c>
      <c r="AN3764">
        <v>1700</v>
      </c>
      <c r="AO3764" t="s">
        <v>115</v>
      </c>
      <c r="AP3764">
        <v>94</v>
      </c>
      <c r="AQ3764">
        <v>54</v>
      </c>
      <c r="AR3764">
        <v>128</v>
      </c>
      <c r="AZ3764">
        <v>3614</v>
      </c>
      <c r="BA3764">
        <v>1</v>
      </c>
      <c r="BB3764" t="str">
        <f t="shared" si="176"/>
        <v xml:space="preserve">N959MJ  </v>
      </c>
      <c r="BC3764">
        <v>1</v>
      </c>
      <c r="BE3764">
        <v>0</v>
      </c>
      <c r="BF3764">
        <v>0</v>
      </c>
      <c r="BG3764">
        <v>0</v>
      </c>
      <c r="BH3764">
        <v>1900</v>
      </c>
      <c r="BI3764">
        <v>200</v>
      </c>
      <c r="BJ3764">
        <v>1</v>
      </c>
      <c r="BK3764">
        <v>1</v>
      </c>
      <c r="BL3764">
        <v>1</v>
      </c>
      <c r="BM3764">
        <v>0</v>
      </c>
      <c r="BP3764">
        <v>0</v>
      </c>
      <c r="BQ3764">
        <v>0</v>
      </c>
      <c r="BX3764" t="str">
        <f>"14:53:06.594"</f>
        <v>14:53:06.594</v>
      </c>
      <c r="BY3764" t="str">
        <f>"589891145"</f>
        <v>589891145</v>
      </c>
      <c r="CL3764">
        <v>0</v>
      </c>
      <c r="CM3764">
        <v>2</v>
      </c>
      <c r="CN3764">
        <v>0</v>
      </c>
      <c r="CO3764">
        <v>2</v>
      </c>
      <c r="CP3764">
        <v>0</v>
      </c>
      <c r="CQ3764">
        <v>6</v>
      </c>
      <c r="CR3764" t="s">
        <v>116</v>
      </c>
      <c r="CS3764">
        <v>409</v>
      </c>
      <c r="CT3764">
        <v>1</v>
      </c>
      <c r="CU3764" t="s">
        <v>5087</v>
      </c>
      <c r="CV3764" t="s">
        <v>5088</v>
      </c>
      <c r="CY3764">
        <v>4880673</v>
      </c>
      <c r="CZ3764" t="s">
        <v>119</v>
      </c>
    </row>
    <row r="3765" spans="1:104" x14ac:dyDescent="0.25">
      <c r="A3765" t="str">
        <f>"14:53:07.914"</f>
        <v>14:53:07.914</v>
      </c>
      <c r="B3765" t="s">
        <v>108</v>
      </c>
      <c r="C3765" t="str">
        <f t="shared" si="175"/>
        <v>ffdfd3c0</v>
      </c>
      <c r="D3765" t="s">
        <v>109</v>
      </c>
      <c r="E3765">
        <v>4</v>
      </c>
      <c r="F3765">
        <v>1004</v>
      </c>
      <c r="G3765" t="s">
        <v>110</v>
      </c>
      <c r="J3765" t="s">
        <v>111</v>
      </c>
      <c r="K3765">
        <v>0</v>
      </c>
      <c r="L3765">
        <v>3</v>
      </c>
      <c r="M3765">
        <v>0</v>
      </c>
      <c r="N3765">
        <v>2</v>
      </c>
      <c r="O3765">
        <v>1</v>
      </c>
      <c r="P3765">
        <v>0</v>
      </c>
      <c r="Q3765">
        <v>0</v>
      </c>
      <c r="R3765" t="s">
        <v>112</v>
      </c>
      <c r="S3765" t="str">
        <f>"14:53:07.719"</f>
        <v>14:53:07.719</v>
      </c>
      <c r="T3765" t="str">
        <f>"14:53:07.219"</f>
        <v>14:53:07.219</v>
      </c>
      <c r="U3765" t="str">
        <f t="shared" si="174"/>
        <v>ad5732</v>
      </c>
      <c r="V3765">
        <v>0</v>
      </c>
      <c r="W3765">
        <v>0</v>
      </c>
      <c r="X3765">
        <v>1</v>
      </c>
      <c r="Z3765">
        <v>0</v>
      </c>
      <c r="AA3765">
        <v>9</v>
      </c>
      <c r="AB3765">
        <v>3</v>
      </c>
      <c r="AC3765">
        <v>0</v>
      </c>
      <c r="AD3765">
        <v>10</v>
      </c>
      <c r="AE3765">
        <v>0</v>
      </c>
      <c r="AF3765">
        <v>3</v>
      </c>
      <c r="AG3765">
        <v>2</v>
      </c>
      <c r="AH3765">
        <v>0</v>
      </c>
      <c r="AI3765" t="s">
        <v>7578</v>
      </c>
      <c r="AJ3765">
        <v>40.458869999999997</v>
      </c>
      <c r="AK3765" t="s">
        <v>7579</v>
      </c>
      <c r="AL3765">
        <v>-74.395422999999994</v>
      </c>
      <c r="AM3765">
        <v>100</v>
      </c>
      <c r="AN3765">
        <v>1700</v>
      </c>
      <c r="AO3765" t="s">
        <v>115</v>
      </c>
      <c r="AP3765">
        <v>94</v>
      </c>
      <c r="AQ3765">
        <v>54</v>
      </c>
      <c r="AR3765">
        <v>64</v>
      </c>
      <c r="AZ3765">
        <v>3614</v>
      </c>
      <c r="BA3765">
        <v>1</v>
      </c>
      <c r="BB3765" t="str">
        <f t="shared" si="176"/>
        <v xml:space="preserve">N959MJ  </v>
      </c>
      <c r="BC3765">
        <v>1</v>
      </c>
      <c r="BE3765">
        <v>0</v>
      </c>
      <c r="BF3765">
        <v>0</v>
      </c>
      <c r="BG3765">
        <v>0</v>
      </c>
      <c r="BH3765">
        <v>1900</v>
      </c>
      <c r="BI3765">
        <v>200</v>
      </c>
      <c r="BJ3765">
        <v>1</v>
      </c>
      <c r="BK3765">
        <v>1</v>
      </c>
      <c r="BL3765">
        <v>1</v>
      </c>
      <c r="BM3765">
        <v>0</v>
      </c>
      <c r="BP3765">
        <v>0</v>
      </c>
      <c r="BQ3765">
        <v>0</v>
      </c>
      <c r="BX3765" t="str">
        <f>"14:53:07.719"</f>
        <v>14:53:07.719</v>
      </c>
      <c r="BY3765" t="str">
        <f>"722045490"</f>
        <v>722045490</v>
      </c>
      <c r="CL3765">
        <v>0</v>
      </c>
      <c r="CM3765">
        <v>2</v>
      </c>
      <c r="CN3765">
        <v>0</v>
      </c>
      <c r="CO3765">
        <v>2</v>
      </c>
      <c r="CP3765">
        <v>0</v>
      </c>
      <c r="CQ3765">
        <v>5</v>
      </c>
      <c r="CR3765" t="s">
        <v>116</v>
      </c>
      <c r="CS3765">
        <v>409</v>
      </c>
      <c r="CT3765">
        <v>1</v>
      </c>
      <c r="CU3765" t="s">
        <v>5087</v>
      </c>
      <c r="CV3765" t="s">
        <v>5088</v>
      </c>
      <c r="CY3765">
        <v>4882957</v>
      </c>
      <c r="CZ3765" t="s">
        <v>119</v>
      </c>
    </row>
    <row r="3766" spans="1:104" x14ac:dyDescent="0.25">
      <c r="A3766" t="str">
        <f>"14:53:09.023"</f>
        <v>14:53:09.023</v>
      </c>
      <c r="B3766" t="s">
        <v>108</v>
      </c>
      <c r="C3766" t="str">
        <f t="shared" si="175"/>
        <v>ffdfd3c0</v>
      </c>
      <c r="D3766" t="s">
        <v>109</v>
      </c>
      <c r="E3766">
        <v>4</v>
      </c>
      <c r="F3766">
        <v>1004</v>
      </c>
      <c r="G3766" t="s">
        <v>110</v>
      </c>
      <c r="J3766" t="s">
        <v>111</v>
      </c>
      <c r="K3766">
        <v>0</v>
      </c>
      <c r="L3766">
        <v>3</v>
      </c>
      <c r="M3766">
        <v>0</v>
      </c>
      <c r="N3766">
        <v>2</v>
      </c>
      <c r="O3766">
        <v>1</v>
      </c>
      <c r="P3766">
        <v>0</v>
      </c>
      <c r="Q3766">
        <v>0</v>
      </c>
      <c r="R3766" t="s">
        <v>112</v>
      </c>
      <c r="S3766" t="str">
        <f>"14:53:08.836"</f>
        <v>14:53:08.836</v>
      </c>
      <c r="T3766" t="str">
        <f>"14:53:08.336"</f>
        <v>14:53:08.336</v>
      </c>
      <c r="U3766" t="str">
        <f t="shared" si="174"/>
        <v>ad5732</v>
      </c>
      <c r="V3766">
        <v>0</v>
      </c>
      <c r="W3766">
        <v>0</v>
      </c>
      <c r="X3766">
        <v>1</v>
      </c>
      <c r="Z3766">
        <v>0</v>
      </c>
      <c r="AA3766">
        <v>9</v>
      </c>
      <c r="AB3766">
        <v>3</v>
      </c>
      <c r="AC3766">
        <v>0</v>
      </c>
      <c r="AD3766">
        <v>10</v>
      </c>
      <c r="AE3766">
        <v>0</v>
      </c>
      <c r="AF3766">
        <v>3</v>
      </c>
      <c r="AG3766">
        <v>2</v>
      </c>
      <c r="AH3766">
        <v>0</v>
      </c>
      <c r="AI3766" t="s">
        <v>7580</v>
      </c>
      <c r="AJ3766">
        <v>40.459148999999996</v>
      </c>
      <c r="AK3766" t="s">
        <v>7581</v>
      </c>
      <c r="AL3766">
        <v>-74.394735999999995</v>
      </c>
      <c r="AM3766">
        <v>100</v>
      </c>
      <c r="AN3766">
        <v>1700</v>
      </c>
      <c r="AO3766" t="s">
        <v>115</v>
      </c>
      <c r="AP3766">
        <v>94</v>
      </c>
      <c r="AQ3766">
        <v>53</v>
      </c>
      <c r="AR3766">
        <v>0</v>
      </c>
      <c r="AZ3766">
        <v>3614</v>
      </c>
      <c r="BA3766">
        <v>1</v>
      </c>
      <c r="BB3766" t="str">
        <f t="shared" si="176"/>
        <v xml:space="preserve">N959MJ  </v>
      </c>
      <c r="BC3766">
        <v>1</v>
      </c>
      <c r="BE3766">
        <v>0</v>
      </c>
      <c r="BF3766">
        <v>0</v>
      </c>
      <c r="BG3766">
        <v>0</v>
      </c>
      <c r="BH3766">
        <v>1900</v>
      </c>
      <c r="BI3766">
        <v>200</v>
      </c>
      <c r="BJ3766">
        <v>1</v>
      </c>
      <c r="BK3766">
        <v>1</v>
      </c>
      <c r="BL3766">
        <v>1</v>
      </c>
      <c r="BM3766">
        <v>0</v>
      </c>
      <c r="BP3766">
        <v>0</v>
      </c>
      <c r="BQ3766">
        <v>0</v>
      </c>
      <c r="BX3766" t="str">
        <f>"14:53:08.836"</f>
        <v>14:53:08.836</v>
      </c>
      <c r="BY3766" t="str">
        <f>"837732942"</f>
        <v>837732942</v>
      </c>
      <c r="CL3766">
        <v>0</v>
      </c>
      <c r="CM3766">
        <v>2</v>
      </c>
      <c r="CN3766">
        <v>0</v>
      </c>
      <c r="CO3766">
        <v>2</v>
      </c>
      <c r="CP3766">
        <v>0</v>
      </c>
      <c r="CQ3766">
        <v>5</v>
      </c>
      <c r="CR3766" t="s">
        <v>116</v>
      </c>
      <c r="CS3766">
        <v>38</v>
      </c>
      <c r="CT3766">
        <v>1</v>
      </c>
      <c r="CU3766" t="s">
        <v>4719</v>
      </c>
      <c r="CV3766" t="s">
        <v>4720</v>
      </c>
      <c r="CY3766">
        <v>12312887</v>
      </c>
      <c r="CZ3766" t="s">
        <v>119</v>
      </c>
    </row>
    <row r="3767" spans="1:104" x14ac:dyDescent="0.25">
      <c r="A3767" t="str">
        <f>"14:53:10.031"</f>
        <v>14:53:10.031</v>
      </c>
      <c r="B3767" t="s">
        <v>108</v>
      </c>
      <c r="C3767" t="str">
        <f t="shared" si="175"/>
        <v>ffdfd3c0</v>
      </c>
      <c r="D3767" t="s">
        <v>109</v>
      </c>
      <c r="E3767">
        <v>4</v>
      </c>
      <c r="F3767">
        <v>1004</v>
      </c>
      <c r="G3767" t="s">
        <v>110</v>
      </c>
      <c r="J3767" t="s">
        <v>111</v>
      </c>
      <c r="K3767">
        <v>0</v>
      </c>
      <c r="L3767">
        <v>3</v>
      </c>
      <c r="M3767">
        <v>0</v>
      </c>
      <c r="N3767">
        <v>2</v>
      </c>
      <c r="O3767">
        <v>1</v>
      </c>
      <c r="P3767">
        <v>0</v>
      </c>
      <c r="Q3767">
        <v>0</v>
      </c>
      <c r="R3767" t="s">
        <v>112</v>
      </c>
      <c r="S3767" t="str">
        <f>"14:53:09.867"</f>
        <v>14:53:09.867</v>
      </c>
      <c r="T3767" t="str">
        <f>"14:53:09.469"</f>
        <v>14:53:09.469</v>
      </c>
      <c r="U3767" t="str">
        <f t="shared" si="174"/>
        <v>ad5732</v>
      </c>
      <c r="V3767">
        <v>0</v>
      </c>
      <c r="W3767">
        <v>0</v>
      </c>
      <c r="X3767">
        <v>1</v>
      </c>
      <c r="Z3767">
        <v>0</v>
      </c>
      <c r="AA3767">
        <v>9</v>
      </c>
      <c r="AB3767">
        <v>3</v>
      </c>
      <c r="AC3767">
        <v>0</v>
      </c>
      <c r="AD3767">
        <v>10</v>
      </c>
      <c r="AE3767">
        <v>0</v>
      </c>
      <c r="AF3767">
        <v>3</v>
      </c>
      <c r="AG3767">
        <v>2</v>
      </c>
      <c r="AH3767">
        <v>0</v>
      </c>
      <c r="AI3767" t="s">
        <v>7582</v>
      </c>
      <c r="AJ3767">
        <v>40.459384999999997</v>
      </c>
      <c r="AK3767" t="s">
        <v>7583</v>
      </c>
      <c r="AL3767">
        <v>-74.394177999999997</v>
      </c>
      <c r="AM3767">
        <v>100</v>
      </c>
      <c r="AN3767">
        <v>1700</v>
      </c>
      <c r="AO3767" t="s">
        <v>115</v>
      </c>
      <c r="AP3767">
        <v>94</v>
      </c>
      <c r="AQ3767">
        <v>53</v>
      </c>
      <c r="AR3767">
        <v>0</v>
      </c>
      <c r="AZ3767">
        <v>3614</v>
      </c>
      <c r="BA3767">
        <v>1</v>
      </c>
      <c r="BB3767" t="str">
        <f t="shared" si="176"/>
        <v xml:space="preserve">N959MJ  </v>
      </c>
      <c r="BC3767">
        <v>1</v>
      </c>
      <c r="BE3767">
        <v>0</v>
      </c>
      <c r="BF3767">
        <v>0</v>
      </c>
      <c r="BG3767">
        <v>0</v>
      </c>
      <c r="BH3767">
        <v>1900</v>
      </c>
      <c r="BI3767">
        <v>200</v>
      </c>
      <c r="BJ3767">
        <v>1</v>
      </c>
      <c r="BK3767">
        <v>1</v>
      </c>
      <c r="BL3767">
        <v>1</v>
      </c>
      <c r="BM3767">
        <v>0</v>
      </c>
      <c r="BP3767">
        <v>0</v>
      </c>
      <c r="BQ3767">
        <v>0</v>
      </c>
      <c r="BX3767" t="str">
        <f>"14:53:09.867"</f>
        <v>14:53:09.867</v>
      </c>
      <c r="BY3767" t="str">
        <f>"868418248"</f>
        <v>868418248</v>
      </c>
      <c r="CL3767">
        <v>0</v>
      </c>
      <c r="CM3767">
        <v>2</v>
      </c>
      <c r="CN3767">
        <v>0</v>
      </c>
      <c r="CO3767">
        <v>2</v>
      </c>
      <c r="CP3767">
        <v>0</v>
      </c>
      <c r="CQ3767">
        <v>5</v>
      </c>
      <c r="CR3767" t="s">
        <v>116</v>
      </c>
      <c r="CS3767">
        <v>83</v>
      </c>
      <c r="CT3767">
        <v>2</v>
      </c>
      <c r="CU3767" t="s">
        <v>7152</v>
      </c>
      <c r="CV3767" t="s">
        <v>7153</v>
      </c>
      <c r="CY3767">
        <v>16043077</v>
      </c>
      <c r="CZ3767" t="s">
        <v>119</v>
      </c>
    </row>
    <row r="3768" spans="1:104" x14ac:dyDescent="0.25">
      <c r="A3768" t="str">
        <f>"14:53:10.938"</f>
        <v>14:53:10.938</v>
      </c>
      <c r="B3768" t="s">
        <v>108</v>
      </c>
      <c r="C3768" t="str">
        <f t="shared" si="175"/>
        <v>ffdfd3c0</v>
      </c>
      <c r="D3768" t="s">
        <v>109</v>
      </c>
      <c r="E3768">
        <v>4</v>
      </c>
      <c r="F3768">
        <v>1004</v>
      </c>
      <c r="G3768" t="s">
        <v>110</v>
      </c>
      <c r="J3768" t="s">
        <v>111</v>
      </c>
      <c r="K3768">
        <v>0</v>
      </c>
      <c r="L3768">
        <v>3</v>
      </c>
      <c r="M3768">
        <v>0</v>
      </c>
      <c r="N3768">
        <v>2</v>
      </c>
      <c r="O3768">
        <v>1</v>
      </c>
      <c r="P3768">
        <v>0</v>
      </c>
      <c r="Q3768">
        <v>0</v>
      </c>
      <c r="R3768" t="s">
        <v>112</v>
      </c>
      <c r="S3768" t="str">
        <f>"14:53:10.789"</f>
        <v>14:53:10.789</v>
      </c>
      <c r="T3768" t="str">
        <f>"14:53:09.891"</f>
        <v>14:53:09.891</v>
      </c>
      <c r="U3768" t="str">
        <f t="shared" si="174"/>
        <v>ad5732</v>
      </c>
      <c r="V3768">
        <v>0</v>
      </c>
      <c r="W3768">
        <v>0</v>
      </c>
      <c r="X3768">
        <v>1</v>
      </c>
      <c r="Z3768">
        <v>0</v>
      </c>
      <c r="AA3768">
        <v>9</v>
      </c>
      <c r="AB3768">
        <v>3</v>
      </c>
      <c r="AC3768">
        <v>0</v>
      </c>
      <c r="AD3768">
        <v>10</v>
      </c>
      <c r="AE3768">
        <v>0</v>
      </c>
      <c r="AF3768">
        <v>3</v>
      </c>
      <c r="AG3768">
        <v>2</v>
      </c>
      <c r="AH3768">
        <v>0</v>
      </c>
      <c r="AI3768" t="s">
        <v>7584</v>
      </c>
      <c r="AJ3768">
        <v>40.459620999999999</v>
      </c>
      <c r="AK3768" t="s">
        <v>7585</v>
      </c>
      <c r="AL3768">
        <v>-74.393619999999999</v>
      </c>
      <c r="AM3768">
        <v>100</v>
      </c>
      <c r="AN3768">
        <v>1700</v>
      </c>
      <c r="AO3768" t="s">
        <v>115</v>
      </c>
      <c r="AP3768">
        <v>94</v>
      </c>
      <c r="AQ3768">
        <v>53</v>
      </c>
      <c r="AR3768">
        <v>0</v>
      </c>
      <c r="AZ3768">
        <v>3614</v>
      </c>
      <c r="BA3768">
        <v>1</v>
      </c>
      <c r="BB3768" t="str">
        <f t="shared" si="176"/>
        <v xml:space="preserve">N959MJ  </v>
      </c>
      <c r="BC3768">
        <v>1</v>
      </c>
      <c r="BE3768">
        <v>0</v>
      </c>
      <c r="BF3768">
        <v>0</v>
      </c>
      <c r="BG3768">
        <v>0</v>
      </c>
      <c r="BH3768">
        <v>1900</v>
      </c>
      <c r="BI3768">
        <v>200</v>
      </c>
      <c r="BJ3768">
        <v>1</v>
      </c>
      <c r="BK3768">
        <v>1</v>
      </c>
      <c r="BL3768">
        <v>1</v>
      </c>
      <c r="BM3768">
        <v>0</v>
      </c>
      <c r="BP3768">
        <v>0</v>
      </c>
      <c r="BQ3768">
        <v>0</v>
      </c>
      <c r="BX3768" t="str">
        <f>"14:53:10.789"</f>
        <v>14:53:10.789</v>
      </c>
      <c r="BY3768" t="str">
        <f>"792491988"</f>
        <v>792491988</v>
      </c>
      <c r="CL3768">
        <v>0</v>
      </c>
      <c r="CM3768">
        <v>2</v>
      </c>
      <c r="CN3768">
        <v>0</v>
      </c>
      <c r="CO3768">
        <v>2</v>
      </c>
      <c r="CP3768">
        <v>0</v>
      </c>
      <c r="CQ3768">
        <v>5</v>
      </c>
      <c r="CR3768" t="s">
        <v>116</v>
      </c>
      <c r="CS3768">
        <v>83</v>
      </c>
      <c r="CT3768">
        <v>2</v>
      </c>
      <c r="CU3768" t="s">
        <v>7152</v>
      </c>
      <c r="CV3768" t="s">
        <v>7153</v>
      </c>
      <c r="CY3768">
        <v>16045013</v>
      </c>
      <c r="CZ3768" t="s">
        <v>119</v>
      </c>
    </row>
    <row r="3769" spans="1:104" x14ac:dyDescent="0.25">
      <c r="A3769" t="str">
        <f>"14:53:11.953"</f>
        <v>14:53:11.953</v>
      </c>
      <c r="B3769" t="s">
        <v>108</v>
      </c>
      <c r="C3769" t="str">
        <f t="shared" si="175"/>
        <v>ffdfd3c0</v>
      </c>
      <c r="D3769" t="s">
        <v>109</v>
      </c>
      <c r="E3769">
        <v>4</v>
      </c>
      <c r="F3769">
        <v>1004</v>
      </c>
      <c r="G3769" t="s">
        <v>110</v>
      </c>
      <c r="J3769" t="s">
        <v>111</v>
      </c>
      <c r="K3769">
        <v>0</v>
      </c>
      <c r="L3769">
        <v>3</v>
      </c>
      <c r="M3769">
        <v>0</v>
      </c>
      <c r="N3769">
        <v>2</v>
      </c>
      <c r="O3769">
        <v>1</v>
      </c>
      <c r="P3769">
        <v>0</v>
      </c>
      <c r="Q3769">
        <v>0</v>
      </c>
      <c r="R3769" t="s">
        <v>112</v>
      </c>
      <c r="S3769" t="str">
        <f>"14:53:11.742"</f>
        <v>14:53:11.742</v>
      </c>
      <c r="T3769" t="str">
        <f>"14:53:11.344"</f>
        <v>14:53:11.344</v>
      </c>
      <c r="U3769" t="str">
        <f t="shared" si="174"/>
        <v>ad5732</v>
      </c>
      <c r="V3769">
        <v>0</v>
      </c>
      <c r="W3769">
        <v>0</v>
      </c>
      <c r="X3769">
        <v>1</v>
      </c>
      <c r="Z3769">
        <v>0</v>
      </c>
      <c r="AA3769">
        <v>9</v>
      </c>
      <c r="AB3769">
        <v>3</v>
      </c>
      <c r="AC3769">
        <v>0</v>
      </c>
      <c r="AD3769">
        <v>10</v>
      </c>
      <c r="AE3769">
        <v>0</v>
      </c>
      <c r="AF3769">
        <v>3</v>
      </c>
      <c r="AG3769">
        <v>2</v>
      </c>
      <c r="AH3769">
        <v>0</v>
      </c>
      <c r="AI3769" t="s">
        <v>7586</v>
      </c>
      <c r="AJ3769">
        <v>40.459857</v>
      </c>
      <c r="AK3769" t="s">
        <v>7587</v>
      </c>
      <c r="AL3769">
        <v>-74.393062999999998</v>
      </c>
      <c r="AM3769">
        <v>100</v>
      </c>
      <c r="AN3769">
        <v>1700</v>
      </c>
      <c r="AO3769" t="s">
        <v>115</v>
      </c>
      <c r="AP3769">
        <v>94</v>
      </c>
      <c r="AQ3769">
        <v>53</v>
      </c>
      <c r="AR3769">
        <v>-64</v>
      </c>
      <c r="AZ3769">
        <v>3614</v>
      </c>
      <c r="BA3769">
        <v>1</v>
      </c>
      <c r="BB3769" t="str">
        <f t="shared" si="176"/>
        <v xml:space="preserve">N959MJ  </v>
      </c>
      <c r="BC3769">
        <v>1</v>
      </c>
      <c r="BE3769">
        <v>0</v>
      </c>
      <c r="BF3769">
        <v>0</v>
      </c>
      <c r="BG3769">
        <v>0</v>
      </c>
      <c r="BH3769">
        <v>1900</v>
      </c>
      <c r="BI3769">
        <v>200</v>
      </c>
      <c r="BJ3769">
        <v>1</v>
      </c>
      <c r="BK3769">
        <v>1</v>
      </c>
      <c r="BL3769">
        <v>1</v>
      </c>
      <c r="BM3769">
        <v>0</v>
      </c>
      <c r="BP3769">
        <v>0</v>
      </c>
      <c r="BQ3769">
        <v>0</v>
      </c>
      <c r="BX3769" t="str">
        <f>"14:53:11.742"</f>
        <v>14:53:11.742</v>
      </c>
      <c r="BY3769" t="str">
        <f>"744306126"</f>
        <v>744306126</v>
      </c>
      <c r="CL3769">
        <v>0</v>
      </c>
      <c r="CM3769">
        <v>2</v>
      </c>
      <c r="CN3769">
        <v>0</v>
      </c>
      <c r="CO3769">
        <v>2</v>
      </c>
      <c r="CP3769">
        <v>0</v>
      </c>
      <c r="CQ3769">
        <v>6</v>
      </c>
      <c r="CR3769" t="s">
        <v>116</v>
      </c>
      <c r="CS3769">
        <v>38</v>
      </c>
      <c r="CT3769">
        <v>0</v>
      </c>
      <c r="CU3769" t="s">
        <v>4719</v>
      </c>
      <c r="CV3769" t="s">
        <v>4720</v>
      </c>
      <c r="CY3769">
        <v>8384343</v>
      </c>
      <c r="CZ3769" t="s">
        <v>119</v>
      </c>
    </row>
    <row r="3770" spans="1:104" x14ac:dyDescent="0.25">
      <c r="A3770" t="str">
        <f>"14:53:12.813"</f>
        <v>14:53:12.813</v>
      </c>
      <c r="B3770" t="s">
        <v>108</v>
      </c>
      <c r="C3770" t="str">
        <f t="shared" si="175"/>
        <v>ffdfd3c0</v>
      </c>
      <c r="D3770" t="s">
        <v>109</v>
      </c>
      <c r="E3770">
        <v>4</v>
      </c>
      <c r="F3770">
        <v>1004</v>
      </c>
      <c r="G3770" t="s">
        <v>110</v>
      </c>
      <c r="J3770" t="s">
        <v>111</v>
      </c>
      <c r="K3770">
        <v>0</v>
      </c>
      <c r="L3770">
        <v>3</v>
      </c>
      <c r="M3770">
        <v>0</v>
      </c>
      <c r="N3770">
        <v>2</v>
      </c>
      <c r="O3770">
        <v>1</v>
      </c>
      <c r="P3770">
        <v>0</v>
      </c>
      <c r="Q3770">
        <v>0</v>
      </c>
      <c r="R3770" t="s">
        <v>112</v>
      </c>
      <c r="S3770" t="str">
        <f>"14:53:12.617"</f>
        <v>14:53:12.617</v>
      </c>
      <c r="T3770" t="str">
        <f>"14:53:12.219"</f>
        <v>14:53:12.219</v>
      </c>
      <c r="U3770" t="str">
        <f t="shared" si="174"/>
        <v>ad5732</v>
      </c>
      <c r="V3770">
        <v>0</v>
      </c>
      <c r="W3770">
        <v>0</v>
      </c>
      <c r="X3770">
        <v>1</v>
      </c>
      <c r="Z3770">
        <v>0</v>
      </c>
      <c r="AA3770">
        <v>9</v>
      </c>
      <c r="AB3770">
        <v>3</v>
      </c>
      <c r="AC3770">
        <v>0</v>
      </c>
      <c r="AD3770">
        <v>10</v>
      </c>
      <c r="AE3770">
        <v>0</v>
      </c>
      <c r="AF3770">
        <v>3</v>
      </c>
      <c r="AG3770">
        <v>2</v>
      </c>
      <c r="AH3770">
        <v>0</v>
      </c>
      <c r="AI3770" t="s">
        <v>7588</v>
      </c>
      <c r="AJ3770">
        <v>40.460093000000001</v>
      </c>
      <c r="AK3770" t="s">
        <v>7589</v>
      </c>
      <c r="AL3770">
        <v>-74.392568999999995</v>
      </c>
      <c r="AM3770">
        <v>100</v>
      </c>
      <c r="AN3770">
        <v>1700</v>
      </c>
      <c r="AO3770" t="s">
        <v>115</v>
      </c>
      <c r="AP3770">
        <v>94</v>
      </c>
      <c r="AQ3770">
        <v>53</v>
      </c>
      <c r="AR3770">
        <v>-64</v>
      </c>
      <c r="AZ3770">
        <v>3614</v>
      </c>
      <c r="BA3770">
        <v>1</v>
      </c>
      <c r="BB3770" t="str">
        <f t="shared" si="176"/>
        <v xml:space="preserve">N959MJ  </v>
      </c>
      <c r="BC3770">
        <v>1</v>
      </c>
      <c r="BE3770">
        <v>0</v>
      </c>
      <c r="BF3770">
        <v>0</v>
      </c>
      <c r="BG3770">
        <v>0</v>
      </c>
      <c r="BH3770">
        <v>1900</v>
      </c>
      <c r="BI3770">
        <v>200</v>
      </c>
      <c r="BJ3770">
        <v>1</v>
      </c>
      <c r="BK3770">
        <v>1</v>
      </c>
      <c r="BL3770">
        <v>1</v>
      </c>
      <c r="BM3770">
        <v>0</v>
      </c>
      <c r="BP3770">
        <v>0</v>
      </c>
      <c r="BQ3770">
        <v>0</v>
      </c>
      <c r="BX3770" t="str">
        <f>"14:53:12.625"</f>
        <v>14:53:12.625</v>
      </c>
      <c r="BY3770" t="str">
        <f>"624104898"</f>
        <v>624104898</v>
      </c>
      <c r="CL3770">
        <v>0</v>
      </c>
      <c r="CM3770">
        <v>2</v>
      </c>
      <c r="CN3770">
        <v>0</v>
      </c>
      <c r="CO3770">
        <v>2</v>
      </c>
      <c r="CP3770">
        <v>0</v>
      </c>
      <c r="CQ3770">
        <v>6</v>
      </c>
      <c r="CR3770" t="s">
        <v>116</v>
      </c>
      <c r="CS3770">
        <v>305</v>
      </c>
      <c r="CT3770">
        <v>3</v>
      </c>
      <c r="CU3770" t="s">
        <v>6425</v>
      </c>
      <c r="CV3770" t="s">
        <v>6426</v>
      </c>
      <c r="CY3770">
        <v>6354360</v>
      </c>
      <c r="CZ3770" t="s">
        <v>119</v>
      </c>
    </row>
    <row r="3771" spans="1:104" x14ac:dyDescent="0.25">
      <c r="A3771" t="str">
        <f>"14:53:13.922"</f>
        <v>14:53:13.922</v>
      </c>
      <c r="B3771" t="s">
        <v>108</v>
      </c>
      <c r="C3771" t="str">
        <f t="shared" si="175"/>
        <v>ffdfd3c0</v>
      </c>
      <c r="D3771" t="s">
        <v>109</v>
      </c>
      <c r="E3771">
        <v>4</v>
      </c>
      <c r="F3771">
        <v>1004</v>
      </c>
      <c r="G3771" t="s">
        <v>110</v>
      </c>
      <c r="J3771" t="s">
        <v>111</v>
      </c>
      <c r="K3771">
        <v>0</v>
      </c>
      <c r="L3771">
        <v>3</v>
      </c>
      <c r="M3771">
        <v>0</v>
      </c>
      <c r="N3771">
        <v>2</v>
      </c>
      <c r="O3771">
        <v>1</v>
      </c>
      <c r="P3771">
        <v>0</v>
      </c>
      <c r="Q3771">
        <v>0</v>
      </c>
      <c r="R3771" t="s">
        <v>112</v>
      </c>
      <c r="S3771" t="str">
        <f>"14:53:13.711"</f>
        <v>14:53:13.711</v>
      </c>
      <c r="T3771" t="str">
        <f>"14:53:13.211"</f>
        <v>14:53:13.211</v>
      </c>
      <c r="U3771" t="str">
        <f t="shared" si="174"/>
        <v>ad5732</v>
      </c>
      <c r="V3771">
        <v>0</v>
      </c>
      <c r="W3771">
        <v>0</v>
      </c>
      <c r="X3771">
        <v>1</v>
      </c>
      <c r="Z3771">
        <v>0</v>
      </c>
      <c r="AA3771">
        <v>9</v>
      </c>
      <c r="AB3771">
        <v>3</v>
      </c>
      <c r="AC3771">
        <v>0</v>
      </c>
      <c r="AD3771">
        <v>10</v>
      </c>
      <c r="AE3771">
        <v>0</v>
      </c>
      <c r="AF3771">
        <v>3</v>
      </c>
      <c r="AG3771">
        <v>2</v>
      </c>
      <c r="AH3771">
        <v>0</v>
      </c>
      <c r="AI3771" t="s">
        <v>7590</v>
      </c>
      <c r="AJ3771">
        <v>40.460372</v>
      </c>
      <c r="AK3771" t="s">
        <v>7591</v>
      </c>
      <c r="AL3771">
        <v>-74.391990000000007</v>
      </c>
      <c r="AM3771">
        <v>100</v>
      </c>
      <c r="AN3771">
        <v>1700</v>
      </c>
      <c r="AO3771" t="s">
        <v>115</v>
      </c>
      <c r="AP3771">
        <v>94</v>
      </c>
      <c r="AQ3771">
        <v>53</v>
      </c>
      <c r="AR3771">
        <v>-64</v>
      </c>
      <c r="AZ3771">
        <v>3614</v>
      </c>
      <c r="BA3771">
        <v>1</v>
      </c>
      <c r="BB3771" t="str">
        <f t="shared" si="176"/>
        <v xml:space="preserve">N959MJ  </v>
      </c>
      <c r="BC3771">
        <v>1</v>
      </c>
      <c r="BE3771">
        <v>0</v>
      </c>
      <c r="BF3771">
        <v>0</v>
      </c>
      <c r="BG3771">
        <v>0</v>
      </c>
      <c r="BH3771">
        <v>1900</v>
      </c>
      <c r="BI3771">
        <v>200</v>
      </c>
      <c r="BJ3771">
        <v>1</v>
      </c>
      <c r="BK3771">
        <v>1</v>
      </c>
      <c r="BL3771">
        <v>1</v>
      </c>
      <c r="BM3771">
        <v>0</v>
      </c>
      <c r="BP3771">
        <v>0</v>
      </c>
      <c r="BQ3771">
        <v>0</v>
      </c>
      <c r="BX3771" t="str">
        <f>"14:53:13.719"</f>
        <v>14:53:13.719</v>
      </c>
      <c r="BY3771" t="str">
        <f>"715298423"</f>
        <v>715298423</v>
      </c>
      <c r="CL3771">
        <v>0</v>
      </c>
      <c r="CM3771">
        <v>2</v>
      </c>
      <c r="CN3771">
        <v>0</v>
      </c>
      <c r="CO3771">
        <v>2</v>
      </c>
      <c r="CP3771">
        <v>0</v>
      </c>
      <c r="CQ3771">
        <v>7</v>
      </c>
      <c r="CR3771" t="s">
        <v>116</v>
      </c>
      <c r="CS3771">
        <v>305</v>
      </c>
      <c r="CT3771">
        <v>3</v>
      </c>
      <c r="CU3771" t="s">
        <v>6425</v>
      </c>
      <c r="CV3771" t="s">
        <v>6426</v>
      </c>
      <c r="CY3771">
        <v>6356435</v>
      </c>
      <c r="CZ3771" t="s">
        <v>119</v>
      </c>
    </row>
    <row r="3772" spans="1:104" x14ac:dyDescent="0.25">
      <c r="A3772" t="str">
        <f>"14:53:14.930"</f>
        <v>14:53:14.930</v>
      </c>
      <c r="B3772" t="s">
        <v>108</v>
      </c>
      <c r="C3772" t="str">
        <f t="shared" si="175"/>
        <v>ffdfd3c0</v>
      </c>
      <c r="D3772" t="s">
        <v>109</v>
      </c>
      <c r="E3772">
        <v>4</v>
      </c>
      <c r="F3772">
        <v>1004</v>
      </c>
      <c r="G3772" t="s">
        <v>110</v>
      </c>
      <c r="J3772" t="s">
        <v>111</v>
      </c>
      <c r="K3772">
        <v>0</v>
      </c>
      <c r="L3772">
        <v>3</v>
      </c>
      <c r="M3772">
        <v>0</v>
      </c>
      <c r="N3772">
        <v>2</v>
      </c>
      <c r="O3772">
        <v>1</v>
      </c>
      <c r="P3772">
        <v>0</v>
      </c>
      <c r="Q3772">
        <v>0</v>
      </c>
      <c r="R3772" t="s">
        <v>112</v>
      </c>
      <c r="S3772" t="str">
        <f>"14:53:14.727"</f>
        <v>14:53:14.727</v>
      </c>
      <c r="T3772" t="str">
        <f>"14:53:14.227"</f>
        <v>14:53:14.227</v>
      </c>
      <c r="U3772" t="str">
        <f t="shared" si="174"/>
        <v>ad5732</v>
      </c>
      <c r="V3772">
        <v>0</v>
      </c>
      <c r="W3772">
        <v>0</v>
      </c>
      <c r="X3772">
        <v>1</v>
      </c>
      <c r="Z3772">
        <v>0</v>
      </c>
      <c r="AA3772">
        <v>9</v>
      </c>
      <c r="AB3772">
        <v>3</v>
      </c>
      <c r="AC3772">
        <v>0</v>
      </c>
      <c r="AD3772">
        <v>10</v>
      </c>
      <c r="AE3772">
        <v>0</v>
      </c>
      <c r="AF3772">
        <v>3</v>
      </c>
      <c r="AG3772">
        <v>2</v>
      </c>
      <c r="AH3772">
        <v>0</v>
      </c>
      <c r="AI3772" t="s">
        <v>7592</v>
      </c>
      <c r="AJ3772">
        <v>40.460608000000001</v>
      </c>
      <c r="AK3772" t="s">
        <v>7593</v>
      </c>
      <c r="AL3772">
        <v>-74.391431999999995</v>
      </c>
      <c r="AM3772">
        <v>100</v>
      </c>
      <c r="AN3772">
        <v>1700</v>
      </c>
      <c r="AO3772" t="s">
        <v>115</v>
      </c>
      <c r="AP3772">
        <v>93</v>
      </c>
      <c r="AQ3772">
        <v>55</v>
      </c>
      <c r="AR3772">
        <v>-64</v>
      </c>
      <c r="AZ3772">
        <v>3614</v>
      </c>
      <c r="BA3772">
        <v>1</v>
      </c>
      <c r="BB3772" t="str">
        <f t="shared" si="176"/>
        <v xml:space="preserve">N959MJ  </v>
      </c>
      <c r="BC3772">
        <v>1</v>
      </c>
      <c r="BE3772">
        <v>0</v>
      </c>
      <c r="BF3772">
        <v>0</v>
      </c>
      <c r="BG3772">
        <v>0</v>
      </c>
      <c r="BH3772">
        <v>1900</v>
      </c>
      <c r="BI3772">
        <v>200</v>
      </c>
      <c r="BJ3772">
        <v>1</v>
      </c>
      <c r="BK3772">
        <v>1</v>
      </c>
      <c r="BL3772">
        <v>1</v>
      </c>
      <c r="BM3772">
        <v>0</v>
      </c>
      <c r="BP3772">
        <v>0</v>
      </c>
      <c r="BQ3772">
        <v>0</v>
      </c>
      <c r="BX3772" t="str">
        <f>"14:53:14.727"</f>
        <v>14:53:14.727</v>
      </c>
      <c r="BY3772" t="str">
        <f>"729485710"</f>
        <v>729485710</v>
      </c>
      <c r="CL3772">
        <v>0</v>
      </c>
      <c r="CM3772">
        <v>2</v>
      </c>
      <c r="CN3772">
        <v>0</v>
      </c>
      <c r="CO3772">
        <v>2</v>
      </c>
      <c r="CP3772">
        <v>0</v>
      </c>
      <c r="CQ3772">
        <v>7</v>
      </c>
      <c r="CR3772" t="s">
        <v>116</v>
      </c>
      <c r="CS3772">
        <v>305</v>
      </c>
      <c r="CT3772">
        <v>3</v>
      </c>
      <c r="CU3772" t="s">
        <v>6425</v>
      </c>
      <c r="CV3772" t="s">
        <v>6426</v>
      </c>
      <c r="CY3772">
        <v>6358377</v>
      </c>
      <c r="CZ3772" t="s">
        <v>119</v>
      </c>
    </row>
    <row r="3773" spans="1:104" x14ac:dyDescent="0.25">
      <c r="A3773" t="str">
        <f>"14:53:15.891"</f>
        <v>14:53:15.891</v>
      </c>
      <c r="B3773" t="s">
        <v>108</v>
      </c>
      <c r="C3773" t="str">
        <f t="shared" si="175"/>
        <v>ffdfd3c0</v>
      </c>
      <c r="D3773" t="s">
        <v>109</v>
      </c>
      <c r="E3773">
        <v>4</v>
      </c>
      <c r="F3773">
        <v>1004</v>
      </c>
      <c r="G3773" t="s">
        <v>110</v>
      </c>
      <c r="J3773" t="s">
        <v>111</v>
      </c>
      <c r="K3773">
        <v>0</v>
      </c>
      <c r="L3773">
        <v>3</v>
      </c>
      <c r="M3773">
        <v>0</v>
      </c>
      <c r="N3773">
        <v>2</v>
      </c>
      <c r="O3773">
        <v>1</v>
      </c>
      <c r="P3773">
        <v>0</v>
      </c>
      <c r="Q3773">
        <v>0</v>
      </c>
      <c r="R3773" t="s">
        <v>112</v>
      </c>
      <c r="S3773" t="str">
        <f>"14:53:15.711"</f>
        <v>14:53:15.711</v>
      </c>
      <c r="T3773" t="str">
        <f>"14:53:15.211"</f>
        <v>14:53:15.211</v>
      </c>
      <c r="U3773" t="str">
        <f t="shared" si="174"/>
        <v>ad5732</v>
      </c>
      <c r="V3773">
        <v>0</v>
      </c>
      <c r="W3773">
        <v>0</v>
      </c>
      <c r="X3773">
        <v>1</v>
      </c>
      <c r="Z3773">
        <v>0</v>
      </c>
      <c r="AA3773">
        <v>9</v>
      </c>
      <c r="AB3773">
        <v>3</v>
      </c>
      <c r="AC3773">
        <v>0</v>
      </c>
      <c r="AD3773">
        <v>10</v>
      </c>
      <c r="AE3773">
        <v>0</v>
      </c>
      <c r="AF3773">
        <v>3</v>
      </c>
      <c r="AG3773">
        <v>2</v>
      </c>
      <c r="AH3773">
        <v>0</v>
      </c>
      <c r="AI3773" t="s">
        <v>7594</v>
      </c>
      <c r="AJ3773">
        <v>40.460887</v>
      </c>
      <c r="AK3773" t="s">
        <v>7595</v>
      </c>
      <c r="AL3773">
        <v>-74.390851999999995</v>
      </c>
      <c r="AM3773">
        <v>100</v>
      </c>
      <c r="AN3773">
        <v>1700</v>
      </c>
      <c r="AO3773" t="s">
        <v>115</v>
      </c>
      <c r="AP3773">
        <v>92</v>
      </c>
      <c r="AQ3773">
        <v>58</v>
      </c>
      <c r="AR3773">
        <v>-64</v>
      </c>
      <c r="AZ3773">
        <v>3614</v>
      </c>
      <c r="BA3773">
        <v>1</v>
      </c>
      <c r="BB3773" t="str">
        <f t="shared" si="176"/>
        <v xml:space="preserve">N959MJ  </v>
      </c>
      <c r="BC3773">
        <v>1</v>
      </c>
      <c r="BE3773">
        <v>0</v>
      </c>
      <c r="BF3773">
        <v>0</v>
      </c>
      <c r="BG3773">
        <v>0</v>
      </c>
      <c r="BH3773">
        <v>1900</v>
      </c>
      <c r="BI3773">
        <v>200</v>
      </c>
      <c r="BJ3773">
        <v>1</v>
      </c>
      <c r="BK3773">
        <v>1</v>
      </c>
      <c r="BL3773">
        <v>1</v>
      </c>
      <c r="BM3773">
        <v>0</v>
      </c>
      <c r="BP3773">
        <v>0</v>
      </c>
      <c r="BQ3773">
        <v>0</v>
      </c>
      <c r="BX3773" t="str">
        <f>"14:53:15.711"</f>
        <v>14:53:15.711</v>
      </c>
      <c r="BY3773" t="str">
        <f>"712542802"</f>
        <v>712542802</v>
      </c>
      <c r="CL3773">
        <v>0</v>
      </c>
      <c r="CM3773">
        <v>2</v>
      </c>
      <c r="CN3773">
        <v>0</v>
      </c>
      <c r="CO3773">
        <v>2</v>
      </c>
      <c r="CP3773">
        <v>0</v>
      </c>
      <c r="CQ3773">
        <v>7</v>
      </c>
      <c r="CR3773" t="s">
        <v>116</v>
      </c>
      <c r="CS3773">
        <v>305</v>
      </c>
      <c r="CT3773">
        <v>3</v>
      </c>
      <c r="CU3773" t="s">
        <v>6425</v>
      </c>
      <c r="CV3773" t="s">
        <v>6426</v>
      </c>
      <c r="CY3773">
        <v>6360396</v>
      </c>
      <c r="CZ3773" t="s">
        <v>119</v>
      </c>
    </row>
    <row r="3774" spans="1:104" x14ac:dyDescent="0.25">
      <c r="A3774" t="str">
        <f>"14:53:17.000"</f>
        <v>14:53:17.000</v>
      </c>
      <c r="B3774" t="s">
        <v>108</v>
      </c>
      <c r="C3774" t="str">
        <f t="shared" si="175"/>
        <v>ffdfd3c0</v>
      </c>
      <c r="D3774" t="s">
        <v>109</v>
      </c>
      <c r="E3774">
        <v>4</v>
      </c>
      <c r="F3774">
        <v>1004</v>
      </c>
      <c r="G3774" t="s">
        <v>110</v>
      </c>
      <c r="J3774" t="s">
        <v>111</v>
      </c>
      <c r="K3774">
        <v>0</v>
      </c>
      <c r="L3774">
        <v>3</v>
      </c>
      <c r="M3774">
        <v>0</v>
      </c>
      <c r="N3774">
        <v>2</v>
      </c>
      <c r="O3774">
        <v>1</v>
      </c>
      <c r="P3774">
        <v>0</v>
      </c>
      <c r="Q3774">
        <v>0</v>
      </c>
      <c r="R3774" t="s">
        <v>112</v>
      </c>
      <c r="S3774" t="str">
        <f>"14:53:16.836"</f>
        <v>14:53:16.836</v>
      </c>
      <c r="T3774" t="str">
        <f>"14:53:16.336"</f>
        <v>14:53:16.336</v>
      </c>
      <c r="U3774" t="str">
        <f t="shared" si="174"/>
        <v>ad5732</v>
      </c>
      <c r="V3774">
        <v>0</v>
      </c>
      <c r="W3774">
        <v>0</v>
      </c>
      <c r="X3774">
        <v>1</v>
      </c>
      <c r="Z3774">
        <v>0</v>
      </c>
      <c r="AA3774">
        <v>9</v>
      </c>
      <c r="AB3774">
        <v>3</v>
      </c>
      <c r="AC3774">
        <v>0</v>
      </c>
      <c r="AD3774">
        <v>10</v>
      </c>
      <c r="AE3774">
        <v>0</v>
      </c>
      <c r="AF3774">
        <v>3</v>
      </c>
      <c r="AG3774">
        <v>2</v>
      </c>
      <c r="AH3774">
        <v>0</v>
      </c>
      <c r="AI3774" t="s">
        <v>7596</v>
      </c>
      <c r="AJ3774">
        <v>40.461252000000002</v>
      </c>
      <c r="AK3774" t="s">
        <v>7597</v>
      </c>
      <c r="AL3774">
        <v>-74.390165999999994</v>
      </c>
      <c r="AM3774">
        <v>100</v>
      </c>
      <c r="AN3774">
        <v>1700</v>
      </c>
      <c r="AO3774" t="s">
        <v>115</v>
      </c>
      <c r="AP3774">
        <v>90</v>
      </c>
      <c r="AQ3774">
        <v>62</v>
      </c>
      <c r="AR3774">
        <v>-128</v>
      </c>
      <c r="AZ3774">
        <v>3614</v>
      </c>
      <c r="BA3774">
        <v>1</v>
      </c>
      <c r="BB3774" t="str">
        <f t="shared" si="176"/>
        <v xml:space="preserve">N959MJ  </v>
      </c>
      <c r="BC3774">
        <v>1</v>
      </c>
      <c r="BE3774">
        <v>0</v>
      </c>
      <c r="BF3774">
        <v>0</v>
      </c>
      <c r="BG3774">
        <v>0</v>
      </c>
      <c r="BH3774">
        <v>1900</v>
      </c>
      <c r="BI3774">
        <v>200</v>
      </c>
      <c r="BJ3774">
        <v>1</v>
      </c>
      <c r="BK3774">
        <v>1</v>
      </c>
      <c r="BL3774">
        <v>1</v>
      </c>
      <c r="BM3774">
        <v>0</v>
      </c>
      <c r="BP3774">
        <v>0</v>
      </c>
      <c r="BQ3774">
        <v>0</v>
      </c>
      <c r="BX3774" t="str">
        <f>"14:53:16.844"</f>
        <v>14:53:16.844</v>
      </c>
      <c r="BY3774" t="str">
        <f>"841420142"</f>
        <v>841420142</v>
      </c>
      <c r="CL3774">
        <v>0</v>
      </c>
      <c r="CM3774">
        <v>2</v>
      </c>
      <c r="CN3774">
        <v>0</v>
      </c>
      <c r="CO3774">
        <v>2</v>
      </c>
      <c r="CP3774">
        <v>0</v>
      </c>
      <c r="CQ3774">
        <v>7</v>
      </c>
      <c r="CR3774" t="s">
        <v>116</v>
      </c>
      <c r="CS3774">
        <v>305</v>
      </c>
      <c r="CT3774">
        <v>3</v>
      </c>
      <c r="CU3774" t="s">
        <v>6425</v>
      </c>
      <c r="CV3774" t="s">
        <v>6426</v>
      </c>
      <c r="CY3774">
        <v>6362732</v>
      </c>
      <c r="CZ3774" t="s">
        <v>119</v>
      </c>
    </row>
    <row r="3775" spans="1:104" x14ac:dyDescent="0.25">
      <c r="A3775" t="str">
        <f>"14:53:17.859"</f>
        <v>14:53:17.859</v>
      </c>
      <c r="B3775" t="s">
        <v>108</v>
      </c>
      <c r="C3775" t="str">
        <f t="shared" si="175"/>
        <v>ffdfd3c0</v>
      </c>
      <c r="D3775" t="s">
        <v>109</v>
      </c>
      <c r="E3775">
        <v>4</v>
      </c>
      <c r="F3775">
        <v>1004</v>
      </c>
      <c r="G3775" t="s">
        <v>110</v>
      </c>
      <c r="J3775" t="s">
        <v>111</v>
      </c>
      <c r="K3775">
        <v>0</v>
      </c>
      <c r="L3775">
        <v>3</v>
      </c>
      <c r="M3775">
        <v>0</v>
      </c>
      <c r="N3775">
        <v>2</v>
      </c>
      <c r="O3775">
        <v>1</v>
      </c>
      <c r="P3775">
        <v>0</v>
      </c>
      <c r="Q3775">
        <v>0</v>
      </c>
      <c r="R3775" t="s">
        <v>112</v>
      </c>
      <c r="S3775" t="str">
        <f>"14:53:17.688"</f>
        <v>14:53:17.688</v>
      </c>
      <c r="T3775" t="str">
        <f>"14:53:17.289"</f>
        <v>14:53:17.289</v>
      </c>
      <c r="U3775" t="str">
        <f t="shared" si="174"/>
        <v>ad5732</v>
      </c>
      <c r="V3775">
        <v>0</v>
      </c>
      <c r="W3775">
        <v>0</v>
      </c>
      <c r="X3775">
        <v>1</v>
      </c>
      <c r="Z3775">
        <v>0</v>
      </c>
      <c r="AA3775">
        <v>9</v>
      </c>
      <c r="AB3775">
        <v>3</v>
      </c>
      <c r="AC3775">
        <v>0</v>
      </c>
      <c r="AD3775">
        <v>10</v>
      </c>
      <c r="AE3775">
        <v>0</v>
      </c>
      <c r="AF3775">
        <v>3</v>
      </c>
      <c r="AG3775">
        <v>2</v>
      </c>
      <c r="AH3775">
        <v>0</v>
      </c>
      <c r="AI3775" t="s">
        <v>7598</v>
      </c>
      <c r="AJ3775">
        <v>40.461488000000003</v>
      </c>
      <c r="AK3775" t="s">
        <v>7599</v>
      </c>
      <c r="AL3775">
        <v>-74.389801000000006</v>
      </c>
      <c r="AM3775">
        <v>100</v>
      </c>
      <c r="AN3775">
        <v>1700</v>
      </c>
      <c r="AO3775" t="s">
        <v>115</v>
      </c>
      <c r="AP3775">
        <v>87</v>
      </c>
      <c r="AQ3775">
        <v>66</v>
      </c>
      <c r="AR3775">
        <v>-128</v>
      </c>
      <c r="AZ3775">
        <v>3614</v>
      </c>
      <c r="BA3775">
        <v>1</v>
      </c>
      <c r="BB3775" t="str">
        <f t="shared" si="176"/>
        <v xml:space="preserve">N959MJ  </v>
      </c>
      <c r="BC3775">
        <v>1</v>
      </c>
      <c r="BE3775">
        <v>0</v>
      </c>
      <c r="BF3775">
        <v>0</v>
      </c>
      <c r="BG3775">
        <v>0</v>
      </c>
      <c r="BH3775">
        <v>1900</v>
      </c>
      <c r="BI3775">
        <v>200</v>
      </c>
      <c r="BJ3775">
        <v>1</v>
      </c>
      <c r="BK3775">
        <v>1</v>
      </c>
      <c r="BL3775">
        <v>1</v>
      </c>
      <c r="BM3775">
        <v>0</v>
      </c>
      <c r="BP3775">
        <v>0</v>
      </c>
      <c r="BQ3775">
        <v>0</v>
      </c>
      <c r="BX3775" t="str">
        <f>"14:53:17.688"</f>
        <v>14:53:17.688</v>
      </c>
      <c r="BY3775" t="str">
        <f>"688487678"</f>
        <v>688487678</v>
      </c>
      <c r="CL3775">
        <v>0</v>
      </c>
      <c r="CM3775">
        <v>2</v>
      </c>
      <c r="CN3775">
        <v>0</v>
      </c>
      <c r="CO3775">
        <v>2</v>
      </c>
      <c r="CP3775">
        <v>0</v>
      </c>
      <c r="CQ3775">
        <v>7</v>
      </c>
      <c r="CR3775" t="s">
        <v>116</v>
      </c>
      <c r="CS3775">
        <v>305</v>
      </c>
      <c r="CT3775">
        <v>3</v>
      </c>
      <c r="CU3775" t="s">
        <v>6425</v>
      </c>
      <c r="CV3775" t="s">
        <v>6426</v>
      </c>
      <c r="CY3775">
        <v>6364458</v>
      </c>
      <c r="CZ3775" t="s">
        <v>119</v>
      </c>
    </row>
    <row r="3776" spans="1:104" x14ac:dyDescent="0.25">
      <c r="A3776" t="str">
        <f>"14:53:18.969"</f>
        <v>14:53:18.969</v>
      </c>
      <c r="B3776" t="s">
        <v>108</v>
      </c>
      <c r="C3776" t="str">
        <f t="shared" si="175"/>
        <v>ffdfd3c0</v>
      </c>
      <c r="D3776" t="s">
        <v>109</v>
      </c>
      <c r="E3776">
        <v>4</v>
      </c>
      <c r="F3776">
        <v>1004</v>
      </c>
      <c r="G3776" t="s">
        <v>110</v>
      </c>
      <c r="J3776" t="s">
        <v>111</v>
      </c>
      <c r="K3776">
        <v>0</v>
      </c>
      <c r="L3776">
        <v>3</v>
      </c>
      <c r="M3776">
        <v>0</v>
      </c>
      <c r="N3776">
        <v>2</v>
      </c>
      <c r="O3776">
        <v>1</v>
      </c>
      <c r="P3776">
        <v>0</v>
      </c>
      <c r="Q3776">
        <v>0</v>
      </c>
      <c r="R3776" t="s">
        <v>112</v>
      </c>
      <c r="S3776" t="str">
        <f>"14:53:18.781"</f>
        <v>14:53:18.781</v>
      </c>
      <c r="T3776" t="str">
        <f>"14:53:18.281"</f>
        <v>14:53:18.281</v>
      </c>
      <c r="U3776" t="str">
        <f t="shared" si="174"/>
        <v>ad5732</v>
      </c>
      <c r="V3776">
        <v>0</v>
      </c>
      <c r="W3776">
        <v>0</v>
      </c>
      <c r="X3776">
        <v>1</v>
      </c>
      <c r="Z3776">
        <v>0</v>
      </c>
      <c r="AA3776">
        <v>9</v>
      </c>
      <c r="AB3776">
        <v>3</v>
      </c>
      <c r="AC3776">
        <v>0</v>
      </c>
      <c r="AD3776">
        <v>10</v>
      </c>
      <c r="AE3776">
        <v>0</v>
      </c>
      <c r="AF3776">
        <v>3</v>
      </c>
      <c r="AG3776">
        <v>2</v>
      </c>
      <c r="AH3776">
        <v>0</v>
      </c>
      <c r="AI3776" t="s">
        <v>7600</v>
      </c>
      <c r="AJ3776">
        <v>40.461830999999997</v>
      </c>
      <c r="AK3776" t="s">
        <v>7601</v>
      </c>
      <c r="AL3776">
        <v>-74.389222000000004</v>
      </c>
      <c r="AM3776">
        <v>100</v>
      </c>
      <c r="AN3776">
        <v>1700</v>
      </c>
      <c r="AO3776" t="s">
        <v>115</v>
      </c>
      <c r="AP3776">
        <v>85</v>
      </c>
      <c r="AQ3776">
        <v>70</v>
      </c>
      <c r="AR3776">
        <v>-128</v>
      </c>
      <c r="AZ3776">
        <v>3614</v>
      </c>
      <c r="BA3776">
        <v>1</v>
      </c>
      <c r="BB3776" t="str">
        <f t="shared" si="176"/>
        <v xml:space="preserve">N959MJ  </v>
      </c>
      <c r="BC3776">
        <v>1</v>
      </c>
      <c r="BE3776">
        <v>0</v>
      </c>
      <c r="BF3776">
        <v>0</v>
      </c>
      <c r="BG3776">
        <v>0</v>
      </c>
      <c r="BH3776">
        <v>1900</v>
      </c>
      <c r="BI3776">
        <v>200</v>
      </c>
      <c r="BJ3776">
        <v>1</v>
      </c>
      <c r="BK3776">
        <v>1</v>
      </c>
      <c r="BL3776">
        <v>1</v>
      </c>
      <c r="BM3776">
        <v>0</v>
      </c>
      <c r="BP3776">
        <v>0</v>
      </c>
      <c r="BQ3776">
        <v>0</v>
      </c>
      <c r="BX3776" t="str">
        <f>"14:53:18.781"</f>
        <v>14:53:18.781</v>
      </c>
      <c r="BY3776" t="str">
        <f>"784596415"</f>
        <v>784596415</v>
      </c>
      <c r="CL3776">
        <v>0</v>
      </c>
      <c r="CM3776">
        <v>2</v>
      </c>
      <c r="CN3776">
        <v>0</v>
      </c>
      <c r="CO3776">
        <v>2</v>
      </c>
      <c r="CP3776">
        <v>0</v>
      </c>
      <c r="CQ3776">
        <v>7</v>
      </c>
      <c r="CR3776" t="s">
        <v>116</v>
      </c>
      <c r="CS3776">
        <v>305</v>
      </c>
      <c r="CT3776">
        <v>3</v>
      </c>
      <c r="CU3776" t="s">
        <v>6425</v>
      </c>
      <c r="CV3776" t="s">
        <v>6426</v>
      </c>
      <c r="CY3776">
        <v>6366695</v>
      </c>
      <c r="CZ3776" t="s">
        <v>119</v>
      </c>
    </row>
    <row r="3777" spans="1:104" x14ac:dyDescent="0.25">
      <c r="A3777" t="str">
        <f>"14:53:20.031"</f>
        <v>14:53:20.031</v>
      </c>
      <c r="B3777" t="s">
        <v>108</v>
      </c>
      <c r="C3777" t="str">
        <f t="shared" si="175"/>
        <v>ffdfd3c0</v>
      </c>
      <c r="D3777" t="s">
        <v>109</v>
      </c>
      <c r="E3777">
        <v>4</v>
      </c>
      <c r="F3777">
        <v>1004</v>
      </c>
      <c r="G3777" t="s">
        <v>110</v>
      </c>
      <c r="J3777" t="s">
        <v>111</v>
      </c>
      <c r="K3777">
        <v>0</v>
      </c>
      <c r="L3777">
        <v>3</v>
      </c>
      <c r="M3777">
        <v>0</v>
      </c>
      <c r="N3777">
        <v>2</v>
      </c>
      <c r="O3777">
        <v>1</v>
      </c>
      <c r="P3777">
        <v>0</v>
      </c>
      <c r="Q3777">
        <v>0</v>
      </c>
      <c r="R3777" t="s">
        <v>112</v>
      </c>
      <c r="S3777" t="str">
        <f>"14:53:19.859"</f>
        <v>14:53:19.859</v>
      </c>
      <c r="T3777" t="str">
        <f>"14:53:19.359"</f>
        <v>14:53:19.359</v>
      </c>
      <c r="U3777" t="str">
        <f t="shared" si="174"/>
        <v>ad5732</v>
      </c>
      <c r="V3777">
        <v>0</v>
      </c>
      <c r="W3777">
        <v>0</v>
      </c>
      <c r="X3777">
        <v>1</v>
      </c>
      <c r="Z3777">
        <v>0</v>
      </c>
      <c r="AA3777">
        <v>9</v>
      </c>
      <c r="AB3777">
        <v>3</v>
      </c>
      <c r="AC3777">
        <v>0</v>
      </c>
      <c r="AD3777">
        <v>10</v>
      </c>
      <c r="AE3777">
        <v>0</v>
      </c>
      <c r="AF3777">
        <v>3</v>
      </c>
      <c r="AG3777">
        <v>2</v>
      </c>
      <c r="AH3777">
        <v>0</v>
      </c>
      <c r="AI3777" t="s">
        <v>7602</v>
      </c>
      <c r="AJ3777">
        <v>40.462217000000003</v>
      </c>
      <c r="AK3777" t="s">
        <v>7603</v>
      </c>
      <c r="AL3777">
        <v>-74.388684999999995</v>
      </c>
      <c r="AM3777">
        <v>100</v>
      </c>
      <c r="AN3777">
        <v>1700</v>
      </c>
      <c r="AO3777" t="s">
        <v>115</v>
      </c>
      <c r="AP3777">
        <v>81</v>
      </c>
      <c r="AQ3777">
        <v>76</v>
      </c>
      <c r="AR3777">
        <v>-64</v>
      </c>
      <c r="AZ3777">
        <v>3614</v>
      </c>
      <c r="BA3777">
        <v>1</v>
      </c>
      <c r="BB3777" t="str">
        <f t="shared" si="176"/>
        <v xml:space="preserve">N959MJ  </v>
      </c>
      <c r="BC3777">
        <v>1</v>
      </c>
      <c r="BE3777">
        <v>0</v>
      </c>
      <c r="BF3777">
        <v>0</v>
      </c>
      <c r="BG3777">
        <v>0</v>
      </c>
      <c r="BH3777">
        <v>1900</v>
      </c>
      <c r="BI3777">
        <v>200</v>
      </c>
      <c r="BJ3777">
        <v>1</v>
      </c>
      <c r="BK3777">
        <v>1</v>
      </c>
      <c r="BL3777">
        <v>1</v>
      </c>
      <c r="BM3777">
        <v>0</v>
      </c>
      <c r="BP3777">
        <v>0</v>
      </c>
      <c r="BQ3777">
        <v>0</v>
      </c>
      <c r="BX3777" t="str">
        <f>"14:53:19.859"</f>
        <v>14:53:19.859</v>
      </c>
      <c r="BY3777" t="str">
        <f>"859405639"</f>
        <v>859405639</v>
      </c>
      <c r="CL3777">
        <v>0</v>
      </c>
      <c r="CM3777">
        <v>2</v>
      </c>
      <c r="CN3777">
        <v>0</v>
      </c>
      <c r="CO3777">
        <v>2</v>
      </c>
      <c r="CP3777">
        <v>0</v>
      </c>
      <c r="CQ3777">
        <v>7</v>
      </c>
      <c r="CR3777" t="s">
        <v>116</v>
      </c>
      <c r="CS3777">
        <v>305</v>
      </c>
      <c r="CT3777">
        <v>3</v>
      </c>
      <c r="CU3777" t="s">
        <v>6425</v>
      </c>
      <c r="CV3777" t="s">
        <v>6426</v>
      </c>
      <c r="CY3777">
        <v>6368814</v>
      </c>
      <c r="CZ3777" t="s">
        <v>119</v>
      </c>
    </row>
    <row r="3778" spans="1:104" x14ac:dyDescent="0.25">
      <c r="A3778" t="str">
        <f>"14:53:21.086"</f>
        <v>14:53:21.086</v>
      </c>
      <c r="B3778" t="s">
        <v>108</v>
      </c>
      <c r="C3778" t="str">
        <f t="shared" si="175"/>
        <v>ffdfd3c0</v>
      </c>
      <c r="D3778" t="s">
        <v>109</v>
      </c>
      <c r="E3778">
        <v>4</v>
      </c>
      <c r="F3778">
        <v>1004</v>
      </c>
      <c r="G3778" t="s">
        <v>110</v>
      </c>
      <c r="J3778" t="s">
        <v>111</v>
      </c>
      <c r="K3778">
        <v>0</v>
      </c>
      <c r="L3778">
        <v>3</v>
      </c>
      <c r="M3778">
        <v>0</v>
      </c>
      <c r="N3778">
        <v>2</v>
      </c>
      <c r="O3778">
        <v>1</v>
      </c>
      <c r="P3778">
        <v>0</v>
      </c>
      <c r="Q3778">
        <v>0</v>
      </c>
      <c r="R3778" t="s">
        <v>112</v>
      </c>
      <c r="S3778" t="str">
        <f>"14:53:20.898"</f>
        <v>14:53:20.898</v>
      </c>
      <c r="T3778" t="str">
        <f>"14:53:20.500"</f>
        <v>14:53:20.500</v>
      </c>
      <c r="U3778" t="str">
        <f t="shared" ref="U3778:U3841" si="177">"ad5732"</f>
        <v>ad5732</v>
      </c>
      <c r="V3778">
        <v>0</v>
      </c>
      <c r="W3778">
        <v>0</v>
      </c>
      <c r="X3778">
        <v>1</v>
      </c>
      <c r="Z3778">
        <v>0</v>
      </c>
      <c r="AA3778">
        <v>9</v>
      </c>
      <c r="AB3778">
        <v>3</v>
      </c>
      <c r="AC3778">
        <v>0</v>
      </c>
      <c r="AD3778">
        <v>10</v>
      </c>
      <c r="AE3778">
        <v>0</v>
      </c>
      <c r="AF3778">
        <v>3</v>
      </c>
      <c r="AG3778">
        <v>2</v>
      </c>
      <c r="AH3778">
        <v>0</v>
      </c>
      <c r="AI3778" t="s">
        <v>7604</v>
      </c>
      <c r="AJ3778">
        <v>40.462603999999999</v>
      </c>
      <c r="AK3778" t="s">
        <v>7605</v>
      </c>
      <c r="AL3778">
        <v>-74.388234999999995</v>
      </c>
      <c r="AM3778">
        <v>100</v>
      </c>
      <c r="AN3778">
        <v>1700</v>
      </c>
      <c r="AO3778" t="s">
        <v>115</v>
      </c>
      <c r="AP3778">
        <v>77</v>
      </c>
      <c r="AQ3778">
        <v>80</v>
      </c>
      <c r="AR3778">
        <v>64</v>
      </c>
      <c r="AZ3778">
        <v>3614</v>
      </c>
      <c r="BA3778">
        <v>1</v>
      </c>
      <c r="BB3778" t="str">
        <f t="shared" si="176"/>
        <v xml:space="preserve">N959MJ  </v>
      </c>
      <c r="BC3778">
        <v>1</v>
      </c>
      <c r="BE3778">
        <v>0</v>
      </c>
      <c r="BF3778">
        <v>0</v>
      </c>
      <c r="BG3778">
        <v>0</v>
      </c>
      <c r="BH3778">
        <v>1900</v>
      </c>
      <c r="BI3778">
        <v>200</v>
      </c>
      <c r="BJ3778">
        <v>1</v>
      </c>
      <c r="BK3778">
        <v>1</v>
      </c>
      <c r="BL3778">
        <v>1</v>
      </c>
      <c r="BM3778">
        <v>0</v>
      </c>
      <c r="BP3778">
        <v>0</v>
      </c>
      <c r="BQ3778">
        <v>0</v>
      </c>
      <c r="BX3778" t="str">
        <f>"14:53:20.906"</f>
        <v>14:53:20.906</v>
      </c>
      <c r="BY3778" t="str">
        <f>"903124758"</f>
        <v>903124758</v>
      </c>
      <c r="CL3778">
        <v>0</v>
      </c>
      <c r="CM3778">
        <v>2</v>
      </c>
      <c r="CN3778">
        <v>0</v>
      </c>
      <c r="CO3778">
        <v>2</v>
      </c>
      <c r="CP3778">
        <v>0</v>
      </c>
      <c r="CQ3778">
        <v>5</v>
      </c>
      <c r="CR3778" t="s">
        <v>116</v>
      </c>
      <c r="CS3778">
        <v>38</v>
      </c>
      <c r="CT3778">
        <v>0</v>
      </c>
      <c r="CU3778" t="s">
        <v>4719</v>
      </c>
      <c r="CV3778" t="s">
        <v>4720</v>
      </c>
      <c r="CY3778">
        <v>8398687</v>
      </c>
      <c r="CZ3778" t="s">
        <v>119</v>
      </c>
    </row>
    <row r="3779" spans="1:104" x14ac:dyDescent="0.25">
      <c r="A3779" t="str">
        <f>"14:53:22.148"</f>
        <v>14:53:22.148</v>
      </c>
      <c r="B3779" t="s">
        <v>108</v>
      </c>
      <c r="C3779" t="str">
        <f t="shared" si="175"/>
        <v>ffdfd3c0</v>
      </c>
      <c r="D3779" t="s">
        <v>109</v>
      </c>
      <c r="E3779">
        <v>4</v>
      </c>
      <c r="F3779">
        <v>1004</v>
      </c>
      <c r="G3779" t="s">
        <v>110</v>
      </c>
      <c r="J3779" t="s">
        <v>111</v>
      </c>
      <c r="K3779">
        <v>0</v>
      </c>
      <c r="L3779">
        <v>3</v>
      </c>
      <c r="M3779">
        <v>0</v>
      </c>
      <c r="N3779">
        <v>2</v>
      </c>
      <c r="O3779">
        <v>1</v>
      </c>
      <c r="P3779">
        <v>0</v>
      </c>
      <c r="Q3779">
        <v>0</v>
      </c>
      <c r="R3779" t="s">
        <v>112</v>
      </c>
      <c r="S3779" t="str">
        <f>"14:53:21.992"</f>
        <v>14:53:21.992</v>
      </c>
      <c r="T3779" t="str">
        <f>"14:53:21.492"</f>
        <v>14:53:21.492</v>
      </c>
      <c r="U3779" t="str">
        <f t="shared" si="177"/>
        <v>ad5732</v>
      </c>
      <c r="V3779">
        <v>0</v>
      </c>
      <c r="W3779">
        <v>0</v>
      </c>
      <c r="X3779">
        <v>1</v>
      </c>
      <c r="Z3779">
        <v>0</v>
      </c>
      <c r="AA3779">
        <v>9</v>
      </c>
      <c r="AB3779">
        <v>3</v>
      </c>
      <c r="AC3779">
        <v>0</v>
      </c>
      <c r="AD3779">
        <v>10</v>
      </c>
      <c r="AE3779">
        <v>0</v>
      </c>
      <c r="AF3779">
        <v>3</v>
      </c>
      <c r="AG3779">
        <v>2</v>
      </c>
      <c r="AH3779">
        <v>0</v>
      </c>
      <c r="AI3779" t="s">
        <v>7606</v>
      </c>
      <c r="AJ3779">
        <v>40.463054</v>
      </c>
      <c r="AK3779" t="s">
        <v>7607</v>
      </c>
      <c r="AL3779">
        <v>-74.387763000000007</v>
      </c>
      <c r="AM3779">
        <v>100</v>
      </c>
      <c r="AN3779">
        <v>1700</v>
      </c>
      <c r="AO3779" t="s">
        <v>115</v>
      </c>
      <c r="AP3779">
        <v>73</v>
      </c>
      <c r="AQ3779">
        <v>85</v>
      </c>
      <c r="AR3779">
        <v>128</v>
      </c>
      <c r="AZ3779">
        <v>3614</v>
      </c>
      <c r="BA3779">
        <v>1</v>
      </c>
      <c r="BB3779" t="str">
        <f t="shared" si="176"/>
        <v xml:space="preserve">N959MJ  </v>
      </c>
      <c r="BC3779">
        <v>1</v>
      </c>
      <c r="BE3779">
        <v>0</v>
      </c>
      <c r="BF3779">
        <v>0</v>
      </c>
      <c r="BG3779">
        <v>0</v>
      </c>
      <c r="BH3779">
        <v>1900</v>
      </c>
      <c r="BI3779">
        <v>200</v>
      </c>
      <c r="BJ3779">
        <v>1</v>
      </c>
      <c r="BK3779">
        <v>1</v>
      </c>
      <c r="BL3779">
        <v>1</v>
      </c>
      <c r="BM3779">
        <v>0</v>
      </c>
      <c r="BP3779">
        <v>0</v>
      </c>
      <c r="BQ3779">
        <v>0</v>
      </c>
      <c r="BX3779" t="str">
        <f>"14:53:21.992"</f>
        <v>14:53:21.992</v>
      </c>
      <c r="BY3779" t="str">
        <f>"995916533"</f>
        <v>995916533</v>
      </c>
      <c r="CL3779">
        <v>0</v>
      </c>
      <c r="CM3779">
        <v>2</v>
      </c>
      <c r="CN3779">
        <v>0</v>
      </c>
      <c r="CO3779">
        <v>2</v>
      </c>
      <c r="CP3779">
        <v>0</v>
      </c>
      <c r="CQ3779">
        <v>7</v>
      </c>
      <c r="CR3779" t="s">
        <v>116</v>
      </c>
      <c r="CS3779">
        <v>305</v>
      </c>
      <c r="CT3779">
        <v>3</v>
      </c>
      <c r="CU3779" t="s">
        <v>6425</v>
      </c>
      <c r="CV3779" t="s">
        <v>6426</v>
      </c>
      <c r="CY3779">
        <v>6373247</v>
      </c>
      <c r="CZ3779" t="s">
        <v>119</v>
      </c>
    </row>
    <row r="3780" spans="1:104" x14ac:dyDescent="0.25">
      <c r="A3780" t="str">
        <f>"14:53:23.211"</f>
        <v>14:53:23.211</v>
      </c>
      <c r="B3780" t="s">
        <v>108</v>
      </c>
      <c r="C3780" t="str">
        <f t="shared" si="175"/>
        <v>ffdfd3c0</v>
      </c>
      <c r="D3780" t="s">
        <v>109</v>
      </c>
      <c r="E3780">
        <v>4</v>
      </c>
      <c r="F3780">
        <v>1004</v>
      </c>
      <c r="G3780" t="s">
        <v>110</v>
      </c>
      <c r="J3780" t="s">
        <v>111</v>
      </c>
      <c r="K3780">
        <v>0</v>
      </c>
      <c r="L3780">
        <v>3</v>
      </c>
      <c r="M3780">
        <v>0</v>
      </c>
      <c r="N3780">
        <v>2</v>
      </c>
      <c r="O3780">
        <v>1</v>
      </c>
      <c r="P3780">
        <v>0</v>
      </c>
      <c r="Q3780">
        <v>0</v>
      </c>
      <c r="R3780" t="s">
        <v>112</v>
      </c>
      <c r="S3780" t="str">
        <f>"14:53:23.023"</f>
        <v>14:53:23.023</v>
      </c>
      <c r="T3780" t="str">
        <f>"14:53:22.625"</f>
        <v>14:53:22.625</v>
      </c>
      <c r="U3780" t="str">
        <f t="shared" si="177"/>
        <v>ad5732</v>
      </c>
      <c r="V3780">
        <v>0</v>
      </c>
      <c r="W3780">
        <v>0</v>
      </c>
      <c r="X3780">
        <v>1</v>
      </c>
      <c r="Z3780">
        <v>0</v>
      </c>
      <c r="AA3780">
        <v>9</v>
      </c>
      <c r="AB3780">
        <v>3</v>
      </c>
      <c r="AC3780">
        <v>0</v>
      </c>
      <c r="AD3780">
        <v>10</v>
      </c>
      <c r="AE3780">
        <v>0</v>
      </c>
      <c r="AF3780">
        <v>3</v>
      </c>
      <c r="AG3780">
        <v>2</v>
      </c>
      <c r="AH3780">
        <v>0</v>
      </c>
      <c r="AI3780" t="s">
        <v>7608</v>
      </c>
      <c r="AJ3780">
        <v>40.463462</v>
      </c>
      <c r="AK3780" t="s">
        <v>7609</v>
      </c>
      <c r="AL3780">
        <v>-74.387398000000005</v>
      </c>
      <c r="AM3780">
        <v>100</v>
      </c>
      <c r="AN3780">
        <v>1700</v>
      </c>
      <c r="AO3780" t="s">
        <v>115</v>
      </c>
      <c r="AP3780">
        <v>67</v>
      </c>
      <c r="AQ3780">
        <v>89</v>
      </c>
      <c r="AR3780">
        <v>64</v>
      </c>
      <c r="AZ3780">
        <v>3614</v>
      </c>
      <c r="BA3780">
        <v>1</v>
      </c>
      <c r="BB3780" t="str">
        <f t="shared" si="176"/>
        <v xml:space="preserve">N959MJ  </v>
      </c>
      <c r="BC3780">
        <v>1</v>
      </c>
      <c r="BE3780">
        <v>0</v>
      </c>
      <c r="BF3780">
        <v>0</v>
      </c>
      <c r="BG3780">
        <v>0</v>
      </c>
      <c r="BH3780">
        <v>1900</v>
      </c>
      <c r="BI3780">
        <v>200</v>
      </c>
      <c r="BJ3780">
        <v>1</v>
      </c>
      <c r="BK3780">
        <v>1</v>
      </c>
      <c r="BL3780">
        <v>1</v>
      </c>
      <c r="BM3780">
        <v>0</v>
      </c>
      <c r="BP3780">
        <v>0</v>
      </c>
      <c r="BQ3780">
        <v>0</v>
      </c>
      <c r="BX3780" t="str">
        <f>"14:53:23.031"</f>
        <v>14:53:23.031</v>
      </c>
      <c r="BY3780" t="str">
        <f>"029765062"</f>
        <v>029765062</v>
      </c>
      <c r="CL3780">
        <v>0</v>
      </c>
      <c r="CM3780">
        <v>2</v>
      </c>
      <c r="CN3780">
        <v>0</v>
      </c>
      <c r="CO3780">
        <v>2</v>
      </c>
      <c r="CP3780">
        <v>0</v>
      </c>
      <c r="CQ3780">
        <v>7</v>
      </c>
      <c r="CR3780" t="s">
        <v>116</v>
      </c>
      <c r="CS3780">
        <v>305</v>
      </c>
      <c r="CT3780">
        <v>3</v>
      </c>
      <c r="CU3780" t="s">
        <v>6425</v>
      </c>
      <c r="CV3780" t="s">
        <v>6426</v>
      </c>
      <c r="CY3780">
        <v>6375290</v>
      </c>
      <c r="CZ3780" t="s">
        <v>119</v>
      </c>
    </row>
    <row r="3781" spans="1:104" x14ac:dyDescent="0.25">
      <c r="A3781" t="str">
        <f>"14:53:24.117"</f>
        <v>14:53:24.117</v>
      </c>
      <c r="B3781" t="s">
        <v>108</v>
      </c>
      <c r="C3781" t="str">
        <f t="shared" si="175"/>
        <v>ffdfd3c0</v>
      </c>
      <c r="D3781" t="s">
        <v>109</v>
      </c>
      <c r="E3781">
        <v>4</v>
      </c>
      <c r="F3781">
        <v>1004</v>
      </c>
      <c r="G3781" t="s">
        <v>110</v>
      </c>
      <c r="J3781" t="s">
        <v>111</v>
      </c>
      <c r="K3781">
        <v>0</v>
      </c>
      <c r="L3781">
        <v>3</v>
      </c>
      <c r="M3781">
        <v>0</v>
      </c>
      <c r="N3781">
        <v>2</v>
      </c>
      <c r="O3781">
        <v>1</v>
      </c>
      <c r="P3781">
        <v>0</v>
      </c>
      <c r="Q3781">
        <v>0</v>
      </c>
      <c r="R3781" t="s">
        <v>112</v>
      </c>
      <c r="S3781" t="str">
        <f>"14:53:23.922"</f>
        <v>14:53:23.922</v>
      </c>
      <c r="T3781" t="str">
        <f>"14:53:23.523"</f>
        <v>14:53:23.523</v>
      </c>
      <c r="U3781" t="str">
        <f t="shared" si="177"/>
        <v>ad5732</v>
      </c>
      <c r="V3781">
        <v>0</v>
      </c>
      <c r="W3781">
        <v>0</v>
      </c>
      <c r="X3781">
        <v>1</v>
      </c>
      <c r="Z3781">
        <v>0</v>
      </c>
      <c r="AA3781">
        <v>9</v>
      </c>
      <c r="AB3781">
        <v>3</v>
      </c>
      <c r="AC3781">
        <v>0</v>
      </c>
      <c r="AD3781">
        <v>10</v>
      </c>
      <c r="AE3781">
        <v>0</v>
      </c>
      <c r="AF3781">
        <v>3</v>
      </c>
      <c r="AG3781">
        <v>2</v>
      </c>
      <c r="AH3781">
        <v>0</v>
      </c>
      <c r="AI3781" t="s">
        <v>7610</v>
      </c>
      <c r="AJ3781">
        <v>40.463847999999999</v>
      </c>
      <c r="AK3781" t="s">
        <v>7611</v>
      </c>
      <c r="AL3781">
        <v>-74.386989999999997</v>
      </c>
      <c r="AM3781">
        <v>100</v>
      </c>
      <c r="AN3781">
        <v>1700</v>
      </c>
      <c r="AO3781" t="s">
        <v>115</v>
      </c>
      <c r="AP3781">
        <v>63</v>
      </c>
      <c r="AQ3781">
        <v>93</v>
      </c>
      <c r="AR3781">
        <v>0</v>
      </c>
      <c r="AZ3781">
        <v>3614</v>
      </c>
      <c r="BA3781">
        <v>1</v>
      </c>
      <c r="BB3781" t="str">
        <f t="shared" si="176"/>
        <v xml:space="preserve">N959MJ  </v>
      </c>
      <c r="BC3781">
        <v>1</v>
      </c>
      <c r="BE3781">
        <v>0</v>
      </c>
      <c r="BF3781">
        <v>0</v>
      </c>
      <c r="BG3781">
        <v>0</v>
      </c>
      <c r="BH3781">
        <v>1900</v>
      </c>
      <c r="BI3781">
        <v>200</v>
      </c>
      <c r="BJ3781">
        <v>1</v>
      </c>
      <c r="BK3781">
        <v>1</v>
      </c>
      <c r="BL3781">
        <v>1</v>
      </c>
      <c r="BM3781">
        <v>0</v>
      </c>
      <c r="BP3781">
        <v>0</v>
      </c>
      <c r="BQ3781">
        <v>0</v>
      </c>
      <c r="BX3781" t="str">
        <f>"14:53:23.922"</f>
        <v>14:53:23.922</v>
      </c>
      <c r="BY3781" t="str">
        <f>"922708646"</f>
        <v>922708646</v>
      </c>
      <c r="CL3781">
        <v>0</v>
      </c>
      <c r="CM3781">
        <v>2</v>
      </c>
      <c r="CN3781">
        <v>0</v>
      </c>
      <c r="CO3781">
        <v>2</v>
      </c>
      <c r="CP3781">
        <v>0</v>
      </c>
      <c r="CQ3781">
        <v>7</v>
      </c>
      <c r="CR3781" t="s">
        <v>116</v>
      </c>
      <c r="CS3781">
        <v>305</v>
      </c>
      <c r="CT3781">
        <v>3</v>
      </c>
      <c r="CU3781" t="s">
        <v>6425</v>
      </c>
      <c r="CV3781" t="s">
        <v>6426</v>
      </c>
      <c r="CY3781">
        <v>6377020</v>
      </c>
      <c r="CZ3781" t="s">
        <v>119</v>
      </c>
    </row>
    <row r="3782" spans="1:104" x14ac:dyDescent="0.25">
      <c r="A3782" t="str">
        <f>"14:53:25.125"</f>
        <v>14:53:25.125</v>
      </c>
      <c r="B3782" t="s">
        <v>108</v>
      </c>
      <c r="C3782" t="str">
        <f t="shared" si="175"/>
        <v>ffdfd3c0</v>
      </c>
      <c r="D3782" t="s">
        <v>109</v>
      </c>
      <c r="E3782">
        <v>4</v>
      </c>
      <c r="F3782">
        <v>1004</v>
      </c>
      <c r="G3782" t="s">
        <v>110</v>
      </c>
      <c r="J3782" t="s">
        <v>111</v>
      </c>
      <c r="K3782">
        <v>0</v>
      </c>
      <c r="L3782">
        <v>3</v>
      </c>
      <c r="M3782">
        <v>0</v>
      </c>
      <c r="N3782">
        <v>2</v>
      </c>
      <c r="O3782">
        <v>1</v>
      </c>
      <c r="P3782">
        <v>0</v>
      </c>
      <c r="Q3782">
        <v>0</v>
      </c>
      <c r="R3782" t="s">
        <v>112</v>
      </c>
      <c r="S3782" t="str">
        <f>"14:53:24.922"</f>
        <v>14:53:24.922</v>
      </c>
      <c r="T3782" t="str">
        <f>"14:53:24.422"</f>
        <v>14:53:24.422</v>
      </c>
      <c r="U3782" t="str">
        <f t="shared" si="177"/>
        <v>ad5732</v>
      </c>
      <c r="V3782">
        <v>0</v>
      </c>
      <c r="W3782">
        <v>0</v>
      </c>
      <c r="X3782">
        <v>1</v>
      </c>
      <c r="Z3782">
        <v>0</v>
      </c>
      <c r="AA3782">
        <v>9</v>
      </c>
      <c r="AB3782">
        <v>3</v>
      </c>
      <c r="AC3782">
        <v>0</v>
      </c>
      <c r="AD3782">
        <v>10</v>
      </c>
      <c r="AE3782">
        <v>0</v>
      </c>
      <c r="AF3782">
        <v>3</v>
      </c>
      <c r="AG3782">
        <v>2</v>
      </c>
      <c r="AH3782">
        <v>0</v>
      </c>
      <c r="AI3782" t="s">
        <v>7612</v>
      </c>
      <c r="AJ3782">
        <v>40.464320000000001</v>
      </c>
      <c r="AK3782" t="s">
        <v>7613</v>
      </c>
      <c r="AL3782">
        <v>-74.386690000000002</v>
      </c>
      <c r="AM3782">
        <v>100</v>
      </c>
      <c r="AN3782">
        <v>1700</v>
      </c>
      <c r="AO3782" t="s">
        <v>115</v>
      </c>
      <c r="AP3782">
        <v>60</v>
      </c>
      <c r="AQ3782">
        <v>96</v>
      </c>
      <c r="AR3782">
        <v>0</v>
      </c>
      <c r="AZ3782">
        <v>3614</v>
      </c>
      <c r="BA3782">
        <v>1</v>
      </c>
      <c r="BB3782" t="str">
        <f t="shared" si="176"/>
        <v xml:space="preserve">N959MJ  </v>
      </c>
      <c r="BC3782">
        <v>1</v>
      </c>
      <c r="BE3782">
        <v>0</v>
      </c>
      <c r="BF3782">
        <v>0</v>
      </c>
      <c r="BG3782">
        <v>0</v>
      </c>
      <c r="BH3782">
        <v>1900</v>
      </c>
      <c r="BI3782">
        <v>200</v>
      </c>
      <c r="BJ3782">
        <v>1</v>
      </c>
      <c r="BK3782">
        <v>1</v>
      </c>
      <c r="BL3782">
        <v>1</v>
      </c>
      <c r="BM3782">
        <v>0</v>
      </c>
      <c r="BP3782">
        <v>0</v>
      </c>
      <c r="BQ3782">
        <v>0</v>
      </c>
      <c r="BX3782" t="str">
        <f>"14:53:24.930"</f>
        <v>14:53:24.930</v>
      </c>
      <c r="BY3782" t="str">
        <f>"928703871"</f>
        <v>928703871</v>
      </c>
      <c r="CL3782">
        <v>0</v>
      </c>
      <c r="CM3782">
        <v>2</v>
      </c>
      <c r="CN3782">
        <v>0</v>
      </c>
      <c r="CO3782">
        <v>2</v>
      </c>
      <c r="CP3782">
        <v>0</v>
      </c>
      <c r="CQ3782">
        <v>7</v>
      </c>
      <c r="CR3782" t="s">
        <v>116</v>
      </c>
      <c r="CS3782">
        <v>305</v>
      </c>
      <c r="CT3782">
        <v>3</v>
      </c>
      <c r="CU3782" t="s">
        <v>6425</v>
      </c>
      <c r="CV3782" t="s">
        <v>6426</v>
      </c>
      <c r="CY3782">
        <v>6379048</v>
      </c>
      <c r="CZ3782" t="s">
        <v>119</v>
      </c>
    </row>
    <row r="3783" spans="1:104" x14ac:dyDescent="0.25">
      <c r="A3783" t="str">
        <f>"14:53:26.039"</f>
        <v>14:53:26.039</v>
      </c>
      <c r="B3783" t="s">
        <v>108</v>
      </c>
      <c r="C3783" t="str">
        <f t="shared" si="175"/>
        <v>ffdfd3c0</v>
      </c>
      <c r="D3783" t="s">
        <v>109</v>
      </c>
      <c r="E3783">
        <v>4</v>
      </c>
      <c r="F3783">
        <v>1004</v>
      </c>
      <c r="G3783" t="s">
        <v>110</v>
      </c>
      <c r="J3783" t="s">
        <v>111</v>
      </c>
      <c r="K3783">
        <v>0</v>
      </c>
      <c r="L3783">
        <v>3</v>
      </c>
      <c r="M3783">
        <v>0</v>
      </c>
      <c r="N3783">
        <v>2</v>
      </c>
      <c r="O3783">
        <v>1</v>
      </c>
      <c r="P3783">
        <v>0</v>
      </c>
      <c r="Q3783">
        <v>0</v>
      </c>
      <c r="R3783" t="s">
        <v>112</v>
      </c>
      <c r="S3783" t="str">
        <f>"14:53:25.852"</f>
        <v>14:53:25.852</v>
      </c>
      <c r="T3783" t="str">
        <f>"14:53:25.453"</f>
        <v>14:53:25.453</v>
      </c>
      <c r="U3783" t="str">
        <f t="shared" si="177"/>
        <v>ad5732</v>
      </c>
      <c r="V3783">
        <v>0</v>
      </c>
      <c r="W3783">
        <v>0</v>
      </c>
      <c r="X3783">
        <v>1</v>
      </c>
      <c r="Z3783">
        <v>0</v>
      </c>
      <c r="AA3783">
        <v>9</v>
      </c>
      <c r="AB3783">
        <v>3</v>
      </c>
      <c r="AC3783">
        <v>0</v>
      </c>
      <c r="AD3783">
        <v>10</v>
      </c>
      <c r="AE3783">
        <v>0</v>
      </c>
      <c r="AF3783">
        <v>3</v>
      </c>
      <c r="AG3783">
        <v>2</v>
      </c>
      <c r="AH3783">
        <v>0</v>
      </c>
      <c r="AI3783" t="s">
        <v>7614</v>
      </c>
      <c r="AJ3783">
        <v>40.464792000000003</v>
      </c>
      <c r="AK3783" t="s">
        <v>7615</v>
      </c>
      <c r="AL3783">
        <v>-74.386368000000004</v>
      </c>
      <c r="AM3783">
        <v>100</v>
      </c>
      <c r="AN3783">
        <v>1700</v>
      </c>
      <c r="AO3783" t="s">
        <v>115</v>
      </c>
      <c r="AP3783">
        <v>55</v>
      </c>
      <c r="AQ3783">
        <v>99</v>
      </c>
      <c r="AR3783">
        <v>-128</v>
      </c>
      <c r="AZ3783">
        <v>3614</v>
      </c>
      <c r="BA3783">
        <v>1</v>
      </c>
      <c r="BB3783" t="str">
        <f t="shared" si="176"/>
        <v xml:space="preserve">N959MJ  </v>
      </c>
      <c r="BC3783">
        <v>1</v>
      </c>
      <c r="BE3783">
        <v>0</v>
      </c>
      <c r="BF3783">
        <v>0</v>
      </c>
      <c r="BG3783">
        <v>0</v>
      </c>
      <c r="BH3783">
        <v>1900</v>
      </c>
      <c r="BI3783">
        <v>200</v>
      </c>
      <c r="BJ3783">
        <v>1</v>
      </c>
      <c r="BK3783">
        <v>1</v>
      </c>
      <c r="BL3783">
        <v>1</v>
      </c>
      <c r="BM3783">
        <v>0</v>
      </c>
      <c r="BP3783">
        <v>0</v>
      </c>
      <c r="BQ3783">
        <v>0</v>
      </c>
      <c r="BX3783" t="str">
        <f>"14:53:25.859"</f>
        <v>14:53:25.859</v>
      </c>
      <c r="BY3783" t="str">
        <f>"857692939"</f>
        <v>857692939</v>
      </c>
      <c r="CL3783">
        <v>0</v>
      </c>
      <c r="CM3783">
        <v>2</v>
      </c>
      <c r="CN3783">
        <v>0</v>
      </c>
      <c r="CO3783">
        <v>2</v>
      </c>
      <c r="CP3783">
        <v>0</v>
      </c>
      <c r="CQ3783">
        <v>7</v>
      </c>
      <c r="CR3783" t="s">
        <v>116</v>
      </c>
      <c r="CS3783">
        <v>305</v>
      </c>
      <c r="CT3783">
        <v>3</v>
      </c>
      <c r="CU3783" t="s">
        <v>6425</v>
      </c>
      <c r="CV3783" t="s">
        <v>6426</v>
      </c>
      <c r="CY3783">
        <v>6380863</v>
      </c>
      <c r="CZ3783" t="s">
        <v>119</v>
      </c>
    </row>
    <row r="3784" spans="1:104" x14ac:dyDescent="0.25">
      <c r="A3784" t="str">
        <f>"14:53:27.094"</f>
        <v>14:53:27.094</v>
      </c>
      <c r="B3784" t="s">
        <v>108</v>
      </c>
      <c r="C3784" t="str">
        <f t="shared" si="175"/>
        <v>ffdfd3c0</v>
      </c>
      <c r="D3784" t="s">
        <v>109</v>
      </c>
      <c r="E3784">
        <v>4</v>
      </c>
      <c r="F3784">
        <v>1004</v>
      </c>
      <c r="G3784" t="s">
        <v>110</v>
      </c>
      <c r="J3784" t="s">
        <v>111</v>
      </c>
      <c r="K3784">
        <v>0</v>
      </c>
      <c r="L3784">
        <v>3</v>
      </c>
      <c r="M3784">
        <v>0</v>
      </c>
      <c r="N3784">
        <v>2</v>
      </c>
      <c r="O3784">
        <v>1</v>
      </c>
      <c r="P3784">
        <v>0</v>
      </c>
      <c r="Q3784">
        <v>0</v>
      </c>
      <c r="R3784" t="s">
        <v>112</v>
      </c>
      <c r="S3784" t="str">
        <f>"14:53:26.906"</f>
        <v>14:53:26.906</v>
      </c>
      <c r="T3784" t="str">
        <f>"14:53:26.406"</f>
        <v>14:53:26.406</v>
      </c>
      <c r="U3784" t="str">
        <f t="shared" si="177"/>
        <v>ad5732</v>
      </c>
      <c r="V3784">
        <v>0</v>
      </c>
      <c r="W3784">
        <v>0</v>
      </c>
      <c r="X3784">
        <v>1</v>
      </c>
      <c r="Z3784">
        <v>0</v>
      </c>
      <c r="AA3784">
        <v>9</v>
      </c>
      <c r="AB3784">
        <v>3</v>
      </c>
      <c r="AC3784">
        <v>0</v>
      </c>
      <c r="AD3784">
        <v>10</v>
      </c>
      <c r="AE3784">
        <v>0</v>
      </c>
      <c r="AF3784">
        <v>3</v>
      </c>
      <c r="AG3784">
        <v>2</v>
      </c>
      <c r="AH3784">
        <v>0</v>
      </c>
      <c r="AI3784" t="s">
        <v>7616</v>
      </c>
      <c r="AJ3784">
        <v>40.465243000000001</v>
      </c>
      <c r="AK3784" t="s">
        <v>7617</v>
      </c>
      <c r="AL3784">
        <v>-74.386045999999993</v>
      </c>
      <c r="AM3784">
        <v>100</v>
      </c>
      <c r="AN3784">
        <v>1700</v>
      </c>
      <c r="AO3784" t="s">
        <v>115</v>
      </c>
      <c r="AP3784">
        <v>51</v>
      </c>
      <c r="AQ3784">
        <v>103</v>
      </c>
      <c r="AR3784">
        <v>-256</v>
      </c>
      <c r="AZ3784">
        <v>3614</v>
      </c>
      <c r="BA3784">
        <v>1</v>
      </c>
      <c r="BB3784" t="str">
        <f t="shared" si="176"/>
        <v xml:space="preserve">N959MJ  </v>
      </c>
      <c r="BC3784">
        <v>1</v>
      </c>
      <c r="BE3784">
        <v>0</v>
      </c>
      <c r="BF3784">
        <v>0</v>
      </c>
      <c r="BG3784">
        <v>0</v>
      </c>
      <c r="BH3784">
        <v>1900</v>
      </c>
      <c r="BI3784">
        <v>200</v>
      </c>
      <c r="BJ3784">
        <v>1</v>
      </c>
      <c r="BK3784">
        <v>1</v>
      </c>
      <c r="BL3784">
        <v>1</v>
      </c>
      <c r="BM3784">
        <v>0</v>
      </c>
      <c r="BP3784">
        <v>0</v>
      </c>
      <c r="BQ3784">
        <v>0</v>
      </c>
      <c r="BX3784" t="str">
        <f>"14:53:26.906"</f>
        <v>14:53:26.906</v>
      </c>
      <c r="BY3784" t="str">
        <f>"909564161"</f>
        <v>909564161</v>
      </c>
      <c r="CL3784">
        <v>0</v>
      </c>
      <c r="CM3784">
        <v>2</v>
      </c>
      <c r="CN3784">
        <v>0</v>
      </c>
      <c r="CO3784">
        <v>2</v>
      </c>
      <c r="CP3784">
        <v>0</v>
      </c>
      <c r="CQ3784">
        <v>7</v>
      </c>
      <c r="CR3784" t="s">
        <v>116</v>
      </c>
      <c r="CS3784">
        <v>305</v>
      </c>
      <c r="CT3784">
        <v>3</v>
      </c>
      <c r="CU3784" t="s">
        <v>6425</v>
      </c>
      <c r="CV3784" t="s">
        <v>6426</v>
      </c>
      <c r="CY3784">
        <v>6383036</v>
      </c>
      <c r="CZ3784" t="s">
        <v>119</v>
      </c>
    </row>
    <row r="3785" spans="1:104" x14ac:dyDescent="0.25">
      <c r="A3785" t="str">
        <f>"14:53:28.055"</f>
        <v>14:53:28.055</v>
      </c>
      <c r="B3785" t="s">
        <v>108</v>
      </c>
      <c r="C3785" t="str">
        <f t="shared" si="175"/>
        <v>ffdfd3c0</v>
      </c>
      <c r="D3785" t="s">
        <v>109</v>
      </c>
      <c r="E3785">
        <v>4</v>
      </c>
      <c r="F3785">
        <v>1004</v>
      </c>
      <c r="G3785" t="s">
        <v>110</v>
      </c>
      <c r="J3785" t="s">
        <v>111</v>
      </c>
      <c r="K3785">
        <v>0</v>
      </c>
      <c r="L3785">
        <v>3</v>
      </c>
      <c r="M3785">
        <v>0</v>
      </c>
      <c r="N3785">
        <v>2</v>
      </c>
      <c r="O3785">
        <v>1</v>
      </c>
      <c r="P3785">
        <v>0</v>
      </c>
      <c r="Q3785">
        <v>0</v>
      </c>
      <c r="R3785" t="s">
        <v>112</v>
      </c>
      <c r="S3785" t="str">
        <f>"14:53:27.906"</f>
        <v>14:53:27.906</v>
      </c>
      <c r="T3785" t="str">
        <f>"14:53:27.406"</f>
        <v>14:53:27.406</v>
      </c>
      <c r="U3785" t="str">
        <f t="shared" si="177"/>
        <v>ad5732</v>
      </c>
      <c r="V3785">
        <v>0</v>
      </c>
      <c r="W3785">
        <v>0</v>
      </c>
      <c r="X3785">
        <v>1</v>
      </c>
      <c r="Z3785">
        <v>0</v>
      </c>
      <c r="AA3785">
        <v>9</v>
      </c>
      <c r="AB3785">
        <v>3</v>
      </c>
      <c r="AC3785">
        <v>0</v>
      </c>
      <c r="AD3785">
        <v>10</v>
      </c>
      <c r="AE3785">
        <v>0</v>
      </c>
      <c r="AF3785">
        <v>3</v>
      </c>
      <c r="AG3785">
        <v>2</v>
      </c>
      <c r="AH3785">
        <v>0</v>
      </c>
      <c r="AI3785" t="s">
        <v>7618</v>
      </c>
      <c r="AJ3785">
        <v>40.465758000000001</v>
      </c>
      <c r="AK3785" t="s">
        <v>7619</v>
      </c>
      <c r="AL3785">
        <v>-74.385745999999997</v>
      </c>
      <c r="AM3785">
        <v>100</v>
      </c>
      <c r="AN3785">
        <v>1600</v>
      </c>
      <c r="AO3785" t="s">
        <v>115</v>
      </c>
      <c r="AP3785">
        <v>47</v>
      </c>
      <c r="AQ3785">
        <v>106</v>
      </c>
      <c r="AR3785">
        <v>-384</v>
      </c>
      <c r="AZ3785">
        <v>3614</v>
      </c>
      <c r="BA3785">
        <v>1</v>
      </c>
      <c r="BB3785" t="str">
        <f t="shared" si="176"/>
        <v xml:space="preserve">N959MJ  </v>
      </c>
      <c r="BC3785">
        <v>1</v>
      </c>
      <c r="BE3785">
        <v>0</v>
      </c>
      <c r="BF3785">
        <v>0</v>
      </c>
      <c r="BG3785">
        <v>0</v>
      </c>
      <c r="BH3785">
        <v>1875</v>
      </c>
      <c r="BI3785">
        <v>275</v>
      </c>
      <c r="BJ3785">
        <v>1</v>
      </c>
      <c r="BK3785">
        <v>1</v>
      </c>
      <c r="BL3785">
        <v>1</v>
      </c>
      <c r="BM3785">
        <v>0</v>
      </c>
      <c r="BP3785">
        <v>0</v>
      </c>
      <c r="BQ3785">
        <v>0</v>
      </c>
      <c r="BX3785" t="str">
        <f>"14:53:27.906"</f>
        <v>14:53:27.906</v>
      </c>
      <c r="BY3785" t="str">
        <f>"907367329"</f>
        <v>907367329</v>
      </c>
      <c r="CL3785">
        <v>0</v>
      </c>
      <c r="CM3785">
        <v>2</v>
      </c>
      <c r="CN3785">
        <v>0</v>
      </c>
      <c r="CO3785">
        <v>2</v>
      </c>
      <c r="CP3785">
        <v>0</v>
      </c>
      <c r="CQ3785">
        <v>7</v>
      </c>
      <c r="CR3785" t="s">
        <v>116</v>
      </c>
      <c r="CS3785">
        <v>305</v>
      </c>
      <c r="CT3785">
        <v>3</v>
      </c>
      <c r="CU3785" t="s">
        <v>6425</v>
      </c>
      <c r="CV3785" t="s">
        <v>6426</v>
      </c>
      <c r="CY3785">
        <v>6384994</v>
      </c>
      <c r="CZ3785" t="s">
        <v>119</v>
      </c>
    </row>
    <row r="3786" spans="1:104" x14ac:dyDescent="0.25">
      <c r="A3786" t="str">
        <f>"14:53:28.969"</f>
        <v>14:53:28.969</v>
      </c>
      <c r="B3786" t="s">
        <v>108</v>
      </c>
      <c r="C3786" t="str">
        <f t="shared" ref="C3786:C3849" si="178">"ffdfd3c0"</f>
        <v>ffdfd3c0</v>
      </c>
      <c r="D3786" t="s">
        <v>109</v>
      </c>
      <c r="E3786">
        <v>4</v>
      </c>
      <c r="F3786">
        <v>1004</v>
      </c>
      <c r="G3786" t="s">
        <v>110</v>
      </c>
      <c r="J3786" t="s">
        <v>111</v>
      </c>
      <c r="K3786">
        <v>0</v>
      </c>
      <c r="L3786">
        <v>3</v>
      </c>
      <c r="M3786">
        <v>0</v>
      </c>
      <c r="N3786">
        <v>2</v>
      </c>
      <c r="O3786">
        <v>1</v>
      </c>
      <c r="P3786">
        <v>0</v>
      </c>
      <c r="Q3786">
        <v>0</v>
      </c>
      <c r="R3786" t="s">
        <v>112</v>
      </c>
      <c r="S3786" t="str">
        <f>"14:53:28.789"</f>
        <v>14:53:28.789</v>
      </c>
      <c r="T3786" t="str">
        <f>"14:53:28.391"</f>
        <v>14:53:28.391</v>
      </c>
      <c r="U3786" t="str">
        <f t="shared" si="177"/>
        <v>ad5732</v>
      </c>
      <c r="V3786">
        <v>0</v>
      </c>
      <c r="W3786">
        <v>0</v>
      </c>
      <c r="X3786">
        <v>1</v>
      </c>
      <c r="Z3786">
        <v>0</v>
      </c>
      <c r="AA3786">
        <v>9</v>
      </c>
      <c r="AB3786">
        <v>3</v>
      </c>
      <c r="AC3786">
        <v>0</v>
      </c>
      <c r="AD3786">
        <v>10</v>
      </c>
      <c r="AE3786">
        <v>0</v>
      </c>
      <c r="AF3786">
        <v>3</v>
      </c>
      <c r="AG3786">
        <v>2</v>
      </c>
      <c r="AH3786">
        <v>0</v>
      </c>
      <c r="AI3786" t="s">
        <v>7620</v>
      </c>
      <c r="AJ3786">
        <v>40.466208000000002</v>
      </c>
      <c r="AK3786" t="s">
        <v>7621</v>
      </c>
      <c r="AL3786">
        <v>-74.385552000000004</v>
      </c>
      <c r="AM3786">
        <v>100</v>
      </c>
      <c r="AN3786">
        <v>1600</v>
      </c>
      <c r="AO3786" t="s">
        <v>115</v>
      </c>
      <c r="AP3786">
        <v>43</v>
      </c>
      <c r="AQ3786">
        <v>108</v>
      </c>
      <c r="AR3786">
        <v>-320</v>
      </c>
      <c r="AZ3786">
        <v>3614</v>
      </c>
      <c r="BA3786">
        <v>1</v>
      </c>
      <c r="BB3786" t="str">
        <f t="shared" ref="BB3786:BB3849" si="179">"N959MJ  "</f>
        <v xml:space="preserve">N959MJ  </v>
      </c>
      <c r="BC3786">
        <v>1</v>
      </c>
      <c r="BE3786">
        <v>0</v>
      </c>
      <c r="BF3786">
        <v>0</v>
      </c>
      <c r="BG3786">
        <v>0</v>
      </c>
      <c r="BH3786">
        <v>1875</v>
      </c>
      <c r="BI3786">
        <v>275</v>
      </c>
      <c r="BJ3786">
        <v>1</v>
      </c>
      <c r="BK3786">
        <v>1</v>
      </c>
      <c r="BL3786">
        <v>1</v>
      </c>
      <c r="BM3786">
        <v>0</v>
      </c>
      <c r="BP3786">
        <v>0</v>
      </c>
      <c r="BQ3786">
        <v>0</v>
      </c>
      <c r="BX3786" t="str">
        <f>"14:53:28.797"</f>
        <v>14:53:28.797</v>
      </c>
      <c r="BY3786" t="str">
        <f>"795395888"</f>
        <v>795395888</v>
      </c>
      <c r="CL3786">
        <v>0</v>
      </c>
      <c r="CM3786">
        <v>2</v>
      </c>
      <c r="CN3786">
        <v>0</v>
      </c>
      <c r="CO3786">
        <v>2</v>
      </c>
      <c r="CP3786">
        <v>0</v>
      </c>
      <c r="CQ3786">
        <v>7</v>
      </c>
      <c r="CR3786" t="s">
        <v>116</v>
      </c>
      <c r="CS3786">
        <v>305</v>
      </c>
      <c r="CT3786">
        <v>3</v>
      </c>
      <c r="CU3786" t="s">
        <v>6425</v>
      </c>
      <c r="CV3786" t="s">
        <v>6426</v>
      </c>
      <c r="CY3786">
        <v>6386679</v>
      </c>
      <c r="CZ3786" t="s">
        <v>119</v>
      </c>
    </row>
    <row r="3787" spans="1:104" x14ac:dyDescent="0.25">
      <c r="A3787" t="str">
        <f>"14:53:30.023"</f>
        <v>14:53:30.023</v>
      </c>
      <c r="B3787" t="s">
        <v>108</v>
      </c>
      <c r="C3787" t="str">
        <f t="shared" si="178"/>
        <v>ffdfd3c0</v>
      </c>
      <c r="D3787" t="s">
        <v>109</v>
      </c>
      <c r="E3787">
        <v>4</v>
      </c>
      <c r="F3787">
        <v>1004</v>
      </c>
      <c r="G3787" t="s">
        <v>110</v>
      </c>
      <c r="J3787" t="s">
        <v>111</v>
      </c>
      <c r="K3787">
        <v>0</v>
      </c>
      <c r="L3787">
        <v>3</v>
      </c>
      <c r="M3787">
        <v>0</v>
      </c>
      <c r="N3787">
        <v>2</v>
      </c>
      <c r="O3787">
        <v>1</v>
      </c>
      <c r="P3787">
        <v>0</v>
      </c>
      <c r="Q3787">
        <v>0</v>
      </c>
      <c r="R3787" t="s">
        <v>112</v>
      </c>
      <c r="S3787" t="str">
        <f>"14:53:29.875"</f>
        <v>14:53:29.875</v>
      </c>
      <c r="T3787" t="str">
        <f>"14:53:29.375"</f>
        <v>14:53:29.375</v>
      </c>
      <c r="U3787" t="str">
        <f t="shared" si="177"/>
        <v>ad5732</v>
      </c>
      <c r="V3787">
        <v>0</v>
      </c>
      <c r="W3787">
        <v>0</v>
      </c>
      <c r="X3787">
        <v>1</v>
      </c>
      <c r="Z3787">
        <v>0</v>
      </c>
      <c r="AA3787">
        <v>9</v>
      </c>
      <c r="AB3787">
        <v>3</v>
      </c>
      <c r="AC3787">
        <v>0</v>
      </c>
      <c r="AD3787">
        <v>10</v>
      </c>
      <c r="AE3787">
        <v>0</v>
      </c>
      <c r="AF3787">
        <v>3</v>
      </c>
      <c r="AG3787">
        <v>2</v>
      </c>
      <c r="AH3787">
        <v>0</v>
      </c>
      <c r="AI3787" t="s">
        <v>7622</v>
      </c>
      <c r="AJ3787">
        <v>40.466788000000001</v>
      </c>
      <c r="AK3787" t="s">
        <v>7623</v>
      </c>
      <c r="AL3787">
        <v>-74.385251999999994</v>
      </c>
      <c r="AM3787">
        <v>100</v>
      </c>
      <c r="AN3787">
        <v>1600</v>
      </c>
      <c r="AO3787" t="s">
        <v>115</v>
      </c>
      <c r="AP3787">
        <v>40</v>
      </c>
      <c r="AQ3787">
        <v>110</v>
      </c>
      <c r="AR3787">
        <v>-320</v>
      </c>
      <c r="AZ3787">
        <v>3614</v>
      </c>
      <c r="BA3787">
        <v>1</v>
      </c>
      <c r="BB3787" t="str">
        <f t="shared" si="179"/>
        <v xml:space="preserve">N959MJ  </v>
      </c>
      <c r="BC3787">
        <v>1</v>
      </c>
      <c r="BE3787">
        <v>0</v>
      </c>
      <c r="BF3787">
        <v>0</v>
      </c>
      <c r="BG3787">
        <v>0</v>
      </c>
      <c r="BH3787">
        <v>1875</v>
      </c>
      <c r="BI3787">
        <v>275</v>
      </c>
      <c r="BJ3787">
        <v>1</v>
      </c>
      <c r="BK3787">
        <v>1</v>
      </c>
      <c r="BL3787">
        <v>1</v>
      </c>
      <c r="BM3787">
        <v>0</v>
      </c>
      <c r="BP3787">
        <v>0</v>
      </c>
      <c r="BQ3787">
        <v>0</v>
      </c>
      <c r="BX3787" t="str">
        <f>"14:53:29.883"</f>
        <v>14:53:29.883</v>
      </c>
      <c r="BY3787" t="str">
        <f>"880035489"</f>
        <v>880035489</v>
      </c>
      <c r="CL3787">
        <v>0</v>
      </c>
      <c r="CM3787">
        <v>2</v>
      </c>
      <c r="CN3787">
        <v>0</v>
      </c>
      <c r="CO3787">
        <v>2</v>
      </c>
      <c r="CP3787">
        <v>0</v>
      </c>
      <c r="CQ3787">
        <v>7</v>
      </c>
      <c r="CR3787" t="s">
        <v>116</v>
      </c>
      <c r="CS3787">
        <v>305</v>
      </c>
      <c r="CT3787">
        <v>3</v>
      </c>
      <c r="CU3787" t="s">
        <v>6425</v>
      </c>
      <c r="CV3787" t="s">
        <v>6426</v>
      </c>
      <c r="CY3787">
        <v>6388926</v>
      </c>
      <c r="CZ3787" t="s">
        <v>119</v>
      </c>
    </row>
    <row r="3788" spans="1:104" x14ac:dyDescent="0.25">
      <c r="A3788" t="str">
        <f>"14:53:31.031"</f>
        <v>14:53:31.031</v>
      </c>
      <c r="B3788" t="s">
        <v>108</v>
      </c>
      <c r="C3788" t="str">
        <f t="shared" si="178"/>
        <v>ffdfd3c0</v>
      </c>
      <c r="D3788" t="s">
        <v>109</v>
      </c>
      <c r="E3788">
        <v>4</v>
      </c>
      <c r="F3788">
        <v>1004</v>
      </c>
      <c r="G3788" t="s">
        <v>110</v>
      </c>
      <c r="J3788" t="s">
        <v>111</v>
      </c>
      <c r="K3788">
        <v>0</v>
      </c>
      <c r="L3788">
        <v>3</v>
      </c>
      <c r="M3788">
        <v>0</v>
      </c>
      <c r="N3788">
        <v>2</v>
      </c>
      <c r="O3788">
        <v>1</v>
      </c>
      <c r="P3788">
        <v>0</v>
      </c>
      <c r="Q3788">
        <v>0</v>
      </c>
      <c r="R3788" t="s">
        <v>112</v>
      </c>
      <c r="S3788" t="str">
        <f>"14:53:30.867"</f>
        <v>14:53:30.867</v>
      </c>
      <c r="T3788" t="str">
        <f>"14:53:30.469"</f>
        <v>14:53:30.469</v>
      </c>
      <c r="U3788" t="str">
        <f t="shared" si="177"/>
        <v>ad5732</v>
      </c>
      <c r="V3788">
        <v>0</v>
      </c>
      <c r="W3788">
        <v>0</v>
      </c>
      <c r="X3788">
        <v>1</v>
      </c>
      <c r="Z3788">
        <v>0</v>
      </c>
      <c r="AA3788">
        <v>9</v>
      </c>
      <c r="AB3788">
        <v>3</v>
      </c>
      <c r="AC3788">
        <v>0</v>
      </c>
      <c r="AD3788">
        <v>10</v>
      </c>
      <c r="AE3788">
        <v>0</v>
      </c>
      <c r="AF3788">
        <v>3</v>
      </c>
      <c r="AG3788">
        <v>2</v>
      </c>
      <c r="AH3788">
        <v>0</v>
      </c>
      <c r="AI3788" t="s">
        <v>7624</v>
      </c>
      <c r="AJ3788">
        <v>40.467303000000001</v>
      </c>
      <c r="AK3788" t="s">
        <v>7625</v>
      </c>
      <c r="AL3788">
        <v>-74.385058999999998</v>
      </c>
      <c r="AM3788">
        <v>100</v>
      </c>
      <c r="AN3788">
        <v>1600</v>
      </c>
      <c r="AO3788" t="s">
        <v>115</v>
      </c>
      <c r="AP3788">
        <v>38</v>
      </c>
      <c r="AQ3788">
        <v>112</v>
      </c>
      <c r="AR3788">
        <v>-192</v>
      </c>
      <c r="AZ3788">
        <v>3614</v>
      </c>
      <c r="BA3788">
        <v>1</v>
      </c>
      <c r="BB3788" t="str">
        <f t="shared" si="179"/>
        <v xml:space="preserve">N959MJ  </v>
      </c>
      <c r="BC3788">
        <v>1</v>
      </c>
      <c r="BE3788">
        <v>0</v>
      </c>
      <c r="BF3788">
        <v>0</v>
      </c>
      <c r="BG3788">
        <v>0</v>
      </c>
      <c r="BH3788">
        <v>1875</v>
      </c>
      <c r="BI3788">
        <v>275</v>
      </c>
      <c r="BJ3788">
        <v>1</v>
      </c>
      <c r="BK3788">
        <v>1</v>
      </c>
      <c r="BL3788">
        <v>1</v>
      </c>
      <c r="BM3788">
        <v>0</v>
      </c>
      <c r="BP3788">
        <v>0</v>
      </c>
      <c r="BQ3788">
        <v>0</v>
      </c>
      <c r="BX3788" t="str">
        <f>"14:53:30.875"</f>
        <v>14:53:30.875</v>
      </c>
      <c r="BY3788" t="str">
        <f>"871284900"</f>
        <v>871284900</v>
      </c>
      <c r="CL3788">
        <v>0</v>
      </c>
      <c r="CM3788">
        <v>2</v>
      </c>
      <c r="CN3788">
        <v>0</v>
      </c>
      <c r="CO3788">
        <v>2</v>
      </c>
      <c r="CP3788">
        <v>0</v>
      </c>
      <c r="CQ3788">
        <v>7</v>
      </c>
      <c r="CR3788" t="s">
        <v>116</v>
      </c>
      <c r="CS3788">
        <v>305</v>
      </c>
      <c r="CT3788">
        <v>3</v>
      </c>
      <c r="CU3788" t="s">
        <v>6425</v>
      </c>
      <c r="CV3788" t="s">
        <v>6426</v>
      </c>
      <c r="CY3788">
        <v>6391113</v>
      </c>
      <c r="CZ3788" t="s">
        <v>119</v>
      </c>
    </row>
    <row r="3789" spans="1:104" x14ac:dyDescent="0.25">
      <c r="A3789" t="str">
        <f>"14:53:31.992"</f>
        <v>14:53:31.992</v>
      </c>
      <c r="B3789" t="s">
        <v>108</v>
      </c>
      <c r="C3789" t="str">
        <f t="shared" si="178"/>
        <v>ffdfd3c0</v>
      </c>
      <c r="D3789" t="s">
        <v>109</v>
      </c>
      <c r="E3789">
        <v>4</v>
      </c>
      <c r="F3789">
        <v>1004</v>
      </c>
      <c r="G3789" t="s">
        <v>110</v>
      </c>
      <c r="J3789" t="s">
        <v>111</v>
      </c>
      <c r="K3789">
        <v>0</v>
      </c>
      <c r="L3789">
        <v>3</v>
      </c>
      <c r="M3789">
        <v>0</v>
      </c>
      <c r="N3789">
        <v>2</v>
      </c>
      <c r="O3789">
        <v>1</v>
      </c>
      <c r="P3789">
        <v>0</v>
      </c>
      <c r="Q3789">
        <v>0</v>
      </c>
      <c r="R3789" t="s">
        <v>112</v>
      </c>
      <c r="S3789" t="str">
        <f>"14:53:31.828"</f>
        <v>14:53:31.828</v>
      </c>
      <c r="T3789" t="str">
        <f>"14:53:31.328"</f>
        <v>14:53:31.328</v>
      </c>
      <c r="U3789" t="str">
        <f t="shared" si="177"/>
        <v>ad5732</v>
      </c>
      <c r="V3789">
        <v>0</v>
      </c>
      <c r="W3789">
        <v>0</v>
      </c>
      <c r="X3789">
        <v>1</v>
      </c>
      <c r="Z3789">
        <v>0</v>
      </c>
      <c r="AA3789">
        <v>9</v>
      </c>
      <c r="AB3789">
        <v>3</v>
      </c>
      <c r="AC3789">
        <v>0</v>
      </c>
      <c r="AD3789">
        <v>10</v>
      </c>
      <c r="AE3789">
        <v>0</v>
      </c>
      <c r="AF3789">
        <v>3</v>
      </c>
      <c r="AG3789">
        <v>2</v>
      </c>
      <c r="AH3789">
        <v>0</v>
      </c>
      <c r="AI3789" t="s">
        <v>7626</v>
      </c>
      <c r="AJ3789">
        <v>40.467775000000003</v>
      </c>
      <c r="AK3789" t="s">
        <v>7627</v>
      </c>
      <c r="AL3789">
        <v>-74.384822999999997</v>
      </c>
      <c r="AM3789">
        <v>100</v>
      </c>
      <c r="AN3789">
        <v>1600</v>
      </c>
      <c r="AO3789" t="s">
        <v>115</v>
      </c>
      <c r="AP3789">
        <v>38</v>
      </c>
      <c r="AQ3789">
        <v>112</v>
      </c>
      <c r="AR3789">
        <v>-128</v>
      </c>
      <c r="AZ3789">
        <v>3614</v>
      </c>
      <c r="BA3789">
        <v>1</v>
      </c>
      <c r="BB3789" t="str">
        <f t="shared" si="179"/>
        <v xml:space="preserve">N959MJ  </v>
      </c>
      <c r="BC3789">
        <v>1</v>
      </c>
      <c r="BE3789">
        <v>0</v>
      </c>
      <c r="BF3789">
        <v>0</v>
      </c>
      <c r="BG3789">
        <v>0</v>
      </c>
      <c r="BH3789">
        <v>1875</v>
      </c>
      <c r="BI3789">
        <v>275</v>
      </c>
      <c r="BJ3789">
        <v>1</v>
      </c>
      <c r="BK3789">
        <v>1</v>
      </c>
      <c r="BL3789">
        <v>1</v>
      </c>
      <c r="BM3789">
        <v>0</v>
      </c>
      <c r="BP3789">
        <v>0</v>
      </c>
      <c r="BQ3789">
        <v>0</v>
      </c>
      <c r="BX3789" t="str">
        <f>"14:53:31.828"</f>
        <v>14:53:31.828</v>
      </c>
      <c r="BY3789" t="str">
        <f>"829808172"</f>
        <v>829808172</v>
      </c>
      <c r="CL3789">
        <v>0</v>
      </c>
      <c r="CM3789">
        <v>2</v>
      </c>
      <c r="CN3789">
        <v>0</v>
      </c>
      <c r="CO3789">
        <v>2</v>
      </c>
      <c r="CP3789">
        <v>0</v>
      </c>
      <c r="CQ3789">
        <v>6</v>
      </c>
      <c r="CR3789" t="s">
        <v>116</v>
      </c>
      <c r="CS3789">
        <v>38</v>
      </c>
      <c r="CT3789">
        <v>0</v>
      </c>
      <c r="CU3789" t="s">
        <v>4719</v>
      </c>
      <c r="CV3789" t="s">
        <v>4720</v>
      </c>
      <c r="CY3789">
        <v>8416008</v>
      </c>
      <c r="CZ3789" t="s">
        <v>119</v>
      </c>
    </row>
    <row r="3790" spans="1:104" x14ac:dyDescent="0.25">
      <c r="A3790" t="str">
        <f>"14:53:33.508"</f>
        <v>14:53:33.508</v>
      </c>
      <c r="B3790" t="s">
        <v>108</v>
      </c>
      <c r="C3790" t="str">
        <f t="shared" si="178"/>
        <v>ffdfd3c0</v>
      </c>
      <c r="D3790" t="s">
        <v>109</v>
      </c>
      <c r="E3790">
        <v>4</v>
      </c>
      <c r="F3790">
        <v>1004</v>
      </c>
      <c r="G3790" t="s">
        <v>110</v>
      </c>
      <c r="J3790" t="s">
        <v>111</v>
      </c>
      <c r="K3790">
        <v>0</v>
      </c>
      <c r="L3790">
        <v>3</v>
      </c>
      <c r="M3790">
        <v>0</v>
      </c>
      <c r="N3790">
        <v>2</v>
      </c>
      <c r="O3790">
        <v>1</v>
      </c>
      <c r="P3790">
        <v>0</v>
      </c>
      <c r="Q3790">
        <v>0</v>
      </c>
      <c r="R3790" t="s">
        <v>112</v>
      </c>
      <c r="S3790" t="str">
        <f>"14:53:33.328"</f>
        <v>14:53:33.328</v>
      </c>
      <c r="T3790" t="str">
        <f>"14:53:32.328"</f>
        <v>14:53:32.328</v>
      </c>
      <c r="U3790" t="str">
        <f t="shared" si="177"/>
        <v>ad5732</v>
      </c>
      <c r="V3790">
        <v>0</v>
      </c>
      <c r="W3790">
        <v>0</v>
      </c>
      <c r="X3790">
        <v>1</v>
      </c>
      <c r="Z3790">
        <v>0</v>
      </c>
      <c r="AA3790">
        <v>9</v>
      </c>
      <c r="AB3790">
        <v>3</v>
      </c>
      <c r="AC3790">
        <v>0</v>
      </c>
      <c r="AD3790">
        <v>10</v>
      </c>
      <c r="AE3790">
        <v>0</v>
      </c>
      <c r="AF3790">
        <v>3</v>
      </c>
      <c r="AG3790">
        <v>2</v>
      </c>
      <c r="AH3790">
        <v>0</v>
      </c>
      <c r="AI3790" t="s">
        <v>7628</v>
      </c>
      <c r="AJ3790">
        <v>40.468589999999999</v>
      </c>
      <c r="AK3790" t="s">
        <v>7629</v>
      </c>
      <c r="AL3790">
        <v>-74.384457999999995</v>
      </c>
      <c r="AM3790">
        <v>100</v>
      </c>
      <c r="AN3790">
        <v>1600</v>
      </c>
      <c r="AO3790" t="s">
        <v>115</v>
      </c>
      <c r="AP3790">
        <v>39</v>
      </c>
      <c r="AQ3790">
        <v>112</v>
      </c>
      <c r="AR3790">
        <v>-64</v>
      </c>
      <c r="AZ3790">
        <v>3614</v>
      </c>
      <c r="BA3790">
        <v>1</v>
      </c>
      <c r="BB3790" t="str">
        <f t="shared" si="179"/>
        <v xml:space="preserve">N959MJ  </v>
      </c>
      <c r="BC3790">
        <v>1</v>
      </c>
      <c r="BE3790">
        <v>0</v>
      </c>
      <c r="BF3790">
        <v>0</v>
      </c>
      <c r="BG3790">
        <v>0</v>
      </c>
      <c r="BH3790">
        <v>1875</v>
      </c>
      <c r="BI3790">
        <v>275</v>
      </c>
      <c r="BJ3790">
        <v>1</v>
      </c>
      <c r="BK3790">
        <v>1</v>
      </c>
      <c r="BL3790">
        <v>1</v>
      </c>
      <c r="BM3790">
        <v>0</v>
      </c>
      <c r="BP3790">
        <v>0</v>
      </c>
      <c r="BQ3790">
        <v>0</v>
      </c>
      <c r="BX3790" t="str">
        <f>"14:53:33.336"</f>
        <v>14:53:33.336</v>
      </c>
      <c r="BY3790" t="str">
        <f>"332247604"</f>
        <v>332247604</v>
      </c>
      <c r="CL3790">
        <v>0</v>
      </c>
      <c r="CM3790">
        <v>2</v>
      </c>
      <c r="CN3790">
        <v>0</v>
      </c>
      <c r="CO3790">
        <v>2</v>
      </c>
      <c r="CP3790">
        <v>0</v>
      </c>
      <c r="CQ3790">
        <v>6</v>
      </c>
      <c r="CR3790" t="s">
        <v>116</v>
      </c>
      <c r="CS3790">
        <v>38</v>
      </c>
      <c r="CT3790">
        <v>0</v>
      </c>
      <c r="CU3790" t="s">
        <v>4719</v>
      </c>
      <c r="CV3790" t="s">
        <v>4720</v>
      </c>
      <c r="CY3790">
        <v>8418478</v>
      </c>
      <c r="CZ3790" t="s">
        <v>119</v>
      </c>
    </row>
    <row r="3791" spans="1:104" x14ac:dyDescent="0.25">
      <c r="A3791" t="str">
        <f>"14:53:34.617"</f>
        <v>14:53:34.617</v>
      </c>
      <c r="B3791" t="s">
        <v>108</v>
      </c>
      <c r="C3791" t="str">
        <f t="shared" si="178"/>
        <v>ffdfd3c0</v>
      </c>
      <c r="D3791" t="s">
        <v>109</v>
      </c>
      <c r="E3791">
        <v>4</v>
      </c>
      <c r="F3791">
        <v>1004</v>
      </c>
      <c r="G3791" t="s">
        <v>110</v>
      </c>
      <c r="J3791" t="s">
        <v>111</v>
      </c>
      <c r="K3791">
        <v>0</v>
      </c>
      <c r="L3791">
        <v>3</v>
      </c>
      <c r="M3791">
        <v>0</v>
      </c>
      <c r="N3791">
        <v>2</v>
      </c>
      <c r="O3791">
        <v>1</v>
      </c>
      <c r="P3791">
        <v>0</v>
      </c>
      <c r="Q3791">
        <v>0</v>
      </c>
      <c r="R3791" t="s">
        <v>112</v>
      </c>
      <c r="S3791" t="str">
        <f>"14:53:34.438"</f>
        <v>14:53:34.438</v>
      </c>
      <c r="T3791" t="str">
        <f>"14:53:33.938"</f>
        <v>14:53:33.938</v>
      </c>
      <c r="U3791" t="str">
        <f t="shared" si="177"/>
        <v>ad5732</v>
      </c>
      <c r="V3791">
        <v>0</v>
      </c>
      <c r="W3791">
        <v>0</v>
      </c>
      <c r="X3791">
        <v>1</v>
      </c>
      <c r="Z3791">
        <v>0</v>
      </c>
      <c r="AA3791">
        <v>9</v>
      </c>
      <c r="AB3791">
        <v>3</v>
      </c>
      <c r="AC3791">
        <v>0</v>
      </c>
      <c r="AD3791">
        <v>10</v>
      </c>
      <c r="AE3791">
        <v>0</v>
      </c>
      <c r="AF3791">
        <v>3</v>
      </c>
      <c r="AG3791">
        <v>2</v>
      </c>
      <c r="AH3791">
        <v>0</v>
      </c>
      <c r="AI3791" t="s">
        <v>7630</v>
      </c>
      <c r="AJ3791">
        <v>40.469169999999998</v>
      </c>
      <c r="AK3791" t="s">
        <v>7631</v>
      </c>
      <c r="AL3791">
        <v>-74.384179000000003</v>
      </c>
      <c r="AM3791">
        <v>100</v>
      </c>
      <c r="AN3791">
        <v>1600</v>
      </c>
      <c r="AO3791" t="s">
        <v>115</v>
      </c>
      <c r="AP3791">
        <v>41</v>
      </c>
      <c r="AQ3791">
        <v>111</v>
      </c>
      <c r="AR3791">
        <v>-128</v>
      </c>
      <c r="AZ3791">
        <v>3614</v>
      </c>
      <c r="BA3791">
        <v>1</v>
      </c>
      <c r="BB3791" t="str">
        <f t="shared" si="179"/>
        <v xml:space="preserve">N959MJ  </v>
      </c>
      <c r="BC3791">
        <v>1</v>
      </c>
      <c r="BE3791">
        <v>0</v>
      </c>
      <c r="BF3791">
        <v>0</v>
      </c>
      <c r="BG3791">
        <v>0</v>
      </c>
      <c r="BH3791">
        <v>1875</v>
      </c>
      <c r="BI3791">
        <v>275</v>
      </c>
      <c r="BJ3791">
        <v>1</v>
      </c>
      <c r="BK3791">
        <v>1</v>
      </c>
      <c r="BL3791">
        <v>1</v>
      </c>
      <c r="BM3791">
        <v>0</v>
      </c>
      <c r="BP3791">
        <v>0</v>
      </c>
      <c r="BQ3791">
        <v>0</v>
      </c>
      <c r="BX3791" t="str">
        <f>"14:53:34.445"</f>
        <v>14:53:34.445</v>
      </c>
      <c r="BY3791" t="str">
        <f>"444819900"</f>
        <v>444819900</v>
      </c>
      <c r="CL3791">
        <v>0</v>
      </c>
      <c r="CM3791">
        <v>2</v>
      </c>
      <c r="CN3791">
        <v>0</v>
      </c>
      <c r="CO3791">
        <v>2</v>
      </c>
      <c r="CP3791">
        <v>0</v>
      </c>
      <c r="CQ3791">
        <v>6</v>
      </c>
      <c r="CR3791" t="s">
        <v>116</v>
      </c>
      <c r="CS3791">
        <v>409</v>
      </c>
      <c r="CT3791">
        <v>1</v>
      </c>
      <c r="CU3791" t="s">
        <v>5087</v>
      </c>
      <c r="CV3791" t="s">
        <v>5088</v>
      </c>
      <c r="CY3791">
        <v>4935020</v>
      </c>
      <c r="CZ3791" t="s">
        <v>119</v>
      </c>
    </row>
    <row r="3792" spans="1:104" x14ac:dyDescent="0.25">
      <c r="A3792" t="str">
        <f>"14:53:35.781"</f>
        <v>14:53:35.781</v>
      </c>
      <c r="B3792" t="s">
        <v>108</v>
      </c>
      <c r="C3792" t="str">
        <f t="shared" si="178"/>
        <v>ffdfd3c0</v>
      </c>
      <c r="D3792" t="s">
        <v>109</v>
      </c>
      <c r="E3792">
        <v>4</v>
      </c>
      <c r="F3792">
        <v>1004</v>
      </c>
      <c r="G3792" t="s">
        <v>110</v>
      </c>
      <c r="J3792" t="s">
        <v>111</v>
      </c>
      <c r="K3792">
        <v>0</v>
      </c>
      <c r="L3792">
        <v>3</v>
      </c>
      <c r="M3792">
        <v>0</v>
      </c>
      <c r="N3792">
        <v>2</v>
      </c>
      <c r="O3792">
        <v>1</v>
      </c>
      <c r="P3792">
        <v>0</v>
      </c>
      <c r="Q3792">
        <v>0</v>
      </c>
      <c r="R3792" t="s">
        <v>112</v>
      </c>
      <c r="S3792" t="str">
        <f>"14:53:35.594"</f>
        <v>14:53:35.594</v>
      </c>
      <c r="T3792" t="str">
        <f>"14:53:35.094"</f>
        <v>14:53:35.094</v>
      </c>
      <c r="U3792" t="str">
        <f t="shared" si="177"/>
        <v>ad5732</v>
      </c>
      <c r="V3792">
        <v>0</v>
      </c>
      <c r="W3792">
        <v>0</v>
      </c>
      <c r="X3792">
        <v>1</v>
      </c>
      <c r="Z3792">
        <v>0</v>
      </c>
      <c r="AA3792">
        <v>9</v>
      </c>
      <c r="AB3792">
        <v>3</v>
      </c>
      <c r="AC3792">
        <v>0</v>
      </c>
      <c r="AD3792">
        <v>10</v>
      </c>
      <c r="AE3792">
        <v>0</v>
      </c>
      <c r="AF3792">
        <v>3</v>
      </c>
      <c r="AG3792">
        <v>2</v>
      </c>
      <c r="AH3792">
        <v>0</v>
      </c>
      <c r="AI3792" t="s">
        <v>7632</v>
      </c>
      <c r="AJ3792">
        <v>40.469706000000002</v>
      </c>
      <c r="AK3792" t="s">
        <v>7633</v>
      </c>
      <c r="AL3792">
        <v>-74.383921999999998</v>
      </c>
      <c r="AM3792">
        <v>100</v>
      </c>
      <c r="AN3792">
        <v>1600</v>
      </c>
      <c r="AO3792" t="s">
        <v>115</v>
      </c>
      <c r="AP3792">
        <v>43</v>
      </c>
      <c r="AQ3792">
        <v>111</v>
      </c>
      <c r="AR3792">
        <v>-256</v>
      </c>
      <c r="AZ3792">
        <v>3614</v>
      </c>
      <c r="BA3792">
        <v>1</v>
      </c>
      <c r="BB3792" t="str">
        <f t="shared" si="179"/>
        <v xml:space="preserve">N959MJ  </v>
      </c>
      <c r="BC3792">
        <v>1</v>
      </c>
      <c r="BE3792">
        <v>0</v>
      </c>
      <c r="BF3792">
        <v>0</v>
      </c>
      <c r="BG3792">
        <v>0</v>
      </c>
      <c r="BH3792">
        <v>1850</v>
      </c>
      <c r="BI3792">
        <v>250</v>
      </c>
      <c r="BJ3792">
        <v>1</v>
      </c>
      <c r="BK3792">
        <v>1</v>
      </c>
      <c r="BL3792">
        <v>1</v>
      </c>
      <c r="BM3792">
        <v>0</v>
      </c>
      <c r="BP3792">
        <v>0</v>
      </c>
      <c r="BQ3792">
        <v>0</v>
      </c>
      <c r="BX3792" t="str">
        <f>"14:53:35.594"</f>
        <v>14:53:35.594</v>
      </c>
      <c r="BY3792" t="str">
        <f>"594918153"</f>
        <v>594918153</v>
      </c>
      <c r="CL3792">
        <v>0</v>
      </c>
      <c r="CM3792">
        <v>2</v>
      </c>
      <c r="CN3792">
        <v>0</v>
      </c>
      <c r="CO3792">
        <v>2</v>
      </c>
      <c r="CP3792">
        <v>0</v>
      </c>
      <c r="CQ3792">
        <v>6</v>
      </c>
      <c r="CR3792" t="s">
        <v>116</v>
      </c>
      <c r="CS3792">
        <v>38</v>
      </c>
      <c r="CT3792">
        <v>1</v>
      </c>
      <c r="CU3792" t="s">
        <v>4719</v>
      </c>
      <c r="CV3792" t="s">
        <v>4720</v>
      </c>
      <c r="CY3792">
        <v>12353780</v>
      </c>
      <c r="CZ3792" t="s">
        <v>119</v>
      </c>
    </row>
    <row r="3793" spans="1:104" x14ac:dyDescent="0.25">
      <c r="A3793" t="str">
        <f>"14:53:36.789"</f>
        <v>14:53:36.789</v>
      </c>
      <c r="B3793" t="s">
        <v>108</v>
      </c>
      <c r="C3793" t="str">
        <f t="shared" si="178"/>
        <v>ffdfd3c0</v>
      </c>
      <c r="D3793" t="s">
        <v>109</v>
      </c>
      <c r="E3793">
        <v>4</v>
      </c>
      <c r="F3793">
        <v>1004</v>
      </c>
      <c r="G3793" t="s">
        <v>110</v>
      </c>
      <c r="J3793" t="s">
        <v>111</v>
      </c>
      <c r="K3793">
        <v>0</v>
      </c>
      <c r="L3793">
        <v>3</v>
      </c>
      <c r="M3793">
        <v>0</v>
      </c>
      <c r="N3793">
        <v>2</v>
      </c>
      <c r="O3793">
        <v>1</v>
      </c>
      <c r="P3793">
        <v>0</v>
      </c>
      <c r="Q3793">
        <v>0</v>
      </c>
      <c r="R3793" t="s">
        <v>112</v>
      </c>
      <c r="S3793" t="str">
        <f>"14:53:36.609"</f>
        <v>14:53:36.609</v>
      </c>
      <c r="T3793" t="str">
        <f>"14:53:36.211"</f>
        <v>14:53:36.211</v>
      </c>
      <c r="U3793" t="str">
        <f t="shared" si="177"/>
        <v>ad5732</v>
      </c>
      <c r="V3793">
        <v>0</v>
      </c>
      <c r="W3793">
        <v>0</v>
      </c>
      <c r="X3793">
        <v>1</v>
      </c>
      <c r="Z3793">
        <v>0</v>
      </c>
      <c r="AA3793">
        <v>9</v>
      </c>
      <c r="AB3793">
        <v>3</v>
      </c>
      <c r="AC3793">
        <v>0</v>
      </c>
      <c r="AD3793">
        <v>10</v>
      </c>
      <c r="AE3793">
        <v>0</v>
      </c>
      <c r="AF3793">
        <v>3</v>
      </c>
      <c r="AG3793">
        <v>2</v>
      </c>
      <c r="AH3793">
        <v>0</v>
      </c>
      <c r="AI3793" t="s">
        <v>7634</v>
      </c>
      <c r="AJ3793">
        <v>40.470243000000004</v>
      </c>
      <c r="AK3793" t="s">
        <v>7635</v>
      </c>
      <c r="AL3793">
        <v>-74.383600000000001</v>
      </c>
      <c r="AM3793">
        <v>100</v>
      </c>
      <c r="AN3793">
        <v>1600</v>
      </c>
      <c r="AO3793" t="s">
        <v>115</v>
      </c>
      <c r="AP3793">
        <v>45</v>
      </c>
      <c r="AQ3793">
        <v>110</v>
      </c>
      <c r="AR3793">
        <v>-640</v>
      </c>
      <c r="AZ3793">
        <v>3614</v>
      </c>
      <c r="BA3793">
        <v>1</v>
      </c>
      <c r="BB3793" t="str">
        <f t="shared" si="179"/>
        <v xml:space="preserve">N959MJ  </v>
      </c>
      <c r="BC3793">
        <v>1</v>
      </c>
      <c r="BE3793">
        <v>0</v>
      </c>
      <c r="BF3793">
        <v>0</v>
      </c>
      <c r="BG3793">
        <v>0</v>
      </c>
      <c r="BH3793">
        <v>1850</v>
      </c>
      <c r="BI3793">
        <v>250</v>
      </c>
      <c r="BJ3793">
        <v>1</v>
      </c>
      <c r="BK3793">
        <v>1</v>
      </c>
      <c r="BL3793">
        <v>1</v>
      </c>
      <c r="BM3793">
        <v>0</v>
      </c>
      <c r="BP3793">
        <v>0</v>
      </c>
      <c r="BQ3793">
        <v>0</v>
      </c>
      <c r="BX3793" t="str">
        <f>"14:53:36.609"</f>
        <v>14:53:36.609</v>
      </c>
      <c r="BY3793" t="str">
        <f>"610744157"</f>
        <v>610744157</v>
      </c>
      <c r="CL3793">
        <v>0</v>
      </c>
      <c r="CM3793">
        <v>2</v>
      </c>
      <c r="CN3793">
        <v>0</v>
      </c>
      <c r="CO3793">
        <v>2</v>
      </c>
      <c r="CP3793">
        <v>0</v>
      </c>
      <c r="CQ3793">
        <v>7</v>
      </c>
      <c r="CR3793" t="s">
        <v>116</v>
      </c>
      <c r="CS3793">
        <v>38</v>
      </c>
      <c r="CT3793">
        <v>0</v>
      </c>
      <c r="CU3793" t="s">
        <v>4719</v>
      </c>
      <c r="CV3793" t="s">
        <v>4720</v>
      </c>
      <c r="CY3793">
        <v>8423715</v>
      </c>
      <c r="CZ3793" t="s">
        <v>119</v>
      </c>
    </row>
    <row r="3794" spans="1:104" x14ac:dyDescent="0.25">
      <c r="A3794" t="str">
        <f>"14:53:37.852"</f>
        <v>14:53:37.852</v>
      </c>
      <c r="B3794" t="s">
        <v>108</v>
      </c>
      <c r="C3794" t="str">
        <f t="shared" si="178"/>
        <v>ffdfd3c0</v>
      </c>
      <c r="D3794" t="s">
        <v>109</v>
      </c>
      <c r="E3794">
        <v>4</v>
      </c>
      <c r="F3794">
        <v>1004</v>
      </c>
      <c r="G3794" t="s">
        <v>110</v>
      </c>
      <c r="J3794" t="s">
        <v>111</v>
      </c>
      <c r="K3794">
        <v>0</v>
      </c>
      <c r="L3794">
        <v>3</v>
      </c>
      <c r="M3794">
        <v>0</v>
      </c>
      <c r="N3794">
        <v>2</v>
      </c>
      <c r="O3794">
        <v>1</v>
      </c>
      <c r="P3794">
        <v>0</v>
      </c>
      <c r="Q3794">
        <v>0</v>
      </c>
      <c r="R3794" t="s">
        <v>112</v>
      </c>
      <c r="S3794" t="str">
        <f>"14:53:37.680"</f>
        <v>14:53:37.680</v>
      </c>
      <c r="T3794" t="str">
        <f>"14:53:37.180"</f>
        <v>14:53:37.180</v>
      </c>
      <c r="U3794" t="str">
        <f t="shared" si="177"/>
        <v>ad5732</v>
      </c>
      <c r="V3794">
        <v>0</v>
      </c>
      <c r="W3794">
        <v>0</v>
      </c>
      <c r="X3794">
        <v>1</v>
      </c>
      <c r="Z3794">
        <v>0</v>
      </c>
      <c r="AA3794">
        <v>9</v>
      </c>
      <c r="AB3794">
        <v>3</v>
      </c>
      <c r="AC3794">
        <v>0</v>
      </c>
      <c r="AD3794">
        <v>10</v>
      </c>
      <c r="AE3794">
        <v>0</v>
      </c>
      <c r="AF3794">
        <v>3</v>
      </c>
      <c r="AG3794">
        <v>2</v>
      </c>
      <c r="AH3794">
        <v>0</v>
      </c>
      <c r="AI3794" t="s">
        <v>7636</v>
      </c>
      <c r="AJ3794">
        <v>40.470799999999997</v>
      </c>
      <c r="AK3794" t="s">
        <v>7637</v>
      </c>
      <c r="AL3794">
        <v>-74.383256000000003</v>
      </c>
      <c r="AM3794">
        <v>100</v>
      </c>
      <c r="AN3794">
        <v>1600</v>
      </c>
      <c r="AO3794" t="s">
        <v>115</v>
      </c>
      <c r="AP3794">
        <v>48</v>
      </c>
      <c r="AQ3794">
        <v>110</v>
      </c>
      <c r="AR3794">
        <v>-832</v>
      </c>
      <c r="AZ3794">
        <v>3614</v>
      </c>
      <c r="BA3794">
        <v>1</v>
      </c>
      <c r="BB3794" t="str">
        <f t="shared" si="179"/>
        <v xml:space="preserve">N959MJ  </v>
      </c>
      <c r="BC3794">
        <v>1</v>
      </c>
      <c r="BE3794">
        <v>0</v>
      </c>
      <c r="BF3794">
        <v>0</v>
      </c>
      <c r="BG3794">
        <v>0</v>
      </c>
      <c r="BH3794">
        <v>1850</v>
      </c>
      <c r="BI3794">
        <v>250</v>
      </c>
      <c r="BJ3794">
        <v>1</v>
      </c>
      <c r="BK3794">
        <v>1</v>
      </c>
      <c r="BL3794">
        <v>1</v>
      </c>
      <c r="BM3794">
        <v>0</v>
      </c>
      <c r="BP3794">
        <v>0</v>
      </c>
      <c r="BQ3794">
        <v>0</v>
      </c>
      <c r="BX3794" t="str">
        <f>"14:53:37.680"</f>
        <v>14:53:37.680</v>
      </c>
      <c r="BY3794" t="str">
        <f>"680716638"</f>
        <v>680716638</v>
      </c>
      <c r="CL3794">
        <v>0</v>
      </c>
      <c r="CM3794">
        <v>2</v>
      </c>
      <c r="CN3794">
        <v>0</v>
      </c>
      <c r="CO3794">
        <v>2</v>
      </c>
      <c r="CP3794">
        <v>0</v>
      </c>
      <c r="CQ3794">
        <v>6</v>
      </c>
      <c r="CR3794" t="s">
        <v>116</v>
      </c>
      <c r="CS3794">
        <v>409</v>
      </c>
      <c r="CT3794">
        <v>1</v>
      </c>
      <c r="CU3794" t="s">
        <v>5087</v>
      </c>
      <c r="CV3794" t="s">
        <v>5088</v>
      </c>
      <c r="CY3794">
        <v>4941266</v>
      </c>
      <c r="CZ3794" t="s">
        <v>119</v>
      </c>
    </row>
    <row r="3795" spans="1:104" x14ac:dyDescent="0.25">
      <c r="A3795" t="str">
        <f>"14:53:38.813"</f>
        <v>14:53:38.813</v>
      </c>
      <c r="B3795" t="s">
        <v>108</v>
      </c>
      <c r="C3795" t="str">
        <f t="shared" si="178"/>
        <v>ffdfd3c0</v>
      </c>
      <c r="D3795" t="s">
        <v>109</v>
      </c>
      <c r="E3795">
        <v>4</v>
      </c>
      <c r="F3795">
        <v>1004</v>
      </c>
      <c r="G3795" t="s">
        <v>110</v>
      </c>
      <c r="J3795" t="s">
        <v>111</v>
      </c>
      <c r="K3795">
        <v>0</v>
      </c>
      <c r="L3795">
        <v>3</v>
      </c>
      <c r="M3795">
        <v>0</v>
      </c>
      <c r="N3795">
        <v>2</v>
      </c>
      <c r="O3795">
        <v>1</v>
      </c>
      <c r="P3795">
        <v>0</v>
      </c>
      <c r="Q3795">
        <v>0</v>
      </c>
      <c r="R3795" t="s">
        <v>112</v>
      </c>
      <c r="S3795" t="str">
        <f>"14:53:38.617"</f>
        <v>14:53:38.617</v>
      </c>
      <c r="T3795" t="str">
        <f>"14:53:38.219"</f>
        <v>14:53:38.219</v>
      </c>
      <c r="U3795" t="str">
        <f t="shared" si="177"/>
        <v>ad5732</v>
      </c>
      <c r="V3795">
        <v>0</v>
      </c>
      <c r="W3795">
        <v>0</v>
      </c>
      <c r="X3795">
        <v>1</v>
      </c>
      <c r="Z3795">
        <v>0</v>
      </c>
      <c r="AA3795">
        <v>9</v>
      </c>
      <c r="AB3795">
        <v>3</v>
      </c>
      <c r="AC3795">
        <v>0</v>
      </c>
      <c r="AD3795">
        <v>10</v>
      </c>
      <c r="AE3795">
        <v>0</v>
      </c>
      <c r="AF3795">
        <v>3</v>
      </c>
      <c r="AG3795">
        <v>2</v>
      </c>
      <c r="AH3795">
        <v>0</v>
      </c>
      <c r="AI3795" t="s">
        <v>7638</v>
      </c>
      <c r="AJ3795">
        <v>40.471251000000002</v>
      </c>
      <c r="AK3795" t="s">
        <v>7639</v>
      </c>
      <c r="AL3795">
        <v>-74.382998999999998</v>
      </c>
      <c r="AM3795">
        <v>100</v>
      </c>
      <c r="AN3795">
        <v>1600</v>
      </c>
      <c r="AO3795" t="s">
        <v>115</v>
      </c>
      <c r="AP3795">
        <v>51</v>
      </c>
      <c r="AQ3795">
        <v>110</v>
      </c>
      <c r="AR3795">
        <v>-832</v>
      </c>
      <c r="AZ3795">
        <v>3614</v>
      </c>
      <c r="BA3795">
        <v>1</v>
      </c>
      <c r="BB3795" t="str">
        <f t="shared" si="179"/>
        <v xml:space="preserve">N959MJ  </v>
      </c>
      <c r="BC3795">
        <v>1</v>
      </c>
      <c r="BE3795">
        <v>0</v>
      </c>
      <c r="BF3795">
        <v>0</v>
      </c>
      <c r="BG3795">
        <v>0</v>
      </c>
      <c r="BH3795">
        <v>1825</v>
      </c>
      <c r="BI3795">
        <v>225</v>
      </c>
      <c r="BJ3795">
        <v>1</v>
      </c>
      <c r="BK3795">
        <v>1</v>
      </c>
      <c r="BL3795">
        <v>1</v>
      </c>
      <c r="BM3795">
        <v>0</v>
      </c>
      <c r="BP3795">
        <v>0</v>
      </c>
      <c r="BQ3795">
        <v>0</v>
      </c>
      <c r="BX3795" t="str">
        <f>"14:53:38.625"</f>
        <v>14:53:38.625</v>
      </c>
      <c r="BY3795" t="str">
        <f>"621096625"</f>
        <v>621096625</v>
      </c>
      <c r="CL3795">
        <v>0</v>
      </c>
      <c r="CM3795">
        <v>2</v>
      </c>
      <c r="CN3795">
        <v>0</v>
      </c>
      <c r="CO3795">
        <v>2</v>
      </c>
      <c r="CP3795">
        <v>0</v>
      </c>
      <c r="CQ3795">
        <v>7</v>
      </c>
      <c r="CR3795" t="s">
        <v>116</v>
      </c>
      <c r="CS3795">
        <v>38</v>
      </c>
      <c r="CT3795">
        <v>0</v>
      </c>
      <c r="CU3795" t="s">
        <v>4719</v>
      </c>
      <c r="CV3795" t="s">
        <v>4720</v>
      </c>
      <c r="CY3795">
        <v>8426797</v>
      </c>
      <c r="CZ3795" t="s">
        <v>119</v>
      </c>
    </row>
    <row r="3796" spans="1:104" x14ac:dyDescent="0.25">
      <c r="A3796" t="str">
        <f>"14:53:39.617"</f>
        <v>14:53:39.617</v>
      </c>
      <c r="B3796" t="s">
        <v>108</v>
      </c>
      <c r="C3796" t="str">
        <f t="shared" si="178"/>
        <v>ffdfd3c0</v>
      </c>
      <c r="D3796" t="s">
        <v>109</v>
      </c>
      <c r="E3796">
        <v>4</v>
      </c>
      <c r="F3796">
        <v>1004</v>
      </c>
      <c r="G3796" t="s">
        <v>110</v>
      </c>
      <c r="J3796" t="s">
        <v>111</v>
      </c>
      <c r="K3796">
        <v>0</v>
      </c>
      <c r="L3796">
        <v>3</v>
      </c>
      <c r="M3796">
        <v>0</v>
      </c>
      <c r="N3796">
        <v>2</v>
      </c>
      <c r="O3796">
        <v>1</v>
      </c>
      <c r="P3796">
        <v>0</v>
      </c>
      <c r="Q3796">
        <v>0</v>
      </c>
      <c r="R3796" t="s">
        <v>112</v>
      </c>
      <c r="S3796" t="str">
        <f>"14:53:39.453"</f>
        <v>14:53:39.453</v>
      </c>
      <c r="T3796" t="str">
        <f>"14:53:39.055"</f>
        <v>14:53:39.055</v>
      </c>
      <c r="U3796" t="str">
        <f t="shared" si="177"/>
        <v>ad5732</v>
      </c>
      <c r="V3796">
        <v>0</v>
      </c>
      <c r="W3796">
        <v>0</v>
      </c>
      <c r="X3796">
        <v>1</v>
      </c>
      <c r="Z3796">
        <v>0</v>
      </c>
      <c r="AA3796">
        <v>9</v>
      </c>
      <c r="AB3796">
        <v>3</v>
      </c>
      <c r="AC3796">
        <v>0</v>
      </c>
      <c r="AD3796">
        <v>10</v>
      </c>
      <c r="AE3796">
        <v>0</v>
      </c>
      <c r="AF3796">
        <v>3</v>
      </c>
      <c r="AG3796">
        <v>2</v>
      </c>
      <c r="AH3796">
        <v>0</v>
      </c>
      <c r="AI3796" t="s">
        <v>7640</v>
      </c>
      <c r="AJ3796">
        <v>40.471722999999997</v>
      </c>
      <c r="AK3796" t="s">
        <v>7641</v>
      </c>
      <c r="AL3796">
        <v>-74.382677000000001</v>
      </c>
      <c r="AM3796">
        <v>100</v>
      </c>
      <c r="AN3796">
        <v>1500</v>
      </c>
      <c r="AO3796" t="s">
        <v>115</v>
      </c>
      <c r="AP3796">
        <v>53</v>
      </c>
      <c r="AQ3796">
        <v>110</v>
      </c>
      <c r="AR3796">
        <v>-896</v>
      </c>
      <c r="AZ3796">
        <v>3614</v>
      </c>
      <c r="BA3796">
        <v>1</v>
      </c>
      <c r="BB3796" t="str">
        <f t="shared" si="179"/>
        <v xml:space="preserve">N959MJ  </v>
      </c>
      <c r="BC3796">
        <v>1</v>
      </c>
      <c r="BE3796">
        <v>0</v>
      </c>
      <c r="BF3796">
        <v>0</v>
      </c>
      <c r="BG3796">
        <v>0</v>
      </c>
      <c r="BH3796">
        <v>1900</v>
      </c>
      <c r="BI3796">
        <v>400</v>
      </c>
      <c r="BJ3796">
        <v>1</v>
      </c>
      <c r="BK3796">
        <v>1</v>
      </c>
      <c r="BL3796">
        <v>1</v>
      </c>
      <c r="BM3796">
        <v>0</v>
      </c>
      <c r="BP3796">
        <v>0</v>
      </c>
      <c r="BQ3796">
        <v>0</v>
      </c>
      <c r="BX3796" t="str">
        <f>"14:53:39.453"</f>
        <v>14:53:39.453</v>
      </c>
      <c r="BY3796" t="str">
        <f>"453375138"</f>
        <v>453375138</v>
      </c>
      <c r="CL3796">
        <v>0</v>
      </c>
      <c r="CM3796">
        <v>2</v>
      </c>
      <c r="CN3796">
        <v>0</v>
      </c>
      <c r="CO3796">
        <v>2</v>
      </c>
      <c r="CP3796">
        <v>0</v>
      </c>
      <c r="CQ3796">
        <v>6</v>
      </c>
      <c r="CR3796" t="s">
        <v>116</v>
      </c>
      <c r="CS3796">
        <v>305</v>
      </c>
      <c r="CT3796">
        <v>3</v>
      </c>
      <c r="CU3796" t="s">
        <v>6425</v>
      </c>
      <c r="CV3796" t="s">
        <v>6426</v>
      </c>
      <c r="CY3796">
        <v>6408668</v>
      </c>
      <c r="CZ3796" t="s">
        <v>119</v>
      </c>
    </row>
    <row r="3797" spans="1:104" x14ac:dyDescent="0.25">
      <c r="A3797" t="str">
        <f>"14:53:40.633"</f>
        <v>14:53:40.633</v>
      </c>
      <c r="B3797" t="s">
        <v>108</v>
      </c>
      <c r="C3797" t="str">
        <f t="shared" si="178"/>
        <v>ffdfd3c0</v>
      </c>
      <c r="D3797" t="s">
        <v>109</v>
      </c>
      <c r="E3797">
        <v>4</v>
      </c>
      <c r="F3797">
        <v>1004</v>
      </c>
      <c r="G3797" t="s">
        <v>110</v>
      </c>
      <c r="J3797" t="s">
        <v>111</v>
      </c>
      <c r="K3797">
        <v>0</v>
      </c>
      <c r="L3797">
        <v>3</v>
      </c>
      <c r="M3797">
        <v>0</v>
      </c>
      <c r="N3797">
        <v>2</v>
      </c>
      <c r="O3797">
        <v>1</v>
      </c>
      <c r="P3797">
        <v>0</v>
      </c>
      <c r="Q3797">
        <v>0</v>
      </c>
      <c r="R3797" t="s">
        <v>112</v>
      </c>
      <c r="S3797" t="str">
        <f>"14:53:40.391"</f>
        <v>14:53:40.391</v>
      </c>
      <c r="T3797" t="str">
        <f>"14:53:39.992"</f>
        <v>14:53:39.992</v>
      </c>
      <c r="U3797" t="str">
        <f t="shared" si="177"/>
        <v>ad5732</v>
      </c>
      <c r="V3797">
        <v>0</v>
      </c>
      <c r="W3797">
        <v>0</v>
      </c>
      <c r="X3797">
        <v>1</v>
      </c>
      <c r="Z3797">
        <v>0</v>
      </c>
      <c r="AA3797">
        <v>9</v>
      </c>
      <c r="AB3797">
        <v>3</v>
      </c>
      <c r="AC3797">
        <v>0</v>
      </c>
      <c r="AD3797">
        <v>10</v>
      </c>
      <c r="AE3797">
        <v>0</v>
      </c>
      <c r="AF3797">
        <v>0</v>
      </c>
      <c r="AG3797">
        <v>2</v>
      </c>
      <c r="AH3797">
        <v>0</v>
      </c>
      <c r="AI3797" t="s">
        <v>7642</v>
      </c>
      <c r="AJ3797">
        <v>40.472174000000003</v>
      </c>
      <c r="AK3797" t="s">
        <v>7643</v>
      </c>
      <c r="AL3797">
        <v>-74.382377000000005</v>
      </c>
      <c r="AM3797">
        <v>100</v>
      </c>
      <c r="AN3797">
        <v>1500</v>
      </c>
      <c r="AO3797" t="s">
        <v>115</v>
      </c>
      <c r="AP3797">
        <v>55</v>
      </c>
      <c r="AQ3797">
        <v>110</v>
      </c>
      <c r="AR3797">
        <v>-896</v>
      </c>
      <c r="AZ3797">
        <v>3614</v>
      </c>
      <c r="BA3797">
        <v>1</v>
      </c>
      <c r="BB3797" t="str">
        <f t="shared" si="179"/>
        <v xml:space="preserve">N959MJ  </v>
      </c>
      <c r="BC3797">
        <v>1</v>
      </c>
      <c r="BE3797">
        <v>0</v>
      </c>
      <c r="BF3797">
        <v>0</v>
      </c>
      <c r="BG3797">
        <v>0</v>
      </c>
      <c r="BH3797">
        <v>1800</v>
      </c>
      <c r="BI3797">
        <v>300</v>
      </c>
      <c r="BJ3797">
        <v>1</v>
      </c>
      <c r="BK3797">
        <v>1</v>
      </c>
      <c r="BL3797">
        <v>1</v>
      </c>
      <c r="BM3797">
        <v>0</v>
      </c>
      <c r="BP3797">
        <v>0</v>
      </c>
      <c r="BQ3797">
        <v>0</v>
      </c>
      <c r="BX3797" t="str">
        <f>"14:53:40.391"</f>
        <v>14:53:40.391</v>
      </c>
      <c r="BY3797" t="str">
        <f>"392238457"</f>
        <v>392238457</v>
      </c>
      <c r="CL3797">
        <v>2</v>
      </c>
      <c r="CM3797">
        <v>2</v>
      </c>
      <c r="CN3797">
        <v>0</v>
      </c>
      <c r="CO3797">
        <v>2</v>
      </c>
      <c r="CP3797">
        <v>0</v>
      </c>
      <c r="CQ3797">
        <v>6</v>
      </c>
      <c r="CR3797" t="s">
        <v>116</v>
      </c>
      <c r="CS3797">
        <v>38</v>
      </c>
      <c r="CT3797">
        <v>0</v>
      </c>
      <c r="CU3797" t="s">
        <v>4719</v>
      </c>
      <c r="CV3797" t="s">
        <v>4720</v>
      </c>
      <c r="CY3797">
        <v>8429708</v>
      </c>
      <c r="CZ3797" t="s">
        <v>119</v>
      </c>
    </row>
    <row r="3798" spans="1:104" x14ac:dyDescent="0.25">
      <c r="A3798" t="str">
        <f>"14:53:41.688"</f>
        <v>14:53:41.688</v>
      </c>
      <c r="B3798" t="s">
        <v>108</v>
      </c>
      <c r="C3798" t="str">
        <f t="shared" si="178"/>
        <v>ffdfd3c0</v>
      </c>
      <c r="D3798" t="s">
        <v>109</v>
      </c>
      <c r="E3798">
        <v>4</v>
      </c>
      <c r="F3798">
        <v>1004</v>
      </c>
      <c r="G3798" t="s">
        <v>110</v>
      </c>
      <c r="J3798" t="s">
        <v>111</v>
      </c>
      <c r="K3798">
        <v>0</v>
      </c>
      <c r="L3798">
        <v>3</v>
      </c>
      <c r="M3798">
        <v>0</v>
      </c>
      <c r="N3798">
        <v>2</v>
      </c>
      <c r="O3798">
        <v>1</v>
      </c>
      <c r="P3798">
        <v>0</v>
      </c>
      <c r="Q3798">
        <v>0</v>
      </c>
      <c r="R3798" t="s">
        <v>112</v>
      </c>
      <c r="S3798" t="str">
        <f>"14:53:41.516"</f>
        <v>14:53:41.516</v>
      </c>
      <c r="T3798" t="str">
        <f>"14:53:40.414"</f>
        <v>14:53:40.414</v>
      </c>
      <c r="U3798" t="str">
        <f t="shared" si="177"/>
        <v>ad5732</v>
      </c>
      <c r="V3798">
        <v>0</v>
      </c>
      <c r="W3798">
        <v>0</v>
      </c>
      <c r="X3798">
        <v>1</v>
      </c>
      <c r="Z3798">
        <v>0</v>
      </c>
      <c r="AA3798">
        <v>9</v>
      </c>
      <c r="AB3798">
        <v>3</v>
      </c>
      <c r="AC3798">
        <v>0</v>
      </c>
      <c r="AD3798">
        <v>10</v>
      </c>
      <c r="AE3798">
        <v>0</v>
      </c>
      <c r="AF3798">
        <v>0</v>
      </c>
      <c r="AG3798">
        <v>2</v>
      </c>
      <c r="AH3798">
        <v>0</v>
      </c>
      <c r="AI3798" t="s">
        <v>7644</v>
      </c>
      <c r="AJ3798">
        <v>40.472752999999997</v>
      </c>
      <c r="AK3798" t="s">
        <v>7645</v>
      </c>
      <c r="AL3798">
        <v>-74.381990000000002</v>
      </c>
      <c r="AM3798">
        <v>100</v>
      </c>
      <c r="AN3798">
        <v>1500</v>
      </c>
      <c r="AO3798" t="s">
        <v>115</v>
      </c>
      <c r="AP3798">
        <v>56</v>
      </c>
      <c r="AQ3798">
        <v>110</v>
      </c>
      <c r="AR3798">
        <v>-896</v>
      </c>
      <c r="AZ3798">
        <v>3614</v>
      </c>
      <c r="BA3798">
        <v>1</v>
      </c>
      <c r="BB3798" t="str">
        <f t="shared" si="179"/>
        <v xml:space="preserve">N959MJ  </v>
      </c>
      <c r="BC3798">
        <v>1</v>
      </c>
      <c r="BE3798">
        <v>0</v>
      </c>
      <c r="BF3798">
        <v>0</v>
      </c>
      <c r="BG3798">
        <v>0</v>
      </c>
      <c r="BH3798">
        <v>1800</v>
      </c>
      <c r="BI3798">
        <v>300</v>
      </c>
      <c r="BJ3798">
        <v>1</v>
      </c>
      <c r="BK3798">
        <v>1</v>
      </c>
      <c r="BL3798">
        <v>1</v>
      </c>
      <c r="BM3798">
        <v>0</v>
      </c>
      <c r="BP3798">
        <v>0</v>
      </c>
      <c r="BQ3798">
        <v>0</v>
      </c>
      <c r="BX3798" t="str">
        <f>"14:53:41.523"</f>
        <v>14:53:41.523</v>
      </c>
      <c r="BY3798" t="str">
        <f>"522710213"</f>
        <v>522710213</v>
      </c>
      <c r="CL3798">
        <v>2</v>
      </c>
      <c r="CM3798">
        <v>2</v>
      </c>
      <c r="CN3798">
        <v>0</v>
      </c>
      <c r="CO3798">
        <v>2</v>
      </c>
      <c r="CP3798">
        <v>0</v>
      </c>
      <c r="CQ3798">
        <v>6</v>
      </c>
      <c r="CR3798" t="s">
        <v>116</v>
      </c>
      <c r="CS3798">
        <v>305</v>
      </c>
      <c r="CT3798">
        <v>3</v>
      </c>
      <c r="CU3798" t="s">
        <v>6425</v>
      </c>
      <c r="CV3798" t="s">
        <v>6426</v>
      </c>
      <c r="CY3798">
        <v>6412959</v>
      </c>
      <c r="CZ3798" t="s">
        <v>119</v>
      </c>
    </row>
    <row r="3799" spans="1:104" x14ac:dyDescent="0.25">
      <c r="A3799" t="str">
        <f>"14:53:42.805"</f>
        <v>14:53:42.805</v>
      </c>
      <c r="B3799" t="s">
        <v>108</v>
      </c>
      <c r="C3799" t="str">
        <f t="shared" si="178"/>
        <v>ffdfd3c0</v>
      </c>
      <c r="D3799" t="s">
        <v>109</v>
      </c>
      <c r="E3799">
        <v>4</v>
      </c>
      <c r="F3799">
        <v>1004</v>
      </c>
      <c r="G3799" t="s">
        <v>110</v>
      </c>
      <c r="J3799" t="s">
        <v>111</v>
      </c>
      <c r="K3799">
        <v>0</v>
      </c>
      <c r="L3799">
        <v>3</v>
      </c>
      <c r="M3799">
        <v>0</v>
      </c>
      <c r="N3799">
        <v>2</v>
      </c>
      <c r="O3799">
        <v>1</v>
      </c>
      <c r="P3799">
        <v>0</v>
      </c>
      <c r="Q3799">
        <v>0</v>
      </c>
      <c r="R3799" t="s">
        <v>112</v>
      </c>
      <c r="S3799" t="str">
        <f>"14:53:42.594"</f>
        <v>14:53:42.594</v>
      </c>
      <c r="T3799" t="str">
        <f>"14:53:42.094"</f>
        <v>14:53:42.094</v>
      </c>
      <c r="U3799" t="str">
        <f t="shared" si="177"/>
        <v>ad5732</v>
      </c>
      <c r="V3799">
        <v>0</v>
      </c>
      <c r="W3799">
        <v>0</v>
      </c>
      <c r="X3799">
        <v>1</v>
      </c>
      <c r="Z3799">
        <v>0</v>
      </c>
      <c r="AA3799">
        <v>9</v>
      </c>
      <c r="AB3799">
        <v>3</v>
      </c>
      <c r="AC3799">
        <v>0</v>
      </c>
      <c r="AD3799">
        <v>10</v>
      </c>
      <c r="AE3799">
        <v>0</v>
      </c>
      <c r="AF3799">
        <v>0</v>
      </c>
      <c r="AG3799">
        <v>2</v>
      </c>
      <c r="AH3799">
        <v>0</v>
      </c>
      <c r="AI3799" t="s">
        <v>7646</v>
      </c>
      <c r="AJ3799">
        <v>40.473311000000002</v>
      </c>
      <c r="AK3799" t="s">
        <v>7647</v>
      </c>
      <c r="AL3799">
        <v>-74.381583000000006</v>
      </c>
      <c r="AM3799">
        <v>100</v>
      </c>
      <c r="AN3799">
        <v>1500</v>
      </c>
      <c r="AO3799" t="s">
        <v>115</v>
      </c>
      <c r="AP3799">
        <v>59</v>
      </c>
      <c r="AQ3799">
        <v>110</v>
      </c>
      <c r="AR3799">
        <v>-896</v>
      </c>
      <c r="AZ3799">
        <v>3614</v>
      </c>
      <c r="BA3799">
        <v>1</v>
      </c>
      <c r="BB3799" t="str">
        <f t="shared" si="179"/>
        <v xml:space="preserve">N959MJ  </v>
      </c>
      <c r="BC3799">
        <v>1</v>
      </c>
      <c r="BE3799">
        <v>0</v>
      </c>
      <c r="BF3799">
        <v>0</v>
      </c>
      <c r="BG3799">
        <v>0</v>
      </c>
      <c r="BH3799">
        <v>1775</v>
      </c>
      <c r="BI3799">
        <v>275</v>
      </c>
      <c r="BJ3799">
        <v>1</v>
      </c>
      <c r="BK3799">
        <v>1</v>
      </c>
      <c r="BL3799">
        <v>1</v>
      </c>
      <c r="BM3799">
        <v>0</v>
      </c>
      <c r="BP3799">
        <v>0</v>
      </c>
      <c r="BQ3799">
        <v>0</v>
      </c>
      <c r="BX3799" t="str">
        <f>"14:53:42.594"</f>
        <v>14:53:42.594</v>
      </c>
      <c r="BY3799" t="str">
        <f>"597519376"</f>
        <v>597519376</v>
      </c>
      <c r="CL3799">
        <v>2</v>
      </c>
      <c r="CM3799">
        <v>2</v>
      </c>
      <c r="CN3799">
        <v>0</v>
      </c>
      <c r="CO3799">
        <v>2</v>
      </c>
      <c r="CP3799">
        <v>0</v>
      </c>
      <c r="CQ3799">
        <v>7</v>
      </c>
      <c r="CR3799" t="s">
        <v>116</v>
      </c>
      <c r="CS3799">
        <v>305</v>
      </c>
      <c r="CT3799">
        <v>3</v>
      </c>
      <c r="CU3799" t="s">
        <v>6425</v>
      </c>
      <c r="CV3799" t="s">
        <v>6426</v>
      </c>
      <c r="CY3799">
        <v>6415182</v>
      </c>
      <c r="CZ3799" t="s">
        <v>119</v>
      </c>
    </row>
    <row r="3800" spans="1:104" x14ac:dyDescent="0.25">
      <c r="A3800" t="str">
        <f>"14:53:43.758"</f>
        <v>14:53:43.758</v>
      </c>
      <c r="B3800" t="s">
        <v>108</v>
      </c>
      <c r="C3800" t="str">
        <f t="shared" si="178"/>
        <v>ffdfd3c0</v>
      </c>
      <c r="D3800" t="s">
        <v>109</v>
      </c>
      <c r="E3800">
        <v>4</v>
      </c>
      <c r="F3800">
        <v>1004</v>
      </c>
      <c r="G3800" t="s">
        <v>110</v>
      </c>
      <c r="J3800" t="s">
        <v>111</v>
      </c>
      <c r="K3800">
        <v>0</v>
      </c>
      <c r="L3800">
        <v>3</v>
      </c>
      <c r="M3800">
        <v>0</v>
      </c>
      <c r="N3800">
        <v>2</v>
      </c>
      <c r="O3800">
        <v>1</v>
      </c>
      <c r="P3800">
        <v>0</v>
      </c>
      <c r="Q3800">
        <v>0</v>
      </c>
      <c r="R3800" t="s">
        <v>112</v>
      </c>
      <c r="S3800" t="str">
        <f>"14:53:43.570"</f>
        <v>14:53:43.570</v>
      </c>
      <c r="T3800" t="str">
        <f>"14:53:42.672"</f>
        <v>14:53:42.672</v>
      </c>
      <c r="U3800" t="str">
        <f t="shared" si="177"/>
        <v>ad5732</v>
      </c>
      <c r="V3800">
        <v>0</v>
      </c>
      <c r="W3800">
        <v>0</v>
      </c>
      <c r="X3800">
        <v>1</v>
      </c>
      <c r="Z3800">
        <v>0</v>
      </c>
      <c r="AA3800">
        <v>9</v>
      </c>
      <c r="AB3800">
        <v>3</v>
      </c>
      <c r="AC3800">
        <v>0</v>
      </c>
      <c r="AD3800">
        <v>10</v>
      </c>
      <c r="AE3800">
        <v>0</v>
      </c>
      <c r="AF3800">
        <v>0</v>
      </c>
      <c r="AG3800">
        <v>2</v>
      </c>
      <c r="AH3800">
        <v>0</v>
      </c>
      <c r="AI3800" t="s">
        <v>7648</v>
      </c>
      <c r="AJ3800">
        <v>40.473826000000003</v>
      </c>
      <c r="AK3800" t="s">
        <v>7649</v>
      </c>
      <c r="AL3800">
        <v>-74.381218000000004</v>
      </c>
      <c r="AM3800">
        <v>100</v>
      </c>
      <c r="AN3800">
        <v>1500</v>
      </c>
      <c r="AO3800" t="s">
        <v>115</v>
      </c>
      <c r="AP3800">
        <v>60</v>
      </c>
      <c r="AQ3800">
        <v>110</v>
      </c>
      <c r="AR3800">
        <v>-896</v>
      </c>
      <c r="AZ3800">
        <v>3614</v>
      </c>
      <c r="BA3800">
        <v>1</v>
      </c>
      <c r="BB3800" t="str">
        <f t="shared" si="179"/>
        <v xml:space="preserve">N959MJ  </v>
      </c>
      <c r="BC3800">
        <v>1</v>
      </c>
      <c r="BE3800">
        <v>0</v>
      </c>
      <c r="BF3800">
        <v>0</v>
      </c>
      <c r="BG3800">
        <v>0</v>
      </c>
      <c r="BH3800">
        <v>1750</v>
      </c>
      <c r="BI3800">
        <v>250</v>
      </c>
      <c r="BJ3800">
        <v>1</v>
      </c>
      <c r="BK3800">
        <v>1</v>
      </c>
      <c r="BL3800">
        <v>1</v>
      </c>
      <c r="BM3800">
        <v>0</v>
      </c>
      <c r="BP3800">
        <v>0</v>
      </c>
      <c r="BQ3800">
        <v>0</v>
      </c>
      <c r="BX3800" t="str">
        <f>"14:53:43.570"</f>
        <v>14:53:43.570</v>
      </c>
      <c r="BY3800" t="str">
        <f>"570746029"</f>
        <v>570746029</v>
      </c>
      <c r="CL3800">
        <v>2</v>
      </c>
      <c r="CM3800">
        <v>2</v>
      </c>
      <c r="CN3800">
        <v>0</v>
      </c>
      <c r="CO3800">
        <v>2</v>
      </c>
      <c r="CP3800">
        <v>0</v>
      </c>
      <c r="CQ3800">
        <v>7</v>
      </c>
      <c r="CR3800" t="s">
        <v>116</v>
      </c>
      <c r="CS3800">
        <v>305</v>
      </c>
      <c r="CT3800">
        <v>3</v>
      </c>
      <c r="CU3800" t="s">
        <v>6425</v>
      </c>
      <c r="CV3800" t="s">
        <v>6426</v>
      </c>
      <c r="CY3800">
        <v>6417245</v>
      </c>
      <c r="CZ3800" t="s">
        <v>119</v>
      </c>
    </row>
    <row r="3801" spans="1:104" x14ac:dyDescent="0.25">
      <c r="A3801" t="str">
        <f>"14:53:44.820"</f>
        <v>14:53:44.820</v>
      </c>
      <c r="B3801" t="s">
        <v>108</v>
      </c>
      <c r="C3801" t="str">
        <f t="shared" si="178"/>
        <v>ffdfd3c0</v>
      </c>
      <c r="D3801" t="s">
        <v>109</v>
      </c>
      <c r="E3801">
        <v>4</v>
      </c>
      <c r="F3801">
        <v>1004</v>
      </c>
      <c r="G3801" t="s">
        <v>110</v>
      </c>
      <c r="J3801" t="s">
        <v>111</v>
      </c>
      <c r="K3801">
        <v>0</v>
      </c>
      <c r="L3801">
        <v>3</v>
      </c>
      <c r="M3801">
        <v>0</v>
      </c>
      <c r="N3801">
        <v>2</v>
      </c>
      <c r="O3801">
        <v>1</v>
      </c>
      <c r="P3801">
        <v>0</v>
      </c>
      <c r="Q3801">
        <v>0</v>
      </c>
      <c r="R3801" t="s">
        <v>112</v>
      </c>
      <c r="S3801" t="str">
        <f>"14:53:44.609"</f>
        <v>14:53:44.609</v>
      </c>
      <c r="T3801" t="str">
        <f>"14:53:44.211"</f>
        <v>14:53:44.211</v>
      </c>
      <c r="U3801" t="str">
        <f t="shared" si="177"/>
        <v>ad5732</v>
      </c>
      <c r="V3801">
        <v>0</v>
      </c>
      <c r="W3801">
        <v>0</v>
      </c>
      <c r="X3801">
        <v>1</v>
      </c>
      <c r="Z3801">
        <v>0</v>
      </c>
      <c r="AA3801">
        <v>9</v>
      </c>
      <c r="AB3801">
        <v>3</v>
      </c>
      <c r="AC3801">
        <v>0</v>
      </c>
      <c r="AD3801">
        <v>10</v>
      </c>
      <c r="AE3801">
        <v>0</v>
      </c>
      <c r="AF3801">
        <v>0</v>
      </c>
      <c r="AG3801">
        <v>2</v>
      </c>
      <c r="AH3801">
        <v>0</v>
      </c>
      <c r="AI3801" t="s">
        <v>7650</v>
      </c>
      <c r="AJ3801">
        <v>40.474319000000001</v>
      </c>
      <c r="AK3801" t="s">
        <v>7651</v>
      </c>
      <c r="AL3801">
        <v>-74.380853000000002</v>
      </c>
      <c r="AM3801">
        <v>100</v>
      </c>
      <c r="AN3801">
        <v>1500</v>
      </c>
      <c r="AO3801" t="s">
        <v>115</v>
      </c>
      <c r="AP3801">
        <v>62</v>
      </c>
      <c r="AQ3801">
        <v>111</v>
      </c>
      <c r="AR3801">
        <v>-832</v>
      </c>
      <c r="AZ3801">
        <v>3614</v>
      </c>
      <c r="BA3801">
        <v>1</v>
      </c>
      <c r="BB3801" t="str">
        <f t="shared" si="179"/>
        <v xml:space="preserve">N959MJ  </v>
      </c>
      <c r="BC3801">
        <v>1</v>
      </c>
      <c r="BE3801">
        <v>0</v>
      </c>
      <c r="BF3801">
        <v>0</v>
      </c>
      <c r="BG3801">
        <v>0</v>
      </c>
      <c r="BH3801">
        <v>1725</v>
      </c>
      <c r="BI3801">
        <v>225</v>
      </c>
      <c r="BJ3801">
        <v>1</v>
      </c>
      <c r="BK3801">
        <v>1</v>
      </c>
      <c r="BL3801">
        <v>1</v>
      </c>
      <c r="BM3801">
        <v>0</v>
      </c>
      <c r="BP3801">
        <v>0</v>
      </c>
      <c r="BQ3801">
        <v>0</v>
      </c>
      <c r="BX3801" t="str">
        <f>"14:53:44.617"</f>
        <v>14:53:44.617</v>
      </c>
      <c r="BY3801" t="str">
        <f>"616063550"</f>
        <v>616063550</v>
      </c>
      <c r="CL3801">
        <v>2</v>
      </c>
      <c r="CM3801">
        <v>2</v>
      </c>
      <c r="CN3801">
        <v>0</v>
      </c>
      <c r="CO3801">
        <v>2</v>
      </c>
      <c r="CP3801">
        <v>0</v>
      </c>
      <c r="CQ3801">
        <v>7</v>
      </c>
      <c r="CR3801" t="s">
        <v>116</v>
      </c>
      <c r="CS3801">
        <v>305</v>
      </c>
      <c r="CT3801">
        <v>3</v>
      </c>
      <c r="CU3801" t="s">
        <v>6425</v>
      </c>
      <c r="CV3801" t="s">
        <v>6426</v>
      </c>
      <c r="CY3801">
        <v>6419445</v>
      </c>
      <c r="CZ3801" t="s">
        <v>119</v>
      </c>
    </row>
    <row r="3802" spans="1:104" x14ac:dyDescent="0.25">
      <c r="A3802" t="str">
        <f>"14:53:45.781"</f>
        <v>14:53:45.781</v>
      </c>
      <c r="B3802" t="s">
        <v>108</v>
      </c>
      <c r="C3802" t="str">
        <f t="shared" si="178"/>
        <v>ffdfd3c0</v>
      </c>
      <c r="D3802" t="s">
        <v>109</v>
      </c>
      <c r="E3802">
        <v>4</v>
      </c>
      <c r="F3802">
        <v>1004</v>
      </c>
      <c r="G3802" t="s">
        <v>110</v>
      </c>
      <c r="J3802" t="s">
        <v>111</v>
      </c>
      <c r="K3802">
        <v>0</v>
      </c>
      <c r="L3802">
        <v>3</v>
      </c>
      <c r="M3802">
        <v>0</v>
      </c>
      <c r="N3802">
        <v>2</v>
      </c>
      <c r="O3802">
        <v>1</v>
      </c>
      <c r="P3802">
        <v>0</v>
      </c>
      <c r="Q3802">
        <v>0</v>
      </c>
      <c r="R3802" t="s">
        <v>112</v>
      </c>
      <c r="S3802" t="str">
        <f>"14:53:45.586"</f>
        <v>14:53:45.586</v>
      </c>
      <c r="T3802" t="str">
        <f>"14:53:45.086"</f>
        <v>14:53:45.086</v>
      </c>
      <c r="U3802" t="str">
        <f t="shared" si="177"/>
        <v>ad5732</v>
      </c>
      <c r="V3802">
        <v>0</v>
      </c>
      <c r="W3802">
        <v>0</v>
      </c>
      <c r="X3802">
        <v>1</v>
      </c>
      <c r="Z3802">
        <v>0</v>
      </c>
      <c r="AA3802">
        <v>9</v>
      </c>
      <c r="AB3802">
        <v>3</v>
      </c>
      <c r="AC3802">
        <v>0</v>
      </c>
      <c r="AD3802">
        <v>10</v>
      </c>
      <c r="AE3802">
        <v>0</v>
      </c>
      <c r="AF3802">
        <v>0</v>
      </c>
      <c r="AG3802">
        <v>2</v>
      </c>
      <c r="AH3802">
        <v>0</v>
      </c>
      <c r="AI3802" t="s">
        <v>7652</v>
      </c>
      <c r="AJ3802">
        <v>40.474812999999997</v>
      </c>
      <c r="AK3802" t="s">
        <v>7653</v>
      </c>
      <c r="AL3802">
        <v>-74.380488</v>
      </c>
      <c r="AM3802">
        <v>100</v>
      </c>
      <c r="AN3802">
        <v>1500</v>
      </c>
      <c r="AO3802" t="s">
        <v>115</v>
      </c>
      <c r="AP3802">
        <v>62</v>
      </c>
      <c r="AQ3802">
        <v>112</v>
      </c>
      <c r="AR3802">
        <v>-768</v>
      </c>
      <c r="AZ3802">
        <v>3614</v>
      </c>
      <c r="BA3802">
        <v>1</v>
      </c>
      <c r="BB3802" t="str">
        <f t="shared" si="179"/>
        <v xml:space="preserve">N959MJ  </v>
      </c>
      <c r="BC3802">
        <v>1</v>
      </c>
      <c r="BE3802">
        <v>0</v>
      </c>
      <c r="BF3802">
        <v>0</v>
      </c>
      <c r="BG3802">
        <v>0</v>
      </c>
      <c r="BH3802">
        <v>1725</v>
      </c>
      <c r="BI3802">
        <v>225</v>
      </c>
      <c r="BJ3802">
        <v>1</v>
      </c>
      <c r="BK3802">
        <v>1</v>
      </c>
      <c r="BL3802">
        <v>1</v>
      </c>
      <c r="BM3802">
        <v>0</v>
      </c>
      <c r="BP3802">
        <v>0</v>
      </c>
      <c r="BQ3802">
        <v>0</v>
      </c>
      <c r="BX3802" t="str">
        <f>"14:53:45.594"</f>
        <v>14:53:45.594</v>
      </c>
      <c r="BY3802" t="str">
        <f>"592567063"</f>
        <v>592567063</v>
      </c>
      <c r="CL3802">
        <v>2</v>
      </c>
      <c r="CM3802">
        <v>2</v>
      </c>
      <c r="CN3802">
        <v>0</v>
      </c>
      <c r="CO3802">
        <v>2</v>
      </c>
      <c r="CP3802">
        <v>0</v>
      </c>
      <c r="CQ3802">
        <v>7</v>
      </c>
      <c r="CR3802" t="s">
        <v>116</v>
      </c>
      <c r="CS3802">
        <v>305</v>
      </c>
      <c r="CT3802">
        <v>3</v>
      </c>
      <c r="CU3802" t="s">
        <v>6425</v>
      </c>
      <c r="CV3802" t="s">
        <v>6426</v>
      </c>
      <c r="CY3802">
        <v>6421485</v>
      </c>
      <c r="CZ3802" t="s">
        <v>119</v>
      </c>
    </row>
    <row r="3803" spans="1:104" x14ac:dyDescent="0.25">
      <c r="A3803" t="str">
        <f>"14:53:46.641"</f>
        <v>14:53:46.641</v>
      </c>
      <c r="B3803" t="s">
        <v>108</v>
      </c>
      <c r="C3803" t="str">
        <f t="shared" si="178"/>
        <v>ffdfd3c0</v>
      </c>
      <c r="D3803" t="s">
        <v>109</v>
      </c>
      <c r="E3803">
        <v>4</v>
      </c>
      <c r="F3803">
        <v>1004</v>
      </c>
      <c r="G3803" t="s">
        <v>110</v>
      </c>
      <c r="J3803" t="s">
        <v>111</v>
      </c>
      <c r="K3803">
        <v>0</v>
      </c>
      <c r="L3803">
        <v>3</v>
      </c>
      <c r="M3803">
        <v>0</v>
      </c>
      <c r="N3803">
        <v>2</v>
      </c>
      <c r="O3803">
        <v>1</v>
      </c>
      <c r="P3803">
        <v>0</v>
      </c>
      <c r="Q3803">
        <v>0</v>
      </c>
      <c r="R3803" t="s">
        <v>112</v>
      </c>
      <c r="S3803" t="str">
        <f>"14:53:46.477"</f>
        <v>14:53:46.477</v>
      </c>
      <c r="T3803" t="str">
        <f>"14:53:46.078"</f>
        <v>14:53:46.078</v>
      </c>
      <c r="U3803" t="str">
        <f t="shared" si="177"/>
        <v>ad5732</v>
      </c>
      <c r="V3803">
        <v>0</v>
      </c>
      <c r="W3803">
        <v>0</v>
      </c>
      <c r="X3803">
        <v>1</v>
      </c>
      <c r="Z3803">
        <v>0</v>
      </c>
      <c r="AA3803">
        <v>9</v>
      </c>
      <c r="AB3803">
        <v>3</v>
      </c>
      <c r="AC3803">
        <v>0</v>
      </c>
      <c r="AD3803">
        <v>10</v>
      </c>
      <c r="AE3803">
        <v>0</v>
      </c>
      <c r="AF3803">
        <v>0</v>
      </c>
      <c r="AG3803">
        <v>2</v>
      </c>
      <c r="AH3803">
        <v>0</v>
      </c>
      <c r="AI3803" t="s">
        <v>7654</v>
      </c>
      <c r="AJ3803">
        <v>40.475307000000001</v>
      </c>
      <c r="AK3803" t="s">
        <v>7655</v>
      </c>
      <c r="AL3803">
        <v>-74.380123999999995</v>
      </c>
      <c r="AM3803">
        <v>100</v>
      </c>
      <c r="AN3803">
        <v>1500</v>
      </c>
      <c r="AO3803" t="s">
        <v>115</v>
      </c>
      <c r="AP3803">
        <v>63</v>
      </c>
      <c r="AQ3803">
        <v>112</v>
      </c>
      <c r="AR3803">
        <v>-640</v>
      </c>
      <c r="AZ3803">
        <v>3614</v>
      </c>
      <c r="BA3803">
        <v>1</v>
      </c>
      <c r="BB3803" t="str">
        <f t="shared" si="179"/>
        <v xml:space="preserve">N959MJ  </v>
      </c>
      <c r="BC3803">
        <v>1</v>
      </c>
      <c r="BE3803">
        <v>0</v>
      </c>
      <c r="BF3803">
        <v>0</v>
      </c>
      <c r="BG3803">
        <v>0</v>
      </c>
      <c r="BH3803">
        <v>1700</v>
      </c>
      <c r="BI3803">
        <v>200</v>
      </c>
      <c r="BJ3803">
        <v>1</v>
      </c>
      <c r="BK3803">
        <v>1</v>
      </c>
      <c r="BL3803">
        <v>1</v>
      </c>
      <c r="BM3803">
        <v>0</v>
      </c>
      <c r="BP3803">
        <v>0</v>
      </c>
      <c r="BQ3803">
        <v>0</v>
      </c>
      <c r="BX3803" t="str">
        <f>"14:53:46.484"</f>
        <v>14:53:46.484</v>
      </c>
      <c r="BY3803" t="str">
        <f>"483872280"</f>
        <v>483872280</v>
      </c>
      <c r="CL3803">
        <v>2</v>
      </c>
      <c r="CM3803">
        <v>2</v>
      </c>
      <c r="CN3803">
        <v>0</v>
      </c>
      <c r="CO3803">
        <v>2</v>
      </c>
      <c r="CP3803">
        <v>0</v>
      </c>
      <c r="CQ3803">
        <v>7</v>
      </c>
      <c r="CR3803" t="s">
        <v>116</v>
      </c>
      <c r="CS3803">
        <v>305</v>
      </c>
      <c r="CT3803">
        <v>3</v>
      </c>
      <c r="CU3803" t="s">
        <v>6425</v>
      </c>
      <c r="CV3803" t="s">
        <v>6426</v>
      </c>
      <c r="CY3803">
        <v>6423309</v>
      </c>
      <c r="CZ3803" t="s">
        <v>119</v>
      </c>
    </row>
    <row r="3804" spans="1:104" x14ac:dyDescent="0.25">
      <c r="A3804" t="str">
        <f>"14:53:47.797"</f>
        <v>14:53:47.797</v>
      </c>
      <c r="B3804" t="s">
        <v>108</v>
      </c>
      <c r="C3804" t="str">
        <f t="shared" si="178"/>
        <v>ffdfd3c0</v>
      </c>
      <c r="D3804" t="s">
        <v>109</v>
      </c>
      <c r="E3804">
        <v>4</v>
      </c>
      <c r="F3804">
        <v>1004</v>
      </c>
      <c r="G3804" t="s">
        <v>110</v>
      </c>
      <c r="J3804" t="s">
        <v>111</v>
      </c>
      <c r="K3804">
        <v>0</v>
      </c>
      <c r="L3804">
        <v>3</v>
      </c>
      <c r="M3804">
        <v>0</v>
      </c>
      <c r="N3804">
        <v>2</v>
      </c>
      <c r="O3804">
        <v>1</v>
      </c>
      <c r="P3804">
        <v>0</v>
      </c>
      <c r="Q3804">
        <v>0</v>
      </c>
      <c r="R3804" t="s">
        <v>112</v>
      </c>
      <c r="S3804" t="str">
        <f>"14:53:47.648"</f>
        <v>14:53:47.648</v>
      </c>
      <c r="T3804" t="str">
        <f>"14:53:47.148"</f>
        <v>14:53:47.148</v>
      </c>
      <c r="U3804" t="str">
        <f t="shared" si="177"/>
        <v>ad5732</v>
      </c>
      <c r="V3804">
        <v>0</v>
      </c>
      <c r="W3804">
        <v>0</v>
      </c>
      <c r="X3804">
        <v>1</v>
      </c>
      <c r="Z3804">
        <v>0</v>
      </c>
      <c r="AA3804">
        <v>9</v>
      </c>
      <c r="AB3804">
        <v>3</v>
      </c>
      <c r="AC3804">
        <v>0</v>
      </c>
      <c r="AD3804">
        <v>10</v>
      </c>
      <c r="AE3804">
        <v>0</v>
      </c>
      <c r="AF3804">
        <v>0</v>
      </c>
      <c r="AG3804">
        <v>2</v>
      </c>
      <c r="AH3804">
        <v>0</v>
      </c>
      <c r="AI3804" t="s">
        <v>7656</v>
      </c>
      <c r="AJ3804">
        <v>40.475906999999999</v>
      </c>
      <c r="AK3804" t="s">
        <v>7657</v>
      </c>
      <c r="AL3804">
        <v>-74.379694000000001</v>
      </c>
      <c r="AM3804">
        <v>100</v>
      </c>
      <c r="AN3804">
        <v>1500</v>
      </c>
      <c r="AO3804" t="s">
        <v>115</v>
      </c>
      <c r="AP3804">
        <v>63</v>
      </c>
      <c r="AQ3804">
        <v>113</v>
      </c>
      <c r="AR3804">
        <v>-640</v>
      </c>
      <c r="AZ3804">
        <v>3614</v>
      </c>
      <c r="BA3804">
        <v>1</v>
      </c>
      <c r="BB3804" t="str">
        <f t="shared" si="179"/>
        <v xml:space="preserve">N959MJ  </v>
      </c>
      <c r="BC3804">
        <v>1</v>
      </c>
      <c r="BE3804">
        <v>0</v>
      </c>
      <c r="BF3804">
        <v>0</v>
      </c>
      <c r="BG3804">
        <v>0</v>
      </c>
      <c r="BH3804">
        <v>1700</v>
      </c>
      <c r="BI3804">
        <v>200</v>
      </c>
      <c r="BJ3804">
        <v>1</v>
      </c>
      <c r="BK3804">
        <v>1</v>
      </c>
      <c r="BL3804">
        <v>1</v>
      </c>
      <c r="BM3804">
        <v>0</v>
      </c>
      <c r="BP3804">
        <v>0</v>
      </c>
      <c r="BQ3804">
        <v>0</v>
      </c>
      <c r="BX3804" t="str">
        <f>"14:53:47.656"</f>
        <v>14:53:47.656</v>
      </c>
      <c r="BY3804" t="str">
        <f>"655471077"</f>
        <v>655471077</v>
      </c>
      <c r="CL3804">
        <v>2</v>
      </c>
      <c r="CM3804">
        <v>2</v>
      </c>
      <c r="CN3804">
        <v>0</v>
      </c>
      <c r="CO3804">
        <v>2</v>
      </c>
      <c r="CP3804">
        <v>0</v>
      </c>
      <c r="CQ3804">
        <v>5</v>
      </c>
      <c r="CR3804" t="s">
        <v>116</v>
      </c>
      <c r="CS3804">
        <v>409</v>
      </c>
      <c r="CT3804">
        <v>1</v>
      </c>
      <c r="CU3804" t="s">
        <v>5087</v>
      </c>
      <c r="CV3804" t="s">
        <v>5088</v>
      </c>
      <c r="CY3804">
        <v>4960949</v>
      </c>
      <c r="CZ3804" t="s">
        <v>119</v>
      </c>
    </row>
    <row r="3805" spans="1:104" x14ac:dyDescent="0.25">
      <c r="A3805" t="str">
        <f>"14:53:48.758"</f>
        <v>14:53:48.758</v>
      </c>
      <c r="B3805" t="s">
        <v>108</v>
      </c>
      <c r="C3805" t="str">
        <f t="shared" si="178"/>
        <v>ffdfd3c0</v>
      </c>
      <c r="D3805" t="s">
        <v>109</v>
      </c>
      <c r="E3805">
        <v>4</v>
      </c>
      <c r="F3805">
        <v>1004</v>
      </c>
      <c r="G3805" t="s">
        <v>110</v>
      </c>
      <c r="J3805" t="s">
        <v>111</v>
      </c>
      <c r="K3805">
        <v>0</v>
      </c>
      <c r="L3805">
        <v>3</v>
      </c>
      <c r="M3805">
        <v>0</v>
      </c>
      <c r="N3805">
        <v>2</v>
      </c>
      <c r="O3805">
        <v>1</v>
      </c>
      <c r="P3805">
        <v>0</v>
      </c>
      <c r="Q3805">
        <v>0</v>
      </c>
      <c r="R3805" t="s">
        <v>112</v>
      </c>
      <c r="S3805" t="str">
        <f>"14:53:48.578"</f>
        <v>14:53:48.578</v>
      </c>
      <c r="T3805" t="str">
        <f>"14:53:48.180"</f>
        <v>14:53:48.180</v>
      </c>
      <c r="U3805" t="str">
        <f t="shared" si="177"/>
        <v>ad5732</v>
      </c>
      <c r="V3805">
        <v>0</v>
      </c>
      <c r="W3805">
        <v>0</v>
      </c>
      <c r="X3805">
        <v>1</v>
      </c>
      <c r="Z3805">
        <v>0</v>
      </c>
      <c r="AA3805">
        <v>9</v>
      </c>
      <c r="AB3805">
        <v>3</v>
      </c>
      <c r="AC3805">
        <v>0</v>
      </c>
      <c r="AD3805">
        <v>10</v>
      </c>
      <c r="AE3805">
        <v>0</v>
      </c>
      <c r="AF3805">
        <v>3</v>
      </c>
      <c r="AG3805">
        <v>2</v>
      </c>
      <c r="AH3805">
        <v>0</v>
      </c>
      <c r="AI3805" t="s">
        <v>7658</v>
      </c>
      <c r="AJ3805">
        <v>40.476379000000001</v>
      </c>
      <c r="AK3805" t="s">
        <v>7659</v>
      </c>
      <c r="AL3805">
        <v>-74.379329999999996</v>
      </c>
      <c r="AM3805">
        <v>100</v>
      </c>
      <c r="AN3805">
        <v>1500</v>
      </c>
      <c r="AO3805" t="s">
        <v>115</v>
      </c>
      <c r="AP3805">
        <v>63</v>
      </c>
      <c r="AQ3805">
        <v>113</v>
      </c>
      <c r="AR3805">
        <v>-640</v>
      </c>
      <c r="AZ3805">
        <v>3614</v>
      </c>
      <c r="BA3805">
        <v>1</v>
      </c>
      <c r="BB3805" t="str">
        <f t="shared" si="179"/>
        <v xml:space="preserve">N959MJ  </v>
      </c>
      <c r="BC3805">
        <v>1</v>
      </c>
      <c r="BE3805">
        <v>0</v>
      </c>
      <c r="BF3805">
        <v>0</v>
      </c>
      <c r="BG3805">
        <v>0</v>
      </c>
      <c r="BH3805">
        <v>1700</v>
      </c>
      <c r="BI3805">
        <v>200</v>
      </c>
      <c r="BJ3805">
        <v>1</v>
      </c>
      <c r="BK3805">
        <v>1</v>
      </c>
      <c r="BL3805">
        <v>1</v>
      </c>
      <c r="BM3805">
        <v>0</v>
      </c>
      <c r="BP3805">
        <v>0</v>
      </c>
      <c r="BQ3805">
        <v>0</v>
      </c>
      <c r="BX3805" t="str">
        <f>"14:53:48.578"</f>
        <v>14:53:48.578</v>
      </c>
      <c r="BY3805" t="str">
        <f>"581061084"</f>
        <v>581061084</v>
      </c>
      <c r="CL3805">
        <v>3</v>
      </c>
      <c r="CM3805">
        <v>2</v>
      </c>
      <c r="CN3805">
        <v>0</v>
      </c>
      <c r="CO3805">
        <v>2</v>
      </c>
      <c r="CP3805">
        <v>0</v>
      </c>
      <c r="CQ3805">
        <v>7</v>
      </c>
      <c r="CR3805" t="s">
        <v>116</v>
      </c>
      <c r="CS3805">
        <v>305</v>
      </c>
      <c r="CT3805">
        <v>3</v>
      </c>
      <c r="CU3805" t="s">
        <v>6425</v>
      </c>
      <c r="CV3805" t="s">
        <v>6426</v>
      </c>
      <c r="CY3805">
        <v>6427716</v>
      </c>
      <c r="CZ3805" t="s">
        <v>119</v>
      </c>
    </row>
    <row r="3806" spans="1:104" x14ac:dyDescent="0.25">
      <c r="A3806" t="str">
        <f>"14:53:49.617"</f>
        <v>14:53:49.617</v>
      </c>
      <c r="B3806" t="s">
        <v>108</v>
      </c>
      <c r="C3806" t="str">
        <f t="shared" si="178"/>
        <v>ffdfd3c0</v>
      </c>
      <c r="D3806" t="s">
        <v>109</v>
      </c>
      <c r="E3806">
        <v>4</v>
      </c>
      <c r="F3806">
        <v>1004</v>
      </c>
      <c r="G3806" t="s">
        <v>110</v>
      </c>
      <c r="J3806" t="s">
        <v>111</v>
      </c>
      <c r="K3806">
        <v>0</v>
      </c>
      <c r="L3806">
        <v>3</v>
      </c>
      <c r="M3806">
        <v>0</v>
      </c>
      <c r="N3806">
        <v>2</v>
      </c>
      <c r="O3806">
        <v>1</v>
      </c>
      <c r="P3806">
        <v>0</v>
      </c>
      <c r="Q3806">
        <v>0</v>
      </c>
      <c r="R3806" t="s">
        <v>112</v>
      </c>
      <c r="S3806" t="str">
        <f>"14:53:49.430"</f>
        <v>14:53:49.430</v>
      </c>
      <c r="T3806" t="str">
        <f>"14:53:49.031"</f>
        <v>14:53:49.031</v>
      </c>
      <c r="U3806" t="str">
        <f t="shared" si="177"/>
        <v>ad5732</v>
      </c>
      <c r="V3806">
        <v>0</v>
      </c>
      <c r="W3806">
        <v>0</v>
      </c>
      <c r="X3806">
        <v>1</v>
      </c>
      <c r="Z3806">
        <v>0</v>
      </c>
      <c r="AA3806">
        <v>9</v>
      </c>
      <c r="AB3806">
        <v>3</v>
      </c>
      <c r="AC3806">
        <v>0</v>
      </c>
      <c r="AD3806">
        <v>10</v>
      </c>
      <c r="AE3806">
        <v>0</v>
      </c>
      <c r="AF3806">
        <v>3</v>
      </c>
      <c r="AG3806">
        <v>2</v>
      </c>
      <c r="AH3806">
        <v>0</v>
      </c>
      <c r="AI3806" t="s">
        <v>7660</v>
      </c>
      <c r="AJ3806">
        <v>40.47683</v>
      </c>
      <c r="AK3806" t="s">
        <v>7661</v>
      </c>
      <c r="AL3806">
        <v>-74.379029000000003</v>
      </c>
      <c r="AM3806">
        <v>100</v>
      </c>
      <c r="AN3806">
        <v>1400</v>
      </c>
      <c r="AO3806" t="s">
        <v>115</v>
      </c>
      <c r="AP3806">
        <v>63</v>
      </c>
      <c r="AQ3806">
        <v>114</v>
      </c>
      <c r="AR3806">
        <v>-640</v>
      </c>
      <c r="AZ3806">
        <v>3614</v>
      </c>
      <c r="BA3806">
        <v>1</v>
      </c>
      <c r="BB3806" t="str">
        <f t="shared" si="179"/>
        <v xml:space="preserve">N959MJ  </v>
      </c>
      <c r="BC3806">
        <v>1</v>
      </c>
      <c r="BE3806">
        <v>0</v>
      </c>
      <c r="BF3806">
        <v>0</v>
      </c>
      <c r="BG3806">
        <v>0</v>
      </c>
      <c r="BH3806">
        <v>1775</v>
      </c>
      <c r="BI3806">
        <v>375</v>
      </c>
      <c r="BJ3806">
        <v>1</v>
      </c>
      <c r="BK3806">
        <v>1</v>
      </c>
      <c r="BL3806">
        <v>1</v>
      </c>
      <c r="BM3806">
        <v>0</v>
      </c>
      <c r="BP3806">
        <v>0</v>
      </c>
      <c r="BQ3806">
        <v>0</v>
      </c>
      <c r="BX3806" t="str">
        <f>"14:53:49.430"</f>
        <v>14:53:49.430</v>
      </c>
      <c r="BY3806" t="str">
        <f>"429767112"</f>
        <v>429767112</v>
      </c>
      <c r="CL3806">
        <v>3</v>
      </c>
      <c r="CM3806">
        <v>2</v>
      </c>
      <c r="CN3806">
        <v>0</v>
      </c>
      <c r="CO3806">
        <v>2</v>
      </c>
      <c r="CP3806">
        <v>0</v>
      </c>
      <c r="CQ3806">
        <v>7</v>
      </c>
      <c r="CR3806" t="s">
        <v>116</v>
      </c>
      <c r="CS3806">
        <v>305</v>
      </c>
      <c r="CT3806">
        <v>3</v>
      </c>
      <c r="CU3806" t="s">
        <v>6425</v>
      </c>
      <c r="CV3806" t="s">
        <v>6426</v>
      </c>
      <c r="CY3806">
        <v>6429529</v>
      </c>
      <c r="CZ3806" t="s">
        <v>119</v>
      </c>
    </row>
    <row r="3807" spans="1:104" x14ac:dyDescent="0.25">
      <c r="A3807" t="str">
        <f>"14:53:50.578"</f>
        <v>14:53:50.578</v>
      </c>
      <c r="B3807" t="s">
        <v>108</v>
      </c>
      <c r="C3807" t="str">
        <f t="shared" si="178"/>
        <v>ffdfd3c0</v>
      </c>
      <c r="D3807" t="s">
        <v>109</v>
      </c>
      <c r="E3807">
        <v>4</v>
      </c>
      <c r="F3807">
        <v>1004</v>
      </c>
      <c r="G3807" t="s">
        <v>110</v>
      </c>
      <c r="J3807" t="s">
        <v>111</v>
      </c>
      <c r="K3807">
        <v>0</v>
      </c>
      <c r="L3807">
        <v>3</v>
      </c>
      <c r="M3807">
        <v>0</v>
      </c>
      <c r="N3807">
        <v>2</v>
      </c>
      <c r="O3807">
        <v>1</v>
      </c>
      <c r="P3807">
        <v>0</v>
      </c>
      <c r="Q3807">
        <v>0</v>
      </c>
      <c r="R3807" t="s">
        <v>112</v>
      </c>
      <c r="S3807" t="str">
        <f>"14:53:50.406"</f>
        <v>14:53:50.406</v>
      </c>
      <c r="T3807" t="str">
        <f>"14:53:49.906"</f>
        <v>14:53:49.906</v>
      </c>
      <c r="U3807" t="str">
        <f t="shared" si="177"/>
        <v>ad5732</v>
      </c>
      <c r="V3807">
        <v>0</v>
      </c>
      <c r="W3807">
        <v>0</v>
      </c>
      <c r="X3807">
        <v>1</v>
      </c>
      <c r="Z3807">
        <v>0</v>
      </c>
      <c r="AA3807">
        <v>9</v>
      </c>
      <c r="AB3807">
        <v>3</v>
      </c>
      <c r="AC3807">
        <v>0</v>
      </c>
      <c r="AD3807">
        <v>10</v>
      </c>
      <c r="AE3807">
        <v>0</v>
      </c>
      <c r="AF3807">
        <v>3</v>
      </c>
      <c r="AG3807">
        <v>2</v>
      </c>
      <c r="AH3807">
        <v>0</v>
      </c>
      <c r="AI3807" t="s">
        <v>7662</v>
      </c>
      <c r="AJ3807">
        <v>40.477345</v>
      </c>
      <c r="AK3807" t="s">
        <v>7663</v>
      </c>
      <c r="AL3807">
        <v>-74.378664000000001</v>
      </c>
      <c r="AM3807">
        <v>100</v>
      </c>
      <c r="AN3807">
        <v>1400</v>
      </c>
      <c r="AO3807" t="s">
        <v>115</v>
      </c>
      <c r="AP3807">
        <v>62</v>
      </c>
      <c r="AQ3807">
        <v>115</v>
      </c>
      <c r="AR3807">
        <v>-576</v>
      </c>
      <c r="AZ3807">
        <v>3614</v>
      </c>
      <c r="BA3807">
        <v>1</v>
      </c>
      <c r="BB3807" t="str">
        <f t="shared" si="179"/>
        <v xml:space="preserve">N959MJ  </v>
      </c>
      <c r="BC3807">
        <v>1</v>
      </c>
      <c r="BE3807">
        <v>0</v>
      </c>
      <c r="BF3807">
        <v>0</v>
      </c>
      <c r="BG3807">
        <v>0</v>
      </c>
      <c r="BH3807">
        <v>1675</v>
      </c>
      <c r="BI3807">
        <v>275</v>
      </c>
      <c r="BJ3807">
        <v>1</v>
      </c>
      <c r="BK3807">
        <v>1</v>
      </c>
      <c r="BL3807">
        <v>1</v>
      </c>
      <c r="BM3807">
        <v>0</v>
      </c>
      <c r="BP3807">
        <v>0</v>
      </c>
      <c r="BQ3807">
        <v>0</v>
      </c>
      <c r="BX3807" t="str">
        <f>"14:53:50.406"</f>
        <v>14:53:50.406</v>
      </c>
      <c r="BY3807" t="str">
        <f>"406270630"</f>
        <v>406270630</v>
      </c>
      <c r="CL3807">
        <v>3</v>
      </c>
      <c r="CM3807">
        <v>2</v>
      </c>
      <c r="CN3807">
        <v>0</v>
      </c>
      <c r="CO3807">
        <v>2</v>
      </c>
      <c r="CP3807">
        <v>0</v>
      </c>
      <c r="CQ3807">
        <v>7</v>
      </c>
      <c r="CR3807" t="s">
        <v>116</v>
      </c>
      <c r="CS3807">
        <v>305</v>
      </c>
      <c r="CT3807">
        <v>3</v>
      </c>
      <c r="CU3807" t="s">
        <v>6425</v>
      </c>
      <c r="CV3807" t="s">
        <v>6426</v>
      </c>
      <c r="CY3807">
        <v>6431482</v>
      </c>
      <c r="CZ3807" t="s">
        <v>119</v>
      </c>
    </row>
    <row r="3808" spans="1:104" x14ac:dyDescent="0.25">
      <c r="A3808" t="str">
        <f>"14:53:51.641"</f>
        <v>14:53:51.641</v>
      </c>
      <c r="B3808" t="s">
        <v>108</v>
      </c>
      <c r="C3808" t="str">
        <f t="shared" si="178"/>
        <v>ffdfd3c0</v>
      </c>
      <c r="D3808" t="s">
        <v>109</v>
      </c>
      <c r="E3808">
        <v>4</v>
      </c>
      <c r="F3808">
        <v>1004</v>
      </c>
      <c r="G3808" t="s">
        <v>110</v>
      </c>
      <c r="J3808" t="s">
        <v>111</v>
      </c>
      <c r="K3808">
        <v>0</v>
      </c>
      <c r="L3808">
        <v>3</v>
      </c>
      <c r="M3808">
        <v>0</v>
      </c>
      <c r="N3808">
        <v>2</v>
      </c>
      <c r="O3808">
        <v>1</v>
      </c>
      <c r="P3808">
        <v>0</v>
      </c>
      <c r="Q3808">
        <v>0</v>
      </c>
      <c r="R3808" t="s">
        <v>112</v>
      </c>
      <c r="S3808" t="str">
        <f>"14:53:51.461"</f>
        <v>14:53:51.461</v>
      </c>
      <c r="T3808" t="str">
        <f>"14:53:50.961"</f>
        <v>14:53:50.961</v>
      </c>
      <c r="U3808" t="str">
        <f t="shared" si="177"/>
        <v>ad5732</v>
      </c>
      <c r="V3808">
        <v>0</v>
      </c>
      <c r="W3808">
        <v>0</v>
      </c>
      <c r="X3808">
        <v>1</v>
      </c>
      <c r="Z3808">
        <v>0</v>
      </c>
      <c r="AA3808">
        <v>9</v>
      </c>
      <c r="AB3808">
        <v>3</v>
      </c>
      <c r="AC3808">
        <v>0</v>
      </c>
      <c r="AD3808">
        <v>10</v>
      </c>
      <c r="AE3808">
        <v>0</v>
      </c>
      <c r="AF3808">
        <v>3</v>
      </c>
      <c r="AG3808">
        <v>2</v>
      </c>
      <c r="AH3808">
        <v>0</v>
      </c>
      <c r="AI3808" t="s">
        <v>7664</v>
      </c>
      <c r="AJ3808">
        <v>40.477967</v>
      </c>
      <c r="AK3808" t="s">
        <v>7665</v>
      </c>
      <c r="AL3808">
        <v>-74.378257000000005</v>
      </c>
      <c r="AM3808">
        <v>100</v>
      </c>
      <c r="AN3808">
        <v>1400</v>
      </c>
      <c r="AO3808" t="s">
        <v>115</v>
      </c>
      <c r="AP3808">
        <v>62</v>
      </c>
      <c r="AQ3808">
        <v>116</v>
      </c>
      <c r="AR3808">
        <v>-576</v>
      </c>
      <c r="AZ3808">
        <v>3614</v>
      </c>
      <c r="BA3808">
        <v>1</v>
      </c>
      <c r="BB3808" t="str">
        <f t="shared" si="179"/>
        <v xml:space="preserve">N959MJ  </v>
      </c>
      <c r="BC3808">
        <v>1</v>
      </c>
      <c r="BE3808">
        <v>0</v>
      </c>
      <c r="BF3808">
        <v>0</v>
      </c>
      <c r="BG3808">
        <v>0</v>
      </c>
      <c r="BH3808">
        <v>1675</v>
      </c>
      <c r="BI3808">
        <v>275</v>
      </c>
      <c r="BJ3808">
        <v>1</v>
      </c>
      <c r="BK3808">
        <v>1</v>
      </c>
      <c r="BL3808">
        <v>1</v>
      </c>
      <c r="BM3808">
        <v>0</v>
      </c>
      <c r="BP3808">
        <v>0</v>
      </c>
      <c r="BQ3808">
        <v>0</v>
      </c>
      <c r="BX3808" t="str">
        <f>"14:53:51.469"</f>
        <v>14:53:51.469</v>
      </c>
      <c r="BY3808" t="str">
        <f>"467972444"</f>
        <v>467972444</v>
      </c>
      <c r="CL3808">
        <v>3</v>
      </c>
      <c r="CM3808">
        <v>2</v>
      </c>
      <c r="CN3808">
        <v>0</v>
      </c>
      <c r="CO3808">
        <v>2</v>
      </c>
      <c r="CP3808">
        <v>0</v>
      </c>
      <c r="CQ3808">
        <v>7</v>
      </c>
      <c r="CR3808" t="s">
        <v>116</v>
      </c>
      <c r="CS3808">
        <v>305</v>
      </c>
      <c r="CT3808">
        <v>3</v>
      </c>
      <c r="CU3808" t="s">
        <v>6425</v>
      </c>
      <c r="CV3808" t="s">
        <v>6426</v>
      </c>
      <c r="CY3808">
        <v>6433743</v>
      </c>
      <c r="CZ3808" t="s">
        <v>119</v>
      </c>
    </row>
    <row r="3809" spans="1:104" x14ac:dyDescent="0.25">
      <c r="A3809" t="str">
        <f>"14:53:52.500"</f>
        <v>14:53:52.500</v>
      </c>
      <c r="B3809" t="s">
        <v>108</v>
      </c>
      <c r="C3809" t="str">
        <f t="shared" si="178"/>
        <v>ffdfd3c0</v>
      </c>
      <c r="D3809" t="s">
        <v>109</v>
      </c>
      <c r="E3809">
        <v>4</v>
      </c>
      <c r="F3809">
        <v>1004</v>
      </c>
      <c r="G3809" t="s">
        <v>110</v>
      </c>
      <c r="J3809" t="s">
        <v>111</v>
      </c>
      <c r="K3809">
        <v>0</v>
      </c>
      <c r="L3809">
        <v>3</v>
      </c>
      <c r="M3809">
        <v>0</v>
      </c>
      <c r="N3809">
        <v>2</v>
      </c>
      <c r="O3809">
        <v>1</v>
      </c>
      <c r="P3809">
        <v>0</v>
      </c>
      <c r="Q3809">
        <v>0</v>
      </c>
      <c r="R3809" t="s">
        <v>112</v>
      </c>
      <c r="S3809" t="str">
        <f>"14:53:52.328"</f>
        <v>14:53:52.328</v>
      </c>
      <c r="T3809" t="str">
        <f>"14:53:51.930"</f>
        <v>14:53:51.930</v>
      </c>
      <c r="U3809" t="str">
        <f t="shared" si="177"/>
        <v>ad5732</v>
      </c>
      <c r="V3809">
        <v>0</v>
      </c>
      <c r="W3809">
        <v>0</v>
      </c>
      <c r="X3809">
        <v>1</v>
      </c>
      <c r="Z3809">
        <v>0</v>
      </c>
      <c r="AA3809">
        <v>9</v>
      </c>
      <c r="AB3809">
        <v>3</v>
      </c>
      <c r="AC3809">
        <v>0</v>
      </c>
      <c r="AD3809">
        <v>10</v>
      </c>
      <c r="AE3809">
        <v>0</v>
      </c>
      <c r="AF3809">
        <v>3</v>
      </c>
      <c r="AG3809">
        <v>2</v>
      </c>
      <c r="AH3809">
        <v>0</v>
      </c>
      <c r="AI3809" t="s">
        <v>7666</v>
      </c>
      <c r="AJ3809">
        <v>40.478439000000002</v>
      </c>
      <c r="AK3809" t="s">
        <v>7667</v>
      </c>
      <c r="AL3809">
        <v>-74.377934999999994</v>
      </c>
      <c r="AM3809">
        <v>100</v>
      </c>
      <c r="AN3809">
        <v>1400</v>
      </c>
      <c r="AO3809" t="s">
        <v>115</v>
      </c>
      <c r="AP3809">
        <v>61</v>
      </c>
      <c r="AQ3809">
        <v>116</v>
      </c>
      <c r="AR3809">
        <v>-512</v>
      </c>
      <c r="AZ3809">
        <v>3614</v>
      </c>
      <c r="BA3809">
        <v>1</v>
      </c>
      <c r="BB3809" t="str">
        <f t="shared" si="179"/>
        <v xml:space="preserve">N959MJ  </v>
      </c>
      <c r="BC3809">
        <v>1</v>
      </c>
      <c r="BE3809">
        <v>0</v>
      </c>
      <c r="BF3809">
        <v>0</v>
      </c>
      <c r="BG3809">
        <v>0</v>
      </c>
      <c r="BH3809">
        <v>1650</v>
      </c>
      <c r="BI3809">
        <v>250</v>
      </c>
      <c r="BJ3809">
        <v>1</v>
      </c>
      <c r="BK3809">
        <v>1</v>
      </c>
      <c r="BL3809">
        <v>1</v>
      </c>
      <c r="BM3809">
        <v>0</v>
      </c>
      <c r="BP3809">
        <v>0</v>
      </c>
      <c r="BQ3809">
        <v>0</v>
      </c>
      <c r="BX3809" t="str">
        <f>"14:53:52.328"</f>
        <v>14:53:52.328</v>
      </c>
      <c r="BY3809" t="str">
        <f>"331424381"</f>
        <v>331424381</v>
      </c>
      <c r="CL3809">
        <v>3</v>
      </c>
      <c r="CM3809">
        <v>2</v>
      </c>
      <c r="CN3809">
        <v>0</v>
      </c>
      <c r="CO3809">
        <v>2</v>
      </c>
      <c r="CP3809">
        <v>0</v>
      </c>
      <c r="CQ3809">
        <v>7</v>
      </c>
      <c r="CR3809" t="s">
        <v>116</v>
      </c>
      <c r="CS3809">
        <v>305</v>
      </c>
      <c r="CT3809">
        <v>3</v>
      </c>
      <c r="CU3809" t="s">
        <v>6425</v>
      </c>
      <c r="CV3809" t="s">
        <v>6426</v>
      </c>
      <c r="CY3809">
        <v>6435561</v>
      </c>
      <c r="CZ3809" t="s">
        <v>119</v>
      </c>
    </row>
    <row r="3810" spans="1:104" x14ac:dyDescent="0.25">
      <c r="A3810" t="str">
        <f>"14:53:53.563"</f>
        <v>14:53:53.563</v>
      </c>
      <c r="B3810" t="s">
        <v>108</v>
      </c>
      <c r="C3810" t="str">
        <f t="shared" si="178"/>
        <v>ffdfd3c0</v>
      </c>
      <c r="D3810" t="s">
        <v>109</v>
      </c>
      <c r="E3810">
        <v>4</v>
      </c>
      <c r="F3810">
        <v>1004</v>
      </c>
      <c r="G3810" t="s">
        <v>110</v>
      </c>
      <c r="J3810" t="s">
        <v>111</v>
      </c>
      <c r="K3810">
        <v>0</v>
      </c>
      <c r="L3810">
        <v>3</v>
      </c>
      <c r="M3810">
        <v>0</v>
      </c>
      <c r="N3810">
        <v>2</v>
      </c>
      <c r="O3810">
        <v>1</v>
      </c>
      <c r="P3810">
        <v>0</v>
      </c>
      <c r="Q3810">
        <v>0</v>
      </c>
      <c r="R3810" t="s">
        <v>112</v>
      </c>
      <c r="S3810" t="str">
        <f>"14:53:53.359"</f>
        <v>14:53:53.359</v>
      </c>
      <c r="T3810" t="str">
        <f>"14:53:52.961"</f>
        <v>14:53:52.961</v>
      </c>
      <c r="U3810" t="str">
        <f t="shared" si="177"/>
        <v>ad5732</v>
      </c>
      <c r="V3810">
        <v>0</v>
      </c>
      <c r="W3810">
        <v>0</v>
      </c>
      <c r="X3810">
        <v>1</v>
      </c>
      <c r="Z3810">
        <v>0</v>
      </c>
      <c r="AA3810">
        <v>9</v>
      </c>
      <c r="AB3810">
        <v>3</v>
      </c>
      <c r="AC3810">
        <v>0</v>
      </c>
      <c r="AD3810">
        <v>10</v>
      </c>
      <c r="AE3810">
        <v>0</v>
      </c>
      <c r="AF3810">
        <v>3</v>
      </c>
      <c r="AG3810">
        <v>2</v>
      </c>
      <c r="AH3810">
        <v>0</v>
      </c>
      <c r="AI3810" t="s">
        <v>7668</v>
      </c>
      <c r="AJ3810">
        <v>40.478997</v>
      </c>
      <c r="AK3810" t="s">
        <v>7669</v>
      </c>
      <c r="AL3810">
        <v>-74.377570000000006</v>
      </c>
      <c r="AM3810">
        <v>100</v>
      </c>
      <c r="AN3810">
        <v>1400</v>
      </c>
      <c r="AO3810" t="s">
        <v>115</v>
      </c>
      <c r="AP3810">
        <v>61</v>
      </c>
      <c r="AQ3810">
        <v>117</v>
      </c>
      <c r="AR3810">
        <v>-576</v>
      </c>
      <c r="AZ3810">
        <v>3614</v>
      </c>
      <c r="BA3810">
        <v>1</v>
      </c>
      <c r="BB3810" t="str">
        <f t="shared" si="179"/>
        <v xml:space="preserve">N959MJ  </v>
      </c>
      <c r="BC3810">
        <v>1</v>
      </c>
      <c r="BE3810">
        <v>0</v>
      </c>
      <c r="BF3810">
        <v>0</v>
      </c>
      <c r="BG3810">
        <v>0</v>
      </c>
      <c r="BH3810">
        <v>1650</v>
      </c>
      <c r="BI3810">
        <v>250</v>
      </c>
      <c r="BJ3810">
        <v>1</v>
      </c>
      <c r="BK3810">
        <v>1</v>
      </c>
      <c r="BL3810">
        <v>1</v>
      </c>
      <c r="BM3810">
        <v>0</v>
      </c>
      <c r="BP3810">
        <v>0</v>
      </c>
      <c r="BQ3810">
        <v>0</v>
      </c>
      <c r="BX3810" t="str">
        <f>"14:53:53.367"</f>
        <v>14:53:53.367</v>
      </c>
      <c r="BY3810" t="str">
        <f>"363634506"</f>
        <v>363634506</v>
      </c>
      <c r="CL3810">
        <v>3</v>
      </c>
      <c r="CM3810">
        <v>2</v>
      </c>
      <c r="CN3810">
        <v>0</v>
      </c>
      <c r="CO3810">
        <v>2</v>
      </c>
      <c r="CP3810">
        <v>0</v>
      </c>
      <c r="CQ3810">
        <v>7</v>
      </c>
      <c r="CR3810" t="s">
        <v>116</v>
      </c>
      <c r="CS3810">
        <v>305</v>
      </c>
      <c r="CT3810">
        <v>3</v>
      </c>
      <c r="CU3810" t="s">
        <v>6425</v>
      </c>
      <c r="CV3810" t="s">
        <v>6426</v>
      </c>
      <c r="CY3810">
        <v>6437765</v>
      </c>
      <c r="CZ3810" t="s">
        <v>119</v>
      </c>
    </row>
    <row r="3811" spans="1:104" x14ac:dyDescent="0.25">
      <c r="A3811" t="str">
        <f>"14:53:54.570"</f>
        <v>14:53:54.570</v>
      </c>
      <c r="B3811" t="s">
        <v>108</v>
      </c>
      <c r="C3811" t="str">
        <f t="shared" si="178"/>
        <v>ffdfd3c0</v>
      </c>
      <c r="D3811" t="s">
        <v>109</v>
      </c>
      <c r="E3811">
        <v>4</v>
      </c>
      <c r="F3811">
        <v>1004</v>
      </c>
      <c r="G3811" t="s">
        <v>110</v>
      </c>
      <c r="J3811" t="s">
        <v>111</v>
      </c>
      <c r="K3811">
        <v>0</v>
      </c>
      <c r="L3811">
        <v>3</v>
      </c>
      <c r="M3811">
        <v>0</v>
      </c>
      <c r="N3811">
        <v>2</v>
      </c>
      <c r="O3811">
        <v>1</v>
      </c>
      <c r="P3811">
        <v>0</v>
      </c>
      <c r="Q3811">
        <v>0</v>
      </c>
      <c r="R3811" t="s">
        <v>112</v>
      </c>
      <c r="S3811" t="str">
        <f>"14:53:54.398"</f>
        <v>14:53:54.398</v>
      </c>
      <c r="T3811" t="str">
        <f>"14:53:54.000"</f>
        <v>14:53:54.000</v>
      </c>
      <c r="U3811" t="str">
        <f t="shared" si="177"/>
        <v>ad5732</v>
      </c>
      <c r="V3811">
        <v>0</v>
      </c>
      <c r="W3811">
        <v>0</v>
      </c>
      <c r="X3811">
        <v>1</v>
      </c>
      <c r="Z3811">
        <v>0</v>
      </c>
      <c r="AA3811">
        <v>9</v>
      </c>
      <c r="AB3811">
        <v>3</v>
      </c>
      <c r="AC3811">
        <v>0</v>
      </c>
      <c r="AD3811">
        <v>10</v>
      </c>
      <c r="AE3811">
        <v>0</v>
      </c>
      <c r="AF3811">
        <v>3</v>
      </c>
      <c r="AG3811">
        <v>2</v>
      </c>
      <c r="AH3811">
        <v>0</v>
      </c>
      <c r="AI3811" t="s">
        <v>7670</v>
      </c>
      <c r="AJ3811">
        <v>40.479534000000001</v>
      </c>
      <c r="AK3811" t="s">
        <v>7671</v>
      </c>
      <c r="AL3811">
        <v>-74.377205000000004</v>
      </c>
      <c r="AM3811">
        <v>100</v>
      </c>
      <c r="AN3811">
        <v>1400</v>
      </c>
      <c r="AO3811" t="s">
        <v>115</v>
      </c>
      <c r="AP3811">
        <v>60</v>
      </c>
      <c r="AQ3811">
        <v>118</v>
      </c>
      <c r="AR3811">
        <v>-576</v>
      </c>
      <c r="AZ3811">
        <v>3614</v>
      </c>
      <c r="BA3811">
        <v>1</v>
      </c>
      <c r="BB3811" t="str">
        <f t="shared" si="179"/>
        <v xml:space="preserve">N959MJ  </v>
      </c>
      <c r="BC3811">
        <v>1</v>
      </c>
      <c r="BE3811">
        <v>0</v>
      </c>
      <c r="BF3811">
        <v>0</v>
      </c>
      <c r="BG3811">
        <v>0</v>
      </c>
      <c r="BH3811">
        <v>1625</v>
      </c>
      <c r="BI3811">
        <v>225</v>
      </c>
      <c r="BJ3811">
        <v>1</v>
      </c>
      <c r="BK3811">
        <v>1</v>
      </c>
      <c r="BL3811">
        <v>1</v>
      </c>
      <c r="BM3811">
        <v>0</v>
      </c>
      <c r="BP3811">
        <v>0</v>
      </c>
      <c r="BQ3811">
        <v>0</v>
      </c>
      <c r="BX3811" t="str">
        <f>"14:53:54.398"</f>
        <v>14:53:54.398</v>
      </c>
      <c r="BY3811" t="str">
        <f>"399168901"</f>
        <v>399168901</v>
      </c>
      <c r="CL3811">
        <v>3</v>
      </c>
      <c r="CM3811">
        <v>2</v>
      </c>
      <c r="CN3811">
        <v>0</v>
      </c>
      <c r="CO3811">
        <v>2</v>
      </c>
      <c r="CP3811">
        <v>0</v>
      </c>
      <c r="CQ3811">
        <v>6</v>
      </c>
      <c r="CR3811" t="s">
        <v>116</v>
      </c>
      <c r="CS3811">
        <v>38</v>
      </c>
      <c r="CT3811">
        <v>0</v>
      </c>
      <c r="CU3811" t="s">
        <v>4719</v>
      </c>
      <c r="CV3811" t="s">
        <v>4720</v>
      </c>
      <c r="CY3811">
        <v>8452237</v>
      </c>
      <c r="CZ3811" t="s">
        <v>119</v>
      </c>
    </row>
    <row r="3812" spans="1:104" x14ac:dyDescent="0.25">
      <c r="A3812" t="str">
        <f>"14:53:55.477"</f>
        <v>14:53:55.477</v>
      </c>
      <c r="B3812" t="s">
        <v>108</v>
      </c>
      <c r="C3812" t="str">
        <f t="shared" si="178"/>
        <v>ffdfd3c0</v>
      </c>
      <c r="D3812" t="s">
        <v>109</v>
      </c>
      <c r="E3812">
        <v>4</v>
      </c>
      <c r="F3812">
        <v>1004</v>
      </c>
      <c r="G3812" t="s">
        <v>110</v>
      </c>
      <c r="J3812" t="s">
        <v>111</v>
      </c>
      <c r="K3812">
        <v>0</v>
      </c>
      <c r="L3812">
        <v>3</v>
      </c>
      <c r="M3812">
        <v>0</v>
      </c>
      <c r="N3812">
        <v>2</v>
      </c>
      <c r="O3812">
        <v>1</v>
      </c>
      <c r="P3812">
        <v>0</v>
      </c>
      <c r="Q3812">
        <v>0</v>
      </c>
      <c r="R3812" t="s">
        <v>112</v>
      </c>
      <c r="S3812" t="str">
        <f>"14:53:55.289"</f>
        <v>14:53:55.289</v>
      </c>
      <c r="T3812" t="str">
        <f>"14:53:54.891"</f>
        <v>14:53:54.891</v>
      </c>
      <c r="U3812" t="str">
        <f t="shared" si="177"/>
        <v>ad5732</v>
      </c>
      <c r="V3812">
        <v>0</v>
      </c>
      <c r="W3812">
        <v>0</v>
      </c>
      <c r="X3812">
        <v>1</v>
      </c>
      <c r="Z3812">
        <v>0</v>
      </c>
      <c r="AA3812">
        <v>9</v>
      </c>
      <c r="AB3812">
        <v>3</v>
      </c>
      <c r="AC3812">
        <v>0</v>
      </c>
      <c r="AD3812">
        <v>10</v>
      </c>
      <c r="AE3812">
        <v>0</v>
      </c>
      <c r="AF3812">
        <v>3</v>
      </c>
      <c r="AG3812">
        <v>2</v>
      </c>
      <c r="AH3812">
        <v>0</v>
      </c>
      <c r="AI3812" t="s">
        <v>7672</v>
      </c>
      <c r="AJ3812">
        <v>40.480006000000003</v>
      </c>
      <c r="AK3812" t="s">
        <v>7673</v>
      </c>
      <c r="AL3812">
        <v>-74.376884000000004</v>
      </c>
      <c r="AM3812">
        <v>100</v>
      </c>
      <c r="AN3812">
        <v>1400</v>
      </c>
      <c r="AO3812" t="s">
        <v>115</v>
      </c>
      <c r="AP3812">
        <v>60</v>
      </c>
      <c r="AQ3812">
        <v>119</v>
      </c>
      <c r="AR3812">
        <v>-640</v>
      </c>
      <c r="AZ3812">
        <v>3614</v>
      </c>
      <c r="BA3812">
        <v>1</v>
      </c>
      <c r="BB3812" t="str">
        <f t="shared" si="179"/>
        <v xml:space="preserve">N959MJ  </v>
      </c>
      <c r="BC3812">
        <v>1</v>
      </c>
      <c r="BE3812">
        <v>0</v>
      </c>
      <c r="BF3812">
        <v>0</v>
      </c>
      <c r="BG3812">
        <v>0</v>
      </c>
      <c r="BH3812">
        <v>1625</v>
      </c>
      <c r="BI3812">
        <v>225</v>
      </c>
      <c r="BJ3812">
        <v>1</v>
      </c>
      <c r="BK3812">
        <v>1</v>
      </c>
      <c r="BL3812">
        <v>1</v>
      </c>
      <c r="BM3812">
        <v>0</v>
      </c>
      <c r="BP3812">
        <v>0</v>
      </c>
      <c r="BQ3812">
        <v>0</v>
      </c>
      <c r="BX3812" t="str">
        <f>"14:53:55.297"</f>
        <v>14:53:55.297</v>
      </c>
      <c r="BY3812" t="str">
        <f>"293751194"</f>
        <v>293751194</v>
      </c>
      <c r="CL3812">
        <v>3</v>
      </c>
      <c r="CM3812">
        <v>2</v>
      </c>
      <c r="CN3812">
        <v>0</v>
      </c>
      <c r="CO3812">
        <v>2</v>
      </c>
      <c r="CP3812">
        <v>0</v>
      </c>
      <c r="CQ3812">
        <v>6</v>
      </c>
      <c r="CR3812" t="s">
        <v>116</v>
      </c>
      <c r="CS3812">
        <v>38</v>
      </c>
      <c r="CT3812">
        <v>0</v>
      </c>
      <c r="CU3812" t="s">
        <v>4719</v>
      </c>
      <c r="CV3812" t="s">
        <v>4720</v>
      </c>
      <c r="CY3812">
        <v>8453757</v>
      </c>
      <c r="CZ3812" t="s">
        <v>119</v>
      </c>
    </row>
    <row r="3813" spans="1:104" x14ac:dyDescent="0.25">
      <c r="A3813" t="str">
        <f>"14:53:56.539"</f>
        <v>14:53:56.539</v>
      </c>
      <c r="B3813" t="s">
        <v>108</v>
      </c>
      <c r="C3813" t="str">
        <f t="shared" si="178"/>
        <v>ffdfd3c0</v>
      </c>
      <c r="D3813" t="s">
        <v>109</v>
      </c>
      <c r="E3813">
        <v>4</v>
      </c>
      <c r="F3813">
        <v>1004</v>
      </c>
      <c r="G3813" t="s">
        <v>110</v>
      </c>
      <c r="J3813" t="s">
        <v>111</v>
      </c>
      <c r="K3813">
        <v>0</v>
      </c>
      <c r="L3813">
        <v>3</v>
      </c>
      <c r="M3813">
        <v>0</v>
      </c>
      <c r="N3813">
        <v>2</v>
      </c>
      <c r="O3813">
        <v>1</v>
      </c>
      <c r="P3813">
        <v>0</v>
      </c>
      <c r="Q3813">
        <v>0</v>
      </c>
      <c r="R3813" t="s">
        <v>112</v>
      </c>
      <c r="S3813" t="str">
        <f>"14:53:56.344"</f>
        <v>14:53:56.344</v>
      </c>
      <c r="T3813" t="str">
        <f>"14:53:55.344"</f>
        <v>14:53:55.344</v>
      </c>
      <c r="U3813" t="str">
        <f t="shared" si="177"/>
        <v>ad5732</v>
      </c>
      <c r="V3813">
        <v>0</v>
      </c>
      <c r="W3813">
        <v>0</v>
      </c>
      <c r="X3813">
        <v>1</v>
      </c>
      <c r="Z3813">
        <v>0</v>
      </c>
      <c r="AA3813">
        <v>9</v>
      </c>
      <c r="AB3813">
        <v>3</v>
      </c>
      <c r="AC3813">
        <v>0</v>
      </c>
      <c r="AD3813">
        <v>10</v>
      </c>
      <c r="AE3813">
        <v>0</v>
      </c>
      <c r="AF3813">
        <v>3</v>
      </c>
      <c r="AG3813">
        <v>2</v>
      </c>
      <c r="AH3813">
        <v>0</v>
      </c>
      <c r="AI3813" t="s">
        <v>7674</v>
      </c>
      <c r="AJ3813">
        <v>40.480628000000003</v>
      </c>
      <c r="AK3813" t="s">
        <v>7675</v>
      </c>
      <c r="AL3813">
        <v>-74.376453999999995</v>
      </c>
      <c r="AM3813">
        <v>100</v>
      </c>
      <c r="AN3813">
        <v>1400</v>
      </c>
      <c r="AO3813" t="s">
        <v>115</v>
      </c>
      <c r="AP3813">
        <v>60</v>
      </c>
      <c r="AQ3813">
        <v>119</v>
      </c>
      <c r="AR3813">
        <v>-640</v>
      </c>
      <c r="AZ3813">
        <v>3614</v>
      </c>
      <c r="BA3813">
        <v>1</v>
      </c>
      <c r="BB3813" t="str">
        <f t="shared" si="179"/>
        <v xml:space="preserve">N959MJ  </v>
      </c>
      <c r="BC3813">
        <v>1</v>
      </c>
      <c r="BE3813">
        <v>0</v>
      </c>
      <c r="BF3813">
        <v>0</v>
      </c>
      <c r="BG3813">
        <v>0</v>
      </c>
      <c r="BH3813">
        <v>1625</v>
      </c>
      <c r="BI3813">
        <v>225</v>
      </c>
      <c r="BJ3813">
        <v>1</v>
      </c>
      <c r="BK3813">
        <v>1</v>
      </c>
      <c r="BL3813">
        <v>1</v>
      </c>
      <c r="BM3813">
        <v>0</v>
      </c>
      <c r="BP3813">
        <v>0</v>
      </c>
      <c r="BQ3813">
        <v>0</v>
      </c>
      <c r="BX3813" t="str">
        <f>"14:53:56.352"</f>
        <v>14:53:56.352</v>
      </c>
      <c r="BY3813" t="str">
        <f>"348851674"</f>
        <v>348851674</v>
      </c>
      <c r="CL3813">
        <v>3</v>
      </c>
      <c r="CM3813">
        <v>2</v>
      </c>
      <c r="CN3813">
        <v>0</v>
      </c>
      <c r="CO3813">
        <v>2</v>
      </c>
      <c r="CP3813">
        <v>0</v>
      </c>
      <c r="CQ3813">
        <v>7</v>
      </c>
      <c r="CR3813" t="s">
        <v>116</v>
      </c>
      <c r="CS3813">
        <v>305</v>
      </c>
      <c r="CT3813">
        <v>3</v>
      </c>
      <c r="CU3813" t="s">
        <v>6425</v>
      </c>
      <c r="CV3813" t="s">
        <v>6426</v>
      </c>
      <c r="CY3813">
        <v>6443969</v>
      </c>
      <c r="CZ3813" t="s">
        <v>119</v>
      </c>
    </row>
    <row r="3814" spans="1:104" x14ac:dyDescent="0.25">
      <c r="A3814" t="str">
        <f>"14:53:57.547"</f>
        <v>14:53:57.547</v>
      </c>
      <c r="B3814" t="s">
        <v>108</v>
      </c>
      <c r="C3814" t="str">
        <f t="shared" si="178"/>
        <v>ffdfd3c0</v>
      </c>
      <c r="D3814" t="s">
        <v>109</v>
      </c>
      <c r="E3814">
        <v>4</v>
      </c>
      <c r="F3814">
        <v>1004</v>
      </c>
      <c r="G3814" t="s">
        <v>110</v>
      </c>
      <c r="J3814" t="s">
        <v>111</v>
      </c>
      <c r="K3814">
        <v>0</v>
      </c>
      <c r="L3814">
        <v>3</v>
      </c>
      <c r="M3814">
        <v>0</v>
      </c>
      <c r="N3814">
        <v>2</v>
      </c>
      <c r="O3814">
        <v>1</v>
      </c>
      <c r="P3814">
        <v>0</v>
      </c>
      <c r="Q3814">
        <v>0</v>
      </c>
      <c r="R3814" t="s">
        <v>112</v>
      </c>
      <c r="S3814" t="str">
        <f>"14:53:57.352"</f>
        <v>14:53:57.352</v>
      </c>
      <c r="T3814" t="str">
        <f>"14:53:56.852"</f>
        <v>14:53:56.852</v>
      </c>
      <c r="U3814" t="str">
        <f t="shared" si="177"/>
        <v>ad5732</v>
      </c>
      <c r="V3814">
        <v>0</v>
      </c>
      <c r="W3814">
        <v>0</v>
      </c>
      <c r="X3814">
        <v>1</v>
      </c>
      <c r="Z3814">
        <v>0</v>
      </c>
      <c r="AA3814">
        <v>9</v>
      </c>
      <c r="AB3814">
        <v>3</v>
      </c>
      <c r="AC3814">
        <v>0</v>
      </c>
      <c r="AD3814">
        <v>10</v>
      </c>
      <c r="AE3814">
        <v>0</v>
      </c>
      <c r="AF3814">
        <v>3</v>
      </c>
      <c r="AG3814">
        <v>2</v>
      </c>
      <c r="AH3814">
        <v>0</v>
      </c>
      <c r="AI3814" t="s">
        <v>7676</v>
      </c>
      <c r="AJ3814">
        <v>40.481186000000001</v>
      </c>
      <c r="AK3814" t="s">
        <v>7677</v>
      </c>
      <c r="AL3814">
        <v>-74.376090000000005</v>
      </c>
      <c r="AM3814">
        <v>100</v>
      </c>
      <c r="AN3814">
        <v>1300</v>
      </c>
      <c r="AO3814" t="s">
        <v>115</v>
      </c>
      <c r="AP3814">
        <v>59</v>
      </c>
      <c r="AQ3814">
        <v>120</v>
      </c>
      <c r="AR3814">
        <v>-704</v>
      </c>
      <c r="AZ3814">
        <v>3614</v>
      </c>
      <c r="BA3814">
        <v>1</v>
      </c>
      <c r="BB3814" t="str">
        <f t="shared" si="179"/>
        <v xml:space="preserve">N959MJ  </v>
      </c>
      <c r="BC3814">
        <v>1</v>
      </c>
      <c r="BE3814">
        <v>0</v>
      </c>
      <c r="BF3814">
        <v>0</v>
      </c>
      <c r="BG3814">
        <v>0</v>
      </c>
      <c r="BH3814">
        <v>1600</v>
      </c>
      <c r="BI3814">
        <v>300</v>
      </c>
      <c r="BJ3814">
        <v>1</v>
      </c>
      <c r="BK3814">
        <v>1</v>
      </c>
      <c r="BL3814">
        <v>1</v>
      </c>
      <c r="BM3814">
        <v>0</v>
      </c>
      <c r="BP3814">
        <v>0</v>
      </c>
      <c r="BQ3814">
        <v>0</v>
      </c>
      <c r="BX3814" t="str">
        <f>"14:53:57.352"</f>
        <v>14:53:57.352</v>
      </c>
      <c r="BY3814" t="str">
        <f>"353208453"</f>
        <v>353208453</v>
      </c>
      <c r="CL3814">
        <v>3</v>
      </c>
      <c r="CM3814">
        <v>2</v>
      </c>
      <c r="CN3814">
        <v>0</v>
      </c>
      <c r="CO3814">
        <v>2</v>
      </c>
      <c r="CP3814">
        <v>0</v>
      </c>
      <c r="CQ3814">
        <v>7</v>
      </c>
      <c r="CR3814" t="s">
        <v>116</v>
      </c>
      <c r="CS3814">
        <v>305</v>
      </c>
      <c r="CT3814">
        <v>3</v>
      </c>
      <c r="CU3814" t="s">
        <v>6425</v>
      </c>
      <c r="CV3814" t="s">
        <v>6426</v>
      </c>
      <c r="CY3814">
        <v>6446046</v>
      </c>
      <c r="CZ3814" t="s">
        <v>119</v>
      </c>
    </row>
    <row r="3815" spans="1:104" x14ac:dyDescent="0.25">
      <c r="A3815" t="str">
        <f>"14:53:58.609"</f>
        <v>14:53:58.609</v>
      </c>
      <c r="B3815" t="s">
        <v>108</v>
      </c>
      <c r="C3815" t="str">
        <f t="shared" si="178"/>
        <v>ffdfd3c0</v>
      </c>
      <c r="D3815" t="s">
        <v>109</v>
      </c>
      <c r="E3815">
        <v>4</v>
      </c>
      <c r="F3815">
        <v>1004</v>
      </c>
      <c r="G3815" t="s">
        <v>110</v>
      </c>
      <c r="J3815" t="s">
        <v>111</v>
      </c>
      <c r="K3815">
        <v>0</v>
      </c>
      <c r="L3815">
        <v>3</v>
      </c>
      <c r="M3815">
        <v>0</v>
      </c>
      <c r="N3815">
        <v>2</v>
      </c>
      <c r="O3815">
        <v>1</v>
      </c>
      <c r="P3815">
        <v>0</v>
      </c>
      <c r="Q3815">
        <v>0</v>
      </c>
      <c r="R3815" t="s">
        <v>112</v>
      </c>
      <c r="S3815" t="str">
        <f>"14:53:58.430"</f>
        <v>14:53:58.430</v>
      </c>
      <c r="T3815" t="str">
        <f>"14:53:57.930"</f>
        <v>14:53:57.930</v>
      </c>
      <c r="U3815" t="str">
        <f t="shared" si="177"/>
        <v>ad5732</v>
      </c>
      <c r="V3815">
        <v>0</v>
      </c>
      <c r="W3815">
        <v>0</v>
      </c>
      <c r="X3815">
        <v>1</v>
      </c>
      <c r="Z3815">
        <v>0</v>
      </c>
      <c r="AA3815">
        <v>9</v>
      </c>
      <c r="AB3815">
        <v>3</v>
      </c>
      <c r="AC3815">
        <v>0</v>
      </c>
      <c r="AD3815">
        <v>10</v>
      </c>
      <c r="AE3815">
        <v>0</v>
      </c>
      <c r="AF3815">
        <v>3</v>
      </c>
      <c r="AG3815">
        <v>2</v>
      </c>
      <c r="AH3815">
        <v>0</v>
      </c>
      <c r="AI3815" t="s">
        <v>7678</v>
      </c>
      <c r="AJ3815">
        <v>40.481830000000002</v>
      </c>
      <c r="AK3815" t="s">
        <v>7679</v>
      </c>
      <c r="AL3815">
        <v>-74.375746000000007</v>
      </c>
      <c r="AM3815">
        <v>100</v>
      </c>
      <c r="AN3815">
        <v>1300</v>
      </c>
      <c r="AO3815" t="s">
        <v>115</v>
      </c>
      <c r="AP3815">
        <v>58</v>
      </c>
      <c r="AQ3815">
        <v>121</v>
      </c>
      <c r="AR3815">
        <v>-704</v>
      </c>
      <c r="AZ3815">
        <v>3614</v>
      </c>
      <c r="BA3815">
        <v>1</v>
      </c>
      <c r="BB3815" t="str">
        <f t="shared" si="179"/>
        <v xml:space="preserve">N959MJ  </v>
      </c>
      <c r="BC3815">
        <v>1</v>
      </c>
      <c r="BE3815">
        <v>0</v>
      </c>
      <c r="BF3815">
        <v>0</v>
      </c>
      <c r="BG3815">
        <v>0</v>
      </c>
      <c r="BH3815">
        <v>1600</v>
      </c>
      <c r="BI3815">
        <v>300</v>
      </c>
      <c r="BJ3815">
        <v>1</v>
      </c>
      <c r="BK3815">
        <v>1</v>
      </c>
      <c r="BL3815">
        <v>1</v>
      </c>
      <c r="BM3815">
        <v>0</v>
      </c>
      <c r="BP3815">
        <v>0</v>
      </c>
      <c r="BQ3815">
        <v>0</v>
      </c>
      <c r="BX3815" t="str">
        <f>"14:53:58.430"</f>
        <v>14:53:58.430</v>
      </c>
      <c r="BY3815" t="str">
        <f>"432981380"</f>
        <v>432981380</v>
      </c>
      <c r="CL3815">
        <v>3</v>
      </c>
      <c r="CM3815">
        <v>2</v>
      </c>
      <c r="CN3815">
        <v>0</v>
      </c>
      <c r="CO3815">
        <v>2</v>
      </c>
      <c r="CP3815">
        <v>0</v>
      </c>
      <c r="CQ3815">
        <v>6</v>
      </c>
      <c r="CR3815" t="s">
        <v>116</v>
      </c>
      <c r="CS3815">
        <v>38</v>
      </c>
      <c r="CT3815">
        <v>0</v>
      </c>
      <c r="CU3815" t="s">
        <v>4719</v>
      </c>
      <c r="CV3815" t="s">
        <v>4720</v>
      </c>
      <c r="CY3815">
        <v>8458725</v>
      </c>
      <c r="CZ3815" t="s">
        <v>119</v>
      </c>
    </row>
    <row r="3816" spans="1:104" x14ac:dyDescent="0.25">
      <c r="A3816" t="str">
        <f>"14:53:59.664"</f>
        <v>14:53:59.664</v>
      </c>
      <c r="B3816" t="s">
        <v>108</v>
      </c>
      <c r="C3816" t="str">
        <f t="shared" si="178"/>
        <v>ffdfd3c0</v>
      </c>
      <c r="D3816" t="s">
        <v>109</v>
      </c>
      <c r="E3816">
        <v>4</v>
      </c>
      <c r="F3816">
        <v>1004</v>
      </c>
      <c r="G3816" t="s">
        <v>110</v>
      </c>
      <c r="J3816" t="s">
        <v>111</v>
      </c>
      <c r="K3816">
        <v>0</v>
      </c>
      <c r="L3816">
        <v>3</v>
      </c>
      <c r="M3816">
        <v>0</v>
      </c>
      <c r="N3816">
        <v>2</v>
      </c>
      <c r="O3816">
        <v>1</v>
      </c>
      <c r="P3816">
        <v>0</v>
      </c>
      <c r="Q3816">
        <v>0</v>
      </c>
      <c r="R3816" t="s">
        <v>112</v>
      </c>
      <c r="S3816" t="str">
        <f>"14:53:59.438"</f>
        <v>14:53:59.438</v>
      </c>
      <c r="T3816" t="str">
        <f>"14:53:58.938"</f>
        <v>14:53:58.938</v>
      </c>
      <c r="U3816" t="str">
        <f t="shared" si="177"/>
        <v>ad5732</v>
      </c>
      <c r="V3816">
        <v>0</v>
      </c>
      <c r="W3816">
        <v>0</v>
      </c>
      <c r="X3816">
        <v>1</v>
      </c>
      <c r="Z3816">
        <v>0</v>
      </c>
      <c r="AA3816">
        <v>9</v>
      </c>
      <c r="AB3816">
        <v>3</v>
      </c>
      <c r="AC3816">
        <v>0</v>
      </c>
      <c r="AD3816">
        <v>10</v>
      </c>
      <c r="AE3816">
        <v>0</v>
      </c>
      <c r="AF3816">
        <v>3</v>
      </c>
      <c r="AG3816">
        <v>2</v>
      </c>
      <c r="AH3816">
        <v>0</v>
      </c>
      <c r="AI3816" t="s">
        <v>7680</v>
      </c>
      <c r="AJ3816">
        <v>40.482388</v>
      </c>
      <c r="AK3816" t="s">
        <v>7681</v>
      </c>
      <c r="AL3816">
        <v>-74.375381000000004</v>
      </c>
      <c r="AM3816">
        <v>100</v>
      </c>
      <c r="AN3816">
        <v>1300</v>
      </c>
      <c r="AO3816" t="s">
        <v>115</v>
      </c>
      <c r="AP3816">
        <v>58</v>
      </c>
      <c r="AQ3816">
        <v>122</v>
      </c>
      <c r="AR3816">
        <v>-704</v>
      </c>
      <c r="AZ3816">
        <v>3614</v>
      </c>
      <c r="BA3816">
        <v>1</v>
      </c>
      <c r="BB3816" t="str">
        <f t="shared" si="179"/>
        <v xml:space="preserve">N959MJ  </v>
      </c>
      <c r="BC3816">
        <v>1</v>
      </c>
      <c r="BE3816">
        <v>0</v>
      </c>
      <c r="BF3816">
        <v>0</v>
      </c>
      <c r="BG3816">
        <v>0</v>
      </c>
      <c r="BH3816">
        <v>1575</v>
      </c>
      <c r="BI3816">
        <v>275</v>
      </c>
      <c r="BJ3816">
        <v>1</v>
      </c>
      <c r="BK3816">
        <v>1</v>
      </c>
      <c r="BL3816">
        <v>1</v>
      </c>
      <c r="BM3816">
        <v>0</v>
      </c>
      <c r="BP3816">
        <v>0</v>
      </c>
      <c r="BQ3816">
        <v>0</v>
      </c>
      <c r="BX3816" t="str">
        <f>"14:53:59.438"</f>
        <v>14:53:59.438</v>
      </c>
      <c r="BY3816" t="str">
        <f>"440566726"</f>
        <v>440566726</v>
      </c>
      <c r="CL3816">
        <v>3</v>
      </c>
      <c r="CM3816">
        <v>2</v>
      </c>
      <c r="CN3816">
        <v>0</v>
      </c>
      <c r="CO3816">
        <v>2</v>
      </c>
      <c r="CP3816">
        <v>0</v>
      </c>
      <c r="CQ3816">
        <v>7</v>
      </c>
      <c r="CR3816" t="s">
        <v>116</v>
      </c>
      <c r="CS3816">
        <v>305</v>
      </c>
      <c r="CT3816">
        <v>3</v>
      </c>
      <c r="CU3816" t="s">
        <v>6425</v>
      </c>
      <c r="CV3816" t="s">
        <v>6426</v>
      </c>
      <c r="CY3816">
        <v>6450320</v>
      </c>
      <c r="CZ3816" t="s">
        <v>119</v>
      </c>
    </row>
    <row r="3817" spans="1:104" x14ac:dyDescent="0.25">
      <c r="A3817" t="str">
        <f>"14:54:00.727"</f>
        <v>14:54:00.727</v>
      </c>
      <c r="B3817" t="s">
        <v>108</v>
      </c>
      <c r="C3817" t="str">
        <f t="shared" si="178"/>
        <v>ffdfd3c0</v>
      </c>
      <c r="D3817" t="s">
        <v>109</v>
      </c>
      <c r="E3817">
        <v>4</v>
      </c>
      <c r="F3817">
        <v>1004</v>
      </c>
      <c r="G3817" t="s">
        <v>110</v>
      </c>
      <c r="J3817" t="s">
        <v>111</v>
      </c>
      <c r="K3817">
        <v>0</v>
      </c>
      <c r="L3817">
        <v>3</v>
      </c>
      <c r="M3817">
        <v>0</v>
      </c>
      <c r="N3817">
        <v>2</v>
      </c>
      <c r="O3817">
        <v>1</v>
      </c>
      <c r="P3817">
        <v>0</v>
      </c>
      <c r="Q3817">
        <v>0</v>
      </c>
      <c r="R3817" t="s">
        <v>112</v>
      </c>
      <c r="S3817" t="str">
        <f>"14:54:00.547"</f>
        <v>14:54:00.547</v>
      </c>
      <c r="T3817" t="str">
        <f>"14:54:00.047"</f>
        <v>14:54:00.047</v>
      </c>
      <c r="U3817" t="str">
        <f t="shared" si="177"/>
        <v>ad5732</v>
      </c>
      <c r="V3817">
        <v>0</v>
      </c>
      <c r="W3817">
        <v>0</v>
      </c>
      <c r="X3817">
        <v>1</v>
      </c>
      <c r="Z3817">
        <v>0</v>
      </c>
      <c r="AA3817">
        <v>9</v>
      </c>
      <c r="AB3817">
        <v>3</v>
      </c>
      <c r="AC3817">
        <v>0</v>
      </c>
      <c r="AD3817">
        <v>10</v>
      </c>
      <c r="AE3817">
        <v>0</v>
      </c>
      <c r="AF3817">
        <v>3</v>
      </c>
      <c r="AG3817">
        <v>2</v>
      </c>
      <c r="AH3817">
        <v>0</v>
      </c>
      <c r="AI3817" t="s">
        <v>7682</v>
      </c>
      <c r="AJ3817">
        <v>40.482967000000002</v>
      </c>
      <c r="AK3817" t="s">
        <v>7683</v>
      </c>
      <c r="AL3817">
        <v>-74.374994999999998</v>
      </c>
      <c r="AM3817">
        <v>100</v>
      </c>
      <c r="AN3817">
        <v>1300</v>
      </c>
      <c r="AO3817" t="s">
        <v>115</v>
      </c>
      <c r="AP3817">
        <v>58</v>
      </c>
      <c r="AQ3817">
        <v>122</v>
      </c>
      <c r="AR3817">
        <v>-704</v>
      </c>
      <c r="AZ3817">
        <v>3614</v>
      </c>
      <c r="BA3817">
        <v>1</v>
      </c>
      <c r="BB3817" t="str">
        <f t="shared" si="179"/>
        <v xml:space="preserve">N959MJ  </v>
      </c>
      <c r="BC3817">
        <v>1</v>
      </c>
      <c r="BE3817">
        <v>0</v>
      </c>
      <c r="BF3817">
        <v>0</v>
      </c>
      <c r="BG3817">
        <v>0</v>
      </c>
      <c r="BH3817">
        <v>1575</v>
      </c>
      <c r="BI3817">
        <v>275</v>
      </c>
      <c r="BJ3817">
        <v>1</v>
      </c>
      <c r="BK3817">
        <v>1</v>
      </c>
      <c r="BL3817">
        <v>1</v>
      </c>
      <c r="BM3817">
        <v>0</v>
      </c>
      <c r="BP3817">
        <v>0</v>
      </c>
      <c r="BQ3817">
        <v>0</v>
      </c>
      <c r="BX3817" t="str">
        <f>"14:54:00.555"</f>
        <v>14:54:00.555</v>
      </c>
      <c r="BY3817" t="str">
        <f>"551470233"</f>
        <v>551470233</v>
      </c>
      <c r="CL3817">
        <v>3</v>
      </c>
      <c r="CM3817">
        <v>2</v>
      </c>
      <c r="CN3817">
        <v>0</v>
      </c>
      <c r="CO3817">
        <v>2</v>
      </c>
      <c r="CP3817">
        <v>0</v>
      </c>
      <c r="CQ3817">
        <v>6</v>
      </c>
      <c r="CR3817" t="s">
        <v>116</v>
      </c>
      <c r="CS3817">
        <v>38</v>
      </c>
      <c r="CT3817">
        <v>0</v>
      </c>
      <c r="CU3817" t="s">
        <v>4719</v>
      </c>
      <c r="CV3817" t="s">
        <v>4720</v>
      </c>
      <c r="CY3817">
        <v>8462136</v>
      </c>
      <c r="CZ3817" t="s">
        <v>119</v>
      </c>
    </row>
    <row r="3818" spans="1:104" x14ac:dyDescent="0.25">
      <c r="A3818" t="str">
        <f>"14:54:01.734"</f>
        <v>14:54:01.734</v>
      </c>
      <c r="B3818" t="s">
        <v>108</v>
      </c>
      <c r="C3818" t="str">
        <f t="shared" si="178"/>
        <v>ffdfd3c0</v>
      </c>
      <c r="D3818" t="s">
        <v>109</v>
      </c>
      <c r="E3818">
        <v>4</v>
      </c>
      <c r="F3818">
        <v>1004</v>
      </c>
      <c r="G3818" t="s">
        <v>110</v>
      </c>
      <c r="J3818" t="s">
        <v>111</v>
      </c>
      <c r="K3818">
        <v>0</v>
      </c>
      <c r="L3818">
        <v>3</v>
      </c>
      <c r="M3818">
        <v>0</v>
      </c>
      <c r="N3818">
        <v>2</v>
      </c>
      <c r="O3818">
        <v>1</v>
      </c>
      <c r="P3818">
        <v>0</v>
      </c>
      <c r="Q3818">
        <v>0</v>
      </c>
      <c r="R3818" t="s">
        <v>112</v>
      </c>
      <c r="S3818" t="str">
        <f>"14:54:01.508"</f>
        <v>14:54:01.508</v>
      </c>
      <c r="T3818" t="str">
        <f>"14:54:01.008"</f>
        <v>14:54:01.008</v>
      </c>
      <c r="U3818" t="str">
        <f t="shared" si="177"/>
        <v>ad5732</v>
      </c>
      <c r="V3818">
        <v>0</v>
      </c>
      <c r="W3818">
        <v>0</v>
      </c>
      <c r="X3818">
        <v>1</v>
      </c>
      <c r="Z3818">
        <v>0</v>
      </c>
      <c r="AA3818">
        <v>9</v>
      </c>
      <c r="AB3818">
        <v>3</v>
      </c>
      <c r="AC3818">
        <v>0</v>
      </c>
      <c r="AD3818">
        <v>10</v>
      </c>
      <c r="AE3818">
        <v>0</v>
      </c>
      <c r="AF3818">
        <v>3</v>
      </c>
      <c r="AG3818">
        <v>2</v>
      </c>
      <c r="AH3818">
        <v>0</v>
      </c>
      <c r="AI3818" t="s">
        <v>7684</v>
      </c>
      <c r="AJ3818">
        <v>40.483502999999999</v>
      </c>
      <c r="AK3818" t="s">
        <v>7685</v>
      </c>
      <c r="AL3818">
        <v>-74.374695000000003</v>
      </c>
      <c r="AM3818">
        <v>100</v>
      </c>
      <c r="AN3818">
        <v>1300</v>
      </c>
      <c r="AO3818" t="s">
        <v>115</v>
      </c>
      <c r="AP3818">
        <v>58</v>
      </c>
      <c r="AQ3818">
        <v>123</v>
      </c>
      <c r="AR3818">
        <v>-704</v>
      </c>
      <c r="AZ3818">
        <v>3614</v>
      </c>
      <c r="BA3818">
        <v>1</v>
      </c>
      <c r="BB3818" t="str">
        <f t="shared" si="179"/>
        <v xml:space="preserve">N959MJ  </v>
      </c>
      <c r="BC3818">
        <v>1</v>
      </c>
      <c r="BE3818">
        <v>0</v>
      </c>
      <c r="BF3818">
        <v>0</v>
      </c>
      <c r="BG3818">
        <v>0</v>
      </c>
      <c r="BH3818">
        <v>1550</v>
      </c>
      <c r="BI3818">
        <v>250</v>
      </c>
      <c r="BJ3818">
        <v>1</v>
      </c>
      <c r="BK3818">
        <v>1</v>
      </c>
      <c r="BL3818">
        <v>1</v>
      </c>
      <c r="BM3818">
        <v>0</v>
      </c>
      <c r="BP3818">
        <v>0</v>
      </c>
      <c r="BQ3818">
        <v>0</v>
      </c>
      <c r="BX3818" t="str">
        <f>"14:54:01.508"</f>
        <v>14:54:01.508</v>
      </c>
      <c r="BY3818" t="str">
        <f>"509902197"</f>
        <v>509902197</v>
      </c>
      <c r="CL3818">
        <v>3</v>
      </c>
      <c r="CM3818">
        <v>2</v>
      </c>
      <c r="CN3818">
        <v>0</v>
      </c>
      <c r="CO3818">
        <v>2</v>
      </c>
      <c r="CP3818">
        <v>0</v>
      </c>
      <c r="CQ3818">
        <v>7</v>
      </c>
      <c r="CR3818" t="s">
        <v>116</v>
      </c>
      <c r="CS3818">
        <v>305</v>
      </c>
      <c r="CT3818">
        <v>3</v>
      </c>
      <c r="CU3818" t="s">
        <v>6425</v>
      </c>
      <c r="CV3818" t="s">
        <v>6426</v>
      </c>
      <c r="CY3818">
        <v>6454495</v>
      </c>
      <c r="CZ3818" t="s">
        <v>119</v>
      </c>
    </row>
    <row r="3819" spans="1:104" x14ac:dyDescent="0.25">
      <c r="A3819" t="str">
        <f>"14:54:02.695"</f>
        <v>14:54:02.695</v>
      </c>
      <c r="B3819" t="s">
        <v>108</v>
      </c>
      <c r="C3819" t="str">
        <f t="shared" si="178"/>
        <v>ffdfd3c0</v>
      </c>
      <c r="D3819" t="s">
        <v>109</v>
      </c>
      <c r="E3819">
        <v>4</v>
      </c>
      <c r="F3819">
        <v>1004</v>
      </c>
      <c r="G3819" t="s">
        <v>110</v>
      </c>
      <c r="J3819" t="s">
        <v>111</v>
      </c>
      <c r="K3819">
        <v>0</v>
      </c>
      <c r="L3819">
        <v>3</v>
      </c>
      <c r="M3819">
        <v>0</v>
      </c>
      <c r="N3819">
        <v>2</v>
      </c>
      <c r="O3819">
        <v>1</v>
      </c>
      <c r="P3819">
        <v>0</v>
      </c>
      <c r="Q3819">
        <v>0</v>
      </c>
      <c r="R3819" t="s">
        <v>112</v>
      </c>
      <c r="S3819" t="str">
        <f>"14:54:02.508"</f>
        <v>14:54:02.508</v>
      </c>
      <c r="T3819" t="str">
        <f>"14:54:02.008"</f>
        <v>14:54:02.008</v>
      </c>
      <c r="U3819" t="str">
        <f t="shared" si="177"/>
        <v>ad5732</v>
      </c>
      <c r="V3819">
        <v>0</v>
      </c>
      <c r="W3819">
        <v>0</v>
      </c>
      <c r="X3819">
        <v>1</v>
      </c>
      <c r="Z3819">
        <v>0</v>
      </c>
      <c r="AA3819">
        <v>9</v>
      </c>
      <c r="AB3819">
        <v>3</v>
      </c>
      <c r="AC3819">
        <v>0</v>
      </c>
      <c r="AD3819">
        <v>10</v>
      </c>
      <c r="AE3819">
        <v>0</v>
      </c>
      <c r="AF3819">
        <v>3</v>
      </c>
      <c r="AG3819">
        <v>2</v>
      </c>
      <c r="AH3819">
        <v>0</v>
      </c>
      <c r="AI3819" t="s">
        <v>7686</v>
      </c>
      <c r="AJ3819">
        <v>40.484060999999997</v>
      </c>
      <c r="AK3819" t="s">
        <v>7687</v>
      </c>
      <c r="AL3819">
        <v>-74.37433</v>
      </c>
      <c r="AM3819">
        <v>100</v>
      </c>
      <c r="AN3819">
        <v>1300</v>
      </c>
      <c r="AO3819" t="s">
        <v>115</v>
      </c>
      <c r="AP3819">
        <v>58</v>
      </c>
      <c r="AQ3819">
        <v>123</v>
      </c>
      <c r="AR3819">
        <v>-704</v>
      </c>
      <c r="AZ3819">
        <v>3614</v>
      </c>
      <c r="BA3819">
        <v>1</v>
      </c>
      <c r="BB3819" t="str">
        <f t="shared" si="179"/>
        <v xml:space="preserve">N959MJ  </v>
      </c>
      <c r="BC3819">
        <v>1</v>
      </c>
      <c r="BE3819">
        <v>0</v>
      </c>
      <c r="BF3819">
        <v>0</v>
      </c>
      <c r="BG3819">
        <v>0</v>
      </c>
      <c r="BH3819">
        <v>1550</v>
      </c>
      <c r="BI3819">
        <v>250</v>
      </c>
      <c r="BJ3819">
        <v>1</v>
      </c>
      <c r="BK3819">
        <v>1</v>
      </c>
      <c r="BL3819">
        <v>1</v>
      </c>
      <c r="BM3819">
        <v>0</v>
      </c>
      <c r="BP3819">
        <v>0</v>
      </c>
      <c r="BQ3819">
        <v>0</v>
      </c>
      <c r="BX3819" t="str">
        <f>"14:54:02.516"</f>
        <v>14:54:02.516</v>
      </c>
      <c r="BY3819" t="str">
        <f>"512669938"</f>
        <v>512669938</v>
      </c>
      <c r="CL3819">
        <v>3</v>
      </c>
      <c r="CM3819">
        <v>2</v>
      </c>
      <c r="CN3819">
        <v>0</v>
      </c>
      <c r="CO3819">
        <v>2</v>
      </c>
      <c r="CP3819">
        <v>0</v>
      </c>
      <c r="CQ3819">
        <v>6</v>
      </c>
      <c r="CR3819" t="s">
        <v>116</v>
      </c>
      <c r="CS3819">
        <v>38</v>
      </c>
      <c r="CT3819">
        <v>0</v>
      </c>
      <c r="CU3819" t="s">
        <v>4719</v>
      </c>
      <c r="CV3819" t="s">
        <v>4720</v>
      </c>
      <c r="CY3819">
        <v>8465121</v>
      </c>
      <c r="CZ3819" t="s">
        <v>119</v>
      </c>
    </row>
    <row r="3820" spans="1:104" x14ac:dyDescent="0.25">
      <c r="A3820" t="str">
        <f>"14:54:03.656"</f>
        <v>14:54:03.656</v>
      </c>
      <c r="B3820" t="s">
        <v>108</v>
      </c>
      <c r="C3820" t="str">
        <f t="shared" si="178"/>
        <v>ffdfd3c0</v>
      </c>
      <c r="D3820" t="s">
        <v>109</v>
      </c>
      <c r="E3820">
        <v>4</v>
      </c>
      <c r="F3820">
        <v>1004</v>
      </c>
      <c r="G3820" t="s">
        <v>110</v>
      </c>
      <c r="J3820" t="s">
        <v>111</v>
      </c>
      <c r="K3820">
        <v>0</v>
      </c>
      <c r="L3820">
        <v>3</v>
      </c>
      <c r="M3820">
        <v>0</v>
      </c>
      <c r="N3820">
        <v>2</v>
      </c>
      <c r="O3820">
        <v>1</v>
      </c>
      <c r="P3820">
        <v>0</v>
      </c>
      <c r="Q3820">
        <v>0</v>
      </c>
      <c r="R3820" t="s">
        <v>112</v>
      </c>
      <c r="S3820" t="str">
        <f>"14:54:03.469"</f>
        <v>14:54:03.469</v>
      </c>
      <c r="T3820" t="str">
        <f>"14:54:03.070"</f>
        <v>14:54:03.070</v>
      </c>
      <c r="U3820" t="str">
        <f t="shared" si="177"/>
        <v>ad5732</v>
      </c>
      <c r="V3820">
        <v>0</v>
      </c>
      <c r="W3820">
        <v>0</v>
      </c>
      <c r="X3820">
        <v>1</v>
      </c>
      <c r="Z3820">
        <v>0</v>
      </c>
      <c r="AA3820">
        <v>9</v>
      </c>
      <c r="AB3820">
        <v>3</v>
      </c>
      <c r="AC3820">
        <v>0</v>
      </c>
      <c r="AD3820">
        <v>10</v>
      </c>
      <c r="AE3820">
        <v>0</v>
      </c>
      <c r="AF3820">
        <v>3</v>
      </c>
      <c r="AG3820">
        <v>2</v>
      </c>
      <c r="AH3820">
        <v>0</v>
      </c>
      <c r="AI3820" t="s">
        <v>7688</v>
      </c>
      <c r="AJ3820">
        <v>40.484662</v>
      </c>
      <c r="AK3820" t="s">
        <v>7689</v>
      </c>
      <c r="AL3820">
        <v>-74.373943999999995</v>
      </c>
      <c r="AM3820">
        <v>100</v>
      </c>
      <c r="AN3820">
        <v>1300</v>
      </c>
      <c r="AO3820" t="s">
        <v>115</v>
      </c>
      <c r="AP3820">
        <v>58</v>
      </c>
      <c r="AQ3820">
        <v>123</v>
      </c>
      <c r="AR3820">
        <v>-640</v>
      </c>
      <c r="AZ3820">
        <v>3614</v>
      </c>
      <c r="BA3820">
        <v>1</v>
      </c>
      <c r="BB3820" t="str">
        <f t="shared" si="179"/>
        <v xml:space="preserve">N959MJ  </v>
      </c>
      <c r="BC3820">
        <v>1</v>
      </c>
      <c r="BE3820">
        <v>0</v>
      </c>
      <c r="BF3820">
        <v>0</v>
      </c>
      <c r="BG3820">
        <v>0</v>
      </c>
      <c r="BH3820">
        <v>1525</v>
      </c>
      <c r="BI3820">
        <v>225</v>
      </c>
      <c r="BJ3820">
        <v>1</v>
      </c>
      <c r="BK3820">
        <v>1</v>
      </c>
      <c r="BL3820">
        <v>1</v>
      </c>
      <c r="BM3820">
        <v>0</v>
      </c>
      <c r="BP3820">
        <v>0</v>
      </c>
      <c r="BQ3820">
        <v>0</v>
      </c>
      <c r="BX3820" t="str">
        <f>"14:54:03.477"</f>
        <v>14:54:03.477</v>
      </c>
      <c r="BY3820" t="str">
        <f>"476016745"</f>
        <v>476016745</v>
      </c>
      <c r="CL3820">
        <v>3</v>
      </c>
      <c r="CM3820">
        <v>2</v>
      </c>
      <c r="CN3820">
        <v>0</v>
      </c>
      <c r="CO3820">
        <v>2</v>
      </c>
      <c r="CP3820">
        <v>0</v>
      </c>
      <c r="CQ3820">
        <v>7</v>
      </c>
      <c r="CR3820" t="s">
        <v>116</v>
      </c>
      <c r="CS3820">
        <v>305</v>
      </c>
      <c r="CT3820">
        <v>3</v>
      </c>
      <c r="CU3820" t="s">
        <v>6425</v>
      </c>
      <c r="CV3820" t="s">
        <v>6426</v>
      </c>
      <c r="CY3820">
        <v>6458569</v>
      </c>
      <c r="CZ3820" t="s">
        <v>119</v>
      </c>
    </row>
    <row r="3821" spans="1:104" x14ac:dyDescent="0.25">
      <c r="A3821" t="str">
        <f>"14:54:04.617"</f>
        <v>14:54:04.617</v>
      </c>
      <c r="B3821" t="s">
        <v>108</v>
      </c>
      <c r="C3821" t="str">
        <f t="shared" si="178"/>
        <v>ffdfd3c0</v>
      </c>
      <c r="D3821" t="s">
        <v>109</v>
      </c>
      <c r="E3821">
        <v>4</v>
      </c>
      <c r="F3821">
        <v>1004</v>
      </c>
      <c r="G3821" t="s">
        <v>110</v>
      </c>
      <c r="J3821" t="s">
        <v>111</v>
      </c>
      <c r="K3821">
        <v>0</v>
      </c>
      <c r="L3821">
        <v>3</v>
      </c>
      <c r="M3821">
        <v>0</v>
      </c>
      <c r="N3821">
        <v>2</v>
      </c>
      <c r="O3821">
        <v>1</v>
      </c>
      <c r="P3821">
        <v>0</v>
      </c>
      <c r="Q3821">
        <v>0</v>
      </c>
      <c r="R3821" t="s">
        <v>112</v>
      </c>
      <c r="S3821" t="str">
        <f>"14:54:04.453"</f>
        <v>14:54:04.453</v>
      </c>
      <c r="T3821" t="str">
        <f>"14:54:04.055"</f>
        <v>14:54:04.055</v>
      </c>
      <c r="U3821" t="str">
        <f t="shared" si="177"/>
        <v>ad5732</v>
      </c>
      <c r="V3821">
        <v>0</v>
      </c>
      <c r="W3821">
        <v>0</v>
      </c>
      <c r="X3821">
        <v>1</v>
      </c>
      <c r="Z3821">
        <v>0</v>
      </c>
      <c r="AA3821">
        <v>9</v>
      </c>
      <c r="AB3821">
        <v>3</v>
      </c>
      <c r="AC3821">
        <v>0</v>
      </c>
      <c r="AD3821">
        <v>10</v>
      </c>
      <c r="AE3821">
        <v>0</v>
      </c>
      <c r="AF3821">
        <v>3</v>
      </c>
      <c r="AG3821">
        <v>2</v>
      </c>
      <c r="AH3821">
        <v>0</v>
      </c>
      <c r="AI3821" t="s">
        <v>7690</v>
      </c>
      <c r="AJ3821">
        <v>40.485219999999998</v>
      </c>
      <c r="AK3821" t="s">
        <v>7691</v>
      </c>
      <c r="AL3821">
        <v>-74.373643000000001</v>
      </c>
      <c r="AM3821">
        <v>100</v>
      </c>
      <c r="AN3821">
        <v>1300</v>
      </c>
      <c r="AO3821" t="s">
        <v>115</v>
      </c>
      <c r="AP3821">
        <v>58</v>
      </c>
      <c r="AQ3821">
        <v>124</v>
      </c>
      <c r="AR3821">
        <v>-640</v>
      </c>
      <c r="AZ3821">
        <v>3614</v>
      </c>
      <c r="BA3821">
        <v>1</v>
      </c>
      <c r="BB3821" t="str">
        <f t="shared" si="179"/>
        <v xml:space="preserve">N959MJ  </v>
      </c>
      <c r="BC3821">
        <v>1</v>
      </c>
      <c r="BE3821">
        <v>0</v>
      </c>
      <c r="BF3821">
        <v>0</v>
      </c>
      <c r="BG3821">
        <v>0</v>
      </c>
      <c r="BH3821">
        <v>1525</v>
      </c>
      <c r="BI3821">
        <v>225</v>
      </c>
      <c r="BJ3821">
        <v>1</v>
      </c>
      <c r="BK3821">
        <v>1</v>
      </c>
      <c r="BL3821">
        <v>1</v>
      </c>
      <c r="BM3821">
        <v>0</v>
      </c>
      <c r="BP3821">
        <v>0</v>
      </c>
      <c r="BQ3821">
        <v>0</v>
      </c>
      <c r="BX3821" t="str">
        <f>"14:54:04.453"</f>
        <v>14:54:04.453</v>
      </c>
      <c r="BY3821" t="str">
        <f>"454158667"</f>
        <v>454158667</v>
      </c>
      <c r="CL3821">
        <v>3</v>
      </c>
      <c r="CM3821">
        <v>2</v>
      </c>
      <c r="CN3821">
        <v>0</v>
      </c>
      <c r="CO3821">
        <v>2</v>
      </c>
      <c r="CP3821">
        <v>0</v>
      </c>
      <c r="CQ3821">
        <v>7</v>
      </c>
      <c r="CR3821" t="s">
        <v>116</v>
      </c>
      <c r="CS3821">
        <v>305</v>
      </c>
      <c r="CT3821">
        <v>3</v>
      </c>
      <c r="CU3821" t="s">
        <v>6425</v>
      </c>
      <c r="CV3821" t="s">
        <v>6426</v>
      </c>
      <c r="CY3821">
        <v>6460529</v>
      </c>
      <c r="CZ3821" t="s">
        <v>119</v>
      </c>
    </row>
    <row r="3822" spans="1:104" x14ac:dyDescent="0.25">
      <c r="A3822" t="str">
        <f>"14:54:05.625"</f>
        <v>14:54:05.625</v>
      </c>
      <c r="B3822" t="s">
        <v>108</v>
      </c>
      <c r="C3822" t="str">
        <f t="shared" si="178"/>
        <v>ffdfd3c0</v>
      </c>
      <c r="D3822" t="s">
        <v>109</v>
      </c>
      <c r="E3822">
        <v>4</v>
      </c>
      <c r="F3822">
        <v>1004</v>
      </c>
      <c r="G3822" t="s">
        <v>110</v>
      </c>
      <c r="J3822" t="s">
        <v>111</v>
      </c>
      <c r="K3822">
        <v>0</v>
      </c>
      <c r="L3822">
        <v>3</v>
      </c>
      <c r="M3822">
        <v>0</v>
      </c>
      <c r="N3822">
        <v>2</v>
      </c>
      <c r="O3822">
        <v>1</v>
      </c>
      <c r="P3822">
        <v>0</v>
      </c>
      <c r="Q3822">
        <v>0</v>
      </c>
      <c r="R3822" t="s">
        <v>112</v>
      </c>
      <c r="S3822" t="str">
        <f>"14:54:05.453"</f>
        <v>14:54:05.453</v>
      </c>
      <c r="T3822" t="str">
        <f>"14:54:04.953"</f>
        <v>14:54:04.953</v>
      </c>
      <c r="U3822" t="str">
        <f t="shared" si="177"/>
        <v>ad5732</v>
      </c>
      <c r="V3822">
        <v>0</v>
      </c>
      <c r="W3822">
        <v>0</v>
      </c>
      <c r="X3822">
        <v>1</v>
      </c>
      <c r="Z3822">
        <v>0</v>
      </c>
      <c r="AA3822">
        <v>9</v>
      </c>
      <c r="AB3822">
        <v>3</v>
      </c>
      <c r="AC3822">
        <v>0</v>
      </c>
      <c r="AD3822">
        <v>10</v>
      </c>
      <c r="AE3822">
        <v>0</v>
      </c>
      <c r="AF3822">
        <v>3</v>
      </c>
      <c r="AG3822">
        <v>2</v>
      </c>
      <c r="AH3822">
        <v>0</v>
      </c>
      <c r="AI3822" t="s">
        <v>7692</v>
      </c>
      <c r="AJ3822">
        <v>40.485778000000003</v>
      </c>
      <c r="AK3822" t="s">
        <v>7693</v>
      </c>
      <c r="AL3822">
        <v>-74.373256999999995</v>
      </c>
      <c r="AM3822">
        <v>100</v>
      </c>
      <c r="AN3822">
        <v>1200</v>
      </c>
      <c r="AO3822" t="s">
        <v>115</v>
      </c>
      <c r="AP3822">
        <v>58</v>
      </c>
      <c r="AQ3822">
        <v>124</v>
      </c>
      <c r="AR3822">
        <v>-704</v>
      </c>
      <c r="AZ3822">
        <v>3614</v>
      </c>
      <c r="BA3822">
        <v>1</v>
      </c>
      <c r="BB3822" t="str">
        <f t="shared" si="179"/>
        <v xml:space="preserve">N959MJ  </v>
      </c>
      <c r="BC3822">
        <v>1</v>
      </c>
      <c r="BE3822">
        <v>0</v>
      </c>
      <c r="BF3822">
        <v>0</v>
      </c>
      <c r="BG3822">
        <v>0</v>
      </c>
      <c r="BH3822">
        <v>1500</v>
      </c>
      <c r="BI3822">
        <v>300</v>
      </c>
      <c r="BJ3822">
        <v>1</v>
      </c>
      <c r="BK3822">
        <v>1</v>
      </c>
      <c r="BL3822">
        <v>1</v>
      </c>
      <c r="BM3822">
        <v>0</v>
      </c>
      <c r="BP3822">
        <v>0</v>
      </c>
      <c r="BQ3822">
        <v>0</v>
      </c>
      <c r="BX3822" t="str">
        <f>"14:54:05.453"</f>
        <v>14:54:05.453</v>
      </c>
      <c r="BY3822" t="str">
        <f>"455361353"</f>
        <v>455361353</v>
      </c>
      <c r="CL3822">
        <v>3</v>
      </c>
      <c r="CM3822">
        <v>2</v>
      </c>
      <c r="CN3822">
        <v>0</v>
      </c>
      <c r="CO3822">
        <v>2</v>
      </c>
      <c r="CP3822">
        <v>0</v>
      </c>
      <c r="CQ3822">
        <v>6</v>
      </c>
      <c r="CR3822" t="s">
        <v>116</v>
      </c>
      <c r="CS3822">
        <v>409</v>
      </c>
      <c r="CT3822">
        <v>1</v>
      </c>
      <c r="CU3822" t="s">
        <v>5087</v>
      </c>
      <c r="CV3822" t="s">
        <v>5088</v>
      </c>
      <c r="CY3822">
        <v>4996142</v>
      </c>
      <c r="CZ3822" t="s">
        <v>119</v>
      </c>
    </row>
    <row r="3823" spans="1:104" x14ac:dyDescent="0.25">
      <c r="A3823" t="str">
        <f>"14:54:06.789"</f>
        <v>14:54:06.789</v>
      </c>
      <c r="B3823" t="s">
        <v>108</v>
      </c>
      <c r="C3823" t="str">
        <f t="shared" si="178"/>
        <v>ffdfd3c0</v>
      </c>
      <c r="D3823" t="s">
        <v>109</v>
      </c>
      <c r="E3823">
        <v>4</v>
      </c>
      <c r="F3823">
        <v>1004</v>
      </c>
      <c r="G3823" t="s">
        <v>110</v>
      </c>
      <c r="J3823" t="s">
        <v>111</v>
      </c>
      <c r="K3823">
        <v>0</v>
      </c>
      <c r="L3823">
        <v>3</v>
      </c>
      <c r="M3823">
        <v>0</v>
      </c>
      <c r="N3823">
        <v>2</v>
      </c>
      <c r="O3823">
        <v>1</v>
      </c>
      <c r="P3823">
        <v>0</v>
      </c>
      <c r="Q3823">
        <v>0</v>
      </c>
      <c r="R3823" t="s">
        <v>112</v>
      </c>
      <c r="S3823" t="str">
        <f>"14:54:06.609"</f>
        <v>14:54:06.609</v>
      </c>
      <c r="T3823" t="str">
        <f>"14:54:06.109"</f>
        <v>14:54:06.109</v>
      </c>
      <c r="U3823" t="str">
        <f t="shared" si="177"/>
        <v>ad5732</v>
      </c>
      <c r="V3823">
        <v>0</v>
      </c>
      <c r="W3823">
        <v>0</v>
      </c>
      <c r="X3823">
        <v>1</v>
      </c>
      <c r="Z3823">
        <v>0</v>
      </c>
      <c r="AA3823">
        <v>9</v>
      </c>
      <c r="AB3823">
        <v>3</v>
      </c>
      <c r="AC3823">
        <v>0</v>
      </c>
      <c r="AD3823">
        <v>10</v>
      </c>
      <c r="AE3823">
        <v>0</v>
      </c>
      <c r="AF3823">
        <v>3</v>
      </c>
      <c r="AG3823">
        <v>2</v>
      </c>
      <c r="AH3823">
        <v>0</v>
      </c>
      <c r="AI3823" t="s">
        <v>7694</v>
      </c>
      <c r="AJ3823">
        <v>40.486443000000001</v>
      </c>
      <c r="AK3823" t="s">
        <v>7695</v>
      </c>
      <c r="AL3823">
        <v>-74.372871000000004</v>
      </c>
      <c r="AM3823">
        <v>100</v>
      </c>
      <c r="AN3823">
        <v>1200</v>
      </c>
      <c r="AO3823" t="s">
        <v>115</v>
      </c>
      <c r="AP3823">
        <v>58</v>
      </c>
      <c r="AQ3823">
        <v>125</v>
      </c>
      <c r="AR3823">
        <v>-768</v>
      </c>
      <c r="AZ3823">
        <v>3614</v>
      </c>
      <c r="BA3823">
        <v>1</v>
      </c>
      <c r="BB3823" t="str">
        <f t="shared" si="179"/>
        <v xml:space="preserve">N959MJ  </v>
      </c>
      <c r="BC3823">
        <v>1</v>
      </c>
      <c r="BE3823">
        <v>0</v>
      </c>
      <c r="BF3823">
        <v>0</v>
      </c>
      <c r="BG3823">
        <v>0</v>
      </c>
      <c r="BH3823">
        <v>1500</v>
      </c>
      <c r="BI3823">
        <v>300</v>
      </c>
      <c r="BJ3823">
        <v>1</v>
      </c>
      <c r="BK3823">
        <v>1</v>
      </c>
      <c r="BL3823">
        <v>1</v>
      </c>
      <c r="BM3823">
        <v>0</v>
      </c>
      <c r="BP3823">
        <v>0</v>
      </c>
      <c r="BQ3823">
        <v>0</v>
      </c>
      <c r="BX3823" t="str">
        <f>"14:54:06.617"</f>
        <v>14:54:06.617</v>
      </c>
      <c r="BY3823" t="str">
        <f>"613657984"</f>
        <v>613657984</v>
      </c>
      <c r="CL3823">
        <v>3</v>
      </c>
      <c r="CM3823">
        <v>2</v>
      </c>
      <c r="CN3823">
        <v>0</v>
      </c>
      <c r="CO3823">
        <v>2</v>
      </c>
      <c r="CP3823">
        <v>0</v>
      </c>
      <c r="CQ3823">
        <v>6</v>
      </c>
      <c r="CR3823" t="s">
        <v>116</v>
      </c>
      <c r="CS3823">
        <v>38</v>
      </c>
      <c r="CT3823">
        <v>0</v>
      </c>
      <c r="CU3823" t="s">
        <v>4719</v>
      </c>
      <c r="CV3823" t="s">
        <v>4720</v>
      </c>
      <c r="CY3823">
        <v>8471595</v>
      </c>
      <c r="CZ3823" t="s">
        <v>119</v>
      </c>
    </row>
    <row r="3824" spans="1:104" x14ac:dyDescent="0.25">
      <c r="A3824" t="str">
        <f>"14:54:07.797"</f>
        <v>14:54:07.797</v>
      </c>
      <c r="B3824" t="s">
        <v>108</v>
      </c>
      <c r="C3824" t="str">
        <f t="shared" si="178"/>
        <v>ffdfd3c0</v>
      </c>
      <c r="D3824" t="s">
        <v>109</v>
      </c>
      <c r="E3824">
        <v>4</v>
      </c>
      <c r="F3824">
        <v>1004</v>
      </c>
      <c r="G3824" t="s">
        <v>110</v>
      </c>
      <c r="J3824" t="s">
        <v>111</v>
      </c>
      <c r="K3824">
        <v>0</v>
      </c>
      <c r="L3824">
        <v>3</v>
      </c>
      <c r="M3824">
        <v>0</v>
      </c>
      <c r="N3824">
        <v>2</v>
      </c>
      <c r="O3824">
        <v>1</v>
      </c>
      <c r="P3824">
        <v>0</v>
      </c>
      <c r="Q3824">
        <v>0</v>
      </c>
      <c r="R3824" t="s">
        <v>112</v>
      </c>
      <c r="S3824" t="str">
        <f>"14:54:07.578"</f>
        <v>14:54:07.578</v>
      </c>
      <c r="T3824" t="str">
        <f>"14:54:07.078"</f>
        <v>14:54:07.078</v>
      </c>
      <c r="U3824" t="str">
        <f t="shared" si="177"/>
        <v>ad5732</v>
      </c>
      <c r="V3824">
        <v>0</v>
      </c>
      <c r="W3824">
        <v>0</v>
      </c>
      <c r="X3824">
        <v>1</v>
      </c>
      <c r="Z3824">
        <v>0</v>
      </c>
      <c r="AA3824">
        <v>9</v>
      </c>
      <c r="AB3824">
        <v>3</v>
      </c>
      <c r="AC3824">
        <v>0</v>
      </c>
      <c r="AD3824">
        <v>10</v>
      </c>
      <c r="AE3824">
        <v>0</v>
      </c>
      <c r="AF3824">
        <v>3</v>
      </c>
      <c r="AG3824">
        <v>2</v>
      </c>
      <c r="AH3824">
        <v>0</v>
      </c>
      <c r="AI3824" t="s">
        <v>7696</v>
      </c>
      <c r="AJ3824">
        <v>40.487000999999999</v>
      </c>
      <c r="AK3824" t="s">
        <v>7697</v>
      </c>
      <c r="AL3824">
        <v>-74.372506000000001</v>
      </c>
      <c r="AM3824">
        <v>100</v>
      </c>
      <c r="AN3824">
        <v>1200</v>
      </c>
      <c r="AO3824" t="s">
        <v>115</v>
      </c>
      <c r="AP3824">
        <v>59</v>
      </c>
      <c r="AQ3824">
        <v>125</v>
      </c>
      <c r="AR3824">
        <v>-832</v>
      </c>
      <c r="AZ3824">
        <v>3614</v>
      </c>
      <c r="BA3824">
        <v>1</v>
      </c>
      <c r="BB3824" t="str">
        <f t="shared" si="179"/>
        <v xml:space="preserve">N959MJ  </v>
      </c>
      <c r="BC3824">
        <v>1</v>
      </c>
      <c r="BE3824">
        <v>0</v>
      </c>
      <c r="BF3824">
        <v>0</v>
      </c>
      <c r="BG3824">
        <v>0</v>
      </c>
      <c r="BH3824">
        <v>1475</v>
      </c>
      <c r="BI3824">
        <v>275</v>
      </c>
      <c r="BJ3824">
        <v>1</v>
      </c>
      <c r="BK3824">
        <v>1</v>
      </c>
      <c r="BL3824">
        <v>1</v>
      </c>
      <c r="BM3824">
        <v>0</v>
      </c>
      <c r="BP3824">
        <v>0</v>
      </c>
      <c r="BQ3824">
        <v>0</v>
      </c>
      <c r="BX3824" t="str">
        <f>"14:54:07.578"</f>
        <v>14:54:07.578</v>
      </c>
      <c r="BY3824" t="str">
        <f>"581919165"</f>
        <v>581919165</v>
      </c>
      <c r="CL3824">
        <v>3</v>
      </c>
      <c r="CM3824">
        <v>2</v>
      </c>
      <c r="CN3824">
        <v>0</v>
      </c>
      <c r="CO3824">
        <v>2</v>
      </c>
      <c r="CP3824">
        <v>0</v>
      </c>
      <c r="CQ3824">
        <v>7</v>
      </c>
      <c r="CR3824" t="s">
        <v>116</v>
      </c>
      <c r="CS3824">
        <v>305</v>
      </c>
      <c r="CT3824">
        <v>3</v>
      </c>
      <c r="CU3824" t="s">
        <v>6425</v>
      </c>
      <c r="CV3824" t="s">
        <v>6426</v>
      </c>
      <c r="CY3824">
        <v>6466926</v>
      </c>
      <c r="CZ3824" t="s">
        <v>119</v>
      </c>
    </row>
    <row r="3825" spans="1:104" x14ac:dyDescent="0.25">
      <c r="A3825" t="str">
        <f>"14:54:08.711"</f>
        <v>14:54:08.711</v>
      </c>
      <c r="B3825" t="s">
        <v>108</v>
      </c>
      <c r="C3825" t="str">
        <f t="shared" si="178"/>
        <v>ffdfd3c0</v>
      </c>
      <c r="D3825" t="s">
        <v>109</v>
      </c>
      <c r="E3825">
        <v>4</v>
      </c>
      <c r="F3825">
        <v>1004</v>
      </c>
      <c r="G3825" t="s">
        <v>110</v>
      </c>
      <c r="J3825" t="s">
        <v>111</v>
      </c>
      <c r="K3825">
        <v>0</v>
      </c>
      <c r="L3825">
        <v>3</v>
      </c>
      <c r="M3825">
        <v>0</v>
      </c>
      <c r="N3825">
        <v>2</v>
      </c>
      <c r="O3825">
        <v>1</v>
      </c>
      <c r="P3825">
        <v>0</v>
      </c>
      <c r="Q3825">
        <v>0</v>
      </c>
      <c r="R3825" t="s">
        <v>112</v>
      </c>
      <c r="S3825" t="str">
        <f>"14:54:08.523"</f>
        <v>14:54:08.523</v>
      </c>
      <c r="T3825" t="str">
        <f>"14:54:08.125"</f>
        <v>14:54:08.125</v>
      </c>
      <c r="U3825" t="str">
        <f t="shared" si="177"/>
        <v>ad5732</v>
      </c>
      <c r="V3825">
        <v>0</v>
      </c>
      <c r="W3825">
        <v>0</v>
      </c>
      <c r="X3825">
        <v>1</v>
      </c>
      <c r="Z3825">
        <v>0</v>
      </c>
      <c r="AA3825">
        <v>9</v>
      </c>
      <c r="AB3825">
        <v>3</v>
      </c>
      <c r="AC3825">
        <v>0</v>
      </c>
      <c r="AD3825">
        <v>10</v>
      </c>
      <c r="AE3825">
        <v>0</v>
      </c>
      <c r="AF3825">
        <v>3</v>
      </c>
      <c r="AG3825">
        <v>2</v>
      </c>
      <c r="AH3825">
        <v>0</v>
      </c>
      <c r="AI3825" t="s">
        <v>7698</v>
      </c>
      <c r="AJ3825">
        <v>40.487558999999997</v>
      </c>
      <c r="AK3825" t="s">
        <v>7699</v>
      </c>
      <c r="AL3825">
        <v>-74.372206000000006</v>
      </c>
      <c r="AM3825">
        <v>100</v>
      </c>
      <c r="AN3825">
        <v>1200</v>
      </c>
      <c r="AO3825" t="s">
        <v>115</v>
      </c>
      <c r="AP3825">
        <v>59</v>
      </c>
      <c r="AQ3825">
        <v>125</v>
      </c>
      <c r="AR3825">
        <v>-768</v>
      </c>
      <c r="AZ3825">
        <v>3614</v>
      </c>
      <c r="BA3825">
        <v>1</v>
      </c>
      <c r="BB3825" t="str">
        <f t="shared" si="179"/>
        <v xml:space="preserve">N959MJ  </v>
      </c>
      <c r="BC3825">
        <v>1</v>
      </c>
      <c r="BE3825">
        <v>0</v>
      </c>
      <c r="BF3825">
        <v>0</v>
      </c>
      <c r="BG3825">
        <v>0</v>
      </c>
      <c r="BH3825">
        <v>1475</v>
      </c>
      <c r="BI3825">
        <v>275</v>
      </c>
      <c r="BJ3825">
        <v>1</v>
      </c>
      <c r="BK3825">
        <v>1</v>
      </c>
      <c r="BL3825">
        <v>1</v>
      </c>
      <c r="BM3825">
        <v>0</v>
      </c>
      <c r="BP3825">
        <v>0</v>
      </c>
      <c r="BQ3825">
        <v>0</v>
      </c>
      <c r="BX3825" t="str">
        <f>"14:54:08.531"</f>
        <v>14:54:08.531</v>
      </c>
      <c r="BY3825" t="str">
        <f>"528930993"</f>
        <v>528930993</v>
      </c>
      <c r="CL3825">
        <v>3</v>
      </c>
      <c r="CM3825">
        <v>2</v>
      </c>
      <c r="CN3825">
        <v>0</v>
      </c>
      <c r="CO3825">
        <v>2</v>
      </c>
      <c r="CP3825">
        <v>0</v>
      </c>
      <c r="CQ3825">
        <v>7</v>
      </c>
      <c r="CR3825" t="s">
        <v>116</v>
      </c>
      <c r="CS3825">
        <v>305</v>
      </c>
      <c r="CT3825">
        <v>3</v>
      </c>
      <c r="CU3825" t="s">
        <v>6425</v>
      </c>
      <c r="CV3825" t="s">
        <v>6426</v>
      </c>
      <c r="CY3825">
        <v>6468863</v>
      </c>
      <c r="CZ3825" t="s">
        <v>119</v>
      </c>
    </row>
    <row r="3826" spans="1:104" x14ac:dyDescent="0.25">
      <c r="A3826" t="str">
        <f>"14:54:09.766"</f>
        <v>14:54:09.766</v>
      </c>
      <c r="B3826" t="s">
        <v>108</v>
      </c>
      <c r="C3826" t="str">
        <f t="shared" si="178"/>
        <v>ffdfd3c0</v>
      </c>
      <c r="D3826" t="s">
        <v>109</v>
      </c>
      <c r="E3826">
        <v>4</v>
      </c>
      <c r="F3826">
        <v>1004</v>
      </c>
      <c r="G3826" t="s">
        <v>110</v>
      </c>
      <c r="J3826" t="s">
        <v>111</v>
      </c>
      <c r="K3826">
        <v>0</v>
      </c>
      <c r="L3826">
        <v>3</v>
      </c>
      <c r="M3826">
        <v>0</v>
      </c>
      <c r="N3826">
        <v>2</v>
      </c>
      <c r="O3826">
        <v>1</v>
      </c>
      <c r="P3826">
        <v>0</v>
      </c>
      <c r="Q3826">
        <v>0</v>
      </c>
      <c r="R3826" t="s">
        <v>112</v>
      </c>
      <c r="S3826" t="str">
        <f>"14:54:09.563"</f>
        <v>14:54:09.563</v>
      </c>
      <c r="T3826" t="str">
        <f>"14:54:09.164"</f>
        <v>14:54:09.164</v>
      </c>
      <c r="U3826" t="str">
        <f t="shared" si="177"/>
        <v>ad5732</v>
      </c>
      <c r="V3826">
        <v>0</v>
      </c>
      <c r="W3826">
        <v>0</v>
      </c>
      <c r="X3826">
        <v>1</v>
      </c>
      <c r="Z3826">
        <v>0</v>
      </c>
      <c r="AA3826">
        <v>9</v>
      </c>
      <c r="AB3826">
        <v>3</v>
      </c>
      <c r="AC3826">
        <v>0</v>
      </c>
      <c r="AD3826">
        <v>10</v>
      </c>
      <c r="AE3826">
        <v>0</v>
      </c>
      <c r="AF3826">
        <v>3</v>
      </c>
      <c r="AG3826">
        <v>2</v>
      </c>
      <c r="AH3826">
        <v>0</v>
      </c>
      <c r="AI3826" t="s">
        <v>7700</v>
      </c>
      <c r="AJ3826">
        <v>40.488180999999997</v>
      </c>
      <c r="AK3826" t="s">
        <v>7701</v>
      </c>
      <c r="AL3826">
        <v>-74.371819000000002</v>
      </c>
      <c r="AM3826">
        <v>100</v>
      </c>
      <c r="AN3826">
        <v>1200</v>
      </c>
      <c r="AO3826" t="s">
        <v>115</v>
      </c>
      <c r="AP3826">
        <v>59</v>
      </c>
      <c r="AQ3826">
        <v>126</v>
      </c>
      <c r="AR3826">
        <v>-704</v>
      </c>
      <c r="AZ3826">
        <v>3614</v>
      </c>
      <c r="BA3826">
        <v>1</v>
      </c>
      <c r="BB3826" t="str">
        <f t="shared" si="179"/>
        <v xml:space="preserve">N959MJ  </v>
      </c>
      <c r="BC3826">
        <v>1</v>
      </c>
      <c r="BE3826">
        <v>0</v>
      </c>
      <c r="BF3826">
        <v>0</v>
      </c>
      <c r="BG3826">
        <v>0</v>
      </c>
      <c r="BH3826">
        <v>1450</v>
      </c>
      <c r="BI3826">
        <v>250</v>
      </c>
      <c r="BJ3826">
        <v>1</v>
      </c>
      <c r="BK3826">
        <v>1</v>
      </c>
      <c r="BL3826">
        <v>1</v>
      </c>
      <c r="BM3826">
        <v>0</v>
      </c>
      <c r="BP3826">
        <v>0</v>
      </c>
      <c r="BQ3826">
        <v>0</v>
      </c>
      <c r="BX3826" t="str">
        <f>"14:54:09.563"</f>
        <v>14:54:09.563</v>
      </c>
      <c r="BY3826" t="str">
        <f>"566107253"</f>
        <v>566107253</v>
      </c>
      <c r="CL3826">
        <v>3</v>
      </c>
      <c r="CM3826">
        <v>2</v>
      </c>
      <c r="CN3826">
        <v>0</v>
      </c>
      <c r="CO3826">
        <v>2</v>
      </c>
      <c r="CP3826">
        <v>0</v>
      </c>
      <c r="CQ3826">
        <v>6</v>
      </c>
      <c r="CR3826" t="s">
        <v>116</v>
      </c>
      <c r="CS3826">
        <v>38</v>
      </c>
      <c r="CT3826">
        <v>0</v>
      </c>
      <c r="CU3826" t="s">
        <v>4719</v>
      </c>
      <c r="CV3826" t="s">
        <v>4720</v>
      </c>
      <c r="CY3826">
        <v>8476316</v>
      </c>
      <c r="CZ3826" t="s">
        <v>119</v>
      </c>
    </row>
    <row r="3827" spans="1:104" x14ac:dyDescent="0.25">
      <c r="A3827" t="str">
        <f>"14:54:10.578"</f>
        <v>14:54:10.578</v>
      </c>
      <c r="B3827" t="s">
        <v>108</v>
      </c>
      <c r="C3827" t="str">
        <f t="shared" si="178"/>
        <v>ffdfd3c0</v>
      </c>
      <c r="D3827" t="s">
        <v>109</v>
      </c>
      <c r="E3827">
        <v>4</v>
      </c>
      <c r="F3827">
        <v>1004</v>
      </c>
      <c r="G3827" t="s">
        <v>110</v>
      </c>
      <c r="J3827" t="s">
        <v>111</v>
      </c>
      <c r="K3827">
        <v>0</v>
      </c>
      <c r="L3827">
        <v>3</v>
      </c>
      <c r="M3827">
        <v>0</v>
      </c>
      <c r="N3827">
        <v>2</v>
      </c>
      <c r="O3827">
        <v>1</v>
      </c>
      <c r="P3827">
        <v>0</v>
      </c>
      <c r="Q3827">
        <v>0</v>
      </c>
      <c r="R3827" t="s">
        <v>112</v>
      </c>
      <c r="S3827" t="str">
        <f>"14:54:10.414"</f>
        <v>14:54:10.414</v>
      </c>
      <c r="T3827" t="str">
        <f>"14:54:10.016"</f>
        <v>14:54:10.016</v>
      </c>
      <c r="U3827" t="str">
        <f t="shared" si="177"/>
        <v>ad5732</v>
      </c>
      <c r="V3827">
        <v>0</v>
      </c>
      <c r="W3827">
        <v>0</v>
      </c>
      <c r="X3827">
        <v>1</v>
      </c>
      <c r="Z3827">
        <v>0</v>
      </c>
      <c r="AA3827">
        <v>9</v>
      </c>
      <c r="AB3827">
        <v>3</v>
      </c>
      <c r="AC3827">
        <v>0</v>
      </c>
      <c r="AD3827">
        <v>10</v>
      </c>
      <c r="AE3827">
        <v>0</v>
      </c>
      <c r="AF3827">
        <v>3</v>
      </c>
      <c r="AG3827">
        <v>2</v>
      </c>
      <c r="AH3827">
        <v>0</v>
      </c>
      <c r="AI3827" t="s">
        <v>7702</v>
      </c>
      <c r="AJ3827">
        <v>40.488652999999999</v>
      </c>
      <c r="AK3827" t="s">
        <v>7703</v>
      </c>
      <c r="AL3827">
        <v>-74.371519000000006</v>
      </c>
      <c r="AM3827">
        <v>100</v>
      </c>
      <c r="AN3827">
        <v>1200</v>
      </c>
      <c r="AO3827" t="s">
        <v>115</v>
      </c>
      <c r="AP3827">
        <v>59</v>
      </c>
      <c r="AQ3827">
        <v>126</v>
      </c>
      <c r="AR3827">
        <v>-640</v>
      </c>
      <c r="AZ3827">
        <v>3614</v>
      </c>
      <c r="BA3827">
        <v>1</v>
      </c>
      <c r="BB3827" t="str">
        <f t="shared" si="179"/>
        <v xml:space="preserve">N959MJ  </v>
      </c>
      <c r="BC3827">
        <v>1</v>
      </c>
      <c r="BE3827">
        <v>0</v>
      </c>
      <c r="BF3827">
        <v>0</v>
      </c>
      <c r="BG3827">
        <v>0</v>
      </c>
      <c r="BH3827">
        <v>1450</v>
      </c>
      <c r="BI3827">
        <v>250</v>
      </c>
      <c r="BJ3827">
        <v>1</v>
      </c>
      <c r="BK3827">
        <v>1</v>
      </c>
      <c r="BL3827">
        <v>1</v>
      </c>
      <c r="BM3827">
        <v>0</v>
      </c>
      <c r="BP3827">
        <v>0</v>
      </c>
      <c r="BQ3827">
        <v>0</v>
      </c>
      <c r="BX3827" t="str">
        <f>"14:54:10.422"</f>
        <v>14:54:10.422</v>
      </c>
      <c r="BY3827" t="str">
        <f>"421438959"</f>
        <v>421438959</v>
      </c>
      <c r="CL3827">
        <v>3</v>
      </c>
      <c r="CM3827">
        <v>2</v>
      </c>
      <c r="CN3827">
        <v>0</v>
      </c>
      <c r="CO3827">
        <v>2</v>
      </c>
      <c r="CP3827">
        <v>0</v>
      </c>
      <c r="CQ3827">
        <v>5</v>
      </c>
      <c r="CR3827" t="s">
        <v>116</v>
      </c>
      <c r="CS3827">
        <v>409</v>
      </c>
      <c r="CT3827">
        <v>1</v>
      </c>
      <c r="CU3827" t="s">
        <v>5087</v>
      </c>
      <c r="CV3827" t="s">
        <v>5088</v>
      </c>
      <c r="CY3827">
        <v>5005878</v>
      </c>
      <c r="CZ3827" t="s">
        <v>119</v>
      </c>
    </row>
    <row r="3828" spans="1:104" x14ac:dyDescent="0.25">
      <c r="A3828" t="str">
        <f>"14:54:11.641"</f>
        <v>14:54:11.641</v>
      </c>
      <c r="B3828" t="s">
        <v>108</v>
      </c>
      <c r="C3828" t="str">
        <f t="shared" si="178"/>
        <v>ffdfd3c0</v>
      </c>
      <c r="D3828" t="s">
        <v>109</v>
      </c>
      <c r="E3828">
        <v>4</v>
      </c>
      <c r="F3828">
        <v>1004</v>
      </c>
      <c r="G3828" t="s">
        <v>110</v>
      </c>
      <c r="J3828" t="s">
        <v>111</v>
      </c>
      <c r="K3828">
        <v>0</v>
      </c>
      <c r="L3828">
        <v>3</v>
      </c>
      <c r="M3828">
        <v>0</v>
      </c>
      <c r="N3828">
        <v>2</v>
      </c>
      <c r="O3828">
        <v>1</v>
      </c>
      <c r="P3828">
        <v>0</v>
      </c>
      <c r="Q3828">
        <v>0</v>
      </c>
      <c r="R3828" t="s">
        <v>112</v>
      </c>
      <c r="S3828" t="str">
        <f>"14:54:11.461"</f>
        <v>14:54:11.461</v>
      </c>
      <c r="T3828" t="str">
        <f>"14:54:10.961"</f>
        <v>14:54:10.961</v>
      </c>
      <c r="U3828" t="str">
        <f t="shared" si="177"/>
        <v>ad5732</v>
      </c>
      <c r="V3828">
        <v>0</v>
      </c>
      <c r="W3828">
        <v>0</v>
      </c>
      <c r="X3828">
        <v>1</v>
      </c>
      <c r="Z3828">
        <v>0</v>
      </c>
      <c r="AA3828">
        <v>9</v>
      </c>
      <c r="AB3828">
        <v>3</v>
      </c>
      <c r="AC3828">
        <v>0</v>
      </c>
      <c r="AD3828">
        <v>10</v>
      </c>
      <c r="AE3828">
        <v>0</v>
      </c>
      <c r="AF3828">
        <v>3</v>
      </c>
      <c r="AG3828">
        <v>2</v>
      </c>
      <c r="AH3828">
        <v>0</v>
      </c>
      <c r="AI3828" t="s">
        <v>7704</v>
      </c>
      <c r="AJ3828">
        <v>40.489274999999999</v>
      </c>
      <c r="AK3828" t="s">
        <v>7705</v>
      </c>
      <c r="AL3828">
        <v>-74.371133</v>
      </c>
      <c r="AM3828">
        <v>100</v>
      </c>
      <c r="AN3828">
        <v>1200</v>
      </c>
      <c r="AO3828" t="s">
        <v>115</v>
      </c>
      <c r="AP3828">
        <v>59</v>
      </c>
      <c r="AQ3828">
        <v>126</v>
      </c>
      <c r="AR3828">
        <v>-576</v>
      </c>
      <c r="AZ3828">
        <v>3614</v>
      </c>
      <c r="BA3828">
        <v>1</v>
      </c>
      <c r="BB3828" t="str">
        <f t="shared" si="179"/>
        <v xml:space="preserve">N959MJ  </v>
      </c>
      <c r="BC3828">
        <v>1</v>
      </c>
      <c r="BE3828">
        <v>0</v>
      </c>
      <c r="BF3828">
        <v>0</v>
      </c>
      <c r="BG3828">
        <v>0</v>
      </c>
      <c r="BH3828">
        <v>1450</v>
      </c>
      <c r="BI3828">
        <v>250</v>
      </c>
      <c r="BJ3828">
        <v>1</v>
      </c>
      <c r="BK3828">
        <v>1</v>
      </c>
      <c r="BL3828">
        <v>1</v>
      </c>
      <c r="BM3828">
        <v>0</v>
      </c>
      <c r="BP3828">
        <v>0</v>
      </c>
      <c r="BQ3828">
        <v>0</v>
      </c>
      <c r="BX3828" t="str">
        <f>"14:54:11.461"</f>
        <v>14:54:11.461</v>
      </c>
      <c r="BY3828" t="str">
        <f>"461718473"</f>
        <v>461718473</v>
      </c>
      <c r="CL3828">
        <v>3</v>
      </c>
      <c r="CM3828">
        <v>2</v>
      </c>
      <c r="CN3828">
        <v>0</v>
      </c>
      <c r="CO3828">
        <v>2</v>
      </c>
      <c r="CP3828">
        <v>0</v>
      </c>
      <c r="CQ3828">
        <v>6</v>
      </c>
      <c r="CR3828" t="s">
        <v>116</v>
      </c>
      <c r="CS3828">
        <v>305</v>
      </c>
      <c r="CT3828">
        <v>3</v>
      </c>
      <c r="CU3828" t="s">
        <v>6425</v>
      </c>
      <c r="CV3828" t="s">
        <v>6426</v>
      </c>
      <c r="CY3828">
        <v>6474970</v>
      </c>
      <c r="CZ3828" t="s">
        <v>119</v>
      </c>
    </row>
    <row r="3829" spans="1:104" x14ac:dyDescent="0.25">
      <c r="A3829" t="str">
        <f>"14:54:12.648"</f>
        <v>14:54:12.648</v>
      </c>
      <c r="B3829" t="s">
        <v>108</v>
      </c>
      <c r="C3829" t="str">
        <f t="shared" si="178"/>
        <v>ffdfd3c0</v>
      </c>
      <c r="D3829" t="s">
        <v>109</v>
      </c>
      <c r="E3829">
        <v>4</v>
      </c>
      <c r="F3829">
        <v>1004</v>
      </c>
      <c r="G3829" t="s">
        <v>110</v>
      </c>
      <c r="J3829" t="s">
        <v>111</v>
      </c>
      <c r="K3829">
        <v>0</v>
      </c>
      <c r="L3829">
        <v>3</v>
      </c>
      <c r="M3829">
        <v>0</v>
      </c>
      <c r="N3829">
        <v>2</v>
      </c>
      <c r="O3829">
        <v>1</v>
      </c>
      <c r="P3829">
        <v>0</v>
      </c>
      <c r="Q3829">
        <v>0</v>
      </c>
      <c r="R3829" t="s">
        <v>112</v>
      </c>
      <c r="S3829" t="str">
        <f>"14:54:12.438"</f>
        <v>14:54:12.438</v>
      </c>
      <c r="T3829" t="str">
        <f>"14:54:12.039"</f>
        <v>14:54:12.039</v>
      </c>
      <c r="U3829" t="str">
        <f t="shared" si="177"/>
        <v>ad5732</v>
      </c>
      <c r="V3829">
        <v>0</v>
      </c>
      <c r="W3829">
        <v>0</v>
      </c>
      <c r="X3829">
        <v>1</v>
      </c>
      <c r="Z3829">
        <v>0</v>
      </c>
      <c r="AA3829">
        <v>9</v>
      </c>
      <c r="AB3829">
        <v>3</v>
      </c>
      <c r="AC3829">
        <v>0</v>
      </c>
      <c r="AD3829">
        <v>10</v>
      </c>
      <c r="AE3829">
        <v>0</v>
      </c>
      <c r="AF3829">
        <v>3</v>
      </c>
      <c r="AG3829">
        <v>2</v>
      </c>
      <c r="AH3829">
        <v>0</v>
      </c>
      <c r="AI3829" t="s">
        <v>7706</v>
      </c>
      <c r="AJ3829">
        <v>40.489876000000002</v>
      </c>
      <c r="AK3829" t="s">
        <v>7707</v>
      </c>
      <c r="AL3829">
        <v>-74.370767999999998</v>
      </c>
      <c r="AM3829">
        <v>100</v>
      </c>
      <c r="AN3829">
        <v>1200</v>
      </c>
      <c r="AO3829" t="s">
        <v>115</v>
      </c>
      <c r="AP3829">
        <v>60</v>
      </c>
      <c r="AQ3829">
        <v>126</v>
      </c>
      <c r="AR3829">
        <v>-576</v>
      </c>
      <c r="AZ3829">
        <v>3614</v>
      </c>
      <c r="BA3829">
        <v>1</v>
      </c>
      <c r="BB3829" t="str">
        <f t="shared" si="179"/>
        <v xml:space="preserve">N959MJ  </v>
      </c>
      <c r="BC3829">
        <v>1</v>
      </c>
      <c r="BE3829">
        <v>0</v>
      </c>
      <c r="BF3829">
        <v>0</v>
      </c>
      <c r="BG3829">
        <v>0</v>
      </c>
      <c r="BH3829">
        <v>1425</v>
      </c>
      <c r="BI3829">
        <v>225</v>
      </c>
      <c r="BJ3829">
        <v>1</v>
      </c>
      <c r="BK3829">
        <v>1</v>
      </c>
      <c r="BL3829">
        <v>1</v>
      </c>
      <c r="BM3829">
        <v>0</v>
      </c>
      <c r="BP3829">
        <v>0</v>
      </c>
      <c r="BQ3829">
        <v>0</v>
      </c>
      <c r="BX3829" t="str">
        <f>"14:54:12.445"</f>
        <v>14:54:12.445</v>
      </c>
      <c r="BY3829" t="str">
        <f>"444775730"</f>
        <v>444775730</v>
      </c>
      <c r="CL3829">
        <v>3</v>
      </c>
      <c r="CM3829">
        <v>2</v>
      </c>
      <c r="CN3829">
        <v>0</v>
      </c>
      <c r="CO3829">
        <v>2</v>
      </c>
      <c r="CP3829">
        <v>0</v>
      </c>
      <c r="CQ3829">
        <v>7</v>
      </c>
      <c r="CR3829" t="s">
        <v>116</v>
      </c>
      <c r="CS3829">
        <v>305</v>
      </c>
      <c r="CT3829">
        <v>3</v>
      </c>
      <c r="CU3829" t="s">
        <v>6425</v>
      </c>
      <c r="CV3829" t="s">
        <v>6426</v>
      </c>
      <c r="CY3829">
        <v>6476995</v>
      </c>
      <c r="CZ3829" t="s">
        <v>119</v>
      </c>
    </row>
    <row r="3830" spans="1:104" x14ac:dyDescent="0.25">
      <c r="A3830" t="str">
        <f>"14:54:13.813"</f>
        <v>14:54:13.813</v>
      </c>
      <c r="B3830" t="s">
        <v>108</v>
      </c>
      <c r="C3830" t="str">
        <f t="shared" si="178"/>
        <v>ffdfd3c0</v>
      </c>
      <c r="D3830" t="s">
        <v>109</v>
      </c>
      <c r="E3830">
        <v>4</v>
      </c>
      <c r="F3830">
        <v>1004</v>
      </c>
      <c r="G3830" t="s">
        <v>110</v>
      </c>
      <c r="J3830" t="s">
        <v>111</v>
      </c>
      <c r="K3830">
        <v>0</v>
      </c>
      <c r="L3830">
        <v>3</v>
      </c>
      <c r="M3830">
        <v>0</v>
      </c>
      <c r="N3830">
        <v>2</v>
      </c>
      <c r="O3830">
        <v>1</v>
      </c>
      <c r="P3830">
        <v>0</v>
      </c>
      <c r="Q3830">
        <v>0</v>
      </c>
      <c r="R3830" t="s">
        <v>112</v>
      </c>
      <c r="S3830" t="str">
        <f>"14:54:13.586"</f>
        <v>14:54:13.586</v>
      </c>
      <c r="T3830" t="str">
        <f>"14:54:13.086"</f>
        <v>14:54:13.086</v>
      </c>
      <c r="U3830" t="str">
        <f t="shared" si="177"/>
        <v>ad5732</v>
      </c>
      <c r="V3830">
        <v>0</v>
      </c>
      <c r="W3830">
        <v>0</v>
      </c>
      <c r="X3830">
        <v>1</v>
      </c>
      <c r="Z3830">
        <v>0</v>
      </c>
      <c r="AA3830">
        <v>9</v>
      </c>
      <c r="AB3830">
        <v>3</v>
      </c>
      <c r="AC3830">
        <v>0</v>
      </c>
      <c r="AD3830">
        <v>10</v>
      </c>
      <c r="AE3830">
        <v>0</v>
      </c>
      <c r="AF3830">
        <v>3</v>
      </c>
      <c r="AG3830">
        <v>2</v>
      </c>
      <c r="AH3830">
        <v>0</v>
      </c>
      <c r="AI3830" t="s">
        <v>7708</v>
      </c>
      <c r="AJ3830">
        <v>40.490519999999997</v>
      </c>
      <c r="AK3830" t="s">
        <v>7709</v>
      </c>
      <c r="AL3830">
        <v>-74.370360000000005</v>
      </c>
      <c r="AM3830">
        <v>100</v>
      </c>
      <c r="AN3830">
        <v>1200</v>
      </c>
      <c r="AO3830" t="s">
        <v>115</v>
      </c>
      <c r="AP3830">
        <v>60</v>
      </c>
      <c r="AQ3830">
        <v>126</v>
      </c>
      <c r="AR3830">
        <v>-512</v>
      </c>
      <c r="AZ3830">
        <v>3614</v>
      </c>
      <c r="BA3830">
        <v>1</v>
      </c>
      <c r="BB3830" t="str">
        <f t="shared" si="179"/>
        <v xml:space="preserve">N959MJ  </v>
      </c>
      <c r="BC3830">
        <v>1</v>
      </c>
      <c r="BE3830">
        <v>0</v>
      </c>
      <c r="BF3830">
        <v>0</v>
      </c>
      <c r="BG3830">
        <v>0</v>
      </c>
      <c r="BH3830">
        <v>1425</v>
      </c>
      <c r="BI3830">
        <v>225</v>
      </c>
      <c r="BJ3830">
        <v>1</v>
      </c>
      <c r="BK3830">
        <v>1</v>
      </c>
      <c r="BL3830">
        <v>1</v>
      </c>
      <c r="BM3830">
        <v>0</v>
      </c>
      <c r="BP3830">
        <v>0</v>
      </c>
      <c r="BQ3830">
        <v>0</v>
      </c>
      <c r="BX3830" t="str">
        <f>"14:54:13.594"</f>
        <v>14:54:13.594</v>
      </c>
      <c r="BY3830" t="str">
        <f>"593314349"</f>
        <v>593314349</v>
      </c>
      <c r="CL3830">
        <v>3</v>
      </c>
      <c r="CM3830">
        <v>2</v>
      </c>
      <c r="CN3830">
        <v>0</v>
      </c>
      <c r="CO3830">
        <v>2</v>
      </c>
      <c r="CP3830">
        <v>0</v>
      </c>
      <c r="CQ3830">
        <v>7</v>
      </c>
      <c r="CR3830" t="s">
        <v>116</v>
      </c>
      <c r="CS3830">
        <v>305</v>
      </c>
      <c r="CT3830">
        <v>3</v>
      </c>
      <c r="CU3830" t="s">
        <v>6425</v>
      </c>
      <c r="CV3830" t="s">
        <v>6426</v>
      </c>
      <c r="CY3830">
        <v>6479199</v>
      </c>
      <c r="CZ3830" t="s">
        <v>119</v>
      </c>
    </row>
    <row r="3831" spans="1:104" x14ac:dyDescent="0.25">
      <c r="A3831" t="str">
        <f>"14:54:14.820"</f>
        <v>14:54:14.820</v>
      </c>
      <c r="B3831" t="s">
        <v>108</v>
      </c>
      <c r="C3831" t="str">
        <f t="shared" si="178"/>
        <v>ffdfd3c0</v>
      </c>
      <c r="D3831" t="s">
        <v>109</v>
      </c>
      <c r="E3831">
        <v>4</v>
      </c>
      <c r="F3831">
        <v>1004</v>
      </c>
      <c r="G3831" t="s">
        <v>110</v>
      </c>
      <c r="J3831" t="s">
        <v>111</v>
      </c>
      <c r="K3831">
        <v>0</v>
      </c>
      <c r="L3831">
        <v>3</v>
      </c>
      <c r="M3831">
        <v>0</v>
      </c>
      <c r="N3831">
        <v>2</v>
      </c>
      <c r="O3831">
        <v>1</v>
      </c>
      <c r="P3831">
        <v>0</v>
      </c>
      <c r="Q3831">
        <v>0</v>
      </c>
      <c r="R3831" t="s">
        <v>112</v>
      </c>
      <c r="S3831" t="str">
        <f>"14:54:14.609"</f>
        <v>14:54:14.609</v>
      </c>
      <c r="T3831" t="str">
        <f>"14:54:14.109"</f>
        <v>14:54:14.109</v>
      </c>
      <c r="U3831" t="str">
        <f t="shared" si="177"/>
        <v>ad5732</v>
      </c>
      <c r="V3831">
        <v>0</v>
      </c>
      <c r="W3831">
        <v>0</v>
      </c>
      <c r="X3831">
        <v>1</v>
      </c>
      <c r="Z3831">
        <v>0</v>
      </c>
      <c r="AA3831">
        <v>9</v>
      </c>
      <c r="AB3831">
        <v>3</v>
      </c>
      <c r="AC3831">
        <v>0</v>
      </c>
      <c r="AD3831">
        <v>10</v>
      </c>
      <c r="AE3831">
        <v>0</v>
      </c>
      <c r="AF3831">
        <v>3</v>
      </c>
      <c r="AG3831">
        <v>2</v>
      </c>
      <c r="AH3831">
        <v>0</v>
      </c>
      <c r="AI3831" t="s">
        <v>7710</v>
      </c>
      <c r="AJ3831">
        <v>40.491121</v>
      </c>
      <c r="AK3831" t="s">
        <v>7711</v>
      </c>
      <c r="AL3831">
        <v>-74.369996</v>
      </c>
      <c r="AM3831">
        <v>100</v>
      </c>
      <c r="AN3831">
        <v>1200</v>
      </c>
      <c r="AO3831" t="s">
        <v>115</v>
      </c>
      <c r="AP3831">
        <v>60</v>
      </c>
      <c r="AQ3831">
        <v>126</v>
      </c>
      <c r="AR3831">
        <v>-704</v>
      </c>
      <c r="AZ3831">
        <v>3614</v>
      </c>
      <c r="BA3831">
        <v>1</v>
      </c>
      <c r="BB3831" t="str">
        <f t="shared" si="179"/>
        <v xml:space="preserve">N959MJ  </v>
      </c>
      <c r="BC3831">
        <v>1</v>
      </c>
      <c r="BE3831">
        <v>0</v>
      </c>
      <c r="BF3831">
        <v>0</v>
      </c>
      <c r="BG3831">
        <v>0</v>
      </c>
      <c r="BH3831">
        <v>1400</v>
      </c>
      <c r="BI3831">
        <v>200</v>
      </c>
      <c r="BJ3831">
        <v>1</v>
      </c>
      <c r="BK3831">
        <v>1</v>
      </c>
      <c r="BL3831">
        <v>1</v>
      </c>
      <c r="BM3831">
        <v>0</v>
      </c>
      <c r="BP3831">
        <v>0</v>
      </c>
      <c r="BQ3831">
        <v>0</v>
      </c>
      <c r="BX3831" t="str">
        <f>"14:54:14.609"</f>
        <v>14:54:14.609</v>
      </c>
      <c r="BY3831" t="str">
        <f>"610830551"</f>
        <v>610830551</v>
      </c>
      <c r="CL3831">
        <v>3</v>
      </c>
      <c r="CM3831">
        <v>2</v>
      </c>
      <c r="CN3831">
        <v>0</v>
      </c>
      <c r="CO3831">
        <v>2</v>
      </c>
      <c r="CP3831">
        <v>0</v>
      </c>
      <c r="CQ3831">
        <v>5</v>
      </c>
      <c r="CR3831" t="s">
        <v>116</v>
      </c>
      <c r="CS3831">
        <v>38</v>
      </c>
      <c r="CT3831">
        <v>0</v>
      </c>
      <c r="CU3831" t="s">
        <v>4719</v>
      </c>
      <c r="CV3831" t="s">
        <v>4720</v>
      </c>
      <c r="CY3831">
        <v>8484139</v>
      </c>
      <c r="CZ3831" t="s">
        <v>119</v>
      </c>
    </row>
    <row r="3832" spans="1:104" x14ac:dyDescent="0.25">
      <c r="A3832" t="str">
        <f>"14:54:15.680"</f>
        <v>14:54:15.680</v>
      </c>
      <c r="B3832" t="s">
        <v>108</v>
      </c>
      <c r="C3832" t="str">
        <f t="shared" si="178"/>
        <v>ffdfd3c0</v>
      </c>
      <c r="D3832" t="s">
        <v>109</v>
      </c>
      <c r="E3832">
        <v>4</v>
      </c>
      <c r="F3832">
        <v>1004</v>
      </c>
      <c r="G3832" t="s">
        <v>110</v>
      </c>
      <c r="J3832" t="s">
        <v>111</v>
      </c>
      <c r="K3832">
        <v>0</v>
      </c>
      <c r="L3832">
        <v>3</v>
      </c>
      <c r="M3832">
        <v>0</v>
      </c>
      <c r="N3832">
        <v>2</v>
      </c>
      <c r="O3832">
        <v>1</v>
      </c>
      <c r="P3832">
        <v>0</v>
      </c>
      <c r="Q3832">
        <v>0</v>
      </c>
      <c r="R3832" t="s">
        <v>112</v>
      </c>
      <c r="S3832" t="str">
        <f>"14:54:15.469"</f>
        <v>14:54:15.469</v>
      </c>
      <c r="T3832" t="str">
        <f>"14:54:15.070"</f>
        <v>14:54:15.070</v>
      </c>
      <c r="U3832" t="str">
        <f t="shared" si="177"/>
        <v>ad5732</v>
      </c>
      <c r="V3832">
        <v>0</v>
      </c>
      <c r="W3832">
        <v>0</v>
      </c>
      <c r="X3832">
        <v>1</v>
      </c>
      <c r="Z3832">
        <v>0</v>
      </c>
      <c r="AA3832">
        <v>9</v>
      </c>
      <c r="AB3832">
        <v>3</v>
      </c>
      <c r="AC3832">
        <v>0</v>
      </c>
      <c r="AD3832">
        <v>10</v>
      </c>
      <c r="AE3832">
        <v>0</v>
      </c>
      <c r="AF3832">
        <v>3</v>
      </c>
      <c r="AG3832">
        <v>2</v>
      </c>
      <c r="AH3832">
        <v>0</v>
      </c>
      <c r="AI3832" t="s">
        <v>7712</v>
      </c>
      <c r="AJ3832">
        <v>40.491656999999996</v>
      </c>
      <c r="AK3832" t="s">
        <v>7713</v>
      </c>
      <c r="AL3832">
        <v>-74.369694999999993</v>
      </c>
      <c r="AM3832">
        <v>100</v>
      </c>
      <c r="AN3832">
        <v>1200</v>
      </c>
      <c r="AO3832" t="s">
        <v>115</v>
      </c>
      <c r="AP3832">
        <v>59</v>
      </c>
      <c r="AQ3832">
        <v>127</v>
      </c>
      <c r="AR3832">
        <v>-640</v>
      </c>
      <c r="AZ3832">
        <v>3614</v>
      </c>
      <c r="BA3832">
        <v>1</v>
      </c>
      <c r="BB3832" t="str">
        <f t="shared" si="179"/>
        <v xml:space="preserve">N959MJ  </v>
      </c>
      <c r="BC3832">
        <v>1</v>
      </c>
      <c r="BE3832">
        <v>0</v>
      </c>
      <c r="BF3832">
        <v>0</v>
      </c>
      <c r="BG3832">
        <v>0</v>
      </c>
      <c r="BH3832">
        <v>1400</v>
      </c>
      <c r="BI3832">
        <v>200</v>
      </c>
      <c r="BJ3832">
        <v>1</v>
      </c>
      <c r="BK3832">
        <v>1</v>
      </c>
      <c r="BL3832">
        <v>1</v>
      </c>
      <c r="BM3832">
        <v>0</v>
      </c>
      <c r="BP3832">
        <v>0</v>
      </c>
      <c r="BQ3832">
        <v>0</v>
      </c>
      <c r="BX3832" t="str">
        <f>"14:54:15.477"</f>
        <v>14:54:15.477</v>
      </c>
      <c r="BY3832" t="str">
        <f>"475868939"</f>
        <v>475868939</v>
      </c>
      <c r="CL3832">
        <v>3</v>
      </c>
      <c r="CM3832">
        <v>2</v>
      </c>
      <c r="CN3832">
        <v>0</v>
      </c>
      <c r="CO3832">
        <v>2</v>
      </c>
      <c r="CP3832">
        <v>0</v>
      </c>
      <c r="CQ3832">
        <v>7</v>
      </c>
      <c r="CR3832" t="s">
        <v>116</v>
      </c>
      <c r="CS3832">
        <v>305</v>
      </c>
      <c r="CT3832">
        <v>3</v>
      </c>
      <c r="CU3832" t="s">
        <v>6425</v>
      </c>
      <c r="CV3832" t="s">
        <v>6426</v>
      </c>
      <c r="CY3832">
        <v>6482942</v>
      </c>
      <c r="CZ3832" t="s">
        <v>119</v>
      </c>
    </row>
    <row r="3833" spans="1:104" x14ac:dyDescent="0.25">
      <c r="A3833" t="str">
        <f>"14:54:16.641"</f>
        <v>14:54:16.641</v>
      </c>
      <c r="B3833" t="s">
        <v>108</v>
      </c>
      <c r="C3833" t="str">
        <f t="shared" si="178"/>
        <v>ffdfd3c0</v>
      </c>
      <c r="D3833" t="s">
        <v>109</v>
      </c>
      <c r="E3833">
        <v>4</v>
      </c>
      <c r="F3833">
        <v>1004</v>
      </c>
      <c r="G3833" t="s">
        <v>110</v>
      </c>
      <c r="J3833" t="s">
        <v>111</v>
      </c>
      <c r="K3833">
        <v>0</v>
      </c>
      <c r="L3833">
        <v>3</v>
      </c>
      <c r="M3833">
        <v>0</v>
      </c>
      <c r="N3833">
        <v>2</v>
      </c>
      <c r="O3833">
        <v>1</v>
      </c>
      <c r="P3833">
        <v>0</v>
      </c>
      <c r="Q3833">
        <v>0</v>
      </c>
      <c r="R3833" t="s">
        <v>112</v>
      </c>
      <c r="S3833" t="str">
        <f>"14:54:16.445"</f>
        <v>14:54:16.445</v>
      </c>
      <c r="T3833" t="str">
        <f>"14:54:16.047"</f>
        <v>14:54:16.047</v>
      </c>
      <c r="U3833" t="str">
        <f t="shared" si="177"/>
        <v>ad5732</v>
      </c>
      <c r="V3833">
        <v>0</v>
      </c>
      <c r="W3833">
        <v>0</v>
      </c>
      <c r="X3833">
        <v>1</v>
      </c>
      <c r="Z3833">
        <v>0</v>
      </c>
      <c r="AA3833">
        <v>9</v>
      </c>
      <c r="AB3833">
        <v>3</v>
      </c>
      <c r="AC3833">
        <v>0</v>
      </c>
      <c r="AD3833">
        <v>10</v>
      </c>
      <c r="AE3833">
        <v>0</v>
      </c>
      <c r="AF3833">
        <v>3</v>
      </c>
      <c r="AG3833">
        <v>2</v>
      </c>
      <c r="AH3833">
        <v>0</v>
      </c>
      <c r="AI3833" t="s">
        <v>7714</v>
      </c>
      <c r="AJ3833">
        <v>40.492215000000002</v>
      </c>
      <c r="AK3833" t="s">
        <v>7715</v>
      </c>
      <c r="AL3833">
        <v>-74.369330000000005</v>
      </c>
      <c r="AM3833">
        <v>100</v>
      </c>
      <c r="AN3833">
        <v>1200</v>
      </c>
      <c r="AO3833" t="s">
        <v>115</v>
      </c>
      <c r="AP3833">
        <v>59</v>
      </c>
      <c r="AQ3833">
        <v>127</v>
      </c>
      <c r="AR3833">
        <v>-576</v>
      </c>
      <c r="AZ3833">
        <v>3614</v>
      </c>
      <c r="BA3833">
        <v>1</v>
      </c>
      <c r="BB3833" t="str">
        <f t="shared" si="179"/>
        <v xml:space="preserve">N959MJ  </v>
      </c>
      <c r="BC3833">
        <v>1</v>
      </c>
      <c r="BE3833">
        <v>0</v>
      </c>
      <c r="BF3833">
        <v>0</v>
      </c>
      <c r="BG3833">
        <v>0</v>
      </c>
      <c r="BH3833">
        <v>1400</v>
      </c>
      <c r="BI3833">
        <v>200</v>
      </c>
      <c r="BJ3833">
        <v>1</v>
      </c>
      <c r="BK3833">
        <v>1</v>
      </c>
      <c r="BL3833">
        <v>1</v>
      </c>
      <c r="BM3833">
        <v>0</v>
      </c>
      <c r="BP3833">
        <v>0</v>
      </c>
      <c r="BQ3833">
        <v>0</v>
      </c>
      <c r="BX3833" t="str">
        <f>"14:54:16.445"</f>
        <v>14:54:16.445</v>
      </c>
      <c r="BY3833" t="str">
        <f>"449095631"</f>
        <v>449095631</v>
      </c>
      <c r="CL3833">
        <v>3</v>
      </c>
      <c r="CM3833">
        <v>2</v>
      </c>
      <c r="CN3833">
        <v>0</v>
      </c>
      <c r="CO3833">
        <v>2</v>
      </c>
      <c r="CP3833">
        <v>0</v>
      </c>
      <c r="CQ3833">
        <v>7</v>
      </c>
      <c r="CR3833" t="s">
        <v>116</v>
      </c>
      <c r="CS3833">
        <v>305</v>
      </c>
      <c r="CT3833">
        <v>3</v>
      </c>
      <c r="CU3833" t="s">
        <v>6425</v>
      </c>
      <c r="CV3833" t="s">
        <v>6426</v>
      </c>
      <c r="CY3833">
        <v>6484977</v>
      </c>
      <c r="CZ3833" t="s">
        <v>119</v>
      </c>
    </row>
    <row r="3834" spans="1:104" x14ac:dyDescent="0.25">
      <c r="A3834" t="str">
        <f>"14:54:17.750"</f>
        <v>14:54:17.750</v>
      </c>
      <c r="B3834" t="s">
        <v>108</v>
      </c>
      <c r="C3834" t="str">
        <f t="shared" si="178"/>
        <v>ffdfd3c0</v>
      </c>
      <c r="D3834" t="s">
        <v>109</v>
      </c>
      <c r="E3834">
        <v>4</v>
      </c>
      <c r="F3834">
        <v>1004</v>
      </c>
      <c r="G3834" t="s">
        <v>110</v>
      </c>
      <c r="J3834" t="s">
        <v>111</v>
      </c>
      <c r="K3834">
        <v>0</v>
      </c>
      <c r="L3834">
        <v>3</v>
      </c>
      <c r="M3834">
        <v>0</v>
      </c>
      <c r="N3834">
        <v>2</v>
      </c>
      <c r="O3834">
        <v>1</v>
      </c>
      <c r="P3834">
        <v>0</v>
      </c>
      <c r="Q3834">
        <v>0</v>
      </c>
      <c r="R3834" t="s">
        <v>112</v>
      </c>
      <c r="S3834" t="str">
        <f>"14:54:17.586"</f>
        <v>14:54:17.586</v>
      </c>
      <c r="T3834" t="str">
        <f>"14:54:16.484"</f>
        <v>14:54:16.484</v>
      </c>
      <c r="U3834" t="str">
        <f t="shared" si="177"/>
        <v>ad5732</v>
      </c>
      <c r="V3834">
        <v>0</v>
      </c>
      <c r="W3834">
        <v>0</v>
      </c>
      <c r="X3834">
        <v>1</v>
      </c>
      <c r="Z3834">
        <v>0</v>
      </c>
      <c r="AA3834">
        <v>9</v>
      </c>
      <c r="AB3834">
        <v>3</v>
      </c>
      <c r="AC3834">
        <v>0</v>
      </c>
      <c r="AD3834">
        <v>10</v>
      </c>
      <c r="AE3834">
        <v>0</v>
      </c>
      <c r="AF3834">
        <v>3</v>
      </c>
      <c r="AG3834">
        <v>2</v>
      </c>
      <c r="AH3834">
        <v>0</v>
      </c>
      <c r="AI3834" t="s">
        <v>7716</v>
      </c>
      <c r="AJ3834">
        <v>40.492859000000003</v>
      </c>
      <c r="AK3834" t="s">
        <v>7717</v>
      </c>
      <c r="AL3834">
        <v>-74.368900999999994</v>
      </c>
      <c r="AM3834">
        <v>100</v>
      </c>
      <c r="AN3834">
        <v>1200</v>
      </c>
      <c r="AO3834" t="s">
        <v>115</v>
      </c>
      <c r="AP3834">
        <v>59</v>
      </c>
      <c r="AQ3834">
        <v>127</v>
      </c>
      <c r="AR3834">
        <v>-512</v>
      </c>
      <c r="AZ3834">
        <v>3614</v>
      </c>
      <c r="BA3834">
        <v>1</v>
      </c>
      <c r="BB3834" t="str">
        <f t="shared" si="179"/>
        <v xml:space="preserve">N959MJ  </v>
      </c>
      <c r="BC3834">
        <v>1</v>
      </c>
      <c r="BE3834">
        <v>0</v>
      </c>
      <c r="BF3834">
        <v>0</v>
      </c>
      <c r="BG3834">
        <v>0</v>
      </c>
      <c r="BH3834">
        <v>1375</v>
      </c>
      <c r="BI3834">
        <v>175</v>
      </c>
      <c r="BJ3834">
        <v>1</v>
      </c>
      <c r="BK3834">
        <v>1</v>
      </c>
      <c r="BL3834">
        <v>1</v>
      </c>
      <c r="BM3834">
        <v>0</v>
      </c>
      <c r="BP3834">
        <v>0</v>
      </c>
      <c r="BQ3834">
        <v>0</v>
      </c>
      <c r="BX3834" t="str">
        <f>"14:54:17.586"</f>
        <v>14:54:17.586</v>
      </c>
      <c r="BY3834" t="str">
        <f>"587803621"</f>
        <v>587803621</v>
      </c>
      <c r="CL3834">
        <v>3</v>
      </c>
      <c r="CM3834">
        <v>2</v>
      </c>
      <c r="CN3834">
        <v>0</v>
      </c>
      <c r="CO3834">
        <v>2</v>
      </c>
      <c r="CP3834">
        <v>0</v>
      </c>
      <c r="CQ3834">
        <v>7</v>
      </c>
      <c r="CR3834" t="s">
        <v>116</v>
      </c>
      <c r="CS3834">
        <v>305</v>
      </c>
      <c r="CT3834">
        <v>3</v>
      </c>
      <c r="CU3834" t="s">
        <v>6425</v>
      </c>
      <c r="CV3834" t="s">
        <v>6426</v>
      </c>
      <c r="CY3834">
        <v>6487344</v>
      </c>
      <c r="CZ3834" t="s">
        <v>119</v>
      </c>
    </row>
    <row r="3835" spans="1:104" x14ac:dyDescent="0.25">
      <c r="A3835" t="str">
        <f>"14:54:19.422"</f>
        <v>14:54:19.422</v>
      </c>
      <c r="B3835" t="s">
        <v>108</v>
      </c>
      <c r="C3835" t="str">
        <f t="shared" si="178"/>
        <v>ffdfd3c0</v>
      </c>
      <c r="D3835" t="s">
        <v>109</v>
      </c>
      <c r="E3835">
        <v>4</v>
      </c>
      <c r="F3835">
        <v>1004</v>
      </c>
      <c r="G3835" t="s">
        <v>110</v>
      </c>
      <c r="J3835" t="s">
        <v>111</v>
      </c>
      <c r="K3835">
        <v>0</v>
      </c>
      <c r="L3835">
        <v>3</v>
      </c>
      <c r="M3835">
        <v>0</v>
      </c>
      <c r="N3835">
        <v>2</v>
      </c>
      <c r="O3835">
        <v>1</v>
      </c>
      <c r="P3835">
        <v>0</v>
      </c>
      <c r="Q3835">
        <v>0</v>
      </c>
      <c r="R3835" t="s">
        <v>112</v>
      </c>
      <c r="S3835" t="str">
        <f>"14:54:19.266"</f>
        <v>14:54:19.266</v>
      </c>
      <c r="T3835" t="str">
        <f>"14:54:18.766"</f>
        <v>14:54:18.766</v>
      </c>
      <c r="U3835" t="str">
        <f t="shared" si="177"/>
        <v>ad5732</v>
      </c>
      <c r="V3835">
        <v>0</v>
      </c>
      <c r="W3835">
        <v>0</v>
      </c>
      <c r="X3835">
        <v>1</v>
      </c>
      <c r="Z3835">
        <v>0</v>
      </c>
      <c r="AA3835">
        <v>9</v>
      </c>
      <c r="AB3835">
        <v>3</v>
      </c>
      <c r="AC3835">
        <v>0</v>
      </c>
      <c r="AD3835">
        <v>10</v>
      </c>
      <c r="AE3835">
        <v>0</v>
      </c>
      <c r="AF3835">
        <v>3</v>
      </c>
      <c r="AG3835">
        <v>2</v>
      </c>
      <c r="AH3835">
        <v>0</v>
      </c>
      <c r="AI3835" t="s">
        <v>7718</v>
      </c>
      <c r="AJ3835">
        <v>40.493845999999998</v>
      </c>
      <c r="AK3835" t="s">
        <v>7719</v>
      </c>
      <c r="AL3835">
        <v>-74.368322000000006</v>
      </c>
      <c r="AM3835">
        <v>100</v>
      </c>
      <c r="AN3835">
        <v>1100</v>
      </c>
      <c r="AO3835" t="s">
        <v>115</v>
      </c>
      <c r="AP3835">
        <v>59</v>
      </c>
      <c r="AQ3835">
        <v>127</v>
      </c>
      <c r="AR3835">
        <v>-576</v>
      </c>
      <c r="AZ3835">
        <v>3614</v>
      </c>
      <c r="BA3835">
        <v>1</v>
      </c>
      <c r="BB3835" t="str">
        <f t="shared" si="179"/>
        <v xml:space="preserve">N959MJ  </v>
      </c>
      <c r="BC3835">
        <v>1</v>
      </c>
      <c r="BE3835">
        <v>0</v>
      </c>
      <c r="BF3835">
        <v>0</v>
      </c>
      <c r="BG3835">
        <v>0</v>
      </c>
      <c r="BH3835">
        <v>1450</v>
      </c>
      <c r="BI3835">
        <v>350</v>
      </c>
      <c r="BJ3835">
        <v>1</v>
      </c>
      <c r="BK3835">
        <v>1</v>
      </c>
      <c r="BL3835">
        <v>1</v>
      </c>
      <c r="BM3835">
        <v>0</v>
      </c>
      <c r="BP3835">
        <v>0</v>
      </c>
      <c r="BQ3835">
        <v>0</v>
      </c>
      <c r="BX3835" t="str">
        <f>"14:54:19.266"</f>
        <v>14:54:19.266</v>
      </c>
      <c r="BY3835" t="str">
        <f>"267193112"</f>
        <v>267193112</v>
      </c>
      <c r="CL3835">
        <v>3</v>
      </c>
      <c r="CM3835">
        <v>2</v>
      </c>
      <c r="CN3835">
        <v>0</v>
      </c>
      <c r="CO3835">
        <v>2</v>
      </c>
      <c r="CP3835">
        <v>0</v>
      </c>
      <c r="CQ3835">
        <v>7</v>
      </c>
      <c r="CR3835" t="s">
        <v>116</v>
      </c>
      <c r="CS3835">
        <v>305</v>
      </c>
      <c r="CT3835">
        <v>3</v>
      </c>
      <c r="CU3835" t="s">
        <v>6425</v>
      </c>
      <c r="CV3835" t="s">
        <v>6426</v>
      </c>
      <c r="CY3835">
        <v>6490736</v>
      </c>
      <c r="CZ3835" t="s">
        <v>119</v>
      </c>
    </row>
    <row r="3836" spans="1:104" x14ac:dyDescent="0.25">
      <c r="A3836" t="str">
        <f>"14:54:20.430"</f>
        <v>14:54:20.430</v>
      </c>
      <c r="B3836" t="s">
        <v>108</v>
      </c>
      <c r="C3836" t="str">
        <f t="shared" si="178"/>
        <v>ffdfd3c0</v>
      </c>
      <c r="D3836" t="s">
        <v>109</v>
      </c>
      <c r="E3836">
        <v>4</v>
      </c>
      <c r="F3836">
        <v>1004</v>
      </c>
      <c r="G3836" t="s">
        <v>110</v>
      </c>
      <c r="J3836" t="s">
        <v>111</v>
      </c>
      <c r="K3836">
        <v>0</v>
      </c>
      <c r="L3836">
        <v>3</v>
      </c>
      <c r="M3836">
        <v>0</v>
      </c>
      <c r="N3836">
        <v>2</v>
      </c>
      <c r="O3836">
        <v>1</v>
      </c>
      <c r="P3836">
        <v>0</v>
      </c>
      <c r="Q3836">
        <v>0</v>
      </c>
      <c r="R3836" t="s">
        <v>112</v>
      </c>
      <c r="S3836" t="str">
        <f>"14:54:20.219"</f>
        <v>14:54:20.219</v>
      </c>
      <c r="T3836" t="str">
        <f>"14:54:19.719"</f>
        <v>14:54:19.719</v>
      </c>
      <c r="U3836" t="str">
        <f t="shared" si="177"/>
        <v>ad5732</v>
      </c>
      <c r="V3836">
        <v>0</v>
      </c>
      <c r="W3836">
        <v>0</v>
      </c>
      <c r="X3836">
        <v>1</v>
      </c>
      <c r="Z3836">
        <v>0</v>
      </c>
      <c r="AA3836">
        <v>9</v>
      </c>
      <c r="AB3836">
        <v>3</v>
      </c>
      <c r="AC3836">
        <v>0</v>
      </c>
      <c r="AD3836">
        <v>10</v>
      </c>
      <c r="AE3836">
        <v>0</v>
      </c>
      <c r="AF3836">
        <v>3</v>
      </c>
      <c r="AG3836">
        <v>2</v>
      </c>
      <c r="AH3836">
        <v>0</v>
      </c>
      <c r="AI3836" t="s">
        <v>7720</v>
      </c>
      <c r="AJ3836">
        <v>40.494360999999998</v>
      </c>
      <c r="AK3836" t="s">
        <v>7721</v>
      </c>
      <c r="AL3836">
        <v>-74.367979000000005</v>
      </c>
      <c r="AM3836">
        <v>100</v>
      </c>
      <c r="AN3836">
        <v>1100</v>
      </c>
      <c r="AO3836" t="s">
        <v>115</v>
      </c>
      <c r="AP3836">
        <v>60</v>
      </c>
      <c r="AQ3836">
        <v>127</v>
      </c>
      <c r="AR3836">
        <v>-512</v>
      </c>
      <c r="AZ3836">
        <v>3614</v>
      </c>
      <c r="BA3836">
        <v>1</v>
      </c>
      <c r="BB3836" t="str">
        <f t="shared" si="179"/>
        <v xml:space="preserve">N959MJ  </v>
      </c>
      <c r="BC3836">
        <v>1</v>
      </c>
      <c r="BE3836">
        <v>0</v>
      </c>
      <c r="BF3836">
        <v>0</v>
      </c>
      <c r="BG3836">
        <v>0</v>
      </c>
      <c r="BH3836">
        <v>1350</v>
      </c>
      <c r="BI3836">
        <v>250</v>
      </c>
      <c r="BJ3836">
        <v>1</v>
      </c>
      <c r="BK3836">
        <v>1</v>
      </c>
      <c r="BL3836">
        <v>1</v>
      </c>
      <c r="BM3836">
        <v>0</v>
      </c>
      <c r="BP3836">
        <v>0</v>
      </c>
      <c r="BQ3836">
        <v>0</v>
      </c>
      <c r="BX3836" t="str">
        <f>"14:54:20.227"</f>
        <v>14:54:20.227</v>
      </c>
      <c r="BY3836" t="str">
        <f>"224035506"</f>
        <v>224035506</v>
      </c>
      <c r="CL3836">
        <v>3</v>
      </c>
      <c r="CM3836">
        <v>2</v>
      </c>
      <c r="CN3836">
        <v>0</v>
      </c>
      <c r="CO3836">
        <v>2</v>
      </c>
      <c r="CP3836">
        <v>0</v>
      </c>
      <c r="CQ3836">
        <v>7</v>
      </c>
      <c r="CR3836" t="s">
        <v>116</v>
      </c>
      <c r="CS3836">
        <v>305</v>
      </c>
      <c r="CT3836">
        <v>3</v>
      </c>
      <c r="CU3836" t="s">
        <v>6425</v>
      </c>
      <c r="CV3836" t="s">
        <v>6426</v>
      </c>
      <c r="CY3836">
        <v>6492600</v>
      </c>
      <c r="CZ3836" t="s">
        <v>119</v>
      </c>
    </row>
    <row r="3837" spans="1:104" x14ac:dyDescent="0.25">
      <c r="A3837" t="str">
        <f>"14:54:21.484"</f>
        <v>14:54:21.484</v>
      </c>
      <c r="B3837" t="s">
        <v>108</v>
      </c>
      <c r="C3837" t="str">
        <f t="shared" si="178"/>
        <v>ffdfd3c0</v>
      </c>
      <c r="D3837" t="s">
        <v>109</v>
      </c>
      <c r="E3837">
        <v>4</v>
      </c>
      <c r="F3837">
        <v>1004</v>
      </c>
      <c r="G3837" t="s">
        <v>110</v>
      </c>
      <c r="J3837" t="s">
        <v>111</v>
      </c>
      <c r="K3837">
        <v>0</v>
      </c>
      <c r="L3837">
        <v>3</v>
      </c>
      <c r="M3837">
        <v>0</v>
      </c>
      <c r="N3837">
        <v>2</v>
      </c>
      <c r="O3837">
        <v>1</v>
      </c>
      <c r="P3837">
        <v>0</v>
      </c>
      <c r="Q3837">
        <v>0</v>
      </c>
      <c r="R3837" t="s">
        <v>112</v>
      </c>
      <c r="S3837" t="str">
        <f>"14:54:21.305"</f>
        <v>14:54:21.305</v>
      </c>
      <c r="T3837" t="str">
        <f>"14:54:20.805"</f>
        <v>14:54:20.805</v>
      </c>
      <c r="U3837" t="str">
        <f t="shared" si="177"/>
        <v>ad5732</v>
      </c>
      <c r="V3837">
        <v>0</v>
      </c>
      <c r="W3837">
        <v>0</v>
      </c>
      <c r="X3837">
        <v>1</v>
      </c>
      <c r="Z3837">
        <v>0</v>
      </c>
      <c r="AA3837">
        <v>9</v>
      </c>
      <c r="AB3837">
        <v>3</v>
      </c>
      <c r="AC3837">
        <v>0</v>
      </c>
      <c r="AD3837">
        <v>10</v>
      </c>
      <c r="AE3837">
        <v>0</v>
      </c>
      <c r="AF3837">
        <v>3</v>
      </c>
      <c r="AG3837">
        <v>2</v>
      </c>
      <c r="AH3837">
        <v>0</v>
      </c>
      <c r="AI3837" t="s">
        <v>7722</v>
      </c>
      <c r="AJ3837">
        <v>40.495047999999997</v>
      </c>
      <c r="AK3837" t="s">
        <v>7723</v>
      </c>
      <c r="AL3837">
        <v>-74.367570999999998</v>
      </c>
      <c r="AM3837">
        <v>100</v>
      </c>
      <c r="AN3837">
        <v>1100</v>
      </c>
      <c r="AO3837" t="s">
        <v>115</v>
      </c>
      <c r="AP3837">
        <v>60</v>
      </c>
      <c r="AQ3837">
        <v>126</v>
      </c>
      <c r="AR3837">
        <v>-704</v>
      </c>
      <c r="AZ3837">
        <v>3614</v>
      </c>
      <c r="BA3837">
        <v>1</v>
      </c>
      <c r="BB3837" t="str">
        <f t="shared" si="179"/>
        <v xml:space="preserve">N959MJ  </v>
      </c>
      <c r="BC3837">
        <v>1</v>
      </c>
      <c r="BE3837">
        <v>0</v>
      </c>
      <c r="BF3837">
        <v>0</v>
      </c>
      <c r="BG3837">
        <v>0</v>
      </c>
      <c r="BH3837">
        <v>1350</v>
      </c>
      <c r="BI3837">
        <v>250</v>
      </c>
      <c r="BJ3837">
        <v>1</v>
      </c>
      <c r="BK3837">
        <v>1</v>
      </c>
      <c r="BL3837">
        <v>1</v>
      </c>
      <c r="BM3837">
        <v>0</v>
      </c>
      <c r="BP3837">
        <v>0</v>
      </c>
      <c r="BQ3837">
        <v>0</v>
      </c>
      <c r="BX3837" t="str">
        <f>"14:54:21.313"</f>
        <v>14:54:21.313</v>
      </c>
      <c r="BY3837" t="str">
        <f>"310313780"</f>
        <v>310313780</v>
      </c>
      <c r="CL3837">
        <v>3</v>
      </c>
      <c r="CM3837">
        <v>2</v>
      </c>
      <c r="CN3837">
        <v>0</v>
      </c>
      <c r="CO3837">
        <v>2</v>
      </c>
      <c r="CP3837">
        <v>0</v>
      </c>
      <c r="CQ3837">
        <v>7</v>
      </c>
      <c r="CR3837" t="s">
        <v>116</v>
      </c>
      <c r="CS3837">
        <v>305</v>
      </c>
      <c r="CT3837">
        <v>3</v>
      </c>
      <c r="CU3837" t="s">
        <v>6425</v>
      </c>
      <c r="CV3837" t="s">
        <v>6426</v>
      </c>
      <c r="CY3837">
        <v>6494945</v>
      </c>
      <c r="CZ3837" t="s">
        <v>119</v>
      </c>
    </row>
    <row r="3838" spans="1:104" x14ac:dyDescent="0.25">
      <c r="A3838" t="str">
        <f>"14:54:22.602"</f>
        <v>14:54:22.602</v>
      </c>
      <c r="B3838" t="s">
        <v>108</v>
      </c>
      <c r="C3838" t="str">
        <f t="shared" si="178"/>
        <v>ffdfd3c0</v>
      </c>
      <c r="D3838" t="s">
        <v>109</v>
      </c>
      <c r="E3838">
        <v>4</v>
      </c>
      <c r="F3838">
        <v>1004</v>
      </c>
      <c r="G3838" t="s">
        <v>110</v>
      </c>
      <c r="J3838" t="s">
        <v>111</v>
      </c>
      <c r="K3838">
        <v>0</v>
      </c>
      <c r="L3838">
        <v>3</v>
      </c>
      <c r="M3838">
        <v>0</v>
      </c>
      <c r="N3838">
        <v>2</v>
      </c>
      <c r="O3838">
        <v>1</v>
      </c>
      <c r="P3838">
        <v>0</v>
      </c>
      <c r="Q3838">
        <v>0</v>
      </c>
      <c r="R3838" t="s">
        <v>112</v>
      </c>
      <c r="S3838" t="str">
        <f>"14:54:22.383"</f>
        <v>14:54:22.383</v>
      </c>
      <c r="T3838" t="str">
        <f>"14:54:21.383"</f>
        <v>14:54:21.383</v>
      </c>
      <c r="U3838" t="str">
        <f t="shared" si="177"/>
        <v>ad5732</v>
      </c>
      <c r="V3838">
        <v>0</v>
      </c>
      <c r="W3838">
        <v>0</v>
      </c>
      <c r="X3838">
        <v>1</v>
      </c>
      <c r="Z3838">
        <v>0</v>
      </c>
      <c r="AA3838">
        <v>9</v>
      </c>
      <c r="AB3838">
        <v>3</v>
      </c>
      <c r="AC3838">
        <v>0</v>
      </c>
      <c r="AD3838">
        <v>10</v>
      </c>
      <c r="AE3838">
        <v>0</v>
      </c>
      <c r="AF3838">
        <v>3</v>
      </c>
      <c r="AG3838">
        <v>2</v>
      </c>
      <c r="AH3838">
        <v>0</v>
      </c>
      <c r="AI3838" t="s">
        <v>7724</v>
      </c>
      <c r="AJ3838">
        <v>40.495648000000003</v>
      </c>
      <c r="AK3838" t="s">
        <v>7725</v>
      </c>
      <c r="AL3838">
        <v>-74.367185000000006</v>
      </c>
      <c r="AM3838">
        <v>100</v>
      </c>
      <c r="AN3838">
        <v>1100</v>
      </c>
      <c r="AO3838" t="s">
        <v>115</v>
      </c>
      <c r="AP3838">
        <v>60</v>
      </c>
      <c r="AQ3838">
        <v>126</v>
      </c>
      <c r="AR3838">
        <v>-768</v>
      </c>
      <c r="AZ3838">
        <v>3614</v>
      </c>
      <c r="BA3838">
        <v>1</v>
      </c>
      <c r="BB3838" t="str">
        <f t="shared" si="179"/>
        <v xml:space="preserve">N959MJ  </v>
      </c>
      <c r="BC3838">
        <v>1</v>
      </c>
      <c r="BE3838">
        <v>0</v>
      </c>
      <c r="BF3838">
        <v>0</v>
      </c>
      <c r="BG3838">
        <v>0</v>
      </c>
      <c r="BH3838">
        <v>1325</v>
      </c>
      <c r="BI3838">
        <v>225</v>
      </c>
      <c r="BJ3838">
        <v>1</v>
      </c>
      <c r="BK3838">
        <v>1</v>
      </c>
      <c r="BL3838">
        <v>1</v>
      </c>
      <c r="BM3838">
        <v>0</v>
      </c>
      <c r="BP3838">
        <v>0</v>
      </c>
      <c r="BQ3838">
        <v>0</v>
      </c>
      <c r="BX3838" t="str">
        <f>"14:54:22.383"</f>
        <v>14:54:22.383</v>
      </c>
      <c r="BY3838" t="str">
        <f>"385176784"</f>
        <v>385176784</v>
      </c>
      <c r="CL3838">
        <v>3</v>
      </c>
      <c r="CM3838">
        <v>2</v>
      </c>
      <c r="CN3838">
        <v>0</v>
      </c>
      <c r="CO3838">
        <v>2</v>
      </c>
      <c r="CP3838">
        <v>0</v>
      </c>
      <c r="CQ3838">
        <v>5</v>
      </c>
      <c r="CR3838" t="s">
        <v>116</v>
      </c>
      <c r="CS3838">
        <v>38</v>
      </c>
      <c r="CT3838">
        <v>0</v>
      </c>
      <c r="CU3838" t="s">
        <v>4719</v>
      </c>
      <c r="CV3838" t="s">
        <v>4720</v>
      </c>
      <c r="CY3838">
        <v>8496286</v>
      </c>
      <c r="CZ3838" t="s">
        <v>119</v>
      </c>
    </row>
    <row r="3839" spans="1:104" x14ac:dyDescent="0.25">
      <c r="A3839" t="str">
        <f>"14:54:23.711"</f>
        <v>14:54:23.711</v>
      </c>
      <c r="B3839" t="s">
        <v>108</v>
      </c>
      <c r="C3839" t="str">
        <f t="shared" si="178"/>
        <v>ffdfd3c0</v>
      </c>
      <c r="D3839" t="s">
        <v>109</v>
      </c>
      <c r="E3839">
        <v>4</v>
      </c>
      <c r="F3839">
        <v>1004</v>
      </c>
      <c r="G3839" t="s">
        <v>110</v>
      </c>
      <c r="J3839" t="s">
        <v>111</v>
      </c>
      <c r="K3839">
        <v>0</v>
      </c>
      <c r="L3839">
        <v>3</v>
      </c>
      <c r="M3839">
        <v>0</v>
      </c>
      <c r="N3839">
        <v>2</v>
      </c>
      <c r="O3839">
        <v>1</v>
      </c>
      <c r="P3839">
        <v>0</v>
      </c>
      <c r="Q3839">
        <v>0</v>
      </c>
      <c r="R3839" t="s">
        <v>112</v>
      </c>
      <c r="S3839" t="str">
        <f>"14:54:23.508"</f>
        <v>14:54:23.508</v>
      </c>
      <c r="T3839" t="str">
        <f>"14:54:23.008"</f>
        <v>14:54:23.008</v>
      </c>
      <c r="U3839" t="str">
        <f t="shared" si="177"/>
        <v>ad5732</v>
      </c>
      <c r="V3839">
        <v>0</v>
      </c>
      <c r="W3839">
        <v>0</v>
      </c>
      <c r="X3839">
        <v>1</v>
      </c>
      <c r="Z3839">
        <v>0</v>
      </c>
      <c r="AA3839">
        <v>9</v>
      </c>
      <c r="AB3839">
        <v>3</v>
      </c>
      <c r="AC3839">
        <v>0</v>
      </c>
      <c r="AD3839">
        <v>10</v>
      </c>
      <c r="AE3839">
        <v>0</v>
      </c>
      <c r="AF3839">
        <v>3</v>
      </c>
      <c r="AG3839">
        <v>2</v>
      </c>
      <c r="AH3839">
        <v>0</v>
      </c>
      <c r="AI3839" t="s">
        <v>7726</v>
      </c>
      <c r="AJ3839">
        <v>40.496313999999998</v>
      </c>
      <c r="AK3839" t="s">
        <v>7727</v>
      </c>
      <c r="AL3839">
        <v>-74.366776999999999</v>
      </c>
      <c r="AM3839">
        <v>100</v>
      </c>
      <c r="AN3839">
        <v>1100</v>
      </c>
      <c r="AO3839" t="s">
        <v>115</v>
      </c>
      <c r="AP3839">
        <v>60</v>
      </c>
      <c r="AQ3839">
        <v>126</v>
      </c>
      <c r="AR3839">
        <v>-640</v>
      </c>
      <c r="AZ3839">
        <v>3614</v>
      </c>
      <c r="BA3839">
        <v>1</v>
      </c>
      <c r="BB3839" t="str">
        <f t="shared" si="179"/>
        <v xml:space="preserve">N959MJ  </v>
      </c>
      <c r="BC3839">
        <v>1</v>
      </c>
      <c r="BE3839">
        <v>0</v>
      </c>
      <c r="BF3839">
        <v>0</v>
      </c>
      <c r="BG3839">
        <v>0</v>
      </c>
      <c r="BH3839">
        <v>1325</v>
      </c>
      <c r="BI3839">
        <v>225</v>
      </c>
      <c r="BJ3839">
        <v>1</v>
      </c>
      <c r="BK3839">
        <v>1</v>
      </c>
      <c r="BL3839">
        <v>1</v>
      </c>
      <c r="BM3839">
        <v>0</v>
      </c>
      <c r="BP3839">
        <v>0</v>
      </c>
      <c r="BQ3839">
        <v>0</v>
      </c>
      <c r="BX3839" t="str">
        <f>"14:54:23.508"</f>
        <v>14:54:23.508</v>
      </c>
      <c r="BY3839" t="str">
        <f>"510723604"</f>
        <v>510723604</v>
      </c>
      <c r="CL3839">
        <v>3</v>
      </c>
      <c r="CM3839">
        <v>2</v>
      </c>
      <c r="CN3839">
        <v>0</v>
      </c>
      <c r="CO3839">
        <v>2</v>
      </c>
      <c r="CP3839">
        <v>0</v>
      </c>
      <c r="CQ3839">
        <v>6</v>
      </c>
      <c r="CR3839" t="s">
        <v>116</v>
      </c>
      <c r="CS3839">
        <v>305</v>
      </c>
      <c r="CT3839">
        <v>3</v>
      </c>
      <c r="CU3839" t="s">
        <v>6425</v>
      </c>
      <c r="CV3839" t="s">
        <v>6426</v>
      </c>
      <c r="CY3839">
        <v>6499274</v>
      </c>
      <c r="CZ3839" t="s">
        <v>119</v>
      </c>
    </row>
    <row r="3840" spans="1:104" x14ac:dyDescent="0.25">
      <c r="A3840" t="str">
        <f>"14:54:24.672"</f>
        <v>14:54:24.672</v>
      </c>
      <c r="B3840" t="s">
        <v>108</v>
      </c>
      <c r="C3840" t="str">
        <f t="shared" si="178"/>
        <v>ffdfd3c0</v>
      </c>
      <c r="D3840" t="s">
        <v>109</v>
      </c>
      <c r="E3840">
        <v>4</v>
      </c>
      <c r="F3840">
        <v>1004</v>
      </c>
      <c r="G3840" t="s">
        <v>110</v>
      </c>
      <c r="J3840" t="s">
        <v>111</v>
      </c>
      <c r="K3840">
        <v>0</v>
      </c>
      <c r="L3840">
        <v>3</v>
      </c>
      <c r="M3840">
        <v>0</v>
      </c>
      <c r="N3840">
        <v>2</v>
      </c>
      <c r="O3840">
        <v>1</v>
      </c>
      <c r="P3840">
        <v>0</v>
      </c>
      <c r="Q3840">
        <v>0</v>
      </c>
      <c r="R3840" t="s">
        <v>112</v>
      </c>
      <c r="S3840" t="str">
        <f>"14:54:24.477"</f>
        <v>14:54:24.477</v>
      </c>
      <c r="T3840" t="str">
        <f>"14:54:24.078"</f>
        <v>14:54:24.078</v>
      </c>
      <c r="U3840" t="str">
        <f t="shared" si="177"/>
        <v>ad5732</v>
      </c>
      <c r="V3840">
        <v>0</v>
      </c>
      <c r="W3840">
        <v>0</v>
      </c>
      <c r="X3840">
        <v>1</v>
      </c>
      <c r="Z3840">
        <v>0</v>
      </c>
      <c r="AA3840">
        <v>9</v>
      </c>
      <c r="AB3840">
        <v>3</v>
      </c>
      <c r="AC3840">
        <v>0</v>
      </c>
      <c r="AD3840">
        <v>10</v>
      </c>
      <c r="AE3840">
        <v>0</v>
      </c>
      <c r="AF3840">
        <v>3</v>
      </c>
      <c r="AG3840">
        <v>2</v>
      </c>
      <c r="AH3840">
        <v>0</v>
      </c>
      <c r="AI3840" t="s">
        <v>7728</v>
      </c>
      <c r="AJ3840">
        <v>40.496913999999997</v>
      </c>
      <c r="AK3840" t="s">
        <v>7729</v>
      </c>
      <c r="AL3840">
        <v>-74.366390999999993</v>
      </c>
      <c r="AM3840">
        <v>100</v>
      </c>
      <c r="AN3840">
        <v>1100</v>
      </c>
      <c r="AO3840" t="s">
        <v>115</v>
      </c>
      <c r="AP3840">
        <v>60</v>
      </c>
      <c r="AQ3840">
        <v>126</v>
      </c>
      <c r="AR3840">
        <v>-576</v>
      </c>
      <c r="AZ3840">
        <v>3614</v>
      </c>
      <c r="BA3840">
        <v>1</v>
      </c>
      <c r="BB3840" t="str">
        <f t="shared" si="179"/>
        <v xml:space="preserve">N959MJ  </v>
      </c>
      <c r="BC3840">
        <v>1</v>
      </c>
      <c r="BE3840">
        <v>0</v>
      </c>
      <c r="BF3840">
        <v>0</v>
      </c>
      <c r="BG3840">
        <v>0</v>
      </c>
      <c r="BH3840">
        <v>1300</v>
      </c>
      <c r="BI3840">
        <v>200</v>
      </c>
      <c r="BJ3840">
        <v>1</v>
      </c>
      <c r="BK3840">
        <v>1</v>
      </c>
      <c r="BL3840">
        <v>1</v>
      </c>
      <c r="BM3840">
        <v>0</v>
      </c>
      <c r="BP3840">
        <v>0</v>
      </c>
      <c r="BQ3840">
        <v>0</v>
      </c>
      <c r="BX3840" t="str">
        <f>"14:54:24.477"</f>
        <v>14:54:24.477</v>
      </c>
      <c r="BY3840" t="str">
        <f>"479035048"</f>
        <v>479035048</v>
      </c>
      <c r="CL3840">
        <v>3</v>
      </c>
      <c r="CM3840">
        <v>2</v>
      </c>
      <c r="CN3840">
        <v>0</v>
      </c>
      <c r="CO3840">
        <v>2</v>
      </c>
      <c r="CP3840">
        <v>0</v>
      </c>
      <c r="CQ3840">
        <v>6</v>
      </c>
      <c r="CR3840" t="s">
        <v>116</v>
      </c>
      <c r="CS3840">
        <v>305</v>
      </c>
      <c r="CT3840">
        <v>3</v>
      </c>
      <c r="CU3840" t="s">
        <v>6425</v>
      </c>
      <c r="CV3840" t="s">
        <v>6426</v>
      </c>
      <c r="CY3840">
        <v>6501168</v>
      </c>
      <c r="CZ3840" t="s">
        <v>119</v>
      </c>
    </row>
    <row r="3841" spans="1:104" x14ac:dyDescent="0.25">
      <c r="A3841" t="str">
        <f>"14:54:25.680"</f>
        <v>14:54:25.680</v>
      </c>
      <c r="B3841" t="s">
        <v>108</v>
      </c>
      <c r="C3841" t="str">
        <f t="shared" si="178"/>
        <v>ffdfd3c0</v>
      </c>
      <c r="D3841" t="s">
        <v>109</v>
      </c>
      <c r="E3841">
        <v>4</v>
      </c>
      <c r="F3841">
        <v>1004</v>
      </c>
      <c r="G3841" t="s">
        <v>110</v>
      </c>
      <c r="J3841" t="s">
        <v>111</v>
      </c>
      <c r="K3841">
        <v>0</v>
      </c>
      <c r="L3841">
        <v>3</v>
      </c>
      <c r="M3841">
        <v>0</v>
      </c>
      <c r="N3841">
        <v>2</v>
      </c>
      <c r="O3841">
        <v>1</v>
      </c>
      <c r="P3841">
        <v>0</v>
      </c>
      <c r="Q3841">
        <v>0</v>
      </c>
      <c r="R3841" t="s">
        <v>112</v>
      </c>
      <c r="S3841" t="str">
        <f>"14:54:25.461"</f>
        <v>14:54:25.461</v>
      </c>
      <c r="T3841" t="str">
        <f>"14:54:25.063"</f>
        <v>14:54:25.063</v>
      </c>
      <c r="U3841" t="str">
        <f t="shared" si="177"/>
        <v>ad5732</v>
      </c>
      <c r="V3841">
        <v>0</v>
      </c>
      <c r="W3841">
        <v>0</v>
      </c>
      <c r="X3841">
        <v>1</v>
      </c>
      <c r="Z3841">
        <v>0</v>
      </c>
      <c r="AA3841">
        <v>9</v>
      </c>
      <c r="AB3841">
        <v>3</v>
      </c>
      <c r="AC3841">
        <v>0</v>
      </c>
      <c r="AD3841">
        <v>10</v>
      </c>
      <c r="AE3841">
        <v>0</v>
      </c>
      <c r="AF3841">
        <v>3</v>
      </c>
      <c r="AG3841">
        <v>2</v>
      </c>
      <c r="AH3841">
        <v>0</v>
      </c>
      <c r="AI3841" t="s">
        <v>7730</v>
      </c>
      <c r="AJ3841">
        <v>40.497472000000002</v>
      </c>
      <c r="AK3841" t="s">
        <v>7731</v>
      </c>
      <c r="AL3841">
        <v>-74.366026000000005</v>
      </c>
      <c r="AM3841">
        <v>100</v>
      </c>
      <c r="AN3841">
        <v>1100</v>
      </c>
      <c r="AO3841" t="s">
        <v>115</v>
      </c>
      <c r="AP3841">
        <v>61</v>
      </c>
      <c r="AQ3841">
        <v>126</v>
      </c>
      <c r="AR3841">
        <v>-512</v>
      </c>
      <c r="AZ3841">
        <v>3614</v>
      </c>
      <c r="BA3841">
        <v>1</v>
      </c>
      <c r="BB3841" t="str">
        <f t="shared" si="179"/>
        <v xml:space="preserve">N959MJ  </v>
      </c>
      <c r="BC3841">
        <v>1</v>
      </c>
      <c r="BE3841">
        <v>0</v>
      </c>
      <c r="BF3841">
        <v>0</v>
      </c>
      <c r="BG3841">
        <v>0</v>
      </c>
      <c r="BH3841">
        <v>1300</v>
      </c>
      <c r="BI3841">
        <v>200</v>
      </c>
      <c r="BJ3841">
        <v>1</v>
      </c>
      <c r="BK3841">
        <v>1</v>
      </c>
      <c r="BL3841">
        <v>1</v>
      </c>
      <c r="BM3841">
        <v>0</v>
      </c>
      <c r="BP3841">
        <v>0</v>
      </c>
      <c r="BQ3841">
        <v>0</v>
      </c>
      <c r="BX3841" t="str">
        <f>"14:54:25.461"</f>
        <v>14:54:25.461</v>
      </c>
      <c r="BY3841" t="str">
        <f>"463730683"</f>
        <v>463730683</v>
      </c>
      <c r="CL3841">
        <v>3</v>
      </c>
      <c r="CM3841">
        <v>2</v>
      </c>
      <c r="CN3841">
        <v>0</v>
      </c>
      <c r="CO3841">
        <v>2</v>
      </c>
      <c r="CP3841">
        <v>0</v>
      </c>
      <c r="CQ3841">
        <v>6</v>
      </c>
      <c r="CR3841" t="s">
        <v>116</v>
      </c>
      <c r="CS3841">
        <v>305</v>
      </c>
      <c r="CT3841">
        <v>3</v>
      </c>
      <c r="CU3841" t="s">
        <v>6425</v>
      </c>
      <c r="CV3841" t="s">
        <v>6426</v>
      </c>
      <c r="CY3841">
        <v>6503273</v>
      </c>
      <c r="CZ3841" t="s">
        <v>119</v>
      </c>
    </row>
    <row r="3842" spans="1:104" x14ac:dyDescent="0.25">
      <c r="A3842" t="str">
        <f>"14:54:26.688"</f>
        <v>14:54:26.688</v>
      </c>
      <c r="B3842" t="s">
        <v>108</v>
      </c>
      <c r="C3842" t="str">
        <f t="shared" si="178"/>
        <v>ffdfd3c0</v>
      </c>
      <c r="D3842" t="s">
        <v>109</v>
      </c>
      <c r="E3842">
        <v>4</v>
      </c>
      <c r="F3842">
        <v>1004</v>
      </c>
      <c r="G3842" t="s">
        <v>110</v>
      </c>
      <c r="J3842" t="s">
        <v>111</v>
      </c>
      <c r="K3842">
        <v>0</v>
      </c>
      <c r="L3842">
        <v>3</v>
      </c>
      <c r="M3842">
        <v>0</v>
      </c>
      <c r="N3842">
        <v>2</v>
      </c>
      <c r="O3842">
        <v>1</v>
      </c>
      <c r="P3842">
        <v>0</v>
      </c>
      <c r="Q3842">
        <v>0</v>
      </c>
      <c r="R3842" t="s">
        <v>112</v>
      </c>
      <c r="S3842" t="str">
        <f>"14:54:26.508"</f>
        <v>14:54:26.508</v>
      </c>
      <c r="T3842" t="str">
        <f>"14:54:26.008"</f>
        <v>14:54:26.008</v>
      </c>
      <c r="U3842" t="str">
        <f t="shared" ref="U3842:U3905" si="180">"ad5732"</f>
        <v>ad5732</v>
      </c>
      <c r="V3842">
        <v>0</v>
      </c>
      <c r="W3842">
        <v>0</v>
      </c>
      <c r="X3842">
        <v>1</v>
      </c>
      <c r="Z3842">
        <v>0</v>
      </c>
      <c r="AA3842">
        <v>9</v>
      </c>
      <c r="AB3842">
        <v>3</v>
      </c>
      <c r="AC3842">
        <v>0</v>
      </c>
      <c r="AD3842">
        <v>10</v>
      </c>
      <c r="AE3842">
        <v>0</v>
      </c>
      <c r="AF3842">
        <v>3</v>
      </c>
      <c r="AG3842">
        <v>2</v>
      </c>
      <c r="AH3842">
        <v>0</v>
      </c>
      <c r="AI3842" t="s">
        <v>7732</v>
      </c>
      <c r="AJ3842">
        <v>40.498072999999998</v>
      </c>
      <c r="AK3842" t="s">
        <v>7733</v>
      </c>
      <c r="AL3842">
        <v>-74.365703999999994</v>
      </c>
      <c r="AM3842">
        <v>100</v>
      </c>
      <c r="AN3842">
        <v>1000</v>
      </c>
      <c r="AO3842" t="s">
        <v>115</v>
      </c>
      <c r="AP3842">
        <v>61</v>
      </c>
      <c r="AQ3842">
        <v>126</v>
      </c>
      <c r="AR3842">
        <v>-512</v>
      </c>
      <c r="AZ3842">
        <v>3614</v>
      </c>
      <c r="BA3842">
        <v>1</v>
      </c>
      <c r="BB3842" t="str">
        <f t="shared" si="179"/>
        <v xml:space="preserve">N959MJ  </v>
      </c>
      <c r="BC3842">
        <v>1</v>
      </c>
      <c r="BE3842">
        <v>0</v>
      </c>
      <c r="BF3842">
        <v>0</v>
      </c>
      <c r="BG3842">
        <v>0</v>
      </c>
      <c r="BH3842">
        <v>1300</v>
      </c>
      <c r="BI3842">
        <v>300</v>
      </c>
      <c r="BJ3842">
        <v>1</v>
      </c>
      <c r="BK3842">
        <v>1</v>
      </c>
      <c r="BL3842">
        <v>1</v>
      </c>
      <c r="BM3842">
        <v>0</v>
      </c>
      <c r="BP3842">
        <v>0</v>
      </c>
      <c r="BQ3842">
        <v>0</v>
      </c>
      <c r="BX3842" t="str">
        <f>"14:54:26.516"</f>
        <v>14:54:26.516</v>
      </c>
      <c r="BY3842" t="str">
        <f>"515602002"</f>
        <v>515602002</v>
      </c>
      <c r="CL3842">
        <v>3</v>
      </c>
      <c r="CM3842">
        <v>2</v>
      </c>
      <c r="CN3842">
        <v>0</v>
      </c>
      <c r="CO3842">
        <v>2</v>
      </c>
      <c r="CP3842">
        <v>0</v>
      </c>
      <c r="CQ3842">
        <v>6</v>
      </c>
      <c r="CR3842" t="s">
        <v>116</v>
      </c>
      <c r="CS3842">
        <v>305</v>
      </c>
      <c r="CT3842">
        <v>3</v>
      </c>
      <c r="CU3842" t="s">
        <v>6425</v>
      </c>
      <c r="CV3842" t="s">
        <v>6426</v>
      </c>
      <c r="CY3842">
        <v>6505525</v>
      </c>
      <c r="CZ3842" t="s">
        <v>119</v>
      </c>
    </row>
    <row r="3843" spans="1:104" x14ac:dyDescent="0.25">
      <c r="A3843" t="str">
        <f>"14:54:27.695"</f>
        <v>14:54:27.695</v>
      </c>
      <c r="B3843" t="s">
        <v>108</v>
      </c>
      <c r="C3843" t="str">
        <f t="shared" si="178"/>
        <v>ffdfd3c0</v>
      </c>
      <c r="D3843" t="s">
        <v>109</v>
      </c>
      <c r="E3843">
        <v>4</v>
      </c>
      <c r="F3843">
        <v>1004</v>
      </c>
      <c r="G3843" t="s">
        <v>110</v>
      </c>
      <c r="J3843" t="s">
        <v>111</v>
      </c>
      <c r="K3843">
        <v>0</v>
      </c>
      <c r="L3843">
        <v>3</v>
      </c>
      <c r="M3843">
        <v>0</v>
      </c>
      <c r="N3843">
        <v>2</v>
      </c>
      <c r="O3843">
        <v>1</v>
      </c>
      <c r="P3843">
        <v>0</v>
      </c>
      <c r="Q3843">
        <v>0</v>
      </c>
      <c r="R3843" t="s">
        <v>112</v>
      </c>
      <c r="S3843" t="str">
        <f>"14:54:27.547"</f>
        <v>14:54:27.547</v>
      </c>
      <c r="T3843" t="str">
        <f>"14:54:27.047"</f>
        <v>14:54:27.047</v>
      </c>
      <c r="U3843" t="str">
        <f t="shared" si="180"/>
        <v>ad5732</v>
      </c>
      <c r="V3843">
        <v>0</v>
      </c>
      <c r="W3843">
        <v>0</v>
      </c>
      <c r="X3843">
        <v>1</v>
      </c>
      <c r="Z3843">
        <v>0</v>
      </c>
      <c r="AA3843">
        <v>9</v>
      </c>
      <c r="AB3843">
        <v>3</v>
      </c>
      <c r="AC3843">
        <v>0</v>
      </c>
      <c r="AD3843">
        <v>10</v>
      </c>
      <c r="AE3843">
        <v>0</v>
      </c>
      <c r="AF3843">
        <v>3</v>
      </c>
      <c r="AG3843">
        <v>2</v>
      </c>
      <c r="AH3843">
        <v>0</v>
      </c>
      <c r="AI3843" t="s">
        <v>7734</v>
      </c>
      <c r="AJ3843">
        <v>40.498716999999999</v>
      </c>
      <c r="AK3843" t="s">
        <v>7735</v>
      </c>
      <c r="AL3843">
        <v>-74.365296000000001</v>
      </c>
      <c r="AM3843">
        <v>100</v>
      </c>
      <c r="AN3843">
        <v>1000</v>
      </c>
      <c r="AO3843" t="s">
        <v>115</v>
      </c>
      <c r="AP3843">
        <v>61</v>
      </c>
      <c r="AQ3843">
        <v>126</v>
      </c>
      <c r="AR3843">
        <v>-448</v>
      </c>
      <c r="AZ3843">
        <v>3614</v>
      </c>
      <c r="BA3843">
        <v>1</v>
      </c>
      <c r="BB3843" t="str">
        <f t="shared" si="179"/>
        <v xml:space="preserve">N959MJ  </v>
      </c>
      <c r="BC3843">
        <v>1</v>
      </c>
      <c r="BE3843">
        <v>0</v>
      </c>
      <c r="BF3843">
        <v>0</v>
      </c>
      <c r="BG3843">
        <v>0</v>
      </c>
      <c r="BH3843">
        <v>1275</v>
      </c>
      <c r="BI3843">
        <v>275</v>
      </c>
      <c r="BJ3843">
        <v>1</v>
      </c>
      <c r="BK3843">
        <v>1</v>
      </c>
      <c r="BL3843">
        <v>1</v>
      </c>
      <c r="BM3843">
        <v>0</v>
      </c>
      <c r="BP3843">
        <v>0</v>
      </c>
      <c r="BQ3843">
        <v>0</v>
      </c>
      <c r="BX3843" t="str">
        <f>"14:54:27.555"</f>
        <v>14:54:27.555</v>
      </c>
      <c r="BY3843" t="str">
        <f>"552727409"</f>
        <v>552727409</v>
      </c>
      <c r="CL3843">
        <v>3</v>
      </c>
      <c r="CM3843">
        <v>2</v>
      </c>
      <c r="CN3843">
        <v>0</v>
      </c>
      <c r="CO3843">
        <v>2</v>
      </c>
      <c r="CP3843">
        <v>0</v>
      </c>
      <c r="CQ3843">
        <v>7</v>
      </c>
      <c r="CR3843" t="s">
        <v>116</v>
      </c>
      <c r="CS3843">
        <v>305</v>
      </c>
      <c r="CT3843">
        <v>3</v>
      </c>
      <c r="CU3843" t="s">
        <v>6425</v>
      </c>
      <c r="CV3843" t="s">
        <v>6426</v>
      </c>
      <c r="CY3843">
        <v>6507460</v>
      </c>
      <c r="CZ3843" t="s">
        <v>119</v>
      </c>
    </row>
    <row r="3844" spans="1:104" x14ac:dyDescent="0.25">
      <c r="A3844" t="str">
        <f>"14:54:28.711"</f>
        <v>14:54:28.711</v>
      </c>
      <c r="B3844" t="s">
        <v>108</v>
      </c>
      <c r="C3844" t="str">
        <f t="shared" si="178"/>
        <v>ffdfd3c0</v>
      </c>
      <c r="D3844" t="s">
        <v>109</v>
      </c>
      <c r="E3844">
        <v>4</v>
      </c>
      <c r="F3844">
        <v>1004</v>
      </c>
      <c r="G3844" t="s">
        <v>110</v>
      </c>
      <c r="J3844" t="s">
        <v>111</v>
      </c>
      <c r="K3844">
        <v>0</v>
      </c>
      <c r="L3844">
        <v>3</v>
      </c>
      <c r="M3844">
        <v>0</v>
      </c>
      <c r="N3844">
        <v>2</v>
      </c>
      <c r="O3844">
        <v>1</v>
      </c>
      <c r="P3844">
        <v>0</v>
      </c>
      <c r="Q3844">
        <v>0</v>
      </c>
      <c r="R3844" t="s">
        <v>112</v>
      </c>
      <c r="S3844" t="str">
        <f>"14:54:28.539"</f>
        <v>14:54:28.539</v>
      </c>
      <c r="T3844" t="str">
        <f>"14:54:28.039"</f>
        <v>14:54:28.039</v>
      </c>
      <c r="U3844" t="str">
        <f t="shared" si="180"/>
        <v>ad5732</v>
      </c>
      <c r="V3844">
        <v>0</v>
      </c>
      <c r="W3844">
        <v>0</v>
      </c>
      <c r="X3844">
        <v>1</v>
      </c>
      <c r="Z3844">
        <v>0</v>
      </c>
      <c r="AA3844">
        <v>9</v>
      </c>
      <c r="AB3844">
        <v>3</v>
      </c>
      <c r="AC3844">
        <v>0</v>
      </c>
      <c r="AD3844">
        <v>10</v>
      </c>
      <c r="AE3844">
        <v>0</v>
      </c>
      <c r="AF3844">
        <v>3</v>
      </c>
      <c r="AG3844">
        <v>2</v>
      </c>
      <c r="AH3844">
        <v>0</v>
      </c>
      <c r="AI3844" t="s">
        <v>7736</v>
      </c>
      <c r="AJ3844">
        <v>40.499274999999997</v>
      </c>
      <c r="AK3844" t="s">
        <v>7737</v>
      </c>
      <c r="AL3844">
        <v>-74.364931999999996</v>
      </c>
      <c r="AM3844">
        <v>100</v>
      </c>
      <c r="AN3844">
        <v>1000</v>
      </c>
      <c r="AO3844" t="s">
        <v>115</v>
      </c>
      <c r="AP3844">
        <v>61</v>
      </c>
      <c r="AQ3844">
        <v>126</v>
      </c>
      <c r="AR3844">
        <v>-448</v>
      </c>
      <c r="AZ3844">
        <v>3614</v>
      </c>
      <c r="BA3844">
        <v>1</v>
      </c>
      <c r="BB3844" t="str">
        <f t="shared" si="179"/>
        <v xml:space="preserve">N959MJ  </v>
      </c>
      <c r="BC3844">
        <v>1</v>
      </c>
      <c r="BE3844">
        <v>0</v>
      </c>
      <c r="BF3844">
        <v>0</v>
      </c>
      <c r="BG3844">
        <v>0</v>
      </c>
      <c r="BH3844">
        <v>1275</v>
      </c>
      <c r="BI3844">
        <v>275</v>
      </c>
      <c r="BJ3844">
        <v>1</v>
      </c>
      <c r="BK3844">
        <v>1</v>
      </c>
      <c r="BL3844">
        <v>1</v>
      </c>
      <c r="BM3844">
        <v>0</v>
      </c>
      <c r="BP3844">
        <v>0</v>
      </c>
      <c r="BQ3844">
        <v>0</v>
      </c>
      <c r="BX3844" t="str">
        <f>"14:54:28.547"</f>
        <v>14:54:28.547</v>
      </c>
      <c r="BY3844" t="str">
        <f>"545738182"</f>
        <v>545738182</v>
      </c>
      <c r="CL3844">
        <v>3</v>
      </c>
      <c r="CM3844">
        <v>2</v>
      </c>
      <c r="CN3844">
        <v>0</v>
      </c>
      <c r="CO3844">
        <v>2</v>
      </c>
      <c r="CP3844">
        <v>0</v>
      </c>
      <c r="CQ3844">
        <v>5</v>
      </c>
      <c r="CR3844" t="s">
        <v>116</v>
      </c>
      <c r="CS3844">
        <v>409</v>
      </c>
      <c r="CT3844">
        <v>1</v>
      </c>
      <c r="CU3844" t="s">
        <v>5087</v>
      </c>
      <c r="CV3844" t="s">
        <v>5088</v>
      </c>
      <c r="CY3844">
        <v>5041672</v>
      </c>
      <c r="CZ3844" t="s">
        <v>119</v>
      </c>
    </row>
    <row r="3845" spans="1:104" x14ac:dyDescent="0.25">
      <c r="A3845" t="str">
        <f>"14:54:29.672"</f>
        <v>14:54:29.672</v>
      </c>
      <c r="B3845" t="s">
        <v>108</v>
      </c>
      <c r="C3845" t="str">
        <f t="shared" si="178"/>
        <v>ffdfd3c0</v>
      </c>
      <c r="D3845" t="s">
        <v>109</v>
      </c>
      <c r="E3845">
        <v>4</v>
      </c>
      <c r="F3845">
        <v>1004</v>
      </c>
      <c r="G3845" t="s">
        <v>110</v>
      </c>
      <c r="J3845" t="s">
        <v>111</v>
      </c>
      <c r="K3845">
        <v>0</v>
      </c>
      <c r="L3845">
        <v>3</v>
      </c>
      <c r="M3845">
        <v>0</v>
      </c>
      <c r="N3845">
        <v>2</v>
      </c>
      <c r="O3845">
        <v>1</v>
      </c>
      <c r="P3845">
        <v>0</v>
      </c>
      <c r="Q3845">
        <v>0</v>
      </c>
      <c r="R3845" t="s">
        <v>112</v>
      </c>
      <c r="S3845" t="str">
        <f>"14:54:29.500"</f>
        <v>14:54:29.500</v>
      </c>
      <c r="T3845" t="str">
        <f>"14:54:29.102"</f>
        <v>14:54:29.102</v>
      </c>
      <c r="U3845" t="str">
        <f t="shared" si="180"/>
        <v>ad5732</v>
      </c>
      <c r="V3845">
        <v>0</v>
      </c>
      <c r="W3845">
        <v>0</v>
      </c>
      <c r="X3845">
        <v>1</v>
      </c>
      <c r="Z3845">
        <v>0</v>
      </c>
      <c r="AA3845">
        <v>9</v>
      </c>
      <c r="AB3845">
        <v>3</v>
      </c>
      <c r="AC3845">
        <v>0</v>
      </c>
      <c r="AD3845">
        <v>10</v>
      </c>
      <c r="AE3845">
        <v>0</v>
      </c>
      <c r="AF3845">
        <v>3</v>
      </c>
      <c r="AG3845">
        <v>2</v>
      </c>
      <c r="AH3845">
        <v>0</v>
      </c>
      <c r="AI3845" t="s">
        <v>7738</v>
      </c>
      <c r="AJ3845">
        <v>40.499789999999997</v>
      </c>
      <c r="AK3845" t="s">
        <v>7739</v>
      </c>
      <c r="AL3845">
        <v>-74.364587999999998</v>
      </c>
      <c r="AM3845">
        <v>100</v>
      </c>
      <c r="AN3845">
        <v>1000</v>
      </c>
      <c r="AO3845" t="s">
        <v>115</v>
      </c>
      <c r="AP3845">
        <v>61</v>
      </c>
      <c r="AQ3845">
        <v>125</v>
      </c>
      <c r="AR3845">
        <v>-384</v>
      </c>
      <c r="AZ3845">
        <v>3614</v>
      </c>
      <c r="BA3845">
        <v>1</v>
      </c>
      <c r="BB3845" t="str">
        <f t="shared" si="179"/>
        <v xml:space="preserve">N959MJ  </v>
      </c>
      <c r="BC3845">
        <v>1</v>
      </c>
      <c r="BE3845">
        <v>0</v>
      </c>
      <c r="BF3845">
        <v>0</v>
      </c>
      <c r="BG3845">
        <v>0</v>
      </c>
      <c r="BH3845">
        <v>1275</v>
      </c>
      <c r="BI3845">
        <v>275</v>
      </c>
      <c r="BJ3845">
        <v>1</v>
      </c>
      <c r="BK3845">
        <v>1</v>
      </c>
      <c r="BL3845">
        <v>1</v>
      </c>
      <c r="BM3845">
        <v>0</v>
      </c>
      <c r="BP3845">
        <v>0</v>
      </c>
      <c r="BQ3845">
        <v>0</v>
      </c>
      <c r="BX3845" t="str">
        <f>"14:54:29.500"</f>
        <v>14:54:29.500</v>
      </c>
      <c r="BY3845" t="str">
        <f>"500819156"</f>
        <v>500819156</v>
      </c>
      <c r="CL3845">
        <v>3</v>
      </c>
      <c r="CM3845">
        <v>2</v>
      </c>
      <c r="CN3845">
        <v>0</v>
      </c>
      <c r="CO3845">
        <v>2</v>
      </c>
      <c r="CP3845">
        <v>0</v>
      </c>
      <c r="CQ3845">
        <v>6</v>
      </c>
      <c r="CR3845" t="s">
        <v>116</v>
      </c>
      <c r="CS3845">
        <v>305</v>
      </c>
      <c r="CT3845">
        <v>3</v>
      </c>
      <c r="CU3845" t="s">
        <v>6425</v>
      </c>
      <c r="CV3845" t="s">
        <v>6426</v>
      </c>
      <c r="CY3845">
        <v>6511325</v>
      </c>
      <c r="CZ3845" t="s">
        <v>119</v>
      </c>
    </row>
    <row r="3846" spans="1:104" x14ac:dyDescent="0.25">
      <c r="A3846" t="str">
        <f>"14:54:30.781"</f>
        <v>14:54:30.781</v>
      </c>
      <c r="B3846" t="s">
        <v>108</v>
      </c>
      <c r="C3846" t="str">
        <f t="shared" si="178"/>
        <v>ffdfd3c0</v>
      </c>
      <c r="D3846" t="s">
        <v>109</v>
      </c>
      <c r="E3846">
        <v>4</v>
      </c>
      <c r="F3846">
        <v>1004</v>
      </c>
      <c r="G3846" t="s">
        <v>110</v>
      </c>
      <c r="J3846" t="s">
        <v>111</v>
      </c>
      <c r="K3846">
        <v>0</v>
      </c>
      <c r="L3846">
        <v>3</v>
      </c>
      <c r="M3846">
        <v>0</v>
      </c>
      <c r="N3846">
        <v>2</v>
      </c>
      <c r="O3846">
        <v>1</v>
      </c>
      <c r="P3846">
        <v>0</v>
      </c>
      <c r="Q3846">
        <v>0</v>
      </c>
      <c r="R3846" t="s">
        <v>112</v>
      </c>
      <c r="S3846" t="str">
        <f>"14:54:30.617"</f>
        <v>14:54:30.617</v>
      </c>
      <c r="T3846" t="str">
        <f>"14:54:29.516"</f>
        <v>14:54:29.516</v>
      </c>
      <c r="U3846" t="str">
        <f t="shared" si="180"/>
        <v>ad5732</v>
      </c>
      <c r="V3846">
        <v>0</v>
      </c>
      <c r="W3846">
        <v>0</v>
      </c>
      <c r="X3846">
        <v>1</v>
      </c>
      <c r="Z3846">
        <v>0</v>
      </c>
      <c r="AA3846">
        <v>9</v>
      </c>
      <c r="AB3846">
        <v>3</v>
      </c>
      <c r="AC3846">
        <v>0</v>
      </c>
      <c r="AD3846">
        <v>10</v>
      </c>
      <c r="AE3846">
        <v>0</v>
      </c>
      <c r="AF3846">
        <v>3</v>
      </c>
      <c r="AG3846">
        <v>2</v>
      </c>
      <c r="AH3846">
        <v>0</v>
      </c>
      <c r="AI3846" t="s">
        <v>7740</v>
      </c>
      <c r="AJ3846">
        <v>40.500455000000002</v>
      </c>
      <c r="AK3846" t="s">
        <v>7741</v>
      </c>
      <c r="AL3846">
        <v>-74.364202000000006</v>
      </c>
      <c r="AM3846">
        <v>100</v>
      </c>
      <c r="AN3846">
        <v>1000</v>
      </c>
      <c r="AO3846" t="s">
        <v>115</v>
      </c>
      <c r="AP3846">
        <v>61</v>
      </c>
      <c r="AQ3846">
        <v>125</v>
      </c>
      <c r="AR3846">
        <v>-384</v>
      </c>
      <c r="AZ3846">
        <v>3614</v>
      </c>
      <c r="BA3846">
        <v>1</v>
      </c>
      <c r="BB3846" t="str">
        <f t="shared" si="179"/>
        <v xml:space="preserve">N959MJ  </v>
      </c>
      <c r="BC3846">
        <v>1</v>
      </c>
      <c r="BE3846">
        <v>0</v>
      </c>
      <c r="BF3846">
        <v>0</v>
      </c>
      <c r="BG3846">
        <v>0</v>
      </c>
      <c r="BH3846">
        <v>1250</v>
      </c>
      <c r="BI3846">
        <v>250</v>
      </c>
      <c r="BJ3846">
        <v>1</v>
      </c>
      <c r="BK3846">
        <v>1</v>
      </c>
      <c r="BL3846">
        <v>1</v>
      </c>
      <c r="BM3846">
        <v>0</v>
      </c>
      <c r="BP3846">
        <v>0</v>
      </c>
      <c r="BQ3846">
        <v>0</v>
      </c>
      <c r="BX3846" t="str">
        <f>"14:54:30.625"</f>
        <v>14:54:30.625</v>
      </c>
      <c r="BY3846" t="str">
        <f>"623142871"</f>
        <v>623142871</v>
      </c>
      <c r="CL3846">
        <v>3</v>
      </c>
      <c r="CM3846">
        <v>2</v>
      </c>
      <c r="CN3846">
        <v>0</v>
      </c>
      <c r="CO3846">
        <v>2</v>
      </c>
      <c r="CP3846">
        <v>0</v>
      </c>
      <c r="CQ3846">
        <v>5</v>
      </c>
      <c r="CR3846" t="s">
        <v>116</v>
      </c>
      <c r="CS3846">
        <v>305</v>
      </c>
      <c r="CT3846">
        <v>3</v>
      </c>
      <c r="CU3846" t="s">
        <v>6425</v>
      </c>
      <c r="CV3846" t="s">
        <v>6426</v>
      </c>
      <c r="CY3846">
        <v>6513702</v>
      </c>
      <c r="CZ3846" t="s">
        <v>119</v>
      </c>
    </row>
    <row r="3847" spans="1:104" x14ac:dyDescent="0.25">
      <c r="A3847" t="str">
        <f>"14:54:31.797"</f>
        <v>14:54:31.797</v>
      </c>
      <c r="B3847" t="s">
        <v>108</v>
      </c>
      <c r="C3847" t="str">
        <f t="shared" si="178"/>
        <v>ffdfd3c0</v>
      </c>
      <c r="D3847" t="s">
        <v>109</v>
      </c>
      <c r="E3847">
        <v>4</v>
      </c>
      <c r="F3847">
        <v>1004</v>
      </c>
      <c r="G3847" t="s">
        <v>110</v>
      </c>
      <c r="J3847" t="s">
        <v>111</v>
      </c>
      <c r="K3847">
        <v>0</v>
      </c>
      <c r="L3847">
        <v>3</v>
      </c>
      <c r="M3847">
        <v>0</v>
      </c>
      <c r="N3847">
        <v>2</v>
      </c>
      <c r="O3847">
        <v>1</v>
      </c>
      <c r="P3847">
        <v>0</v>
      </c>
      <c r="Q3847">
        <v>0</v>
      </c>
      <c r="R3847" t="s">
        <v>112</v>
      </c>
      <c r="S3847" t="str">
        <f>"14:54:31.586"</f>
        <v>14:54:31.586</v>
      </c>
      <c r="T3847" t="str">
        <f>"14:54:31.086"</f>
        <v>14:54:31.086</v>
      </c>
      <c r="U3847" t="str">
        <f t="shared" si="180"/>
        <v>ad5732</v>
      </c>
      <c r="V3847">
        <v>0</v>
      </c>
      <c r="W3847">
        <v>0</v>
      </c>
      <c r="X3847">
        <v>1</v>
      </c>
      <c r="Z3847">
        <v>0</v>
      </c>
      <c r="AA3847">
        <v>9</v>
      </c>
      <c r="AB3847">
        <v>3</v>
      </c>
      <c r="AC3847">
        <v>0</v>
      </c>
      <c r="AD3847">
        <v>10</v>
      </c>
      <c r="AE3847">
        <v>0</v>
      </c>
      <c r="AF3847">
        <v>3</v>
      </c>
      <c r="AG3847">
        <v>2</v>
      </c>
      <c r="AH3847">
        <v>0</v>
      </c>
      <c r="AI3847" t="s">
        <v>7742</v>
      </c>
      <c r="AJ3847">
        <v>40.501013</v>
      </c>
      <c r="AK3847" t="s">
        <v>7743</v>
      </c>
      <c r="AL3847">
        <v>-74.363837000000004</v>
      </c>
      <c r="AM3847">
        <v>100</v>
      </c>
      <c r="AN3847">
        <v>1000</v>
      </c>
      <c r="AO3847" t="s">
        <v>115</v>
      </c>
      <c r="AP3847">
        <v>60</v>
      </c>
      <c r="AQ3847">
        <v>125</v>
      </c>
      <c r="AR3847">
        <v>-256</v>
      </c>
      <c r="AZ3847">
        <v>3614</v>
      </c>
      <c r="BA3847">
        <v>1</v>
      </c>
      <c r="BB3847" t="str">
        <f t="shared" si="179"/>
        <v xml:space="preserve">N959MJ  </v>
      </c>
      <c r="BC3847">
        <v>1</v>
      </c>
      <c r="BE3847">
        <v>0</v>
      </c>
      <c r="BF3847">
        <v>0</v>
      </c>
      <c r="BG3847">
        <v>0</v>
      </c>
      <c r="BH3847">
        <v>1250</v>
      </c>
      <c r="BI3847">
        <v>250</v>
      </c>
      <c r="BJ3847">
        <v>1</v>
      </c>
      <c r="BK3847">
        <v>1</v>
      </c>
      <c r="BL3847">
        <v>1</v>
      </c>
      <c r="BM3847">
        <v>0</v>
      </c>
      <c r="BP3847">
        <v>0</v>
      </c>
      <c r="BQ3847">
        <v>0</v>
      </c>
      <c r="BX3847" t="str">
        <f>"14:54:31.594"</f>
        <v>14:54:31.594</v>
      </c>
      <c r="BY3847" t="str">
        <f>"589938877"</f>
        <v>589938877</v>
      </c>
      <c r="CL3847">
        <v>3</v>
      </c>
      <c r="CM3847">
        <v>2</v>
      </c>
      <c r="CN3847">
        <v>0</v>
      </c>
      <c r="CO3847">
        <v>2</v>
      </c>
      <c r="CP3847">
        <v>0</v>
      </c>
      <c r="CQ3847">
        <v>6</v>
      </c>
      <c r="CR3847" t="s">
        <v>116</v>
      </c>
      <c r="CS3847">
        <v>409</v>
      </c>
      <c r="CT3847">
        <v>1</v>
      </c>
      <c r="CU3847" t="s">
        <v>5087</v>
      </c>
      <c r="CV3847" t="s">
        <v>5088</v>
      </c>
      <c r="CY3847">
        <v>5047684</v>
      </c>
      <c r="CZ3847" t="s">
        <v>119</v>
      </c>
    </row>
    <row r="3848" spans="1:104" x14ac:dyDescent="0.25">
      <c r="A3848" t="str">
        <f>"14:54:32.805"</f>
        <v>14:54:32.805</v>
      </c>
      <c r="B3848" t="s">
        <v>108</v>
      </c>
      <c r="C3848" t="str">
        <f t="shared" si="178"/>
        <v>ffdfd3c0</v>
      </c>
      <c r="D3848" t="s">
        <v>109</v>
      </c>
      <c r="E3848">
        <v>4</v>
      </c>
      <c r="F3848">
        <v>1004</v>
      </c>
      <c r="G3848" t="s">
        <v>110</v>
      </c>
      <c r="J3848" t="s">
        <v>111</v>
      </c>
      <c r="K3848">
        <v>0</v>
      </c>
      <c r="L3848">
        <v>3</v>
      </c>
      <c r="M3848">
        <v>0</v>
      </c>
      <c r="N3848">
        <v>2</v>
      </c>
      <c r="O3848">
        <v>1</v>
      </c>
      <c r="P3848">
        <v>0</v>
      </c>
      <c r="Q3848">
        <v>0</v>
      </c>
      <c r="R3848" t="s">
        <v>112</v>
      </c>
      <c r="S3848" t="str">
        <f>"14:54:32.625"</f>
        <v>14:54:32.625</v>
      </c>
      <c r="T3848" t="str">
        <f>"14:54:32.125"</f>
        <v>14:54:32.125</v>
      </c>
      <c r="U3848" t="str">
        <f t="shared" si="180"/>
        <v>ad5732</v>
      </c>
      <c r="V3848">
        <v>0</v>
      </c>
      <c r="W3848">
        <v>0</v>
      </c>
      <c r="X3848">
        <v>1</v>
      </c>
      <c r="Z3848">
        <v>0</v>
      </c>
      <c r="AA3848">
        <v>9</v>
      </c>
      <c r="AB3848">
        <v>3</v>
      </c>
      <c r="AC3848">
        <v>0</v>
      </c>
      <c r="AD3848">
        <v>10</v>
      </c>
      <c r="AE3848">
        <v>0</v>
      </c>
      <c r="AF3848">
        <v>3</v>
      </c>
      <c r="AG3848">
        <v>2</v>
      </c>
      <c r="AH3848">
        <v>0</v>
      </c>
      <c r="AI3848" t="s">
        <v>7744</v>
      </c>
      <c r="AJ3848">
        <v>40.501592000000002</v>
      </c>
      <c r="AK3848" t="s">
        <v>7745</v>
      </c>
      <c r="AL3848">
        <v>-74.363472000000002</v>
      </c>
      <c r="AM3848">
        <v>100</v>
      </c>
      <c r="AN3848">
        <v>1000</v>
      </c>
      <c r="AO3848" t="s">
        <v>115</v>
      </c>
      <c r="AP3848">
        <v>60</v>
      </c>
      <c r="AQ3848">
        <v>124</v>
      </c>
      <c r="AR3848">
        <v>0</v>
      </c>
      <c r="AZ3848">
        <v>3614</v>
      </c>
      <c r="BA3848">
        <v>1</v>
      </c>
      <c r="BB3848" t="str">
        <f t="shared" si="179"/>
        <v xml:space="preserve">N959MJ  </v>
      </c>
      <c r="BC3848">
        <v>1</v>
      </c>
      <c r="BE3848">
        <v>0</v>
      </c>
      <c r="BF3848">
        <v>0</v>
      </c>
      <c r="BG3848">
        <v>0</v>
      </c>
      <c r="BH3848">
        <v>1250</v>
      </c>
      <c r="BI3848">
        <v>250</v>
      </c>
      <c r="BJ3848">
        <v>1</v>
      </c>
      <c r="BK3848">
        <v>1</v>
      </c>
      <c r="BL3848">
        <v>1</v>
      </c>
      <c r="BM3848">
        <v>0</v>
      </c>
      <c r="BP3848">
        <v>0</v>
      </c>
      <c r="BQ3848">
        <v>0</v>
      </c>
      <c r="BX3848" t="str">
        <f>"14:54:32.625"</f>
        <v>14:54:32.625</v>
      </c>
      <c r="BY3848" t="str">
        <f>"627064299"</f>
        <v>627064299</v>
      </c>
      <c r="CL3848">
        <v>3</v>
      </c>
      <c r="CM3848">
        <v>2</v>
      </c>
      <c r="CN3848">
        <v>0</v>
      </c>
      <c r="CO3848">
        <v>2</v>
      </c>
      <c r="CP3848">
        <v>0</v>
      </c>
      <c r="CQ3848">
        <v>6</v>
      </c>
      <c r="CR3848" t="s">
        <v>116</v>
      </c>
      <c r="CS3848">
        <v>409</v>
      </c>
      <c r="CT3848">
        <v>1</v>
      </c>
      <c r="CU3848" t="s">
        <v>5087</v>
      </c>
      <c r="CV3848" t="s">
        <v>5088</v>
      </c>
      <c r="CY3848">
        <v>5049826</v>
      </c>
      <c r="CZ3848" t="s">
        <v>119</v>
      </c>
    </row>
    <row r="3849" spans="1:104" x14ac:dyDescent="0.25">
      <c r="A3849" t="str">
        <f>"14:54:33.813"</f>
        <v>14:54:33.813</v>
      </c>
      <c r="B3849" t="s">
        <v>108</v>
      </c>
      <c r="C3849" t="str">
        <f t="shared" si="178"/>
        <v>ffdfd3c0</v>
      </c>
      <c r="D3849" t="s">
        <v>109</v>
      </c>
      <c r="E3849">
        <v>4</v>
      </c>
      <c r="F3849">
        <v>1004</v>
      </c>
      <c r="G3849" t="s">
        <v>110</v>
      </c>
      <c r="J3849" t="s">
        <v>111</v>
      </c>
      <c r="K3849">
        <v>0</v>
      </c>
      <c r="L3849">
        <v>3</v>
      </c>
      <c r="M3849">
        <v>0</v>
      </c>
      <c r="N3849">
        <v>2</v>
      </c>
      <c r="O3849">
        <v>1</v>
      </c>
      <c r="P3849">
        <v>0</v>
      </c>
      <c r="Q3849">
        <v>0</v>
      </c>
      <c r="R3849" t="s">
        <v>112</v>
      </c>
      <c r="S3849" t="str">
        <f>"14:54:33.656"</f>
        <v>14:54:33.656</v>
      </c>
      <c r="T3849" t="str">
        <f>"14:54:33.258"</f>
        <v>14:54:33.258</v>
      </c>
      <c r="U3849" t="str">
        <f t="shared" si="180"/>
        <v>ad5732</v>
      </c>
      <c r="V3849">
        <v>0</v>
      </c>
      <c r="W3849">
        <v>0</v>
      </c>
      <c r="X3849">
        <v>1</v>
      </c>
      <c r="Z3849">
        <v>0</v>
      </c>
      <c r="AA3849">
        <v>9</v>
      </c>
      <c r="AB3849">
        <v>3</v>
      </c>
      <c r="AC3849">
        <v>0</v>
      </c>
      <c r="AD3849">
        <v>10</v>
      </c>
      <c r="AE3849">
        <v>0</v>
      </c>
      <c r="AF3849">
        <v>3</v>
      </c>
      <c r="AG3849">
        <v>2</v>
      </c>
      <c r="AH3849">
        <v>0</v>
      </c>
      <c r="AI3849" t="s">
        <v>7746</v>
      </c>
      <c r="AJ3849">
        <v>40.502214000000002</v>
      </c>
      <c r="AK3849" t="s">
        <v>7747</v>
      </c>
      <c r="AL3849">
        <v>-74.363022000000001</v>
      </c>
      <c r="AM3849">
        <v>100</v>
      </c>
      <c r="AN3849">
        <v>1000</v>
      </c>
      <c r="AO3849" t="s">
        <v>115</v>
      </c>
      <c r="AP3849">
        <v>59</v>
      </c>
      <c r="AQ3849">
        <v>123</v>
      </c>
      <c r="AR3849">
        <v>64</v>
      </c>
      <c r="AZ3849">
        <v>3614</v>
      </c>
      <c r="BA3849">
        <v>1</v>
      </c>
      <c r="BB3849" t="str">
        <f t="shared" si="179"/>
        <v xml:space="preserve">N959MJ  </v>
      </c>
      <c r="BC3849">
        <v>1</v>
      </c>
      <c r="BE3849">
        <v>0</v>
      </c>
      <c r="BF3849">
        <v>0</v>
      </c>
      <c r="BG3849">
        <v>0</v>
      </c>
      <c r="BH3849">
        <v>1250</v>
      </c>
      <c r="BI3849">
        <v>250</v>
      </c>
      <c r="BJ3849">
        <v>1</v>
      </c>
      <c r="BK3849">
        <v>1</v>
      </c>
      <c r="BL3849">
        <v>1</v>
      </c>
      <c r="BM3849">
        <v>0</v>
      </c>
      <c r="BP3849">
        <v>0</v>
      </c>
      <c r="BQ3849">
        <v>0</v>
      </c>
      <c r="BX3849" t="str">
        <f>"14:54:33.656"</f>
        <v>14:54:33.656</v>
      </c>
      <c r="BY3849" t="str">
        <f>"659274442"</f>
        <v>659274442</v>
      </c>
      <c r="CL3849">
        <v>3</v>
      </c>
      <c r="CM3849">
        <v>2</v>
      </c>
      <c r="CN3849">
        <v>0</v>
      </c>
      <c r="CO3849">
        <v>2</v>
      </c>
      <c r="CP3849">
        <v>0</v>
      </c>
      <c r="CQ3849">
        <v>5</v>
      </c>
      <c r="CR3849" t="s">
        <v>116</v>
      </c>
      <c r="CS3849">
        <v>409</v>
      </c>
      <c r="CT3849">
        <v>1</v>
      </c>
      <c r="CU3849" t="s">
        <v>5087</v>
      </c>
      <c r="CV3849" t="s">
        <v>5088</v>
      </c>
      <c r="CY3849">
        <v>5051761</v>
      </c>
      <c r="CZ3849" t="s">
        <v>119</v>
      </c>
    </row>
    <row r="3850" spans="1:104" x14ac:dyDescent="0.25">
      <c r="A3850" t="str">
        <f>"14:54:34.875"</f>
        <v>14:54:34.875</v>
      </c>
      <c r="B3850" t="s">
        <v>108</v>
      </c>
      <c r="C3850" t="str">
        <f t="shared" ref="C3850:C3913" si="181">"ffdfd3c0"</f>
        <v>ffdfd3c0</v>
      </c>
      <c r="D3850" t="s">
        <v>109</v>
      </c>
      <c r="E3850">
        <v>4</v>
      </c>
      <c r="F3850">
        <v>1004</v>
      </c>
      <c r="G3850" t="s">
        <v>110</v>
      </c>
      <c r="J3850" t="s">
        <v>111</v>
      </c>
      <c r="K3850">
        <v>0</v>
      </c>
      <c r="L3850">
        <v>3</v>
      </c>
      <c r="M3850">
        <v>0</v>
      </c>
      <c r="N3850">
        <v>2</v>
      </c>
      <c r="O3850">
        <v>1</v>
      </c>
      <c r="P3850">
        <v>0</v>
      </c>
      <c r="Q3850">
        <v>0</v>
      </c>
      <c r="R3850" t="s">
        <v>112</v>
      </c>
      <c r="S3850" t="str">
        <f>"14:54:34.664"</f>
        <v>14:54:34.664</v>
      </c>
      <c r="T3850" t="str">
        <f>"14:54:34.266"</f>
        <v>14:54:34.266</v>
      </c>
      <c r="U3850" t="str">
        <f t="shared" si="180"/>
        <v>ad5732</v>
      </c>
      <c r="V3850">
        <v>0</v>
      </c>
      <c r="W3850">
        <v>0</v>
      </c>
      <c r="X3850">
        <v>1</v>
      </c>
      <c r="Z3850">
        <v>0</v>
      </c>
      <c r="AA3850">
        <v>9</v>
      </c>
      <c r="AB3850">
        <v>3</v>
      </c>
      <c r="AC3850">
        <v>0</v>
      </c>
      <c r="AD3850">
        <v>10</v>
      </c>
      <c r="AE3850">
        <v>0</v>
      </c>
      <c r="AF3850">
        <v>3</v>
      </c>
      <c r="AG3850">
        <v>2</v>
      </c>
      <c r="AH3850">
        <v>0</v>
      </c>
      <c r="AI3850" t="s">
        <v>7748</v>
      </c>
      <c r="AJ3850">
        <v>40.502772</v>
      </c>
      <c r="AK3850" t="s">
        <v>7749</v>
      </c>
      <c r="AL3850">
        <v>-74.362700000000004</v>
      </c>
      <c r="AM3850">
        <v>100</v>
      </c>
      <c r="AN3850">
        <v>1000</v>
      </c>
      <c r="AO3850" t="s">
        <v>115</v>
      </c>
      <c r="AP3850">
        <v>58</v>
      </c>
      <c r="AQ3850">
        <v>122</v>
      </c>
      <c r="AR3850">
        <v>64</v>
      </c>
      <c r="AZ3850">
        <v>3614</v>
      </c>
      <c r="BA3850">
        <v>1</v>
      </c>
      <c r="BB3850" t="str">
        <f t="shared" ref="BB3850:BB3913" si="182">"N959MJ  "</f>
        <v xml:space="preserve">N959MJ  </v>
      </c>
      <c r="BC3850">
        <v>1</v>
      </c>
      <c r="BE3850">
        <v>0</v>
      </c>
      <c r="BF3850">
        <v>0</v>
      </c>
      <c r="BG3850">
        <v>0</v>
      </c>
      <c r="BH3850">
        <v>1250</v>
      </c>
      <c r="BI3850">
        <v>250</v>
      </c>
      <c r="BJ3850">
        <v>1</v>
      </c>
      <c r="BK3850">
        <v>1</v>
      </c>
      <c r="BL3850">
        <v>1</v>
      </c>
      <c r="BM3850">
        <v>0</v>
      </c>
      <c r="BP3850">
        <v>0</v>
      </c>
      <c r="BQ3850">
        <v>0</v>
      </c>
      <c r="BX3850" t="str">
        <f>"14:54:34.672"</f>
        <v>14:54:34.672</v>
      </c>
      <c r="BY3850" t="str">
        <f>"670185049"</f>
        <v>670185049</v>
      </c>
      <c r="CL3850">
        <v>3</v>
      </c>
      <c r="CM3850">
        <v>2</v>
      </c>
      <c r="CN3850">
        <v>0</v>
      </c>
      <c r="CO3850">
        <v>2</v>
      </c>
      <c r="CP3850">
        <v>0</v>
      </c>
      <c r="CQ3850">
        <v>5</v>
      </c>
      <c r="CR3850" t="s">
        <v>116</v>
      </c>
      <c r="CS3850">
        <v>409</v>
      </c>
      <c r="CT3850">
        <v>1</v>
      </c>
      <c r="CU3850" t="s">
        <v>5087</v>
      </c>
      <c r="CV3850" t="s">
        <v>5088</v>
      </c>
      <c r="CY3850">
        <v>5053882</v>
      </c>
      <c r="CZ3850" t="s">
        <v>119</v>
      </c>
    </row>
    <row r="3851" spans="1:104" x14ac:dyDescent="0.25">
      <c r="A3851" t="str">
        <f>"14:54:35.836"</f>
        <v>14:54:35.836</v>
      </c>
      <c r="B3851" t="s">
        <v>108</v>
      </c>
      <c r="C3851" t="str">
        <f t="shared" si="181"/>
        <v>ffdfd3c0</v>
      </c>
      <c r="D3851" t="s">
        <v>109</v>
      </c>
      <c r="E3851">
        <v>4</v>
      </c>
      <c r="F3851">
        <v>1004</v>
      </c>
      <c r="G3851" t="s">
        <v>110</v>
      </c>
      <c r="J3851" t="s">
        <v>111</v>
      </c>
      <c r="K3851">
        <v>0</v>
      </c>
      <c r="L3851">
        <v>3</v>
      </c>
      <c r="M3851">
        <v>0</v>
      </c>
      <c r="N3851">
        <v>2</v>
      </c>
      <c r="O3851">
        <v>1</v>
      </c>
      <c r="P3851">
        <v>0</v>
      </c>
      <c r="Q3851">
        <v>0</v>
      </c>
      <c r="R3851" t="s">
        <v>112</v>
      </c>
      <c r="S3851" t="str">
        <f>"14:54:35.641"</f>
        <v>14:54:35.641</v>
      </c>
      <c r="T3851" t="str">
        <f>"14:54:35.141"</f>
        <v>14:54:35.141</v>
      </c>
      <c r="U3851" t="str">
        <f t="shared" si="180"/>
        <v>ad5732</v>
      </c>
      <c r="V3851">
        <v>0</v>
      </c>
      <c r="W3851">
        <v>0</v>
      </c>
      <c r="X3851">
        <v>1</v>
      </c>
      <c r="Z3851">
        <v>0</v>
      </c>
      <c r="AA3851">
        <v>9</v>
      </c>
      <c r="AB3851">
        <v>3</v>
      </c>
      <c r="AC3851">
        <v>0</v>
      </c>
      <c r="AD3851">
        <v>10</v>
      </c>
      <c r="AE3851">
        <v>0</v>
      </c>
      <c r="AF3851">
        <v>3</v>
      </c>
      <c r="AG3851">
        <v>2</v>
      </c>
      <c r="AH3851">
        <v>0</v>
      </c>
      <c r="AI3851" t="s">
        <v>7750</v>
      </c>
      <c r="AJ3851">
        <v>40.503329999999998</v>
      </c>
      <c r="AK3851" t="s">
        <v>7751</v>
      </c>
      <c r="AL3851">
        <v>-74.362335000000002</v>
      </c>
      <c r="AM3851">
        <v>100</v>
      </c>
      <c r="AN3851">
        <v>1000</v>
      </c>
      <c r="AO3851" t="s">
        <v>115</v>
      </c>
      <c r="AP3851">
        <v>57</v>
      </c>
      <c r="AQ3851">
        <v>120</v>
      </c>
      <c r="AR3851">
        <v>128</v>
      </c>
      <c r="AZ3851">
        <v>3614</v>
      </c>
      <c r="BA3851">
        <v>1</v>
      </c>
      <c r="BB3851" t="str">
        <f t="shared" si="182"/>
        <v xml:space="preserve">N959MJ  </v>
      </c>
      <c r="BC3851">
        <v>1</v>
      </c>
      <c r="BE3851">
        <v>0</v>
      </c>
      <c r="BF3851">
        <v>0</v>
      </c>
      <c r="BG3851">
        <v>0</v>
      </c>
      <c r="BH3851">
        <v>1250</v>
      </c>
      <c r="BI3851">
        <v>250</v>
      </c>
      <c r="BJ3851">
        <v>1</v>
      </c>
      <c r="BK3851">
        <v>1</v>
      </c>
      <c r="BL3851">
        <v>1</v>
      </c>
      <c r="BM3851">
        <v>0</v>
      </c>
      <c r="BP3851">
        <v>0</v>
      </c>
      <c r="BQ3851">
        <v>0</v>
      </c>
      <c r="BX3851" t="str">
        <f>"14:54:35.648"</f>
        <v>14:54:35.648</v>
      </c>
      <c r="BY3851" t="str">
        <f>"648327299"</f>
        <v>648327299</v>
      </c>
      <c r="CL3851">
        <v>3</v>
      </c>
      <c r="CM3851">
        <v>2</v>
      </c>
      <c r="CN3851">
        <v>0</v>
      </c>
      <c r="CO3851">
        <v>2</v>
      </c>
      <c r="CP3851">
        <v>0</v>
      </c>
      <c r="CQ3851">
        <v>5</v>
      </c>
      <c r="CR3851" t="s">
        <v>116</v>
      </c>
      <c r="CS3851">
        <v>409</v>
      </c>
      <c r="CT3851">
        <v>1</v>
      </c>
      <c r="CU3851" t="s">
        <v>5087</v>
      </c>
      <c r="CV3851" t="s">
        <v>5088</v>
      </c>
      <c r="CY3851">
        <v>5055928</v>
      </c>
      <c r="CZ3851" t="s">
        <v>119</v>
      </c>
    </row>
    <row r="3852" spans="1:104" x14ac:dyDescent="0.25">
      <c r="A3852" t="str">
        <f>"14:54:36.688"</f>
        <v>14:54:36.688</v>
      </c>
      <c r="B3852" t="s">
        <v>108</v>
      </c>
      <c r="C3852" t="str">
        <f t="shared" si="181"/>
        <v>ffdfd3c0</v>
      </c>
      <c r="D3852" t="s">
        <v>109</v>
      </c>
      <c r="E3852">
        <v>4</v>
      </c>
      <c r="F3852">
        <v>1004</v>
      </c>
      <c r="G3852" t="s">
        <v>110</v>
      </c>
      <c r="J3852" t="s">
        <v>111</v>
      </c>
      <c r="K3852">
        <v>0</v>
      </c>
      <c r="L3852">
        <v>3</v>
      </c>
      <c r="M3852">
        <v>0</v>
      </c>
      <c r="N3852">
        <v>2</v>
      </c>
      <c r="O3852">
        <v>1</v>
      </c>
      <c r="P3852">
        <v>0</v>
      </c>
      <c r="Q3852">
        <v>0</v>
      </c>
      <c r="R3852" t="s">
        <v>112</v>
      </c>
      <c r="S3852" t="str">
        <f>"14:54:36.516"</f>
        <v>14:54:36.516</v>
      </c>
      <c r="T3852" t="str">
        <f>"14:54:36.117"</f>
        <v>14:54:36.117</v>
      </c>
      <c r="U3852" t="str">
        <f t="shared" si="180"/>
        <v>ad5732</v>
      </c>
      <c r="V3852">
        <v>0</v>
      </c>
      <c r="W3852">
        <v>0</v>
      </c>
      <c r="X3852">
        <v>1</v>
      </c>
      <c r="Z3852">
        <v>0</v>
      </c>
      <c r="AA3852">
        <v>9</v>
      </c>
      <c r="AB3852">
        <v>3</v>
      </c>
      <c r="AC3852">
        <v>0</v>
      </c>
      <c r="AD3852">
        <v>10</v>
      </c>
      <c r="AE3852">
        <v>0</v>
      </c>
      <c r="AF3852">
        <v>3</v>
      </c>
      <c r="AG3852">
        <v>2</v>
      </c>
      <c r="AH3852">
        <v>0</v>
      </c>
      <c r="AI3852" t="s">
        <v>7752</v>
      </c>
      <c r="AJ3852">
        <v>40.503802</v>
      </c>
      <c r="AK3852" t="s">
        <v>7753</v>
      </c>
      <c r="AL3852">
        <v>-74.362077999999997</v>
      </c>
      <c r="AM3852">
        <v>100</v>
      </c>
      <c r="AN3852">
        <v>1000</v>
      </c>
      <c r="AO3852" t="s">
        <v>115</v>
      </c>
      <c r="AP3852">
        <v>57</v>
      </c>
      <c r="AQ3852">
        <v>119</v>
      </c>
      <c r="AR3852">
        <v>128</v>
      </c>
      <c r="AZ3852">
        <v>3614</v>
      </c>
      <c r="BA3852">
        <v>1</v>
      </c>
      <c r="BB3852" t="str">
        <f t="shared" si="182"/>
        <v xml:space="preserve">N959MJ  </v>
      </c>
      <c r="BC3852">
        <v>1</v>
      </c>
      <c r="BE3852">
        <v>0</v>
      </c>
      <c r="BF3852">
        <v>0</v>
      </c>
      <c r="BG3852">
        <v>0</v>
      </c>
      <c r="BH3852">
        <v>1250</v>
      </c>
      <c r="BI3852">
        <v>250</v>
      </c>
      <c r="BJ3852">
        <v>1</v>
      </c>
      <c r="BK3852">
        <v>1</v>
      </c>
      <c r="BL3852">
        <v>1</v>
      </c>
      <c r="BM3852">
        <v>0</v>
      </c>
      <c r="BP3852">
        <v>0</v>
      </c>
      <c r="BQ3852">
        <v>0</v>
      </c>
      <c r="BX3852" t="str">
        <f>"14:54:36.523"</f>
        <v>14:54:36.523</v>
      </c>
      <c r="BY3852" t="str">
        <f>"523181864"</f>
        <v>523181864</v>
      </c>
      <c r="CL3852">
        <v>3</v>
      </c>
      <c r="CM3852">
        <v>2</v>
      </c>
      <c r="CN3852">
        <v>0</v>
      </c>
      <c r="CO3852">
        <v>2</v>
      </c>
      <c r="CP3852">
        <v>0</v>
      </c>
      <c r="CQ3852">
        <v>5</v>
      </c>
      <c r="CR3852" t="s">
        <v>116</v>
      </c>
      <c r="CS3852">
        <v>38</v>
      </c>
      <c r="CT3852">
        <v>0</v>
      </c>
      <c r="CU3852" t="s">
        <v>4719</v>
      </c>
      <c r="CV3852" t="s">
        <v>4720</v>
      </c>
      <c r="CY3852">
        <v>8518436</v>
      </c>
      <c r="CZ3852" t="s">
        <v>119</v>
      </c>
    </row>
    <row r="3853" spans="1:104" x14ac:dyDescent="0.25">
      <c r="A3853" t="str">
        <f>"14:54:37.750"</f>
        <v>14:54:37.750</v>
      </c>
      <c r="B3853" t="s">
        <v>108</v>
      </c>
      <c r="C3853" t="str">
        <f t="shared" si="181"/>
        <v>ffdfd3c0</v>
      </c>
      <c r="D3853" t="s">
        <v>109</v>
      </c>
      <c r="E3853">
        <v>4</v>
      </c>
      <c r="F3853">
        <v>1004</v>
      </c>
      <c r="G3853" t="s">
        <v>110</v>
      </c>
      <c r="J3853" t="s">
        <v>111</v>
      </c>
      <c r="K3853">
        <v>0</v>
      </c>
      <c r="L3853">
        <v>3</v>
      </c>
      <c r="M3853">
        <v>0</v>
      </c>
      <c r="N3853">
        <v>2</v>
      </c>
      <c r="O3853">
        <v>1</v>
      </c>
      <c r="P3853">
        <v>0</v>
      </c>
      <c r="Q3853">
        <v>0</v>
      </c>
      <c r="R3853" t="s">
        <v>112</v>
      </c>
      <c r="S3853" t="str">
        <f>"14:54:37.563"</f>
        <v>14:54:37.563</v>
      </c>
      <c r="T3853" t="str">
        <f>"14:54:37.063"</f>
        <v>14:54:37.063</v>
      </c>
      <c r="U3853" t="str">
        <f t="shared" si="180"/>
        <v>ad5732</v>
      </c>
      <c r="V3853">
        <v>0</v>
      </c>
      <c r="W3853">
        <v>0</v>
      </c>
      <c r="X3853">
        <v>1</v>
      </c>
      <c r="Z3853">
        <v>0</v>
      </c>
      <c r="AA3853">
        <v>9</v>
      </c>
      <c r="AB3853">
        <v>3</v>
      </c>
      <c r="AC3853">
        <v>0</v>
      </c>
      <c r="AD3853">
        <v>10</v>
      </c>
      <c r="AE3853">
        <v>0</v>
      </c>
      <c r="AF3853">
        <v>3</v>
      </c>
      <c r="AG3853">
        <v>2</v>
      </c>
      <c r="AH3853">
        <v>0</v>
      </c>
      <c r="AI3853" t="s">
        <v>7754</v>
      </c>
      <c r="AJ3853">
        <v>40.504403000000003</v>
      </c>
      <c r="AK3853" t="s">
        <v>7755</v>
      </c>
      <c r="AL3853">
        <v>-74.361690999999993</v>
      </c>
      <c r="AM3853">
        <v>100</v>
      </c>
      <c r="AN3853">
        <v>1000</v>
      </c>
      <c r="AO3853" t="s">
        <v>115</v>
      </c>
      <c r="AP3853">
        <v>56</v>
      </c>
      <c r="AQ3853">
        <v>118</v>
      </c>
      <c r="AR3853">
        <v>0</v>
      </c>
      <c r="AZ3853">
        <v>3614</v>
      </c>
      <c r="BA3853">
        <v>1</v>
      </c>
      <c r="BB3853" t="str">
        <f t="shared" si="182"/>
        <v xml:space="preserve">N959MJ  </v>
      </c>
      <c r="BC3853">
        <v>1</v>
      </c>
      <c r="BE3853">
        <v>0</v>
      </c>
      <c r="BF3853">
        <v>0</v>
      </c>
      <c r="BG3853">
        <v>0</v>
      </c>
      <c r="BH3853">
        <v>1250</v>
      </c>
      <c r="BI3853">
        <v>250</v>
      </c>
      <c r="BJ3853">
        <v>1</v>
      </c>
      <c r="BK3853">
        <v>1</v>
      </c>
      <c r="BL3853">
        <v>1</v>
      </c>
      <c r="BM3853">
        <v>0</v>
      </c>
      <c r="BP3853">
        <v>0</v>
      </c>
      <c r="BQ3853">
        <v>0</v>
      </c>
      <c r="BX3853" t="str">
        <f>"14:54:37.570"</f>
        <v>14:54:37.570</v>
      </c>
      <c r="BY3853" t="str">
        <f>"566861138"</f>
        <v>566861138</v>
      </c>
      <c r="CL3853">
        <v>3</v>
      </c>
      <c r="CM3853">
        <v>2</v>
      </c>
      <c r="CN3853">
        <v>0</v>
      </c>
      <c r="CO3853">
        <v>2</v>
      </c>
      <c r="CP3853">
        <v>0</v>
      </c>
      <c r="CQ3853">
        <v>5</v>
      </c>
      <c r="CR3853" t="s">
        <v>116</v>
      </c>
      <c r="CS3853">
        <v>38</v>
      </c>
      <c r="CT3853">
        <v>0</v>
      </c>
      <c r="CU3853" t="s">
        <v>4719</v>
      </c>
      <c r="CV3853" t="s">
        <v>4720</v>
      </c>
      <c r="CY3853">
        <v>8520083</v>
      </c>
      <c r="CZ3853" t="s">
        <v>119</v>
      </c>
    </row>
    <row r="3854" spans="1:104" x14ac:dyDescent="0.25">
      <c r="A3854" t="str">
        <f>"14:54:38.758"</f>
        <v>14:54:38.758</v>
      </c>
      <c r="B3854" t="s">
        <v>108</v>
      </c>
      <c r="C3854" t="str">
        <f t="shared" si="181"/>
        <v>ffdfd3c0</v>
      </c>
      <c r="D3854" t="s">
        <v>109</v>
      </c>
      <c r="E3854">
        <v>4</v>
      </c>
      <c r="F3854">
        <v>1004</v>
      </c>
      <c r="G3854" t="s">
        <v>110</v>
      </c>
      <c r="J3854" t="s">
        <v>111</v>
      </c>
      <c r="K3854">
        <v>0</v>
      </c>
      <c r="L3854">
        <v>3</v>
      </c>
      <c r="M3854">
        <v>0</v>
      </c>
      <c r="N3854">
        <v>2</v>
      </c>
      <c r="O3854">
        <v>1</v>
      </c>
      <c r="P3854">
        <v>0</v>
      </c>
      <c r="Q3854">
        <v>0</v>
      </c>
      <c r="R3854" t="s">
        <v>112</v>
      </c>
      <c r="S3854" t="str">
        <f>"14:54:38.570"</f>
        <v>14:54:38.570</v>
      </c>
      <c r="T3854" t="str">
        <f>"14:54:38.070"</f>
        <v>14:54:38.070</v>
      </c>
      <c r="U3854" t="str">
        <f t="shared" si="180"/>
        <v>ad5732</v>
      </c>
      <c r="V3854">
        <v>0</v>
      </c>
      <c r="W3854">
        <v>0</v>
      </c>
      <c r="X3854">
        <v>1</v>
      </c>
      <c r="Z3854">
        <v>0</v>
      </c>
      <c r="AA3854">
        <v>9</v>
      </c>
      <c r="AB3854">
        <v>3</v>
      </c>
      <c r="AC3854">
        <v>0</v>
      </c>
      <c r="AD3854">
        <v>10</v>
      </c>
      <c r="AE3854">
        <v>0</v>
      </c>
      <c r="AF3854">
        <v>3</v>
      </c>
      <c r="AG3854">
        <v>2</v>
      </c>
      <c r="AH3854">
        <v>0</v>
      </c>
      <c r="AI3854" t="s">
        <v>7756</v>
      </c>
      <c r="AJ3854">
        <v>40.504939999999998</v>
      </c>
      <c r="AK3854" t="s">
        <v>7757</v>
      </c>
      <c r="AL3854">
        <v>-74.361390999999998</v>
      </c>
      <c r="AM3854">
        <v>100</v>
      </c>
      <c r="AN3854">
        <v>1000</v>
      </c>
      <c r="AO3854" t="s">
        <v>115</v>
      </c>
      <c r="AP3854">
        <v>55</v>
      </c>
      <c r="AQ3854">
        <v>118</v>
      </c>
      <c r="AR3854">
        <v>0</v>
      </c>
      <c r="AZ3854">
        <v>3614</v>
      </c>
      <c r="BA3854">
        <v>1</v>
      </c>
      <c r="BB3854" t="str">
        <f t="shared" si="182"/>
        <v xml:space="preserve">N959MJ  </v>
      </c>
      <c r="BC3854">
        <v>1</v>
      </c>
      <c r="BE3854">
        <v>0</v>
      </c>
      <c r="BF3854">
        <v>0</v>
      </c>
      <c r="BG3854">
        <v>0</v>
      </c>
      <c r="BH3854">
        <v>1250</v>
      </c>
      <c r="BI3854">
        <v>250</v>
      </c>
      <c r="BJ3854">
        <v>1</v>
      </c>
      <c r="BK3854">
        <v>1</v>
      </c>
      <c r="BL3854">
        <v>1</v>
      </c>
      <c r="BM3854">
        <v>0</v>
      </c>
      <c r="BP3854">
        <v>0</v>
      </c>
      <c r="BQ3854">
        <v>0</v>
      </c>
      <c r="BX3854" t="str">
        <f>"14:54:38.578"</f>
        <v>14:54:38.578</v>
      </c>
      <c r="BY3854" t="str">
        <f>"577837858"</f>
        <v>577837858</v>
      </c>
      <c r="CL3854">
        <v>3</v>
      </c>
      <c r="CM3854">
        <v>2</v>
      </c>
      <c r="CN3854">
        <v>0</v>
      </c>
      <c r="CO3854">
        <v>2</v>
      </c>
      <c r="CP3854">
        <v>0</v>
      </c>
      <c r="CQ3854">
        <v>5</v>
      </c>
      <c r="CR3854" t="s">
        <v>116</v>
      </c>
      <c r="CS3854">
        <v>409</v>
      </c>
      <c r="CT3854">
        <v>1</v>
      </c>
      <c r="CU3854" t="s">
        <v>5087</v>
      </c>
      <c r="CV3854" t="s">
        <v>5088</v>
      </c>
      <c r="CY3854">
        <v>5061732</v>
      </c>
      <c r="CZ3854" t="s">
        <v>119</v>
      </c>
    </row>
    <row r="3855" spans="1:104" x14ac:dyDescent="0.25">
      <c r="A3855" t="str">
        <f>"14:54:39.719"</f>
        <v>14:54:39.719</v>
      </c>
      <c r="B3855" t="s">
        <v>108</v>
      </c>
      <c r="C3855" t="str">
        <f t="shared" si="181"/>
        <v>ffdfd3c0</v>
      </c>
      <c r="D3855" t="s">
        <v>109</v>
      </c>
      <c r="E3855">
        <v>4</v>
      </c>
      <c r="F3855">
        <v>1004</v>
      </c>
      <c r="G3855" t="s">
        <v>110</v>
      </c>
      <c r="J3855" t="s">
        <v>111</v>
      </c>
      <c r="K3855">
        <v>0</v>
      </c>
      <c r="L3855">
        <v>3</v>
      </c>
      <c r="M3855">
        <v>0</v>
      </c>
      <c r="N3855">
        <v>2</v>
      </c>
      <c r="O3855">
        <v>1</v>
      </c>
      <c r="P3855">
        <v>0</v>
      </c>
      <c r="Q3855">
        <v>0</v>
      </c>
      <c r="R3855" t="s">
        <v>112</v>
      </c>
      <c r="S3855" t="str">
        <f>"14:54:39.563"</f>
        <v>14:54:39.563</v>
      </c>
      <c r="T3855" t="str">
        <f>"14:54:39.164"</f>
        <v>14:54:39.164</v>
      </c>
      <c r="U3855" t="str">
        <f t="shared" si="180"/>
        <v>ad5732</v>
      </c>
      <c r="V3855">
        <v>0</v>
      </c>
      <c r="W3855">
        <v>0</v>
      </c>
      <c r="X3855">
        <v>1</v>
      </c>
      <c r="Z3855">
        <v>0</v>
      </c>
      <c r="AA3855">
        <v>9</v>
      </c>
      <c r="AB3855">
        <v>3</v>
      </c>
      <c r="AC3855">
        <v>0</v>
      </c>
      <c r="AD3855">
        <v>10</v>
      </c>
      <c r="AE3855">
        <v>0</v>
      </c>
      <c r="AF3855">
        <v>3</v>
      </c>
      <c r="AG3855">
        <v>2</v>
      </c>
      <c r="AH3855">
        <v>0</v>
      </c>
      <c r="AI3855" t="s">
        <v>7758</v>
      </c>
      <c r="AJ3855">
        <v>40.505454999999998</v>
      </c>
      <c r="AK3855" t="s">
        <v>7759</v>
      </c>
      <c r="AL3855">
        <v>-74.361025999999995</v>
      </c>
      <c r="AM3855">
        <v>100</v>
      </c>
      <c r="AN3855">
        <v>1000</v>
      </c>
      <c r="AO3855" t="s">
        <v>115</v>
      </c>
      <c r="AP3855">
        <v>54</v>
      </c>
      <c r="AQ3855">
        <v>117</v>
      </c>
      <c r="AR3855">
        <v>64</v>
      </c>
      <c r="AZ3855">
        <v>3614</v>
      </c>
      <c r="BA3855">
        <v>1</v>
      </c>
      <c r="BB3855" t="str">
        <f t="shared" si="182"/>
        <v xml:space="preserve">N959MJ  </v>
      </c>
      <c r="BC3855">
        <v>1</v>
      </c>
      <c r="BE3855">
        <v>0</v>
      </c>
      <c r="BF3855">
        <v>0</v>
      </c>
      <c r="BG3855">
        <v>0</v>
      </c>
      <c r="BH3855">
        <v>1250</v>
      </c>
      <c r="BI3855">
        <v>250</v>
      </c>
      <c r="BJ3855">
        <v>1</v>
      </c>
      <c r="BK3855">
        <v>1</v>
      </c>
      <c r="BL3855">
        <v>1</v>
      </c>
      <c r="BM3855">
        <v>0</v>
      </c>
      <c r="BP3855">
        <v>0</v>
      </c>
      <c r="BQ3855">
        <v>0</v>
      </c>
      <c r="BX3855" t="str">
        <f>"14:54:39.570"</f>
        <v>14:54:39.570</v>
      </c>
      <c r="BY3855" t="str">
        <f>"567325560"</f>
        <v>567325560</v>
      </c>
      <c r="CL3855">
        <v>3</v>
      </c>
      <c r="CM3855">
        <v>2</v>
      </c>
      <c r="CN3855">
        <v>0</v>
      </c>
      <c r="CO3855">
        <v>2</v>
      </c>
      <c r="CP3855">
        <v>0</v>
      </c>
      <c r="CQ3855">
        <v>5</v>
      </c>
      <c r="CR3855" t="s">
        <v>116</v>
      </c>
      <c r="CS3855">
        <v>305</v>
      </c>
      <c r="CT3855">
        <v>3</v>
      </c>
      <c r="CU3855" t="s">
        <v>6425</v>
      </c>
      <c r="CV3855" t="s">
        <v>6426</v>
      </c>
      <c r="CY3855">
        <v>6531753</v>
      </c>
      <c r="CZ3855" t="s">
        <v>119</v>
      </c>
    </row>
    <row r="3856" spans="1:104" x14ac:dyDescent="0.25">
      <c r="A3856" t="str">
        <f>"14:54:40.680"</f>
        <v>14:54:40.680</v>
      </c>
      <c r="B3856" t="s">
        <v>108</v>
      </c>
      <c r="C3856" t="str">
        <f t="shared" si="181"/>
        <v>ffdfd3c0</v>
      </c>
      <c r="D3856" t="s">
        <v>109</v>
      </c>
      <c r="E3856">
        <v>4</v>
      </c>
      <c r="F3856">
        <v>1004</v>
      </c>
      <c r="G3856" t="s">
        <v>110</v>
      </c>
      <c r="J3856" t="s">
        <v>111</v>
      </c>
      <c r="K3856">
        <v>0</v>
      </c>
      <c r="L3856">
        <v>3</v>
      </c>
      <c r="M3856">
        <v>0</v>
      </c>
      <c r="N3856">
        <v>2</v>
      </c>
      <c r="O3856">
        <v>1</v>
      </c>
      <c r="P3856">
        <v>0</v>
      </c>
      <c r="Q3856">
        <v>0</v>
      </c>
      <c r="R3856" t="s">
        <v>112</v>
      </c>
      <c r="S3856" t="str">
        <f>"14:54:40.500"</f>
        <v>14:54:40.500</v>
      </c>
      <c r="T3856" t="str">
        <f>"14:54:40.102"</f>
        <v>14:54:40.102</v>
      </c>
      <c r="U3856" t="str">
        <f t="shared" si="180"/>
        <v>ad5732</v>
      </c>
      <c r="V3856">
        <v>0</v>
      </c>
      <c r="W3856">
        <v>0</v>
      </c>
      <c r="X3856">
        <v>1</v>
      </c>
      <c r="Z3856">
        <v>0</v>
      </c>
      <c r="AA3856">
        <v>9</v>
      </c>
      <c r="AB3856">
        <v>3</v>
      </c>
      <c r="AC3856">
        <v>0</v>
      </c>
      <c r="AD3856">
        <v>10</v>
      </c>
      <c r="AE3856">
        <v>0</v>
      </c>
      <c r="AF3856">
        <v>3</v>
      </c>
      <c r="AG3856">
        <v>2</v>
      </c>
      <c r="AH3856">
        <v>0</v>
      </c>
      <c r="AI3856" t="s">
        <v>7760</v>
      </c>
      <c r="AJ3856">
        <v>40.505947999999997</v>
      </c>
      <c r="AK3856" t="s">
        <v>7761</v>
      </c>
      <c r="AL3856">
        <v>-74.360769000000005</v>
      </c>
      <c r="AM3856">
        <v>100</v>
      </c>
      <c r="AN3856">
        <v>1000</v>
      </c>
      <c r="AO3856" t="s">
        <v>115</v>
      </c>
      <c r="AP3856">
        <v>54</v>
      </c>
      <c r="AQ3856">
        <v>116</v>
      </c>
      <c r="AR3856">
        <v>64</v>
      </c>
      <c r="AZ3856">
        <v>3614</v>
      </c>
      <c r="BA3856">
        <v>1</v>
      </c>
      <c r="BB3856" t="str">
        <f t="shared" si="182"/>
        <v xml:space="preserve">N959MJ  </v>
      </c>
      <c r="BC3856">
        <v>1</v>
      </c>
      <c r="BE3856">
        <v>0</v>
      </c>
      <c r="BF3856">
        <v>0</v>
      </c>
      <c r="BG3856">
        <v>0</v>
      </c>
      <c r="BH3856">
        <v>1250</v>
      </c>
      <c r="BI3856">
        <v>250</v>
      </c>
      <c r="BJ3856">
        <v>1</v>
      </c>
      <c r="BK3856">
        <v>1</v>
      </c>
      <c r="BL3856">
        <v>1</v>
      </c>
      <c r="BM3856">
        <v>0</v>
      </c>
      <c r="BP3856">
        <v>0</v>
      </c>
      <c r="BQ3856">
        <v>0</v>
      </c>
      <c r="BX3856" t="str">
        <f>"14:54:40.500"</f>
        <v>14:54:40.500</v>
      </c>
      <c r="BY3856" t="str">
        <f>"501230011"</f>
        <v>501230011</v>
      </c>
      <c r="CL3856">
        <v>3</v>
      </c>
      <c r="CM3856">
        <v>2</v>
      </c>
      <c r="CN3856">
        <v>0</v>
      </c>
      <c r="CO3856">
        <v>2</v>
      </c>
      <c r="CP3856">
        <v>0</v>
      </c>
      <c r="CQ3856">
        <v>6</v>
      </c>
      <c r="CR3856" t="s">
        <v>116</v>
      </c>
      <c r="CS3856">
        <v>305</v>
      </c>
      <c r="CT3856">
        <v>3</v>
      </c>
      <c r="CU3856" t="s">
        <v>6425</v>
      </c>
      <c r="CV3856" t="s">
        <v>6426</v>
      </c>
      <c r="CY3856">
        <v>6533725</v>
      </c>
      <c r="CZ3856" t="s">
        <v>119</v>
      </c>
    </row>
    <row r="3857" spans="1:104" x14ac:dyDescent="0.25">
      <c r="A3857" t="str">
        <f>"14:54:41.742"</f>
        <v>14:54:41.742</v>
      </c>
      <c r="B3857" t="s">
        <v>108</v>
      </c>
      <c r="C3857" t="str">
        <f t="shared" si="181"/>
        <v>ffdfd3c0</v>
      </c>
      <c r="D3857" t="s">
        <v>109</v>
      </c>
      <c r="E3857">
        <v>4</v>
      </c>
      <c r="F3857">
        <v>1004</v>
      </c>
      <c r="G3857" t="s">
        <v>110</v>
      </c>
      <c r="J3857" t="s">
        <v>111</v>
      </c>
      <c r="K3857">
        <v>0</v>
      </c>
      <c r="L3857">
        <v>3</v>
      </c>
      <c r="M3857">
        <v>0</v>
      </c>
      <c r="N3857">
        <v>2</v>
      </c>
      <c r="O3857">
        <v>1</v>
      </c>
      <c r="P3857">
        <v>0</v>
      </c>
      <c r="Q3857">
        <v>0</v>
      </c>
      <c r="R3857" t="s">
        <v>112</v>
      </c>
      <c r="S3857" t="str">
        <f>"14:54:41.578"</f>
        <v>14:54:41.578</v>
      </c>
      <c r="T3857" t="str">
        <f>"14:54:40.578"</f>
        <v>14:54:40.578</v>
      </c>
      <c r="U3857" t="str">
        <f t="shared" si="180"/>
        <v>ad5732</v>
      </c>
      <c r="V3857">
        <v>0</v>
      </c>
      <c r="W3857">
        <v>0</v>
      </c>
      <c r="X3857">
        <v>1</v>
      </c>
      <c r="Z3857">
        <v>0</v>
      </c>
      <c r="AA3857">
        <v>9</v>
      </c>
      <c r="AB3857">
        <v>3</v>
      </c>
      <c r="AC3857">
        <v>0</v>
      </c>
      <c r="AD3857">
        <v>10</v>
      </c>
      <c r="AE3857">
        <v>0</v>
      </c>
      <c r="AF3857">
        <v>3</v>
      </c>
      <c r="AG3857">
        <v>2</v>
      </c>
      <c r="AH3857">
        <v>0</v>
      </c>
      <c r="AI3857" t="s">
        <v>7762</v>
      </c>
      <c r="AJ3857">
        <v>40.506549</v>
      </c>
      <c r="AK3857" t="s">
        <v>7763</v>
      </c>
      <c r="AL3857">
        <v>-74.360404000000003</v>
      </c>
      <c r="AM3857">
        <v>100</v>
      </c>
      <c r="AN3857">
        <v>1000</v>
      </c>
      <c r="AO3857" t="s">
        <v>115</v>
      </c>
      <c r="AP3857">
        <v>54</v>
      </c>
      <c r="AQ3857">
        <v>115</v>
      </c>
      <c r="AR3857">
        <v>64</v>
      </c>
      <c r="AZ3857">
        <v>3614</v>
      </c>
      <c r="BA3857">
        <v>1</v>
      </c>
      <c r="BB3857" t="str">
        <f t="shared" si="182"/>
        <v xml:space="preserve">N959MJ  </v>
      </c>
      <c r="BC3857">
        <v>1</v>
      </c>
      <c r="BE3857">
        <v>0</v>
      </c>
      <c r="BF3857">
        <v>0</v>
      </c>
      <c r="BG3857">
        <v>0</v>
      </c>
      <c r="BH3857">
        <v>1250</v>
      </c>
      <c r="BI3857">
        <v>250</v>
      </c>
      <c r="BJ3857">
        <v>1</v>
      </c>
      <c r="BK3857">
        <v>1</v>
      </c>
      <c r="BL3857">
        <v>1</v>
      </c>
      <c r="BM3857">
        <v>0</v>
      </c>
      <c r="BP3857">
        <v>0</v>
      </c>
      <c r="BQ3857">
        <v>0</v>
      </c>
      <c r="BX3857" t="str">
        <f>"14:54:41.578"</f>
        <v>14:54:41.578</v>
      </c>
      <c r="BY3857" t="str">
        <f>"581089433"</f>
        <v>581089433</v>
      </c>
      <c r="CL3857">
        <v>3</v>
      </c>
      <c r="CM3857">
        <v>2</v>
      </c>
      <c r="CN3857">
        <v>0</v>
      </c>
      <c r="CO3857">
        <v>2</v>
      </c>
      <c r="CP3857">
        <v>0</v>
      </c>
      <c r="CQ3857">
        <v>4</v>
      </c>
      <c r="CR3857" t="s">
        <v>116</v>
      </c>
      <c r="CS3857">
        <v>83</v>
      </c>
      <c r="CT3857">
        <v>1</v>
      </c>
      <c r="CU3857" t="s">
        <v>7152</v>
      </c>
      <c r="CV3857" t="s">
        <v>7153</v>
      </c>
      <c r="CY3857">
        <v>2050619</v>
      </c>
      <c r="CZ3857" t="s">
        <v>119</v>
      </c>
    </row>
    <row r="3858" spans="1:104" x14ac:dyDescent="0.25">
      <c r="A3858" t="str">
        <f>"14:54:42.750"</f>
        <v>14:54:42.750</v>
      </c>
      <c r="B3858" t="s">
        <v>108</v>
      </c>
      <c r="C3858" t="str">
        <f t="shared" si="181"/>
        <v>ffdfd3c0</v>
      </c>
      <c r="D3858" t="s">
        <v>109</v>
      </c>
      <c r="E3858">
        <v>4</v>
      </c>
      <c r="F3858">
        <v>1004</v>
      </c>
      <c r="G3858" t="s">
        <v>110</v>
      </c>
      <c r="J3858" t="s">
        <v>111</v>
      </c>
      <c r="K3858">
        <v>0</v>
      </c>
      <c r="L3858">
        <v>3</v>
      </c>
      <c r="M3858">
        <v>0</v>
      </c>
      <c r="N3858">
        <v>2</v>
      </c>
      <c r="O3858">
        <v>1</v>
      </c>
      <c r="P3858">
        <v>0</v>
      </c>
      <c r="Q3858">
        <v>0</v>
      </c>
      <c r="R3858" t="s">
        <v>112</v>
      </c>
      <c r="S3858" t="str">
        <f>"14:54:42.547"</f>
        <v>14:54:42.547</v>
      </c>
      <c r="T3858" t="str">
        <f>"14:54:41.648"</f>
        <v>14:54:41.648</v>
      </c>
      <c r="U3858" t="str">
        <f t="shared" si="180"/>
        <v>ad5732</v>
      </c>
      <c r="V3858">
        <v>0</v>
      </c>
      <c r="W3858">
        <v>0</v>
      </c>
      <c r="X3858">
        <v>1</v>
      </c>
      <c r="Z3858">
        <v>0</v>
      </c>
      <c r="AA3858">
        <v>9</v>
      </c>
      <c r="AB3858">
        <v>3</v>
      </c>
      <c r="AC3858">
        <v>0</v>
      </c>
      <c r="AD3858">
        <v>10</v>
      </c>
      <c r="AE3858">
        <v>0</v>
      </c>
      <c r="AF3858">
        <v>3</v>
      </c>
      <c r="AG3858">
        <v>2</v>
      </c>
      <c r="AH3858">
        <v>0</v>
      </c>
      <c r="AI3858" t="s">
        <v>7764</v>
      </c>
      <c r="AJ3858">
        <v>40.507041999999998</v>
      </c>
      <c r="AK3858" t="s">
        <v>7765</v>
      </c>
      <c r="AL3858">
        <v>-74.360104000000007</v>
      </c>
      <c r="AM3858">
        <v>100</v>
      </c>
      <c r="AN3858">
        <v>1000</v>
      </c>
      <c r="AO3858" t="s">
        <v>115</v>
      </c>
      <c r="AP3858">
        <v>53</v>
      </c>
      <c r="AQ3858">
        <v>114</v>
      </c>
      <c r="AR3858">
        <v>64</v>
      </c>
      <c r="AZ3858">
        <v>3614</v>
      </c>
      <c r="BA3858">
        <v>1</v>
      </c>
      <c r="BB3858" t="str">
        <f t="shared" si="182"/>
        <v xml:space="preserve">N959MJ  </v>
      </c>
      <c r="BC3858">
        <v>1</v>
      </c>
      <c r="BE3858">
        <v>0</v>
      </c>
      <c r="BF3858">
        <v>0</v>
      </c>
      <c r="BG3858">
        <v>0</v>
      </c>
      <c r="BH3858">
        <v>1250</v>
      </c>
      <c r="BI3858">
        <v>250</v>
      </c>
      <c r="BJ3858">
        <v>1</v>
      </c>
      <c r="BK3858">
        <v>1</v>
      </c>
      <c r="BL3858">
        <v>1</v>
      </c>
      <c r="BM3858">
        <v>0</v>
      </c>
      <c r="BP3858">
        <v>0</v>
      </c>
      <c r="BQ3858">
        <v>0</v>
      </c>
      <c r="BX3858" t="str">
        <f>"14:54:42.555"</f>
        <v>14:54:42.555</v>
      </c>
      <c r="BY3858" t="str">
        <f>"550904372"</f>
        <v>550904372</v>
      </c>
      <c r="CL3858">
        <v>3</v>
      </c>
      <c r="CM3858">
        <v>2</v>
      </c>
      <c r="CN3858">
        <v>0</v>
      </c>
      <c r="CO3858">
        <v>2</v>
      </c>
      <c r="CP3858">
        <v>0</v>
      </c>
      <c r="CQ3858">
        <v>5</v>
      </c>
      <c r="CR3858" t="s">
        <v>116</v>
      </c>
      <c r="CS3858">
        <v>305</v>
      </c>
      <c r="CT3858">
        <v>3</v>
      </c>
      <c r="CU3858" t="s">
        <v>6425</v>
      </c>
      <c r="CV3858" t="s">
        <v>6426</v>
      </c>
      <c r="CY3858">
        <v>6537814</v>
      </c>
      <c r="CZ3858" t="s">
        <v>119</v>
      </c>
    </row>
    <row r="3859" spans="1:104" x14ac:dyDescent="0.25">
      <c r="A3859" t="str">
        <f>"14:54:43.664"</f>
        <v>14:54:43.664</v>
      </c>
      <c r="B3859" t="s">
        <v>108</v>
      </c>
      <c r="C3859" t="str">
        <f t="shared" si="181"/>
        <v>ffdfd3c0</v>
      </c>
      <c r="D3859" t="s">
        <v>109</v>
      </c>
      <c r="E3859">
        <v>4</v>
      </c>
      <c r="F3859">
        <v>1004</v>
      </c>
      <c r="G3859" t="s">
        <v>110</v>
      </c>
      <c r="J3859" t="s">
        <v>111</v>
      </c>
      <c r="K3859">
        <v>0</v>
      </c>
      <c r="L3859">
        <v>3</v>
      </c>
      <c r="M3859">
        <v>0</v>
      </c>
      <c r="N3859">
        <v>2</v>
      </c>
      <c r="O3859">
        <v>1</v>
      </c>
      <c r="P3859">
        <v>0</v>
      </c>
      <c r="Q3859">
        <v>0</v>
      </c>
      <c r="R3859" t="s">
        <v>112</v>
      </c>
      <c r="S3859" t="str">
        <f>"14:54:43.477"</f>
        <v>14:54:43.477</v>
      </c>
      <c r="T3859" t="str">
        <f>"14:54:42.578"</f>
        <v>14:54:42.578</v>
      </c>
      <c r="U3859" t="str">
        <f t="shared" si="180"/>
        <v>ad5732</v>
      </c>
      <c r="V3859">
        <v>0</v>
      </c>
      <c r="W3859">
        <v>0</v>
      </c>
      <c r="X3859">
        <v>1</v>
      </c>
      <c r="Z3859">
        <v>0</v>
      </c>
      <c r="AA3859">
        <v>9</v>
      </c>
      <c r="AB3859">
        <v>3</v>
      </c>
      <c r="AC3859">
        <v>0</v>
      </c>
      <c r="AD3859">
        <v>10</v>
      </c>
      <c r="AE3859">
        <v>0</v>
      </c>
      <c r="AF3859">
        <v>3</v>
      </c>
      <c r="AG3859">
        <v>2</v>
      </c>
      <c r="AH3859">
        <v>0</v>
      </c>
      <c r="AI3859" t="s">
        <v>7766</v>
      </c>
      <c r="AJ3859">
        <v>40.507514</v>
      </c>
      <c r="AK3859" t="s">
        <v>7767</v>
      </c>
      <c r="AL3859">
        <v>-74.359781999999996</v>
      </c>
      <c r="AM3859">
        <v>100</v>
      </c>
      <c r="AN3859">
        <v>1000</v>
      </c>
      <c r="AO3859" t="s">
        <v>115</v>
      </c>
      <c r="AP3859">
        <v>52</v>
      </c>
      <c r="AQ3859">
        <v>113</v>
      </c>
      <c r="AR3859">
        <v>128</v>
      </c>
      <c r="AZ3859">
        <v>3614</v>
      </c>
      <c r="BA3859">
        <v>1</v>
      </c>
      <c r="BB3859" t="str">
        <f t="shared" si="182"/>
        <v xml:space="preserve">N959MJ  </v>
      </c>
      <c r="BC3859">
        <v>1</v>
      </c>
      <c r="BE3859">
        <v>0</v>
      </c>
      <c r="BF3859">
        <v>0</v>
      </c>
      <c r="BG3859">
        <v>0</v>
      </c>
      <c r="BH3859">
        <v>1250</v>
      </c>
      <c r="BI3859">
        <v>250</v>
      </c>
      <c r="BJ3859">
        <v>1</v>
      </c>
      <c r="BK3859">
        <v>1</v>
      </c>
      <c r="BL3859">
        <v>1</v>
      </c>
      <c r="BM3859">
        <v>0</v>
      </c>
      <c r="BP3859">
        <v>0</v>
      </c>
      <c r="BQ3859">
        <v>0</v>
      </c>
      <c r="BX3859" t="str">
        <f>"14:54:43.484"</f>
        <v>14:54:43.484</v>
      </c>
      <c r="BY3859" t="str">
        <f>"483293535"</f>
        <v>483293535</v>
      </c>
      <c r="CL3859">
        <v>3</v>
      </c>
      <c r="CM3859">
        <v>2</v>
      </c>
      <c r="CN3859">
        <v>0</v>
      </c>
      <c r="CO3859">
        <v>2</v>
      </c>
      <c r="CP3859">
        <v>0</v>
      </c>
      <c r="CQ3859">
        <v>5</v>
      </c>
      <c r="CR3859" t="s">
        <v>116</v>
      </c>
      <c r="CS3859">
        <v>409</v>
      </c>
      <c r="CT3859">
        <v>1</v>
      </c>
      <c r="CU3859" t="s">
        <v>5087</v>
      </c>
      <c r="CV3859" t="s">
        <v>5088</v>
      </c>
      <c r="CY3859">
        <v>5071651</v>
      </c>
      <c r="CZ3859" t="s">
        <v>119</v>
      </c>
    </row>
    <row r="3860" spans="1:104" x14ac:dyDescent="0.25">
      <c r="A3860" t="str">
        <f>"14:54:44.570"</f>
        <v>14:54:44.570</v>
      </c>
      <c r="B3860" t="s">
        <v>108</v>
      </c>
      <c r="C3860" t="str">
        <f t="shared" si="181"/>
        <v>ffdfd3c0</v>
      </c>
      <c r="D3860" t="s">
        <v>109</v>
      </c>
      <c r="E3860">
        <v>4</v>
      </c>
      <c r="F3860">
        <v>1004</v>
      </c>
      <c r="G3860" t="s">
        <v>110</v>
      </c>
      <c r="J3860" t="s">
        <v>111</v>
      </c>
      <c r="K3860">
        <v>0</v>
      </c>
      <c r="L3860">
        <v>3</v>
      </c>
      <c r="M3860">
        <v>0</v>
      </c>
      <c r="N3860">
        <v>2</v>
      </c>
      <c r="O3860">
        <v>1</v>
      </c>
      <c r="P3860">
        <v>0</v>
      </c>
      <c r="Q3860">
        <v>0</v>
      </c>
      <c r="R3860" t="s">
        <v>112</v>
      </c>
      <c r="S3860" t="str">
        <f>"14:54:44.406"</f>
        <v>14:54:44.406</v>
      </c>
      <c r="T3860" t="str">
        <f>"14:54:44.008"</f>
        <v>14:54:44.008</v>
      </c>
      <c r="U3860" t="str">
        <f t="shared" si="180"/>
        <v>ad5732</v>
      </c>
      <c r="V3860">
        <v>0</v>
      </c>
      <c r="W3860">
        <v>0</v>
      </c>
      <c r="X3860">
        <v>1</v>
      </c>
      <c r="Z3860">
        <v>0</v>
      </c>
      <c r="AA3860">
        <v>9</v>
      </c>
      <c r="AB3860">
        <v>3</v>
      </c>
      <c r="AC3860">
        <v>0</v>
      </c>
      <c r="AD3860">
        <v>10</v>
      </c>
      <c r="AE3860">
        <v>0</v>
      </c>
      <c r="AF3860">
        <v>3</v>
      </c>
      <c r="AG3860">
        <v>2</v>
      </c>
      <c r="AH3860">
        <v>0</v>
      </c>
      <c r="AI3860" t="s">
        <v>7768</v>
      </c>
      <c r="AJ3860">
        <v>40.508007999999997</v>
      </c>
      <c r="AK3860" t="s">
        <v>7769</v>
      </c>
      <c r="AL3860">
        <v>-74.359503000000004</v>
      </c>
      <c r="AM3860">
        <v>100</v>
      </c>
      <c r="AN3860">
        <v>1000</v>
      </c>
      <c r="AO3860" t="s">
        <v>115</v>
      </c>
      <c r="AP3860">
        <v>52</v>
      </c>
      <c r="AQ3860">
        <v>112</v>
      </c>
      <c r="AR3860">
        <v>256</v>
      </c>
      <c r="AZ3860">
        <v>3614</v>
      </c>
      <c r="BA3860">
        <v>1</v>
      </c>
      <c r="BB3860" t="str">
        <f t="shared" si="182"/>
        <v xml:space="preserve">N959MJ  </v>
      </c>
      <c r="BC3860">
        <v>1</v>
      </c>
      <c r="BE3860">
        <v>0</v>
      </c>
      <c r="BF3860">
        <v>0</v>
      </c>
      <c r="BG3860">
        <v>0</v>
      </c>
      <c r="BH3860">
        <v>1275</v>
      </c>
      <c r="BI3860">
        <v>275</v>
      </c>
      <c r="BJ3860">
        <v>1</v>
      </c>
      <c r="BK3860">
        <v>1</v>
      </c>
      <c r="BL3860">
        <v>1</v>
      </c>
      <c r="BM3860">
        <v>0</v>
      </c>
      <c r="BP3860">
        <v>0</v>
      </c>
      <c r="BQ3860">
        <v>0</v>
      </c>
      <c r="BX3860" t="str">
        <f>"14:54:44.414"</f>
        <v>14:54:44.414</v>
      </c>
      <c r="BY3860" t="str">
        <f>"410644182"</f>
        <v>410644182</v>
      </c>
      <c r="CL3860">
        <v>3</v>
      </c>
      <c r="CM3860">
        <v>2</v>
      </c>
      <c r="CN3860">
        <v>0</v>
      </c>
      <c r="CO3860">
        <v>2</v>
      </c>
      <c r="CP3860">
        <v>0</v>
      </c>
      <c r="CQ3860">
        <v>5</v>
      </c>
      <c r="CR3860" t="s">
        <v>116</v>
      </c>
      <c r="CS3860">
        <v>409</v>
      </c>
      <c r="CT3860">
        <v>1</v>
      </c>
      <c r="CU3860" t="s">
        <v>5087</v>
      </c>
      <c r="CV3860" t="s">
        <v>5088</v>
      </c>
      <c r="CY3860">
        <v>5073580</v>
      </c>
      <c r="CZ3860" t="s">
        <v>119</v>
      </c>
    </row>
    <row r="3861" spans="1:104" x14ac:dyDescent="0.25">
      <c r="A3861" t="str">
        <f>"14:54:45.578"</f>
        <v>14:54:45.578</v>
      </c>
      <c r="B3861" t="s">
        <v>108</v>
      </c>
      <c r="C3861" t="str">
        <f t="shared" si="181"/>
        <v>ffdfd3c0</v>
      </c>
      <c r="D3861" t="s">
        <v>109</v>
      </c>
      <c r="E3861">
        <v>4</v>
      </c>
      <c r="F3861">
        <v>1004</v>
      </c>
      <c r="G3861" t="s">
        <v>110</v>
      </c>
      <c r="J3861" t="s">
        <v>111</v>
      </c>
      <c r="K3861">
        <v>0</v>
      </c>
      <c r="L3861">
        <v>3</v>
      </c>
      <c r="M3861">
        <v>0</v>
      </c>
      <c r="N3861">
        <v>2</v>
      </c>
      <c r="O3861">
        <v>1</v>
      </c>
      <c r="P3861">
        <v>0</v>
      </c>
      <c r="Q3861">
        <v>0</v>
      </c>
      <c r="R3861" t="s">
        <v>112</v>
      </c>
      <c r="S3861" t="str">
        <f>"14:54:45.414"</f>
        <v>14:54:45.414</v>
      </c>
      <c r="T3861" t="str">
        <f>"14:54:45.016"</f>
        <v>14:54:45.016</v>
      </c>
      <c r="U3861" t="str">
        <f t="shared" si="180"/>
        <v>ad5732</v>
      </c>
      <c r="V3861">
        <v>0</v>
      </c>
      <c r="W3861">
        <v>0</v>
      </c>
      <c r="X3861">
        <v>1</v>
      </c>
      <c r="Z3861">
        <v>0</v>
      </c>
      <c r="AA3861">
        <v>9</v>
      </c>
      <c r="AB3861">
        <v>3</v>
      </c>
      <c r="AC3861">
        <v>0</v>
      </c>
      <c r="AD3861">
        <v>10</v>
      </c>
      <c r="AE3861">
        <v>0</v>
      </c>
      <c r="AF3861">
        <v>3</v>
      </c>
      <c r="AG3861">
        <v>2</v>
      </c>
      <c r="AH3861">
        <v>0</v>
      </c>
      <c r="AI3861" t="s">
        <v>7770</v>
      </c>
      <c r="AJ3861">
        <v>40.508522999999997</v>
      </c>
      <c r="AK3861" t="s">
        <v>7771</v>
      </c>
      <c r="AL3861">
        <v>-74.359201999999996</v>
      </c>
      <c r="AM3861">
        <v>100</v>
      </c>
      <c r="AN3861">
        <v>1000</v>
      </c>
      <c r="AO3861" t="s">
        <v>115</v>
      </c>
      <c r="AP3861">
        <v>51</v>
      </c>
      <c r="AQ3861">
        <v>112</v>
      </c>
      <c r="AR3861">
        <v>128</v>
      </c>
      <c r="AZ3861">
        <v>3614</v>
      </c>
      <c r="BA3861">
        <v>1</v>
      </c>
      <c r="BB3861" t="str">
        <f t="shared" si="182"/>
        <v xml:space="preserve">N959MJ  </v>
      </c>
      <c r="BC3861">
        <v>1</v>
      </c>
      <c r="BE3861">
        <v>0</v>
      </c>
      <c r="BF3861">
        <v>0</v>
      </c>
      <c r="BG3861">
        <v>0</v>
      </c>
      <c r="BH3861">
        <v>1275</v>
      </c>
      <c r="BI3861">
        <v>275</v>
      </c>
      <c r="BJ3861">
        <v>1</v>
      </c>
      <c r="BK3861">
        <v>1</v>
      </c>
      <c r="BL3861">
        <v>1</v>
      </c>
      <c r="BM3861">
        <v>0</v>
      </c>
      <c r="BP3861">
        <v>0</v>
      </c>
      <c r="BQ3861">
        <v>0</v>
      </c>
      <c r="BX3861" t="str">
        <f>"14:54:45.422"</f>
        <v>14:54:45.422</v>
      </c>
      <c r="BY3861" t="str">
        <f>"419916326"</f>
        <v>419916326</v>
      </c>
      <c r="CL3861">
        <v>3</v>
      </c>
      <c r="CM3861">
        <v>2</v>
      </c>
      <c r="CN3861">
        <v>0</v>
      </c>
      <c r="CO3861">
        <v>2</v>
      </c>
      <c r="CP3861">
        <v>0</v>
      </c>
      <c r="CQ3861">
        <v>5</v>
      </c>
      <c r="CR3861" t="s">
        <v>116</v>
      </c>
      <c r="CS3861">
        <v>409</v>
      </c>
      <c r="CT3861">
        <v>1</v>
      </c>
      <c r="CU3861" t="s">
        <v>5087</v>
      </c>
      <c r="CV3861" t="s">
        <v>5088</v>
      </c>
      <c r="CY3861">
        <v>5075619</v>
      </c>
      <c r="CZ3861" t="s">
        <v>119</v>
      </c>
    </row>
    <row r="3862" spans="1:104" x14ac:dyDescent="0.25">
      <c r="A3862" t="str">
        <f>"14:54:46.492"</f>
        <v>14:54:46.492</v>
      </c>
      <c r="B3862" t="s">
        <v>108</v>
      </c>
      <c r="C3862" t="str">
        <f t="shared" si="181"/>
        <v>ffdfd3c0</v>
      </c>
      <c r="D3862" t="s">
        <v>109</v>
      </c>
      <c r="E3862">
        <v>4</v>
      </c>
      <c r="F3862">
        <v>1004</v>
      </c>
      <c r="G3862" t="s">
        <v>110</v>
      </c>
      <c r="J3862" t="s">
        <v>111</v>
      </c>
      <c r="K3862">
        <v>0</v>
      </c>
      <c r="L3862">
        <v>3</v>
      </c>
      <c r="M3862">
        <v>0</v>
      </c>
      <c r="N3862">
        <v>2</v>
      </c>
      <c r="O3862">
        <v>1</v>
      </c>
      <c r="P3862">
        <v>0</v>
      </c>
      <c r="Q3862">
        <v>0</v>
      </c>
      <c r="R3862" t="s">
        <v>112</v>
      </c>
      <c r="S3862" t="str">
        <f>"14:54:46.297"</f>
        <v>14:54:46.297</v>
      </c>
      <c r="T3862" t="str">
        <f>"14:54:45.898"</f>
        <v>14:54:45.898</v>
      </c>
      <c r="U3862" t="str">
        <f t="shared" si="180"/>
        <v>ad5732</v>
      </c>
      <c r="V3862">
        <v>0</v>
      </c>
      <c r="W3862">
        <v>0</v>
      </c>
      <c r="X3862">
        <v>1</v>
      </c>
      <c r="Z3862">
        <v>0</v>
      </c>
      <c r="AA3862">
        <v>9</v>
      </c>
      <c r="AB3862">
        <v>3</v>
      </c>
      <c r="AC3862">
        <v>0</v>
      </c>
      <c r="AD3862">
        <v>10</v>
      </c>
      <c r="AE3862">
        <v>0</v>
      </c>
      <c r="AF3862">
        <v>3</v>
      </c>
      <c r="AG3862">
        <v>2</v>
      </c>
      <c r="AH3862">
        <v>0</v>
      </c>
      <c r="AI3862" t="s">
        <v>7772</v>
      </c>
      <c r="AJ3862">
        <v>40.508974000000002</v>
      </c>
      <c r="AK3862" t="s">
        <v>7773</v>
      </c>
      <c r="AL3862">
        <v>-74.358902</v>
      </c>
      <c r="AM3862">
        <v>100</v>
      </c>
      <c r="AN3862">
        <v>1000</v>
      </c>
      <c r="AO3862" t="s">
        <v>115</v>
      </c>
      <c r="AP3862">
        <v>51</v>
      </c>
      <c r="AQ3862">
        <v>111</v>
      </c>
      <c r="AR3862">
        <v>256</v>
      </c>
      <c r="AZ3862">
        <v>3614</v>
      </c>
      <c r="BA3862">
        <v>1</v>
      </c>
      <c r="BB3862" t="str">
        <f t="shared" si="182"/>
        <v xml:space="preserve">N959MJ  </v>
      </c>
      <c r="BC3862">
        <v>1</v>
      </c>
      <c r="BE3862">
        <v>0</v>
      </c>
      <c r="BF3862">
        <v>0</v>
      </c>
      <c r="BG3862">
        <v>0</v>
      </c>
      <c r="BH3862">
        <v>1275</v>
      </c>
      <c r="BI3862">
        <v>275</v>
      </c>
      <c r="BJ3862">
        <v>1</v>
      </c>
      <c r="BK3862">
        <v>1</v>
      </c>
      <c r="BL3862">
        <v>1</v>
      </c>
      <c r="BM3862">
        <v>0</v>
      </c>
      <c r="BP3862">
        <v>0</v>
      </c>
      <c r="BQ3862">
        <v>0</v>
      </c>
      <c r="BX3862" t="str">
        <f>"14:54:46.305"</f>
        <v>14:54:46.305</v>
      </c>
      <c r="BY3862" t="str">
        <f>"303029445"</f>
        <v>303029445</v>
      </c>
      <c r="CL3862">
        <v>3</v>
      </c>
      <c r="CM3862">
        <v>2</v>
      </c>
      <c r="CN3862">
        <v>0</v>
      </c>
      <c r="CO3862">
        <v>2</v>
      </c>
      <c r="CP3862">
        <v>0</v>
      </c>
      <c r="CQ3862">
        <v>5</v>
      </c>
      <c r="CR3862" t="s">
        <v>116</v>
      </c>
      <c r="CS3862">
        <v>409</v>
      </c>
      <c r="CT3862">
        <v>1</v>
      </c>
      <c r="CU3862" t="s">
        <v>5087</v>
      </c>
      <c r="CV3862" t="s">
        <v>5088</v>
      </c>
      <c r="CY3862">
        <v>5077424</v>
      </c>
      <c r="CZ3862" t="s">
        <v>119</v>
      </c>
    </row>
    <row r="3863" spans="1:104" x14ac:dyDescent="0.25">
      <c r="A3863" t="str">
        <f>"14:54:47.398"</f>
        <v>14:54:47.398</v>
      </c>
      <c r="B3863" t="s">
        <v>108</v>
      </c>
      <c r="C3863" t="str">
        <f t="shared" si="181"/>
        <v>ffdfd3c0</v>
      </c>
      <c r="D3863" t="s">
        <v>109</v>
      </c>
      <c r="E3863">
        <v>4</v>
      </c>
      <c r="F3863">
        <v>1004</v>
      </c>
      <c r="G3863" t="s">
        <v>110</v>
      </c>
      <c r="J3863" t="s">
        <v>111</v>
      </c>
      <c r="K3863">
        <v>0</v>
      </c>
      <c r="L3863">
        <v>3</v>
      </c>
      <c r="M3863">
        <v>0</v>
      </c>
      <c r="N3863">
        <v>2</v>
      </c>
      <c r="O3863">
        <v>1</v>
      </c>
      <c r="P3863">
        <v>0</v>
      </c>
      <c r="Q3863">
        <v>0</v>
      </c>
      <c r="R3863" t="s">
        <v>112</v>
      </c>
      <c r="S3863" t="str">
        <f>"14:54:47.234"</f>
        <v>14:54:47.234</v>
      </c>
      <c r="T3863" t="str">
        <f>"14:54:46.836"</f>
        <v>14:54:46.836</v>
      </c>
      <c r="U3863" t="str">
        <f t="shared" si="180"/>
        <v>ad5732</v>
      </c>
      <c r="V3863">
        <v>0</v>
      </c>
      <c r="W3863">
        <v>0</v>
      </c>
      <c r="X3863">
        <v>1</v>
      </c>
      <c r="Z3863">
        <v>0</v>
      </c>
      <c r="AA3863">
        <v>9</v>
      </c>
      <c r="AB3863">
        <v>3</v>
      </c>
      <c r="AC3863">
        <v>0</v>
      </c>
      <c r="AD3863">
        <v>10</v>
      </c>
      <c r="AE3863">
        <v>0</v>
      </c>
      <c r="AF3863">
        <v>3</v>
      </c>
      <c r="AG3863">
        <v>2</v>
      </c>
      <c r="AH3863">
        <v>0</v>
      </c>
      <c r="AI3863" t="s">
        <v>7774</v>
      </c>
      <c r="AJ3863">
        <v>40.509489000000002</v>
      </c>
      <c r="AK3863" t="s">
        <v>7775</v>
      </c>
      <c r="AL3863">
        <v>-74.358643999999998</v>
      </c>
      <c r="AM3863">
        <v>100</v>
      </c>
      <c r="AN3863">
        <v>1000</v>
      </c>
      <c r="AO3863" t="s">
        <v>115</v>
      </c>
      <c r="AP3863">
        <v>50</v>
      </c>
      <c r="AQ3863">
        <v>110</v>
      </c>
      <c r="AR3863">
        <v>256</v>
      </c>
      <c r="AZ3863">
        <v>3614</v>
      </c>
      <c r="BA3863">
        <v>1</v>
      </c>
      <c r="BB3863" t="str">
        <f t="shared" si="182"/>
        <v xml:space="preserve">N959MJ  </v>
      </c>
      <c r="BC3863">
        <v>1</v>
      </c>
      <c r="BE3863">
        <v>0</v>
      </c>
      <c r="BF3863">
        <v>0</v>
      </c>
      <c r="BG3863">
        <v>0</v>
      </c>
      <c r="BH3863">
        <v>1275</v>
      </c>
      <c r="BI3863">
        <v>275</v>
      </c>
      <c r="BJ3863">
        <v>1</v>
      </c>
      <c r="BK3863">
        <v>1</v>
      </c>
      <c r="BL3863">
        <v>1</v>
      </c>
      <c r="BM3863">
        <v>0</v>
      </c>
      <c r="BP3863">
        <v>0</v>
      </c>
      <c r="BQ3863">
        <v>0</v>
      </c>
      <c r="BX3863" t="str">
        <f>"14:54:47.234"</f>
        <v>14:54:47.234</v>
      </c>
      <c r="BY3863" t="str">
        <f>"236810756"</f>
        <v>236810756</v>
      </c>
      <c r="CL3863">
        <v>3</v>
      </c>
      <c r="CM3863">
        <v>2</v>
      </c>
      <c r="CN3863">
        <v>0</v>
      </c>
      <c r="CO3863">
        <v>2</v>
      </c>
      <c r="CP3863">
        <v>0</v>
      </c>
      <c r="CQ3863">
        <v>6</v>
      </c>
      <c r="CR3863" t="s">
        <v>116</v>
      </c>
      <c r="CS3863">
        <v>305</v>
      </c>
      <c r="CT3863">
        <v>3</v>
      </c>
      <c r="CU3863" t="s">
        <v>6425</v>
      </c>
      <c r="CV3863" t="s">
        <v>6426</v>
      </c>
      <c r="CY3863">
        <v>6547413</v>
      </c>
      <c r="CZ3863" t="s">
        <v>119</v>
      </c>
    </row>
    <row r="3864" spans="1:104" x14ac:dyDescent="0.25">
      <c r="A3864" t="str">
        <f>"14:54:48.461"</f>
        <v>14:54:48.461</v>
      </c>
      <c r="B3864" t="s">
        <v>108</v>
      </c>
      <c r="C3864" t="str">
        <f t="shared" si="181"/>
        <v>ffdfd3c0</v>
      </c>
      <c r="D3864" t="s">
        <v>109</v>
      </c>
      <c r="E3864">
        <v>4</v>
      </c>
      <c r="F3864">
        <v>1004</v>
      </c>
      <c r="G3864" t="s">
        <v>110</v>
      </c>
      <c r="J3864" t="s">
        <v>111</v>
      </c>
      <c r="K3864">
        <v>0</v>
      </c>
      <c r="L3864">
        <v>3</v>
      </c>
      <c r="M3864">
        <v>0</v>
      </c>
      <c r="N3864">
        <v>2</v>
      </c>
      <c r="O3864">
        <v>1</v>
      </c>
      <c r="P3864">
        <v>0</v>
      </c>
      <c r="Q3864">
        <v>0</v>
      </c>
      <c r="R3864" t="s">
        <v>112</v>
      </c>
      <c r="S3864" t="str">
        <f>"14:54:48.266"</f>
        <v>14:54:48.266</v>
      </c>
      <c r="T3864" t="str">
        <f>"14:54:47.766"</f>
        <v>14:54:47.766</v>
      </c>
      <c r="U3864" t="str">
        <f t="shared" si="180"/>
        <v>ad5732</v>
      </c>
      <c r="V3864">
        <v>0</v>
      </c>
      <c r="W3864">
        <v>0</v>
      </c>
      <c r="X3864">
        <v>1</v>
      </c>
      <c r="Z3864">
        <v>0</v>
      </c>
      <c r="AA3864">
        <v>9</v>
      </c>
      <c r="AB3864">
        <v>3</v>
      </c>
      <c r="AC3864">
        <v>0</v>
      </c>
      <c r="AD3864">
        <v>10</v>
      </c>
      <c r="AE3864">
        <v>0</v>
      </c>
      <c r="AF3864">
        <v>3</v>
      </c>
      <c r="AG3864">
        <v>2</v>
      </c>
      <c r="AH3864">
        <v>0</v>
      </c>
      <c r="AI3864" t="s">
        <v>7776</v>
      </c>
      <c r="AJ3864">
        <v>40.509982000000001</v>
      </c>
      <c r="AK3864" t="s">
        <v>7777</v>
      </c>
      <c r="AL3864">
        <v>-74.358344000000002</v>
      </c>
      <c r="AM3864">
        <v>100</v>
      </c>
      <c r="AN3864">
        <v>1000</v>
      </c>
      <c r="AO3864" t="s">
        <v>115</v>
      </c>
      <c r="AP3864">
        <v>50</v>
      </c>
      <c r="AQ3864">
        <v>109</v>
      </c>
      <c r="AR3864">
        <v>192</v>
      </c>
      <c r="AZ3864">
        <v>3614</v>
      </c>
      <c r="BA3864">
        <v>1</v>
      </c>
      <c r="BB3864" t="str">
        <f t="shared" si="182"/>
        <v xml:space="preserve">N959MJ  </v>
      </c>
      <c r="BC3864">
        <v>1</v>
      </c>
      <c r="BE3864">
        <v>0</v>
      </c>
      <c r="BF3864">
        <v>0</v>
      </c>
      <c r="BG3864">
        <v>0</v>
      </c>
      <c r="BH3864">
        <v>1275</v>
      </c>
      <c r="BI3864">
        <v>275</v>
      </c>
      <c r="BJ3864">
        <v>1</v>
      </c>
      <c r="BK3864">
        <v>1</v>
      </c>
      <c r="BL3864">
        <v>1</v>
      </c>
      <c r="BM3864">
        <v>0</v>
      </c>
      <c r="BP3864">
        <v>0</v>
      </c>
      <c r="BQ3864">
        <v>0</v>
      </c>
      <c r="BX3864" t="str">
        <f>"14:54:48.266"</f>
        <v>14:54:48.266</v>
      </c>
      <c r="BY3864" t="str">
        <f>"267516128"</f>
        <v>267516128</v>
      </c>
      <c r="CL3864">
        <v>3</v>
      </c>
      <c r="CM3864">
        <v>2</v>
      </c>
      <c r="CN3864">
        <v>0</v>
      </c>
      <c r="CO3864">
        <v>2</v>
      </c>
      <c r="CP3864">
        <v>0</v>
      </c>
      <c r="CQ3864">
        <v>5</v>
      </c>
      <c r="CR3864" t="s">
        <v>116</v>
      </c>
      <c r="CS3864">
        <v>83</v>
      </c>
      <c r="CT3864">
        <v>1</v>
      </c>
      <c r="CU3864" t="s">
        <v>7152</v>
      </c>
      <c r="CV3864" t="s">
        <v>7153</v>
      </c>
      <c r="CY3864">
        <v>2064576</v>
      </c>
      <c r="CZ3864" t="s">
        <v>119</v>
      </c>
    </row>
    <row r="3865" spans="1:104" x14ac:dyDescent="0.25">
      <c r="A3865" t="str">
        <f>"14:54:49.469"</f>
        <v>14:54:49.469</v>
      </c>
      <c r="B3865" t="s">
        <v>108</v>
      </c>
      <c r="C3865" t="str">
        <f t="shared" si="181"/>
        <v>ffdfd3c0</v>
      </c>
      <c r="D3865" t="s">
        <v>109</v>
      </c>
      <c r="E3865">
        <v>4</v>
      </c>
      <c r="F3865">
        <v>1004</v>
      </c>
      <c r="G3865" t="s">
        <v>110</v>
      </c>
      <c r="J3865" t="s">
        <v>111</v>
      </c>
      <c r="K3865">
        <v>0</v>
      </c>
      <c r="L3865">
        <v>3</v>
      </c>
      <c r="M3865">
        <v>0</v>
      </c>
      <c r="N3865">
        <v>2</v>
      </c>
      <c r="O3865">
        <v>1</v>
      </c>
      <c r="P3865">
        <v>0</v>
      </c>
      <c r="Q3865">
        <v>0</v>
      </c>
      <c r="R3865" t="s">
        <v>112</v>
      </c>
      <c r="S3865" t="str">
        <f>"14:54:49.313"</f>
        <v>14:54:49.313</v>
      </c>
      <c r="T3865" t="str">
        <f>"14:54:48.813"</f>
        <v>14:54:48.813</v>
      </c>
      <c r="U3865" t="str">
        <f t="shared" si="180"/>
        <v>ad5732</v>
      </c>
      <c r="V3865">
        <v>0</v>
      </c>
      <c r="W3865">
        <v>0</v>
      </c>
      <c r="X3865">
        <v>1</v>
      </c>
      <c r="Z3865">
        <v>0</v>
      </c>
      <c r="AA3865">
        <v>9</v>
      </c>
      <c r="AB3865">
        <v>3</v>
      </c>
      <c r="AC3865">
        <v>0</v>
      </c>
      <c r="AD3865">
        <v>10</v>
      </c>
      <c r="AE3865">
        <v>0</v>
      </c>
      <c r="AF3865">
        <v>3</v>
      </c>
      <c r="AG3865">
        <v>2</v>
      </c>
      <c r="AH3865">
        <v>0</v>
      </c>
      <c r="AI3865" t="s">
        <v>7778</v>
      </c>
      <c r="AJ3865">
        <v>40.510454000000003</v>
      </c>
      <c r="AK3865" t="s">
        <v>7779</v>
      </c>
      <c r="AL3865">
        <v>-74.358022000000005</v>
      </c>
      <c r="AM3865">
        <v>100</v>
      </c>
      <c r="AN3865">
        <v>1000</v>
      </c>
      <c r="AO3865" t="s">
        <v>115</v>
      </c>
      <c r="AP3865">
        <v>49</v>
      </c>
      <c r="AQ3865">
        <v>108</v>
      </c>
      <c r="AR3865">
        <v>64</v>
      </c>
      <c r="AZ3865">
        <v>3614</v>
      </c>
      <c r="BA3865">
        <v>1</v>
      </c>
      <c r="BB3865" t="str">
        <f t="shared" si="182"/>
        <v xml:space="preserve">N959MJ  </v>
      </c>
      <c r="BC3865">
        <v>1</v>
      </c>
      <c r="BE3865">
        <v>0</v>
      </c>
      <c r="BF3865">
        <v>0</v>
      </c>
      <c r="BG3865">
        <v>0</v>
      </c>
      <c r="BH3865">
        <v>1275</v>
      </c>
      <c r="BI3865">
        <v>275</v>
      </c>
      <c r="BJ3865">
        <v>1</v>
      </c>
      <c r="BK3865">
        <v>1</v>
      </c>
      <c r="BL3865">
        <v>1</v>
      </c>
      <c r="BM3865">
        <v>0</v>
      </c>
      <c r="BP3865">
        <v>0</v>
      </c>
      <c r="BQ3865">
        <v>0</v>
      </c>
      <c r="BX3865" t="str">
        <f>"14:54:49.320"</f>
        <v>14:54:49.320</v>
      </c>
      <c r="BY3865" t="str">
        <f>"317615380"</f>
        <v>317615380</v>
      </c>
      <c r="CL3865">
        <v>3</v>
      </c>
      <c r="CM3865">
        <v>2</v>
      </c>
      <c r="CN3865">
        <v>0</v>
      </c>
      <c r="CO3865">
        <v>2</v>
      </c>
      <c r="CP3865">
        <v>0</v>
      </c>
      <c r="CQ3865">
        <v>6</v>
      </c>
      <c r="CR3865" t="s">
        <v>116</v>
      </c>
      <c r="CS3865">
        <v>305</v>
      </c>
      <c r="CT3865">
        <v>3</v>
      </c>
      <c r="CU3865" t="s">
        <v>6425</v>
      </c>
      <c r="CV3865" t="s">
        <v>6426</v>
      </c>
      <c r="CY3865">
        <v>6551694</v>
      </c>
      <c r="CZ3865" t="s">
        <v>119</v>
      </c>
    </row>
    <row r="3866" spans="1:104" x14ac:dyDescent="0.25">
      <c r="A3866" t="str">
        <f>"14:54:50.477"</f>
        <v>14:54:50.477</v>
      </c>
      <c r="B3866" t="s">
        <v>108</v>
      </c>
      <c r="C3866" t="str">
        <f t="shared" si="181"/>
        <v>ffdfd3c0</v>
      </c>
      <c r="D3866" t="s">
        <v>109</v>
      </c>
      <c r="E3866">
        <v>4</v>
      </c>
      <c r="F3866">
        <v>1004</v>
      </c>
      <c r="G3866" t="s">
        <v>110</v>
      </c>
      <c r="J3866" t="s">
        <v>111</v>
      </c>
      <c r="K3866">
        <v>0</v>
      </c>
      <c r="L3866">
        <v>3</v>
      </c>
      <c r="M3866">
        <v>0</v>
      </c>
      <c r="N3866">
        <v>2</v>
      </c>
      <c r="O3866">
        <v>1</v>
      </c>
      <c r="P3866">
        <v>0</v>
      </c>
      <c r="Q3866">
        <v>0</v>
      </c>
      <c r="R3866" t="s">
        <v>112</v>
      </c>
      <c r="S3866" t="str">
        <f>"14:54:50.297"</f>
        <v>14:54:50.297</v>
      </c>
      <c r="T3866" t="str">
        <f>"14:54:49.898"</f>
        <v>14:54:49.898</v>
      </c>
      <c r="U3866" t="str">
        <f t="shared" si="180"/>
        <v>ad5732</v>
      </c>
      <c r="V3866">
        <v>0</v>
      </c>
      <c r="W3866">
        <v>0</v>
      </c>
      <c r="X3866">
        <v>1</v>
      </c>
      <c r="Z3866">
        <v>0</v>
      </c>
      <c r="AA3866">
        <v>9</v>
      </c>
      <c r="AB3866">
        <v>3</v>
      </c>
      <c r="AC3866">
        <v>0</v>
      </c>
      <c r="AD3866">
        <v>10</v>
      </c>
      <c r="AE3866">
        <v>0</v>
      </c>
      <c r="AF3866">
        <v>3</v>
      </c>
      <c r="AG3866">
        <v>2</v>
      </c>
      <c r="AH3866">
        <v>0</v>
      </c>
      <c r="AI3866" t="s">
        <v>7780</v>
      </c>
      <c r="AJ3866">
        <v>40.510969000000003</v>
      </c>
      <c r="AK3866" t="s">
        <v>7781</v>
      </c>
      <c r="AL3866">
        <v>-74.357721999999995</v>
      </c>
      <c r="AM3866">
        <v>100</v>
      </c>
      <c r="AN3866">
        <v>1000</v>
      </c>
      <c r="AO3866" t="s">
        <v>115</v>
      </c>
      <c r="AP3866">
        <v>49</v>
      </c>
      <c r="AQ3866">
        <v>107</v>
      </c>
      <c r="AR3866">
        <v>64</v>
      </c>
      <c r="AZ3866">
        <v>3614</v>
      </c>
      <c r="BA3866">
        <v>1</v>
      </c>
      <c r="BB3866" t="str">
        <f t="shared" si="182"/>
        <v xml:space="preserve">N959MJ  </v>
      </c>
      <c r="BC3866">
        <v>1</v>
      </c>
      <c r="BE3866">
        <v>0</v>
      </c>
      <c r="BF3866">
        <v>0</v>
      </c>
      <c r="BG3866">
        <v>0</v>
      </c>
      <c r="BH3866">
        <v>1275</v>
      </c>
      <c r="BI3866">
        <v>275</v>
      </c>
      <c r="BJ3866">
        <v>1</v>
      </c>
      <c r="BK3866">
        <v>1</v>
      </c>
      <c r="BL3866">
        <v>1</v>
      </c>
      <c r="BM3866">
        <v>0</v>
      </c>
      <c r="BP3866">
        <v>0</v>
      </c>
      <c r="BQ3866">
        <v>0</v>
      </c>
      <c r="BX3866" t="str">
        <f>"14:54:50.297"</f>
        <v>14:54:50.297</v>
      </c>
      <c r="BY3866" t="str">
        <f>"299093687"</f>
        <v>299093687</v>
      </c>
      <c r="CL3866">
        <v>3</v>
      </c>
      <c r="CM3866">
        <v>2</v>
      </c>
      <c r="CN3866">
        <v>0</v>
      </c>
      <c r="CO3866">
        <v>2</v>
      </c>
      <c r="CP3866">
        <v>0</v>
      </c>
      <c r="CQ3866">
        <v>3</v>
      </c>
      <c r="CR3866" t="s">
        <v>116</v>
      </c>
      <c r="CS3866">
        <v>38</v>
      </c>
      <c r="CT3866">
        <v>0</v>
      </c>
      <c r="CU3866" t="s">
        <v>4719</v>
      </c>
      <c r="CV3866" t="s">
        <v>4720</v>
      </c>
      <c r="CY3866">
        <v>8540287</v>
      </c>
      <c r="CZ3866" t="s">
        <v>119</v>
      </c>
    </row>
    <row r="3867" spans="1:104" x14ac:dyDescent="0.25">
      <c r="A3867" t="str">
        <f>"14:54:51.641"</f>
        <v>14:54:51.641</v>
      </c>
      <c r="B3867" t="s">
        <v>108</v>
      </c>
      <c r="C3867" t="str">
        <f t="shared" si="181"/>
        <v>ffdfd3c0</v>
      </c>
      <c r="D3867" t="s">
        <v>109</v>
      </c>
      <c r="E3867">
        <v>4</v>
      </c>
      <c r="F3867">
        <v>1004</v>
      </c>
      <c r="G3867" t="s">
        <v>110</v>
      </c>
      <c r="J3867" t="s">
        <v>111</v>
      </c>
      <c r="K3867">
        <v>0</v>
      </c>
      <c r="L3867">
        <v>3</v>
      </c>
      <c r="M3867">
        <v>0</v>
      </c>
      <c r="N3867">
        <v>2</v>
      </c>
      <c r="O3867">
        <v>1</v>
      </c>
      <c r="P3867">
        <v>0</v>
      </c>
      <c r="Q3867">
        <v>0</v>
      </c>
      <c r="R3867" t="s">
        <v>112</v>
      </c>
      <c r="S3867" t="str">
        <f>"14:54:51.430"</f>
        <v>14:54:51.430</v>
      </c>
      <c r="T3867" t="str">
        <f>"14:54:50.930"</f>
        <v>14:54:50.930</v>
      </c>
      <c r="U3867" t="str">
        <f t="shared" si="180"/>
        <v>ad5732</v>
      </c>
      <c r="V3867">
        <v>0</v>
      </c>
      <c r="W3867">
        <v>0</v>
      </c>
      <c r="X3867">
        <v>1</v>
      </c>
      <c r="Z3867">
        <v>0</v>
      </c>
      <c r="AA3867">
        <v>9</v>
      </c>
      <c r="AB3867">
        <v>3</v>
      </c>
      <c r="AC3867">
        <v>0</v>
      </c>
      <c r="AD3867">
        <v>10</v>
      </c>
      <c r="AE3867">
        <v>0</v>
      </c>
      <c r="AF3867">
        <v>3</v>
      </c>
      <c r="AG3867">
        <v>2</v>
      </c>
      <c r="AH3867">
        <v>0</v>
      </c>
      <c r="AI3867" t="s">
        <v>7782</v>
      </c>
      <c r="AJ3867">
        <v>40.511569999999999</v>
      </c>
      <c r="AK3867" t="s">
        <v>7783</v>
      </c>
      <c r="AL3867">
        <v>-74.357336000000004</v>
      </c>
      <c r="AM3867">
        <v>100</v>
      </c>
      <c r="AN3867">
        <v>1000</v>
      </c>
      <c r="AO3867" t="s">
        <v>115</v>
      </c>
      <c r="AP3867">
        <v>50</v>
      </c>
      <c r="AQ3867">
        <v>106</v>
      </c>
      <c r="AR3867">
        <v>-64</v>
      </c>
      <c r="AZ3867">
        <v>3614</v>
      </c>
      <c r="BA3867">
        <v>1</v>
      </c>
      <c r="BB3867" t="str">
        <f t="shared" si="182"/>
        <v xml:space="preserve">N959MJ  </v>
      </c>
      <c r="BC3867">
        <v>1</v>
      </c>
      <c r="BE3867">
        <v>0</v>
      </c>
      <c r="BF3867">
        <v>0</v>
      </c>
      <c r="BG3867">
        <v>0</v>
      </c>
      <c r="BH3867">
        <v>1275</v>
      </c>
      <c r="BI3867">
        <v>275</v>
      </c>
      <c r="BJ3867">
        <v>1</v>
      </c>
      <c r="BK3867">
        <v>1</v>
      </c>
      <c r="BL3867">
        <v>1</v>
      </c>
      <c r="BM3867">
        <v>0</v>
      </c>
      <c r="BP3867">
        <v>0</v>
      </c>
      <c r="BQ3867">
        <v>0</v>
      </c>
      <c r="BX3867" t="str">
        <f>"14:54:51.438"</f>
        <v>14:54:51.438</v>
      </c>
      <c r="BY3867" t="str">
        <f>"434588457"</f>
        <v>434588457</v>
      </c>
      <c r="CL3867">
        <v>3</v>
      </c>
      <c r="CM3867">
        <v>2</v>
      </c>
      <c r="CN3867">
        <v>0</v>
      </c>
      <c r="CO3867">
        <v>2</v>
      </c>
      <c r="CP3867">
        <v>0</v>
      </c>
      <c r="CQ3867">
        <v>5</v>
      </c>
      <c r="CR3867" t="s">
        <v>116</v>
      </c>
      <c r="CS3867">
        <v>409</v>
      </c>
      <c r="CT3867">
        <v>1</v>
      </c>
      <c r="CU3867" t="s">
        <v>5087</v>
      </c>
      <c r="CV3867" t="s">
        <v>5088</v>
      </c>
      <c r="CY3867">
        <v>5087727</v>
      </c>
      <c r="CZ3867" t="s">
        <v>119</v>
      </c>
    </row>
    <row r="3868" spans="1:104" x14ac:dyDescent="0.25">
      <c r="A3868" t="str">
        <f>"14:54:52.703"</f>
        <v>14:54:52.703</v>
      </c>
      <c r="B3868" t="s">
        <v>108</v>
      </c>
      <c r="C3868" t="str">
        <f t="shared" si="181"/>
        <v>ffdfd3c0</v>
      </c>
      <c r="D3868" t="s">
        <v>109</v>
      </c>
      <c r="E3868">
        <v>4</v>
      </c>
      <c r="F3868">
        <v>1004</v>
      </c>
      <c r="G3868" t="s">
        <v>110</v>
      </c>
      <c r="J3868" t="s">
        <v>111</v>
      </c>
      <c r="K3868">
        <v>0</v>
      </c>
      <c r="L3868">
        <v>3</v>
      </c>
      <c r="M3868">
        <v>0</v>
      </c>
      <c r="N3868">
        <v>2</v>
      </c>
      <c r="O3868">
        <v>1</v>
      </c>
      <c r="P3868">
        <v>0</v>
      </c>
      <c r="Q3868">
        <v>0</v>
      </c>
      <c r="R3868" t="s">
        <v>112</v>
      </c>
      <c r="S3868" t="str">
        <f>"14:54:52.523"</f>
        <v>14:54:52.523</v>
      </c>
      <c r="T3868" t="str">
        <f>"14:54:52.023"</f>
        <v>14:54:52.023</v>
      </c>
      <c r="U3868" t="str">
        <f t="shared" si="180"/>
        <v>ad5732</v>
      </c>
      <c r="V3868">
        <v>0</v>
      </c>
      <c r="W3868">
        <v>0</v>
      </c>
      <c r="X3868">
        <v>1</v>
      </c>
      <c r="Z3868">
        <v>0</v>
      </c>
      <c r="AA3868">
        <v>9</v>
      </c>
      <c r="AB3868">
        <v>3</v>
      </c>
      <c r="AC3868">
        <v>0</v>
      </c>
      <c r="AD3868">
        <v>10</v>
      </c>
      <c r="AE3868">
        <v>0</v>
      </c>
      <c r="AF3868">
        <v>3</v>
      </c>
      <c r="AG3868">
        <v>2</v>
      </c>
      <c r="AH3868">
        <v>0</v>
      </c>
      <c r="AI3868" t="s">
        <v>7784</v>
      </c>
      <c r="AJ3868">
        <v>40.512042000000001</v>
      </c>
      <c r="AK3868" t="s">
        <v>7785</v>
      </c>
      <c r="AL3868">
        <v>-74.357100000000003</v>
      </c>
      <c r="AM3868">
        <v>100</v>
      </c>
      <c r="AN3868">
        <v>1000</v>
      </c>
      <c r="AO3868" t="s">
        <v>115</v>
      </c>
      <c r="AP3868">
        <v>50</v>
      </c>
      <c r="AQ3868">
        <v>106</v>
      </c>
      <c r="AR3868">
        <v>-128</v>
      </c>
      <c r="AZ3868">
        <v>3614</v>
      </c>
      <c r="BA3868">
        <v>1</v>
      </c>
      <c r="BB3868" t="str">
        <f t="shared" si="182"/>
        <v xml:space="preserve">N959MJ  </v>
      </c>
      <c r="BC3868">
        <v>1</v>
      </c>
      <c r="BE3868">
        <v>0</v>
      </c>
      <c r="BF3868">
        <v>0</v>
      </c>
      <c r="BG3868">
        <v>0</v>
      </c>
      <c r="BH3868">
        <v>1275</v>
      </c>
      <c r="BI3868">
        <v>275</v>
      </c>
      <c r="BJ3868">
        <v>1</v>
      </c>
      <c r="BK3868">
        <v>1</v>
      </c>
      <c r="BL3868">
        <v>1</v>
      </c>
      <c r="BM3868">
        <v>0</v>
      </c>
      <c r="BP3868">
        <v>0</v>
      </c>
      <c r="BQ3868">
        <v>0</v>
      </c>
      <c r="BX3868" t="str">
        <f>"14:54:52.523"</f>
        <v>14:54:52.523</v>
      </c>
      <c r="BY3868" t="str">
        <f>"524020504"</f>
        <v>524020504</v>
      </c>
      <c r="CL3868">
        <v>3</v>
      </c>
      <c r="CM3868">
        <v>2</v>
      </c>
      <c r="CN3868">
        <v>0</v>
      </c>
      <c r="CO3868">
        <v>2</v>
      </c>
      <c r="CP3868">
        <v>0</v>
      </c>
      <c r="CQ3868">
        <v>6</v>
      </c>
      <c r="CR3868" t="s">
        <v>116</v>
      </c>
      <c r="CS3868">
        <v>305</v>
      </c>
      <c r="CT3868">
        <v>3</v>
      </c>
      <c r="CU3868" t="s">
        <v>6425</v>
      </c>
      <c r="CV3868" t="s">
        <v>6426</v>
      </c>
      <c r="CY3868">
        <v>6558053</v>
      </c>
      <c r="CZ3868" t="s">
        <v>119</v>
      </c>
    </row>
    <row r="3869" spans="1:104" x14ac:dyDescent="0.25">
      <c r="A3869" t="str">
        <f>"14:54:53.711"</f>
        <v>14:54:53.711</v>
      </c>
      <c r="B3869" t="s">
        <v>108</v>
      </c>
      <c r="C3869" t="str">
        <f t="shared" si="181"/>
        <v>ffdfd3c0</v>
      </c>
      <c r="D3869" t="s">
        <v>109</v>
      </c>
      <c r="E3869">
        <v>4</v>
      </c>
      <c r="F3869">
        <v>1004</v>
      </c>
      <c r="G3869" t="s">
        <v>110</v>
      </c>
      <c r="J3869" t="s">
        <v>111</v>
      </c>
      <c r="K3869">
        <v>0</v>
      </c>
      <c r="L3869">
        <v>3</v>
      </c>
      <c r="M3869">
        <v>0</v>
      </c>
      <c r="N3869">
        <v>2</v>
      </c>
      <c r="O3869">
        <v>1</v>
      </c>
      <c r="P3869">
        <v>0</v>
      </c>
      <c r="Q3869">
        <v>0</v>
      </c>
      <c r="R3869" t="s">
        <v>112</v>
      </c>
      <c r="S3869" t="str">
        <f>"14:54:53.523"</f>
        <v>14:54:53.523</v>
      </c>
      <c r="T3869" t="str">
        <f>"14:54:53.023"</f>
        <v>14:54:53.023</v>
      </c>
      <c r="U3869" t="str">
        <f t="shared" si="180"/>
        <v>ad5732</v>
      </c>
      <c r="V3869">
        <v>0</v>
      </c>
      <c r="W3869">
        <v>0</v>
      </c>
      <c r="X3869">
        <v>1</v>
      </c>
      <c r="Z3869">
        <v>0</v>
      </c>
      <c r="AA3869">
        <v>9</v>
      </c>
      <c r="AB3869">
        <v>3</v>
      </c>
      <c r="AC3869">
        <v>0</v>
      </c>
      <c r="AD3869">
        <v>10</v>
      </c>
      <c r="AE3869">
        <v>0</v>
      </c>
      <c r="AF3869">
        <v>3</v>
      </c>
      <c r="AG3869">
        <v>2</v>
      </c>
      <c r="AH3869">
        <v>0</v>
      </c>
      <c r="AI3869" t="s">
        <v>7786</v>
      </c>
      <c r="AJ3869">
        <v>40.512557000000001</v>
      </c>
      <c r="AK3869" t="s">
        <v>7787</v>
      </c>
      <c r="AL3869">
        <v>-74.356778000000006</v>
      </c>
      <c r="AM3869">
        <v>100</v>
      </c>
      <c r="AN3869">
        <v>1000</v>
      </c>
      <c r="AO3869" t="s">
        <v>115</v>
      </c>
      <c r="AP3869">
        <v>50</v>
      </c>
      <c r="AQ3869">
        <v>105</v>
      </c>
      <c r="AR3869">
        <v>0</v>
      </c>
      <c r="AZ3869">
        <v>3614</v>
      </c>
      <c r="BA3869">
        <v>1</v>
      </c>
      <c r="BB3869" t="str">
        <f t="shared" si="182"/>
        <v xml:space="preserve">N959MJ  </v>
      </c>
      <c r="BC3869">
        <v>1</v>
      </c>
      <c r="BE3869">
        <v>0</v>
      </c>
      <c r="BF3869">
        <v>0</v>
      </c>
      <c r="BG3869">
        <v>0</v>
      </c>
      <c r="BH3869">
        <v>1275</v>
      </c>
      <c r="BI3869">
        <v>275</v>
      </c>
      <c r="BJ3869">
        <v>1</v>
      </c>
      <c r="BK3869">
        <v>1</v>
      </c>
      <c r="BL3869">
        <v>1</v>
      </c>
      <c r="BM3869">
        <v>0</v>
      </c>
      <c r="BP3869">
        <v>0</v>
      </c>
      <c r="BQ3869">
        <v>0</v>
      </c>
      <c r="BX3869" t="str">
        <f>"14:54:53.531"</f>
        <v>14:54:53.531</v>
      </c>
      <c r="BY3869" t="str">
        <f>"530015781"</f>
        <v>530015781</v>
      </c>
      <c r="CL3869">
        <v>3</v>
      </c>
      <c r="CM3869">
        <v>2</v>
      </c>
      <c r="CN3869">
        <v>0</v>
      </c>
      <c r="CO3869">
        <v>2</v>
      </c>
      <c r="CP3869">
        <v>0</v>
      </c>
      <c r="CQ3869">
        <v>5</v>
      </c>
      <c r="CR3869" t="s">
        <v>116</v>
      </c>
      <c r="CS3869">
        <v>305</v>
      </c>
      <c r="CT3869">
        <v>3</v>
      </c>
      <c r="CU3869" t="s">
        <v>6425</v>
      </c>
      <c r="CV3869" t="s">
        <v>6426</v>
      </c>
      <c r="CY3869">
        <v>6560237</v>
      </c>
      <c r="CZ3869" t="s">
        <v>119</v>
      </c>
    </row>
    <row r="3870" spans="1:104" x14ac:dyDescent="0.25">
      <c r="A3870" t="str">
        <f>"14:54:54.719"</f>
        <v>14:54:54.719</v>
      </c>
      <c r="B3870" t="s">
        <v>108</v>
      </c>
      <c r="C3870" t="str">
        <f t="shared" si="181"/>
        <v>ffdfd3c0</v>
      </c>
      <c r="D3870" t="s">
        <v>109</v>
      </c>
      <c r="E3870">
        <v>4</v>
      </c>
      <c r="F3870">
        <v>1004</v>
      </c>
      <c r="G3870" t="s">
        <v>110</v>
      </c>
      <c r="J3870" t="s">
        <v>111</v>
      </c>
      <c r="K3870">
        <v>0</v>
      </c>
      <c r="L3870">
        <v>3</v>
      </c>
      <c r="M3870">
        <v>0</v>
      </c>
      <c r="N3870">
        <v>2</v>
      </c>
      <c r="O3870">
        <v>1</v>
      </c>
      <c r="P3870">
        <v>0</v>
      </c>
      <c r="Q3870">
        <v>0</v>
      </c>
      <c r="R3870" t="s">
        <v>112</v>
      </c>
      <c r="S3870" t="str">
        <f>"14:54:54.555"</f>
        <v>14:54:54.555</v>
      </c>
      <c r="T3870" t="str">
        <f>"14:54:54.055"</f>
        <v>14:54:54.055</v>
      </c>
      <c r="U3870" t="str">
        <f t="shared" si="180"/>
        <v>ad5732</v>
      </c>
      <c r="V3870">
        <v>0</v>
      </c>
      <c r="W3870">
        <v>0</v>
      </c>
      <c r="X3870">
        <v>1</v>
      </c>
      <c r="Z3870">
        <v>0</v>
      </c>
      <c r="AA3870">
        <v>9</v>
      </c>
      <c r="AB3870">
        <v>3</v>
      </c>
      <c r="AC3870">
        <v>0</v>
      </c>
      <c r="AD3870">
        <v>10</v>
      </c>
      <c r="AE3870">
        <v>0</v>
      </c>
      <c r="AF3870">
        <v>3</v>
      </c>
      <c r="AG3870">
        <v>2</v>
      </c>
      <c r="AH3870">
        <v>0</v>
      </c>
      <c r="AI3870" t="s">
        <v>7788</v>
      </c>
      <c r="AJ3870">
        <v>40.513050999999997</v>
      </c>
      <c r="AK3870" t="s">
        <v>7789</v>
      </c>
      <c r="AL3870">
        <v>-74.356455999999994</v>
      </c>
      <c r="AM3870">
        <v>100</v>
      </c>
      <c r="AN3870">
        <v>1000</v>
      </c>
      <c r="AO3870" t="s">
        <v>115</v>
      </c>
      <c r="AP3870">
        <v>50</v>
      </c>
      <c r="AQ3870">
        <v>104</v>
      </c>
      <c r="AR3870">
        <v>64</v>
      </c>
      <c r="AZ3870">
        <v>3614</v>
      </c>
      <c r="BA3870">
        <v>1</v>
      </c>
      <c r="BB3870" t="str">
        <f t="shared" si="182"/>
        <v xml:space="preserve">N959MJ  </v>
      </c>
      <c r="BC3870">
        <v>1</v>
      </c>
      <c r="BE3870">
        <v>0</v>
      </c>
      <c r="BF3870">
        <v>0</v>
      </c>
      <c r="BG3870">
        <v>0</v>
      </c>
      <c r="BH3870">
        <v>1275</v>
      </c>
      <c r="BI3870">
        <v>275</v>
      </c>
      <c r="BJ3870">
        <v>1</v>
      </c>
      <c r="BK3870">
        <v>1</v>
      </c>
      <c r="BL3870">
        <v>1</v>
      </c>
      <c r="BM3870">
        <v>0</v>
      </c>
      <c r="BP3870">
        <v>0</v>
      </c>
      <c r="BQ3870">
        <v>0</v>
      </c>
      <c r="BX3870" t="str">
        <f>"14:54:54.555"</f>
        <v>14:54:54.555</v>
      </c>
      <c r="BY3870" t="str">
        <f>"555672225"</f>
        <v>555672225</v>
      </c>
      <c r="CL3870">
        <v>3</v>
      </c>
      <c r="CM3870">
        <v>2</v>
      </c>
      <c r="CN3870">
        <v>0</v>
      </c>
      <c r="CO3870">
        <v>2</v>
      </c>
      <c r="CP3870">
        <v>0</v>
      </c>
      <c r="CQ3870">
        <v>6</v>
      </c>
      <c r="CR3870" t="s">
        <v>116</v>
      </c>
      <c r="CS3870">
        <v>305</v>
      </c>
      <c r="CT3870">
        <v>3</v>
      </c>
      <c r="CU3870" t="s">
        <v>6425</v>
      </c>
      <c r="CV3870" t="s">
        <v>6426</v>
      </c>
      <c r="CY3870">
        <v>6562349</v>
      </c>
      <c r="CZ3870" t="s">
        <v>119</v>
      </c>
    </row>
    <row r="3871" spans="1:104" x14ac:dyDescent="0.25">
      <c r="A3871" t="str">
        <f>"14:54:55.531"</f>
        <v>14:54:55.531</v>
      </c>
      <c r="B3871" t="s">
        <v>108</v>
      </c>
      <c r="C3871" t="str">
        <f t="shared" si="181"/>
        <v>ffdfd3c0</v>
      </c>
      <c r="D3871" t="s">
        <v>109</v>
      </c>
      <c r="E3871">
        <v>4</v>
      </c>
      <c r="F3871">
        <v>1004</v>
      </c>
      <c r="G3871" t="s">
        <v>110</v>
      </c>
      <c r="J3871" t="s">
        <v>111</v>
      </c>
      <c r="K3871">
        <v>0</v>
      </c>
      <c r="L3871">
        <v>3</v>
      </c>
      <c r="M3871">
        <v>0</v>
      </c>
      <c r="N3871">
        <v>2</v>
      </c>
      <c r="O3871">
        <v>1</v>
      </c>
      <c r="P3871">
        <v>0</v>
      </c>
      <c r="Q3871">
        <v>0</v>
      </c>
      <c r="R3871" t="s">
        <v>112</v>
      </c>
      <c r="S3871" t="str">
        <f>"14:54:55.359"</f>
        <v>14:54:55.359</v>
      </c>
      <c r="T3871" t="str">
        <f>"14:54:54.961"</f>
        <v>14:54:54.961</v>
      </c>
      <c r="U3871" t="str">
        <f t="shared" si="180"/>
        <v>ad5732</v>
      </c>
      <c r="V3871">
        <v>0</v>
      </c>
      <c r="W3871">
        <v>0</v>
      </c>
      <c r="X3871">
        <v>1</v>
      </c>
      <c r="Z3871">
        <v>0</v>
      </c>
      <c r="AA3871">
        <v>9</v>
      </c>
      <c r="AB3871">
        <v>3</v>
      </c>
      <c r="AC3871">
        <v>0</v>
      </c>
      <c r="AD3871">
        <v>10</v>
      </c>
      <c r="AE3871">
        <v>0</v>
      </c>
      <c r="AF3871">
        <v>3</v>
      </c>
      <c r="AG3871">
        <v>2</v>
      </c>
      <c r="AH3871">
        <v>0</v>
      </c>
      <c r="AI3871" t="s">
        <v>7790</v>
      </c>
      <c r="AJ3871">
        <v>40.513458</v>
      </c>
      <c r="AK3871" t="s">
        <v>7791</v>
      </c>
      <c r="AL3871">
        <v>-74.356198000000006</v>
      </c>
      <c r="AM3871">
        <v>100</v>
      </c>
      <c r="AN3871">
        <v>1000</v>
      </c>
      <c r="AO3871" t="s">
        <v>115</v>
      </c>
      <c r="AP3871">
        <v>50</v>
      </c>
      <c r="AQ3871">
        <v>103</v>
      </c>
      <c r="AR3871">
        <v>128</v>
      </c>
      <c r="AZ3871">
        <v>3614</v>
      </c>
      <c r="BA3871">
        <v>1</v>
      </c>
      <c r="BB3871" t="str">
        <f t="shared" si="182"/>
        <v xml:space="preserve">N959MJ  </v>
      </c>
      <c r="BC3871">
        <v>1</v>
      </c>
      <c r="BE3871">
        <v>0</v>
      </c>
      <c r="BF3871">
        <v>0</v>
      </c>
      <c r="BG3871">
        <v>0</v>
      </c>
      <c r="BH3871">
        <v>1275</v>
      </c>
      <c r="BI3871">
        <v>275</v>
      </c>
      <c r="BJ3871">
        <v>1</v>
      </c>
      <c r="BK3871">
        <v>1</v>
      </c>
      <c r="BL3871">
        <v>1</v>
      </c>
      <c r="BM3871">
        <v>0</v>
      </c>
      <c r="BP3871">
        <v>0</v>
      </c>
      <c r="BQ3871">
        <v>0</v>
      </c>
      <c r="BX3871" t="str">
        <f>"14:54:55.367"</f>
        <v>14:54:55.367</v>
      </c>
      <c r="BY3871" t="str">
        <f>"366694469"</f>
        <v>366694469</v>
      </c>
      <c r="CL3871">
        <v>3</v>
      </c>
      <c r="CM3871">
        <v>2</v>
      </c>
      <c r="CN3871">
        <v>0</v>
      </c>
      <c r="CO3871">
        <v>2</v>
      </c>
      <c r="CP3871">
        <v>0</v>
      </c>
      <c r="CQ3871">
        <v>6</v>
      </c>
      <c r="CR3871" t="s">
        <v>116</v>
      </c>
      <c r="CS3871">
        <v>305</v>
      </c>
      <c r="CT3871">
        <v>3</v>
      </c>
      <c r="CU3871" t="s">
        <v>6425</v>
      </c>
      <c r="CV3871" t="s">
        <v>6426</v>
      </c>
      <c r="CY3871">
        <v>6564021</v>
      </c>
      <c r="CZ3871" t="s">
        <v>119</v>
      </c>
    </row>
    <row r="3872" spans="1:104" x14ac:dyDescent="0.25">
      <c r="A3872" t="str">
        <f>"14:54:56.492"</f>
        <v>14:54:56.492</v>
      </c>
      <c r="B3872" t="s">
        <v>108</v>
      </c>
      <c r="C3872" t="str">
        <f t="shared" si="181"/>
        <v>ffdfd3c0</v>
      </c>
      <c r="D3872" t="s">
        <v>109</v>
      </c>
      <c r="E3872">
        <v>4</v>
      </c>
      <c r="F3872">
        <v>1004</v>
      </c>
      <c r="G3872" t="s">
        <v>110</v>
      </c>
      <c r="J3872" t="s">
        <v>111</v>
      </c>
      <c r="K3872">
        <v>0</v>
      </c>
      <c r="L3872">
        <v>3</v>
      </c>
      <c r="M3872">
        <v>0</v>
      </c>
      <c r="N3872">
        <v>2</v>
      </c>
      <c r="O3872">
        <v>1</v>
      </c>
      <c r="P3872">
        <v>0</v>
      </c>
      <c r="Q3872">
        <v>0</v>
      </c>
      <c r="R3872" t="s">
        <v>112</v>
      </c>
      <c r="S3872" t="str">
        <f>"14:54:56.328"</f>
        <v>14:54:56.328</v>
      </c>
      <c r="T3872" t="str">
        <f>"14:54:55.930"</f>
        <v>14:54:55.930</v>
      </c>
      <c r="U3872" t="str">
        <f t="shared" si="180"/>
        <v>ad5732</v>
      </c>
      <c r="V3872">
        <v>0</v>
      </c>
      <c r="W3872">
        <v>0</v>
      </c>
      <c r="X3872">
        <v>1</v>
      </c>
      <c r="Z3872">
        <v>0</v>
      </c>
      <c r="AA3872">
        <v>9</v>
      </c>
      <c r="AB3872">
        <v>3</v>
      </c>
      <c r="AC3872">
        <v>0</v>
      </c>
      <c r="AD3872">
        <v>10</v>
      </c>
      <c r="AE3872">
        <v>0</v>
      </c>
      <c r="AF3872">
        <v>3</v>
      </c>
      <c r="AG3872">
        <v>2</v>
      </c>
      <c r="AH3872">
        <v>0</v>
      </c>
      <c r="AI3872" t="s">
        <v>7792</v>
      </c>
      <c r="AJ3872">
        <v>40.513843999999999</v>
      </c>
      <c r="AK3872" t="s">
        <v>7793</v>
      </c>
      <c r="AL3872">
        <v>-74.355897999999996</v>
      </c>
      <c r="AM3872">
        <v>100</v>
      </c>
      <c r="AN3872">
        <v>1000</v>
      </c>
      <c r="AO3872" t="s">
        <v>115</v>
      </c>
      <c r="AP3872">
        <v>50</v>
      </c>
      <c r="AQ3872">
        <v>102</v>
      </c>
      <c r="AR3872">
        <v>192</v>
      </c>
      <c r="AZ3872">
        <v>3614</v>
      </c>
      <c r="BA3872">
        <v>1</v>
      </c>
      <c r="BB3872" t="str">
        <f t="shared" si="182"/>
        <v xml:space="preserve">N959MJ  </v>
      </c>
      <c r="BC3872">
        <v>1</v>
      </c>
      <c r="BE3872">
        <v>0</v>
      </c>
      <c r="BF3872">
        <v>0</v>
      </c>
      <c r="BG3872">
        <v>0</v>
      </c>
      <c r="BH3872">
        <v>1275</v>
      </c>
      <c r="BI3872">
        <v>275</v>
      </c>
      <c r="BJ3872">
        <v>1</v>
      </c>
      <c r="BK3872">
        <v>1</v>
      </c>
      <c r="BL3872">
        <v>1</v>
      </c>
      <c r="BM3872">
        <v>0</v>
      </c>
      <c r="BP3872">
        <v>0</v>
      </c>
      <c r="BQ3872">
        <v>0</v>
      </c>
      <c r="BX3872" t="str">
        <f>"14:54:56.328"</f>
        <v>14:54:56.328</v>
      </c>
      <c r="BY3872" t="str">
        <f>"330090605"</f>
        <v>330090605</v>
      </c>
      <c r="CL3872">
        <v>3</v>
      </c>
      <c r="CM3872">
        <v>2</v>
      </c>
      <c r="CN3872">
        <v>0</v>
      </c>
      <c r="CO3872">
        <v>2</v>
      </c>
      <c r="CP3872">
        <v>0</v>
      </c>
      <c r="CQ3872">
        <v>6</v>
      </c>
      <c r="CR3872" t="s">
        <v>116</v>
      </c>
      <c r="CS3872">
        <v>305</v>
      </c>
      <c r="CT3872">
        <v>3</v>
      </c>
      <c r="CU3872" t="s">
        <v>6425</v>
      </c>
      <c r="CV3872" t="s">
        <v>6426</v>
      </c>
      <c r="CY3872">
        <v>6565978</v>
      </c>
      <c r="CZ3872" t="s">
        <v>119</v>
      </c>
    </row>
    <row r="3873" spans="1:104" x14ac:dyDescent="0.25">
      <c r="A3873" t="str">
        <f>"14:54:57.602"</f>
        <v>14:54:57.602</v>
      </c>
      <c r="B3873" t="s">
        <v>108</v>
      </c>
      <c r="C3873" t="str">
        <f t="shared" si="181"/>
        <v>ffdfd3c0</v>
      </c>
      <c r="D3873" t="s">
        <v>109</v>
      </c>
      <c r="E3873">
        <v>4</v>
      </c>
      <c r="F3873">
        <v>1004</v>
      </c>
      <c r="G3873" t="s">
        <v>110</v>
      </c>
      <c r="J3873" t="s">
        <v>111</v>
      </c>
      <c r="K3873">
        <v>0</v>
      </c>
      <c r="L3873">
        <v>3</v>
      </c>
      <c r="M3873">
        <v>0</v>
      </c>
      <c r="N3873">
        <v>2</v>
      </c>
      <c r="O3873">
        <v>1</v>
      </c>
      <c r="P3873">
        <v>0</v>
      </c>
      <c r="Q3873">
        <v>0</v>
      </c>
      <c r="R3873" t="s">
        <v>112</v>
      </c>
      <c r="S3873" t="str">
        <f>"14:54:57.430"</f>
        <v>14:54:57.430</v>
      </c>
      <c r="T3873" t="str">
        <f>"14:54:56.930"</f>
        <v>14:54:56.930</v>
      </c>
      <c r="U3873" t="str">
        <f t="shared" si="180"/>
        <v>ad5732</v>
      </c>
      <c r="V3873">
        <v>0</v>
      </c>
      <c r="W3873">
        <v>0</v>
      </c>
      <c r="X3873">
        <v>1</v>
      </c>
      <c r="Z3873">
        <v>0</v>
      </c>
      <c r="AA3873">
        <v>9</v>
      </c>
      <c r="AB3873">
        <v>3</v>
      </c>
      <c r="AC3873">
        <v>0</v>
      </c>
      <c r="AD3873">
        <v>10</v>
      </c>
      <c r="AE3873">
        <v>0</v>
      </c>
      <c r="AF3873">
        <v>3</v>
      </c>
      <c r="AG3873">
        <v>2</v>
      </c>
      <c r="AH3873">
        <v>0</v>
      </c>
      <c r="AI3873" t="s">
        <v>7794</v>
      </c>
      <c r="AJ3873">
        <v>40.514467000000003</v>
      </c>
      <c r="AK3873" t="s">
        <v>7795</v>
      </c>
      <c r="AL3873">
        <v>-74.355532999999994</v>
      </c>
      <c r="AM3873">
        <v>100</v>
      </c>
      <c r="AN3873">
        <v>1000</v>
      </c>
      <c r="AO3873" t="s">
        <v>115</v>
      </c>
      <c r="AP3873">
        <v>50</v>
      </c>
      <c r="AQ3873">
        <v>102</v>
      </c>
      <c r="AR3873">
        <v>192</v>
      </c>
      <c r="AZ3873">
        <v>3614</v>
      </c>
      <c r="BA3873">
        <v>1</v>
      </c>
      <c r="BB3873" t="str">
        <f t="shared" si="182"/>
        <v xml:space="preserve">N959MJ  </v>
      </c>
      <c r="BC3873">
        <v>1</v>
      </c>
      <c r="BE3873">
        <v>0</v>
      </c>
      <c r="BF3873">
        <v>0</v>
      </c>
      <c r="BG3873">
        <v>0</v>
      </c>
      <c r="BH3873">
        <v>1275</v>
      </c>
      <c r="BI3873">
        <v>275</v>
      </c>
      <c r="BJ3873">
        <v>1</v>
      </c>
      <c r="BK3873">
        <v>1</v>
      </c>
      <c r="BL3873">
        <v>1</v>
      </c>
      <c r="BM3873">
        <v>0</v>
      </c>
      <c r="BP3873">
        <v>0</v>
      </c>
      <c r="BQ3873">
        <v>0</v>
      </c>
      <c r="BX3873" t="str">
        <f>"14:54:57.430"</f>
        <v>14:54:57.430</v>
      </c>
      <c r="BY3873" t="str">
        <f>"432753248"</f>
        <v>432753248</v>
      </c>
      <c r="CL3873">
        <v>3</v>
      </c>
      <c r="CM3873">
        <v>2</v>
      </c>
      <c r="CN3873">
        <v>0</v>
      </c>
      <c r="CO3873">
        <v>2</v>
      </c>
      <c r="CP3873">
        <v>0</v>
      </c>
      <c r="CQ3873">
        <v>6</v>
      </c>
      <c r="CR3873" t="s">
        <v>116</v>
      </c>
      <c r="CS3873">
        <v>305</v>
      </c>
      <c r="CT3873">
        <v>3</v>
      </c>
      <c r="CU3873" t="s">
        <v>6425</v>
      </c>
      <c r="CV3873" t="s">
        <v>6426</v>
      </c>
      <c r="CY3873">
        <v>6568208</v>
      </c>
      <c r="CZ3873" t="s">
        <v>119</v>
      </c>
    </row>
    <row r="3874" spans="1:104" x14ac:dyDescent="0.25">
      <c r="A3874" t="str">
        <f>"14:54:59.875"</f>
        <v>14:54:59.875</v>
      </c>
      <c r="B3874" t="s">
        <v>108</v>
      </c>
      <c r="C3874" t="str">
        <f t="shared" si="181"/>
        <v>ffdfd3c0</v>
      </c>
      <c r="D3874" t="s">
        <v>109</v>
      </c>
      <c r="E3874">
        <v>4</v>
      </c>
      <c r="F3874">
        <v>1004</v>
      </c>
      <c r="G3874" t="s">
        <v>110</v>
      </c>
      <c r="J3874" t="s">
        <v>111</v>
      </c>
      <c r="K3874">
        <v>0</v>
      </c>
      <c r="L3874">
        <v>3</v>
      </c>
      <c r="M3874">
        <v>0</v>
      </c>
      <c r="N3874">
        <v>2</v>
      </c>
      <c r="O3874">
        <v>1</v>
      </c>
      <c r="P3874">
        <v>0</v>
      </c>
      <c r="Q3874">
        <v>0</v>
      </c>
      <c r="R3874" t="s">
        <v>112</v>
      </c>
      <c r="S3874" t="str">
        <f>"14:54:59.688"</f>
        <v>14:54:59.688</v>
      </c>
      <c r="T3874" t="str">
        <f>"14:54:59.289"</f>
        <v>14:54:59.289</v>
      </c>
      <c r="U3874" t="str">
        <f t="shared" si="180"/>
        <v>ad5732</v>
      </c>
      <c r="V3874">
        <v>0</v>
      </c>
      <c r="W3874">
        <v>0</v>
      </c>
      <c r="X3874">
        <v>1</v>
      </c>
      <c r="Z3874">
        <v>0</v>
      </c>
      <c r="AA3874">
        <v>9</v>
      </c>
      <c r="AB3874">
        <v>3</v>
      </c>
      <c r="AC3874">
        <v>0</v>
      </c>
      <c r="AD3874">
        <v>10</v>
      </c>
      <c r="AE3874">
        <v>0</v>
      </c>
      <c r="AF3874">
        <v>3</v>
      </c>
      <c r="AG3874">
        <v>2</v>
      </c>
      <c r="AH3874">
        <v>0</v>
      </c>
      <c r="AI3874" t="s">
        <v>7796</v>
      </c>
      <c r="AJ3874">
        <v>40.515431999999997</v>
      </c>
      <c r="AK3874" t="s">
        <v>7797</v>
      </c>
      <c r="AL3874">
        <v>-74.354845999999995</v>
      </c>
      <c r="AM3874">
        <v>100</v>
      </c>
      <c r="AN3874">
        <v>1000</v>
      </c>
      <c r="AO3874" t="s">
        <v>115</v>
      </c>
      <c r="AP3874">
        <v>51</v>
      </c>
      <c r="AQ3874">
        <v>100</v>
      </c>
      <c r="AR3874">
        <v>128</v>
      </c>
      <c r="AZ3874">
        <v>3614</v>
      </c>
      <c r="BA3874">
        <v>1</v>
      </c>
      <c r="BB3874" t="str">
        <f t="shared" si="182"/>
        <v xml:space="preserve">N959MJ  </v>
      </c>
      <c r="BC3874">
        <v>1</v>
      </c>
      <c r="BE3874">
        <v>0</v>
      </c>
      <c r="BF3874">
        <v>0</v>
      </c>
      <c r="BG3874">
        <v>0</v>
      </c>
      <c r="BH3874">
        <v>1300</v>
      </c>
      <c r="BI3874">
        <v>300</v>
      </c>
      <c r="BJ3874">
        <v>1</v>
      </c>
      <c r="BK3874">
        <v>1</v>
      </c>
      <c r="BL3874">
        <v>1</v>
      </c>
      <c r="BM3874">
        <v>0</v>
      </c>
      <c r="BP3874">
        <v>0</v>
      </c>
      <c r="BQ3874">
        <v>0</v>
      </c>
      <c r="BX3874" t="str">
        <f>"14:54:59.688"</f>
        <v>14:54:59.688</v>
      </c>
      <c r="BY3874" t="str">
        <f>"690508094"</f>
        <v>690508094</v>
      </c>
      <c r="CL3874">
        <v>3</v>
      </c>
      <c r="CM3874">
        <v>2</v>
      </c>
      <c r="CN3874">
        <v>0</v>
      </c>
      <c r="CO3874">
        <v>2</v>
      </c>
      <c r="CP3874">
        <v>0</v>
      </c>
      <c r="CQ3874">
        <v>5</v>
      </c>
      <c r="CR3874" t="s">
        <v>116</v>
      </c>
      <c r="CS3874">
        <v>305</v>
      </c>
      <c r="CT3874">
        <v>3</v>
      </c>
      <c r="CU3874" t="s">
        <v>6425</v>
      </c>
      <c r="CV3874" t="s">
        <v>6426</v>
      </c>
      <c r="CY3874">
        <v>6572907</v>
      </c>
      <c r="CZ3874" t="s">
        <v>119</v>
      </c>
    </row>
    <row r="3875" spans="1:104" x14ac:dyDescent="0.25">
      <c r="A3875" t="str">
        <f>"14:55:00.836"</f>
        <v>14:55:00.836</v>
      </c>
      <c r="B3875" t="s">
        <v>108</v>
      </c>
      <c r="C3875" t="str">
        <f t="shared" si="181"/>
        <v>ffdfd3c0</v>
      </c>
      <c r="D3875" t="s">
        <v>109</v>
      </c>
      <c r="E3875">
        <v>4</v>
      </c>
      <c r="F3875">
        <v>1004</v>
      </c>
      <c r="G3875" t="s">
        <v>110</v>
      </c>
      <c r="J3875" t="s">
        <v>111</v>
      </c>
      <c r="K3875">
        <v>0</v>
      </c>
      <c r="L3875">
        <v>3</v>
      </c>
      <c r="M3875">
        <v>0</v>
      </c>
      <c r="N3875">
        <v>2</v>
      </c>
      <c r="O3875">
        <v>1</v>
      </c>
      <c r="P3875">
        <v>0</v>
      </c>
      <c r="Q3875">
        <v>0</v>
      </c>
      <c r="R3875" t="s">
        <v>112</v>
      </c>
      <c r="S3875" t="str">
        <f>"14:55:00.617"</f>
        <v>14:55:00.617</v>
      </c>
      <c r="T3875" t="str">
        <f>"14:54:59.719"</f>
        <v>14:54:59.719</v>
      </c>
      <c r="U3875" t="str">
        <f t="shared" si="180"/>
        <v>ad5732</v>
      </c>
      <c r="V3875">
        <v>0</v>
      </c>
      <c r="W3875">
        <v>0</v>
      </c>
      <c r="X3875">
        <v>1</v>
      </c>
      <c r="Z3875">
        <v>0</v>
      </c>
      <c r="AA3875">
        <v>9</v>
      </c>
      <c r="AB3875">
        <v>3</v>
      </c>
      <c r="AC3875">
        <v>0</v>
      </c>
      <c r="AD3875">
        <v>10</v>
      </c>
      <c r="AE3875">
        <v>0</v>
      </c>
      <c r="AF3875">
        <v>3</v>
      </c>
      <c r="AG3875">
        <v>2</v>
      </c>
      <c r="AH3875">
        <v>0</v>
      </c>
      <c r="AI3875" t="s">
        <v>7798</v>
      </c>
      <c r="AJ3875">
        <v>40.515883000000002</v>
      </c>
      <c r="AK3875" t="s">
        <v>7799</v>
      </c>
      <c r="AL3875">
        <v>-74.354609999999994</v>
      </c>
      <c r="AM3875">
        <v>100</v>
      </c>
      <c r="AN3875">
        <v>1000</v>
      </c>
      <c r="AO3875" t="s">
        <v>115</v>
      </c>
      <c r="AP3875">
        <v>50</v>
      </c>
      <c r="AQ3875">
        <v>100</v>
      </c>
      <c r="AR3875">
        <v>64</v>
      </c>
      <c r="AZ3875">
        <v>3614</v>
      </c>
      <c r="BA3875">
        <v>1</v>
      </c>
      <c r="BB3875" t="str">
        <f t="shared" si="182"/>
        <v xml:space="preserve">N959MJ  </v>
      </c>
      <c r="BC3875">
        <v>1</v>
      </c>
      <c r="BE3875">
        <v>0</v>
      </c>
      <c r="BF3875">
        <v>0</v>
      </c>
      <c r="BG3875">
        <v>0</v>
      </c>
      <c r="BH3875">
        <v>1300</v>
      </c>
      <c r="BI3875">
        <v>300</v>
      </c>
      <c r="BJ3875">
        <v>1</v>
      </c>
      <c r="BK3875">
        <v>1</v>
      </c>
      <c r="BL3875">
        <v>1</v>
      </c>
      <c r="BM3875">
        <v>0</v>
      </c>
      <c r="BP3875">
        <v>0</v>
      </c>
      <c r="BQ3875">
        <v>0</v>
      </c>
      <c r="BX3875" t="str">
        <f>"14:55:00.625"</f>
        <v>14:55:00.625</v>
      </c>
      <c r="BY3875" t="str">
        <f>"624543820"</f>
        <v>624543820</v>
      </c>
      <c r="CL3875">
        <v>3</v>
      </c>
      <c r="CM3875">
        <v>2</v>
      </c>
      <c r="CN3875">
        <v>0</v>
      </c>
      <c r="CO3875">
        <v>2</v>
      </c>
      <c r="CP3875">
        <v>0</v>
      </c>
      <c r="CQ3875">
        <v>5</v>
      </c>
      <c r="CR3875" t="s">
        <v>116</v>
      </c>
      <c r="CS3875">
        <v>83</v>
      </c>
      <c r="CT3875">
        <v>1</v>
      </c>
      <c r="CU3875" t="s">
        <v>7152</v>
      </c>
      <c r="CV3875" t="s">
        <v>7153</v>
      </c>
      <c r="CY3875">
        <v>2090115</v>
      </c>
      <c r="CZ3875" t="s">
        <v>119</v>
      </c>
    </row>
    <row r="3876" spans="1:104" x14ac:dyDescent="0.25">
      <c r="A3876" t="str">
        <f>"14:55:01.891"</f>
        <v>14:55:01.891</v>
      </c>
      <c r="B3876" t="s">
        <v>108</v>
      </c>
      <c r="C3876" t="str">
        <f t="shared" si="181"/>
        <v>ffdfd3c0</v>
      </c>
      <c r="D3876" t="s">
        <v>109</v>
      </c>
      <c r="E3876">
        <v>4</v>
      </c>
      <c r="F3876">
        <v>1004</v>
      </c>
      <c r="G3876" t="s">
        <v>110</v>
      </c>
      <c r="J3876" t="s">
        <v>111</v>
      </c>
      <c r="K3876">
        <v>0</v>
      </c>
      <c r="L3876">
        <v>3</v>
      </c>
      <c r="M3876">
        <v>0</v>
      </c>
      <c r="N3876">
        <v>2</v>
      </c>
      <c r="O3876">
        <v>1</v>
      </c>
      <c r="P3876">
        <v>0</v>
      </c>
      <c r="Q3876">
        <v>0</v>
      </c>
      <c r="R3876" t="s">
        <v>112</v>
      </c>
      <c r="S3876" t="str">
        <f>"14:55:01.703"</f>
        <v>14:55:01.703</v>
      </c>
      <c r="T3876" t="str">
        <f>"14:55:00.703"</f>
        <v>14:55:00.703</v>
      </c>
      <c r="U3876" t="str">
        <f t="shared" si="180"/>
        <v>ad5732</v>
      </c>
      <c r="V3876">
        <v>0</v>
      </c>
      <c r="W3876">
        <v>0</v>
      </c>
      <c r="X3876">
        <v>1</v>
      </c>
      <c r="Z3876">
        <v>0</v>
      </c>
      <c r="AA3876">
        <v>9</v>
      </c>
      <c r="AB3876">
        <v>3</v>
      </c>
      <c r="AC3876">
        <v>0</v>
      </c>
      <c r="AD3876">
        <v>10</v>
      </c>
      <c r="AE3876">
        <v>0</v>
      </c>
      <c r="AF3876">
        <v>3</v>
      </c>
      <c r="AG3876">
        <v>2</v>
      </c>
      <c r="AH3876">
        <v>0</v>
      </c>
      <c r="AI3876" t="s">
        <v>7800</v>
      </c>
      <c r="AJ3876">
        <v>40.516376000000001</v>
      </c>
      <c r="AK3876" t="s">
        <v>7801</v>
      </c>
      <c r="AL3876">
        <v>-74.354288999999994</v>
      </c>
      <c r="AM3876">
        <v>100</v>
      </c>
      <c r="AN3876">
        <v>1000</v>
      </c>
      <c r="AO3876" t="s">
        <v>115</v>
      </c>
      <c r="AP3876">
        <v>50</v>
      </c>
      <c r="AQ3876">
        <v>99</v>
      </c>
      <c r="AR3876">
        <v>0</v>
      </c>
      <c r="AZ3876">
        <v>3614</v>
      </c>
      <c r="BA3876">
        <v>1</v>
      </c>
      <c r="BB3876" t="str">
        <f t="shared" si="182"/>
        <v xml:space="preserve">N959MJ  </v>
      </c>
      <c r="BC3876">
        <v>1</v>
      </c>
      <c r="BE3876">
        <v>0</v>
      </c>
      <c r="BF3876">
        <v>0</v>
      </c>
      <c r="BG3876">
        <v>0</v>
      </c>
      <c r="BH3876">
        <v>1300</v>
      </c>
      <c r="BI3876">
        <v>300</v>
      </c>
      <c r="BJ3876">
        <v>1</v>
      </c>
      <c r="BK3876">
        <v>1</v>
      </c>
      <c r="BL3876">
        <v>1</v>
      </c>
      <c r="BM3876">
        <v>0</v>
      </c>
      <c r="BP3876">
        <v>0</v>
      </c>
      <c r="BQ3876">
        <v>0</v>
      </c>
      <c r="BX3876" t="str">
        <f>"14:55:01.703"</f>
        <v>14:55:01.703</v>
      </c>
      <c r="BY3876" t="str">
        <f>"704260231"</f>
        <v>704260231</v>
      </c>
      <c r="CL3876">
        <v>3</v>
      </c>
      <c r="CM3876">
        <v>2</v>
      </c>
      <c r="CN3876">
        <v>0</v>
      </c>
      <c r="CO3876">
        <v>2</v>
      </c>
      <c r="CP3876">
        <v>0</v>
      </c>
      <c r="CQ3876">
        <v>5</v>
      </c>
      <c r="CR3876" t="s">
        <v>116</v>
      </c>
      <c r="CS3876">
        <v>409</v>
      </c>
      <c r="CT3876">
        <v>1</v>
      </c>
      <c r="CU3876" t="s">
        <v>5087</v>
      </c>
      <c r="CV3876" t="s">
        <v>5088</v>
      </c>
      <c r="CY3876">
        <v>5108440</v>
      </c>
      <c r="CZ3876" t="s">
        <v>119</v>
      </c>
    </row>
    <row r="3877" spans="1:104" x14ac:dyDescent="0.25">
      <c r="A3877" t="str">
        <f>"14:55:03.008"</f>
        <v>14:55:03.008</v>
      </c>
      <c r="B3877" t="s">
        <v>108</v>
      </c>
      <c r="C3877" t="str">
        <f t="shared" si="181"/>
        <v>ffdfd3c0</v>
      </c>
      <c r="D3877" t="s">
        <v>109</v>
      </c>
      <c r="E3877">
        <v>4</v>
      </c>
      <c r="F3877">
        <v>1004</v>
      </c>
      <c r="G3877" t="s">
        <v>110</v>
      </c>
      <c r="J3877" t="s">
        <v>111</v>
      </c>
      <c r="K3877">
        <v>0</v>
      </c>
      <c r="L3877">
        <v>3</v>
      </c>
      <c r="M3877">
        <v>0</v>
      </c>
      <c r="N3877">
        <v>2</v>
      </c>
      <c r="O3877">
        <v>1</v>
      </c>
      <c r="P3877">
        <v>0</v>
      </c>
      <c r="Q3877">
        <v>0</v>
      </c>
      <c r="R3877" t="s">
        <v>112</v>
      </c>
      <c r="S3877" t="str">
        <f>"14:55:02.820"</f>
        <v>14:55:02.820</v>
      </c>
      <c r="T3877" t="str">
        <f>"14:55:02.320"</f>
        <v>14:55:02.320</v>
      </c>
      <c r="U3877" t="str">
        <f t="shared" si="180"/>
        <v>ad5732</v>
      </c>
      <c r="V3877">
        <v>0</v>
      </c>
      <c r="W3877">
        <v>0</v>
      </c>
      <c r="X3877">
        <v>1</v>
      </c>
      <c r="Z3877">
        <v>0</v>
      </c>
      <c r="AA3877">
        <v>9</v>
      </c>
      <c r="AB3877">
        <v>3</v>
      </c>
      <c r="AC3877">
        <v>0</v>
      </c>
      <c r="AD3877">
        <v>10</v>
      </c>
      <c r="AE3877">
        <v>0</v>
      </c>
      <c r="AF3877">
        <v>3</v>
      </c>
      <c r="AG3877">
        <v>2</v>
      </c>
      <c r="AH3877">
        <v>0</v>
      </c>
      <c r="AI3877" t="s">
        <v>7802</v>
      </c>
      <c r="AJ3877">
        <v>40.516891000000001</v>
      </c>
      <c r="AK3877" t="s">
        <v>7803</v>
      </c>
      <c r="AL3877">
        <v>-74.353944999999996</v>
      </c>
      <c r="AM3877">
        <v>100</v>
      </c>
      <c r="AN3877">
        <v>1000</v>
      </c>
      <c r="AO3877" t="s">
        <v>115</v>
      </c>
      <c r="AP3877">
        <v>49</v>
      </c>
      <c r="AQ3877">
        <v>99</v>
      </c>
      <c r="AR3877">
        <v>-128</v>
      </c>
      <c r="AZ3877">
        <v>3614</v>
      </c>
      <c r="BA3877">
        <v>1</v>
      </c>
      <c r="BB3877" t="str">
        <f t="shared" si="182"/>
        <v xml:space="preserve">N959MJ  </v>
      </c>
      <c r="BC3877">
        <v>1</v>
      </c>
      <c r="BE3877">
        <v>0</v>
      </c>
      <c r="BF3877">
        <v>0</v>
      </c>
      <c r="BG3877">
        <v>0</v>
      </c>
      <c r="BH3877">
        <v>1300</v>
      </c>
      <c r="BI3877">
        <v>300</v>
      </c>
      <c r="BJ3877">
        <v>1</v>
      </c>
      <c r="BK3877">
        <v>1</v>
      </c>
      <c r="BL3877">
        <v>1</v>
      </c>
      <c r="BM3877">
        <v>0</v>
      </c>
      <c r="BP3877">
        <v>0</v>
      </c>
      <c r="BQ3877">
        <v>0</v>
      </c>
      <c r="BX3877" t="str">
        <f>"14:55:02.820"</f>
        <v>14:55:02.820</v>
      </c>
      <c r="BY3877" t="str">
        <f>"823307104"</f>
        <v>823307104</v>
      </c>
      <c r="CL3877">
        <v>3</v>
      </c>
      <c r="CM3877">
        <v>2</v>
      </c>
      <c r="CN3877">
        <v>0</v>
      </c>
      <c r="CO3877">
        <v>2</v>
      </c>
      <c r="CP3877">
        <v>0</v>
      </c>
      <c r="CQ3877">
        <v>5</v>
      </c>
      <c r="CR3877" t="s">
        <v>116</v>
      </c>
      <c r="CS3877">
        <v>409</v>
      </c>
      <c r="CT3877">
        <v>1</v>
      </c>
      <c r="CU3877" t="s">
        <v>5087</v>
      </c>
      <c r="CV3877" t="s">
        <v>5088</v>
      </c>
      <c r="CY3877">
        <v>5110718</v>
      </c>
      <c r="CZ3877" t="s">
        <v>119</v>
      </c>
    </row>
    <row r="3878" spans="1:104" x14ac:dyDescent="0.25">
      <c r="A3878" t="str">
        <f>"14:55:03.961"</f>
        <v>14:55:03.961</v>
      </c>
      <c r="B3878" t="s">
        <v>108</v>
      </c>
      <c r="C3878" t="str">
        <f t="shared" si="181"/>
        <v>ffdfd3c0</v>
      </c>
      <c r="D3878" t="s">
        <v>109</v>
      </c>
      <c r="E3878">
        <v>4</v>
      </c>
      <c r="F3878">
        <v>1004</v>
      </c>
      <c r="G3878" t="s">
        <v>110</v>
      </c>
      <c r="J3878" t="s">
        <v>111</v>
      </c>
      <c r="K3878">
        <v>0</v>
      </c>
      <c r="L3878">
        <v>3</v>
      </c>
      <c r="M3878">
        <v>0</v>
      </c>
      <c r="N3878">
        <v>2</v>
      </c>
      <c r="O3878">
        <v>1</v>
      </c>
      <c r="P3878">
        <v>0</v>
      </c>
      <c r="Q3878">
        <v>0</v>
      </c>
      <c r="R3878" t="s">
        <v>112</v>
      </c>
      <c r="S3878" t="str">
        <f>"14:55:03.805"</f>
        <v>14:55:03.805</v>
      </c>
      <c r="T3878" t="str">
        <f>"14:55:03.305"</f>
        <v>14:55:03.305</v>
      </c>
      <c r="U3878" t="str">
        <f t="shared" si="180"/>
        <v>ad5732</v>
      </c>
      <c r="V3878">
        <v>0</v>
      </c>
      <c r="W3878">
        <v>0</v>
      </c>
      <c r="X3878">
        <v>1</v>
      </c>
      <c r="Z3878">
        <v>0</v>
      </c>
      <c r="AA3878">
        <v>9</v>
      </c>
      <c r="AB3878">
        <v>3</v>
      </c>
      <c r="AC3878">
        <v>0</v>
      </c>
      <c r="AD3878">
        <v>10</v>
      </c>
      <c r="AE3878">
        <v>0</v>
      </c>
      <c r="AF3878">
        <v>3</v>
      </c>
      <c r="AG3878">
        <v>2</v>
      </c>
      <c r="AH3878">
        <v>0</v>
      </c>
      <c r="AI3878" t="s">
        <v>7804</v>
      </c>
      <c r="AJ3878">
        <v>40.517341999999999</v>
      </c>
      <c r="AK3878" t="s">
        <v>7805</v>
      </c>
      <c r="AL3878">
        <v>-74.353645</v>
      </c>
      <c r="AM3878">
        <v>100</v>
      </c>
      <c r="AN3878">
        <v>1000</v>
      </c>
      <c r="AO3878" t="s">
        <v>115</v>
      </c>
      <c r="AP3878">
        <v>49</v>
      </c>
      <c r="AQ3878">
        <v>99</v>
      </c>
      <c r="AR3878">
        <v>-128</v>
      </c>
      <c r="AZ3878">
        <v>3614</v>
      </c>
      <c r="BA3878">
        <v>1</v>
      </c>
      <c r="BB3878" t="str">
        <f t="shared" si="182"/>
        <v xml:space="preserve">N959MJ  </v>
      </c>
      <c r="BC3878">
        <v>1</v>
      </c>
      <c r="BE3878">
        <v>0</v>
      </c>
      <c r="BF3878">
        <v>0</v>
      </c>
      <c r="BG3878">
        <v>0</v>
      </c>
      <c r="BH3878">
        <v>1300</v>
      </c>
      <c r="BI3878">
        <v>300</v>
      </c>
      <c r="BJ3878">
        <v>1</v>
      </c>
      <c r="BK3878">
        <v>1</v>
      </c>
      <c r="BL3878">
        <v>1</v>
      </c>
      <c r="BM3878">
        <v>0</v>
      </c>
      <c r="BP3878">
        <v>0</v>
      </c>
      <c r="BQ3878">
        <v>0</v>
      </c>
      <c r="BX3878" t="str">
        <f>"14:55:03.805"</f>
        <v>14:55:03.805</v>
      </c>
      <c r="BY3878" t="str">
        <f>"807879687"</f>
        <v>807879687</v>
      </c>
      <c r="CL3878">
        <v>3</v>
      </c>
      <c r="CM3878">
        <v>2</v>
      </c>
      <c r="CN3878">
        <v>0</v>
      </c>
      <c r="CO3878">
        <v>2</v>
      </c>
      <c r="CP3878">
        <v>0</v>
      </c>
      <c r="CQ3878">
        <v>5</v>
      </c>
      <c r="CR3878" t="s">
        <v>116</v>
      </c>
      <c r="CS3878">
        <v>305</v>
      </c>
      <c r="CT3878">
        <v>3</v>
      </c>
      <c r="CU3878" t="s">
        <v>6425</v>
      </c>
      <c r="CV3878" t="s">
        <v>6426</v>
      </c>
      <c r="CY3878">
        <v>6581455</v>
      </c>
      <c r="CZ3878" t="s">
        <v>119</v>
      </c>
    </row>
    <row r="3879" spans="1:104" x14ac:dyDescent="0.25">
      <c r="A3879" t="str">
        <f>"14:55:04.875"</f>
        <v>14:55:04.875</v>
      </c>
      <c r="B3879" t="s">
        <v>108</v>
      </c>
      <c r="C3879" t="str">
        <f t="shared" si="181"/>
        <v>ffdfd3c0</v>
      </c>
      <c r="D3879" t="s">
        <v>109</v>
      </c>
      <c r="E3879">
        <v>4</v>
      </c>
      <c r="F3879">
        <v>1004</v>
      </c>
      <c r="G3879" t="s">
        <v>110</v>
      </c>
      <c r="J3879" t="s">
        <v>111</v>
      </c>
      <c r="K3879">
        <v>0</v>
      </c>
      <c r="L3879">
        <v>3</v>
      </c>
      <c r="M3879">
        <v>0</v>
      </c>
      <c r="N3879">
        <v>2</v>
      </c>
      <c r="O3879">
        <v>1</v>
      </c>
      <c r="P3879">
        <v>0</v>
      </c>
      <c r="Q3879">
        <v>0</v>
      </c>
      <c r="R3879" t="s">
        <v>112</v>
      </c>
      <c r="S3879" t="str">
        <f>"14:55:04.695"</f>
        <v>14:55:04.695</v>
      </c>
      <c r="T3879" t="str">
        <f>"14:55:04.297"</f>
        <v>14:55:04.297</v>
      </c>
      <c r="U3879" t="str">
        <f t="shared" si="180"/>
        <v>ad5732</v>
      </c>
      <c r="V3879">
        <v>0</v>
      </c>
      <c r="W3879">
        <v>0</v>
      </c>
      <c r="X3879">
        <v>1</v>
      </c>
      <c r="Z3879">
        <v>0</v>
      </c>
      <c r="AA3879">
        <v>9</v>
      </c>
      <c r="AB3879">
        <v>3</v>
      </c>
      <c r="AC3879">
        <v>0</v>
      </c>
      <c r="AD3879">
        <v>10</v>
      </c>
      <c r="AE3879">
        <v>0</v>
      </c>
      <c r="AF3879">
        <v>3</v>
      </c>
      <c r="AG3879">
        <v>2</v>
      </c>
      <c r="AH3879">
        <v>0</v>
      </c>
      <c r="AI3879" t="s">
        <v>7806</v>
      </c>
      <c r="AJ3879">
        <v>40.517771000000003</v>
      </c>
      <c r="AK3879" t="s">
        <v>7807</v>
      </c>
      <c r="AL3879">
        <v>-74.353344000000007</v>
      </c>
      <c r="AM3879">
        <v>100</v>
      </c>
      <c r="AN3879">
        <v>1000</v>
      </c>
      <c r="AO3879" t="s">
        <v>115</v>
      </c>
      <c r="AP3879">
        <v>49</v>
      </c>
      <c r="AQ3879">
        <v>99</v>
      </c>
      <c r="AR3879">
        <v>-192</v>
      </c>
      <c r="AZ3879">
        <v>3614</v>
      </c>
      <c r="BA3879">
        <v>1</v>
      </c>
      <c r="BB3879" t="str">
        <f t="shared" si="182"/>
        <v xml:space="preserve">N959MJ  </v>
      </c>
      <c r="BC3879">
        <v>1</v>
      </c>
      <c r="BE3879">
        <v>0</v>
      </c>
      <c r="BF3879">
        <v>0</v>
      </c>
      <c r="BG3879">
        <v>0</v>
      </c>
      <c r="BH3879">
        <v>1275</v>
      </c>
      <c r="BI3879">
        <v>275</v>
      </c>
      <c r="BJ3879">
        <v>1</v>
      </c>
      <c r="BK3879">
        <v>1</v>
      </c>
      <c r="BL3879">
        <v>1</v>
      </c>
      <c r="BM3879">
        <v>0</v>
      </c>
      <c r="BP3879">
        <v>0</v>
      </c>
      <c r="BQ3879">
        <v>0</v>
      </c>
      <c r="BX3879" t="str">
        <f>"14:55:04.703"</f>
        <v>14:55:04.703</v>
      </c>
      <c r="BY3879" t="str">
        <f>"700823378"</f>
        <v>700823378</v>
      </c>
      <c r="CL3879">
        <v>3</v>
      </c>
      <c r="CM3879">
        <v>2</v>
      </c>
      <c r="CN3879">
        <v>0</v>
      </c>
      <c r="CO3879">
        <v>2</v>
      </c>
      <c r="CP3879">
        <v>0</v>
      </c>
      <c r="CQ3879">
        <v>6</v>
      </c>
      <c r="CR3879" t="s">
        <v>116</v>
      </c>
      <c r="CS3879">
        <v>305</v>
      </c>
      <c r="CT3879">
        <v>3</v>
      </c>
      <c r="CU3879" t="s">
        <v>6425</v>
      </c>
      <c r="CV3879" t="s">
        <v>6426</v>
      </c>
      <c r="CY3879">
        <v>6583164</v>
      </c>
      <c r="CZ3879" t="s">
        <v>119</v>
      </c>
    </row>
    <row r="3880" spans="1:104" x14ac:dyDescent="0.25">
      <c r="A3880" t="str">
        <f>"14:55:05.883"</f>
        <v>14:55:05.883</v>
      </c>
      <c r="B3880" t="s">
        <v>108</v>
      </c>
      <c r="C3880" t="str">
        <f t="shared" si="181"/>
        <v>ffdfd3c0</v>
      </c>
      <c r="D3880" t="s">
        <v>109</v>
      </c>
      <c r="E3880">
        <v>4</v>
      </c>
      <c r="F3880">
        <v>1004</v>
      </c>
      <c r="G3880" t="s">
        <v>110</v>
      </c>
      <c r="J3880" t="s">
        <v>111</v>
      </c>
      <c r="K3880">
        <v>0</v>
      </c>
      <c r="L3880">
        <v>3</v>
      </c>
      <c r="M3880">
        <v>0</v>
      </c>
      <c r="N3880">
        <v>2</v>
      </c>
      <c r="O3880">
        <v>1</v>
      </c>
      <c r="P3880">
        <v>0</v>
      </c>
      <c r="Q3880">
        <v>0</v>
      </c>
      <c r="R3880" t="s">
        <v>112</v>
      </c>
      <c r="S3880" t="str">
        <f>"14:55:05.695"</f>
        <v>14:55:05.695</v>
      </c>
      <c r="T3880" t="str">
        <f>"14:55:05.297"</f>
        <v>14:55:05.297</v>
      </c>
      <c r="U3880" t="str">
        <f t="shared" si="180"/>
        <v>ad5732</v>
      </c>
      <c r="V3880">
        <v>0</v>
      </c>
      <c r="W3880">
        <v>0</v>
      </c>
      <c r="X3880">
        <v>1</v>
      </c>
      <c r="Z3880">
        <v>0</v>
      </c>
      <c r="AA3880">
        <v>9</v>
      </c>
      <c r="AB3880">
        <v>3</v>
      </c>
      <c r="AC3880">
        <v>0</v>
      </c>
      <c r="AD3880">
        <v>10</v>
      </c>
      <c r="AE3880">
        <v>0</v>
      </c>
      <c r="AF3880">
        <v>3</v>
      </c>
      <c r="AG3880">
        <v>2</v>
      </c>
      <c r="AH3880">
        <v>0</v>
      </c>
      <c r="AI3880" t="s">
        <v>7808</v>
      </c>
      <c r="AJ3880">
        <v>40.518179000000003</v>
      </c>
      <c r="AK3880" t="s">
        <v>7809</v>
      </c>
      <c r="AL3880">
        <v>-74.353043999999997</v>
      </c>
      <c r="AM3880">
        <v>100</v>
      </c>
      <c r="AN3880">
        <v>1000</v>
      </c>
      <c r="AO3880" t="s">
        <v>115</v>
      </c>
      <c r="AP3880">
        <v>49</v>
      </c>
      <c r="AQ3880">
        <v>98</v>
      </c>
      <c r="AR3880">
        <v>0</v>
      </c>
      <c r="AZ3880">
        <v>3614</v>
      </c>
      <c r="BA3880">
        <v>1</v>
      </c>
      <c r="BB3880" t="str">
        <f t="shared" si="182"/>
        <v xml:space="preserve">N959MJ  </v>
      </c>
      <c r="BC3880">
        <v>1</v>
      </c>
      <c r="BE3880">
        <v>0</v>
      </c>
      <c r="BF3880">
        <v>0</v>
      </c>
      <c r="BG3880">
        <v>0</v>
      </c>
      <c r="BH3880">
        <v>1275</v>
      </c>
      <c r="BI3880">
        <v>275</v>
      </c>
      <c r="BJ3880">
        <v>1</v>
      </c>
      <c r="BK3880">
        <v>1</v>
      </c>
      <c r="BL3880">
        <v>1</v>
      </c>
      <c r="BM3880">
        <v>0</v>
      </c>
      <c r="BP3880">
        <v>0</v>
      </c>
      <c r="BQ3880">
        <v>0</v>
      </c>
      <c r="BX3880" t="str">
        <f>"14:55:05.695"</f>
        <v>14:55:05.695</v>
      </c>
      <c r="BY3880" t="str">
        <f>"698626527"</f>
        <v>698626527</v>
      </c>
      <c r="CL3880">
        <v>3</v>
      </c>
      <c r="CM3880">
        <v>2</v>
      </c>
      <c r="CN3880">
        <v>0</v>
      </c>
      <c r="CO3880">
        <v>2</v>
      </c>
      <c r="CP3880">
        <v>0</v>
      </c>
      <c r="CQ3880">
        <v>6</v>
      </c>
      <c r="CR3880" t="s">
        <v>116</v>
      </c>
      <c r="CS3880">
        <v>305</v>
      </c>
      <c r="CT3880">
        <v>3</v>
      </c>
      <c r="CU3880" t="s">
        <v>6425</v>
      </c>
      <c r="CV3880" t="s">
        <v>6426</v>
      </c>
      <c r="CY3880">
        <v>6585197</v>
      </c>
      <c r="CZ3880" t="s">
        <v>119</v>
      </c>
    </row>
    <row r="3881" spans="1:104" x14ac:dyDescent="0.25">
      <c r="A3881" t="str">
        <f>"14:55:06.945"</f>
        <v>14:55:06.945</v>
      </c>
      <c r="B3881" t="s">
        <v>108</v>
      </c>
      <c r="C3881" t="str">
        <f t="shared" si="181"/>
        <v>ffdfd3c0</v>
      </c>
      <c r="D3881" t="s">
        <v>109</v>
      </c>
      <c r="E3881">
        <v>4</v>
      </c>
      <c r="F3881">
        <v>1004</v>
      </c>
      <c r="G3881" t="s">
        <v>110</v>
      </c>
      <c r="J3881" t="s">
        <v>111</v>
      </c>
      <c r="K3881">
        <v>0</v>
      </c>
      <c r="L3881">
        <v>3</v>
      </c>
      <c r="M3881">
        <v>0</v>
      </c>
      <c r="N3881">
        <v>2</v>
      </c>
      <c r="O3881">
        <v>1</v>
      </c>
      <c r="P3881">
        <v>0</v>
      </c>
      <c r="Q3881">
        <v>0</v>
      </c>
      <c r="R3881" t="s">
        <v>112</v>
      </c>
      <c r="S3881" t="str">
        <f>"14:55:06.750"</f>
        <v>14:55:06.750</v>
      </c>
      <c r="T3881" t="str">
        <f>"14:55:06.250"</f>
        <v>14:55:06.250</v>
      </c>
      <c r="U3881" t="str">
        <f t="shared" si="180"/>
        <v>ad5732</v>
      </c>
      <c r="V3881">
        <v>0</v>
      </c>
      <c r="W3881">
        <v>0</v>
      </c>
      <c r="X3881">
        <v>1</v>
      </c>
      <c r="Z3881">
        <v>0</v>
      </c>
      <c r="AA3881">
        <v>9</v>
      </c>
      <c r="AB3881">
        <v>3</v>
      </c>
      <c r="AC3881">
        <v>0</v>
      </c>
      <c r="AD3881">
        <v>10</v>
      </c>
      <c r="AE3881">
        <v>0</v>
      </c>
      <c r="AF3881">
        <v>3</v>
      </c>
      <c r="AG3881">
        <v>2</v>
      </c>
      <c r="AH3881">
        <v>0</v>
      </c>
      <c r="AI3881" t="s">
        <v>7810</v>
      </c>
      <c r="AJ3881">
        <v>40.518715</v>
      </c>
      <c r="AK3881" t="s">
        <v>7811</v>
      </c>
      <c r="AL3881">
        <v>-74.352722</v>
      </c>
      <c r="AM3881">
        <v>100</v>
      </c>
      <c r="AN3881">
        <v>1000</v>
      </c>
      <c r="AO3881" t="s">
        <v>115</v>
      </c>
      <c r="AP3881">
        <v>49</v>
      </c>
      <c r="AQ3881">
        <v>98</v>
      </c>
      <c r="AR3881">
        <v>64</v>
      </c>
      <c r="AZ3881">
        <v>3614</v>
      </c>
      <c r="BA3881">
        <v>1</v>
      </c>
      <c r="BB3881" t="str">
        <f t="shared" si="182"/>
        <v xml:space="preserve">N959MJ  </v>
      </c>
      <c r="BC3881">
        <v>1</v>
      </c>
      <c r="BE3881">
        <v>0</v>
      </c>
      <c r="BF3881">
        <v>0</v>
      </c>
      <c r="BG3881">
        <v>0</v>
      </c>
      <c r="BH3881">
        <v>1275</v>
      </c>
      <c r="BI3881">
        <v>275</v>
      </c>
      <c r="BJ3881">
        <v>1</v>
      </c>
      <c r="BK3881">
        <v>1</v>
      </c>
      <c r="BL3881">
        <v>1</v>
      </c>
      <c r="BM3881">
        <v>0</v>
      </c>
      <c r="BP3881">
        <v>0</v>
      </c>
      <c r="BQ3881">
        <v>0</v>
      </c>
      <c r="BX3881" t="str">
        <f>"14:55:06.758"</f>
        <v>14:55:06.758</v>
      </c>
      <c r="BY3881" t="str">
        <f>"755413144"</f>
        <v>755413144</v>
      </c>
      <c r="CL3881">
        <v>3</v>
      </c>
      <c r="CM3881">
        <v>2</v>
      </c>
      <c r="CN3881">
        <v>0</v>
      </c>
      <c r="CO3881">
        <v>2</v>
      </c>
      <c r="CP3881">
        <v>0</v>
      </c>
      <c r="CQ3881">
        <v>6</v>
      </c>
      <c r="CR3881" t="s">
        <v>116</v>
      </c>
      <c r="CS3881">
        <v>305</v>
      </c>
      <c r="CT3881">
        <v>3</v>
      </c>
      <c r="CU3881" t="s">
        <v>6425</v>
      </c>
      <c r="CV3881" t="s">
        <v>6426</v>
      </c>
      <c r="CY3881">
        <v>6587363</v>
      </c>
      <c r="CZ3881" t="s">
        <v>119</v>
      </c>
    </row>
    <row r="3882" spans="1:104" x14ac:dyDescent="0.25">
      <c r="A3882" t="str">
        <f>"14:55:08.000"</f>
        <v>14:55:08.000</v>
      </c>
      <c r="B3882" t="s">
        <v>108</v>
      </c>
      <c r="C3882" t="str">
        <f t="shared" si="181"/>
        <v>ffdfd3c0</v>
      </c>
      <c r="D3882" t="s">
        <v>109</v>
      </c>
      <c r="E3882">
        <v>4</v>
      </c>
      <c r="F3882">
        <v>1004</v>
      </c>
      <c r="G3882" t="s">
        <v>110</v>
      </c>
      <c r="J3882" t="s">
        <v>111</v>
      </c>
      <c r="K3882">
        <v>0</v>
      </c>
      <c r="L3882">
        <v>3</v>
      </c>
      <c r="M3882">
        <v>0</v>
      </c>
      <c r="N3882">
        <v>2</v>
      </c>
      <c r="O3882">
        <v>1</v>
      </c>
      <c r="P3882">
        <v>0</v>
      </c>
      <c r="Q3882">
        <v>0</v>
      </c>
      <c r="R3882" t="s">
        <v>112</v>
      </c>
      <c r="S3882" t="str">
        <f>"14:55:07.852"</f>
        <v>14:55:07.852</v>
      </c>
      <c r="T3882" t="str">
        <f>"14:55:07.352"</f>
        <v>14:55:07.352</v>
      </c>
      <c r="U3882" t="str">
        <f t="shared" si="180"/>
        <v>ad5732</v>
      </c>
      <c r="V3882">
        <v>0</v>
      </c>
      <c r="W3882">
        <v>0</v>
      </c>
      <c r="X3882">
        <v>1</v>
      </c>
      <c r="Z3882">
        <v>0</v>
      </c>
      <c r="AA3882">
        <v>9</v>
      </c>
      <c r="AB3882">
        <v>3</v>
      </c>
      <c r="AC3882">
        <v>0</v>
      </c>
      <c r="AD3882">
        <v>10</v>
      </c>
      <c r="AE3882">
        <v>0</v>
      </c>
      <c r="AF3882">
        <v>3</v>
      </c>
      <c r="AG3882">
        <v>2</v>
      </c>
      <c r="AH3882">
        <v>0</v>
      </c>
      <c r="AI3882" t="s">
        <v>7812</v>
      </c>
      <c r="AJ3882">
        <v>40.519208999999996</v>
      </c>
      <c r="AK3882" t="s">
        <v>7813</v>
      </c>
      <c r="AL3882">
        <v>-74.352400000000003</v>
      </c>
      <c r="AM3882">
        <v>100</v>
      </c>
      <c r="AN3882">
        <v>1000</v>
      </c>
      <c r="AO3882" t="s">
        <v>115</v>
      </c>
      <c r="AP3882">
        <v>48</v>
      </c>
      <c r="AQ3882">
        <v>98</v>
      </c>
      <c r="AR3882">
        <v>256</v>
      </c>
      <c r="AZ3882">
        <v>3614</v>
      </c>
      <c r="BA3882">
        <v>1</v>
      </c>
      <c r="BB3882" t="str">
        <f t="shared" si="182"/>
        <v xml:space="preserve">N959MJ  </v>
      </c>
      <c r="BC3882">
        <v>1</v>
      </c>
      <c r="BE3882">
        <v>0</v>
      </c>
      <c r="BF3882">
        <v>0</v>
      </c>
      <c r="BG3882">
        <v>0</v>
      </c>
      <c r="BH3882">
        <v>1300</v>
      </c>
      <c r="BI3882">
        <v>300</v>
      </c>
      <c r="BJ3882">
        <v>1</v>
      </c>
      <c r="BK3882">
        <v>1</v>
      </c>
      <c r="BL3882">
        <v>1</v>
      </c>
      <c r="BM3882">
        <v>0</v>
      </c>
      <c r="BP3882">
        <v>0</v>
      </c>
      <c r="BQ3882">
        <v>0</v>
      </c>
      <c r="BX3882" t="str">
        <f>"14:55:07.852"</f>
        <v>14:55:07.852</v>
      </c>
      <c r="BY3882" t="str">
        <f>"853160411"</f>
        <v>853160411</v>
      </c>
      <c r="CL3882">
        <v>3</v>
      </c>
      <c r="CM3882">
        <v>2</v>
      </c>
      <c r="CN3882">
        <v>0</v>
      </c>
      <c r="CO3882">
        <v>2</v>
      </c>
      <c r="CP3882">
        <v>0</v>
      </c>
      <c r="CQ3882">
        <v>6</v>
      </c>
      <c r="CR3882" t="s">
        <v>116</v>
      </c>
      <c r="CS3882">
        <v>305</v>
      </c>
      <c r="CT3882">
        <v>3</v>
      </c>
      <c r="CU3882" t="s">
        <v>6425</v>
      </c>
      <c r="CV3882" t="s">
        <v>6426</v>
      </c>
      <c r="CY3882">
        <v>6589722</v>
      </c>
      <c r="CZ3882" t="s">
        <v>119</v>
      </c>
    </row>
    <row r="3883" spans="1:104" x14ac:dyDescent="0.25">
      <c r="A3883" t="str">
        <f>"14:55:09.063"</f>
        <v>14:55:09.063</v>
      </c>
      <c r="B3883" t="s">
        <v>108</v>
      </c>
      <c r="C3883" t="str">
        <f t="shared" si="181"/>
        <v>ffdfd3c0</v>
      </c>
      <c r="D3883" t="s">
        <v>109</v>
      </c>
      <c r="E3883">
        <v>4</v>
      </c>
      <c r="F3883">
        <v>1004</v>
      </c>
      <c r="G3883" t="s">
        <v>110</v>
      </c>
      <c r="J3883" t="s">
        <v>111</v>
      </c>
      <c r="K3883">
        <v>0</v>
      </c>
      <c r="L3883">
        <v>3</v>
      </c>
      <c r="M3883">
        <v>0</v>
      </c>
      <c r="N3883">
        <v>2</v>
      </c>
      <c r="O3883">
        <v>1</v>
      </c>
      <c r="P3883">
        <v>0</v>
      </c>
      <c r="Q3883">
        <v>0</v>
      </c>
      <c r="R3883" t="s">
        <v>112</v>
      </c>
      <c r="S3883" t="str">
        <f>"14:55:08.844"</f>
        <v>14:55:08.844</v>
      </c>
      <c r="T3883" t="str">
        <f>"14:55:08.445"</f>
        <v>14:55:08.445</v>
      </c>
      <c r="U3883" t="str">
        <f t="shared" si="180"/>
        <v>ad5732</v>
      </c>
      <c r="V3883">
        <v>0</v>
      </c>
      <c r="W3883">
        <v>0</v>
      </c>
      <c r="X3883">
        <v>1</v>
      </c>
      <c r="Z3883">
        <v>0</v>
      </c>
      <c r="AA3883">
        <v>9</v>
      </c>
      <c r="AB3883">
        <v>3</v>
      </c>
      <c r="AC3883">
        <v>0</v>
      </c>
      <c r="AD3883">
        <v>10</v>
      </c>
      <c r="AE3883">
        <v>0</v>
      </c>
      <c r="AF3883">
        <v>3</v>
      </c>
      <c r="AG3883">
        <v>2</v>
      </c>
      <c r="AH3883">
        <v>0</v>
      </c>
      <c r="AI3883" t="s">
        <v>7814</v>
      </c>
      <c r="AJ3883">
        <v>40.519680999999999</v>
      </c>
      <c r="AK3883" t="s">
        <v>7815</v>
      </c>
      <c r="AL3883">
        <v>-74.352099999999993</v>
      </c>
      <c r="AM3883">
        <v>100</v>
      </c>
      <c r="AN3883">
        <v>1000</v>
      </c>
      <c r="AO3883" t="s">
        <v>115</v>
      </c>
      <c r="AP3883">
        <v>48</v>
      </c>
      <c r="AQ3883">
        <v>97</v>
      </c>
      <c r="AR3883">
        <v>192</v>
      </c>
      <c r="AZ3883">
        <v>3614</v>
      </c>
      <c r="BA3883">
        <v>1</v>
      </c>
      <c r="BB3883" t="str">
        <f t="shared" si="182"/>
        <v xml:space="preserve">N959MJ  </v>
      </c>
      <c r="BC3883">
        <v>1</v>
      </c>
      <c r="BE3883">
        <v>0</v>
      </c>
      <c r="BF3883">
        <v>0</v>
      </c>
      <c r="BG3883">
        <v>0</v>
      </c>
      <c r="BH3883">
        <v>1300</v>
      </c>
      <c r="BI3883">
        <v>300</v>
      </c>
      <c r="BJ3883">
        <v>1</v>
      </c>
      <c r="BK3883">
        <v>1</v>
      </c>
      <c r="BL3883">
        <v>1</v>
      </c>
      <c r="BM3883">
        <v>0</v>
      </c>
      <c r="BP3883">
        <v>0</v>
      </c>
      <c r="BQ3883">
        <v>0</v>
      </c>
      <c r="BX3883" t="str">
        <f>"14:55:08.852"</f>
        <v>14:55:08.852</v>
      </c>
      <c r="BY3883" t="str">
        <f>"849325107"</f>
        <v>849325107</v>
      </c>
      <c r="CL3883">
        <v>3</v>
      </c>
      <c r="CM3883">
        <v>2</v>
      </c>
      <c r="CN3883">
        <v>0</v>
      </c>
      <c r="CO3883">
        <v>2</v>
      </c>
      <c r="CP3883">
        <v>0</v>
      </c>
      <c r="CQ3883">
        <v>6</v>
      </c>
      <c r="CR3883" t="s">
        <v>116</v>
      </c>
      <c r="CS3883">
        <v>305</v>
      </c>
      <c r="CT3883">
        <v>3</v>
      </c>
      <c r="CU3883" t="s">
        <v>6425</v>
      </c>
      <c r="CV3883" t="s">
        <v>6426</v>
      </c>
      <c r="CY3883">
        <v>6591624</v>
      </c>
      <c r="CZ3883" t="s">
        <v>119</v>
      </c>
    </row>
    <row r="3884" spans="1:104" x14ac:dyDescent="0.25">
      <c r="A3884" t="str">
        <f>"14:55:09.977"</f>
        <v>14:55:09.977</v>
      </c>
      <c r="B3884" t="s">
        <v>108</v>
      </c>
      <c r="C3884" t="str">
        <f t="shared" si="181"/>
        <v>ffdfd3c0</v>
      </c>
      <c r="D3884" t="s">
        <v>109</v>
      </c>
      <c r="E3884">
        <v>4</v>
      </c>
      <c r="F3884">
        <v>1004</v>
      </c>
      <c r="G3884" t="s">
        <v>110</v>
      </c>
      <c r="J3884" t="s">
        <v>111</v>
      </c>
      <c r="K3884">
        <v>0</v>
      </c>
      <c r="L3884">
        <v>3</v>
      </c>
      <c r="M3884">
        <v>0</v>
      </c>
      <c r="N3884">
        <v>2</v>
      </c>
      <c r="O3884">
        <v>1</v>
      </c>
      <c r="P3884">
        <v>0</v>
      </c>
      <c r="Q3884">
        <v>0</v>
      </c>
      <c r="R3884" t="s">
        <v>112</v>
      </c>
      <c r="S3884" t="str">
        <f>"14:55:09.773"</f>
        <v>14:55:09.773</v>
      </c>
      <c r="T3884" t="str">
        <f>"14:55:06.273"</f>
        <v>14:55:06.273</v>
      </c>
      <c r="U3884" t="str">
        <f t="shared" si="180"/>
        <v>ad5732</v>
      </c>
      <c r="V3884">
        <v>0</v>
      </c>
      <c r="W3884">
        <v>0</v>
      </c>
      <c r="X3884">
        <v>1</v>
      </c>
      <c r="Z3884">
        <v>0</v>
      </c>
      <c r="AA3884">
        <v>9</v>
      </c>
      <c r="AB3884">
        <v>3</v>
      </c>
      <c r="AC3884">
        <v>0</v>
      </c>
      <c r="AD3884">
        <v>10</v>
      </c>
      <c r="AE3884">
        <v>0</v>
      </c>
      <c r="AF3884">
        <v>3</v>
      </c>
      <c r="AG3884">
        <v>2</v>
      </c>
      <c r="AH3884">
        <v>0</v>
      </c>
      <c r="AI3884" t="s">
        <v>7816</v>
      </c>
      <c r="AJ3884">
        <v>40.520046000000001</v>
      </c>
      <c r="AK3884" t="s">
        <v>7817</v>
      </c>
      <c r="AL3884">
        <v>-74.351864000000006</v>
      </c>
      <c r="AM3884">
        <v>100</v>
      </c>
      <c r="AN3884">
        <v>1000</v>
      </c>
      <c r="AO3884" t="s">
        <v>115</v>
      </c>
      <c r="AP3884">
        <v>49</v>
      </c>
      <c r="AQ3884">
        <v>98</v>
      </c>
      <c r="AR3884">
        <v>64</v>
      </c>
      <c r="AZ3884">
        <v>3614</v>
      </c>
      <c r="BA3884">
        <v>1</v>
      </c>
      <c r="BB3884" t="str">
        <f t="shared" si="182"/>
        <v xml:space="preserve">N959MJ  </v>
      </c>
      <c r="BC3884">
        <v>1</v>
      </c>
      <c r="BE3884">
        <v>0</v>
      </c>
      <c r="BF3884">
        <v>0</v>
      </c>
      <c r="BG3884">
        <v>0</v>
      </c>
      <c r="BH3884">
        <v>1275</v>
      </c>
      <c r="BI3884">
        <v>275</v>
      </c>
      <c r="BJ3884">
        <v>1</v>
      </c>
      <c r="BK3884">
        <v>1</v>
      </c>
      <c r="BL3884">
        <v>1</v>
      </c>
      <c r="BM3884">
        <v>0</v>
      </c>
      <c r="BP3884">
        <v>0</v>
      </c>
      <c r="BQ3884">
        <v>0</v>
      </c>
      <c r="BX3884" t="str">
        <f>"14:55:09.781"</f>
        <v>14:55:09.781</v>
      </c>
      <c r="BY3884" t="str">
        <f>"780075866"</f>
        <v>780075866</v>
      </c>
      <c r="CL3884">
        <v>3</v>
      </c>
      <c r="CM3884">
        <v>2</v>
      </c>
      <c r="CN3884">
        <v>0</v>
      </c>
      <c r="CO3884">
        <v>2</v>
      </c>
      <c r="CP3884">
        <v>0</v>
      </c>
      <c r="CQ3884">
        <v>3</v>
      </c>
      <c r="CR3884" t="s">
        <v>116</v>
      </c>
      <c r="CS3884">
        <v>409</v>
      </c>
      <c r="CT3884">
        <v>0</v>
      </c>
      <c r="CU3884" t="s">
        <v>5087</v>
      </c>
      <c r="CV3884" t="s">
        <v>5088</v>
      </c>
      <c r="CY3884">
        <v>226803</v>
      </c>
      <c r="CZ3884" t="s">
        <v>119</v>
      </c>
    </row>
    <row r="3885" spans="1:104" x14ac:dyDescent="0.25">
      <c r="A3885" t="str">
        <f>"14:55:10.930"</f>
        <v>14:55:10.930</v>
      </c>
      <c r="B3885" t="s">
        <v>108</v>
      </c>
      <c r="C3885" t="str">
        <f t="shared" si="181"/>
        <v>ffdfd3c0</v>
      </c>
      <c r="D3885" t="s">
        <v>109</v>
      </c>
      <c r="E3885">
        <v>4</v>
      </c>
      <c r="F3885">
        <v>1004</v>
      </c>
      <c r="G3885" t="s">
        <v>110</v>
      </c>
      <c r="J3885" t="s">
        <v>111</v>
      </c>
      <c r="K3885">
        <v>0</v>
      </c>
      <c r="L3885">
        <v>3</v>
      </c>
      <c r="M3885">
        <v>0</v>
      </c>
      <c r="N3885">
        <v>2</v>
      </c>
      <c r="O3885">
        <v>1</v>
      </c>
      <c r="P3885">
        <v>0</v>
      </c>
      <c r="Q3885">
        <v>0</v>
      </c>
      <c r="R3885" t="s">
        <v>112</v>
      </c>
      <c r="S3885" t="str">
        <f>"14:55:10.766"</f>
        <v>14:55:10.766</v>
      </c>
      <c r="T3885" t="str">
        <f>"14:55:10.266"</f>
        <v>14:55:10.266</v>
      </c>
      <c r="U3885" t="str">
        <f t="shared" si="180"/>
        <v>ad5732</v>
      </c>
      <c r="V3885">
        <v>0</v>
      </c>
      <c r="W3885">
        <v>0</v>
      </c>
      <c r="X3885">
        <v>1</v>
      </c>
      <c r="Z3885">
        <v>0</v>
      </c>
      <c r="AA3885">
        <v>9</v>
      </c>
      <c r="AB3885">
        <v>3</v>
      </c>
      <c r="AC3885">
        <v>0</v>
      </c>
      <c r="AD3885">
        <v>10</v>
      </c>
      <c r="AE3885">
        <v>0</v>
      </c>
      <c r="AF3885">
        <v>3</v>
      </c>
      <c r="AG3885">
        <v>2</v>
      </c>
      <c r="AH3885">
        <v>0</v>
      </c>
      <c r="AI3885" t="s">
        <v>7818</v>
      </c>
      <c r="AJ3885">
        <v>40.520518000000003</v>
      </c>
      <c r="AK3885" t="s">
        <v>7819</v>
      </c>
      <c r="AL3885">
        <v>-74.351562999999999</v>
      </c>
      <c r="AM3885">
        <v>100</v>
      </c>
      <c r="AN3885">
        <v>1000</v>
      </c>
      <c r="AO3885" t="s">
        <v>115</v>
      </c>
      <c r="AP3885">
        <v>46</v>
      </c>
      <c r="AQ3885">
        <v>97</v>
      </c>
      <c r="AR3885">
        <v>0</v>
      </c>
      <c r="AZ3885">
        <v>3614</v>
      </c>
      <c r="BA3885">
        <v>1</v>
      </c>
      <c r="BB3885" t="str">
        <f t="shared" si="182"/>
        <v xml:space="preserve">N959MJ  </v>
      </c>
      <c r="BC3885">
        <v>1</v>
      </c>
      <c r="BE3885">
        <v>0</v>
      </c>
      <c r="BF3885">
        <v>0</v>
      </c>
      <c r="BG3885">
        <v>0</v>
      </c>
      <c r="BH3885">
        <v>1300</v>
      </c>
      <c r="BI3885">
        <v>300</v>
      </c>
      <c r="BJ3885">
        <v>1</v>
      </c>
      <c r="BK3885">
        <v>1</v>
      </c>
      <c r="BL3885">
        <v>1</v>
      </c>
      <c r="BM3885">
        <v>0</v>
      </c>
      <c r="BP3885">
        <v>0</v>
      </c>
      <c r="BQ3885">
        <v>0</v>
      </c>
      <c r="BX3885" t="str">
        <f>"14:55:10.773"</f>
        <v>14:55:10.773</v>
      </c>
      <c r="BY3885" t="str">
        <f>"771325265"</f>
        <v>771325265</v>
      </c>
      <c r="CL3885">
        <v>3</v>
      </c>
      <c r="CM3885">
        <v>2</v>
      </c>
      <c r="CN3885">
        <v>0</v>
      </c>
      <c r="CO3885">
        <v>2</v>
      </c>
      <c r="CP3885">
        <v>0</v>
      </c>
      <c r="CQ3885">
        <v>5</v>
      </c>
      <c r="CR3885" t="s">
        <v>116</v>
      </c>
      <c r="CS3885">
        <v>409</v>
      </c>
      <c r="CT3885">
        <v>1</v>
      </c>
      <c r="CU3885" t="s">
        <v>5087</v>
      </c>
      <c r="CV3885" t="s">
        <v>5088</v>
      </c>
      <c r="CY3885">
        <v>5126711</v>
      </c>
      <c r="CZ3885" t="s">
        <v>119</v>
      </c>
    </row>
    <row r="3886" spans="1:104" x14ac:dyDescent="0.25">
      <c r="A3886" t="str">
        <f>"14:55:12.047"</f>
        <v>14:55:12.047</v>
      </c>
      <c r="B3886" t="s">
        <v>108</v>
      </c>
      <c r="C3886" t="str">
        <f t="shared" si="181"/>
        <v>ffdfd3c0</v>
      </c>
      <c r="D3886" t="s">
        <v>109</v>
      </c>
      <c r="E3886">
        <v>4</v>
      </c>
      <c r="F3886">
        <v>1004</v>
      </c>
      <c r="G3886" t="s">
        <v>110</v>
      </c>
      <c r="J3886" t="s">
        <v>111</v>
      </c>
      <c r="K3886">
        <v>0</v>
      </c>
      <c r="L3886">
        <v>3</v>
      </c>
      <c r="M3886">
        <v>0</v>
      </c>
      <c r="N3886">
        <v>2</v>
      </c>
      <c r="O3886">
        <v>1</v>
      </c>
      <c r="P3886">
        <v>0</v>
      </c>
      <c r="Q3886">
        <v>0</v>
      </c>
      <c r="R3886" t="s">
        <v>112</v>
      </c>
      <c r="S3886" t="str">
        <f>"14:55:11.844"</f>
        <v>14:55:11.844</v>
      </c>
      <c r="T3886" t="str">
        <f>"14:55:11.344"</f>
        <v>14:55:11.344</v>
      </c>
      <c r="U3886" t="str">
        <f t="shared" si="180"/>
        <v>ad5732</v>
      </c>
      <c r="V3886">
        <v>0</v>
      </c>
      <c r="W3886">
        <v>0</v>
      </c>
      <c r="X3886">
        <v>1</v>
      </c>
      <c r="Z3886">
        <v>0</v>
      </c>
      <c r="AA3886">
        <v>9</v>
      </c>
      <c r="AB3886">
        <v>3</v>
      </c>
      <c r="AC3886">
        <v>0</v>
      </c>
      <c r="AD3886">
        <v>10</v>
      </c>
      <c r="AE3886">
        <v>0</v>
      </c>
      <c r="AF3886">
        <v>3</v>
      </c>
      <c r="AG3886">
        <v>2</v>
      </c>
      <c r="AH3886">
        <v>0</v>
      </c>
      <c r="AI3886" t="s">
        <v>7820</v>
      </c>
      <c r="AJ3886">
        <v>40.520968000000003</v>
      </c>
      <c r="AK3886" t="s">
        <v>7821</v>
      </c>
      <c r="AL3886">
        <v>-74.351285000000004</v>
      </c>
      <c r="AM3886">
        <v>100</v>
      </c>
      <c r="AN3886">
        <v>1000</v>
      </c>
      <c r="AO3886" t="s">
        <v>115</v>
      </c>
      <c r="AP3886">
        <v>46</v>
      </c>
      <c r="AQ3886">
        <v>97</v>
      </c>
      <c r="AR3886">
        <v>-64</v>
      </c>
      <c r="AZ3886">
        <v>3614</v>
      </c>
      <c r="BA3886">
        <v>1</v>
      </c>
      <c r="BB3886" t="str">
        <f t="shared" si="182"/>
        <v xml:space="preserve">N959MJ  </v>
      </c>
      <c r="BC3886">
        <v>1</v>
      </c>
      <c r="BE3886">
        <v>0</v>
      </c>
      <c r="BF3886">
        <v>0</v>
      </c>
      <c r="BG3886">
        <v>0</v>
      </c>
      <c r="BH3886">
        <v>1300</v>
      </c>
      <c r="BI3886">
        <v>300</v>
      </c>
      <c r="BJ3886">
        <v>1</v>
      </c>
      <c r="BK3886">
        <v>1</v>
      </c>
      <c r="BL3886">
        <v>1</v>
      </c>
      <c r="BM3886">
        <v>0</v>
      </c>
      <c r="BP3886">
        <v>0</v>
      </c>
      <c r="BQ3886">
        <v>0</v>
      </c>
      <c r="BX3886" t="str">
        <f>"14:55:11.844"</f>
        <v>14:55:11.844</v>
      </c>
      <c r="BY3886" t="str">
        <f>"844372983"</f>
        <v>844372983</v>
      </c>
      <c r="CL3886">
        <v>3</v>
      </c>
      <c r="CM3886">
        <v>2</v>
      </c>
      <c r="CN3886">
        <v>0</v>
      </c>
      <c r="CO3886">
        <v>2</v>
      </c>
      <c r="CP3886">
        <v>0</v>
      </c>
      <c r="CQ3886">
        <v>6</v>
      </c>
      <c r="CR3886" t="s">
        <v>116</v>
      </c>
      <c r="CS3886">
        <v>305</v>
      </c>
      <c r="CT3886">
        <v>3</v>
      </c>
      <c r="CU3886" t="s">
        <v>6425</v>
      </c>
      <c r="CV3886" t="s">
        <v>6426</v>
      </c>
      <c r="CY3886">
        <v>6597926</v>
      </c>
      <c r="CZ3886" t="s">
        <v>119</v>
      </c>
    </row>
    <row r="3887" spans="1:104" x14ac:dyDescent="0.25">
      <c r="A3887" t="str">
        <f>"14:55:13.000"</f>
        <v>14:55:13.000</v>
      </c>
      <c r="B3887" t="s">
        <v>108</v>
      </c>
      <c r="C3887" t="str">
        <f t="shared" si="181"/>
        <v>ffdfd3c0</v>
      </c>
      <c r="D3887" t="s">
        <v>109</v>
      </c>
      <c r="E3887">
        <v>4</v>
      </c>
      <c r="F3887">
        <v>1004</v>
      </c>
      <c r="G3887" t="s">
        <v>110</v>
      </c>
      <c r="J3887" t="s">
        <v>111</v>
      </c>
      <c r="K3887">
        <v>0</v>
      </c>
      <c r="L3887">
        <v>3</v>
      </c>
      <c r="M3887">
        <v>0</v>
      </c>
      <c r="N3887">
        <v>2</v>
      </c>
      <c r="O3887">
        <v>1</v>
      </c>
      <c r="P3887">
        <v>0</v>
      </c>
      <c r="Q3887">
        <v>0</v>
      </c>
      <c r="R3887" t="s">
        <v>112</v>
      </c>
      <c r="S3887" t="str">
        <f>"14:55:12.789"</f>
        <v>14:55:12.789</v>
      </c>
      <c r="T3887" t="str">
        <f>"14:55:12.289"</f>
        <v>14:55:12.289</v>
      </c>
      <c r="U3887" t="str">
        <f t="shared" si="180"/>
        <v>ad5732</v>
      </c>
      <c r="V3887">
        <v>0</v>
      </c>
      <c r="W3887">
        <v>0</v>
      </c>
      <c r="X3887">
        <v>1</v>
      </c>
      <c r="Z3887">
        <v>0</v>
      </c>
      <c r="AA3887">
        <v>9</v>
      </c>
      <c r="AB3887">
        <v>3</v>
      </c>
      <c r="AC3887">
        <v>0</v>
      </c>
      <c r="AD3887">
        <v>10</v>
      </c>
      <c r="AE3887">
        <v>0</v>
      </c>
      <c r="AF3887">
        <v>3</v>
      </c>
      <c r="AG3887">
        <v>2</v>
      </c>
      <c r="AH3887">
        <v>0</v>
      </c>
      <c r="AI3887" t="s">
        <v>7822</v>
      </c>
      <c r="AJ3887">
        <v>40.521375999999997</v>
      </c>
      <c r="AK3887" t="s">
        <v>7823</v>
      </c>
      <c r="AL3887">
        <v>-74.351005999999998</v>
      </c>
      <c r="AM3887">
        <v>100</v>
      </c>
      <c r="AN3887">
        <v>1000</v>
      </c>
      <c r="AO3887" t="s">
        <v>115</v>
      </c>
      <c r="AP3887">
        <v>46</v>
      </c>
      <c r="AQ3887">
        <v>96</v>
      </c>
      <c r="AR3887">
        <v>-64</v>
      </c>
      <c r="AZ3887">
        <v>3614</v>
      </c>
      <c r="BA3887">
        <v>1</v>
      </c>
      <c r="BB3887" t="str">
        <f t="shared" si="182"/>
        <v xml:space="preserve">N959MJ  </v>
      </c>
      <c r="BC3887">
        <v>1</v>
      </c>
      <c r="BE3887">
        <v>0</v>
      </c>
      <c r="BF3887">
        <v>0</v>
      </c>
      <c r="BG3887">
        <v>0</v>
      </c>
      <c r="BH3887">
        <v>1300</v>
      </c>
      <c r="BI3887">
        <v>300</v>
      </c>
      <c r="BJ3887">
        <v>1</v>
      </c>
      <c r="BK3887">
        <v>1</v>
      </c>
      <c r="BL3887">
        <v>1</v>
      </c>
      <c r="BM3887">
        <v>0</v>
      </c>
      <c r="BP3887">
        <v>0</v>
      </c>
      <c r="BQ3887">
        <v>0</v>
      </c>
      <c r="BX3887" t="str">
        <f>"14:55:12.789"</f>
        <v>14:55:12.789</v>
      </c>
      <c r="BY3887" t="str">
        <f>"791384959"</f>
        <v>791384959</v>
      </c>
      <c r="CL3887">
        <v>3</v>
      </c>
      <c r="CM3887">
        <v>2</v>
      </c>
      <c r="CN3887">
        <v>0</v>
      </c>
      <c r="CO3887">
        <v>2</v>
      </c>
      <c r="CP3887">
        <v>0</v>
      </c>
      <c r="CQ3887">
        <v>6</v>
      </c>
      <c r="CR3887" t="s">
        <v>116</v>
      </c>
      <c r="CS3887">
        <v>305</v>
      </c>
      <c r="CT3887">
        <v>3</v>
      </c>
      <c r="CU3887" t="s">
        <v>6425</v>
      </c>
      <c r="CV3887" t="s">
        <v>6426</v>
      </c>
      <c r="CY3887">
        <v>6599843</v>
      </c>
      <c r="CZ3887" t="s">
        <v>119</v>
      </c>
    </row>
    <row r="3888" spans="1:104" x14ac:dyDescent="0.25">
      <c r="A3888" t="str">
        <f>"14:55:13.961"</f>
        <v>14:55:13.961</v>
      </c>
      <c r="B3888" t="s">
        <v>108</v>
      </c>
      <c r="C3888" t="str">
        <f t="shared" si="181"/>
        <v>ffdfd3c0</v>
      </c>
      <c r="D3888" t="s">
        <v>109</v>
      </c>
      <c r="E3888">
        <v>4</v>
      </c>
      <c r="F3888">
        <v>1004</v>
      </c>
      <c r="G3888" t="s">
        <v>110</v>
      </c>
      <c r="J3888" t="s">
        <v>111</v>
      </c>
      <c r="K3888">
        <v>0</v>
      </c>
      <c r="L3888">
        <v>3</v>
      </c>
      <c r="M3888">
        <v>0</v>
      </c>
      <c r="N3888">
        <v>2</v>
      </c>
      <c r="O3888">
        <v>1</v>
      </c>
      <c r="P3888">
        <v>0</v>
      </c>
      <c r="Q3888">
        <v>0</v>
      </c>
      <c r="R3888" t="s">
        <v>112</v>
      </c>
      <c r="S3888" t="str">
        <f>"14:55:13.789"</f>
        <v>14:55:13.789</v>
      </c>
      <c r="T3888" t="str">
        <f>"14:55:13.289"</f>
        <v>14:55:13.289</v>
      </c>
      <c r="U3888" t="str">
        <f t="shared" si="180"/>
        <v>ad5732</v>
      </c>
      <c r="V3888">
        <v>0</v>
      </c>
      <c r="W3888">
        <v>0</v>
      </c>
      <c r="X3888">
        <v>1</v>
      </c>
      <c r="Z3888">
        <v>0</v>
      </c>
      <c r="AA3888">
        <v>9</v>
      </c>
      <c r="AB3888">
        <v>3</v>
      </c>
      <c r="AC3888">
        <v>0</v>
      </c>
      <c r="AD3888">
        <v>10</v>
      </c>
      <c r="AE3888">
        <v>0</v>
      </c>
      <c r="AF3888">
        <v>3</v>
      </c>
      <c r="AG3888">
        <v>2</v>
      </c>
      <c r="AH3888">
        <v>0</v>
      </c>
      <c r="AI3888" t="s">
        <v>7824</v>
      </c>
      <c r="AJ3888">
        <v>40.521827000000002</v>
      </c>
      <c r="AK3888" t="s">
        <v>7825</v>
      </c>
      <c r="AL3888">
        <v>-74.350769999999997</v>
      </c>
      <c r="AM3888">
        <v>100</v>
      </c>
      <c r="AN3888">
        <v>1000</v>
      </c>
      <c r="AO3888" t="s">
        <v>115</v>
      </c>
      <c r="AP3888">
        <v>46</v>
      </c>
      <c r="AQ3888">
        <v>96</v>
      </c>
      <c r="AR3888">
        <v>-64</v>
      </c>
      <c r="AZ3888">
        <v>3614</v>
      </c>
      <c r="BA3888">
        <v>1</v>
      </c>
      <c r="BB3888" t="str">
        <f t="shared" si="182"/>
        <v xml:space="preserve">N959MJ  </v>
      </c>
      <c r="BC3888">
        <v>1</v>
      </c>
      <c r="BE3888">
        <v>0</v>
      </c>
      <c r="BF3888">
        <v>0</v>
      </c>
      <c r="BG3888">
        <v>0</v>
      </c>
      <c r="BH3888">
        <v>1300</v>
      </c>
      <c r="BI3888">
        <v>300</v>
      </c>
      <c r="BJ3888">
        <v>1</v>
      </c>
      <c r="BK3888">
        <v>1</v>
      </c>
      <c r="BL3888">
        <v>1</v>
      </c>
      <c r="BM3888">
        <v>0</v>
      </c>
      <c r="BP3888">
        <v>0</v>
      </c>
      <c r="BQ3888">
        <v>0</v>
      </c>
      <c r="BX3888" t="str">
        <f>"14:55:13.789"</f>
        <v>14:55:13.789</v>
      </c>
      <c r="BY3888" t="str">
        <f>"789187993"</f>
        <v>789187993</v>
      </c>
      <c r="CL3888">
        <v>3</v>
      </c>
      <c r="CM3888">
        <v>2</v>
      </c>
      <c r="CN3888">
        <v>0</v>
      </c>
      <c r="CO3888">
        <v>2</v>
      </c>
      <c r="CP3888">
        <v>0</v>
      </c>
      <c r="CQ3888">
        <v>6</v>
      </c>
      <c r="CR3888" t="s">
        <v>116</v>
      </c>
      <c r="CS3888">
        <v>305</v>
      </c>
      <c r="CT3888">
        <v>3</v>
      </c>
      <c r="CU3888" t="s">
        <v>6425</v>
      </c>
      <c r="CV3888" t="s">
        <v>6426</v>
      </c>
      <c r="CY3888">
        <v>6601936</v>
      </c>
      <c r="CZ3888" t="s">
        <v>119</v>
      </c>
    </row>
    <row r="3889" spans="1:104" x14ac:dyDescent="0.25">
      <c r="A3889" t="str">
        <f>"14:55:14.820"</f>
        <v>14:55:14.820</v>
      </c>
      <c r="B3889" t="s">
        <v>108</v>
      </c>
      <c r="C3889" t="str">
        <f t="shared" si="181"/>
        <v>ffdfd3c0</v>
      </c>
      <c r="D3889" t="s">
        <v>109</v>
      </c>
      <c r="E3889">
        <v>4</v>
      </c>
      <c r="F3889">
        <v>1004</v>
      </c>
      <c r="G3889" t="s">
        <v>110</v>
      </c>
      <c r="J3889" t="s">
        <v>111</v>
      </c>
      <c r="K3889">
        <v>0</v>
      </c>
      <c r="L3889">
        <v>3</v>
      </c>
      <c r="M3889">
        <v>0</v>
      </c>
      <c r="N3889">
        <v>2</v>
      </c>
      <c r="O3889">
        <v>1</v>
      </c>
      <c r="P3889">
        <v>0</v>
      </c>
      <c r="Q3889">
        <v>0</v>
      </c>
      <c r="R3889" t="s">
        <v>112</v>
      </c>
      <c r="S3889" t="str">
        <f>"14:55:14.625"</f>
        <v>14:55:14.625</v>
      </c>
      <c r="T3889" t="str">
        <f>"14:55:14.227"</f>
        <v>14:55:14.227</v>
      </c>
      <c r="U3889" t="str">
        <f t="shared" si="180"/>
        <v>ad5732</v>
      </c>
      <c r="V3889">
        <v>0</v>
      </c>
      <c r="W3889">
        <v>0</v>
      </c>
      <c r="X3889">
        <v>1</v>
      </c>
      <c r="Z3889">
        <v>0</v>
      </c>
      <c r="AA3889">
        <v>9</v>
      </c>
      <c r="AB3889">
        <v>3</v>
      </c>
      <c r="AC3889">
        <v>0</v>
      </c>
      <c r="AD3889">
        <v>10</v>
      </c>
      <c r="AE3889">
        <v>0</v>
      </c>
      <c r="AF3889">
        <v>3</v>
      </c>
      <c r="AG3889">
        <v>2</v>
      </c>
      <c r="AH3889">
        <v>0</v>
      </c>
      <c r="AI3889" t="s">
        <v>7826</v>
      </c>
      <c r="AJ3889">
        <v>40.522191999999997</v>
      </c>
      <c r="AK3889" t="s">
        <v>7827</v>
      </c>
      <c r="AL3889">
        <v>-74.350532999999999</v>
      </c>
      <c r="AM3889">
        <v>100</v>
      </c>
      <c r="AN3889">
        <v>1000</v>
      </c>
      <c r="AO3889" t="s">
        <v>115</v>
      </c>
      <c r="AP3889">
        <v>45</v>
      </c>
      <c r="AQ3889">
        <v>96</v>
      </c>
      <c r="AR3889">
        <v>-64</v>
      </c>
      <c r="AZ3889">
        <v>3614</v>
      </c>
      <c r="BA3889">
        <v>1</v>
      </c>
      <c r="BB3889" t="str">
        <f t="shared" si="182"/>
        <v xml:space="preserve">N959MJ  </v>
      </c>
      <c r="BC3889">
        <v>1</v>
      </c>
      <c r="BE3889">
        <v>0</v>
      </c>
      <c r="BF3889">
        <v>0</v>
      </c>
      <c r="BG3889">
        <v>0</v>
      </c>
      <c r="BH3889">
        <v>1300</v>
      </c>
      <c r="BI3889">
        <v>300</v>
      </c>
      <c r="BJ3889">
        <v>1</v>
      </c>
      <c r="BK3889">
        <v>1</v>
      </c>
      <c r="BL3889">
        <v>1</v>
      </c>
      <c r="BM3889">
        <v>0</v>
      </c>
      <c r="BP3889">
        <v>0</v>
      </c>
      <c r="BQ3889">
        <v>0</v>
      </c>
      <c r="BX3889" t="str">
        <f>"14:55:14.633"</f>
        <v>14:55:14.633</v>
      </c>
      <c r="BY3889" t="str">
        <f>"629825137"</f>
        <v>629825137</v>
      </c>
      <c r="CL3889">
        <v>3</v>
      </c>
      <c r="CM3889">
        <v>2</v>
      </c>
      <c r="CN3889">
        <v>0</v>
      </c>
      <c r="CO3889">
        <v>2</v>
      </c>
      <c r="CP3889">
        <v>0</v>
      </c>
      <c r="CQ3889">
        <v>6</v>
      </c>
      <c r="CR3889" t="s">
        <v>116</v>
      </c>
      <c r="CS3889">
        <v>409</v>
      </c>
      <c r="CT3889">
        <v>1</v>
      </c>
      <c r="CU3889" t="s">
        <v>5087</v>
      </c>
      <c r="CV3889" t="s">
        <v>5088</v>
      </c>
      <c r="CY3889">
        <v>5134499</v>
      </c>
      <c r="CZ3889" t="s">
        <v>119</v>
      </c>
    </row>
    <row r="3890" spans="1:104" x14ac:dyDescent="0.25">
      <c r="A3890" t="str">
        <f>"14:55:15.680"</f>
        <v>14:55:15.680</v>
      </c>
      <c r="B3890" t="s">
        <v>108</v>
      </c>
      <c r="C3890" t="str">
        <f t="shared" si="181"/>
        <v>ffdfd3c0</v>
      </c>
      <c r="D3890" t="s">
        <v>109</v>
      </c>
      <c r="E3890">
        <v>4</v>
      </c>
      <c r="F3890">
        <v>1004</v>
      </c>
      <c r="G3890" t="s">
        <v>110</v>
      </c>
      <c r="J3890" t="s">
        <v>111</v>
      </c>
      <c r="K3890">
        <v>0</v>
      </c>
      <c r="L3890">
        <v>3</v>
      </c>
      <c r="M3890">
        <v>0</v>
      </c>
      <c r="N3890">
        <v>2</v>
      </c>
      <c r="O3890">
        <v>1</v>
      </c>
      <c r="P3890">
        <v>0</v>
      </c>
      <c r="Q3890">
        <v>0</v>
      </c>
      <c r="R3890" t="s">
        <v>112</v>
      </c>
      <c r="S3890" t="str">
        <f>"14:55:15.484"</f>
        <v>14:55:15.484</v>
      </c>
      <c r="T3890" t="str">
        <f>"14:55:15.086"</f>
        <v>14:55:15.086</v>
      </c>
      <c r="U3890" t="str">
        <f t="shared" si="180"/>
        <v>ad5732</v>
      </c>
      <c r="V3890">
        <v>0</v>
      </c>
      <c r="W3890">
        <v>0</v>
      </c>
      <c r="X3890">
        <v>1</v>
      </c>
      <c r="Z3890">
        <v>0</v>
      </c>
      <c r="AA3890">
        <v>9</v>
      </c>
      <c r="AB3890">
        <v>3</v>
      </c>
      <c r="AC3890">
        <v>0</v>
      </c>
      <c r="AD3890">
        <v>10</v>
      </c>
      <c r="AE3890">
        <v>0</v>
      </c>
      <c r="AF3890">
        <v>3</v>
      </c>
      <c r="AG3890">
        <v>2</v>
      </c>
      <c r="AH3890">
        <v>0</v>
      </c>
      <c r="AI3890" t="s">
        <v>7828</v>
      </c>
      <c r="AJ3890">
        <v>40.522599</v>
      </c>
      <c r="AK3890" t="s">
        <v>7829</v>
      </c>
      <c r="AL3890">
        <v>-74.350296999999998</v>
      </c>
      <c r="AM3890">
        <v>100</v>
      </c>
      <c r="AN3890">
        <v>1000</v>
      </c>
      <c r="AO3890" t="s">
        <v>115</v>
      </c>
      <c r="AP3890">
        <v>45</v>
      </c>
      <c r="AQ3890">
        <v>96</v>
      </c>
      <c r="AR3890">
        <v>64</v>
      </c>
      <c r="AZ3890">
        <v>3614</v>
      </c>
      <c r="BA3890">
        <v>1</v>
      </c>
      <c r="BB3890" t="str">
        <f t="shared" si="182"/>
        <v xml:space="preserve">N959MJ  </v>
      </c>
      <c r="BC3890">
        <v>1</v>
      </c>
      <c r="BE3890">
        <v>0</v>
      </c>
      <c r="BF3890">
        <v>0</v>
      </c>
      <c r="BG3890">
        <v>0</v>
      </c>
      <c r="BH3890">
        <v>1300</v>
      </c>
      <c r="BI3890">
        <v>300</v>
      </c>
      <c r="BJ3890">
        <v>1</v>
      </c>
      <c r="BK3890">
        <v>1</v>
      </c>
      <c r="BL3890">
        <v>1</v>
      </c>
      <c r="BM3890">
        <v>0</v>
      </c>
      <c r="BP3890">
        <v>0</v>
      </c>
      <c r="BQ3890">
        <v>0</v>
      </c>
      <c r="BX3890" t="str">
        <f>"14:55:15.484"</f>
        <v>14:55:15.484</v>
      </c>
      <c r="BY3890" t="str">
        <f>"486723370"</f>
        <v>486723370</v>
      </c>
      <c r="CL3890">
        <v>3</v>
      </c>
      <c r="CM3890">
        <v>2</v>
      </c>
      <c r="CN3890">
        <v>0</v>
      </c>
      <c r="CO3890">
        <v>2</v>
      </c>
      <c r="CP3890">
        <v>0</v>
      </c>
      <c r="CQ3890">
        <v>5</v>
      </c>
      <c r="CR3890" t="s">
        <v>116</v>
      </c>
      <c r="CS3890">
        <v>409</v>
      </c>
      <c r="CT3890">
        <v>1</v>
      </c>
      <c r="CU3890" t="s">
        <v>5087</v>
      </c>
      <c r="CV3890" t="s">
        <v>5088</v>
      </c>
      <c r="CY3890">
        <v>5136098</v>
      </c>
      <c r="CZ3890" t="s">
        <v>119</v>
      </c>
    </row>
    <row r="3891" spans="1:104" x14ac:dyDescent="0.25">
      <c r="A3891" t="str">
        <f>"14:55:16.586"</f>
        <v>14:55:16.586</v>
      </c>
      <c r="B3891" t="s">
        <v>108</v>
      </c>
      <c r="C3891" t="str">
        <f t="shared" si="181"/>
        <v>ffdfd3c0</v>
      </c>
      <c r="D3891" t="s">
        <v>109</v>
      </c>
      <c r="E3891">
        <v>4</v>
      </c>
      <c r="F3891">
        <v>1004</v>
      </c>
      <c r="G3891" t="s">
        <v>110</v>
      </c>
      <c r="J3891" t="s">
        <v>111</v>
      </c>
      <c r="K3891">
        <v>0</v>
      </c>
      <c r="L3891">
        <v>3</v>
      </c>
      <c r="M3891">
        <v>0</v>
      </c>
      <c r="N3891">
        <v>2</v>
      </c>
      <c r="O3891">
        <v>1</v>
      </c>
      <c r="P3891">
        <v>0</v>
      </c>
      <c r="Q3891">
        <v>0</v>
      </c>
      <c r="R3891" t="s">
        <v>112</v>
      </c>
      <c r="S3891" t="str">
        <f>"14:55:16.406"</f>
        <v>14:55:16.406</v>
      </c>
      <c r="T3891" t="str">
        <f>"14:55:16.008"</f>
        <v>14:55:16.008</v>
      </c>
      <c r="U3891" t="str">
        <f t="shared" si="180"/>
        <v>ad5732</v>
      </c>
      <c r="V3891">
        <v>0</v>
      </c>
      <c r="W3891">
        <v>0</v>
      </c>
      <c r="X3891">
        <v>1</v>
      </c>
      <c r="Z3891">
        <v>0</v>
      </c>
      <c r="AA3891">
        <v>9</v>
      </c>
      <c r="AB3891">
        <v>3</v>
      </c>
      <c r="AC3891">
        <v>0</v>
      </c>
      <c r="AD3891">
        <v>10</v>
      </c>
      <c r="AE3891">
        <v>0</v>
      </c>
      <c r="AF3891">
        <v>3</v>
      </c>
      <c r="AG3891">
        <v>2</v>
      </c>
      <c r="AH3891">
        <v>0</v>
      </c>
      <c r="AI3891" t="s">
        <v>7830</v>
      </c>
      <c r="AJ3891">
        <v>40.522984999999998</v>
      </c>
      <c r="AK3891" t="s">
        <v>7831</v>
      </c>
      <c r="AL3891">
        <v>-74.350040000000007</v>
      </c>
      <c r="AM3891">
        <v>100</v>
      </c>
      <c r="AN3891">
        <v>1000</v>
      </c>
      <c r="AO3891" t="s">
        <v>115</v>
      </c>
      <c r="AP3891">
        <v>44</v>
      </c>
      <c r="AQ3891">
        <v>96</v>
      </c>
      <c r="AR3891">
        <v>128</v>
      </c>
      <c r="AZ3891">
        <v>3614</v>
      </c>
      <c r="BA3891">
        <v>1</v>
      </c>
      <c r="BB3891" t="str">
        <f t="shared" si="182"/>
        <v xml:space="preserve">N959MJ  </v>
      </c>
      <c r="BC3891">
        <v>1</v>
      </c>
      <c r="BE3891">
        <v>0</v>
      </c>
      <c r="BF3891">
        <v>0</v>
      </c>
      <c r="BG3891">
        <v>0</v>
      </c>
      <c r="BH3891">
        <v>1300</v>
      </c>
      <c r="BI3891">
        <v>300</v>
      </c>
      <c r="BJ3891">
        <v>1</v>
      </c>
      <c r="BK3891">
        <v>1</v>
      </c>
      <c r="BL3891">
        <v>1</v>
      </c>
      <c r="BM3891">
        <v>0</v>
      </c>
      <c r="BP3891">
        <v>0</v>
      </c>
      <c r="BQ3891">
        <v>0</v>
      </c>
      <c r="BX3891" t="str">
        <f>"14:55:16.414"</f>
        <v>14:55:16.414</v>
      </c>
      <c r="BY3891" t="str">
        <f>"410674116"</f>
        <v>410674116</v>
      </c>
      <c r="CL3891">
        <v>3</v>
      </c>
      <c r="CM3891">
        <v>2</v>
      </c>
      <c r="CN3891">
        <v>0</v>
      </c>
      <c r="CO3891">
        <v>2</v>
      </c>
      <c r="CP3891">
        <v>0</v>
      </c>
      <c r="CQ3891">
        <v>6</v>
      </c>
      <c r="CR3891" t="s">
        <v>116</v>
      </c>
      <c r="CS3891">
        <v>305</v>
      </c>
      <c r="CT3891">
        <v>3</v>
      </c>
      <c r="CU3891" t="s">
        <v>6425</v>
      </c>
      <c r="CV3891" t="s">
        <v>6426</v>
      </c>
      <c r="CY3891">
        <v>6607298</v>
      </c>
      <c r="CZ3891" t="s">
        <v>119</v>
      </c>
    </row>
    <row r="3892" spans="1:104" x14ac:dyDescent="0.25">
      <c r="A3892" t="str">
        <f>"14:55:17.500"</f>
        <v>14:55:17.500</v>
      </c>
      <c r="B3892" t="s">
        <v>108</v>
      </c>
      <c r="C3892" t="str">
        <f t="shared" si="181"/>
        <v>ffdfd3c0</v>
      </c>
      <c r="D3892" t="s">
        <v>109</v>
      </c>
      <c r="E3892">
        <v>4</v>
      </c>
      <c r="F3892">
        <v>1004</v>
      </c>
      <c r="G3892" t="s">
        <v>110</v>
      </c>
      <c r="J3892" t="s">
        <v>111</v>
      </c>
      <c r="K3892">
        <v>0</v>
      </c>
      <c r="L3892">
        <v>3</v>
      </c>
      <c r="M3892">
        <v>0</v>
      </c>
      <c r="N3892">
        <v>2</v>
      </c>
      <c r="O3892">
        <v>1</v>
      </c>
      <c r="P3892">
        <v>0</v>
      </c>
      <c r="Q3892">
        <v>0</v>
      </c>
      <c r="R3892" t="s">
        <v>112</v>
      </c>
      <c r="S3892" t="str">
        <f>"14:55:17.313"</f>
        <v>14:55:17.313</v>
      </c>
      <c r="T3892" t="str">
        <f>"14:55:16.914"</f>
        <v>14:55:16.914</v>
      </c>
      <c r="U3892" t="str">
        <f t="shared" si="180"/>
        <v>ad5732</v>
      </c>
      <c r="V3892">
        <v>0</v>
      </c>
      <c r="W3892">
        <v>0</v>
      </c>
      <c r="X3892">
        <v>1</v>
      </c>
      <c r="Z3892">
        <v>0</v>
      </c>
      <c r="AA3892">
        <v>9</v>
      </c>
      <c r="AB3892">
        <v>3</v>
      </c>
      <c r="AC3892">
        <v>0</v>
      </c>
      <c r="AD3892">
        <v>10</v>
      </c>
      <c r="AE3892">
        <v>0</v>
      </c>
      <c r="AF3892">
        <v>3</v>
      </c>
      <c r="AG3892">
        <v>2</v>
      </c>
      <c r="AH3892">
        <v>0</v>
      </c>
      <c r="AI3892" t="s">
        <v>7832</v>
      </c>
      <c r="AJ3892">
        <v>40.523392999999999</v>
      </c>
      <c r="AK3892" t="s">
        <v>7833</v>
      </c>
      <c r="AL3892">
        <v>-74.349846999999997</v>
      </c>
      <c r="AM3892">
        <v>100</v>
      </c>
      <c r="AN3892">
        <v>1000</v>
      </c>
      <c r="AO3892" t="s">
        <v>115</v>
      </c>
      <c r="AP3892">
        <v>43</v>
      </c>
      <c r="AQ3892">
        <v>96</v>
      </c>
      <c r="AR3892">
        <v>64</v>
      </c>
      <c r="AZ3892">
        <v>3614</v>
      </c>
      <c r="BA3892">
        <v>1</v>
      </c>
      <c r="BB3892" t="str">
        <f t="shared" si="182"/>
        <v xml:space="preserve">N959MJ  </v>
      </c>
      <c r="BC3892">
        <v>1</v>
      </c>
      <c r="BE3892">
        <v>0</v>
      </c>
      <c r="BF3892">
        <v>0</v>
      </c>
      <c r="BG3892">
        <v>0</v>
      </c>
      <c r="BH3892">
        <v>1300</v>
      </c>
      <c r="BI3892">
        <v>300</v>
      </c>
      <c r="BJ3892">
        <v>1</v>
      </c>
      <c r="BK3892">
        <v>1</v>
      </c>
      <c r="BL3892">
        <v>1</v>
      </c>
      <c r="BM3892">
        <v>0</v>
      </c>
      <c r="BP3892">
        <v>0</v>
      </c>
      <c r="BQ3892">
        <v>0</v>
      </c>
      <c r="BX3892" t="str">
        <f>"14:55:17.320"</f>
        <v>14:55:17.320</v>
      </c>
      <c r="BY3892" t="str">
        <f>"320002114"</f>
        <v>320002114</v>
      </c>
      <c r="CL3892">
        <v>3</v>
      </c>
      <c r="CM3892">
        <v>2</v>
      </c>
      <c r="CN3892">
        <v>0</v>
      </c>
      <c r="CO3892">
        <v>2</v>
      </c>
      <c r="CP3892">
        <v>0</v>
      </c>
      <c r="CQ3892">
        <v>6</v>
      </c>
      <c r="CR3892" t="s">
        <v>116</v>
      </c>
      <c r="CS3892">
        <v>305</v>
      </c>
      <c r="CT3892">
        <v>3</v>
      </c>
      <c r="CU3892" t="s">
        <v>6425</v>
      </c>
      <c r="CV3892" t="s">
        <v>6426</v>
      </c>
      <c r="CY3892">
        <v>6609201</v>
      </c>
      <c r="CZ3892" t="s">
        <v>119</v>
      </c>
    </row>
    <row r="3893" spans="1:104" x14ac:dyDescent="0.25">
      <c r="A3893" t="str">
        <f>"14:55:18.508"</f>
        <v>14:55:18.508</v>
      </c>
      <c r="B3893" t="s">
        <v>108</v>
      </c>
      <c r="C3893" t="str">
        <f t="shared" si="181"/>
        <v>ffdfd3c0</v>
      </c>
      <c r="D3893" t="s">
        <v>109</v>
      </c>
      <c r="E3893">
        <v>4</v>
      </c>
      <c r="F3893">
        <v>1004</v>
      </c>
      <c r="G3893" t="s">
        <v>110</v>
      </c>
      <c r="J3893" t="s">
        <v>111</v>
      </c>
      <c r="K3893">
        <v>0</v>
      </c>
      <c r="L3893">
        <v>3</v>
      </c>
      <c r="M3893">
        <v>0</v>
      </c>
      <c r="N3893">
        <v>2</v>
      </c>
      <c r="O3893">
        <v>1</v>
      </c>
      <c r="P3893">
        <v>0</v>
      </c>
      <c r="Q3893">
        <v>0</v>
      </c>
      <c r="R3893" t="s">
        <v>112</v>
      </c>
      <c r="S3893" t="str">
        <f>"14:55:18.344"</f>
        <v>14:55:18.344</v>
      </c>
      <c r="T3893" t="str">
        <f>"14:55:17.945"</f>
        <v>14:55:17.945</v>
      </c>
      <c r="U3893" t="str">
        <f t="shared" si="180"/>
        <v>ad5732</v>
      </c>
      <c r="V3893">
        <v>0</v>
      </c>
      <c r="W3893">
        <v>0</v>
      </c>
      <c r="X3893">
        <v>1</v>
      </c>
      <c r="Z3893">
        <v>0</v>
      </c>
      <c r="AA3893">
        <v>9</v>
      </c>
      <c r="AB3893">
        <v>3</v>
      </c>
      <c r="AC3893">
        <v>0</v>
      </c>
      <c r="AD3893">
        <v>10</v>
      </c>
      <c r="AE3893">
        <v>0</v>
      </c>
      <c r="AF3893">
        <v>3</v>
      </c>
      <c r="AG3893">
        <v>2</v>
      </c>
      <c r="AH3893">
        <v>0</v>
      </c>
      <c r="AI3893" t="s">
        <v>7834</v>
      </c>
      <c r="AJ3893">
        <v>40.523887000000002</v>
      </c>
      <c r="AK3893" t="s">
        <v>7835</v>
      </c>
      <c r="AL3893">
        <v>-74.349546000000004</v>
      </c>
      <c r="AM3893">
        <v>100</v>
      </c>
      <c r="AN3893">
        <v>1000</v>
      </c>
      <c r="AO3893" t="s">
        <v>115</v>
      </c>
      <c r="AP3893">
        <v>43</v>
      </c>
      <c r="AQ3893">
        <v>96</v>
      </c>
      <c r="AR3893">
        <v>0</v>
      </c>
      <c r="AZ3893">
        <v>3614</v>
      </c>
      <c r="BA3893">
        <v>1</v>
      </c>
      <c r="BB3893" t="str">
        <f t="shared" si="182"/>
        <v xml:space="preserve">N959MJ  </v>
      </c>
      <c r="BC3893">
        <v>1</v>
      </c>
      <c r="BE3893">
        <v>0</v>
      </c>
      <c r="BF3893">
        <v>0</v>
      </c>
      <c r="BG3893">
        <v>0</v>
      </c>
      <c r="BH3893">
        <v>1300</v>
      </c>
      <c r="BI3893">
        <v>300</v>
      </c>
      <c r="BJ3893">
        <v>1</v>
      </c>
      <c r="BK3893">
        <v>1</v>
      </c>
      <c r="BL3893">
        <v>1</v>
      </c>
      <c r="BM3893">
        <v>0</v>
      </c>
      <c r="BP3893">
        <v>0</v>
      </c>
      <c r="BQ3893">
        <v>0</v>
      </c>
      <c r="BX3893" t="str">
        <f>"14:55:18.344"</f>
        <v>14:55:18.344</v>
      </c>
      <c r="BY3893" t="str">
        <f>"344020067"</f>
        <v>344020067</v>
      </c>
      <c r="CL3893">
        <v>3</v>
      </c>
      <c r="CM3893">
        <v>2</v>
      </c>
      <c r="CN3893">
        <v>0</v>
      </c>
      <c r="CO3893">
        <v>2</v>
      </c>
      <c r="CP3893">
        <v>0</v>
      </c>
      <c r="CQ3893">
        <v>6</v>
      </c>
      <c r="CR3893" t="s">
        <v>116</v>
      </c>
      <c r="CS3893">
        <v>305</v>
      </c>
      <c r="CT3893">
        <v>3</v>
      </c>
      <c r="CU3893" t="s">
        <v>6425</v>
      </c>
      <c r="CV3893" t="s">
        <v>6426</v>
      </c>
      <c r="CY3893">
        <v>6611218</v>
      </c>
      <c r="CZ3893" t="s">
        <v>119</v>
      </c>
    </row>
    <row r="3894" spans="1:104" x14ac:dyDescent="0.25">
      <c r="A3894" t="str">
        <f>"14:55:19.367"</f>
        <v>14:55:19.367</v>
      </c>
      <c r="B3894" t="s">
        <v>108</v>
      </c>
      <c r="C3894" t="str">
        <f t="shared" si="181"/>
        <v>ffdfd3c0</v>
      </c>
      <c r="D3894" t="s">
        <v>109</v>
      </c>
      <c r="E3894">
        <v>4</v>
      </c>
      <c r="F3894">
        <v>1004</v>
      </c>
      <c r="G3894" t="s">
        <v>110</v>
      </c>
      <c r="J3894" t="s">
        <v>111</v>
      </c>
      <c r="K3894">
        <v>0</v>
      </c>
      <c r="L3894">
        <v>3</v>
      </c>
      <c r="M3894">
        <v>0</v>
      </c>
      <c r="N3894">
        <v>2</v>
      </c>
      <c r="O3894">
        <v>1</v>
      </c>
      <c r="P3894">
        <v>0</v>
      </c>
      <c r="Q3894">
        <v>0</v>
      </c>
      <c r="R3894" t="s">
        <v>112</v>
      </c>
      <c r="S3894" t="str">
        <f>"14:55:19.164"</f>
        <v>14:55:19.164</v>
      </c>
      <c r="T3894" t="str">
        <f>"14:55:18.766"</f>
        <v>14:55:18.766</v>
      </c>
      <c r="U3894" t="str">
        <f t="shared" si="180"/>
        <v>ad5732</v>
      </c>
      <c r="V3894">
        <v>0</v>
      </c>
      <c r="W3894">
        <v>0</v>
      </c>
      <c r="X3894">
        <v>1</v>
      </c>
      <c r="Z3894">
        <v>0</v>
      </c>
      <c r="AA3894">
        <v>9</v>
      </c>
      <c r="AB3894">
        <v>3</v>
      </c>
      <c r="AC3894">
        <v>0</v>
      </c>
      <c r="AD3894">
        <v>10</v>
      </c>
      <c r="AE3894">
        <v>0</v>
      </c>
      <c r="AF3894">
        <v>3</v>
      </c>
      <c r="AG3894">
        <v>2</v>
      </c>
      <c r="AH3894">
        <v>0</v>
      </c>
      <c r="AI3894" t="s">
        <v>7836</v>
      </c>
      <c r="AJ3894">
        <v>40.524251</v>
      </c>
      <c r="AK3894" t="s">
        <v>7837</v>
      </c>
      <c r="AL3894">
        <v>-74.349310000000003</v>
      </c>
      <c r="AM3894">
        <v>100</v>
      </c>
      <c r="AN3894">
        <v>1000</v>
      </c>
      <c r="AO3894" t="s">
        <v>115</v>
      </c>
      <c r="AP3894">
        <v>43</v>
      </c>
      <c r="AQ3894">
        <v>96</v>
      </c>
      <c r="AR3894">
        <v>0</v>
      </c>
      <c r="AZ3894">
        <v>3614</v>
      </c>
      <c r="BA3894">
        <v>1</v>
      </c>
      <c r="BB3894" t="str">
        <f t="shared" si="182"/>
        <v xml:space="preserve">N959MJ  </v>
      </c>
      <c r="BC3894">
        <v>1</v>
      </c>
      <c r="BE3894">
        <v>0</v>
      </c>
      <c r="BF3894">
        <v>0</v>
      </c>
      <c r="BG3894">
        <v>0</v>
      </c>
      <c r="BH3894">
        <v>1300</v>
      </c>
      <c r="BI3894">
        <v>300</v>
      </c>
      <c r="BJ3894">
        <v>1</v>
      </c>
      <c r="BK3894">
        <v>1</v>
      </c>
      <c r="BL3894">
        <v>1</v>
      </c>
      <c r="BM3894">
        <v>0</v>
      </c>
      <c r="BP3894">
        <v>0</v>
      </c>
      <c r="BQ3894">
        <v>0</v>
      </c>
      <c r="BX3894" t="str">
        <f>"14:55:19.172"</f>
        <v>14:55:19.172</v>
      </c>
      <c r="BY3894" t="str">
        <f>"171426677"</f>
        <v>171426677</v>
      </c>
      <c r="CL3894">
        <v>3</v>
      </c>
      <c r="CM3894">
        <v>2</v>
      </c>
      <c r="CN3894">
        <v>0</v>
      </c>
      <c r="CO3894">
        <v>2</v>
      </c>
      <c r="CP3894">
        <v>0</v>
      </c>
      <c r="CQ3894">
        <v>6</v>
      </c>
      <c r="CR3894" t="s">
        <v>116</v>
      </c>
      <c r="CS3894">
        <v>305</v>
      </c>
      <c r="CT3894">
        <v>3</v>
      </c>
      <c r="CU3894" t="s">
        <v>6425</v>
      </c>
      <c r="CV3894" t="s">
        <v>6426</v>
      </c>
      <c r="CY3894">
        <v>6612993</v>
      </c>
      <c r="CZ3894" t="s">
        <v>119</v>
      </c>
    </row>
    <row r="3895" spans="1:104" x14ac:dyDescent="0.25">
      <c r="A3895" t="str">
        <f>"14:55:20.375"</f>
        <v>14:55:20.375</v>
      </c>
      <c r="B3895" t="s">
        <v>108</v>
      </c>
      <c r="C3895" t="str">
        <f t="shared" si="181"/>
        <v>ffdfd3c0</v>
      </c>
      <c r="D3895" t="s">
        <v>109</v>
      </c>
      <c r="E3895">
        <v>4</v>
      </c>
      <c r="F3895">
        <v>1004</v>
      </c>
      <c r="G3895" t="s">
        <v>110</v>
      </c>
      <c r="J3895" t="s">
        <v>111</v>
      </c>
      <c r="K3895">
        <v>0</v>
      </c>
      <c r="L3895">
        <v>3</v>
      </c>
      <c r="M3895">
        <v>0</v>
      </c>
      <c r="N3895">
        <v>2</v>
      </c>
      <c r="O3895">
        <v>1</v>
      </c>
      <c r="P3895">
        <v>0</v>
      </c>
      <c r="Q3895">
        <v>0</v>
      </c>
      <c r="R3895" t="s">
        <v>112</v>
      </c>
      <c r="S3895" t="str">
        <f>"14:55:20.195"</f>
        <v>14:55:20.195</v>
      </c>
      <c r="T3895" t="str">
        <f>"14:55:19.695"</f>
        <v>14:55:19.695</v>
      </c>
      <c r="U3895" t="str">
        <f t="shared" si="180"/>
        <v>ad5732</v>
      </c>
      <c r="V3895">
        <v>0</v>
      </c>
      <c r="W3895">
        <v>0</v>
      </c>
      <c r="X3895">
        <v>1</v>
      </c>
      <c r="Z3895">
        <v>0</v>
      </c>
      <c r="AA3895">
        <v>9</v>
      </c>
      <c r="AB3895">
        <v>3</v>
      </c>
      <c r="AC3895">
        <v>0</v>
      </c>
      <c r="AD3895">
        <v>10</v>
      </c>
      <c r="AE3895">
        <v>0</v>
      </c>
      <c r="AF3895">
        <v>3</v>
      </c>
      <c r="AG3895">
        <v>2</v>
      </c>
      <c r="AH3895">
        <v>0</v>
      </c>
      <c r="AI3895" t="s">
        <v>7838</v>
      </c>
      <c r="AJ3895">
        <v>40.524681000000001</v>
      </c>
      <c r="AK3895" t="s">
        <v>7839</v>
      </c>
      <c r="AL3895">
        <v>-74.349052999999998</v>
      </c>
      <c r="AM3895">
        <v>100</v>
      </c>
      <c r="AN3895">
        <v>1000</v>
      </c>
      <c r="AO3895" t="s">
        <v>115</v>
      </c>
      <c r="AP3895">
        <v>43</v>
      </c>
      <c r="AQ3895">
        <v>95</v>
      </c>
      <c r="AR3895">
        <v>64</v>
      </c>
      <c r="AZ3895">
        <v>3614</v>
      </c>
      <c r="BA3895">
        <v>1</v>
      </c>
      <c r="BB3895" t="str">
        <f t="shared" si="182"/>
        <v xml:space="preserve">N959MJ  </v>
      </c>
      <c r="BC3895">
        <v>1</v>
      </c>
      <c r="BE3895">
        <v>0</v>
      </c>
      <c r="BF3895">
        <v>0</v>
      </c>
      <c r="BG3895">
        <v>0</v>
      </c>
      <c r="BH3895">
        <v>1300</v>
      </c>
      <c r="BI3895">
        <v>300</v>
      </c>
      <c r="BJ3895">
        <v>1</v>
      </c>
      <c r="BK3895">
        <v>1</v>
      </c>
      <c r="BL3895">
        <v>1</v>
      </c>
      <c r="BM3895">
        <v>0</v>
      </c>
      <c r="BP3895">
        <v>0</v>
      </c>
      <c r="BQ3895">
        <v>0</v>
      </c>
      <c r="BX3895" t="str">
        <f>"14:55:20.203"</f>
        <v>14:55:20.203</v>
      </c>
      <c r="BY3895" t="str">
        <f>"201998395"</f>
        <v>201998395</v>
      </c>
      <c r="CL3895">
        <v>3</v>
      </c>
      <c r="CM3895">
        <v>2</v>
      </c>
      <c r="CN3895">
        <v>0</v>
      </c>
      <c r="CO3895">
        <v>2</v>
      </c>
      <c r="CP3895">
        <v>0</v>
      </c>
      <c r="CQ3895">
        <v>6</v>
      </c>
      <c r="CR3895" t="s">
        <v>116</v>
      </c>
      <c r="CS3895">
        <v>305</v>
      </c>
      <c r="CT3895">
        <v>3</v>
      </c>
      <c r="CU3895" t="s">
        <v>6425</v>
      </c>
      <c r="CV3895" t="s">
        <v>6426</v>
      </c>
      <c r="CY3895">
        <v>6615077</v>
      </c>
      <c r="CZ3895" t="s">
        <v>119</v>
      </c>
    </row>
    <row r="3896" spans="1:104" x14ac:dyDescent="0.25">
      <c r="A3896" t="str">
        <f>"14:55:21.484"</f>
        <v>14:55:21.484</v>
      </c>
      <c r="B3896" t="s">
        <v>108</v>
      </c>
      <c r="C3896" t="str">
        <f t="shared" si="181"/>
        <v>ffdfd3c0</v>
      </c>
      <c r="D3896" t="s">
        <v>109</v>
      </c>
      <c r="E3896">
        <v>4</v>
      </c>
      <c r="F3896">
        <v>1004</v>
      </c>
      <c r="G3896" t="s">
        <v>110</v>
      </c>
      <c r="J3896" t="s">
        <v>111</v>
      </c>
      <c r="K3896">
        <v>0</v>
      </c>
      <c r="L3896">
        <v>3</v>
      </c>
      <c r="M3896">
        <v>0</v>
      </c>
      <c r="N3896">
        <v>2</v>
      </c>
      <c r="O3896">
        <v>1</v>
      </c>
      <c r="P3896">
        <v>0</v>
      </c>
      <c r="Q3896">
        <v>0</v>
      </c>
      <c r="R3896" t="s">
        <v>112</v>
      </c>
      <c r="S3896" t="str">
        <f>"14:55:21.289"</f>
        <v>14:55:21.289</v>
      </c>
      <c r="T3896" t="str">
        <f>"14:55:20.289"</f>
        <v>14:55:20.289</v>
      </c>
      <c r="U3896" t="str">
        <f t="shared" si="180"/>
        <v>ad5732</v>
      </c>
      <c r="V3896">
        <v>0</v>
      </c>
      <c r="W3896">
        <v>0</v>
      </c>
      <c r="X3896">
        <v>1</v>
      </c>
      <c r="Z3896">
        <v>0</v>
      </c>
      <c r="AA3896">
        <v>9</v>
      </c>
      <c r="AB3896">
        <v>3</v>
      </c>
      <c r="AC3896">
        <v>0</v>
      </c>
      <c r="AD3896">
        <v>10</v>
      </c>
      <c r="AE3896">
        <v>0</v>
      </c>
      <c r="AF3896">
        <v>3</v>
      </c>
      <c r="AG3896">
        <v>2</v>
      </c>
      <c r="AH3896">
        <v>0</v>
      </c>
      <c r="AI3896" t="s">
        <v>7840</v>
      </c>
      <c r="AJ3896">
        <v>40.525174</v>
      </c>
      <c r="AK3896" t="s">
        <v>7841</v>
      </c>
      <c r="AL3896">
        <v>-74.348794999999996</v>
      </c>
      <c r="AM3896">
        <v>100</v>
      </c>
      <c r="AN3896">
        <v>1000</v>
      </c>
      <c r="AO3896" t="s">
        <v>115</v>
      </c>
      <c r="AP3896">
        <v>43</v>
      </c>
      <c r="AQ3896">
        <v>95</v>
      </c>
      <c r="AR3896">
        <v>0</v>
      </c>
      <c r="AZ3896">
        <v>3614</v>
      </c>
      <c r="BA3896">
        <v>1</v>
      </c>
      <c r="BB3896" t="str">
        <f t="shared" si="182"/>
        <v xml:space="preserve">N959MJ  </v>
      </c>
      <c r="BC3896">
        <v>1</v>
      </c>
      <c r="BE3896">
        <v>0</v>
      </c>
      <c r="BF3896">
        <v>0</v>
      </c>
      <c r="BG3896">
        <v>0</v>
      </c>
      <c r="BH3896">
        <v>1300</v>
      </c>
      <c r="BI3896">
        <v>300</v>
      </c>
      <c r="BJ3896">
        <v>1</v>
      </c>
      <c r="BK3896">
        <v>1</v>
      </c>
      <c r="BL3896">
        <v>1</v>
      </c>
      <c r="BM3896">
        <v>0</v>
      </c>
      <c r="BP3896">
        <v>0</v>
      </c>
      <c r="BQ3896">
        <v>0</v>
      </c>
      <c r="BX3896" t="str">
        <f>"14:55:21.289"</f>
        <v>14:55:21.289</v>
      </c>
      <c r="BY3896" t="str">
        <f>"289915138"</f>
        <v>289915138</v>
      </c>
      <c r="CL3896">
        <v>3</v>
      </c>
      <c r="CM3896">
        <v>2</v>
      </c>
      <c r="CN3896">
        <v>0</v>
      </c>
      <c r="CO3896">
        <v>2</v>
      </c>
      <c r="CP3896">
        <v>0</v>
      </c>
      <c r="CQ3896">
        <v>6</v>
      </c>
      <c r="CR3896" t="s">
        <v>116</v>
      </c>
      <c r="CS3896">
        <v>305</v>
      </c>
      <c r="CT3896">
        <v>3</v>
      </c>
      <c r="CU3896" t="s">
        <v>6425</v>
      </c>
      <c r="CV3896" t="s">
        <v>6426</v>
      </c>
      <c r="CY3896">
        <v>6617403</v>
      </c>
      <c r="CZ3896" t="s">
        <v>119</v>
      </c>
    </row>
    <row r="3897" spans="1:104" x14ac:dyDescent="0.25">
      <c r="A3897" t="str">
        <f>"14:55:22.500"</f>
        <v>14:55:22.500</v>
      </c>
      <c r="B3897" t="s">
        <v>108</v>
      </c>
      <c r="C3897" t="str">
        <f t="shared" si="181"/>
        <v>ffdfd3c0</v>
      </c>
      <c r="D3897" t="s">
        <v>109</v>
      </c>
      <c r="E3897">
        <v>4</v>
      </c>
      <c r="F3897">
        <v>1004</v>
      </c>
      <c r="G3897" t="s">
        <v>110</v>
      </c>
      <c r="J3897" t="s">
        <v>111</v>
      </c>
      <c r="K3897">
        <v>0</v>
      </c>
      <c r="L3897">
        <v>3</v>
      </c>
      <c r="M3897">
        <v>0</v>
      </c>
      <c r="N3897">
        <v>2</v>
      </c>
      <c r="O3897">
        <v>1</v>
      </c>
      <c r="P3897">
        <v>0</v>
      </c>
      <c r="Q3897">
        <v>0</v>
      </c>
      <c r="R3897" t="s">
        <v>112</v>
      </c>
      <c r="S3897" t="str">
        <f>"14:55:22.352"</f>
        <v>14:55:22.352</v>
      </c>
      <c r="T3897" t="str">
        <f>"14:55:21.852"</f>
        <v>14:55:21.852</v>
      </c>
      <c r="U3897" t="str">
        <f t="shared" si="180"/>
        <v>ad5732</v>
      </c>
      <c r="V3897">
        <v>0</v>
      </c>
      <c r="W3897">
        <v>0</v>
      </c>
      <c r="X3897">
        <v>1</v>
      </c>
      <c r="Z3897">
        <v>0</v>
      </c>
      <c r="AA3897">
        <v>9</v>
      </c>
      <c r="AB3897">
        <v>3</v>
      </c>
      <c r="AC3897">
        <v>0</v>
      </c>
      <c r="AD3897">
        <v>10</v>
      </c>
      <c r="AE3897">
        <v>0</v>
      </c>
      <c r="AF3897">
        <v>3</v>
      </c>
      <c r="AG3897">
        <v>2</v>
      </c>
      <c r="AH3897">
        <v>0</v>
      </c>
      <c r="AI3897" t="s">
        <v>7842</v>
      </c>
      <c r="AJ3897">
        <v>40.525624999999998</v>
      </c>
      <c r="AK3897" t="s">
        <v>7843</v>
      </c>
      <c r="AL3897">
        <v>-74.348516000000004</v>
      </c>
      <c r="AM3897">
        <v>100</v>
      </c>
      <c r="AN3897">
        <v>1000</v>
      </c>
      <c r="AO3897" t="s">
        <v>115</v>
      </c>
      <c r="AP3897">
        <v>43</v>
      </c>
      <c r="AQ3897">
        <v>95</v>
      </c>
      <c r="AR3897">
        <v>0</v>
      </c>
      <c r="AZ3897">
        <v>3614</v>
      </c>
      <c r="BA3897">
        <v>1</v>
      </c>
      <c r="BB3897" t="str">
        <f t="shared" si="182"/>
        <v xml:space="preserve">N959MJ  </v>
      </c>
      <c r="BC3897">
        <v>1</v>
      </c>
      <c r="BE3897">
        <v>0</v>
      </c>
      <c r="BF3897">
        <v>0</v>
      </c>
      <c r="BG3897">
        <v>0</v>
      </c>
      <c r="BH3897">
        <v>1300</v>
      </c>
      <c r="BI3897">
        <v>300</v>
      </c>
      <c r="BJ3897">
        <v>1</v>
      </c>
      <c r="BK3897">
        <v>1</v>
      </c>
      <c r="BL3897">
        <v>1</v>
      </c>
      <c r="BM3897">
        <v>0</v>
      </c>
      <c r="BP3897">
        <v>0</v>
      </c>
      <c r="BQ3897">
        <v>0</v>
      </c>
      <c r="BX3897" t="str">
        <f>"14:55:22.352"</f>
        <v>14:55:22.352</v>
      </c>
      <c r="BY3897" t="str">
        <f>"353255460"</f>
        <v>353255460</v>
      </c>
      <c r="CL3897">
        <v>3</v>
      </c>
      <c r="CM3897">
        <v>2</v>
      </c>
      <c r="CN3897">
        <v>0</v>
      </c>
      <c r="CO3897">
        <v>2</v>
      </c>
      <c r="CP3897">
        <v>0</v>
      </c>
      <c r="CQ3897">
        <v>6</v>
      </c>
      <c r="CR3897" t="s">
        <v>116</v>
      </c>
      <c r="CS3897">
        <v>305</v>
      </c>
      <c r="CT3897">
        <v>3</v>
      </c>
      <c r="CU3897" t="s">
        <v>6425</v>
      </c>
      <c r="CV3897" t="s">
        <v>6426</v>
      </c>
      <c r="CY3897">
        <v>6619634</v>
      </c>
      <c r="CZ3897" t="s">
        <v>119</v>
      </c>
    </row>
    <row r="3898" spans="1:104" x14ac:dyDescent="0.25">
      <c r="A3898" t="str">
        <f>"14:55:23.406"</f>
        <v>14:55:23.406</v>
      </c>
      <c r="B3898" t="s">
        <v>108</v>
      </c>
      <c r="C3898" t="str">
        <f t="shared" si="181"/>
        <v>ffdfd3c0</v>
      </c>
      <c r="D3898" t="s">
        <v>109</v>
      </c>
      <c r="E3898">
        <v>4</v>
      </c>
      <c r="F3898">
        <v>1004</v>
      </c>
      <c r="G3898" t="s">
        <v>110</v>
      </c>
      <c r="J3898" t="s">
        <v>111</v>
      </c>
      <c r="K3898">
        <v>0</v>
      </c>
      <c r="L3898">
        <v>3</v>
      </c>
      <c r="M3898">
        <v>0</v>
      </c>
      <c r="N3898">
        <v>2</v>
      </c>
      <c r="O3898">
        <v>1</v>
      </c>
      <c r="P3898">
        <v>0</v>
      </c>
      <c r="Q3898">
        <v>0</v>
      </c>
      <c r="R3898" t="s">
        <v>112</v>
      </c>
      <c r="S3898" t="str">
        <f>"14:55:23.227"</f>
        <v>14:55:23.227</v>
      </c>
      <c r="T3898" t="str">
        <f>"14:55:22.828"</f>
        <v>14:55:22.828</v>
      </c>
      <c r="U3898" t="str">
        <f t="shared" si="180"/>
        <v>ad5732</v>
      </c>
      <c r="V3898">
        <v>0</v>
      </c>
      <c r="W3898">
        <v>0</v>
      </c>
      <c r="X3898">
        <v>1</v>
      </c>
      <c r="Z3898">
        <v>0</v>
      </c>
      <c r="AA3898">
        <v>9</v>
      </c>
      <c r="AB3898">
        <v>3</v>
      </c>
      <c r="AC3898">
        <v>0</v>
      </c>
      <c r="AD3898">
        <v>10</v>
      </c>
      <c r="AE3898">
        <v>0</v>
      </c>
      <c r="AF3898">
        <v>3</v>
      </c>
      <c r="AG3898">
        <v>2</v>
      </c>
      <c r="AH3898">
        <v>0</v>
      </c>
      <c r="AI3898" t="s">
        <v>7844</v>
      </c>
      <c r="AJ3898">
        <v>40.526010999999997</v>
      </c>
      <c r="AK3898" t="s">
        <v>7845</v>
      </c>
      <c r="AL3898">
        <v>-74.348258999999999</v>
      </c>
      <c r="AM3898">
        <v>100</v>
      </c>
      <c r="AN3898">
        <v>1000</v>
      </c>
      <c r="AO3898" t="s">
        <v>115</v>
      </c>
      <c r="AP3898">
        <v>43</v>
      </c>
      <c r="AQ3898">
        <v>94</v>
      </c>
      <c r="AR3898">
        <v>64</v>
      </c>
      <c r="AZ3898">
        <v>3614</v>
      </c>
      <c r="BA3898">
        <v>1</v>
      </c>
      <c r="BB3898" t="str">
        <f t="shared" si="182"/>
        <v xml:space="preserve">N959MJ  </v>
      </c>
      <c r="BC3898">
        <v>1</v>
      </c>
      <c r="BE3898">
        <v>0</v>
      </c>
      <c r="BF3898">
        <v>0</v>
      </c>
      <c r="BG3898">
        <v>0</v>
      </c>
      <c r="BH3898">
        <v>1300</v>
      </c>
      <c r="BI3898">
        <v>300</v>
      </c>
      <c r="BJ3898">
        <v>1</v>
      </c>
      <c r="BK3898">
        <v>1</v>
      </c>
      <c r="BL3898">
        <v>1</v>
      </c>
      <c r="BM3898">
        <v>0</v>
      </c>
      <c r="BP3898">
        <v>0</v>
      </c>
      <c r="BQ3898">
        <v>0</v>
      </c>
      <c r="BX3898" t="str">
        <f>"14:55:23.227"</f>
        <v>14:55:23.227</v>
      </c>
      <c r="BY3898" t="str">
        <f>"228299491"</f>
        <v>228299491</v>
      </c>
      <c r="CL3898">
        <v>3</v>
      </c>
      <c r="CM3898">
        <v>2</v>
      </c>
      <c r="CN3898">
        <v>0</v>
      </c>
      <c r="CO3898">
        <v>2</v>
      </c>
      <c r="CP3898">
        <v>0</v>
      </c>
      <c r="CQ3898">
        <v>6</v>
      </c>
      <c r="CR3898" t="s">
        <v>116</v>
      </c>
      <c r="CS3898">
        <v>409</v>
      </c>
      <c r="CT3898">
        <v>1</v>
      </c>
      <c r="CU3898" t="s">
        <v>5087</v>
      </c>
      <c r="CV3898" t="s">
        <v>5088</v>
      </c>
      <c r="CY3898">
        <v>5151677</v>
      </c>
      <c r="CZ3898" t="s">
        <v>119</v>
      </c>
    </row>
    <row r="3899" spans="1:104" x14ac:dyDescent="0.25">
      <c r="A3899" t="str">
        <f>"14:55:24.367"</f>
        <v>14:55:24.367</v>
      </c>
      <c r="B3899" t="s">
        <v>108</v>
      </c>
      <c r="C3899" t="str">
        <f t="shared" si="181"/>
        <v>ffdfd3c0</v>
      </c>
      <c r="D3899" t="s">
        <v>109</v>
      </c>
      <c r="E3899">
        <v>4</v>
      </c>
      <c r="F3899">
        <v>1004</v>
      </c>
      <c r="G3899" t="s">
        <v>110</v>
      </c>
      <c r="J3899" t="s">
        <v>111</v>
      </c>
      <c r="K3899">
        <v>0</v>
      </c>
      <c r="L3899">
        <v>3</v>
      </c>
      <c r="M3899">
        <v>0</v>
      </c>
      <c r="N3899">
        <v>2</v>
      </c>
      <c r="O3899">
        <v>1</v>
      </c>
      <c r="P3899">
        <v>0</v>
      </c>
      <c r="Q3899">
        <v>0</v>
      </c>
      <c r="R3899" t="s">
        <v>112</v>
      </c>
      <c r="S3899" t="str">
        <f>"14:55:24.211"</f>
        <v>14:55:24.211</v>
      </c>
      <c r="T3899" t="str">
        <f>"14:55:23.813"</f>
        <v>14:55:23.813</v>
      </c>
      <c r="U3899" t="str">
        <f t="shared" si="180"/>
        <v>ad5732</v>
      </c>
      <c r="V3899">
        <v>0</v>
      </c>
      <c r="W3899">
        <v>0</v>
      </c>
      <c r="X3899">
        <v>1</v>
      </c>
      <c r="Z3899">
        <v>0</v>
      </c>
      <c r="AA3899">
        <v>9</v>
      </c>
      <c r="AB3899">
        <v>3</v>
      </c>
      <c r="AC3899">
        <v>0</v>
      </c>
      <c r="AD3899">
        <v>10</v>
      </c>
      <c r="AE3899">
        <v>0</v>
      </c>
      <c r="AF3899">
        <v>3</v>
      </c>
      <c r="AG3899">
        <v>2</v>
      </c>
      <c r="AH3899">
        <v>0</v>
      </c>
      <c r="AI3899" t="s">
        <v>7846</v>
      </c>
      <c r="AJ3899">
        <v>40.526418999999997</v>
      </c>
      <c r="AK3899" t="s">
        <v>7847</v>
      </c>
      <c r="AL3899">
        <v>-74.348022999999998</v>
      </c>
      <c r="AM3899">
        <v>100</v>
      </c>
      <c r="AN3899">
        <v>1000</v>
      </c>
      <c r="AO3899" t="s">
        <v>115</v>
      </c>
      <c r="AP3899">
        <v>44</v>
      </c>
      <c r="AQ3899">
        <v>94</v>
      </c>
      <c r="AR3899">
        <v>64</v>
      </c>
      <c r="AZ3899">
        <v>3614</v>
      </c>
      <c r="BA3899">
        <v>1</v>
      </c>
      <c r="BB3899" t="str">
        <f t="shared" si="182"/>
        <v xml:space="preserve">N959MJ  </v>
      </c>
      <c r="BC3899">
        <v>1</v>
      </c>
      <c r="BE3899">
        <v>0</v>
      </c>
      <c r="BF3899">
        <v>0</v>
      </c>
      <c r="BG3899">
        <v>0</v>
      </c>
      <c r="BH3899">
        <v>1300</v>
      </c>
      <c r="BI3899">
        <v>300</v>
      </c>
      <c r="BJ3899">
        <v>1</v>
      </c>
      <c r="BK3899">
        <v>1</v>
      </c>
      <c r="BL3899">
        <v>1</v>
      </c>
      <c r="BM3899">
        <v>0</v>
      </c>
      <c r="BP3899">
        <v>0</v>
      </c>
      <c r="BQ3899">
        <v>0</v>
      </c>
      <c r="BX3899" t="str">
        <f>"14:55:24.219"</f>
        <v>14:55:24.219</v>
      </c>
      <c r="BY3899" t="str">
        <f>"217910495"</f>
        <v>217910495</v>
      </c>
      <c r="CL3899">
        <v>3</v>
      </c>
      <c r="CM3899">
        <v>2</v>
      </c>
      <c r="CN3899">
        <v>0</v>
      </c>
      <c r="CO3899">
        <v>2</v>
      </c>
      <c r="CP3899">
        <v>0</v>
      </c>
      <c r="CQ3899">
        <v>6</v>
      </c>
      <c r="CR3899" t="s">
        <v>116</v>
      </c>
      <c r="CS3899">
        <v>409</v>
      </c>
      <c r="CT3899">
        <v>1</v>
      </c>
      <c r="CU3899" t="s">
        <v>5087</v>
      </c>
      <c r="CV3899" t="s">
        <v>5088</v>
      </c>
      <c r="CY3899">
        <v>5153597</v>
      </c>
      <c r="CZ3899" t="s">
        <v>119</v>
      </c>
    </row>
    <row r="3900" spans="1:104" x14ac:dyDescent="0.25">
      <c r="A3900" t="str">
        <f>"14:55:25.273"</f>
        <v>14:55:25.273</v>
      </c>
      <c r="B3900" t="s">
        <v>108</v>
      </c>
      <c r="C3900" t="str">
        <f t="shared" si="181"/>
        <v>ffdfd3c0</v>
      </c>
      <c r="D3900" t="s">
        <v>109</v>
      </c>
      <c r="E3900">
        <v>4</v>
      </c>
      <c r="F3900">
        <v>1004</v>
      </c>
      <c r="G3900" t="s">
        <v>110</v>
      </c>
      <c r="J3900" t="s">
        <v>111</v>
      </c>
      <c r="K3900">
        <v>0</v>
      </c>
      <c r="L3900">
        <v>3</v>
      </c>
      <c r="M3900">
        <v>0</v>
      </c>
      <c r="N3900">
        <v>2</v>
      </c>
      <c r="O3900">
        <v>1</v>
      </c>
      <c r="P3900">
        <v>0</v>
      </c>
      <c r="Q3900">
        <v>0</v>
      </c>
      <c r="R3900" t="s">
        <v>112</v>
      </c>
      <c r="S3900" t="str">
        <f>"14:55:25.109"</f>
        <v>14:55:25.109</v>
      </c>
      <c r="T3900" t="str">
        <f>"14:55:24.711"</f>
        <v>14:55:24.711</v>
      </c>
      <c r="U3900" t="str">
        <f t="shared" si="180"/>
        <v>ad5732</v>
      </c>
      <c r="V3900">
        <v>0</v>
      </c>
      <c r="W3900">
        <v>0</v>
      </c>
      <c r="X3900">
        <v>1</v>
      </c>
      <c r="Z3900">
        <v>0</v>
      </c>
      <c r="AA3900">
        <v>9</v>
      </c>
      <c r="AB3900">
        <v>3</v>
      </c>
      <c r="AC3900">
        <v>0</v>
      </c>
      <c r="AD3900">
        <v>10</v>
      </c>
      <c r="AE3900">
        <v>0</v>
      </c>
      <c r="AF3900">
        <v>3</v>
      </c>
      <c r="AG3900">
        <v>2</v>
      </c>
      <c r="AH3900">
        <v>0</v>
      </c>
      <c r="AI3900" t="s">
        <v>7848</v>
      </c>
      <c r="AJ3900">
        <v>40.526805000000003</v>
      </c>
      <c r="AK3900" t="s">
        <v>7849</v>
      </c>
      <c r="AL3900">
        <v>-74.347786999999997</v>
      </c>
      <c r="AM3900">
        <v>100</v>
      </c>
      <c r="AN3900">
        <v>1000</v>
      </c>
      <c r="AO3900" t="s">
        <v>115</v>
      </c>
      <c r="AP3900">
        <v>44</v>
      </c>
      <c r="AQ3900">
        <v>93</v>
      </c>
      <c r="AR3900">
        <v>0</v>
      </c>
      <c r="AZ3900">
        <v>3614</v>
      </c>
      <c r="BA3900">
        <v>1</v>
      </c>
      <c r="BB3900" t="str">
        <f t="shared" si="182"/>
        <v xml:space="preserve">N959MJ  </v>
      </c>
      <c r="BC3900">
        <v>1</v>
      </c>
      <c r="BE3900">
        <v>0</v>
      </c>
      <c r="BF3900">
        <v>0</v>
      </c>
      <c r="BG3900">
        <v>0</v>
      </c>
      <c r="BH3900">
        <v>1300</v>
      </c>
      <c r="BI3900">
        <v>300</v>
      </c>
      <c r="BJ3900">
        <v>1</v>
      </c>
      <c r="BK3900">
        <v>1</v>
      </c>
      <c r="BL3900">
        <v>1</v>
      </c>
      <c r="BM3900">
        <v>0</v>
      </c>
      <c r="BP3900">
        <v>0</v>
      </c>
      <c r="BQ3900">
        <v>0</v>
      </c>
      <c r="BX3900" t="str">
        <f>"14:55:25.109"</f>
        <v>14:55:25.109</v>
      </c>
      <c r="BY3900" t="str">
        <f>"112369590"</f>
        <v>112369590</v>
      </c>
      <c r="CL3900">
        <v>3</v>
      </c>
      <c r="CM3900">
        <v>2</v>
      </c>
      <c r="CN3900">
        <v>0</v>
      </c>
      <c r="CO3900">
        <v>2</v>
      </c>
      <c r="CP3900">
        <v>0</v>
      </c>
      <c r="CQ3900">
        <v>6</v>
      </c>
      <c r="CR3900" t="s">
        <v>116</v>
      </c>
      <c r="CS3900">
        <v>305</v>
      </c>
      <c r="CT3900">
        <v>3</v>
      </c>
      <c r="CU3900" t="s">
        <v>6425</v>
      </c>
      <c r="CV3900" t="s">
        <v>6426</v>
      </c>
      <c r="CY3900">
        <v>6625236</v>
      </c>
      <c r="CZ3900" t="s">
        <v>119</v>
      </c>
    </row>
    <row r="3901" spans="1:104" x14ac:dyDescent="0.25">
      <c r="A3901" t="str">
        <f>"14:55:26.289"</f>
        <v>14:55:26.289</v>
      </c>
      <c r="B3901" t="s">
        <v>108</v>
      </c>
      <c r="C3901" t="str">
        <f t="shared" si="181"/>
        <v>ffdfd3c0</v>
      </c>
      <c r="D3901" t="s">
        <v>109</v>
      </c>
      <c r="E3901">
        <v>4</v>
      </c>
      <c r="F3901">
        <v>1004</v>
      </c>
      <c r="G3901" t="s">
        <v>110</v>
      </c>
      <c r="J3901" t="s">
        <v>111</v>
      </c>
      <c r="K3901">
        <v>0</v>
      </c>
      <c r="L3901">
        <v>3</v>
      </c>
      <c r="M3901">
        <v>0</v>
      </c>
      <c r="N3901">
        <v>2</v>
      </c>
      <c r="O3901">
        <v>1</v>
      </c>
      <c r="P3901">
        <v>0</v>
      </c>
      <c r="Q3901">
        <v>0</v>
      </c>
      <c r="R3901" t="s">
        <v>112</v>
      </c>
      <c r="S3901" t="str">
        <f>"14:55:26.086"</f>
        <v>14:55:26.086</v>
      </c>
      <c r="T3901" t="str">
        <f>"14:55:25.586"</f>
        <v>14:55:25.586</v>
      </c>
      <c r="U3901" t="str">
        <f t="shared" si="180"/>
        <v>ad5732</v>
      </c>
      <c r="V3901">
        <v>0</v>
      </c>
      <c r="W3901">
        <v>0</v>
      </c>
      <c r="X3901">
        <v>1</v>
      </c>
      <c r="Z3901">
        <v>0</v>
      </c>
      <c r="AA3901">
        <v>9</v>
      </c>
      <c r="AB3901">
        <v>3</v>
      </c>
      <c r="AC3901">
        <v>0</v>
      </c>
      <c r="AD3901">
        <v>10</v>
      </c>
      <c r="AE3901">
        <v>0</v>
      </c>
      <c r="AF3901">
        <v>3</v>
      </c>
      <c r="AG3901">
        <v>2</v>
      </c>
      <c r="AH3901">
        <v>0</v>
      </c>
      <c r="AI3901" t="s">
        <v>7850</v>
      </c>
      <c r="AJ3901">
        <v>40.527256000000001</v>
      </c>
      <c r="AK3901" t="s">
        <v>7851</v>
      </c>
      <c r="AL3901">
        <v>-74.347486000000004</v>
      </c>
      <c r="AM3901">
        <v>100</v>
      </c>
      <c r="AN3901">
        <v>1000</v>
      </c>
      <c r="AO3901" t="s">
        <v>115</v>
      </c>
      <c r="AP3901">
        <v>44</v>
      </c>
      <c r="AQ3901">
        <v>93</v>
      </c>
      <c r="AR3901">
        <v>0</v>
      </c>
      <c r="AZ3901">
        <v>3614</v>
      </c>
      <c r="BA3901">
        <v>1</v>
      </c>
      <c r="BB3901" t="str">
        <f t="shared" si="182"/>
        <v xml:space="preserve">N959MJ  </v>
      </c>
      <c r="BC3901">
        <v>1</v>
      </c>
      <c r="BE3901">
        <v>0</v>
      </c>
      <c r="BF3901">
        <v>0</v>
      </c>
      <c r="BG3901">
        <v>0</v>
      </c>
      <c r="BH3901">
        <v>1300</v>
      </c>
      <c r="BI3901">
        <v>300</v>
      </c>
      <c r="BJ3901">
        <v>1</v>
      </c>
      <c r="BK3901">
        <v>1</v>
      </c>
      <c r="BL3901">
        <v>1</v>
      </c>
      <c r="BM3901">
        <v>0</v>
      </c>
      <c r="BP3901">
        <v>0</v>
      </c>
      <c r="BQ3901">
        <v>0</v>
      </c>
      <c r="BX3901" t="str">
        <f>"14:55:26.086"</f>
        <v>14:55:26.086</v>
      </c>
      <c r="BY3901" t="str">
        <f>"088873228"</f>
        <v>088873228</v>
      </c>
      <c r="CL3901">
        <v>3</v>
      </c>
      <c r="CM3901">
        <v>2</v>
      </c>
      <c r="CN3901">
        <v>0</v>
      </c>
      <c r="CO3901">
        <v>2</v>
      </c>
      <c r="CP3901">
        <v>0</v>
      </c>
      <c r="CQ3901">
        <v>6</v>
      </c>
      <c r="CR3901" t="s">
        <v>116</v>
      </c>
      <c r="CS3901">
        <v>305</v>
      </c>
      <c r="CT3901">
        <v>3</v>
      </c>
      <c r="CU3901" t="s">
        <v>6425</v>
      </c>
      <c r="CV3901" t="s">
        <v>6426</v>
      </c>
      <c r="CY3901">
        <v>6627239</v>
      </c>
      <c r="CZ3901" t="s">
        <v>119</v>
      </c>
    </row>
    <row r="3902" spans="1:104" x14ac:dyDescent="0.25">
      <c r="A3902" t="str">
        <f>"14:55:27.297"</f>
        <v>14:55:27.297</v>
      </c>
      <c r="B3902" t="s">
        <v>108</v>
      </c>
      <c r="C3902" t="str">
        <f t="shared" si="181"/>
        <v>ffdfd3c0</v>
      </c>
      <c r="D3902" t="s">
        <v>109</v>
      </c>
      <c r="E3902">
        <v>4</v>
      </c>
      <c r="F3902">
        <v>1004</v>
      </c>
      <c r="G3902" t="s">
        <v>110</v>
      </c>
      <c r="J3902" t="s">
        <v>111</v>
      </c>
      <c r="K3902">
        <v>0</v>
      </c>
      <c r="L3902">
        <v>3</v>
      </c>
      <c r="M3902">
        <v>0</v>
      </c>
      <c r="N3902">
        <v>2</v>
      </c>
      <c r="O3902">
        <v>1</v>
      </c>
      <c r="P3902">
        <v>0</v>
      </c>
      <c r="Q3902">
        <v>0</v>
      </c>
      <c r="R3902" t="s">
        <v>112</v>
      </c>
      <c r="S3902" t="str">
        <f>"14:55:27.133"</f>
        <v>14:55:27.133</v>
      </c>
      <c r="T3902" t="str">
        <f>"14:55:26.633"</f>
        <v>14:55:26.633</v>
      </c>
      <c r="U3902" t="str">
        <f t="shared" si="180"/>
        <v>ad5732</v>
      </c>
      <c r="V3902">
        <v>0</v>
      </c>
      <c r="W3902">
        <v>0</v>
      </c>
      <c r="X3902">
        <v>1</v>
      </c>
      <c r="Z3902">
        <v>0</v>
      </c>
      <c r="AA3902">
        <v>9</v>
      </c>
      <c r="AB3902">
        <v>3</v>
      </c>
      <c r="AC3902">
        <v>0</v>
      </c>
      <c r="AD3902">
        <v>10</v>
      </c>
      <c r="AE3902">
        <v>0</v>
      </c>
      <c r="AF3902">
        <v>3</v>
      </c>
      <c r="AG3902">
        <v>2</v>
      </c>
      <c r="AH3902">
        <v>0</v>
      </c>
      <c r="AI3902" t="s">
        <v>7852</v>
      </c>
      <c r="AJ3902">
        <v>40.527684999999998</v>
      </c>
      <c r="AK3902" t="s">
        <v>7853</v>
      </c>
      <c r="AL3902">
        <v>-74.347228999999999</v>
      </c>
      <c r="AM3902">
        <v>100</v>
      </c>
      <c r="AN3902">
        <v>1000</v>
      </c>
      <c r="AO3902" t="s">
        <v>115</v>
      </c>
      <c r="AP3902">
        <v>45</v>
      </c>
      <c r="AQ3902">
        <v>93</v>
      </c>
      <c r="AR3902">
        <v>-128</v>
      </c>
      <c r="AZ3902">
        <v>3614</v>
      </c>
      <c r="BA3902">
        <v>1</v>
      </c>
      <c r="BB3902" t="str">
        <f t="shared" si="182"/>
        <v xml:space="preserve">N959MJ  </v>
      </c>
      <c r="BC3902">
        <v>1</v>
      </c>
      <c r="BE3902">
        <v>0</v>
      </c>
      <c r="BF3902">
        <v>0</v>
      </c>
      <c r="BG3902">
        <v>0</v>
      </c>
      <c r="BH3902">
        <v>1300</v>
      </c>
      <c r="BI3902">
        <v>300</v>
      </c>
      <c r="BJ3902">
        <v>1</v>
      </c>
      <c r="BK3902">
        <v>1</v>
      </c>
      <c r="BL3902">
        <v>1</v>
      </c>
      <c r="BM3902">
        <v>0</v>
      </c>
      <c r="BP3902">
        <v>0</v>
      </c>
      <c r="BQ3902">
        <v>0</v>
      </c>
      <c r="BX3902" t="str">
        <f>"14:55:27.133"</f>
        <v>14:55:27.133</v>
      </c>
      <c r="BY3902" t="str">
        <f>"134190764"</f>
        <v>134190764</v>
      </c>
      <c r="CL3902">
        <v>3</v>
      </c>
      <c r="CM3902">
        <v>2</v>
      </c>
      <c r="CN3902">
        <v>0</v>
      </c>
      <c r="CO3902">
        <v>2</v>
      </c>
      <c r="CP3902">
        <v>0</v>
      </c>
      <c r="CQ3902">
        <v>6</v>
      </c>
      <c r="CR3902" t="s">
        <v>116</v>
      </c>
      <c r="CS3902">
        <v>305</v>
      </c>
      <c r="CT3902">
        <v>3</v>
      </c>
      <c r="CU3902" t="s">
        <v>6425</v>
      </c>
      <c r="CV3902" t="s">
        <v>6426</v>
      </c>
      <c r="CY3902">
        <v>6629280</v>
      </c>
      <c r="CZ3902" t="s">
        <v>119</v>
      </c>
    </row>
    <row r="3903" spans="1:104" x14ac:dyDescent="0.25">
      <c r="A3903" t="str">
        <f>"14:55:28.305"</f>
        <v>14:55:28.305</v>
      </c>
      <c r="B3903" t="s">
        <v>108</v>
      </c>
      <c r="C3903" t="str">
        <f t="shared" si="181"/>
        <v>ffdfd3c0</v>
      </c>
      <c r="D3903" t="s">
        <v>109</v>
      </c>
      <c r="E3903">
        <v>4</v>
      </c>
      <c r="F3903">
        <v>1004</v>
      </c>
      <c r="G3903" t="s">
        <v>110</v>
      </c>
      <c r="J3903" t="s">
        <v>111</v>
      </c>
      <c r="K3903">
        <v>0</v>
      </c>
      <c r="L3903">
        <v>3</v>
      </c>
      <c r="M3903">
        <v>0</v>
      </c>
      <c r="N3903">
        <v>2</v>
      </c>
      <c r="O3903">
        <v>1</v>
      </c>
      <c r="P3903">
        <v>0</v>
      </c>
      <c r="Q3903">
        <v>0</v>
      </c>
      <c r="R3903" t="s">
        <v>112</v>
      </c>
      <c r="S3903" t="str">
        <f>"14:55:28.109"</f>
        <v>14:55:28.109</v>
      </c>
      <c r="T3903" t="str">
        <f>"14:55:27.711"</f>
        <v>14:55:27.711</v>
      </c>
      <c r="U3903" t="str">
        <f t="shared" si="180"/>
        <v>ad5732</v>
      </c>
      <c r="V3903">
        <v>0</v>
      </c>
      <c r="W3903">
        <v>0</v>
      </c>
      <c r="X3903">
        <v>1</v>
      </c>
      <c r="Z3903">
        <v>0</v>
      </c>
      <c r="AA3903">
        <v>9</v>
      </c>
      <c r="AB3903">
        <v>3</v>
      </c>
      <c r="AC3903">
        <v>0</v>
      </c>
      <c r="AD3903">
        <v>10</v>
      </c>
      <c r="AE3903">
        <v>0</v>
      </c>
      <c r="AF3903">
        <v>3</v>
      </c>
      <c r="AG3903">
        <v>2</v>
      </c>
      <c r="AH3903">
        <v>0</v>
      </c>
      <c r="AI3903" t="s">
        <v>7854</v>
      </c>
      <c r="AJ3903">
        <v>40.528092000000001</v>
      </c>
      <c r="AK3903" t="s">
        <v>7855</v>
      </c>
      <c r="AL3903">
        <v>-74.346971999999994</v>
      </c>
      <c r="AM3903">
        <v>100</v>
      </c>
      <c r="AN3903">
        <v>1000</v>
      </c>
      <c r="AO3903" t="s">
        <v>115</v>
      </c>
      <c r="AP3903">
        <v>45</v>
      </c>
      <c r="AQ3903">
        <v>92</v>
      </c>
      <c r="AR3903">
        <v>-192</v>
      </c>
      <c r="AZ3903">
        <v>3614</v>
      </c>
      <c r="BA3903">
        <v>1</v>
      </c>
      <c r="BB3903" t="str">
        <f t="shared" si="182"/>
        <v xml:space="preserve">N959MJ  </v>
      </c>
      <c r="BC3903">
        <v>1</v>
      </c>
      <c r="BE3903">
        <v>0</v>
      </c>
      <c r="BF3903">
        <v>0</v>
      </c>
      <c r="BG3903">
        <v>0</v>
      </c>
      <c r="BH3903">
        <v>1300</v>
      </c>
      <c r="BI3903">
        <v>300</v>
      </c>
      <c r="BJ3903">
        <v>1</v>
      </c>
      <c r="BK3903">
        <v>1</v>
      </c>
      <c r="BL3903">
        <v>1</v>
      </c>
      <c r="BM3903">
        <v>0</v>
      </c>
      <c r="BP3903">
        <v>0</v>
      </c>
      <c r="BQ3903">
        <v>0</v>
      </c>
      <c r="BX3903" t="str">
        <f>"14:55:28.109"</f>
        <v>14:55:28.109</v>
      </c>
      <c r="BY3903" t="str">
        <f>"110694277"</f>
        <v>110694277</v>
      </c>
      <c r="CL3903">
        <v>3</v>
      </c>
      <c r="CM3903">
        <v>2</v>
      </c>
      <c r="CN3903">
        <v>0</v>
      </c>
      <c r="CO3903">
        <v>2</v>
      </c>
      <c r="CP3903">
        <v>0</v>
      </c>
      <c r="CQ3903">
        <v>7</v>
      </c>
      <c r="CR3903" t="s">
        <v>116</v>
      </c>
      <c r="CS3903">
        <v>305</v>
      </c>
      <c r="CT3903">
        <v>3</v>
      </c>
      <c r="CU3903" t="s">
        <v>6425</v>
      </c>
      <c r="CV3903" t="s">
        <v>6426</v>
      </c>
      <c r="CY3903">
        <v>6631201</v>
      </c>
      <c r="CZ3903" t="s">
        <v>119</v>
      </c>
    </row>
    <row r="3904" spans="1:104" x14ac:dyDescent="0.25">
      <c r="A3904" t="str">
        <f>"14:55:29.414"</f>
        <v>14:55:29.414</v>
      </c>
      <c r="B3904" t="s">
        <v>108</v>
      </c>
      <c r="C3904" t="str">
        <f t="shared" si="181"/>
        <v>ffdfd3c0</v>
      </c>
      <c r="D3904" t="s">
        <v>109</v>
      </c>
      <c r="E3904">
        <v>4</v>
      </c>
      <c r="F3904">
        <v>1004</v>
      </c>
      <c r="G3904" t="s">
        <v>110</v>
      </c>
      <c r="J3904" t="s">
        <v>111</v>
      </c>
      <c r="K3904">
        <v>0</v>
      </c>
      <c r="L3904">
        <v>3</v>
      </c>
      <c r="M3904">
        <v>0</v>
      </c>
      <c r="N3904">
        <v>2</v>
      </c>
      <c r="O3904">
        <v>1</v>
      </c>
      <c r="P3904">
        <v>0</v>
      </c>
      <c r="Q3904">
        <v>0</v>
      </c>
      <c r="R3904" t="s">
        <v>112</v>
      </c>
      <c r="S3904" t="str">
        <f>"14:55:29.250"</f>
        <v>14:55:29.250</v>
      </c>
      <c r="T3904" t="str">
        <f>"14:55:28.750"</f>
        <v>14:55:28.750</v>
      </c>
      <c r="U3904" t="str">
        <f t="shared" si="180"/>
        <v>ad5732</v>
      </c>
      <c r="V3904">
        <v>0</v>
      </c>
      <c r="W3904">
        <v>0</v>
      </c>
      <c r="X3904">
        <v>1</v>
      </c>
      <c r="Z3904">
        <v>0</v>
      </c>
      <c r="AA3904">
        <v>9</v>
      </c>
      <c r="AB3904">
        <v>3</v>
      </c>
      <c r="AC3904">
        <v>0</v>
      </c>
      <c r="AD3904">
        <v>10</v>
      </c>
      <c r="AE3904">
        <v>0</v>
      </c>
      <c r="AF3904">
        <v>3</v>
      </c>
      <c r="AG3904">
        <v>2</v>
      </c>
      <c r="AH3904">
        <v>0</v>
      </c>
      <c r="AI3904" t="s">
        <v>7856</v>
      </c>
      <c r="AJ3904">
        <v>40.528607000000001</v>
      </c>
      <c r="AK3904" t="s">
        <v>7857</v>
      </c>
      <c r="AL3904">
        <v>-74.346607000000006</v>
      </c>
      <c r="AM3904">
        <v>100</v>
      </c>
      <c r="AN3904">
        <v>1000</v>
      </c>
      <c r="AO3904" t="s">
        <v>115</v>
      </c>
      <c r="AP3904">
        <v>46</v>
      </c>
      <c r="AQ3904">
        <v>92</v>
      </c>
      <c r="AR3904">
        <v>-128</v>
      </c>
      <c r="AZ3904">
        <v>3614</v>
      </c>
      <c r="BA3904">
        <v>1</v>
      </c>
      <c r="BB3904" t="str">
        <f t="shared" si="182"/>
        <v xml:space="preserve">N959MJ  </v>
      </c>
      <c r="BC3904">
        <v>1</v>
      </c>
      <c r="BE3904">
        <v>0</v>
      </c>
      <c r="BF3904">
        <v>0</v>
      </c>
      <c r="BG3904">
        <v>0</v>
      </c>
      <c r="BH3904">
        <v>1300</v>
      </c>
      <c r="BI3904">
        <v>300</v>
      </c>
      <c r="BJ3904">
        <v>1</v>
      </c>
      <c r="BK3904">
        <v>1</v>
      </c>
      <c r="BL3904">
        <v>1</v>
      </c>
      <c r="BM3904">
        <v>0</v>
      </c>
      <c r="BP3904">
        <v>0</v>
      </c>
      <c r="BQ3904">
        <v>0</v>
      </c>
      <c r="BX3904" t="str">
        <f>"14:55:29.258"</f>
        <v>14:55:29.258</v>
      </c>
      <c r="BY3904" t="str">
        <f>"257594555"</f>
        <v>257594555</v>
      </c>
      <c r="CL3904">
        <v>3</v>
      </c>
      <c r="CM3904">
        <v>2</v>
      </c>
      <c r="CN3904">
        <v>0</v>
      </c>
      <c r="CO3904">
        <v>2</v>
      </c>
      <c r="CP3904">
        <v>0</v>
      </c>
      <c r="CQ3904">
        <v>6</v>
      </c>
      <c r="CR3904" t="s">
        <v>116</v>
      </c>
      <c r="CS3904">
        <v>305</v>
      </c>
      <c r="CT3904">
        <v>3</v>
      </c>
      <c r="CU3904" t="s">
        <v>6425</v>
      </c>
      <c r="CV3904" t="s">
        <v>6426</v>
      </c>
      <c r="CY3904">
        <v>6633536</v>
      </c>
      <c r="CZ3904" t="s">
        <v>119</v>
      </c>
    </row>
    <row r="3905" spans="1:104" x14ac:dyDescent="0.25">
      <c r="A3905" t="str">
        <f>"14:55:30.328"</f>
        <v>14:55:30.328</v>
      </c>
      <c r="B3905" t="s">
        <v>108</v>
      </c>
      <c r="C3905" t="str">
        <f t="shared" si="181"/>
        <v>ffdfd3c0</v>
      </c>
      <c r="D3905" t="s">
        <v>109</v>
      </c>
      <c r="E3905">
        <v>4</v>
      </c>
      <c r="F3905">
        <v>1004</v>
      </c>
      <c r="G3905" t="s">
        <v>110</v>
      </c>
      <c r="J3905" t="s">
        <v>111</v>
      </c>
      <c r="K3905">
        <v>0</v>
      </c>
      <c r="L3905">
        <v>3</v>
      </c>
      <c r="M3905">
        <v>0</v>
      </c>
      <c r="N3905">
        <v>2</v>
      </c>
      <c r="O3905">
        <v>1</v>
      </c>
      <c r="P3905">
        <v>0</v>
      </c>
      <c r="Q3905">
        <v>0</v>
      </c>
      <c r="R3905" t="s">
        <v>112</v>
      </c>
      <c r="S3905" t="str">
        <f>"14:55:30.172"</f>
        <v>14:55:30.172</v>
      </c>
      <c r="T3905" t="str">
        <f>"14:55:29.773"</f>
        <v>14:55:29.773</v>
      </c>
      <c r="U3905" t="str">
        <f t="shared" si="180"/>
        <v>ad5732</v>
      </c>
      <c r="V3905">
        <v>0</v>
      </c>
      <c r="W3905">
        <v>0</v>
      </c>
      <c r="X3905">
        <v>1</v>
      </c>
      <c r="Z3905">
        <v>0</v>
      </c>
      <c r="AA3905">
        <v>9</v>
      </c>
      <c r="AB3905">
        <v>3</v>
      </c>
      <c r="AC3905">
        <v>0</v>
      </c>
      <c r="AD3905">
        <v>10</v>
      </c>
      <c r="AE3905">
        <v>0</v>
      </c>
      <c r="AF3905">
        <v>3</v>
      </c>
      <c r="AG3905">
        <v>2</v>
      </c>
      <c r="AH3905">
        <v>0</v>
      </c>
      <c r="AI3905" t="s">
        <v>7858</v>
      </c>
      <c r="AJ3905">
        <v>40.528972000000003</v>
      </c>
      <c r="AK3905" t="s">
        <v>7859</v>
      </c>
      <c r="AL3905">
        <v>-74.346371000000005</v>
      </c>
      <c r="AM3905">
        <v>100</v>
      </c>
      <c r="AN3905">
        <v>1000</v>
      </c>
      <c r="AO3905" t="s">
        <v>115</v>
      </c>
      <c r="AP3905">
        <v>46</v>
      </c>
      <c r="AQ3905">
        <v>92</v>
      </c>
      <c r="AR3905">
        <v>-128</v>
      </c>
      <c r="AZ3905">
        <v>3614</v>
      </c>
      <c r="BA3905">
        <v>1</v>
      </c>
      <c r="BB3905" t="str">
        <f t="shared" si="182"/>
        <v xml:space="preserve">N959MJ  </v>
      </c>
      <c r="BC3905">
        <v>1</v>
      </c>
      <c r="BE3905">
        <v>0</v>
      </c>
      <c r="BF3905">
        <v>0</v>
      </c>
      <c r="BG3905">
        <v>0</v>
      </c>
      <c r="BH3905">
        <v>1300</v>
      </c>
      <c r="BI3905">
        <v>300</v>
      </c>
      <c r="BJ3905">
        <v>1</v>
      </c>
      <c r="BK3905">
        <v>1</v>
      </c>
      <c r="BL3905">
        <v>1</v>
      </c>
      <c r="BM3905">
        <v>0</v>
      </c>
      <c r="BP3905">
        <v>0</v>
      </c>
      <c r="BQ3905">
        <v>0</v>
      </c>
      <c r="BX3905" t="str">
        <f>"14:55:30.172"</f>
        <v>14:55:30.172</v>
      </c>
      <c r="BY3905" t="str">
        <f>"173476244"</f>
        <v>173476244</v>
      </c>
      <c r="CL3905">
        <v>3</v>
      </c>
      <c r="CM3905">
        <v>2</v>
      </c>
      <c r="CN3905">
        <v>0</v>
      </c>
      <c r="CO3905">
        <v>2</v>
      </c>
      <c r="CP3905">
        <v>0</v>
      </c>
      <c r="CQ3905">
        <v>6</v>
      </c>
      <c r="CR3905" t="s">
        <v>116</v>
      </c>
      <c r="CS3905">
        <v>305</v>
      </c>
      <c r="CT3905">
        <v>3</v>
      </c>
      <c r="CU3905" t="s">
        <v>6425</v>
      </c>
      <c r="CV3905" t="s">
        <v>6426</v>
      </c>
      <c r="CY3905">
        <v>6635443</v>
      </c>
      <c r="CZ3905" t="s">
        <v>119</v>
      </c>
    </row>
    <row r="3906" spans="1:104" x14ac:dyDescent="0.25">
      <c r="A3906" t="str">
        <f>"14:55:31.438"</f>
        <v>14:55:31.438</v>
      </c>
      <c r="B3906" t="s">
        <v>108</v>
      </c>
      <c r="C3906" t="str">
        <f t="shared" si="181"/>
        <v>ffdfd3c0</v>
      </c>
      <c r="D3906" t="s">
        <v>109</v>
      </c>
      <c r="E3906">
        <v>4</v>
      </c>
      <c r="F3906">
        <v>1004</v>
      </c>
      <c r="G3906" t="s">
        <v>110</v>
      </c>
      <c r="J3906" t="s">
        <v>111</v>
      </c>
      <c r="K3906">
        <v>0</v>
      </c>
      <c r="L3906">
        <v>3</v>
      </c>
      <c r="M3906">
        <v>0</v>
      </c>
      <c r="N3906">
        <v>2</v>
      </c>
      <c r="O3906">
        <v>1</v>
      </c>
      <c r="P3906">
        <v>0</v>
      </c>
      <c r="Q3906">
        <v>0</v>
      </c>
      <c r="R3906" t="s">
        <v>112</v>
      </c>
      <c r="S3906" t="str">
        <f>"14:55:31.234"</f>
        <v>14:55:31.234</v>
      </c>
      <c r="T3906" t="str">
        <f>"14:55:30.734"</f>
        <v>14:55:30.734</v>
      </c>
      <c r="U3906" t="str">
        <f t="shared" ref="U3906:U3969" si="183">"ad5732"</f>
        <v>ad5732</v>
      </c>
      <c r="V3906">
        <v>0</v>
      </c>
      <c r="W3906">
        <v>0</v>
      </c>
      <c r="X3906">
        <v>1</v>
      </c>
      <c r="Z3906">
        <v>0</v>
      </c>
      <c r="AA3906">
        <v>9</v>
      </c>
      <c r="AB3906">
        <v>3</v>
      </c>
      <c r="AC3906">
        <v>0</v>
      </c>
      <c r="AD3906">
        <v>10</v>
      </c>
      <c r="AE3906">
        <v>0</v>
      </c>
      <c r="AF3906">
        <v>3</v>
      </c>
      <c r="AG3906">
        <v>2</v>
      </c>
      <c r="AH3906">
        <v>0</v>
      </c>
      <c r="AI3906" t="s">
        <v>7860</v>
      </c>
      <c r="AJ3906">
        <v>40.529443999999998</v>
      </c>
      <c r="AK3906" t="s">
        <v>7861</v>
      </c>
      <c r="AL3906">
        <v>-74.346048999999994</v>
      </c>
      <c r="AM3906">
        <v>100</v>
      </c>
      <c r="AN3906">
        <v>1000</v>
      </c>
      <c r="AO3906" t="s">
        <v>115</v>
      </c>
      <c r="AP3906">
        <v>46</v>
      </c>
      <c r="AQ3906">
        <v>92</v>
      </c>
      <c r="AR3906">
        <v>-128</v>
      </c>
      <c r="AZ3906">
        <v>3614</v>
      </c>
      <c r="BA3906">
        <v>1</v>
      </c>
      <c r="BB3906" t="str">
        <f t="shared" si="182"/>
        <v xml:space="preserve">N959MJ  </v>
      </c>
      <c r="BC3906">
        <v>1</v>
      </c>
      <c r="BE3906">
        <v>0</v>
      </c>
      <c r="BF3906">
        <v>0</v>
      </c>
      <c r="BG3906">
        <v>0</v>
      </c>
      <c r="BH3906">
        <v>1275</v>
      </c>
      <c r="BI3906">
        <v>275</v>
      </c>
      <c r="BJ3906">
        <v>1</v>
      </c>
      <c r="BK3906">
        <v>1</v>
      </c>
      <c r="BL3906">
        <v>1</v>
      </c>
      <c r="BM3906">
        <v>0</v>
      </c>
      <c r="BP3906">
        <v>0</v>
      </c>
      <c r="BQ3906">
        <v>0</v>
      </c>
      <c r="BX3906" t="str">
        <f>"14:55:31.242"</f>
        <v>14:55:31.242</v>
      </c>
      <c r="BY3906" t="str">
        <f>"241854909"</f>
        <v>241854909</v>
      </c>
      <c r="CL3906">
        <v>3</v>
      </c>
      <c r="CM3906">
        <v>2</v>
      </c>
      <c r="CN3906">
        <v>0</v>
      </c>
      <c r="CO3906">
        <v>2</v>
      </c>
      <c r="CP3906">
        <v>0</v>
      </c>
      <c r="CQ3906">
        <v>6</v>
      </c>
      <c r="CR3906" t="s">
        <v>116</v>
      </c>
      <c r="CS3906">
        <v>409</v>
      </c>
      <c r="CT3906">
        <v>1</v>
      </c>
      <c r="CU3906" t="s">
        <v>5087</v>
      </c>
      <c r="CV3906" t="s">
        <v>5088</v>
      </c>
      <c r="CY3906">
        <v>5167334</v>
      </c>
      <c r="CZ3906" t="s">
        <v>119</v>
      </c>
    </row>
    <row r="3907" spans="1:104" x14ac:dyDescent="0.25">
      <c r="A3907" t="str">
        <f>"14:55:33.102"</f>
        <v>14:55:33.102</v>
      </c>
      <c r="B3907" t="s">
        <v>108</v>
      </c>
      <c r="C3907" t="str">
        <f t="shared" si="181"/>
        <v>ffdfd3c0</v>
      </c>
      <c r="D3907" t="s">
        <v>109</v>
      </c>
      <c r="E3907">
        <v>4</v>
      </c>
      <c r="F3907">
        <v>1004</v>
      </c>
      <c r="G3907" t="s">
        <v>110</v>
      </c>
      <c r="J3907" t="s">
        <v>111</v>
      </c>
      <c r="K3907">
        <v>0</v>
      </c>
      <c r="L3907">
        <v>3</v>
      </c>
      <c r="M3907">
        <v>0</v>
      </c>
      <c r="N3907">
        <v>2</v>
      </c>
      <c r="O3907">
        <v>1</v>
      </c>
      <c r="P3907">
        <v>0</v>
      </c>
      <c r="Q3907">
        <v>0</v>
      </c>
      <c r="R3907" t="s">
        <v>112</v>
      </c>
      <c r="S3907" t="str">
        <f>"14:55:32.930"</f>
        <v>14:55:32.930</v>
      </c>
      <c r="T3907" t="str">
        <f>"14:55:32.430"</f>
        <v>14:55:32.430</v>
      </c>
      <c r="U3907" t="str">
        <f t="shared" si="183"/>
        <v>ad5732</v>
      </c>
      <c r="V3907">
        <v>0</v>
      </c>
      <c r="W3907">
        <v>0</v>
      </c>
      <c r="X3907">
        <v>1</v>
      </c>
      <c r="Z3907">
        <v>0</v>
      </c>
      <c r="AA3907">
        <v>9</v>
      </c>
      <c r="AB3907">
        <v>3</v>
      </c>
      <c r="AC3907">
        <v>0</v>
      </c>
      <c r="AD3907">
        <v>10</v>
      </c>
      <c r="AE3907">
        <v>0</v>
      </c>
      <c r="AF3907">
        <v>3</v>
      </c>
      <c r="AG3907">
        <v>2</v>
      </c>
      <c r="AH3907">
        <v>0</v>
      </c>
      <c r="AI3907" t="s">
        <v>7862</v>
      </c>
      <c r="AJ3907">
        <v>40.530174000000002</v>
      </c>
      <c r="AK3907" t="s">
        <v>7863</v>
      </c>
      <c r="AL3907">
        <v>-74.345577000000006</v>
      </c>
      <c r="AM3907">
        <v>100</v>
      </c>
      <c r="AN3907">
        <v>1000</v>
      </c>
      <c r="AO3907" t="s">
        <v>115</v>
      </c>
      <c r="AP3907">
        <v>45</v>
      </c>
      <c r="AQ3907">
        <v>92</v>
      </c>
      <c r="AR3907">
        <v>-128</v>
      </c>
      <c r="AZ3907">
        <v>3614</v>
      </c>
      <c r="BA3907">
        <v>1</v>
      </c>
      <c r="BB3907" t="str">
        <f t="shared" si="182"/>
        <v xml:space="preserve">N959MJ  </v>
      </c>
      <c r="BC3907">
        <v>1</v>
      </c>
      <c r="BE3907">
        <v>0</v>
      </c>
      <c r="BF3907">
        <v>0</v>
      </c>
      <c r="BG3907">
        <v>0</v>
      </c>
      <c r="BH3907">
        <v>1275</v>
      </c>
      <c r="BI3907">
        <v>275</v>
      </c>
      <c r="BJ3907">
        <v>1</v>
      </c>
      <c r="BK3907">
        <v>1</v>
      </c>
      <c r="BL3907">
        <v>1</v>
      </c>
      <c r="BM3907">
        <v>0</v>
      </c>
      <c r="BP3907">
        <v>0</v>
      </c>
      <c r="BQ3907">
        <v>0</v>
      </c>
      <c r="BX3907" t="str">
        <f>"14:55:32.930"</f>
        <v>14:55:32.930</v>
      </c>
      <c r="BY3907" t="str">
        <f>"932713443"</f>
        <v>932713443</v>
      </c>
      <c r="CL3907">
        <v>3</v>
      </c>
      <c r="CM3907">
        <v>2</v>
      </c>
      <c r="CN3907">
        <v>0</v>
      </c>
      <c r="CO3907">
        <v>2</v>
      </c>
      <c r="CP3907">
        <v>0</v>
      </c>
      <c r="CQ3907">
        <v>6</v>
      </c>
      <c r="CR3907" t="s">
        <v>116</v>
      </c>
      <c r="CS3907">
        <v>409</v>
      </c>
      <c r="CT3907">
        <v>1</v>
      </c>
      <c r="CU3907" t="s">
        <v>5087</v>
      </c>
      <c r="CV3907" t="s">
        <v>5088</v>
      </c>
      <c r="CY3907">
        <v>5170808</v>
      </c>
      <c r="CZ3907" t="s">
        <v>119</v>
      </c>
    </row>
    <row r="3908" spans="1:104" x14ac:dyDescent="0.25">
      <c r="A3908" t="str">
        <f>"14:55:34.016"</f>
        <v>14:55:34.016</v>
      </c>
      <c r="B3908" t="s">
        <v>108</v>
      </c>
      <c r="C3908" t="str">
        <f t="shared" si="181"/>
        <v>ffdfd3c0</v>
      </c>
      <c r="D3908" t="s">
        <v>109</v>
      </c>
      <c r="E3908">
        <v>4</v>
      </c>
      <c r="F3908">
        <v>1004</v>
      </c>
      <c r="G3908" t="s">
        <v>110</v>
      </c>
      <c r="J3908" t="s">
        <v>111</v>
      </c>
      <c r="K3908">
        <v>0</v>
      </c>
      <c r="L3908">
        <v>3</v>
      </c>
      <c r="M3908">
        <v>0</v>
      </c>
      <c r="N3908">
        <v>2</v>
      </c>
      <c r="O3908">
        <v>1</v>
      </c>
      <c r="P3908">
        <v>0</v>
      </c>
      <c r="Q3908">
        <v>0</v>
      </c>
      <c r="R3908" t="s">
        <v>112</v>
      </c>
      <c r="S3908" t="str">
        <f>"14:55:33.813"</f>
        <v>14:55:33.813</v>
      </c>
      <c r="T3908" t="str">
        <f>"14:55:33.414"</f>
        <v>14:55:33.414</v>
      </c>
      <c r="U3908" t="str">
        <f t="shared" si="183"/>
        <v>ad5732</v>
      </c>
      <c r="V3908">
        <v>0</v>
      </c>
      <c r="W3908">
        <v>0</v>
      </c>
      <c r="X3908">
        <v>1</v>
      </c>
      <c r="Z3908">
        <v>0</v>
      </c>
      <c r="AA3908">
        <v>9</v>
      </c>
      <c r="AB3908">
        <v>3</v>
      </c>
      <c r="AC3908">
        <v>0</v>
      </c>
      <c r="AD3908">
        <v>10</v>
      </c>
      <c r="AE3908">
        <v>0</v>
      </c>
      <c r="AF3908">
        <v>3</v>
      </c>
      <c r="AG3908">
        <v>2</v>
      </c>
      <c r="AH3908">
        <v>0</v>
      </c>
      <c r="AI3908" t="s">
        <v>7864</v>
      </c>
      <c r="AJ3908">
        <v>40.530538999999997</v>
      </c>
      <c r="AK3908" t="s">
        <v>7865</v>
      </c>
      <c r="AL3908">
        <v>-74.345405</v>
      </c>
      <c r="AM3908">
        <v>100</v>
      </c>
      <c r="AN3908">
        <v>1000</v>
      </c>
      <c r="AO3908" t="s">
        <v>115</v>
      </c>
      <c r="AP3908">
        <v>45</v>
      </c>
      <c r="AQ3908">
        <v>92</v>
      </c>
      <c r="AR3908">
        <v>-128</v>
      </c>
      <c r="AZ3908">
        <v>3614</v>
      </c>
      <c r="BA3908">
        <v>1</v>
      </c>
      <c r="BB3908" t="str">
        <f t="shared" si="182"/>
        <v xml:space="preserve">N959MJ  </v>
      </c>
      <c r="BC3908">
        <v>1</v>
      </c>
      <c r="BE3908">
        <v>0</v>
      </c>
      <c r="BF3908">
        <v>0</v>
      </c>
      <c r="BG3908">
        <v>0</v>
      </c>
      <c r="BH3908">
        <v>1275</v>
      </c>
      <c r="BI3908">
        <v>275</v>
      </c>
      <c r="BJ3908">
        <v>1</v>
      </c>
      <c r="BK3908">
        <v>1</v>
      </c>
      <c r="BL3908">
        <v>1</v>
      </c>
      <c r="BM3908">
        <v>0</v>
      </c>
      <c r="BP3908">
        <v>0</v>
      </c>
      <c r="BQ3908">
        <v>0</v>
      </c>
      <c r="BX3908" t="str">
        <f>"14:55:33.820"</f>
        <v>14:55:33.820</v>
      </c>
      <c r="BY3908" t="str">
        <f>"818980415"</f>
        <v>818980415</v>
      </c>
      <c r="CL3908">
        <v>3</v>
      </c>
      <c r="CM3908">
        <v>2</v>
      </c>
      <c r="CN3908">
        <v>0</v>
      </c>
      <c r="CO3908">
        <v>2</v>
      </c>
      <c r="CP3908">
        <v>0</v>
      </c>
      <c r="CQ3908">
        <v>6</v>
      </c>
      <c r="CR3908" t="s">
        <v>116</v>
      </c>
      <c r="CS3908">
        <v>305</v>
      </c>
      <c r="CT3908">
        <v>3</v>
      </c>
      <c r="CU3908" t="s">
        <v>6425</v>
      </c>
      <c r="CV3908" t="s">
        <v>6426</v>
      </c>
      <c r="CY3908">
        <v>6642976</v>
      </c>
      <c r="CZ3908" t="s">
        <v>119</v>
      </c>
    </row>
    <row r="3909" spans="1:104" x14ac:dyDescent="0.25">
      <c r="A3909" t="str">
        <f>"14:55:35.125"</f>
        <v>14:55:35.125</v>
      </c>
      <c r="B3909" t="s">
        <v>108</v>
      </c>
      <c r="C3909" t="str">
        <f t="shared" si="181"/>
        <v>ffdfd3c0</v>
      </c>
      <c r="D3909" t="s">
        <v>109</v>
      </c>
      <c r="E3909">
        <v>4</v>
      </c>
      <c r="F3909">
        <v>1004</v>
      </c>
      <c r="G3909" t="s">
        <v>110</v>
      </c>
      <c r="J3909" t="s">
        <v>111</v>
      </c>
      <c r="K3909">
        <v>0</v>
      </c>
      <c r="L3909">
        <v>3</v>
      </c>
      <c r="M3909">
        <v>0</v>
      </c>
      <c r="N3909">
        <v>2</v>
      </c>
      <c r="O3909">
        <v>1</v>
      </c>
      <c r="P3909">
        <v>0</v>
      </c>
      <c r="Q3909">
        <v>0</v>
      </c>
      <c r="R3909" t="s">
        <v>112</v>
      </c>
      <c r="S3909" t="str">
        <f>"14:55:34.938"</f>
        <v>14:55:34.938</v>
      </c>
      <c r="T3909" t="str">
        <f>"14:55:34.438"</f>
        <v>14:55:34.438</v>
      </c>
      <c r="U3909" t="str">
        <f t="shared" si="183"/>
        <v>ad5732</v>
      </c>
      <c r="V3909">
        <v>0</v>
      </c>
      <c r="W3909">
        <v>0</v>
      </c>
      <c r="X3909">
        <v>1</v>
      </c>
      <c r="Z3909">
        <v>0</v>
      </c>
      <c r="AA3909">
        <v>9</v>
      </c>
      <c r="AB3909">
        <v>3</v>
      </c>
      <c r="AC3909">
        <v>0</v>
      </c>
      <c r="AD3909">
        <v>10</v>
      </c>
      <c r="AE3909">
        <v>0</v>
      </c>
      <c r="AF3909">
        <v>3</v>
      </c>
      <c r="AG3909">
        <v>2</v>
      </c>
      <c r="AH3909">
        <v>0</v>
      </c>
      <c r="AI3909" t="s">
        <v>7866</v>
      </c>
      <c r="AJ3909">
        <v>40.531032000000003</v>
      </c>
      <c r="AK3909" t="s">
        <v>7867</v>
      </c>
      <c r="AL3909">
        <v>-74.345039999999997</v>
      </c>
      <c r="AM3909">
        <v>100</v>
      </c>
      <c r="AN3909">
        <v>1000</v>
      </c>
      <c r="AO3909" t="s">
        <v>115</v>
      </c>
      <c r="AP3909">
        <v>45</v>
      </c>
      <c r="AQ3909">
        <v>91</v>
      </c>
      <c r="AR3909">
        <v>-192</v>
      </c>
      <c r="AZ3909">
        <v>3614</v>
      </c>
      <c r="BA3909">
        <v>1</v>
      </c>
      <c r="BB3909" t="str">
        <f t="shared" si="182"/>
        <v xml:space="preserve">N959MJ  </v>
      </c>
      <c r="BC3909">
        <v>1</v>
      </c>
      <c r="BE3909">
        <v>0</v>
      </c>
      <c r="BF3909">
        <v>0</v>
      </c>
      <c r="BG3909">
        <v>0</v>
      </c>
      <c r="BH3909">
        <v>1275</v>
      </c>
      <c r="BI3909">
        <v>275</v>
      </c>
      <c r="BJ3909">
        <v>1</v>
      </c>
      <c r="BK3909">
        <v>1</v>
      </c>
      <c r="BL3909">
        <v>1</v>
      </c>
      <c r="BM3909">
        <v>0</v>
      </c>
      <c r="BP3909">
        <v>0</v>
      </c>
      <c r="BQ3909">
        <v>0</v>
      </c>
      <c r="BX3909" t="str">
        <f>"14:55:34.938"</f>
        <v>14:55:34.938</v>
      </c>
      <c r="BY3909" t="str">
        <f>"939665685"</f>
        <v>939665685</v>
      </c>
      <c r="CL3909">
        <v>3</v>
      </c>
      <c r="CM3909">
        <v>2</v>
      </c>
      <c r="CN3909">
        <v>0</v>
      </c>
      <c r="CO3909">
        <v>2</v>
      </c>
      <c r="CP3909">
        <v>0</v>
      </c>
      <c r="CQ3909">
        <v>6</v>
      </c>
      <c r="CR3909" t="s">
        <v>116</v>
      </c>
      <c r="CS3909">
        <v>305</v>
      </c>
      <c r="CT3909">
        <v>3</v>
      </c>
      <c r="CU3909" t="s">
        <v>6425</v>
      </c>
      <c r="CV3909" t="s">
        <v>6426</v>
      </c>
      <c r="CY3909">
        <v>6645305</v>
      </c>
      <c r="CZ3909" t="s">
        <v>119</v>
      </c>
    </row>
    <row r="3910" spans="1:104" x14ac:dyDescent="0.25">
      <c r="A3910" t="str">
        <f>"14:55:36.031"</f>
        <v>14:55:36.031</v>
      </c>
      <c r="B3910" t="s">
        <v>108</v>
      </c>
      <c r="C3910" t="str">
        <f t="shared" si="181"/>
        <v>ffdfd3c0</v>
      </c>
      <c r="D3910" t="s">
        <v>109</v>
      </c>
      <c r="E3910">
        <v>4</v>
      </c>
      <c r="F3910">
        <v>1004</v>
      </c>
      <c r="G3910" t="s">
        <v>110</v>
      </c>
      <c r="J3910" t="s">
        <v>111</v>
      </c>
      <c r="K3910">
        <v>0</v>
      </c>
      <c r="L3910">
        <v>3</v>
      </c>
      <c r="M3910">
        <v>0</v>
      </c>
      <c r="N3910">
        <v>2</v>
      </c>
      <c r="O3910">
        <v>1</v>
      </c>
      <c r="P3910">
        <v>0</v>
      </c>
      <c r="Q3910">
        <v>0</v>
      </c>
      <c r="R3910" t="s">
        <v>112</v>
      </c>
      <c r="S3910" t="str">
        <f>"14:55:35.844"</f>
        <v>14:55:35.844</v>
      </c>
      <c r="T3910" t="str">
        <f>"14:55:35.445"</f>
        <v>14:55:35.445</v>
      </c>
      <c r="U3910" t="str">
        <f t="shared" si="183"/>
        <v>ad5732</v>
      </c>
      <c r="V3910">
        <v>0</v>
      </c>
      <c r="W3910">
        <v>0</v>
      </c>
      <c r="X3910">
        <v>1</v>
      </c>
      <c r="Z3910">
        <v>0</v>
      </c>
      <c r="AA3910">
        <v>9</v>
      </c>
      <c r="AB3910">
        <v>3</v>
      </c>
      <c r="AC3910">
        <v>0</v>
      </c>
      <c r="AD3910">
        <v>10</v>
      </c>
      <c r="AE3910">
        <v>0</v>
      </c>
      <c r="AF3910">
        <v>3</v>
      </c>
      <c r="AG3910">
        <v>2</v>
      </c>
      <c r="AH3910">
        <v>0</v>
      </c>
      <c r="AI3910" t="s">
        <v>7868</v>
      </c>
      <c r="AJ3910">
        <v>40.531396999999998</v>
      </c>
      <c r="AK3910" t="s">
        <v>7869</v>
      </c>
      <c r="AL3910">
        <v>-74.344803999999996</v>
      </c>
      <c r="AM3910">
        <v>100</v>
      </c>
      <c r="AN3910">
        <v>1000</v>
      </c>
      <c r="AO3910" t="s">
        <v>115</v>
      </c>
      <c r="AP3910">
        <v>44</v>
      </c>
      <c r="AQ3910">
        <v>91</v>
      </c>
      <c r="AR3910">
        <v>-256</v>
      </c>
      <c r="AZ3910">
        <v>3614</v>
      </c>
      <c r="BA3910">
        <v>1</v>
      </c>
      <c r="BB3910" t="str">
        <f t="shared" si="182"/>
        <v xml:space="preserve">N959MJ  </v>
      </c>
      <c r="BC3910">
        <v>1</v>
      </c>
      <c r="BE3910">
        <v>0</v>
      </c>
      <c r="BF3910">
        <v>0</v>
      </c>
      <c r="BG3910">
        <v>0</v>
      </c>
      <c r="BH3910">
        <v>1275</v>
      </c>
      <c r="BI3910">
        <v>275</v>
      </c>
      <c r="BJ3910">
        <v>1</v>
      </c>
      <c r="BK3910">
        <v>1</v>
      </c>
      <c r="BL3910">
        <v>1</v>
      </c>
      <c r="BM3910">
        <v>0</v>
      </c>
      <c r="BP3910">
        <v>0</v>
      </c>
      <c r="BQ3910">
        <v>0</v>
      </c>
      <c r="BX3910" t="str">
        <f>"14:55:35.844"</f>
        <v>14:55:35.844</v>
      </c>
      <c r="BY3910" t="str">
        <f>"845839891"</f>
        <v>845839891</v>
      </c>
      <c r="CL3910">
        <v>3</v>
      </c>
      <c r="CM3910">
        <v>2</v>
      </c>
      <c r="CN3910">
        <v>0</v>
      </c>
      <c r="CO3910">
        <v>2</v>
      </c>
      <c r="CP3910">
        <v>0</v>
      </c>
      <c r="CQ3910">
        <v>6</v>
      </c>
      <c r="CR3910" t="s">
        <v>116</v>
      </c>
      <c r="CS3910">
        <v>409</v>
      </c>
      <c r="CT3910">
        <v>1</v>
      </c>
      <c r="CU3910" t="s">
        <v>5087</v>
      </c>
      <c r="CV3910" t="s">
        <v>5088</v>
      </c>
      <c r="CY3910">
        <v>5176418</v>
      </c>
      <c r="CZ3910" t="s">
        <v>119</v>
      </c>
    </row>
    <row r="3911" spans="1:104" x14ac:dyDescent="0.25">
      <c r="A3911" t="str">
        <f>"14:55:37.047"</f>
        <v>14:55:37.047</v>
      </c>
      <c r="B3911" t="s">
        <v>108</v>
      </c>
      <c r="C3911" t="str">
        <f t="shared" si="181"/>
        <v>ffdfd3c0</v>
      </c>
      <c r="D3911" t="s">
        <v>109</v>
      </c>
      <c r="E3911">
        <v>4</v>
      </c>
      <c r="F3911">
        <v>1004</v>
      </c>
      <c r="G3911" t="s">
        <v>110</v>
      </c>
      <c r="J3911" t="s">
        <v>111</v>
      </c>
      <c r="K3911">
        <v>0</v>
      </c>
      <c r="L3911">
        <v>3</v>
      </c>
      <c r="M3911">
        <v>0</v>
      </c>
      <c r="N3911">
        <v>2</v>
      </c>
      <c r="O3911">
        <v>1</v>
      </c>
      <c r="P3911">
        <v>0</v>
      </c>
      <c r="Q3911">
        <v>0</v>
      </c>
      <c r="R3911" t="s">
        <v>112</v>
      </c>
      <c r="S3911" t="str">
        <f>"14:55:36.875"</f>
        <v>14:55:36.875</v>
      </c>
      <c r="T3911" t="str">
        <f>"14:55:36.375"</f>
        <v>14:55:36.375</v>
      </c>
      <c r="U3911" t="str">
        <f t="shared" si="183"/>
        <v>ad5732</v>
      </c>
      <c r="V3911">
        <v>0</v>
      </c>
      <c r="W3911">
        <v>0</v>
      </c>
      <c r="X3911">
        <v>1</v>
      </c>
      <c r="Z3911">
        <v>0</v>
      </c>
      <c r="AA3911">
        <v>9</v>
      </c>
      <c r="AB3911">
        <v>3</v>
      </c>
      <c r="AC3911">
        <v>0</v>
      </c>
      <c r="AD3911">
        <v>10</v>
      </c>
      <c r="AE3911">
        <v>0</v>
      </c>
      <c r="AF3911">
        <v>3</v>
      </c>
      <c r="AG3911">
        <v>2</v>
      </c>
      <c r="AH3911">
        <v>0</v>
      </c>
      <c r="AI3911" t="s">
        <v>7870</v>
      </c>
      <c r="AJ3911">
        <v>40.531826000000002</v>
      </c>
      <c r="AK3911" t="s">
        <v>7871</v>
      </c>
      <c r="AL3911">
        <v>-74.344547000000006</v>
      </c>
      <c r="AM3911">
        <v>100</v>
      </c>
      <c r="AN3911">
        <v>1000</v>
      </c>
      <c r="AO3911" t="s">
        <v>115</v>
      </c>
      <c r="AP3911">
        <v>44</v>
      </c>
      <c r="AQ3911">
        <v>92</v>
      </c>
      <c r="AR3911">
        <v>-320</v>
      </c>
      <c r="AZ3911">
        <v>3614</v>
      </c>
      <c r="BA3911">
        <v>1</v>
      </c>
      <c r="BB3911" t="str">
        <f t="shared" si="182"/>
        <v xml:space="preserve">N959MJ  </v>
      </c>
      <c r="BC3911">
        <v>1</v>
      </c>
      <c r="BE3911">
        <v>0</v>
      </c>
      <c r="BF3911">
        <v>0</v>
      </c>
      <c r="BG3911">
        <v>0</v>
      </c>
      <c r="BH3911">
        <v>1275</v>
      </c>
      <c r="BI3911">
        <v>275</v>
      </c>
      <c r="BJ3911">
        <v>1</v>
      </c>
      <c r="BK3911">
        <v>1</v>
      </c>
      <c r="BL3911">
        <v>1</v>
      </c>
      <c r="BM3911">
        <v>0</v>
      </c>
      <c r="BP3911">
        <v>0</v>
      </c>
      <c r="BQ3911">
        <v>0</v>
      </c>
      <c r="BX3911" t="str">
        <f>"14:55:36.883"</f>
        <v>14:55:36.883</v>
      </c>
      <c r="BY3911" t="str">
        <f>"881203900"</f>
        <v>881203900</v>
      </c>
      <c r="CL3911">
        <v>3</v>
      </c>
      <c r="CM3911">
        <v>2</v>
      </c>
      <c r="CN3911">
        <v>0</v>
      </c>
      <c r="CO3911">
        <v>2</v>
      </c>
      <c r="CP3911">
        <v>0</v>
      </c>
      <c r="CQ3911">
        <v>6</v>
      </c>
      <c r="CR3911" t="s">
        <v>116</v>
      </c>
      <c r="CS3911">
        <v>305</v>
      </c>
      <c r="CT3911">
        <v>3</v>
      </c>
      <c r="CU3911" t="s">
        <v>6425</v>
      </c>
      <c r="CV3911" t="s">
        <v>6426</v>
      </c>
      <c r="CY3911">
        <v>6649079</v>
      </c>
      <c r="CZ3911" t="s">
        <v>119</v>
      </c>
    </row>
    <row r="3912" spans="1:104" x14ac:dyDescent="0.25">
      <c r="A3912" t="str">
        <f>"14:55:38.000"</f>
        <v>14:55:38.000</v>
      </c>
      <c r="B3912" t="s">
        <v>108</v>
      </c>
      <c r="C3912" t="str">
        <f t="shared" si="181"/>
        <v>ffdfd3c0</v>
      </c>
      <c r="D3912" t="s">
        <v>109</v>
      </c>
      <c r="E3912">
        <v>4</v>
      </c>
      <c r="F3912">
        <v>1004</v>
      </c>
      <c r="G3912" t="s">
        <v>110</v>
      </c>
      <c r="J3912" t="s">
        <v>111</v>
      </c>
      <c r="K3912">
        <v>0</v>
      </c>
      <c r="L3912">
        <v>3</v>
      </c>
      <c r="M3912">
        <v>0</v>
      </c>
      <c r="N3912">
        <v>2</v>
      </c>
      <c r="O3912">
        <v>1</v>
      </c>
      <c r="P3912">
        <v>0</v>
      </c>
      <c r="Q3912">
        <v>0</v>
      </c>
      <c r="R3912" t="s">
        <v>112</v>
      </c>
      <c r="S3912" t="str">
        <f>"14:55:37.813"</f>
        <v>14:55:37.813</v>
      </c>
      <c r="T3912" t="str">
        <f>"14:55:37.516"</f>
        <v>14:55:37.516</v>
      </c>
      <c r="U3912" t="str">
        <f t="shared" si="183"/>
        <v>ad5732</v>
      </c>
      <c r="V3912">
        <v>0</v>
      </c>
      <c r="W3912">
        <v>0</v>
      </c>
      <c r="X3912">
        <v>1</v>
      </c>
      <c r="Z3912">
        <v>0</v>
      </c>
      <c r="AA3912">
        <v>9</v>
      </c>
      <c r="AB3912">
        <v>3</v>
      </c>
      <c r="AC3912">
        <v>0</v>
      </c>
      <c r="AD3912">
        <v>10</v>
      </c>
      <c r="AE3912">
        <v>0</v>
      </c>
      <c r="AF3912">
        <v>3</v>
      </c>
      <c r="AG3912">
        <v>2</v>
      </c>
      <c r="AH3912">
        <v>0</v>
      </c>
      <c r="AI3912" t="s">
        <v>7872</v>
      </c>
      <c r="AJ3912">
        <v>40.532234000000003</v>
      </c>
      <c r="AK3912" t="s">
        <v>7873</v>
      </c>
      <c r="AL3912">
        <v>-74.344289000000003</v>
      </c>
      <c r="AM3912">
        <v>100</v>
      </c>
      <c r="AN3912">
        <v>1000</v>
      </c>
      <c r="AO3912" t="s">
        <v>115</v>
      </c>
      <c r="AP3912">
        <v>44</v>
      </c>
      <c r="AQ3912">
        <v>92</v>
      </c>
      <c r="AR3912">
        <v>-512</v>
      </c>
      <c r="AZ3912">
        <v>3614</v>
      </c>
      <c r="BA3912">
        <v>1</v>
      </c>
      <c r="BB3912" t="str">
        <f t="shared" si="182"/>
        <v xml:space="preserve">N959MJ  </v>
      </c>
      <c r="BC3912">
        <v>1</v>
      </c>
      <c r="BE3912">
        <v>0</v>
      </c>
      <c r="BF3912">
        <v>0</v>
      </c>
      <c r="BG3912">
        <v>0</v>
      </c>
      <c r="BH3912">
        <v>1275</v>
      </c>
      <c r="BI3912">
        <v>275</v>
      </c>
      <c r="BJ3912">
        <v>1</v>
      </c>
      <c r="BK3912">
        <v>1</v>
      </c>
      <c r="BL3912">
        <v>1</v>
      </c>
      <c r="BM3912">
        <v>0</v>
      </c>
      <c r="BP3912">
        <v>0</v>
      </c>
      <c r="BQ3912">
        <v>0</v>
      </c>
      <c r="BX3912" t="str">
        <f>"14:55:37.820"</f>
        <v>14:55:37.820</v>
      </c>
      <c r="BY3912" t="str">
        <f>"818508243"</f>
        <v>818508243</v>
      </c>
      <c r="CL3912">
        <v>3</v>
      </c>
      <c r="CM3912">
        <v>2</v>
      </c>
      <c r="CN3912">
        <v>0</v>
      </c>
      <c r="CO3912">
        <v>2</v>
      </c>
      <c r="CP3912">
        <v>0</v>
      </c>
      <c r="CQ3912">
        <v>6</v>
      </c>
      <c r="CR3912" t="s">
        <v>116</v>
      </c>
      <c r="CS3912">
        <v>409</v>
      </c>
      <c r="CT3912">
        <v>1</v>
      </c>
      <c r="CU3912" t="s">
        <v>5087</v>
      </c>
      <c r="CV3912" t="s">
        <v>5088</v>
      </c>
      <c r="CY3912">
        <v>5180211</v>
      </c>
      <c r="CZ3912" t="s">
        <v>119</v>
      </c>
    </row>
    <row r="3913" spans="1:104" x14ac:dyDescent="0.25">
      <c r="A3913" t="str">
        <f>"14:55:39.016"</f>
        <v>14:55:39.016</v>
      </c>
      <c r="B3913" t="s">
        <v>108</v>
      </c>
      <c r="C3913" t="str">
        <f t="shared" si="181"/>
        <v>ffdfd3c0</v>
      </c>
      <c r="D3913" t="s">
        <v>109</v>
      </c>
      <c r="E3913">
        <v>4</v>
      </c>
      <c r="F3913">
        <v>1004</v>
      </c>
      <c r="G3913" t="s">
        <v>110</v>
      </c>
      <c r="J3913" t="s">
        <v>111</v>
      </c>
      <c r="K3913">
        <v>0</v>
      </c>
      <c r="L3913">
        <v>3</v>
      </c>
      <c r="M3913">
        <v>0</v>
      </c>
      <c r="N3913">
        <v>2</v>
      </c>
      <c r="O3913">
        <v>1</v>
      </c>
      <c r="P3913">
        <v>0</v>
      </c>
      <c r="Q3913">
        <v>0</v>
      </c>
      <c r="R3913" t="s">
        <v>112</v>
      </c>
      <c r="S3913" t="str">
        <f>"14:55:38.781"</f>
        <v>14:55:38.781</v>
      </c>
      <c r="T3913" t="str">
        <f>"14:55:38.383"</f>
        <v>14:55:38.383</v>
      </c>
      <c r="U3913" t="str">
        <f t="shared" si="183"/>
        <v>ad5732</v>
      </c>
      <c r="V3913">
        <v>0</v>
      </c>
      <c r="W3913">
        <v>0</v>
      </c>
      <c r="X3913">
        <v>1</v>
      </c>
      <c r="Z3913">
        <v>0</v>
      </c>
      <c r="AA3913">
        <v>9</v>
      </c>
      <c r="AB3913">
        <v>3</v>
      </c>
      <c r="AC3913">
        <v>0</v>
      </c>
      <c r="AD3913">
        <v>10</v>
      </c>
      <c r="AE3913">
        <v>0</v>
      </c>
      <c r="AF3913">
        <v>3</v>
      </c>
      <c r="AG3913">
        <v>2</v>
      </c>
      <c r="AH3913">
        <v>0</v>
      </c>
      <c r="AI3913" t="s">
        <v>7874</v>
      </c>
      <c r="AJ3913">
        <v>40.532640999999998</v>
      </c>
      <c r="AK3913" t="s">
        <v>7875</v>
      </c>
      <c r="AL3913">
        <v>-74.344053000000002</v>
      </c>
      <c r="AM3913">
        <v>100</v>
      </c>
      <c r="AN3913">
        <v>1000</v>
      </c>
      <c r="AO3913" t="s">
        <v>115</v>
      </c>
      <c r="AP3913">
        <v>44</v>
      </c>
      <c r="AQ3913">
        <v>92</v>
      </c>
      <c r="AR3913">
        <v>-640</v>
      </c>
      <c r="AZ3913">
        <v>3614</v>
      </c>
      <c r="BA3913">
        <v>1</v>
      </c>
      <c r="BB3913" t="str">
        <f t="shared" si="182"/>
        <v xml:space="preserve">N959MJ  </v>
      </c>
      <c r="BC3913">
        <v>1</v>
      </c>
      <c r="BE3913">
        <v>0</v>
      </c>
      <c r="BF3913">
        <v>0</v>
      </c>
      <c r="BG3913">
        <v>0</v>
      </c>
      <c r="BH3913">
        <v>1250</v>
      </c>
      <c r="BI3913">
        <v>250</v>
      </c>
      <c r="BJ3913">
        <v>1</v>
      </c>
      <c r="BK3913">
        <v>1</v>
      </c>
      <c r="BL3913">
        <v>1</v>
      </c>
      <c r="BM3913">
        <v>0</v>
      </c>
      <c r="BP3913">
        <v>0</v>
      </c>
      <c r="BQ3913">
        <v>0</v>
      </c>
      <c r="BX3913" t="str">
        <f>"14:55:38.781"</f>
        <v>14:55:38.781</v>
      </c>
      <c r="BY3913" t="str">
        <f>"781781384"</f>
        <v>781781384</v>
      </c>
      <c r="CL3913">
        <v>3</v>
      </c>
      <c r="CM3913">
        <v>2</v>
      </c>
      <c r="CN3913">
        <v>0</v>
      </c>
      <c r="CO3913">
        <v>2</v>
      </c>
      <c r="CP3913">
        <v>0</v>
      </c>
      <c r="CQ3913">
        <v>6</v>
      </c>
      <c r="CR3913" t="s">
        <v>116</v>
      </c>
      <c r="CS3913">
        <v>305</v>
      </c>
      <c r="CT3913">
        <v>3</v>
      </c>
      <c r="CU3913" t="s">
        <v>6425</v>
      </c>
      <c r="CV3913" t="s">
        <v>6426</v>
      </c>
      <c r="CY3913">
        <v>6652957</v>
      </c>
      <c r="CZ3913" t="s">
        <v>119</v>
      </c>
    </row>
    <row r="3914" spans="1:104" x14ac:dyDescent="0.25">
      <c r="A3914" t="str">
        <f>"14:55:39.875"</f>
        <v>14:55:39.875</v>
      </c>
      <c r="B3914" t="s">
        <v>108</v>
      </c>
      <c r="C3914" t="str">
        <f t="shared" ref="C3914:C3977" si="184">"ffdfd3c0"</f>
        <v>ffdfd3c0</v>
      </c>
      <c r="D3914" t="s">
        <v>109</v>
      </c>
      <c r="E3914">
        <v>4</v>
      </c>
      <c r="F3914">
        <v>1004</v>
      </c>
      <c r="G3914" t="s">
        <v>110</v>
      </c>
      <c r="J3914" t="s">
        <v>111</v>
      </c>
      <c r="K3914">
        <v>0</v>
      </c>
      <c r="L3914">
        <v>3</v>
      </c>
      <c r="M3914">
        <v>0</v>
      </c>
      <c r="N3914">
        <v>2</v>
      </c>
      <c r="O3914">
        <v>1</v>
      </c>
      <c r="P3914">
        <v>0</v>
      </c>
      <c r="Q3914">
        <v>0</v>
      </c>
      <c r="R3914" t="s">
        <v>112</v>
      </c>
      <c r="S3914" t="str">
        <f>"14:55:39.703"</f>
        <v>14:55:39.703</v>
      </c>
      <c r="T3914" t="str">
        <f>"14:55:39.305"</f>
        <v>14:55:39.305</v>
      </c>
      <c r="U3914" t="str">
        <f t="shared" si="183"/>
        <v>ad5732</v>
      </c>
      <c r="V3914">
        <v>0</v>
      </c>
      <c r="W3914">
        <v>0</v>
      </c>
      <c r="X3914">
        <v>1</v>
      </c>
      <c r="Z3914">
        <v>0</v>
      </c>
      <c r="AA3914">
        <v>9</v>
      </c>
      <c r="AB3914">
        <v>3</v>
      </c>
      <c r="AC3914">
        <v>0</v>
      </c>
      <c r="AD3914">
        <v>10</v>
      </c>
      <c r="AE3914">
        <v>0</v>
      </c>
      <c r="AF3914">
        <v>3</v>
      </c>
      <c r="AG3914">
        <v>2</v>
      </c>
      <c r="AH3914">
        <v>0</v>
      </c>
      <c r="AI3914" t="s">
        <v>7876</v>
      </c>
      <c r="AJ3914">
        <v>40.533028000000002</v>
      </c>
      <c r="AK3914" t="s">
        <v>7877</v>
      </c>
      <c r="AL3914">
        <v>-74.343795999999998</v>
      </c>
      <c r="AM3914">
        <v>100</v>
      </c>
      <c r="AN3914">
        <v>1000</v>
      </c>
      <c r="AO3914" t="s">
        <v>115</v>
      </c>
      <c r="AP3914">
        <v>44</v>
      </c>
      <c r="AQ3914">
        <v>93</v>
      </c>
      <c r="AR3914">
        <v>-704</v>
      </c>
      <c r="AZ3914">
        <v>3614</v>
      </c>
      <c r="BA3914">
        <v>1</v>
      </c>
      <c r="BB3914" t="str">
        <f t="shared" ref="BB3914:BB3977" si="185">"N959MJ  "</f>
        <v xml:space="preserve">N959MJ  </v>
      </c>
      <c r="BC3914">
        <v>1</v>
      </c>
      <c r="BE3914">
        <v>0</v>
      </c>
      <c r="BF3914">
        <v>0</v>
      </c>
      <c r="BG3914">
        <v>0</v>
      </c>
      <c r="BH3914">
        <v>1250</v>
      </c>
      <c r="BI3914">
        <v>250</v>
      </c>
      <c r="BJ3914">
        <v>1</v>
      </c>
      <c r="BK3914">
        <v>1</v>
      </c>
      <c r="BL3914">
        <v>1</v>
      </c>
      <c r="BM3914">
        <v>0</v>
      </c>
      <c r="BP3914">
        <v>0</v>
      </c>
      <c r="BQ3914">
        <v>0</v>
      </c>
      <c r="BX3914" t="str">
        <f>"14:55:39.703"</f>
        <v>14:55:39.703</v>
      </c>
      <c r="BY3914" t="str">
        <f>"704216730"</f>
        <v>704216730</v>
      </c>
      <c r="CL3914">
        <v>3</v>
      </c>
      <c r="CM3914">
        <v>2</v>
      </c>
      <c r="CN3914">
        <v>0</v>
      </c>
      <c r="CO3914">
        <v>2</v>
      </c>
      <c r="CP3914">
        <v>0</v>
      </c>
      <c r="CQ3914">
        <v>6</v>
      </c>
      <c r="CR3914" t="s">
        <v>116</v>
      </c>
      <c r="CS3914">
        <v>305</v>
      </c>
      <c r="CT3914">
        <v>3</v>
      </c>
      <c r="CU3914" t="s">
        <v>6425</v>
      </c>
      <c r="CV3914" t="s">
        <v>6426</v>
      </c>
      <c r="CY3914">
        <v>6654863</v>
      </c>
      <c r="CZ3914" t="s">
        <v>119</v>
      </c>
    </row>
    <row r="3915" spans="1:104" x14ac:dyDescent="0.25">
      <c r="A3915" t="str">
        <f>"14:55:40.828"</f>
        <v>14:55:40.828</v>
      </c>
      <c r="B3915" t="s">
        <v>108</v>
      </c>
      <c r="C3915" t="str">
        <f t="shared" si="184"/>
        <v>ffdfd3c0</v>
      </c>
      <c r="D3915" t="s">
        <v>109</v>
      </c>
      <c r="E3915">
        <v>4</v>
      </c>
      <c r="F3915">
        <v>1004</v>
      </c>
      <c r="G3915" t="s">
        <v>110</v>
      </c>
      <c r="J3915" t="s">
        <v>111</v>
      </c>
      <c r="K3915">
        <v>0</v>
      </c>
      <c r="L3915">
        <v>3</v>
      </c>
      <c r="M3915">
        <v>0</v>
      </c>
      <c r="N3915">
        <v>2</v>
      </c>
      <c r="O3915">
        <v>1</v>
      </c>
      <c r="P3915">
        <v>0</v>
      </c>
      <c r="Q3915">
        <v>0</v>
      </c>
      <c r="R3915" t="s">
        <v>112</v>
      </c>
      <c r="S3915" t="str">
        <f>"14:55:40.648"</f>
        <v>14:55:40.648</v>
      </c>
      <c r="T3915" t="str">
        <f>"14:55:40.250"</f>
        <v>14:55:40.250</v>
      </c>
      <c r="U3915" t="str">
        <f t="shared" si="183"/>
        <v>ad5732</v>
      </c>
      <c r="V3915">
        <v>0</v>
      </c>
      <c r="W3915">
        <v>0</v>
      </c>
      <c r="X3915">
        <v>1</v>
      </c>
      <c r="Z3915">
        <v>0</v>
      </c>
      <c r="AA3915">
        <v>9</v>
      </c>
      <c r="AB3915">
        <v>3</v>
      </c>
      <c r="AC3915">
        <v>0</v>
      </c>
      <c r="AD3915">
        <v>10</v>
      </c>
      <c r="AE3915">
        <v>0</v>
      </c>
      <c r="AF3915">
        <v>3</v>
      </c>
      <c r="AG3915">
        <v>2</v>
      </c>
      <c r="AH3915">
        <v>0</v>
      </c>
      <c r="AI3915" t="s">
        <v>7878</v>
      </c>
      <c r="AJ3915">
        <v>40.533456999999999</v>
      </c>
      <c r="AK3915" t="s">
        <v>7879</v>
      </c>
      <c r="AL3915">
        <v>-74.343537999999995</v>
      </c>
      <c r="AM3915">
        <v>100</v>
      </c>
      <c r="AN3915">
        <v>1000</v>
      </c>
      <c r="AO3915" t="s">
        <v>115</v>
      </c>
      <c r="AP3915">
        <v>45</v>
      </c>
      <c r="AQ3915">
        <v>93</v>
      </c>
      <c r="AR3915">
        <v>-832</v>
      </c>
      <c r="AZ3915">
        <v>3614</v>
      </c>
      <c r="BA3915">
        <v>1</v>
      </c>
      <c r="BB3915" t="str">
        <f t="shared" si="185"/>
        <v xml:space="preserve">N959MJ  </v>
      </c>
      <c r="BC3915">
        <v>1</v>
      </c>
      <c r="BE3915">
        <v>0</v>
      </c>
      <c r="BF3915">
        <v>0</v>
      </c>
      <c r="BG3915">
        <v>0</v>
      </c>
      <c r="BH3915">
        <v>1225</v>
      </c>
      <c r="BI3915">
        <v>225</v>
      </c>
      <c r="BJ3915">
        <v>1</v>
      </c>
      <c r="BK3915">
        <v>1</v>
      </c>
      <c r="BL3915">
        <v>1</v>
      </c>
      <c r="BM3915">
        <v>0</v>
      </c>
      <c r="BP3915">
        <v>0</v>
      </c>
      <c r="BQ3915">
        <v>0</v>
      </c>
      <c r="BX3915" t="str">
        <f>"14:55:40.656"</f>
        <v>14:55:40.656</v>
      </c>
      <c r="BY3915" t="str">
        <f>"652867020"</f>
        <v>652867020</v>
      </c>
      <c r="CL3915">
        <v>3</v>
      </c>
      <c r="CM3915">
        <v>2</v>
      </c>
      <c r="CN3915">
        <v>0</v>
      </c>
      <c r="CO3915">
        <v>2</v>
      </c>
      <c r="CP3915">
        <v>0</v>
      </c>
      <c r="CQ3915">
        <v>6</v>
      </c>
      <c r="CR3915" t="s">
        <v>116</v>
      </c>
      <c r="CS3915">
        <v>305</v>
      </c>
      <c r="CT3915">
        <v>3</v>
      </c>
      <c r="CU3915" t="s">
        <v>6425</v>
      </c>
      <c r="CV3915" t="s">
        <v>6426</v>
      </c>
      <c r="CY3915">
        <v>6656895</v>
      </c>
      <c r="CZ3915" t="s">
        <v>119</v>
      </c>
    </row>
    <row r="3916" spans="1:104" x14ac:dyDescent="0.25">
      <c r="A3916" t="str">
        <f>"14:55:41.789"</f>
        <v>14:55:41.789</v>
      </c>
      <c r="B3916" t="s">
        <v>108</v>
      </c>
      <c r="C3916" t="str">
        <f t="shared" si="184"/>
        <v>ffdfd3c0</v>
      </c>
      <c r="D3916" t="s">
        <v>109</v>
      </c>
      <c r="E3916">
        <v>4</v>
      </c>
      <c r="F3916">
        <v>1004</v>
      </c>
      <c r="G3916" t="s">
        <v>110</v>
      </c>
      <c r="J3916" t="s">
        <v>111</v>
      </c>
      <c r="K3916">
        <v>0</v>
      </c>
      <c r="L3916">
        <v>3</v>
      </c>
      <c r="M3916">
        <v>0</v>
      </c>
      <c r="N3916">
        <v>2</v>
      </c>
      <c r="O3916">
        <v>1</v>
      </c>
      <c r="P3916">
        <v>0</v>
      </c>
      <c r="Q3916">
        <v>0</v>
      </c>
      <c r="R3916" t="s">
        <v>112</v>
      </c>
      <c r="S3916" t="str">
        <f>"14:55:41.609"</f>
        <v>14:55:41.609</v>
      </c>
      <c r="T3916" t="str">
        <f>"14:55:41.211"</f>
        <v>14:55:41.211</v>
      </c>
      <c r="U3916" t="str">
        <f t="shared" si="183"/>
        <v>ad5732</v>
      </c>
      <c r="V3916">
        <v>0</v>
      </c>
      <c r="W3916">
        <v>0</v>
      </c>
      <c r="X3916">
        <v>1</v>
      </c>
      <c r="Z3916">
        <v>0</v>
      </c>
      <c r="AA3916">
        <v>9</v>
      </c>
      <c r="AB3916">
        <v>3</v>
      </c>
      <c r="AC3916">
        <v>0</v>
      </c>
      <c r="AD3916">
        <v>10</v>
      </c>
      <c r="AE3916">
        <v>0</v>
      </c>
      <c r="AF3916">
        <v>3</v>
      </c>
      <c r="AG3916">
        <v>2</v>
      </c>
      <c r="AH3916">
        <v>0</v>
      </c>
      <c r="AI3916" t="s">
        <v>7880</v>
      </c>
      <c r="AJ3916">
        <v>40.533864000000001</v>
      </c>
      <c r="AK3916" t="s">
        <v>7881</v>
      </c>
      <c r="AL3916">
        <v>-74.343259000000003</v>
      </c>
      <c r="AM3916">
        <v>100</v>
      </c>
      <c r="AN3916">
        <v>1000</v>
      </c>
      <c r="AO3916" t="s">
        <v>115</v>
      </c>
      <c r="AP3916">
        <v>46</v>
      </c>
      <c r="AQ3916">
        <v>94</v>
      </c>
      <c r="AR3916">
        <v>-896</v>
      </c>
      <c r="AZ3916">
        <v>3614</v>
      </c>
      <c r="BA3916">
        <v>1</v>
      </c>
      <c r="BB3916" t="str">
        <f t="shared" si="185"/>
        <v xml:space="preserve">N959MJ  </v>
      </c>
      <c r="BC3916">
        <v>1</v>
      </c>
      <c r="BE3916">
        <v>0</v>
      </c>
      <c r="BF3916">
        <v>0</v>
      </c>
      <c r="BG3916">
        <v>0</v>
      </c>
      <c r="BH3916">
        <v>1225</v>
      </c>
      <c r="BI3916">
        <v>225</v>
      </c>
      <c r="BJ3916">
        <v>1</v>
      </c>
      <c r="BK3916">
        <v>1</v>
      </c>
      <c r="BL3916">
        <v>1</v>
      </c>
      <c r="BM3916">
        <v>0</v>
      </c>
      <c r="BP3916">
        <v>0</v>
      </c>
      <c r="BQ3916">
        <v>0</v>
      </c>
      <c r="BX3916" t="str">
        <f>"14:55:41.609"</f>
        <v>14:55:41.609</v>
      </c>
      <c r="BY3916" t="str">
        <f>"611470867"</f>
        <v>611470867</v>
      </c>
      <c r="CL3916">
        <v>3</v>
      </c>
      <c r="CM3916">
        <v>2</v>
      </c>
      <c r="CN3916">
        <v>0</v>
      </c>
      <c r="CO3916">
        <v>2</v>
      </c>
      <c r="CP3916">
        <v>0</v>
      </c>
      <c r="CQ3916">
        <v>6</v>
      </c>
      <c r="CR3916" t="s">
        <v>116</v>
      </c>
      <c r="CS3916">
        <v>409</v>
      </c>
      <c r="CT3916">
        <v>1</v>
      </c>
      <c r="CU3916" t="s">
        <v>5087</v>
      </c>
      <c r="CV3916" t="s">
        <v>5088</v>
      </c>
      <c r="CY3916">
        <v>5187768</v>
      </c>
      <c r="CZ3916" t="s">
        <v>119</v>
      </c>
    </row>
    <row r="3917" spans="1:104" x14ac:dyDescent="0.25">
      <c r="A3917" t="str">
        <f>"14:55:42.898"</f>
        <v>14:55:42.898</v>
      </c>
      <c r="B3917" t="s">
        <v>108</v>
      </c>
      <c r="C3917" t="str">
        <f t="shared" si="184"/>
        <v>ffdfd3c0</v>
      </c>
      <c r="D3917" t="s">
        <v>109</v>
      </c>
      <c r="E3917">
        <v>4</v>
      </c>
      <c r="F3917">
        <v>1004</v>
      </c>
      <c r="G3917" t="s">
        <v>110</v>
      </c>
      <c r="J3917" t="s">
        <v>111</v>
      </c>
      <c r="K3917">
        <v>0</v>
      </c>
      <c r="L3917">
        <v>3</v>
      </c>
      <c r="M3917">
        <v>0</v>
      </c>
      <c r="N3917">
        <v>2</v>
      </c>
      <c r="O3917">
        <v>1</v>
      </c>
      <c r="P3917">
        <v>0</v>
      </c>
      <c r="Q3917">
        <v>0</v>
      </c>
      <c r="R3917" t="s">
        <v>112</v>
      </c>
      <c r="S3917" t="str">
        <f>"14:55:42.688"</f>
        <v>14:55:42.688</v>
      </c>
      <c r="T3917" t="str">
        <f>"14:55:42.188"</f>
        <v>14:55:42.188</v>
      </c>
      <c r="U3917" t="str">
        <f t="shared" si="183"/>
        <v>ad5732</v>
      </c>
      <c r="V3917">
        <v>0</v>
      </c>
      <c r="W3917">
        <v>0</v>
      </c>
      <c r="X3917">
        <v>1</v>
      </c>
      <c r="Z3917">
        <v>0</v>
      </c>
      <c r="AA3917">
        <v>9</v>
      </c>
      <c r="AB3917">
        <v>3</v>
      </c>
      <c r="AC3917">
        <v>0</v>
      </c>
      <c r="AD3917">
        <v>10</v>
      </c>
      <c r="AE3917">
        <v>0</v>
      </c>
      <c r="AF3917">
        <v>3</v>
      </c>
      <c r="AG3917">
        <v>2</v>
      </c>
      <c r="AH3917">
        <v>0</v>
      </c>
      <c r="AI3917" t="s">
        <v>7882</v>
      </c>
      <c r="AJ3917">
        <v>40.534337000000001</v>
      </c>
      <c r="AK3917" t="s">
        <v>7883</v>
      </c>
      <c r="AL3917">
        <v>-74.342979999999997</v>
      </c>
      <c r="AM3917">
        <v>100</v>
      </c>
      <c r="AN3917">
        <v>1000</v>
      </c>
      <c r="AO3917" t="s">
        <v>115</v>
      </c>
      <c r="AP3917">
        <v>46</v>
      </c>
      <c r="AQ3917">
        <v>94</v>
      </c>
      <c r="AR3917">
        <v>-832</v>
      </c>
      <c r="AZ3917">
        <v>3614</v>
      </c>
      <c r="BA3917">
        <v>1</v>
      </c>
      <c r="BB3917" t="str">
        <f t="shared" si="185"/>
        <v xml:space="preserve">N959MJ  </v>
      </c>
      <c r="BC3917">
        <v>1</v>
      </c>
      <c r="BE3917">
        <v>0</v>
      </c>
      <c r="BF3917">
        <v>0</v>
      </c>
      <c r="BG3917">
        <v>0</v>
      </c>
      <c r="BH3917">
        <v>1200</v>
      </c>
      <c r="BI3917">
        <v>200</v>
      </c>
      <c r="BJ3917">
        <v>1</v>
      </c>
      <c r="BK3917">
        <v>1</v>
      </c>
      <c r="BL3917">
        <v>1</v>
      </c>
      <c r="BM3917">
        <v>0</v>
      </c>
      <c r="BP3917">
        <v>0</v>
      </c>
      <c r="BQ3917">
        <v>0</v>
      </c>
      <c r="BX3917" t="str">
        <f>"14:55:42.695"</f>
        <v>14:55:42.695</v>
      </c>
      <c r="BY3917" t="str">
        <f>"692711025"</f>
        <v>692711025</v>
      </c>
      <c r="CL3917">
        <v>3</v>
      </c>
      <c r="CM3917">
        <v>2</v>
      </c>
      <c r="CN3917">
        <v>0</v>
      </c>
      <c r="CO3917">
        <v>2</v>
      </c>
      <c r="CP3917">
        <v>0</v>
      </c>
      <c r="CQ3917">
        <v>6</v>
      </c>
      <c r="CR3917" t="s">
        <v>116</v>
      </c>
      <c r="CS3917">
        <v>305</v>
      </c>
      <c r="CT3917">
        <v>3</v>
      </c>
      <c r="CU3917" t="s">
        <v>6425</v>
      </c>
      <c r="CV3917" t="s">
        <v>6426</v>
      </c>
      <c r="CY3917">
        <v>6661033</v>
      </c>
      <c r="CZ3917" t="s">
        <v>119</v>
      </c>
    </row>
    <row r="3918" spans="1:104" x14ac:dyDescent="0.25">
      <c r="A3918" t="str">
        <f>"14:55:43.813"</f>
        <v>14:55:43.813</v>
      </c>
      <c r="B3918" t="s">
        <v>108</v>
      </c>
      <c r="C3918" t="str">
        <f t="shared" si="184"/>
        <v>ffdfd3c0</v>
      </c>
      <c r="D3918" t="s">
        <v>109</v>
      </c>
      <c r="E3918">
        <v>4</v>
      </c>
      <c r="F3918">
        <v>1004</v>
      </c>
      <c r="G3918" t="s">
        <v>110</v>
      </c>
      <c r="J3918" t="s">
        <v>111</v>
      </c>
      <c r="K3918">
        <v>0</v>
      </c>
      <c r="L3918">
        <v>3</v>
      </c>
      <c r="M3918">
        <v>0</v>
      </c>
      <c r="N3918">
        <v>2</v>
      </c>
      <c r="O3918">
        <v>1</v>
      </c>
      <c r="P3918">
        <v>0</v>
      </c>
      <c r="Q3918">
        <v>0</v>
      </c>
      <c r="R3918" t="s">
        <v>112</v>
      </c>
      <c r="S3918" t="str">
        <f>"14:55:43.617"</f>
        <v>14:55:43.617</v>
      </c>
      <c r="T3918" t="str">
        <f>"14:55:43.219"</f>
        <v>14:55:43.219</v>
      </c>
      <c r="U3918" t="str">
        <f t="shared" si="183"/>
        <v>ad5732</v>
      </c>
      <c r="V3918">
        <v>0</v>
      </c>
      <c r="W3918">
        <v>0</v>
      </c>
      <c r="X3918">
        <v>1</v>
      </c>
      <c r="Z3918">
        <v>0</v>
      </c>
      <c r="AA3918">
        <v>9</v>
      </c>
      <c r="AB3918">
        <v>3</v>
      </c>
      <c r="AC3918">
        <v>0</v>
      </c>
      <c r="AD3918">
        <v>10</v>
      </c>
      <c r="AE3918">
        <v>0</v>
      </c>
      <c r="AF3918">
        <v>3</v>
      </c>
      <c r="AG3918">
        <v>2</v>
      </c>
      <c r="AH3918">
        <v>0</v>
      </c>
      <c r="AI3918" t="s">
        <v>7884</v>
      </c>
      <c r="AJ3918">
        <v>40.534744000000003</v>
      </c>
      <c r="AK3918" t="s">
        <v>7885</v>
      </c>
      <c r="AL3918">
        <v>-74.342723000000007</v>
      </c>
      <c r="AM3918">
        <v>100</v>
      </c>
      <c r="AN3918">
        <v>1000</v>
      </c>
      <c r="AO3918" t="s">
        <v>115</v>
      </c>
      <c r="AP3918">
        <v>47</v>
      </c>
      <c r="AQ3918">
        <v>95</v>
      </c>
      <c r="AR3918">
        <v>-768</v>
      </c>
      <c r="AZ3918">
        <v>3614</v>
      </c>
      <c r="BA3918">
        <v>1</v>
      </c>
      <c r="BB3918" t="str">
        <f t="shared" si="185"/>
        <v xml:space="preserve">N959MJ  </v>
      </c>
      <c r="BC3918">
        <v>1</v>
      </c>
      <c r="BE3918">
        <v>0</v>
      </c>
      <c r="BF3918">
        <v>0</v>
      </c>
      <c r="BG3918">
        <v>0</v>
      </c>
      <c r="BH3918">
        <v>1200</v>
      </c>
      <c r="BI3918">
        <v>200</v>
      </c>
      <c r="BJ3918">
        <v>1</v>
      </c>
      <c r="BK3918">
        <v>1</v>
      </c>
      <c r="BL3918">
        <v>1</v>
      </c>
      <c r="BM3918">
        <v>0</v>
      </c>
      <c r="BP3918">
        <v>0</v>
      </c>
      <c r="BQ3918">
        <v>0</v>
      </c>
      <c r="BX3918" t="str">
        <f>"14:55:43.625"</f>
        <v>14:55:43.625</v>
      </c>
      <c r="BY3918" t="str">
        <f>"623338486"</f>
        <v>623338486</v>
      </c>
      <c r="CL3918">
        <v>3</v>
      </c>
      <c r="CM3918">
        <v>2</v>
      </c>
      <c r="CN3918">
        <v>0</v>
      </c>
      <c r="CO3918">
        <v>2</v>
      </c>
      <c r="CP3918">
        <v>0</v>
      </c>
      <c r="CQ3918">
        <v>6</v>
      </c>
      <c r="CR3918" t="s">
        <v>116</v>
      </c>
      <c r="CS3918">
        <v>305</v>
      </c>
      <c r="CT3918">
        <v>3</v>
      </c>
      <c r="CU3918" t="s">
        <v>6425</v>
      </c>
      <c r="CV3918" t="s">
        <v>6426</v>
      </c>
      <c r="CY3918">
        <v>6663027</v>
      </c>
      <c r="CZ3918" t="s">
        <v>119</v>
      </c>
    </row>
    <row r="3919" spans="1:104" x14ac:dyDescent="0.25">
      <c r="A3919" t="str">
        <f>"14:55:44.922"</f>
        <v>14:55:44.922</v>
      </c>
      <c r="B3919" t="s">
        <v>108</v>
      </c>
      <c r="C3919" t="str">
        <f t="shared" si="184"/>
        <v>ffdfd3c0</v>
      </c>
      <c r="D3919" t="s">
        <v>109</v>
      </c>
      <c r="E3919">
        <v>4</v>
      </c>
      <c r="F3919">
        <v>1004</v>
      </c>
      <c r="G3919" t="s">
        <v>110</v>
      </c>
      <c r="J3919" t="s">
        <v>111</v>
      </c>
      <c r="K3919">
        <v>0</v>
      </c>
      <c r="L3919">
        <v>3</v>
      </c>
      <c r="M3919">
        <v>0</v>
      </c>
      <c r="N3919">
        <v>2</v>
      </c>
      <c r="O3919">
        <v>1</v>
      </c>
      <c r="P3919">
        <v>0</v>
      </c>
      <c r="Q3919">
        <v>0</v>
      </c>
      <c r="R3919" t="s">
        <v>112</v>
      </c>
      <c r="S3919" t="str">
        <f>"14:55:44.727"</f>
        <v>14:55:44.727</v>
      </c>
      <c r="T3919" t="str">
        <f>"14:55:44.227"</f>
        <v>14:55:44.227</v>
      </c>
      <c r="U3919" t="str">
        <f t="shared" si="183"/>
        <v>ad5732</v>
      </c>
      <c r="V3919">
        <v>0</v>
      </c>
      <c r="W3919">
        <v>0</v>
      </c>
      <c r="X3919">
        <v>1</v>
      </c>
      <c r="Z3919">
        <v>0</v>
      </c>
      <c r="AA3919">
        <v>9</v>
      </c>
      <c r="AB3919">
        <v>3</v>
      </c>
      <c r="AC3919">
        <v>0</v>
      </c>
      <c r="AD3919">
        <v>10</v>
      </c>
      <c r="AE3919">
        <v>0</v>
      </c>
      <c r="AF3919">
        <v>3</v>
      </c>
      <c r="AG3919">
        <v>2</v>
      </c>
      <c r="AH3919">
        <v>0</v>
      </c>
      <c r="AI3919" t="s">
        <v>7886</v>
      </c>
      <c r="AJ3919">
        <v>40.535238</v>
      </c>
      <c r="AK3919" t="s">
        <v>7887</v>
      </c>
      <c r="AL3919">
        <v>-74.342337000000001</v>
      </c>
      <c r="AM3919">
        <v>100</v>
      </c>
      <c r="AN3919">
        <v>900</v>
      </c>
      <c r="AO3919" t="s">
        <v>115</v>
      </c>
      <c r="AP3919">
        <v>47</v>
      </c>
      <c r="AQ3919">
        <v>95</v>
      </c>
      <c r="AR3919">
        <v>-704</v>
      </c>
      <c r="AZ3919">
        <v>3614</v>
      </c>
      <c r="BA3919">
        <v>1</v>
      </c>
      <c r="BB3919" t="str">
        <f t="shared" si="185"/>
        <v xml:space="preserve">N959MJ  </v>
      </c>
      <c r="BC3919">
        <v>1</v>
      </c>
      <c r="BE3919">
        <v>0</v>
      </c>
      <c r="BF3919">
        <v>0</v>
      </c>
      <c r="BG3919">
        <v>0</v>
      </c>
      <c r="BH3919">
        <v>1175</v>
      </c>
      <c r="BI3919">
        <v>275</v>
      </c>
      <c r="BJ3919">
        <v>1</v>
      </c>
      <c r="BK3919">
        <v>1</v>
      </c>
      <c r="BL3919">
        <v>1</v>
      </c>
      <c r="BM3919">
        <v>0</v>
      </c>
      <c r="BP3919">
        <v>0</v>
      </c>
      <c r="BQ3919">
        <v>0</v>
      </c>
      <c r="BX3919" t="str">
        <f>"14:55:44.734"</f>
        <v>14:55:44.734</v>
      </c>
      <c r="BY3919" t="str">
        <f>"732554806"</f>
        <v>732554806</v>
      </c>
      <c r="CL3919">
        <v>3</v>
      </c>
      <c r="CM3919">
        <v>2</v>
      </c>
      <c r="CN3919">
        <v>0</v>
      </c>
      <c r="CO3919">
        <v>2</v>
      </c>
      <c r="CP3919">
        <v>0</v>
      </c>
      <c r="CQ3919">
        <v>7</v>
      </c>
      <c r="CR3919" t="s">
        <v>116</v>
      </c>
      <c r="CS3919">
        <v>305</v>
      </c>
      <c r="CT3919">
        <v>3</v>
      </c>
      <c r="CU3919" t="s">
        <v>6425</v>
      </c>
      <c r="CV3919" t="s">
        <v>6426</v>
      </c>
      <c r="CY3919">
        <v>6665349</v>
      </c>
      <c r="CZ3919" t="s">
        <v>119</v>
      </c>
    </row>
    <row r="3920" spans="1:104" x14ac:dyDescent="0.25">
      <c r="A3920" t="str">
        <f>"14:55:45.930"</f>
        <v>14:55:45.930</v>
      </c>
      <c r="B3920" t="s">
        <v>108</v>
      </c>
      <c r="C3920" t="str">
        <f t="shared" si="184"/>
        <v>ffdfd3c0</v>
      </c>
      <c r="D3920" t="s">
        <v>109</v>
      </c>
      <c r="E3920">
        <v>4</v>
      </c>
      <c r="F3920">
        <v>1004</v>
      </c>
      <c r="G3920" t="s">
        <v>110</v>
      </c>
      <c r="J3920" t="s">
        <v>111</v>
      </c>
      <c r="K3920">
        <v>0</v>
      </c>
      <c r="L3920">
        <v>3</v>
      </c>
      <c r="M3920">
        <v>0</v>
      </c>
      <c r="N3920">
        <v>2</v>
      </c>
      <c r="O3920">
        <v>1</v>
      </c>
      <c r="P3920">
        <v>0</v>
      </c>
      <c r="Q3920">
        <v>0</v>
      </c>
      <c r="R3920" t="s">
        <v>112</v>
      </c>
      <c r="S3920" t="str">
        <f>"14:55:45.750"</f>
        <v>14:55:45.750</v>
      </c>
      <c r="T3920" t="str">
        <f>"14:55:45.250"</f>
        <v>14:55:45.250</v>
      </c>
      <c r="U3920" t="str">
        <f t="shared" si="183"/>
        <v>ad5732</v>
      </c>
      <c r="V3920">
        <v>0</v>
      </c>
      <c r="W3920">
        <v>0</v>
      </c>
      <c r="X3920">
        <v>1</v>
      </c>
      <c r="Z3920">
        <v>0</v>
      </c>
      <c r="AA3920">
        <v>9</v>
      </c>
      <c r="AB3920">
        <v>3</v>
      </c>
      <c r="AC3920">
        <v>0</v>
      </c>
      <c r="AD3920">
        <v>10</v>
      </c>
      <c r="AE3920">
        <v>0</v>
      </c>
      <c r="AF3920">
        <v>3</v>
      </c>
      <c r="AG3920">
        <v>2</v>
      </c>
      <c r="AH3920">
        <v>0</v>
      </c>
      <c r="AI3920" t="s">
        <v>7888</v>
      </c>
      <c r="AJ3920">
        <v>40.535710000000002</v>
      </c>
      <c r="AK3920" t="s">
        <v>7889</v>
      </c>
      <c r="AL3920">
        <v>-74.342035999999993</v>
      </c>
      <c r="AM3920">
        <v>100</v>
      </c>
      <c r="AN3920">
        <v>900</v>
      </c>
      <c r="AO3920" t="s">
        <v>115</v>
      </c>
      <c r="AP3920">
        <v>47</v>
      </c>
      <c r="AQ3920">
        <v>96</v>
      </c>
      <c r="AR3920">
        <v>-704</v>
      </c>
      <c r="AZ3920">
        <v>3614</v>
      </c>
      <c r="BA3920">
        <v>1</v>
      </c>
      <c r="BB3920" t="str">
        <f t="shared" si="185"/>
        <v xml:space="preserve">N959MJ  </v>
      </c>
      <c r="BC3920">
        <v>1</v>
      </c>
      <c r="BE3920">
        <v>0</v>
      </c>
      <c r="BF3920">
        <v>0</v>
      </c>
      <c r="BG3920">
        <v>0</v>
      </c>
      <c r="BH3920">
        <v>1175</v>
      </c>
      <c r="BI3920">
        <v>275</v>
      </c>
      <c r="BJ3920">
        <v>1</v>
      </c>
      <c r="BK3920">
        <v>1</v>
      </c>
      <c r="BL3920">
        <v>1</v>
      </c>
      <c r="BM3920">
        <v>0</v>
      </c>
      <c r="BP3920">
        <v>0</v>
      </c>
      <c r="BQ3920">
        <v>0</v>
      </c>
      <c r="BX3920" t="str">
        <f>"14:55:45.750"</f>
        <v>14:55:45.750</v>
      </c>
      <c r="BY3920" t="str">
        <f>"751657550"</f>
        <v>751657550</v>
      </c>
      <c r="CL3920">
        <v>3</v>
      </c>
      <c r="CM3920">
        <v>2</v>
      </c>
      <c r="CN3920">
        <v>0</v>
      </c>
      <c r="CO3920">
        <v>2</v>
      </c>
      <c r="CP3920">
        <v>0</v>
      </c>
      <c r="CQ3920">
        <v>6</v>
      </c>
      <c r="CR3920" t="s">
        <v>116</v>
      </c>
      <c r="CS3920">
        <v>305</v>
      </c>
      <c r="CT3920">
        <v>3</v>
      </c>
      <c r="CU3920" t="s">
        <v>6425</v>
      </c>
      <c r="CV3920" t="s">
        <v>6426</v>
      </c>
      <c r="CY3920">
        <v>6667249</v>
      </c>
      <c r="CZ3920" t="s">
        <v>119</v>
      </c>
    </row>
    <row r="3921" spans="1:104" x14ac:dyDescent="0.25">
      <c r="A3921" t="str">
        <f>"14:55:46.945"</f>
        <v>14:55:46.945</v>
      </c>
      <c r="B3921" t="s">
        <v>108</v>
      </c>
      <c r="C3921" t="str">
        <f t="shared" si="184"/>
        <v>ffdfd3c0</v>
      </c>
      <c r="D3921" t="s">
        <v>109</v>
      </c>
      <c r="E3921">
        <v>4</v>
      </c>
      <c r="F3921">
        <v>1004</v>
      </c>
      <c r="G3921" t="s">
        <v>110</v>
      </c>
      <c r="J3921" t="s">
        <v>111</v>
      </c>
      <c r="K3921">
        <v>0</v>
      </c>
      <c r="L3921">
        <v>3</v>
      </c>
      <c r="M3921">
        <v>0</v>
      </c>
      <c r="N3921">
        <v>2</v>
      </c>
      <c r="O3921">
        <v>1</v>
      </c>
      <c r="P3921">
        <v>0</v>
      </c>
      <c r="Q3921">
        <v>0</v>
      </c>
      <c r="R3921" t="s">
        <v>112</v>
      </c>
      <c r="S3921" t="str">
        <f>"14:55:46.750"</f>
        <v>14:55:46.750</v>
      </c>
      <c r="T3921" t="str">
        <f>"14:55:46.352"</f>
        <v>14:55:46.352</v>
      </c>
      <c r="U3921" t="str">
        <f t="shared" si="183"/>
        <v>ad5732</v>
      </c>
      <c r="V3921">
        <v>0</v>
      </c>
      <c r="W3921">
        <v>0</v>
      </c>
      <c r="X3921">
        <v>1</v>
      </c>
      <c r="Z3921">
        <v>0</v>
      </c>
      <c r="AA3921">
        <v>9</v>
      </c>
      <c r="AB3921">
        <v>3</v>
      </c>
      <c r="AC3921">
        <v>0</v>
      </c>
      <c r="AD3921">
        <v>10</v>
      </c>
      <c r="AE3921">
        <v>0</v>
      </c>
      <c r="AF3921">
        <v>3</v>
      </c>
      <c r="AG3921">
        <v>2</v>
      </c>
      <c r="AH3921">
        <v>0</v>
      </c>
      <c r="AI3921" t="s">
        <v>7890</v>
      </c>
      <c r="AJ3921">
        <v>40.536160000000002</v>
      </c>
      <c r="AK3921" t="s">
        <v>7891</v>
      </c>
      <c r="AL3921">
        <v>-74.341800000000006</v>
      </c>
      <c r="AM3921">
        <v>100</v>
      </c>
      <c r="AN3921">
        <v>900</v>
      </c>
      <c r="AO3921" t="s">
        <v>115</v>
      </c>
      <c r="AP3921">
        <v>48</v>
      </c>
      <c r="AQ3921">
        <v>96</v>
      </c>
      <c r="AR3921">
        <v>-768</v>
      </c>
      <c r="AZ3921">
        <v>3614</v>
      </c>
      <c r="BA3921">
        <v>1</v>
      </c>
      <c r="BB3921" t="str">
        <f t="shared" si="185"/>
        <v xml:space="preserve">N959MJ  </v>
      </c>
      <c r="BC3921">
        <v>1</v>
      </c>
      <c r="BE3921">
        <v>0</v>
      </c>
      <c r="BF3921">
        <v>0</v>
      </c>
      <c r="BG3921">
        <v>0</v>
      </c>
      <c r="BH3921">
        <v>1150</v>
      </c>
      <c r="BI3921">
        <v>250</v>
      </c>
      <c r="BJ3921">
        <v>1</v>
      </c>
      <c r="BK3921">
        <v>1</v>
      </c>
      <c r="BL3921">
        <v>1</v>
      </c>
      <c r="BM3921">
        <v>0</v>
      </c>
      <c r="BP3921">
        <v>0</v>
      </c>
      <c r="BQ3921">
        <v>0</v>
      </c>
      <c r="BX3921" t="str">
        <f>"14:55:46.750"</f>
        <v>14:55:46.750</v>
      </c>
      <c r="BY3921" t="str">
        <f>"751099135"</f>
        <v>751099135</v>
      </c>
      <c r="CL3921">
        <v>3</v>
      </c>
      <c r="CM3921">
        <v>2</v>
      </c>
      <c r="CN3921">
        <v>0</v>
      </c>
      <c r="CO3921">
        <v>2</v>
      </c>
      <c r="CP3921">
        <v>0</v>
      </c>
      <c r="CQ3921">
        <v>6</v>
      </c>
      <c r="CR3921" t="s">
        <v>116</v>
      </c>
      <c r="CS3921">
        <v>305</v>
      </c>
      <c r="CT3921">
        <v>3</v>
      </c>
      <c r="CU3921" t="s">
        <v>6425</v>
      </c>
      <c r="CV3921" t="s">
        <v>6426</v>
      </c>
      <c r="CY3921">
        <v>6669262</v>
      </c>
      <c r="CZ3921" t="s">
        <v>119</v>
      </c>
    </row>
    <row r="3922" spans="1:104" x14ac:dyDescent="0.25">
      <c r="A3922" t="str">
        <f>"14:55:47.852"</f>
        <v>14:55:47.852</v>
      </c>
      <c r="B3922" t="s">
        <v>108</v>
      </c>
      <c r="C3922" t="str">
        <f t="shared" si="184"/>
        <v>ffdfd3c0</v>
      </c>
      <c r="D3922" t="s">
        <v>109</v>
      </c>
      <c r="E3922">
        <v>4</v>
      </c>
      <c r="F3922">
        <v>1004</v>
      </c>
      <c r="G3922" t="s">
        <v>110</v>
      </c>
      <c r="J3922" t="s">
        <v>111</v>
      </c>
      <c r="K3922">
        <v>0</v>
      </c>
      <c r="L3922">
        <v>3</v>
      </c>
      <c r="M3922">
        <v>0</v>
      </c>
      <c r="N3922">
        <v>2</v>
      </c>
      <c r="O3922">
        <v>1</v>
      </c>
      <c r="P3922">
        <v>0</v>
      </c>
      <c r="Q3922">
        <v>0</v>
      </c>
      <c r="R3922" t="s">
        <v>112</v>
      </c>
      <c r="S3922" t="str">
        <f>"14:55:47.688"</f>
        <v>14:55:47.688</v>
      </c>
      <c r="T3922" t="str">
        <f>"14:55:47.188"</f>
        <v>14:55:47.188</v>
      </c>
      <c r="U3922" t="str">
        <f t="shared" si="183"/>
        <v>ad5732</v>
      </c>
      <c r="V3922">
        <v>0</v>
      </c>
      <c r="W3922">
        <v>0</v>
      </c>
      <c r="X3922">
        <v>1</v>
      </c>
      <c r="Z3922">
        <v>0</v>
      </c>
      <c r="AA3922">
        <v>9</v>
      </c>
      <c r="AB3922">
        <v>3</v>
      </c>
      <c r="AC3922">
        <v>0</v>
      </c>
      <c r="AD3922">
        <v>10</v>
      </c>
      <c r="AE3922">
        <v>0</v>
      </c>
      <c r="AF3922">
        <v>3</v>
      </c>
      <c r="AG3922">
        <v>2</v>
      </c>
      <c r="AH3922">
        <v>0</v>
      </c>
      <c r="AI3922" t="s">
        <v>7892</v>
      </c>
      <c r="AJ3922">
        <v>40.536568000000003</v>
      </c>
      <c r="AK3922" t="s">
        <v>7893</v>
      </c>
      <c r="AL3922">
        <v>-74.341543000000001</v>
      </c>
      <c r="AM3922">
        <v>100</v>
      </c>
      <c r="AN3922">
        <v>900</v>
      </c>
      <c r="AO3922" t="s">
        <v>115</v>
      </c>
      <c r="AP3922">
        <v>48</v>
      </c>
      <c r="AQ3922">
        <v>96</v>
      </c>
      <c r="AR3922">
        <v>-832</v>
      </c>
      <c r="AZ3922">
        <v>3614</v>
      </c>
      <c r="BA3922">
        <v>1</v>
      </c>
      <c r="BB3922" t="str">
        <f t="shared" si="185"/>
        <v xml:space="preserve">N959MJ  </v>
      </c>
      <c r="BC3922">
        <v>1</v>
      </c>
      <c r="BE3922">
        <v>0</v>
      </c>
      <c r="BF3922">
        <v>0</v>
      </c>
      <c r="BG3922">
        <v>0</v>
      </c>
      <c r="BH3922">
        <v>1150</v>
      </c>
      <c r="BI3922">
        <v>250</v>
      </c>
      <c r="BJ3922">
        <v>1</v>
      </c>
      <c r="BK3922">
        <v>1</v>
      </c>
      <c r="BL3922">
        <v>1</v>
      </c>
      <c r="BM3922">
        <v>0</v>
      </c>
      <c r="BP3922">
        <v>0</v>
      </c>
      <c r="BQ3922">
        <v>0</v>
      </c>
      <c r="BX3922" t="str">
        <f>"14:55:47.688"</f>
        <v>14:55:47.688</v>
      </c>
      <c r="BY3922" t="str">
        <f>"689918854"</f>
        <v>689918854</v>
      </c>
      <c r="CL3922">
        <v>3</v>
      </c>
      <c r="CM3922">
        <v>2</v>
      </c>
      <c r="CN3922">
        <v>0</v>
      </c>
      <c r="CO3922">
        <v>2</v>
      </c>
      <c r="CP3922">
        <v>0</v>
      </c>
      <c r="CQ3922">
        <v>6</v>
      </c>
      <c r="CR3922" t="s">
        <v>116</v>
      </c>
      <c r="CS3922">
        <v>305</v>
      </c>
      <c r="CT3922">
        <v>3</v>
      </c>
      <c r="CU3922" t="s">
        <v>6425</v>
      </c>
      <c r="CV3922" t="s">
        <v>6426</v>
      </c>
      <c r="CY3922">
        <v>6671181</v>
      </c>
      <c r="CZ3922" t="s">
        <v>119</v>
      </c>
    </row>
    <row r="3923" spans="1:104" x14ac:dyDescent="0.25">
      <c r="A3923" t="str">
        <f>"14:55:48.914"</f>
        <v>14:55:48.914</v>
      </c>
      <c r="B3923" t="s">
        <v>108</v>
      </c>
      <c r="C3923" t="str">
        <f t="shared" si="184"/>
        <v>ffdfd3c0</v>
      </c>
      <c r="D3923" t="s">
        <v>109</v>
      </c>
      <c r="E3923">
        <v>4</v>
      </c>
      <c r="F3923">
        <v>1004</v>
      </c>
      <c r="G3923" t="s">
        <v>110</v>
      </c>
      <c r="J3923" t="s">
        <v>111</v>
      </c>
      <c r="K3923">
        <v>0</v>
      </c>
      <c r="L3923">
        <v>3</v>
      </c>
      <c r="M3923">
        <v>0</v>
      </c>
      <c r="N3923">
        <v>2</v>
      </c>
      <c r="O3923">
        <v>1</v>
      </c>
      <c r="P3923">
        <v>0</v>
      </c>
      <c r="Q3923">
        <v>0</v>
      </c>
      <c r="R3923" t="s">
        <v>112</v>
      </c>
      <c r="S3923" t="str">
        <f>"14:55:48.742"</f>
        <v>14:55:48.742</v>
      </c>
      <c r="T3923" t="str">
        <f>"14:55:48.242"</f>
        <v>14:55:48.242</v>
      </c>
      <c r="U3923" t="str">
        <f t="shared" si="183"/>
        <v>ad5732</v>
      </c>
      <c r="V3923">
        <v>0</v>
      </c>
      <c r="W3923">
        <v>0</v>
      </c>
      <c r="X3923">
        <v>1</v>
      </c>
      <c r="Z3923">
        <v>0</v>
      </c>
      <c r="AA3923">
        <v>9</v>
      </c>
      <c r="AB3923">
        <v>3</v>
      </c>
      <c r="AC3923">
        <v>0</v>
      </c>
      <c r="AD3923">
        <v>10</v>
      </c>
      <c r="AE3923">
        <v>0</v>
      </c>
      <c r="AF3923">
        <v>3</v>
      </c>
      <c r="AG3923">
        <v>2</v>
      </c>
      <c r="AH3923">
        <v>0</v>
      </c>
      <c r="AI3923" t="s">
        <v>7894</v>
      </c>
      <c r="AJ3923">
        <v>40.537039999999998</v>
      </c>
      <c r="AK3923" t="s">
        <v>7895</v>
      </c>
      <c r="AL3923">
        <v>-74.341177999999999</v>
      </c>
      <c r="AM3923">
        <v>100</v>
      </c>
      <c r="AN3923">
        <v>900</v>
      </c>
      <c r="AO3923" t="s">
        <v>115</v>
      </c>
      <c r="AP3923">
        <v>48</v>
      </c>
      <c r="AQ3923">
        <v>97</v>
      </c>
      <c r="AR3923">
        <v>-832</v>
      </c>
      <c r="AZ3923">
        <v>3614</v>
      </c>
      <c r="BA3923">
        <v>1</v>
      </c>
      <c r="BB3923" t="str">
        <f t="shared" si="185"/>
        <v xml:space="preserve">N959MJ  </v>
      </c>
      <c r="BC3923">
        <v>1</v>
      </c>
      <c r="BE3923">
        <v>0</v>
      </c>
      <c r="BF3923">
        <v>0</v>
      </c>
      <c r="BG3923">
        <v>0</v>
      </c>
      <c r="BH3923">
        <v>1125</v>
      </c>
      <c r="BI3923">
        <v>225</v>
      </c>
      <c r="BJ3923">
        <v>1</v>
      </c>
      <c r="BK3923">
        <v>1</v>
      </c>
      <c r="BL3923">
        <v>1</v>
      </c>
      <c r="BM3923">
        <v>0</v>
      </c>
      <c r="BP3923">
        <v>0</v>
      </c>
      <c r="BQ3923">
        <v>0</v>
      </c>
      <c r="BX3923" t="str">
        <f>"14:55:48.742"</f>
        <v>14:55:48.742</v>
      </c>
      <c r="BY3923" t="str">
        <f>"743428695"</f>
        <v>743428695</v>
      </c>
      <c r="CL3923">
        <v>3</v>
      </c>
      <c r="CM3923">
        <v>2</v>
      </c>
      <c r="CN3923">
        <v>0</v>
      </c>
      <c r="CO3923">
        <v>2</v>
      </c>
      <c r="CP3923">
        <v>0</v>
      </c>
      <c r="CQ3923">
        <v>6</v>
      </c>
      <c r="CR3923" t="s">
        <v>116</v>
      </c>
      <c r="CS3923">
        <v>305</v>
      </c>
      <c r="CT3923">
        <v>3</v>
      </c>
      <c r="CU3923" t="s">
        <v>6425</v>
      </c>
      <c r="CV3923" t="s">
        <v>6426</v>
      </c>
      <c r="CY3923">
        <v>6673417</v>
      </c>
      <c r="CZ3923" t="s">
        <v>119</v>
      </c>
    </row>
    <row r="3924" spans="1:104" x14ac:dyDescent="0.25">
      <c r="A3924" t="str">
        <f>"14:55:49.922"</f>
        <v>14:55:49.922</v>
      </c>
      <c r="B3924" t="s">
        <v>108</v>
      </c>
      <c r="C3924" t="str">
        <f t="shared" si="184"/>
        <v>ffdfd3c0</v>
      </c>
      <c r="D3924" t="s">
        <v>109</v>
      </c>
      <c r="E3924">
        <v>4</v>
      </c>
      <c r="F3924">
        <v>1004</v>
      </c>
      <c r="G3924" t="s">
        <v>110</v>
      </c>
      <c r="J3924" t="s">
        <v>111</v>
      </c>
      <c r="K3924">
        <v>0</v>
      </c>
      <c r="L3924">
        <v>3</v>
      </c>
      <c r="M3924">
        <v>0</v>
      </c>
      <c r="N3924">
        <v>2</v>
      </c>
      <c r="O3924">
        <v>1</v>
      </c>
      <c r="P3924">
        <v>0</v>
      </c>
      <c r="Q3924">
        <v>0</v>
      </c>
      <c r="R3924" t="s">
        <v>112</v>
      </c>
      <c r="S3924" t="str">
        <f>"14:55:49.734"</f>
        <v>14:55:49.734</v>
      </c>
      <c r="T3924" t="str">
        <f>"14:55:49.336"</f>
        <v>14:55:49.336</v>
      </c>
      <c r="U3924" t="str">
        <f t="shared" si="183"/>
        <v>ad5732</v>
      </c>
      <c r="V3924">
        <v>0</v>
      </c>
      <c r="W3924">
        <v>0</v>
      </c>
      <c r="X3924">
        <v>1</v>
      </c>
      <c r="Z3924">
        <v>0</v>
      </c>
      <c r="AA3924">
        <v>9</v>
      </c>
      <c r="AB3924">
        <v>3</v>
      </c>
      <c r="AC3924">
        <v>0</v>
      </c>
      <c r="AD3924">
        <v>10</v>
      </c>
      <c r="AE3924">
        <v>0</v>
      </c>
      <c r="AF3924">
        <v>3</v>
      </c>
      <c r="AG3924">
        <v>2</v>
      </c>
      <c r="AH3924">
        <v>0</v>
      </c>
      <c r="AI3924" t="s">
        <v>7896</v>
      </c>
      <c r="AJ3924">
        <v>40.537491000000003</v>
      </c>
      <c r="AK3924" t="s">
        <v>7897</v>
      </c>
      <c r="AL3924">
        <v>-74.340878000000004</v>
      </c>
      <c r="AM3924">
        <v>100</v>
      </c>
      <c r="AN3924">
        <v>900</v>
      </c>
      <c r="AO3924" t="s">
        <v>115</v>
      </c>
      <c r="AP3924">
        <v>49</v>
      </c>
      <c r="AQ3924">
        <v>97</v>
      </c>
      <c r="AR3924">
        <v>-832</v>
      </c>
      <c r="AZ3924">
        <v>3614</v>
      </c>
      <c r="BA3924">
        <v>1</v>
      </c>
      <c r="BB3924" t="str">
        <f t="shared" si="185"/>
        <v xml:space="preserve">N959MJ  </v>
      </c>
      <c r="BC3924">
        <v>1</v>
      </c>
      <c r="BE3924">
        <v>0</v>
      </c>
      <c r="BF3924">
        <v>0</v>
      </c>
      <c r="BG3924">
        <v>0</v>
      </c>
      <c r="BH3924">
        <v>1100</v>
      </c>
      <c r="BI3924">
        <v>200</v>
      </c>
      <c r="BJ3924">
        <v>1</v>
      </c>
      <c r="BK3924">
        <v>1</v>
      </c>
      <c r="BL3924">
        <v>1</v>
      </c>
      <c r="BM3924">
        <v>0</v>
      </c>
      <c r="BP3924">
        <v>0</v>
      </c>
      <c r="BQ3924">
        <v>0</v>
      </c>
      <c r="BX3924" t="str">
        <f>"14:55:49.734"</f>
        <v>14:55:49.734</v>
      </c>
      <c r="BY3924" t="str">
        <f>"734678099"</f>
        <v>734678099</v>
      </c>
      <c r="CL3924">
        <v>3</v>
      </c>
      <c r="CM3924">
        <v>2</v>
      </c>
      <c r="CN3924">
        <v>0</v>
      </c>
      <c r="CO3924">
        <v>2</v>
      </c>
      <c r="CP3924">
        <v>0</v>
      </c>
      <c r="CQ3924">
        <v>7</v>
      </c>
      <c r="CR3924" t="s">
        <v>116</v>
      </c>
      <c r="CS3924">
        <v>305</v>
      </c>
      <c r="CT3924">
        <v>3</v>
      </c>
      <c r="CU3924" t="s">
        <v>6425</v>
      </c>
      <c r="CV3924" t="s">
        <v>6426</v>
      </c>
      <c r="CY3924">
        <v>6675465</v>
      </c>
      <c r="CZ3924" t="s">
        <v>119</v>
      </c>
    </row>
    <row r="3925" spans="1:104" x14ac:dyDescent="0.25">
      <c r="A3925" t="str">
        <f>"14:55:51.031"</f>
        <v>14:55:51.031</v>
      </c>
      <c r="B3925" t="s">
        <v>108</v>
      </c>
      <c r="C3925" t="str">
        <f t="shared" si="184"/>
        <v>ffdfd3c0</v>
      </c>
      <c r="D3925" t="s">
        <v>109</v>
      </c>
      <c r="E3925">
        <v>4</v>
      </c>
      <c r="F3925">
        <v>1004</v>
      </c>
      <c r="G3925" t="s">
        <v>110</v>
      </c>
      <c r="J3925" t="s">
        <v>111</v>
      </c>
      <c r="K3925">
        <v>0</v>
      </c>
      <c r="L3925">
        <v>3</v>
      </c>
      <c r="M3925">
        <v>0</v>
      </c>
      <c r="N3925">
        <v>2</v>
      </c>
      <c r="O3925">
        <v>1</v>
      </c>
      <c r="P3925">
        <v>0</v>
      </c>
      <c r="Q3925">
        <v>0</v>
      </c>
      <c r="R3925" t="s">
        <v>112</v>
      </c>
      <c r="S3925" t="str">
        <f>"14:55:50.844"</f>
        <v>14:55:50.844</v>
      </c>
      <c r="T3925" t="str">
        <f>"14:55:50.344"</f>
        <v>14:55:50.344</v>
      </c>
      <c r="U3925" t="str">
        <f t="shared" si="183"/>
        <v>ad5732</v>
      </c>
      <c r="V3925">
        <v>0</v>
      </c>
      <c r="W3925">
        <v>0</v>
      </c>
      <c r="X3925">
        <v>1</v>
      </c>
      <c r="Z3925">
        <v>0</v>
      </c>
      <c r="AA3925">
        <v>9</v>
      </c>
      <c r="AB3925">
        <v>3</v>
      </c>
      <c r="AC3925">
        <v>0</v>
      </c>
      <c r="AD3925">
        <v>10</v>
      </c>
      <c r="AE3925">
        <v>0</v>
      </c>
      <c r="AF3925">
        <v>3</v>
      </c>
      <c r="AG3925">
        <v>2</v>
      </c>
      <c r="AH3925">
        <v>0</v>
      </c>
      <c r="AI3925" t="s">
        <v>7898</v>
      </c>
      <c r="AJ3925">
        <v>40.538006000000003</v>
      </c>
      <c r="AK3925" t="s">
        <v>7899</v>
      </c>
      <c r="AL3925">
        <v>-74.340556000000007</v>
      </c>
      <c r="AM3925">
        <v>100</v>
      </c>
      <c r="AN3925">
        <v>800</v>
      </c>
      <c r="AO3925" t="s">
        <v>115</v>
      </c>
      <c r="AP3925">
        <v>49</v>
      </c>
      <c r="AQ3925">
        <v>97</v>
      </c>
      <c r="AR3925">
        <v>-768</v>
      </c>
      <c r="AZ3925">
        <v>3614</v>
      </c>
      <c r="BA3925">
        <v>1</v>
      </c>
      <c r="BB3925" t="str">
        <f t="shared" si="185"/>
        <v xml:space="preserve">N959MJ  </v>
      </c>
      <c r="BC3925">
        <v>1</v>
      </c>
      <c r="BE3925">
        <v>0</v>
      </c>
      <c r="BF3925">
        <v>0</v>
      </c>
      <c r="BG3925">
        <v>0</v>
      </c>
      <c r="BH3925">
        <v>1200</v>
      </c>
      <c r="BI3925">
        <v>400</v>
      </c>
      <c r="BJ3925">
        <v>1</v>
      </c>
      <c r="BK3925">
        <v>1</v>
      </c>
      <c r="BL3925">
        <v>1</v>
      </c>
      <c r="BM3925">
        <v>0</v>
      </c>
      <c r="BP3925">
        <v>0</v>
      </c>
      <c r="BQ3925">
        <v>0</v>
      </c>
      <c r="BX3925" t="str">
        <f>"14:55:50.844"</f>
        <v>14:55:50.844</v>
      </c>
      <c r="BY3925" t="str">
        <f>"845532780"</f>
        <v>845532780</v>
      </c>
      <c r="CL3925">
        <v>3</v>
      </c>
      <c r="CM3925">
        <v>2</v>
      </c>
      <c r="CN3925">
        <v>0</v>
      </c>
      <c r="CO3925">
        <v>2</v>
      </c>
      <c r="CP3925">
        <v>0</v>
      </c>
      <c r="CQ3925">
        <v>6</v>
      </c>
      <c r="CR3925" t="s">
        <v>116</v>
      </c>
      <c r="CS3925">
        <v>305</v>
      </c>
      <c r="CT3925">
        <v>3</v>
      </c>
      <c r="CU3925" t="s">
        <v>6425</v>
      </c>
      <c r="CV3925" t="s">
        <v>6426</v>
      </c>
      <c r="CY3925">
        <v>6677716</v>
      </c>
      <c r="CZ3925" t="s">
        <v>119</v>
      </c>
    </row>
    <row r="3926" spans="1:104" x14ac:dyDescent="0.25">
      <c r="A3926" t="str">
        <f>"14:55:51.844"</f>
        <v>14:55:51.844</v>
      </c>
      <c r="B3926" t="s">
        <v>108</v>
      </c>
      <c r="C3926" t="str">
        <f t="shared" si="184"/>
        <v>ffdfd3c0</v>
      </c>
      <c r="D3926" t="s">
        <v>109</v>
      </c>
      <c r="E3926">
        <v>4</v>
      </c>
      <c r="F3926">
        <v>1004</v>
      </c>
      <c r="G3926" t="s">
        <v>110</v>
      </c>
      <c r="J3926" t="s">
        <v>111</v>
      </c>
      <c r="K3926">
        <v>0</v>
      </c>
      <c r="L3926">
        <v>3</v>
      </c>
      <c r="M3926">
        <v>0</v>
      </c>
      <c r="N3926">
        <v>2</v>
      </c>
      <c r="O3926">
        <v>1</v>
      </c>
      <c r="P3926">
        <v>0</v>
      </c>
      <c r="Q3926">
        <v>0</v>
      </c>
      <c r="R3926" t="s">
        <v>112</v>
      </c>
      <c r="S3926" t="str">
        <f>"14:55:51.672"</f>
        <v>14:55:51.672</v>
      </c>
      <c r="T3926" t="str">
        <f>"14:55:51.273"</f>
        <v>14:55:51.273</v>
      </c>
      <c r="U3926" t="str">
        <f t="shared" si="183"/>
        <v>ad5732</v>
      </c>
      <c r="V3926">
        <v>0</v>
      </c>
      <c r="W3926">
        <v>0</v>
      </c>
      <c r="X3926">
        <v>1</v>
      </c>
      <c r="Z3926">
        <v>0</v>
      </c>
      <c r="AA3926">
        <v>9</v>
      </c>
      <c r="AB3926">
        <v>3</v>
      </c>
      <c r="AC3926">
        <v>0</v>
      </c>
      <c r="AD3926">
        <v>10</v>
      </c>
      <c r="AE3926">
        <v>0</v>
      </c>
      <c r="AF3926">
        <v>3</v>
      </c>
      <c r="AG3926">
        <v>2</v>
      </c>
      <c r="AH3926">
        <v>0</v>
      </c>
      <c r="AI3926" t="s">
        <v>7900</v>
      </c>
      <c r="AJ3926">
        <v>40.538348999999997</v>
      </c>
      <c r="AK3926" t="s">
        <v>7901</v>
      </c>
      <c r="AL3926">
        <v>-74.340298000000004</v>
      </c>
      <c r="AM3926">
        <v>100</v>
      </c>
      <c r="AN3926">
        <v>800</v>
      </c>
      <c r="AO3926" t="s">
        <v>115</v>
      </c>
      <c r="AP3926">
        <v>50</v>
      </c>
      <c r="AQ3926">
        <v>97</v>
      </c>
      <c r="AR3926">
        <v>-768</v>
      </c>
      <c r="AZ3926">
        <v>3614</v>
      </c>
      <c r="BA3926">
        <v>1</v>
      </c>
      <c r="BB3926" t="str">
        <f t="shared" si="185"/>
        <v xml:space="preserve">N959MJ  </v>
      </c>
      <c r="BC3926">
        <v>1</v>
      </c>
      <c r="BE3926">
        <v>0</v>
      </c>
      <c r="BF3926">
        <v>0</v>
      </c>
      <c r="BG3926">
        <v>0</v>
      </c>
      <c r="BH3926">
        <v>1075</v>
      </c>
      <c r="BI3926">
        <v>275</v>
      </c>
      <c r="BJ3926">
        <v>1</v>
      </c>
      <c r="BK3926">
        <v>1</v>
      </c>
      <c r="BL3926">
        <v>1</v>
      </c>
      <c r="BM3926">
        <v>0</v>
      </c>
      <c r="BP3926">
        <v>0</v>
      </c>
      <c r="BQ3926">
        <v>0</v>
      </c>
      <c r="BX3926" t="str">
        <f>"14:55:51.680"</f>
        <v>14:55:51.680</v>
      </c>
      <c r="BY3926" t="str">
        <f>"677854621"</f>
        <v>677854621</v>
      </c>
      <c r="CL3926">
        <v>3</v>
      </c>
      <c r="CM3926">
        <v>2</v>
      </c>
      <c r="CN3926">
        <v>0</v>
      </c>
      <c r="CO3926">
        <v>2</v>
      </c>
      <c r="CP3926">
        <v>0</v>
      </c>
      <c r="CQ3926">
        <v>6</v>
      </c>
      <c r="CR3926" t="s">
        <v>116</v>
      </c>
      <c r="CS3926">
        <v>305</v>
      </c>
      <c r="CT3926">
        <v>3</v>
      </c>
      <c r="CU3926" t="s">
        <v>6425</v>
      </c>
      <c r="CV3926" t="s">
        <v>6426</v>
      </c>
      <c r="CY3926">
        <v>6679411</v>
      </c>
      <c r="CZ3926" t="s">
        <v>119</v>
      </c>
    </row>
    <row r="3927" spans="1:104" x14ac:dyDescent="0.25">
      <c r="A3927" t="str">
        <f>"14:55:52.953"</f>
        <v>14:55:52.953</v>
      </c>
      <c r="B3927" t="s">
        <v>108</v>
      </c>
      <c r="C3927" t="str">
        <f t="shared" si="184"/>
        <v>ffdfd3c0</v>
      </c>
      <c r="D3927" t="s">
        <v>109</v>
      </c>
      <c r="E3927">
        <v>4</v>
      </c>
      <c r="F3927">
        <v>1004</v>
      </c>
      <c r="G3927" t="s">
        <v>110</v>
      </c>
      <c r="J3927" t="s">
        <v>111</v>
      </c>
      <c r="K3927">
        <v>0</v>
      </c>
      <c r="L3927">
        <v>3</v>
      </c>
      <c r="M3927">
        <v>0</v>
      </c>
      <c r="N3927">
        <v>2</v>
      </c>
      <c r="O3927">
        <v>1</v>
      </c>
      <c r="P3927">
        <v>0</v>
      </c>
      <c r="Q3927">
        <v>0</v>
      </c>
      <c r="R3927" t="s">
        <v>112</v>
      </c>
      <c r="S3927" t="str">
        <f>"14:55:52.758"</f>
        <v>14:55:52.758</v>
      </c>
      <c r="T3927" t="str">
        <f>"14:55:52.258"</f>
        <v>14:55:52.258</v>
      </c>
      <c r="U3927" t="str">
        <f t="shared" si="183"/>
        <v>ad5732</v>
      </c>
      <c r="V3927">
        <v>0</v>
      </c>
      <c r="W3927">
        <v>0</v>
      </c>
      <c r="X3927">
        <v>1</v>
      </c>
      <c r="Z3927">
        <v>0</v>
      </c>
      <c r="AA3927">
        <v>9</v>
      </c>
      <c r="AB3927">
        <v>3</v>
      </c>
      <c r="AC3927">
        <v>0</v>
      </c>
      <c r="AD3927">
        <v>10</v>
      </c>
      <c r="AE3927">
        <v>0</v>
      </c>
      <c r="AF3927">
        <v>3</v>
      </c>
      <c r="AG3927">
        <v>2</v>
      </c>
      <c r="AH3927">
        <v>0</v>
      </c>
      <c r="AI3927" t="s">
        <v>7902</v>
      </c>
      <c r="AJ3927">
        <v>40.538863999999997</v>
      </c>
      <c r="AK3927" t="s">
        <v>7903</v>
      </c>
      <c r="AL3927">
        <v>-74.339975999999993</v>
      </c>
      <c r="AM3927">
        <v>100</v>
      </c>
      <c r="AN3927">
        <v>800</v>
      </c>
      <c r="AO3927" t="s">
        <v>115</v>
      </c>
      <c r="AP3927">
        <v>50</v>
      </c>
      <c r="AQ3927">
        <v>98</v>
      </c>
      <c r="AR3927">
        <v>-768</v>
      </c>
      <c r="AZ3927">
        <v>3614</v>
      </c>
      <c r="BA3927">
        <v>1</v>
      </c>
      <c r="BB3927" t="str">
        <f t="shared" si="185"/>
        <v xml:space="preserve">N959MJ  </v>
      </c>
      <c r="BC3927">
        <v>1</v>
      </c>
      <c r="BE3927">
        <v>0</v>
      </c>
      <c r="BF3927">
        <v>0</v>
      </c>
      <c r="BG3927">
        <v>0</v>
      </c>
      <c r="BH3927">
        <v>1075</v>
      </c>
      <c r="BI3927">
        <v>275</v>
      </c>
      <c r="BJ3927">
        <v>1</v>
      </c>
      <c r="BK3927">
        <v>1</v>
      </c>
      <c r="BL3927">
        <v>1</v>
      </c>
      <c r="BM3927">
        <v>0</v>
      </c>
      <c r="BP3927">
        <v>0</v>
      </c>
      <c r="BQ3927">
        <v>0</v>
      </c>
      <c r="BX3927" t="str">
        <f>"14:55:52.758"</f>
        <v>14:55:52.758</v>
      </c>
      <c r="BY3927" t="str">
        <f>"759217666"</f>
        <v>759217666</v>
      </c>
      <c r="CL3927">
        <v>3</v>
      </c>
      <c r="CM3927">
        <v>2</v>
      </c>
      <c r="CN3927">
        <v>0</v>
      </c>
      <c r="CO3927">
        <v>2</v>
      </c>
      <c r="CP3927">
        <v>0</v>
      </c>
      <c r="CQ3927">
        <v>0</v>
      </c>
      <c r="CR3927" t="s">
        <v>116</v>
      </c>
      <c r="CS3927">
        <v>305</v>
      </c>
      <c r="CT3927">
        <v>3</v>
      </c>
      <c r="CU3927" t="s">
        <v>6425</v>
      </c>
      <c r="CV3927" t="s">
        <v>6426</v>
      </c>
      <c r="CY3927">
        <v>6681667</v>
      </c>
      <c r="CZ3927" t="s">
        <v>119</v>
      </c>
    </row>
    <row r="3928" spans="1:104" x14ac:dyDescent="0.25">
      <c r="A3928" t="str">
        <f>"14:55:53.813"</f>
        <v>14:55:53.813</v>
      </c>
      <c r="B3928" t="s">
        <v>108</v>
      </c>
      <c r="C3928" t="str">
        <f t="shared" si="184"/>
        <v>ffdfd3c0</v>
      </c>
      <c r="D3928" t="s">
        <v>109</v>
      </c>
      <c r="E3928">
        <v>4</v>
      </c>
      <c r="F3928">
        <v>1004</v>
      </c>
      <c r="G3928" t="s">
        <v>110</v>
      </c>
      <c r="J3928" t="s">
        <v>111</v>
      </c>
      <c r="K3928">
        <v>0</v>
      </c>
      <c r="L3928">
        <v>3</v>
      </c>
      <c r="M3928">
        <v>0</v>
      </c>
      <c r="N3928">
        <v>2</v>
      </c>
      <c r="O3928">
        <v>1</v>
      </c>
      <c r="P3928">
        <v>0</v>
      </c>
      <c r="Q3928">
        <v>0</v>
      </c>
      <c r="R3928" t="s">
        <v>112</v>
      </c>
      <c r="S3928" t="str">
        <f>"14:55:53.648"</f>
        <v>14:55:53.648</v>
      </c>
      <c r="T3928" t="str">
        <f>"14:55:52.852"</f>
        <v>14:55:52.852</v>
      </c>
      <c r="U3928" t="str">
        <f t="shared" si="183"/>
        <v>ad5732</v>
      </c>
      <c r="V3928">
        <v>0</v>
      </c>
      <c r="W3928">
        <v>0</v>
      </c>
      <c r="X3928">
        <v>1</v>
      </c>
      <c r="Z3928">
        <v>0</v>
      </c>
      <c r="AA3928">
        <v>9</v>
      </c>
      <c r="AB3928">
        <v>3</v>
      </c>
      <c r="AC3928">
        <v>0</v>
      </c>
      <c r="AD3928">
        <v>10</v>
      </c>
      <c r="AE3928">
        <v>0</v>
      </c>
      <c r="AF3928">
        <v>3</v>
      </c>
      <c r="AG3928">
        <v>2</v>
      </c>
      <c r="AH3928">
        <v>0</v>
      </c>
      <c r="AI3928" t="s">
        <v>7904</v>
      </c>
      <c r="AJ3928">
        <v>40.539271999999997</v>
      </c>
      <c r="AK3928" t="s">
        <v>7905</v>
      </c>
      <c r="AL3928">
        <v>-74.339740000000006</v>
      </c>
      <c r="AM3928">
        <v>100</v>
      </c>
      <c r="AN3928">
        <v>800</v>
      </c>
      <c r="AO3928" t="s">
        <v>115</v>
      </c>
      <c r="AP3928">
        <v>50</v>
      </c>
      <c r="AQ3928">
        <v>98</v>
      </c>
      <c r="AR3928">
        <v>-768</v>
      </c>
      <c r="AZ3928">
        <v>3614</v>
      </c>
      <c r="BA3928">
        <v>1</v>
      </c>
      <c r="BB3928" t="str">
        <f t="shared" si="185"/>
        <v xml:space="preserve">N959MJ  </v>
      </c>
      <c r="BC3928">
        <v>1</v>
      </c>
      <c r="BE3928">
        <v>0</v>
      </c>
      <c r="BF3928">
        <v>0</v>
      </c>
      <c r="BG3928">
        <v>0</v>
      </c>
      <c r="BH3928">
        <v>1075</v>
      </c>
      <c r="BI3928">
        <v>275</v>
      </c>
      <c r="BJ3928">
        <v>1</v>
      </c>
      <c r="BK3928">
        <v>1</v>
      </c>
      <c r="BL3928">
        <v>1</v>
      </c>
      <c r="BM3928">
        <v>0</v>
      </c>
      <c r="BP3928">
        <v>0</v>
      </c>
      <c r="BQ3928">
        <v>0</v>
      </c>
      <c r="BX3928" t="str">
        <f>"14:55:53.648"</f>
        <v>14:55:53.648</v>
      </c>
      <c r="BY3928" t="str">
        <f>"652161363"</f>
        <v>652161363</v>
      </c>
      <c r="CL3928">
        <v>3</v>
      </c>
      <c r="CM3928">
        <v>2</v>
      </c>
      <c r="CN3928">
        <v>0</v>
      </c>
      <c r="CO3928">
        <v>2</v>
      </c>
      <c r="CP3928">
        <v>0</v>
      </c>
      <c r="CQ3928">
        <v>6</v>
      </c>
      <c r="CR3928" t="s">
        <v>116</v>
      </c>
      <c r="CS3928">
        <v>305</v>
      </c>
      <c r="CT3928">
        <v>3</v>
      </c>
      <c r="CU3928" t="s">
        <v>6425</v>
      </c>
      <c r="CV3928" t="s">
        <v>6426</v>
      </c>
      <c r="CY3928">
        <v>6683548</v>
      </c>
      <c r="CZ3928" t="s">
        <v>119</v>
      </c>
    </row>
    <row r="3929" spans="1:104" x14ac:dyDescent="0.25">
      <c r="A3929" t="str">
        <f>"14:55:54.875"</f>
        <v>14:55:54.875</v>
      </c>
      <c r="B3929" t="s">
        <v>108</v>
      </c>
      <c r="C3929" t="str">
        <f t="shared" si="184"/>
        <v>ffdfd3c0</v>
      </c>
      <c r="D3929" t="s">
        <v>109</v>
      </c>
      <c r="E3929">
        <v>4</v>
      </c>
      <c r="F3929">
        <v>1004</v>
      </c>
      <c r="G3929" t="s">
        <v>110</v>
      </c>
      <c r="J3929" t="s">
        <v>111</v>
      </c>
      <c r="K3929">
        <v>0</v>
      </c>
      <c r="L3929">
        <v>3</v>
      </c>
      <c r="M3929">
        <v>0</v>
      </c>
      <c r="N3929">
        <v>2</v>
      </c>
      <c r="O3929">
        <v>1</v>
      </c>
      <c r="P3929">
        <v>0</v>
      </c>
      <c r="Q3929">
        <v>0</v>
      </c>
      <c r="R3929" t="s">
        <v>112</v>
      </c>
      <c r="S3929" t="str">
        <f>"14:55:54.672"</f>
        <v>14:55:54.672</v>
      </c>
      <c r="T3929" t="str">
        <f>"14:55:54.172"</f>
        <v>14:55:54.172</v>
      </c>
      <c r="U3929" t="str">
        <f t="shared" si="183"/>
        <v>ad5732</v>
      </c>
      <c r="V3929">
        <v>0</v>
      </c>
      <c r="W3929">
        <v>0</v>
      </c>
      <c r="X3929">
        <v>1</v>
      </c>
      <c r="Z3929">
        <v>0</v>
      </c>
      <c r="AA3929">
        <v>9</v>
      </c>
      <c r="AB3929">
        <v>3</v>
      </c>
      <c r="AC3929">
        <v>0</v>
      </c>
      <c r="AD3929">
        <v>10</v>
      </c>
      <c r="AE3929">
        <v>0</v>
      </c>
      <c r="AF3929">
        <v>3</v>
      </c>
      <c r="AG3929">
        <v>2</v>
      </c>
      <c r="AH3929">
        <v>0</v>
      </c>
      <c r="AI3929" t="s">
        <v>7906</v>
      </c>
      <c r="AJ3929">
        <v>40.539743999999999</v>
      </c>
      <c r="AK3929" t="s">
        <v>7907</v>
      </c>
      <c r="AL3929">
        <v>-74.339417999999995</v>
      </c>
      <c r="AM3929">
        <v>100</v>
      </c>
      <c r="AN3929">
        <v>800</v>
      </c>
      <c r="AO3929" t="s">
        <v>115</v>
      </c>
      <c r="AP3929">
        <v>51</v>
      </c>
      <c r="AQ3929">
        <v>98</v>
      </c>
      <c r="AR3929">
        <v>-768</v>
      </c>
      <c r="AZ3929">
        <v>3614</v>
      </c>
      <c r="BA3929">
        <v>1</v>
      </c>
      <c r="BB3929" t="str">
        <f t="shared" si="185"/>
        <v xml:space="preserve">N959MJ  </v>
      </c>
      <c r="BC3929">
        <v>1</v>
      </c>
      <c r="BE3929">
        <v>0</v>
      </c>
      <c r="BF3929">
        <v>0</v>
      </c>
      <c r="BG3929">
        <v>0</v>
      </c>
      <c r="BH3929">
        <v>1050</v>
      </c>
      <c r="BI3929">
        <v>250</v>
      </c>
      <c r="BJ3929">
        <v>1</v>
      </c>
      <c r="BK3929">
        <v>1</v>
      </c>
      <c r="BL3929">
        <v>1</v>
      </c>
      <c r="BM3929">
        <v>0</v>
      </c>
      <c r="BP3929">
        <v>0</v>
      </c>
      <c r="BQ3929">
        <v>0</v>
      </c>
      <c r="BX3929" t="str">
        <f>"14:55:54.680"</f>
        <v>14:55:54.680</v>
      </c>
      <c r="BY3929" t="str">
        <f>"679456169"</f>
        <v>679456169</v>
      </c>
      <c r="CL3929">
        <v>3</v>
      </c>
      <c r="CM3929">
        <v>2</v>
      </c>
      <c r="CN3929">
        <v>0</v>
      </c>
      <c r="CO3929">
        <v>2</v>
      </c>
      <c r="CP3929">
        <v>0</v>
      </c>
      <c r="CQ3929">
        <v>7</v>
      </c>
      <c r="CR3929" t="s">
        <v>116</v>
      </c>
      <c r="CS3929">
        <v>305</v>
      </c>
      <c r="CT3929">
        <v>3</v>
      </c>
      <c r="CU3929" t="s">
        <v>6425</v>
      </c>
      <c r="CV3929" t="s">
        <v>6426</v>
      </c>
      <c r="CY3929">
        <v>6685665</v>
      </c>
      <c r="CZ3929" t="s">
        <v>119</v>
      </c>
    </row>
    <row r="3930" spans="1:104" x14ac:dyDescent="0.25">
      <c r="A3930" t="str">
        <f>"14:55:55.836"</f>
        <v>14:55:55.836</v>
      </c>
      <c r="B3930" t="s">
        <v>108</v>
      </c>
      <c r="C3930" t="str">
        <f t="shared" si="184"/>
        <v>ffdfd3c0</v>
      </c>
      <c r="D3930" t="s">
        <v>109</v>
      </c>
      <c r="E3930">
        <v>4</v>
      </c>
      <c r="F3930">
        <v>1004</v>
      </c>
      <c r="G3930" t="s">
        <v>110</v>
      </c>
      <c r="J3930" t="s">
        <v>111</v>
      </c>
      <c r="K3930">
        <v>0</v>
      </c>
      <c r="L3930">
        <v>3</v>
      </c>
      <c r="M3930">
        <v>0</v>
      </c>
      <c r="N3930">
        <v>2</v>
      </c>
      <c r="O3930">
        <v>1</v>
      </c>
      <c r="P3930">
        <v>0</v>
      </c>
      <c r="Q3930">
        <v>0</v>
      </c>
      <c r="R3930" t="s">
        <v>112</v>
      </c>
      <c r="S3930" t="str">
        <f>"14:55:55.641"</f>
        <v>14:55:55.641</v>
      </c>
      <c r="T3930" t="str">
        <f>"14:55:55.141"</f>
        <v>14:55:55.141</v>
      </c>
      <c r="U3930" t="str">
        <f t="shared" si="183"/>
        <v>ad5732</v>
      </c>
      <c r="V3930">
        <v>0</v>
      </c>
      <c r="W3930">
        <v>0</v>
      </c>
      <c r="X3930">
        <v>1</v>
      </c>
      <c r="Z3930">
        <v>0</v>
      </c>
      <c r="AA3930">
        <v>9</v>
      </c>
      <c r="AB3930">
        <v>3</v>
      </c>
      <c r="AC3930">
        <v>0</v>
      </c>
      <c r="AD3930">
        <v>10</v>
      </c>
      <c r="AE3930">
        <v>0</v>
      </c>
      <c r="AF3930">
        <v>3</v>
      </c>
      <c r="AG3930">
        <v>2</v>
      </c>
      <c r="AH3930">
        <v>0</v>
      </c>
      <c r="AI3930" t="s">
        <v>7908</v>
      </c>
      <c r="AJ3930">
        <v>40.540151999999999</v>
      </c>
      <c r="AK3930" t="s">
        <v>7909</v>
      </c>
      <c r="AL3930">
        <v>-74.339117999999999</v>
      </c>
      <c r="AM3930">
        <v>100</v>
      </c>
      <c r="AN3930">
        <v>800</v>
      </c>
      <c r="AO3930" t="s">
        <v>115</v>
      </c>
      <c r="AP3930">
        <v>51</v>
      </c>
      <c r="AQ3930">
        <v>98</v>
      </c>
      <c r="AR3930">
        <v>-896</v>
      </c>
      <c r="AZ3930">
        <v>3614</v>
      </c>
      <c r="BA3930">
        <v>1</v>
      </c>
      <c r="BB3930" t="str">
        <f t="shared" si="185"/>
        <v xml:space="preserve">N959MJ  </v>
      </c>
      <c r="BC3930">
        <v>1</v>
      </c>
      <c r="BE3930">
        <v>0</v>
      </c>
      <c r="BF3930">
        <v>0</v>
      </c>
      <c r="BG3930">
        <v>0</v>
      </c>
      <c r="BH3930">
        <v>1025</v>
      </c>
      <c r="BI3930">
        <v>225</v>
      </c>
      <c r="BJ3930">
        <v>1</v>
      </c>
      <c r="BK3930">
        <v>1</v>
      </c>
      <c r="BL3930">
        <v>1</v>
      </c>
      <c r="BM3930">
        <v>0</v>
      </c>
      <c r="BP3930">
        <v>0</v>
      </c>
      <c r="BQ3930">
        <v>0</v>
      </c>
      <c r="BX3930" t="str">
        <f>"14:55:55.641"</f>
        <v>14:55:55.641</v>
      </c>
      <c r="BY3930" t="str">
        <f>"641213954"</f>
        <v>641213954</v>
      </c>
      <c r="CL3930">
        <v>3</v>
      </c>
      <c r="CM3930">
        <v>2</v>
      </c>
      <c r="CN3930">
        <v>0</v>
      </c>
      <c r="CO3930">
        <v>2</v>
      </c>
      <c r="CP3930">
        <v>0</v>
      </c>
      <c r="CQ3930">
        <v>7</v>
      </c>
      <c r="CR3930" t="s">
        <v>116</v>
      </c>
      <c r="CS3930">
        <v>305</v>
      </c>
      <c r="CT3930">
        <v>3</v>
      </c>
      <c r="CU3930" t="s">
        <v>6425</v>
      </c>
      <c r="CV3930" t="s">
        <v>6426</v>
      </c>
      <c r="CY3930">
        <v>6687582</v>
      </c>
      <c r="CZ3930" t="s">
        <v>119</v>
      </c>
    </row>
    <row r="3931" spans="1:104" x14ac:dyDescent="0.25">
      <c r="A3931" t="str">
        <f>"14:55:56.891"</f>
        <v>14:55:56.891</v>
      </c>
      <c r="B3931" t="s">
        <v>108</v>
      </c>
      <c r="C3931" t="str">
        <f t="shared" si="184"/>
        <v>ffdfd3c0</v>
      </c>
      <c r="D3931" t="s">
        <v>109</v>
      </c>
      <c r="E3931">
        <v>4</v>
      </c>
      <c r="F3931">
        <v>1004</v>
      </c>
      <c r="G3931" t="s">
        <v>110</v>
      </c>
      <c r="J3931" t="s">
        <v>111</v>
      </c>
      <c r="K3931">
        <v>0</v>
      </c>
      <c r="L3931">
        <v>3</v>
      </c>
      <c r="M3931">
        <v>0</v>
      </c>
      <c r="N3931">
        <v>2</v>
      </c>
      <c r="O3931">
        <v>1</v>
      </c>
      <c r="P3931">
        <v>0</v>
      </c>
      <c r="Q3931">
        <v>0</v>
      </c>
      <c r="R3931" t="s">
        <v>112</v>
      </c>
      <c r="S3931" t="str">
        <f>"14:55:56.711"</f>
        <v>14:55:56.711</v>
      </c>
      <c r="T3931" t="str">
        <f>"14:55:56.211"</f>
        <v>14:55:56.211</v>
      </c>
      <c r="U3931" t="str">
        <f t="shared" si="183"/>
        <v>ad5732</v>
      </c>
      <c r="V3931">
        <v>0</v>
      </c>
      <c r="W3931">
        <v>0</v>
      </c>
      <c r="X3931">
        <v>1</v>
      </c>
      <c r="Z3931">
        <v>0</v>
      </c>
      <c r="AA3931">
        <v>9</v>
      </c>
      <c r="AB3931">
        <v>3</v>
      </c>
      <c r="AC3931">
        <v>0</v>
      </c>
      <c r="AD3931">
        <v>10</v>
      </c>
      <c r="AE3931">
        <v>0</v>
      </c>
      <c r="AF3931">
        <v>3</v>
      </c>
      <c r="AG3931">
        <v>2</v>
      </c>
      <c r="AH3931">
        <v>0</v>
      </c>
      <c r="AI3931" t="s">
        <v>7910</v>
      </c>
      <c r="AJ3931">
        <v>40.540624000000001</v>
      </c>
      <c r="AK3931" t="s">
        <v>7911</v>
      </c>
      <c r="AL3931">
        <v>-74.338796000000002</v>
      </c>
      <c r="AM3931">
        <v>100</v>
      </c>
      <c r="AN3931">
        <v>800</v>
      </c>
      <c r="AO3931" t="s">
        <v>115</v>
      </c>
      <c r="AP3931">
        <v>51</v>
      </c>
      <c r="AQ3931">
        <v>98</v>
      </c>
      <c r="AR3931">
        <v>-1024</v>
      </c>
      <c r="AZ3931">
        <v>3614</v>
      </c>
      <c r="BA3931">
        <v>1</v>
      </c>
      <c r="BB3931" t="str">
        <f t="shared" si="185"/>
        <v xml:space="preserve">N959MJ  </v>
      </c>
      <c r="BC3931">
        <v>1</v>
      </c>
      <c r="BE3931">
        <v>0</v>
      </c>
      <c r="BF3931">
        <v>0</v>
      </c>
      <c r="BG3931">
        <v>0</v>
      </c>
      <c r="BH3931">
        <v>1025</v>
      </c>
      <c r="BI3931">
        <v>225</v>
      </c>
      <c r="BJ3931">
        <v>1</v>
      </c>
      <c r="BK3931">
        <v>1</v>
      </c>
      <c r="BL3931">
        <v>1</v>
      </c>
      <c r="BM3931">
        <v>0</v>
      </c>
      <c r="BP3931">
        <v>0</v>
      </c>
      <c r="BQ3931">
        <v>0</v>
      </c>
      <c r="BX3931" t="str">
        <f>"14:55:56.719"</f>
        <v>14:55:56.719</v>
      </c>
      <c r="BY3931" t="str">
        <f>"717661805"</f>
        <v>717661805</v>
      </c>
      <c r="CL3931">
        <v>3</v>
      </c>
      <c r="CM3931">
        <v>2</v>
      </c>
      <c r="CN3931">
        <v>0</v>
      </c>
      <c r="CO3931">
        <v>2</v>
      </c>
      <c r="CP3931">
        <v>0</v>
      </c>
      <c r="CQ3931">
        <v>7</v>
      </c>
      <c r="CR3931" t="s">
        <v>116</v>
      </c>
      <c r="CS3931">
        <v>305</v>
      </c>
      <c r="CT3931">
        <v>3</v>
      </c>
      <c r="CU3931" t="s">
        <v>6425</v>
      </c>
      <c r="CV3931" t="s">
        <v>6426</v>
      </c>
      <c r="CY3931">
        <v>6689763</v>
      </c>
      <c r="CZ3931" t="s">
        <v>119</v>
      </c>
    </row>
    <row r="3932" spans="1:104" x14ac:dyDescent="0.25">
      <c r="A3932" t="str">
        <f>"14:55:57.852"</f>
        <v>14:55:57.852</v>
      </c>
      <c r="B3932" t="s">
        <v>108</v>
      </c>
      <c r="C3932" t="str">
        <f t="shared" si="184"/>
        <v>ffdfd3c0</v>
      </c>
      <c r="D3932" t="s">
        <v>109</v>
      </c>
      <c r="E3932">
        <v>4</v>
      </c>
      <c r="F3932">
        <v>1004</v>
      </c>
      <c r="G3932" t="s">
        <v>110</v>
      </c>
      <c r="J3932" t="s">
        <v>111</v>
      </c>
      <c r="K3932">
        <v>0</v>
      </c>
      <c r="L3932">
        <v>3</v>
      </c>
      <c r="M3932">
        <v>0</v>
      </c>
      <c r="N3932">
        <v>2</v>
      </c>
      <c r="O3932">
        <v>1</v>
      </c>
      <c r="P3932">
        <v>0</v>
      </c>
      <c r="Q3932">
        <v>0</v>
      </c>
      <c r="R3932" t="s">
        <v>112</v>
      </c>
      <c r="S3932" t="str">
        <f>"14:55:57.641"</f>
        <v>14:55:57.641</v>
      </c>
      <c r="T3932" t="str">
        <f>"14:55:57.242"</f>
        <v>14:55:57.242</v>
      </c>
      <c r="U3932" t="str">
        <f t="shared" si="183"/>
        <v>ad5732</v>
      </c>
      <c r="V3932">
        <v>0</v>
      </c>
      <c r="W3932">
        <v>0</v>
      </c>
      <c r="X3932">
        <v>1</v>
      </c>
      <c r="Z3932">
        <v>0</v>
      </c>
      <c r="AA3932">
        <v>9</v>
      </c>
      <c r="AB3932">
        <v>3</v>
      </c>
      <c r="AC3932">
        <v>0</v>
      </c>
      <c r="AD3932">
        <v>10</v>
      </c>
      <c r="AE3932">
        <v>0</v>
      </c>
      <c r="AF3932">
        <v>3</v>
      </c>
      <c r="AG3932">
        <v>2</v>
      </c>
      <c r="AH3932">
        <v>0</v>
      </c>
      <c r="AI3932" t="s">
        <v>7912</v>
      </c>
      <c r="AJ3932">
        <v>40.541096000000003</v>
      </c>
      <c r="AK3932" t="s">
        <v>7913</v>
      </c>
      <c r="AL3932">
        <v>-74.338496000000006</v>
      </c>
      <c r="AM3932">
        <v>100</v>
      </c>
      <c r="AN3932">
        <v>700</v>
      </c>
      <c r="AO3932" t="s">
        <v>115</v>
      </c>
      <c r="AP3932">
        <v>50</v>
      </c>
      <c r="AQ3932">
        <v>98</v>
      </c>
      <c r="AR3932">
        <v>-1024</v>
      </c>
      <c r="AZ3932">
        <v>3614</v>
      </c>
      <c r="BA3932">
        <v>1</v>
      </c>
      <c r="BB3932" t="str">
        <f t="shared" si="185"/>
        <v xml:space="preserve">N959MJ  </v>
      </c>
      <c r="BC3932">
        <v>1</v>
      </c>
      <c r="BE3932">
        <v>0</v>
      </c>
      <c r="BF3932">
        <v>0</v>
      </c>
      <c r="BG3932">
        <v>0</v>
      </c>
      <c r="BH3932">
        <v>1000</v>
      </c>
      <c r="BI3932">
        <v>300</v>
      </c>
      <c r="BJ3932">
        <v>1</v>
      </c>
      <c r="BK3932">
        <v>1</v>
      </c>
      <c r="BL3932">
        <v>1</v>
      </c>
      <c r="BM3932">
        <v>0</v>
      </c>
      <c r="BP3932">
        <v>0</v>
      </c>
      <c r="BQ3932">
        <v>0</v>
      </c>
      <c r="BX3932" t="str">
        <f>"14:55:57.648"</f>
        <v>14:55:57.648</v>
      </c>
      <c r="BY3932" t="str">
        <f>"646650844"</f>
        <v>646650844</v>
      </c>
      <c r="CL3932">
        <v>3</v>
      </c>
      <c r="CM3932">
        <v>2</v>
      </c>
      <c r="CN3932">
        <v>0</v>
      </c>
      <c r="CO3932">
        <v>2</v>
      </c>
      <c r="CP3932">
        <v>0</v>
      </c>
      <c r="CQ3932">
        <v>6</v>
      </c>
      <c r="CR3932" t="s">
        <v>116</v>
      </c>
      <c r="CS3932">
        <v>305</v>
      </c>
      <c r="CT3932">
        <v>3</v>
      </c>
      <c r="CU3932" t="s">
        <v>6425</v>
      </c>
      <c r="CV3932" t="s">
        <v>6426</v>
      </c>
      <c r="CY3932">
        <v>6691834</v>
      </c>
      <c r="CZ3932" t="s">
        <v>119</v>
      </c>
    </row>
    <row r="3933" spans="1:104" x14ac:dyDescent="0.25">
      <c r="A3933" t="str">
        <f>"14:55:58.766"</f>
        <v>14:55:58.766</v>
      </c>
      <c r="B3933" t="s">
        <v>108</v>
      </c>
      <c r="C3933" t="str">
        <f t="shared" si="184"/>
        <v>ffdfd3c0</v>
      </c>
      <c r="D3933" t="s">
        <v>109</v>
      </c>
      <c r="E3933">
        <v>4</v>
      </c>
      <c r="F3933">
        <v>1004</v>
      </c>
      <c r="G3933" t="s">
        <v>110</v>
      </c>
      <c r="J3933" t="s">
        <v>111</v>
      </c>
      <c r="K3933">
        <v>0</v>
      </c>
      <c r="L3933">
        <v>3</v>
      </c>
      <c r="M3933">
        <v>0</v>
      </c>
      <c r="N3933">
        <v>2</v>
      </c>
      <c r="O3933">
        <v>1</v>
      </c>
      <c r="P3933">
        <v>0</v>
      </c>
      <c r="Q3933">
        <v>0</v>
      </c>
      <c r="R3933" t="s">
        <v>112</v>
      </c>
      <c r="S3933" t="str">
        <f>"14:55:58.609"</f>
        <v>14:55:58.609</v>
      </c>
      <c r="T3933" t="str">
        <f>"14:55:58.211"</f>
        <v>14:55:58.211</v>
      </c>
      <c r="U3933" t="str">
        <f t="shared" si="183"/>
        <v>ad5732</v>
      </c>
      <c r="V3933">
        <v>0</v>
      </c>
      <c r="W3933">
        <v>0</v>
      </c>
      <c r="X3933">
        <v>1</v>
      </c>
      <c r="Z3933">
        <v>0</v>
      </c>
      <c r="AA3933">
        <v>9</v>
      </c>
      <c r="AB3933">
        <v>3</v>
      </c>
      <c r="AC3933">
        <v>0</v>
      </c>
      <c r="AD3933">
        <v>10</v>
      </c>
      <c r="AE3933">
        <v>0</v>
      </c>
      <c r="AF3933">
        <v>3</v>
      </c>
      <c r="AG3933">
        <v>2</v>
      </c>
      <c r="AH3933">
        <v>0</v>
      </c>
      <c r="AI3933" t="s">
        <v>7914</v>
      </c>
      <c r="AJ3933">
        <v>40.541482000000002</v>
      </c>
      <c r="AK3933" t="s">
        <v>7915</v>
      </c>
      <c r="AL3933">
        <v>-74.338194999999999</v>
      </c>
      <c r="AM3933">
        <v>100</v>
      </c>
      <c r="AN3933">
        <v>700</v>
      </c>
      <c r="AO3933" t="s">
        <v>115</v>
      </c>
      <c r="AP3933">
        <v>51</v>
      </c>
      <c r="AQ3933">
        <v>99</v>
      </c>
      <c r="AR3933">
        <v>-896</v>
      </c>
      <c r="AZ3933">
        <v>3614</v>
      </c>
      <c r="BA3933">
        <v>1</v>
      </c>
      <c r="BB3933" t="str">
        <f t="shared" si="185"/>
        <v xml:space="preserve">N959MJ  </v>
      </c>
      <c r="BC3933">
        <v>1</v>
      </c>
      <c r="BE3933">
        <v>0</v>
      </c>
      <c r="BF3933">
        <v>0</v>
      </c>
      <c r="BG3933">
        <v>0</v>
      </c>
      <c r="BH3933">
        <v>975</v>
      </c>
      <c r="BI3933">
        <v>275</v>
      </c>
      <c r="BJ3933">
        <v>1</v>
      </c>
      <c r="BK3933">
        <v>1</v>
      </c>
      <c r="BL3933">
        <v>1</v>
      </c>
      <c r="BM3933">
        <v>0</v>
      </c>
      <c r="BP3933">
        <v>0</v>
      </c>
      <c r="BQ3933">
        <v>0</v>
      </c>
      <c r="BX3933" t="str">
        <f>"14:55:58.617"</f>
        <v>14:55:58.617</v>
      </c>
      <c r="BY3933" t="str">
        <f>"616600715"</f>
        <v>616600715</v>
      </c>
      <c r="CL3933">
        <v>3</v>
      </c>
      <c r="CM3933">
        <v>2</v>
      </c>
      <c r="CN3933">
        <v>0</v>
      </c>
      <c r="CO3933">
        <v>2</v>
      </c>
      <c r="CP3933">
        <v>0</v>
      </c>
      <c r="CQ3933">
        <v>6</v>
      </c>
      <c r="CR3933" t="s">
        <v>116</v>
      </c>
      <c r="CS3933">
        <v>305</v>
      </c>
      <c r="CT3933">
        <v>3</v>
      </c>
      <c r="CU3933" t="s">
        <v>6425</v>
      </c>
      <c r="CV3933" t="s">
        <v>6426</v>
      </c>
      <c r="CY3933">
        <v>6693840</v>
      </c>
      <c r="CZ3933" t="s">
        <v>119</v>
      </c>
    </row>
    <row r="3934" spans="1:104" x14ac:dyDescent="0.25">
      <c r="A3934" t="str">
        <f>"14:55:59.672"</f>
        <v>14:55:59.672</v>
      </c>
      <c r="B3934" t="s">
        <v>108</v>
      </c>
      <c r="C3934" t="str">
        <f t="shared" si="184"/>
        <v>ffdfd3c0</v>
      </c>
      <c r="D3934" t="s">
        <v>109</v>
      </c>
      <c r="E3934">
        <v>4</v>
      </c>
      <c r="F3934">
        <v>1004</v>
      </c>
      <c r="G3934" t="s">
        <v>110</v>
      </c>
      <c r="J3934" t="s">
        <v>111</v>
      </c>
      <c r="K3934">
        <v>0</v>
      </c>
      <c r="L3934">
        <v>3</v>
      </c>
      <c r="M3934">
        <v>0</v>
      </c>
      <c r="N3934">
        <v>2</v>
      </c>
      <c r="O3934">
        <v>1</v>
      </c>
      <c r="P3934">
        <v>0</v>
      </c>
      <c r="Q3934">
        <v>0</v>
      </c>
      <c r="R3934" t="s">
        <v>112</v>
      </c>
      <c r="S3934" t="str">
        <f>"14:55:59.484"</f>
        <v>14:55:59.484</v>
      </c>
      <c r="T3934" t="str">
        <f>"14:55:59.086"</f>
        <v>14:55:59.086</v>
      </c>
      <c r="U3934" t="str">
        <f t="shared" si="183"/>
        <v>ad5732</v>
      </c>
      <c r="V3934">
        <v>0</v>
      </c>
      <c r="W3934">
        <v>0</v>
      </c>
      <c r="X3934">
        <v>1</v>
      </c>
      <c r="Z3934">
        <v>0</v>
      </c>
      <c r="AA3934">
        <v>9</v>
      </c>
      <c r="AB3934">
        <v>3</v>
      </c>
      <c r="AC3934">
        <v>0</v>
      </c>
      <c r="AD3934">
        <v>10</v>
      </c>
      <c r="AE3934">
        <v>0</v>
      </c>
      <c r="AF3934">
        <v>3</v>
      </c>
      <c r="AG3934">
        <v>2</v>
      </c>
      <c r="AH3934">
        <v>0</v>
      </c>
      <c r="AI3934" t="s">
        <v>7916</v>
      </c>
      <c r="AJ3934">
        <v>40.541868000000001</v>
      </c>
      <c r="AK3934" t="s">
        <v>7917</v>
      </c>
      <c r="AL3934">
        <v>-74.337937999999994</v>
      </c>
      <c r="AM3934">
        <v>100</v>
      </c>
      <c r="AN3934">
        <v>700</v>
      </c>
      <c r="AO3934" t="s">
        <v>115</v>
      </c>
      <c r="AP3934">
        <v>51</v>
      </c>
      <c r="AQ3934">
        <v>99</v>
      </c>
      <c r="AR3934">
        <v>-1024</v>
      </c>
      <c r="AZ3934">
        <v>3614</v>
      </c>
      <c r="BA3934">
        <v>1</v>
      </c>
      <c r="BB3934" t="str">
        <f t="shared" si="185"/>
        <v xml:space="preserve">N959MJ  </v>
      </c>
      <c r="BC3934">
        <v>1</v>
      </c>
      <c r="BE3934">
        <v>0</v>
      </c>
      <c r="BF3934">
        <v>0</v>
      </c>
      <c r="BG3934">
        <v>0</v>
      </c>
      <c r="BH3934">
        <v>1075</v>
      </c>
      <c r="BI3934">
        <v>375</v>
      </c>
      <c r="BJ3934">
        <v>1</v>
      </c>
      <c r="BK3934">
        <v>1</v>
      </c>
      <c r="BL3934">
        <v>1</v>
      </c>
      <c r="BM3934">
        <v>0</v>
      </c>
      <c r="BP3934">
        <v>0</v>
      </c>
      <c r="BQ3934">
        <v>0</v>
      </c>
      <c r="BX3934" t="str">
        <f>"14:55:59.484"</f>
        <v>14:55:59.484</v>
      </c>
      <c r="BY3934" t="str">
        <f>"485088520"</f>
        <v>485088520</v>
      </c>
      <c r="CL3934">
        <v>3</v>
      </c>
      <c r="CM3934">
        <v>2</v>
      </c>
      <c r="CN3934">
        <v>0</v>
      </c>
      <c r="CO3934">
        <v>2</v>
      </c>
      <c r="CP3934">
        <v>0</v>
      </c>
      <c r="CQ3934">
        <v>4</v>
      </c>
      <c r="CR3934" t="s">
        <v>116</v>
      </c>
      <c r="CS3934">
        <v>83</v>
      </c>
      <c r="CT3934">
        <v>2</v>
      </c>
      <c r="CU3934" t="s">
        <v>7152</v>
      </c>
      <c r="CV3934" t="s">
        <v>7153</v>
      </c>
      <c r="CY3934">
        <v>16410966</v>
      </c>
      <c r="CZ3934" t="s">
        <v>119</v>
      </c>
    </row>
    <row r="3935" spans="1:104" x14ac:dyDescent="0.25">
      <c r="A3935" t="str">
        <f>"14:56:00.680"</f>
        <v>14:56:00.680</v>
      </c>
      <c r="B3935" t="s">
        <v>108</v>
      </c>
      <c r="C3935" t="str">
        <f t="shared" si="184"/>
        <v>ffdfd3c0</v>
      </c>
      <c r="D3935" t="s">
        <v>109</v>
      </c>
      <c r="E3935">
        <v>4</v>
      </c>
      <c r="F3935">
        <v>1004</v>
      </c>
      <c r="G3935" t="s">
        <v>110</v>
      </c>
      <c r="J3935" t="s">
        <v>111</v>
      </c>
      <c r="K3935">
        <v>0</v>
      </c>
      <c r="L3935">
        <v>3</v>
      </c>
      <c r="M3935">
        <v>0</v>
      </c>
      <c r="N3935">
        <v>2</v>
      </c>
      <c r="O3935">
        <v>1</v>
      </c>
      <c r="P3935">
        <v>0</v>
      </c>
      <c r="Q3935">
        <v>0</v>
      </c>
      <c r="R3935" t="s">
        <v>112</v>
      </c>
      <c r="S3935" t="str">
        <f>"14:56:00.484"</f>
        <v>14:56:00.484</v>
      </c>
      <c r="T3935" t="str">
        <f>"14:55:59.984"</f>
        <v>14:55:59.984</v>
      </c>
      <c r="U3935" t="str">
        <f t="shared" si="183"/>
        <v>ad5732</v>
      </c>
      <c r="V3935">
        <v>0</v>
      </c>
      <c r="W3935">
        <v>0</v>
      </c>
      <c r="X3935">
        <v>1</v>
      </c>
      <c r="Z3935">
        <v>0</v>
      </c>
      <c r="AA3935">
        <v>9</v>
      </c>
      <c r="AB3935">
        <v>3</v>
      </c>
      <c r="AC3935">
        <v>0</v>
      </c>
      <c r="AD3935">
        <v>10</v>
      </c>
      <c r="AE3935">
        <v>0</v>
      </c>
      <c r="AF3935">
        <v>3</v>
      </c>
      <c r="AG3935">
        <v>2</v>
      </c>
      <c r="AH3935">
        <v>0</v>
      </c>
      <c r="AI3935" t="s">
        <v>7918</v>
      </c>
      <c r="AJ3935">
        <v>40.542340000000003</v>
      </c>
      <c r="AK3935" t="s">
        <v>7919</v>
      </c>
      <c r="AL3935">
        <v>-74.337615999999997</v>
      </c>
      <c r="AM3935">
        <v>100</v>
      </c>
      <c r="AN3935">
        <v>700</v>
      </c>
      <c r="AO3935" t="s">
        <v>115</v>
      </c>
      <c r="AP3935">
        <v>51</v>
      </c>
      <c r="AQ3935">
        <v>99</v>
      </c>
      <c r="AR3935">
        <v>-1088</v>
      </c>
      <c r="AZ3935">
        <v>3614</v>
      </c>
      <c r="BA3935">
        <v>1</v>
      </c>
      <c r="BB3935" t="str">
        <f t="shared" si="185"/>
        <v xml:space="preserve">N959MJ  </v>
      </c>
      <c r="BC3935">
        <v>1</v>
      </c>
      <c r="BE3935">
        <v>0</v>
      </c>
      <c r="BF3935">
        <v>0</v>
      </c>
      <c r="BG3935">
        <v>0</v>
      </c>
      <c r="BH3935">
        <v>950</v>
      </c>
      <c r="BI3935">
        <v>250</v>
      </c>
      <c r="BJ3935">
        <v>1</v>
      </c>
      <c r="BK3935">
        <v>1</v>
      </c>
      <c r="BL3935">
        <v>1</v>
      </c>
      <c r="BM3935">
        <v>0</v>
      </c>
      <c r="BP3935">
        <v>0</v>
      </c>
      <c r="BQ3935">
        <v>0</v>
      </c>
      <c r="BX3935" t="str">
        <f>"14:56:00.492"</f>
        <v>14:56:00.492</v>
      </c>
      <c r="BY3935" t="str">
        <f>"490963409"</f>
        <v>490963409</v>
      </c>
      <c r="CL3935">
        <v>3</v>
      </c>
      <c r="CM3935">
        <v>2</v>
      </c>
      <c r="CN3935">
        <v>0</v>
      </c>
      <c r="CO3935">
        <v>2</v>
      </c>
      <c r="CP3935">
        <v>0</v>
      </c>
      <c r="CQ3935">
        <v>6</v>
      </c>
      <c r="CR3935" t="s">
        <v>116</v>
      </c>
      <c r="CS3935">
        <v>305</v>
      </c>
      <c r="CT3935">
        <v>3</v>
      </c>
      <c r="CU3935" t="s">
        <v>6425</v>
      </c>
      <c r="CV3935" t="s">
        <v>6426</v>
      </c>
      <c r="CY3935">
        <v>6697547</v>
      </c>
      <c r="CZ3935" t="s">
        <v>119</v>
      </c>
    </row>
    <row r="3936" spans="1:104" x14ac:dyDescent="0.25">
      <c r="A3936" t="str">
        <f>"14:56:01.641"</f>
        <v>14:56:01.641</v>
      </c>
      <c r="B3936" t="s">
        <v>108</v>
      </c>
      <c r="C3936" t="str">
        <f t="shared" si="184"/>
        <v>ffdfd3c0</v>
      </c>
      <c r="D3936" t="s">
        <v>109</v>
      </c>
      <c r="E3936">
        <v>4</v>
      </c>
      <c r="F3936">
        <v>1004</v>
      </c>
      <c r="G3936" t="s">
        <v>110</v>
      </c>
      <c r="J3936" t="s">
        <v>111</v>
      </c>
      <c r="K3936">
        <v>0</v>
      </c>
      <c r="L3936">
        <v>3</v>
      </c>
      <c r="M3936">
        <v>0</v>
      </c>
      <c r="N3936">
        <v>2</v>
      </c>
      <c r="O3936">
        <v>1</v>
      </c>
      <c r="P3936">
        <v>0</v>
      </c>
      <c r="Q3936">
        <v>0</v>
      </c>
      <c r="R3936" t="s">
        <v>112</v>
      </c>
      <c r="S3936" t="str">
        <f>"14:56:01.469"</f>
        <v>14:56:01.469</v>
      </c>
      <c r="T3936" t="str">
        <f>"14:56:01.070"</f>
        <v>14:56:01.070</v>
      </c>
      <c r="U3936" t="str">
        <f t="shared" si="183"/>
        <v>ad5732</v>
      </c>
      <c r="V3936">
        <v>0</v>
      </c>
      <c r="W3936">
        <v>0</v>
      </c>
      <c r="X3936">
        <v>1</v>
      </c>
      <c r="Z3936">
        <v>0</v>
      </c>
      <c r="AA3936">
        <v>9</v>
      </c>
      <c r="AB3936">
        <v>3</v>
      </c>
      <c r="AC3936">
        <v>0</v>
      </c>
      <c r="AD3936">
        <v>10</v>
      </c>
      <c r="AE3936">
        <v>0</v>
      </c>
      <c r="AF3936">
        <v>3</v>
      </c>
      <c r="AG3936">
        <v>2</v>
      </c>
      <c r="AH3936">
        <v>0</v>
      </c>
      <c r="AI3936" t="s">
        <v>7920</v>
      </c>
      <c r="AJ3936">
        <v>40.542811999999998</v>
      </c>
      <c r="AK3936" t="s">
        <v>7921</v>
      </c>
      <c r="AL3936">
        <v>-74.337294</v>
      </c>
      <c r="AM3936">
        <v>100</v>
      </c>
      <c r="AN3936">
        <v>700</v>
      </c>
      <c r="AO3936" t="s">
        <v>115</v>
      </c>
      <c r="AP3936">
        <v>51</v>
      </c>
      <c r="AQ3936">
        <v>100</v>
      </c>
      <c r="AR3936">
        <v>-1216</v>
      </c>
      <c r="AZ3936">
        <v>3614</v>
      </c>
      <c r="BA3936">
        <v>1</v>
      </c>
      <c r="BB3936" t="str">
        <f t="shared" si="185"/>
        <v xml:space="preserve">N959MJ  </v>
      </c>
      <c r="BC3936">
        <v>1</v>
      </c>
      <c r="BE3936">
        <v>0</v>
      </c>
      <c r="BF3936">
        <v>0</v>
      </c>
      <c r="BG3936">
        <v>0</v>
      </c>
      <c r="BH3936">
        <v>925</v>
      </c>
      <c r="BI3936">
        <v>225</v>
      </c>
      <c r="BJ3936">
        <v>1</v>
      </c>
      <c r="BK3936">
        <v>1</v>
      </c>
      <c r="BL3936">
        <v>1</v>
      </c>
      <c r="BM3936">
        <v>0</v>
      </c>
      <c r="BP3936">
        <v>0</v>
      </c>
      <c r="BQ3936">
        <v>0</v>
      </c>
      <c r="BX3936" t="str">
        <f>"14:56:01.469"</f>
        <v>14:56:01.469</v>
      </c>
      <c r="BY3936" t="str">
        <f>"469105318"</f>
        <v>469105318</v>
      </c>
      <c r="CL3936">
        <v>3</v>
      </c>
      <c r="CM3936">
        <v>2</v>
      </c>
      <c r="CN3936">
        <v>0</v>
      </c>
      <c r="CO3936">
        <v>2</v>
      </c>
      <c r="CP3936">
        <v>0</v>
      </c>
      <c r="CQ3936">
        <v>6</v>
      </c>
      <c r="CR3936" t="s">
        <v>116</v>
      </c>
      <c r="CS3936">
        <v>305</v>
      </c>
      <c r="CT3936">
        <v>3</v>
      </c>
      <c r="CU3936" t="s">
        <v>6425</v>
      </c>
      <c r="CV3936" t="s">
        <v>6426</v>
      </c>
      <c r="CY3936">
        <v>6699516</v>
      </c>
      <c r="CZ3936" t="s">
        <v>119</v>
      </c>
    </row>
    <row r="3937" spans="1:104" x14ac:dyDescent="0.25">
      <c r="A3937" t="str">
        <f>"14:56:02.547"</f>
        <v>14:56:02.547</v>
      </c>
      <c r="B3937" t="s">
        <v>108</v>
      </c>
      <c r="C3937" t="str">
        <f t="shared" si="184"/>
        <v>ffdfd3c0</v>
      </c>
      <c r="D3937" t="s">
        <v>109</v>
      </c>
      <c r="E3937">
        <v>4</v>
      </c>
      <c r="F3937">
        <v>1004</v>
      </c>
      <c r="G3937" t="s">
        <v>110</v>
      </c>
      <c r="J3937" t="s">
        <v>111</v>
      </c>
      <c r="K3937">
        <v>0</v>
      </c>
      <c r="L3937">
        <v>3</v>
      </c>
      <c r="M3937">
        <v>0</v>
      </c>
      <c r="N3937">
        <v>2</v>
      </c>
      <c r="O3937">
        <v>1</v>
      </c>
      <c r="P3937">
        <v>0</v>
      </c>
      <c r="Q3937">
        <v>0</v>
      </c>
      <c r="R3937" t="s">
        <v>112</v>
      </c>
      <c r="S3937" t="str">
        <f>"14:56:02.398"</f>
        <v>14:56:02.398</v>
      </c>
      <c r="T3937" t="str">
        <f>"14:56:02.000"</f>
        <v>14:56:02.000</v>
      </c>
      <c r="U3937" t="str">
        <f t="shared" si="183"/>
        <v>ad5732</v>
      </c>
      <c r="V3937">
        <v>0</v>
      </c>
      <c r="W3937">
        <v>0</v>
      </c>
      <c r="X3937">
        <v>1</v>
      </c>
      <c r="Z3937">
        <v>0</v>
      </c>
      <c r="AA3937">
        <v>9</v>
      </c>
      <c r="AB3937">
        <v>3</v>
      </c>
      <c r="AC3937">
        <v>0</v>
      </c>
      <c r="AD3937">
        <v>10</v>
      </c>
      <c r="AE3937">
        <v>0</v>
      </c>
      <c r="AF3937">
        <v>3</v>
      </c>
      <c r="AG3937">
        <v>2</v>
      </c>
      <c r="AH3937">
        <v>0</v>
      </c>
      <c r="AI3937" t="s">
        <v>7922</v>
      </c>
      <c r="AJ3937">
        <v>40.543263000000003</v>
      </c>
      <c r="AK3937" t="s">
        <v>7923</v>
      </c>
      <c r="AL3937">
        <v>-74.337036999999995</v>
      </c>
      <c r="AM3937">
        <v>100</v>
      </c>
      <c r="AN3937">
        <v>700</v>
      </c>
      <c r="AO3937" t="s">
        <v>115</v>
      </c>
      <c r="AP3937">
        <v>52</v>
      </c>
      <c r="AQ3937">
        <v>100</v>
      </c>
      <c r="AR3937">
        <v>-1152</v>
      </c>
      <c r="AZ3937">
        <v>3614</v>
      </c>
      <c r="BA3937">
        <v>1</v>
      </c>
      <c r="BB3937" t="str">
        <f t="shared" si="185"/>
        <v xml:space="preserve">N959MJ  </v>
      </c>
      <c r="BC3937">
        <v>1</v>
      </c>
      <c r="BE3937">
        <v>0</v>
      </c>
      <c r="BF3937">
        <v>0</v>
      </c>
      <c r="BG3937">
        <v>0</v>
      </c>
      <c r="BH3937">
        <v>925</v>
      </c>
      <c r="BI3937">
        <v>225</v>
      </c>
      <c r="BJ3937">
        <v>1</v>
      </c>
      <c r="BK3937">
        <v>1</v>
      </c>
      <c r="BL3937">
        <v>1</v>
      </c>
      <c r="BM3937">
        <v>0</v>
      </c>
      <c r="BP3937">
        <v>0</v>
      </c>
      <c r="BQ3937">
        <v>0</v>
      </c>
      <c r="BX3937" t="str">
        <f>"14:56:02.406"</f>
        <v>14:56:02.406</v>
      </c>
      <c r="BY3937" t="str">
        <f>"403009764"</f>
        <v>403009764</v>
      </c>
      <c r="CL3937">
        <v>3</v>
      </c>
      <c r="CM3937">
        <v>2</v>
      </c>
      <c r="CN3937">
        <v>0</v>
      </c>
      <c r="CO3937">
        <v>2</v>
      </c>
      <c r="CP3937">
        <v>0</v>
      </c>
      <c r="CQ3937">
        <v>7</v>
      </c>
      <c r="CR3937" t="s">
        <v>116</v>
      </c>
      <c r="CS3937">
        <v>305</v>
      </c>
      <c r="CT3937">
        <v>3</v>
      </c>
      <c r="CU3937" t="s">
        <v>6425</v>
      </c>
      <c r="CV3937" t="s">
        <v>6426</v>
      </c>
      <c r="CY3937">
        <v>6701590</v>
      </c>
      <c r="CZ3937" t="s">
        <v>119</v>
      </c>
    </row>
    <row r="3938" spans="1:104" x14ac:dyDescent="0.25">
      <c r="A3938" t="str">
        <f>"14:56:03.461"</f>
        <v>14:56:03.461</v>
      </c>
      <c r="B3938" t="s">
        <v>108</v>
      </c>
      <c r="C3938" t="str">
        <f t="shared" si="184"/>
        <v>ffdfd3c0</v>
      </c>
      <c r="D3938" t="s">
        <v>109</v>
      </c>
      <c r="E3938">
        <v>4</v>
      </c>
      <c r="F3938">
        <v>1004</v>
      </c>
      <c r="G3938" t="s">
        <v>110</v>
      </c>
      <c r="J3938" t="s">
        <v>111</v>
      </c>
      <c r="K3938">
        <v>0</v>
      </c>
      <c r="L3938">
        <v>3</v>
      </c>
      <c r="M3938">
        <v>0</v>
      </c>
      <c r="N3938">
        <v>2</v>
      </c>
      <c r="O3938">
        <v>1</v>
      </c>
      <c r="P3938">
        <v>0</v>
      </c>
      <c r="Q3938">
        <v>0</v>
      </c>
      <c r="R3938" t="s">
        <v>112</v>
      </c>
      <c r="S3938" t="str">
        <f>"14:56:03.266"</f>
        <v>14:56:03.266</v>
      </c>
      <c r="T3938" t="str">
        <f>"14:56:02.867"</f>
        <v>14:56:02.867</v>
      </c>
      <c r="U3938" t="str">
        <f t="shared" si="183"/>
        <v>ad5732</v>
      </c>
      <c r="V3938">
        <v>0</v>
      </c>
      <c r="W3938">
        <v>0</v>
      </c>
      <c r="X3938">
        <v>1</v>
      </c>
      <c r="Z3938">
        <v>0</v>
      </c>
      <c r="AA3938">
        <v>9</v>
      </c>
      <c r="AB3938">
        <v>3</v>
      </c>
      <c r="AC3938">
        <v>0</v>
      </c>
      <c r="AD3938">
        <v>10</v>
      </c>
      <c r="AE3938">
        <v>0</v>
      </c>
      <c r="AF3938">
        <v>3</v>
      </c>
      <c r="AG3938">
        <v>2</v>
      </c>
      <c r="AH3938">
        <v>0</v>
      </c>
      <c r="AI3938" t="s">
        <v>7924</v>
      </c>
      <c r="AJ3938">
        <v>40.543649000000002</v>
      </c>
      <c r="AK3938" t="s">
        <v>7925</v>
      </c>
      <c r="AL3938">
        <v>-74.336736000000002</v>
      </c>
      <c r="AM3938">
        <v>100</v>
      </c>
      <c r="AN3938">
        <v>700</v>
      </c>
      <c r="AO3938" t="s">
        <v>115</v>
      </c>
      <c r="AP3938">
        <v>52</v>
      </c>
      <c r="AQ3938">
        <v>101</v>
      </c>
      <c r="AR3938">
        <v>-1152</v>
      </c>
      <c r="AZ3938">
        <v>3614</v>
      </c>
      <c r="BA3938">
        <v>1</v>
      </c>
      <c r="BB3938" t="str">
        <f t="shared" si="185"/>
        <v xml:space="preserve">N959MJ  </v>
      </c>
      <c r="BC3938">
        <v>1</v>
      </c>
      <c r="BE3938">
        <v>0</v>
      </c>
      <c r="BF3938">
        <v>0</v>
      </c>
      <c r="BG3938">
        <v>0</v>
      </c>
      <c r="BH3938">
        <v>900</v>
      </c>
      <c r="BI3938">
        <v>200</v>
      </c>
      <c r="BJ3938">
        <v>1</v>
      </c>
      <c r="BK3938">
        <v>1</v>
      </c>
      <c r="BL3938">
        <v>1</v>
      </c>
      <c r="BM3938">
        <v>0</v>
      </c>
      <c r="BP3938">
        <v>0</v>
      </c>
      <c r="BQ3938">
        <v>0</v>
      </c>
      <c r="BX3938" t="str">
        <f>"14:56:03.273"</f>
        <v>14:56:03.273</v>
      </c>
      <c r="BY3938" t="str">
        <f>"273138635"</f>
        <v>273138635</v>
      </c>
      <c r="CL3938">
        <v>3</v>
      </c>
      <c r="CM3938">
        <v>2</v>
      </c>
      <c r="CN3938">
        <v>0</v>
      </c>
      <c r="CO3938">
        <v>2</v>
      </c>
      <c r="CP3938">
        <v>0</v>
      </c>
      <c r="CQ3938">
        <v>6</v>
      </c>
      <c r="CR3938" t="s">
        <v>116</v>
      </c>
      <c r="CS3938">
        <v>409</v>
      </c>
      <c r="CT3938">
        <v>1</v>
      </c>
      <c r="CU3938" t="s">
        <v>5087</v>
      </c>
      <c r="CV3938" t="s">
        <v>5088</v>
      </c>
      <c r="CY3938">
        <v>5231324</v>
      </c>
      <c r="CZ3938" t="s">
        <v>119</v>
      </c>
    </row>
    <row r="3939" spans="1:104" x14ac:dyDescent="0.25">
      <c r="A3939" t="str">
        <f>"14:56:04.773"</f>
        <v>14:56:04.773</v>
      </c>
      <c r="B3939" t="s">
        <v>108</v>
      </c>
      <c r="C3939" t="str">
        <f t="shared" si="184"/>
        <v>ffdfd3c0</v>
      </c>
      <c r="D3939" t="s">
        <v>109</v>
      </c>
      <c r="E3939">
        <v>4</v>
      </c>
      <c r="F3939">
        <v>1004</v>
      </c>
      <c r="G3939" t="s">
        <v>110</v>
      </c>
      <c r="J3939" t="s">
        <v>111</v>
      </c>
      <c r="K3939">
        <v>0</v>
      </c>
      <c r="L3939">
        <v>3</v>
      </c>
      <c r="M3939">
        <v>0</v>
      </c>
      <c r="N3939">
        <v>2</v>
      </c>
      <c r="O3939">
        <v>1</v>
      </c>
      <c r="P3939">
        <v>0</v>
      </c>
      <c r="Q3939">
        <v>0</v>
      </c>
      <c r="R3939" t="s">
        <v>112</v>
      </c>
      <c r="S3939" t="str">
        <f>"14:56:04.570"</f>
        <v>14:56:04.570</v>
      </c>
      <c r="T3939" t="str">
        <f>"14:56:04.172"</f>
        <v>14:56:04.172</v>
      </c>
      <c r="U3939" t="str">
        <f t="shared" si="183"/>
        <v>ad5732</v>
      </c>
      <c r="V3939">
        <v>0</v>
      </c>
      <c r="W3939">
        <v>0</v>
      </c>
      <c r="X3939">
        <v>1</v>
      </c>
      <c r="Z3939">
        <v>0</v>
      </c>
      <c r="AA3939">
        <v>9</v>
      </c>
      <c r="AB3939">
        <v>3</v>
      </c>
      <c r="AC3939">
        <v>0</v>
      </c>
      <c r="AD3939">
        <v>10</v>
      </c>
      <c r="AE3939">
        <v>0</v>
      </c>
      <c r="AF3939">
        <v>3</v>
      </c>
      <c r="AG3939">
        <v>2</v>
      </c>
      <c r="AH3939">
        <v>0</v>
      </c>
      <c r="AI3939" t="s">
        <v>7926</v>
      </c>
      <c r="AJ3939">
        <v>40.544271000000002</v>
      </c>
      <c r="AK3939" t="s">
        <v>7927</v>
      </c>
      <c r="AL3939">
        <v>-74.336371</v>
      </c>
      <c r="AM3939">
        <v>100</v>
      </c>
      <c r="AN3939">
        <v>600</v>
      </c>
      <c r="AO3939" t="s">
        <v>115</v>
      </c>
      <c r="AP3939">
        <v>51</v>
      </c>
      <c r="AQ3939">
        <v>102</v>
      </c>
      <c r="AR3939">
        <v>-1088</v>
      </c>
      <c r="AZ3939">
        <v>3614</v>
      </c>
      <c r="BA3939">
        <v>1</v>
      </c>
      <c r="BB3939" t="str">
        <f t="shared" si="185"/>
        <v xml:space="preserve">N959MJ  </v>
      </c>
      <c r="BC3939">
        <v>1</v>
      </c>
      <c r="BE3939">
        <v>0</v>
      </c>
      <c r="BF3939">
        <v>0</v>
      </c>
      <c r="BG3939">
        <v>0</v>
      </c>
      <c r="BH3939">
        <v>875</v>
      </c>
      <c r="BI3939">
        <v>275</v>
      </c>
      <c r="BJ3939">
        <v>1</v>
      </c>
      <c r="BK3939">
        <v>1</v>
      </c>
      <c r="BL3939">
        <v>1</v>
      </c>
      <c r="BM3939">
        <v>0</v>
      </c>
      <c r="BP3939">
        <v>0</v>
      </c>
      <c r="BQ3939">
        <v>0</v>
      </c>
      <c r="BX3939" t="str">
        <f>"14:56:04.570"</f>
        <v>14:56:04.570</v>
      </c>
      <c r="BY3939" t="str">
        <f>"570651114"</f>
        <v>570651114</v>
      </c>
      <c r="CL3939">
        <v>3</v>
      </c>
      <c r="CM3939">
        <v>2</v>
      </c>
      <c r="CN3939">
        <v>0</v>
      </c>
      <c r="CO3939">
        <v>2</v>
      </c>
      <c r="CP3939">
        <v>0</v>
      </c>
      <c r="CQ3939">
        <v>6</v>
      </c>
      <c r="CR3939" t="s">
        <v>116</v>
      </c>
      <c r="CS3939">
        <v>305</v>
      </c>
      <c r="CT3939">
        <v>3</v>
      </c>
      <c r="CU3939" t="s">
        <v>6425</v>
      </c>
      <c r="CV3939" t="s">
        <v>6426</v>
      </c>
      <c r="CY3939">
        <v>6706001</v>
      </c>
      <c r="CZ3939" t="s">
        <v>119</v>
      </c>
    </row>
    <row r="3940" spans="1:104" x14ac:dyDescent="0.25">
      <c r="A3940" t="str">
        <f>"14:56:05.781"</f>
        <v>14:56:05.781</v>
      </c>
      <c r="B3940" t="s">
        <v>108</v>
      </c>
      <c r="C3940" t="str">
        <f t="shared" si="184"/>
        <v>ffdfd3c0</v>
      </c>
      <c r="D3940" t="s">
        <v>109</v>
      </c>
      <c r="E3940">
        <v>4</v>
      </c>
      <c r="F3940">
        <v>1004</v>
      </c>
      <c r="G3940" t="s">
        <v>110</v>
      </c>
      <c r="J3940" t="s">
        <v>111</v>
      </c>
      <c r="K3940">
        <v>0</v>
      </c>
      <c r="L3940">
        <v>3</v>
      </c>
      <c r="M3940">
        <v>0</v>
      </c>
      <c r="N3940">
        <v>2</v>
      </c>
      <c r="O3940">
        <v>1</v>
      </c>
      <c r="P3940">
        <v>0</v>
      </c>
      <c r="Q3940">
        <v>0</v>
      </c>
      <c r="R3940" t="s">
        <v>112</v>
      </c>
      <c r="S3940" t="str">
        <f>"14:56:05.563"</f>
        <v>14:56:05.563</v>
      </c>
      <c r="T3940" t="str">
        <f>"14:56:05.164"</f>
        <v>14:56:05.164</v>
      </c>
      <c r="U3940" t="str">
        <f t="shared" si="183"/>
        <v>ad5732</v>
      </c>
      <c r="V3940">
        <v>0</v>
      </c>
      <c r="W3940">
        <v>0</v>
      </c>
      <c r="X3940">
        <v>1</v>
      </c>
      <c r="Z3940">
        <v>0</v>
      </c>
      <c r="AA3940">
        <v>9</v>
      </c>
      <c r="AB3940">
        <v>3</v>
      </c>
      <c r="AC3940">
        <v>0</v>
      </c>
      <c r="AD3940">
        <v>10</v>
      </c>
      <c r="AE3940">
        <v>0</v>
      </c>
      <c r="AF3940">
        <v>3</v>
      </c>
      <c r="AG3940">
        <v>2</v>
      </c>
      <c r="AH3940">
        <v>0</v>
      </c>
      <c r="AI3940" t="s">
        <v>7928</v>
      </c>
      <c r="AJ3940">
        <v>40.544764999999998</v>
      </c>
      <c r="AK3940" t="s">
        <v>7929</v>
      </c>
      <c r="AL3940">
        <v>-74.33605</v>
      </c>
      <c r="AM3940">
        <v>100</v>
      </c>
      <c r="AN3940">
        <v>600</v>
      </c>
      <c r="AO3940" t="s">
        <v>115</v>
      </c>
      <c r="AP3940">
        <v>50</v>
      </c>
      <c r="AQ3940">
        <v>103</v>
      </c>
      <c r="AR3940">
        <v>-1088</v>
      </c>
      <c r="AZ3940">
        <v>3614</v>
      </c>
      <c r="BA3940">
        <v>1</v>
      </c>
      <c r="BB3940" t="str">
        <f t="shared" si="185"/>
        <v xml:space="preserve">N959MJ  </v>
      </c>
      <c r="BC3940">
        <v>1</v>
      </c>
      <c r="BE3940">
        <v>0</v>
      </c>
      <c r="BF3940">
        <v>0</v>
      </c>
      <c r="BG3940">
        <v>0</v>
      </c>
      <c r="BH3940">
        <v>850</v>
      </c>
      <c r="BI3940">
        <v>250</v>
      </c>
      <c r="BJ3940">
        <v>1</v>
      </c>
      <c r="BK3940">
        <v>1</v>
      </c>
      <c r="BL3940">
        <v>1</v>
      </c>
      <c r="BM3940">
        <v>0</v>
      </c>
      <c r="BP3940">
        <v>0</v>
      </c>
      <c r="BQ3940">
        <v>0</v>
      </c>
      <c r="BX3940" t="str">
        <f>"14:56:05.563"</f>
        <v>14:56:05.563</v>
      </c>
      <c r="BY3940" t="str">
        <f>"565177430"</f>
        <v>565177430</v>
      </c>
      <c r="CL3940">
        <v>3</v>
      </c>
      <c r="CM3940">
        <v>2</v>
      </c>
      <c r="CN3940">
        <v>0</v>
      </c>
      <c r="CO3940">
        <v>2</v>
      </c>
      <c r="CP3940">
        <v>0</v>
      </c>
      <c r="CQ3940">
        <v>7</v>
      </c>
      <c r="CR3940" t="s">
        <v>116</v>
      </c>
      <c r="CS3940">
        <v>305</v>
      </c>
      <c r="CT3940">
        <v>3</v>
      </c>
      <c r="CU3940" t="s">
        <v>6425</v>
      </c>
      <c r="CV3940" t="s">
        <v>6426</v>
      </c>
      <c r="CY3940">
        <v>6708022</v>
      </c>
      <c r="CZ3940" t="s">
        <v>119</v>
      </c>
    </row>
    <row r="3941" spans="1:104" x14ac:dyDescent="0.25">
      <c r="A3941" t="str">
        <f>"14:56:07.297"</f>
        <v>14:56:07.297</v>
      </c>
      <c r="B3941" t="s">
        <v>108</v>
      </c>
      <c r="C3941" t="str">
        <f t="shared" si="184"/>
        <v>ffdfd3c0</v>
      </c>
      <c r="D3941" t="s">
        <v>109</v>
      </c>
      <c r="E3941">
        <v>4</v>
      </c>
      <c r="F3941">
        <v>1004</v>
      </c>
      <c r="G3941" t="s">
        <v>110</v>
      </c>
      <c r="J3941" t="s">
        <v>111</v>
      </c>
      <c r="K3941">
        <v>0</v>
      </c>
      <c r="L3941">
        <v>3</v>
      </c>
      <c r="M3941">
        <v>0</v>
      </c>
      <c r="N3941">
        <v>2</v>
      </c>
      <c r="O3941">
        <v>1</v>
      </c>
      <c r="P3941">
        <v>0</v>
      </c>
      <c r="Q3941">
        <v>0</v>
      </c>
      <c r="R3941" t="s">
        <v>112</v>
      </c>
      <c r="S3941" t="str">
        <f>"14:56:07.063"</f>
        <v>14:56:07.063</v>
      </c>
      <c r="T3941" t="str">
        <f>"14:56:06.664"</f>
        <v>14:56:06.664</v>
      </c>
      <c r="U3941" t="str">
        <f t="shared" si="183"/>
        <v>ad5732</v>
      </c>
      <c r="V3941">
        <v>0</v>
      </c>
      <c r="W3941">
        <v>0</v>
      </c>
      <c r="X3941">
        <v>1</v>
      </c>
      <c r="Z3941">
        <v>0</v>
      </c>
      <c r="AA3941">
        <v>9</v>
      </c>
      <c r="AB3941">
        <v>3</v>
      </c>
      <c r="AC3941">
        <v>0</v>
      </c>
      <c r="AD3941">
        <v>10</v>
      </c>
      <c r="AE3941">
        <v>0</v>
      </c>
      <c r="AF3941">
        <v>3</v>
      </c>
      <c r="AG3941">
        <v>2</v>
      </c>
      <c r="AH3941">
        <v>0</v>
      </c>
      <c r="AI3941" t="s">
        <v>7930</v>
      </c>
      <c r="AJ3941">
        <v>40.545473000000001</v>
      </c>
      <c r="AK3941" t="s">
        <v>7931</v>
      </c>
      <c r="AL3941">
        <v>-74.335555999999997</v>
      </c>
      <c r="AM3941">
        <v>100</v>
      </c>
      <c r="AN3941">
        <v>600</v>
      </c>
      <c r="AO3941" t="s">
        <v>115</v>
      </c>
      <c r="AP3941">
        <v>50</v>
      </c>
      <c r="AQ3941">
        <v>104</v>
      </c>
      <c r="AR3941">
        <v>-1024</v>
      </c>
      <c r="AZ3941">
        <v>3614</v>
      </c>
      <c r="BA3941">
        <v>1</v>
      </c>
      <c r="BB3941" t="str">
        <f t="shared" si="185"/>
        <v xml:space="preserve">N959MJ  </v>
      </c>
      <c r="BC3941">
        <v>1</v>
      </c>
      <c r="BE3941">
        <v>0</v>
      </c>
      <c r="BF3941">
        <v>0</v>
      </c>
      <c r="BG3941">
        <v>0</v>
      </c>
      <c r="BH3941">
        <v>825</v>
      </c>
      <c r="BI3941">
        <v>225</v>
      </c>
      <c r="BJ3941">
        <v>1</v>
      </c>
      <c r="BK3941">
        <v>1</v>
      </c>
      <c r="BL3941">
        <v>1</v>
      </c>
      <c r="BM3941">
        <v>0</v>
      </c>
      <c r="BP3941">
        <v>0</v>
      </c>
      <c r="BQ3941">
        <v>0</v>
      </c>
      <c r="BX3941" t="str">
        <f>"14:56:07.063"</f>
        <v>14:56:07.063</v>
      </c>
      <c r="BY3941" t="str">
        <f>"064339834"</f>
        <v>064339834</v>
      </c>
      <c r="CL3941">
        <v>3</v>
      </c>
      <c r="CM3941">
        <v>2</v>
      </c>
      <c r="CN3941">
        <v>0</v>
      </c>
      <c r="CO3941">
        <v>2</v>
      </c>
      <c r="CP3941">
        <v>0</v>
      </c>
      <c r="CQ3941">
        <v>7</v>
      </c>
      <c r="CR3941" t="s">
        <v>116</v>
      </c>
      <c r="CS3941">
        <v>305</v>
      </c>
      <c r="CT3941">
        <v>3</v>
      </c>
      <c r="CU3941" t="s">
        <v>6425</v>
      </c>
      <c r="CV3941" t="s">
        <v>6426</v>
      </c>
      <c r="CY3941">
        <v>6711260</v>
      </c>
      <c r="CZ3941" t="s">
        <v>119</v>
      </c>
    </row>
    <row r="3942" spans="1:104" x14ac:dyDescent="0.25">
      <c r="A3942" t="str">
        <f>"14:56:08.203"</f>
        <v>14:56:08.203</v>
      </c>
      <c r="B3942" t="s">
        <v>108</v>
      </c>
      <c r="C3942" t="str">
        <f t="shared" si="184"/>
        <v>ffdfd3c0</v>
      </c>
      <c r="D3942" t="s">
        <v>109</v>
      </c>
      <c r="E3942">
        <v>4</v>
      </c>
      <c r="F3942">
        <v>1004</v>
      </c>
      <c r="G3942" t="s">
        <v>110</v>
      </c>
      <c r="J3942" t="s">
        <v>111</v>
      </c>
      <c r="K3942">
        <v>0</v>
      </c>
      <c r="L3942">
        <v>3</v>
      </c>
      <c r="M3942">
        <v>0</v>
      </c>
      <c r="N3942">
        <v>2</v>
      </c>
      <c r="O3942">
        <v>1</v>
      </c>
      <c r="P3942">
        <v>0</v>
      </c>
      <c r="Q3942">
        <v>0</v>
      </c>
      <c r="R3942" t="s">
        <v>112</v>
      </c>
      <c r="S3942" t="str">
        <f>"14:56:08.023"</f>
        <v>14:56:08.023</v>
      </c>
      <c r="T3942" t="str">
        <f>"14:56:07.625"</f>
        <v>14:56:07.625</v>
      </c>
      <c r="U3942" t="str">
        <f t="shared" si="183"/>
        <v>ad5732</v>
      </c>
      <c r="V3942">
        <v>0</v>
      </c>
      <c r="W3942">
        <v>0</v>
      </c>
      <c r="X3942">
        <v>1</v>
      </c>
      <c r="Z3942">
        <v>0</v>
      </c>
      <c r="AA3942">
        <v>9</v>
      </c>
      <c r="AB3942">
        <v>3</v>
      </c>
      <c r="AC3942">
        <v>0</v>
      </c>
      <c r="AD3942">
        <v>10</v>
      </c>
      <c r="AE3942">
        <v>0</v>
      </c>
      <c r="AF3942">
        <v>3</v>
      </c>
      <c r="AG3942">
        <v>2</v>
      </c>
      <c r="AH3942">
        <v>0</v>
      </c>
      <c r="AI3942" t="s">
        <v>7932</v>
      </c>
      <c r="AJ3942">
        <v>40.545923999999999</v>
      </c>
      <c r="AK3942" t="s">
        <v>7933</v>
      </c>
      <c r="AL3942">
        <v>-74.335319999999996</v>
      </c>
      <c r="AM3942">
        <v>100</v>
      </c>
      <c r="AN3942">
        <v>600</v>
      </c>
      <c r="AO3942" t="s">
        <v>115</v>
      </c>
      <c r="AP3942">
        <v>49</v>
      </c>
      <c r="AQ3942">
        <v>105</v>
      </c>
      <c r="AR3942">
        <v>-960</v>
      </c>
      <c r="AZ3942">
        <v>3614</v>
      </c>
      <c r="BA3942">
        <v>1</v>
      </c>
      <c r="BB3942" t="str">
        <f t="shared" si="185"/>
        <v xml:space="preserve">N959MJ  </v>
      </c>
      <c r="BC3942">
        <v>1</v>
      </c>
      <c r="BE3942">
        <v>0</v>
      </c>
      <c r="BF3942">
        <v>0</v>
      </c>
      <c r="BG3942">
        <v>0</v>
      </c>
      <c r="BH3942">
        <v>800</v>
      </c>
      <c r="BI3942">
        <v>200</v>
      </c>
      <c r="BJ3942">
        <v>1</v>
      </c>
      <c r="BK3942">
        <v>1</v>
      </c>
      <c r="BL3942">
        <v>1</v>
      </c>
      <c r="BM3942">
        <v>0</v>
      </c>
      <c r="BP3942">
        <v>0</v>
      </c>
      <c r="BQ3942">
        <v>0</v>
      </c>
      <c r="BX3942" t="str">
        <f>"14:56:08.023"</f>
        <v>14:56:08.023</v>
      </c>
      <c r="BY3942" t="str">
        <f>"024459143"</f>
        <v>024459143</v>
      </c>
      <c r="CL3942">
        <v>3</v>
      </c>
      <c r="CM3942">
        <v>2</v>
      </c>
      <c r="CN3942">
        <v>0</v>
      </c>
      <c r="CO3942">
        <v>2</v>
      </c>
      <c r="CP3942">
        <v>0</v>
      </c>
      <c r="CQ3942">
        <v>7</v>
      </c>
      <c r="CR3942" t="s">
        <v>116</v>
      </c>
      <c r="CS3942">
        <v>305</v>
      </c>
      <c r="CT3942">
        <v>3</v>
      </c>
      <c r="CU3942" t="s">
        <v>6425</v>
      </c>
      <c r="CV3942" t="s">
        <v>6426</v>
      </c>
      <c r="CY3942">
        <v>6713307</v>
      </c>
      <c r="CZ3942" t="s">
        <v>119</v>
      </c>
    </row>
    <row r="3943" spans="1:104" x14ac:dyDescent="0.25">
      <c r="A3943" t="str">
        <f>"14:56:09.219"</f>
        <v>14:56:09.219</v>
      </c>
      <c r="B3943" t="s">
        <v>108</v>
      </c>
      <c r="C3943" t="str">
        <f t="shared" si="184"/>
        <v>ffdfd3c0</v>
      </c>
      <c r="D3943" t="s">
        <v>109</v>
      </c>
      <c r="E3943">
        <v>4</v>
      </c>
      <c r="F3943">
        <v>1004</v>
      </c>
      <c r="G3943" t="s">
        <v>110</v>
      </c>
      <c r="J3943" t="s">
        <v>111</v>
      </c>
      <c r="K3943">
        <v>0</v>
      </c>
      <c r="L3943">
        <v>3</v>
      </c>
      <c r="M3943">
        <v>0</v>
      </c>
      <c r="N3943">
        <v>2</v>
      </c>
      <c r="O3943">
        <v>1</v>
      </c>
      <c r="P3943">
        <v>0</v>
      </c>
      <c r="Q3943">
        <v>0</v>
      </c>
      <c r="R3943" t="s">
        <v>112</v>
      </c>
      <c r="S3943" t="str">
        <f>"14:56:09.023"</f>
        <v>14:56:09.023</v>
      </c>
      <c r="T3943" t="str">
        <f>"14:56:08.523"</f>
        <v>14:56:08.523</v>
      </c>
      <c r="U3943" t="str">
        <f t="shared" si="183"/>
        <v>ad5732</v>
      </c>
      <c r="V3943">
        <v>0</v>
      </c>
      <c r="W3943">
        <v>0</v>
      </c>
      <c r="X3943">
        <v>1</v>
      </c>
      <c r="Z3943">
        <v>0</v>
      </c>
      <c r="AA3943">
        <v>9</v>
      </c>
      <c r="AB3943">
        <v>3</v>
      </c>
      <c r="AC3943">
        <v>0</v>
      </c>
      <c r="AD3943">
        <v>10</v>
      </c>
      <c r="AE3943">
        <v>0</v>
      </c>
      <c r="AF3943">
        <v>3</v>
      </c>
      <c r="AG3943">
        <v>2</v>
      </c>
      <c r="AH3943">
        <v>0</v>
      </c>
      <c r="AI3943" t="s">
        <v>7934</v>
      </c>
      <c r="AJ3943">
        <v>40.546416999999998</v>
      </c>
      <c r="AK3943" t="s">
        <v>7935</v>
      </c>
      <c r="AL3943">
        <v>-74.33502</v>
      </c>
      <c r="AM3943">
        <v>100</v>
      </c>
      <c r="AN3943">
        <v>500</v>
      </c>
      <c r="AO3943" t="s">
        <v>115</v>
      </c>
      <c r="AP3943">
        <v>49</v>
      </c>
      <c r="AQ3943">
        <v>105</v>
      </c>
      <c r="AR3943">
        <v>-832</v>
      </c>
      <c r="AZ3943">
        <v>3614</v>
      </c>
      <c r="BA3943">
        <v>1</v>
      </c>
      <c r="BB3943" t="str">
        <f t="shared" si="185"/>
        <v xml:space="preserve">N959MJ  </v>
      </c>
      <c r="BC3943">
        <v>1</v>
      </c>
      <c r="BE3943">
        <v>0</v>
      </c>
      <c r="BF3943">
        <v>0</v>
      </c>
      <c r="BG3943">
        <v>0</v>
      </c>
      <c r="BH3943">
        <v>800</v>
      </c>
      <c r="BI3943">
        <v>300</v>
      </c>
      <c r="BJ3943">
        <v>1</v>
      </c>
      <c r="BK3943">
        <v>1</v>
      </c>
      <c r="BL3943">
        <v>1</v>
      </c>
      <c r="BM3943">
        <v>0</v>
      </c>
      <c r="BP3943">
        <v>0</v>
      </c>
      <c r="BQ3943">
        <v>0</v>
      </c>
      <c r="BX3943" t="str">
        <f>"14:56:09.023"</f>
        <v>14:56:09.023</v>
      </c>
      <c r="BY3943" t="str">
        <f>"027177604"</f>
        <v>027177604</v>
      </c>
      <c r="CL3943">
        <v>3</v>
      </c>
      <c r="CM3943">
        <v>2</v>
      </c>
      <c r="CN3943">
        <v>0</v>
      </c>
      <c r="CO3943">
        <v>2</v>
      </c>
      <c r="CP3943">
        <v>0</v>
      </c>
      <c r="CQ3943">
        <v>7</v>
      </c>
      <c r="CR3943" t="s">
        <v>116</v>
      </c>
      <c r="CS3943">
        <v>305</v>
      </c>
      <c r="CT3943">
        <v>3</v>
      </c>
      <c r="CU3943" t="s">
        <v>6425</v>
      </c>
      <c r="CV3943" t="s">
        <v>6426</v>
      </c>
      <c r="CY3943">
        <v>6715303</v>
      </c>
      <c r="CZ3943" t="s">
        <v>119</v>
      </c>
    </row>
    <row r="3944" spans="1:104" x14ac:dyDescent="0.25">
      <c r="A3944" t="str">
        <f>"14:56:10.125"</f>
        <v>14:56:10.125</v>
      </c>
      <c r="B3944" t="s">
        <v>108</v>
      </c>
      <c r="C3944" t="str">
        <f t="shared" si="184"/>
        <v>ffdfd3c0</v>
      </c>
      <c r="D3944" t="s">
        <v>109</v>
      </c>
      <c r="E3944">
        <v>4</v>
      </c>
      <c r="F3944">
        <v>1004</v>
      </c>
      <c r="G3944" t="s">
        <v>110</v>
      </c>
      <c r="J3944" t="s">
        <v>111</v>
      </c>
      <c r="K3944">
        <v>0</v>
      </c>
      <c r="L3944">
        <v>3</v>
      </c>
      <c r="M3944">
        <v>0</v>
      </c>
      <c r="N3944">
        <v>2</v>
      </c>
      <c r="O3944">
        <v>1</v>
      </c>
      <c r="P3944">
        <v>0</v>
      </c>
      <c r="Q3944">
        <v>0</v>
      </c>
      <c r="R3944" t="s">
        <v>112</v>
      </c>
      <c r="S3944" t="str">
        <f>"14:56:09.922"</f>
        <v>14:56:09.922</v>
      </c>
      <c r="T3944" t="str">
        <f>"14:56:09.523"</f>
        <v>14:56:09.523</v>
      </c>
      <c r="U3944" t="str">
        <f t="shared" si="183"/>
        <v>ad5732</v>
      </c>
      <c r="V3944">
        <v>0</v>
      </c>
      <c r="W3944">
        <v>0</v>
      </c>
      <c r="X3944">
        <v>1</v>
      </c>
      <c r="Z3944">
        <v>0</v>
      </c>
      <c r="AA3944">
        <v>9</v>
      </c>
      <c r="AB3944">
        <v>3</v>
      </c>
      <c r="AC3944">
        <v>0</v>
      </c>
      <c r="AD3944">
        <v>10</v>
      </c>
      <c r="AE3944">
        <v>0</v>
      </c>
      <c r="AF3944">
        <v>3</v>
      </c>
      <c r="AG3944">
        <v>2</v>
      </c>
      <c r="AH3944">
        <v>0</v>
      </c>
      <c r="AI3944" t="s">
        <v>7936</v>
      </c>
      <c r="AJ3944">
        <v>40.546868000000003</v>
      </c>
      <c r="AK3944" t="s">
        <v>7937</v>
      </c>
      <c r="AL3944">
        <v>-74.334740999999994</v>
      </c>
      <c r="AM3944">
        <v>100</v>
      </c>
      <c r="AN3944">
        <v>500</v>
      </c>
      <c r="AO3944" t="s">
        <v>115</v>
      </c>
      <c r="AP3944">
        <v>48</v>
      </c>
      <c r="AQ3944">
        <v>105</v>
      </c>
      <c r="AR3944">
        <v>-768</v>
      </c>
      <c r="AZ3944">
        <v>3614</v>
      </c>
      <c r="BA3944">
        <v>1</v>
      </c>
      <c r="BB3944" t="str">
        <f t="shared" si="185"/>
        <v xml:space="preserve">N959MJ  </v>
      </c>
      <c r="BC3944">
        <v>1</v>
      </c>
      <c r="BE3944">
        <v>0</v>
      </c>
      <c r="BF3944">
        <v>0</v>
      </c>
      <c r="BG3944">
        <v>0</v>
      </c>
      <c r="BH3944">
        <v>775</v>
      </c>
      <c r="BI3944">
        <v>275</v>
      </c>
      <c r="BJ3944">
        <v>1</v>
      </c>
      <c r="BK3944">
        <v>1</v>
      </c>
      <c r="BL3944">
        <v>1</v>
      </c>
      <c r="BM3944">
        <v>0</v>
      </c>
      <c r="BP3944">
        <v>0</v>
      </c>
      <c r="BQ3944">
        <v>0</v>
      </c>
      <c r="BX3944" t="str">
        <f>"14:56:09.930"</f>
        <v>14:56:09.930</v>
      </c>
      <c r="BY3944" t="str">
        <f>"928436477"</f>
        <v>928436477</v>
      </c>
      <c r="CL3944">
        <v>3</v>
      </c>
      <c r="CM3944">
        <v>2</v>
      </c>
      <c r="CN3944">
        <v>0</v>
      </c>
      <c r="CO3944">
        <v>2</v>
      </c>
      <c r="CP3944">
        <v>0</v>
      </c>
      <c r="CQ3944">
        <v>5</v>
      </c>
      <c r="CR3944" t="s">
        <v>116</v>
      </c>
      <c r="CS3944">
        <v>409</v>
      </c>
      <c r="CT3944">
        <v>1</v>
      </c>
      <c r="CU3944" t="s">
        <v>5087</v>
      </c>
      <c r="CV3944" t="s">
        <v>5088</v>
      </c>
      <c r="CY3944">
        <v>5244675</v>
      </c>
      <c r="CZ3944" t="s">
        <v>119</v>
      </c>
    </row>
    <row r="3945" spans="1:104" x14ac:dyDescent="0.25">
      <c r="A3945" t="str">
        <f>"14:56:10.984"</f>
        <v>14:56:10.984</v>
      </c>
      <c r="B3945" t="s">
        <v>108</v>
      </c>
      <c r="C3945" t="str">
        <f t="shared" si="184"/>
        <v>ffdfd3c0</v>
      </c>
      <c r="D3945" t="s">
        <v>109</v>
      </c>
      <c r="E3945">
        <v>4</v>
      </c>
      <c r="F3945">
        <v>1004</v>
      </c>
      <c r="G3945" t="s">
        <v>110</v>
      </c>
      <c r="J3945" t="s">
        <v>111</v>
      </c>
      <c r="K3945">
        <v>0</v>
      </c>
      <c r="L3945">
        <v>3</v>
      </c>
      <c r="M3945">
        <v>0</v>
      </c>
      <c r="N3945">
        <v>2</v>
      </c>
      <c r="O3945">
        <v>1</v>
      </c>
      <c r="P3945">
        <v>0</v>
      </c>
      <c r="Q3945">
        <v>0</v>
      </c>
      <c r="R3945" t="s">
        <v>112</v>
      </c>
      <c r="S3945" t="str">
        <f>"14:56:10.789"</f>
        <v>14:56:10.789</v>
      </c>
      <c r="T3945" t="str">
        <f>"14:56:10.391"</f>
        <v>14:56:10.391</v>
      </c>
      <c r="U3945" t="str">
        <f t="shared" si="183"/>
        <v>ad5732</v>
      </c>
      <c r="V3945">
        <v>0</v>
      </c>
      <c r="W3945">
        <v>0</v>
      </c>
      <c r="X3945">
        <v>1</v>
      </c>
      <c r="Z3945">
        <v>0</v>
      </c>
      <c r="AA3945">
        <v>9</v>
      </c>
      <c r="AB3945">
        <v>3</v>
      </c>
      <c r="AC3945">
        <v>0</v>
      </c>
      <c r="AD3945">
        <v>10</v>
      </c>
      <c r="AE3945">
        <v>0</v>
      </c>
      <c r="AF3945">
        <v>3</v>
      </c>
      <c r="AG3945">
        <v>2</v>
      </c>
      <c r="AH3945">
        <v>0</v>
      </c>
      <c r="AI3945" t="s">
        <v>7938</v>
      </c>
      <c r="AJ3945">
        <v>40.547297</v>
      </c>
      <c r="AK3945" t="s">
        <v>7939</v>
      </c>
      <c r="AL3945">
        <v>-74.334483000000006</v>
      </c>
      <c r="AM3945">
        <v>100</v>
      </c>
      <c r="AN3945">
        <v>500</v>
      </c>
      <c r="AO3945" t="s">
        <v>115</v>
      </c>
      <c r="AP3945">
        <v>48</v>
      </c>
      <c r="AQ3945">
        <v>105</v>
      </c>
      <c r="AR3945">
        <v>-704</v>
      </c>
      <c r="AZ3945">
        <v>3614</v>
      </c>
      <c r="BA3945">
        <v>1</v>
      </c>
      <c r="BB3945" t="str">
        <f t="shared" si="185"/>
        <v xml:space="preserve">N959MJ  </v>
      </c>
      <c r="BC3945">
        <v>1</v>
      </c>
      <c r="BE3945">
        <v>0</v>
      </c>
      <c r="BF3945">
        <v>0</v>
      </c>
      <c r="BG3945">
        <v>0</v>
      </c>
      <c r="BH3945">
        <v>775</v>
      </c>
      <c r="BI3945">
        <v>275</v>
      </c>
      <c r="BJ3945">
        <v>1</v>
      </c>
      <c r="BK3945">
        <v>1</v>
      </c>
      <c r="BL3945">
        <v>1</v>
      </c>
      <c r="BM3945">
        <v>0</v>
      </c>
      <c r="BP3945">
        <v>0</v>
      </c>
      <c r="BQ3945">
        <v>0</v>
      </c>
      <c r="BX3945" t="str">
        <f>"14:56:10.789"</f>
        <v>14:56:10.789</v>
      </c>
      <c r="BY3945" t="str">
        <f>"790250033"</f>
        <v>790250033</v>
      </c>
      <c r="CL3945">
        <v>3</v>
      </c>
      <c r="CM3945">
        <v>2</v>
      </c>
      <c r="CN3945">
        <v>0</v>
      </c>
      <c r="CO3945">
        <v>2</v>
      </c>
      <c r="CP3945">
        <v>0</v>
      </c>
      <c r="CQ3945">
        <v>5</v>
      </c>
      <c r="CR3945" t="s">
        <v>116</v>
      </c>
      <c r="CS3945">
        <v>409</v>
      </c>
      <c r="CT3945">
        <v>1</v>
      </c>
      <c r="CU3945" t="s">
        <v>5087</v>
      </c>
      <c r="CV3945" t="s">
        <v>5088</v>
      </c>
      <c r="CY3945">
        <v>5246360</v>
      </c>
      <c r="CZ3945" t="s">
        <v>119</v>
      </c>
    </row>
    <row r="3946" spans="1:104" x14ac:dyDescent="0.25">
      <c r="A3946" t="str">
        <f>"14:56:11.992"</f>
        <v>14:56:11.992</v>
      </c>
      <c r="B3946" t="s">
        <v>108</v>
      </c>
      <c r="C3946" t="str">
        <f t="shared" si="184"/>
        <v>ffdfd3c0</v>
      </c>
      <c r="D3946" t="s">
        <v>109</v>
      </c>
      <c r="E3946">
        <v>4</v>
      </c>
      <c r="F3946">
        <v>1004</v>
      </c>
      <c r="G3946" t="s">
        <v>110</v>
      </c>
      <c r="J3946" t="s">
        <v>111</v>
      </c>
      <c r="K3946">
        <v>0</v>
      </c>
      <c r="L3946">
        <v>3</v>
      </c>
      <c r="M3946">
        <v>0</v>
      </c>
      <c r="N3946">
        <v>2</v>
      </c>
      <c r="O3946">
        <v>1</v>
      </c>
      <c r="P3946">
        <v>0</v>
      </c>
      <c r="Q3946">
        <v>0</v>
      </c>
      <c r="R3946" t="s">
        <v>112</v>
      </c>
      <c r="S3946" t="str">
        <f>"14:56:11.797"</f>
        <v>14:56:11.797</v>
      </c>
      <c r="T3946" t="str">
        <f>"14:56:11.297"</f>
        <v>14:56:11.297</v>
      </c>
      <c r="U3946" t="str">
        <f t="shared" si="183"/>
        <v>ad5732</v>
      </c>
      <c r="V3946">
        <v>0</v>
      </c>
      <c r="W3946">
        <v>0</v>
      </c>
      <c r="X3946">
        <v>1</v>
      </c>
      <c r="Z3946">
        <v>0</v>
      </c>
      <c r="AA3946">
        <v>9</v>
      </c>
      <c r="AB3946">
        <v>3</v>
      </c>
      <c r="AC3946">
        <v>0</v>
      </c>
      <c r="AD3946">
        <v>10</v>
      </c>
      <c r="AE3946">
        <v>0</v>
      </c>
      <c r="AF3946">
        <v>3</v>
      </c>
      <c r="AG3946">
        <v>2</v>
      </c>
      <c r="AH3946">
        <v>0</v>
      </c>
      <c r="AI3946" t="s">
        <v>7940</v>
      </c>
      <c r="AJ3946">
        <v>40.547747999999999</v>
      </c>
      <c r="AK3946" t="s">
        <v>7941</v>
      </c>
      <c r="AL3946">
        <v>-74.334226000000001</v>
      </c>
      <c r="AM3946">
        <v>100</v>
      </c>
      <c r="AN3946">
        <v>500</v>
      </c>
      <c r="AO3946" t="s">
        <v>115</v>
      </c>
      <c r="AP3946">
        <v>47</v>
      </c>
      <c r="AQ3946">
        <v>105</v>
      </c>
      <c r="AR3946">
        <v>-640</v>
      </c>
      <c r="AZ3946">
        <v>3614</v>
      </c>
      <c r="BA3946">
        <v>1</v>
      </c>
      <c r="BB3946" t="str">
        <f t="shared" si="185"/>
        <v xml:space="preserve">N959MJ  </v>
      </c>
      <c r="BC3946">
        <v>1</v>
      </c>
      <c r="BE3946">
        <v>0</v>
      </c>
      <c r="BF3946">
        <v>0</v>
      </c>
      <c r="BG3946">
        <v>0</v>
      </c>
      <c r="BH3946">
        <v>775</v>
      </c>
      <c r="BI3946">
        <v>275</v>
      </c>
      <c r="BJ3946">
        <v>1</v>
      </c>
      <c r="BK3946">
        <v>1</v>
      </c>
      <c r="BL3946">
        <v>1</v>
      </c>
      <c r="BM3946">
        <v>0</v>
      </c>
      <c r="BP3946">
        <v>0</v>
      </c>
      <c r="BQ3946">
        <v>0</v>
      </c>
      <c r="BX3946" t="str">
        <f>"14:56:11.805"</f>
        <v>14:56:11.805</v>
      </c>
      <c r="BY3946" t="str">
        <f>"801037664"</f>
        <v>801037664</v>
      </c>
      <c r="CL3946">
        <v>3</v>
      </c>
      <c r="CM3946">
        <v>2</v>
      </c>
      <c r="CN3946">
        <v>0</v>
      </c>
      <c r="CO3946">
        <v>2</v>
      </c>
      <c r="CP3946">
        <v>0</v>
      </c>
      <c r="CQ3946">
        <v>7</v>
      </c>
      <c r="CR3946" t="s">
        <v>116</v>
      </c>
      <c r="CS3946">
        <v>305</v>
      </c>
      <c r="CT3946">
        <v>3</v>
      </c>
      <c r="CU3946" t="s">
        <v>6425</v>
      </c>
      <c r="CV3946" t="s">
        <v>6426</v>
      </c>
      <c r="CY3946">
        <v>6721326</v>
      </c>
      <c r="CZ3946" t="s">
        <v>119</v>
      </c>
    </row>
    <row r="3947" spans="1:104" x14ac:dyDescent="0.25">
      <c r="A3947" t="str">
        <f>"14:56:13.055"</f>
        <v>14:56:13.055</v>
      </c>
      <c r="B3947" t="s">
        <v>108</v>
      </c>
      <c r="C3947" t="str">
        <f t="shared" si="184"/>
        <v>ffdfd3c0</v>
      </c>
      <c r="D3947" t="s">
        <v>109</v>
      </c>
      <c r="E3947">
        <v>4</v>
      </c>
      <c r="F3947">
        <v>1004</v>
      </c>
      <c r="G3947" t="s">
        <v>110</v>
      </c>
      <c r="J3947" t="s">
        <v>111</v>
      </c>
      <c r="K3947">
        <v>0</v>
      </c>
      <c r="L3947">
        <v>3</v>
      </c>
      <c r="M3947">
        <v>0</v>
      </c>
      <c r="N3947">
        <v>2</v>
      </c>
      <c r="O3947">
        <v>1</v>
      </c>
      <c r="P3947">
        <v>0</v>
      </c>
      <c r="Q3947">
        <v>0</v>
      </c>
      <c r="R3947" t="s">
        <v>112</v>
      </c>
      <c r="S3947" t="str">
        <f>"14:56:12.898"</f>
        <v>14:56:12.898</v>
      </c>
      <c r="T3947" t="str">
        <f>"14:56:12.398"</f>
        <v>14:56:12.398</v>
      </c>
      <c r="U3947" t="str">
        <f t="shared" si="183"/>
        <v>ad5732</v>
      </c>
      <c r="V3947">
        <v>0</v>
      </c>
      <c r="W3947">
        <v>0</v>
      </c>
      <c r="X3947">
        <v>1</v>
      </c>
      <c r="Z3947">
        <v>0</v>
      </c>
      <c r="AA3947">
        <v>9</v>
      </c>
      <c r="AB3947">
        <v>3</v>
      </c>
      <c r="AC3947">
        <v>0</v>
      </c>
      <c r="AD3947">
        <v>10</v>
      </c>
      <c r="AE3947">
        <v>0</v>
      </c>
      <c r="AF3947">
        <v>3</v>
      </c>
      <c r="AG3947">
        <v>2</v>
      </c>
      <c r="AH3947">
        <v>0</v>
      </c>
      <c r="AI3947" t="s">
        <v>7942</v>
      </c>
      <c r="AJ3947">
        <v>40.548305999999997</v>
      </c>
      <c r="AK3947" t="s">
        <v>7943</v>
      </c>
      <c r="AL3947">
        <v>-74.333924999999994</v>
      </c>
      <c r="AM3947">
        <v>100</v>
      </c>
      <c r="AN3947">
        <v>500</v>
      </c>
      <c r="AO3947" t="s">
        <v>115</v>
      </c>
      <c r="AP3947">
        <v>46</v>
      </c>
      <c r="AQ3947">
        <v>105</v>
      </c>
      <c r="AR3947">
        <v>-640</v>
      </c>
      <c r="AZ3947">
        <v>3614</v>
      </c>
      <c r="BA3947">
        <v>1</v>
      </c>
      <c r="BB3947" t="str">
        <f t="shared" si="185"/>
        <v xml:space="preserve">N959MJ  </v>
      </c>
      <c r="BC3947">
        <v>1</v>
      </c>
      <c r="BE3947">
        <v>0</v>
      </c>
      <c r="BF3947">
        <v>0</v>
      </c>
      <c r="BG3947">
        <v>0</v>
      </c>
      <c r="BH3947">
        <v>750</v>
      </c>
      <c r="BI3947">
        <v>250</v>
      </c>
      <c r="BJ3947">
        <v>1</v>
      </c>
      <c r="BK3947">
        <v>1</v>
      </c>
      <c r="BL3947">
        <v>1</v>
      </c>
      <c r="BM3947">
        <v>0</v>
      </c>
      <c r="BP3947">
        <v>0</v>
      </c>
      <c r="BQ3947">
        <v>0</v>
      </c>
      <c r="BX3947" t="str">
        <f>"14:56:12.898"</f>
        <v>14:56:12.898</v>
      </c>
      <c r="BY3947" t="str">
        <f>"902061920"</f>
        <v>902061920</v>
      </c>
      <c r="CL3947">
        <v>3</v>
      </c>
      <c r="CM3947">
        <v>2</v>
      </c>
      <c r="CN3947">
        <v>0</v>
      </c>
      <c r="CO3947">
        <v>2</v>
      </c>
      <c r="CP3947">
        <v>0</v>
      </c>
      <c r="CQ3947">
        <v>7</v>
      </c>
      <c r="CR3947" t="s">
        <v>116</v>
      </c>
      <c r="CS3947">
        <v>305</v>
      </c>
      <c r="CT3947">
        <v>3</v>
      </c>
      <c r="CU3947" t="s">
        <v>6425</v>
      </c>
      <c r="CV3947" t="s">
        <v>6426</v>
      </c>
      <c r="CY3947">
        <v>6723593</v>
      </c>
      <c r="CZ3947" t="s">
        <v>119</v>
      </c>
    </row>
    <row r="3948" spans="1:104" x14ac:dyDescent="0.25">
      <c r="A3948" t="str">
        <f>"14:56:14.117"</f>
        <v>14:56:14.117</v>
      </c>
      <c r="B3948" t="s">
        <v>108</v>
      </c>
      <c r="C3948" t="str">
        <f t="shared" si="184"/>
        <v>ffdfd3c0</v>
      </c>
      <c r="D3948" t="s">
        <v>109</v>
      </c>
      <c r="E3948">
        <v>4</v>
      </c>
      <c r="F3948">
        <v>1004</v>
      </c>
      <c r="G3948" t="s">
        <v>110</v>
      </c>
      <c r="J3948" t="s">
        <v>111</v>
      </c>
      <c r="K3948">
        <v>0</v>
      </c>
      <c r="L3948">
        <v>3</v>
      </c>
      <c r="M3948">
        <v>0</v>
      </c>
      <c r="N3948">
        <v>2</v>
      </c>
      <c r="O3948">
        <v>1</v>
      </c>
      <c r="P3948">
        <v>0</v>
      </c>
      <c r="Q3948">
        <v>0</v>
      </c>
      <c r="R3948" t="s">
        <v>112</v>
      </c>
      <c r="S3948" t="str">
        <f>"14:56:13.930"</f>
        <v>14:56:13.930</v>
      </c>
      <c r="T3948" t="str">
        <f>"14:56:12.930"</f>
        <v>14:56:12.930</v>
      </c>
      <c r="U3948" t="str">
        <f t="shared" si="183"/>
        <v>ad5732</v>
      </c>
      <c r="V3948">
        <v>0</v>
      </c>
      <c r="W3948">
        <v>0</v>
      </c>
      <c r="X3948">
        <v>1</v>
      </c>
      <c r="Z3948">
        <v>0</v>
      </c>
      <c r="AA3948">
        <v>9</v>
      </c>
      <c r="AB3948">
        <v>3</v>
      </c>
      <c r="AC3948">
        <v>0</v>
      </c>
      <c r="AD3948">
        <v>10</v>
      </c>
      <c r="AE3948">
        <v>0</v>
      </c>
      <c r="AF3948">
        <v>3</v>
      </c>
      <c r="AG3948">
        <v>2</v>
      </c>
      <c r="AH3948">
        <v>0</v>
      </c>
      <c r="AI3948" t="s">
        <v>7944</v>
      </c>
      <c r="AJ3948">
        <v>40.548777999999999</v>
      </c>
      <c r="AK3948" t="s">
        <v>7945</v>
      </c>
      <c r="AL3948">
        <v>-74.333624999999998</v>
      </c>
      <c r="AM3948">
        <v>100</v>
      </c>
      <c r="AN3948">
        <v>500</v>
      </c>
      <c r="AO3948" t="s">
        <v>115</v>
      </c>
      <c r="AP3948">
        <v>46</v>
      </c>
      <c r="AQ3948">
        <v>105</v>
      </c>
      <c r="AR3948">
        <v>-640</v>
      </c>
      <c r="AZ3948">
        <v>3614</v>
      </c>
      <c r="BA3948">
        <v>1</v>
      </c>
      <c r="BB3948" t="str">
        <f t="shared" si="185"/>
        <v xml:space="preserve">N959MJ  </v>
      </c>
      <c r="BC3948">
        <v>1</v>
      </c>
      <c r="BE3948">
        <v>0</v>
      </c>
      <c r="BF3948">
        <v>0</v>
      </c>
      <c r="BG3948">
        <v>0</v>
      </c>
      <c r="BH3948">
        <v>750</v>
      </c>
      <c r="BI3948">
        <v>250</v>
      </c>
      <c r="BJ3948">
        <v>1</v>
      </c>
      <c r="BK3948">
        <v>1</v>
      </c>
      <c r="BL3948">
        <v>1</v>
      </c>
      <c r="BM3948">
        <v>0</v>
      </c>
      <c r="BP3948">
        <v>0</v>
      </c>
      <c r="BQ3948">
        <v>0</v>
      </c>
      <c r="BX3948" t="str">
        <f>"14:56:13.930"</f>
        <v>14:56:13.930</v>
      </c>
      <c r="BY3948" t="str">
        <f>"930995253"</f>
        <v>930995253</v>
      </c>
      <c r="CL3948">
        <v>3</v>
      </c>
      <c r="CM3948">
        <v>2</v>
      </c>
      <c r="CN3948">
        <v>0</v>
      </c>
      <c r="CO3948">
        <v>2</v>
      </c>
      <c r="CP3948">
        <v>0</v>
      </c>
      <c r="CQ3948">
        <v>7</v>
      </c>
      <c r="CR3948" t="s">
        <v>116</v>
      </c>
      <c r="CS3948">
        <v>305</v>
      </c>
      <c r="CT3948">
        <v>3</v>
      </c>
      <c r="CU3948" t="s">
        <v>6425</v>
      </c>
      <c r="CV3948" t="s">
        <v>6426</v>
      </c>
      <c r="CY3948">
        <v>6725549</v>
      </c>
      <c r="CZ3948" t="s">
        <v>119</v>
      </c>
    </row>
    <row r="3949" spans="1:104" x14ac:dyDescent="0.25">
      <c r="A3949" t="str">
        <f>"14:56:15.125"</f>
        <v>14:56:15.125</v>
      </c>
      <c r="B3949" t="s">
        <v>108</v>
      </c>
      <c r="C3949" t="str">
        <f t="shared" si="184"/>
        <v>ffdfd3c0</v>
      </c>
      <c r="D3949" t="s">
        <v>109</v>
      </c>
      <c r="E3949">
        <v>4</v>
      </c>
      <c r="F3949">
        <v>1004</v>
      </c>
      <c r="G3949" t="s">
        <v>110</v>
      </c>
      <c r="J3949" t="s">
        <v>111</v>
      </c>
      <c r="K3949">
        <v>0</v>
      </c>
      <c r="L3949">
        <v>3</v>
      </c>
      <c r="M3949">
        <v>0</v>
      </c>
      <c r="N3949">
        <v>2</v>
      </c>
      <c r="O3949">
        <v>1</v>
      </c>
      <c r="P3949">
        <v>0</v>
      </c>
      <c r="Q3949">
        <v>0</v>
      </c>
      <c r="R3949" t="s">
        <v>112</v>
      </c>
      <c r="S3949" t="str">
        <f>"14:56:14.945"</f>
        <v>14:56:14.945</v>
      </c>
      <c r="T3949" t="str">
        <f>"14:56:14.547"</f>
        <v>14:56:14.547</v>
      </c>
      <c r="U3949" t="str">
        <f t="shared" si="183"/>
        <v>ad5732</v>
      </c>
      <c r="V3949">
        <v>0</v>
      </c>
      <c r="W3949">
        <v>0</v>
      </c>
      <c r="X3949">
        <v>1</v>
      </c>
      <c r="Z3949">
        <v>0</v>
      </c>
      <c r="AA3949">
        <v>9</v>
      </c>
      <c r="AB3949">
        <v>3</v>
      </c>
      <c r="AC3949">
        <v>0</v>
      </c>
      <c r="AD3949">
        <v>10</v>
      </c>
      <c r="AE3949">
        <v>0</v>
      </c>
      <c r="AF3949">
        <v>3</v>
      </c>
      <c r="AG3949">
        <v>2</v>
      </c>
      <c r="AH3949">
        <v>0</v>
      </c>
      <c r="AI3949" t="s">
        <v>7946</v>
      </c>
      <c r="AJ3949">
        <v>40.549292999999999</v>
      </c>
      <c r="AK3949" t="s">
        <v>7947</v>
      </c>
      <c r="AL3949">
        <v>-74.333303000000001</v>
      </c>
      <c r="AM3949">
        <v>100</v>
      </c>
      <c r="AN3949">
        <v>500</v>
      </c>
      <c r="AO3949" t="s">
        <v>115</v>
      </c>
      <c r="AP3949">
        <v>46</v>
      </c>
      <c r="AQ3949">
        <v>105</v>
      </c>
      <c r="AR3949">
        <v>-704</v>
      </c>
      <c r="AZ3949">
        <v>3614</v>
      </c>
      <c r="BA3949">
        <v>1</v>
      </c>
      <c r="BB3949" t="str">
        <f t="shared" si="185"/>
        <v xml:space="preserve">N959MJ  </v>
      </c>
      <c r="BC3949">
        <v>1</v>
      </c>
      <c r="BE3949">
        <v>0</v>
      </c>
      <c r="BF3949">
        <v>0</v>
      </c>
      <c r="BG3949">
        <v>0</v>
      </c>
      <c r="BH3949">
        <v>725</v>
      </c>
      <c r="BI3949">
        <v>225</v>
      </c>
      <c r="BJ3949">
        <v>1</v>
      </c>
      <c r="BK3949">
        <v>1</v>
      </c>
      <c r="BL3949">
        <v>1</v>
      </c>
      <c r="BM3949">
        <v>0</v>
      </c>
      <c r="BP3949">
        <v>0</v>
      </c>
      <c r="BQ3949">
        <v>0</v>
      </c>
      <c r="BX3949" t="str">
        <f>"14:56:14.953"</f>
        <v>14:56:14.953</v>
      </c>
      <c r="BY3949" t="str">
        <f>"950098060"</f>
        <v>950098060</v>
      </c>
      <c r="CL3949">
        <v>3</v>
      </c>
      <c r="CM3949">
        <v>2</v>
      </c>
      <c r="CN3949">
        <v>0</v>
      </c>
      <c r="CO3949">
        <v>2</v>
      </c>
      <c r="CP3949">
        <v>0</v>
      </c>
      <c r="CQ3949">
        <v>7</v>
      </c>
      <c r="CR3949" t="s">
        <v>116</v>
      </c>
      <c r="CS3949">
        <v>305</v>
      </c>
      <c r="CT3949">
        <v>3</v>
      </c>
      <c r="CU3949" t="s">
        <v>6425</v>
      </c>
      <c r="CV3949" t="s">
        <v>6426</v>
      </c>
      <c r="CY3949">
        <v>6727682</v>
      </c>
      <c r="CZ3949" t="s">
        <v>119</v>
      </c>
    </row>
    <row r="3950" spans="1:104" x14ac:dyDescent="0.25">
      <c r="A3950" t="str">
        <f>"14:56:17.094"</f>
        <v>14:56:17.094</v>
      </c>
      <c r="B3950" t="s">
        <v>108</v>
      </c>
      <c r="C3950" t="str">
        <f t="shared" si="184"/>
        <v>ffdfd3c0</v>
      </c>
      <c r="D3950" t="s">
        <v>109</v>
      </c>
      <c r="E3950">
        <v>4</v>
      </c>
      <c r="F3950">
        <v>1004</v>
      </c>
      <c r="G3950" t="s">
        <v>110</v>
      </c>
      <c r="J3950" t="s">
        <v>111</v>
      </c>
      <c r="K3950">
        <v>0</v>
      </c>
      <c r="L3950">
        <v>3</v>
      </c>
      <c r="M3950">
        <v>0</v>
      </c>
      <c r="N3950">
        <v>2</v>
      </c>
      <c r="O3950">
        <v>1</v>
      </c>
      <c r="P3950">
        <v>0</v>
      </c>
      <c r="Q3950">
        <v>0</v>
      </c>
      <c r="R3950" t="s">
        <v>112</v>
      </c>
      <c r="S3950" t="str">
        <f>"14:56:16.922"</f>
        <v>14:56:16.922</v>
      </c>
      <c r="T3950" t="str">
        <f>"14:56:16.523"</f>
        <v>14:56:16.523</v>
      </c>
      <c r="U3950" t="str">
        <f t="shared" si="183"/>
        <v>ad5732</v>
      </c>
      <c r="V3950">
        <v>0</v>
      </c>
      <c r="W3950">
        <v>0</v>
      </c>
      <c r="X3950">
        <v>1</v>
      </c>
      <c r="Z3950">
        <v>0</v>
      </c>
      <c r="AA3950">
        <v>9</v>
      </c>
      <c r="AB3950">
        <v>3</v>
      </c>
      <c r="AC3950">
        <v>0</v>
      </c>
      <c r="AD3950">
        <v>10</v>
      </c>
      <c r="AE3950">
        <v>0</v>
      </c>
      <c r="AF3950">
        <v>3</v>
      </c>
      <c r="AG3950">
        <v>2</v>
      </c>
      <c r="AH3950">
        <v>0</v>
      </c>
      <c r="AI3950" t="s">
        <v>7948</v>
      </c>
      <c r="AJ3950">
        <v>40.550257999999999</v>
      </c>
      <c r="AK3950" t="s">
        <v>7949</v>
      </c>
      <c r="AL3950">
        <v>-74.332808999999997</v>
      </c>
      <c r="AM3950">
        <v>100</v>
      </c>
      <c r="AN3950">
        <v>500</v>
      </c>
      <c r="AO3950" t="s">
        <v>115</v>
      </c>
      <c r="AP3950">
        <v>45</v>
      </c>
      <c r="AQ3950">
        <v>104</v>
      </c>
      <c r="AR3950">
        <v>-704</v>
      </c>
      <c r="AZ3950">
        <v>3614</v>
      </c>
      <c r="BA3950">
        <v>1</v>
      </c>
      <c r="BB3950" t="str">
        <f t="shared" si="185"/>
        <v xml:space="preserve">N959MJ  </v>
      </c>
      <c r="BC3950">
        <v>1</v>
      </c>
      <c r="BE3950">
        <v>0</v>
      </c>
      <c r="BF3950">
        <v>0</v>
      </c>
      <c r="BG3950">
        <v>0</v>
      </c>
      <c r="BH3950">
        <v>700</v>
      </c>
      <c r="BI3950">
        <v>200</v>
      </c>
      <c r="BJ3950">
        <v>1</v>
      </c>
      <c r="BK3950">
        <v>1</v>
      </c>
      <c r="BL3950">
        <v>1</v>
      </c>
      <c r="BM3950">
        <v>0</v>
      </c>
      <c r="BP3950">
        <v>0</v>
      </c>
      <c r="BQ3950">
        <v>0</v>
      </c>
      <c r="BX3950" t="str">
        <f>"14:56:16.922"</f>
        <v>14:56:16.922</v>
      </c>
      <c r="BY3950" t="str">
        <f>"924404749"</f>
        <v>924404749</v>
      </c>
      <c r="CL3950">
        <v>3</v>
      </c>
      <c r="CM3950">
        <v>2</v>
      </c>
      <c r="CN3950">
        <v>0</v>
      </c>
      <c r="CO3950">
        <v>2</v>
      </c>
      <c r="CP3950">
        <v>0</v>
      </c>
      <c r="CQ3950">
        <v>7</v>
      </c>
      <c r="CR3950" t="s">
        <v>116</v>
      </c>
      <c r="CS3950">
        <v>305</v>
      </c>
      <c r="CT3950">
        <v>3</v>
      </c>
      <c r="CU3950" t="s">
        <v>6425</v>
      </c>
      <c r="CV3950" t="s">
        <v>6426</v>
      </c>
      <c r="CY3950">
        <v>6731876</v>
      </c>
      <c r="CZ3950" t="s">
        <v>119</v>
      </c>
    </row>
    <row r="3951" spans="1:104" x14ac:dyDescent="0.25">
      <c r="A3951" t="str">
        <f>"14:56:18.156"</f>
        <v>14:56:18.156</v>
      </c>
      <c r="B3951" t="s">
        <v>108</v>
      </c>
      <c r="C3951" t="str">
        <f t="shared" si="184"/>
        <v>ffdfd3c0</v>
      </c>
      <c r="D3951" t="s">
        <v>109</v>
      </c>
      <c r="E3951">
        <v>4</v>
      </c>
      <c r="F3951">
        <v>1004</v>
      </c>
      <c r="G3951" t="s">
        <v>110</v>
      </c>
      <c r="J3951" t="s">
        <v>111</v>
      </c>
      <c r="K3951">
        <v>0</v>
      </c>
      <c r="L3951">
        <v>3</v>
      </c>
      <c r="M3951">
        <v>0</v>
      </c>
      <c r="N3951">
        <v>2</v>
      </c>
      <c r="O3951">
        <v>1</v>
      </c>
      <c r="P3951">
        <v>0</v>
      </c>
      <c r="Q3951">
        <v>0</v>
      </c>
      <c r="R3951" t="s">
        <v>112</v>
      </c>
      <c r="S3951" t="str">
        <f>"14:56:17.945"</f>
        <v>14:56:17.945</v>
      </c>
      <c r="T3951" t="str">
        <f>"14:56:17.445"</f>
        <v>14:56:17.445</v>
      </c>
      <c r="U3951" t="str">
        <f t="shared" si="183"/>
        <v>ad5732</v>
      </c>
      <c r="V3951">
        <v>0</v>
      </c>
      <c r="W3951">
        <v>0</v>
      </c>
      <c r="X3951">
        <v>1</v>
      </c>
      <c r="Z3951">
        <v>0</v>
      </c>
      <c r="AA3951">
        <v>9</v>
      </c>
      <c r="AB3951">
        <v>3</v>
      </c>
      <c r="AC3951">
        <v>0</v>
      </c>
      <c r="AD3951">
        <v>10</v>
      </c>
      <c r="AE3951">
        <v>0</v>
      </c>
      <c r="AF3951">
        <v>3</v>
      </c>
      <c r="AG3951">
        <v>2</v>
      </c>
      <c r="AH3951">
        <v>0</v>
      </c>
      <c r="AI3951" t="s">
        <v>7950</v>
      </c>
      <c r="AJ3951">
        <v>40.550773</v>
      </c>
      <c r="AK3951" t="s">
        <v>7951</v>
      </c>
      <c r="AL3951">
        <v>-74.332509000000002</v>
      </c>
      <c r="AM3951">
        <v>100</v>
      </c>
      <c r="AN3951">
        <v>500</v>
      </c>
      <c r="AO3951" t="s">
        <v>115</v>
      </c>
      <c r="AP3951">
        <v>45</v>
      </c>
      <c r="AQ3951">
        <v>104</v>
      </c>
      <c r="AR3951">
        <v>-704</v>
      </c>
      <c r="AZ3951">
        <v>3614</v>
      </c>
      <c r="BA3951">
        <v>1</v>
      </c>
      <c r="BB3951" t="str">
        <f t="shared" si="185"/>
        <v xml:space="preserve">N959MJ  </v>
      </c>
      <c r="BC3951">
        <v>1</v>
      </c>
      <c r="BE3951">
        <v>0</v>
      </c>
      <c r="BF3951">
        <v>0</v>
      </c>
      <c r="BG3951">
        <v>0</v>
      </c>
      <c r="BH3951">
        <v>700</v>
      </c>
      <c r="BI3951">
        <v>200</v>
      </c>
      <c r="BJ3951">
        <v>1</v>
      </c>
      <c r="BK3951">
        <v>1</v>
      </c>
      <c r="BL3951">
        <v>1</v>
      </c>
      <c r="BM3951">
        <v>0</v>
      </c>
      <c r="BP3951">
        <v>0</v>
      </c>
      <c r="BQ3951">
        <v>0</v>
      </c>
      <c r="BX3951" t="str">
        <f>"14:56:17.953"</f>
        <v>14:56:17.953</v>
      </c>
      <c r="BY3951" t="str">
        <f>"951699649"</f>
        <v>951699649</v>
      </c>
      <c r="CL3951">
        <v>3</v>
      </c>
      <c r="CM3951">
        <v>2</v>
      </c>
      <c r="CN3951">
        <v>0</v>
      </c>
      <c r="CO3951">
        <v>2</v>
      </c>
      <c r="CP3951">
        <v>0</v>
      </c>
      <c r="CQ3951">
        <v>7</v>
      </c>
      <c r="CR3951" t="s">
        <v>116</v>
      </c>
      <c r="CS3951">
        <v>305</v>
      </c>
      <c r="CT3951">
        <v>3</v>
      </c>
      <c r="CU3951" t="s">
        <v>6425</v>
      </c>
      <c r="CV3951" t="s">
        <v>6426</v>
      </c>
      <c r="CY3951">
        <v>6733979</v>
      </c>
      <c r="CZ3951" t="s">
        <v>119</v>
      </c>
    </row>
    <row r="3952" spans="1:104" x14ac:dyDescent="0.25">
      <c r="A3952" t="str">
        <f>"14:56:19.117"</f>
        <v>14:56:19.117</v>
      </c>
      <c r="B3952" t="s">
        <v>108</v>
      </c>
      <c r="C3952" t="str">
        <f t="shared" si="184"/>
        <v>ffdfd3c0</v>
      </c>
      <c r="D3952" t="s">
        <v>109</v>
      </c>
      <c r="E3952">
        <v>4</v>
      </c>
      <c r="F3952">
        <v>1004</v>
      </c>
      <c r="G3952" t="s">
        <v>110</v>
      </c>
      <c r="J3952" t="s">
        <v>111</v>
      </c>
      <c r="K3952">
        <v>0</v>
      </c>
      <c r="L3952">
        <v>3</v>
      </c>
      <c r="M3952">
        <v>0</v>
      </c>
      <c r="N3952">
        <v>2</v>
      </c>
      <c r="O3952">
        <v>1</v>
      </c>
      <c r="P3952">
        <v>0</v>
      </c>
      <c r="Q3952">
        <v>0</v>
      </c>
      <c r="R3952" t="s">
        <v>112</v>
      </c>
      <c r="S3952" t="str">
        <f>"14:56:18.938"</f>
        <v>14:56:18.938</v>
      </c>
      <c r="T3952" t="str">
        <f>"14:56:18.438"</f>
        <v>14:56:18.438</v>
      </c>
      <c r="U3952" t="str">
        <f t="shared" si="183"/>
        <v>ad5732</v>
      </c>
      <c r="V3952">
        <v>0</v>
      </c>
      <c r="W3952">
        <v>0</v>
      </c>
      <c r="X3952">
        <v>1</v>
      </c>
      <c r="Z3952">
        <v>0</v>
      </c>
      <c r="AA3952">
        <v>9</v>
      </c>
      <c r="AB3952">
        <v>3</v>
      </c>
      <c r="AC3952">
        <v>0</v>
      </c>
      <c r="AD3952">
        <v>10</v>
      </c>
      <c r="AE3952">
        <v>0</v>
      </c>
      <c r="AF3952">
        <v>3</v>
      </c>
      <c r="AG3952">
        <v>2</v>
      </c>
      <c r="AH3952">
        <v>0</v>
      </c>
      <c r="AI3952" t="s">
        <v>7952</v>
      </c>
      <c r="AJ3952">
        <v>40.551267000000003</v>
      </c>
      <c r="AK3952" t="s">
        <v>7953</v>
      </c>
      <c r="AL3952">
        <v>-74.332209000000006</v>
      </c>
      <c r="AM3952">
        <v>100</v>
      </c>
      <c r="AN3952">
        <v>400</v>
      </c>
      <c r="AO3952" t="s">
        <v>115</v>
      </c>
      <c r="AP3952">
        <v>45</v>
      </c>
      <c r="AQ3952">
        <v>104</v>
      </c>
      <c r="AR3952">
        <v>-640</v>
      </c>
      <c r="AZ3952">
        <v>3614</v>
      </c>
      <c r="BA3952">
        <v>1</v>
      </c>
      <c r="BB3952" t="str">
        <f t="shared" si="185"/>
        <v xml:space="preserve">N959MJ  </v>
      </c>
      <c r="BC3952">
        <v>1</v>
      </c>
      <c r="BE3952">
        <v>0</v>
      </c>
      <c r="BF3952">
        <v>0</v>
      </c>
      <c r="BG3952">
        <v>0</v>
      </c>
      <c r="BH3952">
        <v>675</v>
      </c>
      <c r="BI3952">
        <v>275</v>
      </c>
      <c r="BJ3952">
        <v>1</v>
      </c>
      <c r="BK3952">
        <v>1</v>
      </c>
      <c r="BL3952">
        <v>1</v>
      </c>
      <c r="BM3952">
        <v>0</v>
      </c>
      <c r="BP3952">
        <v>0</v>
      </c>
      <c r="BQ3952">
        <v>0</v>
      </c>
      <c r="BX3952" t="str">
        <f>"14:56:18.938"</f>
        <v>14:56:18.938</v>
      </c>
      <c r="BY3952" t="str">
        <f>"941310696"</f>
        <v>941310696</v>
      </c>
      <c r="CL3952">
        <v>3</v>
      </c>
      <c r="CM3952">
        <v>2</v>
      </c>
      <c r="CN3952">
        <v>0</v>
      </c>
      <c r="CO3952">
        <v>2</v>
      </c>
      <c r="CP3952">
        <v>0</v>
      </c>
      <c r="CQ3952">
        <v>7</v>
      </c>
      <c r="CR3952" t="s">
        <v>116</v>
      </c>
      <c r="CS3952">
        <v>305</v>
      </c>
      <c r="CT3952">
        <v>3</v>
      </c>
      <c r="CU3952" t="s">
        <v>6425</v>
      </c>
      <c r="CV3952" t="s">
        <v>6426</v>
      </c>
      <c r="CY3952">
        <v>6735947</v>
      </c>
      <c r="CZ3952" t="s">
        <v>119</v>
      </c>
    </row>
    <row r="3953" spans="1:104" x14ac:dyDescent="0.25">
      <c r="A3953" t="str">
        <f>"14:56:20.227"</f>
        <v>14:56:20.227</v>
      </c>
      <c r="B3953" t="s">
        <v>108</v>
      </c>
      <c r="C3953" t="str">
        <f t="shared" si="184"/>
        <v>ffdfd3c0</v>
      </c>
      <c r="D3953" t="s">
        <v>109</v>
      </c>
      <c r="E3953">
        <v>4</v>
      </c>
      <c r="F3953">
        <v>1004</v>
      </c>
      <c r="G3953" t="s">
        <v>110</v>
      </c>
      <c r="J3953" t="s">
        <v>111</v>
      </c>
      <c r="K3953">
        <v>0</v>
      </c>
      <c r="L3953">
        <v>3</v>
      </c>
      <c r="M3953">
        <v>0</v>
      </c>
      <c r="N3953">
        <v>2</v>
      </c>
      <c r="O3953">
        <v>1</v>
      </c>
      <c r="P3953">
        <v>0</v>
      </c>
      <c r="Q3953">
        <v>0</v>
      </c>
      <c r="R3953" t="s">
        <v>112</v>
      </c>
      <c r="S3953" t="str">
        <f>"14:56:20.047"</f>
        <v>14:56:20.047</v>
      </c>
      <c r="T3953" t="str">
        <f>"14:56:19.547"</f>
        <v>14:56:19.547</v>
      </c>
      <c r="U3953" t="str">
        <f t="shared" si="183"/>
        <v>ad5732</v>
      </c>
      <c r="V3953">
        <v>0</v>
      </c>
      <c r="W3953">
        <v>0</v>
      </c>
      <c r="X3953">
        <v>1</v>
      </c>
      <c r="Z3953">
        <v>0</v>
      </c>
      <c r="AA3953">
        <v>9</v>
      </c>
      <c r="AB3953">
        <v>3</v>
      </c>
      <c r="AC3953">
        <v>0</v>
      </c>
      <c r="AD3953">
        <v>10</v>
      </c>
      <c r="AE3953">
        <v>0</v>
      </c>
      <c r="AF3953">
        <v>3</v>
      </c>
      <c r="AG3953">
        <v>2</v>
      </c>
      <c r="AH3953">
        <v>0</v>
      </c>
      <c r="AI3953" t="s">
        <v>7954</v>
      </c>
      <c r="AJ3953">
        <v>40.551803</v>
      </c>
      <c r="AK3953" t="s">
        <v>7955</v>
      </c>
      <c r="AL3953">
        <v>-74.33193</v>
      </c>
      <c r="AM3953">
        <v>100</v>
      </c>
      <c r="AN3953">
        <v>400</v>
      </c>
      <c r="AO3953" t="s">
        <v>115</v>
      </c>
      <c r="AP3953">
        <v>45</v>
      </c>
      <c r="AQ3953">
        <v>103</v>
      </c>
      <c r="AR3953">
        <v>-576</v>
      </c>
      <c r="AZ3953">
        <v>3614</v>
      </c>
      <c r="BA3953">
        <v>1</v>
      </c>
      <c r="BB3953" t="str">
        <f t="shared" si="185"/>
        <v xml:space="preserve">N959MJ  </v>
      </c>
      <c r="BC3953">
        <v>1</v>
      </c>
      <c r="BE3953">
        <v>0</v>
      </c>
      <c r="BF3953">
        <v>0</v>
      </c>
      <c r="BG3953">
        <v>0</v>
      </c>
      <c r="BH3953">
        <v>675</v>
      </c>
      <c r="BI3953">
        <v>275</v>
      </c>
      <c r="BJ3953">
        <v>1</v>
      </c>
      <c r="BK3953">
        <v>1</v>
      </c>
      <c r="BL3953">
        <v>1</v>
      </c>
      <c r="BM3953">
        <v>0</v>
      </c>
      <c r="BP3953">
        <v>0</v>
      </c>
      <c r="BQ3953">
        <v>0</v>
      </c>
      <c r="BX3953" t="str">
        <f>"14:56:20.055"</f>
        <v>14:56:20.055</v>
      </c>
      <c r="BY3953" t="str">
        <f>"052165456"</f>
        <v>052165456</v>
      </c>
      <c r="CL3953">
        <v>3</v>
      </c>
      <c r="CM3953">
        <v>2</v>
      </c>
      <c r="CN3953">
        <v>0</v>
      </c>
      <c r="CO3953">
        <v>2</v>
      </c>
      <c r="CP3953">
        <v>0</v>
      </c>
      <c r="CQ3953">
        <v>6</v>
      </c>
      <c r="CR3953" t="s">
        <v>116</v>
      </c>
      <c r="CS3953">
        <v>305</v>
      </c>
      <c r="CT3953">
        <v>3</v>
      </c>
      <c r="CU3953" t="s">
        <v>6425</v>
      </c>
      <c r="CV3953" t="s">
        <v>6426</v>
      </c>
      <c r="CY3953">
        <v>6738286</v>
      </c>
      <c r="CZ3953" t="s">
        <v>119</v>
      </c>
    </row>
    <row r="3954" spans="1:104" x14ac:dyDescent="0.25">
      <c r="A3954" t="str">
        <f>"14:56:21.133"</f>
        <v>14:56:21.133</v>
      </c>
      <c r="B3954" t="s">
        <v>108</v>
      </c>
      <c r="C3954" t="str">
        <f t="shared" si="184"/>
        <v>ffdfd3c0</v>
      </c>
      <c r="D3954" t="s">
        <v>109</v>
      </c>
      <c r="E3954">
        <v>4</v>
      </c>
      <c r="F3954">
        <v>1004</v>
      </c>
      <c r="G3954" t="s">
        <v>110</v>
      </c>
      <c r="J3954" t="s">
        <v>111</v>
      </c>
      <c r="K3954">
        <v>0</v>
      </c>
      <c r="L3954">
        <v>3</v>
      </c>
      <c r="M3954">
        <v>0</v>
      </c>
      <c r="N3954">
        <v>2</v>
      </c>
      <c r="O3954">
        <v>1</v>
      </c>
      <c r="P3954">
        <v>0</v>
      </c>
      <c r="Q3954">
        <v>0</v>
      </c>
      <c r="R3954" t="s">
        <v>112</v>
      </c>
      <c r="S3954" t="str">
        <f>"14:56:20.938"</f>
        <v>14:56:20.938</v>
      </c>
      <c r="T3954" t="str">
        <f>"14:56:20.539"</f>
        <v>14:56:20.539</v>
      </c>
      <c r="U3954" t="str">
        <f t="shared" si="183"/>
        <v>ad5732</v>
      </c>
      <c r="V3954">
        <v>0</v>
      </c>
      <c r="W3954">
        <v>0</v>
      </c>
      <c r="X3954">
        <v>1</v>
      </c>
      <c r="Z3954">
        <v>0</v>
      </c>
      <c r="AA3954">
        <v>9</v>
      </c>
      <c r="AB3954">
        <v>3</v>
      </c>
      <c r="AC3954">
        <v>0</v>
      </c>
      <c r="AD3954">
        <v>10</v>
      </c>
      <c r="AE3954">
        <v>0</v>
      </c>
      <c r="AF3954">
        <v>3</v>
      </c>
      <c r="AG3954">
        <v>2</v>
      </c>
      <c r="AH3954">
        <v>0</v>
      </c>
      <c r="AI3954" t="s">
        <v>7956</v>
      </c>
      <c r="AJ3954">
        <v>40.552188999999998</v>
      </c>
      <c r="AK3954" t="s">
        <v>7957</v>
      </c>
      <c r="AL3954">
        <v>-74.331671999999998</v>
      </c>
      <c r="AM3954">
        <v>100</v>
      </c>
      <c r="AN3954">
        <v>400</v>
      </c>
      <c r="AO3954" t="s">
        <v>115</v>
      </c>
      <c r="AP3954">
        <v>46</v>
      </c>
      <c r="AQ3954">
        <v>102</v>
      </c>
      <c r="AR3954">
        <v>-512</v>
      </c>
      <c r="AZ3954">
        <v>3614</v>
      </c>
      <c r="BA3954">
        <v>1</v>
      </c>
      <c r="BB3954" t="str">
        <f t="shared" si="185"/>
        <v xml:space="preserve">N959MJ  </v>
      </c>
      <c r="BC3954">
        <v>1</v>
      </c>
      <c r="BE3954">
        <v>0</v>
      </c>
      <c r="BF3954">
        <v>0</v>
      </c>
      <c r="BG3954">
        <v>0</v>
      </c>
      <c r="BH3954">
        <v>650</v>
      </c>
      <c r="BI3954">
        <v>250</v>
      </c>
      <c r="BJ3954">
        <v>1</v>
      </c>
      <c r="BK3954">
        <v>1</v>
      </c>
      <c r="BL3954">
        <v>1</v>
      </c>
      <c r="BM3954">
        <v>0</v>
      </c>
      <c r="BP3954">
        <v>0</v>
      </c>
      <c r="BQ3954">
        <v>0</v>
      </c>
      <c r="BX3954" t="str">
        <f>"14:56:20.945"</f>
        <v>14:56:20.945</v>
      </c>
      <c r="BY3954" t="str">
        <f>"941832331"</f>
        <v>941832331</v>
      </c>
      <c r="CL3954">
        <v>3</v>
      </c>
      <c r="CM3954">
        <v>2</v>
      </c>
      <c r="CN3954">
        <v>0</v>
      </c>
      <c r="CO3954">
        <v>2</v>
      </c>
      <c r="CP3954">
        <v>0</v>
      </c>
      <c r="CQ3954">
        <v>6</v>
      </c>
      <c r="CR3954" t="s">
        <v>116</v>
      </c>
      <c r="CS3954">
        <v>305</v>
      </c>
      <c r="CT3954">
        <v>3</v>
      </c>
      <c r="CU3954" t="s">
        <v>6425</v>
      </c>
      <c r="CV3954" t="s">
        <v>6426</v>
      </c>
      <c r="CY3954">
        <v>6740258</v>
      </c>
      <c r="CZ3954" t="s">
        <v>119</v>
      </c>
    </row>
    <row r="3955" spans="1:104" x14ac:dyDescent="0.25">
      <c r="A3955" t="str">
        <f>"14:56:22.195"</f>
        <v>14:56:22.195</v>
      </c>
      <c r="B3955" t="s">
        <v>108</v>
      </c>
      <c r="C3955" t="str">
        <f t="shared" si="184"/>
        <v>ffdfd3c0</v>
      </c>
      <c r="D3955" t="s">
        <v>109</v>
      </c>
      <c r="E3955">
        <v>4</v>
      </c>
      <c r="F3955">
        <v>1004</v>
      </c>
      <c r="G3955" t="s">
        <v>110</v>
      </c>
      <c r="J3955" t="s">
        <v>111</v>
      </c>
      <c r="K3955">
        <v>0</v>
      </c>
      <c r="L3955">
        <v>3</v>
      </c>
      <c r="M3955">
        <v>0</v>
      </c>
      <c r="N3955">
        <v>2</v>
      </c>
      <c r="O3955">
        <v>1</v>
      </c>
      <c r="P3955">
        <v>0</v>
      </c>
      <c r="Q3955">
        <v>0</v>
      </c>
      <c r="R3955" t="s">
        <v>112</v>
      </c>
      <c r="S3955" t="str">
        <f>"14:56:22.008"</f>
        <v>14:56:22.008</v>
      </c>
      <c r="T3955" t="str">
        <f>"14:56:21.508"</f>
        <v>14:56:21.508</v>
      </c>
      <c r="U3955" t="str">
        <f t="shared" si="183"/>
        <v>ad5732</v>
      </c>
      <c r="V3955">
        <v>0</v>
      </c>
      <c r="W3955">
        <v>0</v>
      </c>
      <c r="X3955">
        <v>1</v>
      </c>
      <c r="Z3955">
        <v>0</v>
      </c>
      <c r="AA3955">
        <v>9</v>
      </c>
      <c r="AB3955">
        <v>3</v>
      </c>
      <c r="AC3955">
        <v>0</v>
      </c>
      <c r="AD3955">
        <v>10</v>
      </c>
      <c r="AE3955">
        <v>0</v>
      </c>
      <c r="AF3955">
        <v>3</v>
      </c>
      <c r="AG3955">
        <v>2</v>
      </c>
      <c r="AH3955">
        <v>0</v>
      </c>
      <c r="AI3955" t="s">
        <v>7958</v>
      </c>
      <c r="AJ3955">
        <v>40.552683000000002</v>
      </c>
      <c r="AK3955" t="s">
        <v>7959</v>
      </c>
      <c r="AL3955">
        <v>-74.33135</v>
      </c>
      <c r="AM3955">
        <v>100</v>
      </c>
      <c r="AN3955">
        <v>400</v>
      </c>
      <c r="AO3955" t="s">
        <v>115</v>
      </c>
      <c r="AP3955">
        <v>46</v>
      </c>
      <c r="AQ3955">
        <v>102</v>
      </c>
      <c r="AR3955">
        <v>-384</v>
      </c>
      <c r="AZ3955">
        <v>3614</v>
      </c>
      <c r="BA3955">
        <v>1</v>
      </c>
      <c r="BB3955" t="str">
        <f t="shared" si="185"/>
        <v xml:space="preserve">N959MJ  </v>
      </c>
      <c r="BC3955">
        <v>1</v>
      </c>
      <c r="BE3955">
        <v>0</v>
      </c>
      <c r="BF3955">
        <v>0</v>
      </c>
      <c r="BG3955">
        <v>0</v>
      </c>
      <c r="BH3955">
        <v>650</v>
      </c>
      <c r="BI3955">
        <v>250</v>
      </c>
      <c r="BJ3955">
        <v>1</v>
      </c>
      <c r="BK3955">
        <v>1</v>
      </c>
      <c r="BL3955">
        <v>1</v>
      </c>
      <c r="BM3955">
        <v>0</v>
      </c>
      <c r="BP3955">
        <v>0</v>
      </c>
      <c r="BQ3955">
        <v>0</v>
      </c>
      <c r="BX3955" t="str">
        <f>"14:56:22.016"</f>
        <v>14:56:22.016</v>
      </c>
      <c r="BY3955" t="str">
        <f>"011726378"</f>
        <v>011726378</v>
      </c>
      <c r="CL3955">
        <v>3</v>
      </c>
      <c r="CM3955">
        <v>2</v>
      </c>
      <c r="CN3955">
        <v>0</v>
      </c>
      <c r="CO3955">
        <v>2</v>
      </c>
      <c r="CP3955">
        <v>0</v>
      </c>
      <c r="CQ3955">
        <v>7</v>
      </c>
      <c r="CR3955" t="s">
        <v>116</v>
      </c>
      <c r="CS3955">
        <v>305</v>
      </c>
      <c r="CT3955">
        <v>3</v>
      </c>
      <c r="CU3955" t="s">
        <v>6425</v>
      </c>
      <c r="CV3955" t="s">
        <v>6426</v>
      </c>
      <c r="CY3955">
        <v>6742532</v>
      </c>
      <c r="CZ3955" t="s">
        <v>119</v>
      </c>
    </row>
    <row r="3956" spans="1:104" x14ac:dyDescent="0.25">
      <c r="A3956" t="str">
        <f>"14:56:23.258"</f>
        <v>14:56:23.258</v>
      </c>
      <c r="B3956" t="s">
        <v>108</v>
      </c>
      <c r="C3956" t="str">
        <f t="shared" si="184"/>
        <v>ffdfd3c0</v>
      </c>
      <c r="D3956" t="s">
        <v>109</v>
      </c>
      <c r="E3956">
        <v>4</v>
      </c>
      <c r="F3956">
        <v>1004</v>
      </c>
      <c r="G3956" t="s">
        <v>110</v>
      </c>
      <c r="J3956" t="s">
        <v>111</v>
      </c>
      <c r="K3956">
        <v>0</v>
      </c>
      <c r="L3956">
        <v>3</v>
      </c>
      <c r="M3956">
        <v>0</v>
      </c>
      <c r="N3956">
        <v>2</v>
      </c>
      <c r="O3956">
        <v>1</v>
      </c>
      <c r="P3956">
        <v>0</v>
      </c>
      <c r="Q3956">
        <v>0</v>
      </c>
      <c r="R3956" t="s">
        <v>112</v>
      </c>
      <c r="S3956" t="str">
        <f>"14:56:23.031"</f>
        <v>14:56:23.031</v>
      </c>
      <c r="T3956" t="str">
        <f>"14:56:21.531"</f>
        <v>14:56:21.531</v>
      </c>
      <c r="U3956" t="str">
        <f t="shared" si="183"/>
        <v>ad5732</v>
      </c>
      <c r="V3956">
        <v>0</v>
      </c>
      <c r="W3956">
        <v>0</v>
      </c>
      <c r="X3956">
        <v>1</v>
      </c>
      <c r="Z3956">
        <v>0</v>
      </c>
      <c r="AA3956">
        <v>9</v>
      </c>
      <c r="AB3956">
        <v>3</v>
      </c>
      <c r="AC3956">
        <v>0</v>
      </c>
      <c r="AD3956">
        <v>10</v>
      </c>
      <c r="AE3956">
        <v>0</v>
      </c>
      <c r="AF3956">
        <v>3</v>
      </c>
      <c r="AG3956">
        <v>2</v>
      </c>
      <c r="AH3956">
        <v>0</v>
      </c>
      <c r="AI3956" t="s">
        <v>7960</v>
      </c>
      <c r="AJ3956">
        <v>40.553198000000002</v>
      </c>
      <c r="AK3956" t="s">
        <v>7961</v>
      </c>
      <c r="AL3956">
        <v>-74.331070999999994</v>
      </c>
      <c r="AM3956">
        <v>100</v>
      </c>
      <c r="AN3956">
        <v>400</v>
      </c>
      <c r="AO3956" t="s">
        <v>115</v>
      </c>
      <c r="AP3956">
        <v>46</v>
      </c>
      <c r="AQ3956">
        <v>102</v>
      </c>
      <c r="AR3956">
        <v>-384</v>
      </c>
      <c r="AZ3956">
        <v>3614</v>
      </c>
      <c r="BA3956">
        <v>1</v>
      </c>
      <c r="BB3956" t="str">
        <f t="shared" si="185"/>
        <v xml:space="preserve">N959MJ  </v>
      </c>
      <c r="BC3956">
        <v>1</v>
      </c>
      <c r="BE3956">
        <v>0</v>
      </c>
      <c r="BF3956">
        <v>0</v>
      </c>
      <c r="BG3956">
        <v>0</v>
      </c>
      <c r="BH3956">
        <v>650</v>
      </c>
      <c r="BI3956">
        <v>250</v>
      </c>
      <c r="BJ3956">
        <v>1</v>
      </c>
      <c r="BK3956">
        <v>1</v>
      </c>
      <c r="BL3956">
        <v>1</v>
      </c>
      <c r="BM3956">
        <v>0</v>
      </c>
      <c r="BP3956">
        <v>0</v>
      </c>
      <c r="BQ3956">
        <v>0</v>
      </c>
      <c r="BX3956" t="str">
        <f>"14:56:23.031"</f>
        <v>14:56:23.031</v>
      </c>
      <c r="BY3956" t="str">
        <f>"034106052"</f>
        <v>034106052</v>
      </c>
      <c r="CL3956">
        <v>3</v>
      </c>
      <c r="CM3956">
        <v>2</v>
      </c>
      <c r="CN3956">
        <v>0</v>
      </c>
      <c r="CO3956">
        <v>2</v>
      </c>
      <c r="CP3956">
        <v>0</v>
      </c>
      <c r="CQ3956">
        <v>4</v>
      </c>
      <c r="CR3956" t="s">
        <v>116</v>
      </c>
      <c r="CS3956">
        <v>305</v>
      </c>
      <c r="CT3956">
        <v>0</v>
      </c>
      <c r="CU3956" t="s">
        <v>6425</v>
      </c>
      <c r="CV3956" t="s">
        <v>6426</v>
      </c>
      <c r="CY3956">
        <v>5360908</v>
      </c>
      <c r="CZ3956" t="s">
        <v>119</v>
      </c>
    </row>
    <row r="3957" spans="1:104" x14ac:dyDescent="0.25">
      <c r="A3957" t="str">
        <f>"14:56:24.414"</f>
        <v>14:56:24.414</v>
      </c>
      <c r="B3957" t="s">
        <v>108</v>
      </c>
      <c r="C3957" t="str">
        <f t="shared" si="184"/>
        <v>ffdfd3c0</v>
      </c>
      <c r="D3957" t="s">
        <v>109</v>
      </c>
      <c r="E3957">
        <v>4</v>
      </c>
      <c r="F3957">
        <v>1004</v>
      </c>
      <c r="G3957" t="s">
        <v>110</v>
      </c>
      <c r="J3957" t="s">
        <v>111</v>
      </c>
      <c r="K3957">
        <v>0</v>
      </c>
      <c r="L3957">
        <v>3</v>
      </c>
      <c r="M3957">
        <v>0</v>
      </c>
      <c r="N3957">
        <v>2</v>
      </c>
      <c r="O3957">
        <v>1</v>
      </c>
      <c r="P3957">
        <v>0</v>
      </c>
      <c r="Q3957">
        <v>0</v>
      </c>
      <c r="R3957" t="s">
        <v>112</v>
      </c>
      <c r="S3957" t="str">
        <f>"14:56:24.211"</f>
        <v>14:56:24.211</v>
      </c>
      <c r="T3957" t="str">
        <f>"14:56:23.711"</f>
        <v>14:56:23.711</v>
      </c>
      <c r="U3957" t="str">
        <f t="shared" si="183"/>
        <v>ad5732</v>
      </c>
      <c r="V3957">
        <v>0</v>
      </c>
      <c r="W3957">
        <v>0</v>
      </c>
      <c r="X3957">
        <v>1</v>
      </c>
      <c r="Z3957">
        <v>0</v>
      </c>
      <c r="AA3957">
        <v>9</v>
      </c>
      <c r="AB3957">
        <v>3</v>
      </c>
      <c r="AC3957">
        <v>0</v>
      </c>
      <c r="AD3957">
        <v>10</v>
      </c>
      <c r="AE3957">
        <v>0</v>
      </c>
      <c r="AF3957">
        <v>3</v>
      </c>
      <c r="AG3957">
        <v>2</v>
      </c>
      <c r="AH3957">
        <v>0</v>
      </c>
      <c r="AI3957" t="s">
        <v>7962</v>
      </c>
      <c r="AJ3957">
        <v>40.553691000000001</v>
      </c>
      <c r="AK3957" t="s">
        <v>7963</v>
      </c>
      <c r="AL3957">
        <v>-74.330749999999995</v>
      </c>
      <c r="AM3957">
        <v>100</v>
      </c>
      <c r="AN3957">
        <v>400</v>
      </c>
      <c r="AO3957" t="s">
        <v>115</v>
      </c>
      <c r="AP3957">
        <v>45</v>
      </c>
      <c r="AQ3957">
        <v>100</v>
      </c>
      <c r="AR3957">
        <v>-128</v>
      </c>
      <c r="AZ3957">
        <v>3614</v>
      </c>
      <c r="BA3957">
        <v>1</v>
      </c>
      <c r="BB3957" t="str">
        <f t="shared" si="185"/>
        <v xml:space="preserve">N959MJ  </v>
      </c>
      <c r="BC3957">
        <v>1</v>
      </c>
      <c r="BE3957">
        <v>0</v>
      </c>
      <c r="BF3957">
        <v>0</v>
      </c>
      <c r="BG3957">
        <v>0</v>
      </c>
      <c r="BH3957">
        <v>650</v>
      </c>
      <c r="BI3957">
        <v>250</v>
      </c>
      <c r="BJ3957">
        <v>1</v>
      </c>
      <c r="BK3957">
        <v>1</v>
      </c>
      <c r="BL3957">
        <v>1</v>
      </c>
      <c r="BM3957">
        <v>0</v>
      </c>
      <c r="BP3957">
        <v>0</v>
      </c>
      <c r="BQ3957">
        <v>0</v>
      </c>
      <c r="BX3957" t="str">
        <f>"14:56:24.219"</f>
        <v>14:56:24.219</v>
      </c>
      <c r="BY3957" t="str">
        <f>"217051635"</f>
        <v>217051635</v>
      </c>
      <c r="CL3957">
        <v>3</v>
      </c>
      <c r="CM3957">
        <v>2</v>
      </c>
      <c r="CN3957">
        <v>0</v>
      </c>
      <c r="CO3957">
        <v>2</v>
      </c>
      <c r="CP3957">
        <v>0</v>
      </c>
      <c r="CQ3957">
        <v>6</v>
      </c>
      <c r="CR3957" t="s">
        <v>116</v>
      </c>
      <c r="CS3957">
        <v>305</v>
      </c>
      <c r="CT3957">
        <v>3</v>
      </c>
      <c r="CU3957" t="s">
        <v>6425</v>
      </c>
      <c r="CV3957" t="s">
        <v>6426</v>
      </c>
      <c r="CY3957">
        <v>6746900</v>
      </c>
      <c r="CZ3957" t="s">
        <v>119</v>
      </c>
    </row>
    <row r="3958" spans="1:104" x14ac:dyDescent="0.25">
      <c r="A3958" t="str">
        <f>"14:56:25.375"</f>
        <v>14:56:25.375</v>
      </c>
      <c r="B3958" t="s">
        <v>108</v>
      </c>
      <c r="C3958" t="str">
        <f t="shared" si="184"/>
        <v>ffdfd3c0</v>
      </c>
      <c r="D3958" t="s">
        <v>109</v>
      </c>
      <c r="E3958">
        <v>4</v>
      </c>
      <c r="F3958">
        <v>1004</v>
      </c>
      <c r="G3958" t="s">
        <v>110</v>
      </c>
      <c r="J3958" t="s">
        <v>111</v>
      </c>
      <c r="K3958">
        <v>0</v>
      </c>
      <c r="L3958">
        <v>3</v>
      </c>
      <c r="M3958">
        <v>0</v>
      </c>
      <c r="N3958">
        <v>2</v>
      </c>
      <c r="O3958">
        <v>1</v>
      </c>
      <c r="P3958">
        <v>0</v>
      </c>
      <c r="Q3958">
        <v>0</v>
      </c>
      <c r="R3958" t="s">
        <v>112</v>
      </c>
      <c r="S3958" t="str">
        <f>"14:56:25.219"</f>
        <v>14:56:25.219</v>
      </c>
      <c r="T3958" t="str">
        <f>"14:56:24.219"</f>
        <v>14:56:24.219</v>
      </c>
      <c r="U3958" t="str">
        <f t="shared" si="183"/>
        <v>ad5732</v>
      </c>
      <c r="V3958">
        <v>0</v>
      </c>
      <c r="W3958">
        <v>0</v>
      </c>
      <c r="X3958">
        <v>1</v>
      </c>
      <c r="Z3958">
        <v>0</v>
      </c>
      <c r="AA3958">
        <v>9</v>
      </c>
      <c r="AB3958">
        <v>3</v>
      </c>
      <c r="AC3958">
        <v>0</v>
      </c>
      <c r="AD3958">
        <v>10</v>
      </c>
      <c r="AE3958">
        <v>0</v>
      </c>
      <c r="AF3958">
        <v>3</v>
      </c>
      <c r="AG3958">
        <v>2</v>
      </c>
      <c r="AH3958">
        <v>0</v>
      </c>
      <c r="AI3958" t="s">
        <v>7964</v>
      </c>
      <c r="AJ3958">
        <v>40.554163000000003</v>
      </c>
      <c r="AK3958" t="s">
        <v>7965</v>
      </c>
      <c r="AL3958">
        <v>-74.330512999999996</v>
      </c>
      <c r="AM3958">
        <v>100</v>
      </c>
      <c r="AN3958">
        <v>400</v>
      </c>
      <c r="AO3958" t="s">
        <v>115</v>
      </c>
      <c r="AP3958">
        <v>45</v>
      </c>
      <c r="AQ3958">
        <v>100</v>
      </c>
      <c r="AR3958">
        <v>-128</v>
      </c>
      <c r="AZ3958">
        <v>3614</v>
      </c>
      <c r="BA3958">
        <v>1</v>
      </c>
      <c r="BB3958" t="str">
        <f t="shared" si="185"/>
        <v xml:space="preserve">N959MJ  </v>
      </c>
      <c r="BC3958">
        <v>1</v>
      </c>
      <c r="BE3958">
        <v>0</v>
      </c>
      <c r="BF3958">
        <v>0</v>
      </c>
      <c r="BG3958">
        <v>0</v>
      </c>
      <c r="BH3958">
        <v>650</v>
      </c>
      <c r="BI3958">
        <v>250</v>
      </c>
      <c r="BJ3958">
        <v>1</v>
      </c>
      <c r="BK3958">
        <v>1</v>
      </c>
      <c r="BL3958">
        <v>1</v>
      </c>
      <c r="BM3958">
        <v>0</v>
      </c>
      <c r="BP3958">
        <v>0</v>
      </c>
      <c r="BQ3958">
        <v>0</v>
      </c>
      <c r="BX3958" t="str">
        <f>"14:56:25.227"</f>
        <v>14:56:25.227</v>
      </c>
      <c r="BY3958" t="str">
        <f>"226323814"</f>
        <v>226323814</v>
      </c>
      <c r="CL3958">
        <v>3</v>
      </c>
      <c r="CM3958">
        <v>2</v>
      </c>
      <c r="CN3958">
        <v>0</v>
      </c>
      <c r="CO3958">
        <v>2</v>
      </c>
      <c r="CP3958">
        <v>0</v>
      </c>
      <c r="CQ3958">
        <v>7</v>
      </c>
      <c r="CR3958" t="s">
        <v>116</v>
      </c>
      <c r="CS3958">
        <v>305</v>
      </c>
      <c r="CT3958">
        <v>3</v>
      </c>
      <c r="CU3958" t="s">
        <v>6425</v>
      </c>
      <c r="CV3958" t="s">
        <v>6426</v>
      </c>
      <c r="CY3958">
        <v>6749147</v>
      </c>
      <c r="CZ3958" t="s">
        <v>119</v>
      </c>
    </row>
    <row r="3959" spans="1:104" x14ac:dyDescent="0.25">
      <c r="A3959" t="str">
        <f>"14:56:26.539"</f>
        <v>14:56:26.539</v>
      </c>
      <c r="B3959" t="s">
        <v>108</v>
      </c>
      <c r="C3959" t="str">
        <f t="shared" si="184"/>
        <v>ffdfd3c0</v>
      </c>
      <c r="D3959" t="s">
        <v>109</v>
      </c>
      <c r="E3959">
        <v>4</v>
      </c>
      <c r="F3959">
        <v>1004</v>
      </c>
      <c r="G3959" t="s">
        <v>110</v>
      </c>
      <c r="J3959" t="s">
        <v>111</v>
      </c>
      <c r="K3959">
        <v>0</v>
      </c>
      <c r="L3959">
        <v>3</v>
      </c>
      <c r="M3959">
        <v>0</v>
      </c>
      <c r="N3959">
        <v>2</v>
      </c>
      <c r="O3959">
        <v>1</v>
      </c>
      <c r="P3959">
        <v>0</v>
      </c>
      <c r="Q3959">
        <v>0</v>
      </c>
      <c r="R3959" t="s">
        <v>112</v>
      </c>
      <c r="S3959" t="str">
        <f>"14:56:26.359"</f>
        <v>14:56:26.359</v>
      </c>
      <c r="T3959" t="str">
        <f>"14:56:25.859"</f>
        <v>14:56:25.859</v>
      </c>
      <c r="U3959" t="str">
        <f t="shared" si="183"/>
        <v>ad5732</v>
      </c>
      <c r="V3959">
        <v>0</v>
      </c>
      <c r="W3959">
        <v>0</v>
      </c>
      <c r="X3959">
        <v>1</v>
      </c>
      <c r="Z3959">
        <v>0</v>
      </c>
      <c r="AA3959">
        <v>9</v>
      </c>
      <c r="AB3959">
        <v>3</v>
      </c>
      <c r="AC3959">
        <v>0</v>
      </c>
      <c r="AD3959">
        <v>10</v>
      </c>
      <c r="AE3959">
        <v>0</v>
      </c>
      <c r="AF3959">
        <v>3</v>
      </c>
      <c r="AG3959">
        <v>2</v>
      </c>
      <c r="AH3959">
        <v>0</v>
      </c>
      <c r="AI3959" t="s">
        <v>7966</v>
      </c>
      <c r="AJ3959">
        <v>40.554699999999997</v>
      </c>
      <c r="AK3959" t="s">
        <v>7967</v>
      </c>
      <c r="AL3959">
        <v>-74.330191999999997</v>
      </c>
      <c r="AM3959">
        <v>100</v>
      </c>
      <c r="AN3959">
        <v>400</v>
      </c>
      <c r="AO3959" t="s">
        <v>115</v>
      </c>
      <c r="AP3959">
        <v>45</v>
      </c>
      <c r="AQ3959">
        <v>98</v>
      </c>
      <c r="AR3959">
        <v>-64</v>
      </c>
      <c r="AZ3959">
        <v>3614</v>
      </c>
      <c r="BA3959">
        <v>1</v>
      </c>
      <c r="BB3959" t="str">
        <f t="shared" si="185"/>
        <v xml:space="preserve">N959MJ  </v>
      </c>
      <c r="BC3959">
        <v>1</v>
      </c>
      <c r="BE3959">
        <v>0</v>
      </c>
      <c r="BF3959">
        <v>0</v>
      </c>
      <c r="BG3959">
        <v>0</v>
      </c>
      <c r="BH3959">
        <v>650</v>
      </c>
      <c r="BI3959">
        <v>250</v>
      </c>
      <c r="BJ3959">
        <v>1</v>
      </c>
      <c r="BK3959">
        <v>1</v>
      </c>
      <c r="BL3959">
        <v>1</v>
      </c>
      <c r="BM3959">
        <v>0</v>
      </c>
      <c r="BP3959">
        <v>0</v>
      </c>
      <c r="BQ3959">
        <v>0</v>
      </c>
      <c r="BX3959" t="str">
        <f>"14:56:26.367"</f>
        <v>14:56:26.367</v>
      </c>
      <c r="BY3959" t="str">
        <f>"366670408"</f>
        <v>366670408</v>
      </c>
      <c r="CL3959">
        <v>3</v>
      </c>
      <c r="CM3959">
        <v>2</v>
      </c>
      <c r="CN3959">
        <v>0</v>
      </c>
      <c r="CO3959">
        <v>2</v>
      </c>
      <c r="CP3959">
        <v>0</v>
      </c>
      <c r="CQ3959">
        <v>4</v>
      </c>
      <c r="CR3959" t="s">
        <v>116</v>
      </c>
      <c r="CS3959">
        <v>305</v>
      </c>
      <c r="CT3959">
        <v>0</v>
      </c>
      <c r="CU3959" t="s">
        <v>6425</v>
      </c>
      <c r="CV3959" t="s">
        <v>6426</v>
      </c>
      <c r="CY3959">
        <v>5363590</v>
      </c>
      <c r="CZ3959" t="s">
        <v>119</v>
      </c>
    </row>
    <row r="3960" spans="1:104" x14ac:dyDescent="0.25">
      <c r="A3960" t="str">
        <f>"14:56:27.648"</f>
        <v>14:56:27.648</v>
      </c>
      <c r="B3960" t="s">
        <v>108</v>
      </c>
      <c r="C3960" t="str">
        <f t="shared" si="184"/>
        <v>ffdfd3c0</v>
      </c>
      <c r="D3960" t="s">
        <v>109</v>
      </c>
      <c r="E3960">
        <v>4</v>
      </c>
      <c r="F3960">
        <v>1004</v>
      </c>
      <c r="G3960" t="s">
        <v>110</v>
      </c>
      <c r="J3960" t="s">
        <v>111</v>
      </c>
      <c r="K3960">
        <v>0</v>
      </c>
      <c r="L3960">
        <v>3</v>
      </c>
      <c r="M3960">
        <v>0</v>
      </c>
      <c r="N3960">
        <v>2</v>
      </c>
      <c r="O3960">
        <v>1</v>
      </c>
      <c r="P3960">
        <v>0</v>
      </c>
      <c r="Q3960">
        <v>0</v>
      </c>
      <c r="R3960" t="s">
        <v>112</v>
      </c>
      <c r="S3960" t="str">
        <f>"14:56:27.500"</f>
        <v>14:56:27.500</v>
      </c>
      <c r="T3960" t="str">
        <f>"14:56:27.000"</f>
        <v>14:56:27.000</v>
      </c>
      <c r="U3960" t="str">
        <f t="shared" si="183"/>
        <v>ad5732</v>
      </c>
      <c r="V3960">
        <v>0</v>
      </c>
      <c r="W3960">
        <v>0</v>
      </c>
      <c r="X3960">
        <v>1</v>
      </c>
      <c r="Z3960">
        <v>0</v>
      </c>
      <c r="AA3960">
        <v>9</v>
      </c>
      <c r="AB3960">
        <v>3</v>
      </c>
      <c r="AC3960">
        <v>0</v>
      </c>
      <c r="AD3960">
        <v>10</v>
      </c>
      <c r="AE3960">
        <v>0</v>
      </c>
      <c r="AF3960">
        <v>3</v>
      </c>
      <c r="AG3960">
        <v>2</v>
      </c>
      <c r="AH3960">
        <v>0</v>
      </c>
      <c r="AI3960" t="s">
        <v>7968</v>
      </c>
      <c r="AJ3960">
        <v>40.555193000000003</v>
      </c>
      <c r="AK3960" t="s">
        <v>7969</v>
      </c>
      <c r="AL3960">
        <v>-74.32987</v>
      </c>
      <c r="AM3960">
        <v>100</v>
      </c>
      <c r="AN3960">
        <v>400</v>
      </c>
      <c r="AO3960" t="s">
        <v>115</v>
      </c>
      <c r="AP3960">
        <v>45</v>
      </c>
      <c r="AQ3960">
        <v>97</v>
      </c>
      <c r="AR3960">
        <v>-192</v>
      </c>
      <c r="AZ3960">
        <v>3614</v>
      </c>
      <c r="BA3960">
        <v>1</v>
      </c>
      <c r="BB3960" t="str">
        <f t="shared" si="185"/>
        <v xml:space="preserve">N959MJ  </v>
      </c>
      <c r="BC3960">
        <v>1</v>
      </c>
      <c r="BE3960">
        <v>0</v>
      </c>
      <c r="BF3960">
        <v>0</v>
      </c>
      <c r="BG3960">
        <v>0</v>
      </c>
      <c r="BH3960">
        <v>650</v>
      </c>
      <c r="BI3960">
        <v>250</v>
      </c>
      <c r="BJ3960">
        <v>1</v>
      </c>
      <c r="BK3960">
        <v>1</v>
      </c>
      <c r="BL3960">
        <v>1</v>
      </c>
      <c r="BM3960">
        <v>0</v>
      </c>
      <c r="BP3960">
        <v>0</v>
      </c>
      <c r="BQ3960">
        <v>0</v>
      </c>
      <c r="BX3960" t="str">
        <f>"14:56:27.500"</f>
        <v>14:56:27.500</v>
      </c>
      <c r="BY3960" t="str">
        <f>"502101526"</f>
        <v>502101526</v>
      </c>
      <c r="CL3960">
        <v>3</v>
      </c>
      <c r="CM3960">
        <v>2</v>
      </c>
      <c r="CN3960">
        <v>0</v>
      </c>
      <c r="CO3960">
        <v>2</v>
      </c>
      <c r="CP3960">
        <v>0</v>
      </c>
      <c r="CQ3960">
        <v>7</v>
      </c>
      <c r="CR3960" t="s">
        <v>116</v>
      </c>
      <c r="CS3960">
        <v>305</v>
      </c>
      <c r="CT3960">
        <v>3</v>
      </c>
      <c r="CU3960" t="s">
        <v>6425</v>
      </c>
      <c r="CV3960" t="s">
        <v>6426</v>
      </c>
      <c r="CY3960">
        <v>6754077</v>
      </c>
      <c r="CZ3960" t="s">
        <v>119</v>
      </c>
    </row>
    <row r="3961" spans="1:104" x14ac:dyDescent="0.25">
      <c r="A3961" t="str">
        <f>"14:56:28.555"</f>
        <v>14:56:28.555</v>
      </c>
      <c r="B3961" t="s">
        <v>108</v>
      </c>
      <c r="C3961" t="str">
        <f t="shared" si="184"/>
        <v>ffdfd3c0</v>
      </c>
      <c r="D3961" t="s">
        <v>109</v>
      </c>
      <c r="E3961">
        <v>4</v>
      </c>
      <c r="F3961">
        <v>1004</v>
      </c>
      <c r="G3961" t="s">
        <v>110</v>
      </c>
      <c r="J3961" t="s">
        <v>111</v>
      </c>
      <c r="K3961">
        <v>0</v>
      </c>
      <c r="L3961">
        <v>3</v>
      </c>
      <c r="M3961">
        <v>0</v>
      </c>
      <c r="N3961">
        <v>2</v>
      </c>
      <c r="O3961">
        <v>1</v>
      </c>
      <c r="P3961">
        <v>0</v>
      </c>
      <c r="Q3961">
        <v>0</v>
      </c>
      <c r="R3961" t="s">
        <v>112</v>
      </c>
      <c r="S3961" t="str">
        <f>"14:56:28.383"</f>
        <v>14:56:28.383</v>
      </c>
      <c r="T3961" t="str">
        <f>"14:56:27.984"</f>
        <v>14:56:27.984</v>
      </c>
      <c r="U3961" t="str">
        <f t="shared" si="183"/>
        <v>ad5732</v>
      </c>
      <c r="V3961">
        <v>0</v>
      </c>
      <c r="W3961">
        <v>0</v>
      </c>
      <c r="X3961">
        <v>1</v>
      </c>
      <c r="Z3961">
        <v>0</v>
      </c>
      <c r="AA3961">
        <v>9</v>
      </c>
      <c r="AB3961">
        <v>3</v>
      </c>
      <c r="AC3961">
        <v>0</v>
      </c>
      <c r="AD3961">
        <v>10</v>
      </c>
      <c r="AE3961">
        <v>0</v>
      </c>
      <c r="AF3961">
        <v>3</v>
      </c>
      <c r="AG3961">
        <v>2</v>
      </c>
      <c r="AH3961">
        <v>0</v>
      </c>
      <c r="AI3961" t="s">
        <v>7970</v>
      </c>
      <c r="AJ3961">
        <v>40.555579999999999</v>
      </c>
      <c r="AK3961" t="s">
        <v>7971</v>
      </c>
      <c r="AL3961">
        <v>-74.329655000000002</v>
      </c>
      <c r="AM3961">
        <v>100</v>
      </c>
      <c r="AN3961">
        <v>400</v>
      </c>
      <c r="AO3961" t="s">
        <v>115</v>
      </c>
      <c r="AP3961">
        <v>45</v>
      </c>
      <c r="AQ3961">
        <v>95</v>
      </c>
      <c r="AR3961">
        <v>-256</v>
      </c>
      <c r="AZ3961">
        <v>3614</v>
      </c>
      <c r="BA3961">
        <v>1</v>
      </c>
      <c r="BB3961" t="str">
        <f t="shared" si="185"/>
        <v xml:space="preserve">N959MJ  </v>
      </c>
      <c r="BC3961">
        <v>1</v>
      </c>
      <c r="BE3961">
        <v>0</v>
      </c>
      <c r="BF3961">
        <v>0</v>
      </c>
      <c r="BG3961">
        <v>0</v>
      </c>
      <c r="BH3961">
        <v>625</v>
      </c>
      <c r="BI3961">
        <v>225</v>
      </c>
      <c r="BJ3961">
        <v>1</v>
      </c>
      <c r="BK3961">
        <v>1</v>
      </c>
      <c r="BL3961">
        <v>1</v>
      </c>
      <c r="BM3961">
        <v>0</v>
      </c>
      <c r="BP3961">
        <v>0</v>
      </c>
      <c r="BQ3961">
        <v>0</v>
      </c>
      <c r="BX3961" t="str">
        <f>"14:56:28.391"</f>
        <v>14:56:28.391</v>
      </c>
      <c r="BY3961" t="str">
        <f>"388491589"</f>
        <v>388491589</v>
      </c>
      <c r="CL3961">
        <v>3</v>
      </c>
      <c r="CM3961">
        <v>2</v>
      </c>
      <c r="CN3961">
        <v>0</v>
      </c>
      <c r="CO3961">
        <v>2</v>
      </c>
      <c r="CP3961">
        <v>0</v>
      </c>
      <c r="CQ3961">
        <v>7</v>
      </c>
      <c r="CR3961" t="s">
        <v>116</v>
      </c>
      <c r="CS3961">
        <v>305</v>
      </c>
      <c r="CT3961">
        <v>3</v>
      </c>
      <c r="CU3961" t="s">
        <v>6425</v>
      </c>
      <c r="CV3961" t="s">
        <v>6426</v>
      </c>
      <c r="CY3961">
        <v>6755949</v>
      </c>
      <c r="CZ3961" t="s">
        <v>119</v>
      </c>
    </row>
    <row r="3962" spans="1:104" x14ac:dyDescent="0.25">
      <c r="A3962" t="str">
        <f>"14:56:29.570"</f>
        <v>14:56:29.570</v>
      </c>
      <c r="B3962" t="s">
        <v>108</v>
      </c>
      <c r="C3962" t="str">
        <f t="shared" si="184"/>
        <v>ffdfd3c0</v>
      </c>
      <c r="D3962" t="s">
        <v>109</v>
      </c>
      <c r="E3962">
        <v>4</v>
      </c>
      <c r="F3962">
        <v>1004</v>
      </c>
      <c r="G3962" t="s">
        <v>110</v>
      </c>
      <c r="J3962" t="s">
        <v>111</v>
      </c>
      <c r="K3962">
        <v>0</v>
      </c>
      <c r="L3962">
        <v>3</v>
      </c>
      <c r="M3962">
        <v>0</v>
      </c>
      <c r="N3962">
        <v>2</v>
      </c>
      <c r="O3962">
        <v>1</v>
      </c>
      <c r="P3962">
        <v>0</v>
      </c>
      <c r="Q3962">
        <v>0</v>
      </c>
      <c r="R3962" t="s">
        <v>112</v>
      </c>
      <c r="S3962" t="str">
        <f>"14:56:29.359"</f>
        <v>14:56:29.359</v>
      </c>
      <c r="T3962" t="str">
        <f>"14:56:28.961"</f>
        <v>14:56:28.961</v>
      </c>
      <c r="U3962" t="str">
        <f t="shared" si="183"/>
        <v>ad5732</v>
      </c>
      <c r="V3962">
        <v>0</v>
      </c>
      <c r="W3962">
        <v>0</v>
      </c>
      <c r="X3962">
        <v>1</v>
      </c>
      <c r="Z3962">
        <v>0</v>
      </c>
      <c r="AA3962">
        <v>9</v>
      </c>
      <c r="AB3962">
        <v>3</v>
      </c>
      <c r="AC3962">
        <v>0</v>
      </c>
      <c r="AD3962">
        <v>10</v>
      </c>
      <c r="AE3962">
        <v>0</v>
      </c>
      <c r="AF3962">
        <v>3</v>
      </c>
      <c r="AG3962">
        <v>2</v>
      </c>
      <c r="AH3962">
        <v>0</v>
      </c>
      <c r="AI3962" t="s">
        <v>7972</v>
      </c>
      <c r="AJ3962">
        <v>40.55603</v>
      </c>
      <c r="AK3962" t="s">
        <v>7973</v>
      </c>
      <c r="AL3962">
        <v>-74.329355000000007</v>
      </c>
      <c r="AM3962">
        <v>100</v>
      </c>
      <c r="AN3962">
        <v>400</v>
      </c>
      <c r="AO3962" t="s">
        <v>115</v>
      </c>
      <c r="AP3962">
        <v>45</v>
      </c>
      <c r="AQ3962">
        <v>95</v>
      </c>
      <c r="AR3962">
        <v>-192</v>
      </c>
      <c r="AZ3962">
        <v>3614</v>
      </c>
      <c r="BA3962">
        <v>1</v>
      </c>
      <c r="BB3962" t="str">
        <f t="shared" si="185"/>
        <v xml:space="preserve">N959MJ  </v>
      </c>
      <c r="BC3962">
        <v>1</v>
      </c>
      <c r="BE3962">
        <v>0</v>
      </c>
      <c r="BF3962">
        <v>0</v>
      </c>
      <c r="BG3962">
        <v>0</v>
      </c>
      <c r="BH3962">
        <v>625</v>
      </c>
      <c r="BI3962">
        <v>225</v>
      </c>
      <c r="BJ3962">
        <v>1</v>
      </c>
      <c r="BK3962">
        <v>1</v>
      </c>
      <c r="BL3962">
        <v>1</v>
      </c>
      <c r="BM3962">
        <v>0</v>
      </c>
      <c r="BP3962">
        <v>0</v>
      </c>
      <c r="BQ3962">
        <v>0</v>
      </c>
      <c r="BX3962" t="str">
        <f>"14:56:29.367"</f>
        <v>14:56:29.367</v>
      </c>
      <c r="BY3962" t="str">
        <f>"366633580"</f>
        <v>366633580</v>
      </c>
      <c r="CL3962">
        <v>3</v>
      </c>
      <c r="CM3962">
        <v>2</v>
      </c>
      <c r="CN3962">
        <v>0</v>
      </c>
      <c r="CO3962">
        <v>2</v>
      </c>
      <c r="CP3962">
        <v>0</v>
      </c>
      <c r="CQ3962">
        <v>7</v>
      </c>
      <c r="CR3962" t="s">
        <v>116</v>
      </c>
      <c r="CS3962">
        <v>305</v>
      </c>
      <c r="CT3962">
        <v>3</v>
      </c>
      <c r="CU3962" t="s">
        <v>6425</v>
      </c>
      <c r="CV3962" t="s">
        <v>6426</v>
      </c>
      <c r="CY3962">
        <v>6758116</v>
      </c>
      <c r="CZ3962" t="s">
        <v>119</v>
      </c>
    </row>
    <row r="3963" spans="1:104" x14ac:dyDescent="0.25">
      <c r="A3963" t="str">
        <f>"14:56:30.883"</f>
        <v>14:56:30.883</v>
      </c>
      <c r="B3963" t="s">
        <v>108</v>
      </c>
      <c r="C3963" t="str">
        <f t="shared" si="184"/>
        <v>ffdfd3c0</v>
      </c>
      <c r="D3963" t="s">
        <v>109</v>
      </c>
      <c r="E3963">
        <v>4</v>
      </c>
      <c r="F3963">
        <v>1004</v>
      </c>
      <c r="G3963" t="s">
        <v>110</v>
      </c>
      <c r="J3963" t="s">
        <v>111</v>
      </c>
      <c r="K3963">
        <v>0</v>
      </c>
      <c r="L3963">
        <v>3</v>
      </c>
      <c r="M3963">
        <v>0</v>
      </c>
      <c r="N3963">
        <v>2</v>
      </c>
      <c r="O3963">
        <v>1</v>
      </c>
      <c r="P3963">
        <v>0</v>
      </c>
      <c r="Q3963">
        <v>0</v>
      </c>
      <c r="R3963" t="s">
        <v>112</v>
      </c>
      <c r="S3963" t="str">
        <f>"14:56:30.695"</f>
        <v>14:56:30.695</v>
      </c>
      <c r="T3963" t="str">
        <f>"14:56:30.297"</f>
        <v>14:56:30.297</v>
      </c>
      <c r="U3963" t="str">
        <f t="shared" si="183"/>
        <v>ad5732</v>
      </c>
      <c r="V3963">
        <v>0</v>
      </c>
      <c r="W3963">
        <v>0</v>
      </c>
      <c r="X3963">
        <v>1</v>
      </c>
      <c r="Z3963">
        <v>0</v>
      </c>
      <c r="AA3963">
        <v>9</v>
      </c>
      <c r="AB3963">
        <v>3</v>
      </c>
      <c r="AC3963">
        <v>0</v>
      </c>
      <c r="AD3963">
        <v>10</v>
      </c>
      <c r="AE3963">
        <v>0</v>
      </c>
      <c r="AF3963">
        <v>3</v>
      </c>
      <c r="AG3963">
        <v>2</v>
      </c>
      <c r="AH3963">
        <v>0</v>
      </c>
      <c r="AI3963" t="s">
        <v>7974</v>
      </c>
      <c r="AJ3963">
        <v>40.556587999999998</v>
      </c>
      <c r="AK3963" t="s">
        <v>7975</v>
      </c>
      <c r="AL3963">
        <v>-74.329010999999994</v>
      </c>
      <c r="AM3963">
        <v>100</v>
      </c>
      <c r="AN3963">
        <v>400</v>
      </c>
      <c r="AO3963" t="s">
        <v>115</v>
      </c>
      <c r="AP3963">
        <v>45</v>
      </c>
      <c r="AQ3963">
        <v>94</v>
      </c>
      <c r="AR3963">
        <v>-256</v>
      </c>
      <c r="AZ3963">
        <v>3614</v>
      </c>
      <c r="BA3963">
        <v>1</v>
      </c>
      <c r="BB3963" t="str">
        <f t="shared" si="185"/>
        <v xml:space="preserve">N959MJ  </v>
      </c>
      <c r="BC3963">
        <v>1</v>
      </c>
      <c r="BE3963">
        <v>0</v>
      </c>
      <c r="BF3963">
        <v>0</v>
      </c>
      <c r="BG3963">
        <v>0</v>
      </c>
      <c r="BH3963">
        <v>625</v>
      </c>
      <c r="BI3963">
        <v>225</v>
      </c>
      <c r="BJ3963">
        <v>1</v>
      </c>
      <c r="BK3963">
        <v>1</v>
      </c>
      <c r="BL3963">
        <v>1</v>
      </c>
      <c r="BM3963">
        <v>0</v>
      </c>
      <c r="BP3963">
        <v>0</v>
      </c>
      <c r="BQ3963">
        <v>0</v>
      </c>
      <c r="BX3963" t="str">
        <f>"14:56:30.703"</f>
        <v>14:56:30.703</v>
      </c>
      <c r="BY3963" t="str">
        <f>"701953117"</f>
        <v>701953117</v>
      </c>
      <c r="CL3963">
        <v>3</v>
      </c>
      <c r="CM3963">
        <v>2</v>
      </c>
      <c r="CN3963">
        <v>0</v>
      </c>
      <c r="CO3963">
        <v>2</v>
      </c>
      <c r="CP3963">
        <v>0</v>
      </c>
      <c r="CQ3963">
        <v>7</v>
      </c>
      <c r="CR3963" t="s">
        <v>116</v>
      </c>
      <c r="CS3963">
        <v>305</v>
      </c>
      <c r="CT3963">
        <v>3</v>
      </c>
      <c r="CU3963" t="s">
        <v>6425</v>
      </c>
      <c r="CV3963" t="s">
        <v>6426</v>
      </c>
      <c r="CY3963">
        <v>6761155</v>
      </c>
      <c r="CZ3963" t="s">
        <v>119</v>
      </c>
    </row>
    <row r="3964" spans="1:104" x14ac:dyDescent="0.25">
      <c r="A3964" t="str">
        <f>"14:56:31.992"</f>
        <v>14:56:31.992</v>
      </c>
      <c r="B3964" t="s">
        <v>108</v>
      </c>
      <c r="C3964" t="str">
        <f t="shared" si="184"/>
        <v>ffdfd3c0</v>
      </c>
      <c r="D3964" t="s">
        <v>109</v>
      </c>
      <c r="E3964">
        <v>4</v>
      </c>
      <c r="F3964">
        <v>1004</v>
      </c>
      <c r="G3964" t="s">
        <v>110</v>
      </c>
      <c r="J3964" t="s">
        <v>111</v>
      </c>
      <c r="K3964">
        <v>0</v>
      </c>
      <c r="L3964">
        <v>3</v>
      </c>
      <c r="M3964">
        <v>0</v>
      </c>
      <c r="N3964">
        <v>2</v>
      </c>
      <c r="O3964">
        <v>1</v>
      </c>
      <c r="P3964">
        <v>0</v>
      </c>
      <c r="Q3964">
        <v>0</v>
      </c>
      <c r="R3964" t="s">
        <v>112</v>
      </c>
      <c r="S3964" t="str">
        <f>"14:56:31.789"</f>
        <v>14:56:31.789</v>
      </c>
      <c r="T3964" t="str">
        <f>"14:56:31.289"</f>
        <v>14:56:31.289</v>
      </c>
      <c r="U3964" t="str">
        <f t="shared" si="183"/>
        <v>ad5732</v>
      </c>
      <c r="V3964">
        <v>0</v>
      </c>
      <c r="W3964">
        <v>0</v>
      </c>
      <c r="X3964">
        <v>1</v>
      </c>
      <c r="Z3964">
        <v>0</v>
      </c>
      <c r="AA3964">
        <v>9</v>
      </c>
      <c r="AB3964">
        <v>3</v>
      </c>
      <c r="AC3964">
        <v>0</v>
      </c>
      <c r="AD3964">
        <v>10</v>
      </c>
      <c r="AE3964">
        <v>0</v>
      </c>
      <c r="AF3964">
        <v>3</v>
      </c>
      <c r="AG3964">
        <v>2</v>
      </c>
      <c r="AH3964">
        <v>0</v>
      </c>
      <c r="AI3964" t="s">
        <v>7976</v>
      </c>
      <c r="AJ3964">
        <v>40.557039000000003</v>
      </c>
      <c r="AK3964" t="s">
        <v>7977</v>
      </c>
      <c r="AL3964">
        <v>-74.328732000000002</v>
      </c>
      <c r="AM3964">
        <v>100</v>
      </c>
      <c r="AN3964">
        <v>400</v>
      </c>
      <c r="AO3964" t="s">
        <v>115</v>
      </c>
      <c r="AP3964">
        <v>45</v>
      </c>
      <c r="AQ3964">
        <v>93</v>
      </c>
      <c r="AR3964">
        <v>-192</v>
      </c>
      <c r="AZ3964">
        <v>3614</v>
      </c>
      <c r="BA3964">
        <v>1</v>
      </c>
      <c r="BB3964" t="str">
        <f t="shared" si="185"/>
        <v xml:space="preserve">N959MJ  </v>
      </c>
      <c r="BC3964">
        <v>1</v>
      </c>
      <c r="BE3964">
        <v>0</v>
      </c>
      <c r="BF3964">
        <v>0</v>
      </c>
      <c r="BG3964">
        <v>0</v>
      </c>
      <c r="BH3964">
        <v>625</v>
      </c>
      <c r="BI3964">
        <v>225</v>
      </c>
      <c r="BJ3964">
        <v>1</v>
      </c>
      <c r="BK3964">
        <v>1</v>
      </c>
      <c r="BL3964">
        <v>1</v>
      </c>
      <c r="BM3964">
        <v>0</v>
      </c>
      <c r="BP3964">
        <v>0</v>
      </c>
      <c r="BQ3964">
        <v>0</v>
      </c>
      <c r="BX3964" t="str">
        <f>"14:56:31.797"</f>
        <v>14:56:31.797</v>
      </c>
      <c r="BY3964" t="str">
        <f>"793146737"</f>
        <v>793146737</v>
      </c>
      <c r="CL3964">
        <v>3</v>
      </c>
      <c r="CM3964">
        <v>2</v>
      </c>
      <c r="CN3964">
        <v>0</v>
      </c>
      <c r="CO3964">
        <v>2</v>
      </c>
      <c r="CP3964">
        <v>0</v>
      </c>
      <c r="CQ3964">
        <v>7</v>
      </c>
      <c r="CR3964" t="s">
        <v>116</v>
      </c>
      <c r="CS3964">
        <v>305</v>
      </c>
      <c r="CT3964">
        <v>3</v>
      </c>
      <c r="CU3964" t="s">
        <v>6425</v>
      </c>
      <c r="CV3964" t="s">
        <v>6426</v>
      </c>
      <c r="CY3964">
        <v>6763473</v>
      </c>
      <c r="CZ3964" t="s">
        <v>119</v>
      </c>
    </row>
    <row r="3965" spans="1:104" x14ac:dyDescent="0.25">
      <c r="A3965" t="str">
        <f>"14:56:33.000"</f>
        <v>14:56:33.000</v>
      </c>
      <c r="B3965" t="s">
        <v>108</v>
      </c>
      <c r="C3965" t="str">
        <f t="shared" si="184"/>
        <v>ffdfd3c0</v>
      </c>
      <c r="D3965" t="s">
        <v>109</v>
      </c>
      <c r="E3965">
        <v>4</v>
      </c>
      <c r="F3965">
        <v>1004</v>
      </c>
      <c r="G3965" t="s">
        <v>110</v>
      </c>
      <c r="J3965" t="s">
        <v>111</v>
      </c>
      <c r="K3965">
        <v>0</v>
      </c>
      <c r="L3965">
        <v>3</v>
      </c>
      <c r="M3965">
        <v>0</v>
      </c>
      <c r="N3965">
        <v>2</v>
      </c>
      <c r="O3965">
        <v>1</v>
      </c>
      <c r="P3965">
        <v>0</v>
      </c>
      <c r="Q3965">
        <v>0</v>
      </c>
      <c r="R3965" t="s">
        <v>112</v>
      </c>
      <c r="S3965" t="str">
        <f>"14:56:32.805"</f>
        <v>14:56:32.805</v>
      </c>
      <c r="T3965" t="str">
        <f>"14:56:32.305"</f>
        <v>14:56:32.305</v>
      </c>
      <c r="U3965" t="str">
        <f t="shared" si="183"/>
        <v>ad5732</v>
      </c>
      <c r="V3965">
        <v>0</v>
      </c>
      <c r="W3965">
        <v>0</v>
      </c>
      <c r="X3965">
        <v>1</v>
      </c>
      <c r="Z3965">
        <v>0</v>
      </c>
      <c r="AA3965">
        <v>9</v>
      </c>
      <c r="AB3965">
        <v>3</v>
      </c>
      <c r="AC3965">
        <v>0</v>
      </c>
      <c r="AD3965">
        <v>10</v>
      </c>
      <c r="AE3965">
        <v>0</v>
      </c>
      <c r="AF3965">
        <v>3</v>
      </c>
      <c r="AG3965">
        <v>2</v>
      </c>
      <c r="AH3965">
        <v>0</v>
      </c>
      <c r="AI3965" t="s">
        <v>7978</v>
      </c>
      <c r="AJ3965">
        <v>40.557488999999997</v>
      </c>
      <c r="AK3965" t="s">
        <v>7979</v>
      </c>
      <c r="AL3965">
        <v>-74.328432000000006</v>
      </c>
      <c r="AM3965">
        <v>100</v>
      </c>
      <c r="AN3965">
        <v>400</v>
      </c>
      <c r="AO3965" t="s">
        <v>115</v>
      </c>
      <c r="AP3965">
        <v>45</v>
      </c>
      <c r="AQ3965">
        <v>92</v>
      </c>
      <c r="AR3965">
        <v>-128</v>
      </c>
      <c r="AZ3965">
        <v>3614</v>
      </c>
      <c r="BA3965">
        <v>1</v>
      </c>
      <c r="BB3965" t="str">
        <f t="shared" si="185"/>
        <v xml:space="preserve">N959MJ  </v>
      </c>
      <c r="BC3965">
        <v>1</v>
      </c>
      <c r="BE3965">
        <v>0</v>
      </c>
      <c r="BF3965">
        <v>0</v>
      </c>
      <c r="BG3965">
        <v>0</v>
      </c>
      <c r="BH3965">
        <v>625</v>
      </c>
      <c r="BI3965">
        <v>225</v>
      </c>
      <c r="BJ3965">
        <v>1</v>
      </c>
      <c r="BK3965">
        <v>1</v>
      </c>
      <c r="BL3965">
        <v>1</v>
      </c>
      <c r="BM3965">
        <v>0</v>
      </c>
      <c r="BP3965">
        <v>0</v>
      </c>
      <c r="BQ3965">
        <v>0</v>
      </c>
      <c r="BX3965" t="str">
        <f>"14:56:32.805"</f>
        <v>14:56:32.805</v>
      </c>
      <c r="BY3965" t="str">
        <f>"807334216"</f>
        <v>807334216</v>
      </c>
      <c r="CL3965">
        <v>3</v>
      </c>
      <c r="CM3965">
        <v>2</v>
      </c>
      <c r="CN3965">
        <v>0</v>
      </c>
      <c r="CO3965">
        <v>2</v>
      </c>
      <c r="CP3965">
        <v>0</v>
      </c>
      <c r="CQ3965">
        <v>7</v>
      </c>
      <c r="CR3965" t="s">
        <v>116</v>
      </c>
      <c r="CS3965">
        <v>305</v>
      </c>
      <c r="CT3965">
        <v>3</v>
      </c>
      <c r="CU3965" t="s">
        <v>6425</v>
      </c>
      <c r="CV3965" t="s">
        <v>6426</v>
      </c>
      <c r="CY3965">
        <v>6765515</v>
      </c>
      <c r="CZ3965" t="s">
        <v>119</v>
      </c>
    </row>
    <row r="3966" spans="1:104" x14ac:dyDescent="0.25">
      <c r="A3966" t="str">
        <f>"14:56:33.961"</f>
        <v>14:56:33.961</v>
      </c>
      <c r="B3966" t="s">
        <v>108</v>
      </c>
      <c r="C3966" t="str">
        <f t="shared" si="184"/>
        <v>ffdfd3c0</v>
      </c>
      <c r="D3966" t="s">
        <v>109</v>
      </c>
      <c r="E3966">
        <v>4</v>
      </c>
      <c r="F3966">
        <v>1004</v>
      </c>
      <c r="G3966" t="s">
        <v>110</v>
      </c>
      <c r="J3966" t="s">
        <v>111</v>
      </c>
      <c r="K3966">
        <v>0</v>
      </c>
      <c r="L3966">
        <v>3</v>
      </c>
      <c r="M3966">
        <v>0</v>
      </c>
      <c r="N3966">
        <v>2</v>
      </c>
      <c r="O3966">
        <v>1</v>
      </c>
      <c r="P3966">
        <v>0</v>
      </c>
      <c r="Q3966">
        <v>0</v>
      </c>
      <c r="R3966" t="s">
        <v>112</v>
      </c>
      <c r="S3966" t="str">
        <f>"14:56:33.789"</f>
        <v>14:56:33.789</v>
      </c>
      <c r="T3966" t="str">
        <f>"14:56:33.289"</f>
        <v>14:56:33.289</v>
      </c>
      <c r="U3966" t="str">
        <f t="shared" si="183"/>
        <v>ad5732</v>
      </c>
      <c r="V3966">
        <v>0</v>
      </c>
      <c r="W3966">
        <v>0</v>
      </c>
      <c r="X3966">
        <v>1</v>
      </c>
      <c r="Z3966">
        <v>0</v>
      </c>
      <c r="AA3966">
        <v>9</v>
      </c>
      <c r="AB3966">
        <v>3</v>
      </c>
      <c r="AC3966">
        <v>0</v>
      </c>
      <c r="AD3966">
        <v>10</v>
      </c>
      <c r="AE3966">
        <v>0</v>
      </c>
      <c r="AF3966">
        <v>3</v>
      </c>
      <c r="AG3966">
        <v>2</v>
      </c>
      <c r="AH3966">
        <v>0</v>
      </c>
      <c r="AI3966" t="s">
        <v>7980</v>
      </c>
      <c r="AJ3966">
        <v>40.557896999999997</v>
      </c>
      <c r="AK3966" t="s">
        <v>7981</v>
      </c>
      <c r="AL3966">
        <v>-74.328196000000005</v>
      </c>
      <c r="AM3966">
        <v>100</v>
      </c>
      <c r="AN3966">
        <v>400</v>
      </c>
      <c r="AO3966" t="s">
        <v>115</v>
      </c>
      <c r="AP3966">
        <v>45</v>
      </c>
      <c r="AQ3966">
        <v>91</v>
      </c>
      <c r="AR3966">
        <v>-128</v>
      </c>
      <c r="AZ3966">
        <v>3614</v>
      </c>
      <c r="BA3966">
        <v>1</v>
      </c>
      <c r="BB3966" t="str">
        <f t="shared" si="185"/>
        <v xml:space="preserve">N959MJ  </v>
      </c>
      <c r="BC3966">
        <v>1</v>
      </c>
      <c r="BE3966">
        <v>0</v>
      </c>
      <c r="BF3966">
        <v>0</v>
      </c>
      <c r="BG3966">
        <v>0</v>
      </c>
      <c r="BH3966">
        <v>625</v>
      </c>
      <c r="BI3966">
        <v>225</v>
      </c>
      <c r="BJ3966">
        <v>1</v>
      </c>
      <c r="BK3966">
        <v>1</v>
      </c>
      <c r="BL3966">
        <v>1</v>
      </c>
      <c r="BM3966">
        <v>0</v>
      </c>
      <c r="BP3966">
        <v>0</v>
      </c>
      <c r="BQ3966">
        <v>0</v>
      </c>
      <c r="BX3966" t="str">
        <f>"14:56:33.789"</f>
        <v>14:56:33.789</v>
      </c>
      <c r="BY3966" t="str">
        <f>"790513915"</f>
        <v>790513915</v>
      </c>
      <c r="CL3966">
        <v>3</v>
      </c>
      <c r="CM3966">
        <v>2</v>
      </c>
      <c r="CN3966">
        <v>0</v>
      </c>
      <c r="CO3966">
        <v>2</v>
      </c>
      <c r="CP3966">
        <v>0</v>
      </c>
      <c r="CQ3966">
        <v>5</v>
      </c>
      <c r="CR3966" t="s">
        <v>116</v>
      </c>
      <c r="CS3966">
        <v>409</v>
      </c>
      <c r="CT3966">
        <v>1</v>
      </c>
      <c r="CU3966" t="s">
        <v>5087</v>
      </c>
      <c r="CV3966" t="s">
        <v>5088</v>
      </c>
      <c r="CY3966">
        <v>5292450</v>
      </c>
      <c r="CZ3966" t="s">
        <v>119</v>
      </c>
    </row>
    <row r="3967" spans="1:104" x14ac:dyDescent="0.25">
      <c r="A3967" t="str">
        <f>"14:56:35.070"</f>
        <v>14:56:35.070</v>
      </c>
      <c r="B3967" t="s">
        <v>108</v>
      </c>
      <c r="C3967" t="str">
        <f t="shared" si="184"/>
        <v>ffdfd3c0</v>
      </c>
      <c r="D3967" t="s">
        <v>109</v>
      </c>
      <c r="E3967">
        <v>4</v>
      </c>
      <c r="F3967">
        <v>1004</v>
      </c>
      <c r="G3967" t="s">
        <v>110</v>
      </c>
      <c r="J3967" t="s">
        <v>111</v>
      </c>
      <c r="K3967">
        <v>0</v>
      </c>
      <c r="L3967">
        <v>3</v>
      </c>
      <c r="M3967">
        <v>0</v>
      </c>
      <c r="N3967">
        <v>2</v>
      </c>
      <c r="O3967">
        <v>1</v>
      </c>
      <c r="P3967">
        <v>0</v>
      </c>
      <c r="Q3967">
        <v>0</v>
      </c>
      <c r="R3967" t="s">
        <v>112</v>
      </c>
      <c r="S3967" t="str">
        <f>"14:56:34.914"</f>
        <v>14:56:34.914</v>
      </c>
      <c r="T3967" t="str">
        <f>"14:56:34.414"</f>
        <v>14:56:34.414</v>
      </c>
      <c r="U3967" t="str">
        <f t="shared" si="183"/>
        <v>ad5732</v>
      </c>
      <c r="V3967">
        <v>0</v>
      </c>
      <c r="W3967">
        <v>0</v>
      </c>
      <c r="X3967">
        <v>1</v>
      </c>
      <c r="Z3967">
        <v>0</v>
      </c>
      <c r="AA3967">
        <v>9</v>
      </c>
      <c r="AB3967">
        <v>3</v>
      </c>
      <c r="AC3967">
        <v>0</v>
      </c>
      <c r="AD3967">
        <v>10</v>
      </c>
      <c r="AE3967">
        <v>0</v>
      </c>
      <c r="AF3967">
        <v>3</v>
      </c>
      <c r="AG3967">
        <v>2</v>
      </c>
      <c r="AH3967">
        <v>0</v>
      </c>
      <c r="AI3967" t="s">
        <v>7982</v>
      </c>
      <c r="AJ3967">
        <v>40.558348000000002</v>
      </c>
      <c r="AK3967" t="s">
        <v>7983</v>
      </c>
      <c r="AL3967">
        <v>-74.327873999999994</v>
      </c>
      <c r="AM3967">
        <v>100</v>
      </c>
      <c r="AN3967">
        <v>400</v>
      </c>
      <c r="AO3967" t="s">
        <v>115</v>
      </c>
      <c r="AP3967">
        <v>45</v>
      </c>
      <c r="AQ3967">
        <v>90</v>
      </c>
      <c r="AR3967">
        <v>-128</v>
      </c>
      <c r="AZ3967">
        <v>3614</v>
      </c>
      <c r="BA3967">
        <v>1</v>
      </c>
      <c r="BB3967" t="str">
        <f t="shared" si="185"/>
        <v xml:space="preserve">N959MJ  </v>
      </c>
      <c r="BC3967">
        <v>1</v>
      </c>
      <c r="BE3967">
        <v>0</v>
      </c>
      <c r="BF3967">
        <v>0</v>
      </c>
      <c r="BG3967">
        <v>0</v>
      </c>
      <c r="BH3967">
        <v>625</v>
      </c>
      <c r="BI3967">
        <v>225</v>
      </c>
      <c r="BJ3967">
        <v>1</v>
      </c>
      <c r="BK3967">
        <v>1</v>
      </c>
      <c r="BL3967">
        <v>1</v>
      </c>
      <c r="BM3967">
        <v>0</v>
      </c>
      <c r="BP3967">
        <v>0</v>
      </c>
      <c r="BQ3967">
        <v>0</v>
      </c>
      <c r="BX3967" t="str">
        <f>"14:56:34.922"</f>
        <v>14:56:34.922</v>
      </c>
      <c r="BY3967" t="str">
        <f>"919269125"</f>
        <v>919269125</v>
      </c>
      <c r="CL3967">
        <v>3</v>
      </c>
      <c r="CM3967">
        <v>2</v>
      </c>
      <c r="CN3967">
        <v>0</v>
      </c>
      <c r="CO3967">
        <v>2</v>
      </c>
      <c r="CP3967">
        <v>0</v>
      </c>
      <c r="CQ3967">
        <v>7</v>
      </c>
      <c r="CR3967" t="s">
        <v>116</v>
      </c>
      <c r="CS3967">
        <v>305</v>
      </c>
      <c r="CT3967">
        <v>3</v>
      </c>
      <c r="CU3967" t="s">
        <v>6425</v>
      </c>
      <c r="CV3967" t="s">
        <v>6426</v>
      </c>
      <c r="CY3967">
        <v>6770060</v>
      </c>
      <c r="CZ3967" t="s">
        <v>119</v>
      </c>
    </row>
    <row r="3968" spans="1:104" x14ac:dyDescent="0.25">
      <c r="A3968" t="str">
        <f>"14:56:35.930"</f>
        <v>14:56:35.930</v>
      </c>
      <c r="B3968" t="s">
        <v>108</v>
      </c>
      <c r="C3968" t="str">
        <f t="shared" si="184"/>
        <v>ffdfd3c0</v>
      </c>
      <c r="D3968" t="s">
        <v>109</v>
      </c>
      <c r="E3968">
        <v>4</v>
      </c>
      <c r="F3968">
        <v>1004</v>
      </c>
      <c r="G3968" t="s">
        <v>110</v>
      </c>
      <c r="J3968" t="s">
        <v>111</v>
      </c>
      <c r="K3968">
        <v>0</v>
      </c>
      <c r="L3968">
        <v>3</v>
      </c>
      <c r="M3968">
        <v>0</v>
      </c>
      <c r="N3968">
        <v>2</v>
      </c>
      <c r="O3968">
        <v>1</v>
      </c>
      <c r="P3968">
        <v>0</v>
      </c>
      <c r="Q3968">
        <v>0</v>
      </c>
      <c r="R3968" t="s">
        <v>112</v>
      </c>
      <c r="S3968" t="str">
        <f>"14:56:35.766"</f>
        <v>14:56:35.766</v>
      </c>
      <c r="T3968" t="str">
        <f>"14:56:34.969"</f>
        <v>14:56:34.969</v>
      </c>
      <c r="U3968" t="str">
        <f t="shared" si="183"/>
        <v>ad5732</v>
      </c>
      <c r="V3968">
        <v>0</v>
      </c>
      <c r="W3968">
        <v>0</v>
      </c>
      <c r="X3968">
        <v>1</v>
      </c>
      <c r="Z3968">
        <v>0</v>
      </c>
      <c r="AA3968">
        <v>9</v>
      </c>
      <c r="AB3968">
        <v>3</v>
      </c>
      <c r="AC3968">
        <v>0</v>
      </c>
      <c r="AD3968">
        <v>10</v>
      </c>
      <c r="AE3968">
        <v>0</v>
      </c>
      <c r="AF3968">
        <v>3</v>
      </c>
      <c r="AG3968">
        <v>2</v>
      </c>
      <c r="AH3968">
        <v>0</v>
      </c>
      <c r="AI3968" t="s">
        <v>7984</v>
      </c>
      <c r="AJ3968">
        <v>40.558734000000001</v>
      </c>
      <c r="AK3968" t="s">
        <v>7985</v>
      </c>
      <c r="AL3968">
        <v>-74.327637999999993</v>
      </c>
      <c r="AM3968">
        <v>100</v>
      </c>
      <c r="AN3968">
        <v>400</v>
      </c>
      <c r="AO3968" t="s">
        <v>115</v>
      </c>
      <c r="AP3968">
        <v>45</v>
      </c>
      <c r="AQ3968">
        <v>89</v>
      </c>
      <c r="AR3968">
        <v>-64</v>
      </c>
      <c r="AZ3968">
        <v>3614</v>
      </c>
      <c r="BA3968">
        <v>1</v>
      </c>
      <c r="BB3968" t="str">
        <f t="shared" si="185"/>
        <v xml:space="preserve">N959MJ  </v>
      </c>
      <c r="BC3968">
        <v>1</v>
      </c>
      <c r="BE3968">
        <v>0</v>
      </c>
      <c r="BF3968">
        <v>0</v>
      </c>
      <c r="BG3968">
        <v>0</v>
      </c>
      <c r="BH3968">
        <v>625</v>
      </c>
      <c r="BI3968">
        <v>225</v>
      </c>
      <c r="BJ3968">
        <v>1</v>
      </c>
      <c r="BK3968">
        <v>1</v>
      </c>
      <c r="BL3968">
        <v>1</v>
      </c>
      <c r="BM3968">
        <v>0</v>
      </c>
      <c r="BP3968">
        <v>0</v>
      </c>
      <c r="BQ3968">
        <v>0</v>
      </c>
      <c r="BX3968" t="str">
        <f>"14:56:35.766"</f>
        <v>14:56:35.766</v>
      </c>
      <c r="BY3968" t="str">
        <f>"766459153"</f>
        <v>766459153</v>
      </c>
      <c r="CL3968">
        <v>3</v>
      </c>
      <c r="CM3968">
        <v>2</v>
      </c>
      <c r="CN3968">
        <v>0</v>
      </c>
      <c r="CO3968">
        <v>2</v>
      </c>
      <c r="CP3968">
        <v>0</v>
      </c>
      <c r="CQ3968">
        <v>5</v>
      </c>
      <c r="CR3968" t="s">
        <v>116</v>
      </c>
      <c r="CS3968">
        <v>409</v>
      </c>
      <c r="CT3968">
        <v>1</v>
      </c>
      <c r="CU3968" t="s">
        <v>5087</v>
      </c>
      <c r="CV3968" t="s">
        <v>5088</v>
      </c>
      <c r="CY3968">
        <v>5296468</v>
      </c>
      <c r="CZ3968" t="s">
        <v>119</v>
      </c>
    </row>
    <row r="3969" spans="1:104" x14ac:dyDescent="0.25">
      <c r="A3969" t="str">
        <f>"14:56:37.039"</f>
        <v>14:56:37.039</v>
      </c>
      <c r="B3969" t="s">
        <v>108</v>
      </c>
      <c r="C3969" t="str">
        <f t="shared" si="184"/>
        <v>ffdfd3c0</v>
      </c>
      <c r="D3969" t="s">
        <v>109</v>
      </c>
      <c r="E3969">
        <v>4</v>
      </c>
      <c r="F3969">
        <v>1004</v>
      </c>
      <c r="G3969" t="s">
        <v>110</v>
      </c>
      <c r="J3969" t="s">
        <v>111</v>
      </c>
      <c r="K3969">
        <v>0</v>
      </c>
      <c r="L3969">
        <v>3</v>
      </c>
      <c r="M3969">
        <v>0</v>
      </c>
      <c r="N3969">
        <v>2</v>
      </c>
      <c r="O3969">
        <v>1</v>
      </c>
      <c r="P3969">
        <v>0</v>
      </c>
      <c r="Q3969">
        <v>0</v>
      </c>
      <c r="R3969" t="s">
        <v>112</v>
      </c>
      <c r="S3969" t="str">
        <f>"14:56:36.859"</f>
        <v>14:56:36.859</v>
      </c>
      <c r="T3969" t="str">
        <f>"14:56:36.359"</f>
        <v>14:56:36.359</v>
      </c>
      <c r="U3969" t="str">
        <f t="shared" si="183"/>
        <v>ad5732</v>
      </c>
      <c r="V3969">
        <v>0</v>
      </c>
      <c r="W3969">
        <v>0</v>
      </c>
      <c r="X3969">
        <v>1</v>
      </c>
      <c r="Z3969">
        <v>0</v>
      </c>
      <c r="AA3969">
        <v>9</v>
      </c>
      <c r="AB3969">
        <v>3</v>
      </c>
      <c r="AC3969">
        <v>0</v>
      </c>
      <c r="AD3969">
        <v>10</v>
      </c>
      <c r="AE3969">
        <v>0</v>
      </c>
      <c r="AF3969">
        <v>3</v>
      </c>
      <c r="AG3969">
        <v>2</v>
      </c>
      <c r="AH3969">
        <v>0</v>
      </c>
      <c r="AI3969" t="s">
        <v>7986</v>
      </c>
      <c r="AJ3969">
        <v>40.559142000000001</v>
      </c>
      <c r="AK3969" t="s">
        <v>7987</v>
      </c>
      <c r="AL3969">
        <v>-74.327315999999996</v>
      </c>
      <c r="AM3969">
        <v>100</v>
      </c>
      <c r="AN3969">
        <v>400</v>
      </c>
      <c r="AO3969" t="s">
        <v>115</v>
      </c>
      <c r="AP3969">
        <v>45</v>
      </c>
      <c r="AQ3969">
        <v>88</v>
      </c>
      <c r="AR3969">
        <v>-128</v>
      </c>
      <c r="AZ3969">
        <v>3614</v>
      </c>
      <c r="BA3969">
        <v>1</v>
      </c>
      <c r="BB3969" t="str">
        <f t="shared" si="185"/>
        <v xml:space="preserve">N959MJ  </v>
      </c>
      <c r="BC3969">
        <v>1</v>
      </c>
      <c r="BE3969">
        <v>0</v>
      </c>
      <c r="BF3969">
        <v>0</v>
      </c>
      <c r="BG3969">
        <v>0</v>
      </c>
      <c r="BH3969">
        <v>600</v>
      </c>
      <c r="BI3969">
        <v>200</v>
      </c>
      <c r="BJ3969">
        <v>1</v>
      </c>
      <c r="BK3969">
        <v>1</v>
      </c>
      <c r="BL3969">
        <v>1</v>
      </c>
      <c r="BM3969">
        <v>0</v>
      </c>
      <c r="BP3969">
        <v>0</v>
      </c>
      <c r="BQ3969">
        <v>0</v>
      </c>
      <c r="BX3969" t="str">
        <f>"14:56:36.859"</f>
        <v>14:56:36.859</v>
      </c>
      <c r="BY3969" t="str">
        <f>"862445670"</f>
        <v>862445670</v>
      </c>
      <c r="CL3969">
        <v>3</v>
      </c>
      <c r="CM3969">
        <v>2</v>
      </c>
      <c r="CN3969">
        <v>0</v>
      </c>
      <c r="CO3969">
        <v>2</v>
      </c>
      <c r="CP3969">
        <v>0</v>
      </c>
      <c r="CQ3969">
        <v>7</v>
      </c>
      <c r="CR3969" t="s">
        <v>116</v>
      </c>
      <c r="CS3969">
        <v>305</v>
      </c>
      <c r="CT3969">
        <v>3</v>
      </c>
      <c r="CU3969" t="s">
        <v>6425</v>
      </c>
      <c r="CV3969" t="s">
        <v>6426</v>
      </c>
      <c r="CY3969">
        <v>6773957</v>
      </c>
      <c r="CZ3969" t="s">
        <v>119</v>
      </c>
    </row>
    <row r="3970" spans="1:104" x14ac:dyDescent="0.25">
      <c r="A3970" t="str">
        <f>"14:56:38.656"</f>
        <v>14:56:38.656</v>
      </c>
      <c r="B3970" t="s">
        <v>108</v>
      </c>
      <c r="C3970" t="str">
        <f t="shared" si="184"/>
        <v>ffdfd3c0</v>
      </c>
      <c r="D3970" t="s">
        <v>109</v>
      </c>
      <c r="E3970">
        <v>4</v>
      </c>
      <c r="F3970">
        <v>1004</v>
      </c>
      <c r="G3970" t="s">
        <v>110</v>
      </c>
      <c r="J3970" t="s">
        <v>111</v>
      </c>
      <c r="K3970">
        <v>0</v>
      </c>
      <c r="L3970">
        <v>3</v>
      </c>
      <c r="M3970">
        <v>0</v>
      </c>
      <c r="N3970">
        <v>2</v>
      </c>
      <c r="O3970">
        <v>1</v>
      </c>
      <c r="P3970">
        <v>0</v>
      </c>
      <c r="Q3970">
        <v>0</v>
      </c>
      <c r="R3970" t="s">
        <v>112</v>
      </c>
      <c r="S3970" t="str">
        <f>"14:56:38.492"</f>
        <v>14:56:38.492</v>
      </c>
      <c r="T3970" t="str">
        <f>"14:56:37.992"</f>
        <v>14:56:37.992</v>
      </c>
      <c r="U3970" t="str">
        <f t="shared" ref="U3970:U4033" si="186">"ad5732"</f>
        <v>ad5732</v>
      </c>
      <c r="V3970">
        <v>0</v>
      </c>
      <c r="W3970">
        <v>0</v>
      </c>
      <c r="X3970">
        <v>1</v>
      </c>
      <c r="Z3970">
        <v>0</v>
      </c>
      <c r="AA3970">
        <v>9</v>
      </c>
      <c r="AB3970">
        <v>3</v>
      </c>
      <c r="AC3970">
        <v>0</v>
      </c>
      <c r="AD3970">
        <v>10</v>
      </c>
      <c r="AE3970">
        <v>0</v>
      </c>
      <c r="AF3970">
        <v>3</v>
      </c>
      <c r="AG3970">
        <v>2</v>
      </c>
      <c r="AH3970">
        <v>0</v>
      </c>
      <c r="AI3970" t="s">
        <v>7988</v>
      </c>
      <c r="AJ3970">
        <v>40.559806999999999</v>
      </c>
      <c r="AK3970" t="s">
        <v>7989</v>
      </c>
      <c r="AL3970">
        <v>-74.326886999999999</v>
      </c>
      <c r="AM3970">
        <v>100</v>
      </c>
      <c r="AN3970">
        <v>300</v>
      </c>
      <c r="AO3970" t="s">
        <v>115</v>
      </c>
      <c r="AP3970">
        <v>44</v>
      </c>
      <c r="AQ3970">
        <v>87</v>
      </c>
      <c r="AR3970">
        <v>0</v>
      </c>
      <c r="AZ3970">
        <v>3614</v>
      </c>
      <c r="BA3970">
        <v>1</v>
      </c>
      <c r="BB3970" t="str">
        <f t="shared" si="185"/>
        <v xml:space="preserve">N959MJ  </v>
      </c>
      <c r="BC3970">
        <v>1</v>
      </c>
      <c r="BE3970">
        <v>0</v>
      </c>
      <c r="BF3970">
        <v>0</v>
      </c>
      <c r="BG3970">
        <v>0</v>
      </c>
      <c r="BH3970">
        <v>600</v>
      </c>
      <c r="BI3970">
        <v>300</v>
      </c>
      <c r="BJ3970">
        <v>1</v>
      </c>
      <c r="BK3970">
        <v>1</v>
      </c>
      <c r="BL3970">
        <v>1</v>
      </c>
      <c r="BM3970">
        <v>0</v>
      </c>
      <c r="BP3970">
        <v>0</v>
      </c>
      <c r="BQ3970">
        <v>0</v>
      </c>
      <c r="BX3970" t="str">
        <f>"14:56:38.492"</f>
        <v>14:56:38.492</v>
      </c>
      <c r="BY3970" t="str">
        <f>"494320835"</f>
        <v>494320835</v>
      </c>
      <c r="CL3970">
        <v>3</v>
      </c>
      <c r="CM3970">
        <v>2</v>
      </c>
      <c r="CN3970">
        <v>0</v>
      </c>
      <c r="CO3970">
        <v>2</v>
      </c>
      <c r="CP3970">
        <v>0</v>
      </c>
      <c r="CQ3970">
        <v>7</v>
      </c>
      <c r="CR3970" t="s">
        <v>116</v>
      </c>
      <c r="CS3970">
        <v>305</v>
      </c>
      <c r="CT3970">
        <v>3</v>
      </c>
      <c r="CU3970" t="s">
        <v>6425</v>
      </c>
      <c r="CV3970" t="s">
        <v>6426</v>
      </c>
      <c r="CY3970">
        <v>6777342</v>
      </c>
      <c r="CZ3970" t="s">
        <v>119</v>
      </c>
    </row>
    <row r="3971" spans="1:104" x14ac:dyDescent="0.25">
      <c r="A3971" t="str">
        <f>"14:56:39.664"</f>
        <v>14:56:39.664</v>
      </c>
      <c r="B3971" t="s">
        <v>108</v>
      </c>
      <c r="C3971" t="str">
        <f t="shared" si="184"/>
        <v>ffdfd3c0</v>
      </c>
      <c r="D3971" t="s">
        <v>109</v>
      </c>
      <c r="E3971">
        <v>4</v>
      </c>
      <c r="F3971">
        <v>1004</v>
      </c>
      <c r="G3971" t="s">
        <v>110</v>
      </c>
      <c r="J3971" t="s">
        <v>111</v>
      </c>
      <c r="K3971">
        <v>0</v>
      </c>
      <c r="L3971">
        <v>3</v>
      </c>
      <c r="M3971">
        <v>0</v>
      </c>
      <c r="N3971">
        <v>2</v>
      </c>
      <c r="O3971">
        <v>1</v>
      </c>
      <c r="P3971">
        <v>0</v>
      </c>
      <c r="Q3971">
        <v>0</v>
      </c>
      <c r="R3971" t="s">
        <v>112</v>
      </c>
      <c r="S3971" t="str">
        <f>"14:56:39.477"</f>
        <v>14:56:39.477</v>
      </c>
      <c r="T3971" t="str">
        <f>"14:56:39.078"</f>
        <v>14:56:39.078</v>
      </c>
      <c r="U3971" t="str">
        <f t="shared" si="186"/>
        <v>ad5732</v>
      </c>
      <c r="V3971">
        <v>0</v>
      </c>
      <c r="W3971">
        <v>0</v>
      </c>
      <c r="X3971">
        <v>1</v>
      </c>
      <c r="Z3971">
        <v>0</v>
      </c>
      <c r="AA3971">
        <v>9</v>
      </c>
      <c r="AB3971">
        <v>3</v>
      </c>
      <c r="AC3971">
        <v>0</v>
      </c>
      <c r="AD3971">
        <v>10</v>
      </c>
      <c r="AE3971">
        <v>0</v>
      </c>
      <c r="AF3971">
        <v>3</v>
      </c>
      <c r="AG3971">
        <v>2</v>
      </c>
      <c r="AH3971">
        <v>0</v>
      </c>
      <c r="AI3971" t="s">
        <v>7990</v>
      </c>
      <c r="AJ3971">
        <v>40.560214999999999</v>
      </c>
      <c r="AK3971" t="s">
        <v>7991</v>
      </c>
      <c r="AL3971">
        <v>-74.326629999999994</v>
      </c>
      <c r="AM3971">
        <v>100</v>
      </c>
      <c r="AN3971">
        <v>300</v>
      </c>
      <c r="AO3971" t="s">
        <v>115</v>
      </c>
      <c r="AP3971">
        <v>43</v>
      </c>
      <c r="AQ3971">
        <v>86</v>
      </c>
      <c r="AR3971">
        <v>64</v>
      </c>
      <c r="AZ3971">
        <v>3614</v>
      </c>
      <c r="BA3971">
        <v>1</v>
      </c>
      <c r="BB3971" t="str">
        <f t="shared" si="185"/>
        <v xml:space="preserve">N959MJ  </v>
      </c>
      <c r="BC3971">
        <v>1</v>
      </c>
      <c r="BE3971">
        <v>0</v>
      </c>
      <c r="BF3971">
        <v>0</v>
      </c>
      <c r="BG3971">
        <v>0</v>
      </c>
      <c r="BH3971">
        <v>600</v>
      </c>
      <c r="BI3971">
        <v>300</v>
      </c>
      <c r="BJ3971">
        <v>1</v>
      </c>
      <c r="BK3971">
        <v>1</v>
      </c>
      <c r="BL3971">
        <v>1</v>
      </c>
      <c r="BM3971">
        <v>0</v>
      </c>
      <c r="BP3971">
        <v>0</v>
      </c>
      <c r="BQ3971">
        <v>0</v>
      </c>
      <c r="BX3971" t="str">
        <f>"14:56:39.477"</f>
        <v>14:56:39.477</v>
      </c>
      <c r="BY3971" t="str">
        <f>"477378150"</f>
        <v>477378150</v>
      </c>
      <c r="CL3971">
        <v>3</v>
      </c>
      <c r="CM3971">
        <v>2</v>
      </c>
      <c r="CN3971">
        <v>0</v>
      </c>
      <c r="CO3971">
        <v>2</v>
      </c>
      <c r="CP3971">
        <v>0</v>
      </c>
      <c r="CQ3971">
        <v>7</v>
      </c>
      <c r="CR3971" t="s">
        <v>116</v>
      </c>
      <c r="CS3971">
        <v>305</v>
      </c>
      <c r="CT3971">
        <v>3</v>
      </c>
      <c r="CU3971" t="s">
        <v>6425</v>
      </c>
      <c r="CV3971" t="s">
        <v>6426</v>
      </c>
      <c r="CY3971">
        <v>6779542</v>
      </c>
      <c r="CZ3971" t="s">
        <v>119</v>
      </c>
    </row>
    <row r="3972" spans="1:104" x14ac:dyDescent="0.25">
      <c r="A3972" t="str">
        <f>"14:56:40.828"</f>
        <v>14:56:40.828</v>
      </c>
      <c r="B3972" t="s">
        <v>108</v>
      </c>
      <c r="C3972" t="str">
        <f t="shared" si="184"/>
        <v>ffdfd3c0</v>
      </c>
      <c r="D3972" t="s">
        <v>109</v>
      </c>
      <c r="E3972">
        <v>4</v>
      </c>
      <c r="F3972">
        <v>1004</v>
      </c>
      <c r="G3972" t="s">
        <v>110</v>
      </c>
      <c r="J3972" t="s">
        <v>111</v>
      </c>
      <c r="K3972">
        <v>0</v>
      </c>
      <c r="L3972">
        <v>3</v>
      </c>
      <c r="M3972">
        <v>0</v>
      </c>
      <c r="N3972">
        <v>2</v>
      </c>
      <c r="O3972">
        <v>1</v>
      </c>
      <c r="P3972">
        <v>0</v>
      </c>
      <c r="Q3972">
        <v>0</v>
      </c>
      <c r="R3972" t="s">
        <v>112</v>
      </c>
      <c r="S3972" t="str">
        <f>"14:56:40.641"</f>
        <v>14:56:40.641</v>
      </c>
      <c r="T3972" t="str">
        <f>"14:56:40.141"</f>
        <v>14:56:40.141</v>
      </c>
      <c r="U3972" t="str">
        <f t="shared" si="186"/>
        <v>ad5732</v>
      </c>
      <c r="V3972">
        <v>0</v>
      </c>
      <c r="W3972">
        <v>0</v>
      </c>
      <c r="X3972">
        <v>1</v>
      </c>
      <c r="Z3972">
        <v>0</v>
      </c>
      <c r="AA3972">
        <v>9</v>
      </c>
      <c r="AB3972">
        <v>3</v>
      </c>
      <c r="AC3972">
        <v>0</v>
      </c>
      <c r="AD3972">
        <v>10</v>
      </c>
      <c r="AE3972">
        <v>0</v>
      </c>
      <c r="AF3972">
        <v>3</v>
      </c>
      <c r="AG3972">
        <v>2</v>
      </c>
      <c r="AH3972">
        <v>0</v>
      </c>
      <c r="AI3972" t="s">
        <v>7992</v>
      </c>
      <c r="AJ3972">
        <v>40.560687000000001</v>
      </c>
      <c r="AK3972" t="s">
        <v>7993</v>
      </c>
      <c r="AL3972">
        <v>-74.326307999999997</v>
      </c>
      <c r="AM3972">
        <v>100</v>
      </c>
      <c r="AN3972">
        <v>300</v>
      </c>
      <c r="AO3972" t="s">
        <v>115</v>
      </c>
      <c r="AP3972">
        <v>42</v>
      </c>
      <c r="AQ3972">
        <v>85</v>
      </c>
      <c r="AR3972">
        <v>128</v>
      </c>
      <c r="AZ3972">
        <v>3614</v>
      </c>
      <c r="BA3972">
        <v>1</v>
      </c>
      <c r="BB3972" t="str">
        <f t="shared" si="185"/>
        <v xml:space="preserve">N959MJ  </v>
      </c>
      <c r="BC3972">
        <v>1</v>
      </c>
      <c r="BE3972">
        <v>0</v>
      </c>
      <c r="BF3972">
        <v>0</v>
      </c>
      <c r="BG3972">
        <v>0</v>
      </c>
      <c r="BH3972">
        <v>600</v>
      </c>
      <c r="BI3972">
        <v>300</v>
      </c>
      <c r="BJ3972">
        <v>1</v>
      </c>
      <c r="BK3972">
        <v>1</v>
      </c>
      <c r="BL3972">
        <v>1</v>
      </c>
      <c r="BM3972">
        <v>0</v>
      </c>
      <c r="BP3972">
        <v>0</v>
      </c>
      <c r="BQ3972">
        <v>0</v>
      </c>
      <c r="BX3972" t="str">
        <f>"14:56:40.648"</f>
        <v>14:56:40.648</v>
      </c>
      <c r="BY3972" t="str">
        <f>"645577986"</f>
        <v>645577986</v>
      </c>
      <c r="CL3972">
        <v>3</v>
      </c>
      <c r="CM3972">
        <v>2</v>
      </c>
      <c r="CN3972">
        <v>0</v>
      </c>
      <c r="CO3972">
        <v>2</v>
      </c>
      <c r="CP3972">
        <v>0</v>
      </c>
      <c r="CQ3972">
        <v>7</v>
      </c>
      <c r="CR3972" t="s">
        <v>116</v>
      </c>
      <c r="CS3972">
        <v>305</v>
      </c>
      <c r="CT3972">
        <v>3</v>
      </c>
      <c r="CU3972" t="s">
        <v>6425</v>
      </c>
      <c r="CV3972" t="s">
        <v>6426</v>
      </c>
      <c r="CY3972">
        <v>6781948</v>
      </c>
      <c r="CZ3972" t="s">
        <v>119</v>
      </c>
    </row>
    <row r="3973" spans="1:104" x14ac:dyDescent="0.25">
      <c r="A3973" t="str">
        <f>"14:56:41.789"</f>
        <v>14:56:41.789</v>
      </c>
      <c r="B3973" t="s">
        <v>108</v>
      </c>
      <c r="C3973" t="str">
        <f t="shared" si="184"/>
        <v>ffdfd3c0</v>
      </c>
      <c r="D3973" t="s">
        <v>109</v>
      </c>
      <c r="E3973">
        <v>4</v>
      </c>
      <c r="F3973">
        <v>1004</v>
      </c>
      <c r="G3973" t="s">
        <v>110</v>
      </c>
      <c r="J3973" t="s">
        <v>111</v>
      </c>
      <c r="K3973">
        <v>0</v>
      </c>
      <c r="L3973">
        <v>3</v>
      </c>
      <c r="M3973">
        <v>0</v>
      </c>
      <c r="N3973">
        <v>2</v>
      </c>
      <c r="O3973">
        <v>1</v>
      </c>
      <c r="P3973">
        <v>0</v>
      </c>
      <c r="Q3973">
        <v>0</v>
      </c>
      <c r="R3973" t="s">
        <v>112</v>
      </c>
      <c r="S3973" t="str">
        <f>"14:56:41.594"</f>
        <v>14:56:41.594</v>
      </c>
      <c r="T3973" t="str">
        <f>"14:56:41.195"</f>
        <v>14:56:41.195</v>
      </c>
      <c r="U3973" t="str">
        <f t="shared" si="186"/>
        <v>ad5732</v>
      </c>
      <c r="V3973">
        <v>0</v>
      </c>
      <c r="W3973">
        <v>0</v>
      </c>
      <c r="X3973">
        <v>1</v>
      </c>
      <c r="Z3973">
        <v>0</v>
      </c>
      <c r="AA3973">
        <v>9</v>
      </c>
      <c r="AB3973">
        <v>3</v>
      </c>
      <c r="AC3973">
        <v>0</v>
      </c>
      <c r="AD3973">
        <v>10</v>
      </c>
      <c r="AE3973">
        <v>0</v>
      </c>
      <c r="AF3973">
        <v>3</v>
      </c>
      <c r="AG3973">
        <v>2</v>
      </c>
      <c r="AH3973">
        <v>0</v>
      </c>
      <c r="AI3973" t="s">
        <v>7994</v>
      </c>
      <c r="AJ3973">
        <v>40.561030000000002</v>
      </c>
      <c r="AK3973" t="s">
        <v>7995</v>
      </c>
      <c r="AL3973">
        <v>-74.326115000000001</v>
      </c>
      <c r="AM3973">
        <v>100</v>
      </c>
      <c r="AN3973">
        <v>300</v>
      </c>
      <c r="AO3973" t="s">
        <v>115</v>
      </c>
      <c r="AP3973">
        <v>42</v>
      </c>
      <c r="AQ3973">
        <v>84</v>
      </c>
      <c r="AR3973">
        <v>128</v>
      </c>
      <c r="AZ3973">
        <v>3614</v>
      </c>
      <c r="BA3973">
        <v>1</v>
      </c>
      <c r="BB3973" t="str">
        <f t="shared" si="185"/>
        <v xml:space="preserve">N959MJ  </v>
      </c>
      <c r="BC3973">
        <v>1</v>
      </c>
      <c r="BE3973">
        <v>0</v>
      </c>
      <c r="BF3973">
        <v>0</v>
      </c>
      <c r="BG3973">
        <v>0</v>
      </c>
      <c r="BH3973">
        <v>625</v>
      </c>
      <c r="BI3973">
        <v>325</v>
      </c>
      <c r="BJ3973">
        <v>1</v>
      </c>
      <c r="BK3973">
        <v>1</v>
      </c>
      <c r="BL3973">
        <v>1</v>
      </c>
      <c r="BM3973">
        <v>0</v>
      </c>
      <c r="BP3973">
        <v>0</v>
      </c>
      <c r="BQ3973">
        <v>0</v>
      </c>
      <c r="BX3973" t="str">
        <f>"14:56:41.602"</f>
        <v>14:56:41.602</v>
      </c>
      <c r="BY3973" t="str">
        <f>"599143594"</f>
        <v>599143594</v>
      </c>
      <c r="CL3973">
        <v>3</v>
      </c>
      <c r="CM3973">
        <v>2</v>
      </c>
      <c r="CN3973">
        <v>0</v>
      </c>
      <c r="CO3973">
        <v>2</v>
      </c>
      <c r="CP3973">
        <v>0</v>
      </c>
      <c r="CQ3973">
        <v>7</v>
      </c>
      <c r="CR3973" t="s">
        <v>116</v>
      </c>
      <c r="CS3973">
        <v>305</v>
      </c>
      <c r="CT3973">
        <v>3</v>
      </c>
      <c r="CU3973" t="s">
        <v>6425</v>
      </c>
      <c r="CV3973" t="s">
        <v>6426</v>
      </c>
      <c r="CY3973">
        <v>6783861</v>
      </c>
      <c r="CZ3973" t="s">
        <v>119</v>
      </c>
    </row>
    <row r="3974" spans="1:104" x14ac:dyDescent="0.25">
      <c r="A3974" t="str">
        <f>"14:56:42.648"</f>
        <v>14:56:42.648</v>
      </c>
      <c r="B3974" t="s">
        <v>108</v>
      </c>
      <c r="C3974" t="str">
        <f t="shared" si="184"/>
        <v>ffdfd3c0</v>
      </c>
      <c r="D3974" t="s">
        <v>109</v>
      </c>
      <c r="E3974">
        <v>4</v>
      </c>
      <c r="F3974">
        <v>1004</v>
      </c>
      <c r="G3974" t="s">
        <v>110</v>
      </c>
      <c r="J3974" t="s">
        <v>111</v>
      </c>
      <c r="K3974">
        <v>0</v>
      </c>
      <c r="L3974">
        <v>3</v>
      </c>
      <c r="M3974">
        <v>0</v>
      </c>
      <c r="N3974">
        <v>2</v>
      </c>
      <c r="O3974">
        <v>1</v>
      </c>
      <c r="P3974">
        <v>0</v>
      </c>
      <c r="Q3974">
        <v>0</v>
      </c>
      <c r="R3974" t="s">
        <v>112</v>
      </c>
      <c r="S3974" t="str">
        <f>"14:56:42.461"</f>
        <v>14:56:42.461</v>
      </c>
      <c r="T3974" t="str">
        <f>"14:56:42.063"</f>
        <v>14:56:42.063</v>
      </c>
      <c r="U3974" t="str">
        <f t="shared" si="186"/>
        <v>ad5732</v>
      </c>
      <c r="V3974">
        <v>0</v>
      </c>
      <c r="W3974">
        <v>0</v>
      </c>
      <c r="X3974">
        <v>1</v>
      </c>
      <c r="Z3974">
        <v>0</v>
      </c>
      <c r="AA3974">
        <v>9</v>
      </c>
      <c r="AB3974">
        <v>3</v>
      </c>
      <c r="AC3974">
        <v>0</v>
      </c>
      <c r="AD3974">
        <v>10</v>
      </c>
      <c r="AE3974">
        <v>0</v>
      </c>
      <c r="AF3974">
        <v>3</v>
      </c>
      <c r="AG3974">
        <v>2</v>
      </c>
      <c r="AH3974">
        <v>0</v>
      </c>
      <c r="AI3974" t="s">
        <v>7996</v>
      </c>
      <c r="AJ3974">
        <v>40.561373000000003</v>
      </c>
      <c r="AK3974" t="s">
        <v>7997</v>
      </c>
      <c r="AL3974">
        <v>-74.325879</v>
      </c>
      <c r="AM3974">
        <v>100</v>
      </c>
      <c r="AN3974">
        <v>300</v>
      </c>
      <c r="AO3974" t="s">
        <v>115</v>
      </c>
      <c r="AP3974">
        <v>41</v>
      </c>
      <c r="AQ3974">
        <v>84</v>
      </c>
      <c r="AR3974">
        <v>128</v>
      </c>
      <c r="AZ3974">
        <v>3614</v>
      </c>
      <c r="BA3974">
        <v>1</v>
      </c>
      <c r="BB3974" t="str">
        <f t="shared" si="185"/>
        <v xml:space="preserve">N959MJ  </v>
      </c>
      <c r="BC3974">
        <v>1</v>
      </c>
      <c r="BE3974">
        <v>0</v>
      </c>
      <c r="BF3974">
        <v>0</v>
      </c>
      <c r="BG3974">
        <v>0</v>
      </c>
      <c r="BH3974">
        <v>625</v>
      </c>
      <c r="BI3974">
        <v>325</v>
      </c>
      <c r="BJ3974">
        <v>1</v>
      </c>
      <c r="BK3974">
        <v>1</v>
      </c>
      <c r="BL3974">
        <v>1</v>
      </c>
      <c r="BM3974">
        <v>0</v>
      </c>
      <c r="BP3974">
        <v>0</v>
      </c>
      <c r="BQ3974">
        <v>0</v>
      </c>
      <c r="BX3974" t="str">
        <f>"14:56:42.461"</f>
        <v>14:56:42.461</v>
      </c>
      <c r="BY3974" t="str">
        <f>"460957134"</f>
        <v>460957134</v>
      </c>
      <c r="CL3974">
        <v>3</v>
      </c>
      <c r="CM3974">
        <v>2</v>
      </c>
      <c r="CN3974">
        <v>0</v>
      </c>
      <c r="CO3974">
        <v>2</v>
      </c>
      <c r="CP3974">
        <v>0</v>
      </c>
      <c r="CQ3974">
        <v>7</v>
      </c>
      <c r="CR3974" t="s">
        <v>116</v>
      </c>
      <c r="CS3974">
        <v>305</v>
      </c>
      <c r="CT3974">
        <v>3</v>
      </c>
      <c r="CU3974" t="s">
        <v>6425</v>
      </c>
      <c r="CV3974" t="s">
        <v>6426</v>
      </c>
      <c r="CY3974">
        <v>6785666</v>
      </c>
      <c r="CZ3974" t="s">
        <v>119</v>
      </c>
    </row>
    <row r="3975" spans="1:104" x14ac:dyDescent="0.25">
      <c r="A3975" t="str">
        <f>"14:56:43.602"</f>
        <v>14:56:43.602</v>
      </c>
      <c r="B3975" t="s">
        <v>108</v>
      </c>
      <c r="C3975" t="str">
        <f t="shared" si="184"/>
        <v>ffdfd3c0</v>
      </c>
      <c r="D3975" t="s">
        <v>109</v>
      </c>
      <c r="E3975">
        <v>4</v>
      </c>
      <c r="F3975">
        <v>1004</v>
      </c>
      <c r="G3975" t="s">
        <v>110</v>
      </c>
      <c r="J3975" t="s">
        <v>111</v>
      </c>
      <c r="K3975">
        <v>0</v>
      </c>
      <c r="L3975">
        <v>3</v>
      </c>
      <c r="M3975">
        <v>0</v>
      </c>
      <c r="N3975">
        <v>2</v>
      </c>
      <c r="O3975">
        <v>1</v>
      </c>
      <c r="P3975">
        <v>0</v>
      </c>
      <c r="Q3975">
        <v>0</v>
      </c>
      <c r="R3975" t="s">
        <v>112</v>
      </c>
      <c r="S3975" t="str">
        <f>"14:56:43.445"</f>
        <v>14:56:43.445</v>
      </c>
      <c r="T3975" t="str">
        <f>"14:56:43.047"</f>
        <v>14:56:43.047</v>
      </c>
      <c r="U3975" t="str">
        <f t="shared" si="186"/>
        <v>ad5732</v>
      </c>
      <c r="V3975">
        <v>0</v>
      </c>
      <c r="W3975">
        <v>0</v>
      </c>
      <c r="X3975">
        <v>1</v>
      </c>
      <c r="Z3975">
        <v>0</v>
      </c>
      <c r="AA3975">
        <v>9</v>
      </c>
      <c r="AB3975">
        <v>3</v>
      </c>
      <c r="AC3975">
        <v>0</v>
      </c>
      <c r="AD3975">
        <v>10</v>
      </c>
      <c r="AE3975">
        <v>0</v>
      </c>
      <c r="AF3975">
        <v>3</v>
      </c>
      <c r="AG3975">
        <v>2</v>
      </c>
      <c r="AH3975">
        <v>0</v>
      </c>
      <c r="AI3975" t="s">
        <v>7998</v>
      </c>
      <c r="AJ3975">
        <v>40.561759000000002</v>
      </c>
      <c r="AK3975" t="s">
        <v>7999</v>
      </c>
      <c r="AL3975">
        <v>-74.325620999999998</v>
      </c>
      <c r="AM3975">
        <v>100</v>
      </c>
      <c r="AN3975">
        <v>300</v>
      </c>
      <c r="AO3975" t="s">
        <v>115</v>
      </c>
      <c r="AP3975">
        <v>40</v>
      </c>
      <c r="AQ3975">
        <v>83</v>
      </c>
      <c r="AR3975">
        <v>128</v>
      </c>
      <c r="AZ3975">
        <v>3614</v>
      </c>
      <c r="BA3975">
        <v>1</v>
      </c>
      <c r="BB3975" t="str">
        <f t="shared" si="185"/>
        <v xml:space="preserve">N959MJ  </v>
      </c>
      <c r="BC3975">
        <v>1</v>
      </c>
      <c r="BE3975">
        <v>0</v>
      </c>
      <c r="BF3975">
        <v>0</v>
      </c>
      <c r="BG3975">
        <v>0</v>
      </c>
      <c r="BH3975">
        <v>625</v>
      </c>
      <c r="BI3975">
        <v>325</v>
      </c>
      <c r="BJ3975">
        <v>1</v>
      </c>
      <c r="BK3975">
        <v>1</v>
      </c>
      <c r="BL3975">
        <v>1</v>
      </c>
      <c r="BM3975">
        <v>0</v>
      </c>
      <c r="BP3975">
        <v>0</v>
      </c>
      <c r="BQ3975">
        <v>0</v>
      </c>
      <c r="BX3975" t="str">
        <f>"14:56:43.445"</f>
        <v>14:56:43.445</v>
      </c>
      <c r="BY3975" t="str">
        <f>"445652934"</f>
        <v>445652934</v>
      </c>
      <c r="CL3975">
        <v>3</v>
      </c>
      <c r="CM3975">
        <v>2</v>
      </c>
      <c r="CN3975">
        <v>0</v>
      </c>
      <c r="CO3975">
        <v>2</v>
      </c>
      <c r="CP3975">
        <v>0</v>
      </c>
      <c r="CQ3975">
        <v>7</v>
      </c>
      <c r="CR3975" t="s">
        <v>116</v>
      </c>
      <c r="CS3975">
        <v>305</v>
      </c>
      <c r="CT3975">
        <v>3</v>
      </c>
      <c r="CU3975" t="s">
        <v>6425</v>
      </c>
      <c r="CV3975" t="s">
        <v>6426</v>
      </c>
      <c r="CY3975">
        <v>6787748</v>
      </c>
      <c r="CZ3975" t="s">
        <v>119</v>
      </c>
    </row>
    <row r="3976" spans="1:104" x14ac:dyDescent="0.25">
      <c r="A3976" t="str">
        <f>"14:56:44.617"</f>
        <v>14:56:44.617</v>
      </c>
      <c r="B3976" t="s">
        <v>108</v>
      </c>
      <c r="C3976" t="str">
        <f t="shared" si="184"/>
        <v>ffdfd3c0</v>
      </c>
      <c r="D3976" t="s">
        <v>109</v>
      </c>
      <c r="E3976">
        <v>4</v>
      </c>
      <c r="F3976">
        <v>1004</v>
      </c>
      <c r="G3976" t="s">
        <v>110</v>
      </c>
      <c r="J3976" t="s">
        <v>111</v>
      </c>
      <c r="K3976">
        <v>0</v>
      </c>
      <c r="L3976">
        <v>3</v>
      </c>
      <c r="M3976">
        <v>0</v>
      </c>
      <c r="N3976">
        <v>2</v>
      </c>
      <c r="O3976">
        <v>1</v>
      </c>
      <c r="P3976">
        <v>0</v>
      </c>
      <c r="Q3976">
        <v>0</v>
      </c>
      <c r="R3976" t="s">
        <v>112</v>
      </c>
      <c r="S3976" t="str">
        <f>"14:56:44.438"</f>
        <v>14:56:44.438</v>
      </c>
      <c r="T3976" t="str">
        <f>"14:56:43.938"</f>
        <v>14:56:43.938</v>
      </c>
      <c r="U3976" t="str">
        <f t="shared" si="186"/>
        <v>ad5732</v>
      </c>
      <c r="V3976">
        <v>0</v>
      </c>
      <c r="W3976">
        <v>0</v>
      </c>
      <c r="X3976">
        <v>1</v>
      </c>
      <c r="Z3976">
        <v>0</v>
      </c>
      <c r="AA3976">
        <v>9</v>
      </c>
      <c r="AB3976">
        <v>3</v>
      </c>
      <c r="AC3976">
        <v>0</v>
      </c>
      <c r="AD3976">
        <v>10</v>
      </c>
      <c r="AE3976">
        <v>0</v>
      </c>
      <c r="AF3976">
        <v>3</v>
      </c>
      <c r="AG3976">
        <v>2</v>
      </c>
      <c r="AH3976">
        <v>0</v>
      </c>
      <c r="AI3976" t="s">
        <v>8000</v>
      </c>
      <c r="AJ3976">
        <v>40.562123999999997</v>
      </c>
      <c r="AK3976" t="s">
        <v>8001</v>
      </c>
      <c r="AL3976">
        <v>-74.325384999999997</v>
      </c>
      <c r="AM3976">
        <v>100</v>
      </c>
      <c r="AN3976">
        <v>300</v>
      </c>
      <c r="AO3976" t="s">
        <v>115</v>
      </c>
      <c r="AP3976">
        <v>39</v>
      </c>
      <c r="AQ3976">
        <v>82</v>
      </c>
      <c r="AR3976">
        <v>0</v>
      </c>
      <c r="AZ3976">
        <v>3614</v>
      </c>
      <c r="BA3976">
        <v>1</v>
      </c>
      <c r="BB3976" t="str">
        <f t="shared" si="185"/>
        <v xml:space="preserve">N959MJ  </v>
      </c>
      <c r="BC3976">
        <v>1</v>
      </c>
      <c r="BE3976">
        <v>0</v>
      </c>
      <c r="BF3976">
        <v>0</v>
      </c>
      <c r="BG3976">
        <v>0</v>
      </c>
      <c r="BH3976">
        <v>625</v>
      </c>
      <c r="BI3976">
        <v>325</v>
      </c>
      <c r="BJ3976">
        <v>1</v>
      </c>
      <c r="BK3976">
        <v>1</v>
      </c>
      <c r="BL3976">
        <v>1</v>
      </c>
      <c r="BM3976">
        <v>0</v>
      </c>
      <c r="BP3976">
        <v>0</v>
      </c>
      <c r="BQ3976">
        <v>0</v>
      </c>
      <c r="BX3976" t="str">
        <f>"14:56:44.438"</f>
        <v>14:56:44.438</v>
      </c>
      <c r="BY3976" t="str">
        <f>"438540781"</f>
        <v>438540781</v>
      </c>
      <c r="CL3976">
        <v>3</v>
      </c>
      <c r="CM3976">
        <v>2</v>
      </c>
      <c r="CN3976">
        <v>0</v>
      </c>
      <c r="CO3976">
        <v>2</v>
      </c>
      <c r="CP3976">
        <v>0</v>
      </c>
      <c r="CQ3976">
        <v>7</v>
      </c>
      <c r="CR3976" t="s">
        <v>116</v>
      </c>
      <c r="CS3976">
        <v>305</v>
      </c>
      <c r="CT3976">
        <v>3</v>
      </c>
      <c r="CU3976" t="s">
        <v>6425</v>
      </c>
      <c r="CV3976" t="s">
        <v>6426</v>
      </c>
      <c r="CY3976">
        <v>6789998</v>
      </c>
      <c r="CZ3976" t="s">
        <v>119</v>
      </c>
    </row>
    <row r="3977" spans="1:104" x14ac:dyDescent="0.25">
      <c r="A3977" t="str">
        <f>"14:56:45.625"</f>
        <v>14:56:45.625</v>
      </c>
      <c r="B3977" t="s">
        <v>108</v>
      </c>
      <c r="C3977" t="str">
        <f t="shared" si="184"/>
        <v>ffdfd3c0</v>
      </c>
      <c r="D3977" t="s">
        <v>109</v>
      </c>
      <c r="E3977">
        <v>4</v>
      </c>
      <c r="F3977">
        <v>1004</v>
      </c>
      <c r="G3977" t="s">
        <v>110</v>
      </c>
      <c r="J3977" t="s">
        <v>111</v>
      </c>
      <c r="K3977">
        <v>0</v>
      </c>
      <c r="L3977">
        <v>3</v>
      </c>
      <c r="M3977">
        <v>0</v>
      </c>
      <c r="N3977">
        <v>2</v>
      </c>
      <c r="O3977">
        <v>1</v>
      </c>
      <c r="P3977">
        <v>0</v>
      </c>
      <c r="Q3977">
        <v>0</v>
      </c>
      <c r="R3977" t="s">
        <v>112</v>
      </c>
      <c r="S3977" t="str">
        <f>"14:56:45.430"</f>
        <v>14:56:45.430</v>
      </c>
      <c r="T3977" t="str">
        <f>"14:56:45.031"</f>
        <v>14:56:45.031</v>
      </c>
      <c r="U3977" t="str">
        <f t="shared" si="186"/>
        <v>ad5732</v>
      </c>
      <c r="V3977">
        <v>0</v>
      </c>
      <c r="W3977">
        <v>0</v>
      </c>
      <c r="X3977">
        <v>1</v>
      </c>
      <c r="Z3977">
        <v>0</v>
      </c>
      <c r="AA3977">
        <v>9</v>
      </c>
      <c r="AB3977">
        <v>3</v>
      </c>
      <c r="AC3977">
        <v>0</v>
      </c>
      <c r="AD3977">
        <v>10</v>
      </c>
      <c r="AE3977">
        <v>0</v>
      </c>
      <c r="AF3977">
        <v>3</v>
      </c>
      <c r="AG3977">
        <v>2</v>
      </c>
      <c r="AH3977">
        <v>0</v>
      </c>
      <c r="AI3977" t="s">
        <v>8002</v>
      </c>
      <c r="AJ3977">
        <v>40.562488999999999</v>
      </c>
      <c r="AK3977" t="s">
        <v>8003</v>
      </c>
      <c r="AL3977">
        <v>-74.325192000000001</v>
      </c>
      <c r="AM3977">
        <v>100</v>
      </c>
      <c r="AN3977">
        <v>300</v>
      </c>
      <c r="AO3977" t="s">
        <v>115</v>
      </c>
      <c r="AP3977">
        <v>39</v>
      </c>
      <c r="AQ3977">
        <v>82</v>
      </c>
      <c r="AR3977">
        <v>0</v>
      </c>
      <c r="AZ3977">
        <v>3614</v>
      </c>
      <c r="BA3977">
        <v>1</v>
      </c>
      <c r="BB3977" t="str">
        <f t="shared" si="185"/>
        <v xml:space="preserve">N959MJ  </v>
      </c>
      <c r="BC3977">
        <v>1</v>
      </c>
      <c r="BE3977">
        <v>0</v>
      </c>
      <c r="BF3977">
        <v>0</v>
      </c>
      <c r="BG3977">
        <v>0</v>
      </c>
      <c r="BH3977">
        <v>625</v>
      </c>
      <c r="BI3977">
        <v>325</v>
      </c>
      <c r="BJ3977">
        <v>1</v>
      </c>
      <c r="BK3977">
        <v>1</v>
      </c>
      <c r="BL3977">
        <v>1</v>
      </c>
      <c r="BM3977">
        <v>0</v>
      </c>
      <c r="BP3977">
        <v>0</v>
      </c>
      <c r="BQ3977">
        <v>0</v>
      </c>
      <c r="BX3977" t="str">
        <f>"14:56:45.430"</f>
        <v>14:56:45.430</v>
      </c>
      <c r="BY3977" t="str">
        <f>"433067118"</f>
        <v>433067118</v>
      </c>
      <c r="CL3977">
        <v>3</v>
      </c>
      <c r="CM3977">
        <v>2</v>
      </c>
      <c r="CN3977">
        <v>0</v>
      </c>
      <c r="CO3977">
        <v>2</v>
      </c>
      <c r="CP3977">
        <v>0</v>
      </c>
      <c r="CQ3977">
        <v>7</v>
      </c>
      <c r="CR3977" t="s">
        <v>116</v>
      </c>
      <c r="CS3977">
        <v>305</v>
      </c>
      <c r="CT3977">
        <v>3</v>
      </c>
      <c r="CU3977" t="s">
        <v>6425</v>
      </c>
      <c r="CV3977" t="s">
        <v>6426</v>
      </c>
      <c r="CY3977">
        <v>6792066</v>
      </c>
      <c r="CZ3977" t="s">
        <v>119</v>
      </c>
    </row>
    <row r="3978" spans="1:104" x14ac:dyDescent="0.25">
      <c r="A3978" t="str">
        <f>"14:56:46.586"</f>
        <v>14:56:46.586</v>
      </c>
      <c r="B3978" t="s">
        <v>108</v>
      </c>
      <c r="C3978" t="str">
        <f t="shared" ref="C3978:C4041" si="187">"ffdfd3c0"</f>
        <v>ffdfd3c0</v>
      </c>
      <c r="D3978" t="s">
        <v>109</v>
      </c>
      <c r="E3978">
        <v>4</v>
      </c>
      <c r="F3978">
        <v>1004</v>
      </c>
      <c r="G3978" t="s">
        <v>110</v>
      </c>
      <c r="J3978" t="s">
        <v>111</v>
      </c>
      <c r="K3978">
        <v>0</v>
      </c>
      <c r="L3978">
        <v>3</v>
      </c>
      <c r="M3978">
        <v>0</v>
      </c>
      <c r="N3978">
        <v>2</v>
      </c>
      <c r="O3978">
        <v>1</v>
      </c>
      <c r="P3978">
        <v>0</v>
      </c>
      <c r="Q3978">
        <v>0</v>
      </c>
      <c r="R3978" t="s">
        <v>112</v>
      </c>
      <c r="S3978" t="str">
        <f>"14:56:46.414"</f>
        <v>14:56:46.414</v>
      </c>
      <c r="T3978" t="str">
        <f>"14:56:46.016"</f>
        <v>14:56:46.016</v>
      </c>
      <c r="U3978" t="str">
        <f t="shared" si="186"/>
        <v>ad5732</v>
      </c>
      <c r="V3978">
        <v>0</v>
      </c>
      <c r="W3978">
        <v>0</v>
      </c>
      <c r="X3978">
        <v>1</v>
      </c>
      <c r="Z3978">
        <v>0</v>
      </c>
      <c r="AA3978">
        <v>9</v>
      </c>
      <c r="AB3978">
        <v>3</v>
      </c>
      <c r="AC3978">
        <v>0</v>
      </c>
      <c r="AD3978">
        <v>10</v>
      </c>
      <c r="AE3978">
        <v>0</v>
      </c>
      <c r="AF3978">
        <v>3</v>
      </c>
      <c r="AG3978">
        <v>2</v>
      </c>
      <c r="AH3978">
        <v>0</v>
      </c>
      <c r="AI3978" t="s">
        <v>8004</v>
      </c>
      <c r="AJ3978">
        <v>40.562854000000002</v>
      </c>
      <c r="AK3978" t="s">
        <v>8005</v>
      </c>
      <c r="AL3978">
        <v>-74.324956</v>
      </c>
      <c r="AM3978">
        <v>100</v>
      </c>
      <c r="AN3978">
        <v>300</v>
      </c>
      <c r="AO3978" t="s">
        <v>115</v>
      </c>
      <c r="AP3978">
        <v>39</v>
      </c>
      <c r="AQ3978">
        <v>81</v>
      </c>
      <c r="AR3978">
        <v>128</v>
      </c>
      <c r="AZ3978">
        <v>3614</v>
      </c>
      <c r="BA3978">
        <v>1</v>
      </c>
      <c r="BB3978" t="str">
        <f t="shared" ref="BB3978:BB4041" si="188">"N959MJ  "</f>
        <v xml:space="preserve">N959MJ  </v>
      </c>
      <c r="BC3978">
        <v>1</v>
      </c>
      <c r="BE3978">
        <v>0</v>
      </c>
      <c r="BF3978">
        <v>0</v>
      </c>
      <c r="BG3978">
        <v>0</v>
      </c>
      <c r="BH3978">
        <v>625</v>
      </c>
      <c r="BI3978">
        <v>325</v>
      </c>
      <c r="BJ3978">
        <v>1</v>
      </c>
      <c r="BK3978">
        <v>1</v>
      </c>
      <c r="BL3978">
        <v>1</v>
      </c>
      <c r="BM3978">
        <v>0</v>
      </c>
      <c r="BP3978">
        <v>0</v>
      </c>
      <c r="BQ3978">
        <v>0</v>
      </c>
      <c r="BX3978" t="str">
        <f>"14:56:46.422"</f>
        <v>14:56:46.422</v>
      </c>
      <c r="BY3978" t="str">
        <f>"421039718"</f>
        <v>421039718</v>
      </c>
      <c r="CL3978">
        <v>3</v>
      </c>
      <c r="CM3978">
        <v>2</v>
      </c>
      <c r="CN3978">
        <v>0</v>
      </c>
      <c r="CO3978">
        <v>2</v>
      </c>
      <c r="CP3978">
        <v>0</v>
      </c>
      <c r="CQ3978">
        <v>7</v>
      </c>
      <c r="CR3978" t="s">
        <v>116</v>
      </c>
      <c r="CS3978">
        <v>305</v>
      </c>
      <c r="CT3978">
        <v>3</v>
      </c>
      <c r="CU3978" t="s">
        <v>6425</v>
      </c>
      <c r="CV3978" t="s">
        <v>6426</v>
      </c>
      <c r="CY3978">
        <v>6794080</v>
      </c>
      <c r="CZ3978" t="s">
        <v>119</v>
      </c>
    </row>
    <row r="3979" spans="1:104" x14ac:dyDescent="0.25">
      <c r="A3979" t="str">
        <f>"14:56:47.547"</f>
        <v>14:56:47.547</v>
      </c>
      <c r="B3979" t="s">
        <v>108</v>
      </c>
      <c r="C3979" t="str">
        <f t="shared" si="187"/>
        <v>ffdfd3c0</v>
      </c>
      <c r="D3979" t="s">
        <v>109</v>
      </c>
      <c r="E3979">
        <v>4</v>
      </c>
      <c r="F3979">
        <v>1004</v>
      </c>
      <c r="G3979" t="s">
        <v>110</v>
      </c>
      <c r="J3979" t="s">
        <v>111</v>
      </c>
      <c r="K3979">
        <v>0</v>
      </c>
      <c r="L3979">
        <v>3</v>
      </c>
      <c r="M3979">
        <v>0</v>
      </c>
      <c r="N3979">
        <v>2</v>
      </c>
      <c r="O3979">
        <v>1</v>
      </c>
      <c r="P3979">
        <v>0</v>
      </c>
      <c r="Q3979">
        <v>0</v>
      </c>
      <c r="R3979" t="s">
        <v>112</v>
      </c>
      <c r="S3979" t="str">
        <f>"14:56:47.383"</f>
        <v>14:56:47.383</v>
      </c>
      <c r="T3979" t="str">
        <f>"14:56:46.883"</f>
        <v>14:56:46.883</v>
      </c>
      <c r="U3979" t="str">
        <f t="shared" si="186"/>
        <v>ad5732</v>
      </c>
      <c r="V3979">
        <v>0</v>
      </c>
      <c r="W3979">
        <v>0</v>
      </c>
      <c r="X3979">
        <v>1</v>
      </c>
      <c r="Z3979">
        <v>0</v>
      </c>
      <c r="AA3979">
        <v>9</v>
      </c>
      <c r="AB3979">
        <v>3</v>
      </c>
      <c r="AC3979">
        <v>0</v>
      </c>
      <c r="AD3979">
        <v>10</v>
      </c>
      <c r="AE3979">
        <v>0</v>
      </c>
      <c r="AF3979">
        <v>3</v>
      </c>
      <c r="AG3979">
        <v>2</v>
      </c>
      <c r="AH3979">
        <v>0</v>
      </c>
      <c r="AI3979" t="s">
        <v>8006</v>
      </c>
      <c r="AJ3979">
        <v>40.563218999999997</v>
      </c>
      <c r="AK3979" t="s">
        <v>8007</v>
      </c>
      <c r="AL3979">
        <v>-74.324697999999998</v>
      </c>
      <c r="AM3979">
        <v>100</v>
      </c>
      <c r="AN3979">
        <v>300</v>
      </c>
      <c r="AO3979" t="s">
        <v>115</v>
      </c>
      <c r="AP3979">
        <v>39</v>
      </c>
      <c r="AQ3979">
        <v>80</v>
      </c>
      <c r="AR3979">
        <v>192</v>
      </c>
      <c r="AZ3979">
        <v>3614</v>
      </c>
      <c r="BA3979">
        <v>1</v>
      </c>
      <c r="BB3979" t="str">
        <f t="shared" si="188"/>
        <v xml:space="preserve">N959MJ  </v>
      </c>
      <c r="BC3979">
        <v>1</v>
      </c>
      <c r="BE3979">
        <v>0</v>
      </c>
      <c r="BF3979">
        <v>0</v>
      </c>
      <c r="BG3979">
        <v>0</v>
      </c>
      <c r="BH3979">
        <v>625</v>
      </c>
      <c r="BI3979">
        <v>325</v>
      </c>
      <c r="BJ3979">
        <v>1</v>
      </c>
      <c r="BK3979">
        <v>1</v>
      </c>
      <c r="BL3979">
        <v>1</v>
      </c>
      <c r="BM3979">
        <v>0</v>
      </c>
      <c r="BP3979">
        <v>0</v>
      </c>
      <c r="BQ3979">
        <v>0</v>
      </c>
      <c r="BX3979" t="str">
        <f>"14:56:47.391"</f>
        <v>14:56:47.391</v>
      </c>
      <c r="BY3979" t="str">
        <f>"389351174"</f>
        <v>389351174</v>
      </c>
      <c r="CL3979">
        <v>3</v>
      </c>
      <c r="CM3979">
        <v>2</v>
      </c>
      <c r="CN3979">
        <v>0</v>
      </c>
      <c r="CO3979">
        <v>2</v>
      </c>
      <c r="CP3979">
        <v>0</v>
      </c>
      <c r="CQ3979">
        <v>7</v>
      </c>
      <c r="CR3979" t="s">
        <v>116</v>
      </c>
      <c r="CS3979">
        <v>305</v>
      </c>
      <c r="CT3979">
        <v>3</v>
      </c>
      <c r="CU3979" t="s">
        <v>6425</v>
      </c>
      <c r="CV3979" t="s">
        <v>6426</v>
      </c>
      <c r="CY3979">
        <v>6796143</v>
      </c>
      <c r="CZ3979" t="s">
        <v>119</v>
      </c>
    </row>
    <row r="3980" spans="1:104" x14ac:dyDescent="0.25">
      <c r="A3980" t="str">
        <f>"14:56:48.703"</f>
        <v>14:56:48.703</v>
      </c>
      <c r="B3980" t="s">
        <v>108</v>
      </c>
      <c r="C3980" t="str">
        <f t="shared" si="187"/>
        <v>ffdfd3c0</v>
      </c>
      <c r="D3980" t="s">
        <v>109</v>
      </c>
      <c r="E3980">
        <v>4</v>
      </c>
      <c r="F3980">
        <v>1004</v>
      </c>
      <c r="G3980" t="s">
        <v>110</v>
      </c>
      <c r="J3980" t="s">
        <v>111</v>
      </c>
      <c r="K3980">
        <v>0</v>
      </c>
      <c r="L3980">
        <v>3</v>
      </c>
      <c r="M3980">
        <v>0</v>
      </c>
      <c r="N3980">
        <v>2</v>
      </c>
      <c r="O3980">
        <v>1</v>
      </c>
      <c r="P3980">
        <v>0</v>
      </c>
      <c r="Q3980">
        <v>0</v>
      </c>
      <c r="R3980" t="s">
        <v>112</v>
      </c>
      <c r="S3980" t="str">
        <f>"14:56:48.516"</f>
        <v>14:56:48.516</v>
      </c>
      <c r="T3980" t="str">
        <f>"14:56:47.414"</f>
        <v>14:56:47.414</v>
      </c>
      <c r="U3980" t="str">
        <f t="shared" si="186"/>
        <v>ad5732</v>
      </c>
      <c r="V3980">
        <v>0</v>
      </c>
      <c r="W3980">
        <v>0</v>
      </c>
      <c r="X3980">
        <v>1</v>
      </c>
      <c r="Z3980">
        <v>0</v>
      </c>
      <c r="AA3980">
        <v>9</v>
      </c>
      <c r="AB3980">
        <v>3</v>
      </c>
      <c r="AC3980">
        <v>0</v>
      </c>
      <c r="AD3980">
        <v>10</v>
      </c>
      <c r="AE3980">
        <v>0</v>
      </c>
      <c r="AF3980">
        <v>3</v>
      </c>
      <c r="AG3980">
        <v>2</v>
      </c>
      <c r="AH3980">
        <v>0</v>
      </c>
      <c r="AI3980" t="s">
        <v>8008</v>
      </c>
      <c r="AJ3980">
        <v>40.563625999999999</v>
      </c>
      <c r="AK3980" t="s">
        <v>8009</v>
      </c>
      <c r="AL3980">
        <v>-74.324440999999993</v>
      </c>
      <c r="AM3980">
        <v>100</v>
      </c>
      <c r="AN3980">
        <v>400</v>
      </c>
      <c r="AO3980" t="s">
        <v>115</v>
      </c>
      <c r="AP3980">
        <v>39</v>
      </c>
      <c r="AQ3980">
        <v>80</v>
      </c>
      <c r="AR3980">
        <v>192</v>
      </c>
      <c r="AZ3980">
        <v>3614</v>
      </c>
      <c r="BA3980">
        <v>1</v>
      </c>
      <c r="BB3980" t="str">
        <f t="shared" si="188"/>
        <v xml:space="preserve">N959MJ  </v>
      </c>
      <c r="BC3980">
        <v>1</v>
      </c>
      <c r="BE3980">
        <v>0</v>
      </c>
      <c r="BF3980">
        <v>0</v>
      </c>
      <c r="BG3980">
        <v>0</v>
      </c>
      <c r="BH3980">
        <v>625</v>
      </c>
      <c r="BI3980">
        <v>225</v>
      </c>
      <c r="BJ3980">
        <v>1</v>
      </c>
      <c r="BK3980">
        <v>1</v>
      </c>
      <c r="BL3980">
        <v>1</v>
      </c>
      <c r="BM3980">
        <v>0</v>
      </c>
      <c r="BP3980">
        <v>0</v>
      </c>
      <c r="BQ3980">
        <v>0</v>
      </c>
      <c r="BX3980" t="str">
        <f>"14:56:48.516"</f>
        <v>14:56:48.516</v>
      </c>
      <c r="BY3980" t="str">
        <f>"516590229"</f>
        <v>516590229</v>
      </c>
      <c r="CL3980">
        <v>3</v>
      </c>
      <c r="CM3980">
        <v>2</v>
      </c>
      <c r="CN3980">
        <v>0</v>
      </c>
      <c r="CO3980">
        <v>2</v>
      </c>
      <c r="CP3980">
        <v>0</v>
      </c>
      <c r="CQ3980">
        <v>7</v>
      </c>
      <c r="CR3980" t="s">
        <v>116</v>
      </c>
      <c r="CS3980">
        <v>305</v>
      </c>
      <c r="CT3980">
        <v>3</v>
      </c>
      <c r="CU3980" t="s">
        <v>6425</v>
      </c>
      <c r="CV3980" t="s">
        <v>6426</v>
      </c>
      <c r="CY3980">
        <v>6798579</v>
      </c>
      <c r="CZ3980" t="s">
        <v>119</v>
      </c>
    </row>
    <row r="3981" spans="1:104" x14ac:dyDescent="0.25">
      <c r="A3981" t="str">
        <f>"14:56:49.563"</f>
        <v>14:56:49.563</v>
      </c>
      <c r="B3981" t="s">
        <v>108</v>
      </c>
      <c r="C3981" t="str">
        <f t="shared" si="187"/>
        <v>ffdfd3c0</v>
      </c>
      <c r="D3981" t="s">
        <v>109</v>
      </c>
      <c r="E3981">
        <v>4</v>
      </c>
      <c r="F3981">
        <v>1004</v>
      </c>
      <c r="G3981" t="s">
        <v>110</v>
      </c>
      <c r="J3981" t="s">
        <v>111</v>
      </c>
      <c r="K3981">
        <v>0</v>
      </c>
      <c r="L3981">
        <v>3</v>
      </c>
      <c r="M3981">
        <v>0</v>
      </c>
      <c r="N3981">
        <v>2</v>
      </c>
      <c r="O3981">
        <v>1</v>
      </c>
      <c r="P3981">
        <v>0</v>
      </c>
      <c r="Q3981">
        <v>0</v>
      </c>
      <c r="R3981" t="s">
        <v>112</v>
      </c>
      <c r="S3981" t="str">
        <f>"14:56:49.359"</f>
        <v>14:56:49.359</v>
      </c>
      <c r="T3981" t="str">
        <f>"14:56:48.961"</f>
        <v>14:56:48.961</v>
      </c>
      <c r="U3981" t="str">
        <f t="shared" si="186"/>
        <v>ad5732</v>
      </c>
      <c r="V3981">
        <v>0</v>
      </c>
      <c r="W3981">
        <v>0</v>
      </c>
      <c r="X3981">
        <v>1</v>
      </c>
      <c r="Z3981">
        <v>0</v>
      </c>
      <c r="AA3981">
        <v>9</v>
      </c>
      <c r="AB3981">
        <v>3</v>
      </c>
      <c r="AC3981">
        <v>0</v>
      </c>
      <c r="AD3981">
        <v>10</v>
      </c>
      <c r="AE3981">
        <v>0</v>
      </c>
      <c r="AF3981">
        <v>3</v>
      </c>
      <c r="AG3981">
        <v>2</v>
      </c>
      <c r="AH3981">
        <v>0</v>
      </c>
      <c r="AI3981" t="s">
        <v>8010</v>
      </c>
      <c r="AJ3981">
        <v>40.563948000000003</v>
      </c>
      <c r="AK3981" t="s">
        <v>8011</v>
      </c>
      <c r="AL3981">
        <v>-74.324225999999996</v>
      </c>
      <c r="AM3981">
        <v>100</v>
      </c>
      <c r="AN3981">
        <v>400</v>
      </c>
      <c r="AO3981" t="s">
        <v>115</v>
      </c>
      <c r="AP3981">
        <v>37</v>
      </c>
      <c r="AQ3981">
        <v>79</v>
      </c>
      <c r="AR3981">
        <v>0</v>
      </c>
      <c r="AZ3981">
        <v>3614</v>
      </c>
      <c r="BA3981">
        <v>1</v>
      </c>
      <c r="BB3981" t="str">
        <f t="shared" si="188"/>
        <v xml:space="preserve">N959MJ  </v>
      </c>
      <c r="BC3981">
        <v>1</v>
      </c>
      <c r="BE3981">
        <v>0</v>
      </c>
      <c r="BF3981">
        <v>0</v>
      </c>
      <c r="BG3981">
        <v>0</v>
      </c>
      <c r="BH3981">
        <v>625</v>
      </c>
      <c r="BI3981">
        <v>225</v>
      </c>
      <c r="BJ3981">
        <v>1</v>
      </c>
      <c r="BK3981">
        <v>1</v>
      </c>
      <c r="BL3981">
        <v>1</v>
      </c>
      <c r="BM3981">
        <v>0</v>
      </c>
      <c r="BP3981">
        <v>0</v>
      </c>
      <c r="BQ3981">
        <v>0</v>
      </c>
      <c r="BX3981" t="str">
        <f>"14:56:49.367"</f>
        <v>14:56:49.367</v>
      </c>
      <c r="BY3981" t="str">
        <f>"367056937"</f>
        <v>367056937</v>
      </c>
      <c r="CL3981">
        <v>3</v>
      </c>
      <c r="CM3981">
        <v>2</v>
      </c>
      <c r="CN3981">
        <v>0</v>
      </c>
      <c r="CO3981">
        <v>2</v>
      </c>
      <c r="CP3981">
        <v>0</v>
      </c>
      <c r="CQ3981">
        <v>4</v>
      </c>
      <c r="CR3981" t="s">
        <v>116</v>
      </c>
      <c r="CS3981">
        <v>409</v>
      </c>
      <c r="CT3981">
        <v>1</v>
      </c>
      <c r="CU3981" t="s">
        <v>5087</v>
      </c>
      <c r="CV3981" t="s">
        <v>5088</v>
      </c>
      <c r="CY3981">
        <v>5323860</v>
      </c>
      <c r="CZ3981" t="s">
        <v>119</v>
      </c>
    </row>
    <row r="3982" spans="1:104" x14ac:dyDescent="0.25">
      <c r="A3982" t="str">
        <f>"14:56:50.469"</f>
        <v>14:56:50.469</v>
      </c>
      <c r="B3982" t="s">
        <v>108</v>
      </c>
      <c r="C3982" t="str">
        <f t="shared" si="187"/>
        <v>ffdfd3c0</v>
      </c>
      <c r="D3982" t="s">
        <v>109</v>
      </c>
      <c r="E3982">
        <v>4</v>
      </c>
      <c r="F3982">
        <v>1004</v>
      </c>
      <c r="G3982" t="s">
        <v>110</v>
      </c>
      <c r="J3982" t="s">
        <v>111</v>
      </c>
      <c r="K3982">
        <v>0</v>
      </c>
      <c r="L3982">
        <v>3</v>
      </c>
      <c r="M3982">
        <v>0</v>
      </c>
      <c r="N3982">
        <v>2</v>
      </c>
      <c r="O3982">
        <v>1</v>
      </c>
      <c r="P3982">
        <v>0</v>
      </c>
      <c r="Q3982">
        <v>0</v>
      </c>
      <c r="R3982" t="s">
        <v>112</v>
      </c>
      <c r="S3982" t="str">
        <f>"14:56:50.313"</f>
        <v>14:56:50.313</v>
      </c>
      <c r="T3982" t="str">
        <f>"14:56:49.914"</f>
        <v>14:56:49.914</v>
      </c>
      <c r="U3982" t="str">
        <f t="shared" si="186"/>
        <v>ad5732</v>
      </c>
      <c r="V3982">
        <v>0</v>
      </c>
      <c r="W3982">
        <v>0</v>
      </c>
      <c r="X3982">
        <v>1</v>
      </c>
      <c r="Z3982">
        <v>0</v>
      </c>
      <c r="AA3982">
        <v>9</v>
      </c>
      <c r="AB3982">
        <v>3</v>
      </c>
      <c r="AC3982">
        <v>0</v>
      </c>
      <c r="AD3982">
        <v>10</v>
      </c>
      <c r="AE3982">
        <v>0</v>
      </c>
      <c r="AF3982">
        <v>3</v>
      </c>
      <c r="AG3982">
        <v>2</v>
      </c>
      <c r="AH3982">
        <v>0</v>
      </c>
      <c r="AI3982" t="s">
        <v>8012</v>
      </c>
      <c r="AJ3982">
        <v>40.56427</v>
      </c>
      <c r="AK3982" t="s">
        <v>8013</v>
      </c>
      <c r="AL3982">
        <v>-74.324076000000005</v>
      </c>
      <c r="AM3982">
        <v>100</v>
      </c>
      <c r="AN3982">
        <v>400</v>
      </c>
      <c r="AO3982" t="s">
        <v>115</v>
      </c>
      <c r="AP3982">
        <v>37</v>
      </c>
      <c r="AQ3982">
        <v>79</v>
      </c>
      <c r="AR3982">
        <v>-256</v>
      </c>
      <c r="AZ3982">
        <v>3614</v>
      </c>
      <c r="BA3982">
        <v>1</v>
      </c>
      <c r="BB3982" t="str">
        <f t="shared" si="188"/>
        <v xml:space="preserve">N959MJ  </v>
      </c>
      <c r="BC3982">
        <v>1</v>
      </c>
      <c r="BE3982">
        <v>0</v>
      </c>
      <c r="BF3982">
        <v>0</v>
      </c>
      <c r="BG3982">
        <v>0</v>
      </c>
      <c r="BH3982">
        <v>625</v>
      </c>
      <c r="BI3982">
        <v>225</v>
      </c>
      <c r="BJ3982">
        <v>1</v>
      </c>
      <c r="BK3982">
        <v>1</v>
      </c>
      <c r="BL3982">
        <v>1</v>
      </c>
      <c r="BM3982">
        <v>0</v>
      </c>
      <c r="BP3982">
        <v>0</v>
      </c>
      <c r="BQ3982">
        <v>0</v>
      </c>
      <c r="BX3982" t="str">
        <f>"14:56:50.313"</f>
        <v>14:56:50.313</v>
      </c>
      <c r="BY3982" t="str">
        <f>"313946801"</f>
        <v>313946801</v>
      </c>
      <c r="CL3982">
        <v>3</v>
      </c>
      <c r="CM3982">
        <v>2</v>
      </c>
      <c r="CN3982">
        <v>0</v>
      </c>
      <c r="CO3982">
        <v>2</v>
      </c>
      <c r="CP3982">
        <v>0</v>
      </c>
      <c r="CQ3982">
        <v>7</v>
      </c>
      <c r="CR3982" t="s">
        <v>116</v>
      </c>
      <c r="CS3982">
        <v>305</v>
      </c>
      <c r="CT3982">
        <v>3</v>
      </c>
      <c r="CU3982" t="s">
        <v>6425</v>
      </c>
      <c r="CV3982" t="s">
        <v>6426</v>
      </c>
      <c r="CY3982">
        <v>6802308</v>
      </c>
      <c r="CZ3982" t="s">
        <v>119</v>
      </c>
    </row>
    <row r="3983" spans="1:104" x14ac:dyDescent="0.25">
      <c r="A3983" t="str">
        <f>"14:56:51.586"</f>
        <v>14:56:51.586</v>
      </c>
      <c r="B3983" t="s">
        <v>108</v>
      </c>
      <c r="C3983" t="str">
        <f t="shared" si="187"/>
        <v>ffdfd3c0</v>
      </c>
      <c r="D3983" t="s">
        <v>109</v>
      </c>
      <c r="E3983">
        <v>4</v>
      </c>
      <c r="F3983">
        <v>1004</v>
      </c>
      <c r="G3983" t="s">
        <v>110</v>
      </c>
      <c r="J3983" t="s">
        <v>111</v>
      </c>
      <c r="K3983">
        <v>0</v>
      </c>
      <c r="L3983">
        <v>3</v>
      </c>
      <c r="M3983">
        <v>0</v>
      </c>
      <c r="N3983">
        <v>2</v>
      </c>
      <c r="O3983">
        <v>1</v>
      </c>
      <c r="P3983">
        <v>0</v>
      </c>
      <c r="Q3983">
        <v>0</v>
      </c>
      <c r="R3983" t="s">
        <v>112</v>
      </c>
      <c r="S3983" t="str">
        <f>"14:56:51.406"</f>
        <v>14:56:51.406</v>
      </c>
      <c r="T3983" t="str">
        <f>"14:56:50.906"</f>
        <v>14:56:50.906</v>
      </c>
      <c r="U3983" t="str">
        <f t="shared" si="186"/>
        <v>ad5732</v>
      </c>
      <c r="V3983">
        <v>0</v>
      </c>
      <c r="W3983">
        <v>0</v>
      </c>
      <c r="X3983">
        <v>1</v>
      </c>
      <c r="Z3983">
        <v>0</v>
      </c>
      <c r="AA3983">
        <v>9</v>
      </c>
      <c r="AB3983">
        <v>3</v>
      </c>
      <c r="AC3983">
        <v>0</v>
      </c>
      <c r="AD3983">
        <v>10</v>
      </c>
      <c r="AE3983">
        <v>0</v>
      </c>
      <c r="AF3983">
        <v>3</v>
      </c>
      <c r="AG3983">
        <v>2</v>
      </c>
      <c r="AH3983">
        <v>0</v>
      </c>
      <c r="AI3983" t="s">
        <v>8014</v>
      </c>
      <c r="AJ3983">
        <v>40.564678000000001</v>
      </c>
      <c r="AK3983" t="s">
        <v>8015</v>
      </c>
      <c r="AL3983">
        <v>-74.323796999999999</v>
      </c>
      <c r="AM3983">
        <v>100</v>
      </c>
      <c r="AN3983">
        <v>400</v>
      </c>
      <c r="AO3983" t="s">
        <v>115</v>
      </c>
      <c r="AP3983">
        <v>37</v>
      </c>
      <c r="AQ3983">
        <v>79</v>
      </c>
      <c r="AR3983">
        <v>-384</v>
      </c>
      <c r="AZ3983">
        <v>3614</v>
      </c>
      <c r="BA3983">
        <v>1</v>
      </c>
      <c r="BB3983" t="str">
        <f t="shared" si="188"/>
        <v xml:space="preserve">N959MJ  </v>
      </c>
      <c r="BC3983">
        <v>1</v>
      </c>
      <c r="BE3983">
        <v>0</v>
      </c>
      <c r="BF3983">
        <v>0</v>
      </c>
      <c r="BG3983">
        <v>0</v>
      </c>
      <c r="BH3983">
        <v>625</v>
      </c>
      <c r="BI3983">
        <v>225</v>
      </c>
      <c r="BJ3983">
        <v>1</v>
      </c>
      <c r="BK3983">
        <v>1</v>
      </c>
      <c r="BL3983">
        <v>1</v>
      </c>
      <c r="BM3983">
        <v>0</v>
      </c>
      <c r="BP3983">
        <v>0</v>
      </c>
      <c r="BQ3983">
        <v>0</v>
      </c>
      <c r="BX3983" t="str">
        <f>"14:56:51.406"</f>
        <v>14:56:51.406</v>
      </c>
      <c r="BY3983" t="str">
        <f>"410055608"</f>
        <v>410055608</v>
      </c>
      <c r="CL3983">
        <v>3</v>
      </c>
      <c r="CM3983">
        <v>2</v>
      </c>
      <c r="CN3983">
        <v>0</v>
      </c>
      <c r="CO3983">
        <v>2</v>
      </c>
      <c r="CP3983">
        <v>0</v>
      </c>
      <c r="CQ3983">
        <v>7</v>
      </c>
      <c r="CR3983" t="s">
        <v>116</v>
      </c>
      <c r="CS3983">
        <v>305</v>
      </c>
      <c r="CT3983">
        <v>3</v>
      </c>
      <c r="CU3983" t="s">
        <v>6425</v>
      </c>
      <c r="CV3983" t="s">
        <v>6426</v>
      </c>
      <c r="CY3983">
        <v>6804426</v>
      </c>
      <c r="CZ3983" t="s">
        <v>119</v>
      </c>
    </row>
    <row r="3984" spans="1:104" x14ac:dyDescent="0.25">
      <c r="A3984" t="str">
        <f>"14:56:52.695"</f>
        <v>14:56:52.695</v>
      </c>
      <c r="B3984" t="s">
        <v>108</v>
      </c>
      <c r="C3984" t="str">
        <f t="shared" si="187"/>
        <v>ffdfd3c0</v>
      </c>
      <c r="D3984" t="s">
        <v>109</v>
      </c>
      <c r="E3984">
        <v>4</v>
      </c>
      <c r="F3984">
        <v>1004</v>
      </c>
      <c r="G3984" t="s">
        <v>110</v>
      </c>
      <c r="J3984" t="s">
        <v>111</v>
      </c>
      <c r="K3984">
        <v>0</v>
      </c>
      <c r="L3984">
        <v>3</v>
      </c>
      <c r="M3984">
        <v>0</v>
      </c>
      <c r="N3984">
        <v>2</v>
      </c>
      <c r="O3984">
        <v>1</v>
      </c>
      <c r="P3984">
        <v>0</v>
      </c>
      <c r="Q3984">
        <v>0</v>
      </c>
      <c r="R3984" t="s">
        <v>112</v>
      </c>
      <c r="S3984" t="str">
        <f>"14:56:52.516"</f>
        <v>14:56:52.516</v>
      </c>
      <c r="T3984" t="str">
        <f>"14:56:52.016"</f>
        <v>14:56:52.016</v>
      </c>
      <c r="U3984" t="str">
        <f t="shared" si="186"/>
        <v>ad5732</v>
      </c>
      <c r="V3984">
        <v>0</v>
      </c>
      <c r="W3984">
        <v>0</v>
      </c>
      <c r="X3984">
        <v>1</v>
      </c>
      <c r="Z3984">
        <v>0</v>
      </c>
      <c r="AA3984">
        <v>9</v>
      </c>
      <c r="AB3984">
        <v>3</v>
      </c>
      <c r="AC3984">
        <v>0</v>
      </c>
      <c r="AD3984">
        <v>10</v>
      </c>
      <c r="AE3984">
        <v>0</v>
      </c>
      <c r="AF3984">
        <v>3</v>
      </c>
      <c r="AG3984">
        <v>2</v>
      </c>
      <c r="AH3984">
        <v>0</v>
      </c>
      <c r="AI3984" t="s">
        <v>8016</v>
      </c>
      <c r="AJ3984">
        <v>40.565106999999998</v>
      </c>
      <c r="AK3984" t="s">
        <v>8017</v>
      </c>
      <c r="AL3984">
        <v>-74.323560999999998</v>
      </c>
      <c r="AM3984">
        <v>100</v>
      </c>
      <c r="AN3984">
        <v>300</v>
      </c>
      <c r="AO3984" t="s">
        <v>115</v>
      </c>
      <c r="AP3984">
        <v>37</v>
      </c>
      <c r="AQ3984">
        <v>79</v>
      </c>
      <c r="AR3984">
        <v>-384</v>
      </c>
      <c r="AZ3984">
        <v>3614</v>
      </c>
      <c r="BA3984">
        <v>1</v>
      </c>
      <c r="BB3984" t="str">
        <f t="shared" si="188"/>
        <v xml:space="preserve">N959MJ  </v>
      </c>
      <c r="BC3984">
        <v>1</v>
      </c>
      <c r="BE3984">
        <v>0</v>
      </c>
      <c r="BF3984">
        <v>0</v>
      </c>
      <c r="BG3984">
        <v>0</v>
      </c>
      <c r="BH3984">
        <v>600</v>
      </c>
      <c r="BI3984">
        <v>300</v>
      </c>
      <c r="BJ3984">
        <v>1</v>
      </c>
      <c r="BK3984">
        <v>1</v>
      </c>
      <c r="BL3984">
        <v>1</v>
      </c>
      <c r="BM3984">
        <v>0</v>
      </c>
      <c r="BP3984">
        <v>0</v>
      </c>
      <c r="BQ3984">
        <v>0</v>
      </c>
      <c r="BX3984" t="str">
        <f>"14:56:52.523"</f>
        <v>14:56:52.523</v>
      </c>
      <c r="BY3984" t="str">
        <f>"522548859"</f>
        <v>522548859</v>
      </c>
      <c r="CL3984">
        <v>3</v>
      </c>
      <c r="CM3984">
        <v>2</v>
      </c>
      <c r="CN3984">
        <v>0</v>
      </c>
      <c r="CO3984">
        <v>2</v>
      </c>
      <c r="CP3984">
        <v>0</v>
      </c>
      <c r="CQ3984">
        <v>7</v>
      </c>
      <c r="CR3984" t="s">
        <v>116</v>
      </c>
      <c r="CS3984">
        <v>305</v>
      </c>
      <c r="CT3984">
        <v>3</v>
      </c>
      <c r="CU3984" t="s">
        <v>6425</v>
      </c>
      <c r="CV3984" t="s">
        <v>6426</v>
      </c>
      <c r="CY3984">
        <v>6806767</v>
      </c>
      <c r="CZ3984" t="s">
        <v>119</v>
      </c>
    </row>
    <row r="3985" spans="1:104" x14ac:dyDescent="0.25">
      <c r="A3985" t="str">
        <f>"14:56:53.859"</f>
        <v>14:56:53.859</v>
      </c>
      <c r="B3985" t="s">
        <v>108</v>
      </c>
      <c r="C3985" t="str">
        <f t="shared" si="187"/>
        <v>ffdfd3c0</v>
      </c>
      <c r="D3985" t="s">
        <v>109</v>
      </c>
      <c r="E3985">
        <v>4</v>
      </c>
      <c r="F3985">
        <v>1004</v>
      </c>
      <c r="G3985" t="s">
        <v>110</v>
      </c>
      <c r="J3985" t="s">
        <v>111</v>
      </c>
      <c r="K3985">
        <v>0</v>
      </c>
      <c r="L3985">
        <v>3</v>
      </c>
      <c r="M3985">
        <v>0</v>
      </c>
      <c r="N3985">
        <v>2</v>
      </c>
      <c r="O3985">
        <v>1</v>
      </c>
      <c r="P3985">
        <v>0</v>
      </c>
      <c r="Q3985">
        <v>0</v>
      </c>
      <c r="R3985" t="s">
        <v>112</v>
      </c>
      <c r="S3985" t="str">
        <f>"14:56:53.672"</f>
        <v>14:56:53.672</v>
      </c>
      <c r="T3985" t="str">
        <f>"14:56:53.172"</f>
        <v>14:56:53.172</v>
      </c>
      <c r="U3985" t="str">
        <f t="shared" si="186"/>
        <v>ad5732</v>
      </c>
      <c r="V3985">
        <v>0</v>
      </c>
      <c r="W3985">
        <v>0</v>
      </c>
      <c r="X3985">
        <v>1</v>
      </c>
      <c r="Z3985">
        <v>0</v>
      </c>
      <c r="AA3985">
        <v>9</v>
      </c>
      <c r="AB3985">
        <v>3</v>
      </c>
      <c r="AC3985">
        <v>0</v>
      </c>
      <c r="AD3985">
        <v>10</v>
      </c>
      <c r="AE3985">
        <v>0</v>
      </c>
      <c r="AF3985">
        <v>3</v>
      </c>
      <c r="AG3985">
        <v>2</v>
      </c>
      <c r="AH3985">
        <v>0</v>
      </c>
      <c r="AI3985" t="s">
        <v>8018</v>
      </c>
      <c r="AJ3985">
        <v>40.565536000000002</v>
      </c>
      <c r="AK3985" t="s">
        <v>8019</v>
      </c>
      <c r="AL3985">
        <v>-74.323261000000002</v>
      </c>
      <c r="AM3985">
        <v>100</v>
      </c>
      <c r="AN3985">
        <v>300</v>
      </c>
      <c r="AO3985" t="s">
        <v>115</v>
      </c>
      <c r="AP3985">
        <v>37</v>
      </c>
      <c r="AQ3985">
        <v>79</v>
      </c>
      <c r="AR3985">
        <v>-384</v>
      </c>
      <c r="AZ3985">
        <v>3614</v>
      </c>
      <c r="BA3985">
        <v>1</v>
      </c>
      <c r="BB3985" t="str">
        <f t="shared" si="188"/>
        <v xml:space="preserve">N959MJ  </v>
      </c>
      <c r="BC3985">
        <v>1</v>
      </c>
      <c r="BE3985">
        <v>0</v>
      </c>
      <c r="BF3985">
        <v>0</v>
      </c>
      <c r="BG3985">
        <v>0</v>
      </c>
      <c r="BH3985">
        <v>600</v>
      </c>
      <c r="BI3985">
        <v>300</v>
      </c>
      <c r="BJ3985">
        <v>1</v>
      </c>
      <c r="BK3985">
        <v>1</v>
      </c>
      <c r="BL3985">
        <v>1</v>
      </c>
      <c r="BM3985">
        <v>0</v>
      </c>
      <c r="BP3985">
        <v>0</v>
      </c>
      <c r="BQ3985">
        <v>0</v>
      </c>
      <c r="BX3985" t="str">
        <f>"14:56:53.672"</f>
        <v>14:56:53.672</v>
      </c>
      <c r="BY3985" t="str">
        <f>"672725876"</f>
        <v>672725876</v>
      </c>
      <c r="CL3985">
        <v>3</v>
      </c>
      <c r="CM3985">
        <v>2</v>
      </c>
      <c r="CN3985">
        <v>0</v>
      </c>
      <c r="CO3985">
        <v>2</v>
      </c>
      <c r="CP3985">
        <v>0</v>
      </c>
      <c r="CQ3985">
        <v>7</v>
      </c>
      <c r="CR3985" t="s">
        <v>116</v>
      </c>
      <c r="CS3985">
        <v>305</v>
      </c>
      <c r="CT3985">
        <v>3</v>
      </c>
      <c r="CU3985" t="s">
        <v>6425</v>
      </c>
      <c r="CV3985" t="s">
        <v>6426</v>
      </c>
      <c r="CY3985">
        <v>6809193</v>
      </c>
      <c r="CZ3985" t="s">
        <v>119</v>
      </c>
    </row>
    <row r="3986" spans="1:104" x14ac:dyDescent="0.25">
      <c r="A3986" t="str">
        <f>"14:56:54.867"</f>
        <v>14:56:54.867</v>
      </c>
      <c r="B3986" t="s">
        <v>108</v>
      </c>
      <c r="C3986" t="str">
        <f t="shared" si="187"/>
        <v>ffdfd3c0</v>
      </c>
      <c r="D3986" t="s">
        <v>109</v>
      </c>
      <c r="E3986">
        <v>4</v>
      </c>
      <c r="F3986">
        <v>1004</v>
      </c>
      <c r="G3986" t="s">
        <v>110</v>
      </c>
      <c r="J3986" t="s">
        <v>111</v>
      </c>
      <c r="K3986">
        <v>0</v>
      </c>
      <c r="L3986">
        <v>3</v>
      </c>
      <c r="M3986">
        <v>0</v>
      </c>
      <c r="N3986">
        <v>2</v>
      </c>
      <c r="O3986">
        <v>1</v>
      </c>
      <c r="P3986">
        <v>0</v>
      </c>
      <c r="Q3986">
        <v>0</v>
      </c>
      <c r="R3986" t="s">
        <v>112</v>
      </c>
      <c r="S3986" t="str">
        <f>"14:56:54.688"</f>
        <v>14:56:54.688</v>
      </c>
      <c r="T3986" t="str">
        <f>"14:56:54.289"</f>
        <v>14:56:54.289</v>
      </c>
      <c r="U3986" t="str">
        <f t="shared" si="186"/>
        <v>ad5732</v>
      </c>
      <c r="V3986">
        <v>0</v>
      </c>
      <c r="W3986">
        <v>0</v>
      </c>
      <c r="X3986">
        <v>1</v>
      </c>
      <c r="Z3986">
        <v>0</v>
      </c>
      <c r="AA3986">
        <v>9</v>
      </c>
      <c r="AB3986">
        <v>3</v>
      </c>
      <c r="AC3986">
        <v>0</v>
      </c>
      <c r="AD3986">
        <v>10</v>
      </c>
      <c r="AE3986">
        <v>0</v>
      </c>
      <c r="AF3986">
        <v>3</v>
      </c>
      <c r="AG3986">
        <v>2</v>
      </c>
      <c r="AH3986">
        <v>0</v>
      </c>
      <c r="AI3986" t="s">
        <v>8020</v>
      </c>
      <c r="AJ3986">
        <v>40.565900999999997</v>
      </c>
      <c r="AK3986" t="s">
        <v>8021</v>
      </c>
      <c r="AL3986">
        <v>-74.323068000000006</v>
      </c>
      <c r="AM3986">
        <v>100</v>
      </c>
      <c r="AN3986">
        <v>300</v>
      </c>
      <c r="AO3986" t="s">
        <v>115</v>
      </c>
      <c r="AP3986">
        <v>37</v>
      </c>
      <c r="AQ3986">
        <v>78</v>
      </c>
      <c r="AR3986">
        <v>-320</v>
      </c>
      <c r="AZ3986">
        <v>3614</v>
      </c>
      <c r="BA3986">
        <v>1</v>
      </c>
      <c r="BB3986" t="str">
        <f t="shared" si="188"/>
        <v xml:space="preserve">N959MJ  </v>
      </c>
      <c r="BC3986">
        <v>1</v>
      </c>
      <c r="BE3986">
        <v>0</v>
      </c>
      <c r="BF3986">
        <v>0</v>
      </c>
      <c r="BG3986">
        <v>0</v>
      </c>
      <c r="BH3986">
        <v>600</v>
      </c>
      <c r="BI3986">
        <v>300</v>
      </c>
      <c r="BJ3986">
        <v>1</v>
      </c>
      <c r="BK3986">
        <v>1</v>
      </c>
      <c r="BL3986">
        <v>1</v>
      </c>
      <c r="BM3986">
        <v>0</v>
      </c>
      <c r="BP3986">
        <v>0</v>
      </c>
      <c r="BQ3986">
        <v>0</v>
      </c>
      <c r="BX3986" t="str">
        <f>"14:56:54.688"</f>
        <v>14:56:54.688</v>
      </c>
      <c r="BY3986" t="str">
        <f>"688551763"</f>
        <v>688551763</v>
      </c>
      <c r="CL3986">
        <v>3</v>
      </c>
      <c r="CM3986">
        <v>2</v>
      </c>
      <c r="CN3986">
        <v>0</v>
      </c>
      <c r="CO3986">
        <v>2</v>
      </c>
      <c r="CP3986">
        <v>0</v>
      </c>
      <c r="CQ3986">
        <v>6</v>
      </c>
      <c r="CR3986" t="s">
        <v>116</v>
      </c>
      <c r="CS3986">
        <v>305</v>
      </c>
      <c r="CT3986">
        <v>3</v>
      </c>
      <c r="CU3986" t="s">
        <v>6425</v>
      </c>
      <c r="CV3986" t="s">
        <v>6426</v>
      </c>
      <c r="CY3986">
        <v>6811285</v>
      </c>
      <c r="CZ3986" t="s">
        <v>119</v>
      </c>
    </row>
    <row r="3987" spans="1:104" x14ac:dyDescent="0.25">
      <c r="A3987" t="str">
        <f>"14:56:55.977"</f>
        <v>14:56:55.977</v>
      </c>
      <c r="B3987" t="s">
        <v>108</v>
      </c>
      <c r="C3987" t="str">
        <f t="shared" si="187"/>
        <v>ffdfd3c0</v>
      </c>
      <c r="D3987" t="s">
        <v>109</v>
      </c>
      <c r="E3987">
        <v>4</v>
      </c>
      <c r="F3987">
        <v>1004</v>
      </c>
      <c r="G3987" t="s">
        <v>110</v>
      </c>
      <c r="J3987" t="s">
        <v>111</v>
      </c>
      <c r="K3987">
        <v>0</v>
      </c>
      <c r="L3987">
        <v>3</v>
      </c>
      <c r="M3987">
        <v>0</v>
      </c>
      <c r="N3987">
        <v>2</v>
      </c>
      <c r="O3987">
        <v>1</v>
      </c>
      <c r="P3987">
        <v>0</v>
      </c>
      <c r="Q3987">
        <v>0</v>
      </c>
      <c r="R3987" t="s">
        <v>112</v>
      </c>
      <c r="S3987" t="str">
        <f>"14:56:55.758"</f>
        <v>14:56:55.758</v>
      </c>
      <c r="T3987" t="str">
        <f>"14:56:55.258"</f>
        <v>14:56:55.258</v>
      </c>
      <c r="U3987" t="str">
        <f t="shared" si="186"/>
        <v>ad5732</v>
      </c>
      <c r="V3987">
        <v>0</v>
      </c>
      <c r="W3987">
        <v>0</v>
      </c>
      <c r="X3987">
        <v>1</v>
      </c>
      <c r="Z3987">
        <v>0</v>
      </c>
      <c r="AA3987">
        <v>9</v>
      </c>
      <c r="AB3987">
        <v>3</v>
      </c>
      <c r="AC3987">
        <v>0</v>
      </c>
      <c r="AD3987">
        <v>10</v>
      </c>
      <c r="AE3987">
        <v>0</v>
      </c>
      <c r="AF3987">
        <v>3</v>
      </c>
      <c r="AG3987">
        <v>2</v>
      </c>
      <c r="AH3987">
        <v>0</v>
      </c>
      <c r="AI3987" t="s">
        <v>8022</v>
      </c>
      <c r="AJ3987">
        <v>40.566287000000003</v>
      </c>
      <c r="AK3987" t="s">
        <v>8023</v>
      </c>
      <c r="AL3987">
        <v>-74.322810000000004</v>
      </c>
      <c r="AM3987">
        <v>100</v>
      </c>
      <c r="AN3987">
        <v>300</v>
      </c>
      <c r="AO3987" t="s">
        <v>115</v>
      </c>
      <c r="AP3987">
        <v>38</v>
      </c>
      <c r="AQ3987">
        <v>78</v>
      </c>
      <c r="AR3987">
        <v>-320</v>
      </c>
      <c r="AZ3987">
        <v>3614</v>
      </c>
      <c r="BA3987">
        <v>1</v>
      </c>
      <c r="BB3987" t="str">
        <f t="shared" si="188"/>
        <v xml:space="preserve">N959MJ  </v>
      </c>
      <c r="BC3987">
        <v>1</v>
      </c>
      <c r="BE3987">
        <v>0</v>
      </c>
      <c r="BF3987">
        <v>0</v>
      </c>
      <c r="BG3987">
        <v>0</v>
      </c>
      <c r="BH3987">
        <v>600</v>
      </c>
      <c r="BI3987">
        <v>300</v>
      </c>
      <c r="BJ3987">
        <v>1</v>
      </c>
      <c r="BK3987">
        <v>1</v>
      </c>
      <c r="BL3987">
        <v>1</v>
      </c>
      <c r="BM3987">
        <v>0</v>
      </c>
      <c r="BP3987">
        <v>0</v>
      </c>
      <c r="BQ3987">
        <v>0</v>
      </c>
      <c r="BX3987" t="str">
        <f>"14:56:55.758"</f>
        <v>14:56:55.758</v>
      </c>
      <c r="BY3987" t="str">
        <f>"758445822"</f>
        <v>758445822</v>
      </c>
      <c r="CL3987">
        <v>3</v>
      </c>
      <c r="CM3987">
        <v>2</v>
      </c>
      <c r="CN3987">
        <v>0</v>
      </c>
      <c r="CO3987">
        <v>2</v>
      </c>
      <c r="CP3987">
        <v>0</v>
      </c>
      <c r="CQ3987">
        <v>6</v>
      </c>
      <c r="CR3987" t="s">
        <v>116</v>
      </c>
      <c r="CS3987">
        <v>305</v>
      </c>
      <c r="CT3987">
        <v>3</v>
      </c>
      <c r="CU3987" t="s">
        <v>6425</v>
      </c>
      <c r="CV3987" t="s">
        <v>6426</v>
      </c>
      <c r="CY3987">
        <v>6813424</v>
      </c>
      <c r="CZ3987" t="s">
        <v>119</v>
      </c>
    </row>
    <row r="3988" spans="1:104" x14ac:dyDescent="0.25">
      <c r="A3988" t="str">
        <f>"14:56:56.891"</f>
        <v>14:56:56.891</v>
      </c>
      <c r="B3988" t="s">
        <v>108</v>
      </c>
      <c r="C3988" t="str">
        <f t="shared" si="187"/>
        <v>ffdfd3c0</v>
      </c>
      <c r="D3988" t="s">
        <v>109</v>
      </c>
      <c r="E3988">
        <v>4</v>
      </c>
      <c r="F3988">
        <v>1004</v>
      </c>
      <c r="G3988" t="s">
        <v>110</v>
      </c>
      <c r="J3988" t="s">
        <v>111</v>
      </c>
      <c r="K3988">
        <v>0</v>
      </c>
      <c r="L3988">
        <v>3</v>
      </c>
      <c r="M3988">
        <v>0</v>
      </c>
      <c r="N3988">
        <v>2</v>
      </c>
      <c r="O3988">
        <v>1</v>
      </c>
      <c r="P3988">
        <v>0</v>
      </c>
      <c r="Q3988">
        <v>0</v>
      </c>
      <c r="R3988" t="s">
        <v>112</v>
      </c>
      <c r="S3988" t="str">
        <f>"14:56:56.695"</f>
        <v>14:56:56.695</v>
      </c>
      <c r="T3988" t="str">
        <f>"14:56:56.297"</f>
        <v>14:56:56.297</v>
      </c>
      <c r="U3988" t="str">
        <f t="shared" si="186"/>
        <v>ad5732</v>
      </c>
      <c r="V3988">
        <v>0</v>
      </c>
      <c r="W3988">
        <v>0</v>
      </c>
      <c r="X3988">
        <v>1</v>
      </c>
      <c r="Z3988">
        <v>0</v>
      </c>
      <c r="AA3988">
        <v>9</v>
      </c>
      <c r="AB3988">
        <v>3</v>
      </c>
      <c r="AC3988">
        <v>0</v>
      </c>
      <c r="AD3988">
        <v>10</v>
      </c>
      <c r="AE3988">
        <v>0</v>
      </c>
      <c r="AF3988">
        <v>3</v>
      </c>
      <c r="AG3988">
        <v>2</v>
      </c>
      <c r="AH3988">
        <v>0</v>
      </c>
      <c r="AI3988" t="s">
        <v>8024</v>
      </c>
      <c r="AJ3988">
        <v>40.566586999999998</v>
      </c>
      <c r="AK3988" t="s">
        <v>8025</v>
      </c>
      <c r="AL3988">
        <v>-74.322574000000003</v>
      </c>
      <c r="AM3988">
        <v>100</v>
      </c>
      <c r="AN3988">
        <v>300</v>
      </c>
      <c r="AO3988" t="s">
        <v>115</v>
      </c>
      <c r="AP3988">
        <v>38</v>
      </c>
      <c r="AQ3988">
        <v>78</v>
      </c>
      <c r="AR3988">
        <v>-256</v>
      </c>
      <c r="AZ3988">
        <v>3614</v>
      </c>
      <c r="BA3988">
        <v>1</v>
      </c>
      <c r="BB3988" t="str">
        <f t="shared" si="188"/>
        <v xml:space="preserve">N959MJ  </v>
      </c>
      <c r="BC3988">
        <v>1</v>
      </c>
      <c r="BE3988">
        <v>0</v>
      </c>
      <c r="BF3988">
        <v>0</v>
      </c>
      <c r="BG3988">
        <v>0</v>
      </c>
      <c r="BH3988">
        <v>600</v>
      </c>
      <c r="BI3988">
        <v>300</v>
      </c>
      <c r="BJ3988">
        <v>1</v>
      </c>
      <c r="BK3988">
        <v>1</v>
      </c>
      <c r="BL3988">
        <v>1</v>
      </c>
      <c r="BM3988">
        <v>0</v>
      </c>
      <c r="BP3988">
        <v>0</v>
      </c>
      <c r="BQ3988">
        <v>0</v>
      </c>
      <c r="BX3988" t="str">
        <f>"14:56:56.695"</f>
        <v>14:56:56.695</v>
      </c>
      <c r="BY3988" t="str">
        <f>"698903988"</f>
        <v>698903988</v>
      </c>
      <c r="CL3988">
        <v>3</v>
      </c>
      <c r="CM3988">
        <v>2</v>
      </c>
      <c r="CN3988">
        <v>0</v>
      </c>
      <c r="CO3988">
        <v>2</v>
      </c>
      <c r="CP3988">
        <v>0</v>
      </c>
      <c r="CQ3988">
        <v>6</v>
      </c>
      <c r="CR3988" t="s">
        <v>116</v>
      </c>
      <c r="CS3988">
        <v>305</v>
      </c>
      <c r="CT3988">
        <v>3</v>
      </c>
      <c r="CU3988" t="s">
        <v>6425</v>
      </c>
      <c r="CV3988" t="s">
        <v>6426</v>
      </c>
      <c r="CY3988">
        <v>6815341</v>
      </c>
      <c r="CZ3988" t="s">
        <v>119</v>
      </c>
    </row>
    <row r="3989" spans="1:104" x14ac:dyDescent="0.25">
      <c r="A3989" t="str">
        <f>"14:56:57.742"</f>
        <v>14:56:57.742</v>
      </c>
      <c r="B3989" t="s">
        <v>108</v>
      </c>
      <c r="C3989" t="str">
        <f t="shared" si="187"/>
        <v>ffdfd3c0</v>
      </c>
      <c r="D3989" t="s">
        <v>109</v>
      </c>
      <c r="E3989">
        <v>4</v>
      </c>
      <c r="F3989">
        <v>1004</v>
      </c>
      <c r="G3989" t="s">
        <v>110</v>
      </c>
      <c r="J3989" t="s">
        <v>111</v>
      </c>
      <c r="K3989">
        <v>0</v>
      </c>
      <c r="L3989">
        <v>3</v>
      </c>
      <c r="M3989">
        <v>0</v>
      </c>
      <c r="N3989">
        <v>2</v>
      </c>
      <c r="O3989">
        <v>1</v>
      </c>
      <c r="P3989">
        <v>0</v>
      </c>
      <c r="Q3989">
        <v>0</v>
      </c>
      <c r="R3989" t="s">
        <v>112</v>
      </c>
      <c r="S3989" t="str">
        <f>"14:56:57.523"</f>
        <v>14:56:57.523</v>
      </c>
      <c r="T3989" t="str">
        <f>"14:56:57.125"</f>
        <v>14:56:57.125</v>
      </c>
      <c r="U3989" t="str">
        <f t="shared" si="186"/>
        <v>ad5732</v>
      </c>
      <c r="V3989">
        <v>0</v>
      </c>
      <c r="W3989">
        <v>0</v>
      </c>
      <c r="X3989">
        <v>1</v>
      </c>
      <c r="Z3989">
        <v>0</v>
      </c>
      <c r="AA3989">
        <v>9</v>
      </c>
      <c r="AB3989">
        <v>3</v>
      </c>
      <c r="AC3989">
        <v>0</v>
      </c>
      <c r="AD3989">
        <v>10</v>
      </c>
      <c r="AE3989">
        <v>0</v>
      </c>
      <c r="AF3989">
        <v>3</v>
      </c>
      <c r="AG3989">
        <v>2</v>
      </c>
      <c r="AH3989">
        <v>0</v>
      </c>
      <c r="AI3989" t="s">
        <v>8026</v>
      </c>
      <c r="AJ3989">
        <v>40.566865999999997</v>
      </c>
      <c r="AK3989" t="s">
        <v>8027</v>
      </c>
      <c r="AL3989">
        <v>-74.322380999999993</v>
      </c>
      <c r="AM3989">
        <v>100</v>
      </c>
      <c r="AN3989">
        <v>300</v>
      </c>
      <c r="AO3989" t="s">
        <v>115</v>
      </c>
      <c r="AP3989">
        <v>38</v>
      </c>
      <c r="AQ3989">
        <v>78</v>
      </c>
      <c r="AR3989">
        <v>-192</v>
      </c>
      <c r="AZ3989">
        <v>3614</v>
      </c>
      <c r="BA3989">
        <v>1</v>
      </c>
      <c r="BB3989" t="str">
        <f t="shared" si="188"/>
        <v xml:space="preserve">N959MJ  </v>
      </c>
      <c r="BC3989">
        <v>1</v>
      </c>
      <c r="BE3989">
        <v>0</v>
      </c>
      <c r="BF3989">
        <v>0</v>
      </c>
      <c r="BG3989">
        <v>0</v>
      </c>
      <c r="BH3989">
        <v>575</v>
      </c>
      <c r="BI3989">
        <v>275</v>
      </c>
      <c r="BJ3989">
        <v>1</v>
      </c>
      <c r="BK3989">
        <v>1</v>
      </c>
      <c r="BL3989">
        <v>1</v>
      </c>
      <c r="BM3989">
        <v>0</v>
      </c>
      <c r="BP3989">
        <v>0</v>
      </c>
      <c r="BQ3989">
        <v>0</v>
      </c>
      <c r="BX3989" t="str">
        <f>"14:56:57.531"</f>
        <v>14:56:57.531</v>
      </c>
      <c r="BY3989" t="str">
        <f>"531225780"</f>
        <v>531225780</v>
      </c>
      <c r="CL3989">
        <v>3</v>
      </c>
      <c r="CM3989">
        <v>2</v>
      </c>
      <c r="CN3989">
        <v>0</v>
      </c>
      <c r="CO3989">
        <v>2</v>
      </c>
      <c r="CP3989">
        <v>0</v>
      </c>
      <c r="CQ3989">
        <v>0</v>
      </c>
      <c r="CR3989" t="s">
        <v>116</v>
      </c>
      <c r="CS3989">
        <v>305</v>
      </c>
      <c r="CT3989">
        <v>3</v>
      </c>
      <c r="CU3989" t="s">
        <v>6425</v>
      </c>
      <c r="CV3989" t="s">
        <v>6426</v>
      </c>
      <c r="CY3989">
        <v>6817240</v>
      </c>
      <c r="CZ3989" t="s">
        <v>119</v>
      </c>
    </row>
    <row r="3990" spans="1:104" x14ac:dyDescent="0.25">
      <c r="A3990" t="str">
        <f>"14:56:58.656"</f>
        <v>14:56:58.656</v>
      </c>
      <c r="B3990" t="s">
        <v>108</v>
      </c>
      <c r="C3990" t="str">
        <f t="shared" si="187"/>
        <v>ffdfd3c0</v>
      </c>
      <c r="D3990" t="s">
        <v>109</v>
      </c>
      <c r="E3990">
        <v>4</v>
      </c>
      <c r="F3990">
        <v>1004</v>
      </c>
      <c r="G3990" t="s">
        <v>110</v>
      </c>
      <c r="J3990" t="s">
        <v>111</v>
      </c>
      <c r="K3990">
        <v>0</v>
      </c>
      <c r="L3990">
        <v>3</v>
      </c>
      <c r="M3990">
        <v>0</v>
      </c>
      <c r="N3990">
        <v>2</v>
      </c>
      <c r="O3990">
        <v>1</v>
      </c>
      <c r="P3990">
        <v>0</v>
      </c>
      <c r="Q3990">
        <v>0</v>
      </c>
      <c r="R3990" t="s">
        <v>112</v>
      </c>
      <c r="S3990" t="str">
        <f>"14:56:58.469"</f>
        <v>14:56:58.469</v>
      </c>
      <c r="T3990" t="str">
        <f>"14:56:58.070"</f>
        <v>14:56:58.070</v>
      </c>
      <c r="U3990" t="str">
        <f t="shared" si="186"/>
        <v>ad5732</v>
      </c>
      <c r="V3990">
        <v>0</v>
      </c>
      <c r="W3990">
        <v>0</v>
      </c>
      <c r="X3990">
        <v>1</v>
      </c>
      <c r="Z3990">
        <v>0</v>
      </c>
      <c r="AA3990">
        <v>9</v>
      </c>
      <c r="AB3990">
        <v>3</v>
      </c>
      <c r="AC3990">
        <v>0</v>
      </c>
      <c r="AD3990">
        <v>10</v>
      </c>
      <c r="AE3990">
        <v>0</v>
      </c>
      <c r="AF3990">
        <v>3</v>
      </c>
      <c r="AG3990">
        <v>2</v>
      </c>
      <c r="AH3990">
        <v>0</v>
      </c>
      <c r="AI3990" t="s">
        <v>8028</v>
      </c>
      <c r="AJ3990">
        <v>40.567253000000001</v>
      </c>
      <c r="AK3990" t="s">
        <v>8029</v>
      </c>
      <c r="AL3990">
        <v>-74.322187999999997</v>
      </c>
      <c r="AM3990">
        <v>100</v>
      </c>
      <c r="AN3990">
        <v>300</v>
      </c>
      <c r="AO3990" t="s">
        <v>115</v>
      </c>
      <c r="AP3990">
        <v>37</v>
      </c>
      <c r="AQ3990">
        <v>77</v>
      </c>
      <c r="AR3990">
        <v>-128</v>
      </c>
      <c r="AZ3990">
        <v>3614</v>
      </c>
      <c r="BA3990">
        <v>1</v>
      </c>
      <c r="BB3990" t="str">
        <f t="shared" si="188"/>
        <v xml:space="preserve">N959MJ  </v>
      </c>
      <c r="BC3990">
        <v>1</v>
      </c>
      <c r="BE3990">
        <v>0</v>
      </c>
      <c r="BF3990">
        <v>0</v>
      </c>
      <c r="BG3990">
        <v>0</v>
      </c>
      <c r="BH3990">
        <v>575</v>
      </c>
      <c r="BI3990">
        <v>275</v>
      </c>
      <c r="BJ3990">
        <v>1</v>
      </c>
      <c r="BK3990">
        <v>1</v>
      </c>
      <c r="BL3990">
        <v>1</v>
      </c>
      <c r="BM3990">
        <v>0</v>
      </c>
      <c r="BP3990">
        <v>0</v>
      </c>
      <c r="BQ3990">
        <v>0</v>
      </c>
      <c r="BX3990" t="str">
        <f>"14:56:58.469"</f>
        <v>14:56:58.469</v>
      </c>
      <c r="BY3990" t="str">
        <f>"470046691"</f>
        <v>470046691</v>
      </c>
      <c r="CL3990">
        <v>3</v>
      </c>
      <c r="CM3990">
        <v>2</v>
      </c>
      <c r="CN3990">
        <v>0</v>
      </c>
      <c r="CO3990">
        <v>2</v>
      </c>
      <c r="CP3990">
        <v>0</v>
      </c>
      <c r="CQ3990">
        <v>5</v>
      </c>
      <c r="CR3990" t="s">
        <v>116</v>
      </c>
      <c r="CS3990">
        <v>305</v>
      </c>
      <c r="CT3990">
        <v>3</v>
      </c>
      <c r="CU3990" t="s">
        <v>6425</v>
      </c>
      <c r="CV3990" t="s">
        <v>6426</v>
      </c>
      <c r="CY3990">
        <v>6819210</v>
      </c>
      <c r="CZ3990" t="s">
        <v>119</v>
      </c>
    </row>
    <row r="3991" spans="1:104" x14ac:dyDescent="0.25">
      <c r="A3991" t="str">
        <f>"14:56:59.766"</f>
        <v>14:56:59.766</v>
      </c>
      <c r="B3991" t="s">
        <v>108</v>
      </c>
      <c r="C3991" t="str">
        <f t="shared" si="187"/>
        <v>ffdfd3c0</v>
      </c>
      <c r="D3991" t="s">
        <v>109</v>
      </c>
      <c r="E3991">
        <v>4</v>
      </c>
      <c r="F3991">
        <v>1004</v>
      </c>
      <c r="G3991" t="s">
        <v>110</v>
      </c>
      <c r="J3991" t="s">
        <v>111</v>
      </c>
      <c r="K3991">
        <v>0</v>
      </c>
      <c r="L3991">
        <v>3</v>
      </c>
      <c r="M3991">
        <v>0</v>
      </c>
      <c r="N3991">
        <v>2</v>
      </c>
      <c r="O3991">
        <v>1</v>
      </c>
      <c r="P3991">
        <v>0</v>
      </c>
      <c r="Q3991">
        <v>0</v>
      </c>
      <c r="R3991" t="s">
        <v>112</v>
      </c>
      <c r="S3991" t="str">
        <f>"14:56:59.594"</f>
        <v>14:56:59.594</v>
      </c>
      <c r="T3991" t="str">
        <f>"14:56:59.094"</f>
        <v>14:56:59.094</v>
      </c>
      <c r="U3991" t="str">
        <f t="shared" si="186"/>
        <v>ad5732</v>
      </c>
      <c r="V3991">
        <v>0</v>
      </c>
      <c r="W3991">
        <v>0</v>
      </c>
      <c r="X3991">
        <v>1</v>
      </c>
      <c r="Z3991">
        <v>0</v>
      </c>
      <c r="AA3991">
        <v>9</v>
      </c>
      <c r="AB3991">
        <v>3</v>
      </c>
      <c r="AC3991">
        <v>0</v>
      </c>
      <c r="AD3991">
        <v>10</v>
      </c>
      <c r="AE3991">
        <v>0</v>
      </c>
      <c r="AF3991">
        <v>3</v>
      </c>
      <c r="AG3991">
        <v>2</v>
      </c>
      <c r="AH3991">
        <v>0</v>
      </c>
      <c r="AI3991" t="s">
        <v>8030</v>
      </c>
      <c r="AJ3991">
        <v>40.567659999999997</v>
      </c>
      <c r="AK3991" t="s">
        <v>8031</v>
      </c>
      <c r="AL3991">
        <v>-74.321951999999996</v>
      </c>
      <c r="AM3991">
        <v>100</v>
      </c>
      <c r="AN3991">
        <v>300</v>
      </c>
      <c r="AO3991" t="s">
        <v>115</v>
      </c>
      <c r="AP3991">
        <v>37</v>
      </c>
      <c r="AQ3991">
        <v>77</v>
      </c>
      <c r="AR3991">
        <v>-128</v>
      </c>
      <c r="AZ3991">
        <v>3614</v>
      </c>
      <c r="BA3991">
        <v>1</v>
      </c>
      <c r="BB3991" t="str">
        <f t="shared" si="188"/>
        <v xml:space="preserve">N959MJ  </v>
      </c>
      <c r="BC3991">
        <v>1</v>
      </c>
      <c r="BE3991">
        <v>0</v>
      </c>
      <c r="BF3991">
        <v>0</v>
      </c>
      <c r="BG3991">
        <v>0</v>
      </c>
      <c r="BH3991">
        <v>575</v>
      </c>
      <c r="BI3991">
        <v>275</v>
      </c>
      <c r="BJ3991">
        <v>1</v>
      </c>
      <c r="BK3991">
        <v>1</v>
      </c>
      <c r="BL3991">
        <v>1</v>
      </c>
      <c r="BM3991">
        <v>0</v>
      </c>
      <c r="BP3991">
        <v>0</v>
      </c>
      <c r="BQ3991">
        <v>0</v>
      </c>
      <c r="BX3991" t="str">
        <f>"14:56:59.602"</f>
        <v>14:56:59.602</v>
      </c>
      <c r="BY3991" t="str">
        <f>"600561618"</f>
        <v>600561618</v>
      </c>
      <c r="CL3991">
        <v>3</v>
      </c>
      <c r="CM3991">
        <v>2</v>
      </c>
      <c r="CN3991">
        <v>0</v>
      </c>
      <c r="CO3991">
        <v>2</v>
      </c>
      <c r="CP3991">
        <v>0</v>
      </c>
      <c r="CQ3991">
        <v>4</v>
      </c>
      <c r="CR3991" t="s">
        <v>116</v>
      </c>
      <c r="CS3991">
        <v>305</v>
      </c>
      <c r="CT3991">
        <v>3</v>
      </c>
      <c r="CU3991" t="s">
        <v>6425</v>
      </c>
      <c r="CV3991" t="s">
        <v>6426</v>
      </c>
      <c r="CY3991">
        <v>6821495</v>
      </c>
      <c r="CZ3991" t="s">
        <v>119</v>
      </c>
    </row>
    <row r="3992" spans="1:104" x14ac:dyDescent="0.25">
      <c r="A3992" t="str">
        <f>"14:57:00.828"</f>
        <v>14:57:00.828</v>
      </c>
      <c r="B3992" t="s">
        <v>108</v>
      </c>
      <c r="C3992" t="str">
        <f t="shared" si="187"/>
        <v>ffdfd3c0</v>
      </c>
      <c r="D3992" t="s">
        <v>109</v>
      </c>
      <c r="E3992">
        <v>4</v>
      </c>
      <c r="F3992">
        <v>1004</v>
      </c>
      <c r="G3992" t="s">
        <v>110</v>
      </c>
      <c r="J3992" t="s">
        <v>111</v>
      </c>
      <c r="K3992">
        <v>0</v>
      </c>
      <c r="L3992">
        <v>3</v>
      </c>
      <c r="M3992">
        <v>0</v>
      </c>
      <c r="N3992">
        <v>2</v>
      </c>
      <c r="O3992">
        <v>1</v>
      </c>
      <c r="P3992">
        <v>0</v>
      </c>
      <c r="Q3992">
        <v>0</v>
      </c>
      <c r="R3992" t="s">
        <v>112</v>
      </c>
      <c r="S3992" t="str">
        <f>"14:57:00.672"</f>
        <v>14:57:00.672</v>
      </c>
      <c r="T3992" t="str">
        <f>"14:57:00.172"</f>
        <v>14:57:00.172</v>
      </c>
      <c r="U3992" t="str">
        <f t="shared" si="186"/>
        <v>ad5732</v>
      </c>
      <c r="V3992">
        <v>0</v>
      </c>
      <c r="W3992">
        <v>0</v>
      </c>
      <c r="X3992">
        <v>1</v>
      </c>
      <c r="Z3992">
        <v>0</v>
      </c>
      <c r="AA3992">
        <v>9</v>
      </c>
      <c r="AB3992">
        <v>3</v>
      </c>
      <c r="AC3992">
        <v>0</v>
      </c>
      <c r="AD3992">
        <v>10</v>
      </c>
      <c r="AE3992">
        <v>0</v>
      </c>
      <c r="AF3992">
        <v>3</v>
      </c>
      <c r="AG3992">
        <v>2</v>
      </c>
      <c r="AH3992">
        <v>0</v>
      </c>
      <c r="AI3992" t="s">
        <v>8032</v>
      </c>
      <c r="AJ3992">
        <v>40.568047</v>
      </c>
      <c r="AK3992" t="s">
        <v>8033</v>
      </c>
      <c r="AL3992">
        <v>-74.321693999999994</v>
      </c>
      <c r="AM3992">
        <v>100</v>
      </c>
      <c r="AN3992">
        <v>300</v>
      </c>
      <c r="AO3992" t="s">
        <v>115</v>
      </c>
      <c r="AP3992">
        <v>37</v>
      </c>
      <c r="AQ3992">
        <v>77</v>
      </c>
      <c r="AR3992">
        <v>-64</v>
      </c>
      <c r="AZ3992">
        <v>3614</v>
      </c>
      <c r="BA3992">
        <v>1</v>
      </c>
      <c r="BB3992" t="str">
        <f t="shared" si="188"/>
        <v xml:space="preserve">N959MJ  </v>
      </c>
      <c r="BC3992">
        <v>1</v>
      </c>
      <c r="BE3992">
        <v>0</v>
      </c>
      <c r="BF3992">
        <v>0</v>
      </c>
      <c r="BG3992">
        <v>0</v>
      </c>
      <c r="BH3992">
        <v>575</v>
      </c>
      <c r="BI3992">
        <v>275</v>
      </c>
      <c r="BJ3992">
        <v>1</v>
      </c>
      <c r="BK3992">
        <v>1</v>
      </c>
      <c r="BL3992">
        <v>1</v>
      </c>
      <c r="BM3992">
        <v>0</v>
      </c>
      <c r="BP3992">
        <v>0</v>
      </c>
      <c r="BQ3992">
        <v>0</v>
      </c>
      <c r="BX3992" t="str">
        <f>"14:57:00.672"</f>
        <v>14:57:00.672</v>
      </c>
      <c r="BY3992" t="str">
        <f>"675479291"</f>
        <v>675479291</v>
      </c>
      <c r="CL3992">
        <v>3</v>
      </c>
      <c r="CM3992">
        <v>2</v>
      </c>
      <c r="CN3992">
        <v>0</v>
      </c>
      <c r="CO3992">
        <v>2</v>
      </c>
      <c r="CP3992">
        <v>0</v>
      </c>
      <c r="CQ3992">
        <v>5</v>
      </c>
      <c r="CR3992" t="s">
        <v>116</v>
      </c>
      <c r="CS3992">
        <v>83</v>
      </c>
      <c r="CT3992">
        <v>1</v>
      </c>
      <c r="CU3992" t="s">
        <v>7152</v>
      </c>
      <c r="CV3992" t="s">
        <v>7153</v>
      </c>
      <c r="CY3992">
        <v>2337416</v>
      </c>
      <c r="CZ3992" t="s">
        <v>119</v>
      </c>
    </row>
    <row r="3993" spans="1:104" x14ac:dyDescent="0.25">
      <c r="A3993" t="str">
        <f>"14:57:01.836"</f>
        <v>14:57:01.836</v>
      </c>
      <c r="B3993" t="s">
        <v>108</v>
      </c>
      <c r="C3993" t="str">
        <f t="shared" si="187"/>
        <v>ffdfd3c0</v>
      </c>
      <c r="D3993" t="s">
        <v>109</v>
      </c>
      <c r="E3993">
        <v>4</v>
      </c>
      <c r="F3993">
        <v>1004</v>
      </c>
      <c r="G3993" t="s">
        <v>110</v>
      </c>
      <c r="J3993" t="s">
        <v>111</v>
      </c>
      <c r="K3993">
        <v>0</v>
      </c>
      <c r="L3993">
        <v>3</v>
      </c>
      <c r="M3993">
        <v>0</v>
      </c>
      <c r="N3993">
        <v>2</v>
      </c>
      <c r="O3993">
        <v>1</v>
      </c>
      <c r="P3993">
        <v>0</v>
      </c>
      <c r="Q3993">
        <v>0</v>
      </c>
      <c r="R3993" t="s">
        <v>112</v>
      </c>
      <c r="S3993" t="str">
        <f>"14:57:01.648"</f>
        <v>14:57:01.648</v>
      </c>
      <c r="T3993" t="str">
        <f>"14:57:00.750"</f>
        <v>14:57:00.750</v>
      </c>
      <c r="U3993" t="str">
        <f t="shared" si="186"/>
        <v>ad5732</v>
      </c>
      <c r="V3993">
        <v>0</v>
      </c>
      <c r="W3993">
        <v>0</v>
      </c>
      <c r="X3993">
        <v>1</v>
      </c>
      <c r="Z3993">
        <v>0</v>
      </c>
      <c r="AA3993">
        <v>9</v>
      </c>
      <c r="AB3993">
        <v>3</v>
      </c>
      <c r="AC3993">
        <v>0</v>
      </c>
      <c r="AD3993">
        <v>10</v>
      </c>
      <c r="AE3993">
        <v>0</v>
      </c>
      <c r="AF3993">
        <v>3</v>
      </c>
      <c r="AG3993">
        <v>2</v>
      </c>
      <c r="AH3993">
        <v>0</v>
      </c>
      <c r="AI3993" t="s">
        <v>8034</v>
      </c>
      <c r="AJ3993">
        <v>40.568410999999998</v>
      </c>
      <c r="AK3993" t="s">
        <v>8035</v>
      </c>
      <c r="AL3993">
        <v>-74.321458000000007</v>
      </c>
      <c r="AM3993">
        <v>100</v>
      </c>
      <c r="AN3993">
        <v>300</v>
      </c>
      <c r="AO3993" t="s">
        <v>115</v>
      </c>
      <c r="AP3993">
        <v>36</v>
      </c>
      <c r="AQ3993">
        <v>77</v>
      </c>
      <c r="AR3993">
        <v>-64</v>
      </c>
      <c r="AZ3993">
        <v>3614</v>
      </c>
      <c r="BA3993">
        <v>1</v>
      </c>
      <c r="BB3993" t="str">
        <f t="shared" si="188"/>
        <v xml:space="preserve">N959MJ  </v>
      </c>
      <c r="BC3993">
        <v>1</v>
      </c>
      <c r="BE3993">
        <v>0</v>
      </c>
      <c r="BF3993">
        <v>0</v>
      </c>
      <c r="BG3993">
        <v>0</v>
      </c>
      <c r="BH3993">
        <v>575</v>
      </c>
      <c r="BI3993">
        <v>275</v>
      </c>
      <c r="BJ3993">
        <v>1</v>
      </c>
      <c r="BK3993">
        <v>1</v>
      </c>
      <c r="BL3993">
        <v>1</v>
      </c>
      <c r="BM3993">
        <v>0</v>
      </c>
      <c r="BP3993">
        <v>0</v>
      </c>
      <c r="BQ3993">
        <v>0</v>
      </c>
      <c r="BX3993" t="str">
        <f>"14:57:01.648"</f>
        <v>14:57:01.648</v>
      </c>
      <c r="BY3993" t="str">
        <f>"648705875"</f>
        <v>648705875</v>
      </c>
      <c r="CL3993">
        <v>3</v>
      </c>
      <c r="CM3993">
        <v>2</v>
      </c>
      <c r="CN3993">
        <v>0</v>
      </c>
      <c r="CO3993">
        <v>2</v>
      </c>
      <c r="CP3993">
        <v>0</v>
      </c>
      <c r="CQ3993">
        <v>5</v>
      </c>
      <c r="CR3993" t="s">
        <v>116</v>
      </c>
      <c r="CS3993">
        <v>83</v>
      </c>
      <c r="CT3993">
        <v>2</v>
      </c>
      <c r="CU3993" t="s">
        <v>7152</v>
      </c>
      <c r="CV3993" t="s">
        <v>7153</v>
      </c>
      <c r="CY3993">
        <v>16548452</v>
      </c>
      <c r="CZ3993" t="s">
        <v>119</v>
      </c>
    </row>
    <row r="3994" spans="1:104" x14ac:dyDescent="0.25">
      <c r="A3994" t="str">
        <f>"14:57:02.844"</f>
        <v>14:57:02.844</v>
      </c>
      <c r="B3994" t="s">
        <v>108</v>
      </c>
      <c r="C3994" t="str">
        <f t="shared" si="187"/>
        <v>ffdfd3c0</v>
      </c>
      <c r="D3994" t="s">
        <v>109</v>
      </c>
      <c r="E3994">
        <v>4</v>
      </c>
      <c r="F3994">
        <v>1004</v>
      </c>
      <c r="G3994" t="s">
        <v>110</v>
      </c>
      <c r="J3994" t="s">
        <v>111</v>
      </c>
      <c r="K3994">
        <v>0</v>
      </c>
      <c r="L3994">
        <v>3</v>
      </c>
      <c r="M3994">
        <v>0</v>
      </c>
      <c r="N3994">
        <v>2</v>
      </c>
      <c r="O3994">
        <v>1</v>
      </c>
      <c r="P3994">
        <v>0</v>
      </c>
      <c r="Q3994">
        <v>0</v>
      </c>
      <c r="R3994" t="s">
        <v>112</v>
      </c>
      <c r="S3994" t="str">
        <f>"14:57:02.688"</f>
        <v>14:57:02.688</v>
      </c>
      <c r="T3994" t="str">
        <f>"14:57:01.688"</f>
        <v>14:57:01.688</v>
      </c>
      <c r="U3994" t="str">
        <f t="shared" si="186"/>
        <v>ad5732</v>
      </c>
      <c r="V3994">
        <v>0</v>
      </c>
      <c r="W3994">
        <v>0</v>
      </c>
      <c r="X3994">
        <v>1</v>
      </c>
      <c r="Z3994">
        <v>0</v>
      </c>
      <c r="AA3994">
        <v>9</v>
      </c>
      <c r="AB3994">
        <v>3</v>
      </c>
      <c r="AC3994">
        <v>0</v>
      </c>
      <c r="AD3994">
        <v>10</v>
      </c>
      <c r="AE3994">
        <v>0</v>
      </c>
      <c r="AF3994">
        <v>3</v>
      </c>
      <c r="AG3994">
        <v>2</v>
      </c>
      <c r="AH3994">
        <v>0</v>
      </c>
      <c r="AI3994" t="s">
        <v>8036</v>
      </c>
      <c r="AJ3994">
        <v>40.568733000000002</v>
      </c>
      <c r="AK3994" t="s">
        <v>8037</v>
      </c>
      <c r="AL3994">
        <v>-74.321264999999997</v>
      </c>
      <c r="AM3994">
        <v>100</v>
      </c>
      <c r="AN3994">
        <v>300</v>
      </c>
      <c r="AO3994" t="s">
        <v>115</v>
      </c>
      <c r="AP3994">
        <v>36</v>
      </c>
      <c r="AQ3994">
        <v>76</v>
      </c>
      <c r="AR3994">
        <v>0</v>
      </c>
      <c r="AZ3994">
        <v>3614</v>
      </c>
      <c r="BA3994">
        <v>1</v>
      </c>
      <c r="BB3994" t="str">
        <f t="shared" si="188"/>
        <v xml:space="preserve">N959MJ  </v>
      </c>
      <c r="BC3994">
        <v>1</v>
      </c>
      <c r="BE3994">
        <v>0</v>
      </c>
      <c r="BF3994">
        <v>0</v>
      </c>
      <c r="BG3994">
        <v>0</v>
      </c>
      <c r="BH3994">
        <v>575</v>
      </c>
      <c r="BI3994">
        <v>275</v>
      </c>
      <c r="BJ3994">
        <v>1</v>
      </c>
      <c r="BK3994">
        <v>1</v>
      </c>
      <c r="BL3994">
        <v>1</v>
      </c>
      <c r="BM3994">
        <v>0</v>
      </c>
      <c r="BP3994">
        <v>0</v>
      </c>
      <c r="BQ3994">
        <v>0</v>
      </c>
      <c r="BX3994" t="str">
        <f>"14:57:02.695"</f>
        <v>14:57:02.695</v>
      </c>
      <c r="BY3994" t="str">
        <f>"694037117"</f>
        <v>694037117</v>
      </c>
      <c r="CL3994">
        <v>3</v>
      </c>
      <c r="CM3994">
        <v>2</v>
      </c>
      <c r="CN3994">
        <v>0</v>
      </c>
      <c r="CO3994">
        <v>2</v>
      </c>
      <c r="CP3994">
        <v>0</v>
      </c>
      <c r="CQ3994">
        <v>5</v>
      </c>
      <c r="CR3994" t="s">
        <v>116</v>
      </c>
      <c r="CS3994">
        <v>409</v>
      </c>
      <c r="CT3994">
        <v>1</v>
      </c>
      <c r="CU3994" t="s">
        <v>5087</v>
      </c>
      <c r="CV3994" t="s">
        <v>5088</v>
      </c>
      <c r="CY3994">
        <v>5350953</v>
      </c>
      <c r="CZ3994" t="s">
        <v>119</v>
      </c>
    </row>
    <row r="3995" spans="1:104" x14ac:dyDescent="0.25">
      <c r="A3995" t="str">
        <f>"14:57:03.859"</f>
        <v>14:57:03.859</v>
      </c>
      <c r="B3995" t="s">
        <v>108</v>
      </c>
      <c r="C3995" t="str">
        <f t="shared" si="187"/>
        <v>ffdfd3c0</v>
      </c>
      <c r="D3995" t="s">
        <v>109</v>
      </c>
      <c r="E3995">
        <v>4</v>
      </c>
      <c r="F3995">
        <v>1004</v>
      </c>
      <c r="G3995" t="s">
        <v>110</v>
      </c>
      <c r="J3995" t="s">
        <v>111</v>
      </c>
      <c r="K3995">
        <v>0</v>
      </c>
      <c r="L3995">
        <v>3</v>
      </c>
      <c r="M3995">
        <v>0</v>
      </c>
      <c r="N3995">
        <v>2</v>
      </c>
      <c r="O3995">
        <v>1</v>
      </c>
      <c r="P3995">
        <v>0</v>
      </c>
      <c r="Q3995">
        <v>0</v>
      </c>
      <c r="R3995" t="s">
        <v>112</v>
      </c>
      <c r="S3995" t="str">
        <f>"14:57:03.664"</f>
        <v>14:57:03.664</v>
      </c>
      <c r="T3995" t="str">
        <f>"14:57:03.164"</f>
        <v>14:57:03.164</v>
      </c>
      <c r="U3995" t="str">
        <f t="shared" si="186"/>
        <v>ad5732</v>
      </c>
      <c r="V3995">
        <v>0</v>
      </c>
      <c r="W3995">
        <v>0</v>
      </c>
      <c r="X3995">
        <v>1</v>
      </c>
      <c r="Z3995">
        <v>0</v>
      </c>
      <c r="AA3995">
        <v>9</v>
      </c>
      <c r="AB3995">
        <v>3</v>
      </c>
      <c r="AC3995">
        <v>0</v>
      </c>
      <c r="AD3995">
        <v>10</v>
      </c>
      <c r="AE3995">
        <v>0</v>
      </c>
      <c r="AF3995">
        <v>3</v>
      </c>
      <c r="AG3995">
        <v>2</v>
      </c>
      <c r="AH3995">
        <v>0</v>
      </c>
      <c r="AI3995" t="s">
        <v>8038</v>
      </c>
      <c r="AJ3995">
        <v>40.569119000000001</v>
      </c>
      <c r="AK3995" t="s">
        <v>8039</v>
      </c>
      <c r="AL3995">
        <v>-74.321072000000001</v>
      </c>
      <c r="AM3995">
        <v>100</v>
      </c>
      <c r="AN3995">
        <v>300</v>
      </c>
      <c r="AO3995" t="s">
        <v>115</v>
      </c>
      <c r="AP3995">
        <v>35</v>
      </c>
      <c r="AQ3995">
        <v>75</v>
      </c>
      <c r="AR3995">
        <v>64</v>
      </c>
      <c r="AZ3995">
        <v>3614</v>
      </c>
      <c r="BA3995">
        <v>1</v>
      </c>
      <c r="BB3995" t="str">
        <f t="shared" si="188"/>
        <v xml:space="preserve">N959MJ  </v>
      </c>
      <c r="BC3995">
        <v>1</v>
      </c>
      <c r="BE3995">
        <v>0</v>
      </c>
      <c r="BF3995">
        <v>0</v>
      </c>
      <c r="BG3995">
        <v>0</v>
      </c>
      <c r="BH3995">
        <v>575</v>
      </c>
      <c r="BI3995">
        <v>275</v>
      </c>
      <c r="BJ3995">
        <v>1</v>
      </c>
      <c r="BK3995">
        <v>1</v>
      </c>
      <c r="BL3995">
        <v>1</v>
      </c>
      <c r="BM3995">
        <v>0</v>
      </c>
      <c r="BP3995">
        <v>0</v>
      </c>
      <c r="BQ3995">
        <v>0</v>
      </c>
      <c r="BX3995" t="str">
        <f>"14:57:03.672"</f>
        <v>14:57:03.672</v>
      </c>
      <c r="BY3995" t="str">
        <f>"670418790"</f>
        <v>670418790</v>
      </c>
      <c r="CL3995">
        <v>3</v>
      </c>
      <c r="CM3995">
        <v>2</v>
      </c>
      <c r="CN3995">
        <v>0</v>
      </c>
      <c r="CO3995">
        <v>2</v>
      </c>
      <c r="CP3995">
        <v>0</v>
      </c>
      <c r="CQ3995">
        <v>5</v>
      </c>
      <c r="CR3995" t="s">
        <v>116</v>
      </c>
      <c r="CS3995">
        <v>305</v>
      </c>
      <c r="CT3995">
        <v>3</v>
      </c>
      <c r="CU3995" t="s">
        <v>6425</v>
      </c>
      <c r="CV3995" t="s">
        <v>6426</v>
      </c>
      <c r="CY3995">
        <v>6829649</v>
      </c>
      <c r="CZ3995" t="s">
        <v>119</v>
      </c>
    </row>
    <row r="3996" spans="1:104" x14ac:dyDescent="0.25">
      <c r="A3996" t="str">
        <f>"14:57:04.766"</f>
        <v>14:57:04.766</v>
      </c>
      <c r="B3996" t="s">
        <v>108</v>
      </c>
      <c r="C3996" t="str">
        <f t="shared" si="187"/>
        <v>ffdfd3c0</v>
      </c>
      <c r="D3996" t="s">
        <v>109</v>
      </c>
      <c r="E3996">
        <v>4</v>
      </c>
      <c r="F3996">
        <v>1004</v>
      </c>
      <c r="G3996" t="s">
        <v>110</v>
      </c>
      <c r="J3996" t="s">
        <v>111</v>
      </c>
      <c r="K3996">
        <v>0</v>
      </c>
      <c r="L3996">
        <v>3</v>
      </c>
      <c r="M3996">
        <v>0</v>
      </c>
      <c r="N3996">
        <v>2</v>
      </c>
      <c r="O3996">
        <v>1</v>
      </c>
      <c r="P3996">
        <v>0</v>
      </c>
      <c r="Q3996">
        <v>0</v>
      </c>
      <c r="R3996" t="s">
        <v>112</v>
      </c>
      <c r="S3996" t="str">
        <f>"14:57:04.555"</f>
        <v>14:57:04.555</v>
      </c>
      <c r="T3996" t="str">
        <f>"14:57:03.758"</f>
        <v>14:57:03.758</v>
      </c>
      <c r="U3996" t="str">
        <f t="shared" si="186"/>
        <v>ad5732</v>
      </c>
      <c r="V3996">
        <v>0</v>
      </c>
      <c r="W3996">
        <v>0</v>
      </c>
      <c r="X3996">
        <v>1</v>
      </c>
      <c r="Z3996">
        <v>0</v>
      </c>
      <c r="AA3996">
        <v>9</v>
      </c>
      <c r="AB3996">
        <v>3</v>
      </c>
      <c r="AC3996">
        <v>0</v>
      </c>
      <c r="AD3996">
        <v>10</v>
      </c>
      <c r="AE3996">
        <v>0</v>
      </c>
      <c r="AF3996">
        <v>3</v>
      </c>
      <c r="AG3996">
        <v>2</v>
      </c>
      <c r="AH3996">
        <v>0</v>
      </c>
      <c r="AI3996" t="s">
        <v>8040</v>
      </c>
      <c r="AJ3996">
        <v>40.569398</v>
      </c>
      <c r="AK3996" t="s">
        <v>8041</v>
      </c>
      <c r="AL3996">
        <v>-74.320858000000001</v>
      </c>
      <c r="AM3996">
        <v>100</v>
      </c>
      <c r="AN3996">
        <v>300</v>
      </c>
      <c r="AO3996" t="s">
        <v>115</v>
      </c>
      <c r="AP3996">
        <v>35</v>
      </c>
      <c r="AQ3996">
        <v>75</v>
      </c>
      <c r="AR3996">
        <v>0</v>
      </c>
      <c r="AZ3996">
        <v>3614</v>
      </c>
      <c r="BA3996">
        <v>1</v>
      </c>
      <c r="BB3996" t="str">
        <f t="shared" si="188"/>
        <v xml:space="preserve">N959MJ  </v>
      </c>
      <c r="BC3996">
        <v>1</v>
      </c>
      <c r="BE3996">
        <v>0</v>
      </c>
      <c r="BF3996">
        <v>0</v>
      </c>
      <c r="BG3996">
        <v>0</v>
      </c>
      <c r="BH3996">
        <v>575</v>
      </c>
      <c r="BI3996">
        <v>275</v>
      </c>
      <c r="BJ3996">
        <v>1</v>
      </c>
      <c r="BK3996">
        <v>1</v>
      </c>
      <c r="BL3996">
        <v>1</v>
      </c>
      <c r="BM3996">
        <v>0</v>
      </c>
      <c r="BP3996">
        <v>0</v>
      </c>
      <c r="BQ3996">
        <v>0</v>
      </c>
      <c r="BX3996" t="str">
        <f>"14:57:04.563"</f>
        <v>14:57:04.563</v>
      </c>
      <c r="BY3996" t="str">
        <f>"561724106"</f>
        <v>561724106</v>
      </c>
      <c r="CL3996">
        <v>3</v>
      </c>
      <c r="CM3996">
        <v>2</v>
      </c>
      <c r="CN3996">
        <v>0</v>
      </c>
      <c r="CO3996">
        <v>2</v>
      </c>
      <c r="CP3996">
        <v>0</v>
      </c>
      <c r="CQ3996">
        <v>5</v>
      </c>
      <c r="CR3996" t="s">
        <v>116</v>
      </c>
      <c r="CS3996">
        <v>305</v>
      </c>
      <c r="CT3996">
        <v>3</v>
      </c>
      <c r="CU3996" t="s">
        <v>6425</v>
      </c>
      <c r="CV3996" t="s">
        <v>6426</v>
      </c>
      <c r="CY3996">
        <v>6831394</v>
      </c>
      <c r="CZ3996" t="s">
        <v>119</v>
      </c>
    </row>
    <row r="3997" spans="1:104" x14ac:dyDescent="0.25">
      <c r="A3997" t="str">
        <f>"14:57:05.930"</f>
        <v>14:57:05.930</v>
      </c>
      <c r="B3997" t="s">
        <v>108</v>
      </c>
      <c r="C3997" t="str">
        <f t="shared" si="187"/>
        <v>ffdfd3c0</v>
      </c>
      <c r="D3997" t="s">
        <v>109</v>
      </c>
      <c r="E3997">
        <v>4</v>
      </c>
      <c r="F3997">
        <v>1004</v>
      </c>
      <c r="G3997" t="s">
        <v>110</v>
      </c>
      <c r="J3997" t="s">
        <v>111</v>
      </c>
      <c r="K3997">
        <v>0</v>
      </c>
      <c r="L3997">
        <v>3</v>
      </c>
      <c r="M3997">
        <v>0</v>
      </c>
      <c r="N3997">
        <v>2</v>
      </c>
      <c r="O3997">
        <v>1</v>
      </c>
      <c r="P3997">
        <v>0</v>
      </c>
      <c r="Q3997">
        <v>0</v>
      </c>
      <c r="R3997" t="s">
        <v>112</v>
      </c>
      <c r="S3997" t="str">
        <f>"14:57:05.727"</f>
        <v>14:57:05.727</v>
      </c>
      <c r="T3997" t="str">
        <f>"14:57:03.125"</f>
        <v>14:57:03.125</v>
      </c>
      <c r="U3997" t="str">
        <f t="shared" si="186"/>
        <v>ad5732</v>
      </c>
      <c r="V3997">
        <v>0</v>
      </c>
      <c r="W3997">
        <v>0</v>
      </c>
      <c r="X3997">
        <v>1</v>
      </c>
      <c r="Z3997">
        <v>0</v>
      </c>
      <c r="AA3997">
        <v>9</v>
      </c>
      <c r="AB3997">
        <v>3</v>
      </c>
      <c r="AC3997">
        <v>0</v>
      </c>
      <c r="AD3997">
        <v>10</v>
      </c>
      <c r="AE3997">
        <v>0</v>
      </c>
      <c r="AF3997">
        <v>3</v>
      </c>
      <c r="AG3997">
        <v>2</v>
      </c>
      <c r="AH3997">
        <v>0</v>
      </c>
      <c r="AI3997" t="s">
        <v>8042</v>
      </c>
      <c r="AJ3997">
        <v>40.569806</v>
      </c>
      <c r="AK3997" t="s">
        <v>8043</v>
      </c>
      <c r="AL3997">
        <v>-74.320643000000004</v>
      </c>
      <c r="AM3997">
        <v>100</v>
      </c>
      <c r="AN3997">
        <v>300</v>
      </c>
      <c r="AO3997" t="s">
        <v>115</v>
      </c>
      <c r="AP3997">
        <v>35</v>
      </c>
      <c r="AQ3997">
        <v>75</v>
      </c>
      <c r="AR3997">
        <v>64</v>
      </c>
      <c r="AZ3997">
        <v>3614</v>
      </c>
      <c r="BA3997">
        <v>1</v>
      </c>
      <c r="BB3997" t="str">
        <f t="shared" si="188"/>
        <v xml:space="preserve">N959MJ  </v>
      </c>
      <c r="BC3997">
        <v>1</v>
      </c>
      <c r="BE3997">
        <v>0</v>
      </c>
      <c r="BF3997">
        <v>0</v>
      </c>
      <c r="BG3997">
        <v>0</v>
      </c>
      <c r="BH3997">
        <v>575</v>
      </c>
      <c r="BI3997">
        <v>275</v>
      </c>
      <c r="BJ3997">
        <v>1</v>
      </c>
      <c r="BK3997">
        <v>1</v>
      </c>
      <c r="BL3997">
        <v>1</v>
      </c>
      <c r="BM3997">
        <v>0</v>
      </c>
      <c r="BP3997">
        <v>0</v>
      </c>
      <c r="BQ3997">
        <v>0</v>
      </c>
      <c r="BX3997" t="str">
        <f>"14:57:05.734"</f>
        <v>14:57:05.734</v>
      </c>
      <c r="BY3997" t="str">
        <f>"733322739"</f>
        <v>733322739</v>
      </c>
      <c r="CL3997">
        <v>3</v>
      </c>
      <c r="CM3997">
        <v>2</v>
      </c>
      <c r="CN3997">
        <v>0</v>
      </c>
      <c r="CO3997">
        <v>2</v>
      </c>
      <c r="CP3997">
        <v>0</v>
      </c>
      <c r="CQ3997">
        <v>3</v>
      </c>
      <c r="CR3997" t="s">
        <v>116</v>
      </c>
      <c r="CS3997">
        <v>409</v>
      </c>
      <c r="CT3997">
        <v>1</v>
      </c>
      <c r="CU3997" t="s">
        <v>5087</v>
      </c>
      <c r="CV3997" t="s">
        <v>5088</v>
      </c>
      <c r="CY3997">
        <v>5357011</v>
      </c>
      <c r="CZ3997" t="s">
        <v>119</v>
      </c>
    </row>
    <row r="3998" spans="1:104" x14ac:dyDescent="0.25">
      <c r="A3998" t="str">
        <f>"14:57:07.242"</f>
        <v>14:57:07.242</v>
      </c>
      <c r="B3998" t="s">
        <v>108</v>
      </c>
      <c r="C3998" t="str">
        <f t="shared" si="187"/>
        <v>ffdfd3c0</v>
      </c>
      <c r="D3998" t="s">
        <v>109</v>
      </c>
      <c r="E3998">
        <v>4</v>
      </c>
      <c r="F3998">
        <v>1004</v>
      </c>
      <c r="G3998" t="s">
        <v>110</v>
      </c>
      <c r="J3998" t="s">
        <v>111</v>
      </c>
      <c r="K3998">
        <v>0</v>
      </c>
      <c r="L3998">
        <v>3</v>
      </c>
      <c r="M3998">
        <v>0</v>
      </c>
      <c r="N3998">
        <v>2</v>
      </c>
      <c r="O3998">
        <v>1</v>
      </c>
      <c r="P3998">
        <v>0</v>
      </c>
      <c r="Q3998">
        <v>0</v>
      </c>
      <c r="R3998" t="s">
        <v>112</v>
      </c>
      <c r="S3998" t="str">
        <f>"14:57:07.063"</f>
        <v>14:57:07.063</v>
      </c>
      <c r="T3998" t="str">
        <f>"14:57:05.766"</f>
        <v>14:57:05.766</v>
      </c>
      <c r="U3998" t="str">
        <f t="shared" si="186"/>
        <v>ad5732</v>
      </c>
      <c r="V3998">
        <v>0</v>
      </c>
      <c r="W3998">
        <v>0</v>
      </c>
      <c r="X3998">
        <v>1</v>
      </c>
      <c r="Z3998">
        <v>0</v>
      </c>
      <c r="AA3998">
        <v>9</v>
      </c>
      <c r="AB3998">
        <v>3</v>
      </c>
      <c r="AC3998">
        <v>0</v>
      </c>
      <c r="AD3998">
        <v>10</v>
      </c>
      <c r="AE3998">
        <v>0</v>
      </c>
      <c r="AF3998">
        <v>3</v>
      </c>
      <c r="AG3998">
        <v>2</v>
      </c>
      <c r="AH3998">
        <v>0</v>
      </c>
      <c r="AI3998" t="s">
        <v>8044</v>
      </c>
      <c r="AJ3998">
        <v>40.570278000000002</v>
      </c>
      <c r="AK3998" t="s">
        <v>8045</v>
      </c>
      <c r="AL3998">
        <v>-74.320321000000007</v>
      </c>
      <c r="AM3998">
        <v>100</v>
      </c>
      <c r="AN3998">
        <v>300</v>
      </c>
      <c r="AO3998" t="s">
        <v>115</v>
      </c>
      <c r="AP3998">
        <v>35</v>
      </c>
      <c r="AQ3998">
        <v>75</v>
      </c>
      <c r="AR3998">
        <v>-192</v>
      </c>
      <c r="AZ3998">
        <v>3614</v>
      </c>
      <c r="BA3998">
        <v>1</v>
      </c>
      <c r="BB3998" t="str">
        <f t="shared" si="188"/>
        <v xml:space="preserve">N959MJ  </v>
      </c>
      <c r="BC3998">
        <v>1</v>
      </c>
      <c r="BE3998">
        <v>0</v>
      </c>
      <c r="BF3998">
        <v>0</v>
      </c>
      <c r="BG3998">
        <v>0</v>
      </c>
      <c r="BH3998">
        <v>575</v>
      </c>
      <c r="BI3998">
        <v>275</v>
      </c>
      <c r="BJ3998">
        <v>1</v>
      </c>
      <c r="BK3998">
        <v>1</v>
      </c>
      <c r="BL3998">
        <v>1</v>
      </c>
      <c r="BM3998">
        <v>0</v>
      </c>
      <c r="BP3998">
        <v>0</v>
      </c>
      <c r="BQ3998">
        <v>0</v>
      </c>
      <c r="BX3998" t="str">
        <f>"14:57:07.070"</f>
        <v>14:57:07.070</v>
      </c>
      <c r="BY3998" t="str">
        <f>"066989232"</f>
        <v>066989232</v>
      </c>
      <c r="CL3998">
        <v>3</v>
      </c>
      <c r="CM3998">
        <v>2</v>
      </c>
      <c r="CN3998">
        <v>0</v>
      </c>
      <c r="CO3998">
        <v>2</v>
      </c>
      <c r="CP3998">
        <v>0</v>
      </c>
      <c r="CQ3998">
        <v>4</v>
      </c>
      <c r="CR3998" t="s">
        <v>116</v>
      </c>
      <c r="CS3998">
        <v>83</v>
      </c>
      <c r="CT3998">
        <v>1</v>
      </c>
      <c r="CU3998" t="s">
        <v>7152</v>
      </c>
      <c r="CV3998" t="s">
        <v>7153</v>
      </c>
      <c r="CY3998">
        <v>2350754</v>
      </c>
      <c r="CZ3998" t="s">
        <v>119</v>
      </c>
    </row>
    <row r="3999" spans="1:104" x14ac:dyDescent="0.25">
      <c r="A3999" t="str">
        <f>"14:57:08.195"</f>
        <v>14:57:08.195</v>
      </c>
      <c r="B3999" t="s">
        <v>108</v>
      </c>
      <c r="C3999" t="str">
        <f t="shared" si="187"/>
        <v>ffdfd3c0</v>
      </c>
      <c r="D3999" t="s">
        <v>109</v>
      </c>
      <c r="E3999">
        <v>4</v>
      </c>
      <c r="F3999">
        <v>1004</v>
      </c>
      <c r="G3999" t="s">
        <v>110</v>
      </c>
      <c r="J3999" t="s">
        <v>111</v>
      </c>
      <c r="K3999">
        <v>0</v>
      </c>
      <c r="L3999">
        <v>3</v>
      </c>
      <c r="M3999">
        <v>0</v>
      </c>
      <c r="N3999">
        <v>2</v>
      </c>
      <c r="O3999">
        <v>1</v>
      </c>
      <c r="P3999">
        <v>0</v>
      </c>
      <c r="Q3999">
        <v>0</v>
      </c>
      <c r="R3999" t="s">
        <v>112</v>
      </c>
      <c r="S3999" t="str">
        <f>"14:57:07.961"</f>
        <v>14:57:07.961</v>
      </c>
      <c r="T3999" t="str">
        <f>"14:57:07.563"</f>
        <v>14:57:07.563</v>
      </c>
      <c r="U3999" t="str">
        <f t="shared" si="186"/>
        <v>ad5732</v>
      </c>
      <c r="V3999">
        <v>0</v>
      </c>
      <c r="W3999">
        <v>0</v>
      </c>
      <c r="X3999">
        <v>1</v>
      </c>
      <c r="Z3999">
        <v>0</v>
      </c>
      <c r="AA3999">
        <v>9</v>
      </c>
      <c r="AB3999">
        <v>3</v>
      </c>
      <c r="AC3999">
        <v>0</v>
      </c>
      <c r="AD3999">
        <v>10</v>
      </c>
      <c r="AE3999">
        <v>0</v>
      </c>
      <c r="AF3999">
        <v>3</v>
      </c>
      <c r="AG3999">
        <v>2</v>
      </c>
      <c r="AH3999">
        <v>0</v>
      </c>
      <c r="AI3999" t="s">
        <v>8046</v>
      </c>
      <c r="AJ3999">
        <v>40.570579000000002</v>
      </c>
      <c r="AK3999" t="s">
        <v>8047</v>
      </c>
      <c r="AL3999">
        <v>-74.320127999999997</v>
      </c>
      <c r="AM3999">
        <v>100</v>
      </c>
      <c r="AN3999">
        <v>300</v>
      </c>
      <c r="AO3999" t="s">
        <v>115</v>
      </c>
      <c r="AP3999">
        <v>34</v>
      </c>
      <c r="AQ3999">
        <v>75</v>
      </c>
      <c r="AR3999">
        <v>-256</v>
      </c>
      <c r="AZ3999">
        <v>3614</v>
      </c>
      <c r="BA3999">
        <v>1</v>
      </c>
      <c r="BB3999" t="str">
        <f t="shared" si="188"/>
        <v xml:space="preserve">N959MJ  </v>
      </c>
      <c r="BC3999">
        <v>1</v>
      </c>
      <c r="BE3999">
        <v>0</v>
      </c>
      <c r="BF3999">
        <v>0</v>
      </c>
      <c r="BG3999">
        <v>0</v>
      </c>
      <c r="BH3999">
        <v>575</v>
      </c>
      <c r="BI3999">
        <v>275</v>
      </c>
      <c r="BJ3999">
        <v>1</v>
      </c>
      <c r="BK3999">
        <v>1</v>
      </c>
      <c r="BL3999">
        <v>1</v>
      </c>
      <c r="BM3999">
        <v>0</v>
      </c>
      <c r="BP3999">
        <v>0</v>
      </c>
      <c r="BQ3999">
        <v>0</v>
      </c>
      <c r="BX3999" t="str">
        <f>"14:57:07.969"</f>
        <v>14:57:07.969</v>
      </c>
      <c r="BY3999" t="str">
        <f>"966486623"</f>
        <v>966486623</v>
      </c>
      <c r="CL3999">
        <v>3</v>
      </c>
      <c r="CM3999">
        <v>2</v>
      </c>
      <c r="CN3999">
        <v>0</v>
      </c>
      <c r="CO3999">
        <v>2</v>
      </c>
      <c r="CP3999">
        <v>0</v>
      </c>
      <c r="CQ3999">
        <v>4</v>
      </c>
      <c r="CR3999" t="s">
        <v>116</v>
      </c>
      <c r="CS3999">
        <v>83</v>
      </c>
      <c r="CT3999">
        <v>2</v>
      </c>
      <c r="CU3999" t="s">
        <v>7152</v>
      </c>
      <c r="CV3999" t="s">
        <v>7153</v>
      </c>
      <c r="CY3999">
        <v>16562442</v>
      </c>
      <c r="CZ3999" t="s">
        <v>119</v>
      </c>
    </row>
    <row r="4000" spans="1:104" x14ac:dyDescent="0.25">
      <c r="A4000" t="str">
        <f>"14:57:09.258"</f>
        <v>14:57:09.258</v>
      </c>
      <c r="B4000" t="s">
        <v>108</v>
      </c>
      <c r="C4000" t="str">
        <f t="shared" si="187"/>
        <v>ffdfd3c0</v>
      </c>
      <c r="D4000" t="s">
        <v>109</v>
      </c>
      <c r="E4000">
        <v>4</v>
      </c>
      <c r="F4000">
        <v>1004</v>
      </c>
      <c r="G4000" t="s">
        <v>110</v>
      </c>
      <c r="J4000" t="s">
        <v>111</v>
      </c>
      <c r="K4000">
        <v>0</v>
      </c>
      <c r="L4000">
        <v>3</v>
      </c>
      <c r="M4000">
        <v>0</v>
      </c>
      <c r="N4000">
        <v>2</v>
      </c>
      <c r="O4000">
        <v>1</v>
      </c>
      <c r="P4000">
        <v>0</v>
      </c>
      <c r="Q4000">
        <v>0</v>
      </c>
      <c r="R4000" t="s">
        <v>112</v>
      </c>
      <c r="S4000" t="str">
        <f>"14:57:09.023"</f>
        <v>14:57:09.023</v>
      </c>
      <c r="T4000" t="str">
        <f>"14:57:08.523"</f>
        <v>14:57:08.523</v>
      </c>
      <c r="U4000" t="str">
        <f t="shared" si="186"/>
        <v>ad5732</v>
      </c>
      <c r="V4000">
        <v>0</v>
      </c>
      <c r="W4000">
        <v>0</v>
      </c>
      <c r="X4000">
        <v>1</v>
      </c>
      <c r="Z4000">
        <v>0</v>
      </c>
      <c r="AA4000">
        <v>9</v>
      </c>
      <c r="AB4000">
        <v>3</v>
      </c>
      <c r="AC4000">
        <v>0</v>
      </c>
      <c r="AD4000">
        <v>10</v>
      </c>
      <c r="AE4000">
        <v>0</v>
      </c>
      <c r="AF4000">
        <v>3</v>
      </c>
      <c r="AG4000">
        <v>2</v>
      </c>
      <c r="AH4000">
        <v>0</v>
      </c>
      <c r="AI4000" t="s">
        <v>8048</v>
      </c>
      <c r="AJ4000">
        <v>40.570900000000002</v>
      </c>
      <c r="AK4000" t="s">
        <v>8049</v>
      </c>
      <c r="AL4000">
        <v>-74.319956000000005</v>
      </c>
      <c r="AM4000">
        <v>100</v>
      </c>
      <c r="AN4000">
        <v>300</v>
      </c>
      <c r="AO4000" t="s">
        <v>115</v>
      </c>
      <c r="AP4000">
        <v>34</v>
      </c>
      <c r="AQ4000">
        <v>75</v>
      </c>
      <c r="AR4000">
        <v>-320</v>
      </c>
      <c r="AZ4000">
        <v>3614</v>
      </c>
      <c r="BA4000">
        <v>1</v>
      </c>
      <c r="BB4000" t="str">
        <f t="shared" si="188"/>
        <v xml:space="preserve">N959MJ  </v>
      </c>
      <c r="BC4000">
        <v>1</v>
      </c>
      <c r="BE4000">
        <v>0</v>
      </c>
      <c r="BF4000">
        <v>0</v>
      </c>
      <c r="BG4000">
        <v>0</v>
      </c>
      <c r="BH4000">
        <v>575</v>
      </c>
      <c r="BI4000">
        <v>275</v>
      </c>
      <c r="BJ4000">
        <v>1</v>
      </c>
      <c r="BK4000">
        <v>1</v>
      </c>
      <c r="BL4000">
        <v>1</v>
      </c>
      <c r="BM4000">
        <v>0</v>
      </c>
      <c r="BP4000">
        <v>0</v>
      </c>
      <c r="BQ4000">
        <v>0</v>
      </c>
      <c r="BX4000" t="str">
        <f>"14:57:09.023"</f>
        <v>14:57:09.023</v>
      </c>
      <c r="BY4000" t="str">
        <f>"026549858"</f>
        <v>026549858</v>
      </c>
      <c r="CL4000">
        <v>3</v>
      </c>
      <c r="CM4000">
        <v>2</v>
      </c>
      <c r="CN4000">
        <v>0</v>
      </c>
      <c r="CO4000">
        <v>2</v>
      </c>
      <c r="CP4000">
        <v>0</v>
      </c>
      <c r="CQ4000">
        <v>5</v>
      </c>
      <c r="CR4000" t="s">
        <v>116</v>
      </c>
      <c r="CS4000">
        <v>83</v>
      </c>
      <c r="CT4000">
        <v>1</v>
      </c>
      <c r="CU4000" t="s">
        <v>7152</v>
      </c>
      <c r="CV4000" t="s">
        <v>7153</v>
      </c>
      <c r="CY4000">
        <v>2354865</v>
      </c>
      <c r="CZ4000" t="s">
        <v>119</v>
      </c>
    </row>
    <row r="4001" spans="1:104" x14ac:dyDescent="0.25">
      <c r="A4001" t="str">
        <f>"14:57:10.219"</f>
        <v>14:57:10.219</v>
      </c>
      <c r="B4001" t="s">
        <v>108</v>
      </c>
      <c r="C4001" t="str">
        <f t="shared" si="187"/>
        <v>ffdfd3c0</v>
      </c>
      <c r="D4001" t="s">
        <v>109</v>
      </c>
      <c r="E4001">
        <v>4</v>
      </c>
      <c r="F4001">
        <v>1004</v>
      </c>
      <c r="G4001" t="s">
        <v>110</v>
      </c>
      <c r="J4001" t="s">
        <v>111</v>
      </c>
      <c r="K4001">
        <v>0</v>
      </c>
      <c r="L4001">
        <v>3</v>
      </c>
      <c r="M4001">
        <v>0</v>
      </c>
      <c r="N4001">
        <v>2</v>
      </c>
      <c r="O4001">
        <v>1</v>
      </c>
      <c r="P4001">
        <v>0</v>
      </c>
      <c r="Q4001">
        <v>0</v>
      </c>
      <c r="R4001" t="s">
        <v>112</v>
      </c>
      <c r="S4001" t="str">
        <f>"14:57:10.000"</f>
        <v>14:57:10.000</v>
      </c>
      <c r="T4001" t="str">
        <f>"14:57:09.602"</f>
        <v>14:57:09.602</v>
      </c>
      <c r="U4001" t="str">
        <f t="shared" si="186"/>
        <v>ad5732</v>
      </c>
      <c r="V4001">
        <v>0</v>
      </c>
      <c r="W4001">
        <v>0</v>
      </c>
      <c r="X4001">
        <v>1</v>
      </c>
      <c r="Z4001">
        <v>0</v>
      </c>
      <c r="AA4001">
        <v>9</v>
      </c>
      <c r="AB4001">
        <v>3</v>
      </c>
      <c r="AC4001">
        <v>0</v>
      </c>
      <c r="AD4001">
        <v>10</v>
      </c>
      <c r="AE4001">
        <v>0</v>
      </c>
      <c r="AF4001">
        <v>3</v>
      </c>
      <c r="AG4001">
        <v>2</v>
      </c>
      <c r="AH4001">
        <v>0</v>
      </c>
      <c r="AI4001" t="s">
        <v>8050</v>
      </c>
      <c r="AJ4001">
        <v>40.571264999999997</v>
      </c>
      <c r="AK4001" t="s">
        <v>8051</v>
      </c>
      <c r="AL4001">
        <v>-74.319699</v>
      </c>
      <c r="AM4001">
        <v>100</v>
      </c>
      <c r="AN4001">
        <v>300</v>
      </c>
      <c r="AO4001" t="s">
        <v>115</v>
      </c>
      <c r="AP4001">
        <v>35</v>
      </c>
      <c r="AQ4001">
        <v>75</v>
      </c>
      <c r="AR4001">
        <v>-320</v>
      </c>
      <c r="AZ4001">
        <v>3614</v>
      </c>
      <c r="BA4001">
        <v>1</v>
      </c>
      <c r="BB4001" t="str">
        <f t="shared" si="188"/>
        <v xml:space="preserve">N959MJ  </v>
      </c>
      <c r="BC4001">
        <v>1</v>
      </c>
      <c r="BE4001">
        <v>0</v>
      </c>
      <c r="BF4001">
        <v>0</v>
      </c>
      <c r="BG4001">
        <v>0</v>
      </c>
      <c r="BH4001">
        <v>550</v>
      </c>
      <c r="BI4001">
        <v>250</v>
      </c>
      <c r="BJ4001">
        <v>1</v>
      </c>
      <c r="BK4001">
        <v>1</v>
      </c>
      <c r="BL4001">
        <v>1</v>
      </c>
      <c r="BM4001">
        <v>0</v>
      </c>
      <c r="BP4001">
        <v>0</v>
      </c>
      <c r="BQ4001">
        <v>0</v>
      </c>
      <c r="BX4001" t="str">
        <f>"14:57:10.008"</f>
        <v>14:57:10.008</v>
      </c>
      <c r="BY4001" t="str">
        <f>"006223273"</f>
        <v>006223273</v>
      </c>
      <c r="CL4001">
        <v>3</v>
      </c>
      <c r="CM4001">
        <v>2</v>
      </c>
      <c r="CN4001">
        <v>0</v>
      </c>
      <c r="CO4001">
        <v>2</v>
      </c>
      <c r="CP4001">
        <v>0</v>
      </c>
      <c r="CQ4001">
        <v>6</v>
      </c>
      <c r="CR4001" t="s">
        <v>116</v>
      </c>
      <c r="CS4001">
        <v>305</v>
      </c>
      <c r="CT4001">
        <v>3</v>
      </c>
      <c r="CU4001" t="s">
        <v>6425</v>
      </c>
      <c r="CV4001" t="s">
        <v>6426</v>
      </c>
      <c r="CY4001">
        <v>6842645</v>
      </c>
      <c r="CZ4001" t="s">
        <v>119</v>
      </c>
    </row>
    <row r="4002" spans="1:104" x14ac:dyDescent="0.25">
      <c r="A4002" t="str">
        <f>"14:57:11.125"</f>
        <v>14:57:11.125</v>
      </c>
      <c r="B4002" t="s">
        <v>108</v>
      </c>
      <c r="C4002" t="str">
        <f t="shared" si="187"/>
        <v>ffdfd3c0</v>
      </c>
      <c r="D4002" t="s">
        <v>109</v>
      </c>
      <c r="E4002">
        <v>4</v>
      </c>
      <c r="F4002">
        <v>1004</v>
      </c>
      <c r="G4002" t="s">
        <v>110</v>
      </c>
      <c r="J4002" t="s">
        <v>111</v>
      </c>
      <c r="K4002">
        <v>0</v>
      </c>
      <c r="L4002">
        <v>3</v>
      </c>
      <c r="M4002">
        <v>0</v>
      </c>
      <c r="N4002">
        <v>2</v>
      </c>
      <c r="O4002">
        <v>1</v>
      </c>
      <c r="P4002">
        <v>0</v>
      </c>
      <c r="Q4002">
        <v>0</v>
      </c>
      <c r="R4002" t="s">
        <v>112</v>
      </c>
      <c r="S4002" t="str">
        <f>"14:57:10.953"</f>
        <v>14:57:10.953</v>
      </c>
      <c r="T4002" t="str">
        <f>"14:57:10.055"</f>
        <v>14:57:10.055</v>
      </c>
      <c r="U4002" t="str">
        <f t="shared" si="186"/>
        <v>ad5732</v>
      </c>
      <c r="V4002">
        <v>0</v>
      </c>
      <c r="W4002">
        <v>0</v>
      </c>
      <c r="X4002">
        <v>1</v>
      </c>
      <c r="Z4002">
        <v>0</v>
      </c>
      <c r="AA4002">
        <v>9</v>
      </c>
      <c r="AB4002">
        <v>3</v>
      </c>
      <c r="AC4002">
        <v>0</v>
      </c>
      <c r="AD4002">
        <v>10</v>
      </c>
      <c r="AE4002">
        <v>0</v>
      </c>
      <c r="AF4002">
        <v>3</v>
      </c>
      <c r="AG4002">
        <v>2</v>
      </c>
      <c r="AH4002">
        <v>0</v>
      </c>
      <c r="AI4002" t="s">
        <v>8052</v>
      </c>
      <c r="AJ4002">
        <v>40.571629999999999</v>
      </c>
      <c r="AK4002" t="s">
        <v>8053</v>
      </c>
      <c r="AL4002">
        <v>-74.319526999999994</v>
      </c>
      <c r="AM4002">
        <v>100</v>
      </c>
      <c r="AN4002">
        <v>300</v>
      </c>
      <c r="AO4002" t="s">
        <v>115</v>
      </c>
      <c r="AP4002">
        <v>35</v>
      </c>
      <c r="AQ4002">
        <v>74</v>
      </c>
      <c r="AR4002">
        <v>-320</v>
      </c>
      <c r="AZ4002">
        <v>3614</v>
      </c>
      <c r="BA4002">
        <v>1</v>
      </c>
      <c r="BB4002" t="str">
        <f t="shared" si="188"/>
        <v xml:space="preserve">N959MJ  </v>
      </c>
      <c r="BC4002">
        <v>1</v>
      </c>
      <c r="BE4002">
        <v>0</v>
      </c>
      <c r="BF4002">
        <v>0</v>
      </c>
      <c r="BG4002">
        <v>0</v>
      </c>
      <c r="BH4002">
        <v>550</v>
      </c>
      <c r="BI4002">
        <v>250</v>
      </c>
      <c r="BJ4002">
        <v>1</v>
      </c>
      <c r="BK4002">
        <v>1</v>
      </c>
      <c r="BL4002">
        <v>1</v>
      </c>
      <c r="BM4002">
        <v>0</v>
      </c>
      <c r="BP4002">
        <v>0</v>
      </c>
      <c r="BQ4002">
        <v>0</v>
      </c>
      <c r="BX4002" t="str">
        <f>"14:57:10.961"</f>
        <v>14:57:10.961</v>
      </c>
      <c r="BY4002" t="str">
        <f>"958150490"</f>
        <v>958150490</v>
      </c>
      <c r="CL4002">
        <v>3</v>
      </c>
      <c r="CM4002">
        <v>2</v>
      </c>
      <c r="CN4002">
        <v>0</v>
      </c>
      <c r="CO4002">
        <v>2</v>
      </c>
      <c r="CP4002">
        <v>0</v>
      </c>
      <c r="CQ4002">
        <v>7</v>
      </c>
      <c r="CR4002" t="s">
        <v>116</v>
      </c>
      <c r="CS4002">
        <v>305</v>
      </c>
      <c r="CT4002">
        <v>3</v>
      </c>
      <c r="CU4002" t="s">
        <v>6425</v>
      </c>
      <c r="CV4002" t="s">
        <v>6426</v>
      </c>
      <c r="CY4002">
        <v>6844662</v>
      </c>
      <c r="CZ4002" t="s">
        <v>119</v>
      </c>
    </row>
    <row r="4003" spans="1:104" x14ac:dyDescent="0.25">
      <c r="A4003" t="str">
        <f>"14:57:12.188"</f>
        <v>14:57:12.188</v>
      </c>
      <c r="B4003" t="s">
        <v>108</v>
      </c>
      <c r="C4003" t="str">
        <f t="shared" si="187"/>
        <v>ffdfd3c0</v>
      </c>
      <c r="D4003" t="s">
        <v>109</v>
      </c>
      <c r="E4003">
        <v>4</v>
      </c>
      <c r="F4003">
        <v>1004</v>
      </c>
      <c r="G4003" t="s">
        <v>110</v>
      </c>
      <c r="J4003" t="s">
        <v>111</v>
      </c>
      <c r="K4003">
        <v>0</v>
      </c>
      <c r="L4003">
        <v>3</v>
      </c>
      <c r="M4003">
        <v>0</v>
      </c>
      <c r="N4003">
        <v>2</v>
      </c>
      <c r="O4003">
        <v>1</v>
      </c>
      <c r="P4003">
        <v>0</v>
      </c>
      <c r="Q4003">
        <v>0</v>
      </c>
      <c r="R4003" t="s">
        <v>112</v>
      </c>
      <c r="S4003" t="str">
        <f>"14:57:12.016"</f>
        <v>14:57:12.016</v>
      </c>
      <c r="T4003" t="str">
        <f>"14:57:11.516"</f>
        <v>14:57:11.516</v>
      </c>
      <c r="U4003" t="str">
        <f t="shared" si="186"/>
        <v>ad5732</v>
      </c>
      <c r="V4003">
        <v>0</v>
      </c>
      <c r="W4003">
        <v>0</v>
      </c>
      <c r="X4003">
        <v>1</v>
      </c>
      <c r="Z4003">
        <v>0</v>
      </c>
      <c r="AA4003">
        <v>9</v>
      </c>
      <c r="AB4003">
        <v>3</v>
      </c>
      <c r="AC4003">
        <v>0</v>
      </c>
      <c r="AD4003">
        <v>10</v>
      </c>
      <c r="AE4003">
        <v>0</v>
      </c>
      <c r="AF4003">
        <v>3</v>
      </c>
      <c r="AG4003">
        <v>2</v>
      </c>
      <c r="AH4003">
        <v>0</v>
      </c>
      <c r="AI4003" t="s">
        <v>8054</v>
      </c>
      <c r="AJ4003">
        <v>40.571952000000003</v>
      </c>
      <c r="AK4003" t="s">
        <v>8055</v>
      </c>
      <c r="AL4003">
        <v>-74.319270000000003</v>
      </c>
      <c r="AM4003">
        <v>100</v>
      </c>
      <c r="AN4003">
        <v>300</v>
      </c>
      <c r="AO4003" t="s">
        <v>115</v>
      </c>
      <c r="AP4003">
        <v>36</v>
      </c>
      <c r="AQ4003">
        <v>74</v>
      </c>
      <c r="AR4003">
        <v>-640</v>
      </c>
      <c r="AZ4003">
        <v>3614</v>
      </c>
      <c r="BA4003">
        <v>1</v>
      </c>
      <c r="BB4003" t="str">
        <f t="shared" si="188"/>
        <v xml:space="preserve">N959MJ  </v>
      </c>
      <c r="BC4003">
        <v>1</v>
      </c>
      <c r="BE4003">
        <v>0</v>
      </c>
      <c r="BF4003">
        <v>0</v>
      </c>
      <c r="BG4003">
        <v>0</v>
      </c>
      <c r="BH4003">
        <v>550</v>
      </c>
      <c r="BI4003">
        <v>250</v>
      </c>
      <c r="BJ4003">
        <v>1</v>
      </c>
      <c r="BK4003">
        <v>1</v>
      </c>
      <c r="BL4003">
        <v>1</v>
      </c>
      <c r="BM4003">
        <v>0</v>
      </c>
      <c r="BP4003">
        <v>0</v>
      </c>
      <c r="BQ4003">
        <v>0</v>
      </c>
      <c r="BX4003" t="str">
        <f>"14:57:12.016"</f>
        <v>14:57:12.016</v>
      </c>
      <c r="BY4003" t="str">
        <f>"018213978"</f>
        <v>018213978</v>
      </c>
      <c r="CL4003">
        <v>3</v>
      </c>
      <c r="CM4003">
        <v>2</v>
      </c>
      <c r="CN4003">
        <v>0</v>
      </c>
      <c r="CO4003">
        <v>2</v>
      </c>
      <c r="CP4003">
        <v>0</v>
      </c>
      <c r="CQ4003">
        <v>7</v>
      </c>
      <c r="CR4003" t="s">
        <v>116</v>
      </c>
      <c r="CS4003">
        <v>305</v>
      </c>
      <c r="CT4003">
        <v>3</v>
      </c>
      <c r="CU4003" t="s">
        <v>6425</v>
      </c>
      <c r="CV4003" t="s">
        <v>6426</v>
      </c>
      <c r="CY4003">
        <v>6846923</v>
      </c>
      <c r="CZ4003" t="s">
        <v>119</v>
      </c>
    </row>
    <row r="4004" spans="1:104" x14ac:dyDescent="0.25">
      <c r="A4004" t="str">
        <f>"14:57:13.148"</f>
        <v>14:57:13.148</v>
      </c>
      <c r="B4004" t="s">
        <v>108</v>
      </c>
      <c r="C4004" t="str">
        <f t="shared" si="187"/>
        <v>ffdfd3c0</v>
      </c>
      <c r="D4004" t="s">
        <v>109</v>
      </c>
      <c r="E4004">
        <v>4</v>
      </c>
      <c r="F4004">
        <v>1004</v>
      </c>
      <c r="G4004" t="s">
        <v>110</v>
      </c>
      <c r="J4004" t="s">
        <v>111</v>
      </c>
      <c r="K4004">
        <v>0</v>
      </c>
      <c r="L4004">
        <v>3</v>
      </c>
      <c r="M4004">
        <v>0</v>
      </c>
      <c r="N4004">
        <v>2</v>
      </c>
      <c r="O4004">
        <v>1</v>
      </c>
      <c r="P4004">
        <v>0</v>
      </c>
      <c r="Q4004">
        <v>0</v>
      </c>
      <c r="R4004" t="s">
        <v>112</v>
      </c>
      <c r="S4004" t="str">
        <f>"14:57:12.961"</f>
        <v>14:57:12.961</v>
      </c>
      <c r="T4004" t="str">
        <f>"14:57:12.563"</f>
        <v>14:57:12.563</v>
      </c>
      <c r="U4004" t="str">
        <f t="shared" si="186"/>
        <v>ad5732</v>
      </c>
      <c r="V4004">
        <v>0</v>
      </c>
      <c r="W4004">
        <v>0</v>
      </c>
      <c r="X4004">
        <v>1</v>
      </c>
      <c r="Z4004">
        <v>0</v>
      </c>
      <c r="AA4004">
        <v>9</v>
      </c>
      <c r="AB4004">
        <v>3</v>
      </c>
      <c r="AC4004">
        <v>0</v>
      </c>
      <c r="AD4004">
        <v>10</v>
      </c>
      <c r="AE4004">
        <v>0</v>
      </c>
      <c r="AF4004">
        <v>3</v>
      </c>
      <c r="AG4004">
        <v>2</v>
      </c>
      <c r="AH4004">
        <v>0</v>
      </c>
      <c r="AI4004" t="s">
        <v>8056</v>
      </c>
      <c r="AJ4004">
        <v>40.572316999999998</v>
      </c>
      <c r="AK4004" t="s">
        <v>8057</v>
      </c>
      <c r="AL4004">
        <v>-74.319097999999997</v>
      </c>
      <c r="AM4004">
        <v>100</v>
      </c>
      <c r="AN4004">
        <v>300</v>
      </c>
      <c r="AO4004" t="s">
        <v>115</v>
      </c>
      <c r="AP4004">
        <v>36</v>
      </c>
      <c r="AQ4004">
        <v>75</v>
      </c>
      <c r="AR4004">
        <v>-832</v>
      </c>
      <c r="AZ4004">
        <v>3614</v>
      </c>
      <c r="BA4004">
        <v>1</v>
      </c>
      <c r="BB4004" t="str">
        <f t="shared" si="188"/>
        <v xml:space="preserve">N959MJ  </v>
      </c>
      <c r="BC4004">
        <v>1</v>
      </c>
      <c r="BE4004">
        <v>0</v>
      </c>
      <c r="BF4004">
        <v>0</v>
      </c>
      <c r="BG4004">
        <v>0</v>
      </c>
      <c r="BH4004">
        <v>525</v>
      </c>
      <c r="BI4004">
        <v>225</v>
      </c>
      <c r="BJ4004">
        <v>1</v>
      </c>
      <c r="BK4004">
        <v>1</v>
      </c>
      <c r="BL4004">
        <v>1</v>
      </c>
      <c r="BM4004">
        <v>0</v>
      </c>
      <c r="BP4004">
        <v>0</v>
      </c>
      <c r="BQ4004">
        <v>0</v>
      </c>
      <c r="BX4004" t="str">
        <f>"14:57:12.961"</f>
        <v>14:57:12.961</v>
      </c>
      <c r="BY4004" t="str">
        <f>"961948961"</f>
        <v>961948961</v>
      </c>
      <c r="CL4004">
        <v>3</v>
      </c>
      <c r="CM4004">
        <v>2</v>
      </c>
      <c r="CN4004">
        <v>0</v>
      </c>
      <c r="CO4004">
        <v>2</v>
      </c>
      <c r="CP4004">
        <v>0</v>
      </c>
      <c r="CQ4004">
        <v>7</v>
      </c>
      <c r="CR4004" t="s">
        <v>116</v>
      </c>
      <c r="CS4004">
        <v>305</v>
      </c>
      <c r="CT4004">
        <v>3</v>
      </c>
      <c r="CU4004" t="s">
        <v>6425</v>
      </c>
      <c r="CV4004" t="s">
        <v>6426</v>
      </c>
      <c r="CY4004">
        <v>6848861</v>
      </c>
      <c r="CZ4004" t="s">
        <v>119</v>
      </c>
    </row>
    <row r="4005" spans="1:104" x14ac:dyDescent="0.25">
      <c r="A4005" t="str">
        <f>"14:57:14.102"</f>
        <v>14:57:14.102</v>
      </c>
      <c r="B4005" t="s">
        <v>108</v>
      </c>
      <c r="C4005" t="str">
        <f t="shared" si="187"/>
        <v>ffdfd3c0</v>
      </c>
      <c r="D4005" t="s">
        <v>109</v>
      </c>
      <c r="E4005">
        <v>4</v>
      </c>
      <c r="F4005">
        <v>1004</v>
      </c>
      <c r="G4005" t="s">
        <v>110</v>
      </c>
      <c r="J4005" t="s">
        <v>111</v>
      </c>
      <c r="K4005">
        <v>0</v>
      </c>
      <c r="L4005">
        <v>3</v>
      </c>
      <c r="M4005">
        <v>0</v>
      </c>
      <c r="N4005">
        <v>2</v>
      </c>
      <c r="O4005">
        <v>1</v>
      </c>
      <c r="P4005">
        <v>0</v>
      </c>
      <c r="Q4005">
        <v>0</v>
      </c>
      <c r="R4005" t="s">
        <v>112</v>
      </c>
      <c r="S4005" t="str">
        <f>"14:57:13.898"</f>
        <v>14:57:13.898</v>
      </c>
      <c r="T4005" t="str">
        <f>"14:57:13.398"</f>
        <v>14:57:13.398</v>
      </c>
      <c r="U4005" t="str">
        <f t="shared" si="186"/>
        <v>ad5732</v>
      </c>
      <c r="V4005">
        <v>0</v>
      </c>
      <c r="W4005">
        <v>0</v>
      </c>
      <c r="X4005">
        <v>1</v>
      </c>
      <c r="Z4005">
        <v>0</v>
      </c>
      <c r="AA4005">
        <v>9</v>
      </c>
      <c r="AB4005">
        <v>3</v>
      </c>
      <c r="AC4005">
        <v>0</v>
      </c>
      <c r="AD4005">
        <v>10</v>
      </c>
      <c r="AE4005">
        <v>0</v>
      </c>
      <c r="AF4005">
        <v>3</v>
      </c>
      <c r="AG4005">
        <v>2</v>
      </c>
      <c r="AH4005">
        <v>0</v>
      </c>
      <c r="AI4005" t="s">
        <v>8058</v>
      </c>
      <c r="AJ4005">
        <v>40.572659999999999</v>
      </c>
      <c r="AK4005" t="s">
        <v>8059</v>
      </c>
      <c r="AL4005">
        <v>-74.318883</v>
      </c>
      <c r="AM4005">
        <v>100</v>
      </c>
      <c r="AN4005">
        <v>300</v>
      </c>
      <c r="AO4005" t="s">
        <v>115</v>
      </c>
      <c r="AP4005">
        <v>37</v>
      </c>
      <c r="AQ4005">
        <v>76</v>
      </c>
      <c r="AR4005">
        <v>-960</v>
      </c>
      <c r="AZ4005">
        <v>3614</v>
      </c>
      <c r="BA4005">
        <v>1</v>
      </c>
      <c r="BB4005" t="str">
        <f t="shared" si="188"/>
        <v xml:space="preserve">N959MJ  </v>
      </c>
      <c r="BC4005">
        <v>1</v>
      </c>
      <c r="BE4005">
        <v>0</v>
      </c>
      <c r="BF4005">
        <v>0</v>
      </c>
      <c r="BG4005">
        <v>0</v>
      </c>
      <c r="BH4005">
        <v>525</v>
      </c>
      <c r="BI4005">
        <v>225</v>
      </c>
      <c r="BJ4005">
        <v>1</v>
      </c>
      <c r="BK4005">
        <v>1</v>
      </c>
      <c r="BL4005">
        <v>1</v>
      </c>
      <c r="BM4005">
        <v>0</v>
      </c>
      <c r="BP4005">
        <v>0</v>
      </c>
      <c r="BQ4005">
        <v>0</v>
      </c>
      <c r="BX4005" t="str">
        <f>"14:57:13.898"</f>
        <v>14:57:13.898</v>
      </c>
      <c r="BY4005" t="str">
        <f>"899130285"</f>
        <v>899130285</v>
      </c>
      <c r="CL4005">
        <v>3</v>
      </c>
      <c r="CM4005">
        <v>2</v>
      </c>
      <c r="CN4005">
        <v>0</v>
      </c>
      <c r="CO4005">
        <v>2</v>
      </c>
      <c r="CP4005">
        <v>0</v>
      </c>
      <c r="CQ4005">
        <v>7</v>
      </c>
      <c r="CR4005" t="s">
        <v>116</v>
      </c>
      <c r="CS4005">
        <v>305</v>
      </c>
      <c r="CT4005">
        <v>3</v>
      </c>
      <c r="CU4005" t="s">
        <v>6425</v>
      </c>
      <c r="CV4005" t="s">
        <v>6426</v>
      </c>
      <c r="CY4005">
        <v>6850638</v>
      </c>
      <c r="CZ4005" t="s">
        <v>119</v>
      </c>
    </row>
    <row r="4006" spans="1:104" x14ac:dyDescent="0.25">
      <c r="A4006" t="str">
        <f>"14:57:15.117"</f>
        <v>14:57:15.117</v>
      </c>
      <c r="B4006" t="s">
        <v>108</v>
      </c>
      <c r="C4006" t="str">
        <f t="shared" si="187"/>
        <v>ffdfd3c0</v>
      </c>
      <c r="D4006" t="s">
        <v>109</v>
      </c>
      <c r="E4006">
        <v>4</v>
      </c>
      <c r="F4006">
        <v>1004</v>
      </c>
      <c r="G4006" t="s">
        <v>110</v>
      </c>
      <c r="J4006" t="s">
        <v>111</v>
      </c>
      <c r="K4006">
        <v>0</v>
      </c>
      <c r="L4006">
        <v>3</v>
      </c>
      <c r="M4006">
        <v>0</v>
      </c>
      <c r="N4006">
        <v>2</v>
      </c>
      <c r="O4006">
        <v>1</v>
      </c>
      <c r="P4006">
        <v>0</v>
      </c>
      <c r="Q4006">
        <v>0</v>
      </c>
      <c r="R4006" t="s">
        <v>112</v>
      </c>
      <c r="S4006" t="str">
        <f>"14:57:14.914"</f>
        <v>14:57:14.914</v>
      </c>
      <c r="T4006" t="str">
        <f>"14:57:14.516"</f>
        <v>14:57:14.516</v>
      </c>
      <c r="U4006" t="str">
        <f t="shared" si="186"/>
        <v>ad5732</v>
      </c>
      <c r="V4006">
        <v>0</v>
      </c>
      <c r="W4006">
        <v>0</v>
      </c>
      <c r="X4006">
        <v>1</v>
      </c>
      <c r="Z4006">
        <v>0</v>
      </c>
      <c r="AA4006">
        <v>9</v>
      </c>
      <c r="AB4006">
        <v>3</v>
      </c>
      <c r="AC4006">
        <v>0</v>
      </c>
      <c r="AD4006">
        <v>10</v>
      </c>
      <c r="AE4006">
        <v>0</v>
      </c>
      <c r="AF4006">
        <v>3</v>
      </c>
      <c r="AG4006">
        <v>2</v>
      </c>
      <c r="AH4006">
        <v>0</v>
      </c>
      <c r="AI4006" t="s">
        <v>8060</v>
      </c>
      <c r="AJ4006">
        <v>40.572982000000003</v>
      </c>
      <c r="AK4006" t="s">
        <v>8061</v>
      </c>
      <c r="AL4006">
        <v>-74.318646999999999</v>
      </c>
      <c r="AM4006">
        <v>100</v>
      </c>
      <c r="AN4006">
        <v>300</v>
      </c>
      <c r="AO4006" t="s">
        <v>115</v>
      </c>
      <c r="AP4006">
        <v>38</v>
      </c>
      <c r="AQ4006">
        <v>77</v>
      </c>
      <c r="AR4006">
        <v>-1152</v>
      </c>
      <c r="AZ4006">
        <v>3614</v>
      </c>
      <c r="BA4006">
        <v>1</v>
      </c>
      <c r="BB4006" t="str">
        <f t="shared" si="188"/>
        <v xml:space="preserve">N959MJ  </v>
      </c>
      <c r="BC4006">
        <v>1</v>
      </c>
      <c r="BE4006">
        <v>0</v>
      </c>
      <c r="BF4006">
        <v>0</v>
      </c>
      <c r="BG4006">
        <v>0</v>
      </c>
      <c r="BH4006">
        <v>500</v>
      </c>
      <c r="BI4006">
        <v>200</v>
      </c>
      <c r="BJ4006">
        <v>1</v>
      </c>
      <c r="BK4006">
        <v>1</v>
      </c>
      <c r="BL4006">
        <v>1</v>
      </c>
      <c r="BM4006">
        <v>0</v>
      </c>
      <c r="BP4006">
        <v>0</v>
      </c>
      <c r="BQ4006">
        <v>0</v>
      </c>
      <c r="BX4006" t="str">
        <f>"14:57:14.922"</f>
        <v>14:57:14.922</v>
      </c>
      <c r="BY4006" t="str">
        <f>"921509944"</f>
        <v>921509944</v>
      </c>
      <c r="CL4006">
        <v>3</v>
      </c>
      <c r="CM4006">
        <v>2</v>
      </c>
      <c r="CN4006">
        <v>0</v>
      </c>
      <c r="CO4006">
        <v>2</v>
      </c>
      <c r="CP4006">
        <v>0</v>
      </c>
      <c r="CQ4006">
        <v>5</v>
      </c>
      <c r="CR4006" t="s">
        <v>116</v>
      </c>
      <c r="CS4006">
        <v>305</v>
      </c>
      <c r="CT4006">
        <v>0</v>
      </c>
      <c r="CU4006" t="s">
        <v>6425</v>
      </c>
      <c r="CV4006" t="s">
        <v>6426</v>
      </c>
      <c r="CY4006">
        <v>5404543</v>
      </c>
      <c r="CZ4006" t="s">
        <v>119</v>
      </c>
    </row>
    <row r="4007" spans="1:104" x14ac:dyDescent="0.25">
      <c r="A4007" t="str">
        <f>"14:57:16.125"</f>
        <v>14:57:16.125</v>
      </c>
      <c r="B4007" t="s">
        <v>108</v>
      </c>
      <c r="C4007" t="str">
        <f t="shared" si="187"/>
        <v>ffdfd3c0</v>
      </c>
      <c r="D4007" t="s">
        <v>109</v>
      </c>
      <c r="E4007">
        <v>4</v>
      </c>
      <c r="F4007">
        <v>1004</v>
      </c>
      <c r="G4007" t="s">
        <v>110</v>
      </c>
      <c r="J4007" t="s">
        <v>111</v>
      </c>
      <c r="K4007">
        <v>0</v>
      </c>
      <c r="L4007">
        <v>3</v>
      </c>
      <c r="M4007">
        <v>0</v>
      </c>
      <c r="N4007">
        <v>2</v>
      </c>
      <c r="O4007">
        <v>1</v>
      </c>
      <c r="P4007">
        <v>0</v>
      </c>
      <c r="Q4007">
        <v>0</v>
      </c>
      <c r="R4007" t="s">
        <v>112</v>
      </c>
      <c r="S4007" t="str">
        <f>"14:57:15.930"</f>
        <v>14:57:15.930</v>
      </c>
      <c r="T4007" t="str">
        <f>"14:57:15.430"</f>
        <v>14:57:15.430</v>
      </c>
      <c r="U4007" t="str">
        <f t="shared" si="186"/>
        <v>ad5732</v>
      </c>
      <c r="V4007">
        <v>0</v>
      </c>
      <c r="W4007">
        <v>0</v>
      </c>
      <c r="X4007">
        <v>1</v>
      </c>
      <c r="Z4007">
        <v>0</v>
      </c>
      <c r="AA4007">
        <v>9</v>
      </c>
      <c r="AB4007">
        <v>3</v>
      </c>
      <c r="AC4007">
        <v>0</v>
      </c>
      <c r="AD4007">
        <v>10</v>
      </c>
      <c r="AE4007">
        <v>0</v>
      </c>
      <c r="AF4007">
        <v>3</v>
      </c>
      <c r="AG4007">
        <v>2</v>
      </c>
      <c r="AH4007">
        <v>0</v>
      </c>
      <c r="AI4007" t="s">
        <v>8062</v>
      </c>
      <c r="AJ4007">
        <v>40.573346999999998</v>
      </c>
      <c r="AK4007" t="s">
        <v>8063</v>
      </c>
      <c r="AL4007">
        <v>-74.318389999999994</v>
      </c>
      <c r="AM4007">
        <v>100</v>
      </c>
      <c r="AN4007">
        <v>300</v>
      </c>
      <c r="AO4007" t="s">
        <v>115</v>
      </c>
      <c r="AP4007">
        <v>39</v>
      </c>
      <c r="AQ4007">
        <v>78</v>
      </c>
      <c r="AR4007">
        <v>-1088</v>
      </c>
      <c r="AZ4007">
        <v>3614</v>
      </c>
      <c r="BA4007">
        <v>1</v>
      </c>
      <c r="BB4007" t="str">
        <f t="shared" si="188"/>
        <v xml:space="preserve">N959MJ  </v>
      </c>
      <c r="BC4007">
        <v>1</v>
      </c>
      <c r="BE4007">
        <v>0</v>
      </c>
      <c r="BF4007">
        <v>0</v>
      </c>
      <c r="BG4007">
        <v>0</v>
      </c>
      <c r="BH4007">
        <v>475</v>
      </c>
      <c r="BI4007">
        <v>175</v>
      </c>
      <c r="BJ4007">
        <v>1</v>
      </c>
      <c r="BK4007">
        <v>1</v>
      </c>
      <c r="BL4007">
        <v>1</v>
      </c>
      <c r="BM4007">
        <v>0</v>
      </c>
      <c r="BP4007">
        <v>0</v>
      </c>
      <c r="BQ4007">
        <v>0</v>
      </c>
      <c r="BX4007" t="str">
        <f>"14:57:15.938"</f>
        <v>14:57:15.938</v>
      </c>
      <c r="BY4007" t="str">
        <f>"934058952"</f>
        <v>934058952</v>
      </c>
      <c r="CL4007">
        <v>3</v>
      </c>
      <c r="CM4007">
        <v>2</v>
      </c>
      <c r="CN4007">
        <v>0</v>
      </c>
      <c r="CO4007">
        <v>2</v>
      </c>
      <c r="CP4007">
        <v>0</v>
      </c>
      <c r="CQ4007">
        <v>6</v>
      </c>
      <c r="CR4007" t="s">
        <v>116</v>
      </c>
      <c r="CS4007">
        <v>305</v>
      </c>
      <c r="CT4007">
        <v>3</v>
      </c>
      <c r="CU4007" t="s">
        <v>6425</v>
      </c>
      <c r="CV4007" t="s">
        <v>6426</v>
      </c>
      <c r="CY4007">
        <v>6854868</v>
      </c>
      <c r="CZ4007" t="s">
        <v>119</v>
      </c>
    </row>
    <row r="4008" spans="1:104" x14ac:dyDescent="0.25">
      <c r="A4008" t="str">
        <f>"14:57:18.297"</f>
        <v>14:57:18.297</v>
      </c>
      <c r="B4008" t="s">
        <v>108</v>
      </c>
      <c r="C4008" t="str">
        <f t="shared" si="187"/>
        <v>ffdfd3c0</v>
      </c>
      <c r="D4008" t="s">
        <v>109</v>
      </c>
      <c r="E4008">
        <v>4</v>
      </c>
      <c r="F4008">
        <v>1004</v>
      </c>
      <c r="G4008" t="s">
        <v>110</v>
      </c>
      <c r="J4008" t="s">
        <v>111</v>
      </c>
      <c r="K4008">
        <v>0</v>
      </c>
      <c r="L4008">
        <v>3</v>
      </c>
      <c r="M4008">
        <v>0</v>
      </c>
      <c r="N4008">
        <v>2</v>
      </c>
      <c r="O4008">
        <v>1</v>
      </c>
      <c r="P4008">
        <v>0</v>
      </c>
      <c r="Q4008">
        <v>0</v>
      </c>
      <c r="R4008" t="s">
        <v>112</v>
      </c>
      <c r="S4008" t="str">
        <f>"14:57:18.055"</f>
        <v>14:57:18.055</v>
      </c>
      <c r="T4008" t="str">
        <f>"14:57:17.555"</f>
        <v>14:57:17.555</v>
      </c>
      <c r="U4008" t="str">
        <f t="shared" si="186"/>
        <v>ad5732</v>
      </c>
      <c r="V4008">
        <v>0</v>
      </c>
      <c r="W4008">
        <v>0</v>
      </c>
      <c r="X4008">
        <v>1</v>
      </c>
      <c r="Z4008">
        <v>0</v>
      </c>
      <c r="AA4008">
        <v>9</v>
      </c>
      <c r="AB4008">
        <v>3</v>
      </c>
      <c r="AC4008">
        <v>0</v>
      </c>
      <c r="AD4008">
        <v>10</v>
      </c>
      <c r="AE4008">
        <v>0</v>
      </c>
      <c r="AF4008">
        <v>3</v>
      </c>
      <c r="AG4008">
        <v>2</v>
      </c>
      <c r="AH4008">
        <v>0</v>
      </c>
      <c r="AI4008" t="s">
        <v>8064</v>
      </c>
      <c r="AJ4008">
        <v>40.574182999999998</v>
      </c>
      <c r="AK4008" t="s">
        <v>8065</v>
      </c>
      <c r="AL4008">
        <v>-74.317831999999996</v>
      </c>
      <c r="AM4008">
        <v>100</v>
      </c>
      <c r="AN4008">
        <v>300</v>
      </c>
      <c r="AO4008" t="s">
        <v>115</v>
      </c>
      <c r="AP4008">
        <v>42</v>
      </c>
      <c r="AQ4008">
        <v>80</v>
      </c>
      <c r="AR4008">
        <v>-768</v>
      </c>
      <c r="AZ4008">
        <v>3614</v>
      </c>
      <c r="BA4008">
        <v>1</v>
      </c>
      <c r="BB4008" t="str">
        <f t="shared" si="188"/>
        <v xml:space="preserve">N959MJ  </v>
      </c>
      <c r="BC4008">
        <v>1</v>
      </c>
      <c r="BE4008">
        <v>0</v>
      </c>
      <c r="BF4008">
        <v>0</v>
      </c>
      <c r="BG4008">
        <v>0</v>
      </c>
      <c r="BH4008">
        <v>450</v>
      </c>
      <c r="BI4008">
        <v>150</v>
      </c>
      <c r="BJ4008">
        <v>1</v>
      </c>
      <c r="BK4008">
        <v>1</v>
      </c>
      <c r="BL4008">
        <v>1</v>
      </c>
      <c r="BM4008">
        <v>0</v>
      </c>
      <c r="BP4008">
        <v>0</v>
      </c>
      <c r="BQ4008">
        <v>0</v>
      </c>
      <c r="BX4008" t="str">
        <f>"14:57:18.063"</f>
        <v>14:57:18.063</v>
      </c>
      <c r="BY4008" t="str">
        <f>"060739682"</f>
        <v>060739682</v>
      </c>
      <c r="CL4008">
        <v>3</v>
      </c>
      <c r="CM4008">
        <v>2</v>
      </c>
      <c r="CN4008">
        <v>0</v>
      </c>
      <c r="CO4008">
        <v>2</v>
      </c>
      <c r="CP4008">
        <v>0</v>
      </c>
      <c r="CQ4008">
        <v>6</v>
      </c>
      <c r="CR4008" t="s">
        <v>116</v>
      </c>
      <c r="CS4008">
        <v>305</v>
      </c>
      <c r="CT4008">
        <v>3</v>
      </c>
      <c r="CU4008" t="s">
        <v>6425</v>
      </c>
      <c r="CV4008" t="s">
        <v>6426</v>
      </c>
      <c r="CY4008">
        <v>6859329</v>
      </c>
      <c r="CZ4008" t="s">
        <v>119</v>
      </c>
    </row>
    <row r="4009" spans="1:104" x14ac:dyDescent="0.25">
      <c r="A4009" t="str">
        <f>"14:57:19.258"</f>
        <v>14:57:19.258</v>
      </c>
      <c r="B4009" t="s">
        <v>108</v>
      </c>
      <c r="C4009" t="str">
        <f t="shared" si="187"/>
        <v>ffdfd3c0</v>
      </c>
      <c r="D4009" t="s">
        <v>109</v>
      </c>
      <c r="E4009">
        <v>4</v>
      </c>
      <c r="F4009">
        <v>1004</v>
      </c>
      <c r="G4009" t="s">
        <v>110</v>
      </c>
      <c r="J4009" t="s">
        <v>111</v>
      </c>
      <c r="K4009">
        <v>0</v>
      </c>
      <c r="L4009">
        <v>3</v>
      </c>
      <c r="M4009">
        <v>0</v>
      </c>
      <c r="N4009">
        <v>2</v>
      </c>
      <c r="O4009">
        <v>1</v>
      </c>
      <c r="P4009">
        <v>0</v>
      </c>
      <c r="Q4009">
        <v>0</v>
      </c>
      <c r="R4009" t="s">
        <v>112</v>
      </c>
      <c r="S4009" t="str">
        <f>"14:57:19.047"</f>
        <v>14:57:19.047</v>
      </c>
      <c r="T4009" t="str">
        <f>"14:57:18.648"</f>
        <v>14:57:18.648</v>
      </c>
      <c r="U4009" t="str">
        <f t="shared" si="186"/>
        <v>ad5732</v>
      </c>
      <c r="V4009">
        <v>0</v>
      </c>
      <c r="W4009">
        <v>0</v>
      </c>
      <c r="X4009">
        <v>1</v>
      </c>
      <c r="Z4009">
        <v>0</v>
      </c>
      <c r="AA4009">
        <v>9</v>
      </c>
      <c r="AB4009">
        <v>3</v>
      </c>
      <c r="AC4009">
        <v>0</v>
      </c>
      <c r="AD4009">
        <v>10</v>
      </c>
      <c r="AE4009">
        <v>0</v>
      </c>
      <c r="AF4009">
        <v>3</v>
      </c>
      <c r="AG4009">
        <v>2</v>
      </c>
      <c r="AH4009">
        <v>0</v>
      </c>
      <c r="AI4009" t="s">
        <v>8066</v>
      </c>
      <c r="AJ4009">
        <v>40.574548</v>
      </c>
      <c r="AK4009" t="s">
        <v>8067</v>
      </c>
      <c r="AL4009">
        <v>-74.317575000000005</v>
      </c>
      <c r="AM4009">
        <v>100</v>
      </c>
      <c r="AN4009">
        <v>300</v>
      </c>
      <c r="AO4009" t="s">
        <v>115</v>
      </c>
      <c r="AP4009">
        <v>43</v>
      </c>
      <c r="AQ4009">
        <v>80</v>
      </c>
      <c r="AR4009">
        <v>-576</v>
      </c>
      <c r="AZ4009">
        <v>3614</v>
      </c>
      <c r="BA4009">
        <v>1</v>
      </c>
      <c r="BB4009" t="str">
        <f t="shared" si="188"/>
        <v xml:space="preserve">N959MJ  </v>
      </c>
      <c r="BC4009">
        <v>1</v>
      </c>
      <c r="BE4009">
        <v>0</v>
      </c>
      <c r="BF4009">
        <v>0</v>
      </c>
      <c r="BG4009">
        <v>0</v>
      </c>
      <c r="BH4009">
        <v>450</v>
      </c>
      <c r="BI4009">
        <v>150</v>
      </c>
      <c r="BJ4009">
        <v>1</v>
      </c>
      <c r="BK4009">
        <v>1</v>
      </c>
      <c r="BL4009">
        <v>1</v>
      </c>
      <c r="BM4009">
        <v>0</v>
      </c>
      <c r="BP4009">
        <v>0</v>
      </c>
      <c r="BQ4009">
        <v>0</v>
      </c>
      <c r="BX4009" t="str">
        <f>"14:57:19.047"</f>
        <v>14:57:19.047</v>
      </c>
      <c r="BY4009" t="str">
        <f>"047073819"</f>
        <v>047073819</v>
      </c>
      <c r="CL4009">
        <v>3</v>
      </c>
      <c r="CM4009">
        <v>2</v>
      </c>
      <c r="CN4009">
        <v>0</v>
      </c>
      <c r="CO4009">
        <v>2</v>
      </c>
      <c r="CP4009">
        <v>0</v>
      </c>
      <c r="CQ4009">
        <v>7</v>
      </c>
      <c r="CR4009" t="s">
        <v>116</v>
      </c>
      <c r="CS4009">
        <v>305</v>
      </c>
      <c r="CT4009">
        <v>3</v>
      </c>
      <c r="CU4009" t="s">
        <v>6425</v>
      </c>
      <c r="CV4009" t="s">
        <v>6426</v>
      </c>
      <c r="CY4009">
        <v>6861257</v>
      </c>
      <c r="CZ4009" t="s">
        <v>119</v>
      </c>
    </row>
    <row r="4010" spans="1:104" x14ac:dyDescent="0.25">
      <c r="A4010" t="str">
        <f>"14:57:20.219"</f>
        <v>14:57:20.219</v>
      </c>
      <c r="B4010" t="s">
        <v>108</v>
      </c>
      <c r="C4010" t="str">
        <f t="shared" si="187"/>
        <v>ffdfd3c0</v>
      </c>
      <c r="D4010" t="s">
        <v>109</v>
      </c>
      <c r="E4010">
        <v>4</v>
      </c>
      <c r="F4010">
        <v>1004</v>
      </c>
      <c r="G4010" t="s">
        <v>110</v>
      </c>
      <c r="J4010" t="s">
        <v>111</v>
      </c>
      <c r="K4010">
        <v>0</v>
      </c>
      <c r="L4010">
        <v>3</v>
      </c>
      <c r="M4010">
        <v>0</v>
      </c>
      <c r="N4010">
        <v>2</v>
      </c>
      <c r="O4010">
        <v>1</v>
      </c>
      <c r="P4010">
        <v>0</v>
      </c>
      <c r="Q4010">
        <v>0</v>
      </c>
      <c r="R4010" t="s">
        <v>112</v>
      </c>
      <c r="S4010" t="str">
        <f>"14:57:20.016"</f>
        <v>14:57:20.016</v>
      </c>
      <c r="T4010" t="str">
        <f>"14:57:19.617"</f>
        <v>14:57:19.617</v>
      </c>
      <c r="U4010" t="str">
        <f t="shared" si="186"/>
        <v>ad5732</v>
      </c>
      <c r="V4010">
        <v>0</v>
      </c>
      <c r="W4010">
        <v>0</v>
      </c>
      <c r="X4010">
        <v>1</v>
      </c>
      <c r="Z4010">
        <v>0</v>
      </c>
      <c r="AA4010">
        <v>9</v>
      </c>
      <c r="AB4010">
        <v>3</v>
      </c>
      <c r="AC4010">
        <v>0</v>
      </c>
      <c r="AD4010">
        <v>10</v>
      </c>
      <c r="AE4010">
        <v>0</v>
      </c>
      <c r="AF4010">
        <v>3</v>
      </c>
      <c r="AG4010">
        <v>2</v>
      </c>
      <c r="AH4010">
        <v>0</v>
      </c>
      <c r="AI4010" t="s">
        <v>8068</v>
      </c>
      <c r="AJ4010">
        <v>40.574891999999998</v>
      </c>
      <c r="AK4010" t="s">
        <v>8069</v>
      </c>
      <c r="AL4010">
        <v>-74.317317000000003</v>
      </c>
      <c r="AM4010">
        <v>100</v>
      </c>
      <c r="AN4010">
        <v>300</v>
      </c>
      <c r="AO4010" t="s">
        <v>115</v>
      </c>
      <c r="AP4010">
        <v>43</v>
      </c>
      <c r="AQ4010">
        <v>80</v>
      </c>
      <c r="AR4010">
        <v>-576</v>
      </c>
      <c r="AZ4010">
        <v>3614</v>
      </c>
      <c r="BA4010">
        <v>1</v>
      </c>
      <c r="BB4010" t="str">
        <f t="shared" si="188"/>
        <v xml:space="preserve">N959MJ  </v>
      </c>
      <c r="BC4010">
        <v>1</v>
      </c>
      <c r="BE4010">
        <v>0</v>
      </c>
      <c r="BF4010">
        <v>0</v>
      </c>
      <c r="BG4010">
        <v>0</v>
      </c>
      <c r="BH4010">
        <v>425</v>
      </c>
      <c r="BI4010">
        <v>125</v>
      </c>
      <c r="BJ4010">
        <v>1</v>
      </c>
      <c r="BK4010">
        <v>1</v>
      </c>
      <c r="BL4010">
        <v>1</v>
      </c>
      <c r="BM4010">
        <v>0</v>
      </c>
      <c r="BP4010">
        <v>0</v>
      </c>
      <c r="BQ4010">
        <v>0</v>
      </c>
      <c r="BX4010" t="str">
        <f>"14:57:20.023"</f>
        <v>14:57:20.023</v>
      </c>
      <c r="BY4010" t="str">
        <f>"020300659"</f>
        <v>020300659</v>
      </c>
      <c r="CL4010">
        <v>3</v>
      </c>
      <c r="CM4010">
        <v>2</v>
      </c>
      <c r="CN4010">
        <v>0</v>
      </c>
      <c r="CO4010">
        <v>2</v>
      </c>
      <c r="CP4010">
        <v>0</v>
      </c>
      <c r="CQ4010">
        <v>0</v>
      </c>
      <c r="CR4010" t="s">
        <v>116</v>
      </c>
      <c r="CS4010">
        <v>305</v>
      </c>
      <c r="CT4010">
        <v>3</v>
      </c>
      <c r="CU4010" t="s">
        <v>6425</v>
      </c>
      <c r="CV4010" t="s">
        <v>6426</v>
      </c>
      <c r="CY4010">
        <v>6863213</v>
      </c>
      <c r="CZ4010" t="s">
        <v>119</v>
      </c>
    </row>
    <row r="4011" spans="1:104" x14ac:dyDescent="0.25">
      <c r="A4011" t="str">
        <f>"14:57:21.273"</f>
        <v>14:57:21.273</v>
      </c>
      <c r="B4011" t="s">
        <v>108</v>
      </c>
      <c r="C4011" t="str">
        <f t="shared" si="187"/>
        <v>ffdfd3c0</v>
      </c>
      <c r="D4011" t="s">
        <v>109</v>
      </c>
      <c r="E4011">
        <v>4</v>
      </c>
      <c r="F4011">
        <v>1004</v>
      </c>
      <c r="G4011" t="s">
        <v>110</v>
      </c>
      <c r="J4011" t="s">
        <v>111</v>
      </c>
      <c r="K4011">
        <v>0</v>
      </c>
      <c r="L4011">
        <v>3</v>
      </c>
      <c r="M4011">
        <v>0</v>
      </c>
      <c r="N4011">
        <v>2</v>
      </c>
      <c r="O4011">
        <v>1</v>
      </c>
      <c r="P4011">
        <v>0</v>
      </c>
      <c r="Q4011">
        <v>0</v>
      </c>
      <c r="R4011" t="s">
        <v>112</v>
      </c>
      <c r="S4011" t="str">
        <f>"14:57:21.086"</f>
        <v>14:57:21.086</v>
      </c>
      <c r="T4011" t="str">
        <f>"14:57:20.586"</f>
        <v>14:57:20.586</v>
      </c>
      <c r="U4011" t="str">
        <f t="shared" si="186"/>
        <v>ad5732</v>
      </c>
      <c r="V4011">
        <v>0</v>
      </c>
      <c r="W4011">
        <v>0</v>
      </c>
      <c r="X4011">
        <v>1</v>
      </c>
      <c r="Z4011">
        <v>0</v>
      </c>
      <c r="AA4011">
        <v>9</v>
      </c>
      <c r="AB4011">
        <v>3</v>
      </c>
      <c r="AC4011">
        <v>0</v>
      </c>
      <c r="AD4011">
        <v>10</v>
      </c>
      <c r="AE4011">
        <v>0</v>
      </c>
      <c r="AF4011">
        <v>3</v>
      </c>
      <c r="AG4011">
        <v>2</v>
      </c>
      <c r="AH4011">
        <v>0</v>
      </c>
      <c r="AI4011" t="s">
        <v>8070</v>
      </c>
      <c r="AJ4011">
        <v>40.575256000000003</v>
      </c>
      <c r="AK4011" t="s">
        <v>8071</v>
      </c>
      <c r="AL4011">
        <v>-74.317081000000002</v>
      </c>
      <c r="AM4011">
        <v>100</v>
      </c>
      <c r="AN4011">
        <v>300</v>
      </c>
      <c r="AO4011" t="s">
        <v>115</v>
      </c>
      <c r="AP4011">
        <v>44</v>
      </c>
      <c r="AQ4011">
        <v>80</v>
      </c>
      <c r="AR4011">
        <v>-512</v>
      </c>
      <c r="AZ4011">
        <v>3614</v>
      </c>
      <c r="BA4011">
        <v>1</v>
      </c>
      <c r="BB4011" t="str">
        <f t="shared" si="188"/>
        <v xml:space="preserve">N959MJ  </v>
      </c>
      <c r="BC4011">
        <v>1</v>
      </c>
      <c r="BE4011">
        <v>0</v>
      </c>
      <c r="BF4011">
        <v>0</v>
      </c>
      <c r="BG4011">
        <v>0</v>
      </c>
      <c r="BH4011">
        <v>425</v>
      </c>
      <c r="BI4011">
        <v>125</v>
      </c>
      <c r="BJ4011">
        <v>1</v>
      </c>
      <c r="BK4011">
        <v>1</v>
      </c>
      <c r="BL4011">
        <v>1</v>
      </c>
      <c r="BM4011">
        <v>0</v>
      </c>
      <c r="BP4011">
        <v>0</v>
      </c>
      <c r="BQ4011">
        <v>0</v>
      </c>
      <c r="BX4011" t="str">
        <f>"14:57:21.094"</f>
        <v>14:57:21.094</v>
      </c>
      <c r="BY4011" t="str">
        <f>"091833049"</f>
        <v>091833049</v>
      </c>
      <c r="CL4011">
        <v>3</v>
      </c>
      <c r="CM4011">
        <v>2</v>
      </c>
      <c r="CN4011">
        <v>0</v>
      </c>
      <c r="CO4011">
        <v>2</v>
      </c>
      <c r="CP4011">
        <v>0</v>
      </c>
      <c r="CQ4011">
        <v>7</v>
      </c>
      <c r="CR4011" t="s">
        <v>116</v>
      </c>
      <c r="CS4011">
        <v>305</v>
      </c>
      <c r="CT4011">
        <v>3</v>
      </c>
      <c r="CU4011" t="s">
        <v>6425</v>
      </c>
      <c r="CV4011" t="s">
        <v>6426</v>
      </c>
      <c r="CY4011">
        <v>6865505</v>
      </c>
      <c r="CZ4011" t="s">
        <v>119</v>
      </c>
    </row>
    <row r="4012" spans="1:104" x14ac:dyDescent="0.25">
      <c r="A4012" t="str">
        <f>"14:57:22.234"</f>
        <v>14:57:22.234</v>
      </c>
      <c r="B4012" t="s">
        <v>108</v>
      </c>
      <c r="C4012" t="str">
        <f t="shared" si="187"/>
        <v>ffdfd3c0</v>
      </c>
      <c r="D4012" t="s">
        <v>109</v>
      </c>
      <c r="E4012">
        <v>4</v>
      </c>
      <c r="F4012">
        <v>1004</v>
      </c>
      <c r="G4012" t="s">
        <v>110</v>
      </c>
      <c r="J4012" t="s">
        <v>111</v>
      </c>
      <c r="K4012">
        <v>0</v>
      </c>
      <c r="L4012">
        <v>3</v>
      </c>
      <c r="M4012">
        <v>0</v>
      </c>
      <c r="N4012">
        <v>2</v>
      </c>
      <c r="O4012">
        <v>1</v>
      </c>
      <c r="P4012">
        <v>0</v>
      </c>
      <c r="Q4012">
        <v>0</v>
      </c>
      <c r="R4012" t="s">
        <v>112</v>
      </c>
      <c r="S4012" t="str">
        <f>"14:57:22.063"</f>
        <v>14:57:22.063</v>
      </c>
      <c r="T4012" t="str">
        <f>"14:57:21.563"</f>
        <v>14:57:21.563</v>
      </c>
      <c r="U4012" t="str">
        <f t="shared" si="186"/>
        <v>ad5732</v>
      </c>
      <c r="V4012">
        <v>0</v>
      </c>
      <c r="W4012">
        <v>0</v>
      </c>
      <c r="X4012">
        <v>1</v>
      </c>
      <c r="Z4012">
        <v>0</v>
      </c>
      <c r="AA4012">
        <v>9</v>
      </c>
      <c r="AB4012">
        <v>3</v>
      </c>
      <c r="AC4012">
        <v>0</v>
      </c>
      <c r="AD4012">
        <v>10</v>
      </c>
      <c r="AE4012">
        <v>0</v>
      </c>
      <c r="AF4012">
        <v>3</v>
      </c>
      <c r="AG4012">
        <v>2</v>
      </c>
      <c r="AH4012">
        <v>0</v>
      </c>
      <c r="AI4012" t="s">
        <v>8072</v>
      </c>
      <c r="AJ4012">
        <v>40.575620999999998</v>
      </c>
      <c r="AK4012" t="s">
        <v>8073</v>
      </c>
      <c r="AL4012">
        <v>-74.316759000000005</v>
      </c>
      <c r="AM4012">
        <v>100</v>
      </c>
      <c r="AN4012">
        <v>300</v>
      </c>
      <c r="AO4012" t="s">
        <v>115</v>
      </c>
      <c r="AP4012">
        <v>44</v>
      </c>
      <c r="AQ4012">
        <v>79</v>
      </c>
      <c r="AR4012">
        <v>-384</v>
      </c>
      <c r="AZ4012">
        <v>3614</v>
      </c>
      <c r="BA4012">
        <v>1</v>
      </c>
      <c r="BB4012" t="str">
        <f t="shared" si="188"/>
        <v xml:space="preserve">N959MJ  </v>
      </c>
      <c r="BC4012">
        <v>1</v>
      </c>
      <c r="BE4012">
        <v>0</v>
      </c>
      <c r="BF4012">
        <v>0</v>
      </c>
      <c r="BG4012">
        <v>0</v>
      </c>
      <c r="BH4012">
        <v>400</v>
      </c>
      <c r="BI4012">
        <v>100</v>
      </c>
      <c r="BJ4012">
        <v>1</v>
      </c>
      <c r="BK4012">
        <v>1</v>
      </c>
      <c r="BL4012">
        <v>1</v>
      </c>
      <c r="BM4012">
        <v>0</v>
      </c>
      <c r="BP4012">
        <v>0</v>
      </c>
      <c r="BQ4012">
        <v>0</v>
      </c>
      <c r="BX4012" t="str">
        <f>"14:57:22.063"</f>
        <v>14:57:22.063</v>
      </c>
      <c r="BY4012" t="str">
        <f>"063421423"</f>
        <v>063421423</v>
      </c>
      <c r="CL4012">
        <v>3</v>
      </c>
      <c r="CM4012">
        <v>2</v>
      </c>
      <c r="CN4012">
        <v>0</v>
      </c>
      <c r="CO4012">
        <v>2</v>
      </c>
      <c r="CP4012">
        <v>0</v>
      </c>
      <c r="CQ4012">
        <v>7</v>
      </c>
      <c r="CR4012" t="s">
        <v>116</v>
      </c>
      <c r="CS4012">
        <v>305</v>
      </c>
      <c r="CT4012">
        <v>3</v>
      </c>
      <c r="CU4012" t="s">
        <v>6425</v>
      </c>
      <c r="CV4012" t="s">
        <v>6426</v>
      </c>
      <c r="CY4012">
        <v>6867462</v>
      </c>
      <c r="CZ4012" t="s">
        <v>119</v>
      </c>
    </row>
    <row r="4013" spans="1:104" x14ac:dyDescent="0.25">
      <c r="A4013" t="str">
        <f>"14:57:23.195"</f>
        <v>14:57:23.195</v>
      </c>
      <c r="B4013" t="s">
        <v>108</v>
      </c>
      <c r="C4013" t="str">
        <f t="shared" si="187"/>
        <v>ffdfd3c0</v>
      </c>
      <c r="D4013" t="s">
        <v>109</v>
      </c>
      <c r="E4013">
        <v>4</v>
      </c>
      <c r="F4013">
        <v>1004</v>
      </c>
      <c r="G4013" t="s">
        <v>110</v>
      </c>
      <c r="J4013" t="s">
        <v>111</v>
      </c>
      <c r="K4013">
        <v>0</v>
      </c>
      <c r="L4013">
        <v>3</v>
      </c>
      <c r="M4013">
        <v>0</v>
      </c>
      <c r="N4013">
        <v>2</v>
      </c>
      <c r="O4013">
        <v>1</v>
      </c>
      <c r="P4013">
        <v>0</v>
      </c>
      <c r="Q4013">
        <v>0</v>
      </c>
      <c r="R4013" t="s">
        <v>112</v>
      </c>
      <c r="S4013" t="str">
        <f>"14:57:23.000"</f>
        <v>14:57:23.000</v>
      </c>
      <c r="T4013" t="str">
        <f>"14:57:22.602"</f>
        <v>14:57:22.602</v>
      </c>
      <c r="U4013" t="str">
        <f t="shared" si="186"/>
        <v>ad5732</v>
      </c>
      <c r="V4013">
        <v>0</v>
      </c>
      <c r="W4013">
        <v>0</v>
      </c>
      <c r="X4013">
        <v>1</v>
      </c>
      <c r="Z4013">
        <v>0</v>
      </c>
      <c r="AA4013">
        <v>9</v>
      </c>
      <c r="AB4013">
        <v>3</v>
      </c>
      <c r="AC4013">
        <v>0</v>
      </c>
      <c r="AD4013">
        <v>10</v>
      </c>
      <c r="AE4013">
        <v>0</v>
      </c>
      <c r="AF4013">
        <v>3</v>
      </c>
      <c r="AG4013">
        <v>2</v>
      </c>
      <c r="AH4013">
        <v>0</v>
      </c>
      <c r="AI4013" t="s">
        <v>8074</v>
      </c>
      <c r="AJ4013">
        <v>40.575986</v>
      </c>
      <c r="AK4013" t="s">
        <v>8075</v>
      </c>
      <c r="AL4013">
        <v>-74.316523000000004</v>
      </c>
      <c r="AM4013">
        <v>100</v>
      </c>
      <c r="AN4013">
        <v>300</v>
      </c>
      <c r="AO4013" t="s">
        <v>115</v>
      </c>
      <c r="AP4013">
        <v>44</v>
      </c>
      <c r="AQ4013">
        <v>79</v>
      </c>
      <c r="AR4013">
        <v>-256</v>
      </c>
      <c r="AZ4013">
        <v>3614</v>
      </c>
      <c r="BA4013">
        <v>1</v>
      </c>
      <c r="BB4013" t="str">
        <f t="shared" si="188"/>
        <v xml:space="preserve">N959MJ  </v>
      </c>
      <c r="BC4013">
        <v>1</v>
      </c>
      <c r="BE4013">
        <v>0</v>
      </c>
      <c r="BF4013">
        <v>0</v>
      </c>
      <c r="BG4013">
        <v>0</v>
      </c>
      <c r="BH4013">
        <v>400</v>
      </c>
      <c r="BI4013">
        <v>100</v>
      </c>
      <c r="BJ4013">
        <v>1</v>
      </c>
      <c r="BK4013">
        <v>1</v>
      </c>
      <c r="BL4013">
        <v>1</v>
      </c>
      <c r="BM4013">
        <v>0</v>
      </c>
      <c r="BP4013">
        <v>0</v>
      </c>
      <c r="BQ4013">
        <v>0</v>
      </c>
      <c r="BX4013" t="str">
        <f>"14:57:23.000"</f>
        <v>14:57:23.000</v>
      </c>
      <c r="BY4013" t="str">
        <f>"002241126"</f>
        <v>002241126</v>
      </c>
      <c r="CL4013">
        <v>3</v>
      </c>
      <c r="CM4013">
        <v>2</v>
      </c>
      <c r="CN4013">
        <v>0</v>
      </c>
      <c r="CO4013">
        <v>2</v>
      </c>
      <c r="CP4013">
        <v>0</v>
      </c>
      <c r="CQ4013">
        <v>7</v>
      </c>
      <c r="CR4013" t="s">
        <v>116</v>
      </c>
      <c r="CS4013">
        <v>305</v>
      </c>
      <c r="CT4013">
        <v>3</v>
      </c>
      <c r="CU4013" t="s">
        <v>6425</v>
      </c>
      <c r="CV4013" t="s">
        <v>6426</v>
      </c>
      <c r="CY4013">
        <v>6869253</v>
      </c>
      <c r="CZ4013" t="s">
        <v>119</v>
      </c>
    </row>
    <row r="4014" spans="1:104" x14ac:dyDescent="0.25">
      <c r="A4014" t="str">
        <f>"14:57:24.258"</f>
        <v>14:57:24.258</v>
      </c>
      <c r="B4014" t="s">
        <v>108</v>
      </c>
      <c r="C4014" t="str">
        <f t="shared" si="187"/>
        <v>ffdfd3c0</v>
      </c>
      <c r="D4014" t="s">
        <v>109</v>
      </c>
      <c r="E4014">
        <v>4</v>
      </c>
      <c r="F4014">
        <v>1004</v>
      </c>
      <c r="G4014" t="s">
        <v>110</v>
      </c>
      <c r="J4014" t="s">
        <v>111</v>
      </c>
      <c r="K4014">
        <v>0</v>
      </c>
      <c r="L4014">
        <v>3</v>
      </c>
      <c r="M4014">
        <v>0</v>
      </c>
      <c r="N4014">
        <v>2</v>
      </c>
      <c r="O4014">
        <v>1</v>
      </c>
      <c r="P4014">
        <v>0</v>
      </c>
      <c r="Q4014">
        <v>0</v>
      </c>
      <c r="R4014" t="s">
        <v>112</v>
      </c>
      <c r="S4014" t="str">
        <f>"14:57:24.094"</f>
        <v>14:57:24.094</v>
      </c>
      <c r="T4014" t="str">
        <f>"14:57:23.094"</f>
        <v>14:57:23.094</v>
      </c>
      <c r="U4014" t="str">
        <f t="shared" si="186"/>
        <v>ad5732</v>
      </c>
      <c r="V4014">
        <v>0</v>
      </c>
      <c r="W4014">
        <v>0</v>
      </c>
      <c r="X4014">
        <v>1</v>
      </c>
      <c r="Z4014">
        <v>0</v>
      </c>
      <c r="AA4014">
        <v>9</v>
      </c>
      <c r="AB4014">
        <v>3</v>
      </c>
      <c r="AC4014">
        <v>0</v>
      </c>
      <c r="AD4014">
        <v>10</v>
      </c>
      <c r="AE4014">
        <v>0</v>
      </c>
      <c r="AF4014">
        <v>3</v>
      </c>
      <c r="AG4014">
        <v>2</v>
      </c>
      <c r="AH4014">
        <v>0</v>
      </c>
      <c r="AI4014" t="s">
        <v>8076</v>
      </c>
      <c r="AJ4014">
        <v>40.576371999999999</v>
      </c>
      <c r="AK4014" t="s">
        <v>8077</v>
      </c>
      <c r="AL4014">
        <v>-74.316265999999999</v>
      </c>
      <c r="AM4014">
        <v>100</v>
      </c>
      <c r="AN4014">
        <v>300</v>
      </c>
      <c r="AO4014" t="s">
        <v>115</v>
      </c>
      <c r="AP4014">
        <v>44</v>
      </c>
      <c r="AQ4014">
        <v>79</v>
      </c>
      <c r="AR4014">
        <v>-192</v>
      </c>
      <c r="AZ4014">
        <v>3614</v>
      </c>
      <c r="BA4014">
        <v>1</v>
      </c>
      <c r="BB4014" t="str">
        <f t="shared" si="188"/>
        <v xml:space="preserve">N959MJ  </v>
      </c>
      <c r="BC4014">
        <v>1</v>
      </c>
      <c r="BE4014">
        <v>0</v>
      </c>
      <c r="BF4014">
        <v>0</v>
      </c>
      <c r="BG4014">
        <v>0</v>
      </c>
      <c r="BH4014">
        <v>400</v>
      </c>
      <c r="BI4014">
        <v>100</v>
      </c>
      <c r="BJ4014">
        <v>1</v>
      </c>
      <c r="BK4014">
        <v>1</v>
      </c>
      <c r="BL4014">
        <v>1</v>
      </c>
      <c r="BM4014">
        <v>0</v>
      </c>
      <c r="BP4014">
        <v>0</v>
      </c>
      <c r="BQ4014">
        <v>0</v>
      </c>
      <c r="BX4014" t="str">
        <f>"14:57:24.094"</f>
        <v>14:57:24.094</v>
      </c>
      <c r="BY4014" t="str">
        <f>"095073234"</f>
        <v>095073234</v>
      </c>
      <c r="CL4014">
        <v>3</v>
      </c>
      <c r="CM4014">
        <v>2</v>
      </c>
      <c r="CN4014">
        <v>0</v>
      </c>
      <c r="CO4014">
        <v>2</v>
      </c>
      <c r="CP4014">
        <v>0</v>
      </c>
      <c r="CQ4014">
        <v>7</v>
      </c>
      <c r="CR4014" t="s">
        <v>116</v>
      </c>
      <c r="CS4014">
        <v>305</v>
      </c>
      <c r="CT4014">
        <v>3</v>
      </c>
      <c r="CU4014" t="s">
        <v>6425</v>
      </c>
      <c r="CV4014" t="s">
        <v>6426</v>
      </c>
      <c r="CY4014">
        <v>6871400</v>
      </c>
      <c r="CZ4014" t="s">
        <v>119</v>
      </c>
    </row>
    <row r="4015" spans="1:104" x14ac:dyDescent="0.25">
      <c r="A4015" t="str">
        <f>"14:57:25.313"</f>
        <v>14:57:25.313</v>
      </c>
      <c r="B4015" t="s">
        <v>108</v>
      </c>
      <c r="C4015" t="str">
        <f t="shared" si="187"/>
        <v>ffdfd3c0</v>
      </c>
      <c r="D4015" t="s">
        <v>109</v>
      </c>
      <c r="E4015">
        <v>4</v>
      </c>
      <c r="F4015">
        <v>1004</v>
      </c>
      <c r="G4015" t="s">
        <v>110</v>
      </c>
      <c r="J4015" t="s">
        <v>111</v>
      </c>
      <c r="K4015">
        <v>0</v>
      </c>
      <c r="L4015">
        <v>3</v>
      </c>
      <c r="M4015">
        <v>0</v>
      </c>
      <c r="N4015">
        <v>2</v>
      </c>
      <c r="O4015">
        <v>1</v>
      </c>
      <c r="P4015">
        <v>0</v>
      </c>
      <c r="Q4015">
        <v>0</v>
      </c>
      <c r="R4015" t="s">
        <v>112</v>
      </c>
      <c r="S4015" t="str">
        <f>"14:57:25.148"</f>
        <v>14:57:25.148</v>
      </c>
      <c r="T4015" t="str">
        <f>"14:57:24.750"</f>
        <v>14:57:24.750</v>
      </c>
      <c r="U4015" t="str">
        <f t="shared" si="186"/>
        <v>ad5732</v>
      </c>
      <c r="V4015">
        <v>0</v>
      </c>
      <c r="W4015">
        <v>0</v>
      </c>
      <c r="X4015">
        <v>1</v>
      </c>
      <c r="Z4015">
        <v>0</v>
      </c>
      <c r="AA4015">
        <v>9</v>
      </c>
      <c r="AB4015">
        <v>3</v>
      </c>
      <c r="AC4015">
        <v>0</v>
      </c>
      <c r="AD4015">
        <v>10</v>
      </c>
      <c r="AE4015">
        <v>0</v>
      </c>
      <c r="AF4015">
        <v>3</v>
      </c>
      <c r="AG4015">
        <v>2</v>
      </c>
      <c r="AH4015">
        <v>0</v>
      </c>
      <c r="AI4015" t="s">
        <v>8078</v>
      </c>
      <c r="AJ4015">
        <v>40.576757999999998</v>
      </c>
      <c r="AK4015" t="s">
        <v>8079</v>
      </c>
      <c r="AL4015">
        <v>-74.315987000000007</v>
      </c>
      <c r="AM4015">
        <v>100</v>
      </c>
      <c r="AN4015">
        <v>300</v>
      </c>
      <c r="AO4015" t="s">
        <v>115</v>
      </c>
      <c r="AP4015">
        <v>43</v>
      </c>
      <c r="AQ4015">
        <v>78</v>
      </c>
      <c r="AR4015">
        <v>64</v>
      </c>
      <c r="AZ4015">
        <v>3614</v>
      </c>
      <c r="BA4015">
        <v>1</v>
      </c>
      <c r="BB4015" t="str">
        <f t="shared" si="188"/>
        <v xml:space="preserve">N959MJ  </v>
      </c>
      <c r="BC4015">
        <v>1</v>
      </c>
      <c r="BE4015">
        <v>0</v>
      </c>
      <c r="BF4015">
        <v>0</v>
      </c>
      <c r="BG4015">
        <v>0</v>
      </c>
      <c r="BH4015">
        <v>400</v>
      </c>
      <c r="BI4015">
        <v>100</v>
      </c>
      <c r="BJ4015">
        <v>1</v>
      </c>
      <c r="BK4015">
        <v>1</v>
      </c>
      <c r="BL4015">
        <v>1</v>
      </c>
      <c r="BM4015">
        <v>0</v>
      </c>
      <c r="BP4015">
        <v>0</v>
      </c>
      <c r="BQ4015">
        <v>0</v>
      </c>
      <c r="BX4015" t="str">
        <f>"14:57:25.148"</f>
        <v>14:57:25.148</v>
      </c>
      <c r="BY4015" t="str">
        <f>"148582949"</f>
        <v>148582949</v>
      </c>
      <c r="CL4015">
        <v>3</v>
      </c>
      <c r="CM4015">
        <v>2</v>
      </c>
      <c r="CN4015">
        <v>0</v>
      </c>
      <c r="CO4015">
        <v>2</v>
      </c>
      <c r="CP4015">
        <v>0</v>
      </c>
      <c r="CQ4015">
        <v>7</v>
      </c>
      <c r="CR4015" t="s">
        <v>116</v>
      </c>
      <c r="CS4015">
        <v>305</v>
      </c>
      <c r="CT4015">
        <v>3</v>
      </c>
      <c r="CU4015" t="s">
        <v>6425</v>
      </c>
      <c r="CV4015" t="s">
        <v>6426</v>
      </c>
      <c r="CY4015">
        <v>6873577</v>
      </c>
      <c r="CZ4015" t="s">
        <v>119</v>
      </c>
    </row>
    <row r="4016" spans="1:104" x14ac:dyDescent="0.25">
      <c r="A4016" t="str">
        <f>"14:57:26.281"</f>
        <v>14:57:26.281</v>
      </c>
      <c r="B4016" t="s">
        <v>108</v>
      </c>
      <c r="C4016" t="str">
        <f t="shared" si="187"/>
        <v>ffdfd3c0</v>
      </c>
      <c r="D4016" t="s">
        <v>109</v>
      </c>
      <c r="E4016">
        <v>4</v>
      </c>
      <c r="F4016">
        <v>1004</v>
      </c>
      <c r="G4016" t="s">
        <v>110</v>
      </c>
      <c r="J4016" t="s">
        <v>111</v>
      </c>
      <c r="K4016">
        <v>0</v>
      </c>
      <c r="L4016">
        <v>3</v>
      </c>
      <c r="M4016">
        <v>0</v>
      </c>
      <c r="N4016">
        <v>2</v>
      </c>
      <c r="O4016">
        <v>1</v>
      </c>
      <c r="P4016">
        <v>0</v>
      </c>
      <c r="Q4016">
        <v>0</v>
      </c>
      <c r="R4016" t="s">
        <v>112</v>
      </c>
      <c r="S4016" t="str">
        <f>"14:57:26.102"</f>
        <v>14:57:26.102</v>
      </c>
      <c r="T4016" t="str">
        <f>"14:57:25.703"</f>
        <v>14:57:25.703</v>
      </c>
      <c r="U4016" t="str">
        <f t="shared" si="186"/>
        <v>ad5732</v>
      </c>
      <c r="V4016">
        <v>0</v>
      </c>
      <c r="W4016">
        <v>0</v>
      </c>
      <c r="X4016">
        <v>1</v>
      </c>
      <c r="Z4016">
        <v>0</v>
      </c>
      <c r="AA4016">
        <v>9</v>
      </c>
      <c r="AB4016">
        <v>3</v>
      </c>
      <c r="AC4016">
        <v>0</v>
      </c>
      <c r="AD4016">
        <v>10</v>
      </c>
      <c r="AE4016">
        <v>0</v>
      </c>
      <c r="AF4016">
        <v>3</v>
      </c>
      <c r="AG4016">
        <v>2</v>
      </c>
      <c r="AH4016">
        <v>0</v>
      </c>
      <c r="AI4016" t="s">
        <v>8080</v>
      </c>
      <c r="AJ4016">
        <v>40.577080000000002</v>
      </c>
      <c r="AK4016" t="s">
        <v>8081</v>
      </c>
      <c r="AL4016">
        <v>-74.315708000000001</v>
      </c>
      <c r="AM4016">
        <v>100</v>
      </c>
      <c r="AN4016">
        <v>300</v>
      </c>
      <c r="AO4016" t="s">
        <v>115</v>
      </c>
      <c r="AP4016">
        <v>42</v>
      </c>
      <c r="AQ4016">
        <v>77</v>
      </c>
      <c r="AR4016">
        <v>64</v>
      </c>
      <c r="AZ4016">
        <v>3614</v>
      </c>
      <c r="BA4016">
        <v>1</v>
      </c>
      <c r="BB4016" t="str">
        <f t="shared" si="188"/>
        <v xml:space="preserve">N959MJ  </v>
      </c>
      <c r="BC4016">
        <v>1</v>
      </c>
      <c r="BE4016">
        <v>0</v>
      </c>
      <c r="BF4016">
        <v>0</v>
      </c>
      <c r="BG4016">
        <v>0</v>
      </c>
      <c r="BH4016">
        <v>400</v>
      </c>
      <c r="BI4016">
        <v>100</v>
      </c>
      <c r="BJ4016">
        <v>1</v>
      </c>
      <c r="BK4016">
        <v>1</v>
      </c>
      <c r="BL4016">
        <v>1</v>
      </c>
      <c r="BM4016">
        <v>0</v>
      </c>
      <c r="BP4016">
        <v>0</v>
      </c>
      <c r="BQ4016">
        <v>0</v>
      </c>
      <c r="BX4016" t="str">
        <f>"14:57:26.109"</f>
        <v>14:57:26.109</v>
      </c>
      <c r="BY4016" t="str">
        <f>"108702273"</f>
        <v>108702273</v>
      </c>
      <c r="CL4016">
        <v>3</v>
      </c>
      <c r="CM4016">
        <v>2</v>
      </c>
      <c r="CN4016">
        <v>0</v>
      </c>
      <c r="CO4016">
        <v>2</v>
      </c>
      <c r="CP4016">
        <v>0</v>
      </c>
      <c r="CQ4016">
        <v>7</v>
      </c>
      <c r="CR4016" t="s">
        <v>116</v>
      </c>
      <c r="CS4016">
        <v>305</v>
      </c>
      <c r="CT4016">
        <v>3</v>
      </c>
      <c r="CU4016" t="s">
        <v>6425</v>
      </c>
      <c r="CV4016" t="s">
        <v>6426</v>
      </c>
      <c r="CY4016">
        <v>6875655</v>
      </c>
      <c r="CZ4016" t="s">
        <v>119</v>
      </c>
    </row>
    <row r="4017" spans="1:104" x14ac:dyDescent="0.25">
      <c r="A4017" t="str">
        <f>"14:57:27.336"</f>
        <v>14:57:27.336</v>
      </c>
      <c r="B4017" t="s">
        <v>108</v>
      </c>
      <c r="C4017" t="str">
        <f t="shared" si="187"/>
        <v>ffdfd3c0</v>
      </c>
      <c r="D4017" t="s">
        <v>109</v>
      </c>
      <c r="E4017">
        <v>4</v>
      </c>
      <c r="F4017">
        <v>1004</v>
      </c>
      <c r="G4017" t="s">
        <v>110</v>
      </c>
      <c r="J4017" t="s">
        <v>111</v>
      </c>
      <c r="K4017">
        <v>0</v>
      </c>
      <c r="L4017">
        <v>3</v>
      </c>
      <c r="M4017">
        <v>0</v>
      </c>
      <c r="N4017">
        <v>2</v>
      </c>
      <c r="O4017">
        <v>1</v>
      </c>
      <c r="P4017">
        <v>0</v>
      </c>
      <c r="Q4017">
        <v>0</v>
      </c>
      <c r="R4017" t="s">
        <v>112</v>
      </c>
      <c r="S4017" t="str">
        <f>"14:57:27.148"</f>
        <v>14:57:27.148</v>
      </c>
      <c r="T4017" t="str">
        <f>"14:57:26.648"</f>
        <v>14:57:26.648</v>
      </c>
      <c r="U4017" t="str">
        <f t="shared" si="186"/>
        <v>ad5732</v>
      </c>
      <c r="V4017">
        <v>0</v>
      </c>
      <c r="W4017">
        <v>0</v>
      </c>
      <c r="X4017">
        <v>1</v>
      </c>
      <c r="Z4017">
        <v>0</v>
      </c>
      <c r="AA4017">
        <v>9</v>
      </c>
      <c r="AB4017">
        <v>3</v>
      </c>
      <c r="AC4017">
        <v>0</v>
      </c>
      <c r="AD4017">
        <v>10</v>
      </c>
      <c r="AE4017">
        <v>0</v>
      </c>
      <c r="AF4017">
        <v>3</v>
      </c>
      <c r="AG4017">
        <v>2</v>
      </c>
      <c r="AH4017">
        <v>0</v>
      </c>
      <c r="AI4017" t="s">
        <v>8082</v>
      </c>
      <c r="AJ4017">
        <v>40.577508999999999</v>
      </c>
      <c r="AK4017" t="s">
        <v>8083</v>
      </c>
      <c r="AL4017">
        <v>-74.315493000000004</v>
      </c>
      <c r="AM4017">
        <v>100</v>
      </c>
      <c r="AN4017">
        <v>300</v>
      </c>
      <c r="AO4017" t="s">
        <v>115</v>
      </c>
      <c r="AP4017">
        <v>41</v>
      </c>
      <c r="AQ4017">
        <v>77</v>
      </c>
      <c r="AR4017">
        <v>128</v>
      </c>
      <c r="AZ4017">
        <v>3614</v>
      </c>
      <c r="BA4017">
        <v>1</v>
      </c>
      <c r="BB4017" t="str">
        <f t="shared" si="188"/>
        <v xml:space="preserve">N959MJ  </v>
      </c>
      <c r="BC4017">
        <v>1</v>
      </c>
      <c r="BE4017">
        <v>0</v>
      </c>
      <c r="BF4017">
        <v>0</v>
      </c>
      <c r="BG4017">
        <v>0</v>
      </c>
      <c r="BH4017">
        <v>400</v>
      </c>
      <c r="BI4017">
        <v>100</v>
      </c>
      <c r="BJ4017">
        <v>1</v>
      </c>
      <c r="BK4017">
        <v>1</v>
      </c>
      <c r="BL4017">
        <v>1</v>
      </c>
      <c r="BM4017">
        <v>0</v>
      </c>
      <c r="BP4017">
        <v>0</v>
      </c>
      <c r="BQ4017">
        <v>0</v>
      </c>
      <c r="BX4017" t="str">
        <f>"14:57:27.148"</f>
        <v>14:57:27.148</v>
      </c>
      <c r="BY4017" t="str">
        <f>"150743047"</f>
        <v>150743047</v>
      </c>
      <c r="CL4017">
        <v>3</v>
      </c>
      <c r="CM4017">
        <v>2</v>
      </c>
      <c r="CN4017">
        <v>0</v>
      </c>
      <c r="CO4017">
        <v>2</v>
      </c>
      <c r="CP4017">
        <v>0</v>
      </c>
      <c r="CQ4017">
        <v>7</v>
      </c>
      <c r="CR4017" t="s">
        <v>116</v>
      </c>
      <c r="CS4017">
        <v>305</v>
      </c>
      <c r="CT4017">
        <v>3</v>
      </c>
      <c r="CU4017" t="s">
        <v>6425</v>
      </c>
      <c r="CV4017" t="s">
        <v>6426</v>
      </c>
      <c r="CY4017">
        <v>6877788</v>
      </c>
      <c r="CZ4017" t="s">
        <v>119</v>
      </c>
    </row>
    <row r="4018" spans="1:104" x14ac:dyDescent="0.25">
      <c r="A4018" t="str">
        <f>"14:57:28.242"</f>
        <v>14:57:28.242</v>
      </c>
      <c r="B4018" t="s">
        <v>108</v>
      </c>
      <c r="C4018" t="str">
        <f t="shared" si="187"/>
        <v>ffdfd3c0</v>
      </c>
      <c r="D4018" t="s">
        <v>109</v>
      </c>
      <c r="E4018">
        <v>4</v>
      </c>
      <c r="F4018">
        <v>1004</v>
      </c>
      <c r="G4018" t="s">
        <v>110</v>
      </c>
      <c r="J4018" t="s">
        <v>111</v>
      </c>
      <c r="K4018">
        <v>0</v>
      </c>
      <c r="L4018">
        <v>3</v>
      </c>
      <c r="M4018">
        <v>0</v>
      </c>
      <c r="N4018">
        <v>2</v>
      </c>
      <c r="O4018">
        <v>1</v>
      </c>
      <c r="P4018">
        <v>0</v>
      </c>
      <c r="Q4018">
        <v>0</v>
      </c>
      <c r="R4018" t="s">
        <v>112</v>
      </c>
      <c r="S4018" t="str">
        <f>"14:57:28.063"</f>
        <v>14:57:28.063</v>
      </c>
      <c r="T4018" t="str">
        <f>"14:57:27.664"</f>
        <v>14:57:27.664</v>
      </c>
      <c r="U4018" t="str">
        <f t="shared" si="186"/>
        <v>ad5732</v>
      </c>
      <c r="V4018">
        <v>0</v>
      </c>
      <c r="W4018">
        <v>0</v>
      </c>
      <c r="X4018">
        <v>1</v>
      </c>
      <c r="Z4018">
        <v>0</v>
      </c>
      <c r="AA4018">
        <v>9</v>
      </c>
      <c r="AB4018">
        <v>3</v>
      </c>
      <c r="AC4018">
        <v>0</v>
      </c>
      <c r="AD4018">
        <v>10</v>
      </c>
      <c r="AE4018">
        <v>0</v>
      </c>
      <c r="AF4018">
        <v>3</v>
      </c>
      <c r="AG4018">
        <v>2</v>
      </c>
      <c r="AH4018">
        <v>0</v>
      </c>
      <c r="AI4018" t="s">
        <v>8084</v>
      </c>
      <c r="AJ4018">
        <v>40.577809999999999</v>
      </c>
      <c r="AK4018" t="s">
        <v>8085</v>
      </c>
      <c r="AL4018">
        <v>-74.315279000000004</v>
      </c>
      <c r="AM4018">
        <v>100</v>
      </c>
      <c r="AN4018">
        <v>300</v>
      </c>
      <c r="AO4018" t="s">
        <v>115</v>
      </c>
      <c r="AP4018">
        <v>41</v>
      </c>
      <c r="AQ4018">
        <v>76</v>
      </c>
      <c r="AR4018">
        <v>64</v>
      </c>
      <c r="AZ4018">
        <v>3614</v>
      </c>
      <c r="BA4018">
        <v>1</v>
      </c>
      <c r="BB4018" t="str">
        <f t="shared" si="188"/>
        <v xml:space="preserve">N959MJ  </v>
      </c>
      <c r="BC4018">
        <v>1</v>
      </c>
      <c r="BE4018">
        <v>0</v>
      </c>
      <c r="BF4018">
        <v>0</v>
      </c>
      <c r="BG4018">
        <v>0</v>
      </c>
      <c r="BH4018">
        <v>400</v>
      </c>
      <c r="BI4018">
        <v>100</v>
      </c>
      <c r="BJ4018">
        <v>1</v>
      </c>
      <c r="BK4018">
        <v>1</v>
      </c>
      <c r="BL4018">
        <v>1</v>
      </c>
      <c r="BM4018">
        <v>0</v>
      </c>
      <c r="BP4018">
        <v>0</v>
      </c>
      <c r="BQ4018">
        <v>0</v>
      </c>
      <c r="BX4018" t="str">
        <f>"14:57:28.070"</f>
        <v>14:57:28.070</v>
      </c>
      <c r="BY4018" t="str">
        <f>"066624783"</f>
        <v>066624783</v>
      </c>
      <c r="CL4018">
        <v>3</v>
      </c>
      <c r="CM4018">
        <v>2</v>
      </c>
      <c r="CN4018">
        <v>0</v>
      </c>
      <c r="CO4018">
        <v>2</v>
      </c>
      <c r="CP4018">
        <v>0</v>
      </c>
      <c r="CQ4018">
        <v>7</v>
      </c>
      <c r="CR4018" t="s">
        <v>116</v>
      </c>
      <c r="CS4018">
        <v>305</v>
      </c>
      <c r="CT4018">
        <v>3</v>
      </c>
      <c r="CU4018" t="s">
        <v>6425</v>
      </c>
      <c r="CV4018" t="s">
        <v>6426</v>
      </c>
      <c r="CY4018">
        <v>6879487</v>
      </c>
      <c r="CZ4018" t="s">
        <v>119</v>
      </c>
    </row>
    <row r="4019" spans="1:104" x14ac:dyDescent="0.25">
      <c r="A4019" t="str">
        <f>"14:57:29.258"</f>
        <v>14:57:29.258</v>
      </c>
      <c r="B4019" t="s">
        <v>108</v>
      </c>
      <c r="C4019" t="str">
        <f t="shared" si="187"/>
        <v>ffdfd3c0</v>
      </c>
      <c r="D4019" t="s">
        <v>109</v>
      </c>
      <c r="E4019">
        <v>4</v>
      </c>
      <c r="F4019">
        <v>1004</v>
      </c>
      <c r="G4019" t="s">
        <v>110</v>
      </c>
      <c r="J4019" t="s">
        <v>111</v>
      </c>
      <c r="K4019">
        <v>0</v>
      </c>
      <c r="L4019">
        <v>3</v>
      </c>
      <c r="M4019">
        <v>0</v>
      </c>
      <c r="N4019">
        <v>2</v>
      </c>
      <c r="O4019">
        <v>1</v>
      </c>
      <c r="P4019">
        <v>0</v>
      </c>
      <c r="Q4019">
        <v>0</v>
      </c>
      <c r="R4019" t="s">
        <v>112</v>
      </c>
      <c r="S4019" t="str">
        <f>"14:57:29.031"</f>
        <v>14:57:29.031</v>
      </c>
      <c r="T4019" t="str">
        <f>"14:57:28.531"</f>
        <v>14:57:28.531</v>
      </c>
      <c r="U4019" t="str">
        <f t="shared" si="186"/>
        <v>ad5732</v>
      </c>
      <c r="V4019">
        <v>0</v>
      </c>
      <c r="W4019">
        <v>0</v>
      </c>
      <c r="X4019">
        <v>1</v>
      </c>
      <c r="Z4019">
        <v>0</v>
      </c>
      <c r="AA4019">
        <v>9</v>
      </c>
      <c r="AB4019">
        <v>3</v>
      </c>
      <c r="AC4019">
        <v>0</v>
      </c>
      <c r="AD4019">
        <v>10</v>
      </c>
      <c r="AE4019">
        <v>0</v>
      </c>
      <c r="AF4019">
        <v>3</v>
      </c>
      <c r="AG4019">
        <v>2</v>
      </c>
      <c r="AH4019">
        <v>0</v>
      </c>
      <c r="AI4019" t="s">
        <v>8086</v>
      </c>
      <c r="AJ4019">
        <v>40.578088999999999</v>
      </c>
      <c r="AK4019" t="s">
        <v>8087</v>
      </c>
      <c r="AL4019">
        <v>-74.314999999999998</v>
      </c>
      <c r="AM4019">
        <v>100</v>
      </c>
      <c r="AN4019">
        <v>300</v>
      </c>
      <c r="AO4019" t="s">
        <v>115</v>
      </c>
      <c r="AP4019">
        <v>41</v>
      </c>
      <c r="AQ4019">
        <v>75</v>
      </c>
      <c r="AR4019">
        <v>0</v>
      </c>
      <c r="AZ4019">
        <v>3614</v>
      </c>
      <c r="BA4019">
        <v>1</v>
      </c>
      <c r="BB4019" t="str">
        <f t="shared" si="188"/>
        <v xml:space="preserve">N959MJ  </v>
      </c>
      <c r="BC4019">
        <v>1</v>
      </c>
      <c r="BE4019">
        <v>0</v>
      </c>
      <c r="BF4019">
        <v>0</v>
      </c>
      <c r="BG4019">
        <v>0</v>
      </c>
      <c r="BH4019">
        <v>400</v>
      </c>
      <c r="BI4019">
        <v>100</v>
      </c>
      <c r="BJ4019">
        <v>1</v>
      </c>
      <c r="BK4019">
        <v>1</v>
      </c>
      <c r="BL4019">
        <v>1</v>
      </c>
      <c r="BM4019">
        <v>0</v>
      </c>
      <c r="BP4019">
        <v>0</v>
      </c>
      <c r="BQ4019">
        <v>0</v>
      </c>
      <c r="BX4019" t="str">
        <f>"14:57:29.031"</f>
        <v>14:57:29.031</v>
      </c>
      <c r="BY4019" t="str">
        <f>"031659393"</f>
        <v>031659393</v>
      </c>
      <c r="CL4019">
        <v>3</v>
      </c>
      <c r="CM4019">
        <v>2</v>
      </c>
      <c r="CN4019">
        <v>0</v>
      </c>
      <c r="CO4019">
        <v>2</v>
      </c>
      <c r="CP4019">
        <v>0</v>
      </c>
      <c r="CQ4019">
        <v>7</v>
      </c>
      <c r="CR4019" t="s">
        <v>116</v>
      </c>
      <c r="CS4019">
        <v>305</v>
      </c>
      <c r="CT4019">
        <v>3</v>
      </c>
      <c r="CU4019" t="s">
        <v>6425</v>
      </c>
      <c r="CV4019" t="s">
        <v>6426</v>
      </c>
      <c r="CY4019">
        <v>6881483</v>
      </c>
      <c r="CZ4019" t="s">
        <v>119</v>
      </c>
    </row>
    <row r="4020" spans="1:104" x14ac:dyDescent="0.25">
      <c r="A4020" t="str">
        <f>"14:57:30.266"</f>
        <v>14:57:30.266</v>
      </c>
      <c r="B4020" t="s">
        <v>108</v>
      </c>
      <c r="C4020" t="str">
        <f t="shared" si="187"/>
        <v>ffdfd3c0</v>
      </c>
      <c r="D4020" t="s">
        <v>109</v>
      </c>
      <c r="E4020">
        <v>4</v>
      </c>
      <c r="F4020">
        <v>1004</v>
      </c>
      <c r="G4020" t="s">
        <v>110</v>
      </c>
      <c r="J4020" t="s">
        <v>111</v>
      </c>
      <c r="K4020">
        <v>0</v>
      </c>
      <c r="L4020">
        <v>3</v>
      </c>
      <c r="M4020">
        <v>0</v>
      </c>
      <c r="N4020">
        <v>2</v>
      </c>
      <c r="O4020">
        <v>1</v>
      </c>
      <c r="P4020">
        <v>0</v>
      </c>
      <c r="Q4020">
        <v>0</v>
      </c>
      <c r="R4020" t="s">
        <v>112</v>
      </c>
      <c r="S4020" t="str">
        <f>"14:57:30.094"</f>
        <v>14:57:30.094</v>
      </c>
      <c r="T4020" t="str">
        <f>"14:57:29.594"</f>
        <v>14:57:29.594</v>
      </c>
      <c r="U4020" t="str">
        <f t="shared" si="186"/>
        <v>ad5732</v>
      </c>
      <c r="V4020">
        <v>0</v>
      </c>
      <c r="W4020">
        <v>0</v>
      </c>
      <c r="X4020">
        <v>1</v>
      </c>
      <c r="Z4020">
        <v>0</v>
      </c>
      <c r="AA4020">
        <v>9</v>
      </c>
      <c r="AB4020">
        <v>3</v>
      </c>
      <c r="AC4020">
        <v>0</v>
      </c>
      <c r="AD4020">
        <v>10</v>
      </c>
      <c r="AE4020">
        <v>0</v>
      </c>
      <c r="AF4020">
        <v>3</v>
      </c>
      <c r="AG4020">
        <v>2</v>
      </c>
      <c r="AH4020">
        <v>0</v>
      </c>
      <c r="AI4020" t="s">
        <v>8088</v>
      </c>
      <c r="AJ4020">
        <v>40.578474999999997</v>
      </c>
      <c r="AK4020" t="s">
        <v>8089</v>
      </c>
      <c r="AL4020">
        <v>-74.314763999999997</v>
      </c>
      <c r="AM4020">
        <v>100</v>
      </c>
      <c r="AN4020">
        <v>300</v>
      </c>
      <c r="AO4020" t="s">
        <v>115</v>
      </c>
      <c r="AP4020">
        <v>40</v>
      </c>
      <c r="AQ4020">
        <v>75</v>
      </c>
      <c r="AR4020">
        <v>0</v>
      </c>
      <c r="AZ4020">
        <v>3614</v>
      </c>
      <c r="BA4020">
        <v>1</v>
      </c>
      <c r="BB4020" t="str">
        <f t="shared" si="188"/>
        <v xml:space="preserve">N959MJ  </v>
      </c>
      <c r="BC4020">
        <v>1</v>
      </c>
      <c r="BE4020">
        <v>0</v>
      </c>
      <c r="BF4020">
        <v>0</v>
      </c>
      <c r="BG4020">
        <v>0</v>
      </c>
      <c r="BH4020">
        <v>400</v>
      </c>
      <c r="BI4020">
        <v>100</v>
      </c>
      <c r="BJ4020">
        <v>1</v>
      </c>
      <c r="BK4020">
        <v>1</v>
      </c>
      <c r="BL4020">
        <v>1</v>
      </c>
      <c r="BM4020">
        <v>0</v>
      </c>
      <c r="BP4020">
        <v>0</v>
      </c>
      <c r="BQ4020">
        <v>0</v>
      </c>
      <c r="BX4020" t="str">
        <f>"14:57:30.094"</f>
        <v>14:57:30.094</v>
      </c>
      <c r="BY4020" t="str">
        <f>"094999776"</f>
        <v>094999776</v>
      </c>
      <c r="CL4020">
        <v>3</v>
      </c>
      <c r="CM4020">
        <v>2</v>
      </c>
      <c r="CN4020">
        <v>0</v>
      </c>
      <c r="CO4020">
        <v>2</v>
      </c>
      <c r="CP4020">
        <v>0</v>
      </c>
      <c r="CQ4020">
        <v>7</v>
      </c>
      <c r="CR4020" t="s">
        <v>116</v>
      </c>
      <c r="CS4020">
        <v>305</v>
      </c>
      <c r="CT4020">
        <v>3</v>
      </c>
      <c r="CU4020" t="s">
        <v>6425</v>
      </c>
      <c r="CV4020" t="s">
        <v>6426</v>
      </c>
      <c r="CY4020">
        <v>6883762</v>
      </c>
      <c r="CZ4020" t="s">
        <v>119</v>
      </c>
    </row>
    <row r="4021" spans="1:104" x14ac:dyDescent="0.25">
      <c r="A4021" t="str">
        <f>"14:57:31.828"</f>
        <v>14:57:31.828</v>
      </c>
      <c r="B4021" t="s">
        <v>108</v>
      </c>
      <c r="C4021" t="str">
        <f t="shared" si="187"/>
        <v>ffdfd3c0</v>
      </c>
      <c r="D4021" t="s">
        <v>109</v>
      </c>
      <c r="E4021">
        <v>4</v>
      </c>
      <c r="F4021">
        <v>1004</v>
      </c>
      <c r="G4021" t="s">
        <v>110</v>
      </c>
      <c r="J4021" t="s">
        <v>111</v>
      </c>
      <c r="K4021">
        <v>0</v>
      </c>
      <c r="L4021">
        <v>3</v>
      </c>
      <c r="M4021">
        <v>0</v>
      </c>
      <c r="N4021">
        <v>2</v>
      </c>
      <c r="O4021">
        <v>1</v>
      </c>
      <c r="P4021">
        <v>0</v>
      </c>
      <c r="Q4021">
        <v>0</v>
      </c>
      <c r="R4021" t="s">
        <v>112</v>
      </c>
      <c r="S4021" t="str">
        <f>"14:57:31.664"</f>
        <v>14:57:31.664</v>
      </c>
      <c r="T4021" t="str">
        <f>"14:57:31.164"</f>
        <v>14:57:31.164</v>
      </c>
      <c r="U4021" t="str">
        <f t="shared" si="186"/>
        <v>ad5732</v>
      </c>
      <c r="V4021">
        <v>0</v>
      </c>
      <c r="W4021">
        <v>0</v>
      </c>
      <c r="X4021">
        <v>1</v>
      </c>
      <c r="Z4021">
        <v>0</v>
      </c>
      <c r="AA4021">
        <v>9</v>
      </c>
      <c r="AB4021">
        <v>3</v>
      </c>
      <c r="AC4021">
        <v>0</v>
      </c>
      <c r="AD4021">
        <v>10</v>
      </c>
      <c r="AE4021">
        <v>0</v>
      </c>
      <c r="AF4021">
        <v>3</v>
      </c>
      <c r="AG4021">
        <v>2</v>
      </c>
      <c r="AH4021">
        <v>0</v>
      </c>
      <c r="AI4021" t="s">
        <v>8090</v>
      </c>
      <c r="AJ4021">
        <v>40.579033000000003</v>
      </c>
      <c r="AK4021" t="s">
        <v>8091</v>
      </c>
      <c r="AL4021">
        <v>-74.314398999999995</v>
      </c>
      <c r="AM4021">
        <v>100</v>
      </c>
      <c r="AN4021">
        <v>300</v>
      </c>
      <c r="AO4021" t="s">
        <v>115</v>
      </c>
      <c r="AP4021">
        <v>39</v>
      </c>
      <c r="AQ4021">
        <v>75</v>
      </c>
      <c r="AR4021">
        <v>-64</v>
      </c>
      <c r="AZ4021">
        <v>3614</v>
      </c>
      <c r="BA4021">
        <v>1</v>
      </c>
      <c r="BB4021" t="str">
        <f t="shared" si="188"/>
        <v xml:space="preserve">N959MJ  </v>
      </c>
      <c r="BC4021">
        <v>1</v>
      </c>
      <c r="BE4021">
        <v>0</v>
      </c>
      <c r="BF4021">
        <v>0</v>
      </c>
      <c r="BG4021">
        <v>0</v>
      </c>
      <c r="BH4021">
        <v>400</v>
      </c>
      <c r="BI4021">
        <v>100</v>
      </c>
      <c r="BJ4021">
        <v>1</v>
      </c>
      <c r="BK4021">
        <v>1</v>
      </c>
      <c r="BL4021">
        <v>1</v>
      </c>
      <c r="BM4021">
        <v>0</v>
      </c>
      <c r="BP4021">
        <v>0</v>
      </c>
      <c r="BQ4021">
        <v>0</v>
      </c>
      <c r="BX4021" t="str">
        <f>"14:57:31.672"</f>
        <v>14:57:31.672</v>
      </c>
      <c r="BY4021" t="str">
        <f>"671168368"</f>
        <v>671168368</v>
      </c>
      <c r="CL4021">
        <v>3</v>
      </c>
      <c r="CM4021">
        <v>2</v>
      </c>
      <c r="CN4021">
        <v>0</v>
      </c>
      <c r="CO4021">
        <v>2</v>
      </c>
      <c r="CP4021">
        <v>0</v>
      </c>
      <c r="CQ4021">
        <v>7</v>
      </c>
      <c r="CR4021" t="s">
        <v>116</v>
      </c>
      <c r="CS4021">
        <v>305</v>
      </c>
      <c r="CT4021">
        <v>3</v>
      </c>
      <c r="CU4021" t="s">
        <v>6425</v>
      </c>
      <c r="CV4021" t="s">
        <v>6426</v>
      </c>
      <c r="CY4021">
        <v>6886882</v>
      </c>
      <c r="CZ4021" t="s">
        <v>119</v>
      </c>
    </row>
    <row r="4022" spans="1:104" x14ac:dyDescent="0.25">
      <c r="A4022" t="str">
        <f>"14:57:32.891"</f>
        <v>14:57:32.891</v>
      </c>
      <c r="B4022" t="s">
        <v>108</v>
      </c>
      <c r="C4022" t="str">
        <f t="shared" si="187"/>
        <v>ffdfd3c0</v>
      </c>
      <c r="D4022" t="s">
        <v>109</v>
      </c>
      <c r="E4022">
        <v>4</v>
      </c>
      <c r="F4022">
        <v>1004</v>
      </c>
      <c r="G4022" t="s">
        <v>110</v>
      </c>
      <c r="J4022" t="s">
        <v>111</v>
      </c>
      <c r="K4022">
        <v>0</v>
      </c>
      <c r="L4022">
        <v>3</v>
      </c>
      <c r="M4022">
        <v>0</v>
      </c>
      <c r="N4022">
        <v>2</v>
      </c>
      <c r="O4022">
        <v>1</v>
      </c>
      <c r="P4022">
        <v>0</v>
      </c>
      <c r="Q4022">
        <v>0</v>
      </c>
      <c r="R4022" t="s">
        <v>112</v>
      </c>
      <c r="S4022" t="str">
        <f>"14:57:32.688"</f>
        <v>14:57:32.688</v>
      </c>
      <c r="T4022" t="str">
        <f>"14:57:32.188"</f>
        <v>14:57:32.188</v>
      </c>
      <c r="U4022" t="str">
        <f t="shared" si="186"/>
        <v>ad5732</v>
      </c>
      <c r="V4022">
        <v>0</v>
      </c>
      <c r="W4022">
        <v>0</v>
      </c>
      <c r="X4022">
        <v>1</v>
      </c>
      <c r="Z4022">
        <v>0</v>
      </c>
      <c r="AA4022">
        <v>9</v>
      </c>
      <c r="AB4022">
        <v>3</v>
      </c>
      <c r="AC4022">
        <v>0</v>
      </c>
      <c r="AD4022">
        <v>10</v>
      </c>
      <c r="AE4022">
        <v>0</v>
      </c>
      <c r="AF4022">
        <v>3</v>
      </c>
      <c r="AG4022">
        <v>2</v>
      </c>
      <c r="AH4022">
        <v>0</v>
      </c>
      <c r="AI4022" t="s">
        <v>8092</v>
      </c>
      <c r="AJ4022">
        <v>40.579397999999998</v>
      </c>
      <c r="AK4022" t="s">
        <v>8093</v>
      </c>
      <c r="AL4022">
        <v>-74.314141000000006</v>
      </c>
      <c r="AM4022">
        <v>100</v>
      </c>
      <c r="AN4022">
        <v>300</v>
      </c>
      <c r="AO4022" t="s">
        <v>115</v>
      </c>
      <c r="AP4022">
        <v>38</v>
      </c>
      <c r="AQ4022">
        <v>75</v>
      </c>
      <c r="AR4022">
        <v>-64</v>
      </c>
      <c r="AZ4022">
        <v>3614</v>
      </c>
      <c r="BA4022">
        <v>1</v>
      </c>
      <c r="BB4022" t="str">
        <f t="shared" si="188"/>
        <v xml:space="preserve">N959MJ  </v>
      </c>
      <c r="BC4022">
        <v>1</v>
      </c>
      <c r="BE4022">
        <v>0</v>
      </c>
      <c r="BF4022">
        <v>0</v>
      </c>
      <c r="BG4022">
        <v>0</v>
      </c>
      <c r="BH4022">
        <v>400</v>
      </c>
      <c r="BI4022">
        <v>100</v>
      </c>
      <c r="BJ4022">
        <v>1</v>
      </c>
      <c r="BK4022">
        <v>1</v>
      </c>
      <c r="BL4022">
        <v>1</v>
      </c>
      <c r="BM4022">
        <v>0</v>
      </c>
      <c r="BP4022">
        <v>0</v>
      </c>
      <c r="BQ4022">
        <v>0</v>
      </c>
      <c r="BX4022" t="str">
        <f>"14:57:32.688"</f>
        <v>14:57:32.688</v>
      </c>
      <c r="BY4022" t="str">
        <f>"688632644"</f>
        <v>688632644</v>
      </c>
      <c r="CL4022">
        <v>3</v>
      </c>
      <c r="CM4022">
        <v>2</v>
      </c>
      <c r="CN4022">
        <v>0</v>
      </c>
      <c r="CO4022">
        <v>2</v>
      </c>
      <c r="CP4022">
        <v>0</v>
      </c>
      <c r="CQ4022">
        <v>7</v>
      </c>
      <c r="CR4022" t="s">
        <v>116</v>
      </c>
      <c r="CS4022">
        <v>305</v>
      </c>
      <c r="CT4022">
        <v>3</v>
      </c>
      <c r="CU4022" t="s">
        <v>6425</v>
      </c>
      <c r="CV4022" t="s">
        <v>6426</v>
      </c>
      <c r="CY4022">
        <v>6888900</v>
      </c>
      <c r="CZ4022" t="s">
        <v>119</v>
      </c>
    </row>
    <row r="4023" spans="1:104" x14ac:dyDescent="0.25">
      <c r="A4023" t="str">
        <f>"14:57:33.695"</f>
        <v>14:57:33.695</v>
      </c>
      <c r="B4023" t="s">
        <v>108</v>
      </c>
      <c r="C4023" t="str">
        <f t="shared" si="187"/>
        <v>ffdfd3c0</v>
      </c>
      <c r="D4023" t="s">
        <v>109</v>
      </c>
      <c r="E4023">
        <v>4</v>
      </c>
      <c r="F4023">
        <v>1004</v>
      </c>
      <c r="G4023" t="s">
        <v>110</v>
      </c>
      <c r="J4023" t="s">
        <v>111</v>
      </c>
      <c r="K4023">
        <v>0</v>
      </c>
      <c r="L4023">
        <v>3</v>
      </c>
      <c r="M4023">
        <v>0</v>
      </c>
      <c r="N4023">
        <v>2</v>
      </c>
      <c r="O4023">
        <v>1</v>
      </c>
      <c r="P4023">
        <v>0</v>
      </c>
      <c r="Q4023">
        <v>0</v>
      </c>
      <c r="R4023" t="s">
        <v>112</v>
      </c>
      <c r="S4023" t="str">
        <f>"14:57:33.547"</f>
        <v>14:57:33.547</v>
      </c>
      <c r="T4023" t="str">
        <f>"14:57:33.148"</f>
        <v>14:57:33.148</v>
      </c>
      <c r="U4023" t="str">
        <f t="shared" si="186"/>
        <v>ad5732</v>
      </c>
      <c r="V4023">
        <v>0</v>
      </c>
      <c r="W4023">
        <v>0</v>
      </c>
      <c r="X4023">
        <v>1</v>
      </c>
      <c r="Z4023">
        <v>0</v>
      </c>
      <c r="AA4023">
        <v>9</v>
      </c>
      <c r="AB4023">
        <v>3</v>
      </c>
      <c r="AC4023">
        <v>0</v>
      </c>
      <c r="AD4023">
        <v>10</v>
      </c>
      <c r="AE4023">
        <v>0</v>
      </c>
      <c r="AF4023">
        <v>3</v>
      </c>
      <c r="AG4023">
        <v>2</v>
      </c>
      <c r="AH4023">
        <v>0</v>
      </c>
      <c r="AI4023" t="s">
        <v>8094</v>
      </c>
      <c r="AJ4023">
        <v>40.579698</v>
      </c>
      <c r="AK4023" t="s">
        <v>8095</v>
      </c>
      <c r="AL4023">
        <v>-74.313969999999998</v>
      </c>
      <c r="AM4023">
        <v>100</v>
      </c>
      <c r="AN4023">
        <v>300</v>
      </c>
      <c r="AO4023" t="s">
        <v>115</v>
      </c>
      <c r="AP4023">
        <v>36</v>
      </c>
      <c r="AQ4023">
        <v>75</v>
      </c>
      <c r="AR4023">
        <v>-64</v>
      </c>
      <c r="AZ4023">
        <v>3614</v>
      </c>
      <c r="BA4023">
        <v>1</v>
      </c>
      <c r="BB4023" t="str">
        <f t="shared" si="188"/>
        <v xml:space="preserve">N959MJ  </v>
      </c>
      <c r="BC4023">
        <v>1</v>
      </c>
      <c r="BE4023">
        <v>0</v>
      </c>
      <c r="BF4023">
        <v>0</v>
      </c>
      <c r="BG4023">
        <v>0</v>
      </c>
      <c r="BH4023">
        <v>400</v>
      </c>
      <c r="BI4023">
        <v>100</v>
      </c>
      <c r="BJ4023">
        <v>1</v>
      </c>
      <c r="BK4023">
        <v>1</v>
      </c>
      <c r="BL4023">
        <v>1</v>
      </c>
      <c r="BM4023">
        <v>0</v>
      </c>
      <c r="BP4023">
        <v>0</v>
      </c>
      <c r="BQ4023">
        <v>0</v>
      </c>
      <c r="BX4023" t="str">
        <f>"14:57:33.555"</f>
        <v>14:57:33.555</v>
      </c>
      <c r="BY4023" t="str">
        <f>"553723104"</f>
        <v>553723104</v>
      </c>
      <c r="CL4023">
        <v>3</v>
      </c>
      <c r="CM4023">
        <v>2</v>
      </c>
      <c r="CN4023">
        <v>0</v>
      </c>
      <c r="CO4023">
        <v>2</v>
      </c>
      <c r="CP4023">
        <v>0</v>
      </c>
      <c r="CQ4023">
        <v>7</v>
      </c>
      <c r="CR4023" t="s">
        <v>116</v>
      </c>
      <c r="CS4023">
        <v>305</v>
      </c>
      <c r="CT4023">
        <v>3</v>
      </c>
      <c r="CU4023" t="s">
        <v>6425</v>
      </c>
      <c r="CV4023" t="s">
        <v>6426</v>
      </c>
      <c r="CY4023">
        <v>6890657</v>
      </c>
      <c r="CZ4023" t="s">
        <v>119</v>
      </c>
    </row>
    <row r="4024" spans="1:104" x14ac:dyDescent="0.25">
      <c r="A4024" t="str">
        <f>"14:57:34.711"</f>
        <v>14:57:34.711</v>
      </c>
      <c r="B4024" t="s">
        <v>108</v>
      </c>
      <c r="C4024" t="str">
        <f t="shared" si="187"/>
        <v>ffdfd3c0</v>
      </c>
      <c r="D4024" t="s">
        <v>109</v>
      </c>
      <c r="E4024">
        <v>4</v>
      </c>
      <c r="F4024">
        <v>1004</v>
      </c>
      <c r="G4024" t="s">
        <v>110</v>
      </c>
      <c r="J4024" t="s">
        <v>111</v>
      </c>
      <c r="K4024">
        <v>0</v>
      </c>
      <c r="L4024">
        <v>3</v>
      </c>
      <c r="M4024">
        <v>0</v>
      </c>
      <c r="N4024">
        <v>2</v>
      </c>
      <c r="O4024">
        <v>1</v>
      </c>
      <c r="P4024">
        <v>0</v>
      </c>
      <c r="Q4024">
        <v>0</v>
      </c>
      <c r="R4024" t="s">
        <v>112</v>
      </c>
      <c r="S4024" t="str">
        <f>"14:57:34.523"</f>
        <v>14:57:34.523</v>
      </c>
      <c r="T4024" t="str">
        <f>"14:57:32.227"</f>
        <v>14:57:32.227</v>
      </c>
      <c r="U4024" t="str">
        <f t="shared" si="186"/>
        <v>ad5732</v>
      </c>
      <c r="V4024">
        <v>0</v>
      </c>
      <c r="W4024">
        <v>0</v>
      </c>
      <c r="X4024">
        <v>1</v>
      </c>
      <c r="Z4024">
        <v>0</v>
      </c>
      <c r="AA4024">
        <v>9</v>
      </c>
      <c r="AB4024">
        <v>3</v>
      </c>
      <c r="AC4024">
        <v>0</v>
      </c>
      <c r="AD4024">
        <v>10</v>
      </c>
      <c r="AE4024">
        <v>0</v>
      </c>
      <c r="AF4024">
        <v>3</v>
      </c>
      <c r="AG4024">
        <v>2</v>
      </c>
      <c r="AH4024">
        <v>0</v>
      </c>
      <c r="AI4024" t="s">
        <v>8096</v>
      </c>
      <c r="AJ4024">
        <v>40.579998000000003</v>
      </c>
      <c r="AK4024" t="s">
        <v>8097</v>
      </c>
      <c r="AL4024">
        <v>-74.313776000000004</v>
      </c>
      <c r="AM4024">
        <v>100</v>
      </c>
      <c r="AN4024">
        <v>300</v>
      </c>
      <c r="AO4024" t="s">
        <v>115</v>
      </c>
      <c r="AP4024">
        <v>38</v>
      </c>
      <c r="AQ4024">
        <v>75</v>
      </c>
      <c r="AR4024">
        <v>-64</v>
      </c>
      <c r="AZ4024">
        <v>3614</v>
      </c>
      <c r="BA4024">
        <v>1</v>
      </c>
      <c r="BB4024" t="str">
        <f t="shared" si="188"/>
        <v xml:space="preserve">N959MJ  </v>
      </c>
      <c r="BC4024">
        <v>1</v>
      </c>
      <c r="BE4024">
        <v>0</v>
      </c>
      <c r="BF4024">
        <v>0</v>
      </c>
      <c r="BG4024">
        <v>0</v>
      </c>
      <c r="BH4024">
        <v>400</v>
      </c>
      <c r="BI4024">
        <v>100</v>
      </c>
      <c r="BJ4024">
        <v>1</v>
      </c>
      <c r="BK4024">
        <v>1</v>
      </c>
      <c r="BL4024">
        <v>1</v>
      </c>
      <c r="BM4024">
        <v>0</v>
      </c>
      <c r="BP4024">
        <v>0</v>
      </c>
      <c r="BQ4024">
        <v>0</v>
      </c>
      <c r="BX4024" t="str">
        <f>"14:57:34.523"</f>
        <v>14:57:34.523</v>
      </c>
      <c r="BY4024" t="str">
        <f>"527052558"</f>
        <v>527052558</v>
      </c>
      <c r="CL4024">
        <v>3</v>
      </c>
      <c r="CM4024">
        <v>2</v>
      </c>
      <c r="CN4024">
        <v>0</v>
      </c>
      <c r="CO4024">
        <v>2</v>
      </c>
      <c r="CP4024">
        <v>0</v>
      </c>
      <c r="CQ4024">
        <v>1</v>
      </c>
      <c r="CR4024" t="s">
        <v>116</v>
      </c>
      <c r="CS4024">
        <v>83</v>
      </c>
      <c r="CT4024">
        <v>2</v>
      </c>
      <c r="CU4024" t="s">
        <v>7152</v>
      </c>
      <c r="CV4024" t="s">
        <v>7153</v>
      </c>
      <c r="CY4024">
        <v>16620513</v>
      </c>
      <c r="CZ4024" t="s">
        <v>119</v>
      </c>
    </row>
    <row r="4025" spans="1:104" x14ac:dyDescent="0.25">
      <c r="A4025" t="str">
        <f>"14:57:35.867"</f>
        <v>14:57:35.867</v>
      </c>
      <c r="B4025" t="s">
        <v>108</v>
      </c>
      <c r="C4025" t="str">
        <f t="shared" si="187"/>
        <v>ffdfd3c0</v>
      </c>
      <c r="D4025" t="s">
        <v>109</v>
      </c>
      <c r="E4025">
        <v>4</v>
      </c>
      <c r="F4025">
        <v>1004</v>
      </c>
      <c r="G4025" t="s">
        <v>110</v>
      </c>
      <c r="J4025" t="s">
        <v>111</v>
      </c>
      <c r="K4025">
        <v>0</v>
      </c>
      <c r="L4025">
        <v>3</v>
      </c>
      <c r="M4025">
        <v>0</v>
      </c>
      <c r="N4025">
        <v>2</v>
      </c>
      <c r="O4025">
        <v>1</v>
      </c>
      <c r="P4025">
        <v>0</v>
      </c>
      <c r="Q4025">
        <v>0</v>
      </c>
      <c r="R4025" t="s">
        <v>112</v>
      </c>
      <c r="S4025" t="str">
        <f>"14:57:35.664"</f>
        <v>14:57:35.664</v>
      </c>
      <c r="T4025" t="str">
        <f>"14:57:35.164"</f>
        <v>14:57:35.164</v>
      </c>
      <c r="U4025" t="str">
        <f t="shared" si="186"/>
        <v>ad5732</v>
      </c>
      <c r="V4025">
        <v>0</v>
      </c>
      <c r="W4025">
        <v>0</v>
      </c>
      <c r="X4025">
        <v>1</v>
      </c>
      <c r="Z4025">
        <v>0</v>
      </c>
      <c r="AA4025">
        <v>9</v>
      </c>
      <c r="AB4025">
        <v>3</v>
      </c>
      <c r="AC4025">
        <v>0</v>
      </c>
      <c r="AD4025">
        <v>10</v>
      </c>
      <c r="AE4025">
        <v>0</v>
      </c>
      <c r="AF4025">
        <v>3</v>
      </c>
      <c r="AG4025">
        <v>2</v>
      </c>
      <c r="AH4025">
        <v>0</v>
      </c>
      <c r="AI4025" t="s">
        <v>8098</v>
      </c>
      <c r="AJ4025">
        <v>40.580427999999998</v>
      </c>
      <c r="AK4025" t="s">
        <v>8099</v>
      </c>
      <c r="AL4025">
        <v>-74.313518999999999</v>
      </c>
      <c r="AM4025">
        <v>100</v>
      </c>
      <c r="AN4025">
        <v>300</v>
      </c>
      <c r="AO4025" t="s">
        <v>115</v>
      </c>
      <c r="AP4025">
        <v>34</v>
      </c>
      <c r="AQ4025">
        <v>75</v>
      </c>
      <c r="AR4025">
        <v>-64</v>
      </c>
      <c r="AZ4025">
        <v>3614</v>
      </c>
      <c r="BA4025">
        <v>1</v>
      </c>
      <c r="BB4025" t="str">
        <f t="shared" si="188"/>
        <v xml:space="preserve">N959MJ  </v>
      </c>
      <c r="BC4025">
        <v>1</v>
      </c>
      <c r="BE4025">
        <v>0</v>
      </c>
      <c r="BF4025">
        <v>0</v>
      </c>
      <c r="BG4025">
        <v>0</v>
      </c>
      <c r="BH4025">
        <v>400</v>
      </c>
      <c r="BI4025">
        <v>100</v>
      </c>
      <c r="BJ4025">
        <v>1</v>
      </c>
      <c r="BK4025">
        <v>1</v>
      </c>
      <c r="BL4025">
        <v>1</v>
      </c>
      <c r="BM4025">
        <v>0</v>
      </c>
      <c r="BP4025">
        <v>0</v>
      </c>
      <c r="BQ4025">
        <v>0</v>
      </c>
      <c r="BX4025" t="str">
        <f>"14:57:35.664"</f>
        <v>14:57:35.664</v>
      </c>
      <c r="BY4025" t="str">
        <f>"665657949"</f>
        <v>665657949</v>
      </c>
      <c r="CL4025">
        <v>3</v>
      </c>
      <c r="CM4025">
        <v>2</v>
      </c>
      <c r="CN4025">
        <v>0</v>
      </c>
      <c r="CO4025">
        <v>2</v>
      </c>
      <c r="CP4025">
        <v>0</v>
      </c>
      <c r="CQ4025">
        <v>6</v>
      </c>
      <c r="CR4025" t="s">
        <v>116</v>
      </c>
      <c r="CS4025">
        <v>305</v>
      </c>
      <c r="CT4025">
        <v>3</v>
      </c>
      <c r="CU4025" t="s">
        <v>6425</v>
      </c>
      <c r="CV4025" t="s">
        <v>6426</v>
      </c>
      <c r="CY4025">
        <v>6895050</v>
      </c>
      <c r="CZ4025" t="s">
        <v>119</v>
      </c>
    </row>
    <row r="4026" spans="1:104" x14ac:dyDescent="0.25">
      <c r="A4026" t="str">
        <f>"14:57:36.977"</f>
        <v>14:57:36.977</v>
      </c>
      <c r="B4026" t="s">
        <v>108</v>
      </c>
      <c r="C4026" t="str">
        <f t="shared" si="187"/>
        <v>ffdfd3c0</v>
      </c>
      <c r="D4026" t="s">
        <v>109</v>
      </c>
      <c r="E4026">
        <v>4</v>
      </c>
      <c r="F4026">
        <v>1004</v>
      </c>
      <c r="G4026" t="s">
        <v>110</v>
      </c>
      <c r="J4026" t="s">
        <v>111</v>
      </c>
      <c r="K4026">
        <v>0</v>
      </c>
      <c r="L4026">
        <v>3</v>
      </c>
      <c r="M4026">
        <v>0</v>
      </c>
      <c r="N4026">
        <v>2</v>
      </c>
      <c r="O4026">
        <v>1</v>
      </c>
      <c r="P4026">
        <v>0</v>
      </c>
      <c r="Q4026">
        <v>0</v>
      </c>
      <c r="R4026" t="s">
        <v>112</v>
      </c>
      <c r="S4026" t="str">
        <f>"14:57:36.789"</f>
        <v>14:57:36.789</v>
      </c>
      <c r="T4026" t="str">
        <f>"14:57:36.289"</f>
        <v>14:57:36.289</v>
      </c>
      <c r="U4026" t="str">
        <f t="shared" si="186"/>
        <v>ad5732</v>
      </c>
      <c r="V4026">
        <v>0</v>
      </c>
      <c r="W4026">
        <v>0</v>
      </c>
      <c r="X4026">
        <v>1</v>
      </c>
      <c r="Z4026">
        <v>0</v>
      </c>
      <c r="AA4026">
        <v>9</v>
      </c>
      <c r="AB4026">
        <v>3</v>
      </c>
      <c r="AC4026">
        <v>0</v>
      </c>
      <c r="AD4026">
        <v>10</v>
      </c>
      <c r="AE4026">
        <v>0</v>
      </c>
      <c r="AF4026">
        <v>3</v>
      </c>
      <c r="AG4026">
        <v>2</v>
      </c>
      <c r="AH4026">
        <v>0</v>
      </c>
      <c r="AI4026" t="s">
        <v>8100</v>
      </c>
      <c r="AJ4026">
        <v>40.580792000000002</v>
      </c>
      <c r="AK4026" t="s">
        <v>8101</v>
      </c>
      <c r="AL4026">
        <v>-74.313282999999998</v>
      </c>
      <c r="AM4026">
        <v>100</v>
      </c>
      <c r="AN4026">
        <v>300</v>
      </c>
      <c r="AO4026" t="s">
        <v>115</v>
      </c>
      <c r="AP4026">
        <v>33</v>
      </c>
      <c r="AQ4026">
        <v>75</v>
      </c>
      <c r="AR4026">
        <v>0</v>
      </c>
      <c r="AZ4026">
        <v>3614</v>
      </c>
      <c r="BA4026">
        <v>1</v>
      </c>
      <c r="BB4026" t="str">
        <f t="shared" si="188"/>
        <v xml:space="preserve">N959MJ  </v>
      </c>
      <c r="BC4026">
        <v>1</v>
      </c>
      <c r="BE4026">
        <v>0</v>
      </c>
      <c r="BF4026">
        <v>0</v>
      </c>
      <c r="BG4026">
        <v>0</v>
      </c>
      <c r="BH4026">
        <v>400</v>
      </c>
      <c r="BI4026">
        <v>100</v>
      </c>
      <c r="BJ4026">
        <v>1</v>
      </c>
      <c r="BK4026">
        <v>1</v>
      </c>
      <c r="BL4026">
        <v>1</v>
      </c>
      <c r="BM4026">
        <v>0</v>
      </c>
      <c r="BP4026">
        <v>0</v>
      </c>
      <c r="BQ4026">
        <v>0</v>
      </c>
      <c r="BX4026" t="str">
        <f>"14:57:36.789"</f>
        <v>14:57:36.789</v>
      </c>
      <c r="BY4026" t="str">
        <f>"791258597"</f>
        <v>791258597</v>
      </c>
      <c r="CL4026">
        <v>3</v>
      </c>
      <c r="CM4026">
        <v>2</v>
      </c>
      <c r="CN4026">
        <v>0</v>
      </c>
      <c r="CO4026">
        <v>2</v>
      </c>
      <c r="CP4026">
        <v>0</v>
      </c>
      <c r="CQ4026">
        <v>6</v>
      </c>
      <c r="CR4026" t="s">
        <v>116</v>
      </c>
      <c r="CS4026">
        <v>305</v>
      </c>
      <c r="CT4026">
        <v>3</v>
      </c>
      <c r="CU4026" t="s">
        <v>6425</v>
      </c>
      <c r="CV4026" t="s">
        <v>6426</v>
      </c>
      <c r="CY4026">
        <v>6897140</v>
      </c>
      <c r="CZ4026" t="s">
        <v>119</v>
      </c>
    </row>
    <row r="4027" spans="1:104" x14ac:dyDescent="0.25">
      <c r="A4027" t="str">
        <f>"14:57:37.992"</f>
        <v>14:57:37.992</v>
      </c>
      <c r="B4027" t="s">
        <v>108</v>
      </c>
      <c r="C4027" t="str">
        <f t="shared" si="187"/>
        <v>ffdfd3c0</v>
      </c>
      <c r="D4027" t="s">
        <v>109</v>
      </c>
      <c r="E4027">
        <v>4</v>
      </c>
      <c r="F4027">
        <v>1004</v>
      </c>
      <c r="G4027" t="s">
        <v>110</v>
      </c>
      <c r="J4027" t="s">
        <v>111</v>
      </c>
      <c r="K4027">
        <v>0</v>
      </c>
      <c r="L4027">
        <v>3</v>
      </c>
      <c r="M4027">
        <v>0</v>
      </c>
      <c r="N4027">
        <v>2</v>
      </c>
      <c r="O4027">
        <v>1</v>
      </c>
      <c r="P4027">
        <v>0</v>
      </c>
      <c r="Q4027">
        <v>0</v>
      </c>
      <c r="R4027" t="s">
        <v>112</v>
      </c>
      <c r="S4027" t="str">
        <f>"14:57:37.797"</f>
        <v>14:57:37.797</v>
      </c>
      <c r="T4027" t="str">
        <f>"14:57:37.398"</f>
        <v>14:57:37.398</v>
      </c>
      <c r="U4027" t="str">
        <f t="shared" si="186"/>
        <v>ad5732</v>
      </c>
      <c r="V4027">
        <v>0</v>
      </c>
      <c r="W4027">
        <v>0</v>
      </c>
      <c r="X4027">
        <v>1</v>
      </c>
      <c r="Z4027">
        <v>0</v>
      </c>
      <c r="AA4027">
        <v>9</v>
      </c>
      <c r="AB4027">
        <v>3</v>
      </c>
      <c r="AC4027">
        <v>0</v>
      </c>
      <c r="AD4027">
        <v>10</v>
      </c>
      <c r="AE4027">
        <v>0</v>
      </c>
      <c r="AF4027">
        <v>3</v>
      </c>
      <c r="AG4027">
        <v>2</v>
      </c>
      <c r="AH4027">
        <v>0</v>
      </c>
      <c r="AI4027" t="s">
        <v>8102</v>
      </c>
      <c r="AJ4027">
        <v>40.581156999999997</v>
      </c>
      <c r="AK4027" t="s">
        <v>8103</v>
      </c>
      <c r="AL4027">
        <v>-74.313111000000006</v>
      </c>
      <c r="AM4027">
        <v>100</v>
      </c>
      <c r="AN4027">
        <v>300</v>
      </c>
      <c r="AO4027" t="s">
        <v>115</v>
      </c>
      <c r="AP4027">
        <v>33</v>
      </c>
      <c r="AQ4027">
        <v>74</v>
      </c>
      <c r="AR4027">
        <v>0</v>
      </c>
      <c r="AZ4027">
        <v>3614</v>
      </c>
      <c r="BA4027">
        <v>1</v>
      </c>
      <c r="BB4027" t="str">
        <f t="shared" si="188"/>
        <v xml:space="preserve">N959MJ  </v>
      </c>
      <c r="BC4027">
        <v>1</v>
      </c>
      <c r="BE4027">
        <v>0</v>
      </c>
      <c r="BF4027">
        <v>0</v>
      </c>
      <c r="BG4027">
        <v>0</v>
      </c>
      <c r="BH4027">
        <v>400</v>
      </c>
      <c r="BI4027">
        <v>100</v>
      </c>
      <c r="BJ4027">
        <v>1</v>
      </c>
      <c r="BK4027">
        <v>1</v>
      </c>
      <c r="BL4027">
        <v>1</v>
      </c>
      <c r="BM4027">
        <v>0</v>
      </c>
      <c r="BP4027">
        <v>0</v>
      </c>
      <c r="BQ4027">
        <v>0</v>
      </c>
      <c r="BX4027" t="str">
        <f>"14:57:37.797"</f>
        <v>14:57:37.797</v>
      </c>
      <c r="BY4027" t="str">
        <f>"797253942"</f>
        <v>797253942</v>
      </c>
      <c r="CL4027">
        <v>3</v>
      </c>
      <c r="CM4027">
        <v>2</v>
      </c>
      <c r="CN4027">
        <v>0</v>
      </c>
      <c r="CO4027">
        <v>2</v>
      </c>
      <c r="CP4027">
        <v>0</v>
      </c>
      <c r="CQ4027">
        <v>6</v>
      </c>
      <c r="CR4027" t="s">
        <v>116</v>
      </c>
      <c r="CS4027">
        <v>305</v>
      </c>
      <c r="CT4027">
        <v>3</v>
      </c>
      <c r="CU4027" t="s">
        <v>6425</v>
      </c>
      <c r="CV4027" t="s">
        <v>6426</v>
      </c>
      <c r="CY4027">
        <v>6899174</v>
      </c>
      <c r="CZ4027" t="s">
        <v>119</v>
      </c>
    </row>
    <row r="4028" spans="1:104" x14ac:dyDescent="0.25">
      <c r="A4028" t="str">
        <f>"14:57:39.555"</f>
        <v>14:57:39.555</v>
      </c>
      <c r="B4028" t="s">
        <v>108</v>
      </c>
      <c r="C4028" t="str">
        <f t="shared" si="187"/>
        <v>ffdfd3c0</v>
      </c>
      <c r="D4028" t="s">
        <v>109</v>
      </c>
      <c r="E4028">
        <v>4</v>
      </c>
      <c r="F4028">
        <v>1004</v>
      </c>
      <c r="G4028" t="s">
        <v>110</v>
      </c>
      <c r="J4028" t="s">
        <v>111</v>
      </c>
      <c r="K4028">
        <v>0</v>
      </c>
      <c r="L4028">
        <v>3</v>
      </c>
      <c r="M4028">
        <v>0</v>
      </c>
      <c r="N4028">
        <v>2</v>
      </c>
      <c r="O4028">
        <v>1</v>
      </c>
      <c r="P4028">
        <v>0</v>
      </c>
      <c r="Q4028">
        <v>0</v>
      </c>
      <c r="R4028" t="s">
        <v>112</v>
      </c>
      <c r="S4028" t="str">
        <f>"14:57:39.383"</f>
        <v>14:57:39.383</v>
      </c>
      <c r="T4028" t="str">
        <f>"14:57:38.883"</f>
        <v>14:57:38.883</v>
      </c>
      <c r="U4028" t="str">
        <f t="shared" si="186"/>
        <v>ad5732</v>
      </c>
      <c r="V4028">
        <v>0</v>
      </c>
      <c r="W4028">
        <v>0</v>
      </c>
      <c r="X4028">
        <v>1</v>
      </c>
      <c r="Z4028">
        <v>0</v>
      </c>
      <c r="AA4028">
        <v>9</v>
      </c>
      <c r="AB4028">
        <v>3</v>
      </c>
      <c r="AC4028">
        <v>0</v>
      </c>
      <c r="AD4028">
        <v>10</v>
      </c>
      <c r="AE4028">
        <v>0</v>
      </c>
      <c r="AF4028">
        <v>3</v>
      </c>
      <c r="AG4028">
        <v>2</v>
      </c>
      <c r="AH4028">
        <v>0</v>
      </c>
      <c r="AI4028" t="s">
        <v>8104</v>
      </c>
      <c r="AJ4028">
        <v>40.581715000000003</v>
      </c>
      <c r="AK4028" t="s">
        <v>8105</v>
      </c>
      <c r="AL4028">
        <v>-74.312810999999996</v>
      </c>
      <c r="AM4028">
        <v>100</v>
      </c>
      <c r="AN4028">
        <v>300</v>
      </c>
      <c r="AO4028" t="s">
        <v>115</v>
      </c>
      <c r="AP4028">
        <v>32</v>
      </c>
      <c r="AQ4028">
        <v>73</v>
      </c>
      <c r="AR4028">
        <v>128</v>
      </c>
      <c r="AZ4028">
        <v>3614</v>
      </c>
      <c r="BA4028">
        <v>1</v>
      </c>
      <c r="BB4028" t="str">
        <f t="shared" si="188"/>
        <v xml:space="preserve">N959MJ  </v>
      </c>
      <c r="BC4028">
        <v>1</v>
      </c>
      <c r="BE4028">
        <v>0</v>
      </c>
      <c r="BF4028">
        <v>0</v>
      </c>
      <c r="BG4028">
        <v>0</v>
      </c>
      <c r="BH4028">
        <v>400</v>
      </c>
      <c r="BI4028">
        <v>100</v>
      </c>
      <c r="BJ4028">
        <v>1</v>
      </c>
      <c r="BK4028">
        <v>1</v>
      </c>
      <c r="BL4028">
        <v>1</v>
      </c>
      <c r="BM4028">
        <v>0</v>
      </c>
      <c r="BP4028">
        <v>0</v>
      </c>
      <c r="BQ4028">
        <v>0</v>
      </c>
      <c r="BX4028" t="str">
        <f>"14:57:39.391"</f>
        <v>14:57:39.391</v>
      </c>
      <c r="BY4028" t="str">
        <f>"388168398"</f>
        <v>388168398</v>
      </c>
      <c r="CL4028">
        <v>3</v>
      </c>
      <c r="CM4028">
        <v>2</v>
      </c>
      <c r="CN4028">
        <v>0</v>
      </c>
      <c r="CO4028">
        <v>2</v>
      </c>
      <c r="CP4028">
        <v>0</v>
      </c>
      <c r="CQ4028">
        <v>6</v>
      </c>
      <c r="CR4028" t="s">
        <v>116</v>
      </c>
      <c r="CS4028">
        <v>305</v>
      </c>
      <c r="CT4028">
        <v>3</v>
      </c>
      <c r="CU4028" t="s">
        <v>6425</v>
      </c>
      <c r="CV4028" t="s">
        <v>6426</v>
      </c>
      <c r="CY4028">
        <v>6902425</v>
      </c>
      <c r="CZ4028" t="s">
        <v>119</v>
      </c>
    </row>
    <row r="4029" spans="1:104" x14ac:dyDescent="0.25">
      <c r="A4029" t="str">
        <f>"14:57:40.617"</f>
        <v>14:57:40.617</v>
      </c>
      <c r="B4029" t="s">
        <v>108</v>
      </c>
      <c r="C4029" t="str">
        <f t="shared" si="187"/>
        <v>ffdfd3c0</v>
      </c>
      <c r="D4029" t="s">
        <v>109</v>
      </c>
      <c r="E4029">
        <v>4</v>
      </c>
      <c r="F4029">
        <v>1004</v>
      </c>
      <c r="G4029" t="s">
        <v>110</v>
      </c>
      <c r="J4029" t="s">
        <v>111</v>
      </c>
      <c r="K4029">
        <v>0</v>
      </c>
      <c r="L4029">
        <v>3</v>
      </c>
      <c r="M4029">
        <v>0</v>
      </c>
      <c r="N4029">
        <v>2</v>
      </c>
      <c r="O4029">
        <v>1</v>
      </c>
      <c r="P4029">
        <v>0</v>
      </c>
      <c r="Q4029">
        <v>0</v>
      </c>
      <c r="R4029" t="s">
        <v>112</v>
      </c>
      <c r="S4029" t="str">
        <f>"14:57:40.461"</f>
        <v>14:57:40.461</v>
      </c>
      <c r="T4029" t="str">
        <f>"14:57:39.961"</f>
        <v>14:57:39.961</v>
      </c>
      <c r="U4029" t="str">
        <f t="shared" si="186"/>
        <v>ad5732</v>
      </c>
      <c r="V4029">
        <v>0</v>
      </c>
      <c r="W4029">
        <v>0</v>
      </c>
      <c r="X4029">
        <v>1</v>
      </c>
      <c r="Z4029">
        <v>0</v>
      </c>
      <c r="AA4029">
        <v>9</v>
      </c>
      <c r="AB4029">
        <v>3</v>
      </c>
      <c r="AC4029">
        <v>0</v>
      </c>
      <c r="AD4029">
        <v>10</v>
      </c>
      <c r="AE4029">
        <v>0</v>
      </c>
      <c r="AF4029">
        <v>3</v>
      </c>
      <c r="AG4029">
        <v>2</v>
      </c>
      <c r="AH4029">
        <v>0</v>
      </c>
      <c r="AI4029" t="s">
        <v>8106</v>
      </c>
      <c r="AJ4029">
        <v>40.582058000000004</v>
      </c>
      <c r="AK4029" t="s">
        <v>8107</v>
      </c>
      <c r="AL4029">
        <v>-74.312574999999995</v>
      </c>
      <c r="AM4029">
        <v>100</v>
      </c>
      <c r="AN4029">
        <v>300</v>
      </c>
      <c r="AO4029" t="s">
        <v>115</v>
      </c>
      <c r="AP4029">
        <v>31</v>
      </c>
      <c r="AQ4029">
        <v>72</v>
      </c>
      <c r="AR4029">
        <v>192</v>
      </c>
      <c r="AZ4029">
        <v>3614</v>
      </c>
      <c r="BA4029">
        <v>1</v>
      </c>
      <c r="BB4029" t="str">
        <f t="shared" si="188"/>
        <v xml:space="preserve">N959MJ  </v>
      </c>
      <c r="BC4029">
        <v>1</v>
      </c>
      <c r="BE4029">
        <v>0</v>
      </c>
      <c r="BF4029">
        <v>0</v>
      </c>
      <c r="BG4029">
        <v>0</v>
      </c>
      <c r="BH4029">
        <v>400</v>
      </c>
      <c r="BI4029">
        <v>100</v>
      </c>
      <c r="BJ4029">
        <v>1</v>
      </c>
      <c r="BK4029">
        <v>1</v>
      </c>
      <c r="BL4029">
        <v>1</v>
      </c>
      <c r="BM4029">
        <v>0</v>
      </c>
      <c r="BP4029">
        <v>0</v>
      </c>
      <c r="BQ4029">
        <v>0</v>
      </c>
      <c r="BX4029" t="str">
        <f>"14:57:40.461"</f>
        <v>14:57:40.461</v>
      </c>
      <c r="BY4029" t="str">
        <f>"462977752"</f>
        <v>462977752</v>
      </c>
      <c r="CL4029">
        <v>3</v>
      </c>
      <c r="CM4029">
        <v>2</v>
      </c>
      <c r="CN4029">
        <v>0</v>
      </c>
      <c r="CO4029">
        <v>2</v>
      </c>
      <c r="CP4029">
        <v>0</v>
      </c>
      <c r="CQ4029">
        <v>6</v>
      </c>
      <c r="CR4029" t="s">
        <v>116</v>
      </c>
      <c r="CS4029">
        <v>305</v>
      </c>
      <c r="CT4029">
        <v>3</v>
      </c>
      <c r="CU4029" t="s">
        <v>6425</v>
      </c>
      <c r="CV4029" t="s">
        <v>6426</v>
      </c>
      <c r="CY4029">
        <v>6904608</v>
      </c>
      <c r="CZ4029" t="s">
        <v>119</v>
      </c>
    </row>
    <row r="4030" spans="1:104" x14ac:dyDescent="0.25">
      <c r="A4030" t="str">
        <f>"14:57:42.734"</f>
        <v>14:57:42.734</v>
      </c>
      <c r="B4030" t="s">
        <v>108</v>
      </c>
      <c r="C4030" t="str">
        <f t="shared" si="187"/>
        <v>ffdfd3c0</v>
      </c>
      <c r="D4030" t="s">
        <v>109</v>
      </c>
      <c r="E4030">
        <v>4</v>
      </c>
      <c r="F4030">
        <v>1004</v>
      </c>
      <c r="G4030" t="s">
        <v>110</v>
      </c>
      <c r="J4030" t="s">
        <v>111</v>
      </c>
      <c r="K4030">
        <v>0</v>
      </c>
      <c r="L4030">
        <v>3</v>
      </c>
      <c r="M4030">
        <v>0</v>
      </c>
      <c r="N4030">
        <v>2</v>
      </c>
      <c r="O4030">
        <v>1</v>
      </c>
      <c r="P4030">
        <v>0</v>
      </c>
      <c r="Q4030">
        <v>0</v>
      </c>
      <c r="R4030" t="s">
        <v>112</v>
      </c>
      <c r="S4030" t="str">
        <f>"14:57:42.555"</f>
        <v>14:57:42.555</v>
      </c>
      <c r="T4030" t="str">
        <f>"14:57:41.656"</f>
        <v>14:57:41.656</v>
      </c>
      <c r="U4030" t="str">
        <f t="shared" si="186"/>
        <v>ad5732</v>
      </c>
      <c r="V4030">
        <v>0</v>
      </c>
      <c r="W4030">
        <v>0</v>
      </c>
      <c r="X4030">
        <v>1</v>
      </c>
      <c r="Z4030">
        <v>0</v>
      </c>
      <c r="AA4030">
        <v>9</v>
      </c>
      <c r="AB4030">
        <v>3</v>
      </c>
      <c r="AC4030">
        <v>0</v>
      </c>
      <c r="AD4030">
        <v>10</v>
      </c>
      <c r="AE4030">
        <v>0</v>
      </c>
      <c r="AF4030">
        <v>3</v>
      </c>
      <c r="AG4030">
        <v>2</v>
      </c>
      <c r="AH4030">
        <v>0</v>
      </c>
      <c r="AI4030" t="s">
        <v>8108</v>
      </c>
      <c r="AJ4030">
        <v>40.582766999999997</v>
      </c>
      <c r="AK4030" t="s">
        <v>8109</v>
      </c>
      <c r="AL4030">
        <v>-74.312189000000004</v>
      </c>
      <c r="AM4030">
        <v>100</v>
      </c>
      <c r="AN4030">
        <v>300</v>
      </c>
      <c r="AO4030" t="s">
        <v>115</v>
      </c>
      <c r="AP4030">
        <v>30</v>
      </c>
      <c r="AQ4030">
        <v>71</v>
      </c>
      <c r="AR4030">
        <v>128</v>
      </c>
      <c r="AZ4030">
        <v>3614</v>
      </c>
      <c r="BA4030">
        <v>1</v>
      </c>
      <c r="BB4030" t="str">
        <f t="shared" si="188"/>
        <v xml:space="preserve">N959MJ  </v>
      </c>
      <c r="BC4030">
        <v>1</v>
      </c>
      <c r="BE4030">
        <v>0</v>
      </c>
      <c r="BF4030">
        <v>0</v>
      </c>
      <c r="BG4030">
        <v>0</v>
      </c>
      <c r="BH4030">
        <v>425</v>
      </c>
      <c r="BI4030">
        <v>125</v>
      </c>
      <c r="BJ4030">
        <v>1</v>
      </c>
      <c r="BK4030">
        <v>1</v>
      </c>
      <c r="BL4030">
        <v>1</v>
      </c>
      <c r="BM4030">
        <v>0</v>
      </c>
      <c r="BP4030">
        <v>0</v>
      </c>
      <c r="BQ4030">
        <v>0</v>
      </c>
      <c r="BX4030" t="str">
        <f>"14:57:42.555"</f>
        <v>14:57:42.555</v>
      </c>
      <c r="BY4030" t="str">
        <f>"556889870"</f>
        <v>556889870</v>
      </c>
      <c r="CL4030">
        <v>3</v>
      </c>
      <c r="CM4030">
        <v>2</v>
      </c>
      <c r="CN4030">
        <v>0</v>
      </c>
      <c r="CO4030">
        <v>2</v>
      </c>
      <c r="CP4030">
        <v>0</v>
      </c>
      <c r="CQ4030">
        <v>6</v>
      </c>
      <c r="CR4030" t="s">
        <v>116</v>
      </c>
      <c r="CS4030">
        <v>305</v>
      </c>
      <c r="CT4030">
        <v>3</v>
      </c>
      <c r="CU4030" t="s">
        <v>6425</v>
      </c>
      <c r="CV4030" t="s">
        <v>6426</v>
      </c>
      <c r="CY4030">
        <v>6908758</v>
      </c>
      <c r="CZ4030" t="s">
        <v>119</v>
      </c>
    </row>
    <row r="4031" spans="1:104" x14ac:dyDescent="0.25">
      <c r="A4031" t="str">
        <f>"14:57:43.750"</f>
        <v>14:57:43.750</v>
      </c>
      <c r="B4031" t="s">
        <v>108</v>
      </c>
      <c r="C4031" t="str">
        <f t="shared" si="187"/>
        <v>ffdfd3c0</v>
      </c>
      <c r="D4031" t="s">
        <v>109</v>
      </c>
      <c r="E4031">
        <v>4</v>
      </c>
      <c r="F4031">
        <v>1004</v>
      </c>
      <c r="G4031" t="s">
        <v>110</v>
      </c>
      <c r="J4031" t="s">
        <v>111</v>
      </c>
      <c r="K4031">
        <v>0</v>
      </c>
      <c r="L4031">
        <v>3</v>
      </c>
      <c r="M4031">
        <v>0</v>
      </c>
      <c r="N4031">
        <v>2</v>
      </c>
      <c r="O4031">
        <v>1</v>
      </c>
      <c r="P4031">
        <v>0</v>
      </c>
      <c r="Q4031">
        <v>0</v>
      </c>
      <c r="R4031" t="s">
        <v>112</v>
      </c>
      <c r="S4031" t="str">
        <f>"14:57:43.539"</f>
        <v>14:57:43.539</v>
      </c>
      <c r="T4031" t="str">
        <f>"14:57:43.141"</f>
        <v>14:57:43.141</v>
      </c>
      <c r="U4031" t="str">
        <f t="shared" si="186"/>
        <v>ad5732</v>
      </c>
      <c r="V4031">
        <v>0</v>
      </c>
      <c r="W4031">
        <v>0</v>
      </c>
      <c r="X4031">
        <v>1</v>
      </c>
      <c r="Z4031">
        <v>0</v>
      </c>
      <c r="AA4031">
        <v>9</v>
      </c>
      <c r="AB4031">
        <v>3</v>
      </c>
      <c r="AC4031">
        <v>0</v>
      </c>
      <c r="AD4031">
        <v>10</v>
      </c>
      <c r="AE4031">
        <v>0</v>
      </c>
      <c r="AF4031">
        <v>3</v>
      </c>
      <c r="AG4031">
        <v>2</v>
      </c>
      <c r="AH4031">
        <v>0</v>
      </c>
      <c r="AI4031" t="s">
        <v>8110</v>
      </c>
      <c r="AJ4031">
        <v>40.583087999999996</v>
      </c>
      <c r="AK4031" t="s">
        <v>8111</v>
      </c>
      <c r="AL4031">
        <v>-74.312016999999997</v>
      </c>
      <c r="AM4031">
        <v>100</v>
      </c>
      <c r="AN4031">
        <v>300</v>
      </c>
      <c r="AO4031" t="s">
        <v>115</v>
      </c>
      <c r="AP4031">
        <v>30</v>
      </c>
      <c r="AQ4031">
        <v>70</v>
      </c>
      <c r="AR4031">
        <v>0</v>
      </c>
      <c r="AZ4031">
        <v>3614</v>
      </c>
      <c r="BA4031">
        <v>1</v>
      </c>
      <c r="BB4031" t="str">
        <f t="shared" si="188"/>
        <v xml:space="preserve">N959MJ  </v>
      </c>
      <c r="BC4031">
        <v>1</v>
      </c>
      <c r="BE4031">
        <v>0</v>
      </c>
      <c r="BF4031">
        <v>0</v>
      </c>
      <c r="BG4031">
        <v>0</v>
      </c>
      <c r="BH4031">
        <v>425</v>
      </c>
      <c r="BI4031">
        <v>125</v>
      </c>
      <c r="BJ4031">
        <v>1</v>
      </c>
      <c r="BK4031">
        <v>1</v>
      </c>
      <c r="BL4031">
        <v>1</v>
      </c>
      <c r="BM4031">
        <v>0</v>
      </c>
      <c r="BP4031">
        <v>0</v>
      </c>
      <c r="BQ4031">
        <v>0</v>
      </c>
      <c r="BX4031" t="str">
        <f>"14:57:43.539"</f>
        <v>14:57:43.539</v>
      </c>
      <c r="BY4031" t="str">
        <f>"541585635"</f>
        <v>541585635</v>
      </c>
      <c r="CL4031">
        <v>3</v>
      </c>
      <c r="CM4031">
        <v>2</v>
      </c>
      <c r="CN4031">
        <v>0</v>
      </c>
      <c r="CO4031">
        <v>2</v>
      </c>
      <c r="CP4031">
        <v>0</v>
      </c>
      <c r="CQ4031">
        <v>6</v>
      </c>
      <c r="CR4031" t="s">
        <v>116</v>
      </c>
      <c r="CS4031">
        <v>305</v>
      </c>
      <c r="CT4031">
        <v>3</v>
      </c>
      <c r="CU4031" t="s">
        <v>6425</v>
      </c>
      <c r="CV4031" t="s">
        <v>6426</v>
      </c>
      <c r="CY4031">
        <v>6910895</v>
      </c>
      <c r="CZ4031" t="s">
        <v>119</v>
      </c>
    </row>
    <row r="4032" spans="1:104" x14ac:dyDescent="0.25">
      <c r="A4032" t="str">
        <f>"14:57:44.805"</f>
        <v>14:57:44.805</v>
      </c>
      <c r="B4032" t="s">
        <v>108</v>
      </c>
      <c r="C4032" t="str">
        <f t="shared" si="187"/>
        <v>ffdfd3c0</v>
      </c>
      <c r="D4032" t="s">
        <v>109</v>
      </c>
      <c r="E4032">
        <v>4</v>
      </c>
      <c r="F4032">
        <v>1004</v>
      </c>
      <c r="G4032" t="s">
        <v>110</v>
      </c>
      <c r="J4032" t="s">
        <v>111</v>
      </c>
      <c r="K4032">
        <v>0</v>
      </c>
      <c r="L4032">
        <v>3</v>
      </c>
      <c r="M4032">
        <v>0</v>
      </c>
      <c r="N4032">
        <v>2</v>
      </c>
      <c r="O4032">
        <v>1</v>
      </c>
      <c r="P4032">
        <v>0</v>
      </c>
      <c r="Q4032">
        <v>0</v>
      </c>
      <c r="R4032" t="s">
        <v>112</v>
      </c>
      <c r="S4032" t="str">
        <f>"14:57:44.586"</f>
        <v>14:57:44.586</v>
      </c>
      <c r="T4032" t="str">
        <f>"14:57:43.586"</f>
        <v>14:57:43.586</v>
      </c>
      <c r="U4032" t="str">
        <f t="shared" si="186"/>
        <v>ad5732</v>
      </c>
      <c r="V4032">
        <v>0</v>
      </c>
      <c r="W4032">
        <v>0</v>
      </c>
      <c r="X4032">
        <v>1</v>
      </c>
      <c r="Z4032">
        <v>0</v>
      </c>
      <c r="AA4032">
        <v>9</v>
      </c>
      <c r="AB4032">
        <v>3</v>
      </c>
      <c r="AC4032">
        <v>0</v>
      </c>
      <c r="AD4032">
        <v>10</v>
      </c>
      <c r="AE4032">
        <v>0</v>
      </c>
      <c r="AF4032">
        <v>3</v>
      </c>
      <c r="AG4032">
        <v>2</v>
      </c>
      <c r="AH4032">
        <v>0</v>
      </c>
      <c r="AI4032" t="s">
        <v>8112</v>
      </c>
      <c r="AJ4032">
        <v>40.583410000000001</v>
      </c>
      <c r="AK4032" t="s">
        <v>8113</v>
      </c>
      <c r="AL4032">
        <v>-74.311824000000001</v>
      </c>
      <c r="AM4032">
        <v>100</v>
      </c>
      <c r="AN4032">
        <v>300</v>
      </c>
      <c r="AO4032" t="s">
        <v>115</v>
      </c>
      <c r="AP4032">
        <v>30</v>
      </c>
      <c r="AQ4032">
        <v>70</v>
      </c>
      <c r="AR4032">
        <v>-64</v>
      </c>
      <c r="AZ4032">
        <v>3614</v>
      </c>
      <c r="BA4032">
        <v>1</v>
      </c>
      <c r="BB4032" t="str">
        <f t="shared" si="188"/>
        <v xml:space="preserve">N959MJ  </v>
      </c>
      <c r="BC4032">
        <v>1</v>
      </c>
      <c r="BE4032">
        <v>0</v>
      </c>
      <c r="BF4032">
        <v>0</v>
      </c>
      <c r="BG4032">
        <v>0</v>
      </c>
      <c r="BH4032">
        <v>425</v>
      </c>
      <c r="BI4032">
        <v>125</v>
      </c>
      <c r="BJ4032">
        <v>1</v>
      </c>
      <c r="BK4032">
        <v>1</v>
      </c>
      <c r="BL4032">
        <v>1</v>
      </c>
      <c r="BM4032">
        <v>0</v>
      </c>
      <c r="BP4032">
        <v>0</v>
      </c>
      <c r="BQ4032">
        <v>0</v>
      </c>
      <c r="BX4032" t="str">
        <f>"14:57:44.594"</f>
        <v>14:57:44.594</v>
      </c>
      <c r="BY4032" t="str">
        <f>"593456976"</f>
        <v>593456976</v>
      </c>
      <c r="CL4032">
        <v>3</v>
      </c>
      <c r="CM4032">
        <v>2</v>
      </c>
      <c r="CN4032">
        <v>0</v>
      </c>
      <c r="CO4032">
        <v>2</v>
      </c>
      <c r="CP4032">
        <v>0</v>
      </c>
      <c r="CQ4032">
        <v>6</v>
      </c>
      <c r="CR4032" t="s">
        <v>116</v>
      </c>
      <c r="CS4032">
        <v>305</v>
      </c>
      <c r="CT4032">
        <v>3</v>
      </c>
      <c r="CU4032" t="s">
        <v>6425</v>
      </c>
      <c r="CV4032" t="s">
        <v>6426</v>
      </c>
      <c r="CY4032">
        <v>6913124</v>
      </c>
      <c r="CZ4032" t="s">
        <v>119</v>
      </c>
    </row>
    <row r="4033" spans="1:104" x14ac:dyDescent="0.25">
      <c r="A4033" t="str">
        <f>"14:57:45.820"</f>
        <v>14:57:45.820</v>
      </c>
      <c r="B4033" t="s">
        <v>108</v>
      </c>
      <c r="C4033" t="str">
        <f t="shared" si="187"/>
        <v>ffdfd3c0</v>
      </c>
      <c r="D4033" t="s">
        <v>109</v>
      </c>
      <c r="E4033">
        <v>4</v>
      </c>
      <c r="F4033">
        <v>1004</v>
      </c>
      <c r="G4033" t="s">
        <v>110</v>
      </c>
      <c r="J4033" t="s">
        <v>111</v>
      </c>
      <c r="K4033">
        <v>0</v>
      </c>
      <c r="L4033">
        <v>3</v>
      </c>
      <c r="M4033">
        <v>0</v>
      </c>
      <c r="N4033">
        <v>2</v>
      </c>
      <c r="O4033">
        <v>1</v>
      </c>
      <c r="P4033">
        <v>0</v>
      </c>
      <c r="Q4033">
        <v>0</v>
      </c>
      <c r="R4033" t="s">
        <v>112</v>
      </c>
      <c r="S4033" t="str">
        <f>"14:57:45.625"</f>
        <v>14:57:45.625</v>
      </c>
      <c r="T4033" t="str">
        <f>"14:57:45.125"</f>
        <v>14:57:45.125</v>
      </c>
      <c r="U4033" t="str">
        <f t="shared" si="186"/>
        <v>ad5732</v>
      </c>
      <c r="V4033">
        <v>0</v>
      </c>
      <c r="W4033">
        <v>0</v>
      </c>
      <c r="X4033">
        <v>1</v>
      </c>
      <c r="Z4033">
        <v>0</v>
      </c>
      <c r="AA4033">
        <v>9</v>
      </c>
      <c r="AB4033">
        <v>3</v>
      </c>
      <c r="AC4033">
        <v>0</v>
      </c>
      <c r="AD4033">
        <v>10</v>
      </c>
      <c r="AE4033">
        <v>0</v>
      </c>
      <c r="AF4033">
        <v>3</v>
      </c>
      <c r="AG4033">
        <v>2</v>
      </c>
      <c r="AH4033">
        <v>0</v>
      </c>
      <c r="AI4033" t="s">
        <v>8114</v>
      </c>
      <c r="AJ4033">
        <v>40.583731999999998</v>
      </c>
      <c r="AK4033" t="s">
        <v>8115</v>
      </c>
      <c r="AL4033">
        <v>-74.311651999999995</v>
      </c>
      <c r="AM4033">
        <v>100</v>
      </c>
      <c r="AN4033">
        <v>300</v>
      </c>
      <c r="AO4033" t="s">
        <v>115</v>
      </c>
      <c r="AP4033">
        <v>30</v>
      </c>
      <c r="AQ4033">
        <v>69</v>
      </c>
      <c r="AR4033">
        <v>-128</v>
      </c>
      <c r="AZ4033">
        <v>3614</v>
      </c>
      <c r="BA4033">
        <v>1</v>
      </c>
      <c r="BB4033" t="str">
        <f t="shared" si="188"/>
        <v xml:space="preserve">N959MJ  </v>
      </c>
      <c r="BC4033">
        <v>1</v>
      </c>
      <c r="BE4033">
        <v>0</v>
      </c>
      <c r="BF4033">
        <v>0</v>
      </c>
      <c r="BG4033">
        <v>0</v>
      </c>
      <c r="BH4033">
        <v>400</v>
      </c>
      <c r="BI4033">
        <v>100</v>
      </c>
      <c r="BJ4033">
        <v>1</v>
      </c>
      <c r="BK4033">
        <v>1</v>
      </c>
      <c r="BL4033">
        <v>1</v>
      </c>
      <c r="BM4033">
        <v>0</v>
      </c>
      <c r="BP4033">
        <v>0</v>
      </c>
      <c r="BQ4033">
        <v>0</v>
      </c>
      <c r="BX4033" t="str">
        <f>"14:57:45.633"</f>
        <v>14:57:45.633</v>
      </c>
      <c r="BY4033" t="str">
        <f>"630582517"</f>
        <v>630582517</v>
      </c>
      <c r="CL4033">
        <v>3</v>
      </c>
      <c r="CM4033">
        <v>2</v>
      </c>
      <c r="CN4033">
        <v>0</v>
      </c>
      <c r="CO4033">
        <v>2</v>
      </c>
      <c r="CP4033">
        <v>0</v>
      </c>
      <c r="CQ4033">
        <v>6</v>
      </c>
      <c r="CR4033" t="s">
        <v>116</v>
      </c>
      <c r="CS4033">
        <v>305</v>
      </c>
      <c r="CT4033">
        <v>3</v>
      </c>
      <c r="CU4033" t="s">
        <v>6425</v>
      </c>
      <c r="CV4033" t="s">
        <v>6426</v>
      </c>
      <c r="CY4033">
        <v>6915227</v>
      </c>
      <c r="CZ4033" t="s">
        <v>119</v>
      </c>
    </row>
    <row r="4034" spans="1:104" x14ac:dyDescent="0.25">
      <c r="A4034" t="str">
        <f>"14:57:46.828"</f>
        <v>14:57:46.828</v>
      </c>
      <c r="B4034" t="s">
        <v>108</v>
      </c>
      <c r="C4034" t="str">
        <f t="shared" si="187"/>
        <v>ffdfd3c0</v>
      </c>
      <c r="D4034" t="s">
        <v>109</v>
      </c>
      <c r="E4034">
        <v>4</v>
      </c>
      <c r="F4034">
        <v>1004</v>
      </c>
      <c r="G4034" t="s">
        <v>110</v>
      </c>
      <c r="J4034" t="s">
        <v>111</v>
      </c>
      <c r="K4034">
        <v>0</v>
      </c>
      <c r="L4034">
        <v>3</v>
      </c>
      <c r="M4034">
        <v>0</v>
      </c>
      <c r="N4034">
        <v>2</v>
      </c>
      <c r="O4034">
        <v>1</v>
      </c>
      <c r="P4034">
        <v>0</v>
      </c>
      <c r="Q4034">
        <v>0</v>
      </c>
      <c r="R4034" t="s">
        <v>112</v>
      </c>
      <c r="S4034" t="str">
        <f>"14:57:46.617"</f>
        <v>14:57:46.617</v>
      </c>
      <c r="T4034" t="str">
        <f>"14:57:46.117"</f>
        <v>14:57:46.117</v>
      </c>
      <c r="U4034" t="str">
        <f t="shared" ref="U4034:U4052" si="189">"ad5732"</f>
        <v>ad5732</v>
      </c>
      <c r="V4034">
        <v>0</v>
      </c>
      <c r="W4034">
        <v>0</v>
      </c>
      <c r="X4034">
        <v>1</v>
      </c>
      <c r="Z4034">
        <v>0</v>
      </c>
      <c r="AA4034">
        <v>9</v>
      </c>
      <c r="AB4034">
        <v>3</v>
      </c>
      <c r="AC4034">
        <v>0</v>
      </c>
      <c r="AD4034">
        <v>10</v>
      </c>
      <c r="AE4034">
        <v>0</v>
      </c>
      <c r="AF4034">
        <v>3</v>
      </c>
      <c r="AG4034">
        <v>2</v>
      </c>
      <c r="AH4034">
        <v>0</v>
      </c>
      <c r="AI4034" t="s">
        <v>8116</v>
      </c>
      <c r="AJ4034">
        <v>40.584054000000002</v>
      </c>
      <c r="AK4034" t="s">
        <v>8117</v>
      </c>
      <c r="AL4034">
        <v>-74.311458999999999</v>
      </c>
      <c r="AM4034">
        <v>100</v>
      </c>
      <c r="AN4034">
        <v>300</v>
      </c>
      <c r="AO4034" t="s">
        <v>115</v>
      </c>
      <c r="AP4034">
        <v>30</v>
      </c>
      <c r="AQ4034">
        <v>68</v>
      </c>
      <c r="AR4034">
        <v>-64</v>
      </c>
      <c r="AZ4034">
        <v>3614</v>
      </c>
      <c r="BA4034">
        <v>1</v>
      </c>
      <c r="BB4034" t="str">
        <f t="shared" si="188"/>
        <v xml:space="preserve">N959MJ  </v>
      </c>
      <c r="BC4034">
        <v>1</v>
      </c>
      <c r="BE4034">
        <v>0</v>
      </c>
      <c r="BF4034">
        <v>0</v>
      </c>
      <c r="BG4034">
        <v>0</v>
      </c>
      <c r="BH4034">
        <v>400</v>
      </c>
      <c r="BI4034">
        <v>100</v>
      </c>
      <c r="BJ4034">
        <v>1</v>
      </c>
      <c r="BK4034">
        <v>1</v>
      </c>
      <c r="BL4034">
        <v>1</v>
      </c>
      <c r="BM4034">
        <v>0</v>
      </c>
      <c r="BP4034">
        <v>0</v>
      </c>
      <c r="BQ4034">
        <v>0</v>
      </c>
      <c r="BX4034" t="str">
        <f>"14:57:46.625"</f>
        <v>14:57:46.625</v>
      </c>
      <c r="BY4034" t="str">
        <f>"623470351"</f>
        <v>623470351</v>
      </c>
      <c r="CL4034">
        <v>3</v>
      </c>
      <c r="CM4034">
        <v>2</v>
      </c>
      <c r="CN4034">
        <v>0</v>
      </c>
      <c r="CO4034">
        <v>2</v>
      </c>
      <c r="CP4034">
        <v>0</v>
      </c>
      <c r="CQ4034">
        <v>6</v>
      </c>
      <c r="CR4034" t="s">
        <v>116</v>
      </c>
      <c r="CS4034">
        <v>305</v>
      </c>
      <c r="CT4034">
        <v>3</v>
      </c>
      <c r="CU4034" t="s">
        <v>6425</v>
      </c>
      <c r="CV4034" t="s">
        <v>6426</v>
      </c>
      <c r="CY4034">
        <v>6917122</v>
      </c>
      <c r="CZ4034" t="s">
        <v>119</v>
      </c>
    </row>
    <row r="4035" spans="1:104" x14ac:dyDescent="0.25">
      <c r="A4035" t="str">
        <f>"14:57:47.789"</f>
        <v>14:57:47.789</v>
      </c>
      <c r="B4035" t="s">
        <v>108</v>
      </c>
      <c r="C4035" t="str">
        <f t="shared" si="187"/>
        <v>ffdfd3c0</v>
      </c>
      <c r="D4035" t="s">
        <v>109</v>
      </c>
      <c r="E4035">
        <v>4</v>
      </c>
      <c r="F4035">
        <v>1004</v>
      </c>
      <c r="G4035" t="s">
        <v>110</v>
      </c>
      <c r="J4035" t="s">
        <v>111</v>
      </c>
      <c r="K4035">
        <v>0</v>
      </c>
      <c r="L4035">
        <v>3</v>
      </c>
      <c r="M4035">
        <v>0</v>
      </c>
      <c r="N4035">
        <v>2</v>
      </c>
      <c r="O4035">
        <v>1</v>
      </c>
      <c r="P4035">
        <v>0</v>
      </c>
      <c r="Q4035">
        <v>0</v>
      </c>
      <c r="R4035" t="s">
        <v>112</v>
      </c>
      <c r="S4035" t="str">
        <f>"14:57:47.578"</f>
        <v>14:57:47.578</v>
      </c>
      <c r="T4035" t="str">
        <f>"14:57:46.680"</f>
        <v>14:57:46.680</v>
      </c>
      <c r="U4035" t="str">
        <f t="shared" si="189"/>
        <v>ad5732</v>
      </c>
      <c r="V4035">
        <v>0</v>
      </c>
      <c r="W4035">
        <v>0</v>
      </c>
      <c r="X4035">
        <v>1</v>
      </c>
      <c r="Z4035">
        <v>0</v>
      </c>
      <c r="AA4035">
        <v>9</v>
      </c>
      <c r="AB4035">
        <v>3</v>
      </c>
      <c r="AC4035">
        <v>0</v>
      </c>
      <c r="AD4035">
        <v>10</v>
      </c>
      <c r="AE4035">
        <v>0</v>
      </c>
      <c r="AF4035">
        <v>3</v>
      </c>
      <c r="AG4035">
        <v>2</v>
      </c>
      <c r="AH4035">
        <v>0</v>
      </c>
      <c r="AI4035" t="s">
        <v>8118</v>
      </c>
      <c r="AJ4035">
        <v>40.584375999999999</v>
      </c>
      <c r="AK4035" t="s">
        <v>8119</v>
      </c>
      <c r="AL4035">
        <v>-74.311286999999993</v>
      </c>
      <c r="AM4035">
        <v>100</v>
      </c>
      <c r="AN4035">
        <v>300</v>
      </c>
      <c r="AO4035" t="s">
        <v>115</v>
      </c>
      <c r="AP4035">
        <v>30</v>
      </c>
      <c r="AQ4035">
        <v>68</v>
      </c>
      <c r="AR4035">
        <v>0</v>
      </c>
      <c r="AZ4035">
        <v>3614</v>
      </c>
      <c r="BA4035">
        <v>1</v>
      </c>
      <c r="BB4035" t="str">
        <f t="shared" si="188"/>
        <v xml:space="preserve">N959MJ  </v>
      </c>
      <c r="BC4035">
        <v>1</v>
      </c>
      <c r="BE4035">
        <v>0</v>
      </c>
      <c r="BF4035">
        <v>0</v>
      </c>
      <c r="BG4035">
        <v>0</v>
      </c>
      <c r="BH4035">
        <v>400</v>
      </c>
      <c r="BI4035">
        <v>100</v>
      </c>
      <c r="BJ4035">
        <v>1</v>
      </c>
      <c r="BK4035">
        <v>1</v>
      </c>
      <c r="BL4035">
        <v>1</v>
      </c>
      <c r="BM4035">
        <v>0</v>
      </c>
      <c r="BP4035">
        <v>0</v>
      </c>
      <c r="BQ4035">
        <v>0</v>
      </c>
      <c r="BX4035" t="str">
        <f>"14:57:47.578"</f>
        <v>14:57:47.578</v>
      </c>
      <c r="BY4035" t="str">
        <f>"578674411"</f>
        <v>578674411</v>
      </c>
      <c r="CL4035">
        <v>3</v>
      </c>
      <c r="CM4035">
        <v>2</v>
      </c>
      <c r="CN4035">
        <v>0</v>
      </c>
      <c r="CO4035">
        <v>2</v>
      </c>
      <c r="CP4035">
        <v>0</v>
      </c>
      <c r="CQ4035">
        <v>6</v>
      </c>
      <c r="CR4035" t="s">
        <v>116</v>
      </c>
      <c r="CS4035">
        <v>305</v>
      </c>
      <c r="CT4035">
        <v>3</v>
      </c>
      <c r="CU4035" t="s">
        <v>6425</v>
      </c>
      <c r="CV4035" t="s">
        <v>6426</v>
      </c>
      <c r="CY4035">
        <v>6919025</v>
      </c>
      <c r="CZ4035" t="s">
        <v>119</v>
      </c>
    </row>
    <row r="4036" spans="1:104" x14ac:dyDescent="0.25">
      <c r="A4036" t="str">
        <f>"14:57:48.898"</f>
        <v>14:57:48.898</v>
      </c>
      <c r="B4036" t="s">
        <v>108</v>
      </c>
      <c r="C4036" t="str">
        <f t="shared" si="187"/>
        <v>ffdfd3c0</v>
      </c>
      <c r="D4036" t="s">
        <v>109</v>
      </c>
      <c r="E4036">
        <v>4</v>
      </c>
      <c r="F4036">
        <v>1004</v>
      </c>
      <c r="G4036" t="s">
        <v>110</v>
      </c>
      <c r="J4036" t="s">
        <v>111</v>
      </c>
      <c r="K4036">
        <v>0</v>
      </c>
      <c r="L4036">
        <v>3</v>
      </c>
      <c r="M4036">
        <v>0</v>
      </c>
      <c r="N4036">
        <v>2</v>
      </c>
      <c r="O4036">
        <v>1</v>
      </c>
      <c r="P4036">
        <v>0</v>
      </c>
      <c r="Q4036">
        <v>0</v>
      </c>
      <c r="R4036" t="s">
        <v>112</v>
      </c>
      <c r="S4036" t="str">
        <f>"14:57:48.695"</f>
        <v>14:57:48.695</v>
      </c>
      <c r="T4036" t="str">
        <f>"14:57:48.195"</f>
        <v>14:57:48.195</v>
      </c>
      <c r="U4036" t="str">
        <f t="shared" si="189"/>
        <v>ad5732</v>
      </c>
      <c r="V4036">
        <v>0</v>
      </c>
      <c r="W4036">
        <v>0</v>
      </c>
      <c r="X4036">
        <v>1</v>
      </c>
      <c r="Z4036">
        <v>0</v>
      </c>
      <c r="AA4036">
        <v>9</v>
      </c>
      <c r="AB4036">
        <v>3</v>
      </c>
      <c r="AC4036">
        <v>0</v>
      </c>
      <c r="AD4036">
        <v>10</v>
      </c>
      <c r="AE4036">
        <v>0</v>
      </c>
      <c r="AF4036">
        <v>3</v>
      </c>
      <c r="AG4036">
        <v>2</v>
      </c>
      <c r="AH4036">
        <v>0</v>
      </c>
      <c r="AI4036" t="s">
        <v>8120</v>
      </c>
      <c r="AJ4036">
        <v>40.584654999999998</v>
      </c>
      <c r="AK4036" t="s">
        <v>8121</v>
      </c>
      <c r="AL4036">
        <v>-74.311093999999997</v>
      </c>
      <c r="AM4036">
        <v>100</v>
      </c>
      <c r="AN4036">
        <v>300</v>
      </c>
      <c r="AO4036" t="s">
        <v>115</v>
      </c>
      <c r="AP4036">
        <v>30</v>
      </c>
      <c r="AQ4036">
        <v>66</v>
      </c>
      <c r="AR4036">
        <v>192</v>
      </c>
      <c r="AZ4036">
        <v>3614</v>
      </c>
      <c r="BA4036">
        <v>1</v>
      </c>
      <c r="BB4036" t="str">
        <f t="shared" si="188"/>
        <v xml:space="preserve">N959MJ  </v>
      </c>
      <c r="BC4036">
        <v>1</v>
      </c>
      <c r="BE4036">
        <v>0</v>
      </c>
      <c r="BF4036">
        <v>0</v>
      </c>
      <c r="BG4036">
        <v>0</v>
      </c>
      <c r="BH4036">
        <v>400</v>
      </c>
      <c r="BI4036">
        <v>100</v>
      </c>
      <c r="BJ4036">
        <v>1</v>
      </c>
      <c r="BK4036">
        <v>1</v>
      </c>
      <c r="BL4036">
        <v>1</v>
      </c>
      <c r="BM4036">
        <v>0</v>
      </c>
      <c r="BP4036">
        <v>0</v>
      </c>
      <c r="BQ4036">
        <v>0</v>
      </c>
      <c r="BX4036" t="str">
        <f>"14:57:48.703"</f>
        <v>14:57:48.703</v>
      </c>
      <c r="BY4036" t="str">
        <f>"700998195"</f>
        <v>700998195</v>
      </c>
      <c r="CL4036">
        <v>3</v>
      </c>
      <c r="CM4036">
        <v>2</v>
      </c>
      <c r="CN4036">
        <v>0</v>
      </c>
      <c r="CO4036">
        <v>2</v>
      </c>
      <c r="CP4036">
        <v>0</v>
      </c>
      <c r="CQ4036">
        <v>6</v>
      </c>
      <c r="CR4036" t="s">
        <v>116</v>
      </c>
      <c r="CS4036">
        <v>305</v>
      </c>
      <c r="CT4036">
        <v>3</v>
      </c>
      <c r="CU4036" t="s">
        <v>6425</v>
      </c>
      <c r="CV4036" t="s">
        <v>6426</v>
      </c>
      <c r="CY4036">
        <v>6921487</v>
      </c>
      <c r="CZ4036" t="s">
        <v>119</v>
      </c>
    </row>
    <row r="4037" spans="1:104" x14ac:dyDescent="0.25">
      <c r="A4037" t="str">
        <f>"14:57:49.859"</f>
        <v>14:57:49.859</v>
      </c>
      <c r="B4037" t="s">
        <v>108</v>
      </c>
      <c r="C4037" t="str">
        <f t="shared" si="187"/>
        <v>ffdfd3c0</v>
      </c>
      <c r="D4037" t="s">
        <v>109</v>
      </c>
      <c r="E4037">
        <v>4</v>
      </c>
      <c r="F4037">
        <v>1004</v>
      </c>
      <c r="G4037" t="s">
        <v>110</v>
      </c>
      <c r="J4037" t="s">
        <v>111</v>
      </c>
      <c r="K4037">
        <v>0</v>
      </c>
      <c r="L4037">
        <v>3</v>
      </c>
      <c r="M4037">
        <v>0</v>
      </c>
      <c r="N4037">
        <v>2</v>
      </c>
      <c r="O4037">
        <v>1</v>
      </c>
      <c r="P4037">
        <v>0</v>
      </c>
      <c r="Q4037">
        <v>0</v>
      </c>
      <c r="R4037" t="s">
        <v>112</v>
      </c>
      <c r="S4037" t="str">
        <f>"14:57:49.664"</f>
        <v>14:57:49.664</v>
      </c>
      <c r="T4037" t="str">
        <f>"14:57:49.164"</f>
        <v>14:57:49.164</v>
      </c>
      <c r="U4037" t="str">
        <f t="shared" si="189"/>
        <v>ad5732</v>
      </c>
      <c r="V4037">
        <v>0</v>
      </c>
      <c r="W4037">
        <v>0</v>
      </c>
      <c r="X4037">
        <v>1</v>
      </c>
      <c r="Z4037">
        <v>0</v>
      </c>
      <c r="AA4037">
        <v>9</v>
      </c>
      <c r="AB4037">
        <v>3</v>
      </c>
      <c r="AC4037">
        <v>0</v>
      </c>
      <c r="AD4037">
        <v>10</v>
      </c>
      <c r="AE4037">
        <v>0</v>
      </c>
      <c r="AF4037">
        <v>3</v>
      </c>
      <c r="AG4037">
        <v>2</v>
      </c>
      <c r="AH4037">
        <v>0</v>
      </c>
      <c r="AI4037" t="s">
        <v>8122</v>
      </c>
      <c r="AJ4037">
        <v>40.584977000000002</v>
      </c>
      <c r="AK4037" t="s">
        <v>8123</v>
      </c>
      <c r="AL4037">
        <v>-74.310901000000001</v>
      </c>
      <c r="AM4037">
        <v>100</v>
      </c>
      <c r="AN4037">
        <v>300</v>
      </c>
      <c r="AO4037" t="s">
        <v>115</v>
      </c>
      <c r="AP4037">
        <v>30</v>
      </c>
      <c r="AQ4037">
        <v>65</v>
      </c>
      <c r="AR4037">
        <v>192</v>
      </c>
      <c r="AZ4037">
        <v>3614</v>
      </c>
      <c r="BA4037">
        <v>1</v>
      </c>
      <c r="BB4037" t="str">
        <f t="shared" si="188"/>
        <v xml:space="preserve">N959MJ  </v>
      </c>
      <c r="BC4037">
        <v>1</v>
      </c>
      <c r="BE4037">
        <v>0</v>
      </c>
      <c r="BF4037">
        <v>0</v>
      </c>
      <c r="BG4037">
        <v>0</v>
      </c>
      <c r="BH4037">
        <v>425</v>
      </c>
      <c r="BI4037">
        <v>125</v>
      </c>
      <c r="BJ4037">
        <v>1</v>
      </c>
      <c r="BK4037">
        <v>1</v>
      </c>
      <c r="BL4037">
        <v>1</v>
      </c>
      <c r="BM4037">
        <v>0</v>
      </c>
      <c r="BP4037">
        <v>0</v>
      </c>
      <c r="BQ4037">
        <v>0</v>
      </c>
      <c r="BX4037" t="str">
        <f>"14:57:49.664"</f>
        <v>14:57:49.664</v>
      </c>
      <c r="BY4037" t="str">
        <f>"667671239"</f>
        <v>667671239</v>
      </c>
      <c r="CL4037">
        <v>3</v>
      </c>
      <c r="CM4037">
        <v>2</v>
      </c>
      <c r="CN4037">
        <v>0</v>
      </c>
      <c r="CO4037">
        <v>2</v>
      </c>
      <c r="CP4037">
        <v>0</v>
      </c>
      <c r="CQ4037">
        <v>6</v>
      </c>
      <c r="CR4037" t="s">
        <v>116</v>
      </c>
      <c r="CS4037">
        <v>305</v>
      </c>
      <c r="CT4037">
        <v>3</v>
      </c>
      <c r="CU4037" t="s">
        <v>6425</v>
      </c>
      <c r="CV4037" t="s">
        <v>6426</v>
      </c>
      <c r="CY4037">
        <v>6923413</v>
      </c>
      <c r="CZ4037" t="s">
        <v>119</v>
      </c>
    </row>
    <row r="4038" spans="1:104" x14ac:dyDescent="0.25">
      <c r="A4038" t="str">
        <f>"14:57:50.867"</f>
        <v>14:57:50.867</v>
      </c>
      <c r="B4038" t="s">
        <v>108</v>
      </c>
      <c r="C4038" t="str">
        <f t="shared" si="187"/>
        <v>ffdfd3c0</v>
      </c>
      <c r="D4038" t="s">
        <v>109</v>
      </c>
      <c r="E4038">
        <v>4</v>
      </c>
      <c r="F4038">
        <v>1004</v>
      </c>
      <c r="G4038" t="s">
        <v>110</v>
      </c>
      <c r="J4038" t="s">
        <v>111</v>
      </c>
      <c r="K4038">
        <v>0</v>
      </c>
      <c r="L4038">
        <v>3</v>
      </c>
      <c r="M4038">
        <v>0</v>
      </c>
      <c r="N4038">
        <v>2</v>
      </c>
      <c r="O4038">
        <v>1</v>
      </c>
      <c r="P4038">
        <v>0</v>
      </c>
      <c r="Q4038">
        <v>0</v>
      </c>
      <c r="R4038" t="s">
        <v>112</v>
      </c>
      <c r="S4038" t="str">
        <f>"14:57:50.703"</f>
        <v>14:57:50.703</v>
      </c>
      <c r="T4038" t="str">
        <f>"14:57:50.203"</f>
        <v>14:57:50.203</v>
      </c>
      <c r="U4038" t="str">
        <f t="shared" si="189"/>
        <v>ad5732</v>
      </c>
      <c r="V4038">
        <v>0</v>
      </c>
      <c r="W4038">
        <v>0</v>
      </c>
      <c r="X4038">
        <v>1</v>
      </c>
      <c r="Z4038">
        <v>0</v>
      </c>
      <c r="AA4038">
        <v>9</v>
      </c>
      <c r="AB4038">
        <v>3</v>
      </c>
      <c r="AC4038">
        <v>0</v>
      </c>
      <c r="AD4038">
        <v>10</v>
      </c>
      <c r="AE4038">
        <v>0</v>
      </c>
      <c r="AF4038">
        <v>3</v>
      </c>
      <c r="AG4038">
        <v>2</v>
      </c>
      <c r="AH4038">
        <v>0</v>
      </c>
      <c r="AI4038" t="s">
        <v>8124</v>
      </c>
      <c r="AJ4038">
        <v>40.585256000000001</v>
      </c>
      <c r="AK4038" t="s">
        <v>8125</v>
      </c>
      <c r="AL4038">
        <v>-74.310708000000005</v>
      </c>
      <c r="AM4038">
        <v>100</v>
      </c>
      <c r="AN4038">
        <v>300</v>
      </c>
      <c r="AO4038" t="s">
        <v>115</v>
      </c>
      <c r="AP4038">
        <v>29</v>
      </c>
      <c r="AQ4038">
        <v>64</v>
      </c>
      <c r="AR4038">
        <v>192</v>
      </c>
      <c r="AZ4038">
        <v>3614</v>
      </c>
      <c r="BA4038">
        <v>1</v>
      </c>
      <c r="BB4038" t="str">
        <f t="shared" si="188"/>
        <v xml:space="preserve">N959MJ  </v>
      </c>
      <c r="BC4038">
        <v>1</v>
      </c>
      <c r="BE4038">
        <v>0</v>
      </c>
      <c r="BF4038">
        <v>0</v>
      </c>
      <c r="BG4038">
        <v>0</v>
      </c>
      <c r="BH4038">
        <v>425</v>
      </c>
      <c r="BI4038">
        <v>125</v>
      </c>
      <c r="BJ4038">
        <v>1</v>
      </c>
      <c r="BK4038">
        <v>1</v>
      </c>
      <c r="BL4038">
        <v>1</v>
      </c>
      <c r="BM4038">
        <v>0</v>
      </c>
      <c r="BP4038">
        <v>0</v>
      </c>
      <c r="BQ4038">
        <v>0</v>
      </c>
      <c r="BX4038" t="str">
        <f>"14:57:50.703"</f>
        <v>14:57:50.703</v>
      </c>
      <c r="BY4038" t="str">
        <f>"704796728"</f>
        <v>704796728</v>
      </c>
      <c r="CL4038">
        <v>3</v>
      </c>
      <c r="CM4038">
        <v>2</v>
      </c>
      <c r="CN4038">
        <v>0</v>
      </c>
      <c r="CO4038">
        <v>2</v>
      </c>
      <c r="CP4038">
        <v>0</v>
      </c>
      <c r="CQ4038">
        <v>6</v>
      </c>
      <c r="CR4038" t="s">
        <v>116</v>
      </c>
      <c r="CS4038">
        <v>305</v>
      </c>
      <c r="CT4038">
        <v>3</v>
      </c>
      <c r="CU4038" t="s">
        <v>6425</v>
      </c>
      <c r="CV4038" t="s">
        <v>6426</v>
      </c>
      <c r="CY4038">
        <v>6925435</v>
      </c>
      <c r="CZ4038" t="s">
        <v>119</v>
      </c>
    </row>
    <row r="4039" spans="1:104" x14ac:dyDescent="0.25">
      <c r="A4039" t="str">
        <f>"14:57:51.930"</f>
        <v>14:57:51.930</v>
      </c>
      <c r="B4039" t="s">
        <v>108</v>
      </c>
      <c r="C4039" t="str">
        <f t="shared" si="187"/>
        <v>ffdfd3c0</v>
      </c>
      <c r="D4039" t="s">
        <v>109</v>
      </c>
      <c r="E4039">
        <v>4</v>
      </c>
      <c r="F4039">
        <v>1004</v>
      </c>
      <c r="G4039" t="s">
        <v>110</v>
      </c>
      <c r="J4039" t="s">
        <v>111</v>
      </c>
      <c r="K4039">
        <v>0</v>
      </c>
      <c r="L4039">
        <v>3</v>
      </c>
      <c r="M4039">
        <v>0</v>
      </c>
      <c r="N4039">
        <v>2</v>
      </c>
      <c r="O4039">
        <v>1</v>
      </c>
      <c r="P4039">
        <v>0</v>
      </c>
      <c r="Q4039">
        <v>0</v>
      </c>
      <c r="R4039" t="s">
        <v>112</v>
      </c>
      <c r="S4039" t="str">
        <f>"14:57:51.734"</f>
        <v>14:57:51.734</v>
      </c>
      <c r="T4039" t="str">
        <f>"14:57:50.734"</f>
        <v>14:57:50.734</v>
      </c>
      <c r="U4039" t="str">
        <f t="shared" si="189"/>
        <v>ad5732</v>
      </c>
      <c r="V4039">
        <v>0</v>
      </c>
      <c r="W4039">
        <v>0</v>
      </c>
      <c r="X4039">
        <v>1</v>
      </c>
      <c r="Z4039">
        <v>0</v>
      </c>
      <c r="AA4039">
        <v>9</v>
      </c>
      <c r="AB4039">
        <v>3</v>
      </c>
      <c r="AC4039">
        <v>0</v>
      </c>
      <c r="AD4039">
        <v>10</v>
      </c>
      <c r="AE4039">
        <v>0</v>
      </c>
      <c r="AF4039">
        <v>3</v>
      </c>
      <c r="AG4039">
        <v>2</v>
      </c>
      <c r="AH4039">
        <v>0</v>
      </c>
      <c r="AI4039" t="s">
        <v>8126</v>
      </c>
      <c r="AJ4039">
        <v>40.585599000000002</v>
      </c>
      <c r="AK4039" t="s">
        <v>8127</v>
      </c>
      <c r="AL4039">
        <v>-74.310535999999999</v>
      </c>
      <c r="AM4039">
        <v>100</v>
      </c>
      <c r="AN4039">
        <v>300</v>
      </c>
      <c r="AO4039" t="s">
        <v>115</v>
      </c>
      <c r="AP4039">
        <v>29</v>
      </c>
      <c r="AQ4039">
        <v>64</v>
      </c>
      <c r="AR4039">
        <v>192</v>
      </c>
      <c r="AZ4039">
        <v>3614</v>
      </c>
      <c r="BA4039">
        <v>1</v>
      </c>
      <c r="BB4039" t="str">
        <f t="shared" si="188"/>
        <v xml:space="preserve">N959MJ  </v>
      </c>
      <c r="BC4039">
        <v>1</v>
      </c>
      <c r="BE4039">
        <v>0</v>
      </c>
      <c r="BF4039">
        <v>0</v>
      </c>
      <c r="BG4039">
        <v>0</v>
      </c>
      <c r="BH4039">
        <v>425</v>
      </c>
      <c r="BI4039">
        <v>125</v>
      </c>
      <c r="BJ4039">
        <v>1</v>
      </c>
      <c r="BK4039">
        <v>1</v>
      </c>
      <c r="BL4039">
        <v>1</v>
      </c>
      <c r="BM4039">
        <v>0</v>
      </c>
      <c r="BP4039">
        <v>0</v>
      </c>
      <c r="BQ4039">
        <v>0</v>
      </c>
      <c r="BX4039" t="str">
        <f>"14:57:51.734"</f>
        <v>14:57:51.734</v>
      </c>
      <c r="BY4039" t="str">
        <f>"737006922"</f>
        <v>737006922</v>
      </c>
      <c r="CL4039">
        <v>3</v>
      </c>
      <c r="CM4039">
        <v>2</v>
      </c>
      <c r="CN4039">
        <v>0</v>
      </c>
      <c r="CO4039">
        <v>2</v>
      </c>
      <c r="CP4039">
        <v>0</v>
      </c>
      <c r="CQ4039">
        <v>6</v>
      </c>
      <c r="CR4039" t="s">
        <v>116</v>
      </c>
      <c r="CS4039">
        <v>305</v>
      </c>
      <c r="CT4039">
        <v>3</v>
      </c>
      <c r="CU4039" t="s">
        <v>6425</v>
      </c>
      <c r="CV4039" t="s">
        <v>6426</v>
      </c>
      <c r="CY4039">
        <v>6927463</v>
      </c>
      <c r="CZ4039" t="s">
        <v>119</v>
      </c>
    </row>
    <row r="4040" spans="1:104" x14ac:dyDescent="0.25">
      <c r="A4040" t="str">
        <f>"14:57:53.898"</f>
        <v>14:57:53.898</v>
      </c>
      <c r="B4040" t="s">
        <v>108</v>
      </c>
      <c r="C4040" t="str">
        <f t="shared" si="187"/>
        <v>ffdfd3c0</v>
      </c>
      <c r="D4040" t="s">
        <v>109</v>
      </c>
      <c r="E4040">
        <v>4</v>
      </c>
      <c r="F4040">
        <v>1004</v>
      </c>
      <c r="G4040" t="s">
        <v>110</v>
      </c>
      <c r="J4040" t="s">
        <v>111</v>
      </c>
      <c r="K4040">
        <v>0</v>
      </c>
      <c r="L4040">
        <v>3</v>
      </c>
      <c r="M4040">
        <v>0</v>
      </c>
      <c r="N4040">
        <v>2</v>
      </c>
      <c r="O4040">
        <v>1</v>
      </c>
      <c r="P4040">
        <v>0</v>
      </c>
      <c r="Q4040">
        <v>0</v>
      </c>
      <c r="R4040" t="s">
        <v>112</v>
      </c>
      <c r="S4040" t="str">
        <f>"14:57:53.719"</f>
        <v>14:57:53.719</v>
      </c>
      <c r="T4040" t="str">
        <f>"14:57:52.320"</f>
        <v>14:57:52.320</v>
      </c>
      <c r="U4040" t="str">
        <f t="shared" si="189"/>
        <v>ad5732</v>
      </c>
      <c r="V4040">
        <v>0</v>
      </c>
      <c r="W4040">
        <v>0</v>
      </c>
      <c r="X4040">
        <v>1</v>
      </c>
      <c r="Z4040">
        <v>0</v>
      </c>
      <c r="AA4040">
        <v>9</v>
      </c>
      <c r="AB4040">
        <v>3</v>
      </c>
      <c r="AC4040">
        <v>0</v>
      </c>
      <c r="AD4040">
        <v>10</v>
      </c>
      <c r="AE4040">
        <v>0</v>
      </c>
      <c r="AF4040">
        <v>3</v>
      </c>
      <c r="AG4040">
        <v>2</v>
      </c>
      <c r="AH4040">
        <v>0</v>
      </c>
      <c r="AI4040" t="s">
        <v>8128</v>
      </c>
      <c r="AJ4040">
        <v>40.586157</v>
      </c>
      <c r="AK4040" t="s">
        <v>8129</v>
      </c>
      <c r="AL4040">
        <v>-74.310214999999999</v>
      </c>
      <c r="AM4040">
        <v>100</v>
      </c>
      <c r="AN4040">
        <v>300</v>
      </c>
      <c r="AO4040" t="s">
        <v>115</v>
      </c>
      <c r="AP4040">
        <v>28</v>
      </c>
      <c r="AQ4040">
        <v>63</v>
      </c>
      <c r="AR4040">
        <v>128</v>
      </c>
      <c r="AZ4040">
        <v>3614</v>
      </c>
      <c r="BA4040">
        <v>1</v>
      </c>
      <c r="BB4040" t="str">
        <f t="shared" si="188"/>
        <v xml:space="preserve">N959MJ  </v>
      </c>
      <c r="BC4040">
        <v>1</v>
      </c>
      <c r="BE4040">
        <v>0</v>
      </c>
      <c r="BF4040">
        <v>0</v>
      </c>
      <c r="BG4040">
        <v>0</v>
      </c>
      <c r="BH4040">
        <v>425</v>
      </c>
      <c r="BI4040">
        <v>125</v>
      </c>
      <c r="BJ4040">
        <v>1</v>
      </c>
      <c r="BK4040">
        <v>1</v>
      </c>
      <c r="BL4040">
        <v>1</v>
      </c>
      <c r="BM4040">
        <v>0</v>
      </c>
      <c r="BP4040">
        <v>0</v>
      </c>
      <c r="BQ4040">
        <v>0</v>
      </c>
      <c r="BX4040" t="str">
        <f>"14:57:53.727"</f>
        <v>14:57:53.727</v>
      </c>
      <c r="BY4040" t="str">
        <f>"726159149"</f>
        <v>726159149</v>
      </c>
      <c r="CL4040">
        <v>3</v>
      </c>
      <c r="CM4040">
        <v>2</v>
      </c>
      <c r="CN4040">
        <v>0</v>
      </c>
      <c r="CO4040">
        <v>2</v>
      </c>
      <c r="CP4040">
        <v>0</v>
      </c>
      <c r="CQ4040">
        <v>3</v>
      </c>
      <c r="CR4040" t="s">
        <v>116</v>
      </c>
      <c r="CS4040">
        <v>83</v>
      </c>
      <c r="CT4040">
        <v>1</v>
      </c>
      <c r="CU4040" t="s">
        <v>7152</v>
      </c>
      <c r="CV4040" t="s">
        <v>7153</v>
      </c>
      <c r="CY4040">
        <v>2447367</v>
      </c>
      <c r="CZ4040" t="s">
        <v>119</v>
      </c>
    </row>
    <row r="4041" spans="1:104" x14ac:dyDescent="0.25">
      <c r="A4041" t="str">
        <f>"14:57:54.805"</f>
        <v>14:57:54.805</v>
      </c>
      <c r="B4041" t="s">
        <v>108</v>
      </c>
      <c r="C4041" t="str">
        <f t="shared" si="187"/>
        <v>ffdfd3c0</v>
      </c>
      <c r="D4041" t="s">
        <v>109</v>
      </c>
      <c r="E4041">
        <v>4</v>
      </c>
      <c r="F4041">
        <v>1004</v>
      </c>
      <c r="G4041" t="s">
        <v>110</v>
      </c>
      <c r="J4041" t="s">
        <v>111</v>
      </c>
      <c r="K4041">
        <v>0</v>
      </c>
      <c r="L4041">
        <v>3</v>
      </c>
      <c r="M4041">
        <v>0</v>
      </c>
      <c r="N4041">
        <v>2</v>
      </c>
      <c r="O4041">
        <v>1</v>
      </c>
      <c r="P4041">
        <v>0</v>
      </c>
      <c r="Q4041">
        <v>0</v>
      </c>
      <c r="R4041" t="s">
        <v>112</v>
      </c>
      <c r="S4041" t="str">
        <f>"14:57:54.594"</f>
        <v>14:57:54.594</v>
      </c>
      <c r="T4041" t="str">
        <f>"14:57:54.195"</f>
        <v>14:57:54.195</v>
      </c>
      <c r="U4041" t="str">
        <f t="shared" si="189"/>
        <v>ad5732</v>
      </c>
      <c r="V4041">
        <v>0</v>
      </c>
      <c r="W4041">
        <v>0</v>
      </c>
      <c r="X4041">
        <v>1</v>
      </c>
      <c r="Z4041">
        <v>0</v>
      </c>
      <c r="AA4041">
        <v>9</v>
      </c>
      <c r="AB4041">
        <v>3</v>
      </c>
      <c r="AC4041">
        <v>0</v>
      </c>
      <c r="AD4041">
        <v>10</v>
      </c>
      <c r="AE4041">
        <v>0</v>
      </c>
      <c r="AF4041">
        <v>3</v>
      </c>
      <c r="AG4041">
        <v>2</v>
      </c>
      <c r="AH4041">
        <v>0</v>
      </c>
      <c r="AI4041" t="s">
        <v>8130</v>
      </c>
      <c r="AJ4041">
        <v>40.586435999999999</v>
      </c>
      <c r="AK4041" t="s">
        <v>8131</v>
      </c>
      <c r="AL4041">
        <v>-74.310063999999997</v>
      </c>
      <c r="AM4041">
        <v>100</v>
      </c>
      <c r="AN4041">
        <v>300</v>
      </c>
      <c r="AO4041" t="s">
        <v>115</v>
      </c>
      <c r="AP4041">
        <v>28</v>
      </c>
      <c r="AQ4041">
        <v>62</v>
      </c>
      <c r="AR4041">
        <v>0</v>
      </c>
      <c r="AZ4041">
        <v>3614</v>
      </c>
      <c r="BA4041">
        <v>1</v>
      </c>
      <c r="BB4041" t="str">
        <f t="shared" si="188"/>
        <v xml:space="preserve">N959MJ  </v>
      </c>
      <c r="BC4041">
        <v>1</v>
      </c>
      <c r="BE4041">
        <v>0</v>
      </c>
      <c r="BF4041">
        <v>0</v>
      </c>
      <c r="BG4041">
        <v>0</v>
      </c>
      <c r="BH4041">
        <v>425</v>
      </c>
      <c r="BI4041">
        <v>125</v>
      </c>
      <c r="BJ4041">
        <v>1</v>
      </c>
      <c r="BK4041">
        <v>1</v>
      </c>
      <c r="BL4041">
        <v>1</v>
      </c>
      <c r="BM4041">
        <v>0</v>
      </c>
      <c r="BP4041">
        <v>0</v>
      </c>
      <c r="BQ4041">
        <v>0</v>
      </c>
      <c r="BX4041" t="str">
        <f>"14:57:54.602"</f>
        <v>14:57:54.602</v>
      </c>
      <c r="BY4041" t="str">
        <f>"600980741"</f>
        <v>600980741</v>
      </c>
      <c r="CL4041">
        <v>3</v>
      </c>
      <c r="CM4041">
        <v>2</v>
      </c>
      <c r="CN4041">
        <v>0</v>
      </c>
      <c r="CO4041">
        <v>2</v>
      </c>
      <c r="CP4041">
        <v>0</v>
      </c>
      <c r="CQ4041">
        <v>6</v>
      </c>
      <c r="CR4041" t="s">
        <v>116</v>
      </c>
      <c r="CS4041">
        <v>305</v>
      </c>
      <c r="CT4041">
        <v>3</v>
      </c>
      <c r="CU4041" t="s">
        <v>6425</v>
      </c>
      <c r="CV4041" t="s">
        <v>6426</v>
      </c>
      <c r="CY4041">
        <v>6933480</v>
      </c>
      <c r="CZ4041" t="s">
        <v>119</v>
      </c>
    </row>
    <row r="4042" spans="1:104" x14ac:dyDescent="0.25">
      <c r="A4042" t="str">
        <f>"14:57:55.813"</f>
        <v>14:57:55.813</v>
      </c>
      <c r="B4042" t="s">
        <v>108</v>
      </c>
      <c r="C4042" t="str">
        <f t="shared" ref="C4042:C4052" si="190">"ffdfd3c0"</f>
        <v>ffdfd3c0</v>
      </c>
      <c r="D4042" t="s">
        <v>109</v>
      </c>
      <c r="E4042">
        <v>4</v>
      </c>
      <c r="F4042">
        <v>1004</v>
      </c>
      <c r="G4042" t="s">
        <v>110</v>
      </c>
      <c r="J4042" t="s">
        <v>111</v>
      </c>
      <c r="K4042">
        <v>0</v>
      </c>
      <c r="L4042">
        <v>3</v>
      </c>
      <c r="M4042">
        <v>0</v>
      </c>
      <c r="N4042">
        <v>2</v>
      </c>
      <c r="O4042">
        <v>1</v>
      </c>
      <c r="P4042">
        <v>0</v>
      </c>
      <c r="Q4042">
        <v>0</v>
      </c>
      <c r="R4042" t="s">
        <v>112</v>
      </c>
      <c r="S4042" t="str">
        <f>"14:57:55.641"</f>
        <v>14:57:55.641</v>
      </c>
      <c r="T4042" t="str">
        <f>"14:57:55.141"</f>
        <v>14:57:55.141</v>
      </c>
      <c r="U4042" t="str">
        <f t="shared" si="189"/>
        <v>ad5732</v>
      </c>
      <c r="V4042">
        <v>0</v>
      </c>
      <c r="W4042">
        <v>0</v>
      </c>
      <c r="X4042">
        <v>1</v>
      </c>
      <c r="Z4042">
        <v>0</v>
      </c>
      <c r="AA4042">
        <v>9</v>
      </c>
      <c r="AB4042">
        <v>3</v>
      </c>
      <c r="AC4042">
        <v>0</v>
      </c>
      <c r="AD4042">
        <v>10</v>
      </c>
      <c r="AE4042">
        <v>0</v>
      </c>
      <c r="AF4042">
        <v>3</v>
      </c>
      <c r="AG4042">
        <v>2</v>
      </c>
      <c r="AH4042">
        <v>0</v>
      </c>
      <c r="AI4042" t="s">
        <v>8132</v>
      </c>
      <c r="AJ4042">
        <v>40.586714999999998</v>
      </c>
      <c r="AK4042" t="s">
        <v>8133</v>
      </c>
      <c r="AL4042">
        <v>-74.309893000000002</v>
      </c>
      <c r="AM4042">
        <v>100</v>
      </c>
      <c r="AN4042">
        <v>300</v>
      </c>
      <c r="AO4042" t="s">
        <v>115</v>
      </c>
      <c r="AP4042">
        <v>28</v>
      </c>
      <c r="AQ4042">
        <v>61</v>
      </c>
      <c r="AR4042">
        <v>-64</v>
      </c>
      <c r="AZ4042">
        <v>3614</v>
      </c>
      <c r="BA4042">
        <v>1</v>
      </c>
      <c r="BB4042" t="str">
        <f t="shared" ref="BB4042:BB4052" si="191">"N959MJ  "</f>
        <v xml:space="preserve">N959MJ  </v>
      </c>
      <c r="BC4042">
        <v>1</v>
      </c>
      <c r="BE4042">
        <v>0</v>
      </c>
      <c r="BF4042">
        <v>0</v>
      </c>
      <c r="BG4042">
        <v>0</v>
      </c>
      <c r="BH4042">
        <v>425</v>
      </c>
      <c r="BI4042">
        <v>125</v>
      </c>
      <c r="BJ4042">
        <v>1</v>
      </c>
      <c r="BK4042">
        <v>1</v>
      </c>
      <c r="BL4042">
        <v>1</v>
      </c>
      <c r="BM4042">
        <v>0</v>
      </c>
      <c r="BP4042">
        <v>0</v>
      </c>
      <c r="BQ4042">
        <v>0</v>
      </c>
      <c r="BX4042" t="str">
        <f>"14:57:55.648"</f>
        <v>14:57:55.648</v>
      </c>
      <c r="BY4042" t="str">
        <f>"644659863"</f>
        <v>644659863</v>
      </c>
      <c r="CL4042">
        <v>3</v>
      </c>
      <c r="CM4042">
        <v>2</v>
      </c>
      <c r="CN4042">
        <v>0</v>
      </c>
      <c r="CO4042">
        <v>2</v>
      </c>
      <c r="CP4042">
        <v>0</v>
      </c>
      <c r="CQ4042">
        <v>6</v>
      </c>
      <c r="CR4042" t="s">
        <v>116</v>
      </c>
      <c r="CS4042">
        <v>305</v>
      </c>
      <c r="CT4042">
        <v>3</v>
      </c>
      <c r="CU4042" t="s">
        <v>6425</v>
      </c>
      <c r="CV4042" t="s">
        <v>6426</v>
      </c>
      <c r="CY4042">
        <v>6935499</v>
      </c>
      <c r="CZ4042" t="s">
        <v>119</v>
      </c>
    </row>
    <row r="4043" spans="1:104" x14ac:dyDescent="0.25">
      <c r="A4043" t="str">
        <f>"14:57:56.820"</f>
        <v>14:57:56.820</v>
      </c>
      <c r="B4043" t="s">
        <v>108</v>
      </c>
      <c r="C4043" t="str">
        <f t="shared" si="190"/>
        <v>ffdfd3c0</v>
      </c>
      <c r="D4043" t="s">
        <v>109</v>
      </c>
      <c r="E4043">
        <v>4</v>
      </c>
      <c r="F4043">
        <v>1004</v>
      </c>
      <c r="G4043" t="s">
        <v>110</v>
      </c>
      <c r="J4043" t="s">
        <v>111</v>
      </c>
      <c r="K4043">
        <v>0</v>
      </c>
      <c r="L4043">
        <v>3</v>
      </c>
      <c r="M4043">
        <v>0</v>
      </c>
      <c r="N4043">
        <v>2</v>
      </c>
      <c r="O4043">
        <v>1</v>
      </c>
      <c r="P4043">
        <v>0</v>
      </c>
      <c r="Q4043">
        <v>0</v>
      </c>
      <c r="R4043" t="s">
        <v>112</v>
      </c>
      <c r="S4043" t="str">
        <f>"14:57:56.648"</f>
        <v>14:57:56.648</v>
      </c>
      <c r="T4043" t="str">
        <f>"14:57:56.148"</f>
        <v>14:57:56.148</v>
      </c>
      <c r="U4043" t="str">
        <f t="shared" si="189"/>
        <v>ad5732</v>
      </c>
      <c r="V4043">
        <v>0</v>
      </c>
      <c r="W4043">
        <v>0</v>
      </c>
      <c r="X4043">
        <v>1</v>
      </c>
      <c r="Z4043">
        <v>0</v>
      </c>
      <c r="AA4043">
        <v>9</v>
      </c>
      <c r="AB4043">
        <v>3</v>
      </c>
      <c r="AC4043">
        <v>0</v>
      </c>
      <c r="AD4043">
        <v>10</v>
      </c>
      <c r="AE4043">
        <v>0</v>
      </c>
      <c r="AF4043">
        <v>3</v>
      </c>
      <c r="AG4043">
        <v>2</v>
      </c>
      <c r="AH4043">
        <v>0</v>
      </c>
      <c r="AI4043" t="s">
        <v>8134</v>
      </c>
      <c r="AJ4043">
        <v>40.586993999999997</v>
      </c>
      <c r="AK4043" t="s">
        <v>8135</v>
      </c>
      <c r="AL4043">
        <v>-74.309720999999996</v>
      </c>
      <c r="AM4043">
        <v>100</v>
      </c>
      <c r="AN4043">
        <v>300</v>
      </c>
      <c r="AO4043" t="s">
        <v>115</v>
      </c>
      <c r="AP4043">
        <v>28</v>
      </c>
      <c r="AQ4043">
        <v>61</v>
      </c>
      <c r="AR4043">
        <v>-64</v>
      </c>
      <c r="AZ4043">
        <v>3614</v>
      </c>
      <c r="BA4043">
        <v>1</v>
      </c>
      <c r="BB4043" t="str">
        <f t="shared" si="191"/>
        <v xml:space="preserve">N959MJ  </v>
      </c>
      <c r="BC4043">
        <v>1</v>
      </c>
      <c r="BE4043">
        <v>0</v>
      </c>
      <c r="BF4043">
        <v>0</v>
      </c>
      <c r="BG4043">
        <v>0</v>
      </c>
      <c r="BH4043">
        <v>425</v>
      </c>
      <c r="BI4043">
        <v>125</v>
      </c>
      <c r="BJ4043">
        <v>1</v>
      </c>
      <c r="BK4043">
        <v>1</v>
      </c>
      <c r="BL4043">
        <v>1</v>
      </c>
      <c r="BM4043">
        <v>0</v>
      </c>
      <c r="BP4043">
        <v>0</v>
      </c>
      <c r="BQ4043">
        <v>0</v>
      </c>
      <c r="BX4043" t="str">
        <f>"14:57:56.656"</f>
        <v>14:57:56.656</v>
      </c>
      <c r="BY4043" t="str">
        <f>"655570579"</f>
        <v>655570579</v>
      </c>
      <c r="CL4043">
        <v>3</v>
      </c>
      <c r="CM4043">
        <v>2</v>
      </c>
      <c r="CN4043">
        <v>0</v>
      </c>
      <c r="CO4043">
        <v>2</v>
      </c>
      <c r="CP4043">
        <v>0</v>
      </c>
      <c r="CQ4043">
        <v>6</v>
      </c>
      <c r="CR4043" t="s">
        <v>116</v>
      </c>
      <c r="CS4043">
        <v>305</v>
      </c>
      <c r="CT4043">
        <v>3</v>
      </c>
      <c r="CU4043" t="s">
        <v>6425</v>
      </c>
      <c r="CV4043" t="s">
        <v>6426</v>
      </c>
      <c r="CY4043">
        <v>6937471</v>
      </c>
      <c r="CZ4043" t="s">
        <v>119</v>
      </c>
    </row>
    <row r="4044" spans="1:104" x14ac:dyDescent="0.25">
      <c r="A4044" t="str">
        <f>"14:57:58.336"</f>
        <v>14:57:58.336</v>
      </c>
      <c r="B4044" t="s">
        <v>108</v>
      </c>
      <c r="C4044" t="str">
        <f t="shared" si="190"/>
        <v>ffdfd3c0</v>
      </c>
      <c r="D4044" t="s">
        <v>109</v>
      </c>
      <c r="E4044">
        <v>4</v>
      </c>
      <c r="F4044">
        <v>1004</v>
      </c>
      <c r="G4044" t="s">
        <v>110</v>
      </c>
      <c r="J4044" t="s">
        <v>111</v>
      </c>
      <c r="K4044">
        <v>0</v>
      </c>
      <c r="L4044">
        <v>3</v>
      </c>
      <c r="M4044">
        <v>0</v>
      </c>
      <c r="N4044">
        <v>2</v>
      </c>
      <c r="O4044">
        <v>1</v>
      </c>
      <c r="P4044">
        <v>0</v>
      </c>
      <c r="Q4044">
        <v>0</v>
      </c>
      <c r="R4044" t="s">
        <v>112</v>
      </c>
      <c r="S4044" t="str">
        <f>"14:57:58.117"</f>
        <v>14:57:58.117</v>
      </c>
      <c r="T4044" t="str">
        <f>"14:57:57.219"</f>
        <v>14:57:57.219</v>
      </c>
      <c r="U4044" t="str">
        <f t="shared" si="189"/>
        <v>ad5732</v>
      </c>
      <c r="V4044">
        <v>0</v>
      </c>
      <c r="W4044">
        <v>0</v>
      </c>
      <c r="X4044">
        <v>1</v>
      </c>
      <c r="Z4044">
        <v>0</v>
      </c>
      <c r="AA4044">
        <v>9</v>
      </c>
      <c r="AB4044">
        <v>3</v>
      </c>
      <c r="AC4044">
        <v>0</v>
      </c>
      <c r="AD4044">
        <v>10</v>
      </c>
      <c r="AE4044">
        <v>0</v>
      </c>
      <c r="AF4044">
        <v>3</v>
      </c>
      <c r="AG4044">
        <v>2</v>
      </c>
      <c r="AH4044">
        <v>0</v>
      </c>
      <c r="AI4044" t="s">
        <v>8136</v>
      </c>
      <c r="AJ4044">
        <v>40.587401</v>
      </c>
      <c r="AK4044" t="s">
        <v>8137</v>
      </c>
      <c r="AL4044">
        <v>-74.309464000000006</v>
      </c>
      <c r="AM4044">
        <v>100</v>
      </c>
      <c r="AN4044">
        <v>300</v>
      </c>
      <c r="AO4044" t="s">
        <v>115</v>
      </c>
      <c r="AP4044">
        <v>27</v>
      </c>
      <c r="AQ4044">
        <v>60</v>
      </c>
      <c r="AR4044">
        <v>-128</v>
      </c>
      <c r="AZ4044">
        <v>3614</v>
      </c>
      <c r="BA4044">
        <v>1</v>
      </c>
      <c r="BB4044" t="str">
        <f t="shared" si="191"/>
        <v xml:space="preserve">N959MJ  </v>
      </c>
      <c r="BC4044">
        <v>1</v>
      </c>
      <c r="BE4044">
        <v>0</v>
      </c>
      <c r="BF4044">
        <v>0</v>
      </c>
      <c r="BG4044">
        <v>0</v>
      </c>
      <c r="BH4044">
        <v>425</v>
      </c>
      <c r="BI4044">
        <v>125</v>
      </c>
      <c r="BJ4044">
        <v>1</v>
      </c>
      <c r="BK4044">
        <v>1</v>
      </c>
      <c r="BL4044">
        <v>1</v>
      </c>
      <c r="BM4044">
        <v>0</v>
      </c>
      <c r="BP4044">
        <v>0</v>
      </c>
      <c r="BQ4044">
        <v>0</v>
      </c>
      <c r="BX4044" t="str">
        <f>"14:57:58.125"</f>
        <v>14:57:58.125</v>
      </c>
      <c r="BY4044" t="str">
        <f>"123602710"</f>
        <v>123602710</v>
      </c>
      <c r="CL4044">
        <v>3</v>
      </c>
      <c r="CM4044">
        <v>2</v>
      </c>
      <c r="CN4044">
        <v>0</v>
      </c>
      <c r="CO4044">
        <v>2</v>
      </c>
      <c r="CP4044">
        <v>0</v>
      </c>
      <c r="CQ4044">
        <v>6</v>
      </c>
      <c r="CR4044" t="s">
        <v>116</v>
      </c>
      <c r="CS4044">
        <v>305</v>
      </c>
      <c r="CT4044">
        <v>3</v>
      </c>
      <c r="CU4044" t="s">
        <v>6425</v>
      </c>
      <c r="CV4044" t="s">
        <v>6426</v>
      </c>
      <c r="CY4044">
        <v>6940631</v>
      </c>
      <c r="CZ4044" t="s">
        <v>119</v>
      </c>
    </row>
    <row r="4045" spans="1:104" x14ac:dyDescent="0.25">
      <c r="A4045" t="str">
        <f>"14:57:59.352"</f>
        <v>14:57:59.352</v>
      </c>
      <c r="B4045" t="s">
        <v>108</v>
      </c>
      <c r="C4045" t="str">
        <f t="shared" si="190"/>
        <v>ffdfd3c0</v>
      </c>
      <c r="D4045" t="s">
        <v>109</v>
      </c>
      <c r="E4045">
        <v>4</v>
      </c>
      <c r="F4045">
        <v>1004</v>
      </c>
      <c r="G4045" t="s">
        <v>110</v>
      </c>
      <c r="J4045" t="s">
        <v>111</v>
      </c>
      <c r="K4045">
        <v>0</v>
      </c>
      <c r="L4045">
        <v>3</v>
      </c>
      <c r="M4045">
        <v>0</v>
      </c>
      <c r="N4045">
        <v>2</v>
      </c>
      <c r="O4045">
        <v>1</v>
      </c>
      <c r="P4045">
        <v>0</v>
      </c>
      <c r="Q4045">
        <v>0</v>
      </c>
      <c r="R4045" t="s">
        <v>112</v>
      </c>
      <c r="S4045" t="str">
        <f>"14:57:59.172"</f>
        <v>14:57:59.172</v>
      </c>
      <c r="T4045" t="str">
        <f>"14:57:58.672"</f>
        <v>14:57:58.672</v>
      </c>
      <c r="U4045" t="str">
        <f t="shared" si="189"/>
        <v>ad5732</v>
      </c>
      <c r="V4045">
        <v>0</v>
      </c>
      <c r="W4045">
        <v>0</v>
      </c>
      <c r="X4045">
        <v>1</v>
      </c>
      <c r="Z4045">
        <v>0</v>
      </c>
      <c r="AA4045">
        <v>9</v>
      </c>
      <c r="AB4045">
        <v>3</v>
      </c>
      <c r="AC4045">
        <v>0</v>
      </c>
      <c r="AD4045">
        <v>10</v>
      </c>
      <c r="AE4045">
        <v>0</v>
      </c>
      <c r="AF4045">
        <v>3</v>
      </c>
      <c r="AG4045">
        <v>2</v>
      </c>
      <c r="AH4045">
        <v>0</v>
      </c>
      <c r="AI4045" t="s">
        <v>8138</v>
      </c>
      <c r="AJ4045">
        <v>40.587702</v>
      </c>
      <c r="AK4045" t="s">
        <v>8139</v>
      </c>
      <c r="AL4045">
        <v>-74.309335000000004</v>
      </c>
      <c r="AM4045">
        <v>100</v>
      </c>
      <c r="AN4045">
        <v>300</v>
      </c>
      <c r="AO4045" t="s">
        <v>115</v>
      </c>
      <c r="AP4045">
        <v>26</v>
      </c>
      <c r="AQ4045">
        <v>60</v>
      </c>
      <c r="AR4045">
        <v>-192</v>
      </c>
      <c r="AZ4045">
        <v>3614</v>
      </c>
      <c r="BA4045">
        <v>1</v>
      </c>
      <c r="BB4045" t="str">
        <f t="shared" si="191"/>
        <v xml:space="preserve">N959MJ  </v>
      </c>
      <c r="BC4045">
        <v>1</v>
      </c>
      <c r="BE4045">
        <v>0</v>
      </c>
      <c r="BF4045">
        <v>0</v>
      </c>
      <c r="BG4045">
        <v>0</v>
      </c>
      <c r="BH4045">
        <v>425</v>
      </c>
      <c r="BI4045">
        <v>125</v>
      </c>
      <c r="BJ4045">
        <v>1</v>
      </c>
      <c r="BK4045">
        <v>1</v>
      </c>
      <c r="BL4045">
        <v>1</v>
      </c>
      <c r="BM4045">
        <v>0</v>
      </c>
      <c r="BP4045">
        <v>0</v>
      </c>
      <c r="BQ4045">
        <v>0</v>
      </c>
      <c r="BX4045" t="str">
        <f>"14:57:59.172"</f>
        <v>14:57:59.172</v>
      </c>
      <c r="BY4045" t="str">
        <f>"173835635"</f>
        <v>173835635</v>
      </c>
      <c r="CL4045">
        <v>3</v>
      </c>
      <c r="CM4045">
        <v>2</v>
      </c>
      <c r="CN4045">
        <v>0</v>
      </c>
      <c r="CO4045">
        <v>2</v>
      </c>
      <c r="CP4045">
        <v>0</v>
      </c>
      <c r="CQ4045">
        <v>7</v>
      </c>
      <c r="CR4045" t="s">
        <v>116</v>
      </c>
      <c r="CS4045">
        <v>305</v>
      </c>
      <c r="CT4045">
        <v>3</v>
      </c>
      <c r="CU4045" t="s">
        <v>6425</v>
      </c>
      <c r="CV4045" t="s">
        <v>6426</v>
      </c>
      <c r="CY4045">
        <v>6942711</v>
      </c>
      <c r="CZ4045" t="s">
        <v>119</v>
      </c>
    </row>
    <row r="4046" spans="1:104" x14ac:dyDescent="0.25">
      <c r="A4046" t="str">
        <f>"14:58:00.406"</f>
        <v>14:58:00.406</v>
      </c>
      <c r="B4046" t="s">
        <v>108</v>
      </c>
      <c r="C4046" t="str">
        <f t="shared" si="190"/>
        <v>ffdfd3c0</v>
      </c>
      <c r="D4046" t="s">
        <v>109</v>
      </c>
      <c r="E4046">
        <v>4</v>
      </c>
      <c r="F4046">
        <v>1004</v>
      </c>
      <c r="G4046" t="s">
        <v>110</v>
      </c>
      <c r="J4046" t="s">
        <v>111</v>
      </c>
      <c r="K4046">
        <v>0</v>
      </c>
      <c r="L4046">
        <v>3</v>
      </c>
      <c r="M4046">
        <v>0</v>
      </c>
      <c r="N4046">
        <v>2</v>
      </c>
      <c r="O4046">
        <v>1</v>
      </c>
      <c r="P4046">
        <v>0</v>
      </c>
      <c r="Q4046">
        <v>0</v>
      </c>
      <c r="R4046" t="s">
        <v>112</v>
      </c>
      <c r="S4046" t="str">
        <f>"14:58:00.203"</f>
        <v>14:58:00.203</v>
      </c>
      <c r="T4046" t="str">
        <f>"14:57:59.703"</f>
        <v>14:57:59.703</v>
      </c>
      <c r="U4046" t="str">
        <f t="shared" si="189"/>
        <v>ad5732</v>
      </c>
      <c r="V4046">
        <v>0</v>
      </c>
      <c r="W4046">
        <v>0</v>
      </c>
      <c r="X4046">
        <v>1</v>
      </c>
      <c r="Z4046">
        <v>0</v>
      </c>
      <c r="AA4046">
        <v>9</v>
      </c>
      <c r="AB4046">
        <v>3</v>
      </c>
      <c r="AC4046">
        <v>0</v>
      </c>
      <c r="AD4046">
        <v>10</v>
      </c>
      <c r="AE4046">
        <v>0</v>
      </c>
      <c r="AF4046">
        <v>3</v>
      </c>
      <c r="AG4046">
        <v>2</v>
      </c>
      <c r="AH4046">
        <v>0</v>
      </c>
      <c r="AI4046" t="s">
        <v>8140</v>
      </c>
      <c r="AJ4046">
        <v>40.587980999999999</v>
      </c>
      <c r="AK4046" t="s">
        <v>8141</v>
      </c>
      <c r="AL4046">
        <v>-74.309206000000003</v>
      </c>
      <c r="AM4046">
        <v>100</v>
      </c>
      <c r="AN4046">
        <v>300</v>
      </c>
      <c r="AO4046" t="s">
        <v>115</v>
      </c>
      <c r="AP4046">
        <v>22</v>
      </c>
      <c r="AQ4046">
        <v>62</v>
      </c>
      <c r="AR4046">
        <v>-448</v>
      </c>
      <c r="AZ4046">
        <v>3614</v>
      </c>
      <c r="BA4046">
        <v>1</v>
      </c>
      <c r="BB4046" t="str">
        <f t="shared" si="191"/>
        <v xml:space="preserve">N959MJ  </v>
      </c>
      <c r="BC4046">
        <v>1</v>
      </c>
      <c r="BE4046">
        <v>0</v>
      </c>
      <c r="BF4046">
        <v>0</v>
      </c>
      <c r="BG4046">
        <v>0</v>
      </c>
      <c r="BH4046">
        <v>425</v>
      </c>
      <c r="BI4046">
        <v>125</v>
      </c>
      <c r="BJ4046">
        <v>1</v>
      </c>
      <c r="BK4046">
        <v>1</v>
      </c>
      <c r="BL4046">
        <v>1</v>
      </c>
      <c r="BM4046">
        <v>0</v>
      </c>
      <c r="BP4046">
        <v>0</v>
      </c>
      <c r="BQ4046">
        <v>0</v>
      </c>
      <c r="BX4046" t="str">
        <f>"14:58:00.211"</f>
        <v>14:58:00.211</v>
      </c>
      <c r="BY4046" t="str">
        <f>"209322701"</f>
        <v>209322701</v>
      </c>
      <c r="CL4046">
        <v>3</v>
      </c>
      <c r="CM4046">
        <v>2</v>
      </c>
      <c r="CN4046">
        <v>0</v>
      </c>
      <c r="CO4046">
        <v>2</v>
      </c>
      <c r="CP4046">
        <v>0</v>
      </c>
      <c r="CQ4046">
        <v>7</v>
      </c>
      <c r="CR4046" t="s">
        <v>116</v>
      </c>
      <c r="CS4046">
        <v>305</v>
      </c>
      <c r="CT4046">
        <v>3</v>
      </c>
      <c r="CU4046" t="s">
        <v>6425</v>
      </c>
      <c r="CV4046" t="s">
        <v>6426</v>
      </c>
      <c r="CY4046">
        <v>6944710</v>
      </c>
      <c r="CZ4046" t="s">
        <v>119</v>
      </c>
    </row>
    <row r="4047" spans="1:104" x14ac:dyDescent="0.25">
      <c r="A4047" t="str">
        <f>"14:58:01.320"</f>
        <v>14:58:01.320</v>
      </c>
      <c r="B4047" t="s">
        <v>108</v>
      </c>
      <c r="C4047" t="str">
        <f t="shared" si="190"/>
        <v>ffdfd3c0</v>
      </c>
      <c r="D4047" t="s">
        <v>109</v>
      </c>
      <c r="E4047">
        <v>4</v>
      </c>
      <c r="F4047">
        <v>1004</v>
      </c>
      <c r="G4047" t="s">
        <v>110</v>
      </c>
      <c r="J4047" t="s">
        <v>111</v>
      </c>
      <c r="K4047">
        <v>0</v>
      </c>
      <c r="L4047">
        <v>3</v>
      </c>
      <c r="M4047">
        <v>0</v>
      </c>
      <c r="N4047">
        <v>2</v>
      </c>
      <c r="O4047">
        <v>1</v>
      </c>
      <c r="P4047">
        <v>0</v>
      </c>
      <c r="Q4047">
        <v>0</v>
      </c>
      <c r="R4047" t="s">
        <v>112</v>
      </c>
      <c r="S4047" t="str">
        <f>"14:58:01.141"</f>
        <v>14:58:01.141</v>
      </c>
      <c r="T4047" t="str">
        <f>"14:58:00.641"</f>
        <v>14:58:00.641</v>
      </c>
      <c r="U4047" t="str">
        <f t="shared" si="189"/>
        <v>ad5732</v>
      </c>
      <c r="V4047">
        <v>0</v>
      </c>
      <c r="W4047">
        <v>0</v>
      </c>
      <c r="X4047">
        <v>1</v>
      </c>
      <c r="Z4047">
        <v>0</v>
      </c>
      <c r="AA4047">
        <v>9</v>
      </c>
      <c r="AB4047">
        <v>3</v>
      </c>
      <c r="AC4047">
        <v>0</v>
      </c>
      <c r="AD4047">
        <v>10</v>
      </c>
      <c r="AE4047">
        <v>0</v>
      </c>
      <c r="AF4047">
        <v>3</v>
      </c>
      <c r="AG4047">
        <v>2</v>
      </c>
      <c r="AH4047">
        <v>0</v>
      </c>
      <c r="AI4047" t="s">
        <v>8142</v>
      </c>
      <c r="AJ4047">
        <v>40.588303000000003</v>
      </c>
      <c r="AK4047" t="s">
        <v>8143</v>
      </c>
      <c r="AL4047">
        <v>-74.309077000000002</v>
      </c>
      <c r="AM4047">
        <v>100</v>
      </c>
      <c r="AN4047">
        <v>300</v>
      </c>
      <c r="AO4047" t="s">
        <v>115</v>
      </c>
      <c r="AP4047">
        <v>17</v>
      </c>
      <c r="AQ4047">
        <v>63</v>
      </c>
      <c r="AR4047">
        <v>-768</v>
      </c>
      <c r="AZ4047">
        <v>3614</v>
      </c>
      <c r="BA4047">
        <v>1</v>
      </c>
      <c r="BB4047" t="str">
        <f t="shared" si="191"/>
        <v xml:space="preserve">N959MJ  </v>
      </c>
      <c r="BC4047">
        <v>1</v>
      </c>
      <c r="BE4047">
        <v>0</v>
      </c>
      <c r="BF4047">
        <v>0</v>
      </c>
      <c r="BG4047">
        <v>0</v>
      </c>
      <c r="BH4047">
        <v>400</v>
      </c>
      <c r="BI4047">
        <v>100</v>
      </c>
      <c r="BJ4047">
        <v>1</v>
      </c>
      <c r="BK4047">
        <v>1</v>
      </c>
      <c r="BL4047">
        <v>1</v>
      </c>
      <c r="BM4047">
        <v>0</v>
      </c>
      <c r="BP4047">
        <v>0</v>
      </c>
      <c r="BQ4047">
        <v>0</v>
      </c>
      <c r="BX4047" t="str">
        <f>"14:58:01.141"</f>
        <v>14:58:01.141</v>
      </c>
      <c r="BY4047" t="str">
        <f>"141588817"</f>
        <v>141588817</v>
      </c>
      <c r="CL4047">
        <v>3</v>
      </c>
      <c r="CM4047">
        <v>2</v>
      </c>
      <c r="CN4047">
        <v>0</v>
      </c>
      <c r="CO4047">
        <v>2</v>
      </c>
      <c r="CP4047">
        <v>0</v>
      </c>
      <c r="CQ4047">
        <v>6</v>
      </c>
      <c r="CR4047" t="s">
        <v>116</v>
      </c>
      <c r="CS4047">
        <v>305</v>
      </c>
      <c r="CT4047">
        <v>3</v>
      </c>
      <c r="CU4047" t="s">
        <v>6425</v>
      </c>
      <c r="CV4047" t="s">
        <v>6426</v>
      </c>
      <c r="CY4047">
        <v>6946570</v>
      </c>
      <c r="CZ4047" t="s">
        <v>119</v>
      </c>
    </row>
    <row r="4048" spans="1:104" x14ac:dyDescent="0.25">
      <c r="A4048" t="str">
        <f>"14:58:02.680"</f>
        <v>14:58:02.680</v>
      </c>
      <c r="B4048" t="s">
        <v>108</v>
      </c>
      <c r="C4048" t="str">
        <f t="shared" si="190"/>
        <v>ffdfd3c0</v>
      </c>
      <c r="D4048" t="s">
        <v>109</v>
      </c>
      <c r="E4048">
        <v>4</v>
      </c>
      <c r="F4048">
        <v>1004</v>
      </c>
      <c r="G4048" t="s">
        <v>110</v>
      </c>
      <c r="J4048" t="s">
        <v>111</v>
      </c>
      <c r="K4048">
        <v>0</v>
      </c>
      <c r="L4048">
        <v>3</v>
      </c>
      <c r="M4048">
        <v>0</v>
      </c>
      <c r="N4048">
        <v>2</v>
      </c>
      <c r="O4048">
        <v>1</v>
      </c>
      <c r="P4048">
        <v>0</v>
      </c>
      <c r="Q4048">
        <v>0</v>
      </c>
      <c r="R4048" t="s">
        <v>112</v>
      </c>
      <c r="S4048" t="str">
        <f>"14:58:02.484"</f>
        <v>14:58:02.484</v>
      </c>
      <c r="T4048" t="str">
        <f>"14:58:01.586"</f>
        <v>14:58:01.586</v>
      </c>
      <c r="U4048" t="str">
        <f t="shared" si="189"/>
        <v>ad5732</v>
      </c>
      <c r="V4048">
        <v>0</v>
      </c>
      <c r="W4048">
        <v>0</v>
      </c>
      <c r="X4048">
        <v>1</v>
      </c>
      <c r="Z4048">
        <v>0</v>
      </c>
      <c r="AA4048">
        <v>9</v>
      </c>
      <c r="AB4048">
        <v>3</v>
      </c>
      <c r="AC4048">
        <v>0</v>
      </c>
      <c r="AD4048">
        <v>10</v>
      </c>
      <c r="AE4048">
        <v>0</v>
      </c>
      <c r="AF4048">
        <v>3</v>
      </c>
      <c r="AG4048">
        <v>2</v>
      </c>
      <c r="AH4048">
        <v>0</v>
      </c>
      <c r="AI4048" t="s">
        <v>8144</v>
      </c>
      <c r="AJ4048">
        <v>40.588709999999999</v>
      </c>
      <c r="AK4048" t="s">
        <v>8145</v>
      </c>
      <c r="AL4048">
        <v>-74.309099000000003</v>
      </c>
      <c r="AM4048">
        <v>100</v>
      </c>
      <c r="AN4048">
        <v>400</v>
      </c>
      <c r="AO4048" t="s">
        <v>115</v>
      </c>
      <c r="AP4048">
        <v>6</v>
      </c>
      <c r="AQ4048">
        <v>66</v>
      </c>
      <c r="AR4048">
        <v>-1344</v>
      </c>
      <c r="AZ4048">
        <v>3614</v>
      </c>
      <c r="BA4048">
        <v>1</v>
      </c>
      <c r="BB4048" t="str">
        <f t="shared" si="191"/>
        <v xml:space="preserve">N959MJ  </v>
      </c>
      <c r="BC4048">
        <v>1</v>
      </c>
      <c r="BE4048">
        <v>0</v>
      </c>
      <c r="BF4048">
        <v>0</v>
      </c>
      <c r="BG4048">
        <v>0</v>
      </c>
      <c r="BH4048">
        <v>375</v>
      </c>
      <c r="BI4048">
        <v>-25</v>
      </c>
      <c r="BJ4048">
        <v>1</v>
      </c>
      <c r="BK4048">
        <v>1</v>
      </c>
      <c r="BL4048">
        <v>1</v>
      </c>
      <c r="BM4048">
        <v>0</v>
      </c>
      <c r="BP4048">
        <v>0</v>
      </c>
      <c r="BQ4048">
        <v>0</v>
      </c>
      <c r="BX4048" t="str">
        <f>"14:58:02.492"</f>
        <v>14:58:02.492</v>
      </c>
      <c r="BY4048" t="str">
        <f>"488377365"</f>
        <v>488377365</v>
      </c>
      <c r="CL4048">
        <v>3</v>
      </c>
      <c r="CM4048">
        <v>2</v>
      </c>
      <c r="CN4048">
        <v>0</v>
      </c>
      <c r="CO4048">
        <v>2</v>
      </c>
      <c r="CP4048">
        <v>0</v>
      </c>
      <c r="CQ4048">
        <v>6</v>
      </c>
      <c r="CR4048" t="s">
        <v>116</v>
      </c>
      <c r="CS4048">
        <v>305</v>
      </c>
      <c r="CT4048">
        <v>3</v>
      </c>
      <c r="CU4048" t="s">
        <v>6425</v>
      </c>
      <c r="CV4048" t="s">
        <v>6426</v>
      </c>
      <c r="CY4048">
        <v>6949391</v>
      </c>
      <c r="CZ4048" t="s">
        <v>119</v>
      </c>
    </row>
    <row r="4049" spans="1:104" x14ac:dyDescent="0.25">
      <c r="A4049" t="str">
        <f>"14:58:03.641"</f>
        <v>14:58:03.641</v>
      </c>
      <c r="B4049" t="s">
        <v>108</v>
      </c>
      <c r="C4049" t="str">
        <f t="shared" si="190"/>
        <v>ffdfd3c0</v>
      </c>
      <c r="D4049" t="s">
        <v>109</v>
      </c>
      <c r="E4049">
        <v>4</v>
      </c>
      <c r="F4049">
        <v>1004</v>
      </c>
      <c r="G4049" t="s">
        <v>110</v>
      </c>
      <c r="J4049" t="s">
        <v>111</v>
      </c>
      <c r="K4049">
        <v>0</v>
      </c>
      <c r="L4049">
        <v>3</v>
      </c>
      <c r="M4049">
        <v>0</v>
      </c>
      <c r="N4049">
        <v>2</v>
      </c>
      <c r="O4049">
        <v>1</v>
      </c>
      <c r="P4049">
        <v>0</v>
      </c>
      <c r="Q4049">
        <v>0</v>
      </c>
      <c r="R4049" t="s">
        <v>112</v>
      </c>
      <c r="S4049" t="str">
        <f>"14:58:03.492"</f>
        <v>14:58:03.492</v>
      </c>
      <c r="T4049" t="str">
        <f>"14:58:03.094"</f>
        <v>14:58:03.094</v>
      </c>
      <c r="U4049" t="str">
        <f t="shared" si="189"/>
        <v>ad5732</v>
      </c>
      <c r="V4049">
        <v>0</v>
      </c>
      <c r="W4049">
        <v>0</v>
      </c>
      <c r="X4049">
        <v>1</v>
      </c>
      <c r="Z4049">
        <v>0</v>
      </c>
      <c r="AA4049">
        <v>9</v>
      </c>
      <c r="AB4049">
        <v>3</v>
      </c>
      <c r="AC4049">
        <v>0</v>
      </c>
      <c r="AD4049">
        <v>10</v>
      </c>
      <c r="AE4049">
        <v>0</v>
      </c>
      <c r="AF4049">
        <v>3</v>
      </c>
      <c r="AG4049">
        <v>2</v>
      </c>
      <c r="AH4049">
        <v>0</v>
      </c>
      <c r="AI4049" t="s">
        <v>8146</v>
      </c>
      <c r="AJ4049">
        <v>40.588988999999998</v>
      </c>
      <c r="AK4049" t="s">
        <v>8141</v>
      </c>
      <c r="AL4049">
        <v>-74.309206000000003</v>
      </c>
      <c r="AM4049">
        <v>100</v>
      </c>
      <c r="AN4049">
        <v>100</v>
      </c>
      <c r="AO4049" t="s">
        <v>115</v>
      </c>
      <c r="AP4049">
        <v>-12</v>
      </c>
      <c r="AQ4049">
        <v>68</v>
      </c>
      <c r="AR4049">
        <v>-2880</v>
      </c>
      <c r="AZ4049">
        <v>3614</v>
      </c>
      <c r="BA4049">
        <v>1</v>
      </c>
      <c r="BB4049" t="str">
        <f t="shared" si="191"/>
        <v xml:space="preserve">N959MJ  </v>
      </c>
      <c r="BC4049">
        <v>1</v>
      </c>
      <c r="BE4049">
        <v>0</v>
      </c>
      <c r="BF4049">
        <v>0</v>
      </c>
      <c r="BG4049">
        <v>0</v>
      </c>
      <c r="BH4049">
        <v>325</v>
      </c>
      <c r="BI4049">
        <v>225</v>
      </c>
      <c r="BJ4049">
        <v>1</v>
      </c>
      <c r="BK4049">
        <v>1</v>
      </c>
      <c r="BL4049">
        <v>1</v>
      </c>
      <c r="BM4049">
        <v>0</v>
      </c>
      <c r="BP4049">
        <v>0</v>
      </c>
      <c r="BQ4049">
        <v>0</v>
      </c>
      <c r="BX4049" t="str">
        <f>"14:58:03.500"</f>
        <v>14:58:03.500</v>
      </c>
      <c r="BY4049" t="str">
        <f>"497649628"</f>
        <v>497649628</v>
      </c>
      <c r="CL4049">
        <v>3</v>
      </c>
      <c r="CM4049">
        <v>2</v>
      </c>
      <c r="CN4049">
        <v>0</v>
      </c>
      <c r="CO4049">
        <v>2</v>
      </c>
      <c r="CP4049">
        <v>0</v>
      </c>
      <c r="CQ4049">
        <v>6</v>
      </c>
      <c r="CR4049" t="s">
        <v>116</v>
      </c>
      <c r="CS4049">
        <v>305</v>
      </c>
      <c r="CT4049">
        <v>3</v>
      </c>
      <c r="CU4049" t="s">
        <v>6425</v>
      </c>
      <c r="CV4049" t="s">
        <v>6426</v>
      </c>
      <c r="CY4049">
        <v>6951476</v>
      </c>
      <c r="CZ4049" t="s">
        <v>119</v>
      </c>
    </row>
    <row r="4050" spans="1:104" x14ac:dyDescent="0.25">
      <c r="A4050" t="str">
        <f>"14:58:04.547"</f>
        <v>14:58:04.547</v>
      </c>
      <c r="B4050" t="s">
        <v>108</v>
      </c>
      <c r="C4050" t="str">
        <f t="shared" si="190"/>
        <v>ffdfd3c0</v>
      </c>
      <c r="D4050" t="s">
        <v>109</v>
      </c>
      <c r="E4050">
        <v>4</v>
      </c>
      <c r="F4050">
        <v>1004</v>
      </c>
      <c r="G4050" t="s">
        <v>110</v>
      </c>
      <c r="J4050" t="s">
        <v>111</v>
      </c>
      <c r="K4050">
        <v>0</v>
      </c>
      <c r="L4050">
        <v>3</v>
      </c>
      <c r="M4050">
        <v>0</v>
      </c>
      <c r="N4050">
        <v>2</v>
      </c>
      <c r="O4050">
        <v>1</v>
      </c>
      <c r="P4050">
        <v>0</v>
      </c>
      <c r="Q4050">
        <v>0</v>
      </c>
      <c r="R4050" t="s">
        <v>112</v>
      </c>
      <c r="S4050" t="str">
        <f>"14:58:04.375"</f>
        <v>14:58:04.375</v>
      </c>
      <c r="T4050" t="str">
        <f>"14:58:03.977"</f>
        <v>14:58:03.977</v>
      </c>
      <c r="U4050" t="str">
        <f t="shared" si="189"/>
        <v>ad5732</v>
      </c>
      <c r="V4050">
        <v>0</v>
      </c>
      <c r="W4050">
        <v>0</v>
      </c>
      <c r="X4050">
        <v>1</v>
      </c>
      <c r="Z4050">
        <v>0</v>
      </c>
      <c r="AA4050">
        <v>9</v>
      </c>
      <c r="AB4050">
        <v>3</v>
      </c>
      <c r="AC4050">
        <v>0</v>
      </c>
      <c r="AD4050">
        <v>10</v>
      </c>
      <c r="AE4050">
        <v>0</v>
      </c>
      <c r="AF4050">
        <v>3</v>
      </c>
      <c r="AG4050">
        <v>2</v>
      </c>
      <c r="AH4050">
        <v>0</v>
      </c>
      <c r="AI4050" t="s">
        <v>8147</v>
      </c>
      <c r="AJ4050">
        <v>40.589311000000002</v>
      </c>
      <c r="AK4050" t="s">
        <v>8139</v>
      </c>
      <c r="AL4050">
        <v>-74.309335000000004</v>
      </c>
      <c r="AM4050">
        <v>100</v>
      </c>
      <c r="AN4050">
        <v>0</v>
      </c>
      <c r="AO4050" t="s">
        <v>115</v>
      </c>
      <c r="AP4050">
        <v>-23</v>
      </c>
      <c r="AQ4050">
        <v>69</v>
      </c>
      <c r="AR4050">
        <v>-3392</v>
      </c>
      <c r="AZ4050">
        <v>3614</v>
      </c>
      <c r="BA4050">
        <v>1</v>
      </c>
      <c r="BB4050" t="str">
        <f t="shared" si="191"/>
        <v xml:space="preserve">N959MJ  </v>
      </c>
      <c r="BC4050">
        <v>1</v>
      </c>
      <c r="BE4050">
        <v>0</v>
      </c>
      <c r="BF4050">
        <v>0</v>
      </c>
      <c r="BG4050">
        <v>0</v>
      </c>
      <c r="BH4050">
        <v>275</v>
      </c>
      <c r="BI4050">
        <v>275</v>
      </c>
      <c r="BJ4050">
        <v>1</v>
      </c>
      <c r="BK4050">
        <v>1</v>
      </c>
      <c r="BL4050">
        <v>1</v>
      </c>
      <c r="BM4050">
        <v>0</v>
      </c>
      <c r="BP4050">
        <v>0</v>
      </c>
      <c r="BQ4050">
        <v>0</v>
      </c>
      <c r="BX4050" t="str">
        <f>"14:58:04.383"</f>
        <v>14:58:04.383</v>
      </c>
      <c r="BY4050" t="str">
        <f>"380762864"</f>
        <v>380762864</v>
      </c>
      <c r="CL4050">
        <v>3</v>
      </c>
      <c r="CM4050">
        <v>2</v>
      </c>
      <c r="CN4050">
        <v>0</v>
      </c>
      <c r="CO4050">
        <v>2</v>
      </c>
      <c r="CP4050">
        <v>0</v>
      </c>
      <c r="CQ4050">
        <v>7</v>
      </c>
      <c r="CR4050" t="s">
        <v>116</v>
      </c>
      <c r="CS4050">
        <v>305</v>
      </c>
      <c r="CT4050">
        <v>3</v>
      </c>
      <c r="CU4050" t="s">
        <v>6425</v>
      </c>
      <c r="CV4050" t="s">
        <v>6426</v>
      </c>
      <c r="CY4050">
        <v>6953221</v>
      </c>
      <c r="CZ4050" t="s">
        <v>119</v>
      </c>
    </row>
    <row r="4051" spans="1:104" x14ac:dyDescent="0.25">
      <c r="A4051" t="str">
        <f>"14:58:05.961"</f>
        <v>14:58:05.961</v>
      </c>
      <c r="B4051" t="s">
        <v>108</v>
      </c>
      <c r="C4051" t="str">
        <f t="shared" si="190"/>
        <v>ffdfd3c0</v>
      </c>
      <c r="D4051" t="s">
        <v>109</v>
      </c>
      <c r="E4051">
        <v>4</v>
      </c>
      <c r="F4051">
        <v>1004</v>
      </c>
      <c r="G4051" t="s">
        <v>110</v>
      </c>
      <c r="J4051" t="s">
        <v>111</v>
      </c>
      <c r="K4051">
        <v>0</v>
      </c>
      <c r="L4051">
        <v>3</v>
      </c>
      <c r="M4051">
        <v>0</v>
      </c>
      <c r="N4051">
        <v>2</v>
      </c>
      <c r="O4051">
        <v>1</v>
      </c>
      <c r="P4051">
        <v>0</v>
      </c>
      <c r="Q4051">
        <v>0</v>
      </c>
      <c r="R4051" t="s">
        <v>112</v>
      </c>
      <c r="S4051" t="str">
        <f>"14:58:05.766"</f>
        <v>14:58:05.766</v>
      </c>
      <c r="T4051" t="str">
        <f>"14:58:04.969"</f>
        <v>14:58:04.969</v>
      </c>
      <c r="U4051" t="str">
        <f t="shared" si="189"/>
        <v>ad5732</v>
      </c>
      <c r="V4051">
        <v>0</v>
      </c>
      <c r="W4051">
        <v>0</v>
      </c>
      <c r="X4051">
        <v>1</v>
      </c>
      <c r="Z4051">
        <v>0</v>
      </c>
      <c r="AA4051">
        <v>9</v>
      </c>
      <c r="AB4051">
        <v>3</v>
      </c>
      <c r="AC4051">
        <v>0</v>
      </c>
      <c r="AD4051">
        <v>10</v>
      </c>
      <c r="AE4051">
        <v>0</v>
      </c>
      <c r="AF4051">
        <v>3</v>
      </c>
      <c r="AG4051">
        <v>2</v>
      </c>
      <c r="AH4051">
        <v>0</v>
      </c>
      <c r="AI4051" t="s">
        <v>8148</v>
      </c>
      <c r="AJ4051">
        <v>40.589719000000002</v>
      </c>
      <c r="AK4051" t="s">
        <v>8149</v>
      </c>
      <c r="AL4051">
        <v>-74.309764000000001</v>
      </c>
      <c r="AM4051">
        <v>100</v>
      </c>
      <c r="AN4051">
        <v>0</v>
      </c>
      <c r="AO4051" t="s">
        <v>115</v>
      </c>
      <c r="AP4051">
        <v>-37</v>
      </c>
      <c r="AQ4051">
        <v>67</v>
      </c>
      <c r="AR4051">
        <v>-3712</v>
      </c>
      <c r="AZ4051">
        <v>3614</v>
      </c>
      <c r="BA4051">
        <v>1</v>
      </c>
      <c r="BB4051" t="str">
        <f t="shared" si="191"/>
        <v xml:space="preserve">N959MJ  </v>
      </c>
      <c r="BC4051">
        <v>1</v>
      </c>
      <c r="BE4051">
        <v>0</v>
      </c>
      <c r="BF4051">
        <v>0</v>
      </c>
      <c r="BG4051">
        <v>0</v>
      </c>
      <c r="BH4051">
        <v>225</v>
      </c>
      <c r="BI4051">
        <v>225</v>
      </c>
      <c r="BJ4051">
        <v>1</v>
      </c>
      <c r="BK4051">
        <v>1</v>
      </c>
      <c r="BL4051">
        <v>1</v>
      </c>
      <c r="BM4051">
        <v>0</v>
      </c>
      <c r="BP4051">
        <v>0</v>
      </c>
      <c r="BQ4051">
        <v>0</v>
      </c>
      <c r="BX4051" t="str">
        <f>"14:58:05.773"</f>
        <v>14:58:05.773</v>
      </c>
      <c r="BY4051" t="str">
        <f>"773427580"</f>
        <v>773427580</v>
      </c>
      <c r="CL4051">
        <v>3</v>
      </c>
      <c r="CM4051">
        <v>2</v>
      </c>
      <c r="CN4051">
        <v>0</v>
      </c>
      <c r="CO4051">
        <v>2</v>
      </c>
      <c r="CP4051">
        <v>0</v>
      </c>
      <c r="CQ4051">
        <v>6</v>
      </c>
      <c r="CR4051" t="s">
        <v>116</v>
      </c>
      <c r="CS4051">
        <v>305</v>
      </c>
      <c r="CT4051">
        <v>3</v>
      </c>
      <c r="CU4051" t="s">
        <v>6425</v>
      </c>
      <c r="CV4051" t="s">
        <v>6426</v>
      </c>
      <c r="CY4051">
        <v>6955931</v>
      </c>
      <c r="CZ4051" t="s">
        <v>119</v>
      </c>
    </row>
    <row r="4052" spans="1:104" x14ac:dyDescent="0.25">
      <c r="A4052" t="str">
        <f>"14:58:07.023"</f>
        <v>14:58:07.023</v>
      </c>
      <c r="B4052" t="s">
        <v>108</v>
      </c>
      <c r="C4052" t="str">
        <f t="shared" si="190"/>
        <v>ffdfd3c0</v>
      </c>
      <c r="D4052" t="s">
        <v>109</v>
      </c>
      <c r="E4052">
        <v>4</v>
      </c>
      <c r="F4052">
        <v>1004</v>
      </c>
      <c r="G4052" t="s">
        <v>110</v>
      </c>
      <c r="J4052" t="s">
        <v>111</v>
      </c>
      <c r="K4052">
        <v>0</v>
      </c>
      <c r="L4052">
        <v>3</v>
      </c>
      <c r="M4052">
        <v>0</v>
      </c>
      <c r="N4052">
        <v>2</v>
      </c>
      <c r="O4052">
        <v>1</v>
      </c>
      <c r="P4052">
        <v>0</v>
      </c>
      <c r="Q4052">
        <v>0</v>
      </c>
      <c r="R4052" t="s">
        <v>112</v>
      </c>
      <c r="S4052" t="str">
        <f>"14:58:06.820"</f>
        <v>14:58:06.820</v>
      </c>
      <c r="T4052" t="str">
        <f>"14:58:05.820"</f>
        <v>14:58:05.820</v>
      </c>
      <c r="U4052" t="str">
        <f t="shared" si="189"/>
        <v>ad5732</v>
      </c>
      <c r="V4052">
        <v>0</v>
      </c>
      <c r="W4052">
        <v>0</v>
      </c>
      <c r="X4052">
        <v>1</v>
      </c>
      <c r="Z4052">
        <v>0</v>
      </c>
      <c r="AA4052">
        <v>9</v>
      </c>
      <c r="AB4052">
        <v>3</v>
      </c>
      <c r="AC4052">
        <v>0</v>
      </c>
      <c r="AD4052">
        <v>10</v>
      </c>
      <c r="AE4052">
        <v>0</v>
      </c>
      <c r="AF4052">
        <v>3</v>
      </c>
      <c r="AG4052">
        <v>2</v>
      </c>
      <c r="AH4052">
        <v>0</v>
      </c>
      <c r="AI4052" t="s">
        <v>8150</v>
      </c>
      <c r="AJ4052">
        <v>40.589998000000001</v>
      </c>
      <c r="AK4052" t="s">
        <v>8151</v>
      </c>
      <c r="AL4052">
        <v>-74.310129000000003</v>
      </c>
      <c r="AM4052">
        <v>100</v>
      </c>
      <c r="AN4052">
        <v>-100</v>
      </c>
      <c r="AO4052" t="s">
        <v>115</v>
      </c>
      <c r="AP4052">
        <v>-51</v>
      </c>
      <c r="AQ4052">
        <v>64</v>
      </c>
      <c r="AR4052">
        <v>-3776</v>
      </c>
      <c r="AZ4052">
        <v>3614</v>
      </c>
      <c r="BA4052">
        <v>1</v>
      </c>
      <c r="BB4052" t="str">
        <f t="shared" si="191"/>
        <v xml:space="preserve">N959MJ  </v>
      </c>
      <c r="BC4052">
        <v>1</v>
      </c>
      <c r="BE4052">
        <v>0</v>
      </c>
      <c r="BF4052">
        <v>0</v>
      </c>
      <c r="BG4052">
        <v>0</v>
      </c>
      <c r="BH4052">
        <v>175</v>
      </c>
      <c r="BI4052">
        <v>275</v>
      </c>
      <c r="BJ4052">
        <v>1</v>
      </c>
      <c r="BK4052">
        <v>1</v>
      </c>
      <c r="BL4052">
        <v>1</v>
      </c>
      <c r="BM4052">
        <v>0</v>
      </c>
      <c r="BP4052">
        <v>0</v>
      </c>
      <c r="BQ4052">
        <v>0</v>
      </c>
      <c r="BX4052" t="str">
        <f>"14:58:06.820"</f>
        <v>14:58:06.820</v>
      </c>
      <c r="BY4052" t="str">
        <f>"823660662"</f>
        <v>823660662</v>
      </c>
      <c r="CL4052">
        <v>3</v>
      </c>
      <c r="CM4052">
        <v>2</v>
      </c>
      <c r="CN4052">
        <v>0</v>
      </c>
      <c r="CO4052">
        <v>2</v>
      </c>
      <c r="CP4052">
        <v>0</v>
      </c>
      <c r="CQ4052">
        <v>2</v>
      </c>
      <c r="CR4052" t="s">
        <v>116</v>
      </c>
      <c r="CS4052">
        <v>305</v>
      </c>
      <c r="CT4052">
        <v>3</v>
      </c>
      <c r="CU4052" t="s">
        <v>6425</v>
      </c>
      <c r="CV4052" t="s">
        <v>6426</v>
      </c>
      <c r="CY4052">
        <v>6958152</v>
      </c>
      <c r="CZ4052" t="s">
        <v>119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F77226-5456-4E3A-8DE6-87464B2D2482}">
  <dimension ref="A1:U276"/>
  <sheetViews>
    <sheetView zoomScale="90" zoomScaleNormal="90" workbookViewId="0">
      <selection activeCell="W9" sqref="W9"/>
    </sheetView>
  </sheetViews>
  <sheetFormatPr defaultRowHeight="15" x14ac:dyDescent="0.25"/>
  <cols>
    <col min="1" max="1" width="18.7109375" customWidth="1"/>
    <col min="2" max="2" width="39" customWidth="1"/>
    <col min="3" max="3" width="24.85546875" customWidth="1"/>
  </cols>
  <sheetData>
    <row r="1" spans="1:21" x14ac:dyDescent="0.25">
      <c r="A1" s="5" t="s">
        <v>8155</v>
      </c>
      <c r="B1" s="5" t="s">
        <v>8154</v>
      </c>
      <c r="C1" s="5" t="s">
        <v>8153</v>
      </c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</row>
    <row r="2" spans="1:21" x14ac:dyDescent="0.25">
      <c r="A2" s="12" t="str">
        <f>"10:53:21.086"</f>
        <v>10:53:21.086</v>
      </c>
      <c r="B2" s="13">
        <v>1900</v>
      </c>
      <c r="C2" s="14">
        <v>111.03603018840326</v>
      </c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</row>
    <row r="3" spans="1:21" x14ac:dyDescent="0.25">
      <c r="A3" s="15" t="str">
        <f>"10:53:22.148"</f>
        <v>10:53:22.148</v>
      </c>
      <c r="B3" s="16">
        <v>1900</v>
      </c>
      <c r="C3" s="17">
        <v>112.04463396343441</v>
      </c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</row>
    <row r="4" spans="1:21" x14ac:dyDescent="0.25">
      <c r="A4" s="15" t="str">
        <f>"10:53:23.211"</f>
        <v>10:53:23.211</v>
      </c>
      <c r="B4" s="16">
        <v>1900</v>
      </c>
      <c r="C4" s="17">
        <v>111.40017953306898</v>
      </c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</row>
    <row r="5" spans="1:21" x14ac:dyDescent="0.25">
      <c r="A5" s="15" t="str">
        <f>"10:53:24.117"</f>
        <v>10:53:24.117</v>
      </c>
      <c r="B5" s="16">
        <v>1900</v>
      </c>
      <c r="C5" s="17">
        <v>112.32987136109433</v>
      </c>
      <c r="D5" s="6"/>
      <c r="S5" s="6"/>
      <c r="T5" s="6"/>
      <c r="U5" s="6"/>
    </row>
    <row r="6" spans="1:21" x14ac:dyDescent="0.25">
      <c r="A6" s="15" t="str">
        <f>"10:53:25.125"</f>
        <v>10:53:25.125</v>
      </c>
      <c r="B6" s="16">
        <v>1900</v>
      </c>
      <c r="C6" s="17">
        <v>113.20777358467925</v>
      </c>
      <c r="D6" s="6"/>
      <c r="S6" s="6"/>
      <c r="T6" s="6"/>
      <c r="U6" s="6"/>
    </row>
    <row r="7" spans="1:21" x14ac:dyDescent="0.25">
      <c r="A7" s="15" t="str">
        <f>"10:53:26.039"</f>
        <v>10:53:26.039</v>
      </c>
      <c r="B7" s="16">
        <v>1900</v>
      </c>
      <c r="C7" s="17">
        <v>113.25193155085701</v>
      </c>
      <c r="D7" s="6"/>
      <c r="S7" s="6"/>
      <c r="T7" s="6"/>
      <c r="U7" s="6"/>
    </row>
    <row r="8" spans="1:21" x14ac:dyDescent="0.25">
      <c r="A8" s="15" t="str">
        <f>"10:53:27.094"</f>
        <v>10:53:27.094</v>
      </c>
      <c r="B8" s="16">
        <v>1900</v>
      </c>
      <c r="C8" s="17">
        <v>114.93476410555685</v>
      </c>
      <c r="D8" s="6"/>
      <c r="S8" s="6"/>
      <c r="T8" s="6"/>
      <c r="U8" s="6"/>
    </row>
    <row r="9" spans="1:21" x14ac:dyDescent="0.25">
      <c r="A9" s="15" t="str">
        <f>"10:53:28.055"</f>
        <v>10:53:28.055</v>
      </c>
      <c r="B9" s="16">
        <v>1875</v>
      </c>
      <c r="C9" s="17">
        <v>115.95257651298655</v>
      </c>
      <c r="D9" s="6"/>
      <c r="S9" s="6"/>
      <c r="T9" s="6"/>
      <c r="U9" s="6"/>
    </row>
    <row r="10" spans="1:21" x14ac:dyDescent="0.25">
      <c r="A10" s="15" t="str">
        <f>"10:53:28.969"</f>
        <v>10:53:28.969</v>
      </c>
      <c r="B10" s="16">
        <v>1875</v>
      </c>
      <c r="C10" s="17">
        <v>116.24543001770004</v>
      </c>
      <c r="D10" s="6"/>
      <c r="S10" s="6"/>
      <c r="T10" s="6"/>
      <c r="U10" s="6"/>
    </row>
    <row r="11" spans="1:21" x14ac:dyDescent="0.25">
      <c r="A11" s="15" t="str">
        <f>"10:53:30.023"</f>
        <v>10:53:30.023</v>
      </c>
      <c r="B11" s="16">
        <v>1875</v>
      </c>
      <c r="C11" s="17">
        <v>117.04699910719626</v>
      </c>
      <c r="D11" s="6"/>
      <c r="S11" s="6"/>
      <c r="T11" s="6"/>
      <c r="U11" s="6"/>
    </row>
    <row r="12" spans="1:21" x14ac:dyDescent="0.25">
      <c r="A12" s="15" t="str">
        <f>"10:53:31.031"</f>
        <v>10:53:31.031</v>
      </c>
      <c r="B12" s="16">
        <v>1875</v>
      </c>
      <c r="C12" s="17">
        <v>118.27087553578015</v>
      </c>
      <c r="D12" s="6"/>
      <c r="S12" s="6"/>
      <c r="T12" s="6"/>
      <c r="U12" s="6"/>
    </row>
    <row r="13" spans="1:21" x14ac:dyDescent="0.25">
      <c r="A13" s="15" t="str">
        <f>"10:53:31.992"</f>
        <v>10:53:31.992</v>
      </c>
      <c r="B13" s="16">
        <v>1875</v>
      </c>
      <c r="C13" s="17">
        <v>118.27087553578015</v>
      </c>
      <c r="D13" s="6"/>
      <c r="S13" s="6"/>
      <c r="T13" s="6"/>
      <c r="U13" s="6"/>
    </row>
    <row r="14" spans="1:21" x14ac:dyDescent="0.25">
      <c r="A14" s="15" t="str">
        <f>"10:53:33.508"</f>
        <v>10:53:33.508</v>
      </c>
      <c r="B14" s="16">
        <v>1875</v>
      </c>
      <c r="C14" s="17">
        <v>118.59595271340417</v>
      </c>
      <c r="D14" s="6"/>
      <c r="S14" s="6"/>
      <c r="T14" s="6"/>
      <c r="U14" s="6"/>
    </row>
    <row r="15" spans="1:21" x14ac:dyDescent="0.25">
      <c r="A15" s="15" t="str">
        <f>"10:53:34.617"</f>
        <v>10:53:34.617</v>
      </c>
      <c r="B15" s="16">
        <v>1875</v>
      </c>
      <c r="C15" s="17">
        <v>118.33004690272035</v>
      </c>
      <c r="D15" s="6"/>
      <c r="S15" s="6"/>
      <c r="T15" s="6"/>
      <c r="U15" s="6"/>
    </row>
    <row r="16" spans="1:21" x14ac:dyDescent="0.25">
      <c r="A16" s="15" t="str">
        <f>"10:53:35.781"</f>
        <v>10:53:35.781</v>
      </c>
      <c r="B16" s="16">
        <v>1850</v>
      </c>
      <c r="C16" s="17">
        <v>119.03780911962384</v>
      </c>
      <c r="D16" s="6"/>
      <c r="S16" s="6"/>
      <c r="T16" s="6"/>
      <c r="U16" s="6"/>
    </row>
    <row r="17" spans="1:21" x14ac:dyDescent="0.25">
      <c r="A17" s="15" t="str">
        <f>"10:53:36.789"</f>
        <v>10:53:36.789</v>
      </c>
      <c r="B17" s="16">
        <v>1850</v>
      </c>
      <c r="C17" s="17">
        <v>118.84864324004712</v>
      </c>
      <c r="D17" s="6"/>
      <c r="S17" s="6"/>
      <c r="T17" s="6"/>
      <c r="U17" s="6"/>
    </row>
    <row r="18" spans="1:21" x14ac:dyDescent="0.25">
      <c r="A18" s="15" t="str">
        <f>"10:53:37.852"</f>
        <v>10:53:37.852</v>
      </c>
      <c r="B18" s="16">
        <v>1850</v>
      </c>
      <c r="C18" s="17">
        <v>120.01666550941998</v>
      </c>
      <c r="D18" s="6"/>
      <c r="S18" s="6"/>
      <c r="T18" s="6"/>
      <c r="U18" s="6"/>
    </row>
    <row r="19" spans="1:21" x14ac:dyDescent="0.25">
      <c r="A19" s="15" t="str">
        <f>"10:53:38.813"</f>
        <v>10:53:38.813</v>
      </c>
      <c r="B19" s="16">
        <v>1825</v>
      </c>
      <c r="C19" s="17">
        <v>121.24768039018313</v>
      </c>
      <c r="D19" s="6"/>
      <c r="S19" s="6"/>
      <c r="T19" s="6"/>
      <c r="U19" s="6"/>
    </row>
    <row r="20" spans="1:21" x14ac:dyDescent="0.25">
      <c r="A20" s="15" t="str">
        <f>"10:53:39.617"</f>
        <v>10:53:39.617</v>
      </c>
      <c r="B20" s="16">
        <v>1900</v>
      </c>
      <c r="C20" s="17">
        <v>122.10241602851272</v>
      </c>
      <c r="D20" s="6"/>
      <c r="S20" s="6"/>
      <c r="T20" s="6"/>
      <c r="U20" s="6"/>
    </row>
    <row r="21" spans="1:21" x14ac:dyDescent="0.25">
      <c r="A21" s="15" t="str">
        <f>"10:53:40.633"</f>
        <v>10:53:40.633</v>
      </c>
      <c r="B21" s="16">
        <v>1800</v>
      </c>
      <c r="C21" s="17">
        <v>122.98373876248843</v>
      </c>
      <c r="D21" s="6"/>
      <c r="S21" s="6"/>
      <c r="T21" s="6"/>
      <c r="U21" s="6"/>
    </row>
    <row r="22" spans="1:21" x14ac:dyDescent="0.25">
      <c r="A22" s="15" t="str">
        <f>"10:53:41.688"</f>
        <v>10:53:41.688</v>
      </c>
      <c r="B22" s="16">
        <v>1800</v>
      </c>
      <c r="C22" s="17">
        <v>123.43419299367578</v>
      </c>
      <c r="D22" s="6"/>
      <c r="S22" s="6"/>
      <c r="T22" s="6"/>
      <c r="U22" s="6"/>
    </row>
    <row r="23" spans="1:21" x14ac:dyDescent="0.25">
      <c r="A23" s="15" t="str">
        <f>"10:53:42.805"</f>
        <v>10:53:42.805</v>
      </c>
      <c r="B23" s="16">
        <v>1775</v>
      </c>
      <c r="C23" s="17">
        <v>124.82387592123551</v>
      </c>
      <c r="D23" s="6"/>
      <c r="S23" s="6"/>
      <c r="T23" s="6"/>
      <c r="U23" s="6"/>
    </row>
    <row r="24" spans="1:21" x14ac:dyDescent="0.25">
      <c r="A24" s="15" t="str">
        <f>"10:53:43.758"</f>
        <v>10:53:43.758</v>
      </c>
      <c r="B24" s="16">
        <v>1750</v>
      </c>
      <c r="C24" s="17">
        <v>125.29964086141668</v>
      </c>
      <c r="D24" s="6"/>
      <c r="S24" s="6"/>
      <c r="T24" s="6"/>
      <c r="U24" s="6"/>
    </row>
    <row r="25" spans="1:21" x14ac:dyDescent="0.25">
      <c r="A25" s="15" t="str">
        <f>"10:53:44.820"</f>
        <v>10:53:44.820</v>
      </c>
      <c r="B25" s="16">
        <v>1725</v>
      </c>
      <c r="C25" s="17">
        <v>127.1416532848303</v>
      </c>
      <c r="D25" s="6"/>
      <c r="S25" s="6"/>
      <c r="T25" s="6"/>
      <c r="U25" s="6"/>
    </row>
    <row r="26" spans="1:21" x14ac:dyDescent="0.25">
      <c r="A26" s="15" t="str">
        <f>"10:53:45.781"</f>
        <v>10:53:45.781</v>
      </c>
      <c r="B26" s="16">
        <v>1725</v>
      </c>
      <c r="C26" s="17">
        <v>128.01562404644207</v>
      </c>
      <c r="D26" s="6"/>
      <c r="S26" s="6"/>
      <c r="T26" s="6"/>
      <c r="U26" s="6"/>
    </row>
    <row r="27" spans="1:21" x14ac:dyDescent="0.25">
      <c r="A27" s="15" t="str">
        <f>"10:53:46.641"</f>
        <v>10:53:46.641</v>
      </c>
      <c r="B27" s="16">
        <v>1700</v>
      </c>
      <c r="C27" s="17">
        <v>128.50291825480073</v>
      </c>
      <c r="D27" s="6"/>
      <c r="S27" s="6"/>
      <c r="T27" s="6"/>
      <c r="U27" s="6"/>
    </row>
    <row r="28" spans="1:21" x14ac:dyDescent="0.25">
      <c r="A28" s="15" t="str">
        <f>"10:53:47.797"</f>
        <v>10:53:47.797</v>
      </c>
      <c r="B28" s="16">
        <v>1700</v>
      </c>
      <c r="C28" s="17">
        <v>129.37542270462347</v>
      </c>
      <c r="D28" s="6"/>
      <c r="S28" s="6"/>
      <c r="T28" s="6"/>
      <c r="U28" s="6"/>
    </row>
    <row r="29" spans="1:21" x14ac:dyDescent="0.25">
      <c r="A29" s="15" t="str">
        <f>"10:53:48.758"</f>
        <v>10:53:48.758</v>
      </c>
      <c r="B29" s="16">
        <v>1700</v>
      </c>
      <c r="C29" s="17">
        <v>129.37542270462347</v>
      </c>
      <c r="D29" s="6"/>
      <c r="S29" s="6"/>
      <c r="T29" s="6"/>
      <c r="U29" s="6"/>
    </row>
    <row r="30" spans="1:21" x14ac:dyDescent="0.25">
      <c r="A30" s="15" t="str">
        <f>"10:53:49.617"</f>
        <v>10:53:49.617</v>
      </c>
      <c r="B30" s="16">
        <v>1775</v>
      </c>
      <c r="C30" s="17">
        <v>130.24976007655445</v>
      </c>
      <c r="D30" s="6"/>
      <c r="S30" s="6"/>
      <c r="T30" s="6"/>
      <c r="U30" s="6"/>
    </row>
    <row r="31" spans="1:21" x14ac:dyDescent="0.25">
      <c r="A31" s="15" t="str">
        <f>"10:53:50.578"</f>
        <v>10:53:50.578</v>
      </c>
      <c r="B31" s="16">
        <v>1675</v>
      </c>
      <c r="C31" s="17">
        <v>130.64838307457157</v>
      </c>
      <c r="D31" s="6"/>
      <c r="S31" s="6"/>
      <c r="T31" s="6"/>
      <c r="U31" s="6"/>
    </row>
    <row r="32" spans="1:21" x14ac:dyDescent="0.25">
      <c r="A32" s="15" t="str">
        <f>"10:53:51.641"</f>
        <v>10:53:51.641</v>
      </c>
      <c r="B32" s="16">
        <v>1675</v>
      </c>
      <c r="C32" s="17">
        <v>131.52946437965906</v>
      </c>
      <c r="D32" s="6"/>
      <c r="S32" s="6"/>
      <c r="T32" s="6"/>
      <c r="U32" s="6"/>
    </row>
    <row r="33" spans="1:21" x14ac:dyDescent="0.25">
      <c r="A33" s="15" t="str">
        <f>"10:53:52.500"</f>
        <v>10:53:52.500</v>
      </c>
      <c r="B33" s="16">
        <v>1650</v>
      </c>
      <c r="C33" s="17">
        <v>131.06105447462264</v>
      </c>
      <c r="D33" s="6"/>
      <c r="S33" s="6"/>
      <c r="T33" s="6"/>
      <c r="U33" s="6"/>
    </row>
    <row r="34" spans="1:21" x14ac:dyDescent="0.25">
      <c r="A34" s="15" t="str">
        <f>"10:53:53.563"</f>
        <v>10:53:53.563</v>
      </c>
      <c r="B34" s="16">
        <v>1650</v>
      </c>
      <c r="C34" s="17">
        <v>131.94695904036593</v>
      </c>
      <c r="D34" s="6"/>
      <c r="S34" s="6"/>
      <c r="T34" s="6"/>
      <c r="U34" s="6"/>
    </row>
    <row r="35" spans="1:21" x14ac:dyDescent="0.25">
      <c r="A35" s="15" t="str">
        <f>"10:53:54.570"</f>
        <v>10:53:54.570</v>
      </c>
      <c r="B35" s="16">
        <v>1625</v>
      </c>
      <c r="C35" s="17">
        <v>132.3782459469833</v>
      </c>
      <c r="D35" s="6"/>
      <c r="S35" s="6"/>
      <c r="T35" s="6"/>
      <c r="U35" s="6"/>
    </row>
    <row r="36" spans="1:21" x14ac:dyDescent="0.25">
      <c r="A36" s="15" t="str">
        <f>"10:53:55.477"</f>
        <v>10:53:55.477</v>
      </c>
      <c r="B36" s="16">
        <v>1625</v>
      </c>
      <c r="C36" s="17">
        <v>133.27040181525678</v>
      </c>
      <c r="D36" s="6"/>
      <c r="S36" s="6"/>
      <c r="T36" s="6"/>
      <c r="U36" s="6"/>
    </row>
    <row r="37" spans="1:21" x14ac:dyDescent="0.25">
      <c r="A37" s="15" t="str">
        <f>"10:53:56.539"</f>
        <v>10:53:56.539</v>
      </c>
      <c r="B37" s="16">
        <v>1625</v>
      </c>
      <c r="C37" s="17">
        <v>133.27040181525678</v>
      </c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</row>
    <row r="38" spans="1:21" x14ac:dyDescent="0.25">
      <c r="A38" s="15" t="str">
        <f>"10:53:57.547"</f>
        <v>10:53:57.547</v>
      </c>
      <c r="B38" s="16">
        <v>1600</v>
      </c>
      <c r="C38" s="17">
        <v>133.71985641631537</v>
      </c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</row>
    <row r="39" spans="1:21" x14ac:dyDescent="0.25">
      <c r="A39" s="15" t="str">
        <f>"10:53:58.609"</f>
        <v>10:53:58.609</v>
      </c>
      <c r="B39" s="16">
        <v>1600</v>
      </c>
      <c r="C39" s="17">
        <v>134.18271125595876</v>
      </c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</row>
    <row r="40" spans="1:21" x14ac:dyDescent="0.25">
      <c r="A40" s="15" t="str">
        <f>"10:53:59.664"</f>
        <v>10:53:59.664</v>
      </c>
      <c r="B40" s="16">
        <v>1575</v>
      </c>
      <c r="C40" s="17">
        <v>135.08515832614626</v>
      </c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</row>
    <row r="41" spans="1:21" x14ac:dyDescent="0.25">
      <c r="A41" s="15" t="str">
        <f>"10:54:00.727"</f>
        <v>10:54:00.727</v>
      </c>
      <c r="B41" s="16">
        <v>1575</v>
      </c>
      <c r="C41" s="17">
        <v>135.08515832614626</v>
      </c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</row>
    <row r="42" spans="1:21" x14ac:dyDescent="0.25">
      <c r="A42" s="15" t="str">
        <f>"10:54:01.734"</f>
        <v>10:54:01.734</v>
      </c>
      <c r="B42" s="16">
        <v>1550</v>
      </c>
      <c r="C42" s="17">
        <v>135.988970140964</v>
      </c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</row>
    <row r="43" spans="1:21" x14ac:dyDescent="0.25">
      <c r="A43" s="15" t="str">
        <f>"10:54:02.695"</f>
        <v>10:54:02.695</v>
      </c>
      <c r="B43" s="16">
        <v>1550</v>
      </c>
      <c r="C43" s="17">
        <v>135.988970140964</v>
      </c>
      <c r="D43" s="6"/>
    </row>
    <row r="44" spans="1:21" x14ac:dyDescent="0.25">
      <c r="A44" s="15" t="str">
        <f>"10:54:03.656"</f>
        <v>10:54:03.656</v>
      </c>
      <c r="B44" s="16">
        <v>1525</v>
      </c>
      <c r="C44" s="17">
        <v>135.988970140964</v>
      </c>
    </row>
    <row r="45" spans="1:21" x14ac:dyDescent="0.25">
      <c r="A45" s="15" t="str">
        <f>"10:54:04.617"</f>
        <v>10:54:04.617</v>
      </c>
      <c r="B45" s="16">
        <v>1525</v>
      </c>
      <c r="C45" s="17">
        <v>136.89411966918081</v>
      </c>
    </row>
    <row r="46" spans="1:21" x14ac:dyDescent="0.25">
      <c r="A46" s="15" t="str">
        <f>"10:54:05.625"</f>
        <v>10:54:05.625</v>
      </c>
      <c r="B46" s="16">
        <v>1500</v>
      </c>
      <c r="C46" s="17">
        <v>136.89411966918081</v>
      </c>
    </row>
    <row r="47" spans="1:21" x14ac:dyDescent="0.25">
      <c r="A47" s="15" t="str">
        <f>"10:54:06.789"</f>
        <v>10:54:06.789</v>
      </c>
      <c r="B47" s="16">
        <v>1500</v>
      </c>
      <c r="C47" s="17">
        <v>137.80058055030102</v>
      </c>
    </row>
    <row r="48" spans="1:21" x14ac:dyDescent="0.25">
      <c r="A48" s="15" t="str">
        <f>"10:54:07.797"</f>
        <v>10:54:07.797</v>
      </c>
      <c r="B48" s="16">
        <v>1475</v>
      </c>
      <c r="C48" s="17">
        <v>138.2244551445221</v>
      </c>
    </row>
    <row r="49" spans="1:3" x14ac:dyDescent="0.25">
      <c r="A49" s="15" t="str">
        <f>"10:54:08.711"</f>
        <v>10:54:08.711</v>
      </c>
      <c r="B49" s="16">
        <v>1475</v>
      </c>
      <c r="C49" s="17">
        <v>138.2244551445221</v>
      </c>
    </row>
    <row r="50" spans="1:3" x14ac:dyDescent="0.25">
      <c r="A50" s="15" t="str">
        <f>"10:54:09.766"</f>
        <v>10:54:09.766</v>
      </c>
      <c r="B50" s="16">
        <v>1450</v>
      </c>
      <c r="C50" s="17">
        <v>139.12943613772032</v>
      </c>
    </row>
    <row r="51" spans="1:3" x14ac:dyDescent="0.25">
      <c r="A51" s="15" t="str">
        <f>"10:54:10.578"</f>
        <v>10:54:10.578</v>
      </c>
      <c r="B51" s="16">
        <v>1450</v>
      </c>
      <c r="C51" s="17">
        <v>139.12943613772032</v>
      </c>
    </row>
    <row r="52" spans="1:3" x14ac:dyDescent="0.25">
      <c r="A52" s="15" t="str">
        <f>"10:54:11.641"</f>
        <v>10:54:11.641</v>
      </c>
      <c r="B52" s="16">
        <v>1450</v>
      </c>
      <c r="C52" s="17">
        <v>139.12943613772032</v>
      </c>
    </row>
    <row r="53" spans="1:3" x14ac:dyDescent="0.25">
      <c r="A53" s="15" t="str">
        <f>"10:54:12.648"</f>
        <v>10:54:12.648</v>
      </c>
      <c r="B53" s="16">
        <v>1425</v>
      </c>
      <c r="C53" s="17">
        <v>139.55644019535609</v>
      </c>
    </row>
    <row r="54" spans="1:3" x14ac:dyDescent="0.25">
      <c r="A54" s="15" t="str">
        <f>"10:54:13.813"</f>
        <v>10:54:13.813</v>
      </c>
      <c r="B54" s="16">
        <v>1425</v>
      </c>
      <c r="C54" s="17">
        <v>139.55644019535609</v>
      </c>
    </row>
    <row r="55" spans="1:3" x14ac:dyDescent="0.25">
      <c r="A55" s="15" t="str">
        <f>"10:54:14.820"</f>
        <v>10:54:14.820</v>
      </c>
      <c r="B55" s="16">
        <v>1400</v>
      </c>
      <c r="C55" s="17">
        <v>139.55644019535609</v>
      </c>
    </row>
    <row r="56" spans="1:3" x14ac:dyDescent="0.25">
      <c r="A56" s="15" t="str">
        <f>"10:54:15.680"</f>
        <v>10:54:15.680</v>
      </c>
      <c r="B56" s="16">
        <v>1400</v>
      </c>
      <c r="C56" s="17">
        <v>140.03570973148243</v>
      </c>
    </row>
    <row r="57" spans="1:3" x14ac:dyDescent="0.25">
      <c r="A57" s="15" t="str">
        <f>"10:54:16.641"</f>
        <v>10:54:16.641</v>
      </c>
      <c r="B57" s="16">
        <v>1400</v>
      </c>
      <c r="C57" s="17">
        <v>140.03570973148243</v>
      </c>
    </row>
    <row r="58" spans="1:3" x14ac:dyDescent="0.25">
      <c r="A58" s="15" t="str">
        <f>"10:54:17.750"</f>
        <v>10:54:17.750</v>
      </c>
      <c r="B58" s="16">
        <v>1375</v>
      </c>
      <c r="C58" s="17">
        <v>140.03570973148243</v>
      </c>
    </row>
    <row r="59" spans="1:3" x14ac:dyDescent="0.25">
      <c r="A59" s="15" t="str">
        <f>"10:54:19.422"</f>
        <v>10:54:19.422</v>
      </c>
      <c r="B59" s="16">
        <v>1450</v>
      </c>
      <c r="C59" s="17">
        <v>140.03570973148243</v>
      </c>
    </row>
    <row r="60" spans="1:3" x14ac:dyDescent="0.25">
      <c r="A60" s="15" t="str">
        <f>"10:54:20.430"</f>
        <v>10:54:20.430</v>
      </c>
      <c r="B60" s="16">
        <v>1350</v>
      </c>
      <c r="C60" s="17">
        <v>140.45995870709916</v>
      </c>
    </row>
    <row r="61" spans="1:3" x14ac:dyDescent="0.25">
      <c r="A61" s="15" t="str">
        <f>"10:54:21.484"</f>
        <v>10:54:21.484</v>
      </c>
      <c r="B61" s="16">
        <v>1350</v>
      </c>
      <c r="C61" s="17">
        <v>139.55644019535609</v>
      </c>
    </row>
    <row r="62" spans="1:3" x14ac:dyDescent="0.25">
      <c r="A62" s="15" t="str">
        <f>"10:54:22.602"</f>
        <v>10:54:22.602</v>
      </c>
      <c r="B62" s="16">
        <v>1325</v>
      </c>
      <c r="C62" s="17">
        <v>139.55644019535609</v>
      </c>
    </row>
    <row r="63" spans="1:3" x14ac:dyDescent="0.25">
      <c r="A63" s="15" t="str">
        <f>"10:54:23.711"</f>
        <v>10:54:23.711</v>
      </c>
      <c r="B63" s="16">
        <v>1325</v>
      </c>
      <c r="C63" s="17">
        <v>139.55644019535609</v>
      </c>
    </row>
    <row r="64" spans="1:3" x14ac:dyDescent="0.25">
      <c r="A64" s="15" t="str">
        <f>"10:54:24.672"</f>
        <v>10:54:24.672</v>
      </c>
      <c r="B64" s="16">
        <v>1300</v>
      </c>
      <c r="C64" s="17">
        <v>139.55644019535609</v>
      </c>
    </row>
    <row r="65" spans="1:3" x14ac:dyDescent="0.25">
      <c r="A65" s="15" t="str">
        <f>"10:54:25.680"</f>
        <v>10:54:25.680</v>
      </c>
      <c r="B65" s="16">
        <v>1300</v>
      </c>
      <c r="C65" s="17">
        <v>139.98928530426892</v>
      </c>
    </row>
    <row r="66" spans="1:3" x14ac:dyDescent="0.25">
      <c r="A66" s="15" t="str">
        <f>"10:54:26.688"</f>
        <v>10:54:26.688</v>
      </c>
      <c r="B66" s="16">
        <v>1300</v>
      </c>
      <c r="C66" s="17">
        <v>139.98928530426892</v>
      </c>
    </row>
    <row r="67" spans="1:3" x14ac:dyDescent="0.25">
      <c r="A67" s="15" t="str">
        <f>"10:54:27.695"</f>
        <v>10:54:27.695</v>
      </c>
      <c r="B67" s="16">
        <v>1275</v>
      </c>
      <c r="C67" s="17">
        <v>139.98928530426892</v>
      </c>
    </row>
    <row r="68" spans="1:3" x14ac:dyDescent="0.25">
      <c r="A68" s="15" t="str">
        <f>"10:54:28.711"</f>
        <v>10:54:28.711</v>
      </c>
      <c r="B68" s="16">
        <v>1275</v>
      </c>
      <c r="C68" s="17">
        <v>139.98928530426892</v>
      </c>
    </row>
    <row r="69" spans="1:3" x14ac:dyDescent="0.25">
      <c r="A69" s="15" t="str">
        <f>"10:54:29.672"</f>
        <v>10:54:29.672</v>
      </c>
      <c r="B69" s="16">
        <v>1275</v>
      </c>
      <c r="C69" s="17">
        <v>139.08989898623119</v>
      </c>
    </row>
    <row r="70" spans="1:3" x14ac:dyDescent="0.25">
      <c r="A70" s="15" t="str">
        <f>"10:54:30.781"</f>
        <v>10:54:30.781</v>
      </c>
      <c r="B70" s="16">
        <v>1250</v>
      </c>
      <c r="C70" s="17">
        <v>139.08989898623119</v>
      </c>
    </row>
    <row r="71" spans="1:3" x14ac:dyDescent="0.25">
      <c r="A71" s="15" t="str">
        <f>"10:54:31.797"</f>
        <v>10:54:31.797</v>
      </c>
      <c r="B71" s="16">
        <v>1250</v>
      </c>
      <c r="C71" s="17">
        <v>138.65424623862049</v>
      </c>
    </row>
    <row r="72" spans="1:3" x14ac:dyDescent="0.25">
      <c r="A72" s="15" t="str">
        <f>"10:54:32.805"</f>
        <v>10:54:32.805</v>
      </c>
      <c r="B72" s="16">
        <v>1250</v>
      </c>
      <c r="C72" s="17">
        <v>137.7534028617805</v>
      </c>
    </row>
    <row r="73" spans="1:3" x14ac:dyDescent="0.25">
      <c r="A73" s="15" t="str">
        <f>"10:54:33.813"</f>
        <v>10:54:33.813</v>
      </c>
      <c r="B73" s="16">
        <v>1250</v>
      </c>
      <c r="C73" s="17">
        <v>136.41847382227965</v>
      </c>
    </row>
    <row r="74" spans="1:3" x14ac:dyDescent="0.25">
      <c r="A74" s="15" t="str">
        <f>"10:54:34.875"</f>
        <v>10:54:34.875</v>
      </c>
      <c r="B74" s="16">
        <v>1250</v>
      </c>
      <c r="C74" s="17">
        <v>135.08515832614626</v>
      </c>
    </row>
    <row r="75" spans="1:3" x14ac:dyDescent="0.25">
      <c r="A75" s="15" t="str">
        <f>"10:54:35.836"</f>
        <v>10:54:35.836</v>
      </c>
      <c r="B75" s="16">
        <v>1250</v>
      </c>
      <c r="C75" s="17">
        <v>132.84953895290718</v>
      </c>
    </row>
    <row r="76" spans="1:3" x14ac:dyDescent="0.25">
      <c r="A76" s="15" t="str">
        <f>"10:54:36.688"</f>
        <v>10:54:36.688</v>
      </c>
      <c r="B76" s="16">
        <v>1250</v>
      </c>
      <c r="C76" s="17">
        <v>131.94695904036593</v>
      </c>
    </row>
    <row r="77" spans="1:3" x14ac:dyDescent="0.25">
      <c r="A77" s="15" t="str">
        <f>"10:54:37.750"</f>
        <v>10:54:37.750</v>
      </c>
      <c r="B77" s="16">
        <v>1250</v>
      </c>
      <c r="C77" s="17">
        <v>130.61393493804556</v>
      </c>
    </row>
    <row r="78" spans="1:3" x14ac:dyDescent="0.25">
      <c r="A78" s="15" t="str">
        <f>"10:54:38.758"</f>
        <v>10:54:38.758</v>
      </c>
      <c r="B78" s="16">
        <v>1250</v>
      </c>
      <c r="C78" s="17">
        <v>130.18832512940628</v>
      </c>
    </row>
    <row r="79" spans="1:3" x14ac:dyDescent="0.25">
      <c r="A79" s="15" t="str">
        <f>"10:54:39.719"</f>
        <v>10:54:39.719</v>
      </c>
      <c r="B79" s="16">
        <v>1250</v>
      </c>
      <c r="C79" s="17">
        <v>128.86038956948718</v>
      </c>
    </row>
    <row r="80" spans="1:3" x14ac:dyDescent="0.25">
      <c r="A80" s="15" t="str">
        <f>"10:54:40.680"</f>
        <v>10:54:40.680</v>
      </c>
      <c r="B80" s="16">
        <v>1250</v>
      </c>
      <c r="C80" s="17">
        <v>127.9531164137865</v>
      </c>
    </row>
    <row r="81" spans="1:3" x14ac:dyDescent="0.25">
      <c r="A81" s="15" t="str">
        <f>"10:54:41.742"</f>
        <v>10:54:41.742</v>
      </c>
      <c r="B81" s="16">
        <v>1250</v>
      </c>
      <c r="C81" s="17">
        <v>127.04723531033645</v>
      </c>
    </row>
    <row r="82" spans="1:3" x14ac:dyDescent="0.25">
      <c r="A82" s="15" t="str">
        <f>"10:54:42.750"</f>
        <v>10:54:42.750</v>
      </c>
      <c r="B82" s="16">
        <v>1250</v>
      </c>
      <c r="C82" s="17">
        <v>125.7179382586272</v>
      </c>
    </row>
    <row r="83" spans="1:3" x14ac:dyDescent="0.25">
      <c r="A83" s="15" t="str">
        <f>"10:54:43.664"</f>
        <v>10:54:43.664</v>
      </c>
      <c r="B83" s="16">
        <v>1250</v>
      </c>
      <c r="C83" s="17">
        <v>124.39051410778879</v>
      </c>
    </row>
    <row r="84" spans="1:3" x14ac:dyDescent="0.25">
      <c r="A84" s="15" t="str">
        <f>"10:54:44.570"</f>
        <v>10:54:44.570</v>
      </c>
      <c r="B84" s="16">
        <v>1275</v>
      </c>
      <c r="C84" s="17">
        <v>123.48279232346505</v>
      </c>
    </row>
    <row r="85" spans="1:3" x14ac:dyDescent="0.25">
      <c r="A85" s="15" t="str">
        <f>"10:54:45.578"</f>
        <v>10:54:45.578</v>
      </c>
      <c r="B85" s="16">
        <v>1275</v>
      </c>
      <c r="C85" s="17">
        <v>123.06502346320826</v>
      </c>
    </row>
    <row r="86" spans="1:3" x14ac:dyDescent="0.25">
      <c r="A86" s="15" t="str">
        <f>"10:54:46.492"</f>
        <v>10:54:46.492</v>
      </c>
      <c r="B86" s="16">
        <v>1275</v>
      </c>
      <c r="C86" s="17">
        <v>122.15563842901399</v>
      </c>
    </row>
    <row r="87" spans="1:3" x14ac:dyDescent="0.25">
      <c r="A87" s="15" t="str">
        <f>"10:54:47.398"</f>
        <v>10:54:47.398</v>
      </c>
      <c r="B87" s="16">
        <v>1275</v>
      </c>
      <c r="C87" s="17">
        <v>120.83045973594572</v>
      </c>
    </row>
    <row r="88" spans="1:3" x14ac:dyDescent="0.25">
      <c r="A88" s="15" t="str">
        <f>"10:54:48.461"</f>
        <v>10:54:48.461</v>
      </c>
      <c r="B88" s="16">
        <v>1275</v>
      </c>
      <c r="C88" s="17">
        <v>119.92080720208649</v>
      </c>
    </row>
    <row r="89" spans="1:3" x14ac:dyDescent="0.25">
      <c r="A89" s="15" t="str">
        <f>"10:54:49.469"</f>
        <v>10:54:49.469</v>
      </c>
      <c r="B89" s="16">
        <v>1275</v>
      </c>
      <c r="C89" s="17">
        <v>118.59595271340417</v>
      </c>
    </row>
    <row r="90" spans="1:3" x14ac:dyDescent="0.25">
      <c r="A90" s="15" t="str">
        <f>"10:54:50.477"</f>
        <v>10:54:50.477</v>
      </c>
      <c r="B90" s="16">
        <v>1275</v>
      </c>
      <c r="C90" s="17">
        <v>117.6860229593982</v>
      </c>
    </row>
    <row r="91" spans="1:3" x14ac:dyDescent="0.25">
      <c r="A91" s="15" t="str">
        <f>"10:54:51.641"</f>
        <v>10:54:51.641</v>
      </c>
      <c r="B91" s="16">
        <v>1275</v>
      </c>
      <c r="C91" s="17">
        <v>117.2006825918689</v>
      </c>
    </row>
    <row r="92" spans="1:3" x14ac:dyDescent="0.25">
      <c r="A92" s="15" t="str">
        <f>"10:54:52.703"</f>
        <v>10:54:52.703</v>
      </c>
      <c r="B92" s="16">
        <v>1275</v>
      </c>
      <c r="C92" s="17">
        <v>117.2006825918689</v>
      </c>
    </row>
    <row r="93" spans="1:3" x14ac:dyDescent="0.25">
      <c r="A93" s="15" t="str">
        <f>"10:54:53.711"</f>
        <v>10:54:53.711</v>
      </c>
      <c r="B93" s="16">
        <v>1275</v>
      </c>
      <c r="C93" s="17">
        <v>116.29703349613007</v>
      </c>
    </row>
    <row r="94" spans="1:3" x14ac:dyDescent="0.25">
      <c r="A94" s="15" t="str">
        <f>"10:54:54.719"</f>
        <v>10:54:54.719</v>
      </c>
      <c r="B94" s="16">
        <v>1275</v>
      </c>
      <c r="C94" s="17">
        <v>115.39497389401325</v>
      </c>
    </row>
    <row r="95" spans="1:3" x14ac:dyDescent="0.25">
      <c r="A95" s="15" t="str">
        <f>"10:54:55.531"</f>
        <v>10:54:55.531</v>
      </c>
      <c r="B95" s="16">
        <v>1275</v>
      </c>
      <c r="C95" s="17">
        <v>114.49454135459908</v>
      </c>
    </row>
    <row r="96" spans="1:3" x14ac:dyDescent="0.25">
      <c r="A96" s="15" t="str">
        <f>"10:54:56.492"</f>
        <v>10:54:56.492</v>
      </c>
      <c r="B96" s="16">
        <v>1275</v>
      </c>
      <c r="C96" s="17">
        <v>113.59577456930342</v>
      </c>
    </row>
    <row r="97" spans="1:3" x14ac:dyDescent="0.25">
      <c r="A97" s="15" t="str">
        <f>"10:54:57.602"</f>
        <v>10:54:57.602</v>
      </c>
      <c r="B97" s="16">
        <v>1275</v>
      </c>
      <c r="C97" s="17">
        <v>113.59577456930342</v>
      </c>
    </row>
    <row r="98" spans="1:3" x14ac:dyDescent="0.25">
      <c r="A98" s="15" t="str">
        <f>"10:54:59.875"</f>
        <v>10:54:59.875</v>
      </c>
      <c r="B98" s="16">
        <v>1300</v>
      </c>
      <c r="C98" s="17">
        <v>112.25417586887359</v>
      </c>
    </row>
    <row r="99" spans="1:3" x14ac:dyDescent="0.25">
      <c r="A99" s="15" t="str">
        <f>"10:55:00.836"</f>
        <v>10:55:00.836</v>
      </c>
      <c r="B99" s="16">
        <v>1300</v>
      </c>
      <c r="C99" s="17">
        <v>111.80339887498948</v>
      </c>
    </row>
    <row r="100" spans="1:3" x14ac:dyDescent="0.25">
      <c r="A100" s="15" t="str">
        <f>"10:55:01.891"</f>
        <v>10:55:01.891</v>
      </c>
      <c r="B100" s="16">
        <v>1300</v>
      </c>
      <c r="C100" s="17">
        <v>110.90987332063814</v>
      </c>
    </row>
    <row r="101" spans="1:3" x14ac:dyDescent="0.25">
      <c r="A101" s="15" t="str">
        <f>"10:55:03.008"</f>
        <v>10:55:03.008</v>
      </c>
      <c r="B101" s="16">
        <v>1300</v>
      </c>
      <c r="C101" s="17">
        <v>110.46266337545913</v>
      </c>
    </row>
    <row r="102" spans="1:3" x14ac:dyDescent="0.25">
      <c r="A102" s="15" t="str">
        <f>"10:55:03.961"</f>
        <v>10:55:03.961</v>
      </c>
      <c r="B102" s="16">
        <v>1300</v>
      </c>
      <c r="C102" s="17">
        <v>110.46266337545913</v>
      </c>
    </row>
    <row r="103" spans="1:3" x14ac:dyDescent="0.25">
      <c r="A103" s="15" t="str">
        <f>"10:55:04.875"</f>
        <v>10:55:04.875</v>
      </c>
      <c r="B103" s="16">
        <v>1275</v>
      </c>
      <c r="C103" s="17">
        <v>110.46266337545913</v>
      </c>
    </row>
    <row r="104" spans="1:3" x14ac:dyDescent="0.25">
      <c r="A104" s="15" t="str">
        <f>"10:55:05.883"</f>
        <v>10:55:05.883</v>
      </c>
      <c r="B104" s="16">
        <v>1275</v>
      </c>
      <c r="C104" s="17">
        <v>109.5673308974897</v>
      </c>
    </row>
    <row r="105" spans="1:3" x14ac:dyDescent="0.25">
      <c r="A105" s="15" t="str">
        <f>"10:55:06.945"</f>
        <v>10:55:06.945</v>
      </c>
      <c r="B105" s="16">
        <v>1275</v>
      </c>
      <c r="C105" s="17">
        <v>109.5673308974897</v>
      </c>
    </row>
    <row r="106" spans="1:3" x14ac:dyDescent="0.25">
      <c r="A106" s="15" t="str">
        <f>"10:55:08.000"</f>
        <v>10:55:08.000</v>
      </c>
      <c r="B106" s="16">
        <v>1300</v>
      </c>
      <c r="C106" s="17">
        <v>109.12378292562992</v>
      </c>
    </row>
    <row r="107" spans="1:3" x14ac:dyDescent="0.25">
      <c r="A107" s="15" t="str">
        <f>"10:55:09.063"</f>
        <v>10:55:09.063</v>
      </c>
      <c r="B107" s="16">
        <v>1300</v>
      </c>
      <c r="C107" s="17">
        <v>108.22661410207751</v>
      </c>
    </row>
    <row r="108" spans="1:3" x14ac:dyDescent="0.25">
      <c r="A108" s="15" t="str">
        <f>"10:55:09.977"</f>
        <v>10:55:09.977</v>
      </c>
      <c r="B108" s="16">
        <v>1275</v>
      </c>
      <c r="C108" s="17">
        <v>109.5673308974897</v>
      </c>
    </row>
    <row r="109" spans="1:3" x14ac:dyDescent="0.25">
      <c r="A109" s="15" t="str">
        <f>"10:55:10.930"</f>
        <v>10:55:10.930</v>
      </c>
      <c r="B109" s="16">
        <v>1300</v>
      </c>
      <c r="C109" s="17">
        <v>107.35455276791944</v>
      </c>
    </row>
    <row r="110" spans="1:3" x14ac:dyDescent="0.25">
      <c r="A110" s="15" t="str">
        <f>"10:55:12.047"</f>
        <v>10:55:12.047</v>
      </c>
      <c r="B110" s="16">
        <v>1300</v>
      </c>
      <c r="C110" s="17">
        <v>107.35455276791944</v>
      </c>
    </row>
    <row r="111" spans="1:3" x14ac:dyDescent="0.25">
      <c r="A111" s="15" t="str">
        <f>"10:55:13.000"</f>
        <v>10:55:13.000</v>
      </c>
      <c r="B111" s="16">
        <v>1300</v>
      </c>
      <c r="C111" s="17">
        <v>106.45186705737011</v>
      </c>
    </row>
    <row r="112" spans="1:3" x14ac:dyDescent="0.25">
      <c r="A112" s="15" t="str">
        <f>"10:55:13.961"</f>
        <v>10:55:13.961</v>
      </c>
      <c r="B112" s="16">
        <v>1300</v>
      </c>
      <c r="C112" s="17">
        <v>106.45186705737011</v>
      </c>
    </row>
    <row r="113" spans="1:3" x14ac:dyDescent="0.25">
      <c r="A113" s="15" t="str">
        <f>"10:55:14.820"</f>
        <v>10:55:14.820</v>
      </c>
      <c r="B113" s="16">
        <v>1300</v>
      </c>
      <c r="C113" s="17">
        <v>106.02358228243375</v>
      </c>
    </row>
    <row r="114" spans="1:3" x14ac:dyDescent="0.25">
      <c r="A114" s="15" t="str">
        <f>"10:55:15.680"</f>
        <v>10:55:15.680</v>
      </c>
      <c r="B114" s="16">
        <v>1300</v>
      </c>
      <c r="C114" s="17">
        <v>106.02358228243375</v>
      </c>
    </row>
    <row r="115" spans="1:3" x14ac:dyDescent="0.25">
      <c r="A115" s="15" t="str">
        <f>"10:55:16.586"</f>
        <v>10:55:16.586</v>
      </c>
      <c r="B115" s="16">
        <v>1300</v>
      </c>
      <c r="C115" s="17">
        <v>105.60303025955268</v>
      </c>
    </row>
    <row r="116" spans="1:3" x14ac:dyDescent="0.25">
      <c r="A116" s="15" t="str">
        <f>"10:55:17.500"</f>
        <v>10:55:17.500</v>
      </c>
      <c r="B116" s="16">
        <v>1300</v>
      </c>
      <c r="C116" s="17">
        <v>105.19030373565806</v>
      </c>
    </row>
    <row r="117" spans="1:3" x14ac:dyDescent="0.25">
      <c r="A117" s="15" t="str">
        <f>"10:55:18.508"</f>
        <v>10:55:18.508</v>
      </c>
      <c r="B117" s="16">
        <v>1300</v>
      </c>
      <c r="C117" s="17">
        <v>105.19030373565806</v>
      </c>
    </row>
    <row r="118" spans="1:3" x14ac:dyDescent="0.25">
      <c r="A118" s="15" t="str">
        <f>"10:55:19.367"</f>
        <v>10:55:19.367</v>
      </c>
      <c r="B118" s="16">
        <v>1300</v>
      </c>
      <c r="C118" s="17">
        <v>105.19030373565806</v>
      </c>
    </row>
    <row r="119" spans="1:3" x14ac:dyDescent="0.25">
      <c r="A119" s="15" t="str">
        <f>"10:55:20.375"</f>
        <v>10:55:20.375</v>
      </c>
      <c r="B119" s="16">
        <v>1300</v>
      </c>
      <c r="C119" s="17">
        <v>104.27847332982968</v>
      </c>
    </row>
    <row r="120" spans="1:3" x14ac:dyDescent="0.25">
      <c r="A120" s="15" t="str">
        <f>"10:55:21.484"</f>
        <v>10:55:21.484</v>
      </c>
      <c r="B120" s="16">
        <v>1300</v>
      </c>
      <c r="C120" s="17">
        <v>104.27847332982968</v>
      </c>
    </row>
    <row r="121" spans="1:3" x14ac:dyDescent="0.25">
      <c r="A121" s="15" t="str">
        <f>"10:55:22.500"</f>
        <v>10:55:22.500</v>
      </c>
      <c r="B121" s="16">
        <v>1300</v>
      </c>
      <c r="C121" s="17">
        <v>104.27847332982968</v>
      </c>
    </row>
    <row r="122" spans="1:3" x14ac:dyDescent="0.25">
      <c r="A122" s="15" t="str">
        <f>"10:55:23.406"</f>
        <v>10:55:23.406</v>
      </c>
      <c r="B122" s="16">
        <v>1300</v>
      </c>
      <c r="C122" s="17">
        <v>103.36827366266692</v>
      </c>
    </row>
    <row r="123" spans="1:3" x14ac:dyDescent="0.25">
      <c r="A123" s="15" t="str">
        <f>"10:55:24.367"</f>
        <v>10:55:24.367</v>
      </c>
      <c r="B123" s="16">
        <v>1300</v>
      </c>
      <c r="C123" s="17">
        <v>103.78824596263297</v>
      </c>
    </row>
    <row r="124" spans="1:3" x14ac:dyDescent="0.25">
      <c r="A124" s="15" t="str">
        <f>"10:55:25.273"</f>
        <v>10:55:25.273</v>
      </c>
      <c r="B124" s="16">
        <v>1300</v>
      </c>
      <c r="C124" s="17">
        <v>102.88342918079665</v>
      </c>
    </row>
    <row r="125" spans="1:3" x14ac:dyDescent="0.25">
      <c r="A125" s="15" t="str">
        <f>"10:55:26.289"</f>
        <v>10:55:26.289</v>
      </c>
      <c r="B125" s="16">
        <v>1300</v>
      </c>
      <c r="C125" s="17">
        <v>102.88342918079665</v>
      </c>
    </row>
    <row r="126" spans="1:3" x14ac:dyDescent="0.25">
      <c r="A126" s="15" t="str">
        <f>"10:55:27.297"</f>
        <v>10:55:27.297</v>
      </c>
      <c r="B126" s="16">
        <v>1300</v>
      </c>
      <c r="C126" s="17">
        <v>103.31505214633539</v>
      </c>
    </row>
    <row r="127" spans="1:3" x14ac:dyDescent="0.25">
      <c r="A127" s="15" t="str">
        <f>"10:55:28.305"</f>
        <v>10:55:28.305</v>
      </c>
      <c r="B127" s="16">
        <v>1300</v>
      </c>
      <c r="C127" s="17">
        <v>102.41581909060729</v>
      </c>
    </row>
    <row r="128" spans="1:3" x14ac:dyDescent="0.25">
      <c r="A128" s="15" t="str">
        <f>"10:55:29.414"</f>
        <v>10:55:29.414</v>
      </c>
      <c r="B128" s="16">
        <v>1300</v>
      </c>
      <c r="C128" s="17">
        <v>102.85912696499032</v>
      </c>
    </row>
    <row r="129" spans="1:3" x14ac:dyDescent="0.25">
      <c r="A129" s="15" t="str">
        <f>"10:55:30.328"</f>
        <v>10:55:30.328</v>
      </c>
      <c r="B129" s="16">
        <v>1300</v>
      </c>
      <c r="C129" s="17">
        <v>102.85912696499032</v>
      </c>
    </row>
    <row r="130" spans="1:3" x14ac:dyDescent="0.25">
      <c r="A130" s="15" t="str">
        <f>"10:55:31.438"</f>
        <v>10:55:31.438</v>
      </c>
      <c r="B130" s="16">
        <v>1275</v>
      </c>
      <c r="C130" s="17">
        <v>102.85912696499032</v>
      </c>
    </row>
    <row r="131" spans="1:3" x14ac:dyDescent="0.25">
      <c r="A131" s="15" t="str">
        <f>"10:55:33.102"</f>
        <v>10:55:33.102</v>
      </c>
      <c r="B131" s="16">
        <v>1275</v>
      </c>
      <c r="C131" s="17">
        <v>102.41581909060729</v>
      </c>
    </row>
    <row r="132" spans="1:3" x14ac:dyDescent="0.25">
      <c r="A132" s="15" t="str">
        <f>"10:55:34.016"</f>
        <v>10:55:34.016</v>
      </c>
      <c r="B132" s="16">
        <v>1275</v>
      </c>
      <c r="C132" s="17">
        <v>102.41581909060729</v>
      </c>
    </row>
    <row r="133" spans="1:3" x14ac:dyDescent="0.25">
      <c r="A133" s="15" t="str">
        <f>"10:55:35.125"</f>
        <v>10:55:35.125</v>
      </c>
      <c r="B133" s="16">
        <v>1275</v>
      </c>
      <c r="C133" s="17">
        <v>101.51847122568385</v>
      </c>
    </row>
    <row r="134" spans="1:3" x14ac:dyDescent="0.25">
      <c r="A134" s="15" t="str">
        <f>"10:55:36.031"</f>
        <v>10:55:36.031</v>
      </c>
      <c r="B134" s="16">
        <v>1275</v>
      </c>
      <c r="C134" s="17">
        <v>101.07917688624102</v>
      </c>
    </row>
    <row r="135" spans="1:3" x14ac:dyDescent="0.25">
      <c r="A135" s="15" t="str">
        <f>"10:55:37.047"</f>
        <v>10:55:37.047</v>
      </c>
      <c r="B135" s="16">
        <v>1275</v>
      </c>
      <c r="C135" s="17">
        <v>101.9803902718557</v>
      </c>
    </row>
    <row r="136" spans="1:3" x14ac:dyDescent="0.25">
      <c r="A136" s="15" t="str">
        <f>"10:55:38.000"</f>
        <v>10:55:38.000</v>
      </c>
      <c r="B136" s="16">
        <v>1275</v>
      </c>
      <c r="C136" s="17">
        <v>101.9803902718557</v>
      </c>
    </row>
    <row r="137" spans="1:3" x14ac:dyDescent="0.25">
      <c r="A137" s="15" t="str">
        <f>"10:55:39.016"</f>
        <v>10:55:39.016</v>
      </c>
      <c r="B137" s="16">
        <v>1250</v>
      </c>
      <c r="C137" s="17">
        <v>101.9803902718557</v>
      </c>
    </row>
    <row r="138" spans="1:3" x14ac:dyDescent="0.25">
      <c r="A138" s="15" t="str">
        <f>"10:55:39.875"</f>
        <v>10:55:39.875</v>
      </c>
      <c r="B138" s="16">
        <v>1250</v>
      </c>
      <c r="C138" s="17">
        <v>102.88342918079665</v>
      </c>
    </row>
    <row r="139" spans="1:3" x14ac:dyDescent="0.25">
      <c r="A139" s="15" t="str">
        <f>"10:55:40.828"</f>
        <v>10:55:40.828</v>
      </c>
      <c r="B139" s="16">
        <v>1225</v>
      </c>
      <c r="C139" s="17">
        <v>103.31505214633539</v>
      </c>
    </row>
    <row r="140" spans="1:3" x14ac:dyDescent="0.25">
      <c r="A140" s="15" t="str">
        <f>"10:55:41.789"</f>
        <v>10:55:41.789</v>
      </c>
      <c r="B140" s="16">
        <v>1225</v>
      </c>
      <c r="C140" s="17">
        <v>104.65180361560904</v>
      </c>
    </row>
    <row r="141" spans="1:3" x14ac:dyDescent="0.25">
      <c r="A141" s="15" t="str">
        <f>"10:55:42.898"</f>
        <v>10:55:42.898</v>
      </c>
      <c r="B141" s="16">
        <v>1200</v>
      </c>
      <c r="C141" s="17">
        <v>104.65180361560904</v>
      </c>
    </row>
    <row r="142" spans="1:3" x14ac:dyDescent="0.25">
      <c r="A142" s="15" t="str">
        <f>"10:55:43.813"</f>
        <v>10:55:43.813</v>
      </c>
      <c r="B142" s="16">
        <v>1200</v>
      </c>
      <c r="C142" s="17">
        <v>105.99056561788883</v>
      </c>
    </row>
    <row r="143" spans="1:3" x14ac:dyDescent="0.25">
      <c r="A143" s="15" t="str">
        <f>"10:55:44.922"</f>
        <v>10:55:44.922</v>
      </c>
      <c r="B143" s="16">
        <v>1175</v>
      </c>
      <c r="C143" s="17">
        <v>105.99056561788883</v>
      </c>
    </row>
    <row r="144" spans="1:3" x14ac:dyDescent="0.25">
      <c r="A144" s="15" t="str">
        <f>"10:55:45.930"</f>
        <v>10:55:45.930</v>
      </c>
      <c r="B144" s="16">
        <v>1175</v>
      </c>
      <c r="C144" s="17">
        <v>106.88779163215975</v>
      </c>
    </row>
    <row r="145" spans="1:3" x14ac:dyDescent="0.25">
      <c r="A145" s="15" t="str">
        <f>"10:55:46.945"</f>
        <v>10:55:46.945</v>
      </c>
      <c r="B145" s="16">
        <v>1150</v>
      </c>
      <c r="C145" s="17">
        <v>107.33126291998991</v>
      </c>
    </row>
    <row r="146" spans="1:3" x14ac:dyDescent="0.25">
      <c r="A146" s="15" t="str">
        <f>"10:55:47.852"</f>
        <v>10:55:47.852</v>
      </c>
      <c r="B146" s="16">
        <v>1150</v>
      </c>
      <c r="C146" s="17">
        <v>107.33126291998991</v>
      </c>
    </row>
    <row r="147" spans="1:3" x14ac:dyDescent="0.25">
      <c r="A147" s="15" t="str">
        <f>"10:55:48.914"</f>
        <v>10:55:48.914</v>
      </c>
      <c r="B147" s="16">
        <v>1125</v>
      </c>
      <c r="C147" s="17">
        <v>108.22661410207751</v>
      </c>
    </row>
    <row r="148" spans="1:3" x14ac:dyDescent="0.25">
      <c r="A148" s="15" t="str">
        <f>"10:55:49.922"</f>
        <v>10:55:49.922</v>
      </c>
      <c r="B148" s="16">
        <v>1100</v>
      </c>
      <c r="C148" s="17">
        <v>108.67382389517726</v>
      </c>
    </row>
    <row r="149" spans="1:3" x14ac:dyDescent="0.25">
      <c r="A149" s="15" t="str">
        <f>"10:55:51.031"</f>
        <v>10:55:51.031</v>
      </c>
      <c r="B149" s="16">
        <v>1200</v>
      </c>
      <c r="C149" s="17">
        <v>108.67382389517726</v>
      </c>
    </row>
    <row r="150" spans="1:3" x14ac:dyDescent="0.25">
      <c r="A150" s="15" t="str">
        <f>"10:55:51.844"</f>
        <v>10:55:51.844</v>
      </c>
      <c r="B150" s="16">
        <v>1075</v>
      </c>
      <c r="C150" s="17">
        <v>109.12836478203089</v>
      </c>
    </row>
    <row r="151" spans="1:3" x14ac:dyDescent="0.25">
      <c r="A151" s="15" t="str">
        <f>"10:55:52.953"</f>
        <v>10:55:52.953</v>
      </c>
      <c r="B151" s="16">
        <v>1075</v>
      </c>
      <c r="C151" s="17">
        <v>110.01818031580054</v>
      </c>
    </row>
    <row r="152" spans="1:3" x14ac:dyDescent="0.25">
      <c r="A152" s="15" t="str">
        <f>"10:55:53.813"</f>
        <v>10:55:53.813</v>
      </c>
      <c r="B152" s="16">
        <v>1075</v>
      </c>
      <c r="C152" s="17">
        <v>110.01818031580054</v>
      </c>
    </row>
    <row r="153" spans="1:3" x14ac:dyDescent="0.25">
      <c r="A153" s="15" t="str">
        <f>"10:55:54.875"</f>
        <v>10:55:54.875</v>
      </c>
      <c r="B153" s="16">
        <v>1050</v>
      </c>
      <c r="C153" s="17">
        <v>110.47624178980746</v>
      </c>
    </row>
    <row r="154" spans="1:3" x14ac:dyDescent="0.25">
      <c r="A154" s="15" t="str">
        <f>"10:55:55.836"</f>
        <v>10:55:55.836</v>
      </c>
      <c r="B154" s="16">
        <v>1025</v>
      </c>
      <c r="C154" s="17">
        <v>110.47624178980746</v>
      </c>
    </row>
    <row r="155" spans="1:3" x14ac:dyDescent="0.25">
      <c r="A155" s="15" t="str">
        <f>"10:55:56.891"</f>
        <v>10:55:56.891</v>
      </c>
      <c r="B155" s="16">
        <v>1025</v>
      </c>
      <c r="C155" s="17">
        <v>110.47624178980746</v>
      </c>
    </row>
    <row r="156" spans="1:3" x14ac:dyDescent="0.25">
      <c r="A156" s="15" t="str">
        <f>"10:55:57.852"</f>
        <v>10:55:57.852</v>
      </c>
      <c r="B156" s="16">
        <v>1000</v>
      </c>
      <c r="C156" s="17">
        <v>110.01818031580054</v>
      </c>
    </row>
    <row r="157" spans="1:3" x14ac:dyDescent="0.25">
      <c r="A157" s="15" t="str">
        <f>"10:55:58.766"</f>
        <v>10:55:58.766</v>
      </c>
      <c r="B157" s="16">
        <v>975</v>
      </c>
      <c r="C157" s="17">
        <v>111.36426715962351</v>
      </c>
    </row>
    <row r="158" spans="1:3" x14ac:dyDescent="0.25">
      <c r="A158" s="15" t="str">
        <f>"10:55:59.672"</f>
        <v>10:55:59.672</v>
      </c>
      <c r="B158" s="16">
        <v>1075</v>
      </c>
      <c r="C158" s="17">
        <v>111.36426715962351</v>
      </c>
    </row>
    <row r="159" spans="1:3" x14ac:dyDescent="0.25">
      <c r="A159" s="15" t="str">
        <f>"10:56:00.680"</f>
        <v>10:56:00.680</v>
      </c>
      <c r="B159" s="16">
        <v>950</v>
      </c>
      <c r="C159" s="17">
        <v>111.36426715962351</v>
      </c>
    </row>
    <row r="160" spans="1:3" x14ac:dyDescent="0.25">
      <c r="A160" s="15" t="str">
        <f>"10:56:01.641"</f>
        <v>10:56:01.641</v>
      </c>
      <c r="B160" s="16">
        <v>925</v>
      </c>
      <c r="C160" s="17">
        <v>112.25417586887359</v>
      </c>
    </row>
    <row r="161" spans="1:3" x14ac:dyDescent="0.25">
      <c r="A161" s="15" t="str">
        <f>"10:56:02.547"</f>
        <v>10:56:02.547</v>
      </c>
      <c r="B161" s="16">
        <v>925</v>
      </c>
      <c r="C161" s="17">
        <v>112.71202242884297</v>
      </c>
    </row>
    <row r="162" spans="1:3" x14ac:dyDescent="0.25">
      <c r="A162" s="15" t="str">
        <f>"10:56:03.461"</f>
        <v>10:56:03.461</v>
      </c>
      <c r="B162" s="16">
        <v>900</v>
      </c>
      <c r="C162" s="17">
        <v>113.6001760562016</v>
      </c>
    </row>
    <row r="163" spans="1:3" x14ac:dyDescent="0.25">
      <c r="A163" s="15" t="str">
        <f>"10:56:04.773"</f>
        <v>10:56:04.773</v>
      </c>
      <c r="B163" s="16">
        <v>875</v>
      </c>
      <c r="C163" s="17">
        <v>114.03946685248927</v>
      </c>
    </row>
    <row r="164" spans="1:3" x14ac:dyDescent="0.25">
      <c r="A164" s="15" t="str">
        <f>"10:56:05.781"</f>
        <v>10:56:05.781</v>
      </c>
      <c r="B164" s="16">
        <v>850</v>
      </c>
      <c r="C164" s="17">
        <v>114.49454135459908</v>
      </c>
    </row>
    <row r="165" spans="1:3" x14ac:dyDescent="0.25">
      <c r="A165" s="15" t="str">
        <f>"10:56:07.297"</f>
        <v>10:56:07.297</v>
      </c>
      <c r="B165" s="16">
        <v>825</v>
      </c>
      <c r="C165" s="17">
        <v>115.39497389401325</v>
      </c>
    </row>
    <row r="166" spans="1:3" x14ac:dyDescent="0.25">
      <c r="A166" s="15" t="str">
        <f>"10:56:08.203"</f>
        <v>10:56:08.203</v>
      </c>
      <c r="B166" s="16">
        <v>800</v>
      </c>
      <c r="C166" s="17">
        <v>115.87061750072795</v>
      </c>
    </row>
    <row r="167" spans="1:3" x14ac:dyDescent="0.25">
      <c r="A167" s="15" t="str">
        <f>"10:56:09.219"</f>
        <v>10:56:09.219</v>
      </c>
      <c r="B167" s="16">
        <v>800</v>
      </c>
      <c r="C167" s="17">
        <v>115.87061750072795</v>
      </c>
    </row>
    <row r="168" spans="1:3" x14ac:dyDescent="0.25">
      <c r="A168" s="15" t="str">
        <f>"10:56:10.125"</f>
        <v>10:56:10.125</v>
      </c>
      <c r="B168" s="16">
        <v>775</v>
      </c>
      <c r="C168" s="17">
        <v>115.45128842936315</v>
      </c>
    </row>
    <row r="169" spans="1:3" x14ac:dyDescent="0.25">
      <c r="A169" s="15" t="str">
        <f>"10:56:10.984"</f>
        <v>10:56:10.984</v>
      </c>
      <c r="B169" s="16">
        <v>775</v>
      </c>
      <c r="C169" s="17">
        <v>115.45128842936315</v>
      </c>
    </row>
    <row r="170" spans="1:3" x14ac:dyDescent="0.25">
      <c r="A170" s="15" t="str">
        <f>"10:56:11.992"</f>
        <v>10:56:11.992</v>
      </c>
      <c r="B170" s="16">
        <v>775</v>
      </c>
      <c r="C170" s="17">
        <v>115.03912377969506</v>
      </c>
    </row>
    <row r="171" spans="1:3" x14ac:dyDescent="0.25">
      <c r="A171" s="15" t="str">
        <f>"10:56:13.055"</f>
        <v>10:56:13.055</v>
      </c>
      <c r="B171" s="16">
        <v>750</v>
      </c>
      <c r="C171" s="17">
        <v>114.63420083029322</v>
      </c>
    </row>
    <row r="172" spans="1:3" x14ac:dyDescent="0.25">
      <c r="A172" s="15" t="str">
        <f>"10:56:14.117"</f>
        <v>10:56:14.117</v>
      </c>
      <c r="B172" s="16">
        <v>750</v>
      </c>
      <c r="C172" s="17">
        <v>114.63420083029322</v>
      </c>
    </row>
    <row r="173" spans="1:3" x14ac:dyDescent="0.25">
      <c r="A173" s="15" t="str">
        <f>"10:56:15.125"</f>
        <v>10:56:15.125</v>
      </c>
      <c r="B173" s="16">
        <v>725</v>
      </c>
      <c r="C173" s="17">
        <v>114.63420083029322</v>
      </c>
    </row>
    <row r="174" spans="1:3" x14ac:dyDescent="0.25">
      <c r="A174" s="15" t="str">
        <f>"10:56:17.094"</f>
        <v>10:56:17.094</v>
      </c>
      <c r="B174" s="16">
        <v>700</v>
      </c>
      <c r="C174" s="17">
        <v>113.3181362359971</v>
      </c>
    </row>
    <row r="175" spans="1:3" x14ac:dyDescent="0.25">
      <c r="A175" s="15" t="str">
        <f>"10:56:18.156"</f>
        <v>10:56:18.156</v>
      </c>
      <c r="B175" s="16">
        <v>700</v>
      </c>
      <c r="C175" s="17">
        <v>113.3181362359971</v>
      </c>
    </row>
    <row r="176" spans="1:3" x14ac:dyDescent="0.25">
      <c r="A176" s="15" t="str">
        <f>"10:56:19.117"</f>
        <v>10:56:19.117</v>
      </c>
      <c r="B176" s="16">
        <v>675</v>
      </c>
      <c r="C176" s="17">
        <v>113.3181362359971</v>
      </c>
    </row>
    <row r="177" spans="1:3" x14ac:dyDescent="0.25">
      <c r="A177" s="15" t="str">
        <f>"10:56:20.227"</f>
        <v>10:56:20.227</v>
      </c>
      <c r="B177" s="16">
        <v>675</v>
      </c>
      <c r="C177" s="17">
        <v>112.40106761058811</v>
      </c>
    </row>
    <row r="178" spans="1:3" x14ac:dyDescent="0.25">
      <c r="A178" s="15" t="str">
        <f>"10:56:21.133"</f>
        <v>10:56:21.133</v>
      </c>
      <c r="B178" s="16">
        <v>650</v>
      </c>
      <c r="C178" s="17">
        <v>111.89280584559492</v>
      </c>
    </row>
    <row r="179" spans="1:3" x14ac:dyDescent="0.25">
      <c r="A179" s="15" t="str">
        <f>"10:56:22.195"</f>
        <v>10:56:22.195</v>
      </c>
      <c r="B179" s="16">
        <v>650</v>
      </c>
      <c r="C179" s="17">
        <v>111.89280584559492</v>
      </c>
    </row>
    <row r="180" spans="1:3" x14ac:dyDescent="0.25">
      <c r="A180" s="15" t="str">
        <f>"10:56:23.258"</f>
        <v>10:56:23.258</v>
      </c>
      <c r="B180" s="16">
        <v>650</v>
      </c>
      <c r="C180" s="17">
        <v>111.89280584559492</v>
      </c>
    </row>
    <row r="181" spans="1:3" x14ac:dyDescent="0.25">
      <c r="A181" s="15" t="str">
        <f>"10:56:24.414"</f>
        <v>10:56:24.414</v>
      </c>
      <c r="B181" s="16">
        <v>650</v>
      </c>
      <c r="C181" s="17">
        <v>109.65856099730654</v>
      </c>
    </row>
    <row r="182" spans="1:3" x14ac:dyDescent="0.25">
      <c r="A182" s="15" t="str">
        <f>"10:56:25.375"</f>
        <v>10:56:25.375</v>
      </c>
      <c r="B182" s="16">
        <v>650</v>
      </c>
      <c r="C182" s="17">
        <v>109.65856099730654</v>
      </c>
    </row>
    <row r="183" spans="1:3" x14ac:dyDescent="0.25">
      <c r="A183" s="15" t="str">
        <f>"10:56:26.539"</f>
        <v>10:56:26.539</v>
      </c>
      <c r="B183" s="16">
        <v>650</v>
      </c>
      <c r="C183" s="17">
        <v>107.83784122468327</v>
      </c>
    </row>
    <row r="184" spans="1:3" x14ac:dyDescent="0.25">
      <c r="A184" s="15" t="str">
        <f>"10:56:27.648"</f>
        <v>10:56:27.648</v>
      </c>
      <c r="B184" s="16">
        <v>650</v>
      </c>
      <c r="C184" s="17">
        <v>106.92988356862641</v>
      </c>
    </row>
    <row r="185" spans="1:3" x14ac:dyDescent="0.25">
      <c r="A185" s="15" t="str">
        <f>"10:56:28.555"</f>
        <v>10:56:28.555</v>
      </c>
      <c r="B185" s="16">
        <v>625</v>
      </c>
      <c r="C185" s="17">
        <v>105.11898020814318</v>
      </c>
    </row>
    <row r="186" spans="1:3" x14ac:dyDescent="0.25">
      <c r="A186" s="15" t="str">
        <f>"10:56:29.570"</f>
        <v>10:56:29.570</v>
      </c>
      <c r="B186" s="16">
        <v>625</v>
      </c>
      <c r="C186" s="17">
        <v>105.11898020814318</v>
      </c>
    </row>
    <row r="187" spans="1:3" x14ac:dyDescent="0.25">
      <c r="A187" s="15" t="str">
        <f>"10:56:30.883"</f>
        <v>10:56:30.883</v>
      </c>
      <c r="B187" s="16">
        <v>625</v>
      </c>
      <c r="C187" s="17">
        <v>104.21612159354233</v>
      </c>
    </row>
    <row r="188" spans="1:3" x14ac:dyDescent="0.25">
      <c r="A188" s="15" t="str">
        <f>"10:56:31.992"</f>
        <v>10:56:31.992</v>
      </c>
      <c r="B188" s="16">
        <v>625</v>
      </c>
      <c r="C188" s="17">
        <v>103.31505214633539</v>
      </c>
    </row>
    <row r="189" spans="1:3" x14ac:dyDescent="0.25">
      <c r="A189" s="15" t="str">
        <f>"10:56:33.000"</f>
        <v>10:56:33.000</v>
      </c>
      <c r="B189" s="16">
        <v>625</v>
      </c>
      <c r="C189" s="17">
        <v>102.41581909060729</v>
      </c>
    </row>
    <row r="190" spans="1:3" x14ac:dyDescent="0.25">
      <c r="A190" s="15" t="str">
        <f>"10:56:33.961"</f>
        <v>10:56:33.961</v>
      </c>
      <c r="B190" s="16">
        <v>625</v>
      </c>
      <c r="C190" s="17">
        <v>101.51847122568385</v>
      </c>
    </row>
    <row r="191" spans="1:3" x14ac:dyDescent="0.25">
      <c r="A191" s="15" t="str">
        <f>"10:56:35.070"</f>
        <v>10:56:35.070</v>
      </c>
      <c r="B191" s="16">
        <v>625</v>
      </c>
      <c r="C191" s="17">
        <v>100.62305898749054</v>
      </c>
    </row>
    <row r="192" spans="1:3" x14ac:dyDescent="0.25">
      <c r="A192" s="15" t="str">
        <f>"10:56:35.930"</f>
        <v>10:56:35.930</v>
      </c>
      <c r="B192" s="16">
        <v>625</v>
      </c>
      <c r="C192" s="17">
        <v>99.729634512515887</v>
      </c>
    </row>
    <row r="193" spans="1:3" x14ac:dyDescent="0.25">
      <c r="A193" s="15" t="str">
        <f>"10:56:37.039"</f>
        <v>10:56:37.039</v>
      </c>
      <c r="B193" s="16">
        <v>600</v>
      </c>
      <c r="C193" s="17">
        <v>98.838251704489394</v>
      </c>
    </row>
    <row r="194" spans="1:3" x14ac:dyDescent="0.25">
      <c r="A194" s="15" t="str">
        <f>"10:56:38.656"</f>
        <v>10:56:38.656</v>
      </c>
      <c r="B194" s="16">
        <v>600</v>
      </c>
      <c r="C194" s="17">
        <v>97.49358953285082</v>
      </c>
    </row>
    <row r="195" spans="1:3" x14ac:dyDescent="0.25">
      <c r="A195" s="15" t="str">
        <f>"10:56:39.664"</f>
        <v>10:56:39.664</v>
      </c>
      <c r="B195" s="16">
        <v>600</v>
      </c>
      <c r="C195" s="17">
        <v>96.150923032490951</v>
      </c>
    </row>
    <row r="196" spans="1:3" x14ac:dyDescent="0.25">
      <c r="A196" s="15" t="str">
        <f>"10:56:40.828"</f>
        <v>10:56:40.828</v>
      </c>
      <c r="B196" s="16">
        <v>600</v>
      </c>
      <c r="C196" s="17">
        <v>94.810336989170125</v>
      </c>
    </row>
    <row r="197" spans="1:3" x14ac:dyDescent="0.25">
      <c r="A197" s="15" t="str">
        <f>"10:56:41.789"</f>
        <v>10:56:41.789</v>
      </c>
      <c r="B197" s="16">
        <v>625</v>
      </c>
      <c r="C197" s="17">
        <v>93.914855054991165</v>
      </c>
    </row>
    <row r="198" spans="1:3" x14ac:dyDescent="0.25">
      <c r="A198" s="15" t="str">
        <f>"10:56:42.648"</f>
        <v>10:56:42.648</v>
      </c>
      <c r="B198" s="16">
        <v>625</v>
      </c>
      <c r="C198" s="17">
        <v>93.471920917460551</v>
      </c>
    </row>
    <row r="199" spans="1:3" x14ac:dyDescent="0.25">
      <c r="A199" s="15" t="str">
        <f>"10:56:43.602"</f>
        <v>10:56:43.602</v>
      </c>
      <c r="B199" s="16">
        <v>625</v>
      </c>
      <c r="C199" s="17">
        <v>92.135769384099675</v>
      </c>
    </row>
    <row r="200" spans="1:3" x14ac:dyDescent="0.25">
      <c r="A200" s="15" t="str">
        <f>"10:56:44.617"</f>
        <v>10:56:44.617</v>
      </c>
      <c r="B200" s="16">
        <v>625</v>
      </c>
      <c r="C200" s="17">
        <v>90.801982357215081</v>
      </c>
    </row>
    <row r="201" spans="1:3" x14ac:dyDescent="0.25">
      <c r="A201" s="15" t="str">
        <f>"10:56:45.625"</f>
        <v>10:56:45.625</v>
      </c>
      <c r="B201" s="16">
        <v>625</v>
      </c>
      <c r="C201" s="17">
        <v>90.801982357215081</v>
      </c>
    </row>
    <row r="202" spans="1:3" x14ac:dyDescent="0.25">
      <c r="A202" s="15" t="str">
        <f>"10:56:46.586"</f>
        <v>10:56:46.586</v>
      </c>
      <c r="B202" s="16">
        <v>625</v>
      </c>
      <c r="C202" s="17">
        <v>89.899944382630181</v>
      </c>
    </row>
    <row r="203" spans="1:3" x14ac:dyDescent="0.25">
      <c r="A203" s="15" t="str">
        <f>"10:56:47.547"</f>
        <v>10:56:47.547</v>
      </c>
      <c r="B203" s="16">
        <v>625</v>
      </c>
      <c r="C203" s="17">
        <v>89</v>
      </c>
    </row>
    <row r="204" spans="1:3" x14ac:dyDescent="0.25">
      <c r="A204" s="15" t="str">
        <f>"10:56:48.703"</f>
        <v>10:56:48.703</v>
      </c>
      <c r="B204" s="16">
        <v>625</v>
      </c>
      <c r="C204" s="17">
        <v>89</v>
      </c>
    </row>
    <row r="205" spans="1:3" x14ac:dyDescent="0.25">
      <c r="A205" s="15" t="str">
        <f>"10:56:49.563"</f>
        <v>10:56:49.563</v>
      </c>
      <c r="B205" s="16">
        <v>625</v>
      </c>
      <c r="C205" s="17">
        <v>87.235313950257549</v>
      </c>
    </row>
    <row r="206" spans="1:3" x14ac:dyDescent="0.25">
      <c r="A206" s="15" t="str">
        <f>"10:56:50.469"</f>
        <v>10:56:50.469</v>
      </c>
      <c r="B206" s="16">
        <v>625</v>
      </c>
      <c r="C206" s="17">
        <v>87.235313950257549</v>
      </c>
    </row>
    <row r="207" spans="1:3" x14ac:dyDescent="0.25">
      <c r="A207" s="15" t="str">
        <f>"10:56:51.586"</f>
        <v>10:56:51.586</v>
      </c>
      <c r="B207" s="16">
        <v>625</v>
      </c>
      <c r="C207" s="17">
        <v>87.235313950257549</v>
      </c>
    </row>
    <row r="208" spans="1:3" x14ac:dyDescent="0.25">
      <c r="A208" s="15" t="str">
        <f>"10:56:52.695"</f>
        <v>10:56:52.695</v>
      </c>
      <c r="B208" s="16">
        <v>600</v>
      </c>
      <c r="C208" s="17">
        <v>87.235313950257549</v>
      </c>
    </row>
    <row r="209" spans="1:3" x14ac:dyDescent="0.25">
      <c r="A209" s="15" t="str">
        <f>"10:56:53.859"</f>
        <v>10:56:53.859</v>
      </c>
      <c r="B209" s="16">
        <v>600</v>
      </c>
      <c r="C209" s="17">
        <v>87.235313950257549</v>
      </c>
    </row>
    <row r="210" spans="1:3" x14ac:dyDescent="0.25">
      <c r="A210" s="15" t="str">
        <f>"10:56:54.867"</f>
        <v>10:56:54.867</v>
      </c>
      <c r="B210" s="16">
        <v>600</v>
      </c>
      <c r="C210" s="17">
        <v>86.330759292386631</v>
      </c>
    </row>
    <row r="211" spans="1:3" x14ac:dyDescent="0.25">
      <c r="A211" s="15" t="str">
        <f>"10:56:55.977"</f>
        <v>10:56:55.977</v>
      </c>
      <c r="B211" s="16">
        <v>600</v>
      </c>
      <c r="C211" s="17">
        <v>86.764047853935452</v>
      </c>
    </row>
    <row r="212" spans="1:3" x14ac:dyDescent="0.25">
      <c r="A212" s="15" t="str">
        <f>"10:56:56.891"</f>
        <v>10:56:56.891</v>
      </c>
      <c r="B212" s="16">
        <v>600</v>
      </c>
      <c r="C212" s="17">
        <v>86.764047853935452</v>
      </c>
    </row>
    <row r="213" spans="1:3" x14ac:dyDescent="0.25">
      <c r="A213" s="15" t="str">
        <f>"10:56:57.742"</f>
        <v>10:56:57.742</v>
      </c>
      <c r="B213" s="16">
        <v>575</v>
      </c>
      <c r="C213" s="17">
        <v>86.764047853935452</v>
      </c>
    </row>
    <row r="214" spans="1:3" x14ac:dyDescent="0.25">
      <c r="A214" s="15" t="str">
        <f>"10:56:58.656"</f>
        <v>10:56:58.656</v>
      </c>
      <c r="B214" s="16">
        <v>575</v>
      </c>
      <c r="C214" s="17">
        <v>85.428332536694171</v>
      </c>
    </row>
    <row r="215" spans="1:3" x14ac:dyDescent="0.25">
      <c r="A215" s="15" t="str">
        <f>"10:56:59.766"</f>
        <v>10:56:59.766</v>
      </c>
      <c r="B215" s="16">
        <v>575</v>
      </c>
      <c r="C215" s="17">
        <v>85.428332536694171</v>
      </c>
    </row>
    <row r="216" spans="1:3" x14ac:dyDescent="0.25">
      <c r="A216" s="15" t="str">
        <f>"10:57:00.828"</f>
        <v>10:57:00.828</v>
      </c>
      <c r="B216" s="16">
        <v>575</v>
      </c>
      <c r="C216" s="17">
        <v>85.428332536694171</v>
      </c>
    </row>
    <row r="217" spans="1:3" x14ac:dyDescent="0.25">
      <c r="A217" s="15" t="str">
        <f>"10:57:01.836"</f>
        <v>10:57:01.836</v>
      </c>
      <c r="B217" s="16">
        <v>575</v>
      </c>
      <c r="C217" s="17">
        <v>85</v>
      </c>
    </row>
    <row r="218" spans="1:3" x14ac:dyDescent="0.25">
      <c r="A218" s="15" t="str">
        <f>"10:57:02.844"</f>
        <v>10:57:02.844</v>
      </c>
      <c r="B218" s="16">
        <v>575</v>
      </c>
      <c r="C218" s="17">
        <v>84.095184166514557</v>
      </c>
    </row>
    <row r="219" spans="1:3" x14ac:dyDescent="0.25">
      <c r="A219" s="15" t="str">
        <f>"10:57:03.859"</f>
        <v>10:57:03.859</v>
      </c>
      <c r="B219" s="16">
        <v>575</v>
      </c>
      <c r="C219" s="17">
        <v>82.764726786234249</v>
      </c>
    </row>
    <row r="220" spans="1:3" x14ac:dyDescent="0.25">
      <c r="A220" s="15" t="str">
        <f>"10:57:04.766"</f>
        <v>10:57:04.766</v>
      </c>
      <c r="B220" s="16">
        <v>575</v>
      </c>
      <c r="C220" s="17">
        <v>82.764726786234249</v>
      </c>
    </row>
    <row r="221" spans="1:3" x14ac:dyDescent="0.25">
      <c r="A221" s="15" t="str">
        <f>"10:57:05.930"</f>
        <v>10:57:05.930</v>
      </c>
      <c r="B221" s="16">
        <v>575</v>
      </c>
      <c r="C221" s="17">
        <v>82.764726786234249</v>
      </c>
    </row>
    <row r="222" spans="1:3" x14ac:dyDescent="0.25">
      <c r="A222" s="15" t="str">
        <f>"10:57:07.242"</f>
        <v>10:57:07.242</v>
      </c>
      <c r="B222" s="16">
        <v>575</v>
      </c>
      <c r="C222" s="17">
        <v>82.764726786234249</v>
      </c>
    </row>
    <row r="223" spans="1:3" x14ac:dyDescent="0.25">
      <c r="A223" s="15" t="str">
        <f>"10:57:08.195"</f>
        <v>10:57:08.195</v>
      </c>
      <c r="B223" s="16">
        <v>575</v>
      </c>
      <c r="C223" s="17">
        <v>82.346827504160714</v>
      </c>
    </row>
    <row r="224" spans="1:3" x14ac:dyDescent="0.25">
      <c r="A224" s="15" t="str">
        <f>"10:57:09.258"</f>
        <v>10:57:09.258</v>
      </c>
      <c r="B224" s="16">
        <v>575</v>
      </c>
      <c r="C224" s="17">
        <v>82.346827504160714</v>
      </c>
    </row>
    <row r="225" spans="1:3" x14ac:dyDescent="0.25">
      <c r="A225" s="15" t="str">
        <f>"10:57:10.219"</f>
        <v>10:57:10.219</v>
      </c>
      <c r="B225" s="16">
        <v>550</v>
      </c>
      <c r="C225" s="17">
        <v>82.764726786234249</v>
      </c>
    </row>
    <row r="226" spans="1:3" x14ac:dyDescent="0.25">
      <c r="A226" s="15" t="str">
        <f>"10:57:11.125"</f>
        <v>10:57:11.125</v>
      </c>
      <c r="B226" s="16">
        <v>550</v>
      </c>
      <c r="C226" s="17">
        <v>81.859635963031252</v>
      </c>
    </row>
    <row r="227" spans="1:3" x14ac:dyDescent="0.25">
      <c r="A227" s="15" t="str">
        <f>"10:57:12.188"</f>
        <v>10:57:12.188</v>
      </c>
      <c r="B227" s="16">
        <v>550</v>
      </c>
      <c r="C227" s="17">
        <v>82.292162445763935</v>
      </c>
    </row>
    <row r="228" spans="1:3" x14ac:dyDescent="0.25">
      <c r="A228" s="15" t="str">
        <f>"10:57:13.148"</f>
        <v>10:57:13.148</v>
      </c>
      <c r="B228" s="16">
        <v>525</v>
      </c>
      <c r="C228" s="17">
        <v>83.192547743172284</v>
      </c>
    </row>
    <row r="229" spans="1:3" x14ac:dyDescent="0.25">
      <c r="A229" s="15" t="str">
        <f>"10:57:14.102"</f>
        <v>10:57:14.102</v>
      </c>
      <c r="B229" s="16">
        <v>525</v>
      </c>
      <c r="C229" s="17">
        <v>84.528101836016646</v>
      </c>
    </row>
    <row r="230" spans="1:3" x14ac:dyDescent="0.25">
      <c r="A230" s="15" t="str">
        <f>"10:57:15.117"</f>
        <v>10:57:15.117</v>
      </c>
      <c r="B230" s="16">
        <v>500</v>
      </c>
      <c r="C230" s="17">
        <v>85.866174946832231</v>
      </c>
    </row>
    <row r="231" spans="1:3" x14ac:dyDescent="0.25">
      <c r="A231" s="15" t="str">
        <f>"10:57:16.125"</f>
        <v>10:57:16.125</v>
      </c>
      <c r="B231" s="16">
        <v>475</v>
      </c>
      <c r="C231" s="17">
        <v>87.206651122491792</v>
      </c>
    </row>
    <row r="232" spans="1:3" x14ac:dyDescent="0.25">
      <c r="A232" s="15" t="str">
        <f>"10:57:18.297"</f>
        <v>10:57:18.297</v>
      </c>
      <c r="B232" s="16">
        <v>450</v>
      </c>
      <c r="C232" s="17">
        <v>90.354855984612144</v>
      </c>
    </row>
    <row r="233" spans="1:3" x14ac:dyDescent="0.25">
      <c r="A233" s="15" t="str">
        <f>"10:57:19.258"</f>
        <v>10:57:19.258</v>
      </c>
      <c r="B233" s="16">
        <v>450</v>
      </c>
      <c r="C233" s="17">
        <v>90.824005637276315</v>
      </c>
    </row>
    <row r="234" spans="1:3" x14ac:dyDescent="0.25">
      <c r="A234" s="15" t="str">
        <f>"10:57:20.219"</f>
        <v>10:57:20.219</v>
      </c>
      <c r="B234" s="16">
        <v>425</v>
      </c>
      <c r="C234" s="17">
        <v>90.824005637276315</v>
      </c>
    </row>
    <row r="235" spans="1:3" x14ac:dyDescent="0.25">
      <c r="A235" s="15" t="str">
        <f>"10:57:21.273"</f>
        <v>10:57:21.273</v>
      </c>
      <c r="B235" s="16">
        <v>425</v>
      </c>
      <c r="C235" s="17">
        <v>91.301697684106614</v>
      </c>
    </row>
    <row r="236" spans="1:3" x14ac:dyDescent="0.25">
      <c r="A236" s="15" t="str">
        <f>"10:57:22.234"</f>
        <v>10:57:22.234</v>
      </c>
      <c r="B236" s="16">
        <v>400</v>
      </c>
      <c r="C236" s="17">
        <v>90.426765949026404</v>
      </c>
    </row>
    <row r="237" spans="1:3" x14ac:dyDescent="0.25">
      <c r="A237" s="15" t="str">
        <f>"10:57:23.195"</f>
        <v>10:57:23.195</v>
      </c>
      <c r="B237" s="16">
        <v>400</v>
      </c>
      <c r="C237" s="17">
        <v>90.426765949026404</v>
      </c>
    </row>
    <row r="238" spans="1:3" x14ac:dyDescent="0.25">
      <c r="A238" s="15" t="str">
        <f>"10:57:24.258"</f>
        <v>10:57:24.258</v>
      </c>
      <c r="B238" s="16">
        <v>400</v>
      </c>
      <c r="C238" s="17">
        <v>90.426765949026404</v>
      </c>
    </row>
    <row r="239" spans="1:3" x14ac:dyDescent="0.25">
      <c r="A239" s="15" t="str">
        <f>"10:57:25.313"</f>
        <v>10:57:25.313</v>
      </c>
      <c r="B239" s="16">
        <v>400</v>
      </c>
      <c r="C239" s="17">
        <v>89.067390216621931</v>
      </c>
    </row>
    <row r="240" spans="1:3" x14ac:dyDescent="0.25">
      <c r="A240" s="15" t="str">
        <f>"10:57:26.281"</f>
        <v>10:57:26.281</v>
      </c>
      <c r="B240" s="16">
        <v>400</v>
      </c>
      <c r="C240" s="17">
        <v>87.709748602991681</v>
      </c>
    </row>
    <row r="241" spans="1:3" x14ac:dyDescent="0.25">
      <c r="A241" s="15" t="str">
        <f>"10:57:27.336"</f>
        <v>10:57:27.336</v>
      </c>
      <c r="B241" s="16">
        <v>400</v>
      </c>
      <c r="C241" s="17">
        <v>87.235313950257549</v>
      </c>
    </row>
    <row r="242" spans="1:3" x14ac:dyDescent="0.25">
      <c r="A242" s="15" t="str">
        <f>"10:57:28.242"</f>
        <v>10:57:28.242</v>
      </c>
      <c r="B242" s="16">
        <v>400</v>
      </c>
      <c r="C242" s="17">
        <v>86.353922898731128</v>
      </c>
    </row>
    <row r="243" spans="1:3" x14ac:dyDescent="0.25">
      <c r="A243" s="15" t="str">
        <f>"10:57:29.258"</f>
        <v>10:57:29.258</v>
      </c>
      <c r="B243" s="16">
        <v>400</v>
      </c>
      <c r="C243" s="17">
        <v>85.475142585432408</v>
      </c>
    </row>
    <row r="244" spans="1:3" x14ac:dyDescent="0.25">
      <c r="A244" s="15" t="str">
        <f>"10:57:30.266"</f>
        <v>10:57:30.266</v>
      </c>
      <c r="B244" s="16">
        <v>400</v>
      </c>
      <c r="C244" s="17">
        <v>85</v>
      </c>
    </row>
    <row r="245" spans="1:3" x14ac:dyDescent="0.25">
      <c r="A245" s="15" t="str">
        <f>"10:57:31.828"</f>
        <v>10:57:31.828</v>
      </c>
      <c r="B245" s="16">
        <v>400</v>
      </c>
      <c r="C245" s="17">
        <v>84.534016821632221</v>
      </c>
    </row>
    <row r="246" spans="1:3" x14ac:dyDescent="0.25">
      <c r="A246" s="15" t="str">
        <f>"10:57:32.891"</f>
        <v>10:57:32.891</v>
      </c>
      <c r="B246" s="16">
        <v>400</v>
      </c>
      <c r="C246" s="17">
        <v>84.077345343439575</v>
      </c>
    </row>
    <row r="247" spans="1:3" x14ac:dyDescent="0.25">
      <c r="A247" s="15" t="str">
        <f>"10:57:33.695"</f>
        <v>10:57:33.695</v>
      </c>
      <c r="B247" s="16">
        <v>400</v>
      </c>
      <c r="C247" s="17">
        <v>83.192547743172284</v>
      </c>
    </row>
    <row r="248" spans="1:3" x14ac:dyDescent="0.25">
      <c r="A248" s="15" t="str">
        <f>"10:57:34.711"</f>
        <v>10:57:34.711</v>
      </c>
      <c r="B248" s="16">
        <v>400</v>
      </c>
      <c r="C248" s="17">
        <v>84.077345343439575</v>
      </c>
    </row>
    <row r="249" spans="1:3" x14ac:dyDescent="0.25">
      <c r="A249" s="15" t="str">
        <f>"10:57:35.867"</f>
        <v>10:57:35.867</v>
      </c>
      <c r="B249" s="16">
        <v>400</v>
      </c>
      <c r="C249" s="17">
        <v>82.346827504160714</v>
      </c>
    </row>
    <row r="250" spans="1:3" x14ac:dyDescent="0.25">
      <c r="A250" s="15" t="str">
        <f>"10:57:36.977"</f>
        <v>10:57:36.977</v>
      </c>
      <c r="B250" s="16">
        <v>400</v>
      </c>
      <c r="C250" s="17">
        <v>81.939001702485982</v>
      </c>
    </row>
    <row r="251" spans="1:3" x14ac:dyDescent="0.25">
      <c r="A251" s="15" t="str">
        <f>"10:57:37.992"</f>
        <v>10:57:37.992</v>
      </c>
      <c r="B251" s="16">
        <v>400</v>
      </c>
      <c r="C251" s="17">
        <v>81.024687595818591</v>
      </c>
    </row>
    <row r="252" spans="1:3" x14ac:dyDescent="0.25">
      <c r="A252" s="15" t="str">
        <f>"10:57:39.555"</f>
        <v>10:57:39.555</v>
      </c>
      <c r="B252" s="16">
        <v>400</v>
      </c>
      <c r="C252" s="17">
        <v>79.705708703956702</v>
      </c>
    </row>
    <row r="253" spans="1:3" x14ac:dyDescent="0.25">
      <c r="A253" s="15" t="str">
        <f>"10:57:40.617"</f>
        <v>10:57:40.617</v>
      </c>
      <c r="B253" s="16">
        <v>400</v>
      </c>
      <c r="C253" s="17">
        <v>78.390050389064044</v>
      </c>
    </row>
    <row r="254" spans="1:3" x14ac:dyDescent="0.25">
      <c r="A254" s="15" t="str">
        <f>"10:57:42.734"</f>
        <v>10:57:42.734</v>
      </c>
      <c r="B254" s="16">
        <v>425</v>
      </c>
      <c r="C254" s="17">
        <v>77.077882690172544</v>
      </c>
    </row>
    <row r="255" spans="1:3" x14ac:dyDescent="0.25">
      <c r="A255" s="15" t="str">
        <f>"10:57:43.750"</f>
        <v>10:57:43.750</v>
      </c>
      <c r="B255" s="16">
        <v>425</v>
      </c>
      <c r="C255" s="17">
        <v>76.157731058639087</v>
      </c>
    </row>
    <row r="256" spans="1:3" x14ac:dyDescent="0.25">
      <c r="A256" s="15" t="str">
        <f>"10:57:44.805"</f>
        <v>10:57:44.805</v>
      </c>
      <c r="B256" s="16">
        <v>425</v>
      </c>
      <c r="C256" s="17">
        <v>76.157731058639087</v>
      </c>
    </row>
    <row r="257" spans="1:3" x14ac:dyDescent="0.25">
      <c r="A257" s="15" t="str">
        <f>"10:57:45.820"</f>
        <v>10:57:45.820</v>
      </c>
      <c r="B257" s="16">
        <v>400</v>
      </c>
      <c r="C257" s="17">
        <v>75.23961722390672</v>
      </c>
    </row>
    <row r="258" spans="1:3" x14ac:dyDescent="0.25">
      <c r="A258" s="15" t="str">
        <f>"10:57:46.828"</f>
        <v>10:57:46.828</v>
      </c>
      <c r="B258" s="16">
        <v>400</v>
      </c>
      <c r="C258" s="17">
        <v>74.323616704248181</v>
      </c>
    </row>
    <row r="259" spans="1:3" x14ac:dyDescent="0.25">
      <c r="A259" s="15" t="str">
        <f>"10:57:47.789"</f>
        <v>10:57:47.789</v>
      </c>
      <c r="B259" s="16">
        <v>400</v>
      </c>
      <c r="C259" s="17">
        <v>74.323616704248181</v>
      </c>
    </row>
    <row r="260" spans="1:3" x14ac:dyDescent="0.25">
      <c r="A260" s="15" t="str">
        <f>"10:57:48.898"</f>
        <v>10:57:48.898</v>
      </c>
      <c r="B260" s="16">
        <v>400</v>
      </c>
      <c r="C260" s="17">
        <v>72.498275841567434</v>
      </c>
    </row>
    <row r="261" spans="1:3" x14ac:dyDescent="0.25">
      <c r="A261" s="15" t="str">
        <f>"10:57:49.859"</f>
        <v>10:57:49.859</v>
      </c>
      <c r="B261" s="16">
        <v>425</v>
      </c>
      <c r="C261" s="17">
        <v>71.589105316381762</v>
      </c>
    </row>
    <row r="262" spans="1:3" x14ac:dyDescent="0.25">
      <c r="A262" s="15" t="str">
        <f>"10:57:50.867"</f>
        <v>10:57:50.867</v>
      </c>
      <c r="B262" s="16">
        <v>425</v>
      </c>
      <c r="C262" s="17">
        <v>70.263788682364691</v>
      </c>
    </row>
    <row r="263" spans="1:3" x14ac:dyDescent="0.25">
      <c r="A263" s="15" t="str">
        <f>"10:57:51.930"</f>
        <v>10:57:51.930</v>
      </c>
      <c r="B263" s="16">
        <v>425</v>
      </c>
      <c r="C263" s="17">
        <v>70.263788682364691</v>
      </c>
    </row>
    <row r="264" spans="1:3" x14ac:dyDescent="0.25">
      <c r="A264" s="15" t="str">
        <f>"10:57:53.898"</f>
        <v>10:57:53.898</v>
      </c>
      <c r="B264" s="16">
        <v>425</v>
      </c>
      <c r="C264" s="17">
        <v>68.942004612572731</v>
      </c>
    </row>
    <row r="265" spans="1:3" x14ac:dyDescent="0.25">
      <c r="A265" s="15" t="str">
        <f>"10:57:54.805"</f>
        <v>10:57:54.805</v>
      </c>
      <c r="B265" s="16">
        <v>425</v>
      </c>
      <c r="C265" s="17">
        <v>68.029405406779802</v>
      </c>
    </row>
    <row r="266" spans="1:3" x14ac:dyDescent="0.25">
      <c r="A266" s="15" t="str">
        <f>"10:57:55.813"</f>
        <v>10:57:55.813</v>
      </c>
      <c r="B266" s="16">
        <v>425</v>
      </c>
      <c r="C266" s="17">
        <v>67.119296778199342</v>
      </c>
    </row>
    <row r="267" spans="1:3" x14ac:dyDescent="0.25">
      <c r="A267" s="15" t="str">
        <f>"10:57:56.820"</f>
        <v>10:57:56.820</v>
      </c>
      <c r="B267" s="16">
        <v>425</v>
      </c>
      <c r="C267" s="17">
        <v>67.119296778199342</v>
      </c>
    </row>
    <row r="268" spans="1:3" x14ac:dyDescent="0.25">
      <c r="A268" s="15" t="str">
        <f>"10:57:58.336"</f>
        <v>10:57:58.336</v>
      </c>
      <c r="B268" s="16">
        <v>425</v>
      </c>
      <c r="C268" s="17">
        <v>65.79513659838392</v>
      </c>
    </row>
    <row r="269" spans="1:3" x14ac:dyDescent="0.25">
      <c r="A269" s="15" t="str">
        <f>"10:57:59.352"</f>
        <v>10:57:59.352</v>
      </c>
      <c r="B269" s="16">
        <v>425</v>
      </c>
      <c r="C269" s="17">
        <v>65.391130897087265</v>
      </c>
    </row>
    <row r="270" spans="1:3" x14ac:dyDescent="0.25">
      <c r="A270" s="15" t="str">
        <f>"10:58:00.406"</f>
        <v>10:58:00.406</v>
      </c>
      <c r="B270" s="16">
        <v>425</v>
      </c>
      <c r="C270" s="17">
        <v>65.787536813594102</v>
      </c>
    </row>
    <row r="271" spans="1:3" x14ac:dyDescent="0.25">
      <c r="A271" s="15" t="str">
        <f>"10:58:01.320"</f>
        <v>10:58:01.320</v>
      </c>
      <c r="B271" s="16">
        <v>400</v>
      </c>
      <c r="C271" s="17">
        <v>65.253352404301808</v>
      </c>
    </row>
    <row r="272" spans="1:3" x14ac:dyDescent="0.25">
      <c r="A272" s="15" t="str">
        <f>"10:58:02.680"</f>
        <v>10:58:02.680</v>
      </c>
      <c r="B272" s="16">
        <v>375</v>
      </c>
      <c r="C272" s="17">
        <v>66.272166103123567</v>
      </c>
    </row>
    <row r="273" spans="1:3" x14ac:dyDescent="0.25">
      <c r="A273" s="15" t="str">
        <f>"10:58:03.641"</f>
        <v>10:58:03.641</v>
      </c>
      <c r="B273" s="16">
        <v>325</v>
      </c>
      <c r="C273" s="17">
        <v>69.050706006528273</v>
      </c>
    </row>
    <row r="274" spans="1:3" x14ac:dyDescent="0.25">
      <c r="A274" s="15" t="str">
        <f>"10:58:04.547"</f>
        <v>10:58:04.547</v>
      </c>
      <c r="B274" s="16">
        <v>275</v>
      </c>
      <c r="C274" s="17">
        <v>72.73238618387272</v>
      </c>
    </row>
    <row r="275" spans="1:3" x14ac:dyDescent="0.25">
      <c r="A275" s="15" t="str">
        <f>"10:58:05.961"</f>
        <v>10:58:05.961</v>
      </c>
      <c r="B275" s="16">
        <v>225</v>
      </c>
      <c r="C275" s="17">
        <v>76.53757247260981</v>
      </c>
    </row>
    <row r="276" spans="1:3" x14ac:dyDescent="0.25">
      <c r="A276" s="18" t="str">
        <f>"10:58:07"</f>
        <v>10:58:07</v>
      </c>
      <c r="B276" s="19">
        <v>175</v>
      </c>
      <c r="C276" s="20">
        <v>81.835200250259064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D6C9D1-BE47-4605-AD57-0C9F80FA22FC}">
  <dimension ref="A1:Y4052"/>
  <sheetViews>
    <sheetView workbookViewId="0">
      <selection activeCell="P5" sqref="P5"/>
    </sheetView>
  </sheetViews>
  <sheetFormatPr defaultRowHeight="15" x14ac:dyDescent="0.25"/>
  <cols>
    <col min="1" max="1" width="16.42578125" customWidth="1"/>
    <col min="2" max="2" width="15.85546875" customWidth="1"/>
    <col min="3" max="3" width="14.42578125" customWidth="1"/>
    <col min="4" max="4" width="12.85546875" customWidth="1"/>
    <col min="5" max="5" width="11.7109375" customWidth="1"/>
    <col min="10" max="13" width="9" style="1"/>
    <col min="14" max="14" width="32.140625" style="7" customWidth="1"/>
    <col min="16" max="16" width="37.28515625" style="2" customWidth="1"/>
    <col min="17" max="20" width="9" style="1"/>
    <col min="22" max="23" width="9" style="1"/>
  </cols>
  <sheetData>
    <row r="1" spans="1:25" x14ac:dyDescent="0.25">
      <c r="A1" t="s">
        <v>8152</v>
      </c>
      <c r="B1" t="s">
        <v>0</v>
      </c>
      <c r="C1" t="s">
        <v>1</v>
      </c>
      <c r="D1" t="s">
        <v>2</v>
      </c>
      <c r="E1" t="s">
        <v>11</v>
      </c>
      <c r="F1" t="s">
        <v>3</v>
      </c>
      <c r="G1" t="s">
        <v>4</v>
      </c>
      <c r="H1" t="s">
        <v>5</v>
      </c>
      <c r="J1" s="1" t="s">
        <v>7</v>
      </c>
      <c r="K1" s="1" t="s">
        <v>8</v>
      </c>
      <c r="L1" s="1" t="s">
        <v>9</v>
      </c>
      <c r="M1" s="1" t="s">
        <v>10</v>
      </c>
      <c r="N1" s="7" t="s">
        <v>8156</v>
      </c>
      <c r="X1" s="1"/>
      <c r="Y1" s="1"/>
    </row>
    <row r="2" spans="1:25" x14ac:dyDescent="0.25">
      <c r="A2" t="str">
        <f>"13:50:10.102"</f>
        <v>13:50:10.102</v>
      </c>
      <c r="B2">
        <v>39.085901</v>
      </c>
      <c r="C2">
        <v>-77.560965999999993</v>
      </c>
      <c r="D2">
        <v>300</v>
      </c>
      <c r="E2">
        <v>475</v>
      </c>
      <c r="F2">
        <v>-38</v>
      </c>
      <c r="G2">
        <v>110</v>
      </c>
      <c r="H2">
        <v>1344</v>
      </c>
      <c r="J2" s="1">
        <f>F2^2</f>
        <v>1444</v>
      </c>
      <c r="K2" s="1">
        <f>G2^2</f>
        <v>12100</v>
      </c>
      <c r="L2" s="1">
        <f>SUMSQ(F2,G2)</f>
        <v>13544</v>
      </c>
      <c r="M2" s="1">
        <f>SQRT(L2)</f>
        <v>116.37869220780924</v>
      </c>
      <c r="N2" s="7">
        <f>M2</f>
        <v>116.37869220780924</v>
      </c>
    </row>
    <row r="3" spans="1:25" x14ac:dyDescent="0.25">
      <c r="A3" t="str">
        <f>"13:50:12.375"</f>
        <v>13:50:12.375</v>
      </c>
      <c r="B3">
        <v>39.087059000000004</v>
      </c>
      <c r="C3">
        <v>-77.561502000000004</v>
      </c>
      <c r="D3">
        <v>300</v>
      </c>
      <c r="E3">
        <v>550</v>
      </c>
      <c r="F3">
        <v>-38</v>
      </c>
      <c r="G3">
        <v>109</v>
      </c>
      <c r="H3">
        <v>1600</v>
      </c>
      <c r="J3" s="1">
        <f t="shared" ref="J3:J66" si="0">F3^2</f>
        <v>1444</v>
      </c>
      <c r="K3" s="1">
        <f t="shared" ref="K3:K66" si="1">G3^2</f>
        <v>11881</v>
      </c>
      <c r="L3" s="1">
        <f t="shared" ref="L3:L66" si="2">SUMSQ(F3,G3)</f>
        <v>13325</v>
      </c>
      <c r="M3" s="1">
        <f t="shared" ref="M3:M66" si="3">SQRT(L3)</f>
        <v>115.43396380615195</v>
      </c>
      <c r="N3" s="7">
        <f t="shared" ref="N3:N66" si="4">M3</f>
        <v>115.43396380615195</v>
      </c>
    </row>
    <row r="4" spans="1:25" x14ac:dyDescent="0.25">
      <c r="A4" t="str">
        <f>"13:50:13.891"</f>
        <v>13:50:13.891</v>
      </c>
      <c r="B4">
        <v>39.087811000000002</v>
      </c>
      <c r="C4">
        <v>-77.561824000000001</v>
      </c>
      <c r="D4">
        <v>400</v>
      </c>
      <c r="E4">
        <v>600</v>
      </c>
      <c r="F4">
        <v>-39</v>
      </c>
      <c r="G4">
        <v>109</v>
      </c>
      <c r="H4">
        <v>1408</v>
      </c>
      <c r="J4" s="1">
        <f t="shared" si="0"/>
        <v>1521</v>
      </c>
      <c r="K4" s="1">
        <f t="shared" si="1"/>
        <v>11881</v>
      </c>
      <c r="L4" s="1">
        <f t="shared" si="2"/>
        <v>13402</v>
      </c>
      <c r="M4" s="1">
        <f t="shared" si="3"/>
        <v>115.76700738984316</v>
      </c>
      <c r="N4" s="7">
        <f t="shared" si="4"/>
        <v>115.76700738984316</v>
      </c>
    </row>
    <row r="5" spans="1:25" x14ac:dyDescent="0.25">
      <c r="A5" t="str">
        <f>"13:50:14.648"</f>
        <v>13:50:14.648</v>
      </c>
      <c r="B5">
        <v>39.088326000000002</v>
      </c>
      <c r="C5">
        <v>-77.562082000000004</v>
      </c>
      <c r="D5">
        <v>400</v>
      </c>
      <c r="E5">
        <v>525</v>
      </c>
      <c r="F5">
        <v>-39</v>
      </c>
      <c r="G5">
        <v>109</v>
      </c>
      <c r="H5">
        <v>1408</v>
      </c>
      <c r="J5" s="1">
        <f t="shared" si="0"/>
        <v>1521</v>
      </c>
      <c r="K5" s="1">
        <f t="shared" si="1"/>
        <v>11881</v>
      </c>
      <c r="L5" s="1">
        <f t="shared" si="2"/>
        <v>13402</v>
      </c>
      <c r="M5" s="1">
        <f t="shared" si="3"/>
        <v>115.76700738984316</v>
      </c>
      <c r="N5" s="7">
        <f t="shared" si="4"/>
        <v>115.76700738984316</v>
      </c>
    </row>
    <row r="6" spans="1:25" x14ac:dyDescent="0.25">
      <c r="A6" t="str">
        <f>"13:50:17.570"</f>
        <v>13:50:17.570</v>
      </c>
      <c r="B6">
        <v>39.089869999999998</v>
      </c>
      <c r="C6">
        <v>-77.562810999999996</v>
      </c>
      <c r="D6">
        <v>500</v>
      </c>
      <c r="E6">
        <v>675</v>
      </c>
      <c r="F6">
        <v>-40</v>
      </c>
      <c r="G6">
        <v>109</v>
      </c>
      <c r="H6">
        <v>1344</v>
      </c>
      <c r="J6" s="1">
        <f t="shared" si="0"/>
        <v>1600</v>
      </c>
      <c r="K6" s="1">
        <f t="shared" si="1"/>
        <v>11881</v>
      </c>
      <c r="L6" s="1">
        <f t="shared" si="2"/>
        <v>13481</v>
      </c>
      <c r="M6" s="1">
        <f t="shared" si="3"/>
        <v>116.1077086157504</v>
      </c>
      <c r="N6" s="7">
        <f t="shared" si="4"/>
        <v>116.1077086157504</v>
      </c>
    </row>
    <row r="7" spans="1:25" x14ac:dyDescent="0.25">
      <c r="A7" t="str">
        <f>"13:50:18.688"</f>
        <v>13:50:18.688</v>
      </c>
      <c r="B7">
        <v>39.090406999999999</v>
      </c>
      <c r="C7">
        <v>-77.563068999999999</v>
      </c>
      <c r="D7">
        <v>500</v>
      </c>
      <c r="E7">
        <v>700</v>
      </c>
      <c r="F7">
        <v>-40</v>
      </c>
      <c r="G7">
        <v>108</v>
      </c>
      <c r="H7">
        <v>1472</v>
      </c>
      <c r="J7" s="1">
        <f t="shared" si="0"/>
        <v>1600</v>
      </c>
      <c r="K7" s="1">
        <f t="shared" si="1"/>
        <v>11664</v>
      </c>
      <c r="L7" s="1">
        <f t="shared" si="2"/>
        <v>13264</v>
      </c>
      <c r="M7" s="1">
        <f t="shared" si="3"/>
        <v>115.16944039110375</v>
      </c>
      <c r="N7" s="7">
        <f t="shared" si="4"/>
        <v>115.16944039110375</v>
      </c>
    </row>
    <row r="8" spans="1:25" x14ac:dyDescent="0.25">
      <c r="A8" t="str">
        <f>"13:50:21.711"</f>
        <v>13:50:21.711</v>
      </c>
      <c r="B8">
        <v>39.091909000000001</v>
      </c>
      <c r="C8">
        <v>-77.563777000000002</v>
      </c>
      <c r="D8">
        <v>600</v>
      </c>
      <c r="E8">
        <v>675</v>
      </c>
      <c r="F8">
        <v>-40</v>
      </c>
      <c r="G8">
        <v>108</v>
      </c>
      <c r="H8">
        <v>1408</v>
      </c>
      <c r="J8" s="1">
        <f t="shared" si="0"/>
        <v>1600</v>
      </c>
      <c r="K8" s="1">
        <f t="shared" si="1"/>
        <v>11664</v>
      </c>
      <c r="L8" s="1">
        <f t="shared" si="2"/>
        <v>13264</v>
      </c>
      <c r="M8" s="1">
        <f t="shared" si="3"/>
        <v>115.16944039110375</v>
      </c>
      <c r="N8" s="7">
        <f t="shared" si="4"/>
        <v>115.16944039110375</v>
      </c>
    </row>
    <row r="9" spans="1:25" x14ac:dyDescent="0.25">
      <c r="A9" t="str">
        <f>"13:50:24.992"</f>
        <v>13:50:24.992</v>
      </c>
      <c r="B9">
        <v>39.093539999999997</v>
      </c>
      <c r="C9">
        <v>-77.564507000000006</v>
      </c>
      <c r="D9">
        <v>700</v>
      </c>
      <c r="E9">
        <v>850</v>
      </c>
      <c r="F9">
        <v>-39</v>
      </c>
      <c r="G9">
        <v>108</v>
      </c>
      <c r="H9">
        <v>1152</v>
      </c>
      <c r="J9" s="1">
        <f t="shared" si="0"/>
        <v>1521</v>
      </c>
      <c r="K9" s="1">
        <f t="shared" si="1"/>
        <v>11664</v>
      </c>
      <c r="L9" s="1">
        <f t="shared" si="2"/>
        <v>13185</v>
      </c>
      <c r="M9" s="1">
        <f t="shared" si="3"/>
        <v>114.82595525402782</v>
      </c>
      <c r="N9" s="7">
        <f t="shared" si="4"/>
        <v>114.82595525402782</v>
      </c>
    </row>
    <row r="10" spans="1:25" x14ac:dyDescent="0.25">
      <c r="A10" t="str">
        <f>"13:50:26.555"</f>
        <v>13:50:26.555</v>
      </c>
      <c r="B10">
        <v>39.094334000000003</v>
      </c>
      <c r="C10">
        <v>-77.564870999999997</v>
      </c>
      <c r="D10">
        <v>700</v>
      </c>
      <c r="E10">
        <v>875</v>
      </c>
      <c r="F10">
        <v>-38</v>
      </c>
      <c r="G10">
        <v>108</v>
      </c>
      <c r="H10">
        <v>1088</v>
      </c>
      <c r="J10" s="1">
        <f t="shared" si="0"/>
        <v>1444</v>
      </c>
      <c r="K10" s="1">
        <f t="shared" si="1"/>
        <v>11664</v>
      </c>
      <c r="L10" s="1">
        <f t="shared" si="2"/>
        <v>13108</v>
      </c>
      <c r="M10" s="1">
        <f t="shared" si="3"/>
        <v>114.49017425089369</v>
      </c>
      <c r="N10" s="7">
        <f t="shared" si="4"/>
        <v>114.49017425089369</v>
      </c>
    </row>
    <row r="11" spans="1:25" x14ac:dyDescent="0.25">
      <c r="A11" t="str">
        <f>"13:50:27.820"</f>
        <v>13:50:27.820</v>
      </c>
      <c r="B11">
        <v>39.094805999999998</v>
      </c>
      <c r="C11">
        <v>-77.565085999999994</v>
      </c>
      <c r="D11">
        <v>700</v>
      </c>
      <c r="E11">
        <v>900</v>
      </c>
      <c r="F11">
        <v>-38</v>
      </c>
      <c r="G11">
        <v>108</v>
      </c>
      <c r="H11">
        <v>1024</v>
      </c>
      <c r="J11" s="1">
        <f t="shared" si="0"/>
        <v>1444</v>
      </c>
      <c r="K11" s="1">
        <f t="shared" si="1"/>
        <v>11664</v>
      </c>
      <c r="L11" s="1">
        <f t="shared" si="2"/>
        <v>13108</v>
      </c>
      <c r="M11" s="1">
        <f t="shared" si="3"/>
        <v>114.49017425089369</v>
      </c>
      <c r="N11" s="7">
        <f t="shared" si="4"/>
        <v>114.49017425089369</v>
      </c>
    </row>
    <row r="12" spans="1:25" x14ac:dyDescent="0.25">
      <c r="A12" t="str">
        <f>"13:50:28.875"</f>
        <v>13:50:28.875</v>
      </c>
      <c r="B12">
        <v>39.095534999999998</v>
      </c>
      <c r="C12">
        <v>-77.565450999999996</v>
      </c>
      <c r="D12">
        <v>700</v>
      </c>
      <c r="E12">
        <v>925</v>
      </c>
      <c r="F12">
        <v>-38</v>
      </c>
      <c r="G12">
        <v>109</v>
      </c>
      <c r="H12">
        <v>1088</v>
      </c>
      <c r="J12" s="1">
        <f t="shared" si="0"/>
        <v>1444</v>
      </c>
      <c r="K12" s="1">
        <f t="shared" si="1"/>
        <v>11881</v>
      </c>
      <c r="L12" s="1">
        <f t="shared" si="2"/>
        <v>13325</v>
      </c>
      <c r="M12" s="1">
        <f t="shared" si="3"/>
        <v>115.43396380615195</v>
      </c>
      <c r="N12" s="7">
        <f t="shared" si="4"/>
        <v>115.43396380615195</v>
      </c>
    </row>
    <row r="13" spans="1:25" x14ac:dyDescent="0.25">
      <c r="A13" t="str">
        <f>"13:50:29.891"</f>
        <v>13:50:29.891</v>
      </c>
      <c r="B13">
        <v>39.096029000000001</v>
      </c>
      <c r="C13">
        <v>-77.565622000000005</v>
      </c>
      <c r="D13">
        <v>700</v>
      </c>
      <c r="E13">
        <v>950</v>
      </c>
      <c r="F13">
        <v>-38</v>
      </c>
      <c r="G13">
        <v>109</v>
      </c>
      <c r="H13">
        <v>960</v>
      </c>
      <c r="J13" s="1">
        <f t="shared" si="0"/>
        <v>1444</v>
      </c>
      <c r="K13" s="1">
        <f t="shared" si="1"/>
        <v>11881</v>
      </c>
      <c r="L13" s="1">
        <f t="shared" si="2"/>
        <v>13325</v>
      </c>
      <c r="M13" s="1">
        <f t="shared" si="3"/>
        <v>115.43396380615195</v>
      </c>
      <c r="N13" s="7">
        <f t="shared" si="4"/>
        <v>115.43396380615195</v>
      </c>
    </row>
    <row r="14" spans="1:25" x14ac:dyDescent="0.25">
      <c r="A14" t="str">
        <f>"13:50:30.844"</f>
        <v>13:50:30.844</v>
      </c>
      <c r="B14">
        <v>39.096544000000002</v>
      </c>
      <c r="C14">
        <v>-77.565858000000006</v>
      </c>
      <c r="D14">
        <v>700</v>
      </c>
      <c r="E14">
        <v>950</v>
      </c>
      <c r="F14">
        <v>-38</v>
      </c>
      <c r="G14">
        <v>109</v>
      </c>
      <c r="H14">
        <v>832</v>
      </c>
      <c r="J14" s="1">
        <f t="shared" si="0"/>
        <v>1444</v>
      </c>
      <c r="K14" s="1">
        <f t="shared" si="1"/>
        <v>11881</v>
      </c>
      <c r="L14" s="1">
        <f t="shared" si="2"/>
        <v>13325</v>
      </c>
      <c r="M14" s="1">
        <f t="shared" si="3"/>
        <v>115.43396380615195</v>
      </c>
      <c r="N14" s="7">
        <f t="shared" si="4"/>
        <v>115.43396380615195</v>
      </c>
    </row>
    <row r="15" spans="1:25" x14ac:dyDescent="0.25">
      <c r="A15" t="str">
        <f>"13:50:31.906"</f>
        <v>13:50:31.906</v>
      </c>
      <c r="B15">
        <v>39.097037</v>
      </c>
      <c r="C15">
        <v>-77.566094000000007</v>
      </c>
      <c r="D15">
        <v>700</v>
      </c>
      <c r="E15">
        <v>975</v>
      </c>
      <c r="F15">
        <v>-38</v>
      </c>
      <c r="G15">
        <v>110</v>
      </c>
      <c r="H15">
        <v>704</v>
      </c>
      <c r="J15" s="1">
        <f t="shared" si="0"/>
        <v>1444</v>
      </c>
      <c r="K15" s="1">
        <f t="shared" si="1"/>
        <v>12100</v>
      </c>
      <c r="L15" s="1">
        <f t="shared" si="2"/>
        <v>13544</v>
      </c>
      <c r="M15" s="1">
        <f t="shared" si="3"/>
        <v>116.37869220780924</v>
      </c>
      <c r="N15" s="7">
        <f t="shared" si="4"/>
        <v>116.37869220780924</v>
      </c>
    </row>
    <row r="16" spans="1:25" x14ac:dyDescent="0.25">
      <c r="A16" t="str">
        <f>"13:50:32.969"</f>
        <v>13:50:32.969</v>
      </c>
      <c r="B16">
        <v>39.097594999999998</v>
      </c>
      <c r="C16">
        <v>-77.566351999999995</v>
      </c>
      <c r="D16">
        <v>800</v>
      </c>
      <c r="E16">
        <v>975</v>
      </c>
      <c r="F16">
        <v>-38</v>
      </c>
      <c r="G16">
        <v>110</v>
      </c>
      <c r="H16">
        <v>768</v>
      </c>
      <c r="J16" s="1">
        <f t="shared" si="0"/>
        <v>1444</v>
      </c>
      <c r="K16" s="1">
        <f t="shared" si="1"/>
        <v>12100</v>
      </c>
      <c r="L16" s="1">
        <f t="shared" si="2"/>
        <v>13544</v>
      </c>
      <c r="M16" s="1">
        <f t="shared" si="3"/>
        <v>116.37869220780924</v>
      </c>
      <c r="N16" s="7">
        <f t="shared" si="4"/>
        <v>116.37869220780924</v>
      </c>
    </row>
    <row r="17" spans="1:14" x14ac:dyDescent="0.25">
      <c r="A17" t="str">
        <f>"13:50:34.023"</f>
        <v>13:50:34.023</v>
      </c>
      <c r="B17">
        <v>39.098109999999998</v>
      </c>
      <c r="C17">
        <v>-77.566587999999996</v>
      </c>
      <c r="D17">
        <v>800</v>
      </c>
      <c r="E17">
        <v>1000</v>
      </c>
      <c r="F17">
        <v>-38</v>
      </c>
      <c r="G17">
        <v>111</v>
      </c>
      <c r="H17">
        <v>704</v>
      </c>
      <c r="J17" s="1">
        <f t="shared" si="0"/>
        <v>1444</v>
      </c>
      <c r="K17" s="1">
        <f t="shared" si="1"/>
        <v>12321</v>
      </c>
      <c r="L17" s="1">
        <f t="shared" si="2"/>
        <v>13765</v>
      </c>
      <c r="M17" s="1">
        <f t="shared" si="3"/>
        <v>117.32433677630571</v>
      </c>
      <c r="N17" s="7">
        <f t="shared" si="4"/>
        <v>117.32433677630571</v>
      </c>
    </row>
    <row r="18" spans="1:14" x14ac:dyDescent="0.25">
      <c r="A18" t="str">
        <f>"13:50:34.938"</f>
        <v>13:50:34.938</v>
      </c>
      <c r="B18">
        <v>39.098560999999997</v>
      </c>
      <c r="C18">
        <v>-77.566760000000002</v>
      </c>
      <c r="D18">
        <v>800</v>
      </c>
      <c r="E18">
        <v>1000</v>
      </c>
      <c r="F18">
        <v>-38</v>
      </c>
      <c r="G18">
        <v>111</v>
      </c>
      <c r="H18">
        <v>640</v>
      </c>
      <c r="J18" s="1">
        <f t="shared" si="0"/>
        <v>1444</v>
      </c>
      <c r="K18" s="1">
        <f t="shared" si="1"/>
        <v>12321</v>
      </c>
      <c r="L18" s="1">
        <f t="shared" si="2"/>
        <v>13765</v>
      </c>
      <c r="M18" s="1">
        <f t="shared" si="3"/>
        <v>117.32433677630571</v>
      </c>
      <c r="N18" s="7">
        <f t="shared" si="4"/>
        <v>117.32433677630571</v>
      </c>
    </row>
    <row r="19" spans="1:14" x14ac:dyDescent="0.25">
      <c r="A19" t="str">
        <f>"13:50:35.992"</f>
        <v>13:50:35.992</v>
      </c>
      <c r="B19">
        <v>39.099139999999998</v>
      </c>
      <c r="C19">
        <v>-77.567017000000007</v>
      </c>
      <c r="D19">
        <v>800</v>
      </c>
      <c r="E19">
        <v>1025</v>
      </c>
      <c r="F19">
        <v>-38</v>
      </c>
      <c r="G19">
        <v>112</v>
      </c>
      <c r="H19">
        <v>640</v>
      </c>
      <c r="J19" s="1">
        <f t="shared" si="0"/>
        <v>1444</v>
      </c>
      <c r="K19" s="1">
        <f t="shared" si="1"/>
        <v>12544</v>
      </c>
      <c r="L19" s="1">
        <f t="shared" si="2"/>
        <v>13988</v>
      </c>
      <c r="M19" s="1">
        <f t="shared" si="3"/>
        <v>118.27087553578015</v>
      </c>
      <c r="N19" s="7">
        <f t="shared" si="4"/>
        <v>118.27087553578015</v>
      </c>
    </row>
    <row r="20" spans="1:14" x14ac:dyDescent="0.25">
      <c r="A20" t="str">
        <f>"13:50:37.109"</f>
        <v>13:50:37.109</v>
      </c>
      <c r="B20">
        <v>39.099697999999997</v>
      </c>
      <c r="C20">
        <v>-77.567295999999999</v>
      </c>
      <c r="D20">
        <v>800</v>
      </c>
      <c r="E20">
        <v>1025</v>
      </c>
      <c r="F20">
        <v>-38</v>
      </c>
      <c r="G20">
        <v>113</v>
      </c>
      <c r="H20">
        <v>576</v>
      </c>
      <c r="J20" s="1">
        <f t="shared" si="0"/>
        <v>1444</v>
      </c>
      <c r="K20" s="1">
        <f t="shared" si="1"/>
        <v>12769</v>
      </c>
      <c r="L20" s="1">
        <f t="shared" si="2"/>
        <v>14213</v>
      </c>
      <c r="M20" s="1">
        <f t="shared" si="3"/>
        <v>119.21828718783037</v>
      </c>
      <c r="N20" s="7">
        <f t="shared" si="4"/>
        <v>119.21828718783037</v>
      </c>
    </row>
    <row r="21" spans="1:14" x14ac:dyDescent="0.25">
      <c r="A21" t="str">
        <f>"13:50:38.117"</f>
        <v>13:50:38.117</v>
      </c>
      <c r="B21">
        <v>39.100256000000002</v>
      </c>
      <c r="C21">
        <v>-77.567468000000005</v>
      </c>
      <c r="D21">
        <v>800</v>
      </c>
      <c r="E21">
        <v>1050</v>
      </c>
      <c r="F21">
        <v>-37</v>
      </c>
      <c r="G21">
        <v>114</v>
      </c>
      <c r="H21">
        <v>640</v>
      </c>
      <c r="J21" s="1">
        <f t="shared" si="0"/>
        <v>1369</v>
      </c>
      <c r="K21" s="1">
        <f t="shared" si="1"/>
        <v>12996</v>
      </c>
      <c r="L21" s="1">
        <f t="shared" si="2"/>
        <v>14365</v>
      </c>
      <c r="M21" s="1">
        <f t="shared" si="3"/>
        <v>119.85407794480753</v>
      </c>
      <c r="N21" s="7">
        <f t="shared" si="4"/>
        <v>119.85407794480753</v>
      </c>
    </row>
    <row r="22" spans="1:14" x14ac:dyDescent="0.25">
      <c r="A22" t="str">
        <f>"13:50:39.273"</f>
        <v>13:50:39.273</v>
      </c>
      <c r="B22">
        <v>39.100900000000003</v>
      </c>
      <c r="C22">
        <v>-77.567768000000001</v>
      </c>
      <c r="D22">
        <v>800</v>
      </c>
      <c r="E22">
        <v>1050</v>
      </c>
      <c r="F22">
        <v>-37</v>
      </c>
      <c r="G22">
        <v>114</v>
      </c>
      <c r="H22">
        <v>704</v>
      </c>
      <c r="J22" s="1">
        <f t="shared" si="0"/>
        <v>1369</v>
      </c>
      <c r="K22" s="1">
        <f t="shared" si="1"/>
        <v>12996</v>
      </c>
      <c r="L22" s="1">
        <f t="shared" si="2"/>
        <v>14365</v>
      </c>
      <c r="M22" s="1">
        <f t="shared" si="3"/>
        <v>119.85407794480753</v>
      </c>
      <c r="N22" s="7">
        <f t="shared" si="4"/>
        <v>119.85407794480753</v>
      </c>
    </row>
    <row r="23" spans="1:14" x14ac:dyDescent="0.25">
      <c r="A23" t="str">
        <f>"13:50:40.234"</f>
        <v>13:50:40.234</v>
      </c>
      <c r="B23">
        <v>39.101371999999998</v>
      </c>
      <c r="C23">
        <v>-77.567939999999993</v>
      </c>
      <c r="D23">
        <v>800</v>
      </c>
      <c r="E23">
        <v>1075</v>
      </c>
      <c r="F23">
        <v>-37</v>
      </c>
      <c r="G23">
        <v>115</v>
      </c>
      <c r="H23">
        <v>768</v>
      </c>
      <c r="J23" s="1">
        <f t="shared" si="0"/>
        <v>1369</v>
      </c>
      <c r="K23" s="1">
        <f t="shared" si="1"/>
        <v>13225</v>
      </c>
      <c r="L23" s="1">
        <f t="shared" si="2"/>
        <v>14594</v>
      </c>
      <c r="M23" s="1">
        <f t="shared" si="3"/>
        <v>120.8056290079233</v>
      </c>
      <c r="N23" s="7">
        <f t="shared" si="4"/>
        <v>120.8056290079233</v>
      </c>
    </row>
    <row r="24" spans="1:14" x14ac:dyDescent="0.25">
      <c r="A24" t="str">
        <f>"13:50:41.094"</f>
        <v>13:50:41.094</v>
      </c>
      <c r="B24">
        <v>39.101844</v>
      </c>
      <c r="C24">
        <v>-77.568133000000003</v>
      </c>
      <c r="D24">
        <v>800</v>
      </c>
      <c r="E24">
        <v>1075</v>
      </c>
      <c r="F24">
        <v>-37</v>
      </c>
      <c r="G24">
        <v>115</v>
      </c>
      <c r="H24">
        <v>768</v>
      </c>
      <c r="J24" s="1">
        <f t="shared" si="0"/>
        <v>1369</v>
      </c>
      <c r="K24" s="1">
        <f t="shared" si="1"/>
        <v>13225</v>
      </c>
      <c r="L24" s="1">
        <f t="shared" si="2"/>
        <v>14594</v>
      </c>
      <c r="M24" s="1">
        <f t="shared" si="3"/>
        <v>120.8056290079233</v>
      </c>
      <c r="N24" s="7">
        <f t="shared" si="4"/>
        <v>120.8056290079233</v>
      </c>
    </row>
    <row r="25" spans="1:14" x14ac:dyDescent="0.25">
      <c r="A25" t="str">
        <f>"13:50:42.055"</f>
        <v>13:50:42.055</v>
      </c>
      <c r="B25">
        <v>39.102359</v>
      </c>
      <c r="C25">
        <v>-77.568369000000004</v>
      </c>
      <c r="D25">
        <v>900</v>
      </c>
      <c r="E25">
        <v>1100</v>
      </c>
      <c r="F25">
        <v>-37</v>
      </c>
      <c r="G25">
        <v>115</v>
      </c>
      <c r="H25">
        <v>832</v>
      </c>
      <c r="J25" s="1">
        <f t="shared" si="0"/>
        <v>1369</v>
      </c>
      <c r="K25" s="1">
        <f t="shared" si="1"/>
        <v>13225</v>
      </c>
      <c r="L25" s="1">
        <f t="shared" si="2"/>
        <v>14594</v>
      </c>
      <c r="M25" s="1">
        <f t="shared" si="3"/>
        <v>120.8056290079233</v>
      </c>
      <c r="N25" s="7">
        <f t="shared" si="4"/>
        <v>120.8056290079233</v>
      </c>
    </row>
    <row r="26" spans="1:14" x14ac:dyDescent="0.25">
      <c r="A26" t="str">
        <f>"13:50:43.063"</f>
        <v>13:50:43.063</v>
      </c>
      <c r="B26">
        <v>39.102894999999997</v>
      </c>
      <c r="C26">
        <v>-77.568605000000005</v>
      </c>
      <c r="D26">
        <v>900</v>
      </c>
      <c r="E26">
        <v>1100</v>
      </c>
      <c r="F26">
        <v>-37</v>
      </c>
      <c r="G26">
        <v>116</v>
      </c>
      <c r="H26">
        <v>832</v>
      </c>
      <c r="J26" s="1">
        <f t="shared" si="0"/>
        <v>1369</v>
      </c>
      <c r="K26" s="1">
        <f t="shared" si="1"/>
        <v>13456</v>
      </c>
      <c r="L26" s="1">
        <f t="shared" si="2"/>
        <v>14825</v>
      </c>
      <c r="M26" s="1">
        <f t="shared" si="3"/>
        <v>121.75795661885921</v>
      </c>
      <c r="N26" s="7">
        <f t="shared" si="4"/>
        <v>121.75795661885921</v>
      </c>
    </row>
    <row r="27" spans="1:14" x14ac:dyDescent="0.25">
      <c r="A27" t="str">
        <f>"13:50:44.070"</f>
        <v>13:50:44.070</v>
      </c>
      <c r="B27">
        <v>39.103453000000002</v>
      </c>
      <c r="C27">
        <v>-77.568798000000001</v>
      </c>
      <c r="D27">
        <v>900</v>
      </c>
      <c r="E27">
        <v>1125</v>
      </c>
      <c r="F27">
        <v>-36</v>
      </c>
      <c r="G27">
        <v>116</v>
      </c>
      <c r="H27">
        <v>896</v>
      </c>
      <c r="J27" s="1">
        <f t="shared" si="0"/>
        <v>1296</v>
      </c>
      <c r="K27" s="1">
        <f t="shared" si="1"/>
        <v>13456</v>
      </c>
      <c r="L27" s="1">
        <f t="shared" si="2"/>
        <v>14752</v>
      </c>
      <c r="M27" s="1">
        <f t="shared" si="3"/>
        <v>121.45781160551181</v>
      </c>
      <c r="N27" s="7">
        <f t="shared" si="4"/>
        <v>121.45781160551181</v>
      </c>
    </row>
    <row r="28" spans="1:14" x14ac:dyDescent="0.25">
      <c r="A28" t="str">
        <f>"13:50:45.078"</f>
        <v>13:50:45.078</v>
      </c>
      <c r="B28">
        <v>39.104011</v>
      </c>
      <c r="C28">
        <v>-77.569034000000002</v>
      </c>
      <c r="D28">
        <v>900</v>
      </c>
      <c r="E28">
        <v>1125</v>
      </c>
      <c r="F28">
        <v>-35</v>
      </c>
      <c r="G28">
        <v>116</v>
      </c>
      <c r="H28">
        <v>960</v>
      </c>
      <c r="J28" s="1">
        <f t="shared" si="0"/>
        <v>1225</v>
      </c>
      <c r="K28" s="1">
        <f t="shared" si="1"/>
        <v>13456</v>
      </c>
      <c r="L28" s="1">
        <f t="shared" si="2"/>
        <v>14681</v>
      </c>
      <c r="M28" s="1">
        <f t="shared" si="3"/>
        <v>121.16517651536682</v>
      </c>
      <c r="N28" s="7">
        <f t="shared" si="4"/>
        <v>121.16517651536682</v>
      </c>
    </row>
    <row r="29" spans="1:14" x14ac:dyDescent="0.25">
      <c r="A29" t="str">
        <f>"13:50:45.992"</f>
        <v>13:50:45.992</v>
      </c>
      <c r="B29">
        <v>39.104483000000002</v>
      </c>
      <c r="C29">
        <v>-77.569205999999994</v>
      </c>
      <c r="D29">
        <v>900</v>
      </c>
      <c r="E29">
        <v>1150</v>
      </c>
      <c r="F29">
        <v>-35</v>
      </c>
      <c r="G29">
        <v>116</v>
      </c>
      <c r="H29">
        <v>960</v>
      </c>
      <c r="J29" s="1">
        <f t="shared" si="0"/>
        <v>1225</v>
      </c>
      <c r="K29" s="1">
        <f t="shared" si="1"/>
        <v>13456</v>
      </c>
      <c r="L29" s="1">
        <f t="shared" si="2"/>
        <v>14681</v>
      </c>
      <c r="M29" s="1">
        <f t="shared" si="3"/>
        <v>121.16517651536682</v>
      </c>
      <c r="N29" s="7">
        <f t="shared" si="4"/>
        <v>121.16517651536682</v>
      </c>
    </row>
    <row r="30" spans="1:14" x14ac:dyDescent="0.25">
      <c r="A30" t="str">
        <f>"13:50:47.148"</f>
        <v>13:50:47.148</v>
      </c>
      <c r="B30">
        <v>39.105061999999997</v>
      </c>
      <c r="C30">
        <v>-77.569441999999995</v>
      </c>
      <c r="D30">
        <v>1000</v>
      </c>
      <c r="E30">
        <v>1175</v>
      </c>
      <c r="F30">
        <v>-36</v>
      </c>
      <c r="G30">
        <v>116</v>
      </c>
      <c r="H30">
        <v>1088</v>
      </c>
      <c r="J30" s="1">
        <f t="shared" si="0"/>
        <v>1296</v>
      </c>
      <c r="K30" s="1">
        <f t="shared" si="1"/>
        <v>13456</v>
      </c>
      <c r="L30" s="1">
        <f t="shared" si="2"/>
        <v>14752</v>
      </c>
      <c r="M30" s="1">
        <f t="shared" si="3"/>
        <v>121.45781160551181</v>
      </c>
      <c r="N30" s="7">
        <f t="shared" si="4"/>
        <v>121.45781160551181</v>
      </c>
    </row>
    <row r="31" spans="1:14" x14ac:dyDescent="0.25">
      <c r="A31" t="str">
        <f>"13:50:48.008"</f>
        <v>13:50:48.008</v>
      </c>
      <c r="B31">
        <v>39.105556</v>
      </c>
      <c r="C31">
        <v>-77.569635000000005</v>
      </c>
      <c r="D31">
        <v>1000</v>
      </c>
      <c r="E31">
        <v>1175</v>
      </c>
      <c r="F31">
        <v>-39</v>
      </c>
      <c r="G31">
        <v>115</v>
      </c>
      <c r="H31">
        <v>1216</v>
      </c>
      <c r="J31" s="1">
        <f t="shared" si="0"/>
        <v>1521</v>
      </c>
      <c r="K31" s="1">
        <f t="shared" si="1"/>
        <v>13225</v>
      </c>
      <c r="L31" s="1">
        <f t="shared" si="2"/>
        <v>14746</v>
      </c>
      <c r="M31" s="1">
        <f t="shared" si="3"/>
        <v>121.43310915891102</v>
      </c>
      <c r="N31" s="7">
        <f t="shared" si="4"/>
        <v>121.43310915891102</v>
      </c>
    </row>
    <row r="32" spans="1:14" x14ac:dyDescent="0.25">
      <c r="A32" t="str">
        <f>"13:50:48.914"</f>
        <v>13:50:48.914</v>
      </c>
      <c r="B32">
        <v>39.106028000000002</v>
      </c>
      <c r="C32">
        <v>-77.569871000000006</v>
      </c>
      <c r="D32">
        <v>1000</v>
      </c>
      <c r="E32">
        <v>1200</v>
      </c>
      <c r="F32">
        <v>-42</v>
      </c>
      <c r="G32">
        <v>113</v>
      </c>
      <c r="H32">
        <v>1280</v>
      </c>
      <c r="J32" s="1">
        <f t="shared" si="0"/>
        <v>1764</v>
      </c>
      <c r="K32" s="1">
        <f t="shared" si="1"/>
        <v>12769</v>
      </c>
      <c r="L32" s="1">
        <f t="shared" si="2"/>
        <v>14533</v>
      </c>
      <c r="M32" s="1">
        <f t="shared" si="3"/>
        <v>120.55289295574785</v>
      </c>
      <c r="N32" s="7">
        <f t="shared" si="4"/>
        <v>120.55289295574785</v>
      </c>
    </row>
    <row r="33" spans="1:14" x14ac:dyDescent="0.25">
      <c r="A33" t="str">
        <f>"13:50:50.023"</f>
        <v>13:50:50.023</v>
      </c>
      <c r="B33">
        <v>39.106586</v>
      </c>
      <c r="C33">
        <v>-77.570193000000003</v>
      </c>
      <c r="D33">
        <v>1000</v>
      </c>
      <c r="E33">
        <v>1225</v>
      </c>
      <c r="F33">
        <v>-48</v>
      </c>
      <c r="G33">
        <v>111</v>
      </c>
      <c r="H33">
        <v>1280</v>
      </c>
      <c r="J33" s="1">
        <f t="shared" si="0"/>
        <v>2304</v>
      </c>
      <c r="K33" s="1">
        <f t="shared" si="1"/>
        <v>12321</v>
      </c>
      <c r="L33" s="1">
        <f t="shared" si="2"/>
        <v>14625</v>
      </c>
      <c r="M33" s="1">
        <f t="shared" si="3"/>
        <v>120.93386622447825</v>
      </c>
      <c r="N33" s="7">
        <f t="shared" si="4"/>
        <v>120.93386622447825</v>
      </c>
    </row>
    <row r="34" spans="1:14" x14ac:dyDescent="0.25">
      <c r="A34" t="str">
        <f>"13:50:51.133"</f>
        <v>13:50:51.133</v>
      </c>
      <c r="B34">
        <v>39.107143999999998</v>
      </c>
      <c r="C34">
        <v>-77.570622</v>
      </c>
      <c r="D34">
        <v>1000</v>
      </c>
      <c r="E34">
        <v>1250</v>
      </c>
      <c r="F34">
        <v>-56</v>
      </c>
      <c r="G34">
        <v>106</v>
      </c>
      <c r="H34">
        <v>1280</v>
      </c>
      <c r="J34" s="1">
        <f t="shared" si="0"/>
        <v>3136</v>
      </c>
      <c r="K34" s="1">
        <f t="shared" si="1"/>
        <v>11236</v>
      </c>
      <c r="L34" s="1">
        <f t="shared" si="2"/>
        <v>14372</v>
      </c>
      <c r="M34" s="1">
        <f t="shared" si="3"/>
        <v>119.88327656516567</v>
      </c>
      <c r="N34" s="7">
        <f t="shared" si="4"/>
        <v>119.88327656516567</v>
      </c>
    </row>
    <row r="35" spans="1:14" x14ac:dyDescent="0.25">
      <c r="A35" t="str">
        <f>"13:50:52.297"</f>
        <v>13:50:52.297</v>
      </c>
      <c r="B35">
        <v>39.107658999999998</v>
      </c>
      <c r="C35">
        <v>-77.571050999999997</v>
      </c>
      <c r="D35">
        <v>1000</v>
      </c>
      <c r="E35">
        <v>1275</v>
      </c>
      <c r="F35">
        <v>-64</v>
      </c>
      <c r="G35">
        <v>102</v>
      </c>
      <c r="H35">
        <v>1216</v>
      </c>
      <c r="J35" s="1">
        <f t="shared" si="0"/>
        <v>4096</v>
      </c>
      <c r="K35" s="1">
        <f t="shared" si="1"/>
        <v>10404</v>
      </c>
      <c r="L35" s="1">
        <f t="shared" si="2"/>
        <v>14500</v>
      </c>
      <c r="M35" s="1">
        <f t="shared" si="3"/>
        <v>120.41594578792295</v>
      </c>
      <c r="N35" s="7">
        <f t="shared" si="4"/>
        <v>120.41594578792295</v>
      </c>
    </row>
    <row r="36" spans="1:14" x14ac:dyDescent="0.25">
      <c r="A36" t="str">
        <f>"13:50:53.305"</f>
        <v>13:50:53.305</v>
      </c>
      <c r="B36">
        <v>39.108131</v>
      </c>
      <c r="C36">
        <v>-77.571479999999994</v>
      </c>
      <c r="D36">
        <v>1100</v>
      </c>
      <c r="E36">
        <v>1200</v>
      </c>
      <c r="F36">
        <v>-73</v>
      </c>
      <c r="G36">
        <v>95</v>
      </c>
      <c r="H36">
        <v>1024</v>
      </c>
      <c r="J36" s="1">
        <f t="shared" si="0"/>
        <v>5329</v>
      </c>
      <c r="K36" s="1">
        <f t="shared" si="1"/>
        <v>9025</v>
      </c>
      <c r="L36" s="1">
        <f t="shared" si="2"/>
        <v>14354</v>
      </c>
      <c r="M36" s="1">
        <f t="shared" si="3"/>
        <v>119.80818002123227</v>
      </c>
      <c r="N36" s="7">
        <f t="shared" si="4"/>
        <v>119.80818002123227</v>
      </c>
    </row>
    <row r="37" spans="1:14" x14ac:dyDescent="0.25">
      <c r="A37" t="str">
        <f>"13:50:54.367"</f>
        <v>13:50:54.367</v>
      </c>
      <c r="B37">
        <v>39.108539</v>
      </c>
      <c r="C37">
        <v>-77.572017000000002</v>
      </c>
      <c r="D37">
        <v>1100</v>
      </c>
      <c r="E37">
        <v>1300</v>
      </c>
      <c r="F37">
        <v>-80</v>
      </c>
      <c r="G37">
        <v>89</v>
      </c>
      <c r="H37">
        <v>896</v>
      </c>
      <c r="J37" s="1">
        <f t="shared" si="0"/>
        <v>6400</v>
      </c>
      <c r="K37" s="1">
        <f t="shared" si="1"/>
        <v>7921</v>
      </c>
      <c r="L37" s="1">
        <f t="shared" si="2"/>
        <v>14321</v>
      </c>
      <c r="M37" s="1">
        <f t="shared" si="3"/>
        <v>119.67038062946069</v>
      </c>
      <c r="N37" s="7">
        <f t="shared" si="4"/>
        <v>119.67038062946069</v>
      </c>
    </row>
    <row r="38" spans="1:14" x14ac:dyDescent="0.25">
      <c r="A38" t="str">
        <f>"13:50:55.328"</f>
        <v>13:50:55.328</v>
      </c>
      <c r="B38">
        <v>39.108902999999998</v>
      </c>
      <c r="C38">
        <v>-77.572489000000004</v>
      </c>
      <c r="D38">
        <v>1100</v>
      </c>
      <c r="E38">
        <v>1325</v>
      </c>
      <c r="F38">
        <v>-87</v>
      </c>
      <c r="G38">
        <v>83</v>
      </c>
      <c r="H38">
        <v>768</v>
      </c>
      <c r="J38" s="1">
        <f t="shared" si="0"/>
        <v>7569</v>
      </c>
      <c r="K38" s="1">
        <f t="shared" si="1"/>
        <v>6889</v>
      </c>
      <c r="L38" s="1">
        <f t="shared" si="2"/>
        <v>14458</v>
      </c>
      <c r="M38" s="1">
        <f t="shared" si="3"/>
        <v>120.24142381059865</v>
      </c>
      <c r="N38" s="7">
        <f t="shared" si="4"/>
        <v>120.24142381059865</v>
      </c>
    </row>
    <row r="39" spans="1:14" x14ac:dyDescent="0.25">
      <c r="A39" t="str">
        <f>"13:50:56.180"</f>
        <v>13:50:56.180</v>
      </c>
      <c r="B39">
        <v>39.109181999999997</v>
      </c>
      <c r="C39">
        <v>-77.573003999999997</v>
      </c>
      <c r="D39">
        <v>1100</v>
      </c>
      <c r="E39">
        <v>1325</v>
      </c>
      <c r="F39">
        <v>-93</v>
      </c>
      <c r="G39">
        <v>77</v>
      </c>
      <c r="H39">
        <v>640</v>
      </c>
      <c r="J39" s="1">
        <f t="shared" si="0"/>
        <v>8649</v>
      </c>
      <c r="K39" s="1">
        <f t="shared" si="1"/>
        <v>5929</v>
      </c>
      <c r="L39" s="1">
        <f t="shared" si="2"/>
        <v>14578</v>
      </c>
      <c r="M39" s="1">
        <f t="shared" si="3"/>
        <v>120.7393887677091</v>
      </c>
      <c r="N39" s="7">
        <f t="shared" si="4"/>
        <v>120.7393887677091</v>
      </c>
    </row>
    <row r="40" spans="1:14" x14ac:dyDescent="0.25">
      <c r="A40" t="str">
        <f>"13:50:57.094"</f>
        <v>13:50:57.094</v>
      </c>
      <c r="B40">
        <v>39.109504000000001</v>
      </c>
      <c r="C40">
        <v>-77.573561999999995</v>
      </c>
      <c r="D40">
        <v>1100</v>
      </c>
      <c r="E40">
        <v>1350</v>
      </c>
      <c r="F40">
        <v>-99</v>
      </c>
      <c r="G40">
        <v>70</v>
      </c>
      <c r="H40">
        <v>576</v>
      </c>
      <c r="J40" s="1">
        <f t="shared" si="0"/>
        <v>9801</v>
      </c>
      <c r="K40" s="1">
        <f t="shared" si="1"/>
        <v>4900</v>
      </c>
      <c r="L40" s="1">
        <f t="shared" si="2"/>
        <v>14701</v>
      </c>
      <c r="M40" s="1">
        <f t="shared" si="3"/>
        <v>121.24768039018313</v>
      </c>
      <c r="N40" s="7">
        <f t="shared" si="4"/>
        <v>121.24768039018313</v>
      </c>
    </row>
    <row r="41" spans="1:14" x14ac:dyDescent="0.25">
      <c r="A41" t="str">
        <f>"13:50:58.250"</f>
        <v>13:50:58.250</v>
      </c>
      <c r="B41">
        <v>39.109783</v>
      </c>
      <c r="C41">
        <v>-77.574226999999993</v>
      </c>
      <c r="D41">
        <v>1100</v>
      </c>
      <c r="E41">
        <v>1350</v>
      </c>
      <c r="F41">
        <v>-104</v>
      </c>
      <c r="G41">
        <v>62</v>
      </c>
      <c r="H41">
        <v>512</v>
      </c>
      <c r="J41" s="1">
        <f t="shared" si="0"/>
        <v>10816</v>
      </c>
      <c r="K41" s="1">
        <f t="shared" si="1"/>
        <v>3844</v>
      </c>
      <c r="L41" s="1">
        <f t="shared" si="2"/>
        <v>14660</v>
      </c>
      <c r="M41" s="1">
        <f t="shared" si="3"/>
        <v>121.07848694132248</v>
      </c>
      <c r="N41" s="7">
        <f t="shared" si="4"/>
        <v>121.07848694132248</v>
      </c>
    </row>
    <row r="42" spans="1:14" x14ac:dyDescent="0.25">
      <c r="A42" t="str">
        <f>"13:50:59.313"</f>
        <v>13:50:59.313</v>
      </c>
      <c r="B42">
        <v>39.110041000000002</v>
      </c>
      <c r="C42">
        <v>-77.574934999999996</v>
      </c>
      <c r="D42">
        <v>1200</v>
      </c>
      <c r="E42">
        <v>1350</v>
      </c>
      <c r="F42">
        <v>-107</v>
      </c>
      <c r="G42">
        <v>57</v>
      </c>
      <c r="H42">
        <v>512</v>
      </c>
      <c r="J42" s="1">
        <f t="shared" si="0"/>
        <v>11449</v>
      </c>
      <c r="K42" s="1">
        <f t="shared" si="1"/>
        <v>3249</v>
      </c>
      <c r="L42" s="1">
        <f t="shared" si="2"/>
        <v>14698</v>
      </c>
      <c r="M42" s="1">
        <f t="shared" si="3"/>
        <v>121.23530838827442</v>
      </c>
      <c r="N42" s="7">
        <f t="shared" si="4"/>
        <v>121.23530838827442</v>
      </c>
    </row>
    <row r="43" spans="1:14" x14ac:dyDescent="0.25">
      <c r="A43" t="str">
        <f>"13:51:00.273"</f>
        <v>13:51:00.273</v>
      </c>
      <c r="B43">
        <v>39.110277000000004</v>
      </c>
      <c r="C43">
        <v>-77.575665000000001</v>
      </c>
      <c r="D43">
        <v>1200</v>
      </c>
      <c r="E43">
        <v>1375</v>
      </c>
      <c r="F43">
        <v>-113</v>
      </c>
      <c r="G43">
        <v>46</v>
      </c>
      <c r="H43">
        <v>576</v>
      </c>
      <c r="J43" s="1">
        <f t="shared" si="0"/>
        <v>12769</v>
      </c>
      <c r="K43" s="1">
        <f t="shared" si="1"/>
        <v>2116</v>
      </c>
      <c r="L43" s="1">
        <f t="shared" si="2"/>
        <v>14885</v>
      </c>
      <c r="M43" s="1">
        <f t="shared" si="3"/>
        <v>122.00409829181969</v>
      </c>
      <c r="N43" s="7">
        <f t="shared" si="4"/>
        <v>122.00409829181969</v>
      </c>
    </row>
    <row r="44" spans="1:14" x14ac:dyDescent="0.25">
      <c r="A44" t="str">
        <f>"13:51:01.328"</f>
        <v>13:51:01.328</v>
      </c>
      <c r="B44">
        <v>39.110447999999998</v>
      </c>
      <c r="C44">
        <v>-77.576307999999997</v>
      </c>
      <c r="D44">
        <v>1200</v>
      </c>
      <c r="E44">
        <v>1375</v>
      </c>
      <c r="F44">
        <v>-116</v>
      </c>
      <c r="G44">
        <v>39</v>
      </c>
      <c r="H44">
        <v>640</v>
      </c>
      <c r="J44" s="1">
        <f t="shared" si="0"/>
        <v>13456</v>
      </c>
      <c r="K44" s="1">
        <f t="shared" si="1"/>
        <v>1521</v>
      </c>
      <c r="L44" s="1">
        <f t="shared" si="2"/>
        <v>14977</v>
      </c>
      <c r="M44" s="1">
        <f t="shared" si="3"/>
        <v>122.38055401083949</v>
      </c>
      <c r="N44" s="7">
        <f t="shared" si="4"/>
        <v>122.38055401083949</v>
      </c>
    </row>
    <row r="45" spans="1:14" x14ac:dyDescent="0.25">
      <c r="A45" t="str">
        <f>"13:51:02.594"</f>
        <v>13:51:02.594</v>
      </c>
      <c r="B45">
        <v>39.110599000000001</v>
      </c>
      <c r="C45">
        <v>-77.577038000000002</v>
      </c>
      <c r="D45">
        <v>1200</v>
      </c>
      <c r="E45">
        <v>1325</v>
      </c>
      <c r="F45">
        <v>-87</v>
      </c>
      <c r="G45">
        <v>83</v>
      </c>
      <c r="H45">
        <v>768</v>
      </c>
      <c r="J45" s="1">
        <f t="shared" si="0"/>
        <v>7569</v>
      </c>
      <c r="K45" s="1">
        <f t="shared" si="1"/>
        <v>6889</v>
      </c>
      <c r="L45" s="1">
        <f t="shared" si="2"/>
        <v>14458</v>
      </c>
      <c r="M45" s="1">
        <f t="shared" si="3"/>
        <v>120.24142381059865</v>
      </c>
      <c r="N45" s="7">
        <f t="shared" si="4"/>
        <v>120.24142381059865</v>
      </c>
    </row>
    <row r="46" spans="1:14" x14ac:dyDescent="0.25">
      <c r="A46" t="str">
        <f>"13:51:03.750"</f>
        <v>13:51:03.750</v>
      </c>
      <c r="B46">
        <v>39.110813</v>
      </c>
      <c r="C46">
        <v>-77.578068000000002</v>
      </c>
      <c r="D46">
        <v>1200</v>
      </c>
      <c r="E46">
        <v>1400</v>
      </c>
      <c r="F46">
        <v>-118</v>
      </c>
      <c r="G46">
        <v>31</v>
      </c>
      <c r="H46">
        <v>896</v>
      </c>
      <c r="J46" s="1">
        <f t="shared" si="0"/>
        <v>13924</v>
      </c>
      <c r="K46" s="1">
        <f t="shared" si="1"/>
        <v>961</v>
      </c>
      <c r="L46" s="1">
        <f t="shared" si="2"/>
        <v>14885</v>
      </c>
      <c r="M46" s="1">
        <f t="shared" si="3"/>
        <v>122.00409829181969</v>
      </c>
      <c r="N46" s="7">
        <f t="shared" si="4"/>
        <v>122.00409829181969</v>
      </c>
    </row>
    <row r="47" spans="1:14" x14ac:dyDescent="0.25">
      <c r="A47" t="str">
        <f>"13:51:05.672"</f>
        <v>13:51:05.672</v>
      </c>
      <c r="B47">
        <v>39.111049000000001</v>
      </c>
      <c r="C47">
        <v>-77.579419999999999</v>
      </c>
      <c r="D47">
        <v>1200</v>
      </c>
      <c r="E47">
        <v>1450</v>
      </c>
      <c r="F47">
        <v>-119</v>
      </c>
      <c r="G47">
        <v>28</v>
      </c>
      <c r="H47">
        <v>1152</v>
      </c>
      <c r="J47" s="1">
        <f t="shared" si="0"/>
        <v>14161</v>
      </c>
      <c r="K47" s="1">
        <f t="shared" si="1"/>
        <v>784</v>
      </c>
      <c r="L47" s="1">
        <f t="shared" si="2"/>
        <v>14945</v>
      </c>
      <c r="M47" s="1">
        <f t="shared" si="3"/>
        <v>122.24974437601087</v>
      </c>
      <c r="N47" s="7">
        <f t="shared" si="4"/>
        <v>122.24974437601087</v>
      </c>
    </row>
    <row r="48" spans="1:14" x14ac:dyDescent="0.25">
      <c r="A48" t="str">
        <f>"13:51:06.578"</f>
        <v>13:51:06.578</v>
      </c>
      <c r="B48">
        <v>39.111178000000002</v>
      </c>
      <c r="C48">
        <v>-77.580084999999997</v>
      </c>
      <c r="D48">
        <v>1200</v>
      </c>
      <c r="E48">
        <v>1475</v>
      </c>
      <c r="F48">
        <v>-118</v>
      </c>
      <c r="G48">
        <v>28</v>
      </c>
      <c r="H48">
        <v>1280</v>
      </c>
      <c r="J48" s="1">
        <f t="shared" si="0"/>
        <v>13924</v>
      </c>
      <c r="K48" s="1">
        <f t="shared" si="1"/>
        <v>784</v>
      </c>
      <c r="L48" s="1">
        <f t="shared" si="2"/>
        <v>14708</v>
      </c>
      <c r="M48" s="1">
        <f t="shared" si="3"/>
        <v>121.27654348636426</v>
      </c>
      <c r="N48" s="7">
        <f t="shared" si="4"/>
        <v>121.27654348636426</v>
      </c>
    </row>
    <row r="49" spans="1:14" x14ac:dyDescent="0.25">
      <c r="A49" t="str">
        <f>"13:51:07.641"</f>
        <v>13:51:07.641</v>
      </c>
      <c r="B49">
        <v>39.111328</v>
      </c>
      <c r="C49">
        <v>-77.580856999999995</v>
      </c>
      <c r="D49">
        <v>1200</v>
      </c>
      <c r="E49">
        <v>1475</v>
      </c>
      <c r="F49">
        <v>-117</v>
      </c>
      <c r="G49">
        <v>29</v>
      </c>
      <c r="H49">
        <v>1408</v>
      </c>
      <c r="J49" s="1">
        <f t="shared" si="0"/>
        <v>13689</v>
      </c>
      <c r="K49" s="1">
        <f t="shared" si="1"/>
        <v>841</v>
      </c>
      <c r="L49" s="1">
        <f t="shared" si="2"/>
        <v>14530</v>
      </c>
      <c r="M49" s="1">
        <f t="shared" si="3"/>
        <v>120.5404496424333</v>
      </c>
      <c r="N49" s="7">
        <f t="shared" si="4"/>
        <v>120.5404496424333</v>
      </c>
    </row>
    <row r="50" spans="1:14" x14ac:dyDescent="0.25">
      <c r="A50" t="str">
        <f>"13:51:08.648"</f>
        <v>13:51:08.648</v>
      </c>
      <c r="B50">
        <v>39.111477999999998</v>
      </c>
      <c r="C50">
        <v>-77.581415000000007</v>
      </c>
      <c r="D50">
        <v>1200</v>
      </c>
      <c r="E50">
        <v>1525</v>
      </c>
      <c r="F50">
        <v>-116</v>
      </c>
      <c r="G50">
        <v>31</v>
      </c>
      <c r="H50">
        <v>1536</v>
      </c>
      <c r="J50" s="1">
        <f t="shared" si="0"/>
        <v>13456</v>
      </c>
      <c r="K50" s="1">
        <f t="shared" si="1"/>
        <v>961</v>
      </c>
      <c r="L50" s="1">
        <f t="shared" si="2"/>
        <v>14417</v>
      </c>
      <c r="M50" s="1">
        <f t="shared" si="3"/>
        <v>120.07081243999309</v>
      </c>
      <c r="N50" s="7">
        <f t="shared" si="4"/>
        <v>120.07081243999309</v>
      </c>
    </row>
    <row r="51" spans="1:14" x14ac:dyDescent="0.25">
      <c r="A51" t="str">
        <f>"13:51:09.609"</f>
        <v>13:51:09.609</v>
      </c>
      <c r="B51">
        <v>39.111606999999999</v>
      </c>
      <c r="C51">
        <v>-77.582102000000006</v>
      </c>
      <c r="D51">
        <v>1300</v>
      </c>
      <c r="E51">
        <v>1525</v>
      </c>
      <c r="F51">
        <v>-115</v>
      </c>
      <c r="G51">
        <v>31</v>
      </c>
      <c r="H51">
        <v>1600</v>
      </c>
      <c r="J51" s="1">
        <f t="shared" si="0"/>
        <v>13225</v>
      </c>
      <c r="K51" s="1">
        <f t="shared" si="1"/>
        <v>961</v>
      </c>
      <c r="L51" s="1">
        <f t="shared" si="2"/>
        <v>14186</v>
      </c>
      <c r="M51" s="1">
        <f t="shared" si="3"/>
        <v>119.10499569707393</v>
      </c>
      <c r="N51" s="7">
        <f t="shared" si="4"/>
        <v>119.10499569707393</v>
      </c>
    </row>
    <row r="52" spans="1:14" x14ac:dyDescent="0.25">
      <c r="A52" t="str">
        <f>"13:51:10.672"</f>
        <v>13:51:10.672</v>
      </c>
      <c r="B52">
        <v>39.111756999999997</v>
      </c>
      <c r="C52">
        <v>-77.582767000000004</v>
      </c>
      <c r="D52">
        <v>1300</v>
      </c>
      <c r="E52">
        <v>1575</v>
      </c>
      <c r="F52">
        <v>-113</v>
      </c>
      <c r="G52">
        <v>32</v>
      </c>
      <c r="H52">
        <v>1728</v>
      </c>
      <c r="J52" s="1">
        <f t="shared" si="0"/>
        <v>12769</v>
      </c>
      <c r="K52" s="1">
        <f t="shared" si="1"/>
        <v>1024</v>
      </c>
      <c r="L52" s="1">
        <f t="shared" si="2"/>
        <v>13793</v>
      </c>
      <c r="M52" s="1">
        <f t="shared" si="3"/>
        <v>117.44360348695028</v>
      </c>
      <c r="N52" s="7">
        <f t="shared" si="4"/>
        <v>117.44360348695028</v>
      </c>
    </row>
    <row r="53" spans="1:14" x14ac:dyDescent="0.25">
      <c r="A53" t="str">
        <f>"13:51:11.578"</f>
        <v>13:51:11.578</v>
      </c>
      <c r="B53">
        <v>39.111885999999998</v>
      </c>
      <c r="C53">
        <v>-77.583432000000002</v>
      </c>
      <c r="D53">
        <v>1400</v>
      </c>
      <c r="E53">
        <v>1600</v>
      </c>
      <c r="F53">
        <v>-112</v>
      </c>
      <c r="G53">
        <v>33</v>
      </c>
      <c r="H53">
        <v>1792</v>
      </c>
      <c r="J53" s="1">
        <f t="shared" si="0"/>
        <v>12544</v>
      </c>
      <c r="K53" s="1">
        <f t="shared" si="1"/>
        <v>1089</v>
      </c>
      <c r="L53" s="1">
        <f t="shared" si="2"/>
        <v>13633</v>
      </c>
      <c r="M53" s="1">
        <f t="shared" si="3"/>
        <v>116.76043850551436</v>
      </c>
      <c r="N53" s="7">
        <f t="shared" si="4"/>
        <v>116.76043850551436</v>
      </c>
    </row>
    <row r="54" spans="1:14" x14ac:dyDescent="0.25">
      <c r="A54" t="str">
        <f>"13:51:12.539"</f>
        <v>13:51:12.539</v>
      </c>
      <c r="B54">
        <v>39.112015</v>
      </c>
      <c r="C54">
        <v>-77.584012000000001</v>
      </c>
      <c r="D54">
        <v>1400</v>
      </c>
      <c r="E54">
        <v>1625</v>
      </c>
      <c r="F54">
        <v>-110</v>
      </c>
      <c r="G54">
        <v>33</v>
      </c>
      <c r="H54">
        <v>1856</v>
      </c>
      <c r="J54" s="1">
        <f t="shared" si="0"/>
        <v>12100</v>
      </c>
      <c r="K54" s="1">
        <f t="shared" si="1"/>
        <v>1089</v>
      </c>
      <c r="L54" s="1">
        <f t="shared" si="2"/>
        <v>13189</v>
      </c>
      <c r="M54" s="1">
        <f t="shared" si="3"/>
        <v>114.84337159801605</v>
      </c>
      <c r="N54" s="7">
        <f t="shared" si="4"/>
        <v>114.84337159801605</v>
      </c>
    </row>
    <row r="55" spans="1:14" x14ac:dyDescent="0.25">
      <c r="A55" t="str">
        <f>"13:51:13.547"</f>
        <v>13:51:13.547</v>
      </c>
      <c r="B55">
        <v>39.112208000000003</v>
      </c>
      <c r="C55">
        <v>-77.584783999999999</v>
      </c>
      <c r="D55">
        <v>1400</v>
      </c>
      <c r="E55">
        <v>1650</v>
      </c>
      <c r="F55">
        <v>-109</v>
      </c>
      <c r="G55">
        <v>33</v>
      </c>
      <c r="H55">
        <v>1728</v>
      </c>
      <c r="J55" s="1">
        <f t="shared" si="0"/>
        <v>11881</v>
      </c>
      <c r="K55" s="1">
        <f t="shared" si="1"/>
        <v>1089</v>
      </c>
      <c r="L55" s="1">
        <f t="shared" si="2"/>
        <v>12970</v>
      </c>
      <c r="M55" s="1">
        <f t="shared" si="3"/>
        <v>113.88590782006349</v>
      </c>
      <c r="N55" s="7">
        <f t="shared" si="4"/>
        <v>113.88590782006349</v>
      </c>
    </row>
    <row r="56" spans="1:14" x14ac:dyDescent="0.25">
      <c r="A56" t="str">
        <f>"13:51:14.555"</f>
        <v>13:51:14.555</v>
      </c>
      <c r="B56">
        <v>39.112358</v>
      </c>
      <c r="C56">
        <v>-77.585385000000002</v>
      </c>
      <c r="D56">
        <v>1500</v>
      </c>
      <c r="E56">
        <v>1575</v>
      </c>
      <c r="F56">
        <v>-108</v>
      </c>
      <c r="G56">
        <v>33</v>
      </c>
      <c r="H56">
        <v>1664</v>
      </c>
      <c r="J56" s="1">
        <f t="shared" si="0"/>
        <v>11664</v>
      </c>
      <c r="K56" s="1">
        <f t="shared" si="1"/>
        <v>1089</v>
      </c>
      <c r="L56" s="1">
        <f t="shared" si="2"/>
        <v>12753</v>
      </c>
      <c r="M56" s="1">
        <f t="shared" si="3"/>
        <v>112.92918134831227</v>
      </c>
      <c r="N56" s="7">
        <f t="shared" si="4"/>
        <v>112.92918134831227</v>
      </c>
    </row>
    <row r="57" spans="1:14" x14ac:dyDescent="0.25">
      <c r="A57" t="str">
        <f>"13:51:15.617"</f>
        <v>13:51:15.617</v>
      </c>
      <c r="B57">
        <v>39.11253</v>
      </c>
      <c r="C57">
        <v>-77.586006999999995</v>
      </c>
      <c r="D57">
        <v>1500</v>
      </c>
      <c r="E57">
        <v>1700</v>
      </c>
      <c r="F57">
        <v>-107</v>
      </c>
      <c r="G57">
        <v>34</v>
      </c>
      <c r="H57">
        <v>1344</v>
      </c>
      <c r="J57" s="1">
        <f t="shared" si="0"/>
        <v>11449</v>
      </c>
      <c r="K57" s="1">
        <f t="shared" si="1"/>
        <v>1156</v>
      </c>
      <c r="L57" s="1">
        <f t="shared" si="2"/>
        <v>12605</v>
      </c>
      <c r="M57" s="1">
        <f t="shared" si="3"/>
        <v>112.27199116431488</v>
      </c>
      <c r="N57" s="7">
        <f t="shared" si="4"/>
        <v>112.27199116431488</v>
      </c>
    </row>
    <row r="58" spans="1:14" x14ac:dyDescent="0.25">
      <c r="A58" t="str">
        <f>"13:51:16.727"</f>
        <v>13:51:16.727</v>
      </c>
      <c r="B58">
        <v>39.112701000000001</v>
      </c>
      <c r="C58">
        <v>-77.586758000000003</v>
      </c>
      <c r="D58">
        <v>1500</v>
      </c>
      <c r="E58">
        <v>1725</v>
      </c>
      <c r="F58">
        <v>-108</v>
      </c>
      <c r="G58">
        <v>34</v>
      </c>
      <c r="H58">
        <v>960</v>
      </c>
      <c r="J58" s="1">
        <f t="shared" si="0"/>
        <v>11664</v>
      </c>
      <c r="K58" s="1">
        <f t="shared" si="1"/>
        <v>1156</v>
      </c>
      <c r="L58" s="1">
        <f t="shared" si="2"/>
        <v>12820</v>
      </c>
      <c r="M58" s="1">
        <f t="shared" si="3"/>
        <v>113.22543883774529</v>
      </c>
      <c r="N58" s="7">
        <f t="shared" si="4"/>
        <v>113.22543883774529</v>
      </c>
    </row>
    <row r="59" spans="1:14" x14ac:dyDescent="0.25">
      <c r="A59" t="str">
        <f>"13:51:17.688"</f>
        <v>13:51:17.688</v>
      </c>
      <c r="B59">
        <v>39.112830000000002</v>
      </c>
      <c r="C59">
        <v>-77.587359000000006</v>
      </c>
      <c r="D59">
        <v>1500</v>
      </c>
      <c r="E59">
        <v>1750</v>
      </c>
      <c r="F59">
        <v>-109</v>
      </c>
      <c r="G59">
        <v>34</v>
      </c>
      <c r="H59">
        <v>640</v>
      </c>
      <c r="J59" s="1">
        <f t="shared" si="0"/>
        <v>11881</v>
      </c>
      <c r="K59" s="1">
        <f t="shared" si="1"/>
        <v>1156</v>
      </c>
      <c r="L59" s="1">
        <f t="shared" si="2"/>
        <v>13037</v>
      </c>
      <c r="M59" s="1">
        <f t="shared" si="3"/>
        <v>114.17968295629481</v>
      </c>
      <c r="N59" s="7">
        <f t="shared" si="4"/>
        <v>114.17968295629481</v>
      </c>
    </row>
    <row r="60" spans="1:14" x14ac:dyDescent="0.25">
      <c r="A60" t="str">
        <f>"13:51:18.695"</f>
        <v>13:51:18.695</v>
      </c>
      <c r="B60">
        <v>39.113002000000002</v>
      </c>
      <c r="C60">
        <v>-77.587959999999995</v>
      </c>
      <c r="D60">
        <v>1500</v>
      </c>
      <c r="E60">
        <v>1750</v>
      </c>
      <c r="F60">
        <v>-109</v>
      </c>
      <c r="G60">
        <v>33</v>
      </c>
      <c r="H60">
        <v>640</v>
      </c>
      <c r="J60" s="1">
        <f t="shared" si="0"/>
        <v>11881</v>
      </c>
      <c r="K60" s="1">
        <f t="shared" si="1"/>
        <v>1089</v>
      </c>
      <c r="L60" s="1">
        <f t="shared" si="2"/>
        <v>12970</v>
      </c>
      <c r="M60" s="1">
        <f t="shared" si="3"/>
        <v>113.88590782006349</v>
      </c>
      <c r="N60" s="7">
        <f t="shared" si="4"/>
        <v>113.88590782006349</v>
      </c>
    </row>
    <row r="61" spans="1:14" x14ac:dyDescent="0.25">
      <c r="A61" t="str">
        <f>"13:51:19.750"</f>
        <v>13:51:19.750</v>
      </c>
      <c r="B61">
        <v>39.113151999999999</v>
      </c>
      <c r="C61">
        <v>-77.588667999999998</v>
      </c>
      <c r="D61">
        <v>1500</v>
      </c>
      <c r="E61">
        <v>1775</v>
      </c>
      <c r="F61">
        <v>-110</v>
      </c>
      <c r="G61">
        <v>34</v>
      </c>
      <c r="H61">
        <v>704</v>
      </c>
      <c r="J61" s="1">
        <f t="shared" si="0"/>
        <v>12100</v>
      </c>
      <c r="K61" s="1">
        <f t="shared" si="1"/>
        <v>1156</v>
      </c>
      <c r="L61" s="1">
        <f t="shared" si="2"/>
        <v>13256</v>
      </c>
      <c r="M61" s="1">
        <f t="shared" si="3"/>
        <v>115.13470371699404</v>
      </c>
      <c r="N61" s="7">
        <f t="shared" si="4"/>
        <v>115.13470371699404</v>
      </c>
    </row>
    <row r="62" spans="1:14" x14ac:dyDescent="0.25">
      <c r="A62" t="str">
        <f>"13:51:20.711"</f>
        <v>13:51:20.711</v>
      </c>
      <c r="B62">
        <v>39.113301999999997</v>
      </c>
      <c r="C62">
        <v>-77.589332999999996</v>
      </c>
      <c r="D62">
        <v>1500</v>
      </c>
      <c r="E62">
        <v>1775</v>
      </c>
      <c r="F62">
        <v>-110</v>
      </c>
      <c r="G62">
        <v>34</v>
      </c>
      <c r="H62">
        <v>704</v>
      </c>
      <c r="J62" s="1">
        <f t="shared" si="0"/>
        <v>12100</v>
      </c>
      <c r="K62" s="1">
        <f t="shared" si="1"/>
        <v>1156</v>
      </c>
      <c r="L62" s="1">
        <f t="shared" si="2"/>
        <v>13256</v>
      </c>
      <c r="M62" s="1">
        <f t="shared" si="3"/>
        <v>115.13470371699404</v>
      </c>
      <c r="N62" s="7">
        <f t="shared" si="4"/>
        <v>115.13470371699404</v>
      </c>
    </row>
    <row r="63" spans="1:14" x14ac:dyDescent="0.25">
      <c r="A63" t="str">
        <f>"13:51:21.625"</f>
        <v>13:51:21.625</v>
      </c>
      <c r="B63">
        <v>39.113473999999997</v>
      </c>
      <c r="C63">
        <v>-77.589955000000003</v>
      </c>
      <c r="D63">
        <v>1500</v>
      </c>
      <c r="E63">
        <v>1775</v>
      </c>
      <c r="F63">
        <v>-111</v>
      </c>
      <c r="G63">
        <v>35</v>
      </c>
      <c r="H63">
        <v>704</v>
      </c>
      <c r="J63" s="1">
        <f t="shared" si="0"/>
        <v>12321</v>
      </c>
      <c r="K63" s="1">
        <f t="shared" si="1"/>
        <v>1225</v>
      </c>
      <c r="L63" s="1">
        <f t="shared" si="2"/>
        <v>13546</v>
      </c>
      <c r="M63" s="1">
        <f t="shared" si="3"/>
        <v>116.38728452885221</v>
      </c>
      <c r="N63" s="7">
        <f t="shared" si="4"/>
        <v>116.38728452885221</v>
      </c>
    </row>
    <row r="64" spans="1:14" x14ac:dyDescent="0.25">
      <c r="A64" t="str">
        <f>"13:51:22.734"</f>
        <v>13:51:22.734</v>
      </c>
      <c r="B64">
        <v>39.113667</v>
      </c>
      <c r="C64">
        <v>-77.590642000000003</v>
      </c>
      <c r="D64">
        <v>1600</v>
      </c>
      <c r="E64">
        <v>1800</v>
      </c>
      <c r="F64">
        <v>-111</v>
      </c>
      <c r="G64">
        <v>36</v>
      </c>
      <c r="H64">
        <v>768</v>
      </c>
      <c r="J64" s="1">
        <f t="shared" si="0"/>
        <v>12321</v>
      </c>
      <c r="K64" s="1">
        <f t="shared" si="1"/>
        <v>1296</v>
      </c>
      <c r="L64" s="1">
        <f t="shared" si="2"/>
        <v>13617</v>
      </c>
      <c r="M64" s="1">
        <f t="shared" si="3"/>
        <v>116.69190203266035</v>
      </c>
      <c r="N64" s="7">
        <f t="shared" si="4"/>
        <v>116.69190203266035</v>
      </c>
    </row>
    <row r="65" spans="1:14" x14ac:dyDescent="0.25">
      <c r="A65" t="str">
        <f>"13:51:23.789"</f>
        <v>13:51:23.789</v>
      </c>
      <c r="B65">
        <v>39.113838999999999</v>
      </c>
      <c r="C65">
        <v>-77.591372000000007</v>
      </c>
      <c r="D65">
        <v>1600</v>
      </c>
      <c r="E65">
        <v>1800</v>
      </c>
      <c r="F65">
        <v>-111</v>
      </c>
      <c r="G65">
        <v>36</v>
      </c>
      <c r="H65">
        <v>768</v>
      </c>
      <c r="J65" s="1">
        <f t="shared" si="0"/>
        <v>12321</v>
      </c>
      <c r="K65" s="1">
        <f t="shared" si="1"/>
        <v>1296</v>
      </c>
      <c r="L65" s="1">
        <f t="shared" si="2"/>
        <v>13617</v>
      </c>
      <c r="M65" s="1">
        <f t="shared" si="3"/>
        <v>116.69190203266035</v>
      </c>
      <c r="N65" s="7">
        <f t="shared" si="4"/>
        <v>116.69190203266035</v>
      </c>
    </row>
    <row r="66" spans="1:14" x14ac:dyDescent="0.25">
      <c r="A66" t="str">
        <f>"13:51:24.750"</f>
        <v>13:51:24.750</v>
      </c>
      <c r="B66">
        <v>39.113988999999997</v>
      </c>
      <c r="C66">
        <v>-77.592015000000004</v>
      </c>
      <c r="D66">
        <v>1600</v>
      </c>
      <c r="E66">
        <v>1825</v>
      </c>
      <c r="F66">
        <v>-112</v>
      </c>
      <c r="G66">
        <v>36</v>
      </c>
      <c r="H66">
        <v>768</v>
      </c>
      <c r="J66" s="1">
        <f t="shared" si="0"/>
        <v>12544</v>
      </c>
      <c r="K66" s="1">
        <f t="shared" si="1"/>
        <v>1296</v>
      </c>
      <c r="L66" s="1">
        <f t="shared" si="2"/>
        <v>13840</v>
      </c>
      <c r="M66" s="1">
        <f t="shared" si="3"/>
        <v>117.64352935882194</v>
      </c>
      <c r="N66" s="7">
        <f t="shared" si="4"/>
        <v>117.64352935882194</v>
      </c>
    </row>
    <row r="67" spans="1:14" x14ac:dyDescent="0.25">
      <c r="A67" t="str">
        <f>"13:51:25.813"</f>
        <v>13:51:25.813</v>
      </c>
      <c r="B67">
        <v>39.114161000000003</v>
      </c>
      <c r="C67">
        <v>-77.592702000000003</v>
      </c>
      <c r="D67">
        <v>1600</v>
      </c>
      <c r="E67">
        <v>1825</v>
      </c>
      <c r="F67">
        <v>-112</v>
      </c>
      <c r="G67">
        <v>36</v>
      </c>
      <c r="H67">
        <v>832</v>
      </c>
      <c r="J67" s="1">
        <f t="shared" ref="J67:J130" si="5">F67^2</f>
        <v>12544</v>
      </c>
      <c r="K67" s="1">
        <f t="shared" ref="K67:K130" si="6">G67^2</f>
        <v>1296</v>
      </c>
      <c r="L67" s="1">
        <f t="shared" ref="L67:L130" si="7">SUMSQ(F67,G67)</f>
        <v>13840</v>
      </c>
      <c r="M67" s="1">
        <f t="shared" ref="M67:M130" si="8">SQRT(L67)</f>
        <v>117.64352935882194</v>
      </c>
      <c r="N67" s="7">
        <f t="shared" ref="N67:N130" si="9">M67</f>
        <v>117.64352935882194</v>
      </c>
    </row>
    <row r="68" spans="1:14" x14ac:dyDescent="0.25">
      <c r="A68" t="str">
        <f>"13:51:26.719"</f>
        <v>13:51:26.719</v>
      </c>
      <c r="B68">
        <v>39.114311000000001</v>
      </c>
      <c r="C68">
        <v>-77.593323999999996</v>
      </c>
      <c r="D68">
        <v>1600</v>
      </c>
      <c r="E68">
        <v>1850</v>
      </c>
      <c r="F68">
        <v>-112</v>
      </c>
      <c r="G68">
        <v>36</v>
      </c>
      <c r="H68">
        <v>896</v>
      </c>
      <c r="J68" s="1">
        <f t="shared" si="5"/>
        <v>12544</v>
      </c>
      <c r="K68" s="1">
        <f t="shared" si="6"/>
        <v>1296</v>
      </c>
      <c r="L68" s="1">
        <f t="shared" si="7"/>
        <v>13840</v>
      </c>
      <c r="M68" s="1">
        <f t="shared" si="8"/>
        <v>117.64352935882194</v>
      </c>
      <c r="N68" s="7">
        <f t="shared" si="9"/>
        <v>117.64352935882194</v>
      </c>
    </row>
    <row r="69" spans="1:14" x14ac:dyDescent="0.25">
      <c r="A69" t="str">
        <f>"13:51:27.625"</f>
        <v>13:51:27.625</v>
      </c>
      <c r="B69">
        <v>39.114482000000002</v>
      </c>
      <c r="C69">
        <v>-77.593988999999993</v>
      </c>
      <c r="D69">
        <v>1700</v>
      </c>
      <c r="E69">
        <v>1875</v>
      </c>
      <c r="F69">
        <v>-112</v>
      </c>
      <c r="G69">
        <v>36</v>
      </c>
      <c r="H69">
        <v>960</v>
      </c>
      <c r="J69" s="1">
        <f t="shared" si="5"/>
        <v>12544</v>
      </c>
      <c r="K69" s="1">
        <f t="shared" si="6"/>
        <v>1296</v>
      </c>
      <c r="L69" s="1">
        <f t="shared" si="7"/>
        <v>13840</v>
      </c>
      <c r="M69" s="1">
        <f t="shared" si="8"/>
        <v>117.64352935882194</v>
      </c>
      <c r="N69" s="7">
        <f t="shared" si="9"/>
        <v>117.64352935882194</v>
      </c>
    </row>
    <row r="70" spans="1:14" x14ac:dyDescent="0.25">
      <c r="A70" t="str">
        <f>"13:51:28.742"</f>
        <v>13:51:28.742</v>
      </c>
      <c r="B70">
        <v>39.114676000000003</v>
      </c>
      <c r="C70">
        <v>-77.594655000000003</v>
      </c>
      <c r="D70">
        <v>1700</v>
      </c>
      <c r="E70">
        <v>1775</v>
      </c>
      <c r="F70">
        <v>-112</v>
      </c>
      <c r="G70">
        <v>37</v>
      </c>
      <c r="H70">
        <v>1024</v>
      </c>
      <c r="J70" s="1">
        <f t="shared" si="5"/>
        <v>12544</v>
      </c>
      <c r="K70" s="1">
        <f t="shared" si="6"/>
        <v>1369</v>
      </c>
      <c r="L70" s="1">
        <f t="shared" si="7"/>
        <v>13913</v>
      </c>
      <c r="M70" s="1">
        <f t="shared" si="8"/>
        <v>117.95338062132852</v>
      </c>
      <c r="N70" s="7">
        <f t="shared" si="9"/>
        <v>117.95338062132852</v>
      </c>
    </row>
    <row r="71" spans="1:14" x14ac:dyDescent="0.25">
      <c r="A71" t="str">
        <f>"13:51:29.695"</f>
        <v>13:51:29.695</v>
      </c>
      <c r="B71">
        <v>39.114803999999999</v>
      </c>
      <c r="C71">
        <v>-77.595298</v>
      </c>
      <c r="D71">
        <v>1700</v>
      </c>
      <c r="E71">
        <v>1900</v>
      </c>
      <c r="F71">
        <v>-111</v>
      </c>
      <c r="G71">
        <v>38</v>
      </c>
      <c r="H71">
        <v>1088</v>
      </c>
      <c r="J71" s="1">
        <f t="shared" si="5"/>
        <v>12321</v>
      </c>
      <c r="K71" s="1">
        <f t="shared" si="6"/>
        <v>1444</v>
      </c>
      <c r="L71" s="1">
        <f t="shared" si="7"/>
        <v>13765</v>
      </c>
      <c r="M71" s="1">
        <f t="shared" si="8"/>
        <v>117.32433677630571</v>
      </c>
      <c r="N71" s="7">
        <f t="shared" si="9"/>
        <v>117.32433677630571</v>
      </c>
    </row>
    <row r="72" spans="1:14" x14ac:dyDescent="0.25">
      <c r="A72" t="str">
        <f>"13:51:30.813"</f>
        <v>13:51:30.813</v>
      </c>
      <c r="B72">
        <v>39.115062000000002</v>
      </c>
      <c r="C72">
        <v>-77.596070999999995</v>
      </c>
      <c r="D72">
        <v>1700</v>
      </c>
      <c r="E72">
        <v>1925</v>
      </c>
      <c r="F72">
        <v>-111</v>
      </c>
      <c r="G72">
        <v>39</v>
      </c>
      <c r="H72">
        <v>1152</v>
      </c>
      <c r="J72" s="1">
        <f t="shared" si="5"/>
        <v>12321</v>
      </c>
      <c r="K72" s="1">
        <f t="shared" si="6"/>
        <v>1521</v>
      </c>
      <c r="L72" s="1">
        <f t="shared" si="7"/>
        <v>13842</v>
      </c>
      <c r="M72" s="1">
        <f t="shared" si="8"/>
        <v>117.65202930676547</v>
      </c>
      <c r="N72" s="7">
        <f t="shared" si="9"/>
        <v>117.65202930676547</v>
      </c>
    </row>
    <row r="73" spans="1:14" x14ac:dyDescent="0.25">
      <c r="A73" t="str">
        <f>"13:51:31.766"</f>
        <v>13:51:31.766</v>
      </c>
      <c r="B73">
        <v>39.115212</v>
      </c>
      <c r="C73">
        <v>-77.596607000000006</v>
      </c>
      <c r="D73">
        <v>1700</v>
      </c>
      <c r="E73">
        <v>1950</v>
      </c>
      <c r="F73">
        <v>-110</v>
      </c>
      <c r="G73">
        <v>40</v>
      </c>
      <c r="H73">
        <v>1152</v>
      </c>
      <c r="J73" s="1">
        <f t="shared" si="5"/>
        <v>12100</v>
      </c>
      <c r="K73" s="1">
        <f t="shared" si="6"/>
        <v>1600</v>
      </c>
      <c r="L73" s="1">
        <f t="shared" si="7"/>
        <v>13700</v>
      </c>
      <c r="M73" s="1">
        <f t="shared" si="8"/>
        <v>117.04699910719626</v>
      </c>
      <c r="N73" s="7">
        <f t="shared" si="9"/>
        <v>117.04699910719626</v>
      </c>
    </row>
    <row r="74" spans="1:14" x14ac:dyDescent="0.25">
      <c r="A74" t="str">
        <f>"13:51:32.680"</f>
        <v>13:51:32.680</v>
      </c>
      <c r="B74">
        <v>39.115405000000003</v>
      </c>
      <c r="C74">
        <v>-77.597272000000004</v>
      </c>
      <c r="D74">
        <v>1700</v>
      </c>
      <c r="E74">
        <v>1950</v>
      </c>
      <c r="F74">
        <v>-110</v>
      </c>
      <c r="G74">
        <v>42</v>
      </c>
      <c r="H74">
        <v>1088</v>
      </c>
      <c r="J74" s="1">
        <f t="shared" si="5"/>
        <v>12100</v>
      </c>
      <c r="K74" s="1">
        <f t="shared" si="6"/>
        <v>1764</v>
      </c>
      <c r="L74" s="1">
        <f t="shared" si="7"/>
        <v>13864</v>
      </c>
      <c r="M74" s="1">
        <f t="shared" si="8"/>
        <v>117.74548823628021</v>
      </c>
      <c r="N74" s="7">
        <f t="shared" si="9"/>
        <v>117.74548823628021</v>
      </c>
    </row>
    <row r="75" spans="1:14" x14ac:dyDescent="0.25">
      <c r="A75" t="str">
        <f>"13:51:33.688"</f>
        <v>13:51:33.688</v>
      </c>
      <c r="B75">
        <v>39.115577000000002</v>
      </c>
      <c r="C75">
        <v>-77.597937999999999</v>
      </c>
      <c r="D75">
        <v>1800</v>
      </c>
      <c r="E75">
        <v>1975</v>
      </c>
      <c r="F75">
        <v>-109</v>
      </c>
      <c r="G75">
        <v>44</v>
      </c>
      <c r="H75">
        <v>1088</v>
      </c>
      <c r="J75" s="1">
        <f t="shared" si="5"/>
        <v>11881</v>
      </c>
      <c r="K75" s="1">
        <f t="shared" si="6"/>
        <v>1936</v>
      </c>
      <c r="L75" s="1">
        <f t="shared" si="7"/>
        <v>13817</v>
      </c>
      <c r="M75" s="1">
        <f t="shared" si="8"/>
        <v>117.5457357797381</v>
      </c>
      <c r="N75" s="7">
        <f t="shared" si="9"/>
        <v>117.5457357797381</v>
      </c>
    </row>
    <row r="76" spans="1:14" x14ac:dyDescent="0.25">
      <c r="A76" t="str">
        <f>"13:51:34.898"</f>
        <v>13:51:34.898</v>
      </c>
      <c r="B76">
        <v>39.115856000000001</v>
      </c>
      <c r="C76">
        <v>-77.598709999999997</v>
      </c>
      <c r="D76">
        <v>1800</v>
      </c>
      <c r="E76">
        <v>2000</v>
      </c>
      <c r="F76">
        <v>-108</v>
      </c>
      <c r="G76">
        <v>46</v>
      </c>
      <c r="H76">
        <v>1088</v>
      </c>
      <c r="J76" s="1">
        <f t="shared" si="5"/>
        <v>11664</v>
      </c>
      <c r="K76" s="1">
        <f t="shared" si="6"/>
        <v>2116</v>
      </c>
      <c r="L76" s="1">
        <f t="shared" si="7"/>
        <v>13780</v>
      </c>
      <c r="M76" s="1">
        <f t="shared" si="8"/>
        <v>117.38824472663352</v>
      </c>
      <c r="N76" s="7">
        <f t="shared" si="9"/>
        <v>117.38824472663352</v>
      </c>
    </row>
    <row r="77" spans="1:14" x14ac:dyDescent="0.25">
      <c r="A77" t="str">
        <f>"13:51:35.961"</f>
        <v>13:51:35.961</v>
      </c>
      <c r="B77">
        <v>39.116112999999999</v>
      </c>
      <c r="C77">
        <v>-77.599374999999995</v>
      </c>
      <c r="D77">
        <v>1800</v>
      </c>
      <c r="E77">
        <v>2025</v>
      </c>
      <c r="F77">
        <v>-107</v>
      </c>
      <c r="G77">
        <v>49</v>
      </c>
      <c r="H77">
        <v>1088</v>
      </c>
      <c r="J77" s="1">
        <f t="shared" si="5"/>
        <v>11449</v>
      </c>
      <c r="K77" s="1">
        <f t="shared" si="6"/>
        <v>2401</v>
      </c>
      <c r="L77" s="1">
        <f t="shared" si="7"/>
        <v>13850</v>
      </c>
      <c r="M77" s="1">
        <f t="shared" si="8"/>
        <v>117.6860229593982</v>
      </c>
      <c r="N77" s="7">
        <f t="shared" si="9"/>
        <v>117.6860229593982</v>
      </c>
    </row>
    <row r="78" spans="1:14" x14ac:dyDescent="0.25">
      <c r="A78" t="str">
        <f>"13:51:36.914"</f>
        <v>13:51:36.914</v>
      </c>
      <c r="B78">
        <v>39.116371000000001</v>
      </c>
      <c r="C78">
        <v>-77.599954999999994</v>
      </c>
      <c r="D78">
        <v>1800</v>
      </c>
      <c r="E78">
        <v>2025</v>
      </c>
      <c r="F78">
        <v>-105</v>
      </c>
      <c r="G78">
        <v>53</v>
      </c>
      <c r="H78">
        <v>1088</v>
      </c>
      <c r="J78" s="1">
        <f t="shared" si="5"/>
        <v>11025</v>
      </c>
      <c r="K78" s="1">
        <f t="shared" si="6"/>
        <v>2809</v>
      </c>
      <c r="L78" s="1">
        <f t="shared" si="7"/>
        <v>13834</v>
      </c>
      <c r="M78" s="1">
        <f t="shared" si="8"/>
        <v>117.61802582937702</v>
      </c>
      <c r="N78" s="7">
        <f t="shared" si="9"/>
        <v>117.61802582937702</v>
      </c>
    </row>
    <row r="79" spans="1:14" x14ac:dyDescent="0.25">
      <c r="A79" t="str">
        <f>"13:51:38.031"</f>
        <v>13:51:38.031</v>
      </c>
      <c r="B79">
        <v>39.116627999999999</v>
      </c>
      <c r="C79">
        <v>-77.600640999999996</v>
      </c>
      <c r="D79">
        <v>1800</v>
      </c>
      <c r="E79">
        <v>2050</v>
      </c>
      <c r="F79">
        <v>-104</v>
      </c>
      <c r="G79">
        <v>56</v>
      </c>
      <c r="H79">
        <v>1024</v>
      </c>
      <c r="J79" s="1">
        <f t="shared" si="5"/>
        <v>10816</v>
      </c>
      <c r="K79" s="1">
        <f t="shared" si="6"/>
        <v>3136</v>
      </c>
      <c r="L79" s="1">
        <f t="shared" si="7"/>
        <v>13952</v>
      </c>
      <c r="M79" s="1">
        <f t="shared" si="8"/>
        <v>118.1185844818672</v>
      </c>
      <c r="N79" s="7">
        <f t="shared" si="9"/>
        <v>118.1185844818672</v>
      </c>
    </row>
    <row r="80" spans="1:14" x14ac:dyDescent="0.25">
      <c r="A80" t="str">
        <f>"13:51:39.086"</f>
        <v>13:51:39.086</v>
      </c>
      <c r="B80">
        <v>39.116950000000003</v>
      </c>
      <c r="C80">
        <v>-77.601264</v>
      </c>
      <c r="D80">
        <v>1800</v>
      </c>
      <c r="E80">
        <v>2075</v>
      </c>
      <c r="F80">
        <v>-102</v>
      </c>
      <c r="G80">
        <v>60</v>
      </c>
      <c r="H80">
        <v>1024</v>
      </c>
      <c r="J80" s="1">
        <f t="shared" si="5"/>
        <v>10404</v>
      </c>
      <c r="K80" s="1">
        <f t="shared" si="6"/>
        <v>3600</v>
      </c>
      <c r="L80" s="1">
        <f t="shared" si="7"/>
        <v>14004</v>
      </c>
      <c r="M80" s="1">
        <f t="shared" si="8"/>
        <v>118.33849753989612</v>
      </c>
      <c r="N80" s="7">
        <f t="shared" si="9"/>
        <v>118.33849753989612</v>
      </c>
    </row>
    <row r="81" spans="1:14" x14ac:dyDescent="0.25">
      <c r="A81" t="str">
        <f>"13:51:40.195"</f>
        <v>13:51:40.195</v>
      </c>
      <c r="B81">
        <v>39.117292999999997</v>
      </c>
      <c r="C81">
        <v>-77.601928999999998</v>
      </c>
      <c r="D81">
        <v>1800</v>
      </c>
      <c r="E81">
        <v>2100</v>
      </c>
      <c r="F81">
        <v>-99</v>
      </c>
      <c r="G81">
        <v>66</v>
      </c>
      <c r="H81">
        <v>960</v>
      </c>
      <c r="J81" s="1">
        <f t="shared" si="5"/>
        <v>9801</v>
      </c>
      <c r="K81" s="1">
        <f t="shared" si="6"/>
        <v>4356</v>
      </c>
      <c r="L81" s="1">
        <f t="shared" si="7"/>
        <v>14157</v>
      </c>
      <c r="M81" s="1">
        <f t="shared" si="8"/>
        <v>118.98319209031165</v>
      </c>
      <c r="N81" s="7">
        <f t="shared" si="9"/>
        <v>118.98319209031165</v>
      </c>
    </row>
    <row r="82" spans="1:14" x14ac:dyDescent="0.25">
      <c r="A82" t="str">
        <f>"13:51:41.211"</f>
        <v>13:51:41.211</v>
      </c>
      <c r="B82">
        <v>39.117615000000001</v>
      </c>
      <c r="C82">
        <v>-77.602486999999996</v>
      </c>
      <c r="D82">
        <v>1900</v>
      </c>
      <c r="E82">
        <v>2100</v>
      </c>
      <c r="F82">
        <v>-97</v>
      </c>
      <c r="G82">
        <v>71</v>
      </c>
      <c r="H82">
        <v>960</v>
      </c>
      <c r="J82" s="1">
        <f t="shared" si="5"/>
        <v>9409</v>
      </c>
      <c r="K82" s="1">
        <f t="shared" si="6"/>
        <v>5041</v>
      </c>
      <c r="L82" s="1">
        <f t="shared" si="7"/>
        <v>14450</v>
      </c>
      <c r="M82" s="1">
        <f t="shared" si="8"/>
        <v>120.20815280171308</v>
      </c>
      <c r="N82" s="7">
        <f t="shared" si="9"/>
        <v>120.20815280171308</v>
      </c>
    </row>
    <row r="83" spans="1:14" x14ac:dyDescent="0.25">
      <c r="A83" t="str">
        <f>"13:51:42.164"</f>
        <v>13:51:42.164</v>
      </c>
      <c r="B83">
        <v>39.117980000000003</v>
      </c>
      <c r="C83">
        <v>-77.603022999999993</v>
      </c>
      <c r="D83">
        <v>1900</v>
      </c>
      <c r="E83">
        <v>2125</v>
      </c>
      <c r="F83">
        <v>-93</v>
      </c>
      <c r="G83">
        <v>76</v>
      </c>
      <c r="H83">
        <v>1024</v>
      </c>
      <c r="J83" s="1">
        <f t="shared" si="5"/>
        <v>8649</v>
      </c>
      <c r="K83" s="1">
        <f t="shared" si="6"/>
        <v>5776</v>
      </c>
      <c r="L83" s="1">
        <f t="shared" si="7"/>
        <v>14425</v>
      </c>
      <c r="M83" s="1">
        <f t="shared" si="8"/>
        <v>120.10412149464314</v>
      </c>
      <c r="N83" s="7">
        <f t="shared" si="9"/>
        <v>120.10412149464314</v>
      </c>
    </row>
    <row r="84" spans="1:14" x14ac:dyDescent="0.25">
      <c r="A84" t="str">
        <f>"13:51:43.227"</f>
        <v>13:51:43.227</v>
      </c>
      <c r="B84">
        <v>39.118366000000002</v>
      </c>
      <c r="C84">
        <v>-77.603581000000005</v>
      </c>
      <c r="D84">
        <v>1900</v>
      </c>
      <c r="E84">
        <v>2125</v>
      </c>
      <c r="F84">
        <v>-91</v>
      </c>
      <c r="G84">
        <v>79</v>
      </c>
      <c r="H84">
        <v>1024</v>
      </c>
      <c r="J84" s="1">
        <f t="shared" si="5"/>
        <v>8281</v>
      </c>
      <c r="K84" s="1">
        <f t="shared" si="6"/>
        <v>6241</v>
      </c>
      <c r="L84" s="1">
        <f t="shared" si="7"/>
        <v>14522</v>
      </c>
      <c r="M84" s="1">
        <f t="shared" si="8"/>
        <v>120.50726119201282</v>
      </c>
      <c r="N84" s="7">
        <f t="shared" si="9"/>
        <v>120.50726119201282</v>
      </c>
    </row>
    <row r="85" spans="1:14" x14ac:dyDescent="0.25">
      <c r="A85" t="str">
        <f>"13:51:44.289"</f>
        <v>13:51:44.289</v>
      </c>
      <c r="B85">
        <v>39.118794999999999</v>
      </c>
      <c r="C85">
        <v>-77.604139000000004</v>
      </c>
      <c r="D85">
        <v>2000</v>
      </c>
      <c r="E85">
        <v>2150</v>
      </c>
      <c r="F85">
        <v>-87</v>
      </c>
      <c r="G85">
        <v>84</v>
      </c>
      <c r="H85">
        <v>1088</v>
      </c>
      <c r="J85" s="1">
        <f t="shared" si="5"/>
        <v>7569</v>
      </c>
      <c r="K85" s="1">
        <f t="shared" si="6"/>
        <v>7056</v>
      </c>
      <c r="L85" s="1">
        <f t="shared" si="7"/>
        <v>14625</v>
      </c>
      <c r="M85" s="1">
        <f t="shared" si="8"/>
        <v>120.93386622447825</v>
      </c>
      <c r="N85" s="7">
        <f t="shared" si="9"/>
        <v>120.93386622447825</v>
      </c>
    </row>
    <row r="86" spans="1:14" x14ac:dyDescent="0.25">
      <c r="A86" t="str">
        <f>"13:51:45.250"</f>
        <v>13:51:45.250</v>
      </c>
      <c r="B86">
        <v>39.119202999999999</v>
      </c>
      <c r="C86">
        <v>-77.604611000000006</v>
      </c>
      <c r="D86">
        <v>2000</v>
      </c>
      <c r="E86">
        <v>2175</v>
      </c>
      <c r="F86">
        <v>-84</v>
      </c>
      <c r="G86">
        <v>87</v>
      </c>
      <c r="H86">
        <v>1088</v>
      </c>
      <c r="J86" s="1">
        <f t="shared" si="5"/>
        <v>7056</v>
      </c>
      <c r="K86" s="1">
        <f t="shared" si="6"/>
        <v>7569</v>
      </c>
      <c r="L86" s="1">
        <f t="shared" si="7"/>
        <v>14625</v>
      </c>
      <c r="M86" s="1">
        <f t="shared" si="8"/>
        <v>120.93386622447825</v>
      </c>
      <c r="N86" s="7">
        <f t="shared" si="9"/>
        <v>120.93386622447825</v>
      </c>
    </row>
    <row r="87" spans="1:14" x14ac:dyDescent="0.25">
      <c r="A87" t="str">
        <f>"13:51:46.203"</f>
        <v>13:51:46.203</v>
      </c>
      <c r="B87">
        <v>39.119568000000001</v>
      </c>
      <c r="C87">
        <v>-77.605040000000002</v>
      </c>
      <c r="D87">
        <v>2000</v>
      </c>
      <c r="E87">
        <v>2200</v>
      </c>
      <c r="F87">
        <v>-81</v>
      </c>
      <c r="G87">
        <v>90</v>
      </c>
      <c r="H87">
        <v>1088</v>
      </c>
      <c r="J87" s="1">
        <f t="shared" si="5"/>
        <v>6561</v>
      </c>
      <c r="K87" s="1">
        <f t="shared" si="6"/>
        <v>8100</v>
      </c>
      <c r="L87" s="1">
        <f t="shared" si="7"/>
        <v>14661</v>
      </c>
      <c r="M87" s="1">
        <f t="shared" si="8"/>
        <v>121.0826164236634</v>
      </c>
      <c r="N87" s="7">
        <f t="shared" si="9"/>
        <v>121.0826164236634</v>
      </c>
    </row>
    <row r="88" spans="1:14" x14ac:dyDescent="0.25">
      <c r="A88" t="str">
        <f>"13:51:47.313"</f>
        <v>13:51:47.313</v>
      </c>
      <c r="B88">
        <v>39.120061</v>
      </c>
      <c r="C88">
        <v>-77.605576999999997</v>
      </c>
      <c r="D88">
        <v>2000</v>
      </c>
      <c r="E88">
        <v>2225</v>
      </c>
      <c r="F88">
        <v>-77</v>
      </c>
      <c r="G88">
        <v>93</v>
      </c>
      <c r="H88">
        <v>1088</v>
      </c>
      <c r="J88" s="1">
        <f t="shared" si="5"/>
        <v>5929</v>
      </c>
      <c r="K88" s="1">
        <f t="shared" si="6"/>
        <v>8649</v>
      </c>
      <c r="L88" s="1">
        <f t="shared" si="7"/>
        <v>14578</v>
      </c>
      <c r="M88" s="1">
        <f t="shared" si="8"/>
        <v>120.7393887677091</v>
      </c>
      <c r="N88" s="7">
        <f t="shared" si="9"/>
        <v>120.7393887677091</v>
      </c>
    </row>
    <row r="89" spans="1:14" x14ac:dyDescent="0.25">
      <c r="A89" t="str">
        <f>"13:51:48.273"</f>
        <v>13:51:48.273</v>
      </c>
      <c r="B89">
        <v>39.120491000000001</v>
      </c>
      <c r="C89">
        <v>-77.605984000000007</v>
      </c>
      <c r="D89">
        <v>2000</v>
      </c>
      <c r="E89">
        <v>2225</v>
      </c>
      <c r="F89">
        <v>-75</v>
      </c>
      <c r="G89">
        <v>95</v>
      </c>
      <c r="H89">
        <v>1152</v>
      </c>
      <c r="J89" s="1">
        <f t="shared" si="5"/>
        <v>5625</v>
      </c>
      <c r="K89" s="1">
        <f t="shared" si="6"/>
        <v>9025</v>
      </c>
      <c r="L89" s="1">
        <f t="shared" si="7"/>
        <v>14650</v>
      </c>
      <c r="M89" s="1">
        <f t="shared" si="8"/>
        <v>121.03718436910205</v>
      </c>
      <c r="N89" s="7">
        <f t="shared" si="9"/>
        <v>121.03718436910205</v>
      </c>
    </row>
    <row r="90" spans="1:14" x14ac:dyDescent="0.25">
      <c r="A90" t="str">
        <f>"13:51:49.336"</f>
        <v>13:51:49.336</v>
      </c>
      <c r="B90">
        <v>39.120941000000002</v>
      </c>
      <c r="C90">
        <v>-77.606413000000003</v>
      </c>
      <c r="D90">
        <v>2000</v>
      </c>
      <c r="E90">
        <v>2250</v>
      </c>
      <c r="F90">
        <v>-72</v>
      </c>
      <c r="G90">
        <v>97</v>
      </c>
      <c r="H90">
        <v>1152</v>
      </c>
      <c r="J90" s="1">
        <f t="shared" si="5"/>
        <v>5184</v>
      </c>
      <c r="K90" s="1">
        <f t="shared" si="6"/>
        <v>9409</v>
      </c>
      <c r="L90" s="1">
        <f t="shared" si="7"/>
        <v>14593</v>
      </c>
      <c r="M90" s="1">
        <f t="shared" si="8"/>
        <v>120.80149005703531</v>
      </c>
      <c r="N90" s="7">
        <f t="shared" si="9"/>
        <v>120.80149005703531</v>
      </c>
    </row>
    <row r="91" spans="1:14" x14ac:dyDescent="0.25">
      <c r="A91" t="str">
        <f>"13:51:50.391"</f>
        <v>13:51:50.391</v>
      </c>
      <c r="B91">
        <v>39.121478000000003</v>
      </c>
      <c r="C91">
        <v>-77.606864000000002</v>
      </c>
      <c r="D91">
        <v>2000</v>
      </c>
      <c r="E91">
        <v>2250</v>
      </c>
      <c r="F91">
        <v>-72</v>
      </c>
      <c r="G91">
        <v>97</v>
      </c>
      <c r="H91">
        <v>1152</v>
      </c>
      <c r="J91" s="1">
        <f t="shared" si="5"/>
        <v>5184</v>
      </c>
      <c r="K91" s="1">
        <f t="shared" si="6"/>
        <v>9409</v>
      </c>
      <c r="L91" s="1">
        <f t="shared" si="7"/>
        <v>14593</v>
      </c>
      <c r="M91" s="1">
        <f t="shared" si="8"/>
        <v>120.80149005703531</v>
      </c>
      <c r="N91" s="7">
        <f t="shared" si="9"/>
        <v>120.80149005703531</v>
      </c>
    </row>
    <row r="92" spans="1:14" x14ac:dyDescent="0.25">
      <c r="A92" t="str">
        <f>"13:51:51.352"</f>
        <v>13:51:51.352</v>
      </c>
      <c r="B92">
        <v>39.121949999999998</v>
      </c>
      <c r="C92">
        <v>-77.607292999999999</v>
      </c>
      <c r="D92">
        <v>2100</v>
      </c>
      <c r="E92">
        <v>2300</v>
      </c>
      <c r="F92">
        <v>-67</v>
      </c>
      <c r="G92">
        <v>101</v>
      </c>
      <c r="H92">
        <v>1216</v>
      </c>
      <c r="J92" s="1">
        <f t="shared" si="5"/>
        <v>4489</v>
      </c>
      <c r="K92" s="1">
        <f t="shared" si="6"/>
        <v>10201</v>
      </c>
      <c r="L92" s="1">
        <f t="shared" si="7"/>
        <v>14690</v>
      </c>
      <c r="M92" s="1">
        <f t="shared" si="8"/>
        <v>121.2023102090055</v>
      </c>
      <c r="N92" s="7">
        <f t="shared" si="9"/>
        <v>121.2023102090055</v>
      </c>
    </row>
    <row r="93" spans="1:14" x14ac:dyDescent="0.25">
      <c r="A93" t="str">
        <f>"13:51:52.367"</f>
        <v>13:51:52.367</v>
      </c>
      <c r="B93">
        <v>39.122399999999999</v>
      </c>
      <c r="C93">
        <v>-77.607658000000001</v>
      </c>
      <c r="D93">
        <v>2100</v>
      </c>
      <c r="E93">
        <v>2325</v>
      </c>
      <c r="F93">
        <v>-64</v>
      </c>
      <c r="G93">
        <v>102</v>
      </c>
      <c r="H93">
        <v>1344</v>
      </c>
      <c r="J93" s="1">
        <f t="shared" si="5"/>
        <v>4096</v>
      </c>
      <c r="K93" s="1">
        <f t="shared" si="6"/>
        <v>10404</v>
      </c>
      <c r="L93" s="1">
        <f t="shared" si="7"/>
        <v>14500</v>
      </c>
      <c r="M93" s="1">
        <f t="shared" si="8"/>
        <v>120.41594578792295</v>
      </c>
      <c r="N93" s="7">
        <f t="shared" si="9"/>
        <v>120.41594578792295</v>
      </c>
    </row>
    <row r="94" spans="1:14" x14ac:dyDescent="0.25">
      <c r="A94" t="str">
        <f>"13:51:53.219"</f>
        <v>13:51:53.219</v>
      </c>
      <c r="B94">
        <v>39.122787000000002</v>
      </c>
      <c r="C94">
        <v>-77.607979999999998</v>
      </c>
      <c r="D94">
        <v>2100</v>
      </c>
      <c r="E94">
        <v>2350</v>
      </c>
      <c r="F94">
        <v>-62</v>
      </c>
      <c r="G94">
        <v>103</v>
      </c>
      <c r="H94">
        <v>1344</v>
      </c>
      <c r="J94" s="1">
        <f t="shared" si="5"/>
        <v>3844</v>
      </c>
      <c r="K94" s="1">
        <f t="shared" si="6"/>
        <v>10609</v>
      </c>
      <c r="L94" s="1">
        <f t="shared" si="7"/>
        <v>14453</v>
      </c>
      <c r="M94" s="1">
        <f t="shared" si="8"/>
        <v>120.22063050907694</v>
      </c>
      <c r="N94" s="7">
        <f t="shared" si="9"/>
        <v>120.22063050907694</v>
      </c>
    </row>
    <row r="95" spans="1:14" x14ac:dyDescent="0.25">
      <c r="A95" t="str">
        <f>"13:51:54.281"</f>
        <v>13:51:54.281</v>
      </c>
      <c r="B95">
        <v>39.123322999999999</v>
      </c>
      <c r="C95">
        <v>-77.608322999999999</v>
      </c>
      <c r="D95">
        <v>2100</v>
      </c>
      <c r="E95">
        <v>2350</v>
      </c>
      <c r="F95">
        <v>-59</v>
      </c>
      <c r="G95">
        <v>104</v>
      </c>
      <c r="H95">
        <v>1344</v>
      </c>
      <c r="J95" s="1">
        <f t="shared" si="5"/>
        <v>3481</v>
      </c>
      <c r="K95" s="1">
        <f t="shared" si="6"/>
        <v>10816</v>
      </c>
      <c r="L95" s="1">
        <f t="shared" si="7"/>
        <v>14297</v>
      </c>
      <c r="M95" s="1">
        <f t="shared" si="8"/>
        <v>119.57006314291216</v>
      </c>
      <c r="N95" s="7">
        <f t="shared" si="9"/>
        <v>119.57006314291216</v>
      </c>
    </row>
    <row r="96" spans="1:14" x14ac:dyDescent="0.25">
      <c r="A96" t="str">
        <f>"13:51:55.289"</f>
        <v>13:51:55.289</v>
      </c>
      <c r="B96">
        <v>39.123815999999998</v>
      </c>
      <c r="C96">
        <v>-77.608665999999999</v>
      </c>
      <c r="D96">
        <v>2200</v>
      </c>
      <c r="E96">
        <v>2375</v>
      </c>
      <c r="F96">
        <v>-57</v>
      </c>
      <c r="G96">
        <v>105</v>
      </c>
      <c r="H96">
        <v>1344</v>
      </c>
      <c r="J96" s="1">
        <f t="shared" si="5"/>
        <v>3249</v>
      </c>
      <c r="K96" s="1">
        <f t="shared" si="6"/>
        <v>11025</v>
      </c>
      <c r="L96" s="1">
        <f t="shared" si="7"/>
        <v>14274</v>
      </c>
      <c r="M96" s="1">
        <f t="shared" si="8"/>
        <v>119.47384651043926</v>
      </c>
      <c r="N96" s="7">
        <f t="shared" si="9"/>
        <v>119.47384651043926</v>
      </c>
    </row>
    <row r="97" spans="1:14" x14ac:dyDescent="0.25">
      <c r="A97" t="str">
        <f>"13:51:56.250"</f>
        <v>13:51:56.250</v>
      </c>
      <c r="B97">
        <v>39.124330999999998</v>
      </c>
      <c r="C97">
        <v>-77.608967000000007</v>
      </c>
      <c r="D97">
        <v>2200</v>
      </c>
      <c r="E97">
        <v>2400</v>
      </c>
      <c r="F97">
        <v>-54</v>
      </c>
      <c r="G97">
        <v>107</v>
      </c>
      <c r="H97">
        <v>1280</v>
      </c>
      <c r="J97" s="1">
        <f t="shared" si="5"/>
        <v>2916</v>
      </c>
      <c r="K97" s="1">
        <f t="shared" si="6"/>
        <v>11449</v>
      </c>
      <c r="L97" s="1">
        <f t="shared" si="7"/>
        <v>14365</v>
      </c>
      <c r="M97" s="1">
        <f t="shared" si="8"/>
        <v>119.85407794480753</v>
      </c>
      <c r="N97" s="7">
        <f t="shared" si="9"/>
        <v>119.85407794480753</v>
      </c>
    </row>
    <row r="98" spans="1:14" x14ac:dyDescent="0.25">
      <c r="A98" t="str">
        <f>"13:51:57.211"</f>
        <v>13:51:57.211</v>
      </c>
      <c r="B98">
        <v>39.124782000000003</v>
      </c>
      <c r="C98">
        <v>-77.609245999999999</v>
      </c>
      <c r="D98">
        <v>2200</v>
      </c>
      <c r="E98">
        <v>2425</v>
      </c>
      <c r="F98">
        <v>-52</v>
      </c>
      <c r="G98">
        <v>108</v>
      </c>
      <c r="H98">
        <v>1088</v>
      </c>
      <c r="J98" s="1">
        <f t="shared" si="5"/>
        <v>2704</v>
      </c>
      <c r="K98" s="1">
        <f t="shared" si="6"/>
        <v>11664</v>
      </c>
      <c r="L98" s="1">
        <f t="shared" si="7"/>
        <v>14368</v>
      </c>
      <c r="M98" s="1">
        <f t="shared" si="8"/>
        <v>119.86659251017358</v>
      </c>
      <c r="N98" s="7">
        <f t="shared" si="9"/>
        <v>119.86659251017358</v>
      </c>
    </row>
    <row r="99" spans="1:14" x14ac:dyDescent="0.25">
      <c r="A99" t="str">
        <f>"13:51:58.266"</f>
        <v>13:51:58.266</v>
      </c>
      <c r="B99">
        <v>39.125340000000001</v>
      </c>
      <c r="C99">
        <v>-77.609567999999996</v>
      </c>
      <c r="D99">
        <v>2200</v>
      </c>
      <c r="E99">
        <v>2450</v>
      </c>
      <c r="F99">
        <v>-50</v>
      </c>
      <c r="G99">
        <v>110</v>
      </c>
      <c r="H99">
        <v>832</v>
      </c>
      <c r="J99" s="1">
        <f t="shared" si="5"/>
        <v>2500</v>
      </c>
      <c r="K99" s="1">
        <f t="shared" si="6"/>
        <v>12100</v>
      </c>
      <c r="L99" s="1">
        <f t="shared" si="7"/>
        <v>14600</v>
      </c>
      <c r="M99" s="1">
        <f t="shared" si="8"/>
        <v>120.83045973594572</v>
      </c>
      <c r="N99" s="7">
        <f t="shared" si="9"/>
        <v>120.83045973594572</v>
      </c>
    </row>
    <row r="100" spans="1:14" x14ac:dyDescent="0.25">
      <c r="A100" t="str">
        <f>"13:51:59.281"</f>
        <v>13:51:59.281</v>
      </c>
      <c r="B100">
        <v>39.125833999999998</v>
      </c>
      <c r="C100">
        <v>-77.609868000000006</v>
      </c>
      <c r="D100">
        <v>2200</v>
      </c>
      <c r="E100">
        <v>2450</v>
      </c>
      <c r="F100">
        <v>-47</v>
      </c>
      <c r="G100">
        <v>112</v>
      </c>
      <c r="H100">
        <v>640</v>
      </c>
      <c r="J100" s="1">
        <f t="shared" si="5"/>
        <v>2209</v>
      </c>
      <c r="K100" s="1">
        <f t="shared" si="6"/>
        <v>12544</v>
      </c>
      <c r="L100" s="1">
        <f t="shared" si="7"/>
        <v>14753</v>
      </c>
      <c r="M100" s="1">
        <f t="shared" si="8"/>
        <v>121.46192819151193</v>
      </c>
      <c r="N100" s="7">
        <f t="shared" si="9"/>
        <v>121.46192819151193</v>
      </c>
    </row>
    <row r="101" spans="1:14" x14ac:dyDescent="0.25">
      <c r="A101" t="str">
        <f>"13:52:00.188"</f>
        <v>13:52:00.188</v>
      </c>
      <c r="B101">
        <v>39.126327000000003</v>
      </c>
      <c r="C101">
        <v>-77.610104000000007</v>
      </c>
      <c r="D101">
        <v>2200</v>
      </c>
      <c r="E101">
        <v>2450</v>
      </c>
      <c r="F101">
        <v>-45</v>
      </c>
      <c r="G101">
        <v>114</v>
      </c>
      <c r="H101">
        <v>448</v>
      </c>
      <c r="J101" s="1">
        <f t="shared" si="5"/>
        <v>2025</v>
      </c>
      <c r="K101" s="1">
        <f t="shared" si="6"/>
        <v>12996</v>
      </c>
      <c r="L101" s="1">
        <f t="shared" si="7"/>
        <v>15021</v>
      </c>
      <c r="M101" s="1">
        <f t="shared" si="8"/>
        <v>122.56018929489298</v>
      </c>
      <c r="N101" s="7">
        <f t="shared" si="9"/>
        <v>122.56018929489298</v>
      </c>
    </row>
    <row r="102" spans="1:14" x14ac:dyDescent="0.25">
      <c r="A102" t="str">
        <f>"13:52:01.094"</f>
        <v>13:52:01.094</v>
      </c>
      <c r="B102">
        <v>39.126798999999998</v>
      </c>
      <c r="C102">
        <v>-77.610339999999994</v>
      </c>
      <c r="D102">
        <v>2300</v>
      </c>
      <c r="E102">
        <v>2375</v>
      </c>
      <c r="F102">
        <v>-43</v>
      </c>
      <c r="G102">
        <v>116</v>
      </c>
      <c r="H102">
        <v>384</v>
      </c>
      <c r="J102" s="1">
        <f t="shared" si="5"/>
        <v>1849</v>
      </c>
      <c r="K102" s="1">
        <f t="shared" si="6"/>
        <v>13456</v>
      </c>
      <c r="L102" s="1">
        <f t="shared" si="7"/>
        <v>15305</v>
      </c>
      <c r="M102" s="1">
        <f t="shared" si="8"/>
        <v>123.71337841963576</v>
      </c>
      <c r="N102" s="7">
        <f t="shared" si="9"/>
        <v>123.71337841963576</v>
      </c>
    </row>
    <row r="103" spans="1:14" x14ac:dyDescent="0.25">
      <c r="A103" t="str">
        <f>"13:52:02.102"</f>
        <v>13:52:02.102</v>
      </c>
      <c r="B103">
        <v>39.127357000000003</v>
      </c>
      <c r="C103">
        <v>-77.610575999999995</v>
      </c>
      <c r="D103">
        <v>2300</v>
      </c>
      <c r="E103">
        <v>2475</v>
      </c>
      <c r="F103">
        <v>-40</v>
      </c>
      <c r="G103">
        <v>119</v>
      </c>
      <c r="H103">
        <v>320</v>
      </c>
      <c r="J103" s="1">
        <f t="shared" si="5"/>
        <v>1600</v>
      </c>
      <c r="K103" s="1">
        <f t="shared" si="6"/>
        <v>14161</v>
      </c>
      <c r="L103" s="1">
        <f t="shared" si="7"/>
        <v>15761</v>
      </c>
      <c r="M103" s="1">
        <f t="shared" si="8"/>
        <v>125.54282137979854</v>
      </c>
      <c r="N103" s="7">
        <f t="shared" si="9"/>
        <v>125.54282137979854</v>
      </c>
    </row>
    <row r="104" spans="1:14" x14ac:dyDescent="0.25">
      <c r="A104" t="str">
        <f>"13:52:03.063"</f>
        <v>13:52:03.063</v>
      </c>
      <c r="B104">
        <v>39.127851</v>
      </c>
      <c r="C104">
        <v>-77.610769000000005</v>
      </c>
      <c r="D104">
        <v>2300</v>
      </c>
      <c r="E104">
        <v>2475</v>
      </c>
      <c r="F104">
        <v>-39</v>
      </c>
      <c r="G104">
        <v>120</v>
      </c>
      <c r="H104">
        <v>320</v>
      </c>
      <c r="J104" s="1">
        <f t="shared" si="5"/>
        <v>1521</v>
      </c>
      <c r="K104" s="1">
        <f t="shared" si="6"/>
        <v>14400</v>
      </c>
      <c r="L104" s="1">
        <f t="shared" si="7"/>
        <v>15921</v>
      </c>
      <c r="M104" s="1">
        <f t="shared" si="8"/>
        <v>126.17844506887855</v>
      </c>
      <c r="N104" s="7">
        <f t="shared" si="9"/>
        <v>126.17844506887855</v>
      </c>
    </row>
    <row r="105" spans="1:14" x14ac:dyDescent="0.25">
      <c r="A105" t="str">
        <f>"13:52:03.969"</f>
        <v>13:52:03.969</v>
      </c>
      <c r="B105">
        <v>39.128408</v>
      </c>
      <c r="C105">
        <v>-77.610940999999997</v>
      </c>
      <c r="D105">
        <v>2300</v>
      </c>
      <c r="E105">
        <v>2475</v>
      </c>
      <c r="F105">
        <v>-36</v>
      </c>
      <c r="G105">
        <v>122</v>
      </c>
      <c r="H105">
        <v>320</v>
      </c>
      <c r="J105" s="1">
        <f t="shared" si="5"/>
        <v>1296</v>
      </c>
      <c r="K105" s="1">
        <f t="shared" si="6"/>
        <v>14884</v>
      </c>
      <c r="L105" s="1">
        <f t="shared" si="7"/>
        <v>16180</v>
      </c>
      <c r="M105" s="1">
        <f t="shared" si="8"/>
        <v>127.20062892926276</v>
      </c>
      <c r="N105" s="7">
        <f t="shared" si="9"/>
        <v>127.20062892926276</v>
      </c>
    </row>
    <row r="106" spans="1:14" x14ac:dyDescent="0.25">
      <c r="A106" t="str">
        <f>"13:52:04.984"</f>
        <v>13:52:04.984</v>
      </c>
      <c r="B106">
        <v>39.129009000000003</v>
      </c>
      <c r="C106">
        <v>-77.611155999999994</v>
      </c>
      <c r="D106">
        <v>2300</v>
      </c>
      <c r="E106">
        <v>2475</v>
      </c>
      <c r="F106">
        <v>-31</v>
      </c>
      <c r="G106">
        <v>125</v>
      </c>
      <c r="H106">
        <v>320</v>
      </c>
      <c r="J106" s="1">
        <f t="shared" si="5"/>
        <v>961</v>
      </c>
      <c r="K106" s="1">
        <f t="shared" si="6"/>
        <v>15625</v>
      </c>
      <c r="L106" s="1">
        <f t="shared" si="7"/>
        <v>16586</v>
      </c>
      <c r="M106" s="1">
        <f t="shared" si="8"/>
        <v>128.78664527038509</v>
      </c>
      <c r="N106" s="7">
        <f t="shared" si="9"/>
        <v>128.78664527038509</v>
      </c>
    </row>
    <row r="107" spans="1:14" x14ac:dyDescent="0.25">
      <c r="A107" t="str">
        <f>"13:52:06.039"</f>
        <v>13:52:06.039</v>
      </c>
      <c r="B107">
        <v>39.129632000000001</v>
      </c>
      <c r="C107">
        <v>-77.611327000000003</v>
      </c>
      <c r="D107">
        <v>2300</v>
      </c>
      <c r="E107">
        <v>2500</v>
      </c>
      <c r="F107">
        <v>-29</v>
      </c>
      <c r="G107">
        <v>127</v>
      </c>
      <c r="H107">
        <v>384</v>
      </c>
      <c r="J107" s="1">
        <f t="shared" si="5"/>
        <v>841</v>
      </c>
      <c r="K107" s="1">
        <f t="shared" si="6"/>
        <v>16129</v>
      </c>
      <c r="L107" s="1">
        <f t="shared" si="7"/>
        <v>16970</v>
      </c>
      <c r="M107" s="1">
        <f t="shared" si="8"/>
        <v>130.26895255585654</v>
      </c>
      <c r="N107" s="7">
        <f t="shared" si="9"/>
        <v>130.26895255585654</v>
      </c>
    </row>
    <row r="108" spans="1:14" x14ac:dyDescent="0.25">
      <c r="A108" t="str">
        <f>"13:52:07.000"</f>
        <v>13:52:07.000</v>
      </c>
      <c r="B108">
        <v>39.130231999999999</v>
      </c>
      <c r="C108">
        <v>-77.611456000000004</v>
      </c>
      <c r="D108">
        <v>2300</v>
      </c>
      <c r="E108">
        <v>2500</v>
      </c>
      <c r="F108">
        <v>-24</v>
      </c>
      <c r="G108">
        <v>129</v>
      </c>
      <c r="H108">
        <v>448</v>
      </c>
      <c r="J108" s="1">
        <f t="shared" si="5"/>
        <v>576</v>
      </c>
      <c r="K108" s="1">
        <f t="shared" si="6"/>
        <v>16641</v>
      </c>
      <c r="L108" s="1">
        <f t="shared" si="7"/>
        <v>17217</v>
      </c>
      <c r="M108" s="1">
        <f t="shared" si="8"/>
        <v>131.21356637177422</v>
      </c>
      <c r="N108" s="7">
        <f t="shared" si="9"/>
        <v>131.21356637177422</v>
      </c>
    </row>
    <row r="109" spans="1:14" x14ac:dyDescent="0.25">
      <c r="A109" t="str">
        <f>"13:52:08.164"</f>
        <v>13:52:08.164</v>
      </c>
      <c r="B109">
        <v>39.130876000000001</v>
      </c>
      <c r="C109">
        <v>-77.611542</v>
      </c>
      <c r="D109">
        <v>2300</v>
      </c>
      <c r="E109">
        <v>2500</v>
      </c>
      <c r="F109">
        <v>-19</v>
      </c>
      <c r="G109">
        <v>131</v>
      </c>
      <c r="H109">
        <v>512</v>
      </c>
      <c r="J109" s="1">
        <f t="shared" si="5"/>
        <v>361</v>
      </c>
      <c r="K109" s="1">
        <f t="shared" si="6"/>
        <v>17161</v>
      </c>
      <c r="L109" s="1">
        <f t="shared" si="7"/>
        <v>17522</v>
      </c>
      <c r="M109" s="1">
        <f t="shared" si="8"/>
        <v>132.37069162016189</v>
      </c>
      <c r="N109" s="7">
        <f t="shared" si="9"/>
        <v>132.37069162016189</v>
      </c>
    </row>
    <row r="110" spans="1:14" x14ac:dyDescent="0.25">
      <c r="A110" t="str">
        <f>"13:52:09.219"</f>
        <v>13:52:09.219</v>
      </c>
      <c r="B110">
        <v>39.131583999999997</v>
      </c>
      <c r="C110">
        <v>-77.611627999999996</v>
      </c>
      <c r="D110">
        <v>2300</v>
      </c>
      <c r="E110">
        <v>2525</v>
      </c>
      <c r="F110">
        <v>-15</v>
      </c>
      <c r="G110">
        <v>132</v>
      </c>
      <c r="H110">
        <v>576</v>
      </c>
      <c r="J110" s="1">
        <f t="shared" si="5"/>
        <v>225</v>
      </c>
      <c r="K110" s="1">
        <f t="shared" si="6"/>
        <v>17424</v>
      </c>
      <c r="L110" s="1">
        <f t="shared" si="7"/>
        <v>17649</v>
      </c>
      <c r="M110" s="1">
        <f t="shared" si="8"/>
        <v>132.84953895290718</v>
      </c>
      <c r="N110" s="7">
        <f t="shared" si="9"/>
        <v>132.84953895290718</v>
      </c>
    </row>
    <row r="111" spans="1:14" x14ac:dyDescent="0.25">
      <c r="A111" t="str">
        <f>"13:52:11.242"</f>
        <v>13:52:11.242</v>
      </c>
      <c r="B111">
        <v>39.132893000000003</v>
      </c>
      <c r="C111">
        <v>-77.611712999999995</v>
      </c>
      <c r="D111">
        <v>2300</v>
      </c>
      <c r="E111">
        <v>2550</v>
      </c>
      <c r="F111">
        <v>-7</v>
      </c>
      <c r="G111">
        <v>134</v>
      </c>
      <c r="H111">
        <v>768</v>
      </c>
      <c r="J111" s="1">
        <f t="shared" si="5"/>
        <v>49</v>
      </c>
      <c r="K111" s="1">
        <f t="shared" si="6"/>
        <v>17956</v>
      </c>
      <c r="L111" s="1">
        <f t="shared" si="7"/>
        <v>18005</v>
      </c>
      <c r="M111" s="1">
        <f t="shared" si="8"/>
        <v>134.18271125595876</v>
      </c>
      <c r="N111" s="7">
        <f t="shared" si="9"/>
        <v>134.18271125595876</v>
      </c>
    </row>
    <row r="112" spans="1:14" x14ac:dyDescent="0.25">
      <c r="A112" t="str">
        <f>"13:52:12.047"</f>
        <v>13:52:12.047</v>
      </c>
      <c r="B112">
        <v>39.133344000000001</v>
      </c>
      <c r="C112">
        <v>-77.611778000000001</v>
      </c>
      <c r="D112">
        <v>2300</v>
      </c>
      <c r="E112">
        <v>2550</v>
      </c>
      <c r="F112">
        <v>-3</v>
      </c>
      <c r="G112">
        <v>134</v>
      </c>
      <c r="H112">
        <v>896</v>
      </c>
      <c r="J112" s="1">
        <f t="shared" si="5"/>
        <v>9</v>
      </c>
      <c r="K112" s="1">
        <f t="shared" si="6"/>
        <v>17956</v>
      </c>
      <c r="L112" s="1">
        <f t="shared" si="7"/>
        <v>17965</v>
      </c>
      <c r="M112" s="1">
        <f t="shared" si="8"/>
        <v>134.03357788255897</v>
      </c>
      <c r="N112" s="7">
        <f t="shared" si="9"/>
        <v>134.03357788255897</v>
      </c>
    </row>
    <row r="113" spans="1:14" x14ac:dyDescent="0.25">
      <c r="A113" t="str">
        <f>"13:52:13.008"</f>
        <v>13:52:13.008</v>
      </c>
      <c r="B113">
        <v>39.133901999999999</v>
      </c>
      <c r="C113">
        <v>-77.611756</v>
      </c>
      <c r="D113">
        <v>2300</v>
      </c>
      <c r="E113">
        <v>2575</v>
      </c>
      <c r="F113">
        <v>1</v>
      </c>
      <c r="G113">
        <v>134</v>
      </c>
      <c r="H113">
        <v>960</v>
      </c>
      <c r="J113" s="1">
        <f t="shared" si="5"/>
        <v>1</v>
      </c>
      <c r="K113" s="1">
        <f t="shared" si="6"/>
        <v>17956</v>
      </c>
      <c r="L113" s="1">
        <f t="shared" si="7"/>
        <v>17957</v>
      </c>
      <c r="M113" s="1">
        <f t="shared" si="8"/>
        <v>134.00373129133382</v>
      </c>
      <c r="N113" s="7">
        <f t="shared" si="9"/>
        <v>134.00373129133382</v>
      </c>
    </row>
    <row r="114" spans="1:14" x14ac:dyDescent="0.25">
      <c r="A114" t="str">
        <f>"13:52:14.117"</f>
        <v>13:52:14.117</v>
      </c>
      <c r="B114">
        <v>39.134588000000001</v>
      </c>
      <c r="C114">
        <v>-77.611712999999995</v>
      </c>
      <c r="D114">
        <v>2400</v>
      </c>
      <c r="E114">
        <v>2600</v>
      </c>
      <c r="F114">
        <v>6</v>
      </c>
      <c r="G114">
        <v>134</v>
      </c>
      <c r="H114">
        <v>1088</v>
      </c>
      <c r="J114" s="1">
        <f t="shared" si="5"/>
        <v>36</v>
      </c>
      <c r="K114" s="1">
        <f t="shared" si="6"/>
        <v>17956</v>
      </c>
      <c r="L114" s="1">
        <f t="shared" si="7"/>
        <v>17992</v>
      </c>
      <c r="M114" s="1">
        <f t="shared" si="8"/>
        <v>134.13426109685773</v>
      </c>
      <c r="N114" s="7">
        <f t="shared" si="9"/>
        <v>134.13426109685773</v>
      </c>
    </row>
    <row r="115" spans="1:14" x14ac:dyDescent="0.25">
      <c r="A115" t="str">
        <f>"13:52:15.023"</f>
        <v>13:52:15.023</v>
      </c>
      <c r="B115">
        <v>39.135168</v>
      </c>
      <c r="C115">
        <v>-77.611627999999996</v>
      </c>
      <c r="D115">
        <v>2400</v>
      </c>
      <c r="E115">
        <v>2600</v>
      </c>
      <c r="F115">
        <v>10</v>
      </c>
      <c r="G115">
        <v>133</v>
      </c>
      <c r="H115">
        <v>1152</v>
      </c>
      <c r="J115" s="1">
        <f t="shared" si="5"/>
        <v>100</v>
      </c>
      <c r="K115" s="1">
        <f t="shared" si="6"/>
        <v>17689</v>
      </c>
      <c r="L115" s="1">
        <f t="shared" si="7"/>
        <v>17789</v>
      </c>
      <c r="M115" s="1">
        <f t="shared" si="8"/>
        <v>133.37541002748594</v>
      </c>
      <c r="N115" s="7">
        <f t="shared" si="9"/>
        <v>133.37541002748594</v>
      </c>
    </row>
    <row r="116" spans="1:14" x14ac:dyDescent="0.25">
      <c r="A116" t="str">
        <f>"13:52:15.938"</f>
        <v>13:52:15.938</v>
      </c>
      <c r="B116">
        <v>39.135725000000001</v>
      </c>
      <c r="C116">
        <v>-77.611542</v>
      </c>
      <c r="D116">
        <v>2400</v>
      </c>
      <c r="E116">
        <v>2625</v>
      </c>
      <c r="F116">
        <v>13</v>
      </c>
      <c r="G116">
        <v>133</v>
      </c>
      <c r="H116">
        <v>1216</v>
      </c>
      <c r="J116" s="1">
        <f t="shared" si="5"/>
        <v>169</v>
      </c>
      <c r="K116" s="1">
        <f t="shared" si="6"/>
        <v>17689</v>
      </c>
      <c r="L116" s="1">
        <f t="shared" si="7"/>
        <v>17858</v>
      </c>
      <c r="M116" s="1">
        <f t="shared" si="8"/>
        <v>133.63382805263043</v>
      </c>
      <c r="N116" s="7">
        <f t="shared" si="9"/>
        <v>133.63382805263043</v>
      </c>
    </row>
    <row r="117" spans="1:14" x14ac:dyDescent="0.25">
      <c r="A117" t="str">
        <f>"13:52:16.844"</f>
        <v>13:52:16.844</v>
      </c>
      <c r="B117">
        <v>39.136282999999999</v>
      </c>
      <c r="C117">
        <v>-77.611456000000004</v>
      </c>
      <c r="D117">
        <v>2400</v>
      </c>
      <c r="E117">
        <v>2650</v>
      </c>
      <c r="F117">
        <v>18</v>
      </c>
      <c r="G117">
        <v>132</v>
      </c>
      <c r="H117">
        <v>1216</v>
      </c>
      <c r="J117" s="1">
        <f t="shared" si="5"/>
        <v>324</v>
      </c>
      <c r="K117" s="1">
        <f t="shared" si="6"/>
        <v>17424</v>
      </c>
      <c r="L117" s="1">
        <f t="shared" si="7"/>
        <v>17748</v>
      </c>
      <c r="M117" s="1">
        <f t="shared" si="8"/>
        <v>133.22161986704711</v>
      </c>
      <c r="N117" s="7">
        <f t="shared" si="9"/>
        <v>133.22161986704711</v>
      </c>
    </row>
    <row r="118" spans="1:14" x14ac:dyDescent="0.25">
      <c r="A118" t="str">
        <f>"13:52:17.906"</f>
        <v>13:52:17.906</v>
      </c>
      <c r="B118">
        <v>39.136927</v>
      </c>
      <c r="C118">
        <v>-77.611305999999999</v>
      </c>
      <c r="D118">
        <v>2500</v>
      </c>
      <c r="E118">
        <v>2650</v>
      </c>
      <c r="F118">
        <v>21</v>
      </c>
      <c r="G118">
        <v>131</v>
      </c>
      <c r="H118">
        <v>1280</v>
      </c>
      <c r="J118" s="1">
        <f t="shared" si="5"/>
        <v>441</v>
      </c>
      <c r="K118" s="1">
        <f t="shared" si="6"/>
        <v>17161</v>
      </c>
      <c r="L118" s="1">
        <f t="shared" si="7"/>
        <v>17602</v>
      </c>
      <c r="M118" s="1">
        <f t="shared" si="8"/>
        <v>132.67252918370102</v>
      </c>
      <c r="N118" s="7">
        <f t="shared" si="9"/>
        <v>132.67252918370102</v>
      </c>
    </row>
    <row r="119" spans="1:14" x14ac:dyDescent="0.25">
      <c r="A119" t="str">
        <f>"13:52:18.961"</f>
        <v>13:52:18.961</v>
      </c>
      <c r="B119">
        <v>39.137506000000002</v>
      </c>
      <c r="C119">
        <v>-77.611176999999998</v>
      </c>
      <c r="D119">
        <v>2500</v>
      </c>
      <c r="E119">
        <v>2675</v>
      </c>
      <c r="F119">
        <v>26</v>
      </c>
      <c r="G119">
        <v>130</v>
      </c>
      <c r="H119">
        <v>1280</v>
      </c>
      <c r="J119" s="1">
        <f t="shared" si="5"/>
        <v>676</v>
      </c>
      <c r="K119" s="1">
        <f t="shared" si="6"/>
        <v>16900</v>
      </c>
      <c r="L119" s="1">
        <f t="shared" si="7"/>
        <v>17576</v>
      </c>
      <c r="M119" s="1">
        <f t="shared" si="8"/>
        <v>132.5745073534124</v>
      </c>
      <c r="N119" s="7">
        <f t="shared" si="9"/>
        <v>132.5745073534124</v>
      </c>
    </row>
    <row r="120" spans="1:14" x14ac:dyDescent="0.25">
      <c r="A120" t="str">
        <f>"13:52:19.977"</f>
        <v>13:52:19.977</v>
      </c>
      <c r="B120">
        <v>39.138106999999998</v>
      </c>
      <c r="C120">
        <v>-77.611005000000006</v>
      </c>
      <c r="D120">
        <v>2500</v>
      </c>
      <c r="E120">
        <v>2700</v>
      </c>
      <c r="F120">
        <v>30</v>
      </c>
      <c r="G120">
        <v>128</v>
      </c>
      <c r="H120">
        <v>1280</v>
      </c>
      <c r="J120" s="1">
        <f t="shared" si="5"/>
        <v>900</v>
      </c>
      <c r="K120" s="1">
        <f t="shared" si="6"/>
        <v>16384</v>
      </c>
      <c r="L120" s="1">
        <f t="shared" si="7"/>
        <v>17284</v>
      </c>
      <c r="M120" s="1">
        <f t="shared" si="8"/>
        <v>131.46862743635836</v>
      </c>
      <c r="N120" s="7">
        <f t="shared" si="9"/>
        <v>131.46862743635836</v>
      </c>
    </row>
    <row r="121" spans="1:14" x14ac:dyDescent="0.25">
      <c r="A121" t="str">
        <f>"13:52:20.984"</f>
        <v>13:52:20.984</v>
      </c>
      <c r="B121">
        <v>39.138793999999997</v>
      </c>
      <c r="C121">
        <v>-77.610769000000005</v>
      </c>
      <c r="D121">
        <v>2500</v>
      </c>
      <c r="E121">
        <v>2725</v>
      </c>
      <c r="F121">
        <v>33</v>
      </c>
      <c r="G121">
        <v>127</v>
      </c>
      <c r="H121">
        <v>1216</v>
      </c>
      <c r="J121" s="1">
        <f t="shared" si="5"/>
        <v>1089</v>
      </c>
      <c r="K121" s="1">
        <f t="shared" si="6"/>
        <v>16129</v>
      </c>
      <c r="L121" s="1">
        <f t="shared" si="7"/>
        <v>17218</v>
      </c>
      <c r="M121" s="1">
        <f t="shared" si="8"/>
        <v>131.21737689803132</v>
      </c>
      <c r="N121" s="7">
        <f t="shared" si="9"/>
        <v>131.21737689803132</v>
      </c>
    </row>
    <row r="122" spans="1:14" x14ac:dyDescent="0.25">
      <c r="A122" t="str">
        <f>"13:52:21.992"</f>
        <v>13:52:21.992</v>
      </c>
      <c r="B122">
        <v>39.139352000000002</v>
      </c>
      <c r="C122">
        <v>-77.610533000000004</v>
      </c>
      <c r="D122">
        <v>2500</v>
      </c>
      <c r="E122">
        <v>2750</v>
      </c>
      <c r="F122">
        <v>36</v>
      </c>
      <c r="G122">
        <v>127</v>
      </c>
      <c r="H122">
        <v>832</v>
      </c>
      <c r="J122" s="1">
        <f t="shared" si="5"/>
        <v>1296</v>
      </c>
      <c r="K122" s="1">
        <f t="shared" si="6"/>
        <v>16129</v>
      </c>
      <c r="L122" s="1">
        <f t="shared" si="7"/>
        <v>17425</v>
      </c>
      <c r="M122" s="1">
        <f t="shared" si="8"/>
        <v>132.00378782444085</v>
      </c>
      <c r="N122" s="7">
        <f t="shared" si="9"/>
        <v>132.00378782444085</v>
      </c>
    </row>
    <row r="123" spans="1:14" x14ac:dyDescent="0.25">
      <c r="A123" t="str">
        <f>"13:52:22.898"</f>
        <v>13:52:22.898</v>
      </c>
      <c r="B123">
        <v>39.139887999999999</v>
      </c>
      <c r="C123">
        <v>-77.610339999999994</v>
      </c>
      <c r="D123">
        <v>2500</v>
      </c>
      <c r="E123">
        <v>2750</v>
      </c>
      <c r="F123">
        <v>40</v>
      </c>
      <c r="G123">
        <v>127</v>
      </c>
      <c r="H123">
        <v>576</v>
      </c>
      <c r="J123" s="1">
        <f t="shared" si="5"/>
        <v>1600</v>
      </c>
      <c r="K123" s="1">
        <f t="shared" si="6"/>
        <v>16129</v>
      </c>
      <c r="L123" s="1">
        <f t="shared" si="7"/>
        <v>17729</v>
      </c>
      <c r="M123" s="1">
        <f t="shared" si="8"/>
        <v>133.15029102484155</v>
      </c>
      <c r="N123" s="7">
        <f t="shared" si="9"/>
        <v>133.15029102484155</v>
      </c>
    </row>
    <row r="124" spans="1:14" x14ac:dyDescent="0.25">
      <c r="A124" t="str">
        <f>"13:52:24.063"</f>
        <v>13:52:24.063</v>
      </c>
      <c r="B124">
        <v>39.140510999999996</v>
      </c>
      <c r="C124">
        <v>-77.610039999999998</v>
      </c>
      <c r="D124">
        <v>2500</v>
      </c>
      <c r="E124">
        <v>2775</v>
      </c>
      <c r="F124">
        <v>43</v>
      </c>
      <c r="G124">
        <v>126</v>
      </c>
      <c r="H124">
        <v>384</v>
      </c>
      <c r="J124" s="1">
        <f t="shared" si="5"/>
        <v>1849</v>
      </c>
      <c r="K124" s="1">
        <f t="shared" si="6"/>
        <v>15876</v>
      </c>
      <c r="L124" s="1">
        <f t="shared" si="7"/>
        <v>17725</v>
      </c>
      <c r="M124" s="1">
        <f t="shared" si="8"/>
        <v>133.13526955694348</v>
      </c>
      <c r="N124" s="7">
        <f t="shared" si="9"/>
        <v>133.13526955694348</v>
      </c>
    </row>
    <row r="125" spans="1:14" x14ac:dyDescent="0.25">
      <c r="A125" t="str">
        <f>"13:52:25.070"</f>
        <v>13:52:25.070</v>
      </c>
      <c r="B125">
        <v>39.141176000000002</v>
      </c>
      <c r="C125">
        <v>-77.609696</v>
      </c>
      <c r="D125">
        <v>2500</v>
      </c>
      <c r="E125">
        <v>2775</v>
      </c>
      <c r="F125">
        <v>48</v>
      </c>
      <c r="G125">
        <v>126</v>
      </c>
      <c r="H125">
        <v>192</v>
      </c>
      <c r="J125" s="1">
        <f t="shared" si="5"/>
        <v>2304</v>
      </c>
      <c r="K125" s="1">
        <f t="shared" si="6"/>
        <v>15876</v>
      </c>
      <c r="L125" s="1">
        <f t="shared" si="7"/>
        <v>18180</v>
      </c>
      <c r="M125" s="1">
        <f t="shared" si="8"/>
        <v>134.83323032546539</v>
      </c>
      <c r="N125" s="7">
        <f t="shared" si="9"/>
        <v>134.83323032546539</v>
      </c>
    </row>
    <row r="126" spans="1:14" x14ac:dyDescent="0.25">
      <c r="A126" t="str">
        <f>"13:52:26.031"</f>
        <v>13:52:26.031</v>
      </c>
      <c r="B126">
        <v>39.141691000000002</v>
      </c>
      <c r="C126">
        <v>-77.609438999999995</v>
      </c>
      <c r="D126">
        <v>2500</v>
      </c>
      <c r="E126">
        <v>2775</v>
      </c>
      <c r="F126">
        <v>49</v>
      </c>
      <c r="G126">
        <v>126</v>
      </c>
      <c r="H126">
        <v>128</v>
      </c>
      <c r="J126" s="1">
        <f t="shared" si="5"/>
        <v>2401</v>
      </c>
      <c r="K126" s="1">
        <f t="shared" si="6"/>
        <v>15876</v>
      </c>
      <c r="L126" s="1">
        <f t="shared" si="7"/>
        <v>18277</v>
      </c>
      <c r="M126" s="1">
        <f t="shared" si="8"/>
        <v>135.19245541079576</v>
      </c>
      <c r="N126" s="7">
        <f t="shared" si="9"/>
        <v>135.19245541079576</v>
      </c>
    </row>
    <row r="127" spans="1:14" x14ac:dyDescent="0.25">
      <c r="A127" t="str">
        <f>"13:52:26.891"</f>
        <v>13:52:26.891</v>
      </c>
      <c r="B127">
        <v>39.142226999999998</v>
      </c>
      <c r="C127">
        <v>-77.609160000000003</v>
      </c>
      <c r="D127">
        <v>2500</v>
      </c>
      <c r="E127">
        <v>2775</v>
      </c>
      <c r="F127">
        <v>54</v>
      </c>
      <c r="G127">
        <v>126</v>
      </c>
      <c r="H127">
        <v>192</v>
      </c>
      <c r="J127" s="1">
        <f t="shared" si="5"/>
        <v>2916</v>
      </c>
      <c r="K127" s="1">
        <f t="shared" si="6"/>
        <v>15876</v>
      </c>
      <c r="L127" s="1">
        <f t="shared" si="7"/>
        <v>18792</v>
      </c>
      <c r="M127" s="1">
        <f t="shared" si="8"/>
        <v>137.08391590555036</v>
      </c>
      <c r="N127" s="7">
        <f t="shared" si="9"/>
        <v>137.08391590555036</v>
      </c>
    </row>
    <row r="128" spans="1:14" x14ac:dyDescent="0.25">
      <c r="A128" t="str">
        <f>"13:52:28.000"</f>
        <v>13:52:28.000</v>
      </c>
      <c r="B128">
        <v>39.142848999999998</v>
      </c>
      <c r="C128">
        <v>-77.608773999999997</v>
      </c>
      <c r="D128">
        <v>2500</v>
      </c>
      <c r="E128">
        <v>2775</v>
      </c>
      <c r="F128">
        <v>57</v>
      </c>
      <c r="G128">
        <v>126</v>
      </c>
      <c r="H128">
        <v>192</v>
      </c>
      <c r="J128" s="1">
        <f t="shared" si="5"/>
        <v>3249</v>
      </c>
      <c r="K128" s="1">
        <f t="shared" si="6"/>
        <v>15876</v>
      </c>
      <c r="L128" s="1">
        <f t="shared" si="7"/>
        <v>19125</v>
      </c>
      <c r="M128" s="1">
        <f t="shared" si="8"/>
        <v>138.2931668593933</v>
      </c>
      <c r="N128" s="7">
        <f t="shared" si="9"/>
        <v>138.2931668593933</v>
      </c>
    </row>
    <row r="129" spans="1:14" x14ac:dyDescent="0.25">
      <c r="A129" t="str">
        <f>"13:52:28.961"</f>
        <v>13:52:28.961</v>
      </c>
      <c r="B129">
        <v>39.143450000000001</v>
      </c>
      <c r="C129">
        <v>-77.608408999999995</v>
      </c>
      <c r="D129">
        <v>2500</v>
      </c>
      <c r="E129">
        <v>2775</v>
      </c>
      <c r="F129">
        <v>59</v>
      </c>
      <c r="G129">
        <v>126</v>
      </c>
      <c r="H129">
        <v>320</v>
      </c>
      <c r="J129" s="1">
        <f t="shared" si="5"/>
        <v>3481</v>
      </c>
      <c r="K129" s="1">
        <f t="shared" si="6"/>
        <v>15876</v>
      </c>
      <c r="L129" s="1">
        <f t="shared" si="7"/>
        <v>19357</v>
      </c>
      <c r="M129" s="1">
        <f t="shared" si="8"/>
        <v>139.12943613772032</v>
      </c>
      <c r="N129" s="7">
        <f t="shared" si="9"/>
        <v>139.12943613772032</v>
      </c>
    </row>
    <row r="130" spans="1:14" x14ac:dyDescent="0.25">
      <c r="A130" t="str">
        <f>"13:52:29.969"</f>
        <v>13:52:29.969</v>
      </c>
      <c r="B130">
        <v>39.144050999999997</v>
      </c>
      <c r="C130">
        <v>-77.608086999999998</v>
      </c>
      <c r="D130">
        <v>2600</v>
      </c>
      <c r="E130">
        <v>2800</v>
      </c>
      <c r="F130">
        <v>58</v>
      </c>
      <c r="G130">
        <v>127</v>
      </c>
      <c r="H130">
        <v>576</v>
      </c>
      <c r="J130" s="1">
        <f t="shared" si="5"/>
        <v>3364</v>
      </c>
      <c r="K130" s="1">
        <f t="shared" si="6"/>
        <v>16129</v>
      </c>
      <c r="L130" s="1">
        <f t="shared" si="7"/>
        <v>19493</v>
      </c>
      <c r="M130" s="1">
        <f t="shared" si="8"/>
        <v>139.61733416735902</v>
      </c>
      <c r="N130" s="7">
        <f t="shared" si="9"/>
        <v>139.61733416735902</v>
      </c>
    </row>
    <row r="131" spans="1:14" x14ac:dyDescent="0.25">
      <c r="A131" t="str">
        <f>"13:52:30.930"</f>
        <v>13:52:30.930</v>
      </c>
      <c r="B131">
        <v>39.144565999999998</v>
      </c>
      <c r="C131">
        <v>-77.607787000000002</v>
      </c>
      <c r="D131">
        <v>2600</v>
      </c>
      <c r="E131">
        <v>2800</v>
      </c>
      <c r="F131">
        <v>55</v>
      </c>
      <c r="G131">
        <v>128</v>
      </c>
      <c r="H131">
        <v>768</v>
      </c>
      <c r="J131" s="1">
        <f t="shared" ref="J131:J194" si="10">F131^2</f>
        <v>3025</v>
      </c>
      <c r="K131" s="1">
        <f t="shared" ref="K131:K194" si="11">G131^2</f>
        <v>16384</v>
      </c>
      <c r="L131" s="1">
        <f t="shared" ref="L131:L194" si="12">SUMSQ(F131,G131)</f>
        <v>19409</v>
      </c>
      <c r="M131" s="1">
        <f t="shared" ref="M131:M194" si="13">SQRT(L131)</f>
        <v>139.31618714277246</v>
      </c>
      <c r="N131" s="7">
        <f t="shared" ref="N131:N194" si="14">M131</f>
        <v>139.31618714277246</v>
      </c>
    </row>
    <row r="132" spans="1:14" x14ac:dyDescent="0.25">
      <c r="A132" t="str">
        <f>"13:52:31.781"</f>
        <v>13:52:31.781</v>
      </c>
      <c r="B132">
        <v>39.145124000000003</v>
      </c>
      <c r="C132">
        <v>-77.607551000000001</v>
      </c>
      <c r="D132">
        <v>2600</v>
      </c>
      <c r="E132">
        <v>2825</v>
      </c>
      <c r="F132">
        <v>52</v>
      </c>
      <c r="G132">
        <v>129</v>
      </c>
      <c r="H132">
        <v>1024</v>
      </c>
      <c r="J132" s="1">
        <f t="shared" si="10"/>
        <v>2704</v>
      </c>
      <c r="K132" s="1">
        <f t="shared" si="11"/>
        <v>16641</v>
      </c>
      <c r="L132" s="1">
        <f t="shared" si="12"/>
        <v>19345</v>
      </c>
      <c r="M132" s="1">
        <f t="shared" si="13"/>
        <v>139.08630414242805</v>
      </c>
      <c r="N132" s="7">
        <f t="shared" si="14"/>
        <v>139.08630414242805</v>
      </c>
    </row>
    <row r="133" spans="1:14" x14ac:dyDescent="0.25">
      <c r="A133" t="str">
        <f>"13:52:32.641"</f>
        <v>13:52:32.641</v>
      </c>
      <c r="B133">
        <v>39.145659999999999</v>
      </c>
      <c r="C133">
        <v>-77.607249999999993</v>
      </c>
      <c r="D133">
        <v>2600</v>
      </c>
      <c r="E133">
        <v>2825</v>
      </c>
      <c r="F133">
        <v>47</v>
      </c>
      <c r="G133">
        <v>131</v>
      </c>
      <c r="H133">
        <v>1088</v>
      </c>
      <c r="J133" s="1">
        <f t="shared" si="10"/>
        <v>2209</v>
      </c>
      <c r="K133" s="1">
        <f t="shared" si="11"/>
        <v>17161</v>
      </c>
      <c r="L133" s="1">
        <f t="shared" si="12"/>
        <v>19370</v>
      </c>
      <c r="M133" s="1">
        <f t="shared" si="13"/>
        <v>139.17614738165446</v>
      </c>
      <c r="N133" s="7">
        <f t="shared" si="14"/>
        <v>139.17614738165446</v>
      </c>
    </row>
    <row r="134" spans="1:14" x14ac:dyDescent="0.25">
      <c r="A134" t="str">
        <f>"13:52:33.555"</f>
        <v>13:52:33.555</v>
      </c>
      <c r="B134">
        <v>39.146197000000001</v>
      </c>
      <c r="C134">
        <v>-77.607056999999998</v>
      </c>
      <c r="D134">
        <v>2600</v>
      </c>
      <c r="E134">
        <v>2850</v>
      </c>
      <c r="F134">
        <v>43</v>
      </c>
      <c r="G134">
        <v>132</v>
      </c>
      <c r="H134">
        <v>960</v>
      </c>
      <c r="J134" s="1">
        <f t="shared" si="10"/>
        <v>1849</v>
      </c>
      <c r="K134" s="1">
        <f t="shared" si="11"/>
        <v>17424</v>
      </c>
      <c r="L134" s="1">
        <f t="shared" si="12"/>
        <v>19273</v>
      </c>
      <c r="M134" s="1">
        <f t="shared" si="13"/>
        <v>138.82723075823418</v>
      </c>
      <c r="N134" s="7">
        <f t="shared" si="14"/>
        <v>138.82723075823418</v>
      </c>
    </row>
    <row r="135" spans="1:14" x14ac:dyDescent="0.25">
      <c r="A135" t="str">
        <f>"13:52:34.563"</f>
        <v>13:52:34.563</v>
      </c>
      <c r="B135">
        <v>39.146841000000002</v>
      </c>
      <c r="C135">
        <v>-77.606820999999997</v>
      </c>
      <c r="D135">
        <v>2700</v>
      </c>
      <c r="E135">
        <v>2850</v>
      </c>
      <c r="F135">
        <v>39</v>
      </c>
      <c r="G135">
        <v>133</v>
      </c>
      <c r="H135">
        <v>768</v>
      </c>
      <c r="J135" s="1">
        <f t="shared" si="10"/>
        <v>1521</v>
      </c>
      <c r="K135" s="1">
        <f t="shared" si="11"/>
        <v>17689</v>
      </c>
      <c r="L135" s="1">
        <f t="shared" si="12"/>
        <v>19210</v>
      </c>
      <c r="M135" s="1">
        <f t="shared" si="13"/>
        <v>138.60014430006919</v>
      </c>
      <c r="N135" s="7">
        <f t="shared" si="14"/>
        <v>138.60014430006919</v>
      </c>
    </row>
    <row r="136" spans="1:14" x14ac:dyDescent="0.25">
      <c r="A136" t="str">
        <f>"13:52:35.469"</f>
        <v>13:52:35.469</v>
      </c>
      <c r="B136">
        <v>39.147398000000003</v>
      </c>
      <c r="C136">
        <v>-77.606649000000004</v>
      </c>
      <c r="D136">
        <v>2700</v>
      </c>
      <c r="E136">
        <v>2875</v>
      </c>
      <c r="F136">
        <v>36</v>
      </c>
      <c r="G136">
        <v>134</v>
      </c>
      <c r="H136">
        <v>704</v>
      </c>
      <c r="J136" s="1">
        <f t="shared" si="10"/>
        <v>1296</v>
      </c>
      <c r="K136" s="1">
        <f t="shared" si="11"/>
        <v>17956</v>
      </c>
      <c r="L136" s="1">
        <f t="shared" si="12"/>
        <v>19252</v>
      </c>
      <c r="M136" s="1">
        <f t="shared" si="13"/>
        <v>138.75157656761959</v>
      </c>
      <c r="N136" s="7">
        <f t="shared" si="14"/>
        <v>138.75157656761959</v>
      </c>
    </row>
    <row r="137" spans="1:14" x14ac:dyDescent="0.25">
      <c r="A137" t="str">
        <f>"13:52:36.375"</f>
        <v>13:52:36.375</v>
      </c>
      <c r="B137">
        <v>39.147956000000001</v>
      </c>
      <c r="C137">
        <v>-77.606435000000005</v>
      </c>
      <c r="D137">
        <v>2700</v>
      </c>
      <c r="E137">
        <v>2875</v>
      </c>
      <c r="F137">
        <v>33</v>
      </c>
      <c r="G137">
        <v>135</v>
      </c>
      <c r="H137">
        <v>640</v>
      </c>
      <c r="J137" s="1">
        <f t="shared" si="10"/>
        <v>1089</v>
      </c>
      <c r="K137" s="1">
        <f t="shared" si="11"/>
        <v>18225</v>
      </c>
      <c r="L137" s="1">
        <f t="shared" si="12"/>
        <v>19314</v>
      </c>
      <c r="M137" s="1">
        <f t="shared" si="13"/>
        <v>138.97481786280562</v>
      </c>
      <c r="N137" s="7">
        <f t="shared" si="14"/>
        <v>138.97481786280562</v>
      </c>
    </row>
    <row r="138" spans="1:14" x14ac:dyDescent="0.25">
      <c r="A138" t="str">
        <f>"13:52:37.438"</f>
        <v>13:52:37.438</v>
      </c>
      <c r="B138">
        <v>39.148578999999998</v>
      </c>
      <c r="C138">
        <v>-77.606328000000005</v>
      </c>
      <c r="D138">
        <v>2700</v>
      </c>
      <c r="E138">
        <v>2900</v>
      </c>
      <c r="F138">
        <v>29</v>
      </c>
      <c r="G138">
        <v>137</v>
      </c>
      <c r="H138">
        <v>640</v>
      </c>
      <c r="J138" s="1">
        <f t="shared" si="10"/>
        <v>841</v>
      </c>
      <c r="K138" s="1">
        <f t="shared" si="11"/>
        <v>18769</v>
      </c>
      <c r="L138" s="1">
        <f t="shared" si="12"/>
        <v>19610</v>
      </c>
      <c r="M138" s="1">
        <f t="shared" si="13"/>
        <v>140.03570973148243</v>
      </c>
      <c r="N138" s="7">
        <f t="shared" si="14"/>
        <v>140.03570973148243</v>
      </c>
    </row>
    <row r="139" spans="1:14" x14ac:dyDescent="0.25">
      <c r="A139" t="str">
        <f>"13:52:38.500"</f>
        <v>13:52:38.500</v>
      </c>
      <c r="B139">
        <v>39.149287000000001</v>
      </c>
      <c r="C139">
        <v>-77.606177000000002</v>
      </c>
      <c r="D139">
        <v>2700</v>
      </c>
      <c r="E139">
        <v>2900</v>
      </c>
      <c r="F139">
        <v>24</v>
      </c>
      <c r="G139">
        <v>138</v>
      </c>
      <c r="H139">
        <v>704</v>
      </c>
      <c r="J139" s="1">
        <f t="shared" si="10"/>
        <v>576</v>
      </c>
      <c r="K139" s="1">
        <f t="shared" si="11"/>
        <v>19044</v>
      </c>
      <c r="L139" s="1">
        <f t="shared" si="12"/>
        <v>19620</v>
      </c>
      <c r="M139" s="1">
        <f t="shared" si="13"/>
        <v>140.07141035914503</v>
      </c>
      <c r="N139" s="7">
        <f t="shared" si="14"/>
        <v>140.07141035914503</v>
      </c>
    </row>
    <row r="140" spans="1:14" x14ac:dyDescent="0.25">
      <c r="A140" t="str">
        <f>"13:52:39.508"</f>
        <v>13:52:39.508</v>
      </c>
      <c r="B140">
        <v>39.149909000000001</v>
      </c>
      <c r="C140">
        <v>-77.606048999999999</v>
      </c>
      <c r="D140">
        <v>2700</v>
      </c>
      <c r="E140">
        <v>2925</v>
      </c>
      <c r="F140">
        <v>19</v>
      </c>
      <c r="G140">
        <v>139</v>
      </c>
      <c r="H140">
        <v>768</v>
      </c>
      <c r="J140" s="1">
        <f t="shared" si="10"/>
        <v>361</v>
      </c>
      <c r="K140" s="1">
        <f t="shared" si="11"/>
        <v>19321</v>
      </c>
      <c r="L140" s="1">
        <f t="shared" si="12"/>
        <v>19682</v>
      </c>
      <c r="M140" s="1">
        <f t="shared" si="13"/>
        <v>140.29255147726127</v>
      </c>
      <c r="N140" s="7">
        <f t="shared" si="14"/>
        <v>140.29255147726127</v>
      </c>
    </row>
    <row r="141" spans="1:14" x14ac:dyDescent="0.25">
      <c r="A141" t="str">
        <f>"13:52:40.469"</f>
        <v>13:52:40.469</v>
      </c>
      <c r="B141">
        <v>39.150531000000001</v>
      </c>
      <c r="C141">
        <v>-77.605963000000003</v>
      </c>
      <c r="D141">
        <v>2700</v>
      </c>
      <c r="E141">
        <v>2925</v>
      </c>
      <c r="F141">
        <v>16</v>
      </c>
      <c r="G141">
        <v>139</v>
      </c>
      <c r="H141">
        <v>704</v>
      </c>
      <c r="J141" s="1">
        <f t="shared" si="10"/>
        <v>256</v>
      </c>
      <c r="K141" s="1">
        <f t="shared" si="11"/>
        <v>19321</v>
      </c>
      <c r="L141" s="1">
        <f t="shared" si="12"/>
        <v>19577</v>
      </c>
      <c r="M141" s="1">
        <f t="shared" si="13"/>
        <v>139.91783303067555</v>
      </c>
      <c r="N141" s="7">
        <f t="shared" si="14"/>
        <v>139.91783303067555</v>
      </c>
    </row>
    <row r="142" spans="1:14" x14ac:dyDescent="0.25">
      <c r="A142" t="str">
        <f>"13:52:41.328"</f>
        <v>13:52:41.328</v>
      </c>
      <c r="B142">
        <v>39.151111</v>
      </c>
      <c r="C142">
        <v>-77.605919999999998</v>
      </c>
      <c r="D142">
        <v>2700</v>
      </c>
      <c r="E142">
        <v>2925</v>
      </c>
      <c r="F142">
        <v>11</v>
      </c>
      <c r="G142">
        <v>140</v>
      </c>
      <c r="H142">
        <v>704</v>
      </c>
      <c r="J142" s="1">
        <f t="shared" si="10"/>
        <v>121</v>
      </c>
      <c r="K142" s="1">
        <f t="shared" si="11"/>
        <v>19600</v>
      </c>
      <c r="L142" s="1">
        <f t="shared" si="12"/>
        <v>19721</v>
      </c>
      <c r="M142" s="1">
        <f t="shared" si="13"/>
        <v>140.43147795277241</v>
      </c>
      <c r="N142" s="7">
        <f t="shared" si="14"/>
        <v>140.43147795277241</v>
      </c>
    </row>
    <row r="143" spans="1:14" x14ac:dyDescent="0.25">
      <c r="A143" t="str">
        <f>"13:52:42.234"</f>
        <v>13:52:42.234</v>
      </c>
      <c r="B143">
        <v>39.151690000000002</v>
      </c>
      <c r="C143">
        <v>-77.605897999999996</v>
      </c>
      <c r="D143">
        <v>2700</v>
      </c>
      <c r="E143">
        <v>2950</v>
      </c>
      <c r="F143">
        <v>8</v>
      </c>
      <c r="G143">
        <v>140</v>
      </c>
      <c r="H143">
        <v>768</v>
      </c>
      <c r="J143" s="1">
        <f t="shared" si="10"/>
        <v>64</v>
      </c>
      <c r="K143" s="1">
        <f t="shared" si="11"/>
        <v>19600</v>
      </c>
      <c r="L143" s="1">
        <f t="shared" si="12"/>
        <v>19664</v>
      </c>
      <c r="M143" s="1">
        <f t="shared" si="13"/>
        <v>140.22838514366484</v>
      </c>
      <c r="N143" s="7">
        <f t="shared" si="14"/>
        <v>140.22838514366484</v>
      </c>
    </row>
    <row r="144" spans="1:14" x14ac:dyDescent="0.25">
      <c r="A144" t="str">
        <f>"13:52:43.242"</f>
        <v>13:52:43.242</v>
      </c>
      <c r="B144">
        <v>39.152334000000003</v>
      </c>
      <c r="C144">
        <v>-77.605834000000002</v>
      </c>
      <c r="D144">
        <v>2700</v>
      </c>
      <c r="E144">
        <v>2975</v>
      </c>
      <c r="F144">
        <v>6</v>
      </c>
      <c r="G144">
        <v>140</v>
      </c>
      <c r="H144">
        <v>960</v>
      </c>
      <c r="J144" s="1">
        <f t="shared" si="10"/>
        <v>36</v>
      </c>
      <c r="K144" s="1">
        <f t="shared" si="11"/>
        <v>19600</v>
      </c>
      <c r="L144" s="1">
        <f t="shared" si="12"/>
        <v>19636</v>
      </c>
      <c r="M144" s="1">
        <f t="shared" si="13"/>
        <v>140.12851244482687</v>
      </c>
      <c r="N144" s="7">
        <f t="shared" si="14"/>
        <v>140.12851244482687</v>
      </c>
    </row>
    <row r="145" spans="1:14" x14ac:dyDescent="0.25">
      <c r="A145" t="str">
        <f>"13:52:44.813"</f>
        <v>13:52:44.813</v>
      </c>
      <c r="B145">
        <v>39.153364000000003</v>
      </c>
      <c r="C145">
        <v>-77.605770000000007</v>
      </c>
      <c r="D145">
        <v>2800</v>
      </c>
      <c r="E145">
        <v>2900</v>
      </c>
      <c r="F145">
        <v>5</v>
      </c>
      <c r="G145">
        <v>139</v>
      </c>
      <c r="H145">
        <v>1344</v>
      </c>
      <c r="J145" s="1">
        <f t="shared" si="10"/>
        <v>25</v>
      </c>
      <c r="K145" s="1">
        <f t="shared" si="11"/>
        <v>19321</v>
      </c>
      <c r="L145" s="1">
        <f t="shared" si="12"/>
        <v>19346</v>
      </c>
      <c r="M145" s="1">
        <f t="shared" si="13"/>
        <v>139.08989898623119</v>
      </c>
      <c r="N145" s="7">
        <f t="shared" si="14"/>
        <v>139.08989898623119</v>
      </c>
    </row>
    <row r="146" spans="1:14" x14ac:dyDescent="0.25">
      <c r="A146" t="str">
        <f>"13:52:45.969"</f>
        <v>13:52:45.969</v>
      </c>
      <c r="B146">
        <v>39.154114999999997</v>
      </c>
      <c r="C146">
        <v>-77.605770000000007</v>
      </c>
      <c r="D146">
        <v>2800</v>
      </c>
      <c r="E146">
        <v>3025</v>
      </c>
      <c r="F146">
        <v>4</v>
      </c>
      <c r="G146">
        <v>138</v>
      </c>
      <c r="H146">
        <v>1472</v>
      </c>
      <c r="J146" s="1">
        <f t="shared" si="10"/>
        <v>16</v>
      </c>
      <c r="K146" s="1">
        <f t="shared" si="11"/>
        <v>19044</v>
      </c>
      <c r="L146" s="1">
        <f t="shared" si="12"/>
        <v>19060</v>
      </c>
      <c r="M146" s="1">
        <f t="shared" si="13"/>
        <v>138.05795884337854</v>
      </c>
      <c r="N146" s="7">
        <f t="shared" si="14"/>
        <v>138.05795884337854</v>
      </c>
    </row>
    <row r="147" spans="1:14" x14ac:dyDescent="0.25">
      <c r="A147" t="str">
        <f>"13:52:46.875"</f>
        <v>13:52:46.875</v>
      </c>
      <c r="B147">
        <v>39.154673000000003</v>
      </c>
      <c r="C147">
        <v>-77.605748000000006</v>
      </c>
      <c r="D147">
        <v>2800</v>
      </c>
      <c r="E147">
        <v>3050</v>
      </c>
      <c r="F147">
        <v>4</v>
      </c>
      <c r="G147">
        <v>137</v>
      </c>
      <c r="H147">
        <v>1472</v>
      </c>
      <c r="J147" s="1">
        <f t="shared" si="10"/>
        <v>16</v>
      </c>
      <c r="K147" s="1">
        <f t="shared" si="11"/>
        <v>18769</v>
      </c>
      <c r="L147" s="1">
        <f t="shared" si="12"/>
        <v>18785</v>
      </c>
      <c r="M147" s="1">
        <f t="shared" si="13"/>
        <v>137.05838172107534</v>
      </c>
      <c r="N147" s="7">
        <f t="shared" si="14"/>
        <v>137.05838172107534</v>
      </c>
    </row>
    <row r="148" spans="1:14" x14ac:dyDescent="0.25">
      <c r="A148" t="str">
        <f>"13:52:47.938"</f>
        <v>13:52:47.938</v>
      </c>
      <c r="B148">
        <v>39.155315999999999</v>
      </c>
      <c r="C148">
        <v>-77.605683999999997</v>
      </c>
      <c r="D148">
        <v>2800</v>
      </c>
      <c r="E148">
        <v>3075</v>
      </c>
      <c r="F148">
        <v>4</v>
      </c>
      <c r="G148">
        <v>136</v>
      </c>
      <c r="H148">
        <v>1536</v>
      </c>
      <c r="J148" s="1">
        <f t="shared" si="10"/>
        <v>16</v>
      </c>
      <c r="K148" s="1">
        <f t="shared" si="11"/>
        <v>18496</v>
      </c>
      <c r="L148" s="1">
        <f t="shared" si="12"/>
        <v>18512</v>
      </c>
      <c r="M148" s="1">
        <f t="shared" si="13"/>
        <v>136.0588108135596</v>
      </c>
      <c r="N148" s="7">
        <f t="shared" si="14"/>
        <v>136.0588108135596</v>
      </c>
    </row>
    <row r="149" spans="1:14" x14ac:dyDescent="0.25">
      <c r="A149" t="str">
        <f>"13:52:49.102"</f>
        <v>13:52:49.102</v>
      </c>
      <c r="B149">
        <v>39.156046000000003</v>
      </c>
      <c r="C149">
        <v>-77.605683999999997</v>
      </c>
      <c r="D149">
        <v>2900</v>
      </c>
      <c r="E149">
        <v>3100</v>
      </c>
      <c r="F149">
        <v>3</v>
      </c>
      <c r="G149">
        <v>135</v>
      </c>
      <c r="H149">
        <v>1600</v>
      </c>
      <c r="J149" s="1">
        <f t="shared" si="10"/>
        <v>9</v>
      </c>
      <c r="K149" s="1">
        <f t="shared" si="11"/>
        <v>18225</v>
      </c>
      <c r="L149" s="1">
        <f t="shared" si="12"/>
        <v>18234</v>
      </c>
      <c r="M149" s="1">
        <f t="shared" si="13"/>
        <v>135.03332921912278</v>
      </c>
      <c r="N149" s="7">
        <f t="shared" si="14"/>
        <v>135.03332921912278</v>
      </c>
    </row>
    <row r="150" spans="1:14" x14ac:dyDescent="0.25">
      <c r="A150" t="str">
        <f>"13:52:50.109"</f>
        <v>13:52:50.109</v>
      </c>
      <c r="B150">
        <v>39.156689999999998</v>
      </c>
      <c r="C150">
        <v>-77.605683999999997</v>
      </c>
      <c r="D150">
        <v>2900</v>
      </c>
      <c r="E150">
        <v>3125</v>
      </c>
      <c r="F150">
        <v>4</v>
      </c>
      <c r="G150">
        <v>133</v>
      </c>
      <c r="H150">
        <v>1600</v>
      </c>
      <c r="J150" s="1">
        <f t="shared" si="10"/>
        <v>16</v>
      </c>
      <c r="K150" s="1">
        <f t="shared" si="11"/>
        <v>17689</v>
      </c>
      <c r="L150" s="1">
        <f t="shared" si="12"/>
        <v>17705</v>
      </c>
      <c r="M150" s="1">
        <f t="shared" si="13"/>
        <v>133.06013678032951</v>
      </c>
      <c r="N150" s="7">
        <f t="shared" si="14"/>
        <v>133.06013678032951</v>
      </c>
    </row>
    <row r="151" spans="1:14" x14ac:dyDescent="0.25">
      <c r="A151" t="str">
        <f>"13:52:51.117"</f>
        <v>13:52:51.117</v>
      </c>
      <c r="B151">
        <v>39.157290000000003</v>
      </c>
      <c r="C151">
        <v>-77.605641000000006</v>
      </c>
      <c r="D151">
        <v>2900</v>
      </c>
      <c r="E151">
        <v>3150</v>
      </c>
      <c r="F151">
        <v>4</v>
      </c>
      <c r="G151">
        <v>133</v>
      </c>
      <c r="H151">
        <v>1600</v>
      </c>
      <c r="J151" s="1">
        <f t="shared" si="10"/>
        <v>16</v>
      </c>
      <c r="K151" s="1">
        <f t="shared" si="11"/>
        <v>17689</v>
      </c>
      <c r="L151" s="1">
        <f t="shared" si="12"/>
        <v>17705</v>
      </c>
      <c r="M151" s="1">
        <f t="shared" si="13"/>
        <v>133.06013678032951</v>
      </c>
      <c r="N151" s="7">
        <f t="shared" si="14"/>
        <v>133.06013678032951</v>
      </c>
    </row>
    <row r="152" spans="1:14" x14ac:dyDescent="0.25">
      <c r="A152" t="str">
        <f>"13:52:52.078"</f>
        <v>13:52:52.078</v>
      </c>
      <c r="B152">
        <v>39.157890999999999</v>
      </c>
      <c r="C152">
        <v>-77.605641000000006</v>
      </c>
      <c r="D152">
        <v>3000</v>
      </c>
      <c r="E152">
        <v>3175</v>
      </c>
      <c r="F152">
        <v>4</v>
      </c>
      <c r="G152">
        <v>132</v>
      </c>
      <c r="H152">
        <v>1600</v>
      </c>
      <c r="J152" s="1">
        <f t="shared" si="10"/>
        <v>16</v>
      </c>
      <c r="K152" s="1">
        <f t="shared" si="11"/>
        <v>17424</v>
      </c>
      <c r="L152" s="1">
        <f t="shared" si="12"/>
        <v>17440</v>
      </c>
      <c r="M152" s="1">
        <f t="shared" si="13"/>
        <v>132.06059215375342</v>
      </c>
      <c r="N152" s="7">
        <f t="shared" si="14"/>
        <v>132.06059215375342</v>
      </c>
    </row>
    <row r="153" spans="1:14" x14ac:dyDescent="0.25">
      <c r="A153" t="str">
        <f>"13:52:53.039"</f>
        <v>13:52:53.039</v>
      </c>
      <c r="B153">
        <v>39.158448999999997</v>
      </c>
      <c r="C153">
        <v>-77.605598000000001</v>
      </c>
      <c r="D153">
        <v>3000</v>
      </c>
      <c r="E153">
        <v>3200</v>
      </c>
      <c r="F153">
        <v>3</v>
      </c>
      <c r="G153">
        <v>130</v>
      </c>
      <c r="H153">
        <v>1536</v>
      </c>
      <c r="J153" s="1">
        <f t="shared" si="10"/>
        <v>9</v>
      </c>
      <c r="K153" s="1">
        <f t="shared" si="11"/>
        <v>16900</v>
      </c>
      <c r="L153" s="1">
        <f t="shared" si="12"/>
        <v>16909</v>
      </c>
      <c r="M153" s="1">
        <f t="shared" si="13"/>
        <v>130.034610777285</v>
      </c>
      <c r="N153" s="7">
        <f t="shared" si="14"/>
        <v>130.034610777285</v>
      </c>
    </row>
    <row r="154" spans="1:14" x14ac:dyDescent="0.25">
      <c r="A154" t="str">
        <f>"13:52:54.094"</f>
        <v>13:52:54.094</v>
      </c>
      <c r="B154">
        <v>39.159114000000002</v>
      </c>
      <c r="C154">
        <v>-77.605576999999997</v>
      </c>
      <c r="D154">
        <v>3000</v>
      </c>
      <c r="E154">
        <v>3225</v>
      </c>
      <c r="F154">
        <v>3</v>
      </c>
      <c r="G154">
        <v>130</v>
      </c>
      <c r="H154">
        <v>1472</v>
      </c>
      <c r="J154" s="1">
        <f t="shared" si="10"/>
        <v>9</v>
      </c>
      <c r="K154" s="1">
        <f t="shared" si="11"/>
        <v>16900</v>
      </c>
      <c r="L154" s="1">
        <f t="shared" si="12"/>
        <v>16909</v>
      </c>
      <c r="M154" s="1">
        <f t="shared" si="13"/>
        <v>130.034610777285</v>
      </c>
      <c r="N154" s="7">
        <f t="shared" si="14"/>
        <v>130.034610777285</v>
      </c>
    </row>
    <row r="155" spans="1:14" x14ac:dyDescent="0.25">
      <c r="A155" t="str">
        <f>"13:52:55.063"</f>
        <v>13:52:55.063</v>
      </c>
      <c r="B155">
        <v>39.159650999999997</v>
      </c>
      <c r="C155">
        <v>-77.605598000000001</v>
      </c>
      <c r="D155">
        <v>3000</v>
      </c>
      <c r="E155">
        <v>3250</v>
      </c>
      <c r="F155">
        <v>3</v>
      </c>
      <c r="G155">
        <v>129</v>
      </c>
      <c r="H155">
        <v>1408</v>
      </c>
      <c r="J155" s="1">
        <f t="shared" si="10"/>
        <v>9</v>
      </c>
      <c r="K155" s="1">
        <f t="shared" si="11"/>
        <v>16641</v>
      </c>
      <c r="L155" s="1">
        <f t="shared" si="12"/>
        <v>16650</v>
      </c>
      <c r="M155" s="1">
        <f t="shared" si="13"/>
        <v>129.0348790056394</v>
      </c>
      <c r="N155" s="7">
        <f t="shared" si="14"/>
        <v>129.0348790056394</v>
      </c>
    </row>
    <row r="156" spans="1:14" x14ac:dyDescent="0.25">
      <c r="A156" t="str">
        <f>"13:52:55.961"</f>
        <v>13:52:55.961</v>
      </c>
      <c r="B156">
        <v>39.160252</v>
      </c>
      <c r="C156">
        <v>-77.605598000000001</v>
      </c>
      <c r="D156">
        <v>3000</v>
      </c>
      <c r="E156">
        <v>3275</v>
      </c>
      <c r="F156">
        <v>2</v>
      </c>
      <c r="G156">
        <v>129</v>
      </c>
      <c r="H156">
        <v>1344</v>
      </c>
      <c r="J156" s="1">
        <f t="shared" si="10"/>
        <v>4</v>
      </c>
      <c r="K156" s="1">
        <f t="shared" si="11"/>
        <v>16641</v>
      </c>
      <c r="L156" s="1">
        <f t="shared" si="12"/>
        <v>16645</v>
      </c>
      <c r="M156" s="1">
        <f t="shared" si="13"/>
        <v>129.01550294441361</v>
      </c>
      <c r="N156" s="7">
        <f t="shared" si="14"/>
        <v>129.01550294441361</v>
      </c>
    </row>
    <row r="157" spans="1:14" x14ac:dyDescent="0.25">
      <c r="A157" t="str">
        <f>"13:52:56.922"</f>
        <v>13:52:56.922</v>
      </c>
      <c r="B157">
        <v>39.160767</v>
      </c>
      <c r="C157">
        <v>-77.605576999999997</v>
      </c>
      <c r="D157">
        <v>3100</v>
      </c>
      <c r="E157">
        <v>3300</v>
      </c>
      <c r="F157">
        <v>2</v>
      </c>
      <c r="G157">
        <v>129</v>
      </c>
      <c r="H157">
        <v>1024</v>
      </c>
      <c r="J157" s="1">
        <f t="shared" si="10"/>
        <v>4</v>
      </c>
      <c r="K157" s="1">
        <f t="shared" si="11"/>
        <v>16641</v>
      </c>
      <c r="L157" s="1">
        <f t="shared" si="12"/>
        <v>16645</v>
      </c>
      <c r="M157" s="1">
        <f t="shared" si="13"/>
        <v>129.01550294441361</v>
      </c>
      <c r="N157" s="7">
        <f t="shared" si="14"/>
        <v>129.01550294441361</v>
      </c>
    </row>
    <row r="158" spans="1:14" x14ac:dyDescent="0.25">
      <c r="A158" t="str">
        <f>"13:52:57.883"</f>
        <v>13:52:57.883</v>
      </c>
      <c r="B158">
        <v>39.161366999999998</v>
      </c>
      <c r="C158">
        <v>-77.605576999999997</v>
      </c>
      <c r="D158">
        <v>3100</v>
      </c>
      <c r="E158">
        <v>3300</v>
      </c>
      <c r="F158">
        <v>2</v>
      </c>
      <c r="G158">
        <v>129</v>
      </c>
      <c r="H158">
        <v>768</v>
      </c>
      <c r="J158" s="1">
        <f t="shared" si="10"/>
        <v>4</v>
      </c>
      <c r="K158" s="1">
        <f t="shared" si="11"/>
        <v>16641</v>
      </c>
      <c r="L158" s="1">
        <f t="shared" si="12"/>
        <v>16645</v>
      </c>
      <c r="M158" s="1">
        <f t="shared" si="13"/>
        <v>129.01550294441361</v>
      </c>
      <c r="N158" s="7">
        <f t="shared" si="14"/>
        <v>129.01550294441361</v>
      </c>
    </row>
    <row r="159" spans="1:14" x14ac:dyDescent="0.25">
      <c r="A159" t="str">
        <f>"13:52:58.891"</f>
        <v>13:52:58.891</v>
      </c>
      <c r="B159">
        <v>39.162011</v>
      </c>
      <c r="C159">
        <v>-77.605512000000004</v>
      </c>
      <c r="D159">
        <v>3100</v>
      </c>
      <c r="E159">
        <v>3325</v>
      </c>
      <c r="F159">
        <v>3</v>
      </c>
      <c r="G159">
        <v>130</v>
      </c>
      <c r="H159">
        <v>704</v>
      </c>
      <c r="J159" s="1">
        <f t="shared" si="10"/>
        <v>9</v>
      </c>
      <c r="K159" s="1">
        <f t="shared" si="11"/>
        <v>16900</v>
      </c>
      <c r="L159" s="1">
        <f t="shared" si="12"/>
        <v>16909</v>
      </c>
      <c r="M159" s="1">
        <f t="shared" si="13"/>
        <v>130.034610777285</v>
      </c>
      <c r="N159" s="7">
        <f t="shared" si="14"/>
        <v>130.034610777285</v>
      </c>
    </row>
    <row r="160" spans="1:14" x14ac:dyDescent="0.25">
      <c r="A160" t="str">
        <f>"13:52:59.898"</f>
        <v>13:52:59.898</v>
      </c>
      <c r="B160">
        <v>39.162590999999999</v>
      </c>
      <c r="C160">
        <v>-77.605512000000004</v>
      </c>
      <c r="D160">
        <v>3100</v>
      </c>
      <c r="E160">
        <v>3325</v>
      </c>
      <c r="F160">
        <v>4</v>
      </c>
      <c r="G160">
        <v>131</v>
      </c>
      <c r="H160">
        <v>576</v>
      </c>
      <c r="J160" s="1">
        <f t="shared" si="10"/>
        <v>16</v>
      </c>
      <c r="K160" s="1">
        <f t="shared" si="11"/>
        <v>17161</v>
      </c>
      <c r="L160" s="1">
        <f t="shared" si="12"/>
        <v>17177</v>
      </c>
      <c r="M160" s="1">
        <f t="shared" si="13"/>
        <v>131.06105447462264</v>
      </c>
      <c r="N160" s="7">
        <f t="shared" si="14"/>
        <v>131.06105447462264</v>
      </c>
    </row>
    <row r="161" spans="1:14" x14ac:dyDescent="0.25">
      <c r="A161" t="str">
        <f>"13:53:00.859"</f>
        <v>13:53:00.859</v>
      </c>
      <c r="B161">
        <v>39.163148</v>
      </c>
      <c r="C161">
        <v>-77.605468999999999</v>
      </c>
      <c r="D161">
        <v>3100</v>
      </c>
      <c r="E161">
        <v>3325</v>
      </c>
      <c r="F161">
        <v>5</v>
      </c>
      <c r="G161">
        <v>131</v>
      </c>
      <c r="H161">
        <v>512</v>
      </c>
      <c r="J161" s="1">
        <f t="shared" si="10"/>
        <v>25</v>
      </c>
      <c r="K161" s="1">
        <f t="shared" si="11"/>
        <v>17161</v>
      </c>
      <c r="L161" s="1">
        <f t="shared" si="12"/>
        <v>17186</v>
      </c>
      <c r="M161" s="1">
        <f t="shared" si="13"/>
        <v>131.09538512091109</v>
      </c>
      <c r="N161" s="7">
        <f t="shared" si="14"/>
        <v>131.09538512091109</v>
      </c>
    </row>
    <row r="162" spans="1:14" x14ac:dyDescent="0.25">
      <c r="A162" t="str">
        <f>"13:53:01.922"</f>
        <v>13:53:01.922</v>
      </c>
      <c r="B162">
        <v>39.163834999999999</v>
      </c>
      <c r="C162">
        <v>-77.605383000000003</v>
      </c>
      <c r="D162">
        <v>3100</v>
      </c>
      <c r="E162">
        <v>3350</v>
      </c>
      <c r="F162">
        <v>7</v>
      </c>
      <c r="G162">
        <v>132</v>
      </c>
      <c r="H162">
        <v>448</v>
      </c>
      <c r="J162" s="1">
        <f t="shared" si="10"/>
        <v>49</v>
      </c>
      <c r="K162" s="1">
        <f t="shared" si="11"/>
        <v>17424</v>
      </c>
      <c r="L162" s="1">
        <f t="shared" si="12"/>
        <v>17473</v>
      </c>
      <c r="M162" s="1">
        <f t="shared" si="13"/>
        <v>132.18547575282241</v>
      </c>
      <c r="N162" s="7">
        <f t="shared" si="14"/>
        <v>132.18547575282241</v>
      </c>
    </row>
    <row r="163" spans="1:14" x14ac:dyDescent="0.25">
      <c r="A163" t="str">
        <f>"13:53:03.031"</f>
        <v>13:53:03.031</v>
      </c>
      <c r="B163">
        <v>39.164565000000003</v>
      </c>
      <c r="C163">
        <v>-77.605339999999998</v>
      </c>
      <c r="D163">
        <v>3100</v>
      </c>
      <c r="E163">
        <v>3350</v>
      </c>
      <c r="F163">
        <v>9</v>
      </c>
      <c r="G163">
        <v>133</v>
      </c>
      <c r="H163">
        <v>448</v>
      </c>
      <c r="J163" s="1">
        <f t="shared" si="10"/>
        <v>81</v>
      </c>
      <c r="K163" s="1">
        <f t="shared" si="11"/>
        <v>17689</v>
      </c>
      <c r="L163" s="1">
        <f t="shared" si="12"/>
        <v>17770</v>
      </c>
      <c r="M163" s="1">
        <f t="shared" si="13"/>
        <v>133.30416347586447</v>
      </c>
      <c r="N163" s="7">
        <f t="shared" si="14"/>
        <v>133.30416347586447</v>
      </c>
    </row>
    <row r="164" spans="1:14" x14ac:dyDescent="0.25">
      <c r="A164" t="str">
        <f>"13:53:03.891"</f>
        <v>13:53:03.891</v>
      </c>
      <c r="B164">
        <v>39.165080000000003</v>
      </c>
      <c r="C164">
        <v>-77.605276000000003</v>
      </c>
      <c r="D164">
        <v>3100</v>
      </c>
      <c r="E164">
        <v>3350</v>
      </c>
      <c r="F164">
        <v>10</v>
      </c>
      <c r="G164">
        <v>134</v>
      </c>
      <c r="H164">
        <v>448</v>
      </c>
      <c r="J164" s="1">
        <f t="shared" si="10"/>
        <v>100</v>
      </c>
      <c r="K164" s="1">
        <f t="shared" si="11"/>
        <v>17956</v>
      </c>
      <c r="L164" s="1">
        <f t="shared" si="12"/>
        <v>18056</v>
      </c>
      <c r="M164" s="1">
        <f t="shared" si="13"/>
        <v>134.37261625792661</v>
      </c>
      <c r="N164" s="7">
        <f t="shared" si="14"/>
        <v>134.37261625792661</v>
      </c>
    </row>
    <row r="165" spans="1:14" x14ac:dyDescent="0.25">
      <c r="A165" t="str">
        <f>"13:53:04.852"</f>
        <v>13:53:04.852</v>
      </c>
      <c r="B165">
        <v>39.165658999999998</v>
      </c>
      <c r="C165">
        <v>-77.605211999999995</v>
      </c>
      <c r="D165">
        <v>3200</v>
      </c>
      <c r="E165">
        <v>3375</v>
      </c>
      <c r="F165">
        <v>12</v>
      </c>
      <c r="G165">
        <v>135</v>
      </c>
      <c r="H165">
        <v>448</v>
      </c>
      <c r="J165" s="1">
        <f t="shared" si="10"/>
        <v>144</v>
      </c>
      <c r="K165" s="1">
        <f t="shared" si="11"/>
        <v>18225</v>
      </c>
      <c r="L165" s="1">
        <f t="shared" si="12"/>
        <v>18369</v>
      </c>
      <c r="M165" s="1">
        <f t="shared" si="13"/>
        <v>135.53228397691819</v>
      </c>
      <c r="N165" s="7">
        <f t="shared" si="14"/>
        <v>135.53228397691819</v>
      </c>
    </row>
    <row r="166" spans="1:14" x14ac:dyDescent="0.25">
      <c r="A166" t="str">
        <f>"13:53:06.016"</f>
        <v>13:53:06.016</v>
      </c>
      <c r="B166">
        <v>39.166345999999997</v>
      </c>
      <c r="C166">
        <v>-77.605103999999997</v>
      </c>
      <c r="D166">
        <v>3200</v>
      </c>
      <c r="E166">
        <v>3375</v>
      </c>
      <c r="F166">
        <v>14</v>
      </c>
      <c r="G166">
        <v>136</v>
      </c>
      <c r="H166">
        <v>448</v>
      </c>
      <c r="J166" s="1">
        <f t="shared" si="10"/>
        <v>196</v>
      </c>
      <c r="K166" s="1">
        <f t="shared" si="11"/>
        <v>18496</v>
      </c>
      <c r="L166" s="1">
        <f t="shared" si="12"/>
        <v>18692</v>
      </c>
      <c r="M166" s="1">
        <f t="shared" si="13"/>
        <v>136.7186892857008</v>
      </c>
      <c r="N166" s="7">
        <f t="shared" si="14"/>
        <v>136.7186892857008</v>
      </c>
    </row>
    <row r="167" spans="1:14" x14ac:dyDescent="0.25">
      <c r="A167" t="str">
        <f>"13:53:07.023"</f>
        <v>13:53:07.023</v>
      </c>
      <c r="B167">
        <v>39.167011000000002</v>
      </c>
      <c r="C167">
        <v>-77.605040000000002</v>
      </c>
      <c r="D167">
        <v>3200</v>
      </c>
      <c r="E167">
        <v>3375</v>
      </c>
      <c r="F167">
        <v>17</v>
      </c>
      <c r="G167">
        <v>136</v>
      </c>
      <c r="H167">
        <v>384</v>
      </c>
      <c r="J167" s="1">
        <f t="shared" si="10"/>
        <v>289</v>
      </c>
      <c r="K167" s="1">
        <f t="shared" si="11"/>
        <v>18496</v>
      </c>
      <c r="L167" s="1">
        <f t="shared" si="12"/>
        <v>18785</v>
      </c>
      <c r="M167" s="1">
        <f t="shared" si="13"/>
        <v>137.05838172107534</v>
      </c>
      <c r="N167" s="7">
        <f t="shared" si="14"/>
        <v>137.05838172107534</v>
      </c>
    </row>
    <row r="168" spans="1:14" x14ac:dyDescent="0.25">
      <c r="A168" t="str">
        <f>"13:53:07.930"</f>
        <v>13:53:07.930</v>
      </c>
      <c r="B168">
        <v>39.167655000000003</v>
      </c>
      <c r="C168">
        <v>-77.604911000000001</v>
      </c>
      <c r="D168">
        <v>3200</v>
      </c>
      <c r="E168">
        <v>3375</v>
      </c>
      <c r="F168">
        <v>19</v>
      </c>
      <c r="G168">
        <v>137</v>
      </c>
      <c r="H168">
        <v>320</v>
      </c>
      <c r="J168" s="1">
        <f t="shared" si="10"/>
        <v>361</v>
      </c>
      <c r="K168" s="1">
        <f t="shared" si="11"/>
        <v>18769</v>
      </c>
      <c r="L168" s="1">
        <f t="shared" si="12"/>
        <v>19130</v>
      </c>
      <c r="M168" s="1">
        <f t="shared" si="13"/>
        <v>138.31124321616085</v>
      </c>
      <c r="N168" s="7">
        <f t="shared" si="14"/>
        <v>138.31124321616085</v>
      </c>
    </row>
    <row r="169" spans="1:14" x14ac:dyDescent="0.25">
      <c r="A169" t="str">
        <f>"13:53:08.891"</f>
        <v>13:53:08.891</v>
      </c>
      <c r="B169">
        <v>39.168233999999998</v>
      </c>
      <c r="C169">
        <v>-77.604804000000001</v>
      </c>
      <c r="D169">
        <v>3200</v>
      </c>
      <c r="E169">
        <v>3400</v>
      </c>
      <c r="F169">
        <v>22</v>
      </c>
      <c r="G169">
        <v>138</v>
      </c>
      <c r="H169">
        <v>320</v>
      </c>
      <c r="J169" s="1">
        <f t="shared" si="10"/>
        <v>484</v>
      </c>
      <c r="K169" s="1">
        <f t="shared" si="11"/>
        <v>19044</v>
      </c>
      <c r="L169" s="1">
        <f t="shared" si="12"/>
        <v>19528</v>
      </c>
      <c r="M169" s="1">
        <f t="shared" si="13"/>
        <v>139.74262055650738</v>
      </c>
      <c r="N169" s="7">
        <f t="shared" si="14"/>
        <v>139.74262055650738</v>
      </c>
    </row>
    <row r="170" spans="1:14" x14ac:dyDescent="0.25">
      <c r="A170" t="str">
        <f>"13:53:09.898"</f>
        <v>13:53:09.898</v>
      </c>
      <c r="B170">
        <v>39.168877999999999</v>
      </c>
      <c r="C170">
        <v>-77.604611000000006</v>
      </c>
      <c r="D170">
        <v>3200</v>
      </c>
      <c r="E170">
        <v>3400</v>
      </c>
      <c r="F170">
        <v>26</v>
      </c>
      <c r="G170">
        <v>138</v>
      </c>
      <c r="H170">
        <v>256</v>
      </c>
      <c r="J170" s="1">
        <f t="shared" si="10"/>
        <v>676</v>
      </c>
      <c r="K170" s="1">
        <f t="shared" si="11"/>
        <v>19044</v>
      </c>
      <c r="L170" s="1">
        <f t="shared" si="12"/>
        <v>19720</v>
      </c>
      <c r="M170" s="1">
        <f t="shared" si="13"/>
        <v>140.42791745233566</v>
      </c>
      <c r="N170" s="7">
        <f t="shared" si="14"/>
        <v>140.42791745233566</v>
      </c>
    </row>
    <row r="171" spans="1:14" x14ac:dyDescent="0.25">
      <c r="A171" t="str">
        <f>"13:53:10.859"</f>
        <v>13:53:10.859</v>
      </c>
      <c r="B171">
        <v>39.169499999999999</v>
      </c>
      <c r="C171">
        <v>-77.604438999999999</v>
      </c>
      <c r="D171">
        <v>3200</v>
      </c>
      <c r="E171">
        <v>3400</v>
      </c>
      <c r="F171">
        <v>30</v>
      </c>
      <c r="G171">
        <v>139</v>
      </c>
      <c r="H171">
        <v>192</v>
      </c>
      <c r="J171" s="1">
        <f t="shared" si="10"/>
        <v>900</v>
      </c>
      <c r="K171" s="1">
        <f t="shared" si="11"/>
        <v>19321</v>
      </c>
      <c r="L171" s="1">
        <f t="shared" si="12"/>
        <v>20221</v>
      </c>
      <c r="M171" s="1">
        <f t="shared" si="13"/>
        <v>142.20056258679148</v>
      </c>
      <c r="N171" s="7">
        <f t="shared" si="14"/>
        <v>142.20056258679148</v>
      </c>
    </row>
    <row r="172" spans="1:14" x14ac:dyDescent="0.25">
      <c r="A172" t="str">
        <f>"13:53:11.773"</f>
        <v>13:53:11.773</v>
      </c>
      <c r="B172">
        <v>39.170079000000001</v>
      </c>
      <c r="C172">
        <v>-77.604246000000003</v>
      </c>
      <c r="D172">
        <v>3200</v>
      </c>
      <c r="E172">
        <v>3400</v>
      </c>
      <c r="F172">
        <v>35</v>
      </c>
      <c r="G172">
        <v>139</v>
      </c>
      <c r="H172">
        <v>192</v>
      </c>
      <c r="J172" s="1">
        <f t="shared" si="10"/>
        <v>1225</v>
      </c>
      <c r="K172" s="1">
        <f t="shared" si="11"/>
        <v>19321</v>
      </c>
      <c r="L172" s="1">
        <f t="shared" si="12"/>
        <v>20546</v>
      </c>
      <c r="M172" s="1">
        <f t="shared" si="13"/>
        <v>143.33875958721003</v>
      </c>
      <c r="N172" s="7">
        <f t="shared" si="14"/>
        <v>143.33875958721003</v>
      </c>
    </row>
    <row r="173" spans="1:14" x14ac:dyDescent="0.25">
      <c r="A173" t="str">
        <f>"13:53:12.930"</f>
        <v>13:53:12.930</v>
      </c>
      <c r="B173">
        <v>39.170786999999997</v>
      </c>
      <c r="C173">
        <v>-77.603966999999997</v>
      </c>
      <c r="D173">
        <v>3200</v>
      </c>
      <c r="E173">
        <v>3400</v>
      </c>
      <c r="F173">
        <v>40</v>
      </c>
      <c r="G173">
        <v>139</v>
      </c>
      <c r="H173">
        <v>192</v>
      </c>
      <c r="J173" s="1">
        <f t="shared" si="10"/>
        <v>1600</v>
      </c>
      <c r="K173" s="1">
        <f t="shared" si="11"/>
        <v>19321</v>
      </c>
      <c r="L173" s="1">
        <f t="shared" si="12"/>
        <v>20921</v>
      </c>
      <c r="M173" s="1">
        <f t="shared" si="13"/>
        <v>144.64093473149293</v>
      </c>
      <c r="N173" s="7">
        <f t="shared" si="14"/>
        <v>144.64093473149293</v>
      </c>
    </row>
    <row r="174" spans="1:14" x14ac:dyDescent="0.25">
      <c r="A174" t="str">
        <f>"13:53:13.836"</f>
        <v>13:53:13.836</v>
      </c>
      <c r="B174">
        <v>39.171430999999998</v>
      </c>
      <c r="C174">
        <v>-77.603667000000002</v>
      </c>
      <c r="D174">
        <v>3200</v>
      </c>
      <c r="E174">
        <v>3400</v>
      </c>
      <c r="F174">
        <v>48</v>
      </c>
      <c r="G174">
        <v>138</v>
      </c>
      <c r="H174">
        <v>320</v>
      </c>
      <c r="J174" s="1">
        <f t="shared" si="10"/>
        <v>2304</v>
      </c>
      <c r="K174" s="1">
        <f t="shared" si="11"/>
        <v>19044</v>
      </c>
      <c r="L174" s="1">
        <f t="shared" si="12"/>
        <v>21348</v>
      </c>
      <c r="M174" s="1">
        <f t="shared" si="13"/>
        <v>146.10954794263105</v>
      </c>
      <c r="N174" s="7">
        <f t="shared" si="14"/>
        <v>146.10954794263105</v>
      </c>
    </row>
    <row r="175" spans="1:14" x14ac:dyDescent="0.25">
      <c r="A175" t="str">
        <f>"13:53:14.844"</f>
        <v>13:53:14.844</v>
      </c>
      <c r="B175">
        <v>39.172032000000002</v>
      </c>
      <c r="C175">
        <v>-77.603365999999994</v>
      </c>
      <c r="D175">
        <v>3200</v>
      </c>
      <c r="E175">
        <v>3425</v>
      </c>
      <c r="F175">
        <v>56</v>
      </c>
      <c r="G175">
        <v>135</v>
      </c>
      <c r="H175">
        <v>576</v>
      </c>
      <c r="J175" s="1">
        <f t="shared" si="10"/>
        <v>3136</v>
      </c>
      <c r="K175" s="1">
        <f t="shared" si="11"/>
        <v>18225</v>
      </c>
      <c r="L175" s="1">
        <f t="shared" si="12"/>
        <v>21361</v>
      </c>
      <c r="M175" s="1">
        <f t="shared" si="13"/>
        <v>146.15402833996743</v>
      </c>
      <c r="N175" s="7">
        <f t="shared" si="14"/>
        <v>146.15402833996743</v>
      </c>
    </row>
    <row r="176" spans="1:14" x14ac:dyDescent="0.25">
      <c r="A176" t="str">
        <f>"13:53:15.750"</f>
        <v>13:53:15.750</v>
      </c>
      <c r="B176">
        <v>39.17259</v>
      </c>
      <c r="C176">
        <v>-77.603022999999993</v>
      </c>
      <c r="D176">
        <v>3200</v>
      </c>
      <c r="E176">
        <v>3425</v>
      </c>
      <c r="F176">
        <v>62</v>
      </c>
      <c r="G176">
        <v>133</v>
      </c>
      <c r="H176">
        <v>768</v>
      </c>
      <c r="J176" s="1">
        <f t="shared" si="10"/>
        <v>3844</v>
      </c>
      <c r="K176" s="1">
        <f t="shared" si="11"/>
        <v>17689</v>
      </c>
      <c r="L176" s="1">
        <f t="shared" si="12"/>
        <v>21533</v>
      </c>
      <c r="M176" s="1">
        <f t="shared" si="13"/>
        <v>146.74126890551273</v>
      </c>
      <c r="N176" s="7">
        <f t="shared" si="14"/>
        <v>146.74126890551273</v>
      </c>
    </row>
    <row r="177" spans="1:14" x14ac:dyDescent="0.25">
      <c r="A177" t="str">
        <f>"13:53:16.609"</f>
        <v>13:53:16.609</v>
      </c>
      <c r="B177">
        <v>39.173062000000002</v>
      </c>
      <c r="C177">
        <v>-77.602658000000005</v>
      </c>
      <c r="D177">
        <v>3200</v>
      </c>
      <c r="E177">
        <v>3450</v>
      </c>
      <c r="F177">
        <v>69</v>
      </c>
      <c r="G177">
        <v>130</v>
      </c>
      <c r="H177">
        <v>832</v>
      </c>
      <c r="J177" s="1">
        <f t="shared" si="10"/>
        <v>4761</v>
      </c>
      <c r="K177" s="1">
        <f t="shared" si="11"/>
        <v>16900</v>
      </c>
      <c r="L177" s="1">
        <f t="shared" si="12"/>
        <v>21661</v>
      </c>
      <c r="M177" s="1">
        <f t="shared" si="13"/>
        <v>147.17676447048291</v>
      </c>
      <c r="N177" s="7">
        <f t="shared" si="14"/>
        <v>147.17676447048291</v>
      </c>
    </row>
    <row r="178" spans="1:14" x14ac:dyDescent="0.25">
      <c r="A178" t="str">
        <f>"13:53:17.672"</f>
        <v>13:53:17.672</v>
      </c>
      <c r="B178">
        <v>39.173727</v>
      </c>
      <c r="C178">
        <v>-77.602164999999999</v>
      </c>
      <c r="D178">
        <v>3200</v>
      </c>
      <c r="E178">
        <v>3450</v>
      </c>
      <c r="F178">
        <v>75</v>
      </c>
      <c r="G178">
        <v>126</v>
      </c>
      <c r="H178">
        <v>768</v>
      </c>
      <c r="J178" s="1">
        <f t="shared" si="10"/>
        <v>5625</v>
      </c>
      <c r="K178" s="1">
        <f t="shared" si="11"/>
        <v>15876</v>
      </c>
      <c r="L178" s="1">
        <f t="shared" si="12"/>
        <v>21501</v>
      </c>
      <c r="M178" s="1">
        <f t="shared" si="13"/>
        <v>146.63219291819925</v>
      </c>
      <c r="N178" s="7">
        <f t="shared" si="14"/>
        <v>146.63219291819925</v>
      </c>
    </row>
    <row r="179" spans="1:14" x14ac:dyDescent="0.25">
      <c r="A179" t="str">
        <f>"13:53:18.680"</f>
        <v>13:53:18.680</v>
      </c>
      <c r="B179">
        <v>39.174221000000003</v>
      </c>
      <c r="C179">
        <v>-77.601736000000002</v>
      </c>
      <c r="D179">
        <v>3200</v>
      </c>
      <c r="E179">
        <v>3475</v>
      </c>
      <c r="F179">
        <v>82</v>
      </c>
      <c r="G179">
        <v>122</v>
      </c>
      <c r="H179">
        <v>832</v>
      </c>
      <c r="J179" s="1">
        <f t="shared" si="10"/>
        <v>6724</v>
      </c>
      <c r="K179" s="1">
        <f t="shared" si="11"/>
        <v>14884</v>
      </c>
      <c r="L179" s="1">
        <f t="shared" si="12"/>
        <v>21608</v>
      </c>
      <c r="M179" s="1">
        <f t="shared" si="13"/>
        <v>146.99659860010368</v>
      </c>
      <c r="N179" s="7">
        <f t="shared" si="14"/>
        <v>146.99659860010368</v>
      </c>
    </row>
    <row r="180" spans="1:14" x14ac:dyDescent="0.25">
      <c r="A180" t="str">
        <f>"13:53:19.539"</f>
        <v>13:53:19.539</v>
      </c>
      <c r="B180">
        <v>39.174736000000003</v>
      </c>
      <c r="C180">
        <v>-77.601264</v>
      </c>
      <c r="D180">
        <v>3200</v>
      </c>
      <c r="E180">
        <v>3475</v>
      </c>
      <c r="F180">
        <v>87</v>
      </c>
      <c r="G180">
        <v>118</v>
      </c>
      <c r="H180">
        <v>896</v>
      </c>
      <c r="J180" s="1">
        <f t="shared" si="10"/>
        <v>7569</v>
      </c>
      <c r="K180" s="1">
        <f t="shared" si="11"/>
        <v>13924</v>
      </c>
      <c r="L180" s="1">
        <f t="shared" si="12"/>
        <v>21493</v>
      </c>
      <c r="M180" s="1">
        <f t="shared" si="13"/>
        <v>146.60491124106312</v>
      </c>
      <c r="N180" s="7">
        <f t="shared" si="14"/>
        <v>146.60491124106312</v>
      </c>
    </row>
    <row r="181" spans="1:14" x14ac:dyDescent="0.25">
      <c r="A181" t="str">
        <f>"13:53:20.398"</f>
        <v>13:53:20.398</v>
      </c>
      <c r="B181">
        <v>39.175207999999998</v>
      </c>
      <c r="C181">
        <v>-77.600706000000002</v>
      </c>
      <c r="D181">
        <v>3300</v>
      </c>
      <c r="E181">
        <v>3400</v>
      </c>
      <c r="F181">
        <v>94</v>
      </c>
      <c r="G181">
        <v>113</v>
      </c>
      <c r="H181">
        <v>896</v>
      </c>
      <c r="J181" s="1">
        <f t="shared" si="10"/>
        <v>8836</v>
      </c>
      <c r="K181" s="1">
        <f t="shared" si="11"/>
        <v>12769</v>
      </c>
      <c r="L181" s="1">
        <f t="shared" si="12"/>
        <v>21605</v>
      </c>
      <c r="M181" s="1">
        <f t="shared" si="13"/>
        <v>146.98639392814562</v>
      </c>
      <c r="N181" s="7">
        <f t="shared" si="14"/>
        <v>146.98639392814562</v>
      </c>
    </row>
    <row r="182" spans="1:14" x14ac:dyDescent="0.25">
      <c r="A182" t="str">
        <f>"13:53:21.305"</f>
        <v>13:53:21.305</v>
      </c>
      <c r="B182">
        <v>39.175637000000002</v>
      </c>
      <c r="C182">
        <v>-77.600190999999995</v>
      </c>
      <c r="D182">
        <v>3300</v>
      </c>
      <c r="E182">
        <v>3500</v>
      </c>
      <c r="F182">
        <v>99</v>
      </c>
      <c r="G182">
        <v>109</v>
      </c>
      <c r="H182">
        <v>896</v>
      </c>
      <c r="J182" s="1">
        <f t="shared" si="10"/>
        <v>9801</v>
      </c>
      <c r="K182" s="1">
        <f t="shared" si="11"/>
        <v>11881</v>
      </c>
      <c r="L182" s="1">
        <f t="shared" si="12"/>
        <v>21682</v>
      </c>
      <c r="M182" s="1">
        <f t="shared" si="13"/>
        <v>147.24808997063425</v>
      </c>
      <c r="N182" s="7">
        <f t="shared" si="14"/>
        <v>147.24808997063425</v>
      </c>
    </row>
    <row r="183" spans="1:14" x14ac:dyDescent="0.25">
      <c r="A183" t="str">
        <f>"13:53:23.328"</f>
        <v>13:53:23.328</v>
      </c>
      <c r="B183">
        <v>39.176558999999997</v>
      </c>
      <c r="C183">
        <v>-77.598945999999998</v>
      </c>
      <c r="D183">
        <v>3300</v>
      </c>
      <c r="E183">
        <v>3550</v>
      </c>
      <c r="F183">
        <v>110</v>
      </c>
      <c r="G183">
        <v>97</v>
      </c>
      <c r="H183">
        <v>1088</v>
      </c>
      <c r="J183" s="1">
        <f t="shared" si="10"/>
        <v>12100</v>
      </c>
      <c r="K183" s="1">
        <f t="shared" si="11"/>
        <v>9409</v>
      </c>
      <c r="L183" s="1">
        <f t="shared" si="12"/>
        <v>21509</v>
      </c>
      <c r="M183" s="1">
        <f t="shared" si="13"/>
        <v>146.65946952038249</v>
      </c>
      <c r="N183" s="7">
        <f t="shared" si="14"/>
        <v>146.65946952038249</v>
      </c>
    </row>
    <row r="184" spans="1:14" x14ac:dyDescent="0.25">
      <c r="A184" t="str">
        <f>"13:53:24.234"</f>
        <v>13:53:24.234</v>
      </c>
      <c r="B184">
        <v>39.176924</v>
      </c>
      <c r="C184">
        <v>-77.598258999999999</v>
      </c>
      <c r="D184">
        <v>3300</v>
      </c>
      <c r="E184">
        <v>3550</v>
      </c>
      <c r="F184">
        <v>114</v>
      </c>
      <c r="G184">
        <v>92</v>
      </c>
      <c r="H184">
        <v>896</v>
      </c>
      <c r="J184" s="1">
        <f t="shared" si="10"/>
        <v>12996</v>
      </c>
      <c r="K184" s="1">
        <f t="shared" si="11"/>
        <v>8464</v>
      </c>
      <c r="L184" s="1">
        <f t="shared" si="12"/>
        <v>21460</v>
      </c>
      <c r="M184" s="1">
        <f t="shared" si="13"/>
        <v>146.49232061783991</v>
      </c>
      <c r="N184" s="7">
        <f t="shared" si="14"/>
        <v>146.49232061783991</v>
      </c>
    </row>
    <row r="185" spans="1:14" x14ac:dyDescent="0.25">
      <c r="A185" t="str">
        <f>"13:53:25.750"</f>
        <v>13:53:25.750</v>
      </c>
      <c r="B185">
        <v>39.177525000000003</v>
      </c>
      <c r="C185">
        <v>-77.597207999999995</v>
      </c>
      <c r="D185">
        <v>3300</v>
      </c>
      <c r="E185">
        <v>3575</v>
      </c>
      <c r="F185">
        <v>118</v>
      </c>
      <c r="G185">
        <v>87</v>
      </c>
      <c r="H185">
        <v>896</v>
      </c>
      <c r="J185" s="1">
        <f t="shared" si="10"/>
        <v>13924</v>
      </c>
      <c r="K185" s="1">
        <f t="shared" si="11"/>
        <v>7569</v>
      </c>
      <c r="L185" s="1">
        <f t="shared" si="12"/>
        <v>21493</v>
      </c>
      <c r="M185" s="1">
        <f t="shared" si="13"/>
        <v>146.60491124106312</v>
      </c>
      <c r="N185" s="7">
        <f t="shared" si="14"/>
        <v>146.60491124106312</v>
      </c>
    </row>
    <row r="186" spans="1:14" x14ac:dyDescent="0.25">
      <c r="A186" t="str">
        <f>"13:53:26.664"</f>
        <v>13:53:26.664</v>
      </c>
      <c r="B186">
        <v>39.177847</v>
      </c>
      <c r="C186">
        <v>-77.596564000000001</v>
      </c>
      <c r="D186">
        <v>3400</v>
      </c>
      <c r="E186">
        <v>3600</v>
      </c>
      <c r="F186">
        <v>125</v>
      </c>
      <c r="G186">
        <v>77</v>
      </c>
      <c r="H186">
        <v>832</v>
      </c>
      <c r="J186" s="1">
        <f t="shared" si="10"/>
        <v>15625</v>
      </c>
      <c r="K186" s="1">
        <f t="shared" si="11"/>
        <v>5929</v>
      </c>
      <c r="L186" s="1">
        <f t="shared" si="12"/>
        <v>21554</v>
      </c>
      <c r="M186" s="1">
        <f t="shared" si="13"/>
        <v>146.81280598094978</v>
      </c>
      <c r="N186" s="7">
        <f t="shared" si="14"/>
        <v>146.81280598094978</v>
      </c>
    </row>
    <row r="187" spans="1:14" x14ac:dyDescent="0.25">
      <c r="A187" t="str">
        <f>"13:53:27.516"</f>
        <v>13:53:27.516</v>
      </c>
      <c r="B187">
        <v>39.178125999999999</v>
      </c>
      <c r="C187">
        <v>-77.595834999999994</v>
      </c>
      <c r="D187">
        <v>3400</v>
      </c>
      <c r="E187">
        <v>3600</v>
      </c>
      <c r="F187">
        <v>128</v>
      </c>
      <c r="G187">
        <v>71</v>
      </c>
      <c r="H187">
        <v>832</v>
      </c>
      <c r="J187" s="1">
        <f t="shared" si="10"/>
        <v>16384</v>
      </c>
      <c r="K187" s="1">
        <f t="shared" si="11"/>
        <v>5041</v>
      </c>
      <c r="L187" s="1">
        <f t="shared" si="12"/>
        <v>21425</v>
      </c>
      <c r="M187" s="1">
        <f t="shared" si="13"/>
        <v>146.37281168304446</v>
      </c>
      <c r="N187" s="7">
        <f t="shared" si="14"/>
        <v>146.37281168304446</v>
      </c>
    </row>
    <row r="188" spans="1:14" x14ac:dyDescent="0.25">
      <c r="A188" t="str">
        <f>"13:53:28.523"</f>
        <v>13:53:28.523</v>
      </c>
      <c r="B188">
        <v>39.178382999999997</v>
      </c>
      <c r="C188">
        <v>-77.595061999999999</v>
      </c>
      <c r="D188">
        <v>3400</v>
      </c>
      <c r="E188">
        <v>3625</v>
      </c>
      <c r="F188">
        <v>130</v>
      </c>
      <c r="G188">
        <v>66</v>
      </c>
      <c r="H188">
        <v>896</v>
      </c>
      <c r="J188" s="1">
        <f t="shared" si="10"/>
        <v>16900</v>
      </c>
      <c r="K188" s="1">
        <f t="shared" si="11"/>
        <v>4356</v>
      </c>
      <c r="L188" s="1">
        <f t="shared" si="12"/>
        <v>21256</v>
      </c>
      <c r="M188" s="1">
        <f t="shared" si="13"/>
        <v>145.79437574886077</v>
      </c>
      <c r="N188" s="7">
        <f t="shared" si="14"/>
        <v>145.79437574886077</v>
      </c>
    </row>
    <row r="189" spans="1:14" x14ac:dyDescent="0.25">
      <c r="A189" t="str">
        <f>"13:53:29.633"</f>
        <v>13:53:29.633</v>
      </c>
      <c r="B189">
        <v>39.178683999999997</v>
      </c>
      <c r="C189">
        <v>-77.594182000000004</v>
      </c>
      <c r="D189">
        <v>3400</v>
      </c>
      <c r="E189">
        <v>3625</v>
      </c>
      <c r="F189">
        <v>134</v>
      </c>
      <c r="G189">
        <v>57</v>
      </c>
      <c r="H189">
        <v>960</v>
      </c>
      <c r="J189" s="1">
        <f t="shared" si="10"/>
        <v>17956</v>
      </c>
      <c r="K189" s="1">
        <f t="shared" si="11"/>
        <v>3249</v>
      </c>
      <c r="L189" s="1">
        <f t="shared" si="12"/>
        <v>21205</v>
      </c>
      <c r="M189" s="1">
        <f t="shared" si="13"/>
        <v>145.6193668438371</v>
      </c>
      <c r="N189" s="7">
        <f t="shared" si="14"/>
        <v>145.6193668438371</v>
      </c>
    </row>
    <row r="190" spans="1:14" x14ac:dyDescent="0.25">
      <c r="A190" t="str">
        <f>"13:53:30.648"</f>
        <v>13:53:30.648</v>
      </c>
      <c r="B190">
        <v>39.178919999999998</v>
      </c>
      <c r="C190">
        <v>-77.593389000000002</v>
      </c>
      <c r="D190">
        <v>3400</v>
      </c>
      <c r="E190">
        <v>3650</v>
      </c>
      <c r="F190">
        <v>136</v>
      </c>
      <c r="G190">
        <v>49</v>
      </c>
      <c r="H190">
        <v>1024</v>
      </c>
      <c r="J190" s="1">
        <f t="shared" si="10"/>
        <v>18496</v>
      </c>
      <c r="K190" s="1">
        <f t="shared" si="11"/>
        <v>2401</v>
      </c>
      <c r="L190" s="1">
        <f t="shared" si="12"/>
        <v>20897</v>
      </c>
      <c r="M190" s="1">
        <f t="shared" si="13"/>
        <v>144.55794685869054</v>
      </c>
      <c r="N190" s="7">
        <f t="shared" si="14"/>
        <v>144.55794685869054</v>
      </c>
    </row>
    <row r="191" spans="1:14" x14ac:dyDescent="0.25">
      <c r="A191" t="str">
        <f>"13:53:31.656"</f>
        <v>13:53:31.656</v>
      </c>
      <c r="B191">
        <v>39.179113000000001</v>
      </c>
      <c r="C191">
        <v>-77.592444</v>
      </c>
      <c r="D191">
        <v>3500</v>
      </c>
      <c r="E191">
        <v>3675</v>
      </c>
      <c r="F191">
        <v>139</v>
      </c>
      <c r="G191">
        <v>40</v>
      </c>
      <c r="H191">
        <v>1088</v>
      </c>
      <c r="J191" s="1">
        <f t="shared" si="10"/>
        <v>19321</v>
      </c>
      <c r="K191" s="1">
        <f t="shared" si="11"/>
        <v>1600</v>
      </c>
      <c r="L191" s="1">
        <f t="shared" si="12"/>
        <v>20921</v>
      </c>
      <c r="M191" s="1">
        <f t="shared" si="13"/>
        <v>144.64093473149293</v>
      </c>
      <c r="N191" s="7">
        <f t="shared" si="14"/>
        <v>144.64093473149293</v>
      </c>
    </row>
    <row r="192" spans="1:14" x14ac:dyDescent="0.25">
      <c r="A192" t="str">
        <f>"13:53:33.172"</f>
        <v>13:53:33.172</v>
      </c>
      <c r="B192">
        <v>39.179285</v>
      </c>
      <c r="C192">
        <v>-77.591177999999999</v>
      </c>
      <c r="D192">
        <v>3500</v>
      </c>
      <c r="E192">
        <v>3700</v>
      </c>
      <c r="F192">
        <v>140</v>
      </c>
      <c r="G192">
        <v>29</v>
      </c>
      <c r="H192">
        <v>1216</v>
      </c>
      <c r="J192" s="1">
        <f t="shared" si="10"/>
        <v>19600</v>
      </c>
      <c r="K192" s="1">
        <f t="shared" si="11"/>
        <v>841</v>
      </c>
      <c r="L192" s="1">
        <f t="shared" si="12"/>
        <v>20441</v>
      </c>
      <c r="M192" s="1">
        <f t="shared" si="13"/>
        <v>142.97202523570826</v>
      </c>
      <c r="N192" s="7">
        <f t="shared" si="14"/>
        <v>142.97202523570826</v>
      </c>
    </row>
    <row r="193" spans="1:14" x14ac:dyDescent="0.25">
      <c r="A193" t="str">
        <f>"13:53:34.180"</f>
        <v>13:53:34.180</v>
      </c>
      <c r="B193">
        <v>39.179392</v>
      </c>
      <c r="C193">
        <v>-77.590469999999996</v>
      </c>
      <c r="D193">
        <v>3500</v>
      </c>
      <c r="E193">
        <v>3725</v>
      </c>
      <c r="F193">
        <v>140</v>
      </c>
      <c r="G193">
        <v>22</v>
      </c>
      <c r="H193">
        <v>1152</v>
      </c>
      <c r="J193" s="1">
        <f t="shared" si="10"/>
        <v>19600</v>
      </c>
      <c r="K193" s="1">
        <f t="shared" si="11"/>
        <v>484</v>
      </c>
      <c r="L193" s="1">
        <f t="shared" si="12"/>
        <v>20084</v>
      </c>
      <c r="M193" s="1">
        <f t="shared" si="13"/>
        <v>141.71802990445499</v>
      </c>
      <c r="N193" s="7">
        <f t="shared" si="14"/>
        <v>141.71802990445499</v>
      </c>
    </row>
    <row r="194" spans="1:14" x14ac:dyDescent="0.25">
      <c r="A194" t="str">
        <f>"13:53:35.086"</f>
        <v>13:53:35.086</v>
      </c>
      <c r="B194">
        <v>39.179434999999998</v>
      </c>
      <c r="C194">
        <v>-77.589633000000006</v>
      </c>
      <c r="D194">
        <v>3500</v>
      </c>
      <c r="E194">
        <v>3750</v>
      </c>
      <c r="F194">
        <v>141</v>
      </c>
      <c r="G194">
        <v>16</v>
      </c>
      <c r="H194">
        <v>1152</v>
      </c>
      <c r="J194" s="1">
        <f t="shared" si="10"/>
        <v>19881</v>
      </c>
      <c r="K194" s="1">
        <f t="shared" si="11"/>
        <v>256</v>
      </c>
      <c r="L194" s="1">
        <f t="shared" si="12"/>
        <v>20137</v>
      </c>
      <c r="M194" s="1">
        <f t="shared" si="13"/>
        <v>141.90489773083945</v>
      </c>
      <c r="N194" s="7">
        <f t="shared" si="14"/>
        <v>141.90489773083945</v>
      </c>
    </row>
    <row r="195" spans="1:14" x14ac:dyDescent="0.25">
      <c r="A195" t="str">
        <f>"13:53:36.250"</f>
        <v>13:53:36.250</v>
      </c>
      <c r="B195">
        <v>39.179478000000003</v>
      </c>
      <c r="C195">
        <v>-77.588689000000002</v>
      </c>
      <c r="D195">
        <v>3500</v>
      </c>
      <c r="E195">
        <v>3750</v>
      </c>
      <c r="F195">
        <v>141</v>
      </c>
      <c r="G195">
        <v>13</v>
      </c>
      <c r="H195">
        <v>1152</v>
      </c>
      <c r="J195" s="1">
        <f t="shared" ref="J195:J258" si="15">F195^2</f>
        <v>19881</v>
      </c>
      <c r="K195" s="1">
        <f t="shared" ref="K195:K258" si="16">G195^2</f>
        <v>169</v>
      </c>
      <c r="L195" s="1">
        <f t="shared" ref="L195:L258" si="17">SUMSQ(F195,G195)</f>
        <v>20050</v>
      </c>
      <c r="M195" s="1">
        <f t="shared" ref="M195:M258" si="18">SQRT(L195)</f>
        <v>141.59802258506295</v>
      </c>
      <c r="N195" s="7">
        <f t="shared" ref="N195:N258" si="19">M195</f>
        <v>141.59802258506295</v>
      </c>
    </row>
    <row r="196" spans="1:14" x14ac:dyDescent="0.25">
      <c r="A196" t="str">
        <f>"13:53:37.211"</f>
        <v>13:53:37.211</v>
      </c>
      <c r="B196">
        <v>39.179521000000001</v>
      </c>
      <c r="C196">
        <v>-77.587895000000003</v>
      </c>
      <c r="D196">
        <v>3500</v>
      </c>
      <c r="E196">
        <v>3775</v>
      </c>
      <c r="F196">
        <v>140</v>
      </c>
      <c r="G196">
        <v>3</v>
      </c>
      <c r="H196">
        <v>1152</v>
      </c>
      <c r="J196" s="1">
        <f t="shared" si="15"/>
        <v>19600</v>
      </c>
      <c r="K196" s="1">
        <f t="shared" si="16"/>
        <v>9</v>
      </c>
      <c r="L196" s="1">
        <f t="shared" si="17"/>
        <v>19609</v>
      </c>
      <c r="M196" s="1">
        <f t="shared" si="18"/>
        <v>140.03213916812098</v>
      </c>
      <c r="N196" s="7">
        <f t="shared" si="19"/>
        <v>140.03213916812098</v>
      </c>
    </row>
    <row r="197" spans="1:14" x14ac:dyDescent="0.25">
      <c r="A197" t="str">
        <f>"13:53:38.219"</f>
        <v>13:53:38.219</v>
      </c>
      <c r="B197">
        <v>39.179478000000003</v>
      </c>
      <c r="C197">
        <v>-77.587036999999995</v>
      </c>
      <c r="D197">
        <v>3600</v>
      </c>
      <c r="E197">
        <v>3800</v>
      </c>
      <c r="F197">
        <v>139</v>
      </c>
      <c r="G197">
        <v>-2</v>
      </c>
      <c r="H197">
        <v>1088</v>
      </c>
      <c r="J197" s="1">
        <f t="shared" si="15"/>
        <v>19321</v>
      </c>
      <c r="K197" s="1">
        <f t="shared" si="16"/>
        <v>4</v>
      </c>
      <c r="L197" s="1">
        <f t="shared" si="17"/>
        <v>19325</v>
      </c>
      <c r="M197" s="1">
        <f t="shared" si="18"/>
        <v>139.01438774457844</v>
      </c>
      <c r="N197" s="7">
        <f t="shared" si="19"/>
        <v>139.01438774457844</v>
      </c>
    </row>
    <row r="198" spans="1:14" x14ac:dyDescent="0.25">
      <c r="A198" t="str">
        <f>"13:53:39.281"</f>
        <v>13:53:39.281</v>
      </c>
      <c r="B198">
        <v>39.179434999999998</v>
      </c>
      <c r="C198">
        <v>-77.586113999999995</v>
      </c>
      <c r="D198">
        <v>3600</v>
      </c>
      <c r="E198">
        <v>3800</v>
      </c>
      <c r="F198">
        <v>139</v>
      </c>
      <c r="G198">
        <v>-7</v>
      </c>
      <c r="H198">
        <v>960</v>
      </c>
      <c r="J198" s="1">
        <f t="shared" si="15"/>
        <v>19321</v>
      </c>
      <c r="K198" s="1">
        <f t="shared" si="16"/>
        <v>49</v>
      </c>
      <c r="L198" s="1">
        <f t="shared" si="17"/>
        <v>19370</v>
      </c>
      <c r="M198" s="1">
        <f t="shared" si="18"/>
        <v>139.17614738165446</v>
      </c>
      <c r="N198" s="7">
        <f t="shared" si="19"/>
        <v>139.17614738165446</v>
      </c>
    </row>
    <row r="199" spans="1:14" x14ac:dyDescent="0.25">
      <c r="A199" t="str">
        <f>"13:53:40.336"</f>
        <v>13:53:40.336</v>
      </c>
      <c r="B199">
        <v>39.179392</v>
      </c>
      <c r="C199">
        <v>-77.585319999999996</v>
      </c>
      <c r="D199">
        <v>3600</v>
      </c>
      <c r="E199">
        <v>3825</v>
      </c>
      <c r="F199">
        <v>138</v>
      </c>
      <c r="G199">
        <v>-12</v>
      </c>
      <c r="H199">
        <v>768</v>
      </c>
      <c r="J199" s="1">
        <f t="shared" si="15"/>
        <v>19044</v>
      </c>
      <c r="K199" s="1">
        <f t="shared" si="16"/>
        <v>144</v>
      </c>
      <c r="L199" s="1">
        <f t="shared" si="17"/>
        <v>19188</v>
      </c>
      <c r="M199" s="1">
        <f t="shared" si="18"/>
        <v>138.52075656738234</v>
      </c>
      <c r="N199" s="7">
        <f t="shared" si="19"/>
        <v>138.52075656738234</v>
      </c>
    </row>
    <row r="200" spans="1:14" x14ac:dyDescent="0.25">
      <c r="A200" t="str">
        <f>"13:53:41.398"</f>
        <v>13:53:41.398</v>
      </c>
      <c r="B200">
        <v>39.179285</v>
      </c>
      <c r="C200">
        <v>-77.584418999999997</v>
      </c>
      <c r="D200">
        <v>3600</v>
      </c>
      <c r="E200">
        <v>3850</v>
      </c>
      <c r="F200">
        <v>138</v>
      </c>
      <c r="G200">
        <v>-19</v>
      </c>
      <c r="H200">
        <v>640</v>
      </c>
      <c r="J200" s="1">
        <f t="shared" si="15"/>
        <v>19044</v>
      </c>
      <c r="K200" s="1">
        <f t="shared" si="16"/>
        <v>361</v>
      </c>
      <c r="L200" s="1">
        <f t="shared" si="17"/>
        <v>19405</v>
      </c>
      <c r="M200" s="1">
        <f t="shared" si="18"/>
        <v>139.30183056945089</v>
      </c>
      <c r="N200" s="7">
        <f t="shared" si="19"/>
        <v>139.30183056945089</v>
      </c>
    </row>
    <row r="201" spans="1:14" x14ac:dyDescent="0.25">
      <c r="A201" t="str">
        <f>"13:53:42.508"</f>
        <v>13:53:42.508</v>
      </c>
      <c r="B201">
        <v>39.179113000000001</v>
      </c>
      <c r="C201">
        <v>-77.583539000000002</v>
      </c>
      <c r="D201">
        <v>3600</v>
      </c>
      <c r="E201">
        <v>3850</v>
      </c>
      <c r="F201">
        <v>137</v>
      </c>
      <c r="G201">
        <v>-25</v>
      </c>
      <c r="H201">
        <v>640</v>
      </c>
      <c r="J201" s="1">
        <f t="shared" si="15"/>
        <v>18769</v>
      </c>
      <c r="K201" s="1">
        <f t="shared" si="16"/>
        <v>625</v>
      </c>
      <c r="L201" s="1">
        <f t="shared" si="17"/>
        <v>19394</v>
      </c>
      <c r="M201" s="1">
        <f t="shared" si="18"/>
        <v>139.26234236145822</v>
      </c>
      <c r="N201" s="7">
        <f t="shared" si="19"/>
        <v>139.26234236145822</v>
      </c>
    </row>
    <row r="202" spans="1:14" x14ac:dyDescent="0.25">
      <c r="A202" t="str">
        <f>"13:53:43.617"</f>
        <v>13:53:43.617</v>
      </c>
      <c r="B202">
        <v>39.178963000000003</v>
      </c>
      <c r="C202">
        <v>-77.582638000000003</v>
      </c>
      <c r="D202">
        <v>3700</v>
      </c>
      <c r="E202">
        <v>3850</v>
      </c>
      <c r="F202">
        <v>135</v>
      </c>
      <c r="G202">
        <v>-32</v>
      </c>
      <c r="H202">
        <v>704</v>
      </c>
      <c r="J202" s="1">
        <f t="shared" si="15"/>
        <v>18225</v>
      </c>
      <c r="K202" s="1">
        <f t="shared" si="16"/>
        <v>1024</v>
      </c>
      <c r="L202" s="1">
        <f t="shared" si="17"/>
        <v>19249</v>
      </c>
      <c r="M202" s="1">
        <f t="shared" si="18"/>
        <v>138.74076545846214</v>
      </c>
      <c r="N202" s="7">
        <f t="shared" si="19"/>
        <v>138.74076545846214</v>
      </c>
    </row>
    <row r="203" spans="1:14" x14ac:dyDescent="0.25">
      <c r="A203" t="str">
        <f>"13:53:44.688"</f>
        <v>13:53:44.688</v>
      </c>
      <c r="B203">
        <v>39.178834000000002</v>
      </c>
      <c r="C203">
        <v>-77.581844000000004</v>
      </c>
      <c r="D203">
        <v>3700</v>
      </c>
      <c r="E203">
        <v>3875</v>
      </c>
      <c r="F203">
        <v>135</v>
      </c>
      <c r="G203">
        <v>-35</v>
      </c>
      <c r="H203">
        <v>768</v>
      </c>
      <c r="J203" s="1">
        <f t="shared" si="15"/>
        <v>18225</v>
      </c>
      <c r="K203" s="1">
        <f t="shared" si="16"/>
        <v>1225</v>
      </c>
      <c r="L203" s="1">
        <f t="shared" si="17"/>
        <v>19450</v>
      </c>
      <c r="M203" s="1">
        <f t="shared" si="18"/>
        <v>139.46325680981354</v>
      </c>
      <c r="N203" s="7">
        <f t="shared" si="19"/>
        <v>139.46325680981354</v>
      </c>
    </row>
    <row r="204" spans="1:14" x14ac:dyDescent="0.25">
      <c r="A204" t="str">
        <f>"13:53:45.586"</f>
        <v>13:53:45.586</v>
      </c>
      <c r="B204">
        <v>39.178640999999999</v>
      </c>
      <c r="C204">
        <v>-77.581050000000005</v>
      </c>
      <c r="D204">
        <v>3700</v>
      </c>
      <c r="E204">
        <v>3900</v>
      </c>
      <c r="F204">
        <v>135</v>
      </c>
      <c r="G204">
        <v>-35</v>
      </c>
      <c r="H204">
        <v>832</v>
      </c>
      <c r="J204" s="1">
        <f t="shared" si="15"/>
        <v>18225</v>
      </c>
      <c r="K204" s="1">
        <f t="shared" si="16"/>
        <v>1225</v>
      </c>
      <c r="L204" s="1">
        <f t="shared" si="17"/>
        <v>19450</v>
      </c>
      <c r="M204" s="1">
        <f t="shared" si="18"/>
        <v>139.46325680981354</v>
      </c>
      <c r="N204" s="7">
        <f t="shared" si="19"/>
        <v>139.46325680981354</v>
      </c>
    </row>
    <row r="205" spans="1:14" x14ac:dyDescent="0.25">
      <c r="A205" t="str">
        <f>"13:53:46.547"</f>
        <v>13:53:46.547</v>
      </c>
      <c r="B205">
        <v>39.178533999999999</v>
      </c>
      <c r="C205">
        <v>-77.580320999999998</v>
      </c>
      <c r="D205">
        <v>3700</v>
      </c>
      <c r="E205">
        <v>3900</v>
      </c>
      <c r="F205">
        <v>135</v>
      </c>
      <c r="G205">
        <v>-34</v>
      </c>
      <c r="H205">
        <v>896</v>
      </c>
      <c r="J205" s="1">
        <f t="shared" si="15"/>
        <v>18225</v>
      </c>
      <c r="K205" s="1">
        <f t="shared" si="16"/>
        <v>1156</v>
      </c>
      <c r="L205" s="1">
        <f t="shared" si="17"/>
        <v>19381</v>
      </c>
      <c r="M205" s="1">
        <f t="shared" si="18"/>
        <v>139.21566003866087</v>
      </c>
      <c r="N205" s="7">
        <f t="shared" si="19"/>
        <v>139.21566003866087</v>
      </c>
    </row>
    <row r="206" spans="1:14" x14ac:dyDescent="0.25">
      <c r="A206" t="str">
        <f>"13:53:47.406"</f>
        <v>13:53:47.406</v>
      </c>
      <c r="B206">
        <v>39.178362</v>
      </c>
      <c r="C206">
        <v>-77.579590999999994</v>
      </c>
      <c r="D206">
        <v>3700</v>
      </c>
      <c r="E206">
        <v>3925</v>
      </c>
      <c r="F206">
        <v>136</v>
      </c>
      <c r="G206">
        <v>-33</v>
      </c>
      <c r="H206">
        <v>768</v>
      </c>
      <c r="J206" s="1">
        <f t="shared" si="15"/>
        <v>18496</v>
      </c>
      <c r="K206" s="1">
        <f t="shared" si="16"/>
        <v>1089</v>
      </c>
      <c r="L206" s="1">
        <f t="shared" si="17"/>
        <v>19585</v>
      </c>
      <c r="M206" s="1">
        <f t="shared" si="18"/>
        <v>139.94641831786907</v>
      </c>
      <c r="N206" s="7">
        <f t="shared" si="19"/>
        <v>139.94641831786907</v>
      </c>
    </row>
    <row r="207" spans="1:14" x14ac:dyDescent="0.25">
      <c r="A207" t="str">
        <f>"13:53:48.516"</f>
        <v>13:53:48.516</v>
      </c>
      <c r="B207">
        <v>39.178212000000002</v>
      </c>
      <c r="C207">
        <v>-77.578711999999996</v>
      </c>
      <c r="D207">
        <v>3700</v>
      </c>
      <c r="E207">
        <v>3925</v>
      </c>
      <c r="F207">
        <v>136</v>
      </c>
      <c r="G207">
        <v>-32</v>
      </c>
      <c r="H207">
        <v>768</v>
      </c>
      <c r="J207" s="1">
        <f t="shared" si="15"/>
        <v>18496</v>
      </c>
      <c r="K207" s="1">
        <f t="shared" si="16"/>
        <v>1024</v>
      </c>
      <c r="L207" s="1">
        <f t="shared" si="17"/>
        <v>19520</v>
      </c>
      <c r="M207" s="1">
        <f t="shared" si="18"/>
        <v>139.71399357258383</v>
      </c>
      <c r="N207" s="7">
        <f t="shared" si="19"/>
        <v>139.71399357258383</v>
      </c>
    </row>
    <row r="208" spans="1:14" x14ac:dyDescent="0.25">
      <c r="A208" t="str">
        <f>"13:53:49.531"</f>
        <v>13:53:49.531</v>
      </c>
      <c r="B208">
        <v>39.178061</v>
      </c>
      <c r="C208">
        <v>-77.577875000000006</v>
      </c>
      <c r="D208">
        <v>3700</v>
      </c>
      <c r="E208">
        <v>3950</v>
      </c>
      <c r="F208">
        <v>137</v>
      </c>
      <c r="G208">
        <v>-32</v>
      </c>
      <c r="H208">
        <v>576</v>
      </c>
      <c r="J208" s="1">
        <f t="shared" si="15"/>
        <v>18769</v>
      </c>
      <c r="K208" s="1">
        <f t="shared" si="16"/>
        <v>1024</v>
      </c>
      <c r="L208" s="1">
        <f t="shared" si="17"/>
        <v>19793</v>
      </c>
      <c r="M208" s="1">
        <f t="shared" si="18"/>
        <v>140.68759717899798</v>
      </c>
      <c r="N208" s="7">
        <f t="shared" si="19"/>
        <v>140.68759717899798</v>
      </c>
    </row>
    <row r="209" spans="1:14" x14ac:dyDescent="0.25">
      <c r="A209" t="str">
        <f>"13:53:50.539"</f>
        <v>13:53:50.539</v>
      </c>
      <c r="B209">
        <v>39.177889999999998</v>
      </c>
      <c r="C209">
        <v>-77.577038000000002</v>
      </c>
      <c r="D209">
        <v>3700</v>
      </c>
      <c r="E209">
        <v>3950</v>
      </c>
      <c r="F209">
        <v>138</v>
      </c>
      <c r="G209">
        <v>-32</v>
      </c>
      <c r="H209">
        <v>512</v>
      </c>
      <c r="J209" s="1">
        <f t="shared" si="15"/>
        <v>19044</v>
      </c>
      <c r="K209" s="1">
        <f t="shared" si="16"/>
        <v>1024</v>
      </c>
      <c r="L209" s="1">
        <f t="shared" si="17"/>
        <v>20068</v>
      </c>
      <c r="M209" s="1">
        <f t="shared" si="18"/>
        <v>141.66156853571826</v>
      </c>
      <c r="N209" s="7">
        <f t="shared" si="19"/>
        <v>141.66156853571826</v>
      </c>
    </row>
    <row r="210" spans="1:14" x14ac:dyDescent="0.25">
      <c r="A210" t="str">
        <f>"13:53:51.594"</f>
        <v>13:53:51.594</v>
      </c>
      <c r="B210">
        <v>39.177760999999997</v>
      </c>
      <c r="C210">
        <v>-77.576115000000001</v>
      </c>
      <c r="D210">
        <v>3700</v>
      </c>
      <c r="E210">
        <v>3950</v>
      </c>
      <c r="F210">
        <v>138</v>
      </c>
      <c r="G210">
        <v>-33</v>
      </c>
      <c r="H210">
        <v>448</v>
      </c>
      <c r="J210" s="1">
        <f t="shared" si="15"/>
        <v>19044</v>
      </c>
      <c r="K210" s="1">
        <f t="shared" si="16"/>
        <v>1089</v>
      </c>
      <c r="L210" s="1">
        <f t="shared" si="17"/>
        <v>20133</v>
      </c>
      <c r="M210" s="1">
        <f t="shared" si="18"/>
        <v>141.89080308462562</v>
      </c>
      <c r="N210" s="7">
        <f t="shared" si="19"/>
        <v>141.89080308462562</v>
      </c>
    </row>
    <row r="211" spans="1:14" x14ac:dyDescent="0.25">
      <c r="A211" t="str">
        <f>"13:53:52.453"</f>
        <v>13:53:52.453</v>
      </c>
      <c r="B211">
        <v>39.177610999999999</v>
      </c>
      <c r="C211">
        <v>-77.575363999999993</v>
      </c>
      <c r="D211">
        <v>3700</v>
      </c>
      <c r="E211">
        <v>3950</v>
      </c>
      <c r="F211">
        <v>139</v>
      </c>
      <c r="G211">
        <v>-33</v>
      </c>
      <c r="H211">
        <v>384</v>
      </c>
      <c r="J211" s="1">
        <f t="shared" si="15"/>
        <v>19321</v>
      </c>
      <c r="K211" s="1">
        <f t="shared" si="16"/>
        <v>1089</v>
      </c>
      <c r="L211" s="1">
        <f t="shared" si="17"/>
        <v>20410</v>
      </c>
      <c r="M211" s="1">
        <f t="shared" si="18"/>
        <v>142.86357128393507</v>
      </c>
      <c r="N211" s="7">
        <f t="shared" si="19"/>
        <v>142.86357128393507</v>
      </c>
    </row>
    <row r="212" spans="1:14" x14ac:dyDescent="0.25">
      <c r="A212" t="str">
        <f>"13:53:53.563"</f>
        <v>13:53:53.563</v>
      </c>
      <c r="B212">
        <v>39.177439</v>
      </c>
      <c r="C212">
        <v>-77.574462999999994</v>
      </c>
      <c r="D212">
        <v>3700</v>
      </c>
      <c r="E212">
        <v>3975</v>
      </c>
      <c r="F212">
        <v>140</v>
      </c>
      <c r="G212">
        <v>-34</v>
      </c>
      <c r="H212">
        <v>320</v>
      </c>
      <c r="J212" s="1">
        <f t="shared" si="15"/>
        <v>19600</v>
      </c>
      <c r="K212" s="1">
        <f t="shared" si="16"/>
        <v>1156</v>
      </c>
      <c r="L212" s="1">
        <f t="shared" si="17"/>
        <v>20756</v>
      </c>
      <c r="M212" s="1">
        <f t="shared" si="18"/>
        <v>144.06942770761603</v>
      </c>
      <c r="N212" s="7">
        <f t="shared" si="19"/>
        <v>144.06942770761603</v>
      </c>
    </row>
    <row r="213" spans="1:14" x14ac:dyDescent="0.25">
      <c r="A213" t="str">
        <f>"13:53:54.625"</f>
        <v>13:53:54.625</v>
      </c>
      <c r="B213">
        <v>39.177289000000002</v>
      </c>
      <c r="C213">
        <v>-77.573605000000001</v>
      </c>
      <c r="D213">
        <v>3700</v>
      </c>
      <c r="E213">
        <v>3975</v>
      </c>
      <c r="F213">
        <v>141</v>
      </c>
      <c r="G213">
        <v>-34</v>
      </c>
      <c r="H213">
        <v>256</v>
      </c>
      <c r="J213" s="1">
        <f t="shared" si="15"/>
        <v>19881</v>
      </c>
      <c r="K213" s="1">
        <f t="shared" si="16"/>
        <v>1156</v>
      </c>
      <c r="L213" s="1">
        <f t="shared" si="17"/>
        <v>21037</v>
      </c>
      <c r="M213" s="1">
        <f t="shared" si="18"/>
        <v>145.04137340772803</v>
      </c>
      <c r="N213" s="7">
        <f t="shared" si="19"/>
        <v>145.04137340772803</v>
      </c>
    </row>
    <row r="214" spans="1:14" x14ac:dyDescent="0.25">
      <c r="A214" t="str">
        <f>"13:53:55.688"</f>
        <v>13:53:55.688</v>
      </c>
      <c r="B214">
        <v>39.177117000000003</v>
      </c>
      <c r="C214">
        <v>-77.572682</v>
      </c>
      <c r="D214">
        <v>3800</v>
      </c>
      <c r="E214">
        <v>3975</v>
      </c>
      <c r="F214">
        <v>142</v>
      </c>
      <c r="G214">
        <v>-35</v>
      </c>
      <c r="H214">
        <v>320</v>
      </c>
      <c r="J214" s="1">
        <f t="shared" si="15"/>
        <v>20164</v>
      </c>
      <c r="K214" s="1">
        <f t="shared" si="16"/>
        <v>1225</v>
      </c>
      <c r="L214" s="1">
        <f t="shared" si="17"/>
        <v>21389</v>
      </c>
      <c r="M214" s="1">
        <f t="shared" si="18"/>
        <v>146.24978632463024</v>
      </c>
      <c r="N214" s="7">
        <f t="shared" si="19"/>
        <v>146.24978632463024</v>
      </c>
    </row>
    <row r="215" spans="1:14" x14ac:dyDescent="0.25">
      <c r="A215" t="str">
        <f>"13:53:56.797"</f>
        <v>13:53:56.797</v>
      </c>
      <c r="B215">
        <v>39.176924</v>
      </c>
      <c r="C215">
        <v>-77.571781000000001</v>
      </c>
      <c r="D215">
        <v>3800</v>
      </c>
      <c r="E215">
        <v>3975</v>
      </c>
      <c r="F215">
        <v>143</v>
      </c>
      <c r="G215">
        <v>-35</v>
      </c>
      <c r="H215">
        <v>320</v>
      </c>
      <c r="J215" s="1">
        <f t="shared" si="15"/>
        <v>20449</v>
      </c>
      <c r="K215" s="1">
        <f t="shared" si="16"/>
        <v>1225</v>
      </c>
      <c r="L215" s="1">
        <f t="shared" si="17"/>
        <v>21674</v>
      </c>
      <c r="M215" s="1">
        <f t="shared" si="18"/>
        <v>147.220922426128</v>
      </c>
      <c r="N215" s="7">
        <f t="shared" si="19"/>
        <v>147.220922426128</v>
      </c>
    </row>
    <row r="216" spans="1:14" x14ac:dyDescent="0.25">
      <c r="A216" t="str">
        <f>"13:53:57.805"</f>
        <v>13:53:57.805</v>
      </c>
      <c r="B216">
        <v>39.176730999999997</v>
      </c>
      <c r="C216">
        <v>-77.570921999999996</v>
      </c>
      <c r="D216">
        <v>3800</v>
      </c>
      <c r="E216">
        <v>4000</v>
      </c>
      <c r="F216">
        <v>144</v>
      </c>
      <c r="G216">
        <v>-35</v>
      </c>
      <c r="H216">
        <v>384</v>
      </c>
      <c r="J216" s="1">
        <f t="shared" si="15"/>
        <v>20736</v>
      </c>
      <c r="K216" s="1">
        <f t="shared" si="16"/>
        <v>1225</v>
      </c>
      <c r="L216" s="1">
        <f t="shared" si="17"/>
        <v>21961</v>
      </c>
      <c r="M216" s="1">
        <f t="shared" si="18"/>
        <v>148.1924424523734</v>
      </c>
      <c r="N216" s="7">
        <f t="shared" si="19"/>
        <v>148.1924424523734</v>
      </c>
    </row>
    <row r="217" spans="1:14" x14ac:dyDescent="0.25">
      <c r="A217" t="str">
        <f>"13:53:58.719"</f>
        <v>13:53:58.719</v>
      </c>
      <c r="B217">
        <v>39.176602000000003</v>
      </c>
      <c r="C217">
        <v>-77.570106999999993</v>
      </c>
      <c r="D217">
        <v>3800</v>
      </c>
      <c r="E217">
        <v>4000</v>
      </c>
      <c r="F217">
        <v>145</v>
      </c>
      <c r="G217">
        <v>-34</v>
      </c>
      <c r="H217">
        <v>384</v>
      </c>
      <c r="J217" s="1">
        <f t="shared" si="15"/>
        <v>21025</v>
      </c>
      <c r="K217" s="1">
        <f t="shared" si="16"/>
        <v>1156</v>
      </c>
      <c r="L217" s="1">
        <f t="shared" si="17"/>
        <v>22181</v>
      </c>
      <c r="M217" s="1">
        <f t="shared" si="18"/>
        <v>148.93287078412206</v>
      </c>
      <c r="N217" s="7">
        <f t="shared" si="19"/>
        <v>148.93287078412206</v>
      </c>
    </row>
    <row r="218" spans="1:14" x14ac:dyDescent="0.25">
      <c r="A218" t="str">
        <f>"13:53:59.727"</f>
        <v>13:53:59.727</v>
      </c>
      <c r="B218">
        <v>39.176473999999999</v>
      </c>
      <c r="C218">
        <v>-77.569270000000003</v>
      </c>
      <c r="D218">
        <v>3800</v>
      </c>
      <c r="E218">
        <v>4000</v>
      </c>
      <c r="F218">
        <v>146</v>
      </c>
      <c r="G218">
        <v>-31</v>
      </c>
      <c r="H218">
        <v>576</v>
      </c>
      <c r="J218" s="1">
        <f t="shared" si="15"/>
        <v>21316</v>
      </c>
      <c r="K218" s="1">
        <f t="shared" si="16"/>
        <v>961</v>
      </c>
      <c r="L218" s="1">
        <f t="shared" si="17"/>
        <v>22277</v>
      </c>
      <c r="M218" s="1">
        <f t="shared" si="18"/>
        <v>149.25481566770299</v>
      </c>
      <c r="N218" s="7">
        <f t="shared" si="19"/>
        <v>149.25481566770299</v>
      </c>
    </row>
    <row r="219" spans="1:14" x14ac:dyDescent="0.25">
      <c r="A219" t="str">
        <f>"13:54:00.633"</f>
        <v>13:54:00.633</v>
      </c>
      <c r="B219">
        <v>39.176366000000002</v>
      </c>
      <c r="C219">
        <v>-77.568476000000004</v>
      </c>
      <c r="D219">
        <v>3800</v>
      </c>
      <c r="E219">
        <v>4025</v>
      </c>
      <c r="F219">
        <v>147</v>
      </c>
      <c r="G219">
        <v>-27</v>
      </c>
      <c r="H219">
        <v>832</v>
      </c>
      <c r="J219" s="1">
        <f t="shared" si="15"/>
        <v>21609</v>
      </c>
      <c r="K219" s="1">
        <f t="shared" si="16"/>
        <v>729</v>
      </c>
      <c r="L219" s="1">
        <f t="shared" si="17"/>
        <v>22338</v>
      </c>
      <c r="M219" s="1">
        <f t="shared" si="18"/>
        <v>149.45902448497381</v>
      </c>
      <c r="N219" s="7">
        <f t="shared" si="19"/>
        <v>149.45902448497381</v>
      </c>
    </row>
    <row r="220" spans="1:14" x14ac:dyDescent="0.25">
      <c r="A220" t="str">
        <f>"13:54:01.695"</f>
        <v>13:54:01.695</v>
      </c>
      <c r="B220">
        <v>39.176279999999998</v>
      </c>
      <c r="C220">
        <v>-77.567468000000005</v>
      </c>
      <c r="D220">
        <v>3800</v>
      </c>
      <c r="E220">
        <v>4025</v>
      </c>
      <c r="F220">
        <v>147</v>
      </c>
      <c r="G220">
        <v>-21</v>
      </c>
      <c r="H220">
        <v>1280</v>
      </c>
      <c r="J220" s="1">
        <f t="shared" si="15"/>
        <v>21609</v>
      </c>
      <c r="K220" s="1">
        <f t="shared" si="16"/>
        <v>441</v>
      </c>
      <c r="L220" s="1">
        <f t="shared" si="17"/>
        <v>22050</v>
      </c>
      <c r="M220" s="1">
        <f t="shared" si="18"/>
        <v>148.49242404917499</v>
      </c>
      <c r="N220" s="7">
        <f t="shared" si="19"/>
        <v>148.49242404917499</v>
      </c>
    </row>
    <row r="221" spans="1:14" x14ac:dyDescent="0.25">
      <c r="A221" t="str">
        <f>"13:54:02.703"</f>
        <v>13:54:02.703</v>
      </c>
      <c r="B221">
        <v>39.176195</v>
      </c>
      <c r="C221">
        <v>-77.566631000000001</v>
      </c>
      <c r="D221">
        <v>3800</v>
      </c>
      <c r="E221">
        <v>4050</v>
      </c>
      <c r="F221">
        <v>147</v>
      </c>
      <c r="G221">
        <v>-15</v>
      </c>
      <c r="H221">
        <v>1472</v>
      </c>
      <c r="J221" s="1">
        <f t="shared" si="15"/>
        <v>21609</v>
      </c>
      <c r="K221" s="1">
        <f t="shared" si="16"/>
        <v>225</v>
      </c>
      <c r="L221" s="1">
        <f t="shared" si="17"/>
        <v>21834</v>
      </c>
      <c r="M221" s="1">
        <f t="shared" si="18"/>
        <v>147.76332427229701</v>
      </c>
      <c r="N221" s="7">
        <f t="shared" si="19"/>
        <v>147.76332427229701</v>
      </c>
    </row>
    <row r="222" spans="1:14" x14ac:dyDescent="0.25">
      <c r="A222" t="str">
        <f>"13:54:03.609"</f>
        <v>13:54:03.609</v>
      </c>
      <c r="B222">
        <v>39.176172999999999</v>
      </c>
      <c r="C222">
        <v>-77.565858000000006</v>
      </c>
      <c r="D222">
        <v>3800</v>
      </c>
      <c r="E222">
        <v>4075</v>
      </c>
      <c r="F222">
        <v>147</v>
      </c>
      <c r="G222">
        <v>-10</v>
      </c>
      <c r="H222">
        <v>1408</v>
      </c>
      <c r="J222" s="1">
        <f t="shared" si="15"/>
        <v>21609</v>
      </c>
      <c r="K222" s="1">
        <f t="shared" si="16"/>
        <v>100</v>
      </c>
      <c r="L222" s="1">
        <f t="shared" si="17"/>
        <v>21709</v>
      </c>
      <c r="M222" s="1">
        <f t="shared" si="18"/>
        <v>147.33974345029924</v>
      </c>
      <c r="N222" s="7">
        <f t="shared" si="19"/>
        <v>147.33974345029924</v>
      </c>
    </row>
    <row r="223" spans="1:14" x14ac:dyDescent="0.25">
      <c r="A223" t="str">
        <f>"13:54:04.672"</f>
        <v>13:54:04.672</v>
      </c>
      <c r="B223">
        <v>39.176195</v>
      </c>
      <c r="C223">
        <v>-77.564850000000007</v>
      </c>
      <c r="D223">
        <v>3900</v>
      </c>
      <c r="E223">
        <v>4100</v>
      </c>
      <c r="F223">
        <v>148</v>
      </c>
      <c r="G223">
        <v>-4</v>
      </c>
      <c r="H223">
        <v>1344</v>
      </c>
      <c r="J223" s="1">
        <f t="shared" si="15"/>
        <v>21904</v>
      </c>
      <c r="K223" s="1">
        <f t="shared" si="16"/>
        <v>16</v>
      </c>
      <c r="L223" s="1">
        <f t="shared" si="17"/>
        <v>21920</v>
      </c>
      <c r="M223" s="1">
        <f t="shared" si="18"/>
        <v>148.05404418657398</v>
      </c>
      <c r="N223" s="7">
        <f t="shared" si="19"/>
        <v>148.05404418657398</v>
      </c>
    </row>
    <row r="224" spans="1:14" x14ac:dyDescent="0.25">
      <c r="A224" t="str">
        <f>"13:54:05.633"</f>
        <v>13:54:05.633</v>
      </c>
      <c r="B224">
        <v>39.176195</v>
      </c>
      <c r="C224">
        <v>-77.564013000000003</v>
      </c>
      <c r="D224">
        <v>3900</v>
      </c>
      <c r="E224">
        <v>4125</v>
      </c>
      <c r="F224">
        <v>147</v>
      </c>
      <c r="G224">
        <v>3</v>
      </c>
      <c r="H224">
        <v>1216</v>
      </c>
      <c r="J224" s="1">
        <f t="shared" si="15"/>
        <v>21609</v>
      </c>
      <c r="K224" s="1">
        <f t="shared" si="16"/>
        <v>9</v>
      </c>
      <c r="L224" s="1">
        <f t="shared" si="17"/>
        <v>21618</v>
      </c>
      <c r="M224" s="1">
        <f t="shared" si="18"/>
        <v>147.03060905811415</v>
      </c>
      <c r="N224" s="7">
        <f t="shared" si="19"/>
        <v>147.03060905811415</v>
      </c>
    </row>
    <row r="225" spans="1:14" x14ac:dyDescent="0.25">
      <c r="A225" t="str">
        <f>"13:54:06.594"</f>
        <v>13:54:06.594</v>
      </c>
      <c r="B225">
        <v>39.176215999999997</v>
      </c>
      <c r="C225">
        <v>-77.563241000000005</v>
      </c>
      <c r="D225">
        <v>3900</v>
      </c>
      <c r="E225">
        <v>4150</v>
      </c>
      <c r="F225">
        <v>147</v>
      </c>
      <c r="G225">
        <v>8</v>
      </c>
      <c r="H225">
        <v>1152</v>
      </c>
      <c r="J225" s="1">
        <f t="shared" si="15"/>
        <v>21609</v>
      </c>
      <c r="K225" s="1">
        <f t="shared" si="16"/>
        <v>64</v>
      </c>
      <c r="L225" s="1">
        <f t="shared" si="17"/>
        <v>21673</v>
      </c>
      <c r="M225" s="1">
        <f t="shared" si="18"/>
        <v>147.21752613055281</v>
      </c>
      <c r="N225" s="7">
        <f t="shared" si="19"/>
        <v>147.21752613055281</v>
      </c>
    </row>
    <row r="226" spans="1:14" x14ac:dyDescent="0.25">
      <c r="A226" t="str">
        <f>"13:54:07.547"</f>
        <v>13:54:07.547</v>
      </c>
      <c r="B226">
        <v>39.176322999999996</v>
      </c>
      <c r="C226">
        <v>-77.562318000000005</v>
      </c>
      <c r="D226">
        <v>4000</v>
      </c>
      <c r="E226">
        <v>4175</v>
      </c>
      <c r="F226">
        <v>147</v>
      </c>
      <c r="G226">
        <v>14</v>
      </c>
      <c r="H226">
        <v>1088</v>
      </c>
      <c r="J226" s="1">
        <f t="shared" si="15"/>
        <v>21609</v>
      </c>
      <c r="K226" s="1">
        <f t="shared" si="16"/>
        <v>196</v>
      </c>
      <c r="L226" s="1">
        <f t="shared" si="17"/>
        <v>21805</v>
      </c>
      <c r="M226" s="1">
        <f t="shared" si="18"/>
        <v>147.66516176810291</v>
      </c>
      <c r="N226" s="7">
        <f t="shared" si="19"/>
        <v>147.66516176810291</v>
      </c>
    </row>
    <row r="227" spans="1:14" x14ac:dyDescent="0.25">
      <c r="A227" t="str">
        <f>"13:54:08.656"</f>
        <v>13:54:08.656</v>
      </c>
      <c r="B227">
        <v>39.176431000000001</v>
      </c>
      <c r="C227">
        <v>-77.561395000000005</v>
      </c>
      <c r="D227">
        <v>4000</v>
      </c>
      <c r="E227">
        <v>4175</v>
      </c>
      <c r="F227">
        <v>146</v>
      </c>
      <c r="G227">
        <v>20</v>
      </c>
      <c r="H227">
        <v>1024</v>
      </c>
      <c r="J227" s="1">
        <f t="shared" si="15"/>
        <v>21316</v>
      </c>
      <c r="K227" s="1">
        <f t="shared" si="16"/>
        <v>400</v>
      </c>
      <c r="L227" s="1">
        <f t="shared" si="17"/>
        <v>21716</v>
      </c>
      <c r="M227" s="1">
        <f t="shared" si="18"/>
        <v>147.36349615830918</v>
      </c>
      <c r="N227" s="7">
        <f t="shared" si="19"/>
        <v>147.36349615830918</v>
      </c>
    </row>
    <row r="228" spans="1:14" x14ac:dyDescent="0.25">
      <c r="A228" t="str">
        <f>"13:54:09.773"</f>
        <v>13:54:09.773</v>
      </c>
      <c r="B228">
        <v>39.176538000000001</v>
      </c>
      <c r="C228">
        <v>-77.560429999999997</v>
      </c>
      <c r="D228">
        <v>4000</v>
      </c>
      <c r="E228">
        <v>4200</v>
      </c>
      <c r="F228">
        <v>145</v>
      </c>
      <c r="G228">
        <v>26</v>
      </c>
      <c r="H228">
        <v>896</v>
      </c>
      <c r="J228" s="1">
        <f t="shared" si="15"/>
        <v>21025</v>
      </c>
      <c r="K228" s="1">
        <f t="shared" si="16"/>
        <v>676</v>
      </c>
      <c r="L228" s="1">
        <f t="shared" si="17"/>
        <v>21701</v>
      </c>
      <c r="M228" s="1">
        <f t="shared" si="18"/>
        <v>147.31259280862582</v>
      </c>
      <c r="N228" s="7">
        <f t="shared" si="19"/>
        <v>147.31259280862582</v>
      </c>
    </row>
    <row r="229" spans="1:14" x14ac:dyDescent="0.25">
      <c r="A229" t="str">
        <f>"13:54:10.984"</f>
        <v>13:54:10.984</v>
      </c>
      <c r="B229">
        <v>39.176730999999997</v>
      </c>
      <c r="C229">
        <v>-77.559377999999995</v>
      </c>
      <c r="D229">
        <v>4000</v>
      </c>
      <c r="E229">
        <v>4225</v>
      </c>
      <c r="F229">
        <v>145</v>
      </c>
      <c r="G229">
        <v>30</v>
      </c>
      <c r="H229">
        <v>896</v>
      </c>
      <c r="J229" s="1">
        <f t="shared" si="15"/>
        <v>21025</v>
      </c>
      <c r="K229" s="1">
        <f t="shared" si="16"/>
        <v>900</v>
      </c>
      <c r="L229" s="1">
        <f t="shared" si="17"/>
        <v>21925</v>
      </c>
      <c r="M229" s="1">
        <f t="shared" si="18"/>
        <v>148.07092894960846</v>
      </c>
      <c r="N229" s="7">
        <f t="shared" si="19"/>
        <v>148.07092894960846</v>
      </c>
    </row>
    <row r="230" spans="1:14" x14ac:dyDescent="0.25">
      <c r="A230" t="str">
        <f>"13:54:11.891"</f>
        <v>13:54:11.891</v>
      </c>
      <c r="B230">
        <v>39.176881000000002</v>
      </c>
      <c r="C230">
        <v>-77.558649000000003</v>
      </c>
      <c r="D230">
        <v>4000</v>
      </c>
      <c r="E230">
        <v>4225</v>
      </c>
      <c r="F230">
        <v>144</v>
      </c>
      <c r="G230">
        <v>33</v>
      </c>
      <c r="H230">
        <v>960</v>
      </c>
      <c r="J230" s="1">
        <f t="shared" si="15"/>
        <v>20736</v>
      </c>
      <c r="K230" s="1">
        <f t="shared" si="16"/>
        <v>1089</v>
      </c>
      <c r="L230" s="1">
        <f t="shared" si="17"/>
        <v>21825</v>
      </c>
      <c r="M230" s="1">
        <f t="shared" si="18"/>
        <v>147.73286702694156</v>
      </c>
      <c r="N230" s="7">
        <f t="shared" si="19"/>
        <v>147.73286702694156</v>
      </c>
    </row>
    <row r="231" spans="1:14" x14ac:dyDescent="0.25">
      <c r="A231" t="str">
        <f>"13:54:13.000"</f>
        <v>13:54:13.000</v>
      </c>
      <c r="B231">
        <v>39.177053000000001</v>
      </c>
      <c r="C231">
        <v>-77.557682999999997</v>
      </c>
      <c r="D231">
        <v>4000</v>
      </c>
      <c r="E231">
        <v>4250</v>
      </c>
      <c r="F231">
        <v>144</v>
      </c>
      <c r="G231">
        <v>34</v>
      </c>
      <c r="H231">
        <v>1024</v>
      </c>
      <c r="J231" s="1">
        <f t="shared" si="15"/>
        <v>20736</v>
      </c>
      <c r="K231" s="1">
        <f t="shared" si="16"/>
        <v>1156</v>
      </c>
      <c r="L231" s="1">
        <f t="shared" si="17"/>
        <v>21892</v>
      </c>
      <c r="M231" s="1">
        <f t="shared" si="18"/>
        <v>147.95945390545344</v>
      </c>
      <c r="N231" s="7">
        <f t="shared" si="19"/>
        <v>147.95945390545344</v>
      </c>
    </row>
    <row r="232" spans="1:14" x14ac:dyDescent="0.25">
      <c r="A232" t="str">
        <f>"13:54:13.813"</f>
        <v>13:54:13.813</v>
      </c>
      <c r="B232">
        <v>39.177160000000001</v>
      </c>
      <c r="C232">
        <v>-77.556995999999998</v>
      </c>
      <c r="D232">
        <v>4000</v>
      </c>
      <c r="E232">
        <v>4275</v>
      </c>
      <c r="F232">
        <v>143</v>
      </c>
      <c r="G232">
        <v>34</v>
      </c>
      <c r="H232">
        <v>1088</v>
      </c>
      <c r="J232" s="1">
        <f t="shared" si="15"/>
        <v>20449</v>
      </c>
      <c r="K232" s="1">
        <f t="shared" si="16"/>
        <v>1156</v>
      </c>
      <c r="L232" s="1">
        <f t="shared" si="17"/>
        <v>21605</v>
      </c>
      <c r="M232" s="1">
        <f t="shared" si="18"/>
        <v>146.98639392814562</v>
      </c>
      <c r="N232" s="7">
        <f t="shared" si="19"/>
        <v>146.98639392814562</v>
      </c>
    </row>
    <row r="233" spans="1:14" x14ac:dyDescent="0.25">
      <c r="A233" t="str">
        <f>"13:54:14.719"</f>
        <v>13:54:14.719</v>
      </c>
      <c r="B233">
        <v>39.177332</v>
      </c>
      <c r="C233">
        <v>-77.556245000000004</v>
      </c>
      <c r="D233">
        <v>4000</v>
      </c>
      <c r="E233">
        <v>4275</v>
      </c>
      <c r="F233">
        <v>143</v>
      </c>
      <c r="G233">
        <v>34</v>
      </c>
      <c r="H233">
        <v>1216</v>
      </c>
      <c r="J233" s="1">
        <f t="shared" si="15"/>
        <v>20449</v>
      </c>
      <c r="K233" s="1">
        <f t="shared" si="16"/>
        <v>1156</v>
      </c>
      <c r="L233" s="1">
        <f t="shared" si="17"/>
        <v>21605</v>
      </c>
      <c r="M233" s="1">
        <f t="shared" si="18"/>
        <v>146.98639392814562</v>
      </c>
      <c r="N233" s="7">
        <f t="shared" si="19"/>
        <v>146.98639392814562</v>
      </c>
    </row>
    <row r="234" spans="1:14" x14ac:dyDescent="0.25">
      <c r="A234" t="str">
        <f>"13:54:15.781"</f>
        <v>13:54:15.781</v>
      </c>
      <c r="B234">
        <v>39.177481999999998</v>
      </c>
      <c r="C234">
        <v>-77.555366000000006</v>
      </c>
      <c r="D234">
        <v>4100</v>
      </c>
      <c r="E234">
        <v>4300</v>
      </c>
      <c r="F234">
        <v>142</v>
      </c>
      <c r="G234">
        <v>35</v>
      </c>
      <c r="H234">
        <v>1280</v>
      </c>
      <c r="J234" s="1">
        <f t="shared" si="15"/>
        <v>20164</v>
      </c>
      <c r="K234" s="1">
        <f t="shared" si="16"/>
        <v>1225</v>
      </c>
      <c r="L234" s="1">
        <f t="shared" si="17"/>
        <v>21389</v>
      </c>
      <c r="M234" s="1">
        <f t="shared" si="18"/>
        <v>146.24978632463024</v>
      </c>
      <c r="N234" s="7">
        <f t="shared" si="19"/>
        <v>146.24978632463024</v>
      </c>
    </row>
    <row r="235" spans="1:14" x14ac:dyDescent="0.25">
      <c r="A235" t="str">
        <f>"13:54:16.836"</f>
        <v>13:54:16.836</v>
      </c>
      <c r="B235">
        <v>39.177675000000001</v>
      </c>
      <c r="C235">
        <v>-77.554507000000001</v>
      </c>
      <c r="D235">
        <v>4100</v>
      </c>
      <c r="E235">
        <v>4325</v>
      </c>
      <c r="F235">
        <v>141</v>
      </c>
      <c r="G235">
        <v>35</v>
      </c>
      <c r="H235">
        <v>1408</v>
      </c>
      <c r="J235" s="1">
        <f t="shared" si="15"/>
        <v>19881</v>
      </c>
      <c r="K235" s="1">
        <f t="shared" si="16"/>
        <v>1225</v>
      </c>
      <c r="L235" s="1">
        <f t="shared" si="17"/>
        <v>21106</v>
      </c>
      <c r="M235" s="1">
        <f t="shared" si="18"/>
        <v>145.27904184706065</v>
      </c>
      <c r="N235" s="7">
        <f t="shared" si="19"/>
        <v>145.27904184706065</v>
      </c>
    </row>
    <row r="236" spans="1:14" x14ac:dyDescent="0.25">
      <c r="A236" t="str">
        <f>"13:54:17.797"</f>
        <v>13:54:17.797</v>
      </c>
      <c r="B236">
        <v>39.177804000000002</v>
      </c>
      <c r="C236">
        <v>-77.553648999999993</v>
      </c>
      <c r="D236">
        <v>4100</v>
      </c>
      <c r="E236">
        <v>4350</v>
      </c>
      <c r="F236">
        <v>139</v>
      </c>
      <c r="G236">
        <v>36</v>
      </c>
      <c r="H236">
        <v>1536</v>
      </c>
      <c r="J236" s="1">
        <f t="shared" si="15"/>
        <v>19321</v>
      </c>
      <c r="K236" s="1">
        <f t="shared" si="16"/>
        <v>1296</v>
      </c>
      <c r="L236" s="1">
        <f t="shared" si="17"/>
        <v>20617</v>
      </c>
      <c r="M236" s="1">
        <f t="shared" si="18"/>
        <v>143.58621103713267</v>
      </c>
      <c r="N236" s="7">
        <f t="shared" si="19"/>
        <v>143.58621103713267</v>
      </c>
    </row>
    <row r="237" spans="1:14" x14ac:dyDescent="0.25">
      <c r="A237" t="str">
        <f>"13:54:18.906"</f>
        <v>13:54:18.906</v>
      </c>
      <c r="B237">
        <v>39.178018999999999</v>
      </c>
      <c r="C237">
        <v>-77.552790999999999</v>
      </c>
      <c r="D237">
        <v>4200</v>
      </c>
      <c r="E237">
        <v>4375</v>
      </c>
      <c r="F237">
        <v>138</v>
      </c>
      <c r="G237">
        <v>37</v>
      </c>
      <c r="H237">
        <v>1664</v>
      </c>
      <c r="J237" s="1">
        <f t="shared" si="15"/>
        <v>19044</v>
      </c>
      <c r="K237" s="1">
        <f t="shared" si="16"/>
        <v>1369</v>
      </c>
      <c r="L237" s="1">
        <f t="shared" si="17"/>
        <v>20413</v>
      </c>
      <c r="M237" s="1">
        <f t="shared" si="18"/>
        <v>142.87407042567241</v>
      </c>
      <c r="N237" s="7">
        <f t="shared" si="19"/>
        <v>142.87407042567241</v>
      </c>
    </row>
    <row r="238" spans="1:14" x14ac:dyDescent="0.25">
      <c r="A238" t="str">
        <f>"13:54:19.820"</f>
        <v>13:54:19.820</v>
      </c>
      <c r="B238">
        <v>39.178168999999997</v>
      </c>
      <c r="C238">
        <v>-77.551997</v>
      </c>
      <c r="D238">
        <v>4200</v>
      </c>
      <c r="E238">
        <v>4400</v>
      </c>
      <c r="F238">
        <v>136</v>
      </c>
      <c r="G238">
        <v>39</v>
      </c>
      <c r="H238">
        <v>1728</v>
      </c>
      <c r="J238" s="1">
        <f t="shared" si="15"/>
        <v>18496</v>
      </c>
      <c r="K238" s="1">
        <f t="shared" si="16"/>
        <v>1521</v>
      </c>
      <c r="L238" s="1">
        <f t="shared" si="17"/>
        <v>20017</v>
      </c>
      <c r="M238" s="1">
        <f t="shared" si="18"/>
        <v>141.4814475470194</v>
      </c>
      <c r="N238" s="7">
        <f t="shared" si="19"/>
        <v>141.4814475470194</v>
      </c>
    </row>
    <row r="239" spans="1:14" x14ac:dyDescent="0.25">
      <c r="A239" t="str">
        <f>"13:54:20.828"</f>
        <v>13:54:20.828</v>
      </c>
      <c r="B239">
        <v>39.178362</v>
      </c>
      <c r="C239">
        <v>-77.551203000000001</v>
      </c>
      <c r="D239">
        <v>4200</v>
      </c>
      <c r="E239">
        <v>4425</v>
      </c>
      <c r="F239">
        <v>134</v>
      </c>
      <c r="G239">
        <v>40</v>
      </c>
      <c r="H239">
        <v>1728</v>
      </c>
      <c r="J239" s="1">
        <f t="shared" si="15"/>
        <v>17956</v>
      </c>
      <c r="K239" s="1">
        <f t="shared" si="16"/>
        <v>1600</v>
      </c>
      <c r="L239" s="1">
        <f t="shared" si="17"/>
        <v>19556</v>
      </c>
      <c r="M239" s="1">
        <f t="shared" si="18"/>
        <v>139.84276885130672</v>
      </c>
      <c r="N239" s="7">
        <f t="shared" si="19"/>
        <v>139.84276885130672</v>
      </c>
    </row>
    <row r="240" spans="1:14" x14ac:dyDescent="0.25">
      <c r="A240" t="str">
        <f>"13:54:21.836"</f>
        <v>13:54:21.836</v>
      </c>
      <c r="B240">
        <v>39.178576</v>
      </c>
      <c r="C240">
        <v>-77.550343999999996</v>
      </c>
      <c r="D240">
        <v>4200</v>
      </c>
      <c r="E240">
        <v>4450</v>
      </c>
      <c r="F240">
        <v>133</v>
      </c>
      <c r="G240">
        <v>42</v>
      </c>
      <c r="H240">
        <v>1600</v>
      </c>
      <c r="J240" s="1">
        <f t="shared" si="15"/>
        <v>17689</v>
      </c>
      <c r="K240" s="1">
        <f t="shared" si="16"/>
        <v>1764</v>
      </c>
      <c r="L240" s="1">
        <f t="shared" si="17"/>
        <v>19453</v>
      </c>
      <c r="M240" s="1">
        <f t="shared" si="18"/>
        <v>139.47401191619892</v>
      </c>
      <c r="N240" s="7">
        <f t="shared" si="19"/>
        <v>139.47401191619892</v>
      </c>
    </row>
    <row r="241" spans="1:14" x14ac:dyDescent="0.25">
      <c r="A241" t="str">
        <f>"13:54:22.945"</f>
        <v>13:54:22.945</v>
      </c>
      <c r="B241">
        <v>39.178747999999999</v>
      </c>
      <c r="C241">
        <v>-77.549571999999998</v>
      </c>
      <c r="D241">
        <v>4300</v>
      </c>
      <c r="E241">
        <v>4500</v>
      </c>
      <c r="F241">
        <v>132</v>
      </c>
      <c r="G241">
        <v>43</v>
      </c>
      <c r="H241">
        <v>1536</v>
      </c>
      <c r="J241" s="1">
        <f t="shared" si="15"/>
        <v>17424</v>
      </c>
      <c r="K241" s="1">
        <f t="shared" si="16"/>
        <v>1849</v>
      </c>
      <c r="L241" s="1">
        <f t="shared" si="17"/>
        <v>19273</v>
      </c>
      <c r="M241" s="1">
        <f t="shared" si="18"/>
        <v>138.82723075823418</v>
      </c>
      <c r="N241" s="7">
        <f t="shared" si="19"/>
        <v>138.82723075823418</v>
      </c>
    </row>
    <row r="242" spans="1:14" x14ac:dyDescent="0.25">
      <c r="A242" t="str">
        <f>"13:54:23.758"</f>
        <v>13:54:23.758</v>
      </c>
      <c r="B242">
        <v>39.178963000000003</v>
      </c>
      <c r="C242">
        <v>-77.548884999999999</v>
      </c>
      <c r="D242">
        <v>4300</v>
      </c>
      <c r="E242">
        <v>4525</v>
      </c>
      <c r="F242">
        <v>131</v>
      </c>
      <c r="G242">
        <v>43</v>
      </c>
      <c r="H242">
        <v>1536</v>
      </c>
      <c r="J242" s="1">
        <f t="shared" si="15"/>
        <v>17161</v>
      </c>
      <c r="K242" s="1">
        <f t="shared" si="16"/>
        <v>1849</v>
      </c>
      <c r="L242" s="1">
        <f t="shared" si="17"/>
        <v>19010</v>
      </c>
      <c r="M242" s="1">
        <f t="shared" si="18"/>
        <v>137.87675656179326</v>
      </c>
      <c r="N242" s="7">
        <f t="shared" si="19"/>
        <v>137.87675656179326</v>
      </c>
    </row>
    <row r="243" spans="1:14" x14ac:dyDescent="0.25">
      <c r="A243" t="str">
        <f>"13:54:24.664"</f>
        <v>13:54:24.664</v>
      </c>
      <c r="B243">
        <v>39.179113000000001</v>
      </c>
      <c r="C243">
        <v>-77.548198999999997</v>
      </c>
      <c r="D243">
        <v>4300</v>
      </c>
      <c r="E243">
        <v>4550</v>
      </c>
      <c r="F243">
        <v>130</v>
      </c>
      <c r="G243">
        <v>42</v>
      </c>
      <c r="H243">
        <v>1536</v>
      </c>
      <c r="J243" s="1">
        <f t="shared" si="15"/>
        <v>16900</v>
      </c>
      <c r="K243" s="1">
        <f t="shared" si="16"/>
        <v>1764</v>
      </c>
      <c r="L243" s="1">
        <f t="shared" si="17"/>
        <v>18664</v>
      </c>
      <c r="M243" s="1">
        <f t="shared" si="18"/>
        <v>136.61625086350452</v>
      </c>
      <c r="N243" s="7">
        <f t="shared" si="19"/>
        <v>136.61625086350452</v>
      </c>
    </row>
    <row r="244" spans="1:14" x14ac:dyDescent="0.25">
      <c r="A244" t="str">
        <f>"13:54:25.727"</f>
        <v>13:54:25.727</v>
      </c>
      <c r="B244">
        <v>39.179305999999997</v>
      </c>
      <c r="C244">
        <v>-77.547404999999998</v>
      </c>
      <c r="D244">
        <v>4300</v>
      </c>
      <c r="E244">
        <v>4575</v>
      </c>
      <c r="F244">
        <v>130</v>
      </c>
      <c r="G244">
        <v>42</v>
      </c>
      <c r="H244">
        <v>1472</v>
      </c>
      <c r="J244" s="1">
        <f t="shared" si="15"/>
        <v>16900</v>
      </c>
      <c r="K244" s="1">
        <f t="shared" si="16"/>
        <v>1764</v>
      </c>
      <c r="L244" s="1">
        <f t="shared" si="17"/>
        <v>18664</v>
      </c>
      <c r="M244" s="1">
        <f t="shared" si="18"/>
        <v>136.61625086350452</v>
      </c>
      <c r="N244" s="7">
        <f t="shared" si="19"/>
        <v>136.61625086350452</v>
      </c>
    </row>
    <row r="245" spans="1:14" x14ac:dyDescent="0.25">
      <c r="A245" t="str">
        <f>"13:54:26.734"</f>
        <v>13:54:26.734</v>
      </c>
      <c r="B245">
        <v>39.179541999999998</v>
      </c>
      <c r="C245">
        <v>-77.546632000000002</v>
      </c>
      <c r="D245">
        <v>4300</v>
      </c>
      <c r="E245">
        <v>4600</v>
      </c>
      <c r="F245">
        <v>129</v>
      </c>
      <c r="G245">
        <v>41</v>
      </c>
      <c r="H245">
        <v>1472</v>
      </c>
      <c r="J245" s="1">
        <f t="shared" si="15"/>
        <v>16641</v>
      </c>
      <c r="K245" s="1">
        <f t="shared" si="16"/>
        <v>1681</v>
      </c>
      <c r="L245" s="1">
        <f t="shared" si="17"/>
        <v>18322</v>
      </c>
      <c r="M245" s="1">
        <f t="shared" si="18"/>
        <v>135.35878250043476</v>
      </c>
      <c r="N245" s="7">
        <f t="shared" si="19"/>
        <v>135.35878250043476</v>
      </c>
    </row>
    <row r="246" spans="1:14" x14ac:dyDescent="0.25">
      <c r="A246" t="str">
        <f>"13:54:27.641"</f>
        <v>13:54:27.641</v>
      </c>
      <c r="B246">
        <v>39.179713999999997</v>
      </c>
      <c r="C246">
        <v>-77.545860000000005</v>
      </c>
      <c r="D246">
        <v>4400</v>
      </c>
      <c r="E246">
        <v>4600</v>
      </c>
      <c r="F246">
        <v>129</v>
      </c>
      <c r="G246">
        <v>40</v>
      </c>
      <c r="H246">
        <v>1472</v>
      </c>
      <c r="J246" s="1">
        <f t="shared" si="15"/>
        <v>16641</v>
      </c>
      <c r="K246" s="1">
        <f t="shared" si="16"/>
        <v>1600</v>
      </c>
      <c r="L246" s="1">
        <f t="shared" si="17"/>
        <v>18241</v>
      </c>
      <c r="M246" s="1">
        <f t="shared" si="18"/>
        <v>135.05924625881784</v>
      </c>
      <c r="N246" s="7">
        <f t="shared" si="19"/>
        <v>135.05924625881784</v>
      </c>
    </row>
    <row r="247" spans="1:14" x14ac:dyDescent="0.25">
      <c r="A247" t="str">
        <f>"13:54:28.703"</f>
        <v>13:54:28.703</v>
      </c>
      <c r="B247">
        <v>39.179907</v>
      </c>
      <c r="C247">
        <v>-77.545086999999995</v>
      </c>
      <c r="D247">
        <v>4400</v>
      </c>
      <c r="E247">
        <v>4625</v>
      </c>
      <c r="F247">
        <v>129</v>
      </c>
      <c r="G247">
        <v>39</v>
      </c>
      <c r="H247">
        <v>1472</v>
      </c>
      <c r="J247" s="1">
        <f t="shared" si="15"/>
        <v>16641</v>
      </c>
      <c r="K247" s="1">
        <f t="shared" si="16"/>
        <v>1521</v>
      </c>
      <c r="L247" s="1">
        <f t="shared" si="17"/>
        <v>18162</v>
      </c>
      <c r="M247" s="1">
        <f t="shared" si="18"/>
        <v>134.7664646712972</v>
      </c>
      <c r="N247" s="7">
        <f t="shared" si="19"/>
        <v>134.7664646712972</v>
      </c>
    </row>
    <row r="248" spans="1:14" x14ac:dyDescent="0.25">
      <c r="A248" t="str">
        <f>"13:54:29.664"</f>
        <v>13:54:29.664</v>
      </c>
      <c r="B248">
        <v>39.180036000000001</v>
      </c>
      <c r="C248">
        <v>-77.544314999999997</v>
      </c>
      <c r="D248">
        <v>4400</v>
      </c>
      <c r="E248">
        <v>4650</v>
      </c>
      <c r="F248">
        <v>128</v>
      </c>
      <c r="G248">
        <v>38</v>
      </c>
      <c r="H248">
        <v>1408</v>
      </c>
      <c r="J248" s="1">
        <f t="shared" si="15"/>
        <v>16384</v>
      </c>
      <c r="K248" s="1">
        <f t="shared" si="16"/>
        <v>1444</v>
      </c>
      <c r="L248" s="1">
        <f t="shared" si="17"/>
        <v>17828</v>
      </c>
      <c r="M248" s="1">
        <f t="shared" si="18"/>
        <v>133.52153384379613</v>
      </c>
      <c r="N248" s="7">
        <f t="shared" si="19"/>
        <v>133.52153384379613</v>
      </c>
    </row>
    <row r="249" spans="1:14" x14ac:dyDescent="0.25">
      <c r="A249" t="str">
        <f>"13:54:30.625"</f>
        <v>13:54:30.625</v>
      </c>
      <c r="B249">
        <v>39.180228999999997</v>
      </c>
      <c r="C249">
        <v>-77.54365</v>
      </c>
      <c r="D249">
        <v>4500</v>
      </c>
      <c r="E249">
        <v>4675</v>
      </c>
      <c r="F249">
        <v>128</v>
      </c>
      <c r="G249">
        <v>38</v>
      </c>
      <c r="H249">
        <v>1472</v>
      </c>
      <c r="J249" s="1">
        <f t="shared" si="15"/>
        <v>16384</v>
      </c>
      <c r="K249" s="1">
        <f t="shared" si="16"/>
        <v>1444</v>
      </c>
      <c r="L249" s="1">
        <f t="shared" si="17"/>
        <v>17828</v>
      </c>
      <c r="M249" s="1">
        <f t="shared" si="18"/>
        <v>133.52153384379613</v>
      </c>
      <c r="N249" s="7">
        <f t="shared" si="19"/>
        <v>133.52153384379613</v>
      </c>
    </row>
    <row r="250" spans="1:14" x14ac:dyDescent="0.25">
      <c r="A250" t="str">
        <f>"13:54:31.633"</f>
        <v>13:54:31.633</v>
      </c>
      <c r="B250">
        <v>39.180357000000001</v>
      </c>
      <c r="C250">
        <v>-77.542899000000006</v>
      </c>
      <c r="D250">
        <v>4500</v>
      </c>
      <c r="E250">
        <v>4700</v>
      </c>
      <c r="F250">
        <v>127</v>
      </c>
      <c r="G250">
        <v>37</v>
      </c>
      <c r="H250">
        <v>1472</v>
      </c>
      <c r="J250" s="1">
        <f t="shared" si="15"/>
        <v>16129</v>
      </c>
      <c r="K250" s="1">
        <f t="shared" si="16"/>
        <v>1369</v>
      </c>
      <c r="L250" s="1">
        <f t="shared" si="17"/>
        <v>17498</v>
      </c>
      <c r="M250" s="1">
        <f t="shared" si="18"/>
        <v>132.28000604777731</v>
      </c>
      <c r="N250" s="7">
        <f t="shared" si="19"/>
        <v>132.28000604777731</v>
      </c>
    </row>
    <row r="251" spans="1:14" x14ac:dyDescent="0.25">
      <c r="A251" t="str">
        <f>"13:54:32.641"</f>
        <v>13:54:32.641</v>
      </c>
      <c r="B251">
        <v>39.180551000000001</v>
      </c>
      <c r="C251">
        <v>-77.542105000000006</v>
      </c>
      <c r="D251">
        <v>4500</v>
      </c>
      <c r="E251">
        <v>4725</v>
      </c>
      <c r="F251">
        <v>126</v>
      </c>
      <c r="G251">
        <v>37</v>
      </c>
      <c r="H251">
        <v>1472</v>
      </c>
      <c r="J251" s="1">
        <f t="shared" si="15"/>
        <v>15876</v>
      </c>
      <c r="K251" s="1">
        <f t="shared" si="16"/>
        <v>1369</v>
      </c>
      <c r="L251" s="1">
        <f t="shared" si="17"/>
        <v>17245</v>
      </c>
      <c r="M251" s="1">
        <f t="shared" si="18"/>
        <v>131.32021931142211</v>
      </c>
      <c r="N251" s="7">
        <f t="shared" si="19"/>
        <v>131.32021931142211</v>
      </c>
    </row>
    <row r="252" spans="1:14" x14ac:dyDescent="0.25">
      <c r="A252" t="str">
        <f>"13:54:33.703"</f>
        <v>13:54:33.703</v>
      </c>
      <c r="B252">
        <v>39.180765000000001</v>
      </c>
      <c r="C252">
        <v>-77.541331999999997</v>
      </c>
      <c r="D252">
        <v>4500</v>
      </c>
      <c r="E252">
        <v>4750</v>
      </c>
      <c r="F252">
        <v>125</v>
      </c>
      <c r="G252">
        <v>38</v>
      </c>
      <c r="H252">
        <v>1472</v>
      </c>
      <c r="J252" s="1">
        <f t="shared" si="15"/>
        <v>15625</v>
      </c>
      <c r="K252" s="1">
        <f t="shared" si="16"/>
        <v>1444</v>
      </c>
      <c r="L252" s="1">
        <f t="shared" si="17"/>
        <v>17069</v>
      </c>
      <c r="M252" s="1">
        <f t="shared" si="18"/>
        <v>130.64838307457157</v>
      </c>
      <c r="N252" s="7">
        <f t="shared" si="19"/>
        <v>130.64838307457157</v>
      </c>
    </row>
    <row r="253" spans="1:14" x14ac:dyDescent="0.25">
      <c r="A253" t="str">
        <f>"13:54:34.766"</f>
        <v>13:54:34.766</v>
      </c>
      <c r="B253">
        <v>39.180979999999998</v>
      </c>
      <c r="C253">
        <v>-77.540516999999994</v>
      </c>
      <c r="D253">
        <v>4500</v>
      </c>
      <c r="E253">
        <v>4775</v>
      </c>
      <c r="F253">
        <v>124</v>
      </c>
      <c r="G253">
        <v>40</v>
      </c>
      <c r="H253">
        <v>1472</v>
      </c>
      <c r="J253" s="1">
        <f t="shared" si="15"/>
        <v>15376</v>
      </c>
      <c r="K253" s="1">
        <f t="shared" si="16"/>
        <v>1600</v>
      </c>
      <c r="L253" s="1">
        <f t="shared" si="17"/>
        <v>16976</v>
      </c>
      <c r="M253" s="1">
        <f t="shared" si="18"/>
        <v>130.29197979921864</v>
      </c>
      <c r="N253" s="7">
        <f t="shared" si="19"/>
        <v>130.29197979921864</v>
      </c>
    </row>
    <row r="254" spans="1:14" x14ac:dyDescent="0.25">
      <c r="A254" t="str">
        <f>"13:54:35.773"</f>
        <v>13:54:35.773</v>
      </c>
      <c r="B254">
        <v>39.181130000000003</v>
      </c>
      <c r="C254">
        <v>-77.539895000000001</v>
      </c>
      <c r="D254">
        <v>4600</v>
      </c>
      <c r="E254">
        <v>4800</v>
      </c>
      <c r="F254">
        <v>122</v>
      </c>
      <c r="G254">
        <v>42</v>
      </c>
      <c r="H254">
        <v>1472</v>
      </c>
      <c r="J254" s="1">
        <f t="shared" si="15"/>
        <v>14884</v>
      </c>
      <c r="K254" s="1">
        <f t="shared" si="16"/>
        <v>1764</v>
      </c>
      <c r="L254" s="1">
        <f t="shared" si="17"/>
        <v>16648</v>
      </c>
      <c r="M254" s="1">
        <f t="shared" si="18"/>
        <v>129.02712893031449</v>
      </c>
      <c r="N254" s="7">
        <f t="shared" si="19"/>
        <v>129.02712893031449</v>
      </c>
    </row>
    <row r="255" spans="1:14" x14ac:dyDescent="0.25">
      <c r="A255" t="str">
        <f>"13:54:36.734"</f>
        <v>13:54:36.734</v>
      </c>
      <c r="B255">
        <v>39.181365999999997</v>
      </c>
      <c r="C255">
        <v>-77.539164999999997</v>
      </c>
      <c r="D255">
        <v>4600</v>
      </c>
      <c r="E255">
        <v>4825</v>
      </c>
      <c r="F255">
        <v>121</v>
      </c>
      <c r="G255">
        <v>44</v>
      </c>
      <c r="H255">
        <v>1408</v>
      </c>
      <c r="J255" s="1">
        <f t="shared" si="15"/>
        <v>14641</v>
      </c>
      <c r="K255" s="1">
        <f t="shared" si="16"/>
        <v>1936</v>
      </c>
      <c r="L255" s="1">
        <f t="shared" si="17"/>
        <v>16577</v>
      </c>
      <c r="M255" s="1">
        <f t="shared" si="18"/>
        <v>128.75169901791588</v>
      </c>
      <c r="N255" s="7">
        <f t="shared" si="19"/>
        <v>128.75169901791588</v>
      </c>
    </row>
    <row r="256" spans="1:14" x14ac:dyDescent="0.25">
      <c r="A256" t="str">
        <f>"13:54:37.789"</f>
        <v>13:54:37.789</v>
      </c>
      <c r="B256">
        <v>39.181581000000001</v>
      </c>
      <c r="C256">
        <v>-77.538392999999999</v>
      </c>
      <c r="D256">
        <v>4600</v>
      </c>
      <c r="E256">
        <v>4850</v>
      </c>
      <c r="F256">
        <v>119</v>
      </c>
      <c r="G256">
        <v>46</v>
      </c>
      <c r="H256">
        <v>1344</v>
      </c>
      <c r="J256" s="1">
        <f t="shared" si="15"/>
        <v>14161</v>
      </c>
      <c r="K256" s="1">
        <f t="shared" si="16"/>
        <v>2116</v>
      </c>
      <c r="L256" s="1">
        <f t="shared" si="17"/>
        <v>16277</v>
      </c>
      <c r="M256" s="1">
        <f t="shared" si="18"/>
        <v>127.58134659894448</v>
      </c>
      <c r="N256" s="7">
        <f t="shared" si="19"/>
        <v>127.58134659894448</v>
      </c>
    </row>
    <row r="257" spans="1:14" x14ac:dyDescent="0.25">
      <c r="A257" t="str">
        <f>"13:54:38.750"</f>
        <v>13:54:38.750</v>
      </c>
      <c r="B257">
        <v>39.181817000000002</v>
      </c>
      <c r="C257">
        <v>-77.537662999999995</v>
      </c>
      <c r="D257">
        <v>4600</v>
      </c>
      <c r="E257">
        <v>4875</v>
      </c>
      <c r="F257">
        <v>118</v>
      </c>
      <c r="G257">
        <v>49</v>
      </c>
      <c r="H257">
        <v>1152</v>
      </c>
      <c r="J257" s="1">
        <f t="shared" si="15"/>
        <v>13924</v>
      </c>
      <c r="K257" s="1">
        <f t="shared" si="16"/>
        <v>2401</v>
      </c>
      <c r="L257" s="1">
        <f t="shared" si="17"/>
        <v>16325</v>
      </c>
      <c r="M257" s="1">
        <f t="shared" si="18"/>
        <v>127.76932339180638</v>
      </c>
      <c r="N257" s="7">
        <f t="shared" si="19"/>
        <v>127.76932339180638</v>
      </c>
    </row>
    <row r="258" spans="1:14" x14ac:dyDescent="0.25">
      <c r="A258" t="str">
        <f>"13:54:39.711"</f>
        <v>13:54:39.711</v>
      </c>
      <c r="B258">
        <v>39.182053000000003</v>
      </c>
      <c r="C258">
        <v>-77.537019000000001</v>
      </c>
      <c r="D258">
        <v>4700</v>
      </c>
      <c r="E258">
        <v>4900</v>
      </c>
      <c r="F258">
        <v>117</v>
      </c>
      <c r="G258">
        <v>51</v>
      </c>
      <c r="H258">
        <v>1088</v>
      </c>
      <c r="J258" s="1">
        <f t="shared" si="15"/>
        <v>13689</v>
      </c>
      <c r="K258" s="1">
        <f t="shared" si="16"/>
        <v>2601</v>
      </c>
      <c r="L258" s="1">
        <f t="shared" si="17"/>
        <v>16290</v>
      </c>
      <c r="M258" s="1">
        <f t="shared" si="18"/>
        <v>127.63228431709588</v>
      </c>
      <c r="N258" s="7">
        <f t="shared" si="19"/>
        <v>127.63228431709588</v>
      </c>
    </row>
    <row r="259" spans="1:14" x14ac:dyDescent="0.25">
      <c r="A259" t="str">
        <f>"13:54:40.773"</f>
        <v>13:54:40.773</v>
      </c>
      <c r="B259">
        <v>39.182267000000003</v>
      </c>
      <c r="C259">
        <v>-77.536310999999998</v>
      </c>
      <c r="D259">
        <v>4700</v>
      </c>
      <c r="E259">
        <v>4900</v>
      </c>
      <c r="F259">
        <v>116</v>
      </c>
      <c r="G259">
        <v>53</v>
      </c>
      <c r="H259">
        <v>1088</v>
      </c>
      <c r="J259" s="1">
        <f t="shared" ref="J259:J322" si="20">F259^2</f>
        <v>13456</v>
      </c>
      <c r="K259" s="1">
        <f t="shared" ref="K259:K322" si="21">G259^2</f>
        <v>2809</v>
      </c>
      <c r="L259" s="1">
        <f t="shared" ref="L259:L322" si="22">SUMSQ(F259,G259)</f>
        <v>16265</v>
      </c>
      <c r="M259" s="1">
        <f t="shared" ref="M259:M322" si="23">SQRT(L259)</f>
        <v>127.534309109353</v>
      </c>
      <c r="N259" s="7">
        <f t="shared" ref="N259:N322" si="24">M259</f>
        <v>127.534309109353</v>
      </c>
    </row>
    <row r="260" spans="1:14" x14ac:dyDescent="0.25">
      <c r="A260" t="str">
        <f>"13:54:41.828"</f>
        <v>13:54:41.828</v>
      </c>
      <c r="B260">
        <v>39.182546000000002</v>
      </c>
      <c r="C260">
        <v>-77.535539</v>
      </c>
      <c r="D260">
        <v>4700</v>
      </c>
      <c r="E260">
        <v>4925</v>
      </c>
      <c r="F260">
        <v>115</v>
      </c>
      <c r="G260">
        <v>54</v>
      </c>
      <c r="H260">
        <v>1024</v>
      </c>
      <c r="J260" s="1">
        <f t="shared" si="20"/>
        <v>13225</v>
      </c>
      <c r="K260" s="1">
        <f t="shared" si="21"/>
        <v>2916</v>
      </c>
      <c r="L260" s="1">
        <f t="shared" si="22"/>
        <v>16141</v>
      </c>
      <c r="M260" s="1">
        <f t="shared" si="23"/>
        <v>127.04723531033645</v>
      </c>
      <c r="N260" s="7">
        <f t="shared" si="24"/>
        <v>127.04723531033645</v>
      </c>
    </row>
    <row r="261" spans="1:14" x14ac:dyDescent="0.25">
      <c r="A261" t="str">
        <f>"13:54:42.789"</f>
        <v>13:54:42.789</v>
      </c>
      <c r="B261">
        <v>39.182782000000003</v>
      </c>
      <c r="C261">
        <v>-77.534915999999996</v>
      </c>
      <c r="D261">
        <v>4700</v>
      </c>
      <c r="E261">
        <v>4950</v>
      </c>
      <c r="F261">
        <v>115</v>
      </c>
      <c r="G261">
        <v>55</v>
      </c>
      <c r="H261">
        <v>960</v>
      </c>
      <c r="J261" s="1">
        <f t="shared" si="20"/>
        <v>13225</v>
      </c>
      <c r="K261" s="1">
        <f t="shared" si="21"/>
        <v>3025</v>
      </c>
      <c r="L261" s="1">
        <f t="shared" si="22"/>
        <v>16250</v>
      </c>
      <c r="M261" s="1">
        <f t="shared" si="23"/>
        <v>127.47548783981962</v>
      </c>
      <c r="N261" s="7">
        <f t="shared" si="24"/>
        <v>127.47548783981962</v>
      </c>
    </row>
    <row r="262" spans="1:14" x14ac:dyDescent="0.25">
      <c r="A262" t="str">
        <f>"13:54:43.852"</f>
        <v>13:54:43.852</v>
      </c>
      <c r="B262">
        <v>39.183104</v>
      </c>
      <c r="C262">
        <v>-77.534165000000002</v>
      </c>
      <c r="D262">
        <v>4700</v>
      </c>
      <c r="E262">
        <v>4950</v>
      </c>
      <c r="F262">
        <v>114</v>
      </c>
      <c r="G262">
        <v>56</v>
      </c>
      <c r="H262">
        <v>960</v>
      </c>
      <c r="J262" s="1">
        <f t="shared" si="20"/>
        <v>12996</v>
      </c>
      <c r="K262" s="1">
        <f t="shared" si="21"/>
        <v>3136</v>
      </c>
      <c r="L262" s="1">
        <f t="shared" si="22"/>
        <v>16132</v>
      </c>
      <c r="M262" s="1">
        <f t="shared" si="23"/>
        <v>127.01181047445942</v>
      </c>
      <c r="N262" s="7">
        <f t="shared" si="24"/>
        <v>127.01181047445942</v>
      </c>
    </row>
    <row r="263" spans="1:14" x14ac:dyDescent="0.25">
      <c r="A263" t="str">
        <f>"13:54:44.758"</f>
        <v>13:54:44.758</v>
      </c>
      <c r="B263">
        <v>39.183340000000001</v>
      </c>
      <c r="C263">
        <v>-77.533564999999996</v>
      </c>
      <c r="D263">
        <v>4700</v>
      </c>
      <c r="E263">
        <v>4975</v>
      </c>
      <c r="F263">
        <v>114</v>
      </c>
      <c r="G263">
        <v>56</v>
      </c>
      <c r="H263">
        <v>960</v>
      </c>
      <c r="J263" s="1">
        <f t="shared" si="20"/>
        <v>12996</v>
      </c>
      <c r="K263" s="1">
        <f t="shared" si="21"/>
        <v>3136</v>
      </c>
      <c r="L263" s="1">
        <f t="shared" si="22"/>
        <v>16132</v>
      </c>
      <c r="M263" s="1">
        <f t="shared" si="23"/>
        <v>127.01181047445942</v>
      </c>
      <c r="N263" s="7">
        <f t="shared" si="24"/>
        <v>127.01181047445942</v>
      </c>
    </row>
    <row r="264" spans="1:14" x14ac:dyDescent="0.25">
      <c r="A264" t="str">
        <f>"13:54:45.719"</f>
        <v>13:54:45.719</v>
      </c>
      <c r="B264">
        <v>39.183554999999998</v>
      </c>
      <c r="C264">
        <v>-77.532964000000007</v>
      </c>
      <c r="D264">
        <v>4800</v>
      </c>
      <c r="E264">
        <v>5000</v>
      </c>
      <c r="F264">
        <v>114</v>
      </c>
      <c r="G264">
        <v>57</v>
      </c>
      <c r="H264">
        <v>960</v>
      </c>
      <c r="J264" s="1">
        <f t="shared" si="20"/>
        <v>12996</v>
      </c>
      <c r="K264" s="1">
        <f t="shared" si="21"/>
        <v>3249</v>
      </c>
      <c r="L264" s="1">
        <f t="shared" si="22"/>
        <v>16245</v>
      </c>
      <c r="M264" s="1">
        <f t="shared" si="23"/>
        <v>127.45587471748802</v>
      </c>
      <c r="N264" s="7">
        <f t="shared" si="24"/>
        <v>127.45587471748802</v>
      </c>
    </row>
    <row r="265" spans="1:14" x14ac:dyDescent="0.25">
      <c r="A265" t="str">
        <f>"13:54:46.828"</f>
        <v>13:54:46.828</v>
      </c>
      <c r="B265">
        <v>39.183855000000001</v>
      </c>
      <c r="C265">
        <v>-77.532234000000003</v>
      </c>
      <c r="D265">
        <v>4800</v>
      </c>
      <c r="E265">
        <v>5000</v>
      </c>
      <c r="F265">
        <v>114</v>
      </c>
      <c r="G265">
        <v>57</v>
      </c>
      <c r="H265">
        <v>960</v>
      </c>
      <c r="J265" s="1">
        <f t="shared" si="20"/>
        <v>12996</v>
      </c>
      <c r="K265" s="1">
        <f t="shared" si="21"/>
        <v>3249</v>
      </c>
      <c r="L265" s="1">
        <f t="shared" si="22"/>
        <v>16245</v>
      </c>
      <c r="M265" s="1">
        <f t="shared" si="23"/>
        <v>127.45587471748802</v>
      </c>
      <c r="N265" s="7">
        <f t="shared" si="24"/>
        <v>127.45587471748802</v>
      </c>
    </row>
    <row r="266" spans="1:14" x14ac:dyDescent="0.25">
      <c r="A266" t="str">
        <f>"13:54:47.789"</f>
        <v>13:54:47.789</v>
      </c>
      <c r="B266">
        <v>39.184134</v>
      </c>
      <c r="C266">
        <v>-77.531548000000001</v>
      </c>
      <c r="D266">
        <v>4800</v>
      </c>
      <c r="E266">
        <v>5025</v>
      </c>
      <c r="F266">
        <v>114</v>
      </c>
      <c r="G266">
        <v>57</v>
      </c>
      <c r="H266">
        <v>896</v>
      </c>
      <c r="J266" s="1">
        <f t="shared" si="20"/>
        <v>12996</v>
      </c>
      <c r="K266" s="1">
        <f t="shared" si="21"/>
        <v>3249</v>
      </c>
      <c r="L266" s="1">
        <f t="shared" si="22"/>
        <v>16245</v>
      </c>
      <c r="M266" s="1">
        <f t="shared" si="23"/>
        <v>127.45587471748802</v>
      </c>
      <c r="N266" s="7">
        <f t="shared" si="24"/>
        <v>127.45587471748802</v>
      </c>
    </row>
    <row r="267" spans="1:14" x14ac:dyDescent="0.25">
      <c r="A267" t="str">
        <f>"13:54:48.852"</f>
        <v>13:54:48.852</v>
      </c>
      <c r="B267">
        <v>39.184390999999998</v>
      </c>
      <c r="C267">
        <v>-77.530817999999996</v>
      </c>
      <c r="D267">
        <v>4800</v>
      </c>
      <c r="E267">
        <v>5050</v>
      </c>
      <c r="F267">
        <v>114</v>
      </c>
      <c r="G267">
        <v>57</v>
      </c>
      <c r="H267">
        <v>896</v>
      </c>
      <c r="J267" s="1">
        <f t="shared" si="20"/>
        <v>12996</v>
      </c>
      <c r="K267" s="1">
        <f t="shared" si="21"/>
        <v>3249</v>
      </c>
      <c r="L267" s="1">
        <f t="shared" si="22"/>
        <v>16245</v>
      </c>
      <c r="M267" s="1">
        <f t="shared" si="23"/>
        <v>127.45587471748802</v>
      </c>
      <c r="N267" s="7">
        <f t="shared" si="24"/>
        <v>127.45587471748802</v>
      </c>
    </row>
    <row r="268" spans="1:14" x14ac:dyDescent="0.25">
      <c r="A268" t="str">
        <f>"13:54:49.813"</f>
        <v>13:54:49.813</v>
      </c>
      <c r="B268">
        <v>39.184649</v>
      </c>
      <c r="C268">
        <v>-77.530152999999999</v>
      </c>
      <c r="D268">
        <v>4800</v>
      </c>
      <c r="E268">
        <v>5050</v>
      </c>
      <c r="F268">
        <v>115</v>
      </c>
      <c r="G268">
        <v>57</v>
      </c>
      <c r="H268">
        <v>896</v>
      </c>
      <c r="J268" s="1">
        <f t="shared" si="20"/>
        <v>13225</v>
      </c>
      <c r="K268" s="1">
        <f t="shared" si="21"/>
        <v>3249</v>
      </c>
      <c r="L268" s="1">
        <f t="shared" si="22"/>
        <v>16474</v>
      </c>
      <c r="M268" s="1">
        <f t="shared" si="23"/>
        <v>128.35108102388543</v>
      </c>
      <c r="N268" s="7">
        <f t="shared" si="24"/>
        <v>128.35108102388543</v>
      </c>
    </row>
    <row r="269" spans="1:14" x14ac:dyDescent="0.25">
      <c r="A269" t="str">
        <f>"13:54:50.766"</f>
        <v>13:54:50.766</v>
      </c>
      <c r="B269">
        <v>39.184885000000001</v>
      </c>
      <c r="C269">
        <v>-77.529551999999995</v>
      </c>
      <c r="D269">
        <v>4800</v>
      </c>
      <c r="E269">
        <v>5075</v>
      </c>
      <c r="F269">
        <v>115</v>
      </c>
      <c r="G269">
        <v>57</v>
      </c>
      <c r="H269">
        <v>896</v>
      </c>
      <c r="J269" s="1">
        <f t="shared" si="20"/>
        <v>13225</v>
      </c>
      <c r="K269" s="1">
        <f t="shared" si="21"/>
        <v>3249</v>
      </c>
      <c r="L269" s="1">
        <f t="shared" si="22"/>
        <v>16474</v>
      </c>
      <c r="M269" s="1">
        <f t="shared" si="23"/>
        <v>128.35108102388543</v>
      </c>
      <c r="N269" s="7">
        <f t="shared" si="24"/>
        <v>128.35108102388543</v>
      </c>
    </row>
    <row r="270" spans="1:14" x14ac:dyDescent="0.25">
      <c r="A270" t="str">
        <f>"13:54:51.781"</f>
        <v>13:54:51.781</v>
      </c>
      <c r="B270">
        <v>39.185164</v>
      </c>
      <c r="C270">
        <v>-77.528801000000001</v>
      </c>
      <c r="D270">
        <v>4800</v>
      </c>
      <c r="E270">
        <v>5075</v>
      </c>
      <c r="F270">
        <v>116</v>
      </c>
      <c r="G270">
        <v>56</v>
      </c>
      <c r="H270">
        <v>832</v>
      </c>
      <c r="J270" s="1">
        <f t="shared" si="20"/>
        <v>13456</v>
      </c>
      <c r="K270" s="1">
        <f t="shared" si="21"/>
        <v>3136</v>
      </c>
      <c r="L270" s="1">
        <f t="shared" si="22"/>
        <v>16592</v>
      </c>
      <c r="M270" s="1">
        <f t="shared" si="23"/>
        <v>128.80993750483694</v>
      </c>
      <c r="N270" s="7">
        <f t="shared" si="24"/>
        <v>128.80993750483694</v>
      </c>
    </row>
    <row r="271" spans="1:14" x14ac:dyDescent="0.25">
      <c r="A271" t="str">
        <f>"13:54:52.938"</f>
        <v>13:54:52.938</v>
      </c>
      <c r="B271">
        <v>39.185442999999999</v>
      </c>
      <c r="C271">
        <v>-77.528007000000002</v>
      </c>
      <c r="D271">
        <v>4800</v>
      </c>
      <c r="E271">
        <v>5100</v>
      </c>
      <c r="F271">
        <v>117</v>
      </c>
      <c r="G271">
        <v>55</v>
      </c>
      <c r="H271">
        <v>832</v>
      </c>
      <c r="J271" s="1">
        <f t="shared" si="20"/>
        <v>13689</v>
      </c>
      <c r="K271" s="1">
        <f t="shared" si="21"/>
        <v>3025</v>
      </c>
      <c r="L271" s="1">
        <f t="shared" si="22"/>
        <v>16714</v>
      </c>
      <c r="M271" s="1">
        <f t="shared" si="23"/>
        <v>129.28263611173776</v>
      </c>
      <c r="N271" s="7">
        <f t="shared" si="24"/>
        <v>129.28263611173776</v>
      </c>
    </row>
    <row r="272" spans="1:14" x14ac:dyDescent="0.25">
      <c r="A272" t="str">
        <f>"13:54:54.055"</f>
        <v>13:54:54.055</v>
      </c>
      <c r="B272">
        <v>39.185721999999998</v>
      </c>
      <c r="C272">
        <v>-77.527276999999998</v>
      </c>
      <c r="D272">
        <v>4900</v>
      </c>
      <c r="E272">
        <v>5125</v>
      </c>
      <c r="F272">
        <v>118</v>
      </c>
      <c r="G272">
        <v>54</v>
      </c>
      <c r="H272">
        <v>832</v>
      </c>
      <c r="J272" s="1">
        <f t="shared" si="20"/>
        <v>13924</v>
      </c>
      <c r="K272" s="1">
        <f t="shared" si="21"/>
        <v>2916</v>
      </c>
      <c r="L272" s="1">
        <f t="shared" si="22"/>
        <v>16840</v>
      </c>
      <c r="M272" s="1">
        <f t="shared" si="23"/>
        <v>129.76902558006668</v>
      </c>
      <c r="N272" s="7">
        <f t="shared" si="24"/>
        <v>129.76902558006668</v>
      </c>
    </row>
    <row r="273" spans="1:14" x14ac:dyDescent="0.25">
      <c r="A273" t="str">
        <f>"13:54:55.008"</f>
        <v>13:54:55.008</v>
      </c>
      <c r="B273">
        <v>39.185957999999999</v>
      </c>
      <c r="C273">
        <v>-77.526548000000005</v>
      </c>
      <c r="D273">
        <v>4900</v>
      </c>
      <c r="E273">
        <v>5125</v>
      </c>
      <c r="F273">
        <v>118</v>
      </c>
      <c r="G273">
        <v>53</v>
      </c>
      <c r="H273">
        <v>768</v>
      </c>
      <c r="J273" s="1">
        <f t="shared" si="20"/>
        <v>13924</v>
      </c>
      <c r="K273" s="1">
        <f t="shared" si="21"/>
        <v>2809</v>
      </c>
      <c r="L273" s="1">
        <f t="shared" si="22"/>
        <v>16733</v>
      </c>
      <c r="M273" s="1">
        <f t="shared" si="23"/>
        <v>129.3560976529518</v>
      </c>
      <c r="N273" s="7">
        <f t="shared" si="24"/>
        <v>129.3560976529518</v>
      </c>
    </row>
    <row r="274" spans="1:14" x14ac:dyDescent="0.25">
      <c r="A274" t="str">
        <f>"13:54:56.070"</f>
        <v>13:54:56.070</v>
      </c>
      <c r="B274">
        <v>39.186214999999997</v>
      </c>
      <c r="C274">
        <v>-77.525796999999997</v>
      </c>
      <c r="D274">
        <v>4900</v>
      </c>
      <c r="E274">
        <v>5150</v>
      </c>
      <c r="F274">
        <v>119</v>
      </c>
      <c r="G274">
        <v>53</v>
      </c>
      <c r="H274">
        <v>832</v>
      </c>
      <c r="J274" s="1">
        <f t="shared" si="20"/>
        <v>14161</v>
      </c>
      <c r="K274" s="1">
        <f t="shared" si="21"/>
        <v>2809</v>
      </c>
      <c r="L274" s="1">
        <f t="shared" si="22"/>
        <v>16970</v>
      </c>
      <c r="M274" s="1">
        <f t="shared" si="23"/>
        <v>130.26895255585654</v>
      </c>
      <c r="N274" s="7">
        <f t="shared" si="24"/>
        <v>130.26895255585654</v>
      </c>
    </row>
    <row r="275" spans="1:14" x14ac:dyDescent="0.25">
      <c r="A275" t="str">
        <f>"13:54:57.188"</f>
        <v>13:54:57.188</v>
      </c>
      <c r="B275">
        <v>39.186515999999997</v>
      </c>
      <c r="C275">
        <v>-77.524959999999993</v>
      </c>
      <c r="D275">
        <v>4900</v>
      </c>
      <c r="E275">
        <v>5150</v>
      </c>
      <c r="F275">
        <v>120</v>
      </c>
      <c r="G275">
        <v>52</v>
      </c>
      <c r="H275">
        <v>832</v>
      </c>
      <c r="J275" s="1">
        <f t="shared" si="20"/>
        <v>14400</v>
      </c>
      <c r="K275" s="1">
        <f t="shared" si="21"/>
        <v>2704</v>
      </c>
      <c r="L275" s="1">
        <f t="shared" si="22"/>
        <v>17104</v>
      </c>
      <c r="M275" s="1">
        <f t="shared" si="23"/>
        <v>130.78226179417453</v>
      </c>
      <c r="N275" s="7">
        <f t="shared" si="24"/>
        <v>130.78226179417453</v>
      </c>
    </row>
    <row r="276" spans="1:14" x14ac:dyDescent="0.25">
      <c r="A276" t="str">
        <f>"13:54:58.289"</f>
        <v>13:54:58.289</v>
      </c>
      <c r="B276">
        <v>39.186773000000002</v>
      </c>
      <c r="C276">
        <v>-77.524187999999995</v>
      </c>
      <c r="D276">
        <v>4900</v>
      </c>
      <c r="E276">
        <v>5175</v>
      </c>
      <c r="F276">
        <v>120</v>
      </c>
      <c r="G276">
        <v>52</v>
      </c>
      <c r="H276">
        <v>832</v>
      </c>
      <c r="J276" s="1">
        <f t="shared" si="20"/>
        <v>14400</v>
      </c>
      <c r="K276" s="1">
        <f t="shared" si="21"/>
        <v>2704</v>
      </c>
      <c r="L276" s="1">
        <f t="shared" si="22"/>
        <v>17104</v>
      </c>
      <c r="M276" s="1">
        <f t="shared" si="23"/>
        <v>130.78226179417453</v>
      </c>
      <c r="N276" s="7">
        <f t="shared" si="24"/>
        <v>130.78226179417453</v>
      </c>
    </row>
    <row r="277" spans="1:14" x14ac:dyDescent="0.25">
      <c r="A277" t="str">
        <f>"13:54:59.250"</f>
        <v>13:54:59.250</v>
      </c>
      <c r="B277">
        <v>39.186987999999999</v>
      </c>
      <c r="C277">
        <v>-77.523478999999995</v>
      </c>
      <c r="D277">
        <v>5000</v>
      </c>
      <c r="E277">
        <v>5175</v>
      </c>
      <c r="F277">
        <v>120</v>
      </c>
      <c r="G277">
        <v>53</v>
      </c>
      <c r="H277">
        <v>832</v>
      </c>
      <c r="J277" s="1">
        <f t="shared" si="20"/>
        <v>14400</v>
      </c>
      <c r="K277" s="1">
        <f t="shared" si="21"/>
        <v>2809</v>
      </c>
      <c r="L277" s="1">
        <f t="shared" si="22"/>
        <v>17209</v>
      </c>
      <c r="M277" s="1">
        <f t="shared" si="23"/>
        <v>131.18307817702708</v>
      </c>
      <c r="N277" s="7">
        <f t="shared" si="24"/>
        <v>131.18307817702708</v>
      </c>
    </row>
    <row r="278" spans="1:14" x14ac:dyDescent="0.25">
      <c r="A278" t="str">
        <f>"13:55:00.258"</f>
        <v>13:55:00.258</v>
      </c>
      <c r="B278">
        <v>39.187201999999999</v>
      </c>
      <c r="C278">
        <v>-77.522835999999998</v>
      </c>
      <c r="D278">
        <v>5000</v>
      </c>
      <c r="E278">
        <v>5200</v>
      </c>
      <c r="F278">
        <v>120</v>
      </c>
      <c r="G278">
        <v>53</v>
      </c>
      <c r="H278">
        <v>832</v>
      </c>
      <c r="J278" s="1">
        <f t="shared" si="20"/>
        <v>14400</v>
      </c>
      <c r="K278" s="1">
        <f t="shared" si="21"/>
        <v>2809</v>
      </c>
      <c r="L278" s="1">
        <f t="shared" si="22"/>
        <v>17209</v>
      </c>
      <c r="M278" s="1">
        <f t="shared" si="23"/>
        <v>131.18307817702708</v>
      </c>
      <c r="N278" s="7">
        <f t="shared" si="24"/>
        <v>131.18307817702708</v>
      </c>
    </row>
    <row r="279" spans="1:14" x14ac:dyDescent="0.25">
      <c r="A279" t="str">
        <f>"13:55:01.320"</f>
        <v>13:55:01.320</v>
      </c>
      <c r="B279">
        <v>39.187503</v>
      </c>
      <c r="C279">
        <v>-77.522041999999999</v>
      </c>
      <c r="D279">
        <v>5000</v>
      </c>
      <c r="E279">
        <v>5225</v>
      </c>
      <c r="F279">
        <v>120</v>
      </c>
      <c r="G279">
        <v>54</v>
      </c>
      <c r="H279">
        <v>896</v>
      </c>
      <c r="J279" s="1">
        <f t="shared" si="20"/>
        <v>14400</v>
      </c>
      <c r="K279" s="1">
        <f t="shared" si="21"/>
        <v>2916</v>
      </c>
      <c r="L279" s="1">
        <f t="shared" si="22"/>
        <v>17316</v>
      </c>
      <c r="M279" s="1">
        <f t="shared" si="23"/>
        <v>131.59027319676784</v>
      </c>
      <c r="N279" s="7">
        <f t="shared" si="24"/>
        <v>131.59027319676784</v>
      </c>
    </row>
    <row r="280" spans="1:14" x14ac:dyDescent="0.25">
      <c r="A280" t="str">
        <f>"13:55:02.336"</f>
        <v>13:55:02.336</v>
      </c>
      <c r="B280">
        <v>39.187781999999999</v>
      </c>
      <c r="C280">
        <v>-77.521311999999995</v>
      </c>
      <c r="D280">
        <v>5000</v>
      </c>
      <c r="E280">
        <v>5225</v>
      </c>
      <c r="F280">
        <v>120</v>
      </c>
      <c r="G280">
        <v>55</v>
      </c>
      <c r="H280">
        <v>896</v>
      </c>
      <c r="J280" s="1">
        <f t="shared" si="20"/>
        <v>14400</v>
      </c>
      <c r="K280" s="1">
        <f t="shared" si="21"/>
        <v>3025</v>
      </c>
      <c r="L280" s="1">
        <f t="shared" si="22"/>
        <v>17425</v>
      </c>
      <c r="M280" s="1">
        <f t="shared" si="23"/>
        <v>132.00378782444085</v>
      </c>
      <c r="N280" s="7">
        <f t="shared" si="24"/>
        <v>132.00378782444085</v>
      </c>
    </row>
    <row r="281" spans="1:14" x14ac:dyDescent="0.25">
      <c r="A281" t="str">
        <f>"13:55:03.344"</f>
        <v>13:55:03.344</v>
      </c>
      <c r="B281">
        <v>39.187995999999998</v>
      </c>
      <c r="C281">
        <v>-77.520668999999998</v>
      </c>
      <c r="D281">
        <v>5000</v>
      </c>
      <c r="E281">
        <v>5250</v>
      </c>
      <c r="F281">
        <v>119</v>
      </c>
      <c r="G281">
        <v>56</v>
      </c>
      <c r="H281">
        <v>896</v>
      </c>
      <c r="J281" s="1">
        <f t="shared" si="20"/>
        <v>14161</v>
      </c>
      <c r="K281" s="1">
        <f t="shared" si="21"/>
        <v>3136</v>
      </c>
      <c r="L281" s="1">
        <f t="shared" si="22"/>
        <v>17297</v>
      </c>
      <c r="M281" s="1">
        <f t="shared" si="23"/>
        <v>131.51805959639154</v>
      </c>
      <c r="N281" s="7">
        <f t="shared" si="24"/>
        <v>131.51805959639154</v>
      </c>
    </row>
    <row r="282" spans="1:14" x14ac:dyDescent="0.25">
      <c r="A282" t="str">
        <f>"13:55:04.250"</f>
        <v>13:55:04.250</v>
      </c>
      <c r="B282">
        <v>39.188274999999997</v>
      </c>
      <c r="C282">
        <v>-77.519938999999994</v>
      </c>
      <c r="D282">
        <v>5000</v>
      </c>
      <c r="E282">
        <v>5250</v>
      </c>
      <c r="F282">
        <v>118</v>
      </c>
      <c r="G282">
        <v>57</v>
      </c>
      <c r="H282">
        <v>960</v>
      </c>
      <c r="J282" s="1">
        <f t="shared" si="20"/>
        <v>13924</v>
      </c>
      <c r="K282" s="1">
        <f t="shared" si="21"/>
        <v>3249</v>
      </c>
      <c r="L282" s="1">
        <f t="shared" si="22"/>
        <v>17173</v>
      </c>
      <c r="M282" s="1">
        <f t="shared" si="23"/>
        <v>131.04579352272242</v>
      </c>
      <c r="N282" s="7">
        <f t="shared" si="24"/>
        <v>131.04579352272242</v>
      </c>
    </row>
    <row r="283" spans="1:14" x14ac:dyDescent="0.25">
      <c r="A283" t="str">
        <f>"13:55:05.414"</f>
        <v>13:55:05.414</v>
      </c>
      <c r="B283">
        <v>39.188597000000001</v>
      </c>
      <c r="C283">
        <v>-77.519165999999998</v>
      </c>
      <c r="D283">
        <v>5000</v>
      </c>
      <c r="E283">
        <v>5275</v>
      </c>
      <c r="F283">
        <v>118</v>
      </c>
      <c r="G283">
        <v>59</v>
      </c>
      <c r="H283">
        <v>960</v>
      </c>
      <c r="J283" s="1">
        <f t="shared" si="20"/>
        <v>13924</v>
      </c>
      <c r="K283" s="1">
        <f t="shared" si="21"/>
        <v>3481</v>
      </c>
      <c r="L283" s="1">
        <f t="shared" si="22"/>
        <v>17405</v>
      </c>
      <c r="M283" s="1">
        <f t="shared" si="23"/>
        <v>131.9280106724876</v>
      </c>
      <c r="N283" s="7">
        <f t="shared" si="24"/>
        <v>131.9280106724876</v>
      </c>
    </row>
    <row r="284" spans="1:14" x14ac:dyDescent="0.25">
      <c r="A284" t="str">
        <f>"13:55:06.375"</f>
        <v>13:55:06.375</v>
      </c>
      <c r="B284">
        <v>39.188876</v>
      </c>
      <c r="C284">
        <v>-77.518437000000006</v>
      </c>
      <c r="D284">
        <v>5000</v>
      </c>
      <c r="E284">
        <v>5300</v>
      </c>
      <c r="F284">
        <v>117</v>
      </c>
      <c r="G284">
        <v>60</v>
      </c>
      <c r="H284">
        <v>1024</v>
      </c>
      <c r="J284" s="1">
        <f t="shared" si="20"/>
        <v>13689</v>
      </c>
      <c r="K284" s="1">
        <f t="shared" si="21"/>
        <v>3600</v>
      </c>
      <c r="L284" s="1">
        <f t="shared" si="22"/>
        <v>17289</v>
      </c>
      <c r="M284" s="1">
        <f t="shared" si="23"/>
        <v>131.48764200486676</v>
      </c>
      <c r="N284" s="7">
        <f t="shared" si="24"/>
        <v>131.48764200486676</v>
      </c>
    </row>
    <row r="285" spans="1:14" x14ac:dyDescent="0.25">
      <c r="A285" t="str">
        <f>"13:55:07.383"</f>
        <v>13:55:07.383</v>
      </c>
      <c r="B285">
        <v>39.189155</v>
      </c>
      <c r="C285">
        <v>-77.517771999999994</v>
      </c>
      <c r="D285">
        <v>5100</v>
      </c>
      <c r="E285">
        <v>5300</v>
      </c>
      <c r="F285">
        <v>117</v>
      </c>
      <c r="G285">
        <v>60</v>
      </c>
      <c r="H285">
        <v>1024</v>
      </c>
      <c r="J285" s="1">
        <f t="shared" si="20"/>
        <v>13689</v>
      </c>
      <c r="K285" s="1">
        <f t="shared" si="21"/>
        <v>3600</v>
      </c>
      <c r="L285" s="1">
        <f t="shared" si="22"/>
        <v>17289</v>
      </c>
      <c r="M285" s="1">
        <f t="shared" si="23"/>
        <v>131.48764200486676</v>
      </c>
      <c r="N285" s="7">
        <f t="shared" si="24"/>
        <v>131.48764200486676</v>
      </c>
    </row>
    <row r="286" spans="1:14" x14ac:dyDescent="0.25">
      <c r="A286" t="str">
        <f>"13:55:08.445"</f>
        <v>13:55:08.445</v>
      </c>
      <c r="B286">
        <v>39.189433999999999</v>
      </c>
      <c r="C286">
        <v>-77.517084999999994</v>
      </c>
      <c r="D286">
        <v>5100</v>
      </c>
      <c r="E286">
        <v>5325</v>
      </c>
      <c r="F286">
        <v>117</v>
      </c>
      <c r="G286">
        <v>60</v>
      </c>
      <c r="H286">
        <v>1088</v>
      </c>
      <c r="J286" s="1">
        <f t="shared" si="20"/>
        <v>13689</v>
      </c>
      <c r="K286" s="1">
        <f t="shared" si="21"/>
        <v>3600</v>
      </c>
      <c r="L286" s="1">
        <f t="shared" si="22"/>
        <v>17289</v>
      </c>
      <c r="M286" s="1">
        <f t="shared" si="23"/>
        <v>131.48764200486676</v>
      </c>
      <c r="N286" s="7">
        <f t="shared" si="24"/>
        <v>131.48764200486676</v>
      </c>
    </row>
    <row r="287" spans="1:14" x14ac:dyDescent="0.25">
      <c r="A287" t="str">
        <f>"13:55:09.453"</f>
        <v>13:55:09.453</v>
      </c>
      <c r="B287">
        <v>39.189734000000001</v>
      </c>
      <c r="C287">
        <v>-77.516312999999997</v>
      </c>
      <c r="D287">
        <v>5100</v>
      </c>
      <c r="E287">
        <v>5350</v>
      </c>
      <c r="F287">
        <v>117</v>
      </c>
      <c r="G287">
        <v>59</v>
      </c>
      <c r="H287">
        <v>1088</v>
      </c>
      <c r="J287" s="1">
        <f t="shared" si="20"/>
        <v>13689</v>
      </c>
      <c r="K287" s="1">
        <f t="shared" si="21"/>
        <v>3481</v>
      </c>
      <c r="L287" s="1">
        <f t="shared" si="22"/>
        <v>17170</v>
      </c>
      <c r="M287" s="1">
        <f t="shared" si="23"/>
        <v>131.03434664239754</v>
      </c>
      <c r="N287" s="7">
        <f t="shared" si="24"/>
        <v>131.03434664239754</v>
      </c>
    </row>
    <row r="288" spans="1:14" x14ac:dyDescent="0.25">
      <c r="A288" t="str">
        <f>"13:55:10.414"</f>
        <v>13:55:10.414</v>
      </c>
      <c r="B288">
        <v>39.189948999999999</v>
      </c>
      <c r="C288">
        <v>-77.515690000000006</v>
      </c>
      <c r="D288">
        <v>5100</v>
      </c>
      <c r="E288">
        <v>5375</v>
      </c>
      <c r="F288">
        <v>117</v>
      </c>
      <c r="G288">
        <v>58</v>
      </c>
      <c r="H288">
        <v>1088</v>
      </c>
      <c r="J288" s="1">
        <f t="shared" si="20"/>
        <v>13689</v>
      </c>
      <c r="K288" s="1">
        <f t="shared" si="21"/>
        <v>3364</v>
      </c>
      <c r="L288" s="1">
        <f t="shared" si="22"/>
        <v>17053</v>
      </c>
      <c r="M288" s="1">
        <f t="shared" si="23"/>
        <v>130.58713566044705</v>
      </c>
      <c r="N288" s="7">
        <f t="shared" si="24"/>
        <v>130.58713566044705</v>
      </c>
    </row>
    <row r="289" spans="1:14" x14ac:dyDescent="0.25">
      <c r="A289" t="str">
        <f>"13:55:11.320"</f>
        <v>13:55:11.320</v>
      </c>
      <c r="B289">
        <v>39.190207000000001</v>
      </c>
      <c r="C289">
        <v>-77.515046999999996</v>
      </c>
      <c r="D289">
        <v>5100</v>
      </c>
      <c r="E289">
        <v>5375</v>
      </c>
      <c r="F289">
        <v>118</v>
      </c>
      <c r="G289">
        <v>56</v>
      </c>
      <c r="H289">
        <v>1152</v>
      </c>
      <c r="J289" s="1">
        <f t="shared" si="20"/>
        <v>13924</v>
      </c>
      <c r="K289" s="1">
        <f t="shared" si="21"/>
        <v>3136</v>
      </c>
      <c r="L289" s="1">
        <f t="shared" si="22"/>
        <v>17060</v>
      </c>
      <c r="M289" s="1">
        <f t="shared" si="23"/>
        <v>130.61393493804556</v>
      </c>
      <c r="N289" s="7">
        <f t="shared" si="24"/>
        <v>130.61393493804556</v>
      </c>
    </row>
    <row r="290" spans="1:14" x14ac:dyDescent="0.25">
      <c r="A290" t="str">
        <f>"13:55:12.383"</f>
        <v>13:55:12.383</v>
      </c>
      <c r="B290">
        <v>39.190421000000001</v>
      </c>
      <c r="C290">
        <v>-77.514337999999995</v>
      </c>
      <c r="D290">
        <v>5200</v>
      </c>
      <c r="E290">
        <v>5400</v>
      </c>
      <c r="F290">
        <v>119</v>
      </c>
      <c r="G290">
        <v>55</v>
      </c>
      <c r="H290">
        <v>1088</v>
      </c>
      <c r="J290" s="1">
        <f t="shared" si="20"/>
        <v>14161</v>
      </c>
      <c r="K290" s="1">
        <f t="shared" si="21"/>
        <v>3025</v>
      </c>
      <c r="L290" s="1">
        <f t="shared" si="22"/>
        <v>17186</v>
      </c>
      <c r="M290" s="1">
        <f t="shared" si="23"/>
        <v>131.09538512091109</v>
      </c>
      <c r="N290" s="7">
        <f t="shared" si="24"/>
        <v>131.09538512091109</v>
      </c>
    </row>
    <row r="291" spans="1:14" x14ac:dyDescent="0.25">
      <c r="A291" t="str">
        <f>"13:55:13.344"</f>
        <v>13:55:13.344</v>
      </c>
      <c r="B291">
        <v>39.190742999999998</v>
      </c>
      <c r="C291">
        <v>-77.513544999999993</v>
      </c>
      <c r="D291">
        <v>5200</v>
      </c>
      <c r="E291">
        <v>5425</v>
      </c>
      <c r="F291">
        <v>119</v>
      </c>
      <c r="G291">
        <v>54</v>
      </c>
      <c r="H291">
        <v>1088</v>
      </c>
      <c r="J291" s="1">
        <f t="shared" si="20"/>
        <v>14161</v>
      </c>
      <c r="K291" s="1">
        <f t="shared" si="21"/>
        <v>2916</v>
      </c>
      <c r="L291" s="1">
        <f t="shared" si="22"/>
        <v>17077</v>
      </c>
      <c r="M291" s="1">
        <f t="shared" si="23"/>
        <v>130.67899601695751</v>
      </c>
      <c r="N291" s="7">
        <f t="shared" si="24"/>
        <v>130.67899601695751</v>
      </c>
    </row>
    <row r="292" spans="1:14" x14ac:dyDescent="0.25">
      <c r="A292" t="str">
        <f>"13:55:14.352"</f>
        <v>13:55:14.352</v>
      </c>
      <c r="B292">
        <v>39.190936000000001</v>
      </c>
      <c r="C292">
        <v>-77.512900999999999</v>
      </c>
      <c r="D292">
        <v>5200</v>
      </c>
      <c r="E292">
        <v>5450</v>
      </c>
      <c r="F292">
        <v>120</v>
      </c>
      <c r="G292">
        <v>52</v>
      </c>
      <c r="H292">
        <v>1024</v>
      </c>
      <c r="J292" s="1">
        <f t="shared" si="20"/>
        <v>14400</v>
      </c>
      <c r="K292" s="1">
        <f t="shared" si="21"/>
        <v>2704</v>
      </c>
      <c r="L292" s="1">
        <f t="shared" si="22"/>
        <v>17104</v>
      </c>
      <c r="M292" s="1">
        <f t="shared" si="23"/>
        <v>130.78226179417453</v>
      </c>
      <c r="N292" s="7">
        <f t="shared" si="24"/>
        <v>130.78226179417453</v>
      </c>
    </row>
    <row r="293" spans="1:14" x14ac:dyDescent="0.25">
      <c r="A293" t="str">
        <f>"13:55:15.258"</f>
        <v>13:55:15.258</v>
      </c>
      <c r="B293">
        <v>39.191172000000002</v>
      </c>
      <c r="C293">
        <v>-77.512192999999996</v>
      </c>
      <c r="D293">
        <v>5200</v>
      </c>
      <c r="E293">
        <v>5450</v>
      </c>
      <c r="F293">
        <v>120</v>
      </c>
      <c r="G293">
        <v>51</v>
      </c>
      <c r="H293">
        <v>1024</v>
      </c>
      <c r="J293" s="1">
        <f t="shared" si="20"/>
        <v>14400</v>
      </c>
      <c r="K293" s="1">
        <f t="shared" si="21"/>
        <v>2601</v>
      </c>
      <c r="L293" s="1">
        <f t="shared" si="22"/>
        <v>17001</v>
      </c>
      <c r="M293" s="1">
        <f t="shared" si="23"/>
        <v>130.38788287260439</v>
      </c>
      <c r="N293" s="7">
        <f t="shared" si="24"/>
        <v>130.38788287260439</v>
      </c>
    </row>
    <row r="294" spans="1:14" x14ac:dyDescent="0.25">
      <c r="A294" t="str">
        <f>"13:55:16.367"</f>
        <v>13:55:16.367</v>
      </c>
      <c r="B294">
        <v>39.191451000000001</v>
      </c>
      <c r="C294">
        <v>-77.511420000000001</v>
      </c>
      <c r="D294">
        <v>5200</v>
      </c>
      <c r="E294">
        <v>5475</v>
      </c>
      <c r="F294">
        <v>121</v>
      </c>
      <c r="G294">
        <v>50</v>
      </c>
      <c r="H294">
        <v>960</v>
      </c>
      <c r="J294" s="1">
        <f t="shared" si="20"/>
        <v>14641</v>
      </c>
      <c r="K294" s="1">
        <f t="shared" si="21"/>
        <v>2500</v>
      </c>
      <c r="L294" s="1">
        <f t="shared" si="22"/>
        <v>17141</v>
      </c>
      <c r="M294" s="1">
        <f t="shared" si="23"/>
        <v>130.92364186807515</v>
      </c>
      <c r="N294" s="7">
        <f t="shared" si="24"/>
        <v>130.92364186807515</v>
      </c>
    </row>
    <row r="295" spans="1:14" x14ac:dyDescent="0.25">
      <c r="A295" t="str">
        <f>"13:55:17.375"</f>
        <v>13:55:17.375</v>
      </c>
      <c r="B295">
        <v>39.191623</v>
      </c>
      <c r="C295">
        <v>-77.510755000000003</v>
      </c>
      <c r="D295">
        <v>5200</v>
      </c>
      <c r="E295">
        <v>5475</v>
      </c>
      <c r="F295">
        <v>122</v>
      </c>
      <c r="G295">
        <v>48</v>
      </c>
      <c r="H295">
        <v>960</v>
      </c>
      <c r="J295" s="1">
        <f t="shared" si="20"/>
        <v>14884</v>
      </c>
      <c r="K295" s="1">
        <f t="shared" si="21"/>
        <v>2304</v>
      </c>
      <c r="L295" s="1">
        <f t="shared" si="22"/>
        <v>17188</v>
      </c>
      <c r="M295" s="1">
        <f t="shared" si="23"/>
        <v>131.10301293257908</v>
      </c>
      <c r="N295" s="7">
        <f t="shared" si="24"/>
        <v>131.10301293257908</v>
      </c>
    </row>
    <row r="296" spans="1:14" x14ac:dyDescent="0.25">
      <c r="A296" t="str">
        <f>"13:55:18.289"</f>
        <v>13:55:18.289</v>
      </c>
      <c r="B296">
        <v>39.191859000000001</v>
      </c>
      <c r="C296">
        <v>-77.510047</v>
      </c>
      <c r="D296">
        <v>5200</v>
      </c>
      <c r="E296">
        <v>5500</v>
      </c>
      <c r="F296">
        <v>123</v>
      </c>
      <c r="G296">
        <v>47</v>
      </c>
      <c r="H296">
        <v>896</v>
      </c>
      <c r="J296" s="1">
        <f t="shared" si="20"/>
        <v>15129</v>
      </c>
      <c r="K296" s="1">
        <f t="shared" si="21"/>
        <v>2209</v>
      </c>
      <c r="L296" s="1">
        <f t="shared" si="22"/>
        <v>17338</v>
      </c>
      <c r="M296" s="1">
        <f t="shared" si="23"/>
        <v>131.67383946707105</v>
      </c>
      <c r="N296" s="7">
        <f t="shared" si="24"/>
        <v>131.67383946707105</v>
      </c>
    </row>
    <row r="297" spans="1:14" x14ac:dyDescent="0.25">
      <c r="A297" t="str">
        <f>"13:55:19.195"</f>
        <v>13:55:19.195</v>
      </c>
      <c r="B297">
        <v>39.192008999999999</v>
      </c>
      <c r="C297">
        <v>-77.509338999999997</v>
      </c>
      <c r="D297">
        <v>5300</v>
      </c>
      <c r="E297">
        <v>5525</v>
      </c>
      <c r="F297">
        <v>124</v>
      </c>
      <c r="G297">
        <v>45</v>
      </c>
      <c r="H297">
        <v>832</v>
      </c>
      <c r="J297" s="1">
        <f t="shared" si="20"/>
        <v>15376</v>
      </c>
      <c r="K297" s="1">
        <f t="shared" si="21"/>
        <v>2025</v>
      </c>
      <c r="L297" s="1">
        <f t="shared" si="22"/>
        <v>17401</v>
      </c>
      <c r="M297" s="1">
        <f t="shared" si="23"/>
        <v>131.91285001848757</v>
      </c>
      <c r="N297" s="7">
        <f t="shared" si="24"/>
        <v>131.91285001848757</v>
      </c>
    </row>
    <row r="298" spans="1:14" x14ac:dyDescent="0.25">
      <c r="A298" t="str">
        <f>"13:55:20.203"</f>
        <v>13:55:20.203</v>
      </c>
      <c r="B298">
        <v>39.192245</v>
      </c>
      <c r="C298">
        <v>-77.508609000000007</v>
      </c>
      <c r="D298">
        <v>5300</v>
      </c>
      <c r="E298">
        <v>5525</v>
      </c>
      <c r="F298">
        <v>125</v>
      </c>
      <c r="G298">
        <v>43</v>
      </c>
      <c r="H298">
        <v>832</v>
      </c>
      <c r="J298" s="1">
        <f t="shared" si="20"/>
        <v>15625</v>
      </c>
      <c r="K298" s="1">
        <f t="shared" si="21"/>
        <v>1849</v>
      </c>
      <c r="L298" s="1">
        <f t="shared" si="22"/>
        <v>17474</v>
      </c>
      <c r="M298" s="1">
        <f t="shared" si="23"/>
        <v>132.18925826253812</v>
      </c>
      <c r="N298" s="7">
        <f t="shared" si="24"/>
        <v>132.18925826253812</v>
      </c>
    </row>
    <row r="299" spans="1:14" x14ac:dyDescent="0.25">
      <c r="A299" t="str">
        <f>"13:55:21.063"</f>
        <v>13:55:21.063</v>
      </c>
      <c r="B299">
        <v>39.192394999999998</v>
      </c>
      <c r="C299">
        <v>-77.507943999999995</v>
      </c>
      <c r="D299">
        <v>5300</v>
      </c>
      <c r="E299">
        <v>5550</v>
      </c>
      <c r="F299">
        <v>126</v>
      </c>
      <c r="G299">
        <v>41</v>
      </c>
      <c r="H299">
        <v>768</v>
      </c>
      <c r="J299" s="1">
        <f t="shared" si="20"/>
        <v>15876</v>
      </c>
      <c r="K299" s="1">
        <f t="shared" si="21"/>
        <v>1681</v>
      </c>
      <c r="L299" s="1">
        <f t="shared" si="22"/>
        <v>17557</v>
      </c>
      <c r="M299" s="1">
        <f t="shared" si="23"/>
        <v>132.50283015845361</v>
      </c>
      <c r="N299" s="7">
        <f t="shared" si="24"/>
        <v>132.50283015845361</v>
      </c>
    </row>
    <row r="300" spans="1:14" x14ac:dyDescent="0.25">
      <c r="A300" t="str">
        <f>"13:55:22.023"</f>
        <v>13:55:22.023</v>
      </c>
      <c r="B300">
        <v>39.192566999999997</v>
      </c>
      <c r="C300">
        <v>-77.507256999999996</v>
      </c>
      <c r="D300">
        <v>5300</v>
      </c>
      <c r="E300">
        <v>5550</v>
      </c>
      <c r="F300">
        <v>128</v>
      </c>
      <c r="G300">
        <v>39</v>
      </c>
      <c r="H300">
        <v>704</v>
      </c>
      <c r="J300" s="1">
        <f t="shared" si="20"/>
        <v>16384</v>
      </c>
      <c r="K300" s="1">
        <f t="shared" si="21"/>
        <v>1521</v>
      </c>
      <c r="L300" s="1">
        <f t="shared" si="22"/>
        <v>17905</v>
      </c>
      <c r="M300" s="1">
        <f t="shared" si="23"/>
        <v>133.80956617521784</v>
      </c>
      <c r="N300" s="7">
        <f t="shared" si="24"/>
        <v>133.80956617521784</v>
      </c>
    </row>
    <row r="301" spans="1:14" x14ac:dyDescent="0.25">
      <c r="A301" t="str">
        <f>"13:55:23.031"</f>
        <v>13:55:23.031</v>
      </c>
      <c r="B301">
        <v>39.192695999999998</v>
      </c>
      <c r="C301">
        <v>-77.506463999999994</v>
      </c>
      <c r="D301">
        <v>5300</v>
      </c>
      <c r="E301">
        <v>5550</v>
      </c>
      <c r="F301">
        <v>128</v>
      </c>
      <c r="G301">
        <v>38</v>
      </c>
      <c r="H301">
        <v>704</v>
      </c>
      <c r="J301" s="1">
        <f t="shared" si="20"/>
        <v>16384</v>
      </c>
      <c r="K301" s="1">
        <f t="shared" si="21"/>
        <v>1444</v>
      </c>
      <c r="L301" s="1">
        <f t="shared" si="22"/>
        <v>17828</v>
      </c>
      <c r="M301" s="1">
        <f t="shared" si="23"/>
        <v>133.52153384379613</v>
      </c>
      <c r="N301" s="7">
        <f t="shared" si="24"/>
        <v>133.52153384379613</v>
      </c>
    </row>
    <row r="302" spans="1:14" x14ac:dyDescent="0.25">
      <c r="A302" t="str">
        <f>"13:55:24.094"</f>
        <v>13:55:24.094</v>
      </c>
      <c r="B302">
        <v>39.192909999999998</v>
      </c>
      <c r="C302">
        <v>-77.505627000000004</v>
      </c>
      <c r="D302">
        <v>5300</v>
      </c>
      <c r="E302">
        <v>5575</v>
      </c>
      <c r="F302">
        <v>129</v>
      </c>
      <c r="G302">
        <v>37</v>
      </c>
      <c r="H302">
        <v>704</v>
      </c>
      <c r="J302" s="1">
        <f t="shared" si="20"/>
        <v>16641</v>
      </c>
      <c r="K302" s="1">
        <f t="shared" si="21"/>
        <v>1369</v>
      </c>
      <c r="L302" s="1">
        <f t="shared" si="22"/>
        <v>18010</v>
      </c>
      <c r="M302" s="1">
        <f t="shared" si="23"/>
        <v>134.20134127496641</v>
      </c>
      <c r="N302" s="7">
        <f t="shared" si="24"/>
        <v>134.20134127496641</v>
      </c>
    </row>
    <row r="303" spans="1:14" x14ac:dyDescent="0.25">
      <c r="A303" t="str">
        <f>"13:55:25.055"</f>
        <v>13:55:25.055</v>
      </c>
      <c r="B303">
        <v>39.193081999999997</v>
      </c>
      <c r="C303">
        <v>-77.504833000000005</v>
      </c>
      <c r="D303">
        <v>5300</v>
      </c>
      <c r="E303">
        <v>5600</v>
      </c>
      <c r="F303">
        <v>129</v>
      </c>
      <c r="G303">
        <v>37</v>
      </c>
      <c r="H303">
        <v>704</v>
      </c>
      <c r="J303" s="1">
        <f t="shared" si="20"/>
        <v>16641</v>
      </c>
      <c r="K303" s="1">
        <f t="shared" si="21"/>
        <v>1369</v>
      </c>
      <c r="L303" s="1">
        <f t="shared" si="22"/>
        <v>18010</v>
      </c>
      <c r="M303" s="1">
        <f t="shared" si="23"/>
        <v>134.20134127496641</v>
      </c>
      <c r="N303" s="7">
        <f t="shared" si="24"/>
        <v>134.20134127496641</v>
      </c>
    </row>
    <row r="304" spans="1:14" x14ac:dyDescent="0.25">
      <c r="A304" t="str">
        <f>"13:55:26.211"</f>
        <v>13:55:26.211</v>
      </c>
      <c r="B304">
        <v>39.193295999999997</v>
      </c>
      <c r="C304">
        <v>-77.504039000000006</v>
      </c>
      <c r="D304">
        <v>5300</v>
      </c>
      <c r="E304">
        <v>5600</v>
      </c>
      <c r="F304">
        <v>130</v>
      </c>
      <c r="G304">
        <v>38</v>
      </c>
      <c r="H304">
        <v>704</v>
      </c>
      <c r="J304" s="1">
        <f t="shared" si="20"/>
        <v>16900</v>
      </c>
      <c r="K304" s="1">
        <f t="shared" si="21"/>
        <v>1444</v>
      </c>
      <c r="L304" s="1">
        <f t="shared" si="22"/>
        <v>18344</v>
      </c>
      <c r="M304" s="1">
        <f t="shared" si="23"/>
        <v>135.4400236266961</v>
      </c>
      <c r="N304" s="7">
        <f t="shared" si="24"/>
        <v>135.4400236266961</v>
      </c>
    </row>
    <row r="305" spans="1:14" x14ac:dyDescent="0.25">
      <c r="A305" t="str">
        <f>"13:55:27.328"</f>
        <v>13:55:27.328</v>
      </c>
      <c r="B305">
        <v>39.193489999999997</v>
      </c>
      <c r="C305">
        <v>-77.503180999999998</v>
      </c>
      <c r="D305">
        <v>5300</v>
      </c>
      <c r="E305">
        <v>5600</v>
      </c>
      <c r="F305">
        <v>130</v>
      </c>
      <c r="G305">
        <v>40</v>
      </c>
      <c r="H305">
        <v>704</v>
      </c>
      <c r="J305" s="1">
        <f t="shared" si="20"/>
        <v>16900</v>
      </c>
      <c r="K305" s="1">
        <f t="shared" si="21"/>
        <v>1600</v>
      </c>
      <c r="L305" s="1">
        <f t="shared" si="22"/>
        <v>18500</v>
      </c>
      <c r="M305" s="1">
        <f t="shared" si="23"/>
        <v>136.01470508735443</v>
      </c>
      <c r="N305" s="7">
        <f t="shared" si="24"/>
        <v>136.01470508735443</v>
      </c>
    </row>
    <row r="306" spans="1:14" x14ac:dyDescent="0.25">
      <c r="A306" t="str">
        <f>"13:55:28.281"</f>
        <v>13:55:28.281</v>
      </c>
      <c r="B306">
        <v>39.193683</v>
      </c>
      <c r="C306">
        <v>-77.502386999999999</v>
      </c>
      <c r="D306">
        <v>5400</v>
      </c>
      <c r="E306">
        <v>5625</v>
      </c>
      <c r="F306">
        <v>129</v>
      </c>
      <c r="G306">
        <v>41</v>
      </c>
      <c r="H306">
        <v>768</v>
      </c>
      <c r="J306" s="1">
        <f t="shared" si="20"/>
        <v>16641</v>
      </c>
      <c r="K306" s="1">
        <f t="shared" si="21"/>
        <v>1681</v>
      </c>
      <c r="L306" s="1">
        <f t="shared" si="22"/>
        <v>18322</v>
      </c>
      <c r="M306" s="1">
        <f t="shared" si="23"/>
        <v>135.35878250043476</v>
      </c>
      <c r="N306" s="7">
        <f t="shared" si="24"/>
        <v>135.35878250043476</v>
      </c>
    </row>
    <row r="307" spans="1:14" x14ac:dyDescent="0.25">
      <c r="A307" t="str">
        <f>"13:55:29.344"</f>
        <v>13:55:29.344</v>
      </c>
      <c r="B307">
        <v>39.193854000000002</v>
      </c>
      <c r="C307">
        <v>-77.501614000000004</v>
      </c>
      <c r="D307">
        <v>5400</v>
      </c>
      <c r="E307">
        <v>5650</v>
      </c>
      <c r="F307">
        <v>129</v>
      </c>
      <c r="G307">
        <v>43</v>
      </c>
      <c r="H307">
        <v>768</v>
      </c>
      <c r="J307" s="1">
        <f t="shared" si="20"/>
        <v>16641</v>
      </c>
      <c r="K307" s="1">
        <f t="shared" si="21"/>
        <v>1849</v>
      </c>
      <c r="L307" s="1">
        <f t="shared" si="22"/>
        <v>18490</v>
      </c>
      <c r="M307" s="1">
        <f t="shared" si="23"/>
        <v>135.9779393872403</v>
      </c>
      <c r="N307" s="7">
        <f t="shared" si="24"/>
        <v>135.9779393872403</v>
      </c>
    </row>
    <row r="308" spans="1:14" x14ac:dyDescent="0.25">
      <c r="A308" t="str">
        <f>"13:55:30.148"</f>
        <v>13:55:30.148</v>
      </c>
      <c r="B308">
        <v>39.194046999999998</v>
      </c>
      <c r="C308">
        <v>-77.501013</v>
      </c>
      <c r="D308">
        <v>5400</v>
      </c>
      <c r="E308">
        <v>5650</v>
      </c>
      <c r="F308">
        <v>129</v>
      </c>
      <c r="G308">
        <v>44</v>
      </c>
      <c r="H308">
        <v>832</v>
      </c>
      <c r="J308" s="1">
        <f t="shared" si="20"/>
        <v>16641</v>
      </c>
      <c r="K308" s="1">
        <f t="shared" si="21"/>
        <v>1936</v>
      </c>
      <c r="L308" s="1">
        <f t="shared" si="22"/>
        <v>18577</v>
      </c>
      <c r="M308" s="1">
        <f t="shared" si="23"/>
        <v>136.2974687952788</v>
      </c>
      <c r="N308" s="7">
        <f t="shared" si="24"/>
        <v>136.2974687952788</v>
      </c>
    </row>
    <row r="309" spans="1:14" x14ac:dyDescent="0.25">
      <c r="A309" t="str">
        <f>"13:55:31.109"</f>
        <v>13:55:31.109</v>
      </c>
      <c r="B309">
        <v>39.194218999999997</v>
      </c>
      <c r="C309">
        <v>-77.500241000000003</v>
      </c>
      <c r="D309">
        <v>5400</v>
      </c>
      <c r="E309">
        <v>5675</v>
      </c>
      <c r="F309">
        <v>129</v>
      </c>
      <c r="G309">
        <v>44</v>
      </c>
      <c r="H309">
        <v>832</v>
      </c>
      <c r="J309" s="1">
        <f t="shared" si="20"/>
        <v>16641</v>
      </c>
      <c r="K309" s="1">
        <f t="shared" si="21"/>
        <v>1936</v>
      </c>
      <c r="L309" s="1">
        <f t="shared" si="22"/>
        <v>18577</v>
      </c>
      <c r="M309" s="1">
        <f t="shared" si="23"/>
        <v>136.2974687952788</v>
      </c>
      <c r="N309" s="7">
        <f t="shared" si="24"/>
        <v>136.2974687952788</v>
      </c>
    </row>
    <row r="310" spans="1:14" x14ac:dyDescent="0.25">
      <c r="A310" t="str">
        <f>"13:55:32.219"</f>
        <v>13:55:32.219</v>
      </c>
      <c r="B310">
        <v>39.194476999999999</v>
      </c>
      <c r="C310">
        <v>-77.499381999999997</v>
      </c>
      <c r="D310">
        <v>5400</v>
      </c>
      <c r="E310">
        <v>5675</v>
      </c>
      <c r="F310">
        <v>129</v>
      </c>
      <c r="G310">
        <v>44</v>
      </c>
      <c r="H310">
        <v>896</v>
      </c>
      <c r="J310" s="1">
        <f t="shared" si="20"/>
        <v>16641</v>
      </c>
      <c r="K310" s="1">
        <f t="shared" si="21"/>
        <v>1936</v>
      </c>
      <c r="L310" s="1">
        <f t="shared" si="22"/>
        <v>18577</v>
      </c>
      <c r="M310" s="1">
        <f t="shared" si="23"/>
        <v>136.2974687952788</v>
      </c>
      <c r="N310" s="7">
        <f t="shared" si="24"/>
        <v>136.2974687952788</v>
      </c>
    </row>
    <row r="311" spans="1:14" x14ac:dyDescent="0.25">
      <c r="A311" t="str">
        <f>"13:55:33.078"</f>
        <v>13:55:33.078</v>
      </c>
      <c r="B311">
        <v>39.194648000000001</v>
      </c>
      <c r="C311">
        <v>-77.498695999999995</v>
      </c>
      <c r="D311">
        <v>5400</v>
      </c>
      <c r="E311">
        <v>5700</v>
      </c>
      <c r="F311">
        <v>129</v>
      </c>
      <c r="G311">
        <v>44</v>
      </c>
      <c r="H311">
        <v>960</v>
      </c>
      <c r="J311" s="1">
        <f t="shared" si="20"/>
        <v>16641</v>
      </c>
      <c r="K311" s="1">
        <f t="shared" si="21"/>
        <v>1936</v>
      </c>
      <c r="L311" s="1">
        <f t="shared" si="22"/>
        <v>18577</v>
      </c>
      <c r="M311" s="1">
        <f t="shared" si="23"/>
        <v>136.2974687952788</v>
      </c>
      <c r="N311" s="7">
        <f t="shared" si="24"/>
        <v>136.2974687952788</v>
      </c>
    </row>
    <row r="312" spans="1:14" x14ac:dyDescent="0.25">
      <c r="A312" t="str">
        <f>"13:55:33.992"</f>
        <v>13:55:33.992</v>
      </c>
      <c r="B312">
        <v>39.194840999999997</v>
      </c>
      <c r="C312">
        <v>-77.498052000000001</v>
      </c>
      <c r="D312">
        <v>5500</v>
      </c>
      <c r="E312">
        <v>5700</v>
      </c>
      <c r="F312">
        <v>129</v>
      </c>
      <c r="G312">
        <v>43</v>
      </c>
      <c r="H312">
        <v>960</v>
      </c>
      <c r="J312" s="1">
        <f t="shared" si="20"/>
        <v>16641</v>
      </c>
      <c r="K312" s="1">
        <f t="shared" si="21"/>
        <v>1849</v>
      </c>
      <c r="L312" s="1">
        <f t="shared" si="22"/>
        <v>18490</v>
      </c>
      <c r="M312" s="1">
        <f t="shared" si="23"/>
        <v>135.9779393872403</v>
      </c>
      <c r="N312" s="7">
        <f t="shared" si="24"/>
        <v>135.9779393872403</v>
      </c>
    </row>
    <row r="313" spans="1:14" x14ac:dyDescent="0.25">
      <c r="A313" t="str">
        <f>"13:55:34.898"</f>
        <v>13:55:34.898</v>
      </c>
      <c r="B313">
        <v>39.195013000000003</v>
      </c>
      <c r="C313">
        <v>-77.497322999999994</v>
      </c>
      <c r="D313">
        <v>5500</v>
      </c>
      <c r="E313">
        <v>5725</v>
      </c>
      <c r="F313">
        <v>129</v>
      </c>
      <c r="G313">
        <v>43</v>
      </c>
      <c r="H313">
        <v>1024</v>
      </c>
      <c r="J313" s="1">
        <f t="shared" si="20"/>
        <v>16641</v>
      </c>
      <c r="K313" s="1">
        <f t="shared" si="21"/>
        <v>1849</v>
      </c>
      <c r="L313" s="1">
        <f t="shared" si="22"/>
        <v>18490</v>
      </c>
      <c r="M313" s="1">
        <f t="shared" si="23"/>
        <v>135.9779393872403</v>
      </c>
      <c r="N313" s="7">
        <f t="shared" si="24"/>
        <v>135.9779393872403</v>
      </c>
    </row>
    <row r="314" spans="1:14" x14ac:dyDescent="0.25">
      <c r="A314" t="str">
        <f>"13:55:36.016"</f>
        <v>13:55:36.016</v>
      </c>
      <c r="B314">
        <v>39.195205999999999</v>
      </c>
      <c r="C314">
        <v>-77.496464000000003</v>
      </c>
      <c r="D314">
        <v>5500</v>
      </c>
      <c r="E314">
        <v>5750</v>
      </c>
      <c r="F314">
        <v>129</v>
      </c>
      <c r="G314">
        <v>43</v>
      </c>
      <c r="H314">
        <v>1088</v>
      </c>
      <c r="J314" s="1">
        <f t="shared" si="20"/>
        <v>16641</v>
      </c>
      <c r="K314" s="1">
        <f t="shared" si="21"/>
        <v>1849</v>
      </c>
      <c r="L314" s="1">
        <f t="shared" si="22"/>
        <v>18490</v>
      </c>
      <c r="M314" s="1">
        <f t="shared" si="23"/>
        <v>135.9779393872403</v>
      </c>
      <c r="N314" s="7">
        <f t="shared" si="24"/>
        <v>135.9779393872403</v>
      </c>
    </row>
    <row r="315" spans="1:14" x14ac:dyDescent="0.25">
      <c r="A315" t="str">
        <f>"13:55:37.016"</f>
        <v>13:55:37.016</v>
      </c>
      <c r="B315">
        <v>39.195442</v>
      </c>
      <c r="C315">
        <v>-77.495734999999996</v>
      </c>
      <c r="D315">
        <v>5500</v>
      </c>
      <c r="E315">
        <v>5750</v>
      </c>
      <c r="F315">
        <v>129</v>
      </c>
      <c r="G315">
        <v>42</v>
      </c>
      <c r="H315">
        <v>1152</v>
      </c>
      <c r="J315" s="1">
        <f t="shared" si="20"/>
        <v>16641</v>
      </c>
      <c r="K315" s="1">
        <f t="shared" si="21"/>
        <v>1764</v>
      </c>
      <c r="L315" s="1">
        <f t="shared" si="22"/>
        <v>18405</v>
      </c>
      <c r="M315" s="1">
        <f t="shared" si="23"/>
        <v>135.66502865514016</v>
      </c>
      <c r="N315" s="7">
        <f t="shared" si="24"/>
        <v>135.66502865514016</v>
      </c>
    </row>
    <row r="316" spans="1:14" x14ac:dyDescent="0.25">
      <c r="A316" t="str">
        <f>"13:55:38.031"</f>
        <v>13:55:38.031</v>
      </c>
      <c r="B316">
        <v>39.195635000000003</v>
      </c>
      <c r="C316">
        <v>-77.494940999999997</v>
      </c>
      <c r="D316">
        <v>5500</v>
      </c>
      <c r="E316">
        <v>5775</v>
      </c>
      <c r="F316">
        <v>129</v>
      </c>
      <c r="G316">
        <v>42</v>
      </c>
      <c r="H316">
        <v>1216</v>
      </c>
      <c r="J316" s="1">
        <f t="shared" si="20"/>
        <v>16641</v>
      </c>
      <c r="K316" s="1">
        <f t="shared" si="21"/>
        <v>1764</v>
      </c>
      <c r="L316" s="1">
        <f t="shared" si="22"/>
        <v>18405</v>
      </c>
      <c r="M316" s="1">
        <f t="shared" si="23"/>
        <v>135.66502865514016</v>
      </c>
      <c r="N316" s="7">
        <f t="shared" si="24"/>
        <v>135.66502865514016</v>
      </c>
    </row>
    <row r="317" spans="1:14" x14ac:dyDescent="0.25">
      <c r="A317" t="str">
        <f>"13:55:39.039"</f>
        <v>13:55:39.039</v>
      </c>
      <c r="B317">
        <v>39.195827999999999</v>
      </c>
      <c r="C317">
        <v>-77.494103999999993</v>
      </c>
      <c r="D317">
        <v>5500</v>
      </c>
      <c r="E317">
        <v>5800</v>
      </c>
      <c r="F317">
        <v>129</v>
      </c>
      <c r="G317">
        <v>41</v>
      </c>
      <c r="H317">
        <v>1280</v>
      </c>
      <c r="J317" s="1">
        <f t="shared" si="20"/>
        <v>16641</v>
      </c>
      <c r="K317" s="1">
        <f t="shared" si="21"/>
        <v>1681</v>
      </c>
      <c r="L317" s="1">
        <f t="shared" si="22"/>
        <v>18322</v>
      </c>
      <c r="M317" s="1">
        <f t="shared" si="23"/>
        <v>135.35878250043476</v>
      </c>
      <c r="N317" s="7">
        <f t="shared" si="24"/>
        <v>135.35878250043476</v>
      </c>
    </row>
    <row r="318" spans="1:14" x14ac:dyDescent="0.25">
      <c r="A318" t="str">
        <f>"13:55:40.047"</f>
        <v>13:55:40.047</v>
      </c>
      <c r="B318">
        <v>39.196021999999999</v>
      </c>
      <c r="C318">
        <v>-77.493309999999994</v>
      </c>
      <c r="D318">
        <v>5600</v>
      </c>
      <c r="E318">
        <v>5825</v>
      </c>
      <c r="F318">
        <v>128</v>
      </c>
      <c r="G318">
        <v>40</v>
      </c>
      <c r="H318">
        <v>1280</v>
      </c>
      <c r="J318" s="1">
        <f t="shared" si="20"/>
        <v>16384</v>
      </c>
      <c r="K318" s="1">
        <f t="shared" si="21"/>
        <v>1600</v>
      </c>
      <c r="L318" s="1">
        <f t="shared" si="22"/>
        <v>17984</v>
      </c>
      <c r="M318" s="1">
        <f t="shared" si="23"/>
        <v>134.10443691392169</v>
      </c>
      <c r="N318" s="7">
        <f t="shared" si="24"/>
        <v>134.10443691392169</v>
      </c>
    </row>
    <row r="319" spans="1:14" x14ac:dyDescent="0.25">
      <c r="A319" t="str">
        <f>"13:55:41.008"</f>
        <v>13:55:41.008</v>
      </c>
      <c r="B319">
        <v>39.196193000000001</v>
      </c>
      <c r="C319">
        <v>-77.492666</v>
      </c>
      <c r="D319">
        <v>5600</v>
      </c>
      <c r="E319">
        <v>5850</v>
      </c>
      <c r="F319">
        <v>128</v>
      </c>
      <c r="G319">
        <v>39</v>
      </c>
      <c r="H319">
        <v>1280</v>
      </c>
      <c r="J319" s="1">
        <f t="shared" si="20"/>
        <v>16384</v>
      </c>
      <c r="K319" s="1">
        <f t="shared" si="21"/>
        <v>1521</v>
      </c>
      <c r="L319" s="1">
        <f t="shared" si="22"/>
        <v>17905</v>
      </c>
      <c r="M319" s="1">
        <f t="shared" si="23"/>
        <v>133.80956617521784</v>
      </c>
      <c r="N319" s="7">
        <f t="shared" si="24"/>
        <v>133.80956617521784</v>
      </c>
    </row>
    <row r="320" spans="1:14" x14ac:dyDescent="0.25">
      <c r="A320" t="str">
        <f>"13:55:42.125"</f>
        <v>13:55:42.125</v>
      </c>
      <c r="B320">
        <v>39.196385999999997</v>
      </c>
      <c r="C320">
        <v>-77.491828999999996</v>
      </c>
      <c r="D320">
        <v>5600</v>
      </c>
      <c r="E320">
        <v>5875</v>
      </c>
      <c r="F320">
        <v>128</v>
      </c>
      <c r="G320">
        <v>38</v>
      </c>
      <c r="H320">
        <v>1280</v>
      </c>
      <c r="J320" s="1">
        <f t="shared" si="20"/>
        <v>16384</v>
      </c>
      <c r="K320" s="1">
        <f t="shared" si="21"/>
        <v>1444</v>
      </c>
      <c r="L320" s="1">
        <f t="shared" si="22"/>
        <v>17828</v>
      </c>
      <c r="M320" s="1">
        <f t="shared" si="23"/>
        <v>133.52153384379613</v>
      </c>
      <c r="N320" s="7">
        <f t="shared" si="24"/>
        <v>133.52153384379613</v>
      </c>
    </row>
    <row r="321" spans="1:14" x14ac:dyDescent="0.25">
      <c r="A321" t="str">
        <f>"13:55:43.180"</f>
        <v>13:55:43.180</v>
      </c>
      <c r="B321">
        <v>39.196514999999998</v>
      </c>
      <c r="C321">
        <v>-77.491056999999998</v>
      </c>
      <c r="D321">
        <v>5600</v>
      </c>
      <c r="E321">
        <v>5900</v>
      </c>
      <c r="F321">
        <v>128</v>
      </c>
      <c r="G321">
        <v>36</v>
      </c>
      <c r="H321">
        <v>1280</v>
      </c>
      <c r="J321" s="1">
        <f t="shared" si="20"/>
        <v>16384</v>
      </c>
      <c r="K321" s="1">
        <f t="shared" si="21"/>
        <v>1296</v>
      </c>
      <c r="L321" s="1">
        <f t="shared" si="22"/>
        <v>17680</v>
      </c>
      <c r="M321" s="1">
        <f t="shared" si="23"/>
        <v>132.96616110875729</v>
      </c>
      <c r="N321" s="7">
        <f t="shared" si="24"/>
        <v>132.96616110875729</v>
      </c>
    </row>
    <row r="322" spans="1:14" x14ac:dyDescent="0.25">
      <c r="A322" t="str">
        <f>"13:55:44.133"</f>
        <v>13:55:44.133</v>
      </c>
      <c r="B322">
        <v>39.196708000000001</v>
      </c>
      <c r="C322">
        <v>-77.490284000000003</v>
      </c>
      <c r="D322">
        <v>5700</v>
      </c>
      <c r="E322">
        <v>5900</v>
      </c>
      <c r="F322">
        <v>128</v>
      </c>
      <c r="G322">
        <v>35</v>
      </c>
      <c r="H322">
        <v>1280</v>
      </c>
      <c r="J322" s="1">
        <f t="shared" si="20"/>
        <v>16384</v>
      </c>
      <c r="K322" s="1">
        <f t="shared" si="21"/>
        <v>1225</v>
      </c>
      <c r="L322" s="1">
        <f t="shared" si="22"/>
        <v>17609</v>
      </c>
      <c r="M322" s="1">
        <f t="shared" si="23"/>
        <v>132.69890730522238</v>
      </c>
      <c r="N322" s="7">
        <f t="shared" si="24"/>
        <v>132.69890730522238</v>
      </c>
    </row>
    <row r="323" spans="1:14" x14ac:dyDescent="0.25">
      <c r="A323" t="str">
        <f>"13:55:44.992"</f>
        <v>13:55:44.992</v>
      </c>
      <c r="B323">
        <v>39.196837000000002</v>
      </c>
      <c r="C323">
        <v>-77.489619000000005</v>
      </c>
      <c r="D323">
        <v>5700</v>
      </c>
      <c r="E323">
        <v>5925</v>
      </c>
      <c r="F323">
        <v>128</v>
      </c>
      <c r="G323">
        <v>35</v>
      </c>
      <c r="H323">
        <v>1280</v>
      </c>
      <c r="J323" s="1">
        <f t="shared" ref="J323:J386" si="25">F323^2</f>
        <v>16384</v>
      </c>
      <c r="K323" s="1">
        <f t="shared" ref="K323:K386" si="26">G323^2</f>
        <v>1225</v>
      </c>
      <c r="L323" s="1">
        <f t="shared" ref="L323:L386" si="27">SUMSQ(F323,G323)</f>
        <v>17609</v>
      </c>
      <c r="M323" s="1">
        <f t="shared" ref="M323:M386" si="28">SQRT(L323)</f>
        <v>132.69890730522238</v>
      </c>
      <c r="N323" s="7">
        <f t="shared" ref="N323:N386" si="29">M323</f>
        <v>132.69890730522238</v>
      </c>
    </row>
    <row r="324" spans="1:14" x14ac:dyDescent="0.25">
      <c r="A324" t="str">
        <f>"13:55:46.102"</f>
        <v>13:55:46.102</v>
      </c>
      <c r="B324">
        <v>39.197029999999998</v>
      </c>
      <c r="C324">
        <v>-77.488782</v>
      </c>
      <c r="D324">
        <v>5700</v>
      </c>
      <c r="E324">
        <v>5950</v>
      </c>
      <c r="F324">
        <v>127</v>
      </c>
      <c r="G324">
        <v>35</v>
      </c>
      <c r="H324">
        <v>1280</v>
      </c>
      <c r="J324" s="1">
        <f t="shared" si="25"/>
        <v>16129</v>
      </c>
      <c r="K324" s="1">
        <f t="shared" si="26"/>
        <v>1225</v>
      </c>
      <c r="L324" s="1">
        <f t="shared" si="27"/>
        <v>17354</v>
      </c>
      <c r="M324" s="1">
        <f t="shared" si="28"/>
        <v>131.73458164050928</v>
      </c>
      <c r="N324" s="7">
        <f t="shared" si="29"/>
        <v>131.73458164050928</v>
      </c>
    </row>
    <row r="325" spans="1:14" x14ac:dyDescent="0.25">
      <c r="A325" t="str">
        <f>"13:55:47.063"</f>
        <v>13:55:47.063</v>
      </c>
      <c r="B325">
        <v>39.197180000000003</v>
      </c>
      <c r="C325">
        <v>-77.488095999999999</v>
      </c>
      <c r="D325">
        <v>5700</v>
      </c>
      <c r="E325">
        <v>5975</v>
      </c>
      <c r="F325">
        <v>126</v>
      </c>
      <c r="G325">
        <v>37</v>
      </c>
      <c r="H325">
        <v>1280</v>
      </c>
      <c r="J325" s="1">
        <f t="shared" si="25"/>
        <v>15876</v>
      </c>
      <c r="K325" s="1">
        <f t="shared" si="26"/>
        <v>1369</v>
      </c>
      <c r="L325" s="1">
        <f t="shared" si="27"/>
        <v>17245</v>
      </c>
      <c r="M325" s="1">
        <f t="shared" si="28"/>
        <v>131.32021931142211</v>
      </c>
      <c r="N325" s="7">
        <f t="shared" si="29"/>
        <v>131.32021931142211</v>
      </c>
    </row>
    <row r="326" spans="1:14" x14ac:dyDescent="0.25">
      <c r="A326" t="str">
        <f>"13:55:48.023"</f>
        <v>13:55:48.023</v>
      </c>
      <c r="B326">
        <v>39.197395</v>
      </c>
      <c r="C326">
        <v>-77.487279999999998</v>
      </c>
      <c r="D326">
        <v>5700</v>
      </c>
      <c r="E326">
        <v>6000</v>
      </c>
      <c r="F326">
        <v>125</v>
      </c>
      <c r="G326">
        <v>39</v>
      </c>
      <c r="H326">
        <v>1280</v>
      </c>
      <c r="J326" s="1">
        <f t="shared" si="25"/>
        <v>15625</v>
      </c>
      <c r="K326" s="1">
        <f t="shared" si="26"/>
        <v>1521</v>
      </c>
      <c r="L326" s="1">
        <f t="shared" si="27"/>
        <v>17146</v>
      </c>
      <c r="M326" s="1">
        <f t="shared" si="28"/>
        <v>130.9427355755179</v>
      </c>
      <c r="N326" s="7">
        <f t="shared" si="29"/>
        <v>130.9427355755179</v>
      </c>
    </row>
    <row r="327" spans="1:14" x14ac:dyDescent="0.25">
      <c r="A327" t="str">
        <f>"13:55:48.984"</f>
        <v>13:55:48.984</v>
      </c>
      <c r="B327">
        <v>39.197544999999998</v>
      </c>
      <c r="C327">
        <v>-77.486637000000002</v>
      </c>
      <c r="D327">
        <v>5800</v>
      </c>
      <c r="E327">
        <v>6000</v>
      </c>
      <c r="F327">
        <v>124</v>
      </c>
      <c r="G327">
        <v>41</v>
      </c>
      <c r="H327">
        <v>1216</v>
      </c>
      <c r="J327" s="1">
        <f t="shared" si="25"/>
        <v>15376</v>
      </c>
      <c r="K327" s="1">
        <f t="shared" si="26"/>
        <v>1681</v>
      </c>
      <c r="L327" s="1">
        <f t="shared" si="27"/>
        <v>17057</v>
      </c>
      <c r="M327" s="1">
        <f t="shared" si="28"/>
        <v>130.60245020672468</v>
      </c>
      <c r="N327" s="7">
        <f t="shared" si="29"/>
        <v>130.60245020672468</v>
      </c>
    </row>
    <row r="328" spans="1:14" x14ac:dyDescent="0.25">
      <c r="A328" t="str">
        <f>"13:55:49.844"</f>
        <v>13:55:49.844</v>
      </c>
      <c r="B328">
        <v>39.197760000000002</v>
      </c>
      <c r="C328">
        <v>-77.485971000000006</v>
      </c>
      <c r="D328">
        <v>5800</v>
      </c>
      <c r="E328">
        <v>6025</v>
      </c>
      <c r="F328">
        <v>121</v>
      </c>
      <c r="G328">
        <v>46</v>
      </c>
      <c r="H328">
        <v>1152</v>
      </c>
      <c r="J328" s="1">
        <f t="shared" si="25"/>
        <v>14641</v>
      </c>
      <c r="K328" s="1">
        <f t="shared" si="26"/>
        <v>2116</v>
      </c>
      <c r="L328" s="1">
        <f t="shared" si="27"/>
        <v>16757</v>
      </c>
      <c r="M328" s="1">
        <f t="shared" si="28"/>
        <v>129.4488315899375</v>
      </c>
      <c r="N328" s="7">
        <f t="shared" si="29"/>
        <v>129.4488315899375</v>
      </c>
    </row>
    <row r="329" spans="1:14" x14ac:dyDescent="0.25">
      <c r="A329" t="str">
        <f>"13:55:50.750"</f>
        <v>13:55:50.750</v>
      </c>
      <c r="B329">
        <v>39.197930999999997</v>
      </c>
      <c r="C329">
        <v>-77.485371000000001</v>
      </c>
      <c r="D329">
        <v>5800</v>
      </c>
      <c r="E329">
        <v>6050</v>
      </c>
      <c r="F329">
        <v>119</v>
      </c>
      <c r="G329">
        <v>49</v>
      </c>
      <c r="H329">
        <v>1152</v>
      </c>
      <c r="J329" s="1">
        <f t="shared" si="25"/>
        <v>14161</v>
      </c>
      <c r="K329" s="1">
        <f t="shared" si="26"/>
        <v>2401</v>
      </c>
      <c r="L329" s="1">
        <f t="shared" si="27"/>
        <v>16562</v>
      </c>
      <c r="M329" s="1">
        <f t="shared" si="28"/>
        <v>128.69343417595164</v>
      </c>
      <c r="N329" s="7">
        <f t="shared" si="29"/>
        <v>128.69343417595164</v>
      </c>
    </row>
    <row r="330" spans="1:14" x14ac:dyDescent="0.25">
      <c r="A330" t="str">
        <f>"13:55:51.664"</f>
        <v>13:55:51.664</v>
      </c>
      <c r="B330">
        <v>39.198146000000001</v>
      </c>
      <c r="C330">
        <v>-77.484747999999996</v>
      </c>
      <c r="D330">
        <v>5800</v>
      </c>
      <c r="E330">
        <v>6075</v>
      </c>
      <c r="F330">
        <v>117</v>
      </c>
      <c r="G330">
        <v>52</v>
      </c>
      <c r="H330">
        <v>1088</v>
      </c>
      <c r="J330" s="1">
        <f t="shared" si="25"/>
        <v>13689</v>
      </c>
      <c r="K330" s="1">
        <f t="shared" si="26"/>
        <v>2704</v>
      </c>
      <c r="L330" s="1">
        <f t="shared" si="27"/>
        <v>16393</v>
      </c>
      <c r="M330" s="1">
        <f t="shared" si="28"/>
        <v>128.03515142334936</v>
      </c>
      <c r="N330" s="7">
        <f t="shared" si="29"/>
        <v>128.03515142334936</v>
      </c>
    </row>
    <row r="331" spans="1:14" x14ac:dyDescent="0.25">
      <c r="A331" t="str">
        <f>"13:55:52.672"</f>
        <v>13:55:52.672</v>
      </c>
      <c r="B331">
        <v>39.198425</v>
      </c>
      <c r="C331">
        <v>-77.484061999999994</v>
      </c>
      <c r="D331">
        <v>5800</v>
      </c>
      <c r="E331">
        <v>6075</v>
      </c>
      <c r="F331">
        <v>116</v>
      </c>
      <c r="G331">
        <v>54</v>
      </c>
      <c r="H331">
        <v>1088</v>
      </c>
      <c r="J331" s="1">
        <f t="shared" si="25"/>
        <v>13456</v>
      </c>
      <c r="K331" s="1">
        <f t="shared" si="26"/>
        <v>2916</v>
      </c>
      <c r="L331" s="1">
        <f t="shared" si="27"/>
        <v>16372</v>
      </c>
      <c r="M331" s="1">
        <f t="shared" si="28"/>
        <v>127.9531164137865</v>
      </c>
      <c r="N331" s="7">
        <f t="shared" si="29"/>
        <v>127.9531164137865</v>
      </c>
    </row>
    <row r="332" spans="1:14" x14ac:dyDescent="0.25">
      <c r="A332" t="str">
        <f>"13:55:53.523"</f>
        <v>13:55:53.523</v>
      </c>
      <c r="B332">
        <v>39.198661000000001</v>
      </c>
      <c r="C332">
        <v>-77.483461000000005</v>
      </c>
      <c r="D332">
        <v>5800</v>
      </c>
      <c r="E332">
        <v>6100</v>
      </c>
      <c r="F332">
        <v>115</v>
      </c>
      <c r="G332">
        <v>56</v>
      </c>
      <c r="H332">
        <v>1088</v>
      </c>
      <c r="J332" s="1">
        <f t="shared" si="25"/>
        <v>13225</v>
      </c>
      <c r="K332" s="1">
        <f t="shared" si="26"/>
        <v>3136</v>
      </c>
      <c r="L332" s="1">
        <f t="shared" si="27"/>
        <v>16361</v>
      </c>
      <c r="M332" s="1">
        <f t="shared" si="28"/>
        <v>127.91012469699183</v>
      </c>
      <c r="N332" s="7">
        <f t="shared" si="29"/>
        <v>127.91012469699183</v>
      </c>
    </row>
    <row r="333" spans="1:14" x14ac:dyDescent="0.25">
      <c r="A333" t="str">
        <f>"13:55:54.438"</f>
        <v>13:55:54.438</v>
      </c>
      <c r="B333">
        <v>39.198897000000002</v>
      </c>
      <c r="C333">
        <v>-77.482838999999998</v>
      </c>
      <c r="D333">
        <v>5800</v>
      </c>
      <c r="E333">
        <v>6125</v>
      </c>
      <c r="F333">
        <v>115</v>
      </c>
      <c r="G333">
        <v>57</v>
      </c>
      <c r="H333">
        <v>1024</v>
      </c>
      <c r="J333" s="1">
        <f t="shared" si="25"/>
        <v>13225</v>
      </c>
      <c r="K333" s="1">
        <f t="shared" si="26"/>
        <v>3249</v>
      </c>
      <c r="L333" s="1">
        <f t="shared" si="27"/>
        <v>16474</v>
      </c>
      <c r="M333" s="1">
        <f t="shared" si="28"/>
        <v>128.35108102388543</v>
      </c>
      <c r="N333" s="7">
        <f t="shared" si="29"/>
        <v>128.35108102388543</v>
      </c>
    </row>
    <row r="334" spans="1:14" x14ac:dyDescent="0.25">
      <c r="A334" t="str">
        <f>"13:55:55.547"</f>
        <v>13:55:55.547</v>
      </c>
      <c r="B334">
        <v>39.199176000000001</v>
      </c>
      <c r="C334">
        <v>-77.482088000000005</v>
      </c>
      <c r="D334">
        <v>5900</v>
      </c>
      <c r="E334">
        <v>6125</v>
      </c>
      <c r="F334">
        <v>114</v>
      </c>
      <c r="G334">
        <v>57</v>
      </c>
      <c r="H334">
        <v>960</v>
      </c>
      <c r="J334" s="1">
        <f t="shared" si="25"/>
        <v>12996</v>
      </c>
      <c r="K334" s="1">
        <f t="shared" si="26"/>
        <v>3249</v>
      </c>
      <c r="L334" s="1">
        <f t="shared" si="27"/>
        <v>16245</v>
      </c>
      <c r="M334" s="1">
        <f t="shared" si="28"/>
        <v>127.45587471748802</v>
      </c>
      <c r="N334" s="7">
        <f t="shared" si="29"/>
        <v>127.45587471748802</v>
      </c>
    </row>
    <row r="335" spans="1:14" x14ac:dyDescent="0.25">
      <c r="A335" t="str">
        <f>"13:55:56.555"</f>
        <v>13:55:56.555</v>
      </c>
      <c r="B335">
        <v>39.199497999999998</v>
      </c>
      <c r="C335">
        <v>-77.481314999999995</v>
      </c>
      <c r="D335">
        <v>5900</v>
      </c>
      <c r="E335">
        <v>6150</v>
      </c>
      <c r="F335">
        <v>114</v>
      </c>
      <c r="G335">
        <v>58</v>
      </c>
      <c r="H335">
        <v>896</v>
      </c>
      <c r="J335" s="1">
        <f t="shared" si="25"/>
        <v>12996</v>
      </c>
      <c r="K335" s="1">
        <f t="shared" si="26"/>
        <v>3364</v>
      </c>
      <c r="L335" s="1">
        <f t="shared" si="27"/>
        <v>16360</v>
      </c>
      <c r="M335" s="1">
        <f t="shared" si="28"/>
        <v>127.90621564255585</v>
      </c>
      <c r="N335" s="7">
        <f t="shared" si="29"/>
        <v>127.90621564255585</v>
      </c>
    </row>
    <row r="336" spans="1:14" x14ac:dyDescent="0.25">
      <c r="A336" t="str">
        <f>"13:55:57.563"</f>
        <v>13:55:57.563</v>
      </c>
      <c r="B336">
        <v>39.199733999999999</v>
      </c>
      <c r="C336">
        <v>-77.480649999999997</v>
      </c>
      <c r="D336">
        <v>5900</v>
      </c>
      <c r="E336">
        <v>6150</v>
      </c>
      <c r="F336">
        <v>115</v>
      </c>
      <c r="G336">
        <v>58</v>
      </c>
      <c r="H336">
        <v>768</v>
      </c>
      <c r="J336" s="1">
        <f t="shared" si="25"/>
        <v>13225</v>
      </c>
      <c r="K336" s="1">
        <f t="shared" si="26"/>
        <v>3364</v>
      </c>
      <c r="L336" s="1">
        <f t="shared" si="27"/>
        <v>16589</v>
      </c>
      <c r="M336" s="1">
        <f t="shared" si="28"/>
        <v>128.79829191413992</v>
      </c>
      <c r="N336" s="7">
        <f t="shared" si="29"/>
        <v>128.79829191413992</v>
      </c>
    </row>
    <row r="337" spans="1:14" x14ac:dyDescent="0.25">
      <c r="A337" t="str">
        <f>"13:55:58.523"</f>
        <v>13:55:58.523</v>
      </c>
      <c r="B337">
        <v>39.199990999999997</v>
      </c>
      <c r="C337">
        <v>-77.480070999999995</v>
      </c>
      <c r="D337">
        <v>5900</v>
      </c>
      <c r="E337">
        <v>6175</v>
      </c>
      <c r="F337">
        <v>115</v>
      </c>
      <c r="G337">
        <v>58</v>
      </c>
      <c r="H337">
        <v>768</v>
      </c>
      <c r="J337" s="1">
        <f t="shared" si="25"/>
        <v>13225</v>
      </c>
      <c r="K337" s="1">
        <f t="shared" si="26"/>
        <v>3364</v>
      </c>
      <c r="L337" s="1">
        <f t="shared" si="27"/>
        <v>16589</v>
      </c>
      <c r="M337" s="1">
        <f t="shared" si="28"/>
        <v>128.79829191413992</v>
      </c>
      <c r="N337" s="7">
        <f t="shared" si="29"/>
        <v>128.79829191413992</v>
      </c>
    </row>
    <row r="338" spans="1:14" x14ac:dyDescent="0.25">
      <c r="A338" t="str">
        <f>"13:55:59.383"</f>
        <v>13:55:59.383</v>
      </c>
      <c r="B338">
        <v>39.200248999999999</v>
      </c>
      <c r="C338">
        <v>-77.479427000000001</v>
      </c>
      <c r="D338">
        <v>5900</v>
      </c>
      <c r="E338">
        <v>6175</v>
      </c>
      <c r="F338">
        <v>115</v>
      </c>
      <c r="G338">
        <v>59</v>
      </c>
      <c r="H338">
        <v>704</v>
      </c>
      <c r="J338" s="1">
        <f t="shared" si="25"/>
        <v>13225</v>
      </c>
      <c r="K338" s="1">
        <f t="shared" si="26"/>
        <v>3481</v>
      </c>
      <c r="L338" s="1">
        <f t="shared" si="27"/>
        <v>16706</v>
      </c>
      <c r="M338" s="1">
        <f t="shared" si="28"/>
        <v>129.25169244539896</v>
      </c>
      <c r="N338" s="7">
        <f t="shared" si="29"/>
        <v>129.25169244539896</v>
      </c>
    </row>
    <row r="339" spans="1:14" x14ac:dyDescent="0.25">
      <c r="A339" t="str">
        <f>"13:56:00.289"</f>
        <v>13:56:00.289</v>
      </c>
      <c r="B339">
        <v>39.200462999999999</v>
      </c>
      <c r="C339">
        <v>-77.478804999999994</v>
      </c>
      <c r="D339">
        <v>5900</v>
      </c>
      <c r="E339">
        <v>6200</v>
      </c>
      <c r="F339">
        <v>116</v>
      </c>
      <c r="G339">
        <v>59</v>
      </c>
      <c r="H339">
        <v>704</v>
      </c>
      <c r="J339" s="1">
        <f t="shared" si="25"/>
        <v>13456</v>
      </c>
      <c r="K339" s="1">
        <f t="shared" si="26"/>
        <v>3481</v>
      </c>
      <c r="L339" s="1">
        <f t="shared" si="27"/>
        <v>16937</v>
      </c>
      <c r="M339" s="1">
        <f t="shared" si="28"/>
        <v>130.14222988715076</v>
      </c>
      <c r="N339" s="7">
        <f t="shared" si="29"/>
        <v>130.14222988715076</v>
      </c>
    </row>
    <row r="340" spans="1:14" x14ac:dyDescent="0.25">
      <c r="A340" t="str">
        <f>"13:56:01.352"</f>
        <v>13:56:01.352</v>
      </c>
      <c r="B340">
        <v>39.200721000000001</v>
      </c>
      <c r="C340">
        <v>-77.478161</v>
      </c>
      <c r="D340">
        <v>6000</v>
      </c>
      <c r="E340">
        <v>6200</v>
      </c>
      <c r="F340">
        <v>116</v>
      </c>
      <c r="G340">
        <v>58</v>
      </c>
      <c r="H340">
        <v>704</v>
      </c>
      <c r="J340" s="1">
        <f t="shared" si="25"/>
        <v>13456</v>
      </c>
      <c r="K340" s="1">
        <f t="shared" si="26"/>
        <v>3364</v>
      </c>
      <c r="L340" s="1">
        <f t="shared" si="27"/>
        <v>16820</v>
      </c>
      <c r="M340" s="1">
        <f t="shared" si="28"/>
        <v>129.6919426949878</v>
      </c>
      <c r="N340" s="7">
        <f t="shared" si="29"/>
        <v>129.6919426949878</v>
      </c>
    </row>
    <row r="341" spans="1:14" x14ac:dyDescent="0.25">
      <c r="A341" t="str">
        <f>"13:56:02.461"</f>
        <v>13:56:02.461</v>
      </c>
      <c r="B341">
        <v>39.201085999999997</v>
      </c>
      <c r="C341">
        <v>-77.477260000000001</v>
      </c>
      <c r="D341">
        <v>6000</v>
      </c>
      <c r="E341">
        <v>6225</v>
      </c>
      <c r="F341">
        <v>117</v>
      </c>
      <c r="G341">
        <v>58</v>
      </c>
      <c r="H341">
        <v>704</v>
      </c>
      <c r="J341" s="1">
        <f t="shared" si="25"/>
        <v>13689</v>
      </c>
      <c r="K341" s="1">
        <f t="shared" si="26"/>
        <v>3364</v>
      </c>
      <c r="L341" s="1">
        <f t="shared" si="27"/>
        <v>17053</v>
      </c>
      <c r="M341" s="1">
        <f t="shared" si="28"/>
        <v>130.58713566044705</v>
      </c>
      <c r="N341" s="7">
        <f t="shared" si="29"/>
        <v>130.58713566044705</v>
      </c>
    </row>
    <row r="342" spans="1:14" x14ac:dyDescent="0.25">
      <c r="A342" t="str">
        <f>"13:56:03.477"</f>
        <v>13:56:03.477</v>
      </c>
      <c r="B342">
        <v>39.201321999999998</v>
      </c>
      <c r="C342">
        <v>-77.476594000000006</v>
      </c>
      <c r="D342">
        <v>6000</v>
      </c>
      <c r="E342">
        <v>6225</v>
      </c>
      <c r="F342">
        <v>118</v>
      </c>
      <c r="G342">
        <v>57</v>
      </c>
      <c r="H342">
        <v>768</v>
      </c>
      <c r="J342" s="1">
        <f t="shared" si="25"/>
        <v>13924</v>
      </c>
      <c r="K342" s="1">
        <f t="shared" si="26"/>
        <v>3249</v>
      </c>
      <c r="L342" s="1">
        <f t="shared" si="27"/>
        <v>17173</v>
      </c>
      <c r="M342" s="1">
        <f t="shared" si="28"/>
        <v>131.04579352272242</v>
      </c>
      <c r="N342" s="7">
        <f t="shared" si="29"/>
        <v>131.04579352272242</v>
      </c>
    </row>
    <row r="343" spans="1:14" x14ac:dyDescent="0.25">
      <c r="A343" t="str">
        <f>"13:56:04.484"</f>
        <v>13:56:04.484</v>
      </c>
      <c r="B343">
        <v>39.201600999999997</v>
      </c>
      <c r="C343">
        <v>-77.475886000000003</v>
      </c>
      <c r="D343">
        <v>6000</v>
      </c>
      <c r="E343">
        <v>6250</v>
      </c>
      <c r="F343">
        <v>119</v>
      </c>
      <c r="G343">
        <v>56</v>
      </c>
      <c r="H343">
        <v>832</v>
      </c>
      <c r="J343" s="1">
        <f t="shared" si="25"/>
        <v>14161</v>
      </c>
      <c r="K343" s="1">
        <f t="shared" si="26"/>
        <v>3136</v>
      </c>
      <c r="L343" s="1">
        <f t="shared" si="27"/>
        <v>17297</v>
      </c>
      <c r="M343" s="1">
        <f t="shared" si="28"/>
        <v>131.51805959639154</v>
      </c>
      <c r="N343" s="7">
        <f t="shared" si="29"/>
        <v>131.51805959639154</v>
      </c>
    </row>
    <row r="344" spans="1:14" x14ac:dyDescent="0.25">
      <c r="A344" t="str">
        <f>"13:56:05.492"</f>
        <v>13:56:05.492</v>
      </c>
      <c r="B344">
        <v>39.201836999999998</v>
      </c>
      <c r="C344">
        <v>-77.475178</v>
      </c>
      <c r="D344">
        <v>6000</v>
      </c>
      <c r="E344">
        <v>6250</v>
      </c>
      <c r="F344">
        <v>120</v>
      </c>
      <c r="G344">
        <v>55</v>
      </c>
      <c r="H344">
        <v>896</v>
      </c>
      <c r="J344" s="1">
        <f t="shared" si="25"/>
        <v>14400</v>
      </c>
      <c r="K344" s="1">
        <f t="shared" si="26"/>
        <v>3025</v>
      </c>
      <c r="L344" s="1">
        <f t="shared" si="27"/>
        <v>17425</v>
      </c>
      <c r="M344" s="1">
        <f t="shared" si="28"/>
        <v>132.00378782444085</v>
      </c>
      <c r="N344" s="7">
        <f t="shared" si="29"/>
        <v>132.00378782444085</v>
      </c>
    </row>
    <row r="345" spans="1:14" x14ac:dyDescent="0.25">
      <c r="A345" t="str">
        <f>"13:56:06.555"</f>
        <v>13:56:06.555</v>
      </c>
      <c r="B345">
        <v>39.202115999999997</v>
      </c>
      <c r="C345">
        <v>-77.474362999999997</v>
      </c>
      <c r="D345">
        <v>6000</v>
      </c>
      <c r="E345">
        <v>6275</v>
      </c>
      <c r="F345">
        <v>120</v>
      </c>
      <c r="G345">
        <v>54</v>
      </c>
      <c r="H345">
        <v>896</v>
      </c>
      <c r="J345" s="1">
        <f t="shared" si="25"/>
        <v>14400</v>
      </c>
      <c r="K345" s="1">
        <f t="shared" si="26"/>
        <v>2916</v>
      </c>
      <c r="L345" s="1">
        <f t="shared" si="27"/>
        <v>17316</v>
      </c>
      <c r="M345" s="1">
        <f t="shared" si="28"/>
        <v>131.59027319676784</v>
      </c>
      <c r="N345" s="7">
        <f t="shared" si="29"/>
        <v>131.59027319676784</v>
      </c>
    </row>
    <row r="346" spans="1:14" x14ac:dyDescent="0.25">
      <c r="A346" t="str">
        <f>"13:56:07.711"</f>
        <v>13:56:07.711</v>
      </c>
      <c r="B346">
        <v>39.202373000000001</v>
      </c>
      <c r="C346">
        <v>-77.473546999999996</v>
      </c>
      <c r="D346">
        <v>6000</v>
      </c>
      <c r="E346">
        <v>6300</v>
      </c>
      <c r="F346">
        <v>121</v>
      </c>
      <c r="G346">
        <v>53</v>
      </c>
      <c r="H346">
        <v>896</v>
      </c>
      <c r="J346" s="1">
        <f t="shared" si="25"/>
        <v>14641</v>
      </c>
      <c r="K346" s="1">
        <f t="shared" si="26"/>
        <v>2809</v>
      </c>
      <c r="L346" s="1">
        <f t="shared" si="27"/>
        <v>17450</v>
      </c>
      <c r="M346" s="1">
        <f t="shared" si="28"/>
        <v>132.09844813622905</v>
      </c>
      <c r="N346" s="7">
        <f t="shared" si="29"/>
        <v>132.09844813622905</v>
      </c>
    </row>
    <row r="347" spans="1:14" x14ac:dyDescent="0.25">
      <c r="A347" t="str">
        <f>"13:56:08.625"</f>
        <v>13:56:08.625</v>
      </c>
      <c r="B347">
        <v>39.202609000000002</v>
      </c>
      <c r="C347">
        <v>-77.472904</v>
      </c>
      <c r="D347">
        <v>6000</v>
      </c>
      <c r="E347">
        <v>6300</v>
      </c>
      <c r="F347">
        <v>122</v>
      </c>
      <c r="G347">
        <v>51</v>
      </c>
      <c r="H347">
        <v>960</v>
      </c>
      <c r="J347" s="1">
        <f t="shared" si="25"/>
        <v>14884</v>
      </c>
      <c r="K347" s="1">
        <f t="shared" si="26"/>
        <v>2601</v>
      </c>
      <c r="L347" s="1">
        <f t="shared" si="27"/>
        <v>17485</v>
      </c>
      <c r="M347" s="1">
        <f t="shared" si="28"/>
        <v>132.23085872821065</v>
      </c>
      <c r="N347" s="7">
        <f t="shared" si="29"/>
        <v>132.23085872821065</v>
      </c>
    </row>
    <row r="348" spans="1:14" x14ac:dyDescent="0.25">
      <c r="A348" t="str">
        <f>"13:56:09.734"</f>
        <v>13:56:09.734</v>
      </c>
      <c r="B348">
        <v>39.202845000000003</v>
      </c>
      <c r="C348">
        <v>-77.472131000000005</v>
      </c>
      <c r="D348">
        <v>6000</v>
      </c>
      <c r="E348">
        <v>6325</v>
      </c>
      <c r="F348">
        <v>122</v>
      </c>
      <c r="G348">
        <v>50</v>
      </c>
      <c r="H348">
        <v>1088</v>
      </c>
      <c r="J348" s="1">
        <f t="shared" si="25"/>
        <v>14884</v>
      </c>
      <c r="K348" s="1">
        <f t="shared" si="26"/>
        <v>2500</v>
      </c>
      <c r="L348" s="1">
        <f t="shared" si="27"/>
        <v>17384</v>
      </c>
      <c r="M348" s="1">
        <f t="shared" si="28"/>
        <v>131.84839779079607</v>
      </c>
      <c r="N348" s="7">
        <f t="shared" si="29"/>
        <v>131.84839779079607</v>
      </c>
    </row>
    <row r="349" spans="1:14" x14ac:dyDescent="0.25">
      <c r="A349" t="str">
        <f>"13:56:10.641"</f>
        <v>13:56:10.641</v>
      </c>
      <c r="B349">
        <v>39.203037999999999</v>
      </c>
      <c r="C349">
        <v>-77.471445000000003</v>
      </c>
      <c r="D349">
        <v>6100</v>
      </c>
      <c r="E349">
        <v>6350</v>
      </c>
      <c r="F349">
        <v>123</v>
      </c>
      <c r="G349">
        <v>48</v>
      </c>
      <c r="H349">
        <v>1088</v>
      </c>
      <c r="J349" s="1">
        <f t="shared" si="25"/>
        <v>15129</v>
      </c>
      <c r="K349" s="1">
        <f t="shared" si="26"/>
        <v>2304</v>
      </c>
      <c r="L349" s="1">
        <f t="shared" si="27"/>
        <v>17433</v>
      </c>
      <c r="M349" s="1">
        <f t="shared" si="28"/>
        <v>132.03408650799233</v>
      </c>
      <c r="N349" s="7">
        <f t="shared" si="29"/>
        <v>132.03408650799233</v>
      </c>
    </row>
    <row r="350" spans="1:14" x14ac:dyDescent="0.25">
      <c r="A350" t="str">
        <f>"13:56:11.648"</f>
        <v>13:56:11.648</v>
      </c>
      <c r="B350">
        <v>39.203296000000002</v>
      </c>
      <c r="C350">
        <v>-77.470629000000002</v>
      </c>
      <c r="D350">
        <v>6100</v>
      </c>
      <c r="E350">
        <v>6350</v>
      </c>
      <c r="F350">
        <v>124</v>
      </c>
      <c r="G350">
        <v>46</v>
      </c>
      <c r="H350">
        <v>1088</v>
      </c>
      <c r="J350" s="1">
        <f t="shared" si="25"/>
        <v>15376</v>
      </c>
      <c r="K350" s="1">
        <f t="shared" si="26"/>
        <v>2116</v>
      </c>
      <c r="L350" s="1">
        <f t="shared" si="27"/>
        <v>17492</v>
      </c>
      <c r="M350" s="1">
        <f t="shared" si="28"/>
        <v>132.25732493892352</v>
      </c>
      <c r="N350" s="7">
        <f t="shared" si="29"/>
        <v>132.25732493892352</v>
      </c>
    </row>
    <row r="351" spans="1:14" x14ac:dyDescent="0.25">
      <c r="A351" t="str">
        <f>"13:56:12.609"</f>
        <v>13:56:12.609</v>
      </c>
      <c r="B351">
        <v>39.203446</v>
      </c>
      <c r="C351">
        <v>-77.469964000000004</v>
      </c>
      <c r="D351">
        <v>6100</v>
      </c>
      <c r="E351">
        <v>6375</v>
      </c>
      <c r="F351">
        <v>124</v>
      </c>
      <c r="G351">
        <v>44</v>
      </c>
      <c r="H351">
        <v>1088</v>
      </c>
      <c r="J351" s="1">
        <f t="shared" si="25"/>
        <v>15376</v>
      </c>
      <c r="K351" s="1">
        <f t="shared" si="26"/>
        <v>1936</v>
      </c>
      <c r="L351" s="1">
        <f t="shared" si="27"/>
        <v>17312</v>
      </c>
      <c r="M351" s="1">
        <f t="shared" si="28"/>
        <v>131.5750736271882</v>
      </c>
      <c r="N351" s="7">
        <f t="shared" si="29"/>
        <v>131.5750736271882</v>
      </c>
    </row>
    <row r="352" spans="1:14" x14ac:dyDescent="0.25">
      <c r="A352" t="str">
        <f>"13:56:13.570"</f>
        <v>13:56:13.570</v>
      </c>
      <c r="B352">
        <v>39.203682000000001</v>
      </c>
      <c r="C352">
        <v>-77.469234</v>
      </c>
      <c r="D352">
        <v>6100</v>
      </c>
      <c r="E352">
        <v>6400</v>
      </c>
      <c r="F352">
        <v>125</v>
      </c>
      <c r="G352">
        <v>43</v>
      </c>
      <c r="H352">
        <v>1088</v>
      </c>
      <c r="J352" s="1">
        <f t="shared" si="25"/>
        <v>15625</v>
      </c>
      <c r="K352" s="1">
        <f t="shared" si="26"/>
        <v>1849</v>
      </c>
      <c r="L352" s="1">
        <f t="shared" si="27"/>
        <v>17474</v>
      </c>
      <c r="M352" s="1">
        <f t="shared" si="28"/>
        <v>132.18925826253812</v>
      </c>
      <c r="N352" s="7">
        <f t="shared" si="29"/>
        <v>132.18925826253812</v>
      </c>
    </row>
    <row r="353" spans="1:14" x14ac:dyDescent="0.25">
      <c r="A353" t="str">
        <f>"13:56:14.477"</f>
        <v>13:56:14.477</v>
      </c>
      <c r="B353">
        <v>39.203831999999998</v>
      </c>
      <c r="C353">
        <v>-77.468591000000004</v>
      </c>
      <c r="D353">
        <v>6200</v>
      </c>
      <c r="E353">
        <v>6400</v>
      </c>
      <c r="F353">
        <v>125</v>
      </c>
      <c r="G353">
        <v>42</v>
      </c>
      <c r="H353">
        <v>1088</v>
      </c>
      <c r="J353" s="1">
        <f t="shared" si="25"/>
        <v>15625</v>
      </c>
      <c r="K353" s="1">
        <f t="shared" si="26"/>
        <v>1764</v>
      </c>
      <c r="L353" s="1">
        <f t="shared" si="27"/>
        <v>17389</v>
      </c>
      <c r="M353" s="1">
        <f t="shared" si="28"/>
        <v>131.86735759845953</v>
      </c>
      <c r="N353" s="7">
        <f t="shared" si="29"/>
        <v>131.86735759845953</v>
      </c>
    </row>
    <row r="354" spans="1:14" x14ac:dyDescent="0.25">
      <c r="A354" t="str">
        <f>"13:56:15.438"</f>
        <v>13:56:15.438</v>
      </c>
      <c r="B354">
        <v>39.204003999999998</v>
      </c>
      <c r="C354">
        <v>-77.467904000000004</v>
      </c>
      <c r="D354">
        <v>6200</v>
      </c>
      <c r="E354">
        <v>6425</v>
      </c>
      <c r="F354">
        <v>125</v>
      </c>
      <c r="G354">
        <v>41</v>
      </c>
      <c r="H354">
        <v>1088</v>
      </c>
      <c r="J354" s="1">
        <f t="shared" si="25"/>
        <v>15625</v>
      </c>
      <c r="K354" s="1">
        <f t="shared" si="26"/>
        <v>1681</v>
      </c>
      <c r="L354" s="1">
        <f t="shared" si="27"/>
        <v>17306</v>
      </c>
      <c r="M354" s="1">
        <f t="shared" si="28"/>
        <v>131.55227098001768</v>
      </c>
      <c r="N354" s="7">
        <f t="shared" si="29"/>
        <v>131.55227098001768</v>
      </c>
    </row>
    <row r="355" spans="1:14" x14ac:dyDescent="0.25">
      <c r="A355" t="str">
        <f>"13:56:16.398"</f>
        <v>13:56:16.398</v>
      </c>
      <c r="B355">
        <v>39.204197000000001</v>
      </c>
      <c r="C355">
        <v>-77.467152999999996</v>
      </c>
      <c r="D355">
        <v>6200</v>
      </c>
      <c r="E355">
        <v>6450</v>
      </c>
      <c r="F355">
        <v>125</v>
      </c>
      <c r="G355">
        <v>40</v>
      </c>
      <c r="H355">
        <v>1088</v>
      </c>
      <c r="J355" s="1">
        <f t="shared" si="25"/>
        <v>15625</v>
      </c>
      <c r="K355" s="1">
        <f t="shared" si="26"/>
        <v>1600</v>
      </c>
      <c r="L355" s="1">
        <f t="shared" si="27"/>
        <v>17225</v>
      </c>
      <c r="M355" s="1">
        <f t="shared" si="28"/>
        <v>131.24404748406687</v>
      </c>
      <c r="N355" s="7">
        <f t="shared" si="29"/>
        <v>131.24404748406687</v>
      </c>
    </row>
    <row r="356" spans="1:14" x14ac:dyDescent="0.25">
      <c r="A356" t="str">
        <f>"13:56:17.508"</f>
        <v>13:56:17.508</v>
      </c>
      <c r="B356">
        <v>39.204389999999997</v>
      </c>
      <c r="C356">
        <v>-77.466337999999993</v>
      </c>
      <c r="D356">
        <v>6200</v>
      </c>
      <c r="E356">
        <v>6475</v>
      </c>
      <c r="F356">
        <v>126</v>
      </c>
      <c r="G356">
        <v>40</v>
      </c>
      <c r="H356">
        <v>1088</v>
      </c>
      <c r="J356" s="1">
        <f t="shared" si="25"/>
        <v>15876</v>
      </c>
      <c r="K356" s="1">
        <f t="shared" si="26"/>
        <v>1600</v>
      </c>
      <c r="L356" s="1">
        <f t="shared" si="27"/>
        <v>17476</v>
      </c>
      <c r="M356" s="1">
        <f t="shared" si="28"/>
        <v>132.19682295728592</v>
      </c>
      <c r="N356" s="7">
        <f t="shared" si="29"/>
        <v>132.19682295728592</v>
      </c>
    </row>
    <row r="357" spans="1:14" x14ac:dyDescent="0.25">
      <c r="A357" t="str">
        <f>"13:56:18.922"</f>
        <v>13:56:18.922</v>
      </c>
      <c r="B357">
        <v>39.204669000000003</v>
      </c>
      <c r="C357">
        <v>-77.465307999999993</v>
      </c>
      <c r="D357">
        <v>6200</v>
      </c>
      <c r="E357">
        <v>6500</v>
      </c>
      <c r="F357">
        <v>126</v>
      </c>
      <c r="G357">
        <v>38</v>
      </c>
      <c r="H357">
        <v>1088</v>
      </c>
      <c r="J357" s="1">
        <f t="shared" si="25"/>
        <v>15876</v>
      </c>
      <c r="K357" s="1">
        <f t="shared" si="26"/>
        <v>1444</v>
      </c>
      <c r="L357" s="1">
        <f t="shared" si="27"/>
        <v>17320</v>
      </c>
      <c r="M357" s="1">
        <f t="shared" si="28"/>
        <v>131.60547101089682</v>
      </c>
      <c r="N357" s="7">
        <f t="shared" si="29"/>
        <v>131.60547101089682</v>
      </c>
    </row>
    <row r="358" spans="1:14" x14ac:dyDescent="0.25">
      <c r="A358" t="str">
        <f>"13:56:20.031"</f>
        <v>13:56:20.031</v>
      </c>
      <c r="B358">
        <v>39.204861999999999</v>
      </c>
      <c r="C358">
        <v>-77.464471000000003</v>
      </c>
      <c r="D358">
        <v>6300</v>
      </c>
      <c r="E358">
        <v>6500</v>
      </c>
      <c r="F358">
        <v>126</v>
      </c>
      <c r="G358">
        <v>37</v>
      </c>
      <c r="H358">
        <v>1088</v>
      </c>
      <c r="J358" s="1">
        <f t="shared" si="25"/>
        <v>15876</v>
      </c>
      <c r="K358" s="1">
        <f t="shared" si="26"/>
        <v>1369</v>
      </c>
      <c r="L358" s="1">
        <f t="shared" si="27"/>
        <v>17245</v>
      </c>
      <c r="M358" s="1">
        <f t="shared" si="28"/>
        <v>131.32021931142211</v>
      </c>
      <c r="N358" s="7">
        <f t="shared" si="29"/>
        <v>131.32021931142211</v>
      </c>
    </row>
    <row r="359" spans="1:14" x14ac:dyDescent="0.25">
      <c r="A359" t="str">
        <f>"13:56:21.141"</f>
        <v>13:56:21.141</v>
      </c>
      <c r="B359">
        <v>39.205033999999998</v>
      </c>
      <c r="C359">
        <v>-77.463633999999999</v>
      </c>
      <c r="D359">
        <v>6300</v>
      </c>
      <c r="E359">
        <v>6525</v>
      </c>
      <c r="F359">
        <v>126</v>
      </c>
      <c r="G359">
        <v>36</v>
      </c>
      <c r="H359">
        <v>1024</v>
      </c>
      <c r="J359" s="1">
        <f t="shared" si="25"/>
        <v>15876</v>
      </c>
      <c r="K359" s="1">
        <f t="shared" si="26"/>
        <v>1296</v>
      </c>
      <c r="L359" s="1">
        <f t="shared" si="27"/>
        <v>17172</v>
      </c>
      <c r="M359" s="1">
        <f t="shared" si="28"/>
        <v>131.04197800704932</v>
      </c>
      <c r="N359" s="7">
        <f t="shared" si="29"/>
        <v>131.04197800704932</v>
      </c>
    </row>
    <row r="360" spans="1:14" x14ac:dyDescent="0.25">
      <c r="A360" t="str">
        <f>"13:56:22.000"</f>
        <v>13:56:22.000</v>
      </c>
      <c r="B360">
        <v>39.205184000000003</v>
      </c>
      <c r="C360">
        <v>-77.462947</v>
      </c>
      <c r="D360">
        <v>6300</v>
      </c>
      <c r="E360">
        <v>6550</v>
      </c>
      <c r="F360">
        <v>127</v>
      </c>
      <c r="G360">
        <v>35</v>
      </c>
      <c r="H360">
        <v>1024</v>
      </c>
      <c r="J360" s="1">
        <f t="shared" si="25"/>
        <v>16129</v>
      </c>
      <c r="K360" s="1">
        <f t="shared" si="26"/>
        <v>1225</v>
      </c>
      <c r="L360" s="1">
        <f t="shared" si="27"/>
        <v>17354</v>
      </c>
      <c r="M360" s="1">
        <f t="shared" si="28"/>
        <v>131.73458164050928</v>
      </c>
      <c r="N360" s="7">
        <f t="shared" si="29"/>
        <v>131.73458164050928</v>
      </c>
    </row>
    <row r="361" spans="1:14" x14ac:dyDescent="0.25">
      <c r="A361" t="str">
        <f>"13:56:22.914"</f>
        <v>13:56:22.914</v>
      </c>
      <c r="B361">
        <v>39.205312999999997</v>
      </c>
      <c r="C361">
        <v>-77.462260999999998</v>
      </c>
      <c r="D361">
        <v>6300</v>
      </c>
      <c r="E361">
        <v>6550</v>
      </c>
      <c r="F361">
        <v>127</v>
      </c>
      <c r="G361">
        <v>35</v>
      </c>
      <c r="H361">
        <v>1024</v>
      </c>
      <c r="J361" s="1">
        <f t="shared" si="25"/>
        <v>16129</v>
      </c>
      <c r="K361" s="1">
        <f t="shared" si="26"/>
        <v>1225</v>
      </c>
      <c r="L361" s="1">
        <f t="shared" si="27"/>
        <v>17354</v>
      </c>
      <c r="M361" s="1">
        <f t="shared" si="28"/>
        <v>131.73458164050928</v>
      </c>
      <c r="N361" s="7">
        <f t="shared" si="29"/>
        <v>131.73458164050928</v>
      </c>
    </row>
    <row r="362" spans="1:14" x14ac:dyDescent="0.25">
      <c r="A362" t="str">
        <f>"13:56:24.070"</f>
        <v>13:56:24.070</v>
      </c>
      <c r="B362">
        <v>39.205483999999998</v>
      </c>
      <c r="C362">
        <v>-77.461381000000003</v>
      </c>
      <c r="D362">
        <v>6300</v>
      </c>
      <c r="E362">
        <v>6575</v>
      </c>
      <c r="F362">
        <v>127</v>
      </c>
      <c r="G362">
        <v>35</v>
      </c>
      <c r="H362">
        <v>1024</v>
      </c>
      <c r="J362" s="1">
        <f t="shared" si="25"/>
        <v>16129</v>
      </c>
      <c r="K362" s="1">
        <f t="shared" si="26"/>
        <v>1225</v>
      </c>
      <c r="L362" s="1">
        <f t="shared" si="27"/>
        <v>17354</v>
      </c>
      <c r="M362" s="1">
        <f t="shared" si="28"/>
        <v>131.73458164050928</v>
      </c>
      <c r="N362" s="7">
        <f t="shared" si="29"/>
        <v>131.73458164050928</v>
      </c>
    </row>
    <row r="363" spans="1:14" x14ac:dyDescent="0.25">
      <c r="A363" t="str">
        <f>"13:56:25.078"</f>
        <v>13:56:25.078</v>
      </c>
      <c r="B363">
        <v>39.205677999999999</v>
      </c>
      <c r="C363">
        <v>-77.460650999999999</v>
      </c>
      <c r="D363">
        <v>6300</v>
      </c>
      <c r="E363">
        <v>6600</v>
      </c>
      <c r="F363">
        <v>126</v>
      </c>
      <c r="G363">
        <v>36</v>
      </c>
      <c r="H363">
        <v>1024</v>
      </c>
      <c r="J363" s="1">
        <f t="shared" si="25"/>
        <v>15876</v>
      </c>
      <c r="K363" s="1">
        <f t="shared" si="26"/>
        <v>1296</v>
      </c>
      <c r="L363" s="1">
        <f t="shared" si="27"/>
        <v>17172</v>
      </c>
      <c r="M363" s="1">
        <f t="shared" si="28"/>
        <v>131.04197800704932</v>
      </c>
      <c r="N363" s="7">
        <f t="shared" si="29"/>
        <v>131.04197800704932</v>
      </c>
    </row>
    <row r="364" spans="1:14" x14ac:dyDescent="0.25">
      <c r="A364" t="str">
        <f>"13:56:26.039"</f>
        <v>13:56:26.039</v>
      </c>
      <c r="B364">
        <v>39.205827999999997</v>
      </c>
      <c r="C364">
        <v>-77.459964999999997</v>
      </c>
      <c r="D364">
        <v>6300</v>
      </c>
      <c r="E364">
        <v>6625</v>
      </c>
      <c r="F364">
        <v>125</v>
      </c>
      <c r="G364">
        <v>39</v>
      </c>
      <c r="H364">
        <v>1024</v>
      </c>
      <c r="J364" s="1">
        <f t="shared" si="25"/>
        <v>15625</v>
      </c>
      <c r="K364" s="1">
        <f t="shared" si="26"/>
        <v>1521</v>
      </c>
      <c r="L364" s="1">
        <f t="shared" si="27"/>
        <v>17146</v>
      </c>
      <c r="M364" s="1">
        <f t="shared" si="28"/>
        <v>130.9427355755179</v>
      </c>
      <c r="N364" s="7">
        <f t="shared" si="29"/>
        <v>130.9427355755179</v>
      </c>
    </row>
    <row r="365" spans="1:14" x14ac:dyDescent="0.25">
      <c r="A365" t="str">
        <f>"13:56:27.000"</f>
        <v>13:56:27.000</v>
      </c>
      <c r="B365">
        <v>39.206063999999998</v>
      </c>
      <c r="C365">
        <v>-77.459235000000007</v>
      </c>
      <c r="D365">
        <v>6300</v>
      </c>
      <c r="E365">
        <v>6625</v>
      </c>
      <c r="F365">
        <v>124</v>
      </c>
      <c r="G365">
        <v>41</v>
      </c>
      <c r="H365">
        <v>960</v>
      </c>
      <c r="J365" s="1">
        <f t="shared" si="25"/>
        <v>15376</v>
      </c>
      <c r="K365" s="1">
        <f t="shared" si="26"/>
        <v>1681</v>
      </c>
      <c r="L365" s="1">
        <f t="shared" si="27"/>
        <v>17057</v>
      </c>
      <c r="M365" s="1">
        <f t="shared" si="28"/>
        <v>130.60245020672468</v>
      </c>
      <c r="N365" s="7">
        <f t="shared" si="29"/>
        <v>130.60245020672468</v>
      </c>
    </row>
    <row r="366" spans="1:14" x14ac:dyDescent="0.25">
      <c r="A366" t="str">
        <f>"13:56:27.961"</f>
        <v>13:56:27.961</v>
      </c>
      <c r="B366">
        <v>39.206257000000001</v>
      </c>
      <c r="C366">
        <v>-77.458506</v>
      </c>
      <c r="D366">
        <v>6400</v>
      </c>
      <c r="E366">
        <v>6650</v>
      </c>
      <c r="F366">
        <v>123</v>
      </c>
      <c r="G366">
        <v>45</v>
      </c>
      <c r="H366">
        <v>896</v>
      </c>
      <c r="J366" s="1">
        <f t="shared" si="25"/>
        <v>15129</v>
      </c>
      <c r="K366" s="1">
        <f t="shared" si="26"/>
        <v>2025</v>
      </c>
      <c r="L366" s="1">
        <f t="shared" si="27"/>
        <v>17154</v>
      </c>
      <c r="M366" s="1">
        <f t="shared" si="28"/>
        <v>130.97327971765844</v>
      </c>
      <c r="N366" s="7">
        <f t="shared" si="29"/>
        <v>130.97327971765844</v>
      </c>
    </row>
    <row r="367" spans="1:14" x14ac:dyDescent="0.25">
      <c r="A367" t="str">
        <f>"13:56:28.969"</f>
        <v>13:56:28.969</v>
      </c>
      <c r="B367">
        <v>39.206471000000001</v>
      </c>
      <c r="C367">
        <v>-77.457755000000006</v>
      </c>
      <c r="D367">
        <v>6400</v>
      </c>
      <c r="E367">
        <v>6650</v>
      </c>
      <c r="F367">
        <v>121</v>
      </c>
      <c r="G367">
        <v>50</v>
      </c>
      <c r="H367">
        <v>832</v>
      </c>
      <c r="J367" s="1">
        <f t="shared" si="25"/>
        <v>14641</v>
      </c>
      <c r="K367" s="1">
        <f t="shared" si="26"/>
        <v>2500</v>
      </c>
      <c r="L367" s="1">
        <f t="shared" si="27"/>
        <v>17141</v>
      </c>
      <c r="M367" s="1">
        <f t="shared" si="28"/>
        <v>130.92364186807515</v>
      </c>
      <c r="N367" s="7">
        <f t="shared" si="29"/>
        <v>130.92364186807515</v>
      </c>
    </row>
    <row r="368" spans="1:14" x14ac:dyDescent="0.25">
      <c r="A368" t="str">
        <f>"13:56:29.875"</f>
        <v>13:56:29.875</v>
      </c>
      <c r="B368">
        <v>39.206729000000003</v>
      </c>
      <c r="C368">
        <v>-77.457132000000001</v>
      </c>
      <c r="D368">
        <v>6400</v>
      </c>
      <c r="E368">
        <v>6675</v>
      </c>
      <c r="F368">
        <v>119</v>
      </c>
      <c r="G368">
        <v>55</v>
      </c>
      <c r="H368">
        <v>768</v>
      </c>
      <c r="J368" s="1">
        <f t="shared" si="25"/>
        <v>14161</v>
      </c>
      <c r="K368" s="1">
        <f t="shared" si="26"/>
        <v>3025</v>
      </c>
      <c r="L368" s="1">
        <f t="shared" si="27"/>
        <v>17186</v>
      </c>
      <c r="M368" s="1">
        <f t="shared" si="28"/>
        <v>131.09538512091109</v>
      </c>
      <c r="N368" s="7">
        <f t="shared" si="29"/>
        <v>131.09538512091109</v>
      </c>
    </row>
    <row r="369" spans="1:14" x14ac:dyDescent="0.25">
      <c r="A369" t="str">
        <f>"13:56:30.992"</f>
        <v>13:56:30.992</v>
      </c>
      <c r="B369">
        <v>39.207028999999999</v>
      </c>
      <c r="C369">
        <v>-77.456360000000004</v>
      </c>
      <c r="D369">
        <v>6400</v>
      </c>
      <c r="E369">
        <v>6675</v>
      </c>
      <c r="F369">
        <v>117</v>
      </c>
      <c r="G369">
        <v>59</v>
      </c>
      <c r="H369">
        <v>704</v>
      </c>
      <c r="J369" s="1">
        <f t="shared" si="25"/>
        <v>13689</v>
      </c>
      <c r="K369" s="1">
        <f t="shared" si="26"/>
        <v>3481</v>
      </c>
      <c r="L369" s="1">
        <f t="shared" si="27"/>
        <v>17170</v>
      </c>
      <c r="M369" s="1">
        <f t="shared" si="28"/>
        <v>131.03434664239754</v>
      </c>
      <c r="N369" s="7">
        <f t="shared" si="29"/>
        <v>131.03434664239754</v>
      </c>
    </row>
    <row r="370" spans="1:14" x14ac:dyDescent="0.25">
      <c r="A370" t="str">
        <f>"13:56:31.898"</f>
        <v>13:56:31.898</v>
      </c>
      <c r="B370">
        <v>39.207265</v>
      </c>
      <c r="C370">
        <v>-77.455759</v>
      </c>
      <c r="D370">
        <v>6400</v>
      </c>
      <c r="E370">
        <v>6700</v>
      </c>
      <c r="F370">
        <v>116</v>
      </c>
      <c r="G370">
        <v>62</v>
      </c>
      <c r="H370">
        <v>704</v>
      </c>
      <c r="J370" s="1">
        <f t="shared" si="25"/>
        <v>13456</v>
      </c>
      <c r="K370" s="1">
        <f t="shared" si="26"/>
        <v>3844</v>
      </c>
      <c r="L370" s="1">
        <f t="shared" si="27"/>
        <v>17300</v>
      </c>
      <c r="M370" s="1">
        <f t="shared" si="28"/>
        <v>131.52946437965906</v>
      </c>
      <c r="N370" s="7">
        <f t="shared" si="29"/>
        <v>131.52946437965906</v>
      </c>
    </row>
    <row r="371" spans="1:14" x14ac:dyDescent="0.25">
      <c r="A371" t="str">
        <f>"13:56:32.961"</f>
        <v>13:56:32.961</v>
      </c>
      <c r="B371">
        <v>39.207586999999997</v>
      </c>
      <c r="C371">
        <v>-77.455050999999997</v>
      </c>
      <c r="D371">
        <v>6400</v>
      </c>
      <c r="E371">
        <v>6700</v>
      </c>
      <c r="F371">
        <v>116</v>
      </c>
      <c r="G371">
        <v>63</v>
      </c>
      <c r="H371">
        <v>704</v>
      </c>
      <c r="J371" s="1">
        <f t="shared" si="25"/>
        <v>13456</v>
      </c>
      <c r="K371" s="1">
        <f t="shared" si="26"/>
        <v>3969</v>
      </c>
      <c r="L371" s="1">
        <f t="shared" si="27"/>
        <v>17425</v>
      </c>
      <c r="M371" s="1">
        <f t="shared" si="28"/>
        <v>132.00378782444085</v>
      </c>
      <c r="N371" s="7">
        <f t="shared" si="29"/>
        <v>132.00378782444085</v>
      </c>
    </row>
    <row r="372" spans="1:14" x14ac:dyDescent="0.25">
      <c r="A372" t="str">
        <f>"13:56:33.867"</f>
        <v>13:56:33.867</v>
      </c>
      <c r="B372">
        <v>39.207822999999998</v>
      </c>
      <c r="C372">
        <v>-77.454471999999996</v>
      </c>
      <c r="D372">
        <v>6500</v>
      </c>
      <c r="E372">
        <v>6725</v>
      </c>
      <c r="F372">
        <v>116</v>
      </c>
      <c r="G372">
        <v>64</v>
      </c>
      <c r="H372">
        <v>704</v>
      </c>
      <c r="J372" s="1">
        <f t="shared" si="25"/>
        <v>13456</v>
      </c>
      <c r="K372" s="1">
        <f t="shared" si="26"/>
        <v>4096</v>
      </c>
      <c r="L372" s="1">
        <f t="shared" si="27"/>
        <v>17552</v>
      </c>
      <c r="M372" s="1">
        <f t="shared" si="28"/>
        <v>132.48396129343357</v>
      </c>
      <c r="N372" s="7">
        <f t="shared" si="29"/>
        <v>132.48396129343357</v>
      </c>
    </row>
    <row r="373" spans="1:14" x14ac:dyDescent="0.25">
      <c r="A373" t="str">
        <f>"13:56:34.672"</f>
        <v>13:56:34.672</v>
      </c>
      <c r="B373">
        <v>39.208101999999997</v>
      </c>
      <c r="C373">
        <v>-77.453784999999996</v>
      </c>
      <c r="D373">
        <v>6500</v>
      </c>
      <c r="E373">
        <v>6725</v>
      </c>
      <c r="F373">
        <v>117</v>
      </c>
      <c r="G373">
        <v>63</v>
      </c>
      <c r="H373">
        <v>704</v>
      </c>
      <c r="J373" s="1">
        <f t="shared" si="25"/>
        <v>13689</v>
      </c>
      <c r="K373" s="1">
        <f t="shared" si="26"/>
        <v>3969</v>
      </c>
      <c r="L373" s="1">
        <f t="shared" si="27"/>
        <v>17658</v>
      </c>
      <c r="M373" s="1">
        <f t="shared" si="28"/>
        <v>132.8834075421006</v>
      </c>
      <c r="N373" s="7">
        <f t="shared" si="29"/>
        <v>132.8834075421006</v>
      </c>
    </row>
    <row r="374" spans="1:14" x14ac:dyDescent="0.25">
      <c r="A374" t="str">
        <f>"13:56:35.781"</f>
        <v>13:56:35.781</v>
      </c>
      <c r="B374">
        <v>39.208446000000002</v>
      </c>
      <c r="C374">
        <v>-77.453055000000006</v>
      </c>
      <c r="D374">
        <v>6500</v>
      </c>
      <c r="E374">
        <v>6750</v>
      </c>
      <c r="F374">
        <v>117</v>
      </c>
      <c r="G374">
        <v>63</v>
      </c>
      <c r="H374">
        <v>704</v>
      </c>
      <c r="J374" s="1">
        <f t="shared" si="25"/>
        <v>13689</v>
      </c>
      <c r="K374" s="1">
        <f t="shared" si="26"/>
        <v>3969</v>
      </c>
      <c r="L374" s="1">
        <f t="shared" si="27"/>
        <v>17658</v>
      </c>
      <c r="M374" s="1">
        <f t="shared" si="28"/>
        <v>132.8834075421006</v>
      </c>
      <c r="N374" s="7">
        <f t="shared" si="29"/>
        <v>132.8834075421006</v>
      </c>
    </row>
    <row r="375" spans="1:14" x14ac:dyDescent="0.25">
      <c r="A375" t="str">
        <f>"13:56:36.695"</f>
        <v>13:56:36.695</v>
      </c>
      <c r="B375">
        <v>39.208703</v>
      </c>
      <c r="C375">
        <v>-77.452411999999995</v>
      </c>
      <c r="D375">
        <v>6500</v>
      </c>
      <c r="E375">
        <v>6750</v>
      </c>
      <c r="F375">
        <v>118</v>
      </c>
      <c r="G375">
        <v>63</v>
      </c>
      <c r="H375">
        <v>704</v>
      </c>
      <c r="J375" s="1">
        <f t="shared" si="25"/>
        <v>13924</v>
      </c>
      <c r="K375" s="1">
        <f t="shared" si="26"/>
        <v>3969</v>
      </c>
      <c r="L375" s="1">
        <f t="shared" si="27"/>
        <v>17893</v>
      </c>
      <c r="M375" s="1">
        <f t="shared" si="28"/>
        <v>133.76471881628578</v>
      </c>
      <c r="N375" s="7">
        <f t="shared" si="29"/>
        <v>133.76471881628578</v>
      </c>
    </row>
    <row r="376" spans="1:14" x14ac:dyDescent="0.25">
      <c r="A376" t="str">
        <f>"13:56:37.602"</f>
        <v>13:56:37.602</v>
      </c>
      <c r="B376">
        <v>39.208939000000001</v>
      </c>
      <c r="C376">
        <v>-77.451789000000005</v>
      </c>
      <c r="D376">
        <v>6500</v>
      </c>
      <c r="E376">
        <v>6775</v>
      </c>
      <c r="F376">
        <v>118</v>
      </c>
      <c r="G376">
        <v>62</v>
      </c>
      <c r="H376">
        <v>832</v>
      </c>
      <c r="J376" s="1">
        <f t="shared" si="25"/>
        <v>13924</v>
      </c>
      <c r="K376" s="1">
        <f t="shared" si="26"/>
        <v>3844</v>
      </c>
      <c r="L376" s="1">
        <f t="shared" si="27"/>
        <v>17768</v>
      </c>
      <c r="M376" s="1">
        <f t="shared" si="28"/>
        <v>133.29666162361306</v>
      </c>
      <c r="N376" s="7">
        <f t="shared" si="29"/>
        <v>133.29666162361306</v>
      </c>
    </row>
    <row r="377" spans="1:14" x14ac:dyDescent="0.25">
      <c r="A377" t="str">
        <f>"13:56:38.461"</f>
        <v>13:56:38.461</v>
      </c>
      <c r="B377">
        <v>39.209197000000003</v>
      </c>
      <c r="C377">
        <v>-77.451103000000003</v>
      </c>
      <c r="D377">
        <v>6500</v>
      </c>
      <c r="E377">
        <v>6775</v>
      </c>
      <c r="F377">
        <v>119</v>
      </c>
      <c r="G377">
        <v>62</v>
      </c>
      <c r="H377">
        <v>896</v>
      </c>
      <c r="J377" s="1">
        <f t="shared" si="25"/>
        <v>14161</v>
      </c>
      <c r="K377" s="1">
        <f t="shared" si="26"/>
        <v>3844</v>
      </c>
      <c r="L377" s="1">
        <f t="shared" si="27"/>
        <v>18005</v>
      </c>
      <c r="M377" s="1">
        <f t="shared" si="28"/>
        <v>134.18271125595876</v>
      </c>
      <c r="N377" s="7">
        <f t="shared" si="29"/>
        <v>134.18271125595876</v>
      </c>
    </row>
    <row r="378" spans="1:14" x14ac:dyDescent="0.25">
      <c r="A378" t="str">
        <f>"13:56:39.367"</f>
        <v>13:56:39.367</v>
      </c>
      <c r="B378">
        <v>39.209432999999997</v>
      </c>
      <c r="C378">
        <v>-77.450565999999995</v>
      </c>
      <c r="D378">
        <v>6500</v>
      </c>
      <c r="E378">
        <v>6800</v>
      </c>
      <c r="F378">
        <v>119</v>
      </c>
      <c r="G378">
        <v>62</v>
      </c>
      <c r="H378">
        <v>960</v>
      </c>
      <c r="J378" s="1">
        <f t="shared" si="25"/>
        <v>14161</v>
      </c>
      <c r="K378" s="1">
        <f t="shared" si="26"/>
        <v>3844</v>
      </c>
      <c r="L378" s="1">
        <f t="shared" si="27"/>
        <v>18005</v>
      </c>
      <c r="M378" s="1">
        <f t="shared" si="28"/>
        <v>134.18271125595876</v>
      </c>
      <c r="N378" s="7">
        <f t="shared" si="29"/>
        <v>134.18271125595876</v>
      </c>
    </row>
    <row r="379" spans="1:14" x14ac:dyDescent="0.25">
      <c r="A379" t="str">
        <f>"13:56:40.328"</f>
        <v>13:56:40.328</v>
      </c>
      <c r="B379">
        <v>39.209712000000003</v>
      </c>
      <c r="C379">
        <v>-77.449858000000006</v>
      </c>
      <c r="D379">
        <v>6500</v>
      </c>
      <c r="E379">
        <v>6800</v>
      </c>
      <c r="F379">
        <v>119</v>
      </c>
      <c r="G379">
        <v>62</v>
      </c>
      <c r="H379">
        <v>1024</v>
      </c>
      <c r="J379" s="1">
        <f t="shared" si="25"/>
        <v>14161</v>
      </c>
      <c r="K379" s="1">
        <f t="shared" si="26"/>
        <v>3844</v>
      </c>
      <c r="L379" s="1">
        <f t="shared" si="27"/>
        <v>18005</v>
      </c>
      <c r="M379" s="1">
        <f t="shared" si="28"/>
        <v>134.18271125595876</v>
      </c>
      <c r="N379" s="7">
        <f t="shared" si="29"/>
        <v>134.18271125595876</v>
      </c>
    </row>
    <row r="380" spans="1:14" x14ac:dyDescent="0.25">
      <c r="A380" t="str">
        <f>"13:56:41.391"</f>
        <v>13:56:41.391</v>
      </c>
      <c r="B380">
        <v>39.210054999999997</v>
      </c>
      <c r="C380">
        <v>-77.449106999999998</v>
      </c>
      <c r="D380">
        <v>6500</v>
      </c>
      <c r="E380">
        <v>6825</v>
      </c>
      <c r="F380">
        <v>119</v>
      </c>
      <c r="G380">
        <v>62</v>
      </c>
      <c r="H380">
        <v>1024</v>
      </c>
      <c r="J380" s="1">
        <f t="shared" si="25"/>
        <v>14161</v>
      </c>
      <c r="K380" s="1">
        <f t="shared" si="26"/>
        <v>3844</v>
      </c>
      <c r="L380" s="1">
        <f t="shared" si="27"/>
        <v>18005</v>
      </c>
      <c r="M380" s="1">
        <f t="shared" si="28"/>
        <v>134.18271125595876</v>
      </c>
      <c r="N380" s="7">
        <f t="shared" si="29"/>
        <v>134.18271125595876</v>
      </c>
    </row>
    <row r="381" spans="1:14" x14ac:dyDescent="0.25">
      <c r="A381" t="str">
        <f>"13:56:42.297"</f>
        <v>13:56:42.297</v>
      </c>
      <c r="B381">
        <v>39.210290999999998</v>
      </c>
      <c r="C381">
        <v>-77.448485000000005</v>
      </c>
      <c r="D381">
        <v>6600</v>
      </c>
      <c r="E381">
        <v>6850</v>
      </c>
      <c r="F381">
        <v>119</v>
      </c>
      <c r="G381">
        <v>62</v>
      </c>
      <c r="H381">
        <v>1024</v>
      </c>
      <c r="J381" s="1">
        <f t="shared" si="25"/>
        <v>14161</v>
      </c>
      <c r="K381" s="1">
        <f t="shared" si="26"/>
        <v>3844</v>
      </c>
      <c r="L381" s="1">
        <f t="shared" si="27"/>
        <v>18005</v>
      </c>
      <c r="M381" s="1">
        <f t="shared" si="28"/>
        <v>134.18271125595876</v>
      </c>
      <c r="N381" s="7">
        <f t="shared" si="29"/>
        <v>134.18271125595876</v>
      </c>
    </row>
    <row r="382" spans="1:14" x14ac:dyDescent="0.25">
      <c r="A382" t="str">
        <f>"13:56:43.258"</f>
        <v>13:56:43.258</v>
      </c>
      <c r="B382">
        <v>39.210526999999999</v>
      </c>
      <c r="C382">
        <v>-77.447819999999993</v>
      </c>
      <c r="D382">
        <v>6600</v>
      </c>
      <c r="E382">
        <v>6850</v>
      </c>
      <c r="F382">
        <v>119</v>
      </c>
      <c r="G382">
        <v>62</v>
      </c>
      <c r="H382">
        <v>1024</v>
      </c>
      <c r="J382" s="1">
        <f t="shared" si="25"/>
        <v>14161</v>
      </c>
      <c r="K382" s="1">
        <f t="shared" si="26"/>
        <v>3844</v>
      </c>
      <c r="L382" s="1">
        <f t="shared" si="27"/>
        <v>18005</v>
      </c>
      <c r="M382" s="1">
        <f t="shared" si="28"/>
        <v>134.18271125595876</v>
      </c>
      <c r="N382" s="7">
        <f t="shared" si="29"/>
        <v>134.18271125595876</v>
      </c>
    </row>
    <row r="383" spans="1:14" x14ac:dyDescent="0.25">
      <c r="A383" t="str">
        <f>"13:56:44.320"</f>
        <v>13:56:44.320</v>
      </c>
      <c r="B383">
        <v>39.210892000000001</v>
      </c>
      <c r="C383">
        <v>-77.447046999999998</v>
      </c>
      <c r="D383">
        <v>6600</v>
      </c>
      <c r="E383">
        <v>6875</v>
      </c>
      <c r="F383">
        <v>118</v>
      </c>
      <c r="G383">
        <v>62</v>
      </c>
      <c r="H383">
        <v>1024</v>
      </c>
      <c r="J383" s="1">
        <f t="shared" si="25"/>
        <v>13924</v>
      </c>
      <c r="K383" s="1">
        <f t="shared" si="26"/>
        <v>3844</v>
      </c>
      <c r="L383" s="1">
        <f t="shared" si="27"/>
        <v>17768</v>
      </c>
      <c r="M383" s="1">
        <f t="shared" si="28"/>
        <v>133.29666162361306</v>
      </c>
      <c r="N383" s="7">
        <f t="shared" si="29"/>
        <v>133.29666162361306</v>
      </c>
    </row>
    <row r="384" spans="1:14" x14ac:dyDescent="0.25">
      <c r="A384" t="str">
        <f>"13:56:45.125"</f>
        <v>13:56:45.125</v>
      </c>
      <c r="B384">
        <v>39.211128000000002</v>
      </c>
      <c r="C384">
        <v>-77.446511000000001</v>
      </c>
      <c r="D384">
        <v>6600</v>
      </c>
      <c r="E384">
        <v>6900</v>
      </c>
      <c r="F384">
        <v>118</v>
      </c>
      <c r="G384">
        <v>62</v>
      </c>
      <c r="H384">
        <v>1088</v>
      </c>
      <c r="J384" s="1">
        <f t="shared" si="25"/>
        <v>13924</v>
      </c>
      <c r="K384" s="1">
        <f t="shared" si="26"/>
        <v>3844</v>
      </c>
      <c r="L384" s="1">
        <f t="shared" si="27"/>
        <v>17768</v>
      </c>
      <c r="M384" s="1">
        <f t="shared" si="28"/>
        <v>133.29666162361306</v>
      </c>
      <c r="N384" s="7">
        <f t="shared" si="29"/>
        <v>133.29666162361306</v>
      </c>
    </row>
    <row r="385" spans="1:14" x14ac:dyDescent="0.25">
      <c r="A385" t="str">
        <f>"13:56:45.984"</f>
        <v>13:56:45.984</v>
      </c>
      <c r="B385">
        <v>39.211364000000003</v>
      </c>
      <c r="C385">
        <v>-77.445867000000007</v>
      </c>
      <c r="D385">
        <v>6600</v>
      </c>
      <c r="E385">
        <v>6900</v>
      </c>
      <c r="F385">
        <v>118</v>
      </c>
      <c r="G385">
        <v>63</v>
      </c>
      <c r="H385">
        <v>1088</v>
      </c>
      <c r="J385" s="1">
        <f t="shared" si="25"/>
        <v>13924</v>
      </c>
      <c r="K385" s="1">
        <f t="shared" si="26"/>
        <v>3969</v>
      </c>
      <c r="L385" s="1">
        <f t="shared" si="27"/>
        <v>17893</v>
      </c>
      <c r="M385" s="1">
        <f t="shared" si="28"/>
        <v>133.76471881628578</v>
      </c>
      <c r="N385" s="7">
        <f t="shared" si="29"/>
        <v>133.76471881628578</v>
      </c>
    </row>
    <row r="386" spans="1:14" x14ac:dyDescent="0.25">
      <c r="A386" t="str">
        <f>"13:56:47.094"</f>
        <v>13:56:47.094</v>
      </c>
      <c r="B386">
        <v>39.211663999999999</v>
      </c>
      <c r="C386">
        <v>-77.445072999999994</v>
      </c>
      <c r="D386">
        <v>6600</v>
      </c>
      <c r="E386">
        <v>6925</v>
      </c>
      <c r="F386">
        <v>117</v>
      </c>
      <c r="G386">
        <v>63</v>
      </c>
      <c r="H386">
        <v>1088</v>
      </c>
      <c r="J386" s="1">
        <f t="shared" si="25"/>
        <v>13689</v>
      </c>
      <c r="K386" s="1">
        <f t="shared" si="26"/>
        <v>3969</v>
      </c>
      <c r="L386" s="1">
        <f t="shared" si="27"/>
        <v>17658</v>
      </c>
      <c r="M386" s="1">
        <f t="shared" si="28"/>
        <v>132.8834075421006</v>
      </c>
      <c r="N386" s="7">
        <f t="shared" si="29"/>
        <v>132.8834075421006</v>
      </c>
    </row>
    <row r="387" spans="1:14" x14ac:dyDescent="0.25">
      <c r="A387" t="str">
        <f>"13:56:48.203"</f>
        <v>13:56:48.203</v>
      </c>
      <c r="B387">
        <v>39.212029000000001</v>
      </c>
      <c r="C387">
        <v>-77.444344000000001</v>
      </c>
      <c r="D387">
        <v>6700</v>
      </c>
      <c r="E387">
        <v>6950</v>
      </c>
      <c r="F387">
        <v>117</v>
      </c>
      <c r="G387">
        <v>63</v>
      </c>
      <c r="H387">
        <v>1024</v>
      </c>
      <c r="J387" s="1">
        <f t="shared" ref="J387:J450" si="30">F387^2</f>
        <v>13689</v>
      </c>
      <c r="K387" s="1">
        <f t="shared" ref="K387:K450" si="31">G387^2</f>
        <v>3969</v>
      </c>
      <c r="L387" s="1">
        <f t="shared" ref="L387:L450" si="32">SUMSQ(F387,G387)</f>
        <v>17658</v>
      </c>
      <c r="M387" s="1">
        <f t="shared" ref="M387:M450" si="33">SQRT(L387)</f>
        <v>132.8834075421006</v>
      </c>
      <c r="N387" s="7">
        <f t="shared" ref="N387:N450" si="34">M387</f>
        <v>132.8834075421006</v>
      </c>
    </row>
    <row r="388" spans="1:14" x14ac:dyDescent="0.25">
      <c r="A388" t="str">
        <f>"13:56:49.266"</f>
        <v>13:56:49.266</v>
      </c>
      <c r="B388">
        <v>39.212308</v>
      </c>
      <c r="C388">
        <v>-77.443613999999997</v>
      </c>
      <c r="D388">
        <v>6700</v>
      </c>
      <c r="E388">
        <v>6950</v>
      </c>
      <c r="F388">
        <v>117</v>
      </c>
      <c r="G388">
        <v>63</v>
      </c>
      <c r="H388">
        <v>1024</v>
      </c>
      <c r="J388" s="1">
        <f t="shared" si="30"/>
        <v>13689</v>
      </c>
      <c r="K388" s="1">
        <f t="shared" si="31"/>
        <v>3969</v>
      </c>
      <c r="L388" s="1">
        <f t="shared" si="32"/>
        <v>17658</v>
      </c>
      <c r="M388" s="1">
        <f t="shared" si="33"/>
        <v>132.8834075421006</v>
      </c>
      <c r="N388" s="7">
        <f t="shared" si="34"/>
        <v>132.8834075421006</v>
      </c>
    </row>
    <row r="389" spans="1:14" x14ac:dyDescent="0.25">
      <c r="A389" t="str">
        <f>"13:56:50.328"</f>
        <v>13:56:50.328</v>
      </c>
      <c r="B389">
        <v>39.212629999999997</v>
      </c>
      <c r="C389">
        <v>-77.442863000000003</v>
      </c>
      <c r="D389">
        <v>6700</v>
      </c>
      <c r="E389">
        <v>6975</v>
      </c>
      <c r="F389">
        <v>117</v>
      </c>
      <c r="G389">
        <v>63</v>
      </c>
      <c r="H389">
        <v>960</v>
      </c>
      <c r="J389" s="1">
        <f t="shared" si="30"/>
        <v>13689</v>
      </c>
      <c r="K389" s="1">
        <f t="shared" si="31"/>
        <v>3969</v>
      </c>
      <c r="L389" s="1">
        <f t="shared" si="32"/>
        <v>17658</v>
      </c>
      <c r="M389" s="1">
        <f t="shared" si="33"/>
        <v>132.8834075421006</v>
      </c>
      <c r="N389" s="7">
        <f t="shared" si="34"/>
        <v>132.8834075421006</v>
      </c>
    </row>
    <row r="390" spans="1:14" x14ac:dyDescent="0.25">
      <c r="A390" t="str">
        <f>"13:56:51.234"</f>
        <v>13:56:51.234</v>
      </c>
      <c r="B390">
        <v>39.212865999999998</v>
      </c>
      <c r="C390">
        <v>-77.442198000000005</v>
      </c>
      <c r="D390">
        <v>6700</v>
      </c>
      <c r="E390">
        <v>7000</v>
      </c>
      <c r="F390">
        <v>118</v>
      </c>
      <c r="G390">
        <v>62</v>
      </c>
      <c r="H390">
        <v>960</v>
      </c>
      <c r="J390" s="1">
        <f t="shared" si="30"/>
        <v>13924</v>
      </c>
      <c r="K390" s="1">
        <f t="shared" si="31"/>
        <v>3844</v>
      </c>
      <c r="L390" s="1">
        <f t="shared" si="32"/>
        <v>17768</v>
      </c>
      <c r="M390" s="1">
        <f t="shared" si="33"/>
        <v>133.29666162361306</v>
      </c>
      <c r="N390" s="7">
        <f t="shared" si="34"/>
        <v>133.29666162361306</v>
      </c>
    </row>
    <row r="391" spans="1:14" x14ac:dyDescent="0.25">
      <c r="A391" t="str">
        <f>"13:56:52.195"</f>
        <v>13:56:52.195</v>
      </c>
      <c r="B391">
        <v>39.213188000000002</v>
      </c>
      <c r="C391">
        <v>-77.441533000000007</v>
      </c>
      <c r="D391">
        <v>6700</v>
      </c>
      <c r="E391">
        <v>7000</v>
      </c>
      <c r="F391">
        <v>118</v>
      </c>
      <c r="G391">
        <v>62</v>
      </c>
      <c r="H391">
        <v>896</v>
      </c>
      <c r="J391" s="1">
        <f t="shared" si="30"/>
        <v>13924</v>
      </c>
      <c r="K391" s="1">
        <f t="shared" si="31"/>
        <v>3844</v>
      </c>
      <c r="L391" s="1">
        <f t="shared" si="32"/>
        <v>17768</v>
      </c>
      <c r="M391" s="1">
        <f t="shared" si="33"/>
        <v>133.29666162361306</v>
      </c>
      <c r="N391" s="7">
        <f t="shared" si="34"/>
        <v>133.29666162361306</v>
      </c>
    </row>
    <row r="392" spans="1:14" x14ac:dyDescent="0.25">
      <c r="A392" t="str">
        <f>"13:56:53.156"</f>
        <v>13:56:53.156</v>
      </c>
      <c r="B392">
        <v>39.213402000000002</v>
      </c>
      <c r="C392">
        <v>-77.440888999999999</v>
      </c>
      <c r="D392">
        <v>6700</v>
      </c>
      <c r="E392">
        <v>7025</v>
      </c>
      <c r="F392">
        <v>118</v>
      </c>
      <c r="G392">
        <v>62</v>
      </c>
      <c r="H392">
        <v>768</v>
      </c>
      <c r="J392" s="1">
        <f t="shared" si="30"/>
        <v>13924</v>
      </c>
      <c r="K392" s="1">
        <f t="shared" si="31"/>
        <v>3844</v>
      </c>
      <c r="L392" s="1">
        <f t="shared" si="32"/>
        <v>17768</v>
      </c>
      <c r="M392" s="1">
        <f t="shared" si="33"/>
        <v>133.29666162361306</v>
      </c>
      <c r="N392" s="7">
        <f t="shared" si="34"/>
        <v>133.29666162361306</v>
      </c>
    </row>
    <row r="393" spans="1:14" x14ac:dyDescent="0.25">
      <c r="A393" t="str">
        <f>"13:56:54.313"</f>
        <v>13:56:54.313</v>
      </c>
      <c r="B393">
        <v>39.213766999999997</v>
      </c>
      <c r="C393">
        <v>-77.440051999999994</v>
      </c>
      <c r="D393">
        <v>6700</v>
      </c>
      <c r="E393">
        <v>7025</v>
      </c>
      <c r="F393">
        <v>119</v>
      </c>
      <c r="G393">
        <v>62</v>
      </c>
      <c r="H393">
        <v>704</v>
      </c>
      <c r="J393" s="1">
        <f t="shared" si="30"/>
        <v>14161</v>
      </c>
      <c r="K393" s="1">
        <f t="shared" si="31"/>
        <v>3844</v>
      </c>
      <c r="L393" s="1">
        <f t="shared" si="32"/>
        <v>18005</v>
      </c>
      <c r="M393" s="1">
        <f t="shared" si="33"/>
        <v>134.18271125595876</v>
      </c>
      <c r="N393" s="7">
        <f t="shared" si="34"/>
        <v>134.18271125595876</v>
      </c>
    </row>
    <row r="394" spans="1:14" x14ac:dyDescent="0.25">
      <c r="A394" t="str">
        <f>"13:56:55.320"</f>
        <v>13:56:55.320</v>
      </c>
      <c r="B394">
        <v>39.214046000000003</v>
      </c>
      <c r="C394">
        <v>-77.439344000000006</v>
      </c>
      <c r="D394">
        <v>6700</v>
      </c>
      <c r="E394">
        <v>7050</v>
      </c>
      <c r="F394">
        <v>120</v>
      </c>
      <c r="G394">
        <v>62</v>
      </c>
      <c r="H394">
        <v>640</v>
      </c>
      <c r="J394" s="1">
        <f t="shared" si="30"/>
        <v>14400</v>
      </c>
      <c r="K394" s="1">
        <f t="shared" si="31"/>
        <v>3844</v>
      </c>
      <c r="L394" s="1">
        <f t="shared" si="32"/>
        <v>18244</v>
      </c>
      <c r="M394" s="1">
        <f t="shared" si="33"/>
        <v>135.07035203922436</v>
      </c>
      <c r="N394" s="7">
        <f t="shared" si="34"/>
        <v>135.07035203922436</v>
      </c>
    </row>
    <row r="395" spans="1:14" x14ac:dyDescent="0.25">
      <c r="A395" t="str">
        <f>"13:56:56.281"</f>
        <v>13:56:56.281</v>
      </c>
      <c r="B395">
        <v>39.214325000000002</v>
      </c>
      <c r="C395">
        <v>-77.438636000000002</v>
      </c>
      <c r="D395">
        <v>6700</v>
      </c>
      <c r="E395">
        <v>7050</v>
      </c>
      <c r="F395">
        <v>120</v>
      </c>
      <c r="G395">
        <v>62</v>
      </c>
      <c r="H395">
        <v>576</v>
      </c>
      <c r="J395" s="1">
        <f t="shared" si="30"/>
        <v>14400</v>
      </c>
      <c r="K395" s="1">
        <f t="shared" si="31"/>
        <v>3844</v>
      </c>
      <c r="L395" s="1">
        <f t="shared" si="32"/>
        <v>18244</v>
      </c>
      <c r="M395" s="1">
        <f t="shared" si="33"/>
        <v>135.07035203922436</v>
      </c>
      <c r="N395" s="7">
        <f t="shared" si="34"/>
        <v>135.07035203922436</v>
      </c>
    </row>
    <row r="396" spans="1:14" x14ac:dyDescent="0.25">
      <c r="A396" t="str">
        <f>"13:56:57.344"</f>
        <v>13:56:57.344</v>
      </c>
      <c r="B396">
        <v>39.214646999999999</v>
      </c>
      <c r="C396">
        <v>-77.437905999999998</v>
      </c>
      <c r="D396">
        <v>6700</v>
      </c>
      <c r="E396">
        <v>7075</v>
      </c>
      <c r="F396">
        <v>121</v>
      </c>
      <c r="G396">
        <v>62</v>
      </c>
      <c r="H396">
        <v>512</v>
      </c>
      <c r="J396" s="1">
        <f t="shared" si="30"/>
        <v>14641</v>
      </c>
      <c r="K396" s="1">
        <f t="shared" si="31"/>
        <v>3844</v>
      </c>
      <c r="L396" s="1">
        <f t="shared" si="32"/>
        <v>18485</v>
      </c>
      <c r="M396" s="1">
        <f t="shared" si="33"/>
        <v>135.95955280891445</v>
      </c>
      <c r="N396" s="7">
        <f t="shared" si="34"/>
        <v>135.95955280891445</v>
      </c>
    </row>
    <row r="397" spans="1:14" x14ac:dyDescent="0.25">
      <c r="A397" t="str">
        <f>"13:56:58.398"</f>
        <v>13:56:58.398</v>
      </c>
      <c r="B397">
        <v>39.214947000000002</v>
      </c>
      <c r="C397">
        <v>-77.437068999999994</v>
      </c>
      <c r="D397">
        <v>6700</v>
      </c>
      <c r="E397">
        <v>7075</v>
      </c>
      <c r="F397">
        <v>122</v>
      </c>
      <c r="G397">
        <v>62</v>
      </c>
      <c r="H397">
        <v>512</v>
      </c>
      <c r="J397" s="1">
        <f t="shared" si="30"/>
        <v>14884</v>
      </c>
      <c r="K397" s="1">
        <f t="shared" si="31"/>
        <v>3844</v>
      </c>
      <c r="L397" s="1">
        <f t="shared" si="32"/>
        <v>18728</v>
      </c>
      <c r="M397" s="1">
        <f t="shared" si="33"/>
        <v>136.85028315644803</v>
      </c>
      <c r="N397" s="7">
        <f t="shared" si="34"/>
        <v>136.85028315644803</v>
      </c>
    </row>
    <row r="398" spans="1:14" x14ac:dyDescent="0.25">
      <c r="A398" t="str">
        <f>"13:56:59.461"</f>
        <v>13:56:59.461</v>
      </c>
      <c r="B398">
        <v>39.215226000000001</v>
      </c>
      <c r="C398">
        <v>-77.436340000000001</v>
      </c>
      <c r="D398">
        <v>6700</v>
      </c>
      <c r="E398">
        <v>7075</v>
      </c>
      <c r="F398">
        <v>123</v>
      </c>
      <c r="G398">
        <v>61</v>
      </c>
      <c r="H398">
        <v>512</v>
      </c>
      <c r="J398" s="1">
        <f t="shared" si="30"/>
        <v>15129</v>
      </c>
      <c r="K398" s="1">
        <f t="shared" si="31"/>
        <v>3721</v>
      </c>
      <c r="L398" s="1">
        <f t="shared" si="32"/>
        <v>18850</v>
      </c>
      <c r="M398" s="1">
        <f t="shared" si="33"/>
        <v>137.2953021774598</v>
      </c>
      <c r="N398" s="7">
        <f t="shared" si="34"/>
        <v>137.2953021774598</v>
      </c>
    </row>
    <row r="399" spans="1:14" x14ac:dyDescent="0.25">
      <c r="A399" t="str">
        <f>"13:57:00.570"</f>
        <v>13:57:00.570</v>
      </c>
      <c r="B399">
        <v>39.215612</v>
      </c>
      <c r="C399">
        <v>-77.435417000000001</v>
      </c>
      <c r="D399">
        <v>6700</v>
      </c>
      <c r="E399">
        <v>7100</v>
      </c>
      <c r="F399">
        <v>124</v>
      </c>
      <c r="G399">
        <v>61</v>
      </c>
      <c r="H399">
        <v>512</v>
      </c>
      <c r="J399" s="1">
        <f t="shared" si="30"/>
        <v>15376</v>
      </c>
      <c r="K399" s="1">
        <f t="shared" si="31"/>
        <v>3721</v>
      </c>
      <c r="L399" s="1">
        <f t="shared" si="32"/>
        <v>19097</v>
      </c>
      <c r="M399" s="1">
        <f t="shared" si="33"/>
        <v>138.19189556555045</v>
      </c>
      <c r="N399" s="7">
        <f t="shared" si="34"/>
        <v>138.19189556555045</v>
      </c>
    </row>
    <row r="400" spans="1:14" x14ac:dyDescent="0.25">
      <c r="A400" t="str">
        <f>"13:57:01.688"</f>
        <v>13:57:01.688</v>
      </c>
      <c r="B400">
        <v>39.215890999999999</v>
      </c>
      <c r="C400">
        <v>-77.434623000000002</v>
      </c>
      <c r="D400">
        <v>6700</v>
      </c>
      <c r="E400">
        <v>7100</v>
      </c>
      <c r="F400">
        <v>125</v>
      </c>
      <c r="G400">
        <v>61</v>
      </c>
      <c r="H400">
        <v>512</v>
      </c>
      <c r="J400" s="1">
        <f t="shared" si="30"/>
        <v>15625</v>
      </c>
      <c r="K400" s="1">
        <f t="shared" si="31"/>
        <v>3721</v>
      </c>
      <c r="L400" s="1">
        <f t="shared" si="32"/>
        <v>19346</v>
      </c>
      <c r="M400" s="1">
        <f t="shared" si="33"/>
        <v>139.08989898623119</v>
      </c>
      <c r="N400" s="7">
        <f t="shared" si="34"/>
        <v>139.08989898623119</v>
      </c>
    </row>
    <row r="401" spans="1:14" x14ac:dyDescent="0.25">
      <c r="A401" t="str">
        <f>"13:57:02.742"</f>
        <v>13:57:02.742</v>
      </c>
      <c r="B401">
        <v>39.216149000000001</v>
      </c>
      <c r="C401">
        <v>-77.433851000000004</v>
      </c>
      <c r="D401">
        <v>6800</v>
      </c>
      <c r="E401">
        <v>7100</v>
      </c>
      <c r="F401">
        <v>126</v>
      </c>
      <c r="G401">
        <v>60</v>
      </c>
      <c r="H401">
        <v>512</v>
      </c>
      <c r="J401" s="1">
        <f t="shared" si="30"/>
        <v>15876</v>
      </c>
      <c r="K401" s="1">
        <f t="shared" si="31"/>
        <v>3600</v>
      </c>
      <c r="L401" s="1">
        <f t="shared" si="32"/>
        <v>19476</v>
      </c>
      <c r="M401" s="1">
        <f t="shared" si="33"/>
        <v>139.55644019535609</v>
      </c>
      <c r="N401" s="7">
        <f t="shared" si="34"/>
        <v>139.55644019535609</v>
      </c>
    </row>
    <row r="402" spans="1:14" x14ac:dyDescent="0.25">
      <c r="A402" t="str">
        <f>"13:57:03.656"</f>
        <v>13:57:03.656</v>
      </c>
      <c r="B402">
        <v>39.216405999999999</v>
      </c>
      <c r="C402">
        <v>-77.433164000000005</v>
      </c>
      <c r="D402">
        <v>6800</v>
      </c>
      <c r="E402">
        <v>7125</v>
      </c>
      <c r="F402">
        <v>127</v>
      </c>
      <c r="G402">
        <v>60</v>
      </c>
      <c r="H402">
        <v>576</v>
      </c>
      <c r="J402" s="1">
        <f t="shared" si="30"/>
        <v>16129</v>
      </c>
      <c r="K402" s="1">
        <f t="shared" si="31"/>
        <v>3600</v>
      </c>
      <c r="L402" s="1">
        <f t="shared" si="32"/>
        <v>19729</v>
      </c>
      <c r="M402" s="1">
        <f t="shared" si="33"/>
        <v>140.45995870709916</v>
      </c>
      <c r="N402" s="7">
        <f t="shared" si="34"/>
        <v>140.45995870709916</v>
      </c>
    </row>
    <row r="403" spans="1:14" x14ac:dyDescent="0.25">
      <c r="A403" t="str">
        <f>"13:57:04.609"</f>
        <v>13:57:04.609</v>
      </c>
      <c r="B403">
        <v>39.216684999999998</v>
      </c>
      <c r="C403">
        <v>-77.432434999999998</v>
      </c>
      <c r="D403">
        <v>6800</v>
      </c>
      <c r="E403">
        <v>7125</v>
      </c>
      <c r="F403">
        <v>127</v>
      </c>
      <c r="G403">
        <v>59</v>
      </c>
      <c r="H403">
        <v>576</v>
      </c>
      <c r="J403" s="1">
        <f t="shared" si="30"/>
        <v>16129</v>
      </c>
      <c r="K403" s="1">
        <f t="shared" si="31"/>
        <v>3481</v>
      </c>
      <c r="L403" s="1">
        <f t="shared" si="32"/>
        <v>19610</v>
      </c>
      <c r="M403" s="1">
        <f t="shared" si="33"/>
        <v>140.03570973148243</v>
      </c>
      <c r="N403" s="7">
        <f t="shared" si="34"/>
        <v>140.03570973148243</v>
      </c>
    </row>
    <row r="404" spans="1:14" x14ac:dyDescent="0.25">
      <c r="A404" t="str">
        <f>"13:57:05.523"</f>
        <v>13:57:05.523</v>
      </c>
      <c r="B404">
        <v>39.216943000000001</v>
      </c>
      <c r="C404">
        <v>-77.431769000000003</v>
      </c>
      <c r="D404">
        <v>6800</v>
      </c>
      <c r="E404">
        <v>7150</v>
      </c>
      <c r="F404">
        <v>128</v>
      </c>
      <c r="G404">
        <v>59</v>
      </c>
      <c r="H404">
        <v>640</v>
      </c>
      <c r="J404" s="1">
        <f t="shared" si="30"/>
        <v>16384</v>
      </c>
      <c r="K404" s="1">
        <f t="shared" si="31"/>
        <v>3481</v>
      </c>
      <c r="L404" s="1">
        <f t="shared" si="32"/>
        <v>19865</v>
      </c>
      <c r="M404" s="1">
        <f t="shared" si="33"/>
        <v>140.94325099131211</v>
      </c>
      <c r="N404" s="7">
        <f t="shared" si="34"/>
        <v>140.94325099131211</v>
      </c>
    </row>
    <row r="405" spans="1:14" x14ac:dyDescent="0.25">
      <c r="A405" t="str">
        <f>"13:57:06.578"</f>
        <v>13:57:06.578</v>
      </c>
      <c r="B405">
        <v>39.217243000000003</v>
      </c>
      <c r="C405">
        <v>-77.430910999999995</v>
      </c>
      <c r="D405">
        <v>6800</v>
      </c>
      <c r="E405">
        <v>7150</v>
      </c>
      <c r="F405">
        <v>128</v>
      </c>
      <c r="G405">
        <v>59</v>
      </c>
      <c r="H405">
        <v>704</v>
      </c>
      <c r="J405" s="1">
        <f t="shared" si="30"/>
        <v>16384</v>
      </c>
      <c r="K405" s="1">
        <f t="shared" si="31"/>
        <v>3481</v>
      </c>
      <c r="L405" s="1">
        <f t="shared" si="32"/>
        <v>19865</v>
      </c>
      <c r="M405" s="1">
        <f t="shared" si="33"/>
        <v>140.94325099131211</v>
      </c>
      <c r="N405" s="7">
        <f t="shared" si="34"/>
        <v>140.94325099131211</v>
      </c>
    </row>
    <row r="406" spans="1:14" x14ac:dyDescent="0.25">
      <c r="A406" t="str">
        <f>"13:57:07.594"</f>
        <v>13:57:07.594</v>
      </c>
      <c r="B406">
        <v>39.217522000000002</v>
      </c>
      <c r="C406">
        <v>-77.430116999999996</v>
      </c>
      <c r="D406">
        <v>6900</v>
      </c>
      <c r="E406">
        <v>7175</v>
      </c>
      <c r="F406">
        <v>129</v>
      </c>
      <c r="G406">
        <v>58</v>
      </c>
      <c r="H406">
        <v>832</v>
      </c>
      <c r="J406" s="1">
        <f t="shared" si="30"/>
        <v>16641</v>
      </c>
      <c r="K406" s="1">
        <f t="shared" si="31"/>
        <v>3364</v>
      </c>
      <c r="L406" s="1">
        <f t="shared" si="32"/>
        <v>20005</v>
      </c>
      <c r="M406" s="1">
        <f t="shared" si="33"/>
        <v>141.43903280212291</v>
      </c>
      <c r="N406" s="7">
        <f t="shared" si="34"/>
        <v>141.43903280212291</v>
      </c>
    </row>
    <row r="407" spans="1:14" x14ac:dyDescent="0.25">
      <c r="A407" t="str">
        <f>"13:57:08.555"</f>
        <v>13:57:08.555</v>
      </c>
      <c r="B407">
        <v>39.217801000000001</v>
      </c>
      <c r="C407">
        <v>-77.429388000000003</v>
      </c>
      <c r="D407">
        <v>6900</v>
      </c>
      <c r="E407">
        <v>7175</v>
      </c>
      <c r="F407">
        <v>129</v>
      </c>
      <c r="G407">
        <v>58</v>
      </c>
      <c r="H407">
        <v>896</v>
      </c>
      <c r="J407" s="1">
        <f t="shared" si="30"/>
        <v>16641</v>
      </c>
      <c r="K407" s="1">
        <f t="shared" si="31"/>
        <v>3364</v>
      </c>
      <c r="L407" s="1">
        <f t="shared" si="32"/>
        <v>20005</v>
      </c>
      <c r="M407" s="1">
        <f t="shared" si="33"/>
        <v>141.43903280212291</v>
      </c>
      <c r="N407" s="7">
        <f t="shared" si="34"/>
        <v>141.43903280212291</v>
      </c>
    </row>
    <row r="408" spans="1:14" x14ac:dyDescent="0.25">
      <c r="A408" t="str">
        <f>"13:57:09.711"</f>
        <v>13:57:09.711</v>
      </c>
      <c r="B408">
        <v>39.21808</v>
      </c>
      <c r="C408">
        <v>-77.428528999999997</v>
      </c>
      <c r="D408">
        <v>6900</v>
      </c>
      <c r="E408">
        <v>7200</v>
      </c>
      <c r="F408">
        <v>129</v>
      </c>
      <c r="G408">
        <v>58</v>
      </c>
      <c r="H408">
        <v>1024</v>
      </c>
      <c r="J408" s="1">
        <f t="shared" si="30"/>
        <v>16641</v>
      </c>
      <c r="K408" s="1">
        <f t="shared" si="31"/>
        <v>3364</v>
      </c>
      <c r="L408" s="1">
        <f t="shared" si="32"/>
        <v>20005</v>
      </c>
      <c r="M408" s="1">
        <f t="shared" si="33"/>
        <v>141.43903280212291</v>
      </c>
      <c r="N408" s="7">
        <f t="shared" si="34"/>
        <v>141.43903280212291</v>
      </c>
    </row>
    <row r="409" spans="1:14" x14ac:dyDescent="0.25">
      <c r="A409" t="str">
        <f>"13:57:10.570"</f>
        <v>13:57:10.570</v>
      </c>
      <c r="B409">
        <v>39.218252</v>
      </c>
      <c r="C409">
        <v>-77.427927999999994</v>
      </c>
      <c r="D409">
        <v>6900</v>
      </c>
      <c r="E409">
        <v>7200</v>
      </c>
      <c r="F409">
        <v>129</v>
      </c>
      <c r="G409">
        <v>57</v>
      </c>
      <c r="H409">
        <v>1088</v>
      </c>
      <c r="J409" s="1">
        <f t="shared" si="30"/>
        <v>16641</v>
      </c>
      <c r="K409" s="1">
        <f t="shared" si="31"/>
        <v>3249</v>
      </c>
      <c r="L409" s="1">
        <f t="shared" si="32"/>
        <v>19890</v>
      </c>
      <c r="M409" s="1">
        <f t="shared" si="33"/>
        <v>141.03191128251791</v>
      </c>
      <c r="N409" s="7">
        <f t="shared" si="34"/>
        <v>141.03191128251791</v>
      </c>
    </row>
    <row r="410" spans="1:14" x14ac:dyDescent="0.25">
      <c r="A410" t="str">
        <f>"13:57:11.633"</f>
        <v>13:57:11.633</v>
      </c>
      <c r="B410">
        <v>39.218595000000001</v>
      </c>
      <c r="C410">
        <v>-77.427070000000001</v>
      </c>
      <c r="D410">
        <v>7000</v>
      </c>
      <c r="E410">
        <v>7225</v>
      </c>
      <c r="F410">
        <v>129</v>
      </c>
      <c r="G410">
        <v>57</v>
      </c>
      <c r="H410">
        <v>1152</v>
      </c>
      <c r="J410" s="1">
        <f t="shared" si="30"/>
        <v>16641</v>
      </c>
      <c r="K410" s="1">
        <f t="shared" si="31"/>
        <v>3249</v>
      </c>
      <c r="L410" s="1">
        <f t="shared" si="32"/>
        <v>19890</v>
      </c>
      <c r="M410" s="1">
        <f t="shared" si="33"/>
        <v>141.03191128251791</v>
      </c>
      <c r="N410" s="7">
        <f t="shared" si="34"/>
        <v>141.03191128251791</v>
      </c>
    </row>
    <row r="411" spans="1:14" x14ac:dyDescent="0.25">
      <c r="A411" t="str">
        <f>"13:57:12.688"</f>
        <v>13:57:12.688</v>
      </c>
      <c r="B411">
        <v>39.218853000000003</v>
      </c>
      <c r="C411">
        <v>-77.426212000000007</v>
      </c>
      <c r="D411">
        <v>7000</v>
      </c>
      <c r="E411">
        <v>7250</v>
      </c>
      <c r="F411">
        <v>129</v>
      </c>
      <c r="G411">
        <v>56</v>
      </c>
      <c r="H411">
        <v>1216</v>
      </c>
      <c r="J411" s="1">
        <f t="shared" si="30"/>
        <v>16641</v>
      </c>
      <c r="K411" s="1">
        <f t="shared" si="31"/>
        <v>3136</v>
      </c>
      <c r="L411" s="1">
        <f t="shared" si="32"/>
        <v>19777</v>
      </c>
      <c r="M411" s="1">
        <f t="shared" si="33"/>
        <v>140.63072210580447</v>
      </c>
      <c r="N411" s="7">
        <f t="shared" si="34"/>
        <v>140.63072210580447</v>
      </c>
    </row>
    <row r="412" spans="1:14" x14ac:dyDescent="0.25">
      <c r="A412" t="str">
        <f>"13:57:13.750"</f>
        <v>13:57:13.750</v>
      </c>
      <c r="B412">
        <v>39.219152999999999</v>
      </c>
      <c r="C412">
        <v>-77.425417999999993</v>
      </c>
      <c r="D412">
        <v>7000</v>
      </c>
      <c r="E412">
        <v>7275</v>
      </c>
      <c r="F412">
        <v>128</v>
      </c>
      <c r="G412">
        <v>55</v>
      </c>
      <c r="H412">
        <v>1280</v>
      </c>
      <c r="J412" s="1">
        <f t="shared" si="30"/>
        <v>16384</v>
      </c>
      <c r="K412" s="1">
        <f t="shared" si="31"/>
        <v>3025</v>
      </c>
      <c r="L412" s="1">
        <f t="shared" si="32"/>
        <v>19409</v>
      </c>
      <c r="M412" s="1">
        <f t="shared" si="33"/>
        <v>139.31618714277246</v>
      </c>
      <c r="N412" s="7">
        <f t="shared" si="34"/>
        <v>139.31618714277246</v>
      </c>
    </row>
    <row r="413" spans="1:14" x14ac:dyDescent="0.25">
      <c r="A413" t="str">
        <f>"13:57:14.859"</f>
        <v>13:57:14.859</v>
      </c>
      <c r="B413">
        <v>39.219410000000003</v>
      </c>
      <c r="C413">
        <v>-77.424537999999998</v>
      </c>
      <c r="D413">
        <v>7000</v>
      </c>
      <c r="E413">
        <v>7300</v>
      </c>
      <c r="F413">
        <v>128</v>
      </c>
      <c r="G413">
        <v>54</v>
      </c>
      <c r="H413">
        <v>1344</v>
      </c>
      <c r="J413" s="1">
        <f t="shared" si="30"/>
        <v>16384</v>
      </c>
      <c r="K413" s="1">
        <f t="shared" si="31"/>
        <v>2916</v>
      </c>
      <c r="L413" s="1">
        <f t="shared" si="32"/>
        <v>19300</v>
      </c>
      <c r="M413" s="1">
        <f t="shared" si="33"/>
        <v>138.92443989449805</v>
      </c>
      <c r="N413" s="7">
        <f t="shared" si="34"/>
        <v>138.92443989449805</v>
      </c>
    </row>
    <row r="414" spans="1:14" x14ac:dyDescent="0.25">
      <c r="A414" t="str">
        <f>"13:57:15.867"</f>
        <v>13:57:15.867</v>
      </c>
      <c r="B414">
        <v>39.219625000000001</v>
      </c>
      <c r="C414">
        <v>-77.423809000000006</v>
      </c>
      <c r="D414">
        <v>7000</v>
      </c>
      <c r="E414">
        <v>7325</v>
      </c>
      <c r="F414">
        <v>127</v>
      </c>
      <c r="G414">
        <v>54</v>
      </c>
      <c r="H414">
        <v>1344</v>
      </c>
      <c r="J414" s="1">
        <f t="shared" si="30"/>
        <v>16129</v>
      </c>
      <c r="K414" s="1">
        <f t="shared" si="31"/>
        <v>2916</v>
      </c>
      <c r="L414" s="1">
        <f t="shared" si="32"/>
        <v>19045</v>
      </c>
      <c r="M414" s="1">
        <f t="shared" si="33"/>
        <v>138.00362314084367</v>
      </c>
      <c r="N414" s="7">
        <f t="shared" si="34"/>
        <v>138.00362314084367</v>
      </c>
    </row>
    <row r="415" spans="1:14" x14ac:dyDescent="0.25">
      <c r="A415" t="str">
        <f>"13:57:16.781"</f>
        <v>13:57:16.781</v>
      </c>
      <c r="B415">
        <v>39.219881999999998</v>
      </c>
      <c r="C415">
        <v>-77.423100000000005</v>
      </c>
      <c r="D415">
        <v>7000</v>
      </c>
      <c r="E415">
        <v>7350</v>
      </c>
      <c r="F415">
        <v>127</v>
      </c>
      <c r="G415">
        <v>53</v>
      </c>
      <c r="H415">
        <v>1344</v>
      </c>
      <c r="J415" s="1">
        <f t="shared" si="30"/>
        <v>16129</v>
      </c>
      <c r="K415" s="1">
        <f t="shared" si="31"/>
        <v>2809</v>
      </c>
      <c r="L415" s="1">
        <f t="shared" si="32"/>
        <v>18938</v>
      </c>
      <c r="M415" s="1">
        <f t="shared" si="33"/>
        <v>137.61540611428649</v>
      </c>
      <c r="N415" s="7">
        <f t="shared" si="34"/>
        <v>137.61540611428649</v>
      </c>
    </row>
    <row r="416" spans="1:14" x14ac:dyDescent="0.25">
      <c r="A416" t="str">
        <f>"13:57:17.789"</f>
        <v>13:57:17.789</v>
      </c>
      <c r="B416">
        <v>39.220118999999997</v>
      </c>
      <c r="C416">
        <v>-77.422370999999998</v>
      </c>
      <c r="D416">
        <v>7100</v>
      </c>
      <c r="E416">
        <v>7375</v>
      </c>
      <c r="F416">
        <v>127</v>
      </c>
      <c r="G416">
        <v>53</v>
      </c>
      <c r="H416">
        <v>1344</v>
      </c>
      <c r="J416" s="1">
        <f t="shared" si="30"/>
        <v>16129</v>
      </c>
      <c r="K416" s="1">
        <f t="shared" si="31"/>
        <v>2809</v>
      </c>
      <c r="L416" s="1">
        <f t="shared" si="32"/>
        <v>18938</v>
      </c>
      <c r="M416" s="1">
        <f t="shared" si="33"/>
        <v>137.61540611428649</v>
      </c>
      <c r="N416" s="7">
        <f t="shared" si="34"/>
        <v>137.61540611428649</v>
      </c>
    </row>
    <row r="417" spans="1:14" x14ac:dyDescent="0.25">
      <c r="A417" t="str">
        <f>"13:57:18.695"</f>
        <v>13:57:18.695</v>
      </c>
      <c r="B417">
        <v>39.220376000000002</v>
      </c>
      <c r="C417">
        <v>-77.421662999999995</v>
      </c>
      <c r="D417">
        <v>7100</v>
      </c>
      <c r="E417">
        <v>7400</v>
      </c>
      <c r="F417">
        <v>126</v>
      </c>
      <c r="G417">
        <v>53</v>
      </c>
      <c r="H417">
        <v>1344</v>
      </c>
      <c r="J417" s="1">
        <f t="shared" si="30"/>
        <v>15876</v>
      </c>
      <c r="K417" s="1">
        <f t="shared" si="31"/>
        <v>2809</v>
      </c>
      <c r="L417" s="1">
        <f t="shared" si="32"/>
        <v>18685</v>
      </c>
      <c r="M417" s="1">
        <f t="shared" si="33"/>
        <v>136.69308687713507</v>
      </c>
      <c r="N417" s="7">
        <f t="shared" si="34"/>
        <v>136.69308687713507</v>
      </c>
    </row>
    <row r="418" spans="1:14" x14ac:dyDescent="0.25">
      <c r="A418" t="str">
        <f>"13:57:19.758"</f>
        <v>13:57:19.758</v>
      </c>
      <c r="B418">
        <v>39.220590999999999</v>
      </c>
      <c r="C418">
        <v>-77.420846999999995</v>
      </c>
      <c r="D418">
        <v>7100</v>
      </c>
      <c r="E418">
        <v>7400</v>
      </c>
      <c r="F418">
        <v>126</v>
      </c>
      <c r="G418">
        <v>52</v>
      </c>
      <c r="H418">
        <v>1280</v>
      </c>
      <c r="J418" s="1">
        <f t="shared" si="30"/>
        <v>15876</v>
      </c>
      <c r="K418" s="1">
        <f t="shared" si="31"/>
        <v>2704</v>
      </c>
      <c r="L418" s="1">
        <f t="shared" si="32"/>
        <v>18580</v>
      </c>
      <c r="M418" s="1">
        <f t="shared" si="33"/>
        <v>136.3084736911099</v>
      </c>
      <c r="N418" s="7">
        <f t="shared" si="34"/>
        <v>136.3084736911099</v>
      </c>
    </row>
    <row r="419" spans="1:14" x14ac:dyDescent="0.25">
      <c r="A419" t="str">
        <f>"13:57:20.766"</f>
        <v>13:57:20.766</v>
      </c>
      <c r="B419">
        <v>39.220869999999998</v>
      </c>
      <c r="C419">
        <v>-77.420096000000001</v>
      </c>
      <c r="D419">
        <v>7100</v>
      </c>
      <c r="E419">
        <v>7425</v>
      </c>
      <c r="F419">
        <v>126</v>
      </c>
      <c r="G419">
        <v>52</v>
      </c>
      <c r="H419">
        <v>1216</v>
      </c>
      <c r="J419" s="1">
        <f t="shared" si="30"/>
        <v>15876</v>
      </c>
      <c r="K419" s="1">
        <f t="shared" si="31"/>
        <v>2704</v>
      </c>
      <c r="L419" s="1">
        <f t="shared" si="32"/>
        <v>18580</v>
      </c>
      <c r="M419" s="1">
        <f t="shared" si="33"/>
        <v>136.3084736911099</v>
      </c>
      <c r="N419" s="7">
        <f t="shared" si="34"/>
        <v>136.3084736911099</v>
      </c>
    </row>
    <row r="420" spans="1:14" x14ac:dyDescent="0.25">
      <c r="A420" t="str">
        <f>"13:57:21.680"</f>
        <v>13:57:21.680</v>
      </c>
      <c r="B420">
        <v>39.221063000000001</v>
      </c>
      <c r="C420">
        <v>-77.419453000000004</v>
      </c>
      <c r="D420">
        <v>7200</v>
      </c>
      <c r="E420">
        <v>7450</v>
      </c>
      <c r="F420">
        <v>126</v>
      </c>
      <c r="G420">
        <v>51</v>
      </c>
      <c r="H420">
        <v>1152</v>
      </c>
      <c r="J420" s="1">
        <f t="shared" si="30"/>
        <v>15876</v>
      </c>
      <c r="K420" s="1">
        <f t="shared" si="31"/>
        <v>2601</v>
      </c>
      <c r="L420" s="1">
        <f t="shared" si="32"/>
        <v>18477</v>
      </c>
      <c r="M420" s="1">
        <f t="shared" si="33"/>
        <v>135.93012911051031</v>
      </c>
      <c r="N420" s="7">
        <f t="shared" si="34"/>
        <v>135.93012911051031</v>
      </c>
    </row>
    <row r="421" spans="1:14" x14ac:dyDescent="0.25">
      <c r="A421" t="str">
        <f>"13:57:22.734"</f>
        <v>13:57:22.734</v>
      </c>
      <c r="B421">
        <v>39.221277000000001</v>
      </c>
      <c r="C421">
        <v>-77.418679999999995</v>
      </c>
      <c r="D421">
        <v>7200</v>
      </c>
      <c r="E421">
        <v>7475</v>
      </c>
      <c r="F421">
        <v>126</v>
      </c>
      <c r="G421">
        <v>51</v>
      </c>
      <c r="H421">
        <v>1088</v>
      </c>
      <c r="J421" s="1">
        <f t="shared" si="30"/>
        <v>15876</v>
      </c>
      <c r="K421" s="1">
        <f t="shared" si="31"/>
        <v>2601</v>
      </c>
      <c r="L421" s="1">
        <f t="shared" si="32"/>
        <v>18477</v>
      </c>
      <c r="M421" s="1">
        <f t="shared" si="33"/>
        <v>135.93012911051031</v>
      </c>
      <c r="N421" s="7">
        <f t="shared" si="34"/>
        <v>135.93012911051031</v>
      </c>
    </row>
    <row r="422" spans="1:14" x14ac:dyDescent="0.25">
      <c r="A422" t="str">
        <f>"13:57:23.750"</f>
        <v>13:57:23.750</v>
      </c>
      <c r="B422">
        <v>39.221513000000002</v>
      </c>
      <c r="C422">
        <v>-77.417907999999997</v>
      </c>
      <c r="D422">
        <v>7200</v>
      </c>
      <c r="E422">
        <v>7475</v>
      </c>
      <c r="F422">
        <v>126</v>
      </c>
      <c r="G422">
        <v>50</v>
      </c>
      <c r="H422">
        <v>1024</v>
      </c>
      <c r="J422" s="1">
        <f t="shared" si="30"/>
        <v>15876</v>
      </c>
      <c r="K422" s="1">
        <f t="shared" si="31"/>
        <v>2500</v>
      </c>
      <c r="L422" s="1">
        <f t="shared" si="32"/>
        <v>18376</v>
      </c>
      <c r="M422" s="1">
        <f t="shared" si="33"/>
        <v>135.55810562264435</v>
      </c>
      <c r="N422" s="7">
        <f t="shared" si="34"/>
        <v>135.55810562264435</v>
      </c>
    </row>
    <row r="423" spans="1:14" x14ac:dyDescent="0.25">
      <c r="A423" t="str">
        <f>"13:57:24.703"</f>
        <v>13:57:24.703</v>
      </c>
      <c r="B423">
        <v>39.221749000000003</v>
      </c>
      <c r="C423">
        <v>-77.417199999999994</v>
      </c>
      <c r="D423">
        <v>7200</v>
      </c>
      <c r="E423">
        <v>7500</v>
      </c>
      <c r="F423">
        <v>126</v>
      </c>
      <c r="G423">
        <v>50</v>
      </c>
      <c r="H423">
        <v>960</v>
      </c>
      <c r="J423" s="1">
        <f t="shared" si="30"/>
        <v>15876</v>
      </c>
      <c r="K423" s="1">
        <f t="shared" si="31"/>
        <v>2500</v>
      </c>
      <c r="L423" s="1">
        <f t="shared" si="32"/>
        <v>18376</v>
      </c>
      <c r="M423" s="1">
        <f t="shared" si="33"/>
        <v>135.55810562264435</v>
      </c>
      <c r="N423" s="7">
        <f t="shared" si="34"/>
        <v>135.55810562264435</v>
      </c>
    </row>
    <row r="424" spans="1:14" x14ac:dyDescent="0.25">
      <c r="A424" t="str">
        <f>"13:57:25.617"</f>
        <v>13:57:25.617</v>
      </c>
      <c r="B424">
        <v>39.221941999999999</v>
      </c>
      <c r="C424">
        <v>-77.416512999999995</v>
      </c>
      <c r="D424">
        <v>7200</v>
      </c>
      <c r="E424">
        <v>7525</v>
      </c>
      <c r="F424">
        <v>127</v>
      </c>
      <c r="G424">
        <v>49</v>
      </c>
      <c r="H424">
        <v>896</v>
      </c>
      <c r="J424" s="1">
        <f t="shared" si="30"/>
        <v>16129</v>
      </c>
      <c r="K424" s="1">
        <f t="shared" si="31"/>
        <v>2401</v>
      </c>
      <c r="L424" s="1">
        <f t="shared" si="32"/>
        <v>18530</v>
      </c>
      <c r="M424" s="1">
        <f t="shared" si="33"/>
        <v>136.12494260788506</v>
      </c>
      <c r="N424" s="7">
        <f t="shared" si="34"/>
        <v>136.12494260788506</v>
      </c>
    </row>
    <row r="425" spans="1:14" x14ac:dyDescent="0.25">
      <c r="A425" t="str">
        <f>"13:57:26.773"</f>
        <v>13:57:26.773</v>
      </c>
      <c r="B425">
        <v>39.222220999999998</v>
      </c>
      <c r="C425">
        <v>-77.415589999999995</v>
      </c>
      <c r="D425">
        <v>7200</v>
      </c>
      <c r="E425">
        <v>7525</v>
      </c>
      <c r="F425">
        <v>128</v>
      </c>
      <c r="G425">
        <v>48</v>
      </c>
      <c r="H425">
        <v>768</v>
      </c>
      <c r="J425" s="1">
        <f t="shared" si="30"/>
        <v>16384</v>
      </c>
      <c r="K425" s="1">
        <f t="shared" si="31"/>
        <v>2304</v>
      </c>
      <c r="L425" s="1">
        <f t="shared" si="32"/>
        <v>18688</v>
      </c>
      <c r="M425" s="1">
        <f t="shared" si="33"/>
        <v>136.70405992508049</v>
      </c>
      <c r="N425" s="7">
        <f t="shared" si="34"/>
        <v>136.70405992508049</v>
      </c>
    </row>
    <row r="426" spans="1:14" x14ac:dyDescent="0.25">
      <c r="A426" t="str">
        <f>"13:57:27.891"</f>
        <v>13:57:27.891</v>
      </c>
      <c r="B426">
        <v>39.222479</v>
      </c>
      <c r="C426">
        <v>-77.414753000000005</v>
      </c>
      <c r="D426">
        <v>7200</v>
      </c>
      <c r="E426">
        <v>7550</v>
      </c>
      <c r="F426">
        <v>128</v>
      </c>
      <c r="G426">
        <v>47</v>
      </c>
      <c r="H426">
        <v>704</v>
      </c>
      <c r="J426" s="1">
        <f t="shared" si="30"/>
        <v>16384</v>
      </c>
      <c r="K426" s="1">
        <f t="shared" si="31"/>
        <v>2209</v>
      </c>
      <c r="L426" s="1">
        <f t="shared" si="32"/>
        <v>18593</v>
      </c>
      <c r="M426" s="1">
        <f t="shared" si="33"/>
        <v>136.35615130972272</v>
      </c>
      <c r="N426" s="7">
        <f t="shared" si="34"/>
        <v>136.35615130972272</v>
      </c>
    </row>
    <row r="427" spans="1:14" x14ac:dyDescent="0.25">
      <c r="A427" t="str">
        <f>"13:57:29.047"</f>
        <v>13:57:29.047</v>
      </c>
      <c r="B427">
        <v>39.222672000000003</v>
      </c>
      <c r="C427">
        <v>-77.413874000000007</v>
      </c>
      <c r="D427">
        <v>7200</v>
      </c>
      <c r="E427">
        <v>7550</v>
      </c>
      <c r="F427">
        <v>130</v>
      </c>
      <c r="G427">
        <v>45</v>
      </c>
      <c r="H427">
        <v>576</v>
      </c>
      <c r="J427" s="1">
        <f t="shared" si="30"/>
        <v>16900</v>
      </c>
      <c r="K427" s="1">
        <f t="shared" si="31"/>
        <v>2025</v>
      </c>
      <c r="L427" s="1">
        <f t="shared" si="32"/>
        <v>18925</v>
      </c>
      <c r="M427" s="1">
        <f t="shared" si="33"/>
        <v>137.56816492197603</v>
      </c>
      <c r="N427" s="7">
        <f t="shared" si="34"/>
        <v>137.56816492197603</v>
      </c>
    </row>
    <row r="428" spans="1:14" x14ac:dyDescent="0.25">
      <c r="A428" t="str">
        <f>"13:57:29.953"</f>
        <v>13:57:29.953</v>
      </c>
      <c r="B428">
        <v>39.222864999999999</v>
      </c>
      <c r="C428">
        <v>-77.413079999999994</v>
      </c>
      <c r="D428">
        <v>7300</v>
      </c>
      <c r="E428">
        <v>7575</v>
      </c>
      <c r="F428">
        <v>131</v>
      </c>
      <c r="G428">
        <v>44</v>
      </c>
      <c r="H428">
        <v>512</v>
      </c>
      <c r="J428" s="1">
        <f t="shared" si="30"/>
        <v>17161</v>
      </c>
      <c r="K428" s="1">
        <f t="shared" si="31"/>
        <v>1936</v>
      </c>
      <c r="L428" s="1">
        <f t="shared" si="32"/>
        <v>19097</v>
      </c>
      <c r="M428" s="1">
        <f t="shared" si="33"/>
        <v>138.19189556555045</v>
      </c>
      <c r="N428" s="7">
        <f t="shared" si="34"/>
        <v>138.19189556555045</v>
      </c>
    </row>
    <row r="429" spans="1:14" x14ac:dyDescent="0.25">
      <c r="A429" t="str">
        <f>"13:57:31.070"</f>
        <v>13:57:31.070</v>
      </c>
      <c r="B429">
        <v>39.223123000000001</v>
      </c>
      <c r="C429">
        <v>-77.412243000000004</v>
      </c>
      <c r="D429">
        <v>7300</v>
      </c>
      <c r="E429">
        <v>7575</v>
      </c>
      <c r="F429">
        <v>132</v>
      </c>
      <c r="G429">
        <v>43</v>
      </c>
      <c r="H429">
        <v>512</v>
      </c>
      <c r="J429" s="1">
        <f t="shared" si="30"/>
        <v>17424</v>
      </c>
      <c r="K429" s="1">
        <f t="shared" si="31"/>
        <v>1849</v>
      </c>
      <c r="L429" s="1">
        <f t="shared" si="32"/>
        <v>19273</v>
      </c>
      <c r="M429" s="1">
        <f t="shared" si="33"/>
        <v>138.82723075823418</v>
      </c>
      <c r="N429" s="7">
        <f t="shared" si="34"/>
        <v>138.82723075823418</v>
      </c>
    </row>
    <row r="430" spans="1:14" x14ac:dyDescent="0.25">
      <c r="A430" t="str">
        <f>"13:57:31.875"</f>
        <v>13:57:31.875</v>
      </c>
      <c r="B430">
        <v>39.223250999999998</v>
      </c>
      <c r="C430">
        <v>-77.411642000000001</v>
      </c>
      <c r="D430">
        <v>7300</v>
      </c>
      <c r="E430">
        <v>7575</v>
      </c>
      <c r="F430">
        <v>133</v>
      </c>
      <c r="G430">
        <v>43</v>
      </c>
      <c r="H430">
        <v>448</v>
      </c>
      <c r="J430" s="1">
        <f t="shared" si="30"/>
        <v>17689</v>
      </c>
      <c r="K430" s="1">
        <f t="shared" si="31"/>
        <v>1849</v>
      </c>
      <c r="L430" s="1">
        <f t="shared" si="32"/>
        <v>19538</v>
      </c>
      <c r="M430" s="1">
        <f t="shared" si="33"/>
        <v>139.77839604173457</v>
      </c>
      <c r="N430" s="7">
        <f t="shared" si="34"/>
        <v>139.77839604173457</v>
      </c>
    </row>
    <row r="431" spans="1:14" x14ac:dyDescent="0.25">
      <c r="A431" t="str">
        <f>"13:57:32.836"</f>
        <v>13:57:32.836</v>
      </c>
      <c r="B431">
        <v>39.223422999999997</v>
      </c>
      <c r="C431">
        <v>-77.410891000000007</v>
      </c>
      <c r="D431">
        <v>7300</v>
      </c>
      <c r="E431">
        <v>7600</v>
      </c>
      <c r="F431">
        <v>134</v>
      </c>
      <c r="G431">
        <v>42</v>
      </c>
      <c r="H431">
        <v>448</v>
      </c>
      <c r="J431" s="1">
        <f t="shared" si="30"/>
        <v>17956</v>
      </c>
      <c r="K431" s="1">
        <f t="shared" si="31"/>
        <v>1764</v>
      </c>
      <c r="L431" s="1">
        <f t="shared" si="32"/>
        <v>19720</v>
      </c>
      <c r="M431" s="1">
        <f t="shared" si="33"/>
        <v>140.42791745233566</v>
      </c>
      <c r="N431" s="7">
        <f t="shared" si="34"/>
        <v>140.42791745233566</v>
      </c>
    </row>
    <row r="432" spans="1:14" x14ac:dyDescent="0.25">
      <c r="A432" t="str">
        <f>"13:57:33.844"</f>
        <v>13:57:33.844</v>
      </c>
      <c r="B432">
        <v>39.223616</v>
      </c>
      <c r="C432">
        <v>-77.410096999999993</v>
      </c>
      <c r="D432">
        <v>7300</v>
      </c>
      <c r="E432">
        <v>7600</v>
      </c>
      <c r="F432">
        <v>135</v>
      </c>
      <c r="G432">
        <v>41</v>
      </c>
      <c r="H432">
        <v>448</v>
      </c>
      <c r="J432" s="1">
        <f t="shared" si="30"/>
        <v>18225</v>
      </c>
      <c r="K432" s="1">
        <f t="shared" si="31"/>
        <v>1681</v>
      </c>
      <c r="L432" s="1">
        <f t="shared" si="32"/>
        <v>19906</v>
      </c>
      <c r="M432" s="1">
        <f t="shared" si="33"/>
        <v>141.088624630053</v>
      </c>
      <c r="N432" s="7">
        <f t="shared" si="34"/>
        <v>141.088624630053</v>
      </c>
    </row>
    <row r="433" spans="1:14" x14ac:dyDescent="0.25">
      <c r="A433" t="str">
        <f>"13:57:34.906"</f>
        <v>13:57:34.906</v>
      </c>
      <c r="B433">
        <v>39.223852000000001</v>
      </c>
      <c r="C433">
        <v>-77.409195999999994</v>
      </c>
      <c r="D433">
        <v>7300</v>
      </c>
      <c r="E433">
        <v>7600</v>
      </c>
      <c r="F433">
        <v>136</v>
      </c>
      <c r="G433">
        <v>40</v>
      </c>
      <c r="H433">
        <v>384</v>
      </c>
      <c r="J433" s="1">
        <f t="shared" si="30"/>
        <v>18496</v>
      </c>
      <c r="K433" s="1">
        <f t="shared" si="31"/>
        <v>1600</v>
      </c>
      <c r="L433" s="1">
        <f t="shared" si="32"/>
        <v>20096</v>
      </c>
      <c r="M433" s="1">
        <f t="shared" si="33"/>
        <v>141.7603611733548</v>
      </c>
      <c r="N433" s="7">
        <f t="shared" si="34"/>
        <v>141.7603611733548</v>
      </c>
    </row>
    <row r="434" spans="1:14" x14ac:dyDescent="0.25">
      <c r="A434" t="str">
        <f>"13:57:35.914"</f>
        <v>13:57:35.914</v>
      </c>
      <c r="B434">
        <v>39.224024</v>
      </c>
      <c r="C434">
        <v>-77.408422999999999</v>
      </c>
      <c r="D434">
        <v>7300</v>
      </c>
      <c r="E434">
        <v>7600</v>
      </c>
      <c r="F434">
        <v>137</v>
      </c>
      <c r="G434">
        <v>40</v>
      </c>
      <c r="H434">
        <v>448</v>
      </c>
      <c r="J434" s="1">
        <f t="shared" si="30"/>
        <v>18769</v>
      </c>
      <c r="K434" s="1">
        <f t="shared" si="31"/>
        <v>1600</v>
      </c>
      <c r="L434" s="1">
        <f t="shared" si="32"/>
        <v>20369</v>
      </c>
      <c r="M434" s="1">
        <f t="shared" si="33"/>
        <v>142.72000560538106</v>
      </c>
      <c r="N434" s="7">
        <f t="shared" si="34"/>
        <v>142.72000560538106</v>
      </c>
    </row>
    <row r="435" spans="1:14" x14ac:dyDescent="0.25">
      <c r="A435" t="str">
        <f>"13:57:37.023"</f>
        <v>13:57:37.023</v>
      </c>
      <c r="B435">
        <v>39.224217000000003</v>
      </c>
      <c r="C435">
        <v>-77.407478999999995</v>
      </c>
      <c r="D435">
        <v>7300</v>
      </c>
      <c r="E435">
        <v>7625</v>
      </c>
      <c r="F435">
        <v>138</v>
      </c>
      <c r="G435">
        <v>39</v>
      </c>
      <c r="H435">
        <v>448</v>
      </c>
      <c r="J435" s="1">
        <f t="shared" si="30"/>
        <v>19044</v>
      </c>
      <c r="K435" s="1">
        <f t="shared" si="31"/>
        <v>1521</v>
      </c>
      <c r="L435" s="1">
        <f t="shared" si="32"/>
        <v>20565</v>
      </c>
      <c r="M435" s="1">
        <f t="shared" si="33"/>
        <v>143.40502083260543</v>
      </c>
      <c r="N435" s="7">
        <f t="shared" si="34"/>
        <v>143.40502083260543</v>
      </c>
    </row>
    <row r="436" spans="1:14" x14ac:dyDescent="0.25">
      <c r="A436" t="str">
        <f>"13:57:37.930"</f>
        <v>13:57:37.930</v>
      </c>
      <c r="B436">
        <v>39.224345999999997</v>
      </c>
      <c r="C436">
        <v>-77.406750000000002</v>
      </c>
      <c r="D436">
        <v>7300</v>
      </c>
      <c r="E436">
        <v>7625</v>
      </c>
      <c r="F436">
        <v>138</v>
      </c>
      <c r="G436">
        <v>38</v>
      </c>
      <c r="H436">
        <v>512</v>
      </c>
      <c r="J436" s="1">
        <f t="shared" si="30"/>
        <v>19044</v>
      </c>
      <c r="K436" s="1">
        <f t="shared" si="31"/>
        <v>1444</v>
      </c>
      <c r="L436" s="1">
        <f t="shared" si="32"/>
        <v>20488</v>
      </c>
      <c r="M436" s="1">
        <f t="shared" si="33"/>
        <v>143.13629868066312</v>
      </c>
      <c r="N436" s="7">
        <f t="shared" si="34"/>
        <v>143.13629868066312</v>
      </c>
    </row>
    <row r="437" spans="1:14" x14ac:dyDescent="0.25">
      <c r="A437" t="str">
        <f>"13:57:38.891"</f>
        <v>13:57:38.891</v>
      </c>
      <c r="B437">
        <v>39.224539</v>
      </c>
      <c r="C437">
        <v>-77.405912999999998</v>
      </c>
      <c r="D437">
        <v>7300</v>
      </c>
      <c r="E437">
        <v>7625</v>
      </c>
      <c r="F437">
        <v>139</v>
      </c>
      <c r="G437">
        <v>38</v>
      </c>
      <c r="H437">
        <v>576</v>
      </c>
      <c r="J437" s="1">
        <f t="shared" si="30"/>
        <v>19321</v>
      </c>
      <c r="K437" s="1">
        <f t="shared" si="31"/>
        <v>1444</v>
      </c>
      <c r="L437" s="1">
        <f t="shared" si="32"/>
        <v>20765</v>
      </c>
      <c r="M437" s="1">
        <f t="shared" si="33"/>
        <v>144.10065926289164</v>
      </c>
      <c r="N437" s="7">
        <f t="shared" si="34"/>
        <v>144.10065926289164</v>
      </c>
    </row>
    <row r="438" spans="1:14" x14ac:dyDescent="0.25">
      <c r="A438" t="str">
        <f>"13:57:39.898"</f>
        <v>13:57:39.898</v>
      </c>
      <c r="B438">
        <v>39.224710000000002</v>
      </c>
      <c r="C438">
        <v>-77.405075999999994</v>
      </c>
      <c r="D438">
        <v>7300</v>
      </c>
      <c r="E438">
        <v>7650</v>
      </c>
      <c r="F438">
        <v>139</v>
      </c>
      <c r="G438">
        <v>38</v>
      </c>
      <c r="H438">
        <v>640</v>
      </c>
      <c r="J438" s="1">
        <f t="shared" si="30"/>
        <v>19321</v>
      </c>
      <c r="K438" s="1">
        <f t="shared" si="31"/>
        <v>1444</v>
      </c>
      <c r="L438" s="1">
        <f t="shared" si="32"/>
        <v>20765</v>
      </c>
      <c r="M438" s="1">
        <f t="shared" si="33"/>
        <v>144.10065926289164</v>
      </c>
      <c r="N438" s="7">
        <f t="shared" si="34"/>
        <v>144.10065926289164</v>
      </c>
    </row>
    <row r="439" spans="1:14" x14ac:dyDescent="0.25">
      <c r="A439" t="str">
        <f>"13:57:41.016"</f>
        <v>13:57:41.016</v>
      </c>
      <c r="B439">
        <v>39.224924999999999</v>
      </c>
      <c r="C439">
        <v>-77.404174999999995</v>
      </c>
      <c r="D439">
        <v>7300</v>
      </c>
      <c r="E439">
        <v>7650</v>
      </c>
      <c r="F439">
        <v>139</v>
      </c>
      <c r="G439">
        <v>40</v>
      </c>
      <c r="H439">
        <v>768</v>
      </c>
      <c r="J439" s="1">
        <f t="shared" si="30"/>
        <v>19321</v>
      </c>
      <c r="K439" s="1">
        <f t="shared" si="31"/>
        <v>1600</v>
      </c>
      <c r="L439" s="1">
        <f t="shared" si="32"/>
        <v>20921</v>
      </c>
      <c r="M439" s="1">
        <f t="shared" si="33"/>
        <v>144.64093473149293</v>
      </c>
      <c r="N439" s="7">
        <f t="shared" si="34"/>
        <v>144.64093473149293</v>
      </c>
    </row>
    <row r="440" spans="1:14" x14ac:dyDescent="0.25">
      <c r="A440" t="str">
        <f>"13:57:41.820"</f>
        <v>13:57:41.820</v>
      </c>
      <c r="B440">
        <v>39.225096999999998</v>
      </c>
      <c r="C440">
        <v>-77.403509999999997</v>
      </c>
      <c r="D440">
        <v>7300</v>
      </c>
      <c r="E440">
        <v>7675</v>
      </c>
      <c r="F440">
        <v>139</v>
      </c>
      <c r="G440">
        <v>41</v>
      </c>
      <c r="H440">
        <v>896</v>
      </c>
      <c r="J440" s="1">
        <f t="shared" si="30"/>
        <v>19321</v>
      </c>
      <c r="K440" s="1">
        <f t="shared" si="31"/>
        <v>1681</v>
      </c>
      <c r="L440" s="1">
        <f t="shared" si="32"/>
        <v>21002</v>
      </c>
      <c r="M440" s="1">
        <f t="shared" si="33"/>
        <v>144.92066795319431</v>
      </c>
      <c r="N440" s="7">
        <f t="shared" si="34"/>
        <v>144.92066795319431</v>
      </c>
    </row>
    <row r="441" spans="1:14" x14ac:dyDescent="0.25">
      <c r="A441" t="str">
        <f>"13:57:42.727"</f>
        <v>13:57:42.727</v>
      </c>
      <c r="B441">
        <v>39.225268</v>
      </c>
      <c r="C441">
        <v>-77.402737000000002</v>
      </c>
      <c r="D441">
        <v>7400</v>
      </c>
      <c r="E441">
        <v>7575</v>
      </c>
      <c r="F441">
        <v>138</v>
      </c>
      <c r="G441">
        <v>42</v>
      </c>
      <c r="H441">
        <v>896</v>
      </c>
      <c r="J441" s="1">
        <f t="shared" si="30"/>
        <v>19044</v>
      </c>
      <c r="K441" s="1">
        <f t="shared" si="31"/>
        <v>1764</v>
      </c>
      <c r="L441" s="1">
        <f t="shared" si="32"/>
        <v>20808</v>
      </c>
      <c r="M441" s="1">
        <f t="shared" si="33"/>
        <v>144.24978336205569</v>
      </c>
      <c r="N441" s="7">
        <f t="shared" si="34"/>
        <v>144.24978336205569</v>
      </c>
    </row>
    <row r="442" spans="1:14" x14ac:dyDescent="0.25">
      <c r="A442" t="str">
        <f>"13:57:43.789"</f>
        <v>13:57:43.789</v>
      </c>
      <c r="B442">
        <v>39.225482999999997</v>
      </c>
      <c r="C442">
        <v>-77.401857000000007</v>
      </c>
      <c r="D442">
        <v>7400</v>
      </c>
      <c r="E442">
        <v>7700</v>
      </c>
      <c r="F442">
        <v>138</v>
      </c>
      <c r="G442">
        <v>44</v>
      </c>
      <c r="H442">
        <v>960</v>
      </c>
      <c r="J442" s="1">
        <f t="shared" si="30"/>
        <v>19044</v>
      </c>
      <c r="K442" s="1">
        <f t="shared" si="31"/>
        <v>1936</v>
      </c>
      <c r="L442" s="1">
        <f t="shared" si="32"/>
        <v>20980</v>
      </c>
      <c r="M442" s="1">
        <f t="shared" si="33"/>
        <v>144.84474446799925</v>
      </c>
      <c r="N442" s="7">
        <f t="shared" si="34"/>
        <v>144.84474446799925</v>
      </c>
    </row>
    <row r="443" spans="1:14" x14ac:dyDescent="0.25">
      <c r="A443" t="str">
        <f>"13:57:44.797"</f>
        <v>13:57:44.797</v>
      </c>
      <c r="B443">
        <v>39.225698000000001</v>
      </c>
      <c r="C443">
        <v>-77.401062999999994</v>
      </c>
      <c r="D443">
        <v>7400</v>
      </c>
      <c r="E443">
        <v>7700</v>
      </c>
      <c r="F443">
        <v>137</v>
      </c>
      <c r="G443">
        <v>45</v>
      </c>
      <c r="H443">
        <v>1024</v>
      </c>
      <c r="J443" s="1">
        <f t="shared" si="30"/>
        <v>18769</v>
      </c>
      <c r="K443" s="1">
        <f t="shared" si="31"/>
        <v>2025</v>
      </c>
      <c r="L443" s="1">
        <f t="shared" si="32"/>
        <v>20794</v>
      </c>
      <c r="M443" s="1">
        <f t="shared" si="33"/>
        <v>144.20124826089406</v>
      </c>
      <c r="N443" s="7">
        <f t="shared" si="34"/>
        <v>144.20124826089406</v>
      </c>
    </row>
    <row r="444" spans="1:14" x14ac:dyDescent="0.25">
      <c r="A444" t="str">
        <f>"13:57:45.758"</f>
        <v>13:57:45.758</v>
      </c>
      <c r="B444">
        <v>39.225912000000001</v>
      </c>
      <c r="C444">
        <v>-77.400355000000005</v>
      </c>
      <c r="D444">
        <v>7400</v>
      </c>
      <c r="E444">
        <v>7725</v>
      </c>
      <c r="F444">
        <v>136</v>
      </c>
      <c r="G444">
        <v>49</v>
      </c>
      <c r="H444">
        <v>1088</v>
      </c>
      <c r="J444" s="1">
        <f t="shared" si="30"/>
        <v>18496</v>
      </c>
      <c r="K444" s="1">
        <f t="shared" si="31"/>
        <v>2401</v>
      </c>
      <c r="L444" s="1">
        <f t="shared" si="32"/>
        <v>20897</v>
      </c>
      <c r="M444" s="1">
        <f t="shared" si="33"/>
        <v>144.55794685869054</v>
      </c>
      <c r="N444" s="7">
        <f t="shared" si="34"/>
        <v>144.55794685869054</v>
      </c>
    </row>
    <row r="445" spans="1:14" x14ac:dyDescent="0.25">
      <c r="A445" t="str">
        <f>"13:57:46.820"</f>
        <v>13:57:46.820</v>
      </c>
      <c r="B445">
        <v>39.226170000000003</v>
      </c>
      <c r="C445">
        <v>-77.399476000000007</v>
      </c>
      <c r="D445">
        <v>7500</v>
      </c>
      <c r="E445">
        <v>7750</v>
      </c>
      <c r="F445">
        <v>135</v>
      </c>
      <c r="G445">
        <v>49</v>
      </c>
      <c r="H445">
        <v>1088</v>
      </c>
      <c r="J445" s="1">
        <f t="shared" si="30"/>
        <v>18225</v>
      </c>
      <c r="K445" s="1">
        <f t="shared" si="31"/>
        <v>2401</v>
      </c>
      <c r="L445" s="1">
        <f t="shared" si="32"/>
        <v>20626</v>
      </c>
      <c r="M445" s="1">
        <f t="shared" si="33"/>
        <v>143.6175476743702</v>
      </c>
      <c r="N445" s="7">
        <f t="shared" si="34"/>
        <v>143.6175476743702</v>
      </c>
    </row>
    <row r="446" spans="1:14" x14ac:dyDescent="0.25">
      <c r="A446" t="str">
        <f>"13:57:47.727"</f>
        <v>13:57:47.727</v>
      </c>
      <c r="B446">
        <v>39.226405999999997</v>
      </c>
      <c r="C446">
        <v>-77.398746000000003</v>
      </c>
      <c r="D446">
        <v>7500</v>
      </c>
      <c r="E446">
        <v>7775</v>
      </c>
      <c r="F446">
        <v>133</v>
      </c>
      <c r="G446">
        <v>54</v>
      </c>
      <c r="H446">
        <v>1152</v>
      </c>
      <c r="J446" s="1">
        <f t="shared" si="30"/>
        <v>17689</v>
      </c>
      <c r="K446" s="1">
        <f t="shared" si="31"/>
        <v>2916</v>
      </c>
      <c r="L446" s="1">
        <f t="shared" si="32"/>
        <v>20605</v>
      </c>
      <c r="M446" s="1">
        <f t="shared" si="33"/>
        <v>143.54441821262157</v>
      </c>
      <c r="N446" s="7">
        <f t="shared" si="34"/>
        <v>143.54441821262157</v>
      </c>
    </row>
    <row r="447" spans="1:14" x14ac:dyDescent="0.25">
      <c r="A447" t="str">
        <f>"13:57:48.688"</f>
        <v>13:57:48.688</v>
      </c>
      <c r="B447">
        <v>39.226641999999998</v>
      </c>
      <c r="C447">
        <v>-77.397974000000005</v>
      </c>
      <c r="D447">
        <v>7500</v>
      </c>
      <c r="E447">
        <v>7775</v>
      </c>
      <c r="F447">
        <v>132</v>
      </c>
      <c r="G447">
        <v>55</v>
      </c>
      <c r="H447">
        <v>1216</v>
      </c>
      <c r="J447" s="1">
        <f t="shared" si="30"/>
        <v>17424</v>
      </c>
      <c r="K447" s="1">
        <f t="shared" si="31"/>
        <v>3025</v>
      </c>
      <c r="L447" s="1">
        <f t="shared" si="32"/>
        <v>20449</v>
      </c>
      <c r="M447" s="1">
        <f t="shared" si="33"/>
        <v>143</v>
      </c>
      <c r="N447" s="7">
        <f t="shared" si="34"/>
        <v>143</v>
      </c>
    </row>
    <row r="448" spans="1:14" x14ac:dyDescent="0.25">
      <c r="A448" t="str">
        <f>"13:57:49.695"</f>
        <v>13:57:49.695</v>
      </c>
      <c r="B448">
        <v>39.226920999999997</v>
      </c>
      <c r="C448">
        <v>-77.397180000000006</v>
      </c>
      <c r="D448">
        <v>7500</v>
      </c>
      <c r="E448">
        <v>7800</v>
      </c>
      <c r="F448">
        <v>130</v>
      </c>
      <c r="G448">
        <v>58</v>
      </c>
      <c r="H448">
        <v>1216</v>
      </c>
      <c r="J448" s="1">
        <f t="shared" si="30"/>
        <v>16900</v>
      </c>
      <c r="K448" s="1">
        <f t="shared" si="31"/>
        <v>3364</v>
      </c>
      <c r="L448" s="1">
        <f t="shared" si="32"/>
        <v>20264</v>
      </c>
      <c r="M448" s="1">
        <f t="shared" si="33"/>
        <v>142.35167719419397</v>
      </c>
      <c r="N448" s="7">
        <f t="shared" si="34"/>
        <v>142.35167719419397</v>
      </c>
    </row>
    <row r="449" spans="1:14" x14ac:dyDescent="0.25">
      <c r="A449" t="str">
        <f>"13:57:50.703"</f>
        <v>13:57:50.703</v>
      </c>
      <c r="B449">
        <v>39.227178000000002</v>
      </c>
      <c r="C449">
        <v>-77.396406999999996</v>
      </c>
      <c r="D449">
        <v>7500</v>
      </c>
      <c r="E449">
        <v>7825</v>
      </c>
      <c r="F449">
        <v>129</v>
      </c>
      <c r="G449">
        <v>58</v>
      </c>
      <c r="H449">
        <v>1152</v>
      </c>
      <c r="J449" s="1">
        <f t="shared" si="30"/>
        <v>16641</v>
      </c>
      <c r="K449" s="1">
        <f t="shared" si="31"/>
        <v>3364</v>
      </c>
      <c r="L449" s="1">
        <f t="shared" si="32"/>
        <v>20005</v>
      </c>
      <c r="M449" s="1">
        <f t="shared" si="33"/>
        <v>141.43903280212291</v>
      </c>
      <c r="N449" s="7">
        <f t="shared" si="34"/>
        <v>141.43903280212291</v>
      </c>
    </row>
    <row r="450" spans="1:14" x14ac:dyDescent="0.25">
      <c r="A450" t="str">
        <f>"13:57:51.766"</f>
        <v>13:57:51.766</v>
      </c>
      <c r="B450">
        <v>39.227479000000002</v>
      </c>
      <c r="C450">
        <v>-77.395570000000006</v>
      </c>
      <c r="D450">
        <v>7500</v>
      </c>
      <c r="E450">
        <v>7850</v>
      </c>
      <c r="F450">
        <v>129</v>
      </c>
      <c r="G450">
        <v>58</v>
      </c>
      <c r="H450">
        <v>1152</v>
      </c>
      <c r="J450" s="1">
        <f t="shared" si="30"/>
        <v>16641</v>
      </c>
      <c r="K450" s="1">
        <f t="shared" si="31"/>
        <v>3364</v>
      </c>
      <c r="L450" s="1">
        <f t="shared" si="32"/>
        <v>20005</v>
      </c>
      <c r="M450" s="1">
        <f t="shared" si="33"/>
        <v>141.43903280212291</v>
      </c>
      <c r="N450" s="7">
        <f t="shared" si="34"/>
        <v>141.43903280212291</v>
      </c>
    </row>
    <row r="451" spans="1:14" x14ac:dyDescent="0.25">
      <c r="A451" t="str">
        <f>"13:57:52.828"</f>
        <v>13:57:52.828</v>
      </c>
      <c r="B451">
        <v>39.227756999999997</v>
      </c>
      <c r="C451">
        <v>-77.394775999999993</v>
      </c>
      <c r="D451">
        <v>7600</v>
      </c>
      <c r="E451">
        <v>7875</v>
      </c>
      <c r="F451">
        <v>129</v>
      </c>
      <c r="G451">
        <v>57</v>
      </c>
      <c r="H451">
        <v>1152</v>
      </c>
      <c r="J451" s="1">
        <f t="shared" ref="J451:J514" si="35">F451^2</f>
        <v>16641</v>
      </c>
      <c r="K451" s="1">
        <f t="shared" ref="K451:K514" si="36">G451^2</f>
        <v>3249</v>
      </c>
      <c r="L451" s="1">
        <f t="shared" ref="L451:L514" si="37">SUMSQ(F451,G451)</f>
        <v>19890</v>
      </c>
      <c r="M451" s="1">
        <f t="shared" ref="M451:M514" si="38">SQRT(L451)</f>
        <v>141.03191128251791</v>
      </c>
      <c r="N451" s="7">
        <f t="shared" ref="N451:N514" si="39">M451</f>
        <v>141.03191128251791</v>
      </c>
    </row>
    <row r="452" spans="1:14" x14ac:dyDescent="0.25">
      <c r="A452" t="str">
        <f>"13:57:53.836"</f>
        <v>13:57:53.836</v>
      </c>
      <c r="B452">
        <v>39.228036000000003</v>
      </c>
      <c r="C452">
        <v>-77.394047</v>
      </c>
      <c r="D452">
        <v>7600</v>
      </c>
      <c r="E452">
        <v>7900</v>
      </c>
      <c r="F452">
        <v>130</v>
      </c>
      <c r="G452">
        <v>56</v>
      </c>
      <c r="H452">
        <v>1088</v>
      </c>
      <c r="J452" s="1">
        <f t="shared" si="35"/>
        <v>16900</v>
      </c>
      <c r="K452" s="1">
        <f t="shared" si="36"/>
        <v>3136</v>
      </c>
      <c r="L452" s="1">
        <f t="shared" si="37"/>
        <v>20036</v>
      </c>
      <c r="M452" s="1">
        <f t="shared" si="38"/>
        <v>141.54857823376398</v>
      </c>
      <c r="N452" s="7">
        <f t="shared" si="39"/>
        <v>141.54857823376398</v>
      </c>
    </row>
    <row r="453" spans="1:14" x14ac:dyDescent="0.25">
      <c r="A453" t="str">
        <f>"13:57:54.797"</f>
        <v>13:57:54.797</v>
      </c>
      <c r="B453">
        <v>39.228271999999997</v>
      </c>
      <c r="C453">
        <v>-77.393253000000001</v>
      </c>
      <c r="D453">
        <v>7600</v>
      </c>
      <c r="E453">
        <v>7900</v>
      </c>
      <c r="F453">
        <v>130</v>
      </c>
      <c r="G453">
        <v>55</v>
      </c>
      <c r="H453">
        <v>1024</v>
      </c>
      <c r="J453" s="1">
        <f t="shared" si="35"/>
        <v>16900</v>
      </c>
      <c r="K453" s="1">
        <f t="shared" si="36"/>
        <v>3025</v>
      </c>
      <c r="L453" s="1">
        <f t="shared" si="37"/>
        <v>19925</v>
      </c>
      <c r="M453" s="1">
        <f t="shared" si="38"/>
        <v>141.15594213493105</v>
      </c>
      <c r="N453" s="7">
        <f t="shared" si="39"/>
        <v>141.15594213493105</v>
      </c>
    </row>
    <row r="454" spans="1:14" x14ac:dyDescent="0.25">
      <c r="A454" t="str">
        <f>"13:57:55.859"</f>
        <v>13:57:55.859</v>
      </c>
      <c r="B454">
        <v>39.228551000000003</v>
      </c>
      <c r="C454">
        <v>-77.392415999999997</v>
      </c>
      <c r="D454">
        <v>7600</v>
      </c>
      <c r="E454">
        <v>7925</v>
      </c>
      <c r="F454">
        <v>130</v>
      </c>
      <c r="G454">
        <v>55</v>
      </c>
      <c r="H454">
        <v>896</v>
      </c>
      <c r="J454" s="1">
        <f t="shared" si="35"/>
        <v>16900</v>
      </c>
      <c r="K454" s="1">
        <f t="shared" si="36"/>
        <v>3025</v>
      </c>
      <c r="L454" s="1">
        <f t="shared" si="37"/>
        <v>19925</v>
      </c>
      <c r="M454" s="1">
        <f t="shared" si="38"/>
        <v>141.15594213493105</v>
      </c>
      <c r="N454" s="7">
        <f t="shared" si="39"/>
        <v>141.15594213493105</v>
      </c>
    </row>
    <row r="455" spans="1:14" x14ac:dyDescent="0.25">
      <c r="A455" t="str">
        <f>"13:57:56.867"</f>
        <v>13:57:56.867</v>
      </c>
      <c r="B455">
        <v>39.228786999999997</v>
      </c>
      <c r="C455">
        <v>-77.391728999999998</v>
      </c>
      <c r="D455">
        <v>7600</v>
      </c>
      <c r="E455">
        <v>7950</v>
      </c>
      <c r="F455">
        <v>131</v>
      </c>
      <c r="G455">
        <v>54</v>
      </c>
      <c r="H455">
        <v>896</v>
      </c>
      <c r="J455" s="1">
        <f t="shared" si="35"/>
        <v>17161</v>
      </c>
      <c r="K455" s="1">
        <f t="shared" si="36"/>
        <v>2916</v>
      </c>
      <c r="L455" s="1">
        <f t="shared" si="37"/>
        <v>20077</v>
      </c>
      <c r="M455" s="1">
        <f t="shared" si="38"/>
        <v>141.69333082400175</v>
      </c>
      <c r="N455" s="7">
        <f t="shared" si="39"/>
        <v>141.69333082400175</v>
      </c>
    </row>
    <row r="456" spans="1:14" x14ac:dyDescent="0.25">
      <c r="A456" t="str">
        <f>"13:57:57.773"</f>
        <v>13:57:57.773</v>
      </c>
      <c r="B456">
        <v>39.229002000000001</v>
      </c>
      <c r="C456">
        <v>-77.390934999999999</v>
      </c>
      <c r="D456">
        <v>7600</v>
      </c>
      <c r="E456">
        <v>7950</v>
      </c>
      <c r="F456">
        <v>131</v>
      </c>
      <c r="G456">
        <v>54</v>
      </c>
      <c r="H456">
        <v>832</v>
      </c>
      <c r="J456" s="1">
        <f t="shared" si="35"/>
        <v>17161</v>
      </c>
      <c r="K456" s="1">
        <f t="shared" si="36"/>
        <v>2916</v>
      </c>
      <c r="L456" s="1">
        <f t="shared" si="37"/>
        <v>20077</v>
      </c>
      <c r="M456" s="1">
        <f t="shared" si="38"/>
        <v>141.69333082400175</v>
      </c>
      <c r="N456" s="7">
        <f t="shared" si="39"/>
        <v>141.69333082400175</v>
      </c>
    </row>
    <row r="457" spans="1:14" x14ac:dyDescent="0.25">
      <c r="A457" t="str">
        <f>"13:57:58.883"</f>
        <v>13:57:58.883</v>
      </c>
      <c r="B457">
        <v>39.229301999999997</v>
      </c>
      <c r="C457">
        <v>-77.390034</v>
      </c>
      <c r="D457">
        <v>7700</v>
      </c>
      <c r="E457">
        <v>7975</v>
      </c>
      <c r="F457">
        <v>132</v>
      </c>
      <c r="G457">
        <v>53</v>
      </c>
      <c r="H457">
        <v>768</v>
      </c>
      <c r="J457" s="1">
        <f t="shared" si="35"/>
        <v>17424</v>
      </c>
      <c r="K457" s="1">
        <f t="shared" si="36"/>
        <v>2809</v>
      </c>
      <c r="L457" s="1">
        <f t="shared" si="37"/>
        <v>20233</v>
      </c>
      <c r="M457" s="1">
        <f t="shared" si="38"/>
        <v>142.24275025462634</v>
      </c>
      <c r="N457" s="7">
        <f t="shared" si="39"/>
        <v>142.24275025462634</v>
      </c>
    </row>
    <row r="458" spans="1:14" x14ac:dyDescent="0.25">
      <c r="A458" t="str">
        <f>"13:57:59.945"</f>
        <v>13:57:59.945</v>
      </c>
      <c r="B458">
        <v>39.229517000000001</v>
      </c>
      <c r="C458">
        <v>-77.389240000000001</v>
      </c>
      <c r="D458">
        <v>7700</v>
      </c>
      <c r="E458">
        <v>7975</v>
      </c>
      <c r="F458">
        <v>133</v>
      </c>
      <c r="G458">
        <v>52</v>
      </c>
      <c r="H458">
        <v>704</v>
      </c>
      <c r="J458" s="1">
        <f t="shared" si="35"/>
        <v>17689</v>
      </c>
      <c r="K458" s="1">
        <f t="shared" si="36"/>
        <v>2704</v>
      </c>
      <c r="L458" s="1">
        <f t="shared" si="37"/>
        <v>20393</v>
      </c>
      <c r="M458" s="1">
        <f t="shared" si="38"/>
        <v>142.80406156688963</v>
      </c>
      <c r="N458" s="7">
        <f t="shared" si="39"/>
        <v>142.80406156688963</v>
      </c>
    </row>
    <row r="459" spans="1:14" x14ac:dyDescent="0.25">
      <c r="A459" t="str">
        <f>"13:58:00.906"</f>
        <v>13:58:00.906</v>
      </c>
      <c r="B459">
        <v>39.229753000000002</v>
      </c>
      <c r="C459">
        <v>-77.388468000000003</v>
      </c>
      <c r="D459">
        <v>7700</v>
      </c>
      <c r="E459">
        <v>8000</v>
      </c>
      <c r="F459">
        <v>134</v>
      </c>
      <c r="G459">
        <v>51</v>
      </c>
      <c r="H459">
        <v>704</v>
      </c>
      <c r="J459" s="1">
        <f t="shared" si="35"/>
        <v>17956</v>
      </c>
      <c r="K459" s="1">
        <f t="shared" si="36"/>
        <v>2601</v>
      </c>
      <c r="L459" s="1">
        <f t="shared" si="37"/>
        <v>20557</v>
      </c>
      <c r="M459" s="1">
        <f t="shared" si="38"/>
        <v>143.37712509323097</v>
      </c>
      <c r="N459" s="7">
        <f t="shared" si="39"/>
        <v>143.37712509323097</v>
      </c>
    </row>
    <row r="460" spans="1:14" x14ac:dyDescent="0.25">
      <c r="A460" t="str">
        <f>"13:58:01.914"</f>
        <v>13:58:01.914</v>
      </c>
      <c r="B460">
        <v>39.230032000000001</v>
      </c>
      <c r="C460">
        <v>-77.387630999999999</v>
      </c>
      <c r="D460">
        <v>7700</v>
      </c>
      <c r="E460">
        <v>8000</v>
      </c>
      <c r="F460">
        <v>134</v>
      </c>
      <c r="G460">
        <v>50</v>
      </c>
      <c r="H460">
        <v>640</v>
      </c>
      <c r="J460" s="1">
        <f t="shared" si="35"/>
        <v>17956</v>
      </c>
      <c r="K460" s="1">
        <f t="shared" si="36"/>
        <v>2500</v>
      </c>
      <c r="L460" s="1">
        <f t="shared" si="37"/>
        <v>20456</v>
      </c>
      <c r="M460" s="1">
        <f t="shared" si="38"/>
        <v>143.024473430249</v>
      </c>
      <c r="N460" s="7">
        <f t="shared" si="39"/>
        <v>143.024473430249</v>
      </c>
    </row>
    <row r="461" spans="1:14" x14ac:dyDescent="0.25">
      <c r="A461" t="str">
        <f>"13:58:02.820"</f>
        <v>13:58:02.820</v>
      </c>
      <c r="B461">
        <v>39.230224999999997</v>
      </c>
      <c r="C461">
        <v>-77.386966000000001</v>
      </c>
      <c r="D461">
        <v>7700</v>
      </c>
      <c r="E461">
        <v>8000</v>
      </c>
      <c r="F461">
        <v>135</v>
      </c>
      <c r="G461">
        <v>49</v>
      </c>
      <c r="H461">
        <v>640</v>
      </c>
      <c r="J461" s="1">
        <f t="shared" si="35"/>
        <v>18225</v>
      </c>
      <c r="K461" s="1">
        <f t="shared" si="36"/>
        <v>2401</v>
      </c>
      <c r="L461" s="1">
        <f t="shared" si="37"/>
        <v>20626</v>
      </c>
      <c r="M461" s="1">
        <f t="shared" si="38"/>
        <v>143.6175476743702</v>
      </c>
      <c r="N461" s="7">
        <f t="shared" si="39"/>
        <v>143.6175476743702</v>
      </c>
    </row>
    <row r="462" spans="1:14" x14ac:dyDescent="0.25">
      <c r="A462" t="str">
        <f>"13:58:03.828"</f>
        <v>13:58:03.828</v>
      </c>
      <c r="B462">
        <v>39.230460999999998</v>
      </c>
      <c r="C462">
        <v>-77.386106999999996</v>
      </c>
      <c r="D462">
        <v>7700</v>
      </c>
      <c r="E462">
        <v>8025</v>
      </c>
      <c r="F462">
        <v>136</v>
      </c>
      <c r="G462">
        <v>49</v>
      </c>
      <c r="H462">
        <v>640</v>
      </c>
      <c r="J462" s="1">
        <f t="shared" si="35"/>
        <v>18496</v>
      </c>
      <c r="K462" s="1">
        <f t="shared" si="36"/>
        <v>2401</v>
      </c>
      <c r="L462" s="1">
        <f t="shared" si="37"/>
        <v>20897</v>
      </c>
      <c r="M462" s="1">
        <f t="shared" si="38"/>
        <v>144.55794685869054</v>
      </c>
      <c r="N462" s="7">
        <f t="shared" si="39"/>
        <v>144.55794685869054</v>
      </c>
    </row>
    <row r="463" spans="1:14" x14ac:dyDescent="0.25">
      <c r="A463" t="str">
        <f>"13:58:04.891"</f>
        <v>13:58:04.891</v>
      </c>
      <c r="B463">
        <v>39.230676000000003</v>
      </c>
      <c r="C463">
        <v>-77.385249000000002</v>
      </c>
      <c r="D463">
        <v>7700</v>
      </c>
      <c r="E463">
        <v>8025</v>
      </c>
      <c r="F463">
        <v>136</v>
      </c>
      <c r="G463">
        <v>49</v>
      </c>
      <c r="H463">
        <v>640</v>
      </c>
      <c r="J463" s="1">
        <f t="shared" si="35"/>
        <v>18496</v>
      </c>
      <c r="K463" s="1">
        <f t="shared" si="36"/>
        <v>2401</v>
      </c>
      <c r="L463" s="1">
        <f t="shared" si="37"/>
        <v>20897</v>
      </c>
      <c r="M463" s="1">
        <f t="shared" si="38"/>
        <v>144.55794685869054</v>
      </c>
      <c r="N463" s="7">
        <f t="shared" si="39"/>
        <v>144.55794685869054</v>
      </c>
    </row>
    <row r="464" spans="1:14" x14ac:dyDescent="0.25">
      <c r="A464" t="str">
        <f>"13:58:05.852"</f>
        <v>13:58:05.852</v>
      </c>
      <c r="B464">
        <v>39.230890000000002</v>
      </c>
      <c r="C464">
        <v>-77.384411999999998</v>
      </c>
      <c r="D464">
        <v>7700</v>
      </c>
      <c r="E464">
        <v>8050</v>
      </c>
      <c r="F464">
        <v>137</v>
      </c>
      <c r="G464">
        <v>49</v>
      </c>
      <c r="H464">
        <v>640</v>
      </c>
      <c r="J464" s="1">
        <f t="shared" si="35"/>
        <v>18769</v>
      </c>
      <c r="K464" s="1">
        <f t="shared" si="36"/>
        <v>2401</v>
      </c>
      <c r="L464" s="1">
        <f t="shared" si="37"/>
        <v>21170</v>
      </c>
      <c r="M464" s="1">
        <f t="shared" si="38"/>
        <v>145.49914089093448</v>
      </c>
      <c r="N464" s="7">
        <f t="shared" si="39"/>
        <v>145.49914089093448</v>
      </c>
    </row>
    <row r="465" spans="1:14" x14ac:dyDescent="0.25">
      <c r="A465" t="str">
        <f>"13:58:06.914"</f>
        <v>13:58:06.914</v>
      </c>
      <c r="B465">
        <v>39.231126000000003</v>
      </c>
      <c r="C465">
        <v>-77.383574999999993</v>
      </c>
      <c r="D465">
        <v>7700</v>
      </c>
      <c r="E465">
        <v>8050</v>
      </c>
      <c r="F465">
        <v>137</v>
      </c>
      <c r="G465">
        <v>48</v>
      </c>
      <c r="H465">
        <v>704</v>
      </c>
      <c r="J465" s="1">
        <f t="shared" si="35"/>
        <v>18769</v>
      </c>
      <c r="K465" s="1">
        <f t="shared" si="36"/>
        <v>2304</v>
      </c>
      <c r="L465" s="1">
        <f t="shared" si="37"/>
        <v>21073</v>
      </c>
      <c r="M465" s="1">
        <f t="shared" si="38"/>
        <v>145.16542288024377</v>
      </c>
      <c r="N465" s="7">
        <f t="shared" si="39"/>
        <v>145.16542288024377</v>
      </c>
    </row>
    <row r="466" spans="1:14" x14ac:dyDescent="0.25">
      <c r="A466" t="str">
        <f>"13:58:07.867"</f>
        <v>13:58:07.867</v>
      </c>
      <c r="B466">
        <v>39.231361999999997</v>
      </c>
      <c r="C466">
        <v>-77.382802999999996</v>
      </c>
      <c r="D466">
        <v>7700</v>
      </c>
      <c r="E466">
        <v>8050</v>
      </c>
      <c r="F466">
        <v>138</v>
      </c>
      <c r="G466">
        <v>48</v>
      </c>
      <c r="H466">
        <v>704</v>
      </c>
      <c r="J466" s="1">
        <f t="shared" si="35"/>
        <v>19044</v>
      </c>
      <c r="K466" s="1">
        <f t="shared" si="36"/>
        <v>2304</v>
      </c>
      <c r="L466" s="1">
        <f t="shared" si="37"/>
        <v>21348</v>
      </c>
      <c r="M466" s="1">
        <f t="shared" si="38"/>
        <v>146.10954794263105</v>
      </c>
      <c r="N466" s="7">
        <f t="shared" si="39"/>
        <v>146.10954794263105</v>
      </c>
    </row>
    <row r="467" spans="1:14" x14ac:dyDescent="0.25">
      <c r="A467" t="str">
        <f>"13:58:08.828"</f>
        <v>13:58:08.828</v>
      </c>
      <c r="B467">
        <v>39.231577000000001</v>
      </c>
      <c r="C467">
        <v>-77.382008999999996</v>
      </c>
      <c r="D467">
        <v>7800</v>
      </c>
      <c r="E467">
        <v>8075</v>
      </c>
      <c r="F467">
        <v>138</v>
      </c>
      <c r="G467">
        <v>47</v>
      </c>
      <c r="H467">
        <v>832</v>
      </c>
      <c r="J467" s="1">
        <f t="shared" si="35"/>
        <v>19044</v>
      </c>
      <c r="K467" s="1">
        <f t="shared" si="36"/>
        <v>2209</v>
      </c>
      <c r="L467" s="1">
        <f t="shared" si="37"/>
        <v>21253</v>
      </c>
      <c r="M467" s="1">
        <f t="shared" si="38"/>
        <v>145.78408692309321</v>
      </c>
      <c r="N467" s="7">
        <f t="shared" si="39"/>
        <v>145.78408692309321</v>
      </c>
    </row>
    <row r="468" spans="1:14" x14ac:dyDescent="0.25">
      <c r="A468" t="str">
        <f>"13:58:09.891"</f>
        <v>13:58:09.891</v>
      </c>
      <c r="B468">
        <v>39.231769999999997</v>
      </c>
      <c r="C468">
        <v>-77.381129000000001</v>
      </c>
      <c r="D468">
        <v>7800</v>
      </c>
      <c r="E468">
        <v>8100</v>
      </c>
      <c r="F468">
        <v>138</v>
      </c>
      <c r="G468">
        <v>46</v>
      </c>
      <c r="H468">
        <v>896</v>
      </c>
      <c r="J468" s="1">
        <f t="shared" si="35"/>
        <v>19044</v>
      </c>
      <c r="K468" s="1">
        <f t="shared" si="36"/>
        <v>2116</v>
      </c>
      <c r="L468" s="1">
        <f t="shared" si="37"/>
        <v>21160</v>
      </c>
      <c r="M468" s="1">
        <f t="shared" si="38"/>
        <v>145.46477236774544</v>
      </c>
      <c r="N468" s="7">
        <f t="shared" si="39"/>
        <v>145.46477236774544</v>
      </c>
    </row>
    <row r="469" spans="1:14" x14ac:dyDescent="0.25">
      <c r="A469" t="str">
        <f>"13:58:11.000"</f>
        <v>13:58:11.000</v>
      </c>
      <c r="B469">
        <v>39.231985000000002</v>
      </c>
      <c r="C469">
        <v>-77.380184999999997</v>
      </c>
      <c r="D469">
        <v>7800</v>
      </c>
      <c r="E469">
        <v>8100</v>
      </c>
      <c r="F469">
        <v>139</v>
      </c>
      <c r="G469">
        <v>45</v>
      </c>
      <c r="H469">
        <v>960</v>
      </c>
      <c r="J469" s="1">
        <f t="shared" si="35"/>
        <v>19321</v>
      </c>
      <c r="K469" s="1">
        <f t="shared" si="36"/>
        <v>2025</v>
      </c>
      <c r="L469" s="1">
        <f t="shared" si="37"/>
        <v>21346</v>
      </c>
      <c r="M469" s="1">
        <f t="shared" si="38"/>
        <v>146.10270360263701</v>
      </c>
      <c r="N469" s="7">
        <f t="shared" si="39"/>
        <v>146.10270360263701</v>
      </c>
    </row>
    <row r="470" spans="1:14" x14ac:dyDescent="0.25">
      <c r="A470" t="str">
        <f>"13:58:12.109"</f>
        <v>13:58:12.109</v>
      </c>
      <c r="B470">
        <v>39.232221000000003</v>
      </c>
      <c r="C470">
        <v>-77.379283999999998</v>
      </c>
      <c r="D470">
        <v>7800</v>
      </c>
      <c r="E470">
        <v>8125</v>
      </c>
      <c r="F470">
        <v>139</v>
      </c>
      <c r="G470">
        <v>43</v>
      </c>
      <c r="H470">
        <v>960</v>
      </c>
      <c r="J470" s="1">
        <f t="shared" si="35"/>
        <v>19321</v>
      </c>
      <c r="K470" s="1">
        <f t="shared" si="36"/>
        <v>1849</v>
      </c>
      <c r="L470" s="1">
        <f t="shared" si="37"/>
        <v>21170</v>
      </c>
      <c r="M470" s="1">
        <f t="shared" si="38"/>
        <v>145.49914089093448</v>
      </c>
      <c r="N470" s="7">
        <f t="shared" si="39"/>
        <v>145.49914089093448</v>
      </c>
    </row>
    <row r="471" spans="1:14" x14ac:dyDescent="0.25">
      <c r="A471" t="str">
        <f>"13:58:13.070"</f>
        <v>13:58:13.070</v>
      </c>
      <c r="B471">
        <v>39.232413999999999</v>
      </c>
      <c r="C471">
        <v>-77.378446999999994</v>
      </c>
      <c r="D471">
        <v>7800</v>
      </c>
      <c r="E471">
        <v>8150</v>
      </c>
      <c r="F471">
        <v>140</v>
      </c>
      <c r="G471">
        <v>42</v>
      </c>
      <c r="H471">
        <v>1024</v>
      </c>
      <c r="J471" s="1">
        <f t="shared" si="35"/>
        <v>19600</v>
      </c>
      <c r="K471" s="1">
        <f t="shared" si="36"/>
        <v>1764</v>
      </c>
      <c r="L471" s="1">
        <f t="shared" si="37"/>
        <v>21364</v>
      </c>
      <c r="M471" s="1">
        <f t="shared" si="38"/>
        <v>146.16429112474771</v>
      </c>
      <c r="N471" s="7">
        <f t="shared" si="39"/>
        <v>146.16429112474771</v>
      </c>
    </row>
    <row r="472" spans="1:14" x14ac:dyDescent="0.25">
      <c r="A472" t="str">
        <f>"13:58:14.180"</f>
        <v>13:58:14.180</v>
      </c>
      <c r="B472">
        <v>39.23265</v>
      </c>
      <c r="C472">
        <v>-77.377566999999999</v>
      </c>
      <c r="D472">
        <v>7800</v>
      </c>
      <c r="E472">
        <v>8175</v>
      </c>
      <c r="F472">
        <v>140</v>
      </c>
      <c r="G472">
        <v>41</v>
      </c>
      <c r="H472">
        <v>1088</v>
      </c>
      <c r="J472" s="1">
        <f t="shared" si="35"/>
        <v>19600</v>
      </c>
      <c r="K472" s="1">
        <f t="shared" si="36"/>
        <v>1681</v>
      </c>
      <c r="L472" s="1">
        <f t="shared" si="37"/>
        <v>21281</v>
      </c>
      <c r="M472" s="1">
        <f t="shared" si="38"/>
        <v>145.88008774332431</v>
      </c>
      <c r="N472" s="7">
        <f t="shared" si="39"/>
        <v>145.88008774332431</v>
      </c>
    </row>
    <row r="473" spans="1:14" x14ac:dyDescent="0.25">
      <c r="A473" t="str">
        <f>"13:58:15.242"</f>
        <v>13:58:15.242</v>
      </c>
      <c r="B473">
        <v>39.232821000000001</v>
      </c>
      <c r="C473">
        <v>-77.376709000000005</v>
      </c>
      <c r="D473">
        <v>7900</v>
      </c>
      <c r="E473">
        <v>8175</v>
      </c>
      <c r="F473">
        <v>139</v>
      </c>
      <c r="G473">
        <v>41</v>
      </c>
      <c r="H473">
        <v>1088</v>
      </c>
      <c r="J473" s="1">
        <f t="shared" si="35"/>
        <v>19321</v>
      </c>
      <c r="K473" s="1">
        <f t="shared" si="36"/>
        <v>1681</v>
      </c>
      <c r="L473" s="1">
        <f t="shared" si="37"/>
        <v>21002</v>
      </c>
      <c r="M473" s="1">
        <f t="shared" si="38"/>
        <v>144.92066795319431</v>
      </c>
      <c r="N473" s="7">
        <f t="shared" si="39"/>
        <v>144.92066795319431</v>
      </c>
    </row>
    <row r="474" spans="1:14" x14ac:dyDescent="0.25">
      <c r="A474" t="str">
        <f>"13:58:16.352"</f>
        <v>13:58:16.352</v>
      </c>
      <c r="B474">
        <v>39.233057000000002</v>
      </c>
      <c r="C474">
        <v>-77.375721999999996</v>
      </c>
      <c r="D474">
        <v>7900</v>
      </c>
      <c r="E474">
        <v>8200</v>
      </c>
      <c r="F474">
        <v>139</v>
      </c>
      <c r="G474">
        <v>41</v>
      </c>
      <c r="H474">
        <v>1152</v>
      </c>
      <c r="J474" s="1">
        <f t="shared" si="35"/>
        <v>19321</v>
      </c>
      <c r="K474" s="1">
        <f t="shared" si="36"/>
        <v>1681</v>
      </c>
      <c r="L474" s="1">
        <f t="shared" si="37"/>
        <v>21002</v>
      </c>
      <c r="M474" s="1">
        <f t="shared" si="38"/>
        <v>144.92066795319431</v>
      </c>
      <c r="N474" s="7">
        <f t="shared" si="39"/>
        <v>144.92066795319431</v>
      </c>
    </row>
    <row r="475" spans="1:14" x14ac:dyDescent="0.25">
      <c r="A475" t="str">
        <f>"13:58:17.359"</f>
        <v>13:58:17.359</v>
      </c>
      <c r="B475">
        <v>39.233229000000001</v>
      </c>
      <c r="C475">
        <v>-77.374971000000002</v>
      </c>
      <c r="D475">
        <v>7900</v>
      </c>
      <c r="E475">
        <v>8225</v>
      </c>
      <c r="F475">
        <v>138</v>
      </c>
      <c r="G475">
        <v>41</v>
      </c>
      <c r="H475">
        <v>1152</v>
      </c>
      <c r="J475" s="1">
        <f t="shared" si="35"/>
        <v>19044</v>
      </c>
      <c r="K475" s="1">
        <f t="shared" si="36"/>
        <v>1681</v>
      </c>
      <c r="L475" s="1">
        <f t="shared" si="37"/>
        <v>20725</v>
      </c>
      <c r="M475" s="1">
        <f t="shared" si="38"/>
        <v>143.96180048887967</v>
      </c>
      <c r="N475" s="7">
        <f t="shared" si="39"/>
        <v>143.96180048887967</v>
      </c>
    </row>
    <row r="476" spans="1:14" x14ac:dyDescent="0.25">
      <c r="A476" t="str">
        <f>"13:58:18.320"</f>
        <v>13:58:18.320</v>
      </c>
      <c r="B476">
        <v>39.233421999999997</v>
      </c>
      <c r="C476">
        <v>-77.374133999999998</v>
      </c>
      <c r="D476">
        <v>7900</v>
      </c>
      <c r="E476">
        <v>8250</v>
      </c>
      <c r="F476">
        <v>138</v>
      </c>
      <c r="G476">
        <v>41</v>
      </c>
      <c r="H476">
        <v>1152</v>
      </c>
      <c r="J476" s="1">
        <f t="shared" si="35"/>
        <v>19044</v>
      </c>
      <c r="K476" s="1">
        <f t="shared" si="36"/>
        <v>1681</v>
      </c>
      <c r="L476" s="1">
        <f t="shared" si="37"/>
        <v>20725</v>
      </c>
      <c r="M476" s="1">
        <f t="shared" si="38"/>
        <v>143.96180048887967</v>
      </c>
      <c r="N476" s="7">
        <f t="shared" si="39"/>
        <v>143.96180048887967</v>
      </c>
    </row>
    <row r="477" spans="1:14" x14ac:dyDescent="0.25">
      <c r="A477" t="str">
        <f>"13:58:19.375"</f>
        <v>13:58:19.375</v>
      </c>
      <c r="B477">
        <v>39.233615</v>
      </c>
      <c r="C477">
        <v>-77.373296999999994</v>
      </c>
      <c r="D477">
        <v>8000</v>
      </c>
      <c r="E477">
        <v>8275</v>
      </c>
      <c r="F477">
        <v>138</v>
      </c>
      <c r="G477">
        <v>41</v>
      </c>
      <c r="H477">
        <v>1152</v>
      </c>
      <c r="J477" s="1">
        <f t="shared" si="35"/>
        <v>19044</v>
      </c>
      <c r="K477" s="1">
        <f t="shared" si="36"/>
        <v>1681</v>
      </c>
      <c r="L477" s="1">
        <f t="shared" si="37"/>
        <v>20725</v>
      </c>
      <c r="M477" s="1">
        <f t="shared" si="38"/>
        <v>143.96180048887967</v>
      </c>
      <c r="N477" s="7">
        <f t="shared" si="39"/>
        <v>143.96180048887967</v>
      </c>
    </row>
    <row r="478" spans="1:14" x14ac:dyDescent="0.25">
      <c r="A478" t="str">
        <f>"13:58:20.438"</f>
        <v>13:58:20.438</v>
      </c>
      <c r="B478">
        <v>39.233809000000001</v>
      </c>
      <c r="C478">
        <v>-77.372439</v>
      </c>
      <c r="D478">
        <v>8000</v>
      </c>
      <c r="E478">
        <v>8275</v>
      </c>
      <c r="F478">
        <v>137</v>
      </c>
      <c r="G478">
        <v>42</v>
      </c>
      <c r="H478">
        <v>1152</v>
      </c>
      <c r="J478" s="1">
        <f t="shared" si="35"/>
        <v>18769</v>
      </c>
      <c r="K478" s="1">
        <f t="shared" si="36"/>
        <v>1764</v>
      </c>
      <c r="L478" s="1">
        <f t="shared" si="37"/>
        <v>20533</v>
      </c>
      <c r="M478" s="1">
        <f t="shared" si="38"/>
        <v>143.29340529138108</v>
      </c>
      <c r="N478" s="7">
        <f t="shared" si="39"/>
        <v>143.29340529138108</v>
      </c>
    </row>
    <row r="479" spans="1:14" x14ac:dyDescent="0.25">
      <c r="A479" t="str">
        <f>"13:58:21.398"</f>
        <v>13:58:21.398</v>
      </c>
      <c r="B479">
        <v>39.234045000000002</v>
      </c>
      <c r="C479">
        <v>-77.371645000000001</v>
      </c>
      <c r="D479">
        <v>8000</v>
      </c>
      <c r="E479">
        <v>8300</v>
      </c>
      <c r="F479">
        <v>137</v>
      </c>
      <c r="G479">
        <v>42</v>
      </c>
      <c r="H479">
        <v>1152</v>
      </c>
      <c r="J479" s="1">
        <f t="shared" si="35"/>
        <v>18769</v>
      </c>
      <c r="K479" s="1">
        <f t="shared" si="36"/>
        <v>1764</v>
      </c>
      <c r="L479" s="1">
        <f t="shared" si="37"/>
        <v>20533</v>
      </c>
      <c r="M479" s="1">
        <f t="shared" si="38"/>
        <v>143.29340529138108</v>
      </c>
      <c r="N479" s="7">
        <f t="shared" si="39"/>
        <v>143.29340529138108</v>
      </c>
    </row>
    <row r="480" spans="1:14" x14ac:dyDescent="0.25">
      <c r="A480" t="str">
        <f>"13:58:22.359"</f>
        <v>13:58:22.359</v>
      </c>
      <c r="B480">
        <v>39.234216000000004</v>
      </c>
      <c r="C480">
        <v>-77.370851000000002</v>
      </c>
      <c r="D480">
        <v>8000</v>
      </c>
      <c r="E480">
        <v>8325</v>
      </c>
      <c r="F480">
        <v>136</v>
      </c>
      <c r="G480">
        <v>43</v>
      </c>
      <c r="H480">
        <v>1152</v>
      </c>
      <c r="J480" s="1">
        <f t="shared" si="35"/>
        <v>18496</v>
      </c>
      <c r="K480" s="1">
        <f t="shared" si="36"/>
        <v>1849</v>
      </c>
      <c r="L480" s="1">
        <f t="shared" si="37"/>
        <v>20345</v>
      </c>
      <c r="M480" s="1">
        <f t="shared" si="38"/>
        <v>142.63590010933433</v>
      </c>
      <c r="N480" s="7">
        <f t="shared" si="39"/>
        <v>142.63590010933433</v>
      </c>
    </row>
    <row r="481" spans="1:14" x14ac:dyDescent="0.25">
      <c r="A481" t="str">
        <f>"13:58:23.469"</f>
        <v>13:58:23.469</v>
      </c>
      <c r="B481">
        <v>39.234431000000001</v>
      </c>
      <c r="C481">
        <v>-77.369971000000007</v>
      </c>
      <c r="D481">
        <v>8000</v>
      </c>
      <c r="E481">
        <v>8350</v>
      </c>
      <c r="F481">
        <v>136</v>
      </c>
      <c r="G481">
        <v>43</v>
      </c>
      <c r="H481">
        <v>1152</v>
      </c>
      <c r="J481" s="1">
        <f t="shared" si="35"/>
        <v>18496</v>
      </c>
      <c r="K481" s="1">
        <f t="shared" si="36"/>
        <v>1849</v>
      </c>
      <c r="L481" s="1">
        <f t="shared" si="37"/>
        <v>20345</v>
      </c>
      <c r="M481" s="1">
        <f t="shared" si="38"/>
        <v>142.63590010933433</v>
      </c>
      <c r="N481" s="7">
        <f t="shared" si="39"/>
        <v>142.63590010933433</v>
      </c>
    </row>
    <row r="482" spans="1:14" x14ac:dyDescent="0.25">
      <c r="A482" t="str">
        <f>"13:58:24.422"</f>
        <v>13:58:24.422</v>
      </c>
      <c r="B482">
        <v>39.234645</v>
      </c>
      <c r="C482">
        <v>-77.369198999999995</v>
      </c>
      <c r="D482">
        <v>8000</v>
      </c>
      <c r="E482">
        <v>8350</v>
      </c>
      <c r="F482">
        <v>135</v>
      </c>
      <c r="G482">
        <v>44</v>
      </c>
      <c r="H482">
        <v>1088</v>
      </c>
      <c r="J482" s="1">
        <f t="shared" si="35"/>
        <v>18225</v>
      </c>
      <c r="K482" s="1">
        <f t="shared" si="36"/>
        <v>1936</v>
      </c>
      <c r="L482" s="1">
        <f t="shared" si="37"/>
        <v>20161</v>
      </c>
      <c r="M482" s="1">
        <f t="shared" si="38"/>
        <v>141.98943622678414</v>
      </c>
      <c r="N482" s="7">
        <f t="shared" si="39"/>
        <v>141.98943622678414</v>
      </c>
    </row>
    <row r="483" spans="1:14" x14ac:dyDescent="0.25">
      <c r="A483" t="str">
        <f>"13:58:25.484"</f>
        <v>13:58:25.484</v>
      </c>
      <c r="B483">
        <v>39.234881000000001</v>
      </c>
      <c r="C483">
        <v>-77.368340000000003</v>
      </c>
      <c r="D483">
        <v>8000</v>
      </c>
      <c r="E483">
        <v>8375</v>
      </c>
      <c r="F483">
        <v>135</v>
      </c>
      <c r="G483">
        <v>45</v>
      </c>
      <c r="H483">
        <v>1088</v>
      </c>
      <c r="J483" s="1">
        <f t="shared" si="35"/>
        <v>18225</v>
      </c>
      <c r="K483" s="1">
        <f t="shared" si="36"/>
        <v>2025</v>
      </c>
      <c r="L483" s="1">
        <f t="shared" si="37"/>
        <v>20250</v>
      </c>
      <c r="M483" s="1">
        <f t="shared" si="38"/>
        <v>142.30249470757707</v>
      </c>
      <c r="N483" s="7">
        <f t="shared" si="39"/>
        <v>142.30249470757707</v>
      </c>
    </row>
    <row r="484" spans="1:14" x14ac:dyDescent="0.25">
      <c r="A484" t="str">
        <f>"13:58:26.500"</f>
        <v>13:58:26.500</v>
      </c>
      <c r="B484">
        <v>39.235053000000001</v>
      </c>
      <c r="C484">
        <v>-77.367503999999997</v>
      </c>
      <c r="D484">
        <v>8100</v>
      </c>
      <c r="E484">
        <v>8400</v>
      </c>
      <c r="F484">
        <v>134</v>
      </c>
      <c r="G484">
        <v>45</v>
      </c>
      <c r="H484">
        <v>1024</v>
      </c>
      <c r="J484" s="1">
        <f t="shared" si="35"/>
        <v>17956</v>
      </c>
      <c r="K484" s="1">
        <f t="shared" si="36"/>
        <v>2025</v>
      </c>
      <c r="L484" s="1">
        <f t="shared" si="37"/>
        <v>19981</v>
      </c>
      <c r="M484" s="1">
        <f t="shared" si="38"/>
        <v>141.35416513141735</v>
      </c>
      <c r="N484" s="7">
        <f t="shared" si="39"/>
        <v>141.35416513141735</v>
      </c>
    </row>
    <row r="485" spans="1:14" x14ac:dyDescent="0.25">
      <c r="A485" t="str">
        <f>"13:58:27.555"</f>
        <v>13:58:27.555</v>
      </c>
      <c r="B485">
        <v>39.235289000000002</v>
      </c>
      <c r="C485">
        <v>-77.366731000000001</v>
      </c>
      <c r="D485">
        <v>8100</v>
      </c>
      <c r="E485">
        <v>8425</v>
      </c>
      <c r="F485">
        <v>134</v>
      </c>
      <c r="G485">
        <v>46</v>
      </c>
      <c r="H485">
        <v>960</v>
      </c>
      <c r="J485" s="1">
        <f t="shared" si="35"/>
        <v>17956</v>
      </c>
      <c r="K485" s="1">
        <f t="shared" si="36"/>
        <v>2116</v>
      </c>
      <c r="L485" s="1">
        <f t="shared" si="37"/>
        <v>20072</v>
      </c>
      <c r="M485" s="1">
        <f t="shared" si="38"/>
        <v>141.67568598739871</v>
      </c>
      <c r="N485" s="7">
        <f t="shared" si="39"/>
        <v>141.67568598739871</v>
      </c>
    </row>
    <row r="486" spans="1:14" x14ac:dyDescent="0.25">
      <c r="A486" t="str">
        <f>"13:58:28.516"</f>
        <v>13:58:28.516</v>
      </c>
      <c r="B486">
        <v>39.235481999999998</v>
      </c>
      <c r="C486">
        <v>-77.365959000000004</v>
      </c>
      <c r="D486">
        <v>8100</v>
      </c>
      <c r="E486">
        <v>8425</v>
      </c>
      <c r="F486">
        <v>134</v>
      </c>
      <c r="G486">
        <v>45</v>
      </c>
      <c r="H486">
        <v>896</v>
      </c>
      <c r="J486" s="1">
        <f t="shared" si="35"/>
        <v>17956</v>
      </c>
      <c r="K486" s="1">
        <f t="shared" si="36"/>
        <v>2025</v>
      </c>
      <c r="L486" s="1">
        <f t="shared" si="37"/>
        <v>19981</v>
      </c>
      <c r="M486" s="1">
        <f t="shared" si="38"/>
        <v>141.35416513141735</v>
      </c>
      <c r="N486" s="7">
        <f t="shared" si="39"/>
        <v>141.35416513141735</v>
      </c>
    </row>
    <row r="487" spans="1:14" x14ac:dyDescent="0.25">
      <c r="A487" t="str">
        <f>"13:58:29.367"</f>
        <v>13:58:29.367</v>
      </c>
      <c r="B487">
        <v>39.235675000000001</v>
      </c>
      <c r="C487">
        <v>-77.365228999999999</v>
      </c>
      <c r="D487">
        <v>8100</v>
      </c>
      <c r="E487">
        <v>8450</v>
      </c>
      <c r="F487">
        <v>135</v>
      </c>
      <c r="G487">
        <v>45</v>
      </c>
      <c r="H487">
        <v>832</v>
      </c>
      <c r="J487" s="1">
        <f t="shared" si="35"/>
        <v>18225</v>
      </c>
      <c r="K487" s="1">
        <f t="shared" si="36"/>
        <v>2025</v>
      </c>
      <c r="L487" s="1">
        <f t="shared" si="37"/>
        <v>20250</v>
      </c>
      <c r="M487" s="1">
        <f t="shared" si="38"/>
        <v>142.30249470757707</v>
      </c>
      <c r="N487" s="7">
        <f t="shared" si="39"/>
        <v>142.30249470757707</v>
      </c>
    </row>
    <row r="488" spans="1:14" x14ac:dyDescent="0.25">
      <c r="A488" t="str">
        <f>"13:58:30.430"</f>
        <v>13:58:30.430</v>
      </c>
      <c r="B488">
        <v>39.235911000000002</v>
      </c>
      <c r="C488">
        <v>-77.364435</v>
      </c>
      <c r="D488">
        <v>8100</v>
      </c>
      <c r="E488">
        <v>8450</v>
      </c>
      <c r="F488">
        <v>135</v>
      </c>
      <c r="G488">
        <v>45</v>
      </c>
      <c r="H488">
        <v>768</v>
      </c>
      <c r="J488" s="1">
        <f t="shared" si="35"/>
        <v>18225</v>
      </c>
      <c r="K488" s="1">
        <f t="shared" si="36"/>
        <v>2025</v>
      </c>
      <c r="L488" s="1">
        <f t="shared" si="37"/>
        <v>20250</v>
      </c>
      <c r="M488" s="1">
        <f t="shared" si="38"/>
        <v>142.30249470757707</v>
      </c>
      <c r="N488" s="7">
        <f t="shared" si="39"/>
        <v>142.30249470757707</v>
      </c>
    </row>
    <row r="489" spans="1:14" x14ac:dyDescent="0.25">
      <c r="A489" t="str">
        <f>"13:58:31.438"</f>
        <v>13:58:31.438</v>
      </c>
      <c r="B489">
        <v>39.236083000000001</v>
      </c>
      <c r="C489">
        <v>-77.363577000000006</v>
      </c>
      <c r="D489">
        <v>8100</v>
      </c>
      <c r="E489">
        <v>8475</v>
      </c>
      <c r="F489">
        <v>135</v>
      </c>
      <c r="G489">
        <v>46</v>
      </c>
      <c r="H489">
        <v>704</v>
      </c>
      <c r="J489" s="1">
        <f t="shared" si="35"/>
        <v>18225</v>
      </c>
      <c r="K489" s="1">
        <f t="shared" si="36"/>
        <v>2116</v>
      </c>
      <c r="L489" s="1">
        <f t="shared" si="37"/>
        <v>20341</v>
      </c>
      <c r="M489" s="1">
        <f t="shared" si="38"/>
        <v>142.62187770464951</v>
      </c>
      <c r="N489" s="7">
        <f t="shared" si="39"/>
        <v>142.62187770464951</v>
      </c>
    </row>
    <row r="490" spans="1:14" x14ac:dyDescent="0.25">
      <c r="A490" t="str">
        <f>"13:58:32.398"</f>
        <v>13:58:32.398</v>
      </c>
      <c r="B490">
        <v>39.236319000000002</v>
      </c>
      <c r="C490">
        <v>-77.362782999999993</v>
      </c>
      <c r="D490">
        <v>8100</v>
      </c>
      <c r="E490">
        <v>8475</v>
      </c>
      <c r="F490">
        <v>136</v>
      </c>
      <c r="G490">
        <v>46</v>
      </c>
      <c r="H490">
        <v>640</v>
      </c>
      <c r="J490" s="1">
        <f t="shared" si="35"/>
        <v>18496</v>
      </c>
      <c r="K490" s="1">
        <f t="shared" si="36"/>
        <v>2116</v>
      </c>
      <c r="L490" s="1">
        <f t="shared" si="37"/>
        <v>20612</v>
      </c>
      <c r="M490" s="1">
        <f t="shared" si="38"/>
        <v>143.5687988387449</v>
      </c>
      <c r="N490" s="7">
        <f t="shared" si="39"/>
        <v>143.5687988387449</v>
      </c>
    </row>
    <row r="491" spans="1:14" x14ac:dyDescent="0.25">
      <c r="A491" t="str">
        <f>"13:58:33.359"</f>
        <v>13:58:33.359</v>
      </c>
      <c r="B491">
        <v>39.236555000000003</v>
      </c>
      <c r="C491">
        <v>-77.361988999999994</v>
      </c>
      <c r="D491">
        <v>8200</v>
      </c>
      <c r="E491">
        <v>8500</v>
      </c>
      <c r="F491">
        <v>136</v>
      </c>
      <c r="G491">
        <v>47</v>
      </c>
      <c r="H491">
        <v>640</v>
      </c>
      <c r="J491" s="1">
        <f t="shared" si="35"/>
        <v>18496</v>
      </c>
      <c r="K491" s="1">
        <f t="shared" si="36"/>
        <v>2209</v>
      </c>
      <c r="L491" s="1">
        <f t="shared" si="37"/>
        <v>20705</v>
      </c>
      <c r="M491" s="1">
        <f t="shared" si="38"/>
        <v>143.89232085139221</v>
      </c>
      <c r="N491" s="7">
        <f t="shared" si="39"/>
        <v>143.89232085139221</v>
      </c>
    </row>
    <row r="492" spans="1:14" x14ac:dyDescent="0.25">
      <c r="A492" t="str">
        <f>"13:58:34.422"</f>
        <v>13:58:34.422</v>
      </c>
      <c r="B492">
        <v>39.236747999999999</v>
      </c>
      <c r="C492">
        <v>-77.361216999999996</v>
      </c>
      <c r="D492">
        <v>8200</v>
      </c>
      <c r="E492">
        <v>8500</v>
      </c>
      <c r="F492">
        <v>136</v>
      </c>
      <c r="G492">
        <v>47</v>
      </c>
      <c r="H492">
        <v>640</v>
      </c>
      <c r="J492" s="1">
        <f t="shared" si="35"/>
        <v>18496</v>
      </c>
      <c r="K492" s="1">
        <f t="shared" si="36"/>
        <v>2209</v>
      </c>
      <c r="L492" s="1">
        <f t="shared" si="37"/>
        <v>20705</v>
      </c>
      <c r="M492" s="1">
        <f t="shared" si="38"/>
        <v>143.89232085139221</v>
      </c>
      <c r="N492" s="7">
        <f t="shared" si="39"/>
        <v>143.89232085139221</v>
      </c>
    </row>
    <row r="493" spans="1:14" x14ac:dyDescent="0.25">
      <c r="A493" t="str">
        <f>"13:58:35.375"</f>
        <v>13:58:35.375</v>
      </c>
      <c r="B493">
        <v>39.236963000000003</v>
      </c>
      <c r="C493">
        <v>-77.360358000000005</v>
      </c>
      <c r="D493">
        <v>8200</v>
      </c>
      <c r="E493">
        <v>8525</v>
      </c>
      <c r="F493">
        <v>136</v>
      </c>
      <c r="G493">
        <v>48</v>
      </c>
      <c r="H493">
        <v>640</v>
      </c>
      <c r="J493" s="1">
        <f t="shared" si="35"/>
        <v>18496</v>
      </c>
      <c r="K493" s="1">
        <f t="shared" si="36"/>
        <v>2304</v>
      </c>
      <c r="L493" s="1">
        <f t="shared" si="37"/>
        <v>20800</v>
      </c>
      <c r="M493" s="1">
        <f t="shared" si="38"/>
        <v>144.22205101855957</v>
      </c>
      <c r="N493" s="7">
        <f t="shared" si="39"/>
        <v>144.22205101855957</v>
      </c>
    </row>
    <row r="494" spans="1:14" x14ac:dyDescent="0.25">
      <c r="A494" t="str">
        <f>"13:58:36.336"</f>
        <v>13:58:36.336</v>
      </c>
      <c r="B494">
        <v>39.237177000000003</v>
      </c>
      <c r="C494">
        <v>-77.359628999999998</v>
      </c>
      <c r="D494">
        <v>8200</v>
      </c>
      <c r="E494">
        <v>8525</v>
      </c>
      <c r="F494">
        <v>136</v>
      </c>
      <c r="G494">
        <v>48</v>
      </c>
      <c r="H494">
        <v>640</v>
      </c>
      <c r="J494" s="1">
        <f t="shared" si="35"/>
        <v>18496</v>
      </c>
      <c r="K494" s="1">
        <f t="shared" si="36"/>
        <v>2304</v>
      </c>
      <c r="L494" s="1">
        <f t="shared" si="37"/>
        <v>20800</v>
      </c>
      <c r="M494" s="1">
        <f t="shared" si="38"/>
        <v>144.22205101855957</v>
      </c>
      <c r="N494" s="7">
        <f t="shared" si="39"/>
        <v>144.22205101855957</v>
      </c>
    </row>
    <row r="495" spans="1:14" x14ac:dyDescent="0.25">
      <c r="A495" t="str">
        <f>"13:58:37.242"</f>
        <v>13:58:37.242</v>
      </c>
      <c r="B495">
        <v>39.237392</v>
      </c>
      <c r="C495">
        <v>-77.358791999999994</v>
      </c>
      <c r="D495">
        <v>8200</v>
      </c>
      <c r="E495">
        <v>8525</v>
      </c>
      <c r="F495">
        <v>137</v>
      </c>
      <c r="G495">
        <v>49</v>
      </c>
      <c r="H495">
        <v>640</v>
      </c>
      <c r="J495" s="1">
        <f t="shared" si="35"/>
        <v>18769</v>
      </c>
      <c r="K495" s="1">
        <f t="shared" si="36"/>
        <v>2401</v>
      </c>
      <c r="L495" s="1">
        <f t="shared" si="37"/>
        <v>21170</v>
      </c>
      <c r="M495" s="1">
        <f t="shared" si="38"/>
        <v>145.49914089093448</v>
      </c>
      <c r="N495" s="7">
        <f t="shared" si="39"/>
        <v>145.49914089093448</v>
      </c>
    </row>
    <row r="496" spans="1:14" x14ac:dyDescent="0.25">
      <c r="A496" t="str">
        <f>"13:58:38.305"</f>
        <v>13:58:38.305</v>
      </c>
      <c r="B496">
        <v>39.237628000000001</v>
      </c>
      <c r="C496">
        <v>-77.358018999999999</v>
      </c>
      <c r="D496">
        <v>8200</v>
      </c>
      <c r="E496">
        <v>8550</v>
      </c>
      <c r="F496">
        <v>137</v>
      </c>
      <c r="G496">
        <v>49</v>
      </c>
      <c r="H496">
        <v>640</v>
      </c>
      <c r="J496" s="1">
        <f t="shared" si="35"/>
        <v>18769</v>
      </c>
      <c r="K496" s="1">
        <f t="shared" si="36"/>
        <v>2401</v>
      </c>
      <c r="L496" s="1">
        <f t="shared" si="37"/>
        <v>21170</v>
      </c>
      <c r="M496" s="1">
        <f t="shared" si="38"/>
        <v>145.49914089093448</v>
      </c>
      <c r="N496" s="7">
        <f t="shared" si="39"/>
        <v>145.49914089093448</v>
      </c>
    </row>
    <row r="497" spans="1:14" x14ac:dyDescent="0.25">
      <c r="A497" t="str">
        <f>"13:58:39.164"</f>
        <v>13:58:39.164</v>
      </c>
      <c r="B497">
        <v>39.237864000000002</v>
      </c>
      <c r="C497">
        <v>-77.357247000000001</v>
      </c>
      <c r="D497">
        <v>8200</v>
      </c>
      <c r="E497">
        <v>8550</v>
      </c>
      <c r="F497">
        <v>137</v>
      </c>
      <c r="G497">
        <v>49</v>
      </c>
      <c r="H497">
        <v>576</v>
      </c>
      <c r="J497" s="1">
        <f t="shared" si="35"/>
        <v>18769</v>
      </c>
      <c r="K497" s="1">
        <f t="shared" si="36"/>
        <v>2401</v>
      </c>
      <c r="L497" s="1">
        <f t="shared" si="37"/>
        <v>21170</v>
      </c>
      <c r="M497" s="1">
        <f t="shared" si="38"/>
        <v>145.49914089093448</v>
      </c>
      <c r="N497" s="7">
        <f t="shared" si="39"/>
        <v>145.49914089093448</v>
      </c>
    </row>
    <row r="498" spans="1:14" x14ac:dyDescent="0.25">
      <c r="A498" t="str">
        <f>"13:58:40.070"</f>
        <v>13:58:40.070</v>
      </c>
      <c r="B498">
        <v>39.238036000000001</v>
      </c>
      <c r="C498">
        <v>-77.356516999999997</v>
      </c>
      <c r="D498">
        <v>8200</v>
      </c>
      <c r="E498">
        <v>8575</v>
      </c>
      <c r="F498">
        <v>138</v>
      </c>
      <c r="G498">
        <v>50</v>
      </c>
      <c r="H498">
        <v>576</v>
      </c>
      <c r="J498" s="1">
        <f t="shared" si="35"/>
        <v>19044</v>
      </c>
      <c r="K498" s="1">
        <f t="shared" si="36"/>
        <v>2500</v>
      </c>
      <c r="L498" s="1">
        <f t="shared" si="37"/>
        <v>21544</v>
      </c>
      <c r="M498" s="1">
        <f t="shared" si="38"/>
        <v>146.77874505527018</v>
      </c>
      <c r="N498" s="7">
        <f t="shared" si="39"/>
        <v>146.77874505527018</v>
      </c>
    </row>
    <row r="499" spans="1:14" x14ac:dyDescent="0.25">
      <c r="A499" t="str">
        <f>"13:58:41.133"</f>
        <v>13:58:41.133</v>
      </c>
      <c r="B499">
        <v>39.238272000000002</v>
      </c>
      <c r="C499">
        <v>-77.355701999999994</v>
      </c>
      <c r="D499">
        <v>8200</v>
      </c>
      <c r="E499">
        <v>8575</v>
      </c>
      <c r="F499">
        <v>138</v>
      </c>
      <c r="G499">
        <v>50</v>
      </c>
      <c r="H499">
        <v>512</v>
      </c>
      <c r="J499" s="1">
        <f t="shared" si="35"/>
        <v>19044</v>
      </c>
      <c r="K499" s="1">
        <f t="shared" si="36"/>
        <v>2500</v>
      </c>
      <c r="L499" s="1">
        <f t="shared" si="37"/>
        <v>21544</v>
      </c>
      <c r="M499" s="1">
        <f t="shared" si="38"/>
        <v>146.77874505527018</v>
      </c>
      <c r="N499" s="7">
        <f t="shared" si="39"/>
        <v>146.77874505527018</v>
      </c>
    </row>
    <row r="500" spans="1:14" x14ac:dyDescent="0.25">
      <c r="A500" t="str">
        <f>"13:58:42.188"</f>
        <v>13:58:42.188</v>
      </c>
      <c r="B500">
        <v>39.238551000000001</v>
      </c>
      <c r="C500">
        <v>-77.354800999999995</v>
      </c>
      <c r="D500">
        <v>8300</v>
      </c>
      <c r="E500">
        <v>8575</v>
      </c>
      <c r="F500">
        <v>139</v>
      </c>
      <c r="G500">
        <v>50</v>
      </c>
      <c r="H500">
        <v>512</v>
      </c>
      <c r="J500" s="1">
        <f t="shared" si="35"/>
        <v>19321</v>
      </c>
      <c r="K500" s="1">
        <f t="shared" si="36"/>
        <v>2500</v>
      </c>
      <c r="L500" s="1">
        <f t="shared" si="37"/>
        <v>21821</v>
      </c>
      <c r="M500" s="1">
        <f t="shared" si="38"/>
        <v>147.71932845772079</v>
      </c>
      <c r="N500" s="7">
        <f t="shared" si="39"/>
        <v>147.71932845772079</v>
      </c>
    </row>
    <row r="501" spans="1:14" x14ac:dyDescent="0.25">
      <c r="A501" t="str">
        <f>"13:58:43.148"</f>
        <v>13:58:43.148</v>
      </c>
      <c r="B501">
        <v>39.238787000000002</v>
      </c>
      <c r="C501">
        <v>-77.353942000000004</v>
      </c>
      <c r="D501">
        <v>8300</v>
      </c>
      <c r="E501">
        <v>8600</v>
      </c>
      <c r="F501">
        <v>139</v>
      </c>
      <c r="G501">
        <v>51</v>
      </c>
      <c r="H501">
        <v>512</v>
      </c>
      <c r="J501" s="1">
        <f t="shared" si="35"/>
        <v>19321</v>
      </c>
      <c r="K501" s="1">
        <f t="shared" si="36"/>
        <v>2601</v>
      </c>
      <c r="L501" s="1">
        <f t="shared" si="37"/>
        <v>21922</v>
      </c>
      <c r="M501" s="1">
        <f t="shared" si="38"/>
        <v>148.06079832285116</v>
      </c>
      <c r="N501" s="7">
        <f t="shared" si="39"/>
        <v>148.06079832285116</v>
      </c>
    </row>
    <row r="502" spans="1:14" x14ac:dyDescent="0.25">
      <c r="A502" t="str">
        <f>"13:58:44.313"</f>
        <v>13:58:44.313</v>
      </c>
      <c r="B502">
        <v>39.239044</v>
      </c>
      <c r="C502">
        <v>-77.353063000000006</v>
      </c>
      <c r="D502">
        <v>8300</v>
      </c>
      <c r="E502">
        <v>8600</v>
      </c>
      <c r="F502">
        <v>140</v>
      </c>
      <c r="G502">
        <v>51</v>
      </c>
      <c r="H502">
        <v>512</v>
      </c>
      <c r="J502" s="1">
        <f t="shared" si="35"/>
        <v>19600</v>
      </c>
      <c r="K502" s="1">
        <f t="shared" si="36"/>
        <v>2601</v>
      </c>
      <c r="L502" s="1">
        <f t="shared" si="37"/>
        <v>22201</v>
      </c>
      <c r="M502" s="1">
        <f t="shared" si="38"/>
        <v>149</v>
      </c>
      <c r="N502" s="7">
        <f t="shared" si="39"/>
        <v>149</v>
      </c>
    </row>
    <row r="503" spans="1:14" x14ac:dyDescent="0.25">
      <c r="A503" t="str">
        <f>"13:58:45.367"</f>
        <v>13:58:45.367</v>
      </c>
      <c r="B503">
        <v>39.239302000000002</v>
      </c>
      <c r="C503">
        <v>-77.352118000000004</v>
      </c>
      <c r="D503">
        <v>8300</v>
      </c>
      <c r="E503">
        <v>8600</v>
      </c>
      <c r="F503">
        <v>140</v>
      </c>
      <c r="G503">
        <v>52</v>
      </c>
      <c r="H503">
        <v>512</v>
      </c>
      <c r="J503" s="1">
        <f t="shared" si="35"/>
        <v>19600</v>
      </c>
      <c r="K503" s="1">
        <f t="shared" si="36"/>
        <v>2704</v>
      </c>
      <c r="L503" s="1">
        <f t="shared" si="37"/>
        <v>22304</v>
      </c>
      <c r="M503" s="1">
        <f t="shared" si="38"/>
        <v>149.34523762075577</v>
      </c>
      <c r="N503" s="7">
        <f t="shared" si="39"/>
        <v>149.34523762075577</v>
      </c>
    </row>
    <row r="504" spans="1:14" x14ac:dyDescent="0.25">
      <c r="A504" t="str">
        <f>"13:58:46.375"</f>
        <v>13:58:46.375</v>
      </c>
      <c r="B504">
        <v>39.239538000000003</v>
      </c>
      <c r="C504">
        <v>-77.351325000000003</v>
      </c>
      <c r="D504">
        <v>8300</v>
      </c>
      <c r="E504">
        <v>8625</v>
      </c>
      <c r="F504">
        <v>140</v>
      </c>
      <c r="G504">
        <v>53</v>
      </c>
      <c r="H504">
        <v>576</v>
      </c>
      <c r="J504" s="1">
        <f t="shared" si="35"/>
        <v>19600</v>
      </c>
      <c r="K504" s="1">
        <f t="shared" si="36"/>
        <v>2809</v>
      </c>
      <c r="L504" s="1">
        <f t="shared" si="37"/>
        <v>22409</v>
      </c>
      <c r="M504" s="1">
        <f t="shared" si="38"/>
        <v>149.69635934116769</v>
      </c>
      <c r="N504" s="7">
        <f t="shared" si="39"/>
        <v>149.69635934116769</v>
      </c>
    </row>
    <row r="505" spans="1:14" x14ac:dyDescent="0.25">
      <c r="A505" t="str">
        <f>"13:58:47.391"</f>
        <v>13:58:47.391</v>
      </c>
      <c r="B505">
        <v>39.239817000000002</v>
      </c>
      <c r="C505">
        <v>-77.350465999999997</v>
      </c>
      <c r="D505">
        <v>8300</v>
      </c>
      <c r="E505">
        <v>8625</v>
      </c>
      <c r="F505">
        <v>140</v>
      </c>
      <c r="G505">
        <v>55</v>
      </c>
      <c r="H505">
        <v>640</v>
      </c>
      <c r="J505" s="1">
        <f t="shared" si="35"/>
        <v>19600</v>
      </c>
      <c r="K505" s="1">
        <f t="shared" si="36"/>
        <v>3025</v>
      </c>
      <c r="L505" s="1">
        <f t="shared" si="37"/>
        <v>22625</v>
      </c>
      <c r="M505" s="1">
        <f t="shared" si="38"/>
        <v>150.41608956491322</v>
      </c>
      <c r="N505" s="7">
        <f t="shared" si="39"/>
        <v>150.41608956491322</v>
      </c>
    </row>
    <row r="506" spans="1:14" x14ac:dyDescent="0.25">
      <c r="A506" t="str">
        <f>"13:58:48.250"</f>
        <v>13:58:48.250</v>
      </c>
      <c r="B506">
        <v>39.239987999999997</v>
      </c>
      <c r="C506">
        <v>-77.349800999999999</v>
      </c>
      <c r="D506">
        <v>8300</v>
      </c>
      <c r="E506">
        <v>8650</v>
      </c>
      <c r="F506">
        <v>139</v>
      </c>
      <c r="G506">
        <v>57</v>
      </c>
      <c r="H506">
        <v>704</v>
      </c>
      <c r="J506" s="1">
        <f t="shared" si="35"/>
        <v>19321</v>
      </c>
      <c r="K506" s="1">
        <f t="shared" si="36"/>
        <v>3249</v>
      </c>
      <c r="L506" s="1">
        <f t="shared" si="37"/>
        <v>22570</v>
      </c>
      <c r="M506" s="1">
        <f t="shared" si="38"/>
        <v>150.23315213360866</v>
      </c>
      <c r="N506" s="7">
        <f t="shared" si="39"/>
        <v>150.23315213360866</v>
      </c>
    </row>
    <row r="507" spans="1:14" x14ac:dyDescent="0.25">
      <c r="A507" t="str">
        <f>"13:58:49.203"</f>
        <v>13:58:49.203</v>
      </c>
      <c r="B507">
        <v>39.240267000000003</v>
      </c>
      <c r="C507">
        <v>-77.349007</v>
      </c>
      <c r="D507">
        <v>8300</v>
      </c>
      <c r="E507">
        <v>8650</v>
      </c>
      <c r="F507">
        <v>138</v>
      </c>
      <c r="G507">
        <v>59</v>
      </c>
      <c r="H507">
        <v>768</v>
      </c>
      <c r="J507" s="1">
        <f t="shared" si="35"/>
        <v>19044</v>
      </c>
      <c r="K507" s="1">
        <f t="shared" si="36"/>
        <v>3481</v>
      </c>
      <c r="L507" s="1">
        <f t="shared" si="37"/>
        <v>22525</v>
      </c>
      <c r="M507" s="1">
        <f t="shared" si="38"/>
        <v>150.08331019803634</v>
      </c>
      <c r="N507" s="7">
        <f t="shared" si="39"/>
        <v>150.08331019803634</v>
      </c>
    </row>
    <row r="508" spans="1:14" x14ac:dyDescent="0.25">
      <c r="A508" t="str">
        <f>"13:58:50.266"</f>
        <v>13:58:50.266</v>
      </c>
      <c r="B508">
        <v>39.240611000000001</v>
      </c>
      <c r="C508">
        <v>-77.348042000000007</v>
      </c>
      <c r="D508">
        <v>8300</v>
      </c>
      <c r="E508">
        <v>8675</v>
      </c>
      <c r="F508">
        <v>137</v>
      </c>
      <c r="G508">
        <v>62</v>
      </c>
      <c r="H508">
        <v>768</v>
      </c>
      <c r="J508" s="1">
        <f t="shared" si="35"/>
        <v>18769</v>
      </c>
      <c r="K508" s="1">
        <f t="shared" si="36"/>
        <v>3844</v>
      </c>
      <c r="L508" s="1">
        <f t="shared" si="37"/>
        <v>22613</v>
      </c>
      <c r="M508" s="1">
        <f t="shared" si="38"/>
        <v>150.37619492459569</v>
      </c>
      <c r="N508" s="7">
        <f t="shared" si="39"/>
        <v>150.37619492459569</v>
      </c>
    </row>
    <row r="509" spans="1:14" x14ac:dyDescent="0.25">
      <c r="A509" t="str">
        <f>"13:58:51.172"</f>
        <v>13:58:51.172</v>
      </c>
      <c r="B509">
        <v>39.24089</v>
      </c>
      <c r="C509">
        <v>-77.347354999999993</v>
      </c>
      <c r="D509">
        <v>8300</v>
      </c>
      <c r="E509">
        <v>8675</v>
      </c>
      <c r="F509">
        <v>137</v>
      </c>
      <c r="G509">
        <v>63</v>
      </c>
      <c r="H509">
        <v>768</v>
      </c>
      <c r="J509" s="1">
        <f t="shared" si="35"/>
        <v>18769</v>
      </c>
      <c r="K509" s="1">
        <f t="shared" si="36"/>
        <v>3969</v>
      </c>
      <c r="L509" s="1">
        <f t="shared" si="37"/>
        <v>22738</v>
      </c>
      <c r="M509" s="1">
        <f t="shared" si="38"/>
        <v>150.79124643028851</v>
      </c>
      <c r="N509" s="7">
        <f t="shared" si="39"/>
        <v>150.79124643028851</v>
      </c>
    </row>
    <row r="510" spans="1:14" x14ac:dyDescent="0.25">
      <c r="A510" t="str">
        <f>"13:58:52.086"</f>
        <v>13:58:52.086</v>
      </c>
      <c r="B510">
        <v>39.241146999999998</v>
      </c>
      <c r="C510">
        <v>-77.346625000000003</v>
      </c>
      <c r="D510">
        <v>8300</v>
      </c>
      <c r="E510">
        <v>8700</v>
      </c>
      <c r="F510">
        <v>136</v>
      </c>
      <c r="G510">
        <v>65</v>
      </c>
      <c r="H510">
        <v>832</v>
      </c>
      <c r="J510" s="1">
        <f t="shared" si="35"/>
        <v>18496</v>
      </c>
      <c r="K510" s="1">
        <f t="shared" si="36"/>
        <v>4225</v>
      </c>
      <c r="L510" s="1">
        <f t="shared" si="37"/>
        <v>22721</v>
      </c>
      <c r="M510" s="1">
        <f t="shared" si="38"/>
        <v>150.73486657041229</v>
      </c>
      <c r="N510" s="7">
        <f t="shared" si="39"/>
        <v>150.73486657041229</v>
      </c>
    </row>
    <row r="511" spans="1:14" x14ac:dyDescent="0.25">
      <c r="A511" t="str">
        <f>"13:58:52.992"</f>
        <v>13:58:52.992</v>
      </c>
      <c r="B511">
        <v>39.241405</v>
      </c>
      <c r="C511">
        <v>-77.345895999999996</v>
      </c>
      <c r="D511">
        <v>8300</v>
      </c>
      <c r="E511">
        <v>8700</v>
      </c>
      <c r="F511">
        <v>136</v>
      </c>
      <c r="G511">
        <v>65</v>
      </c>
      <c r="H511">
        <v>832</v>
      </c>
      <c r="J511" s="1">
        <f t="shared" si="35"/>
        <v>18496</v>
      </c>
      <c r="K511" s="1">
        <f t="shared" si="36"/>
        <v>4225</v>
      </c>
      <c r="L511" s="1">
        <f t="shared" si="37"/>
        <v>22721</v>
      </c>
      <c r="M511" s="1">
        <f t="shared" si="38"/>
        <v>150.73486657041229</v>
      </c>
      <c r="N511" s="7">
        <f t="shared" si="39"/>
        <v>150.73486657041229</v>
      </c>
    </row>
    <row r="512" spans="1:14" x14ac:dyDescent="0.25">
      <c r="A512" t="str">
        <f>"13:58:54.055"</f>
        <v>13:58:54.055</v>
      </c>
      <c r="B512">
        <v>39.241748000000001</v>
      </c>
      <c r="C512">
        <v>-77.344994999999997</v>
      </c>
      <c r="D512">
        <v>8400</v>
      </c>
      <c r="E512">
        <v>8725</v>
      </c>
      <c r="F512">
        <v>137</v>
      </c>
      <c r="G512">
        <v>64</v>
      </c>
      <c r="H512">
        <v>832</v>
      </c>
      <c r="J512" s="1">
        <f t="shared" si="35"/>
        <v>18769</v>
      </c>
      <c r="K512" s="1">
        <f t="shared" si="36"/>
        <v>4096</v>
      </c>
      <c r="L512" s="1">
        <f t="shared" si="37"/>
        <v>22865</v>
      </c>
      <c r="M512" s="1">
        <f t="shared" si="38"/>
        <v>151.21177202850313</v>
      </c>
      <c r="N512" s="7">
        <f t="shared" si="39"/>
        <v>151.21177202850313</v>
      </c>
    </row>
    <row r="513" spans="1:14" x14ac:dyDescent="0.25">
      <c r="A513" t="str">
        <f>"13:58:55.109"</f>
        <v>13:58:55.109</v>
      </c>
      <c r="B513">
        <v>39.242027</v>
      </c>
      <c r="C513">
        <v>-77.344157999999993</v>
      </c>
      <c r="D513">
        <v>8400</v>
      </c>
      <c r="E513">
        <v>8725</v>
      </c>
      <c r="F513">
        <v>137</v>
      </c>
      <c r="G513">
        <v>63</v>
      </c>
      <c r="H513">
        <v>896</v>
      </c>
      <c r="J513" s="1">
        <f t="shared" si="35"/>
        <v>18769</v>
      </c>
      <c r="K513" s="1">
        <f t="shared" si="36"/>
        <v>3969</v>
      </c>
      <c r="L513" s="1">
        <f t="shared" si="37"/>
        <v>22738</v>
      </c>
      <c r="M513" s="1">
        <f t="shared" si="38"/>
        <v>150.79124643028851</v>
      </c>
      <c r="N513" s="7">
        <f t="shared" si="39"/>
        <v>150.79124643028851</v>
      </c>
    </row>
    <row r="514" spans="1:14" x14ac:dyDescent="0.25">
      <c r="A514" t="str">
        <f>"13:58:56.125"</f>
        <v>13:58:56.125</v>
      </c>
      <c r="B514">
        <v>39.242283999999998</v>
      </c>
      <c r="C514">
        <v>-77.343342000000007</v>
      </c>
      <c r="D514">
        <v>8400</v>
      </c>
      <c r="E514">
        <v>8750</v>
      </c>
      <c r="F514">
        <v>137</v>
      </c>
      <c r="G514">
        <v>62</v>
      </c>
      <c r="H514">
        <v>896</v>
      </c>
      <c r="J514" s="1">
        <f t="shared" si="35"/>
        <v>18769</v>
      </c>
      <c r="K514" s="1">
        <f t="shared" si="36"/>
        <v>3844</v>
      </c>
      <c r="L514" s="1">
        <f t="shared" si="37"/>
        <v>22613</v>
      </c>
      <c r="M514" s="1">
        <f t="shared" si="38"/>
        <v>150.37619492459569</v>
      </c>
      <c r="N514" s="7">
        <f t="shared" si="39"/>
        <v>150.37619492459569</v>
      </c>
    </row>
    <row r="515" spans="1:14" x14ac:dyDescent="0.25">
      <c r="A515" t="str">
        <f>"13:58:57.133"</f>
        <v>13:58:57.133</v>
      </c>
      <c r="B515">
        <v>39.242606000000002</v>
      </c>
      <c r="C515">
        <v>-77.342547999999994</v>
      </c>
      <c r="D515">
        <v>8400</v>
      </c>
      <c r="E515">
        <v>8750</v>
      </c>
      <c r="F515">
        <v>138</v>
      </c>
      <c r="G515">
        <v>62</v>
      </c>
      <c r="H515">
        <v>832</v>
      </c>
      <c r="J515" s="1">
        <f t="shared" ref="J515:J578" si="40">F515^2</f>
        <v>19044</v>
      </c>
      <c r="K515" s="1">
        <f t="shared" ref="K515:K578" si="41">G515^2</f>
        <v>3844</v>
      </c>
      <c r="L515" s="1">
        <f t="shared" ref="L515:L578" si="42">SUMSQ(F515,G515)</f>
        <v>22888</v>
      </c>
      <c r="M515" s="1">
        <f t="shared" ref="M515:M578" si="43">SQRT(L515)</f>
        <v>151.28780519261954</v>
      </c>
      <c r="N515" s="7">
        <f t="shared" ref="N515:N578" si="44">M515</f>
        <v>151.28780519261954</v>
      </c>
    </row>
    <row r="516" spans="1:14" x14ac:dyDescent="0.25">
      <c r="A516" t="str">
        <f>"13:58:58.141"</f>
        <v>13:58:58.141</v>
      </c>
      <c r="B516">
        <v>39.242885000000001</v>
      </c>
      <c r="C516">
        <v>-77.341712000000001</v>
      </c>
      <c r="D516">
        <v>8400</v>
      </c>
      <c r="E516">
        <v>8775</v>
      </c>
      <c r="F516">
        <v>138</v>
      </c>
      <c r="G516">
        <v>61</v>
      </c>
      <c r="H516">
        <v>832</v>
      </c>
      <c r="J516" s="1">
        <f t="shared" si="40"/>
        <v>19044</v>
      </c>
      <c r="K516" s="1">
        <f t="shared" si="41"/>
        <v>3721</v>
      </c>
      <c r="L516" s="1">
        <f t="shared" si="42"/>
        <v>22765</v>
      </c>
      <c r="M516" s="1">
        <f t="shared" si="43"/>
        <v>150.88074761214565</v>
      </c>
      <c r="N516" s="7">
        <f t="shared" si="44"/>
        <v>150.88074761214565</v>
      </c>
    </row>
    <row r="517" spans="1:14" x14ac:dyDescent="0.25">
      <c r="A517" t="str">
        <f>"13:58:59.047"</f>
        <v>13:58:59.047</v>
      </c>
      <c r="B517">
        <v>39.243121000000002</v>
      </c>
      <c r="C517">
        <v>-77.340939000000006</v>
      </c>
      <c r="D517">
        <v>8500</v>
      </c>
      <c r="E517">
        <v>8775</v>
      </c>
      <c r="F517">
        <v>138</v>
      </c>
      <c r="G517">
        <v>60</v>
      </c>
      <c r="H517">
        <v>896</v>
      </c>
      <c r="J517" s="1">
        <f t="shared" si="40"/>
        <v>19044</v>
      </c>
      <c r="K517" s="1">
        <f t="shared" si="41"/>
        <v>3600</v>
      </c>
      <c r="L517" s="1">
        <f t="shared" si="42"/>
        <v>22644</v>
      </c>
      <c r="M517" s="1">
        <f t="shared" si="43"/>
        <v>150.47923444781344</v>
      </c>
      <c r="N517" s="7">
        <f t="shared" si="44"/>
        <v>150.47923444781344</v>
      </c>
    </row>
    <row r="518" spans="1:14" x14ac:dyDescent="0.25">
      <c r="A518" t="str">
        <f>"13:59:00.211"</f>
        <v>13:59:00.211</v>
      </c>
      <c r="B518">
        <v>39.243442999999999</v>
      </c>
      <c r="C518">
        <v>-77.339973000000001</v>
      </c>
      <c r="D518">
        <v>8500</v>
      </c>
      <c r="E518">
        <v>8800</v>
      </c>
      <c r="F518">
        <v>138</v>
      </c>
      <c r="G518">
        <v>59</v>
      </c>
      <c r="H518">
        <v>960</v>
      </c>
      <c r="J518" s="1">
        <f t="shared" si="40"/>
        <v>19044</v>
      </c>
      <c r="K518" s="1">
        <f t="shared" si="41"/>
        <v>3481</v>
      </c>
      <c r="L518" s="1">
        <f t="shared" si="42"/>
        <v>22525</v>
      </c>
      <c r="M518" s="1">
        <f t="shared" si="43"/>
        <v>150.08331019803634</v>
      </c>
      <c r="N518" s="7">
        <f t="shared" si="44"/>
        <v>150.08331019803634</v>
      </c>
    </row>
    <row r="519" spans="1:14" x14ac:dyDescent="0.25">
      <c r="A519" t="str">
        <f>"13:59:01.219"</f>
        <v>13:59:01.219</v>
      </c>
      <c r="B519">
        <v>39.243721999999998</v>
      </c>
      <c r="C519">
        <v>-77.339179999999999</v>
      </c>
      <c r="D519">
        <v>8500</v>
      </c>
      <c r="E519">
        <v>8825</v>
      </c>
      <c r="F519">
        <v>138</v>
      </c>
      <c r="G519">
        <v>59</v>
      </c>
      <c r="H519">
        <v>1024</v>
      </c>
      <c r="J519" s="1">
        <f t="shared" si="40"/>
        <v>19044</v>
      </c>
      <c r="K519" s="1">
        <f t="shared" si="41"/>
        <v>3481</v>
      </c>
      <c r="L519" s="1">
        <f t="shared" si="42"/>
        <v>22525</v>
      </c>
      <c r="M519" s="1">
        <f t="shared" si="43"/>
        <v>150.08331019803634</v>
      </c>
      <c r="N519" s="7">
        <f t="shared" si="44"/>
        <v>150.08331019803634</v>
      </c>
    </row>
    <row r="520" spans="1:14" x14ac:dyDescent="0.25">
      <c r="A520" t="str">
        <f>"13:59:02.180"</f>
        <v>13:59:02.180</v>
      </c>
      <c r="B520">
        <v>39.244000999999997</v>
      </c>
      <c r="C520">
        <v>-77.338320999999993</v>
      </c>
      <c r="D520">
        <v>8500</v>
      </c>
      <c r="E520">
        <v>8825</v>
      </c>
      <c r="F520">
        <v>138</v>
      </c>
      <c r="G520">
        <v>59</v>
      </c>
      <c r="H520">
        <v>1024</v>
      </c>
      <c r="J520" s="1">
        <f t="shared" si="40"/>
        <v>19044</v>
      </c>
      <c r="K520" s="1">
        <f t="shared" si="41"/>
        <v>3481</v>
      </c>
      <c r="L520" s="1">
        <f t="shared" si="42"/>
        <v>22525</v>
      </c>
      <c r="M520" s="1">
        <f t="shared" si="43"/>
        <v>150.08331019803634</v>
      </c>
      <c r="N520" s="7">
        <f t="shared" si="44"/>
        <v>150.08331019803634</v>
      </c>
    </row>
    <row r="521" spans="1:14" x14ac:dyDescent="0.25">
      <c r="A521" t="str">
        <f>"13:59:03.031"</f>
        <v>13:59:03.031</v>
      </c>
      <c r="B521">
        <v>39.244258000000002</v>
      </c>
      <c r="C521">
        <v>-77.337592000000001</v>
      </c>
      <c r="D521">
        <v>8500</v>
      </c>
      <c r="E521">
        <v>8850</v>
      </c>
      <c r="F521">
        <v>138</v>
      </c>
      <c r="G521">
        <v>59</v>
      </c>
      <c r="H521">
        <v>1088</v>
      </c>
      <c r="J521" s="1">
        <f t="shared" si="40"/>
        <v>19044</v>
      </c>
      <c r="K521" s="1">
        <f t="shared" si="41"/>
        <v>3481</v>
      </c>
      <c r="L521" s="1">
        <f t="shared" si="42"/>
        <v>22525</v>
      </c>
      <c r="M521" s="1">
        <f t="shared" si="43"/>
        <v>150.08331019803634</v>
      </c>
      <c r="N521" s="7">
        <f t="shared" si="44"/>
        <v>150.08331019803634</v>
      </c>
    </row>
    <row r="522" spans="1:14" x14ac:dyDescent="0.25">
      <c r="A522" t="str">
        <f>"13:59:04.195"</f>
        <v>13:59:04.195</v>
      </c>
      <c r="B522">
        <v>39.244559000000002</v>
      </c>
      <c r="C522">
        <v>-77.336669000000001</v>
      </c>
      <c r="D522">
        <v>8500</v>
      </c>
      <c r="E522">
        <v>8875</v>
      </c>
      <c r="F522">
        <v>138</v>
      </c>
      <c r="G522">
        <v>59</v>
      </c>
      <c r="H522">
        <v>1088</v>
      </c>
      <c r="J522" s="1">
        <f t="shared" si="40"/>
        <v>19044</v>
      </c>
      <c r="K522" s="1">
        <f t="shared" si="41"/>
        <v>3481</v>
      </c>
      <c r="L522" s="1">
        <f t="shared" si="42"/>
        <v>22525</v>
      </c>
      <c r="M522" s="1">
        <f t="shared" si="43"/>
        <v>150.08331019803634</v>
      </c>
      <c r="N522" s="7">
        <f t="shared" si="44"/>
        <v>150.08331019803634</v>
      </c>
    </row>
    <row r="523" spans="1:14" x14ac:dyDescent="0.25">
      <c r="A523" t="str">
        <f>"13:59:05.102"</f>
        <v>13:59:05.102</v>
      </c>
      <c r="B523">
        <v>39.244816</v>
      </c>
      <c r="C523">
        <v>-77.335918000000007</v>
      </c>
      <c r="D523">
        <v>8500</v>
      </c>
      <c r="E523">
        <v>8900</v>
      </c>
      <c r="F523">
        <v>137</v>
      </c>
      <c r="G523">
        <v>59</v>
      </c>
      <c r="H523">
        <v>1088</v>
      </c>
      <c r="J523" s="1">
        <f t="shared" si="40"/>
        <v>18769</v>
      </c>
      <c r="K523" s="1">
        <f t="shared" si="41"/>
        <v>3481</v>
      </c>
      <c r="L523" s="1">
        <f t="shared" si="42"/>
        <v>22250</v>
      </c>
      <c r="M523" s="1">
        <f t="shared" si="43"/>
        <v>149.16433890176299</v>
      </c>
      <c r="N523" s="7">
        <f t="shared" si="44"/>
        <v>149.16433890176299</v>
      </c>
    </row>
    <row r="524" spans="1:14" x14ac:dyDescent="0.25">
      <c r="A524" t="str">
        <f>"13:59:06.109"</f>
        <v>13:59:06.109</v>
      </c>
      <c r="B524">
        <v>39.245030999999997</v>
      </c>
      <c r="C524">
        <v>-77.335144999999997</v>
      </c>
      <c r="D524">
        <v>8500</v>
      </c>
      <c r="E524">
        <v>8900</v>
      </c>
      <c r="F524">
        <v>137</v>
      </c>
      <c r="G524">
        <v>58</v>
      </c>
      <c r="H524">
        <v>1088</v>
      </c>
      <c r="J524" s="1">
        <f t="shared" si="40"/>
        <v>18769</v>
      </c>
      <c r="K524" s="1">
        <f t="shared" si="41"/>
        <v>3364</v>
      </c>
      <c r="L524" s="1">
        <f t="shared" si="42"/>
        <v>22133</v>
      </c>
      <c r="M524" s="1">
        <f t="shared" si="43"/>
        <v>148.77163708180402</v>
      </c>
      <c r="N524" s="7">
        <f t="shared" si="44"/>
        <v>148.77163708180402</v>
      </c>
    </row>
    <row r="525" spans="1:14" x14ac:dyDescent="0.25">
      <c r="A525" t="str">
        <f>"13:59:07.070"</f>
        <v>13:59:07.070</v>
      </c>
      <c r="B525">
        <v>39.245310000000003</v>
      </c>
      <c r="C525">
        <v>-77.334309000000005</v>
      </c>
      <c r="D525">
        <v>8600</v>
      </c>
      <c r="E525">
        <v>8925</v>
      </c>
      <c r="F525">
        <v>137</v>
      </c>
      <c r="G525">
        <v>58</v>
      </c>
      <c r="H525">
        <v>1024</v>
      </c>
      <c r="J525" s="1">
        <f t="shared" si="40"/>
        <v>18769</v>
      </c>
      <c r="K525" s="1">
        <f t="shared" si="41"/>
        <v>3364</v>
      </c>
      <c r="L525" s="1">
        <f t="shared" si="42"/>
        <v>22133</v>
      </c>
      <c r="M525" s="1">
        <f t="shared" si="43"/>
        <v>148.77163708180402</v>
      </c>
      <c r="N525" s="7">
        <f t="shared" si="44"/>
        <v>148.77163708180402</v>
      </c>
    </row>
    <row r="526" spans="1:14" x14ac:dyDescent="0.25">
      <c r="A526" t="str">
        <f>"13:59:07.930"</f>
        <v>13:59:07.930</v>
      </c>
      <c r="B526">
        <v>39.245545999999997</v>
      </c>
      <c r="C526">
        <v>-77.333664999999996</v>
      </c>
      <c r="D526">
        <v>8600</v>
      </c>
      <c r="E526">
        <v>8950</v>
      </c>
      <c r="F526">
        <v>137</v>
      </c>
      <c r="G526">
        <v>57</v>
      </c>
      <c r="H526">
        <v>1024</v>
      </c>
      <c r="J526" s="1">
        <f t="shared" si="40"/>
        <v>18769</v>
      </c>
      <c r="K526" s="1">
        <f t="shared" si="41"/>
        <v>3249</v>
      </c>
      <c r="L526" s="1">
        <f t="shared" si="42"/>
        <v>22018</v>
      </c>
      <c r="M526" s="1">
        <f t="shared" si="43"/>
        <v>148.38463532320318</v>
      </c>
      <c r="N526" s="7">
        <f t="shared" si="44"/>
        <v>148.38463532320318</v>
      </c>
    </row>
    <row r="527" spans="1:14" x14ac:dyDescent="0.25">
      <c r="A527" t="str">
        <f>"13:59:08.836"</f>
        <v>13:59:08.836</v>
      </c>
      <c r="B527">
        <v>39.245759999999997</v>
      </c>
      <c r="C527">
        <v>-77.332956999999993</v>
      </c>
      <c r="D527">
        <v>8600</v>
      </c>
      <c r="E527">
        <v>8950</v>
      </c>
      <c r="F527">
        <v>138</v>
      </c>
      <c r="G527">
        <v>57</v>
      </c>
      <c r="H527">
        <v>1024</v>
      </c>
      <c r="J527" s="1">
        <f t="shared" si="40"/>
        <v>19044</v>
      </c>
      <c r="K527" s="1">
        <f t="shared" si="41"/>
        <v>3249</v>
      </c>
      <c r="L527" s="1">
        <f t="shared" si="42"/>
        <v>22293</v>
      </c>
      <c r="M527" s="1">
        <f t="shared" si="43"/>
        <v>149.30840565755165</v>
      </c>
      <c r="N527" s="7">
        <f t="shared" si="44"/>
        <v>149.30840565755165</v>
      </c>
    </row>
    <row r="528" spans="1:14" x14ac:dyDescent="0.25">
      <c r="A528" t="str">
        <f>"13:59:09.695"</f>
        <v>13:59:09.695</v>
      </c>
      <c r="B528">
        <v>39.245995999999998</v>
      </c>
      <c r="C528">
        <v>-77.332162999999994</v>
      </c>
      <c r="D528">
        <v>8600</v>
      </c>
      <c r="E528">
        <v>8975</v>
      </c>
      <c r="F528">
        <v>138</v>
      </c>
      <c r="G528">
        <v>57</v>
      </c>
      <c r="H528">
        <v>960</v>
      </c>
      <c r="J528" s="1">
        <f t="shared" si="40"/>
        <v>19044</v>
      </c>
      <c r="K528" s="1">
        <f t="shared" si="41"/>
        <v>3249</v>
      </c>
      <c r="L528" s="1">
        <f t="shared" si="42"/>
        <v>22293</v>
      </c>
      <c r="M528" s="1">
        <f t="shared" si="43"/>
        <v>149.30840565755165</v>
      </c>
      <c r="N528" s="7">
        <f t="shared" si="44"/>
        <v>149.30840565755165</v>
      </c>
    </row>
    <row r="529" spans="1:14" x14ac:dyDescent="0.25">
      <c r="A529" t="str">
        <f>"13:59:10.703"</f>
        <v>13:59:10.703</v>
      </c>
      <c r="B529">
        <v>39.246274999999997</v>
      </c>
      <c r="C529">
        <v>-77.331389999999999</v>
      </c>
      <c r="D529">
        <v>8600</v>
      </c>
      <c r="E529">
        <v>8975</v>
      </c>
      <c r="F529">
        <v>138</v>
      </c>
      <c r="G529">
        <v>57</v>
      </c>
      <c r="H529">
        <v>832</v>
      </c>
      <c r="J529" s="1">
        <f t="shared" si="40"/>
        <v>19044</v>
      </c>
      <c r="K529" s="1">
        <f t="shared" si="41"/>
        <v>3249</v>
      </c>
      <c r="L529" s="1">
        <f t="shared" si="42"/>
        <v>22293</v>
      </c>
      <c r="M529" s="1">
        <f t="shared" si="43"/>
        <v>149.30840565755165</v>
      </c>
      <c r="N529" s="7">
        <f t="shared" si="44"/>
        <v>149.30840565755165</v>
      </c>
    </row>
    <row r="530" spans="1:14" x14ac:dyDescent="0.25">
      <c r="A530" t="str">
        <f>"13:59:11.617"</f>
        <v>13:59:11.617</v>
      </c>
      <c r="B530">
        <v>39.246510999999998</v>
      </c>
      <c r="C530">
        <v>-77.330618000000001</v>
      </c>
      <c r="D530">
        <v>8600</v>
      </c>
      <c r="E530">
        <v>9000</v>
      </c>
      <c r="F530">
        <v>138</v>
      </c>
      <c r="G530">
        <v>58</v>
      </c>
      <c r="H530">
        <v>640</v>
      </c>
      <c r="J530" s="1">
        <f t="shared" si="40"/>
        <v>19044</v>
      </c>
      <c r="K530" s="1">
        <f t="shared" si="41"/>
        <v>3364</v>
      </c>
      <c r="L530" s="1">
        <f t="shared" si="42"/>
        <v>22408</v>
      </c>
      <c r="M530" s="1">
        <f t="shared" si="43"/>
        <v>149.69301920931383</v>
      </c>
      <c r="N530" s="7">
        <f t="shared" si="44"/>
        <v>149.69301920931383</v>
      </c>
    </row>
    <row r="531" spans="1:14" x14ac:dyDescent="0.25">
      <c r="A531" t="str">
        <f>"13:59:12.523"</f>
        <v>13:59:12.523</v>
      </c>
      <c r="B531">
        <v>39.246789999999997</v>
      </c>
      <c r="C531">
        <v>-77.329887999999997</v>
      </c>
      <c r="D531">
        <v>8700</v>
      </c>
      <c r="E531">
        <v>9000</v>
      </c>
      <c r="F531">
        <v>139</v>
      </c>
      <c r="G531">
        <v>58</v>
      </c>
      <c r="H531">
        <v>448</v>
      </c>
      <c r="J531" s="1">
        <f t="shared" si="40"/>
        <v>19321</v>
      </c>
      <c r="K531" s="1">
        <f t="shared" si="41"/>
        <v>3364</v>
      </c>
      <c r="L531" s="1">
        <f t="shared" si="42"/>
        <v>22685</v>
      </c>
      <c r="M531" s="1">
        <f t="shared" si="43"/>
        <v>150.61540425866141</v>
      </c>
      <c r="N531" s="7">
        <f t="shared" si="44"/>
        <v>150.61540425866141</v>
      </c>
    </row>
    <row r="532" spans="1:14" x14ac:dyDescent="0.25">
      <c r="A532" t="str">
        <f>"13:59:13.633"</f>
        <v>13:59:13.633</v>
      </c>
      <c r="B532">
        <v>39.247069000000003</v>
      </c>
      <c r="C532">
        <v>-77.328986999999998</v>
      </c>
      <c r="D532">
        <v>8700</v>
      </c>
      <c r="E532">
        <v>9000</v>
      </c>
      <c r="F532">
        <v>140</v>
      </c>
      <c r="G532">
        <v>58</v>
      </c>
      <c r="H532">
        <v>192</v>
      </c>
      <c r="J532" s="1">
        <f t="shared" si="40"/>
        <v>19600</v>
      </c>
      <c r="K532" s="1">
        <f t="shared" si="41"/>
        <v>3364</v>
      </c>
      <c r="L532" s="1">
        <f t="shared" si="42"/>
        <v>22964</v>
      </c>
      <c r="M532" s="1">
        <f t="shared" si="43"/>
        <v>151.53877391611692</v>
      </c>
      <c r="N532" s="7">
        <f t="shared" si="44"/>
        <v>151.53877391611692</v>
      </c>
    </row>
    <row r="533" spans="1:14" x14ac:dyDescent="0.25">
      <c r="A533" t="str">
        <f>"13:59:14.641"</f>
        <v>13:59:14.641</v>
      </c>
      <c r="B533">
        <v>39.247304999999997</v>
      </c>
      <c r="C533">
        <v>-77.328129000000004</v>
      </c>
      <c r="D533">
        <v>8700</v>
      </c>
      <c r="E533">
        <v>9000</v>
      </c>
      <c r="F533">
        <v>142</v>
      </c>
      <c r="G533">
        <v>58</v>
      </c>
      <c r="H533">
        <v>-64</v>
      </c>
      <c r="J533" s="1">
        <f t="shared" si="40"/>
        <v>20164</v>
      </c>
      <c r="K533" s="1">
        <f t="shared" si="41"/>
        <v>3364</v>
      </c>
      <c r="L533" s="1">
        <f t="shared" si="42"/>
        <v>23528</v>
      </c>
      <c r="M533" s="1">
        <f t="shared" si="43"/>
        <v>153.38839591051209</v>
      </c>
      <c r="N533" s="7">
        <f t="shared" si="44"/>
        <v>153.38839591051209</v>
      </c>
    </row>
    <row r="534" spans="1:14" x14ac:dyDescent="0.25">
      <c r="A534" t="str">
        <f>"13:59:15.648"</f>
        <v>13:59:15.648</v>
      </c>
      <c r="B534">
        <v>39.247605999999998</v>
      </c>
      <c r="C534">
        <v>-77.327141999999995</v>
      </c>
      <c r="D534">
        <v>8700</v>
      </c>
      <c r="E534">
        <v>9000</v>
      </c>
      <c r="F534">
        <v>144</v>
      </c>
      <c r="G534">
        <v>58</v>
      </c>
      <c r="H534">
        <v>-320</v>
      </c>
      <c r="J534" s="1">
        <f t="shared" si="40"/>
        <v>20736</v>
      </c>
      <c r="K534" s="1">
        <f t="shared" si="41"/>
        <v>3364</v>
      </c>
      <c r="L534" s="1">
        <f t="shared" si="42"/>
        <v>24100</v>
      </c>
      <c r="M534" s="1">
        <f t="shared" si="43"/>
        <v>155.24174696260025</v>
      </c>
      <c r="N534" s="7">
        <f t="shared" si="44"/>
        <v>155.24174696260025</v>
      </c>
    </row>
    <row r="535" spans="1:14" x14ac:dyDescent="0.25">
      <c r="A535" t="str">
        <f>"13:59:16.609"</f>
        <v>13:59:16.609</v>
      </c>
      <c r="B535">
        <v>39.247863000000002</v>
      </c>
      <c r="C535">
        <v>-77.326347999999996</v>
      </c>
      <c r="D535">
        <v>8700</v>
      </c>
      <c r="E535">
        <v>9000</v>
      </c>
      <c r="F535">
        <v>146</v>
      </c>
      <c r="G535">
        <v>58</v>
      </c>
      <c r="H535">
        <v>-448</v>
      </c>
      <c r="J535" s="1">
        <f t="shared" si="40"/>
        <v>21316</v>
      </c>
      <c r="K535" s="1">
        <f t="shared" si="41"/>
        <v>3364</v>
      </c>
      <c r="L535" s="1">
        <f t="shared" si="42"/>
        <v>24680</v>
      </c>
      <c r="M535" s="1">
        <f t="shared" si="43"/>
        <v>157.09869509324386</v>
      </c>
      <c r="N535" s="7">
        <f t="shared" si="44"/>
        <v>157.09869509324386</v>
      </c>
    </row>
    <row r="536" spans="1:14" x14ac:dyDescent="0.25">
      <c r="A536" t="str">
        <f>"13:59:17.469"</f>
        <v>13:59:17.469</v>
      </c>
      <c r="B536">
        <v>39.248099000000003</v>
      </c>
      <c r="C536">
        <v>-77.325597000000002</v>
      </c>
      <c r="D536">
        <v>8700</v>
      </c>
      <c r="E536">
        <v>9000</v>
      </c>
      <c r="F536">
        <v>148</v>
      </c>
      <c r="G536">
        <v>58</v>
      </c>
      <c r="H536">
        <v>-448</v>
      </c>
      <c r="J536" s="1">
        <f t="shared" si="40"/>
        <v>21904</v>
      </c>
      <c r="K536" s="1">
        <f t="shared" si="41"/>
        <v>3364</v>
      </c>
      <c r="L536" s="1">
        <f t="shared" si="42"/>
        <v>25268</v>
      </c>
      <c r="M536" s="1">
        <f t="shared" si="43"/>
        <v>158.95911424010893</v>
      </c>
      <c r="N536" s="7">
        <f t="shared" si="44"/>
        <v>158.95911424010893</v>
      </c>
    </row>
    <row r="537" spans="1:14" x14ac:dyDescent="0.25">
      <c r="A537" t="str">
        <f>"13:59:18.375"</f>
        <v>13:59:18.375</v>
      </c>
      <c r="B537">
        <v>39.248334999999997</v>
      </c>
      <c r="C537">
        <v>-77.324759999999998</v>
      </c>
      <c r="D537">
        <v>8700</v>
      </c>
      <c r="E537">
        <v>8975</v>
      </c>
      <c r="F537">
        <v>149</v>
      </c>
      <c r="G537">
        <v>58</v>
      </c>
      <c r="H537">
        <v>-384</v>
      </c>
      <c r="J537" s="1">
        <f t="shared" si="40"/>
        <v>22201</v>
      </c>
      <c r="K537" s="1">
        <f t="shared" si="41"/>
        <v>3364</v>
      </c>
      <c r="L537" s="1">
        <f t="shared" si="42"/>
        <v>25565</v>
      </c>
      <c r="M537" s="1">
        <f t="shared" si="43"/>
        <v>159.89058759038946</v>
      </c>
      <c r="N537" s="7">
        <f t="shared" si="44"/>
        <v>159.89058759038946</v>
      </c>
    </row>
    <row r="538" spans="1:14" x14ac:dyDescent="0.25">
      <c r="A538" t="str">
        <f>"13:59:19.391"</f>
        <v>13:59:19.391</v>
      </c>
      <c r="B538">
        <v>39.248614000000003</v>
      </c>
      <c r="C538">
        <v>-77.323922999999994</v>
      </c>
      <c r="D538">
        <v>8700</v>
      </c>
      <c r="E538">
        <v>8975</v>
      </c>
      <c r="F538">
        <v>150</v>
      </c>
      <c r="G538">
        <v>59</v>
      </c>
      <c r="H538">
        <v>-256</v>
      </c>
      <c r="J538" s="1">
        <f t="shared" si="40"/>
        <v>22500</v>
      </c>
      <c r="K538" s="1">
        <f t="shared" si="41"/>
        <v>3481</v>
      </c>
      <c r="L538" s="1">
        <f t="shared" si="42"/>
        <v>25981</v>
      </c>
      <c r="M538" s="1">
        <f t="shared" si="43"/>
        <v>161.18622769951531</v>
      </c>
      <c r="N538" s="7">
        <f t="shared" si="44"/>
        <v>161.18622769951531</v>
      </c>
    </row>
    <row r="539" spans="1:14" x14ac:dyDescent="0.25">
      <c r="A539" t="str">
        <f>"13:59:20.547"</f>
        <v>13:59:20.547</v>
      </c>
      <c r="B539">
        <v>39.248936</v>
      </c>
      <c r="C539">
        <v>-77.322806999999997</v>
      </c>
      <c r="D539">
        <v>8600</v>
      </c>
      <c r="E539">
        <v>8975</v>
      </c>
      <c r="F539">
        <v>152</v>
      </c>
      <c r="G539">
        <v>59</v>
      </c>
      <c r="H539">
        <v>-64</v>
      </c>
      <c r="J539" s="1">
        <f t="shared" si="40"/>
        <v>23104</v>
      </c>
      <c r="K539" s="1">
        <f t="shared" si="41"/>
        <v>3481</v>
      </c>
      <c r="L539" s="1">
        <f t="shared" si="42"/>
        <v>26585</v>
      </c>
      <c r="M539" s="1">
        <f t="shared" si="43"/>
        <v>163.04907236779974</v>
      </c>
      <c r="N539" s="7">
        <f t="shared" si="44"/>
        <v>163.04907236779974</v>
      </c>
    </row>
    <row r="540" spans="1:14" x14ac:dyDescent="0.25">
      <c r="A540" t="str">
        <f>"13:59:21.555"</f>
        <v>13:59:21.555</v>
      </c>
      <c r="B540">
        <v>39.249215</v>
      </c>
      <c r="C540">
        <v>-77.321905999999998</v>
      </c>
      <c r="D540">
        <v>8600</v>
      </c>
      <c r="E540">
        <v>8975</v>
      </c>
      <c r="F540">
        <v>153</v>
      </c>
      <c r="G540">
        <v>60</v>
      </c>
      <c r="H540">
        <v>0</v>
      </c>
      <c r="J540" s="1">
        <f t="shared" si="40"/>
        <v>23409</v>
      </c>
      <c r="K540" s="1">
        <f t="shared" si="41"/>
        <v>3600</v>
      </c>
      <c r="L540" s="1">
        <f t="shared" si="42"/>
        <v>27009</v>
      </c>
      <c r="M540" s="1">
        <f t="shared" si="43"/>
        <v>164.34415109762804</v>
      </c>
      <c r="N540" s="7">
        <f t="shared" si="44"/>
        <v>164.34415109762804</v>
      </c>
    </row>
    <row r="541" spans="1:14" x14ac:dyDescent="0.25">
      <c r="A541" t="str">
        <f>"13:59:22.570"</f>
        <v>13:59:22.570</v>
      </c>
      <c r="B541">
        <v>39.249493999999999</v>
      </c>
      <c r="C541">
        <v>-77.320982999999998</v>
      </c>
      <c r="D541">
        <v>8600</v>
      </c>
      <c r="E541">
        <v>8975</v>
      </c>
      <c r="F541">
        <v>154</v>
      </c>
      <c r="G541">
        <v>59</v>
      </c>
      <c r="H541">
        <v>64</v>
      </c>
      <c r="J541" s="1">
        <f t="shared" si="40"/>
        <v>23716</v>
      </c>
      <c r="K541" s="1">
        <f t="shared" si="41"/>
        <v>3481</v>
      </c>
      <c r="L541" s="1">
        <f t="shared" si="42"/>
        <v>27197</v>
      </c>
      <c r="M541" s="1">
        <f t="shared" si="43"/>
        <v>164.91512968797011</v>
      </c>
      <c r="N541" s="7">
        <f t="shared" si="44"/>
        <v>164.91512968797011</v>
      </c>
    </row>
    <row r="542" spans="1:14" x14ac:dyDescent="0.25">
      <c r="A542" t="str">
        <f>"13:59:23.578"</f>
        <v>13:59:23.578</v>
      </c>
      <c r="B542">
        <v>39.249772999999998</v>
      </c>
      <c r="C542">
        <v>-77.320018000000005</v>
      </c>
      <c r="D542">
        <v>8600</v>
      </c>
      <c r="E542">
        <v>8975</v>
      </c>
      <c r="F542">
        <v>156</v>
      </c>
      <c r="G542">
        <v>59</v>
      </c>
      <c r="H542">
        <v>64</v>
      </c>
      <c r="J542" s="1">
        <f t="shared" si="40"/>
        <v>24336</v>
      </c>
      <c r="K542" s="1">
        <f t="shared" si="41"/>
        <v>3481</v>
      </c>
      <c r="L542" s="1">
        <f t="shared" si="42"/>
        <v>27817</v>
      </c>
      <c r="M542" s="1">
        <f t="shared" si="43"/>
        <v>166.78429182629878</v>
      </c>
      <c r="N542" s="7">
        <f t="shared" si="44"/>
        <v>166.78429182629878</v>
      </c>
    </row>
    <row r="543" spans="1:14" x14ac:dyDescent="0.25">
      <c r="A543" t="str">
        <f>"13:59:24.633"</f>
        <v>13:59:24.633</v>
      </c>
      <c r="B543">
        <v>39.250051999999997</v>
      </c>
      <c r="C543">
        <v>-77.319095000000004</v>
      </c>
      <c r="D543">
        <v>8600</v>
      </c>
      <c r="E543">
        <v>8975</v>
      </c>
      <c r="F543">
        <v>157</v>
      </c>
      <c r="G543">
        <v>59</v>
      </c>
      <c r="H543">
        <v>128</v>
      </c>
      <c r="J543" s="1">
        <f t="shared" si="40"/>
        <v>24649</v>
      </c>
      <c r="K543" s="1">
        <f t="shared" si="41"/>
        <v>3481</v>
      </c>
      <c r="L543" s="1">
        <f t="shared" si="42"/>
        <v>28130</v>
      </c>
      <c r="M543" s="1">
        <f t="shared" si="43"/>
        <v>167.72000476985446</v>
      </c>
      <c r="N543" s="7">
        <f t="shared" si="44"/>
        <v>167.72000476985446</v>
      </c>
    </row>
    <row r="544" spans="1:14" x14ac:dyDescent="0.25">
      <c r="A544" t="str">
        <f>"13:59:25.797"</f>
        <v>13:59:25.797</v>
      </c>
      <c r="B544">
        <v>39.250374000000001</v>
      </c>
      <c r="C544">
        <v>-77.318000999999995</v>
      </c>
      <c r="D544">
        <v>8600</v>
      </c>
      <c r="E544">
        <v>8975</v>
      </c>
      <c r="F544">
        <v>158</v>
      </c>
      <c r="G544">
        <v>59</v>
      </c>
      <c r="H544">
        <v>192</v>
      </c>
      <c r="J544" s="1">
        <f t="shared" si="40"/>
        <v>24964</v>
      </c>
      <c r="K544" s="1">
        <f t="shared" si="41"/>
        <v>3481</v>
      </c>
      <c r="L544" s="1">
        <f t="shared" si="42"/>
        <v>28445</v>
      </c>
      <c r="M544" s="1">
        <f t="shared" si="43"/>
        <v>168.65645555388622</v>
      </c>
      <c r="N544" s="7">
        <f t="shared" si="44"/>
        <v>168.65645555388622</v>
      </c>
    </row>
    <row r="545" spans="1:14" x14ac:dyDescent="0.25">
      <c r="A545" t="str">
        <f>"13:59:26.703"</f>
        <v>13:59:26.703</v>
      </c>
      <c r="B545">
        <v>39.250630999999998</v>
      </c>
      <c r="C545">
        <v>-77.317121</v>
      </c>
      <c r="D545">
        <v>8600</v>
      </c>
      <c r="E545">
        <v>8975</v>
      </c>
      <c r="F545">
        <v>159</v>
      </c>
      <c r="G545">
        <v>58</v>
      </c>
      <c r="H545">
        <v>256</v>
      </c>
      <c r="J545" s="1">
        <f t="shared" si="40"/>
        <v>25281</v>
      </c>
      <c r="K545" s="1">
        <f t="shared" si="41"/>
        <v>3364</v>
      </c>
      <c r="L545" s="1">
        <f t="shared" si="42"/>
        <v>28645</v>
      </c>
      <c r="M545" s="1">
        <f t="shared" si="43"/>
        <v>169.24833824885843</v>
      </c>
      <c r="N545" s="7">
        <f t="shared" si="44"/>
        <v>169.24833824885843</v>
      </c>
    </row>
    <row r="546" spans="1:14" x14ac:dyDescent="0.25">
      <c r="A546" t="str">
        <f>"13:59:27.813"</f>
        <v>13:59:27.813</v>
      </c>
      <c r="B546">
        <v>39.250889000000001</v>
      </c>
      <c r="C546">
        <v>-77.316047999999995</v>
      </c>
      <c r="D546">
        <v>8700</v>
      </c>
      <c r="E546">
        <v>9000</v>
      </c>
      <c r="F546">
        <v>160</v>
      </c>
      <c r="G546">
        <v>58</v>
      </c>
      <c r="H546">
        <v>256</v>
      </c>
      <c r="J546" s="1">
        <f t="shared" si="40"/>
        <v>25600</v>
      </c>
      <c r="K546" s="1">
        <f t="shared" si="41"/>
        <v>3364</v>
      </c>
      <c r="L546" s="1">
        <f t="shared" si="42"/>
        <v>28964</v>
      </c>
      <c r="M546" s="1">
        <f t="shared" si="43"/>
        <v>170.18813119603846</v>
      </c>
      <c r="N546" s="7">
        <f t="shared" si="44"/>
        <v>170.18813119603846</v>
      </c>
    </row>
    <row r="547" spans="1:14" x14ac:dyDescent="0.25">
      <c r="A547" t="str">
        <f>"13:59:28.680"</f>
        <v>13:59:28.680</v>
      </c>
      <c r="B547">
        <v>39.251125000000002</v>
      </c>
      <c r="C547">
        <v>-77.315211000000005</v>
      </c>
      <c r="D547">
        <v>8700</v>
      </c>
      <c r="E547">
        <v>9000</v>
      </c>
      <c r="F547">
        <v>161</v>
      </c>
      <c r="G547">
        <v>57</v>
      </c>
      <c r="H547">
        <v>320</v>
      </c>
      <c r="J547" s="1">
        <f t="shared" si="40"/>
        <v>25921</v>
      </c>
      <c r="K547" s="1">
        <f t="shared" si="41"/>
        <v>3249</v>
      </c>
      <c r="L547" s="1">
        <f t="shared" si="42"/>
        <v>29170</v>
      </c>
      <c r="M547" s="1">
        <f t="shared" si="43"/>
        <v>170.79227148791014</v>
      </c>
      <c r="N547" s="7">
        <f t="shared" si="44"/>
        <v>170.79227148791014</v>
      </c>
    </row>
    <row r="548" spans="1:14" x14ac:dyDescent="0.25">
      <c r="A548" t="str">
        <f>"13:59:29.734"</f>
        <v>13:59:29.734</v>
      </c>
      <c r="B548">
        <v>39.251404000000001</v>
      </c>
      <c r="C548">
        <v>-77.314245999999997</v>
      </c>
      <c r="D548">
        <v>8700</v>
      </c>
      <c r="E548">
        <v>9000</v>
      </c>
      <c r="F548">
        <v>162</v>
      </c>
      <c r="G548">
        <v>56</v>
      </c>
      <c r="H548">
        <v>320</v>
      </c>
      <c r="J548" s="1">
        <f t="shared" si="40"/>
        <v>26244</v>
      </c>
      <c r="K548" s="1">
        <f t="shared" si="41"/>
        <v>3136</v>
      </c>
      <c r="L548" s="1">
        <f t="shared" si="42"/>
        <v>29380</v>
      </c>
      <c r="M548" s="1">
        <f t="shared" si="43"/>
        <v>171.40595088852663</v>
      </c>
      <c r="N548" s="7">
        <f t="shared" si="44"/>
        <v>171.40595088852663</v>
      </c>
    </row>
    <row r="549" spans="1:14" x14ac:dyDescent="0.25">
      <c r="A549" t="str">
        <f>"13:59:30.695"</f>
        <v>13:59:30.695</v>
      </c>
      <c r="B549">
        <v>39.251683</v>
      </c>
      <c r="C549">
        <v>-77.313237000000001</v>
      </c>
      <c r="D549">
        <v>8700</v>
      </c>
      <c r="E549">
        <v>9000</v>
      </c>
      <c r="F549">
        <v>163</v>
      </c>
      <c r="G549">
        <v>55</v>
      </c>
      <c r="H549">
        <v>448</v>
      </c>
      <c r="J549" s="1">
        <f t="shared" si="40"/>
        <v>26569</v>
      </c>
      <c r="K549" s="1">
        <f t="shared" si="41"/>
        <v>3025</v>
      </c>
      <c r="L549" s="1">
        <f t="shared" si="42"/>
        <v>29594</v>
      </c>
      <c r="M549" s="1">
        <f t="shared" si="43"/>
        <v>172.02906731131225</v>
      </c>
      <c r="N549" s="7">
        <f t="shared" si="44"/>
        <v>172.02906731131225</v>
      </c>
    </row>
    <row r="550" spans="1:14" x14ac:dyDescent="0.25">
      <c r="A550" t="str">
        <f>"13:59:31.648"</f>
        <v>13:59:31.648</v>
      </c>
      <c r="B550">
        <v>39.251876000000003</v>
      </c>
      <c r="C550">
        <v>-77.312379000000007</v>
      </c>
      <c r="D550">
        <v>8700</v>
      </c>
      <c r="E550">
        <v>9025</v>
      </c>
      <c r="F550">
        <v>163</v>
      </c>
      <c r="G550">
        <v>55</v>
      </c>
      <c r="H550">
        <v>512</v>
      </c>
      <c r="J550" s="1">
        <f t="shared" si="40"/>
        <v>26569</v>
      </c>
      <c r="K550" s="1">
        <f t="shared" si="41"/>
        <v>3025</v>
      </c>
      <c r="L550" s="1">
        <f t="shared" si="42"/>
        <v>29594</v>
      </c>
      <c r="M550" s="1">
        <f t="shared" si="43"/>
        <v>172.02906731131225</v>
      </c>
      <c r="N550" s="7">
        <f t="shared" si="44"/>
        <v>172.02906731131225</v>
      </c>
    </row>
    <row r="551" spans="1:14" x14ac:dyDescent="0.25">
      <c r="A551" t="str">
        <f>"13:59:32.563"</f>
        <v>13:59:32.563</v>
      </c>
      <c r="B551">
        <v>39.252155000000002</v>
      </c>
      <c r="C551">
        <v>-77.311391999999998</v>
      </c>
      <c r="D551">
        <v>8700</v>
      </c>
      <c r="E551">
        <v>9025</v>
      </c>
      <c r="F551">
        <v>163</v>
      </c>
      <c r="G551">
        <v>54</v>
      </c>
      <c r="H551">
        <v>512</v>
      </c>
      <c r="J551" s="1">
        <f t="shared" si="40"/>
        <v>26569</v>
      </c>
      <c r="K551" s="1">
        <f t="shared" si="41"/>
        <v>2916</v>
      </c>
      <c r="L551" s="1">
        <f t="shared" si="42"/>
        <v>29485</v>
      </c>
      <c r="M551" s="1">
        <f t="shared" si="43"/>
        <v>171.71196813268432</v>
      </c>
      <c r="N551" s="7">
        <f t="shared" si="44"/>
        <v>171.71196813268432</v>
      </c>
    </row>
    <row r="552" spans="1:14" x14ac:dyDescent="0.25">
      <c r="A552" t="str">
        <f>"13:59:33.523"</f>
        <v>13:59:33.523</v>
      </c>
      <c r="B552">
        <v>39.252369000000002</v>
      </c>
      <c r="C552">
        <v>-77.310554999999994</v>
      </c>
      <c r="D552">
        <v>8700</v>
      </c>
      <c r="E552">
        <v>9025</v>
      </c>
      <c r="F552">
        <v>164</v>
      </c>
      <c r="G552">
        <v>54</v>
      </c>
      <c r="H552">
        <v>320</v>
      </c>
      <c r="J552" s="1">
        <f t="shared" si="40"/>
        <v>26896</v>
      </c>
      <c r="K552" s="1">
        <f t="shared" si="41"/>
        <v>2916</v>
      </c>
      <c r="L552" s="1">
        <f t="shared" si="42"/>
        <v>29812</v>
      </c>
      <c r="M552" s="1">
        <f t="shared" si="43"/>
        <v>172.66151858477326</v>
      </c>
      <c r="N552" s="7">
        <f t="shared" si="44"/>
        <v>172.66151858477326</v>
      </c>
    </row>
    <row r="553" spans="1:14" x14ac:dyDescent="0.25">
      <c r="A553" t="str">
        <f>"13:59:34.477"</f>
        <v>13:59:34.477</v>
      </c>
      <c r="B553">
        <v>39.252648000000001</v>
      </c>
      <c r="C553">
        <v>-77.309545999999997</v>
      </c>
      <c r="D553">
        <v>8700</v>
      </c>
      <c r="E553">
        <v>9025</v>
      </c>
      <c r="F553">
        <v>165</v>
      </c>
      <c r="G553">
        <v>55</v>
      </c>
      <c r="H553">
        <v>192</v>
      </c>
      <c r="J553" s="1">
        <f t="shared" si="40"/>
        <v>27225</v>
      </c>
      <c r="K553" s="1">
        <f t="shared" si="41"/>
        <v>3025</v>
      </c>
      <c r="L553" s="1">
        <f t="shared" si="42"/>
        <v>30250</v>
      </c>
      <c r="M553" s="1">
        <f t="shared" si="43"/>
        <v>173.92527130926086</v>
      </c>
      <c r="N553" s="7">
        <f t="shared" si="44"/>
        <v>173.92527130926086</v>
      </c>
    </row>
    <row r="554" spans="1:14" x14ac:dyDescent="0.25">
      <c r="A554" t="str">
        <f>"13:59:35.539"</f>
        <v>13:59:35.539</v>
      </c>
      <c r="B554">
        <v>39.252862999999998</v>
      </c>
      <c r="C554">
        <v>-77.308581000000004</v>
      </c>
      <c r="D554">
        <v>8700</v>
      </c>
      <c r="E554">
        <v>9025</v>
      </c>
      <c r="F554">
        <v>166</v>
      </c>
      <c r="G554">
        <v>55</v>
      </c>
      <c r="H554">
        <v>64</v>
      </c>
      <c r="J554" s="1">
        <f t="shared" si="40"/>
        <v>27556</v>
      </c>
      <c r="K554" s="1">
        <f t="shared" si="41"/>
        <v>3025</v>
      </c>
      <c r="L554" s="1">
        <f t="shared" si="42"/>
        <v>30581</v>
      </c>
      <c r="M554" s="1">
        <f t="shared" si="43"/>
        <v>174.87424052730009</v>
      </c>
      <c r="N554" s="7">
        <f t="shared" si="44"/>
        <v>174.87424052730009</v>
      </c>
    </row>
    <row r="555" spans="1:14" x14ac:dyDescent="0.25">
      <c r="A555" t="str">
        <f>"13:59:36.445"</f>
        <v>13:59:36.445</v>
      </c>
      <c r="B555">
        <v>39.253141999999997</v>
      </c>
      <c r="C555">
        <v>-77.307571999999993</v>
      </c>
      <c r="D555">
        <v>8700</v>
      </c>
      <c r="E555">
        <v>9025</v>
      </c>
      <c r="F555">
        <v>166</v>
      </c>
      <c r="G555">
        <v>55</v>
      </c>
      <c r="H555">
        <v>0</v>
      </c>
      <c r="J555" s="1">
        <f t="shared" si="40"/>
        <v>27556</v>
      </c>
      <c r="K555" s="1">
        <f t="shared" si="41"/>
        <v>3025</v>
      </c>
      <c r="L555" s="1">
        <f t="shared" si="42"/>
        <v>30581</v>
      </c>
      <c r="M555" s="1">
        <f t="shared" si="43"/>
        <v>174.87424052730009</v>
      </c>
      <c r="N555" s="7">
        <f t="shared" si="44"/>
        <v>174.87424052730009</v>
      </c>
    </row>
    <row r="556" spans="1:14" x14ac:dyDescent="0.25">
      <c r="A556" t="str">
        <f>"13:59:37.555"</f>
        <v>13:59:37.555</v>
      </c>
      <c r="B556">
        <v>39.253399000000002</v>
      </c>
      <c r="C556">
        <v>-77.306456999999995</v>
      </c>
      <c r="D556">
        <v>8700</v>
      </c>
      <c r="E556">
        <v>9025</v>
      </c>
      <c r="F556">
        <v>167</v>
      </c>
      <c r="G556">
        <v>55</v>
      </c>
      <c r="H556">
        <v>0</v>
      </c>
      <c r="J556" s="1">
        <f t="shared" si="40"/>
        <v>27889</v>
      </c>
      <c r="K556" s="1">
        <f t="shared" si="41"/>
        <v>3025</v>
      </c>
      <c r="L556" s="1">
        <f t="shared" si="42"/>
        <v>30914</v>
      </c>
      <c r="M556" s="1">
        <f t="shared" si="43"/>
        <v>175.82377541163197</v>
      </c>
      <c r="N556" s="7">
        <f t="shared" si="44"/>
        <v>175.82377541163197</v>
      </c>
    </row>
    <row r="557" spans="1:14" x14ac:dyDescent="0.25">
      <c r="A557" t="str">
        <f>"13:59:38.617"</f>
        <v>13:59:38.617</v>
      </c>
      <c r="B557">
        <v>39.253678000000001</v>
      </c>
      <c r="C557">
        <v>-77.305491000000004</v>
      </c>
      <c r="D557">
        <v>8700</v>
      </c>
      <c r="E557">
        <v>9025</v>
      </c>
      <c r="F557">
        <v>168</v>
      </c>
      <c r="G557">
        <v>55</v>
      </c>
      <c r="H557">
        <v>-64</v>
      </c>
      <c r="J557" s="1">
        <f t="shared" si="40"/>
        <v>28224</v>
      </c>
      <c r="K557" s="1">
        <f t="shared" si="41"/>
        <v>3025</v>
      </c>
      <c r="L557" s="1">
        <f t="shared" si="42"/>
        <v>31249</v>
      </c>
      <c r="M557" s="1">
        <f t="shared" si="43"/>
        <v>176.77386684688435</v>
      </c>
      <c r="N557" s="7">
        <f t="shared" si="44"/>
        <v>176.77386684688435</v>
      </c>
    </row>
    <row r="558" spans="1:14" x14ac:dyDescent="0.25">
      <c r="A558" t="str">
        <f>"13:59:39.625"</f>
        <v>13:59:39.625</v>
      </c>
      <c r="B558">
        <v>39.253914000000002</v>
      </c>
      <c r="C558">
        <v>-77.30444</v>
      </c>
      <c r="D558">
        <v>8700</v>
      </c>
      <c r="E558">
        <v>9025</v>
      </c>
      <c r="F558">
        <v>169</v>
      </c>
      <c r="G558">
        <v>56</v>
      </c>
      <c r="H558">
        <v>-64</v>
      </c>
      <c r="J558" s="1">
        <f t="shared" si="40"/>
        <v>28561</v>
      </c>
      <c r="K558" s="1">
        <f t="shared" si="41"/>
        <v>3136</v>
      </c>
      <c r="L558" s="1">
        <f t="shared" si="42"/>
        <v>31697</v>
      </c>
      <c r="M558" s="1">
        <f t="shared" si="43"/>
        <v>178.03651310896873</v>
      </c>
      <c r="N558" s="7">
        <f t="shared" si="44"/>
        <v>178.03651310896873</v>
      </c>
    </row>
    <row r="559" spans="1:14" x14ac:dyDescent="0.25">
      <c r="A559" t="str">
        <f>"13:59:40.539"</f>
        <v>13:59:40.539</v>
      </c>
      <c r="B559">
        <v>39.254150000000003</v>
      </c>
      <c r="C559">
        <v>-77.303560000000004</v>
      </c>
      <c r="D559">
        <v>8700</v>
      </c>
      <c r="E559">
        <v>9025</v>
      </c>
      <c r="F559">
        <v>170</v>
      </c>
      <c r="G559">
        <v>57</v>
      </c>
      <c r="H559">
        <v>-64</v>
      </c>
      <c r="J559" s="1">
        <f t="shared" si="40"/>
        <v>28900</v>
      </c>
      <c r="K559" s="1">
        <f t="shared" si="41"/>
        <v>3249</v>
      </c>
      <c r="L559" s="1">
        <f t="shared" si="42"/>
        <v>32149</v>
      </c>
      <c r="M559" s="1">
        <f t="shared" si="43"/>
        <v>179.30142219179413</v>
      </c>
      <c r="N559" s="7">
        <f t="shared" si="44"/>
        <v>179.30142219179413</v>
      </c>
    </row>
    <row r="560" spans="1:14" x14ac:dyDescent="0.25">
      <c r="A560" t="str">
        <f>"13:59:41.594"</f>
        <v>13:59:41.594</v>
      </c>
      <c r="B560">
        <v>39.254472</v>
      </c>
      <c r="C560">
        <v>-77.302423000000005</v>
      </c>
      <c r="D560">
        <v>8700</v>
      </c>
      <c r="E560">
        <v>9025</v>
      </c>
      <c r="F560">
        <v>170</v>
      </c>
      <c r="G560">
        <v>58</v>
      </c>
      <c r="H560">
        <v>-64</v>
      </c>
      <c r="J560" s="1">
        <f t="shared" si="40"/>
        <v>28900</v>
      </c>
      <c r="K560" s="1">
        <f t="shared" si="41"/>
        <v>3364</v>
      </c>
      <c r="L560" s="1">
        <f t="shared" si="42"/>
        <v>32264</v>
      </c>
      <c r="M560" s="1">
        <f t="shared" si="43"/>
        <v>179.62182495454164</v>
      </c>
      <c r="N560" s="7">
        <f t="shared" si="44"/>
        <v>179.62182495454164</v>
      </c>
    </row>
    <row r="561" spans="1:14" x14ac:dyDescent="0.25">
      <c r="A561" t="str">
        <f>"13:59:42.602"</f>
        <v>13:59:42.602</v>
      </c>
      <c r="B561">
        <v>39.254750999999999</v>
      </c>
      <c r="C561">
        <v>-77.301393000000004</v>
      </c>
      <c r="D561">
        <v>8700</v>
      </c>
      <c r="E561">
        <v>9025</v>
      </c>
      <c r="F561">
        <v>170</v>
      </c>
      <c r="G561">
        <v>61</v>
      </c>
      <c r="H561">
        <v>-64</v>
      </c>
      <c r="J561" s="1">
        <f t="shared" si="40"/>
        <v>28900</v>
      </c>
      <c r="K561" s="1">
        <f t="shared" si="41"/>
        <v>3721</v>
      </c>
      <c r="L561" s="1">
        <f t="shared" si="42"/>
        <v>32621</v>
      </c>
      <c r="M561" s="1">
        <f t="shared" si="43"/>
        <v>180.61284561182242</v>
      </c>
      <c r="N561" s="7">
        <f t="shared" si="44"/>
        <v>180.61284561182242</v>
      </c>
    </row>
    <row r="562" spans="1:14" x14ac:dyDescent="0.25">
      <c r="A562" t="str">
        <f>"13:59:43.719"</f>
        <v>13:59:43.719</v>
      </c>
      <c r="B562">
        <v>39.255073000000003</v>
      </c>
      <c r="C562">
        <v>-77.300276999999994</v>
      </c>
      <c r="D562">
        <v>8700</v>
      </c>
      <c r="E562">
        <v>9025</v>
      </c>
      <c r="F562">
        <v>170</v>
      </c>
      <c r="G562">
        <v>63</v>
      </c>
      <c r="H562">
        <v>-64</v>
      </c>
      <c r="J562" s="1">
        <f t="shared" si="40"/>
        <v>28900</v>
      </c>
      <c r="K562" s="1">
        <f t="shared" si="41"/>
        <v>3969</v>
      </c>
      <c r="L562" s="1">
        <f t="shared" si="42"/>
        <v>32869</v>
      </c>
      <c r="M562" s="1">
        <f t="shared" si="43"/>
        <v>181.29809706668186</v>
      </c>
      <c r="N562" s="7">
        <f t="shared" si="44"/>
        <v>181.29809706668186</v>
      </c>
    </row>
    <row r="563" spans="1:14" x14ac:dyDescent="0.25">
      <c r="A563" t="str">
        <f>"13:59:44.523"</f>
        <v>13:59:44.523</v>
      </c>
      <c r="B563">
        <v>39.255288</v>
      </c>
      <c r="C563">
        <v>-77.299503999999999</v>
      </c>
      <c r="D563">
        <v>8700</v>
      </c>
      <c r="E563">
        <v>9025</v>
      </c>
      <c r="F563">
        <v>170</v>
      </c>
      <c r="G563">
        <v>66</v>
      </c>
      <c r="H563">
        <v>-64</v>
      </c>
      <c r="J563" s="1">
        <f t="shared" si="40"/>
        <v>28900</v>
      </c>
      <c r="K563" s="1">
        <f t="shared" si="41"/>
        <v>4356</v>
      </c>
      <c r="L563" s="1">
        <f t="shared" si="42"/>
        <v>33256</v>
      </c>
      <c r="M563" s="1">
        <f t="shared" si="43"/>
        <v>182.36227680087788</v>
      </c>
      <c r="N563" s="7">
        <f t="shared" si="44"/>
        <v>182.36227680087788</v>
      </c>
    </row>
    <row r="564" spans="1:14" x14ac:dyDescent="0.25">
      <c r="A564" t="str">
        <f>"13:59:45.633"</f>
        <v>13:59:45.633</v>
      </c>
      <c r="B564">
        <v>39.255695000000003</v>
      </c>
      <c r="C564">
        <v>-77.298410000000004</v>
      </c>
      <c r="D564">
        <v>8700</v>
      </c>
      <c r="E564">
        <v>9025</v>
      </c>
      <c r="F564">
        <v>169</v>
      </c>
      <c r="G564">
        <v>69</v>
      </c>
      <c r="H564">
        <v>-64</v>
      </c>
      <c r="J564" s="1">
        <f t="shared" si="40"/>
        <v>28561</v>
      </c>
      <c r="K564" s="1">
        <f t="shared" si="41"/>
        <v>4761</v>
      </c>
      <c r="L564" s="1">
        <f t="shared" si="42"/>
        <v>33322</v>
      </c>
      <c r="M564" s="1">
        <f t="shared" si="43"/>
        <v>182.54314558481784</v>
      </c>
      <c r="N564" s="7">
        <f t="shared" si="44"/>
        <v>182.54314558481784</v>
      </c>
    </row>
    <row r="565" spans="1:14" x14ac:dyDescent="0.25">
      <c r="A565" t="str">
        <f>"13:59:46.492"</f>
        <v>13:59:46.492</v>
      </c>
      <c r="B565">
        <v>39.255974000000002</v>
      </c>
      <c r="C565">
        <v>-77.297466</v>
      </c>
      <c r="D565">
        <v>8700</v>
      </c>
      <c r="E565">
        <v>9025</v>
      </c>
      <c r="F565">
        <v>169</v>
      </c>
      <c r="G565">
        <v>71</v>
      </c>
      <c r="H565">
        <v>64</v>
      </c>
      <c r="J565" s="1">
        <f t="shared" si="40"/>
        <v>28561</v>
      </c>
      <c r="K565" s="1">
        <f t="shared" si="41"/>
        <v>5041</v>
      </c>
      <c r="L565" s="1">
        <f t="shared" si="42"/>
        <v>33602</v>
      </c>
      <c r="M565" s="1">
        <f t="shared" si="43"/>
        <v>183.30848316430968</v>
      </c>
      <c r="N565" s="7">
        <f t="shared" si="44"/>
        <v>183.30848316430968</v>
      </c>
    </row>
    <row r="566" spans="1:14" x14ac:dyDescent="0.25">
      <c r="A566" t="str">
        <f>"13:59:47.555"</f>
        <v>13:59:47.555</v>
      </c>
      <c r="B566">
        <v>39.256295999999999</v>
      </c>
      <c r="C566">
        <v>-77.296457000000004</v>
      </c>
      <c r="D566">
        <v>8700</v>
      </c>
      <c r="E566">
        <v>9025</v>
      </c>
      <c r="F566">
        <v>169</v>
      </c>
      <c r="G566">
        <v>73</v>
      </c>
      <c r="H566">
        <v>128</v>
      </c>
      <c r="J566" s="1">
        <f t="shared" si="40"/>
        <v>28561</v>
      </c>
      <c r="K566" s="1">
        <f t="shared" si="41"/>
        <v>5329</v>
      </c>
      <c r="L566" s="1">
        <f t="shared" si="42"/>
        <v>33890</v>
      </c>
      <c r="M566" s="1">
        <f t="shared" si="43"/>
        <v>184.09236811991963</v>
      </c>
      <c r="N566" s="7">
        <f t="shared" si="44"/>
        <v>184.09236811991963</v>
      </c>
    </row>
    <row r="567" spans="1:14" x14ac:dyDescent="0.25">
      <c r="A567" t="str">
        <f>"13:59:48.508"</f>
        <v>13:59:48.508</v>
      </c>
      <c r="B567">
        <v>39.256618000000003</v>
      </c>
      <c r="C567">
        <v>-77.295449000000005</v>
      </c>
      <c r="D567">
        <v>8700</v>
      </c>
      <c r="E567">
        <v>9025</v>
      </c>
      <c r="F567">
        <v>169</v>
      </c>
      <c r="G567">
        <v>73</v>
      </c>
      <c r="H567">
        <v>128</v>
      </c>
      <c r="J567" s="1">
        <f t="shared" si="40"/>
        <v>28561</v>
      </c>
      <c r="K567" s="1">
        <f t="shared" si="41"/>
        <v>5329</v>
      </c>
      <c r="L567" s="1">
        <f t="shared" si="42"/>
        <v>33890</v>
      </c>
      <c r="M567" s="1">
        <f t="shared" si="43"/>
        <v>184.09236811991963</v>
      </c>
      <c r="N567" s="7">
        <f t="shared" si="44"/>
        <v>184.09236811991963</v>
      </c>
    </row>
    <row r="568" spans="1:14" x14ac:dyDescent="0.25">
      <c r="A568" t="str">
        <f>"13:59:49.570"</f>
        <v>13:59:49.570</v>
      </c>
      <c r="B568">
        <v>39.257047</v>
      </c>
      <c r="C568">
        <v>-77.294376</v>
      </c>
      <c r="D568">
        <v>8700</v>
      </c>
      <c r="E568">
        <v>9025</v>
      </c>
      <c r="F568">
        <v>170</v>
      </c>
      <c r="G568">
        <v>74</v>
      </c>
      <c r="H568">
        <v>-64</v>
      </c>
      <c r="J568" s="1">
        <f t="shared" si="40"/>
        <v>28900</v>
      </c>
      <c r="K568" s="1">
        <f t="shared" si="41"/>
        <v>5476</v>
      </c>
      <c r="L568" s="1">
        <f t="shared" si="42"/>
        <v>34376</v>
      </c>
      <c r="M568" s="1">
        <f t="shared" si="43"/>
        <v>185.40765895722862</v>
      </c>
      <c r="N568" s="7">
        <f t="shared" si="44"/>
        <v>185.40765895722862</v>
      </c>
    </row>
    <row r="569" spans="1:14" x14ac:dyDescent="0.25">
      <c r="A569" t="str">
        <f>"13:59:50.531"</f>
        <v>13:59:50.531</v>
      </c>
      <c r="B569">
        <v>39.257305000000002</v>
      </c>
      <c r="C569">
        <v>-77.293409999999994</v>
      </c>
      <c r="D569">
        <v>8700</v>
      </c>
      <c r="E569">
        <v>9025</v>
      </c>
      <c r="F569">
        <v>170</v>
      </c>
      <c r="G569">
        <v>74</v>
      </c>
      <c r="H569">
        <v>-128</v>
      </c>
      <c r="J569" s="1">
        <f t="shared" si="40"/>
        <v>28900</v>
      </c>
      <c r="K569" s="1">
        <f t="shared" si="41"/>
        <v>5476</v>
      </c>
      <c r="L569" s="1">
        <f t="shared" si="42"/>
        <v>34376</v>
      </c>
      <c r="M569" s="1">
        <f t="shared" si="43"/>
        <v>185.40765895722862</v>
      </c>
      <c r="N569" s="7">
        <f t="shared" si="44"/>
        <v>185.40765895722862</v>
      </c>
    </row>
    <row r="570" spans="1:14" x14ac:dyDescent="0.25">
      <c r="A570" t="str">
        <f>"13:59:51.484"</f>
        <v>13:59:51.484</v>
      </c>
      <c r="B570">
        <v>39.257669</v>
      </c>
      <c r="C570">
        <v>-77.292401999999996</v>
      </c>
      <c r="D570">
        <v>8700</v>
      </c>
      <c r="E570">
        <v>9025</v>
      </c>
      <c r="F570">
        <v>171</v>
      </c>
      <c r="G570">
        <v>74</v>
      </c>
      <c r="H570">
        <v>-256</v>
      </c>
      <c r="J570" s="1">
        <f t="shared" si="40"/>
        <v>29241</v>
      </c>
      <c r="K570" s="1">
        <f t="shared" si="41"/>
        <v>5476</v>
      </c>
      <c r="L570" s="1">
        <f t="shared" si="42"/>
        <v>34717</v>
      </c>
      <c r="M570" s="1">
        <f t="shared" si="43"/>
        <v>186.32498490540661</v>
      </c>
      <c r="N570" s="7">
        <f t="shared" si="44"/>
        <v>186.32498490540661</v>
      </c>
    </row>
    <row r="571" spans="1:14" x14ac:dyDescent="0.25">
      <c r="A571" t="str">
        <f>"13:59:52.344"</f>
        <v>13:59:52.344</v>
      </c>
      <c r="B571">
        <v>39.257947999999999</v>
      </c>
      <c r="C571">
        <v>-77.291629</v>
      </c>
      <c r="D571">
        <v>8700</v>
      </c>
      <c r="E571">
        <v>9025</v>
      </c>
      <c r="F571">
        <v>172</v>
      </c>
      <c r="G571">
        <v>74</v>
      </c>
      <c r="H571">
        <v>-320</v>
      </c>
      <c r="J571" s="1">
        <f t="shared" si="40"/>
        <v>29584</v>
      </c>
      <c r="K571" s="1">
        <f t="shared" si="41"/>
        <v>5476</v>
      </c>
      <c r="L571" s="1">
        <f t="shared" si="42"/>
        <v>35060</v>
      </c>
      <c r="M571" s="1">
        <f t="shared" si="43"/>
        <v>187.2431574183687</v>
      </c>
      <c r="N571" s="7">
        <f t="shared" si="44"/>
        <v>187.2431574183687</v>
      </c>
    </row>
    <row r="572" spans="1:14" x14ac:dyDescent="0.25">
      <c r="A572" t="str">
        <f>"13:59:53.352"</f>
        <v>13:59:53.352</v>
      </c>
      <c r="B572">
        <v>39.258270000000003</v>
      </c>
      <c r="C572">
        <v>-77.290555999999995</v>
      </c>
      <c r="D572">
        <v>8700</v>
      </c>
      <c r="E572">
        <v>9025</v>
      </c>
      <c r="F572">
        <v>173</v>
      </c>
      <c r="G572">
        <v>74</v>
      </c>
      <c r="H572">
        <v>-384</v>
      </c>
      <c r="J572" s="1">
        <f t="shared" si="40"/>
        <v>29929</v>
      </c>
      <c r="K572" s="1">
        <f t="shared" si="41"/>
        <v>5476</v>
      </c>
      <c r="L572" s="1">
        <f t="shared" si="42"/>
        <v>35405</v>
      </c>
      <c r="M572" s="1">
        <f t="shared" si="43"/>
        <v>188.16216410320115</v>
      </c>
      <c r="N572" s="7">
        <f t="shared" si="44"/>
        <v>188.16216410320115</v>
      </c>
    </row>
    <row r="573" spans="1:14" x14ac:dyDescent="0.25">
      <c r="A573" t="str">
        <f>"13:59:54.313"</f>
        <v>13:59:54.313</v>
      </c>
      <c r="B573">
        <v>39.258634999999998</v>
      </c>
      <c r="C573">
        <v>-77.289525999999995</v>
      </c>
      <c r="D573">
        <v>8700</v>
      </c>
      <c r="E573">
        <v>9000</v>
      </c>
      <c r="F573">
        <v>174</v>
      </c>
      <c r="G573">
        <v>74</v>
      </c>
      <c r="H573">
        <v>-448</v>
      </c>
      <c r="J573" s="1">
        <f t="shared" si="40"/>
        <v>30276</v>
      </c>
      <c r="K573" s="1">
        <f t="shared" si="41"/>
        <v>5476</v>
      </c>
      <c r="L573" s="1">
        <f t="shared" si="42"/>
        <v>35752</v>
      </c>
      <c r="M573" s="1">
        <f t="shared" si="43"/>
        <v>189.08199279677586</v>
      </c>
      <c r="N573" s="7">
        <f t="shared" si="44"/>
        <v>189.08199279677586</v>
      </c>
    </row>
    <row r="574" spans="1:14" x14ac:dyDescent="0.25">
      <c r="A574" t="str">
        <f>"13:59:55.273"</f>
        <v>13:59:55.273</v>
      </c>
      <c r="B574">
        <v>39.259</v>
      </c>
      <c r="C574">
        <v>-77.288517999999996</v>
      </c>
      <c r="D574">
        <v>8700</v>
      </c>
      <c r="E574">
        <v>9000</v>
      </c>
      <c r="F574">
        <v>174</v>
      </c>
      <c r="G574">
        <v>74</v>
      </c>
      <c r="H574">
        <v>-448</v>
      </c>
      <c r="J574" s="1">
        <f t="shared" si="40"/>
        <v>30276</v>
      </c>
      <c r="K574" s="1">
        <f t="shared" si="41"/>
        <v>5476</v>
      </c>
      <c r="L574" s="1">
        <f t="shared" si="42"/>
        <v>35752</v>
      </c>
      <c r="M574" s="1">
        <f t="shared" si="43"/>
        <v>189.08199279677586</v>
      </c>
      <c r="N574" s="7">
        <f t="shared" si="44"/>
        <v>189.08199279677586</v>
      </c>
    </row>
    <row r="575" spans="1:14" x14ac:dyDescent="0.25">
      <c r="A575" t="str">
        <f>"13:59:56.133"</f>
        <v>13:59:56.133</v>
      </c>
      <c r="B575">
        <v>39.259278999999999</v>
      </c>
      <c r="C575">
        <v>-77.287681000000006</v>
      </c>
      <c r="D575">
        <v>8700</v>
      </c>
      <c r="E575">
        <v>9000</v>
      </c>
      <c r="F575">
        <v>175</v>
      </c>
      <c r="G575">
        <v>74</v>
      </c>
      <c r="H575">
        <v>-448</v>
      </c>
      <c r="J575" s="1">
        <f t="shared" si="40"/>
        <v>30625</v>
      </c>
      <c r="K575" s="1">
        <f t="shared" si="41"/>
        <v>5476</v>
      </c>
      <c r="L575" s="1">
        <f t="shared" si="42"/>
        <v>36101</v>
      </c>
      <c r="M575" s="1">
        <f t="shared" si="43"/>
        <v>190.00263156072339</v>
      </c>
      <c r="N575" s="7">
        <f t="shared" si="44"/>
        <v>190.00263156072339</v>
      </c>
    </row>
    <row r="576" spans="1:14" x14ac:dyDescent="0.25">
      <c r="A576" t="str">
        <f>"13:59:56.938"</f>
        <v>13:59:56.938</v>
      </c>
      <c r="B576">
        <v>39.259557999999998</v>
      </c>
      <c r="C576">
        <v>-77.286844000000002</v>
      </c>
      <c r="D576">
        <v>8700</v>
      </c>
      <c r="E576">
        <v>9000</v>
      </c>
      <c r="F576">
        <v>176</v>
      </c>
      <c r="G576">
        <v>74</v>
      </c>
      <c r="H576">
        <v>-448</v>
      </c>
      <c r="J576" s="1">
        <f t="shared" si="40"/>
        <v>30976</v>
      </c>
      <c r="K576" s="1">
        <f t="shared" si="41"/>
        <v>5476</v>
      </c>
      <c r="L576" s="1">
        <f t="shared" si="42"/>
        <v>36452</v>
      </c>
      <c r="M576" s="1">
        <f t="shared" si="43"/>
        <v>190.92406867652909</v>
      </c>
      <c r="N576" s="7">
        <f t="shared" si="44"/>
        <v>190.92406867652909</v>
      </c>
    </row>
    <row r="577" spans="1:14" x14ac:dyDescent="0.25">
      <c r="A577" t="str">
        <f>"13:59:58.047"</f>
        <v>13:59:58.047</v>
      </c>
      <c r="B577">
        <v>39.259923000000001</v>
      </c>
      <c r="C577">
        <v>-77.285642999999993</v>
      </c>
      <c r="D577">
        <v>8700</v>
      </c>
      <c r="E577">
        <v>8975</v>
      </c>
      <c r="F577">
        <v>176</v>
      </c>
      <c r="G577">
        <v>74</v>
      </c>
      <c r="H577">
        <v>-384</v>
      </c>
      <c r="J577" s="1">
        <f t="shared" si="40"/>
        <v>30976</v>
      </c>
      <c r="K577" s="1">
        <f t="shared" si="41"/>
        <v>5476</v>
      </c>
      <c r="L577" s="1">
        <f t="shared" si="42"/>
        <v>36452</v>
      </c>
      <c r="M577" s="1">
        <f t="shared" si="43"/>
        <v>190.92406867652909</v>
      </c>
      <c r="N577" s="7">
        <f t="shared" si="44"/>
        <v>190.92406867652909</v>
      </c>
    </row>
    <row r="578" spans="1:14" x14ac:dyDescent="0.25">
      <c r="A578" t="str">
        <f>"13:59:59.008"</f>
        <v>13:59:59.008</v>
      </c>
      <c r="B578">
        <v>39.260244</v>
      </c>
      <c r="C578">
        <v>-77.284612999999993</v>
      </c>
      <c r="D578">
        <v>8700</v>
      </c>
      <c r="E578">
        <v>8975</v>
      </c>
      <c r="F578">
        <v>177</v>
      </c>
      <c r="G578">
        <v>74</v>
      </c>
      <c r="H578">
        <v>-320</v>
      </c>
      <c r="J578" s="1">
        <f t="shared" si="40"/>
        <v>31329</v>
      </c>
      <c r="K578" s="1">
        <f t="shared" si="41"/>
        <v>5476</v>
      </c>
      <c r="L578" s="1">
        <f t="shared" si="42"/>
        <v>36805</v>
      </c>
      <c r="M578" s="1">
        <f t="shared" si="43"/>
        <v>191.84629264074925</v>
      </c>
      <c r="N578" s="7">
        <f t="shared" si="44"/>
        <v>191.84629264074925</v>
      </c>
    </row>
    <row r="579" spans="1:14" x14ac:dyDescent="0.25">
      <c r="A579" t="str">
        <f>"13:59:59.914"</f>
        <v>13:59:59.914</v>
      </c>
      <c r="B579">
        <v>39.260565999999997</v>
      </c>
      <c r="C579">
        <v>-77.283690000000007</v>
      </c>
      <c r="D579">
        <v>8700</v>
      </c>
      <c r="E579">
        <v>8975</v>
      </c>
      <c r="F579">
        <v>177</v>
      </c>
      <c r="G579">
        <v>73</v>
      </c>
      <c r="H579">
        <v>-256</v>
      </c>
      <c r="J579" s="1">
        <f t="shared" ref="J579:J642" si="45">F579^2</f>
        <v>31329</v>
      </c>
      <c r="K579" s="1">
        <f t="shared" ref="K579:K642" si="46">G579^2</f>
        <v>5329</v>
      </c>
      <c r="L579" s="1">
        <f t="shared" ref="L579:L642" si="47">SUMSQ(F579,G579)</f>
        <v>36658</v>
      </c>
      <c r="M579" s="1">
        <f t="shared" ref="M579:M642" si="48">SQRT(L579)</f>
        <v>191.46279011860241</v>
      </c>
      <c r="N579" s="7">
        <f t="shared" ref="N579:N642" si="49">M579</f>
        <v>191.46279011860241</v>
      </c>
    </row>
    <row r="580" spans="1:14" x14ac:dyDescent="0.25">
      <c r="A580" t="str">
        <f>"14:00:00.883"</f>
        <v>14:00:00.883</v>
      </c>
      <c r="B580">
        <v>39.260888000000001</v>
      </c>
      <c r="C580">
        <v>-77.282617000000002</v>
      </c>
      <c r="D580">
        <v>8700</v>
      </c>
      <c r="E580">
        <v>8975</v>
      </c>
      <c r="F580">
        <v>178</v>
      </c>
      <c r="G580">
        <v>73</v>
      </c>
      <c r="H580">
        <v>-192</v>
      </c>
      <c r="J580" s="1">
        <f t="shared" si="45"/>
        <v>31684</v>
      </c>
      <c r="K580" s="1">
        <f t="shared" si="46"/>
        <v>5329</v>
      </c>
      <c r="L580" s="1">
        <f t="shared" si="47"/>
        <v>37013</v>
      </c>
      <c r="M580" s="1">
        <f t="shared" si="48"/>
        <v>192.38762953994728</v>
      </c>
      <c r="N580" s="7">
        <f t="shared" si="49"/>
        <v>192.38762953994728</v>
      </c>
    </row>
    <row r="581" spans="1:14" x14ac:dyDescent="0.25">
      <c r="A581" t="str">
        <f>"14:00:01.883"</f>
        <v>14:00:01.883</v>
      </c>
      <c r="B581">
        <v>39.261253000000004</v>
      </c>
      <c r="C581">
        <v>-77.281543999999997</v>
      </c>
      <c r="D581">
        <v>8700</v>
      </c>
      <c r="E581">
        <v>8975</v>
      </c>
      <c r="F581">
        <v>178</v>
      </c>
      <c r="G581">
        <v>73</v>
      </c>
      <c r="H581">
        <v>-128</v>
      </c>
      <c r="J581" s="1">
        <f t="shared" si="45"/>
        <v>31684</v>
      </c>
      <c r="K581" s="1">
        <f t="shared" si="46"/>
        <v>5329</v>
      </c>
      <c r="L581" s="1">
        <f t="shared" si="47"/>
        <v>37013</v>
      </c>
      <c r="M581" s="1">
        <f t="shared" si="48"/>
        <v>192.38762953994728</v>
      </c>
      <c r="N581" s="7">
        <f t="shared" si="49"/>
        <v>192.38762953994728</v>
      </c>
    </row>
    <row r="582" spans="1:14" x14ac:dyDescent="0.25">
      <c r="A582" t="str">
        <f>"14:00:02.797"</f>
        <v>14:00:02.797</v>
      </c>
      <c r="B582">
        <v>39.261552999999999</v>
      </c>
      <c r="C582">
        <v>-77.280579000000003</v>
      </c>
      <c r="D582">
        <v>8700</v>
      </c>
      <c r="E582">
        <v>8975</v>
      </c>
      <c r="F582">
        <v>178</v>
      </c>
      <c r="G582">
        <v>72</v>
      </c>
      <c r="H582">
        <v>0</v>
      </c>
      <c r="J582" s="1">
        <f t="shared" si="45"/>
        <v>31684</v>
      </c>
      <c r="K582" s="1">
        <f t="shared" si="46"/>
        <v>5184</v>
      </c>
      <c r="L582" s="1">
        <f t="shared" si="47"/>
        <v>36868</v>
      </c>
      <c r="M582" s="1">
        <f t="shared" si="48"/>
        <v>192.01041638411183</v>
      </c>
      <c r="N582" s="7">
        <f t="shared" si="49"/>
        <v>192.01041638411183</v>
      </c>
    </row>
    <row r="583" spans="1:14" x14ac:dyDescent="0.25">
      <c r="A583" t="str">
        <f>"14:00:03.648"</f>
        <v>14:00:03.648</v>
      </c>
      <c r="B583">
        <v>39.261789</v>
      </c>
      <c r="C583">
        <v>-77.279719999999998</v>
      </c>
      <c r="D583">
        <v>8700</v>
      </c>
      <c r="E583">
        <v>8975</v>
      </c>
      <c r="F583">
        <v>178</v>
      </c>
      <c r="G583">
        <v>72</v>
      </c>
      <c r="H583">
        <v>64</v>
      </c>
      <c r="J583" s="1">
        <f t="shared" si="45"/>
        <v>31684</v>
      </c>
      <c r="K583" s="1">
        <f t="shared" si="46"/>
        <v>5184</v>
      </c>
      <c r="L583" s="1">
        <f t="shared" si="47"/>
        <v>36868</v>
      </c>
      <c r="M583" s="1">
        <f t="shared" si="48"/>
        <v>192.01041638411183</v>
      </c>
      <c r="N583" s="7">
        <f t="shared" si="49"/>
        <v>192.01041638411183</v>
      </c>
    </row>
    <row r="584" spans="1:14" x14ac:dyDescent="0.25">
      <c r="A584" t="str">
        <f>"14:00:04.664"</f>
        <v>14:00:04.664</v>
      </c>
      <c r="B584">
        <v>39.262154000000002</v>
      </c>
      <c r="C584">
        <v>-77.278540000000007</v>
      </c>
      <c r="D584">
        <v>8700</v>
      </c>
      <c r="E584">
        <v>8975</v>
      </c>
      <c r="F584">
        <v>178</v>
      </c>
      <c r="G584">
        <v>71</v>
      </c>
      <c r="H584">
        <v>64</v>
      </c>
      <c r="J584" s="1">
        <f t="shared" si="45"/>
        <v>31684</v>
      </c>
      <c r="K584" s="1">
        <f t="shared" si="46"/>
        <v>5041</v>
      </c>
      <c r="L584" s="1">
        <f t="shared" si="47"/>
        <v>36725</v>
      </c>
      <c r="M584" s="1">
        <f t="shared" si="48"/>
        <v>191.637678967368</v>
      </c>
      <c r="N584" s="7">
        <f t="shared" si="49"/>
        <v>191.637678967368</v>
      </c>
    </row>
    <row r="585" spans="1:14" x14ac:dyDescent="0.25">
      <c r="A585" t="str">
        <f>"14:00:05.773"</f>
        <v>14:00:05.773</v>
      </c>
      <c r="B585">
        <v>39.262540000000001</v>
      </c>
      <c r="C585">
        <v>-77.277403000000007</v>
      </c>
      <c r="D585">
        <v>8700</v>
      </c>
      <c r="E585">
        <v>8975</v>
      </c>
      <c r="F585">
        <v>178</v>
      </c>
      <c r="G585">
        <v>71</v>
      </c>
      <c r="H585">
        <v>64</v>
      </c>
      <c r="J585" s="1">
        <f t="shared" si="45"/>
        <v>31684</v>
      </c>
      <c r="K585" s="1">
        <f t="shared" si="46"/>
        <v>5041</v>
      </c>
      <c r="L585" s="1">
        <f t="shared" si="47"/>
        <v>36725</v>
      </c>
      <c r="M585" s="1">
        <f t="shared" si="48"/>
        <v>191.637678967368</v>
      </c>
      <c r="N585" s="7">
        <f t="shared" si="49"/>
        <v>191.637678967368</v>
      </c>
    </row>
    <row r="586" spans="1:14" x14ac:dyDescent="0.25">
      <c r="A586" t="str">
        <f>"14:00:06.781"</f>
        <v>14:00:06.781</v>
      </c>
      <c r="B586">
        <v>39.262861999999998</v>
      </c>
      <c r="C586">
        <v>-77.276308999999998</v>
      </c>
      <c r="D586">
        <v>8700</v>
      </c>
      <c r="E586">
        <v>8975</v>
      </c>
      <c r="F586">
        <v>178</v>
      </c>
      <c r="G586">
        <v>70</v>
      </c>
      <c r="H586">
        <v>192</v>
      </c>
      <c r="J586" s="1">
        <f t="shared" si="45"/>
        <v>31684</v>
      </c>
      <c r="K586" s="1">
        <f t="shared" si="46"/>
        <v>4900</v>
      </c>
      <c r="L586" s="1">
        <f t="shared" si="47"/>
        <v>36584</v>
      </c>
      <c r="M586" s="1">
        <f t="shared" si="48"/>
        <v>191.26944345608371</v>
      </c>
      <c r="N586" s="7">
        <f t="shared" si="49"/>
        <v>191.26944345608371</v>
      </c>
    </row>
    <row r="587" spans="1:14" x14ac:dyDescent="0.25">
      <c r="A587" t="str">
        <f>"14:00:07.789"</f>
        <v>14:00:07.789</v>
      </c>
      <c r="B587">
        <v>39.263140999999997</v>
      </c>
      <c r="C587">
        <v>-77.275278999999998</v>
      </c>
      <c r="D587">
        <v>8700</v>
      </c>
      <c r="E587">
        <v>8975</v>
      </c>
      <c r="F587">
        <v>179</v>
      </c>
      <c r="G587">
        <v>68</v>
      </c>
      <c r="H587">
        <v>256</v>
      </c>
      <c r="J587" s="1">
        <f t="shared" si="45"/>
        <v>32041</v>
      </c>
      <c r="K587" s="1">
        <f t="shared" si="46"/>
        <v>4624</v>
      </c>
      <c r="L587" s="1">
        <f t="shared" si="47"/>
        <v>36665</v>
      </c>
      <c r="M587" s="1">
        <f t="shared" si="48"/>
        <v>191.48106956041372</v>
      </c>
      <c r="N587" s="7">
        <f t="shared" si="49"/>
        <v>191.48106956041372</v>
      </c>
    </row>
    <row r="588" spans="1:14" x14ac:dyDescent="0.25">
      <c r="A588" t="str">
        <f>"14:00:08.852"</f>
        <v>14:00:08.852</v>
      </c>
      <c r="B588">
        <v>39.263483999999998</v>
      </c>
      <c r="C588">
        <v>-77.274077000000005</v>
      </c>
      <c r="D588">
        <v>8700</v>
      </c>
      <c r="E588">
        <v>8975</v>
      </c>
      <c r="F588">
        <v>179</v>
      </c>
      <c r="G588">
        <v>66</v>
      </c>
      <c r="H588">
        <v>320</v>
      </c>
      <c r="J588" s="1">
        <f t="shared" si="45"/>
        <v>32041</v>
      </c>
      <c r="K588" s="1">
        <f t="shared" si="46"/>
        <v>4356</v>
      </c>
      <c r="L588" s="1">
        <f t="shared" si="47"/>
        <v>36397</v>
      </c>
      <c r="M588" s="1">
        <f t="shared" si="48"/>
        <v>190.77997798511248</v>
      </c>
      <c r="N588" s="7">
        <f t="shared" si="49"/>
        <v>190.77997798511248</v>
      </c>
    </row>
    <row r="589" spans="1:14" x14ac:dyDescent="0.25">
      <c r="A589" t="str">
        <f>"14:00:09.813"</f>
        <v>14:00:09.813</v>
      </c>
      <c r="B589">
        <v>39.263742000000001</v>
      </c>
      <c r="C589">
        <v>-77.273133000000001</v>
      </c>
      <c r="D589">
        <v>8700</v>
      </c>
      <c r="E589">
        <v>8975</v>
      </c>
      <c r="F589">
        <v>179</v>
      </c>
      <c r="G589">
        <v>65</v>
      </c>
      <c r="H589">
        <v>320</v>
      </c>
      <c r="J589" s="1">
        <f t="shared" si="45"/>
        <v>32041</v>
      </c>
      <c r="K589" s="1">
        <f t="shared" si="46"/>
        <v>4225</v>
      </c>
      <c r="L589" s="1">
        <f t="shared" si="47"/>
        <v>36266</v>
      </c>
      <c r="M589" s="1">
        <f t="shared" si="48"/>
        <v>190.43634106966033</v>
      </c>
      <c r="N589" s="7">
        <f t="shared" si="49"/>
        <v>190.43634106966033</v>
      </c>
    </row>
    <row r="590" spans="1:14" x14ac:dyDescent="0.25">
      <c r="A590" t="str">
        <f>"14:00:10.820"</f>
        <v>14:00:10.820</v>
      </c>
      <c r="B590">
        <v>39.264063999999998</v>
      </c>
      <c r="C590">
        <v>-77.272103000000001</v>
      </c>
      <c r="D590">
        <v>8700</v>
      </c>
      <c r="E590">
        <v>9000</v>
      </c>
      <c r="F590">
        <v>179</v>
      </c>
      <c r="G590">
        <v>63</v>
      </c>
      <c r="H590">
        <v>384</v>
      </c>
      <c r="J590" s="1">
        <f t="shared" si="45"/>
        <v>32041</v>
      </c>
      <c r="K590" s="1">
        <f t="shared" si="46"/>
        <v>3969</v>
      </c>
      <c r="L590" s="1">
        <f t="shared" si="47"/>
        <v>36010</v>
      </c>
      <c r="M590" s="1">
        <f t="shared" si="48"/>
        <v>189.76301009416983</v>
      </c>
      <c r="N590" s="7">
        <f t="shared" si="49"/>
        <v>189.76301009416983</v>
      </c>
    </row>
    <row r="591" spans="1:14" x14ac:dyDescent="0.25">
      <c r="A591" t="str">
        <f>"14:00:11.773"</f>
        <v>14:00:11.773</v>
      </c>
      <c r="B591">
        <v>39.264342999999997</v>
      </c>
      <c r="C591">
        <v>-77.270987000000005</v>
      </c>
      <c r="D591">
        <v>8700</v>
      </c>
      <c r="E591">
        <v>9000</v>
      </c>
      <c r="F591">
        <v>179</v>
      </c>
      <c r="G591">
        <v>61</v>
      </c>
      <c r="H591">
        <v>448</v>
      </c>
      <c r="J591" s="1">
        <f t="shared" si="45"/>
        <v>32041</v>
      </c>
      <c r="K591" s="1">
        <f t="shared" si="46"/>
        <v>3721</v>
      </c>
      <c r="L591" s="1">
        <f t="shared" si="47"/>
        <v>35762</v>
      </c>
      <c r="M591" s="1">
        <f t="shared" si="48"/>
        <v>189.10843450253614</v>
      </c>
      <c r="N591" s="7">
        <f t="shared" si="49"/>
        <v>189.10843450253614</v>
      </c>
    </row>
    <row r="592" spans="1:14" x14ac:dyDescent="0.25">
      <c r="A592" t="str">
        <f>"14:00:12.891"</f>
        <v>14:00:12.891</v>
      </c>
      <c r="B592">
        <v>39.264643</v>
      </c>
      <c r="C592">
        <v>-77.269828000000004</v>
      </c>
      <c r="D592">
        <v>8700</v>
      </c>
      <c r="E592">
        <v>9000</v>
      </c>
      <c r="F592">
        <v>179</v>
      </c>
      <c r="G592">
        <v>59</v>
      </c>
      <c r="H592">
        <v>448</v>
      </c>
      <c r="J592" s="1">
        <f t="shared" si="45"/>
        <v>32041</v>
      </c>
      <c r="K592" s="1">
        <f t="shared" si="46"/>
        <v>3481</v>
      </c>
      <c r="L592" s="1">
        <f t="shared" si="47"/>
        <v>35522</v>
      </c>
      <c r="M592" s="1">
        <f t="shared" si="48"/>
        <v>188.4728097100481</v>
      </c>
      <c r="N592" s="7">
        <f t="shared" si="49"/>
        <v>188.4728097100481</v>
      </c>
    </row>
    <row r="593" spans="1:14" x14ac:dyDescent="0.25">
      <c r="A593" t="str">
        <f>"14:00:13.797"</f>
        <v>14:00:13.797</v>
      </c>
      <c r="B593">
        <v>39.264857999999997</v>
      </c>
      <c r="C593">
        <v>-77.268862999999996</v>
      </c>
      <c r="D593">
        <v>8700</v>
      </c>
      <c r="E593">
        <v>9025</v>
      </c>
      <c r="F593">
        <v>179</v>
      </c>
      <c r="G593">
        <v>57</v>
      </c>
      <c r="H593">
        <v>512</v>
      </c>
      <c r="J593" s="1">
        <f t="shared" si="45"/>
        <v>32041</v>
      </c>
      <c r="K593" s="1">
        <f t="shared" si="46"/>
        <v>3249</v>
      </c>
      <c r="L593" s="1">
        <f t="shared" si="47"/>
        <v>35290</v>
      </c>
      <c r="M593" s="1">
        <f t="shared" si="48"/>
        <v>187.85632808079689</v>
      </c>
      <c r="N593" s="7">
        <f t="shared" si="49"/>
        <v>187.85632808079689</v>
      </c>
    </row>
    <row r="594" spans="1:14" x14ac:dyDescent="0.25">
      <c r="A594" t="str">
        <f>"14:00:14.852"</f>
        <v>14:00:14.852</v>
      </c>
      <c r="B594">
        <v>39.265137000000003</v>
      </c>
      <c r="C594">
        <v>-77.267683000000005</v>
      </c>
      <c r="D594">
        <v>8700</v>
      </c>
      <c r="E594">
        <v>9025</v>
      </c>
      <c r="F594">
        <v>179</v>
      </c>
      <c r="G594">
        <v>56</v>
      </c>
      <c r="H594">
        <v>512</v>
      </c>
      <c r="J594" s="1">
        <f t="shared" si="45"/>
        <v>32041</v>
      </c>
      <c r="K594" s="1">
        <f t="shared" si="46"/>
        <v>3136</v>
      </c>
      <c r="L594" s="1">
        <f t="shared" si="47"/>
        <v>35177</v>
      </c>
      <c r="M594" s="1">
        <f t="shared" si="48"/>
        <v>187.55532517100121</v>
      </c>
      <c r="N594" s="7">
        <f t="shared" si="49"/>
        <v>187.55532517100121</v>
      </c>
    </row>
    <row r="595" spans="1:14" x14ac:dyDescent="0.25">
      <c r="A595" t="str">
        <f>"14:00:15.914"</f>
        <v>14:00:15.914</v>
      </c>
      <c r="B595">
        <v>39.265372999999997</v>
      </c>
      <c r="C595">
        <v>-77.26661</v>
      </c>
      <c r="D595">
        <v>8700</v>
      </c>
      <c r="E595">
        <v>9025</v>
      </c>
      <c r="F595">
        <v>179</v>
      </c>
      <c r="G595">
        <v>54</v>
      </c>
      <c r="H595">
        <v>512</v>
      </c>
      <c r="J595" s="1">
        <f t="shared" si="45"/>
        <v>32041</v>
      </c>
      <c r="K595" s="1">
        <f t="shared" si="46"/>
        <v>2916</v>
      </c>
      <c r="L595" s="1">
        <f t="shared" si="47"/>
        <v>34957</v>
      </c>
      <c r="M595" s="1">
        <f t="shared" si="48"/>
        <v>186.96791168540125</v>
      </c>
      <c r="N595" s="7">
        <f t="shared" si="49"/>
        <v>186.96791168540125</v>
      </c>
    </row>
    <row r="596" spans="1:14" x14ac:dyDescent="0.25">
      <c r="A596" t="str">
        <f>"14:00:17.078"</f>
        <v>14:00:17.078</v>
      </c>
      <c r="B596">
        <v>39.265695000000001</v>
      </c>
      <c r="C596">
        <v>-77.265343999999999</v>
      </c>
      <c r="D596">
        <v>8700</v>
      </c>
      <c r="E596">
        <v>9050</v>
      </c>
      <c r="F596">
        <v>178</v>
      </c>
      <c r="G596">
        <v>53</v>
      </c>
      <c r="H596">
        <v>576</v>
      </c>
      <c r="J596" s="1">
        <f t="shared" si="45"/>
        <v>31684</v>
      </c>
      <c r="K596" s="1">
        <f t="shared" si="46"/>
        <v>2809</v>
      </c>
      <c r="L596" s="1">
        <f t="shared" si="47"/>
        <v>34493</v>
      </c>
      <c r="M596" s="1">
        <f t="shared" si="48"/>
        <v>185.72291188757515</v>
      </c>
      <c r="N596" s="7">
        <f t="shared" si="49"/>
        <v>185.72291188757515</v>
      </c>
    </row>
    <row r="597" spans="1:14" x14ac:dyDescent="0.25">
      <c r="A597" t="str">
        <f>"14:00:18.086"</f>
        <v>14:00:18.086</v>
      </c>
      <c r="B597">
        <v>39.265909000000001</v>
      </c>
      <c r="C597">
        <v>-77.264270999999994</v>
      </c>
      <c r="D597">
        <v>8700</v>
      </c>
      <c r="E597">
        <v>9050</v>
      </c>
      <c r="F597">
        <v>178</v>
      </c>
      <c r="G597">
        <v>51</v>
      </c>
      <c r="H597">
        <v>576</v>
      </c>
      <c r="J597" s="1">
        <f t="shared" si="45"/>
        <v>31684</v>
      </c>
      <c r="K597" s="1">
        <f t="shared" si="46"/>
        <v>2601</v>
      </c>
      <c r="L597" s="1">
        <f t="shared" si="47"/>
        <v>34285</v>
      </c>
      <c r="M597" s="1">
        <f t="shared" si="48"/>
        <v>185.16209115258988</v>
      </c>
      <c r="N597" s="7">
        <f t="shared" si="49"/>
        <v>185.16209115258988</v>
      </c>
    </row>
    <row r="598" spans="1:14" x14ac:dyDescent="0.25">
      <c r="A598" t="str">
        <f>"14:00:19.195"</f>
        <v>14:00:19.195</v>
      </c>
      <c r="B598">
        <v>39.266167000000003</v>
      </c>
      <c r="C598">
        <v>-77.263112000000007</v>
      </c>
      <c r="D598">
        <v>8700</v>
      </c>
      <c r="E598">
        <v>9075</v>
      </c>
      <c r="F598">
        <v>178</v>
      </c>
      <c r="G598">
        <v>50</v>
      </c>
      <c r="H598">
        <v>448</v>
      </c>
      <c r="J598" s="1">
        <f t="shared" si="45"/>
        <v>31684</v>
      </c>
      <c r="K598" s="1">
        <f t="shared" si="46"/>
        <v>2500</v>
      </c>
      <c r="L598" s="1">
        <f t="shared" si="47"/>
        <v>34184</v>
      </c>
      <c r="M598" s="1">
        <f t="shared" si="48"/>
        <v>184.88915598271305</v>
      </c>
      <c r="N598" s="7">
        <f t="shared" si="49"/>
        <v>184.88915598271305</v>
      </c>
    </row>
    <row r="599" spans="1:14" x14ac:dyDescent="0.25">
      <c r="A599" t="str">
        <f>"14:00:20.359"</f>
        <v>14:00:20.359</v>
      </c>
      <c r="B599">
        <v>39.266446000000002</v>
      </c>
      <c r="C599">
        <v>-77.261846000000006</v>
      </c>
      <c r="D599">
        <v>8700</v>
      </c>
      <c r="E599">
        <v>9075</v>
      </c>
      <c r="F599">
        <v>178</v>
      </c>
      <c r="G599">
        <v>48</v>
      </c>
      <c r="H599">
        <v>256</v>
      </c>
      <c r="J599" s="1">
        <f t="shared" si="45"/>
        <v>31684</v>
      </c>
      <c r="K599" s="1">
        <f t="shared" si="46"/>
        <v>2304</v>
      </c>
      <c r="L599" s="1">
        <f t="shared" si="47"/>
        <v>33988</v>
      </c>
      <c r="M599" s="1">
        <f t="shared" si="48"/>
        <v>184.35834670553976</v>
      </c>
      <c r="N599" s="7">
        <f t="shared" si="49"/>
        <v>184.35834670553976</v>
      </c>
    </row>
    <row r="600" spans="1:14" x14ac:dyDescent="0.25">
      <c r="A600" t="str">
        <f>"14:00:21.211"</f>
        <v>14:00:21.211</v>
      </c>
      <c r="B600">
        <v>39.266616999999997</v>
      </c>
      <c r="C600">
        <v>-77.260987999999998</v>
      </c>
      <c r="D600">
        <v>8700</v>
      </c>
      <c r="E600">
        <v>9075</v>
      </c>
      <c r="F600">
        <v>178</v>
      </c>
      <c r="G600">
        <v>48</v>
      </c>
      <c r="H600">
        <v>-64</v>
      </c>
      <c r="J600" s="1">
        <f t="shared" si="45"/>
        <v>31684</v>
      </c>
      <c r="K600" s="1">
        <f t="shared" si="46"/>
        <v>2304</v>
      </c>
      <c r="L600" s="1">
        <f t="shared" si="47"/>
        <v>33988</v>
      </c>
      <c r="M600" s="1">
        <f t="shared" si="48"/>
        <v>184.35834670553976</v>
      </c>
      <c r="N600" s="7">
        <f t="shared" si="49"/>
        <v>184.35834670553976</v>
      </c>
    </row>
    <row r="601" spans="1:14" x14ac:dyDescent="0.25">
      <c r="A601" t="str">
        <f>"14:00:22.227"</f>
        <v>14:00:22.227</v>
      </c>
      <c r="B601">
        <v>39.266852999999998</v>
      </c>
      <c r="C601">
        <v>-77.259957999999997</v>
      </c>
      <c r="D601">
        <v>8700</v>
      </c>
      <c r="E601">
        <v>9075</v>
      </c>
      <c r="F601">
        <v>178</v>
      </c>
      <c r="G601">
        <v>49</v>
      </c>
      <c r="H601">
        <v>-192</v>
      </c>
      <c r="J601" s="1">
        <f t="shared" si="45"/>
        <v>31684</v>
      </c>
      <c r="K601" s="1">
        <f t="shared" si="46"/>
        <v>2401</v>
      </c>
      <c r="L601" s="1">
        <f t="shared" si="47"/>
        <v>34085</v>
      </c>
      <c r="M601" s="1">
        <f t="shared" si="48"/>
        <v>184.6212338816963</v>
      </c>
      <c r="N601" s="7">
        <f t="shared" si="49"/>
        <v>184.6212338816963</v>
      </c>
    </row>
    <row r="602" spans="1:14" x14ac:dyDescent="0.25">
      <c r="A602" t="str">
        <f>"14:00:23.086"</f>
        <v>14:00:23.086</v>
      </c>
      <c r="B602">
        <v>39.267068000000002</v>
      </c>
      <c r="C602">
        <v>-77.258971000000003</v>
      </c>
      <c r="D602">
        <v>8700</v>
      </c>
      <c r="E602">
        <v>9075</v>
      </c>
      <c r="F602">
        <v>178</v>
      </c>
      <c r="G602">
        <v>51</v>
      </c>
      <c r="H602">
        <v>-256</v>
      </c>
      <c r="J602" s="1">
        <f t="shared" si="45"/>
        <v>31684</v>
      </c>
      <c r="K602" s="1">
        <f t="shared" si="46"/>
        <v>2601</v>
      </c>
      <c r="L602" s="1">
        <f t="shared" si="47"/>
        <v>34285</v>
      </c>
      <c r="M602" s="1">
        <f t="shared" si="48"/>
        <v>185.16209115258988</v>
      </c>
      <c r="N602" s="7">
        <f t="shared" si="49"/>
        <v>185.16209115258988</v>
      </c>
    </row>
    <row r="603" spans="1:14" x14ac:dyDescent="0.25">
      <c r="A603" t="str">
        <f>"14:00:24.094"</f>
        <v>14:00:24.094</v>
      </c>
      <c r="B603">
        <v>39.267282000000002</v>
      </c>
      <c r="C603">
        <v>-77.257941000000002</v>
      </c>
      <c r="D603">
        <v>8700</v>
      </c>
      <c r="E603">
        <v>9050</v>
      </c>
      <c r="F603">
        <v>177</v>
      </c>
      <c r="G603">
        <v>53</v>
      </c>
      <c r="H603">
        <v>-320</v>
      </c>
      <c r="J603" s="1">
        <f t="shared" si="45"/>
        <v>31329</v>
      </c>
      <c r="K603" s="1">
        <f t="shared" si="46"/>
        <v>2809</v>
      </c>
      <c r="L603" s="1">
        <f t="shared" si="47"/>
        <v>34138</v>
      </c>
      <c r="M603" s="1">
        <f t="shared" si="48"/>
        <v>184.76471524617463</v>
      </c>
      <c r="N603" s="7">
        <f t="shared" si="49"/>
        <v>184.76471524617463</v>
      </c>
    </row>
    <row r="604" spans="1:14" x14ac:dyDescent="0.25">
      <c r="A604" t="str">
        <f>"14:00:25.102"</f>
        <v>14:00:25.102</v>
      </c>
      <c r="B604">
        <v>39.267561000000001</v>
      </c>
      <c r="C604">
        <v>-77.256867999999997</v>
      </c>
      <c r="D604">
        <v>8700</v>
      </c>
      <c r="E604">
        <v>9050</v>
      </c>
      <c r="F604">
        <v>177</v>
      </c>
      <c r="G604">
        <v>54</v>
      </c>
      <c r="H604">
        <v>-256</v>
      </c>
      <c r="J604" s="1">
        <f t="shared" si="45"/>
        <v>31329</v>
      </c>
      <c r="K604" s="1">
        <f t="shared" si="46"/>
        <v>2916</v>
      </c>
      <c r="L604" s="1">
        <f t="shared" si="47"/>
        <v>34245</v>
      </c>
      <c r="M604" s="1">
        <f t="shared" si="48"/>
        <v>185.05404615949362</v>
      </c>
      <c r="N604" s="7">
        <f t="shared" si="49"/>
        <v>185.05404615949362</v>
      </c>
    </row>
    <row r="605" spans="1:14" x14ac:dyDescent="0.25">
      <c r="A605" t="str">
        <f>"14:00:26.109"</f>
        <v>14:00:26.109</v>
      </c>
      <c r="B605">
        <v>39.267797000000002</v>
      </c>
      <c r="C605">
        <v>-77.255795000000006</v>
      </c>
      <c r="D605">
        <v>8700</v>
      </c>
      <c r="E605">
        <v>9050</v>
      </c>
      <c r="F605">
        <v>177</v>
      </c>
      <c r="G605">
        <v>55</v>
      </c>
      <c r="H605">
        <v>-256</v>
      </c>
      <c r="J605" s="1">
        <f t="shared" si="45"/>
        <v>31329</v>
      </c>
      <c r="K605" s="1">
        <f t="shared" si="46"/>
        <v>3025</v>
      </c>
      <c r="L605" s="1">
        <f t="shared" si="47"/>
        <v>34354</v>
      </c>
      <c r="M605" s="1">
        <f t="shared" si="48"/>
        <v>185.34832073693033</v>
      </c>
      <c r="N605" s="7">
        <f t="shared" si="49"/>
        <v>185.34832073693033</v>
      </c>
    </row>
    <row r="606" spans="1:14" x14ac:dyDescent="0.25">
      <c r="A606" t="str">
        <f>"14:00:27.172"</f>
        <v>14:00:27.172</v>
      </c>
      <c r="B606">
        <v>39.268076000000001</v>
      </c>
      <c r="C606">
        <v>-77.254636000000005</v>
      </c>
      <c r="D606">
        <v>8700</v>
      </c>
      <c r="E606">
        <v>9050</v>
      </c>
      <c r="F606">
        <v>178</v>
      </c>
      <c r="G606">
        <v>56</v>
      </c>
      <c r="H606">
        <v>-256</v>
      </c>
      <c r="J606" s="1">
        <f t="shared" si="45"/>
        <v>31684</v>
      </c>
      <c r="K606" s="1">
        <f t="shared" si="46"/>
        <v>3136</v>
      </c>
      <c r="L606" s="1">
        <f t="shared" si="47"/>
        <v>34820</v>
      </c>
      <c r="M606" s="1">
        <f t="shared" si="48"/>
        <v>186.60117898877274</v>
      </c>
      <c r="N606" s="7">
        <f t="shared" si="49"/>
        <v>186.60117898877274</v>
      </c>
    </row>
    <row r="607" spans="1:14" x14ac:dyDescent="0.25">
      <c r="A607" t="str">
        <f>"14:00:28.234"</f>
        <v>14:00:28.234</v>
      </c>
      <c r="B607">
        <v>39.268355</v>
      </c>
      <c r="C607">
        <v>-77.253606000000005</v>
      </c>
      <c r="D607">
        <v>8700</v>
      </c>
      <c r="E607">
        <v>9050</v>
      </c>
      <c r="F607">
        <v>178</v>
      </c>
      <c r="G607">
        <v>56</v>
      </c>
      <c r="H607">
        <v>-256</v>
      </c>
      <c r="J607" s="1">
        <f t="shared" si="45"/>
        <v>31684</v>
      </c>
      <c r="K607" s="1">
        <f t="shared" si="46"/>
        <v>3136</v>
      </c>
      <c r="L607" s="1">
        <f t="shared" si="47"/>
        <v>34820</v>
      </c>
      <c r="M607" s="1">
        <f t="shared" si="48"/>
        <v>186.60117898877274</v>
      </c>
      <c r="N607" s="7">
        <f t="shared" si="49"/>
        <v>186.60117898877274</v>
      </c>
    </row>
    <row r="608" spans="1:14" x14ac:dyDescent="0.25">
      <c r="A608" t="str">
        <f>"14:00:29.141"</f>
        <v>14:00:29.141</v>
      </c>
      <c r="B608">
        <v>39.268569999999997</v>
      </c>
      <c r="C608">
        <v>-77.252640999999997</v>
      </c>
      <c r="D608">
        <v>8700</v>
      </c>
      <c r="E608">
        <v>9050</v>
      </c>
      <c r="F608">
        <v>178</v>
      </c>
      <c r="G608">
        <v>56</v>
      </c>
      <c r="H608">
        <v>-256</v>
      </c>
      <c r="J608" s="1">
        <f t="shared" si="45"/>
        <v>31684</v>
      </c>
      <c r="K608" s="1">
        <f t="shared" si="46"/>
        <v>3136</v>
      </c>
      <c r="L608" s="1">
        <f t="shared" si="47"/>
        <v>34820</v>
      </c>
      <c r="M608" s="1">
        <f t="shared" si="48"/>
        <v>186.60117898877274</v>
      </c>
      <c r="N608" s="7">
        <f t="shared" si="49"/>
        <v>186.60117898877274</v>
      </c>
    </row>
    <row r="609" spans="1:14" x14ac:dyDescent="0.25">
      <c r="A609" t="str">
        <f>"14:00:30.250"</f>
        <v>14:00:30.250</v>
      </c>
      <c r="B609">
        <v>39.26887</v>
      </c>
      <c r="C609">
        <v>-77.251461000000006</v>
      </c>
      <c r="D609">
        <v>8700</v>
      </c>
      <c r="E609">
        <v>9025</v>
      </c>
      <c r="F609">
        <v>178</v>
      </c>
      <c r="G609">
        <v>57</v>
      </c>
      <c r="H609">
        <v>-256</v>
      </c>
      <c r="J609" s="1">
        <f t="shared" si="45"/>
        <v>31684</v>
      </c>
      <c r="K609" s="1">
        <f t="shared" si="46"/>
        <v>3249</v>
      </c>
      <c r="L609" s="1">
        <f t="shared" si="47"/>
        <v>34933</v>
      </c>
      <c r="M609" s="1">
        <f t="shared" si="48"/>
        <v>186.90371852908652</v>
      </c>
      <c r="N609" s="7">
        <f t="shared" si="49"/>
        <v>186.90371852908652</v>
      </c>
    </row>
    <row r="610" spans="1:14" x14ac:dyDescent="0.25">
      <c r="A610" t="str">
        <f>"14:00:31.359"</f>
        <v>14:00:31.359</v>
      </c>
      <c r="B610">
        <v>39.269171</v>
      </c>
      <c r="C610">
        <v>-77.250302000000005</v>
      </c>
      <c r="D610">
        <v>8700</v>
      </c>
      <c r="E610">
        <v>9025</v>
      </c>
      <c r="F610">
        <v>178</v>
      </c>
      <c r="G610">
        <v>57</v>
      </c>
      <c r="H610">
        <v>-192</v>
      </c>
      <c r="J610" s="1">
        <f t="shared" si="45"/>
        <v>31684</v>
      </c>
      <c r="K610" s="1">
        <f t="shared" si="46"/>
        <v>3249</v>
      </c>
      <c r="L610" s="1">
        <f t="shared" si="47"/>
        <v>34933</v>
      </c>
      <c r="M610" s="1">
        <f t="shared" si="48"/>
        <v>186.90371852908652</v>
      </c>
      <c r="N610" s="7">
        <f t="shared" si="49"/>
        <v>186.90371852908652</v>
      </c>
    </row>
    <row r="611" spans="1:14" x14ac:dyDescent="0.25">
      <c r="A611" t="str">
        <f>"14:00:32.320"</f>
        <v>14:00:32.320</v>
      </c>
      <c r="B611">
        <v>39.269449999999999</v>
      </c>
      <c r="C611">
        <v>-77.249229</v>
      </c>
      <c r="D611">
        <v>8700</v>
      </c>
      <c r="E611">
        <v>9025</v>
      </c>
      <c r="F611">
        <v>179</v>
      </c>
      <c r="G611">
        <v>56</v>
      </c>
      <c r="H611">
        <v>-128</v>
      </c>
      <c r="J611" s="1">
        <f t="shared" si="45"/>
        <v>32041</v>
      </c>
      <c r="K611" s="1">
        <f t="shared" si="46"/>
        <v>3136</v>
      </c>
      <c r="L611" s="1">
        <f t="shared" si="47"/>
        <v>35177</v>
      </c>
      <c r="M611" s="1">
        <f t="shared" si="48"/>
        <v>187.55532517100121</v>
      </c>
      <c r="N611" s="7">
        <f t="shared" si="49"/>
        <v>187.55532517100121</v>
      </c>
    </row>
    <row r="612" spans="1:14" x14ac:dyDescent="0.25">
      <c r="A612" t="str">
        <f>"14:00:33.477"</f>
        <v>14:00:33.477</v>
      </c>
      <c r="B612">
        <v>39.269750000000002</v>
      </c>
      <c r="C612">
        <v>-77.247984000000002</v>
      </c>
      <c r="D612">
        <v>8700</v>
      </c>
      <c r="E612">
        <v>9025</v>
      </c>
      <c r="F612">
        <v>179</v>
      </c>
      <c r="G612">
        <v>56</v>
      </c>
      <c r="H612">
        <v>-128</v>
      </c>
      <c r="J612" s="1">
        <f t="shared" si="45"/>
        <v>32041</v>
      </c>
      <c r="K612" s="1">
        <f t="shared" si="46"/>
        <v>3136</v>
      </c>
      <c r="L612" s="1">
        <f t="shared" si="47"/>
        <v>35177</v>
      </c>
      <c r="M612" s="1">
        <f t="shared" si="48"/>
        <v>187.55532517100121</v>
      </c>
      <c r="N612" s="7">
        <f t="shared" si="49"/>
        <v>187.55532517100121</v>
      </c>
    </row>
    <row r="613" spans="1:14" x14ac:dyDescent="0.25">
      <c r="A613" t="str">
        <f>"14:00:34.492"</f>
        <v>14:00:34.492</v>
      </c>
      <c r="B613">
        <v>39.269986000000003</v>
      </c>
      <c r="C613">
        <v>-77.246911999999995</v>
      </c>
      <c r="D613">
        <v>8700</v>
      </c>
      <c r="E613">
        <v>9025</v>
      </c>
      <c r="F613">
        <v>179</v>
      </c>
      <c r="G613">
        <v>56</v>
      </c>
      <c r="H613">
        <v>-192</v>
      </c>
      <c r="J613" s="1">
        <f t="shared" si="45"/>
        <v>32041</v>
      </c>
      <c r="K613" s="1">
        <f t="shared" si="46"/>
        <v>3136</v>
      </c>
      <c r="L613" s="1">
        <f t="shared" si="47"/>
        <v>35177</v>
      </c>
      <c r="M613" s="1">
        <f t="shared" si="48"/>
        <v>187.55532517100121</v>
      </c>
      <c r="N613" s="7">
        <f t="shared" si="49"/>
        <v>187.55532517100121</v>
      </c>
    </row>
    <row r="614" spans="1:14" x14ac:dyDescent="0.25">
      <c r="A614" t="str">
        <f>"14:00:35.297"</f>
        <v>14:00:35.297</v>
      </c>
      <c r="B614">
        <v>39.270221999999997</v>
      </c>
      <c r="C614">
        <v>-77.246075000000005</v>
      </c>
      <c r="D614">
        <v>8700</v>
      </c>
      <c r="E614">
        <v>9025</v>
      </c>
      <c r="F614">
        <v>179</v>
      </c>
      <c r="G614">
        <v>57</v>
      </c>
      <c r="H614">
        <v>-128</v>
      </c>
      <c r="J614" s="1">
        <f t="shared" si="45"/>
        <v>32041</v>
      </c>
      <c r="K614" s="1">
        <f t="shared" si="46"/>
        <v>3249</v>
      </c>
      <c r="L614" s="1">
        <f t="shared" si="47"/>
        <v>35290</v>
      </c>
      <c r="M614" s="1">
        <f t="shared" si="48"/>
        <v>187.85632808079689</v>
      </c>
      <c r="N614" s="7">
        <f t="shared" si="49"/>
        <v>187.85632808079689</v>
      </c>
    </row>
    <row r="615" spans="1:14" x14ac:dyDescent="0.25">
      <c r="A615" t="str">
        <f>"14:00:36.305"</f>
        <v>14:00:36.305</v>
      </c>
      <c r="B615">
        <v>39.270501000000003</v>
      </c>
      <c r="C615">
        <v>-77.245001999999999</v>
      </c>
      <c r="D615">
        <v>8700</v>
      </c>
      <c r="E615">
        <v>9025</v>
      </c>
      <c r="F615">
        <v>179</v>
      </c>
      <c r="G615">
        <v>59</v>
      </c>
      <c r="H615">
        <v>-64</v>
      </c>
      <c r="J615" s="1">
        <f t="shared" si="45"/>
        <v>32041</v>
      </c>
      <c r="K615" s="1">
        <f t="shared" si="46"/>
        <v>3481</v>
      </c>
      <c r="L615" s="1">
        <f t="shared" si="47"/>
        <v>35522</v>
      </c>
      <c r="M615" s="1">
        <f t="shared" si="48"/>
        <v>188.4728097100481</v>
      </c>
      <c r="N615" s="7">
        <f t="shared" si="49"/>
        <v>188.4728097100481</v>
      </c>
    </row>
    <row r="616" spans="1:14" x14ac:dyDescent="0.25">
      <c r="A616" t="str">
        <f>"14:00:37.313"</f>
        <v>14:00:37.313</v>
      </c>
      <c r="B616">
        <v>39.270758999999998</v>
      </c>
      <c r="C616">
        <v>-77.243906999999993</v>
      </c>
      <c r="D616">
        <v>8700</v>
      </c>
      <c r="E616">
        <v>9025</v>
      </c>
      <c r="F616">
        <v>178</v>
      </c>
      <c r="G616">
        <v>62</v>
      </c>
      <c r="H616">
        <v>-64</v>
      </c>
      <c r="J616" s="1">
        <f t="shared" si="45"/>
        <v>31684</v>
      </c>
      <c r="K616" s="1">
        <f t="shared" si="46"/>
        <v>3844</v>
      </c>
      <c r="L616" s="1">
        <f t="shared" si="47"/>
        <v>35528</v>
      </c>
      <c r="M616" s="1">
        <f t="shared" si="48"/>
        <v>188.48872645333461</v>
      </c>
      <c r="N616" s="7">
        <f t="shared" si="49"/>
        <v>188.48872645333461</v>
      </c>
    </row>
    <row r="617" spans="1:14" x14ac:dyDescent="0.25">
      <c r="A617" t="str">
        <f>"14:00:38.273"</f>
        <v>14:00:38.273</v>
      </c>
      <c r="B617">
        <v>39.271079999999998</v>
      </c>
      <c r="C617">
        <v>-77.242834999999999</v>
      </c>
      <c r="D617">
        <v>8700</v>
      </c>
      <c r="E617">
        <v>9025</v>
      </c>
      <c r="F617">
        <v>176</v>
      </c>
      <c r="G617">
        <v>66</v>
      </c>
      <c r="H617">
        <v>-64</v>
      </c>
      <c r="J617" s="1">
        <f t="shared" si="45"/>
        <v>30976</v>
      </c>
      <c r="K617" s="1">
        <f t="shared" si="46"/>
        <v>4356</v>
      </c>
      <c r="L617" s="1">
        <f t="shared" si="47"/>
        <v>35332</v>
      </c>
      <c r="M617" s="1">
        <f t="shared" si="48"/>
        <v>187.96808239698569</v>
      </c>
      <c r="N617" s="7">
        <f t="shared" si="49"/>
        <v>187.96808239698569</v>
      </c>
    </row>
    <row r="618" spans="1:14" x14ac:dyDescent="0.25">
      <c r="A618" t="str">
        <f>"14:00:39.281"</f>
        <v>14:00:39.281</v>
      </c>
      <c r="B618">
        <v>39.271402000000002</v>
      </c>
      <c r="C618">
        <v>-77.241826000000003</v>
      </c>
      <c r="D618">
        <v>8700</v>
      </c>
      <c r="E618">
        <v>9025</v>
      </c>
      <c r="F618">
        <v>175</v>
      </c>
      <c r="G618">
        <v>70</v>
      </c>
      <c r="H618">
        <v>-64</v>
      </c>
      <c r="J618" s="1">
        <f t="shared" si="45"/>
        <v>30625</v>
      </c>
      <c r="K618" s="1">
        <f t="shared" si="46"/>
        <v>4900</v>
      </c>
      <c r="L618" s="1">
        <f t="shared" si="47"/>
        <v>35525</v>
      </c>
      <c r="M618" s="1">
        <f t="shared" si="48"/>
        <v>188.48076824970764</v>
      </c>
      <c r="N618" s="7">
        <f t="shared" si="49"/>
        <v>188.48076824970764</v>
      </c>
    </row>
    <row r="619" spans="1:14" x14ac:dyDescent="0.25">
      <c r="A619" t="str">
        <f>"14:00:40.242"</f>
        <v>14:00:40.242</v>
      </c>
      <c r="B619">
        <v>39.271746</v>
      </c>
      <c r="C619">
        <v>-77.240903000000003</v>
      </c>
      <c r="D619">
        <v>8700</v>
      </c>
      <c r="E619">
        <v>9025</v>
      </c>
      <c r="F619">
        <v>173</v>
      </c>
      <c r="G619">
        <v>74</v>
      </c>
      <c r="H619">
        <v>-64</v>
      </c>
      <c r="J619" s="1">
        <f t="shared" si="45"/>
        <v>29929</v>
      </c>
      <c r="K619" s="1">
        <f t="shared" si="46"/>
        <v>5476</v>
      </c>
      <c r="L619" s="1">
        <f t="shared" si="47"/>
        <v>35405</v>
      </c>
      <c r="M619" s="1">
        <f t="shared" si="48"/>
        <v>188.16216410320115</v>
      </c>
      <c r="N619" s="7">
        <f t="shared" si="49"/>
        <v>188.16216410320115</v>
      </c>
    </row>
    <row r="620" spans="1:14" x14ac:dyDescent="0.25">
      <c r="A620" t="str">
        <f>"14:00:41.352"</f>
        <v>14:00:41.352</v>
      </c>
      <c r="B620">
        <v>39.272174999999997</v>
      </c>
      <c r="C620">
        <v>-77.239680000000007</v>
      </c>
      <c r="D620">
        <v>8700</v>
      </c>
      <c r="E620">
        <v>9000</v>
      </c>
      <c r="F620">
        <v>171</v>
      </c>
      <c r="G620">
        <v>79</v>
      </c>
      <c r="H620">
        <v>-64</v>
      </c>
      <c r="J620" s="1">
        <f t="shared" si="45"/>
        <v>29241</v>
      </c>
      <c r="K620" s="1">
        <f t="shared" si="46"/>
        <v>6241</v>
      </c>
      <c r="L620" s="1">
        <f t="shared" si="47"/>
        <v>35482</v>
      </c>
      <c r="M620" s="1">
        <f t="shared" si="48"/>
        <v>188.36666371733614</v>
      </c>
      <c r="N620" s="7">
        <f t="shared" si="49"/>
        <v>188.36666371733614</v>
      </c>
    </row>
    <row r="621" spans="1:14" x14ac:dyDescent="0.25">
      <c r="A621" t="str">
        <f>"14:00:42.211"</f>
        <v>14:00:42.211</v>
      </c>
      <c r="B621">
        <v>39.272497000000001</v>
      </c>
      <c r="C621">
        <v>-77.238885999999994</v>
      </c>
      <c r="D621">
        <v>8700</v>
      </c>
      <c r="E621">
        <v>9000</v>
      </c>
      <c r="F621">
        <v>169</v>
      </c>
      <c r="G621">
        <v>83</v>
      </c>
      <c r="H621">
        <v>0</v>
      </c>
      <c r="J621" s="1">
        <f t="shared" si="45"/>
        <v>28561</v>
      </c>
      <c r="K621" s="1">
        <f t="shared" si="46"/>
        <v>6889</v>
      </c>
      <c r="L621" s="1">
        <f t="shared" si="47"/>
        <v>35450</v>
      </c>
      <c r="M621" s="1">
        <f t="shared" si="48"/>
        <v>188.2817038376273</v>
      </c>
      <c r="N621" s="7">
        <f t="shared" si="49"/>
        <v>188.2817038376273</v>
      </c>
    </row>
    <row r="622" spans="1:14" x14ac:dyDescent="0.25">
      <c r="A622" t="str">
        <f>"14:00:43.172"</f>
        <v>14:00:43.172</v>
      </c>
      <c r="B622">
        <v>39.272860999999999</v>
      </c>
      <c r="C622">
        <v>-77.237921</v>
      </c>
      <c r="D622">
        <v>8700</v>
      </c>
      <c r="E622">
        <v>9025</v>
      </c>
      <c r="F622">
        <v>167</v>
      </c>
      <c r="G622">
        <v>86</v>
      </c>
      <c r="H622">
        <v>128</v>
      </c>
      <c r="J622" s="1">
        <f t="shared" si="45"/>
        <v>27889</v>
      </c>
      <c r="K622" s="1">
        <f t="shared" si="46"/>
        <v>7396</v>
      </c>
      <c r="L622" s="1">
        <f t="shared" si="47"/>
        <v>35285</v>
      </c>
      <c r="M622" s="1">
        <f t="shared" si="48"/>
        <v>187.84301956687131</v>
      </c>
      <c r="N622" s="7">
        <f t="shared" si="49"/>
        <v>187.84301956687131</v>
      </c>
    </row>
    <row r="623" spans="1:14" x14ac:dyDescent="0.25">
      <c r="A623" t="str">
        <f>"14:00:44.234"</f>
        <v>14:00:44.234</v>
      </c>
      <c r="B623">
        <v>39.273333999999998</v>
      </c>
      <c r="C623">
        <v>-77.236805000000004</v>
      </c>
      <c r="D623">
        <v>8700</v>
      </c>
      <c r="E623">
        <v>9025</v>
      </c>
      <c r="F623">
        <v>166</v>
      </c>
      <c r="G623">
        <v>88</v>
      </c>
      <c r="H623">
        <v>192</v>
      </c>
      <c r="J623" s="1">
        <f t="shared" si="45"/>
        <v>27556</v>
      </c>
      <c r="K623" s="1">
        <f t="shared" si="46"/>
        <v>7744</v>
      </c>
      <c r="L623" s="1">
        <f t="shared" si="47"/>
        <v>35300</v>
      </c>
      <c r="M623" s="1">
        <f t="shared" si="48"/>
        <v>187.88294228055935</v>
      </c>
      <c r="N623" s="7">
        <f t="shared" si="49"/>
        <v>187.88294228055935</v>
      </c>
    </row>
    <row r="624" spans="1:14" x14ac:dyDescent="0.25">
      <c r="A624" t="str">
        <f>"14:00:45.391"</f>
        <v>14:00:45.391</v>
      </c>
      <c r="B624">
        <v>39.273806</v>
      </c>
      <c r="C624">
        <v>-77.235710999999995</v>
      </c>
      <c r="D624">
        <v>8700</v>
      </c>
      <c r="E624">
        <v>9025</v>
      </c>
      <c r="F624">
        <v>165</v>
      </c>
      <c r="G624">
        <v>90</v>
      </c>
      <c r="H624">
        <v>256</v>
      </c>
      <c r="J624" s="1">
        <f t="shared" si="45"/>
        <v>27225</v>
      </c>
      <c r="K624" s="1">
        <f t="shared" si="46"/>
        <v>8100</v>
      </c>
      <c r="L624" s="1">
        <f t="shared" si="47"/>
        <v>35325</v>
      </c>
      <c r="M624" s="1">
        <f t="shared" si="48"/>
        <v>187.94946129212502</v>
      </c>
      <c r="N624" s="7">
        <f t="shared" si="49"/>
        <v>187.94946129212502</v>
      </c>
    </row>
    <row r="625" spans="1:14" x14ac:dyDescent="0.25">
      <c r="A625" t="str">
        <f>"14:00:46.508"</f>
        <v>14:00:46.508</v>
      </c>
      <c r="B625">
        <v>39.274256000000001</v>
      </c>
      <c r="C625">
        <v>-77.234658999999994</v>
      </c>
      <c r="D625">
        <v>8700</v>
      </c>
      <c r="E625">
        <v>9025</v>
      </c>
      <c r="F625">
        <v>163</v>
      </c>
      <c r="G625">
        <v>91</v>
      </c>
      <c r="H625">
        <v>320</v>
      </c>
      <c r="J625" s="1">
        <f t="shared" si="45"/>
        <v>26569</v>
      </c>
      <c r="K625" s="1">
        <f t="shared" si="46"/>
        <v>8281</v>
      </c>
      <c r="L625" s="1">
        <f t="shared" si="47"/>
        <v>34850</v>
      </c>
      <c r="M625" s="1">
        <f t="shared" si="48"/>
        <v>186.6815470259447</v>
      </c>
      <c r="N625" s="7">
        <f t="shared" si="49"/>
        <v>186.6815470259447</v>
      </c>
    </row>
    <row r="626" spans="1:14" x14ac:dyDescent="0.25">
      <c r="A626" t="str">
        <f>"14:00:47.563"</f>
        <v>14:00:47.563</v>
      </c>
      <c r="B626">
        <v>39.274664000000001</v>
      </c>
      <c r="C626">
        <v>-77.233715000000004</v>
      </c>
      <c r="D626">
        <v>8700</v>
      </c>
      <c r="E626">
        <v>9025</v>
      </c>
      <c r="F626">
        <v>163</v>
      </c>
      <c r="G626">
        <v>92</v>
      </c>
      <c r="H626">
        <v>320</v>
      </c>
      <c r="J626" s="1">
        <f t="shared" si="45"/>
        <v>26569</v>
      </c>
      <c r="K626" s="1">
        <f t="shared" si="46"/>
        <v>8464</v>
      </c>
      <c r="L626" s="1">
        <f t="shared" si="47"/>
        <v>35033</v>
      </c>
      <c r="M626" s="1">
        <f t="shared" si="48"/>
        <v>187.17104476921637</v>
      </c>
      <c r="N626" s="7">
        <f t="shared" si="49"/>
        <v>187.17104476921637</v>
      </c>
    </row>
    <row r="627" spans="1:14" x14ac:dyDescent="0.25">
      <c r="A627" t="str">
        <f>"14:00:48.617"</f>
        <v>14:00:48.617</v>
      </c>
      <c r="B627">
        <v>39.275136000000003</v>
      </c>
      <c r="C627">
        <v>-77.232598999999993</v>
      </c>
      <c r="D627">
        <v>8700</v>
      </c>
      <c r="E627">
        <v>9025</v>
      </c>
      <c r="F627">
        <v>162</v>
      </c>
      <c r="G627">
        <v>92</v>
      </c>
      <c r="H627">
        <v>256</v>
      </c>
      <c r="J627" s="1">
        <f t="shared" si="45"/>
        <v>26244</v>
      </c>
      <c r="K627" s="1">
        <f t="shared" si="46"/>
        <v>8464</v>
      </c>
      <c r="L627" s="1">
        <f t="shared" si="47"/>
        <v>34708</v>
      </c>
      <c r="M627" s="1">
        <f t="shared" si="48"/>
        <v>186.30083198955393</v>
      </c>
      <c r="N627" s="7">
        <f t="shared" si="49"/>
        <v>186.30083198955393</v>
      </c>
    </row>
    <row r="628" spans="1:14" x14ac:dyDescent="0.25">
      <c r="A628" t="str">
        <f>"14:00:49.984"</f>
        <v>14:00:49.984</v>
      </c>
      <c r="B628">
        <v>39.275758000000003</v>
      </c>
      <c r="C628">
        <v>-77.231268999999998</v>
      </c>
      <c r="D628">
        <v>8700</v>
      </c>
      <c r="E628">
        <v>9050</v>
      </c>
      <c r="F628">
        <v>162</v>
      </c>
      <c r="G628">
        <v>92</v>
      </c>
      <c r="H628">
        <v>128</v>
      </c>
      <c r="J628" s="1">
        <f t="shared" si="45"/>
        <v>26244</v>
      </c>
      <c r="K628" s="1">
        <f t="shared" si="46"/>
        <v>8464</v>
      </c>
      <c r="L628" s="1">
        <f t="shared" si="47"/>
        <v>34708</v>
      </c>
      <c r="M628" s="1">
        <f t="shared" si="48"/>
        <v>186.30083198955393</v>
      </c>
      <c r="N628" s="7">
        <f t="shared" si="49"/>
        <v>186.30083198955393</v>
      </c>
    </row>
    <row r="629" spans="1:14" x14ac:dyDescent="0.25">
      <c r="A629" t="str">
        <f>"14:00:50.891"</f>
        <v>14:00:50.891</v>
      </c>
      <c r="B629">
        <v>39.276122999999998</v>
      </c>
      <c r="C629">
        <v>-77.230431999999993</v>
      </c>
      <c r="D629">
        <v>8700</v>
      </c>
      <c r="E629">
        <v>9050</v>
      </c>
      <c r="F629">
        <v>162</v>
      </c>
      <c r="G629">
        <v>92</v>
      </c>
      <c r="H629">
        <v>64</v>
      </c>
      <c r="J629" s="1">
        <f t="shared" si="45"/>
        <v>26244</v>
      </c>
      <c r="K629" s="1">
        <f t="shared" si="46"/>
        <v>8464</v>
      </c>
      <c r="L629" s="1">
        <f t="shared" si="47"/>
        <v>34708</v>
      </c>
      <c r="M629" s="1">
        <f t="shared" si="48"/>
        <v>186.30083198955393</v>
      </c>
      <c r="N629" s="7">
        <f t="shared" si="49"/>
        <v>186.30083198955393</v>
      </c>
    </row>
    <row r="630" spans="1:14" x14ac:dyDescent="0.25">
      <c r="A630" t="str">
        <f>"14:00:51.898"</f>
        <v>14:00:51.898</v>
      </c>
      <c r="B630">
        <v>39.276530999999999</v>
      </c>
      <c r="C630">
        <v>-77.229466000000002</v>
      </c>
      <c r="D630">
        <v>8700</v>
      </c>
      <c r="E630">
        <v>9050</v>
      </c>
      <c r="F630">
        <v>162</v>
      </c>
      <c r="G630">
        <v>91</v>
      </c>
      <c r="H630">
        <v>0</v>
      </c>
      <c r="J630" s="1">
        <f t="shared" si="45"/>
        <v>26244</v>
      </c>
      <c r="K630" s="1">
        <f t="shared" si="46"/>
        <v>8281</v>
      </c>
      <c r="L630" s="1">
        <f t="shared" si="47"/>
        <v>34525</v>
      </c>
      <c r="M630" s="1">
        <f t="shared" si="48"/>
        <v>185.80904176062046</v>
      </c>
      <c r="N630" s="7">
        <f t="shared" si="49"/>
        <v>185.80904176062046</v>
      </c>
    </row>
    <row r="631" spans="1:14" x14ac:dyDescent="0.25">
      <c r="A631" t="str">
        <f>"14:00:53.008"</f>
        <v>14:00:53.008</v>
      </c>
      <c r="B631">
        <v>39.277003000000001</v>
      </c>
      <c r="C631">
        <v>-77.228393999999994</v>
      </c>
      <c r="D631">
        <v>8700</v>
      </c>
      <c r="E631">
        <v>9050</v>
      </c>
      <c r="F631">
        <v>162</v>
      </c>
      <c r="G631">
        <v>91</v>
      </c>
      <c r="H631">
        <v>-64</v>
      </c>
      <c r="J631" s="1">
        <f t="shared" si="45"/>
        <v>26244</v>
      </c>
      <c r="K631" s="1">
        <f t="shared" si="46"/>
        <v>8281</v>
      </c>
      <c r="L631" s="1">
        <f t="shared" si="47"/>
        <v>34525</v>
      </c>
      <c r="M631" s="1">
        <f t="shared" si="48"/>
        <v>185.80904176062046</v>
      </c>
      <c r="N631" s="7">
        <f t="shared" si="49"/>
        <v>185.80904176062046</v>
      </c>
    </row>
    <row r="632" spans="1:14" x14ac:dyDescent="0.25">
      <c r="A632" t="str">
        <f>"14:00:53.969"</f>
        <v>14:00:53.969</v>
      </c>
      <c r="B632">
        <v>39.277431999999997</v>
      </c>
      <c r="C632">
        <v>-77.227406999999999</v>
      </c>
      <c r="D632">
        <v>8700</v>
      </c>
      <c r="E632">
        <v>9050</v>
      </c>
      <c r="F632">
        <v>162</v>
      </c>
      <c r="G632">
        <v>91</v>
      </c>
      <c r="H632">
        <v>-128</v>
      </c>
      <c r="J632" s="1">
        <f t="shared" si="45"/>
        <v>26244</v>
      </c>
      <c r="K632" s="1">
        <f t="shared" si="46"/>
        <v>8281</v>
      </c>
      <c r="L632" s="1">
        <f t="shared" si="47"/>
        <v>34525</v>
      </c>
      <c r="M632" s="1">
        <f t="shared" si="48"/>
        <v>185.80904176062046</v>
      </c>
      <c r="N632" s="7">
        <f t="shared" si="49"/>
        <v>185.80904176062046</v>
      </c>
    </row>
    <row r="633" spans="1:14" x14ac:dyDescent="0.25">
      <c r="A633" t="str">
        <f>"14:00:55.078"</f>
        <v>14:00:55.078</v>
      </c>
      <c r="B633">
        <v>39.277903999999999</v>
      </c>
      <c r="C633">
        <v>-77.226354999999998</v>
      </c>
      <c r="D633">
        <v>8700</v>
      </c>
      <c r="E633">
        <v>9025</v>
      </c>
      <c r="F633">
        <v>163</v>
      </c>
      <c r="G633">
        <v>91</v>
      </c>
      <c r="H633">
        <v>-128</v>
      </c>
      <c r="J633" s="1">
        <f t="shared" si="45"/>
        <v>26569</v>
      </c>
      <c r="K633" s="1">
        <f t="shared" si="46"/>
        <v>8281</v>
      </c>
      <c r="L633" s="1">
        <f t="shared" si="47"/>
        <v>34850</v>
      </c>
      <c r="M633" s="1">
        <f t="shared" si="48"/>
        <v>186.6815470259447</v>
      </c>
      <c r="N633" s="7">
        <f t="shared" si="49"/>
        <v>186.6815470259447</v>
      </c>
    </row>
    <row r="634" spans="1:14" x14ac:dyDescent="0.25">
      <c r="A634" t="str">
        <f>"14:00:56.039"</f>
        <v>14:00:56.039</v>
      </c>
      <c r="B634">
        <v>39.278269000000002</v>
      </c>
      <c r="C634">
        <v>-77.225453999999999</v>
      </c>
      <c r="D634">
        <v>8700</v>
      </c>
      <c r="E634">
        <v>9025</v>
      </c>
      <c r="F634">
        <v>163</v>
      </c>
      <c r="G634">
        <v>90</v>
      </c>
      <c r="H634">
        <v>-192</v>
      </c>
      <c r="J634" s="1">
        <f t="shared" si="45"/>
        <v>26569</v>
      </c>
      <c r="K634" s="1">
        <f t="shared" si="46"/>
        <v>8100</v>
      </c>
      <c r="L634" s="1">
        <f t="shared" si="47"/>
        <v>34669</v>
      </c>
      <c r="M634" s="1">
        <f t="shared" si="48"/>
        <v>186.19613314996636</v>
      </c>
      <c r="N634" s="7">
        <f t="shared" si="49"/>
        <v>186.19613314996636</v>
      </c>
    </row>
    <row r="635" spans="1:14" x14ac:dyDescent="0.25">
      <c r="A635" t="str">
        <f>"14:00:57.000"</f>
        <v>14:00:57.000</v>
      </c>
      <c r="B635">
        <v>39.278677000000002</v>
      </c>
      <c r="C635">
        <v>-77.224487999999994</v>
      </c>
      <c r="D635">
        <v>8700</v>
      </c>
      <c r="E635">
        <v>9025</v>
      </c>
      <c r="F635">
        <v>163</v>
      </c>
      <c r="G635">
        <v>90</v>
      </c>
      <c r="H635">
        <v>-128</v>
      </c>
      <c r="J635" s="1">
        <f t="shared" si="45"/>
        <v>26569</v>
      </c>
      <c r="K635" s="1">
        <f t="shared" si="46"/>
        <v>8100</v>
      </c>
      <c r="L635" s="1">
        <f t="shared" si="47"/>
        <v>34669</v>
      </c>
      <c r="M635" s="1">
        <f t="shared" si="48"/>
        <v>186.19613314996636</v>
      </c>
      <c r="N635" s="7">
        <f t="shared" si="49"/>
        <v>186.19613314996636</v>
      </c>
    </row>
    <row r="636" spans="1:14" x14ac:dyDescent="0.25">
      <c r="A636" t="str">
        <f>"14:00:58.008"</f>
        <v>14:00:58.008</v>
      </c>
      <c r="B636">
        <v>39.279105999999999</v>
      </c>
      <c r="C636">
        <v>-77.223500999999999</v>
      </c>
      <c r="D636">
        <v>8700</v>
      </c>
      <c r="E636">
        <v>9025</v>
      </c>
      <c r="F636">
        <v>164</v>
      </c>
      <c r="G636">
        <v>89</v>
      </c>
      <c r="H636">
        <v>-64</v>
      </c>
      <c r="J636" s="1">
        <f t="shared" si="45"/>
        <v>26896</v>
      </c>
      <c r="K636" s="1">
        <f t="shared" si="46"/>
        <v>7921</v>
      </c>
      <c r="L636" s="1">
        <f t="shared" si="47"/>
        <v>34817</v>
      </c>
      <c r="M636" s="1">
        <f t="shared" si="48"/>
        <v>186.59314028120113</v>
      </c>
      <c r="N636" s="7">
        <f t="shared" si="49"/>
        <v>186.59314028120113</v>
      </c>
    </row>
    <row r="637" spans="1:14" x14ac:dyDescent="0.25">
      <c r="A637" t="str">
        <f>"14:00:59.117"</f>
        <v>14:00:59.117</v>
      </c>
      <c r="B637">
        <v>39.279555999999999</v>
      </c>
      <c r="C637">
        <v>-77.222427999999994</v>
      </c>
      <c r="D637">
        <v>8700</v>
      </c>
      <c r="E637">
        <v>9025</v>
      </c>
      <c r="F637">
        <v>164</v>
      </c>
      <c r="G637">
        <v>89</v>
      </c>
      <c r="H637">
        <v>-64</v>
      </c>
      <c r="J637" s="1">
        <f t="shared" si="45"/>
        <v>26896</v>
      </c>
      <c r="K637" s="1">
        <f t="shared" si="46"/>
        <v>7921</v>
      </c>
      <c r="L637" s="1">
        <f t="shared" si="47"/>
        <v>34817</v>
      </c>
      <c r="M637" s="1">
        <f t="shared" si="48"/>
        <v>186.59314028120113</v>
      </c>
      <c r="N637" s="7">
        <f t="shared" si="49"/>
        <v>186.59314028120113</v>
      </c>
    </row>
    <row r="638" spans="1:14" x14ac:dyDescent="0.25">
      <c r="A638" t="str">
        <f>"14:00:59.922"</f>
        <v>14:00:59.922</v>
      </c>
      <c r="B638">
        <v>39.279877999999997</v>
      </c>
      <c r="C638">
        <v>-77.221655999999996</v>
      </c>
      <c r="D638">
        <v>8700</v>
      </c>
      <c r="E638">
        <v>9025</v>
      </c>
      <c r="F638">
        <v>165</v>
      </c>
      <c r="G638">
        <v>88</v>
      </c>
      <c r="H638">
        <v>0</v>
      </c>
      <c r="J638" s="1">
        <f t="shared" si="45"/>
        <v>27225</v>
      </c>
      <c r="K638" s="1">
        <f t="shared" si="46"/>
        <v>7744</v>
      </c>
      <c r="L638" s="1">
        <f t="shared" si="47"/>
        <v>34969</v>
      </c>
      <c r="M638" s="1">
        <f t="shared" si="48"/>
        <v>187</v>
      </c>
      <c r="N638" s="7">
        <f t="shared" si="49"/>
        <v>187</v>
      </c>
    </row>
    <row r="639" spans="1:14" x14ac:dyDescent="0.25">
      <c r="A639" t="str">
        <f>"14:01:00.836"</f>
        <v>14:01:00.836</v>
      </c>
      <c r="B639">
        <v>39.280220999999997</v>
      </c>
      <c r="C639">
        <v>-77.220754999999997</v>
      </c>
      <c r="D639">
        <v>8700</v>
      </c>
      <c r="E639">
        <v>9025</v>
      </c>
      <c r="F639">
        <v>165</v>
      </c>
      <c r="G639">
        <v>88</v>
      </c>
      <c r="H639">
        <v>0</v>
      </c>
      <c r="J639" s="1">
        <f t="shared" si="45"/>
        <v>27225</v>
      </c>
      <c r="K639" s="1">
        <f t="shared" si="46"/>
        <v>7744</v>
      </c>
      <c r="L639" s="1">
        <f t="shared" si="47"/>
        <v>34969</v>
      </c>
      <c r="M639" s="1">
        <f t="shared" si="48"/>
        <v>187</v>
      </c>
      <c r="N639" s="7">
        <f t="shared" si="49"/>
        <v>187</v>
      </c>
    </row>
    <row r="640" spans="1:14" x14ac:dyDescent="0.25">
      <c r="A640" t="str">
        <f>"14:01:01.891"</f>
        <v>14:01:01.891</v>
      </c>
      <c r="B640">
        <v>39.280693999999997</v>
      </c>
      <c r="C640">
        <v>-77.219682000000006</v>
      </c>
      <c r="D640">
        <v>8700</v>
      </c>
      <c r="E640">
        <v>9025</v>
      </c>
      <c r="F640">
        <v>165</v>
      </c>
      <c r="G640">
        <v>87</v>
      </c>
      <c r="H640">
        <v>64</v>
      </c>
      <c r="J640" s="1">
        <f t="shared" si="45"/>
        <v>27225</v>
      </c>
      <c r="K640" s="1">
        <f t="shared" si="46"/>
        <v>7569</v>
      </c>
      <c r="L640" s="1">
        <f t="shared" si="47"/>
        <v>34794</v>
      </c>
      <c r="M640" s="1">
        <f t="shared" si="48"/>
        <v>186.53149868051776</v>
      </c>
      <c r="N640" s="7">
        <f t="shared" si="49"/>
        <v>186.53149868051776</v>
      </c>
    </row>
    <row r="641" spans="1:14" x14ac:dyDescent="0.25">
      <c r="A641" t="str">
        <f>"14:01:02.852"</f>
        <v>14:01:02.852</v>
      </c>
      <c r="B641">
        <v>39.281058000000002</v>
      </c>
      <c r="C641">
        <v>-77.218716000000001</v>
      </c>
      <c r="D641">
        <v>8700</v>
      </c>
      <c r="E641">
        <v>9025</v>
      </c>
      <c r="F641">
        <v>166</v>
      </c>
      <c r="G641">
        <v>86</v>
      </c>
      <c r="H641">
        <v>64</v>
      </c>
      <c r="J641" s="1">
        <f t="shared" si="45"/>
        <v>27556</v>
      </c>
      <c r="K641" s="1">
        <f t="shared" si="46"/>
        <v>7396</v>
      </c>
      <c r="L641" s="1">
        <f t="shared" si="47"/>
        <v>34952</v>
      </c>
      <c r="M641" s="1">
        <f t="shared" si="48"/>
        <v>186.95453992882869</v>
      </c>
      <c r="N641" s="7">
        <f t="shared" si="49"/>
        <v>186.95453992882869</v>
      </c>
    </row>
    <row r="642" spans="1:14" x14ac:dyDescent="0.25">
      <c r="A642" t="str">
        <f>"14:01:03.813"</f>
        <v>14:01:03.813</v>
      </c>
      <c r="B642">
        <v>39.281422999999997</v>
      </c>
      <c r="C642">
        <v>-77.217771999999997</v>
      </c>
      <c r="D642">
        <v>8700</v>
      </c>
      <c r="E642">
        <v>9025</v>
      </c>
      <c r="F642">
        <v>166</v>
      </c>
      <c r="G642">
        <v>85</v>
      </c>
      <c r="H642">
        <v>64</v>
      </c>
      <c r="J642" s="1">
        <f t="shared" si="45"/>
        <v>27556</v>
      </c>
      <c r="K642" s="1">
        <f t="shared" si="46"/>
        <v>7225</v>
      </c>
      <c r="L642" s="1">
        <f t="shared" si="47"/>
        <v>34781</v>
      </c>
      <c r="M642" s="1">
        <f t="shared" si="48"/>
        <v>186.49664876345634</v>
      </c>
      <c r="N642" s="7">
        <f t="shared" si="49"/>
        <v>186.49664876345634</v>
      </c>
    </row>
    <row r="643" spans="1:14" x14ac:dyDescent="0.25">
      <c r="A643" t="str">
        <f>"14:01:04.867"</f>
        <v>14:01:04.867</v>
      </c>
      <c r="B643">
        <v>39.281852000000001</v>
      </c>
      <c r="C643">
        <v>-77.216699000000006</v>
      </c>
      <c r="D643">
        <v>8700</v>
      </c>
      <c r="E643">
        <v>9025</v>
      </c>
      <c r="F643">
        <v>167</v>
      </c>
      <c r="G643">
        <v>84</v>
      </c>
      <c r="H643">
        <v>64</v>
      </c>
      <c r="J643" s="1">
        <f t="shared" ref="J643:J706" si="50">F643^2</f>
        <v>27889</v>
      </c>
      <c r="K643" s="1">
        <f t="shared" ref="K643:K706" si="51">G643^2</f>
        <v>7056</v>
      </c>
      <c r="L643" s="1">
        <f t="shared" ref="L643:L706" si="52">SUMSQ(F643,G643)</f>
        <v>34945</v>
      </c>
      <c r="M643" s="1">
        <f t="shared" ref="M643:M706" si="53">SQRT(L643)</f>
        <v>186.93581786270923</v>
      </c>
      <c r="N643" s="7">
        <f t="shared" ref="N643:N706" si="54">M643</f>
        <v>186.93581786270923</v>
      </c>
    </row>
    <row r="644" spans="1:14" x14ac:dyDescent="0.25">
      <c r="A644" t="str">
        <f>"14:01:05.828"</f>
        <v>14:01:05.828</v>
      </c>
      <c r="B644">
        <v>39.282217000000003</v>
      </c>
      <c r="C644">
        <v>-77.215818999999996</v>
      </c>
      <c r="D644">
        <v>8700</v>
      </c>
      <c r="E644">
        <v>9025</v>
      </c>
      <c r="F644">
        <v>167</v>
      </c>
      <c r="G644">
        <v>84</v>
      </c>
      <c r="H644">
        <v>0</v>
      </c>
      <c r="J644" s="1">
        <f t="shared" si="50"/>
        <v>27889</v>
      </c>
      <c r="K644" s="1">
        <f t="shared" si="51"/>
        <v>7056</v>
      </c>
      <c r="L644" s="1">
        <f t="shared" si="52"/>
        <v>34945</v>
      </c>
      <c r="M644" s="1">
        <f t="shared" si="53"/>
        <v>186.93581786270923</v>
      </c>
      <c r="N644" s="7">
        <f t="shared" si="54"/>
        <v>186.93581786270923</v>
      </c>
    </row>
    <row r="645" spans="1:14" x14ac:dyDescent="0.25">
      <c r="A645" t="str">
        <f>"14:01:06.734"</f>
        <v>14:01:06.734</v>
      </c>
      <c r="B645">
        <v>39.282603000000002</v>
      </c>
      <c r="C645">
        <v>-77.214788999999996</v>
      </c>
      <c r="D645">
        <v>8700</v>
      </c>
      <c r="E645">
        <v>9025</v>
      </c>
      <c r="F645">
        <v>168</v>
      </c>
      <c r="G645">
        <v>83</v>
      </c>
      <c r="H645">
        <v>0</v>
      </c>
      <c r="J645" s="1">
        <f t="shared" si="50"/>
        <v>28224</v>
      </c>
      <c r="K645" s="1">
        <f t="shared" si="51"/>
        <v>6889</v>
      </c>
      <c r="L645" s="1">
        <f t="shared" si="52"/>
        <v>35113</v>
      </c>
      <c r="M645" s="1">
        <f t="shared" si="53"/>
        <v>187.3846311734236</v>
      </c>
      <c r="N645" s="7">
        <f t="shared" si="54"/>
        <v>187.3846311734236</v>
      </c>
    </row>
    <row r="646" spans="1:14" x14ac:dyDescent="0.25">
      <c r="A646" t="str">
        <f>"14:01:07.797"</f>
        <v>14:01:07.797</v>
      </c>
      <c r="B646">
        <v>39.282967999999997</v>
      </c>
      <c r="C646">
        <v>-77.213802000000001</v>
      </c>
      <c r="D646">
        <v>8700</v>
      </c>
      <c r="E646">
        <v>9025</v>
      </c>
      <c r="F646">
        <v>168</v>
      </c>
      <c r="G646">
        <v>82</v>
      </c>
      <c r="H646">
        <v>0</v>
      </c>
      <c r="J646" s="1">
        <f t="shared" si="50"/>
        <v>28224</v>
      </c>
      <c r="K646" s="1">
        <f t="shared" si="51"/>
        <v>6724</v>
      </c>
      <c r="L646" s="1">
        <f t="shared" si="52"/>
        <v>34948</v>
      </c>
      <c r="M646" s="1">
        <f t="shared" si="53"/>
        <v>186.9438418349211</v>
      </c>
      <c r="N646" s="7">
        <f t="shared" si="54"/>
        <v>186.9438418349211</v>
      </c>
    </row>
    <row r="647" spans="1:14" x14ac:dyDescent="0.25">
      <c r="A647" t="str">
        <f>"14:01:08.805"</f>
        <v>14:01:08.805</v>
      </c>
      <c r="B647">
        <v>39.283332999999999</v>
      </c>
      <c r="C647">
        <v>-77.212772000000001</v>
      </c>
      <c r="D647">
        <v>8700</v>
      </c>
      <c r="E647">
        <v>9025</v>
      </c>
      <c r="F647">
        <v>169</v>
      </c>
      <c r="G647">
        <v>81</v>
      </c>
      <c r="H647">
        <v>0</v>
      </c>
      <c r="J647" s="1">
        <f t="shared" si="50"/>
        <v>28561</v>
      </c>
      <c r="K647" s="1">
        <f t="shared" si="51"/>
        <v>6561</v>
      </c>
      <c r="L647" s="1">
        <f t="shared" si="52"/>
        <v>35122</v>
      </c>
      <c r="M647" s="1">
        <f t="shared" si="53"/>
        <v>187.40864441108366</v>
      </c>
      <c r="N647" s="7">
        <f t="shared" si="54"/>
        <v>187.40864441108366</v>
      </c>
    </row>
    <row r="648" spans="1:14" x14ac:dyDescent="0.25">
      <c r="A648" t="str">
        <f>"14:01:09.867"</f>
        <v>14:01:09.867</v>
      </c>
      <c r="B648">
        <v>39.283718999999998</v>
      </c>
      <c r="C648">
        <v>-77.211785000000006</v>
      </c>
      <c r="D648">
        <v>8700</v>
      </c>
      <c r="E648">
        <v>9025</v>
      </c>
      <c r="F648">
        <v>170</v>
      </c>
      <c r="G648">
        <v>80</v>
      </c>
      <c r="H648">
        <v>0</v>
      </c>
      <c r="J648" s="1">
        <f t="shared" si="50"/>
        <v>28900</v>
      </c>
      <c r="K648" s="1">
        <f t="shared" si="51"/>
        <v>6400</v>
      </c>
      <c r="L648" s="1">
        <f t="shared" si="52"/>
        <v>35300</v>
      </c>
      <c r="M648" s="1">
        <f t="shared" si="53"/>
        <v>187.88294228055935</v>
      </c>
      <c r="N648" s="7">
        <f t="shared" si="54"/>
        <v>187.88294228055935</v>
      </c>
    </row>
    <row r="649" spans="1:14" x14ac:dyDescent="0.25">
      <c r="A649" t="str">
        <f>"14:01:10.930"</f>
        <v>14:01:10.930</v>
      </c>
      <c r="B649">
        <v>39.284084</v>
      </c>
      <c r="C649">
        <v>-77.210669999999993</v>
      </c>
      <c r="D649">
        <v>8700</v>
      </c>
      <c r="E649">
        <v>9025</v>
      </c>
      <c r="F649">
        <v>170</v>
      </c>
      <c r="G649">
        <v>79</v>
      </c>
      <c r="H649">
        <v>0</v>
      </c>
      <c r="J649" s="1">
        <f t="shared" si="50"/>
        <v>28900</v>
      </c>
      <c r="K649" s="1">
        <f t="shared" si="51"/>
        <v>6241</v>
      </c>
      <c r="L649" s="1">
        <f t="shared" si="52"/>
        <v>35141</v>
      </c>
      <c r="M649" s="1">
        <f t="shared" si="53"/>
        <v>187.45932892230249</v>
      </c>
      <c r="N649" s="7">
        <f t="shared" si="54"/>
        <v>187.45932892230249</v>
      </c>
    </row>
    <row r="650" spans="1:14" x14ac:dyDescent="0.25">
      <c r="A650" t="str">
        <f>"14:01:11.938"</f>
        <v>14:01:11.938</v>
      </c>
      <c r="B650">
        <v>39.284449000000002</v>
      </c>
      <c r="C650">
        <v>-77.209639999999993</v>
      </c>
      <c r="D650">
        <v>8700</v>
      </c>
      <c r="E650">
        <v>9025</v>
      </c>
      <c r="F650">
        <v>170</v>
      </c>
      <c r="G650">
        <v>79</v>
      </c>
      <c r="H650">
        <v>0</v>
      </c>
      <c r="J650" s="1">
        <f t="shared" si="50"/>
        <v>28900</v>
      </c>
      <c r="K650" s="1">
        <f t="shared" si="51"/>
        <v>6241</v>
      </c>
      <c r="L650" s="1">
        <f t="shared" si="52"/>
        <v>35141</v>
      </c>
      <c r="M650" s="1">
        <f t="shared" si="53"/>
        <v>187.45932892230249</v>
      </c>
      <c r="N650" s="7">
        <f t="shared" si="54"/>
        <v>187.45932892230249</v>
      </c>
    </row>
    <row r="651" spans="1:14" x14ac:dyDescent="0.25">
      <c r="A651" t="str">
        <f>"14:01:12.891"</f>
        <v>14:01:12.891</v>
      </c>
      <c r="B651">
        <v>39.284813</v>
      </c>
      <c r="C651">
        <v>-77.208630999999997</v>
      </c>
      <c r="D651">
        <v>8700</v>
      </c>
      <c r="E651">
        <v>9025</v>
      </c>
      <c r="F651">
        <v>171</v>
      </c>
      <c r="G651">
        <v>78</v>
      </c>
      <c r="H651">
        <v>0</v>
      </c>
      <c r="J651" s="1">
        <f t="shared" si="50"/>
        <v>29241</v>
      </c>
      <c r="K651" s="1">
        <f t="shared" si="51"/>
        <v>6084</v>
      </c>
      <c r="L651" s="1">
        <f t="shared" si="52"/>
        <v>35325</v>
      </c>
      <c r="M651" s="1">
        <f t="shared" si="53"/>
        <v>187.94946129212502</v>
      </c>
      <c r="N651" s="7">
        <f t="shared" si="54"/>
        <v>187.94946129212502</v>
      </c>
    </row>
    <row r="652" spans="1:14" x14ac:dyDescent="0.25">
      <c r="A652" t="str">
        <f>"14:01:13.953"</f>
        <v>14:01:13.953</v>
      </c>
      <c r="B652">
        <v>39.285178000000002</v>
      </c>
      <c r="C652">
        <v>-77.207622999999998</v>
      </c>
      <c r="D652">
        <v>8700</v>
      </c>
      <c r="E652">
        <v>9025</v>
      </c>
      <c r="F652">
        <v>171</v>
      </c>
      <c r="G652">
        <v>77</v>
      </c>
      <c r="H652">
        <v>0</v>
      </c>
      <c r="J652" s="1">
        <f t="shared" si="50"/>
        <v>29241</v>
      </c>
      <c r="K652" s="1">
        <f t="shared" si="51"/>
        <v>5929</v>
      </c>
      <c r="L652" s="1">
        <f t="shared" si="52"/>
        <v>35170</v>
      </c>
      <c r="M652" s="1">
        <f t="shared" si="53"/>
        <v>187.5366630821824</v>
      </c>
      <c r="N652" s="7">
        <f t="shared" si="54"/>
        <v>187.5366630821824</v>
      </c>
    </row>
    <row r="653" spans="1:14" x14ac:dyDescent="0.25">
      <c r="A653" t="str">
        <f>"14:01:14.914"</f>
        <v>14:01:14.914</v>
      </c>
      <c r="B653">
        <v>39.285542999999997</v>
      </c>
      <c r="C653">
        <v>-77.206592999999998</v>
      </c>
      <c r="D653">
        <v>8700</v>
      </c>
      <c r="E653">
        <v>9025</v>
      </c>
      <c r="F653">
        <v>171</v>
      </c>
      <c r="G653">
        <v>77</v>
      </c>
      <c r="H653">
        <v>0</v>
      </c>
      <c r="J653" s="1">
        <f t="shared" si="50"/>
        <v>29241</v>
      </c>
      <c r="K653" s="1">
        <f t="shared" si="51"/>
        <v>5929</v>
      </c>
      <c r="L653" s="1">
        <f t="shared" si="52"/>
        <v>35170</v>
      </c>
      <c r="M653" s="1">
        <f t="shared" si="53"/>
        <v>187.5366630821824</v>
      </c>
      <c r="N653" s="7">
        <f t="shared" si="54"/>
        <v>187.5366630821824</v>
      </c>
    </row>
    <row r="654" spans="1:14" x14ac:dyDescent="0.25">
      <c r="A654" t="str">
        <f>"14:01:15.875"</f>
        <v>14:01:15.875</v>
      </c>
      <c r="B654">
        <v>39.285929000000003</v>
      </c>
      <c r="C654">
        <v>-77.205584000000002</v>
      </c>
      <c r="D654">
        <v>8700</v>
      </c>
      <c r="E654">
        <v>9025</v>
      </c>
      <c r="F654">
        <v>171</v>
      </c>
      <c r="G654">
        <v>77</v>
      </c>
      <c r="H654">
        <v>0</v>
      </c>
      <c r="J654" s="1">
        <f t="shared" si="50"/>
        <v>29241</v>
      </c>
      <c r="K654" s="1">
        <f t="shared" si="51"/>
        <v>5929</v>
      </c>
      <c r="L654" s="1">
        <f t="shared" si="52"/>
        <v>35170</v>
      </c>
      <c r="M654" s="1">
        <f t="shared" si="53"/>
        <v>187.5366630821824</v>
      </c>
      <c r="N654" s="7">
        <f t="shared" si="54"/>
        <v>187.5366630821824</v>
      </c>
    </row>
    <row r="655" spans="1:14" x14ac:dyDescent="0.25">
      <c r="A655" t="str">
        <f>"14:01:16.930"</f>
        <v>14:01:16.930</v>
      </c>
      <c r="B655">
        <v>39.286230000000003</v>
      </c>
      <c r="C655">
        <v>-77.204576000000003</v>
      </c>
      <c r="D655">
        <v>8700</v>
      </c>
      <c r="E655">
        <v>9025</v>
      </c>
      <c r="F655">
        <v>172</v>
      </c>
      <c r="G655">
        <v>77</v>
      </c>
      <c r="H655">
        <v>0</v>
      </c>
      <c r="J655" s="1">
        <f t="shared" si="50"/>
        <v>29584</v>
      </c>
      <c r="K655" s="1">
        <f t="shared" si="51"/>
        <v>5929</v>
      </c>
      <c r="L655" s="1">
        <f t="shared" si="52"/>
        <v>35513</v>
      </c>
      <c r="M655" s="1">
        <f t="shared" si="53"/>
        <v>188.44893207444821</v>
      </c>
      <c r="N655" s="7">
        <f t="shared" si="54"/>
        <v>188.44893207444821</v>
      </c>
    </row>
    <row r="656" spans="1:14" x14ac:dyDescent="0.25">
      <c r="A656" t="str">
        <f>"14:01:17.992"</f>
        <v>14:01:17.992</v>
      </c>
      <c r="B656">
        <v>39.286636999999999</v>
      </c>
      <c r="C656">
        <v>-77.203438000000006</v>
      </c>
      <c r="D656">
        <v>8700</v>
      </c>
      <c r="E656">
        <v>9025</v>
      </c>
      <c r="F656">
        <v>172</v>
      </c>
      <c r="G656">
        <v>76</v>
      </c>
      <c r="H656">
        <v>0</v>
      </c>
      <c r="J656" s="1">
        <f t="shared" si="50"/>
        <v>29584</v>
      </c>
      <c r="K656" s="1">
        <f t="shared" si="51"/>
        <v>5776</v>
      </c>
      <c r="L656" s="1">
        <f t="shared" si="52"/>
        <v>35360</v>
      </c>
      <c r="M656" s="1">
        <f t="shared" si="53"/>
        <v>188.04254837669055</v>
      </c>
      <c r="N656" s="7">
        <f t="shared" si="54"/>
        <v>188.04254837669055</v>
      </c>
    </row>
    <row r="657" spans="1:14" x14ac:dyDescent="0.25">
      <c r="A657" t="str">
        <f>"14:01:19.000"</f>
        <v>14:01:19.000</v>
      </c>
      <c r="B657">
        <v>39.287024000000002</v>
      </c>
      <c r="C657">
        <v>-77.202387000000002</v>
      </c>
      <c r="D657">
        <v>8700</v>
      </c>
      <c r="E657">
        <v>9025</v>
      </c>
      <c r="F657">
        <v>172</v>
      </c>
      <c r="G657">
        <v>76</v>
      </c>
      <c r="H657">
        <v>0</v>
      </c>
      <c r="J657" s="1">
        <f t="shared" si="50"/>
        <v>29584</v>
      </c>
      <c r="K657" s="1">
        <f t="shared" si="51"/>
        <v>5776</v>
      </c>
      <c r="L657" s="1">
        <f t="shared" si="52"/>
        <v>35360</v>
      </c>
      <c r="M657" s="1">
        <f t="shared" si="53"/>
        <v>188.04254837669055</v>
      </c>
      <c r="N657" s="7">
        <f t="shared" si="54"/>
        <v>188.04254837669055</v>
      </c>
    </row>
    <row r="658" spans="1:14" x14ac:dyDescent="0.25">
      <c r="A658" t="str">
        <f>"14:01:20.008"</f>
        <v>14:01:20.008</v>
      </c>
      <c r="B658">
        <v>39.287345000000002</v>
      </c>
      <c r="C658">
        <v>-77.201357000000002</v>
      </c>
      <c r="D658">
        <v>8700</v>
      </c>
      <c r="E658">
        <v>9025</v>
      </c>
      <c r="F658">
        <v>172</v>
      </c>
      <c r="G658">
        <v>76</v>
      </c>
      <c r="H658">
        <v>0</v>
      </c>
      <c r="J658" s="1">
        <f t="shared" si="50"/>
        <v>29584</v>
      </c>
      <c r="K658" s="1">
        <f t="shared" si="51"/>
        <v>5776</v>
      </c>
      <c r="L658" s="1">
        <f t="shared" si="52"/>
        <v>35360</v>
      </c>
      <c r="M658" s="1">
        <f t="shared" si="53"/>
        <v>188.04254837669055</v>
      </c>
      <c r="N658" s="7">
        <f t="shared" si="54"/>
        <v>188.04254837669055</v>
      </c>
    </row>
    <row r="659" spans="1:14" x14ac:dyDescent="0.25">
      <c r="A659" t="str">
        <f>"14:01:20.969"</f>
        <v>14:01:20.969</v>
      </c>
      <c r="B659">
        <v>39.287666999999999</v>
      </c>
      <c r="C659">
        <v>-77.200456000000003</v>
      </c>
      <c r="D659">
        <v>8700</v>
      </c>
      <c r="E659">
        <v>9025</v>
      </c>
      <c r="F659">
        <v>173</v>
      </c>
      <c r="G659">
        <v>75</v>
      </c>
      <c r="H659">
        <v>0</v>
      </c>
      <c r="J659" s="1">
        <f t="shared" si="50"/>
        <v>29929</v>
      </c>
      <c r="K659" s="1">
        <f t="shared" si="51"/>
        <v>5625</v>
      </c>
      <c r="L659" s="1">
        <f t="shared" si="52"/>
        <v>35554</v>
      </c>
      <c r="M659" s="1">
        <f t="shared" si="53"/>
        <v>188.55768348173987</v>
      </c>
      <c r="N659" s="7">
        <f t="shared" si="54"/>
        <v>188.55768348173987</v>
      </c>
    </row>
    <row r="660" spans="1:14" x14ac:dyDescent="0.25">
      <c r="A660" t="str">
        <f>"14:01:21.875"</f>
        <v>14:01:21.875</v>
      </c>
      <c r="B660">
        <v>39.288032000000001</v>
      </c>
      <c r="C660">
        <v>-77.199382999999997</v>
      </c>
      <c r="D660">
        <v>8700</v>
      </c>
      <c r="E660">
        <v>9025</v>
      </c>
      <c r="F660">
        <v>173</v>
      </c>
      <c r="G660">
        <v>75</v>
      </c>
      <c r="H660">
        <v>0</v>
      </c>
      <c r="J660" s="1">
        <f t="shared" si="50"/>
        <v>29929</v>
      </c>
      <c r="K660" s="1">
        <f t="shared" si="51"/>
        <v>5625</v>
      </c>
      <c r="L660" s="1">
        <f t="shared" si="52"/>
        <v>35554</v>
      </c>
      <c r="M660" s="1">
        <f t="shared" si="53"/>
        <v>188.55768348173987</v>
      </c>
      <c r="N660" s="7">
        <f t="shared" si="54"/>
        <v>188.55768348173987</v>
      </c>
    </row>
    <row r="661" spans="1:14" x14ac:dyDescent="0.25">
      <c r="A661" t="str">
        <f>"14:01:22.938"</f>
        <v>14:01:22.938</v>
      </c>
      <c r="B661">
        <v>39.288353999999998</v>
      </c>
      <c r="C661">
        <v>-77.198352999999997</v>
      </c>
      <c r="D661">
        <v>8700</v>
      </c>
      <c r="E661">
        <v>9025</v>
      </c>
      <c r="F661">
        <v>173</v>
      </c>
      <c r="G661">
        <v>74</v>
      </c>
      <c r="H661">
        <v>0</v>
      </c>
      <c r="J661" s="1">
        <f t="shared" si="50"/>
        <v>29929</v>
      </c>
      <c r="K661" s="1">
        <f t="shared" si="51"/>
        <v>5476</v>
      </c>
      <c r="L661" s="1">
        <f t="shared" si="52"/>
        <v>35405</v>
      </c>
      <c r="M661" s="1">
        <f t="shared" si="53"/>
        <v>188.16216410320115</v>
      </c>
      <c r="N661" s="7">
        <f t="shared" si="54"/>
        <v>188.16216410320115</v>
      </c>
    </row>
    <row r="662" spans="1:14" x14ac:dyDescent="0.25">
      <c r="A662" t="str">
        <f>"14:01:23.945"</f>
        <v>14:01:23.945</v>
      </c>
      <c r="B662">
        <v>39.288719</v>
      </c>
      <c r="C662">
        <v>-77.197344000000001</v>
      </c>
      <c r="D662">
        <v>8700</v>
      </c>
      <c r="E662">
        <v>9025</v>
      </c>
      <c r="F662">
        <v>173</v>
      </c>
      <c r="G662">
        <v>74</v>
      </c>
      <c r="H662">
        <v>0</v>
      </c>
      <c r="J662" s="1">
        <f t="shared" si="50"/>
        <v>29929</v>
      </c>
      <c r="K662" s="1">
        <f t="shared" si="51"/>
        <v>5476</v>
      </c>
      <c r="L662" s="1">
        <f t="shared" si="52"/>
        <v>35405</v>
      </c>
      <c r="M662" s="1">
        <f t="shared" si="53"/>
        <v>188.16216410320115</v>
      </c>
      <c r="N662" s="7">
        <f t="shared" si="54"/>
        <v>188.16216410320115</v>
      </c>
    </row>
    <row r="663" spans="1:14" x14ac:dyDescent="0.25">
      <c r="A663" t="str">
        <f>"14:01:25.000"</f>
        <v>14:01:25.000</v>
      </c>
      <c r="B663">
        <v>39.289062000000001</v>
      </c>
      <c r="C663">
        <v>-77.196229000000002</v>
      </c>
      <c r="D663">
        <v>8700</v>
      </c>
      <c r="E663">
        <v>9025</v>
      </c>
      <c r="F663">
        <v>173</v>
      </c>
      <c r="G663">
        <v>74</v>
      </c>
      <c r="H663">
        <v>0</v>
      </c>
      <c r="J663" s="1">
        <f t="shared" si="50"/>
        <v>29929</v>
      </c>
      <c r="K663" s="1">
        <f t="shared" si="51"/>
        <v>5476</v>
      </c>
      <c r="L663" s="1">
        <f t="shared" si="52"/>
        <v>35405</v>
      </c>
      <c r="M663" s="1">
        <f t="shared" si="53"/>
        <v>188.16216410320115</v>
      </c>
      <c r="N663" s="7">
        <f t="shared" si="54"/>
        <v>188.16216410320115</v>
      </c>
    </row>
    <row r="664" spans="1:14" x14ac:dyDescent="0.25">
      <c r="A664" t="str">
        <f>"14:01:25.961"</f>
        <v>14:01:25.961</v>
      </c>
      <c r="B664">
        <v>39.289383999999998</v>
      </c>
      <c r="C664">
        <v>-77.195199000000002</v>
      </c>
      <c r="D664">
        <v>8700</v>
      </c>
      <c r="E664">
        <v>9025</v>
      </c>
      <c r="F664">
        <v>174</v>
      </c>
      <c r="G664">
        <v>74</v>
      </c>
      <c r="H664">
        <v>0</v>
      </c>
      <c r="J664" s="1">
        <f t="shared" si="50"/>
        <v>30276</v>
      </c>
      <c r="K664" s="1">
        <f t="shared" si="51"/>
        <v>5476</v>
      </c>
      <c r="L664" s="1">
        <f t="shared" si="52"/>
        <v>35752</v>
      </c>
      <c r="M664" s="1">
        <f t="shared" si="53"/>
        <v>189.08199279677586</v>
      </c>
      <c r="N664" s="7">
        <f t="shared" si="54"/>
        <v>189.08199279677586</v>
      </c>
    </row>
    <row r="665" spans="1:14" x14ac:dyDescent="0.25">
      <c r="A665" t="str">
        <f>"14:01:26.875"</f>
        <v>14:01:26.875</v>
      </c>
      <c r="B665">
        <v>39.289726999999999</v>
      </c>
      <c r="C665">
        <v>-77.194232999999997</v>
      </c>
      <c r="D665">
        <v>8700</v>
      </c>
      <c r="E665">
        <v>9025</v>
      </c>
      <c r="F665">
        <v>174</v>
      </c>
      <c r="G665">
        <v>74</v>
      </c>
      <c r="H665">
        <v>0</v>
      </c>
      <c r="J665" s="1">
        <f t="shared" si="50"/>
        <v>30276</v>
      </c>
      <c r="K665" s="1">
        <f t="shared" si="51"/>
        <v>5476</v>
      </c>
      <c r="L665" s="1">
        <f t="shared" si="52"/>
        <v>35752</v>
      </c>
      <c r="M665" s="1">
        <f t="shared" si="53"/>
        <v>189.08199279677586</v>
      </c>
      <c r="N665" s="7">
        <f t="shared" si="54"/>
        <v>189.08199279677586</v>
      </c>
    </row>
    <row r="666" spans="1:14" x14ac:dyDescent="0.25">
      <c r="A666" t="str">
        <f>"14:01:27.930"</f>
        <v>14:01:27.930</v>
      </c>
      <c r="B666">
        <v>39.290092000000001</v>
      </c>
      <c r="C666">
        <v>-77.193160000000006</v>
      </c>
      <c r="D666">
        <v>8700</v>
      </c>
      <c r="E666">
        <v>9025</v>
      </c>
      <c r="F666">
        <v>174</v>
      </c>
      <c r="G666">
        <v>74</v>
      </c>
      <c r="H666">
        <v>0</v>
      </c>
      <c r="J666" s="1">
        <f t="shared" si="50"/>
        <v>30276</v>
      </c>
      <c r="K666" s="1">
        <f t="shared" si="51"/>
        <v>5476</v>
      </c>
      <c r="L666" s="1">
        <f t="shared" si="52"/>
        <v>35752</v>
      </c>
      <c r="M666" s="1">
        <f t="shared" si="53"/>
        <v>189.08199279677586</v>
      </c>
      <c r="N666" s="7">
        <f t="shared" si="54"/>
        <v>189.08199279677586</v>
      </c>
    </row>
    <row r="667" spans="1:14" x14ac:dyDescent="0.25">
      <c r="A667" t="str">
        <f>"14:01:29.094"</f>
        <v>14:01:29.094</v>
      </c>
      <c r="B667">
        <v>39.290500000000002</v>
      </c>
      <c r="C667">
        <v>-77.191980000000001</v>
      </c>
      <c r="D667">
        <v>8700</v>
      </c>
      <c r="E667">
        <v>9025</v>
      </c>
      <c r="F667">
        <v>174</v>
      </c>
      <c r="G667">
        <v>74</v>
      </c>
      <c r="H667">
        <v>0</v>
      </c>
      <c r="J667" s="1">
        <f t="shared" si="50"/>
        <v>30276</v>
      </c>
      <c r="K667" s="1">
        <f t="shared" si="51"/>
        <v>5476</v>
      </c>
      <c r="L667" s="1">
        <f t="shared" si="52"/>
        <v>35752</v>
      </c>
      <c r="M667" s="1">
        <f t="shared" si="53"/>
        <v>189.08199279677586</v>
      </c>
      <c r="N667" s="7">
        <f t="shared" si="54"/>
        <v>189.08199279677586</v>
      </c>
    </row>
    <row r="668" spans="1:14" x14ac:dyDescent="0.25">
      <c r="A668" t="str">
        <f>"14:01:30.258"</f>
        <v>14:01:30.258</v>
      </c>
      <c r="B668">
        <v>39.290843000000002</v>
      </c>
      <c r="C668">
        <v>-77.190799999999996</v>
      </c>
      <c r="D668">
        <v>8700</v>
      </c>
      <c r="E668">
        <v>9025</v>
      </c>
      <c r="F668">
        <v>174</v>
      </c>
      <c r="G668">
        <v>74</v>
      </c>
      <c r="H668">
        <v>0</v>
      </c>
      <c r="J668" s="1">
        <f t="shared" si="50"/>
        <v>30276</v>
      </c>
      <c r="K668" s="1">
        <f t="shared" si="51"/>
        <v>5476</v>
      </c>
      <c r="L668" s="1">
        <f t="shared" si="52"/>
        <v>35752</v>
      </c>
      <c r="M668" s="1">
        <f t="shared" si="53"/>
        <v>189.08199279677586</v>
      </c>
      <c r="N668" s="7">
        <f t="shared" si="54"/>
        <v>189.08199279677586</v>
      </c>
    </row>
    <row r="669" spans="1:14" x14ac:dyDescent="0.25">
      <c r="A669" t="str">
        <f>"14:01:31.164"</f>
        <v>14:01:31.164</v>
      </c>
      <c r="B669">
        <v>39.291207999999997</v>
      </c>
      <c r="C669">
        <v>-77.189747999999994</v>
      </c>
      <c r="D669">
        <v>8700</v>
      </c>
      <c r="E669">
        <v>9025</v>
      </c>
      <c r="F669">
        <v>174</v>
      </c>
      <c r="G669">
        <v>74</v>
      </c>
      <c r="H669">
        <v>0</v>
      </c>
      <c r="J669" s="1">
        <f t="shared" si="50"/>
        <v>30276</v>
      </c>
      <c r="K669" s="1">
        <f t="shared" si="51"/>
        <v>5476</v>
      </c>
      <c r="L669" s="1">
        <f t="shared" si="52"/>
        <v>35752</v>
      </c>
      <c r="M669" s="1">
        <f t="shared" si="53"/>
        <v>189.08199279677586</v>
      </c>
      <c r="N669" s="7">
        <f t="shared" si="54"/>
        <v>189.08199279677586</v>
      </c>
    </row>
    <row r="670" spans="1:14" x14ac:dyDescent="0.25">
      <c r="A670" t="str">
        <f>"14:01:32.273"</f>
        <v>14:01:32.273</v>
      </c>
      <c r="B670">
        <v>39.291530000000002</v>
      </c>
      <c r="C670">
        <v>-77.188717999999994</v>
      </c>
      <c r="D670">
        <v>8700</v>
      </c>
      <c r="E670">
        <v>9025</v>
      </c>
      <c r="F670">
        <v>174</v>
      </c>
      <c r="G670">
        <v>74</v>
      </c>
      <c r="H670">
        <v>0</v>
      </c>
      <c r="J670" s="1">
        <f t="shared" si="50"/>
        <v>30276</v>
      </c>
      <c r="K670" s="1">
        <f t="shared" si="51"/>
        <v>5476</v>
      </c>
      <c r="L670" s="1">
        <f t="shared" si="52"/>
        <v>35752</v>
      </c>
      <c r="M670" s="1">
        <f t="shared" si="53"/>
        <v>189.08199279677586</v>
      </c>
      <c r="N670" s="7">
        <f t="shared" si="54"/>
        <v>189.08199279677586</v>
      </c>
    </row>
    <row r="671" spans="1:14" x14ac:dyDescent="0.25">
      <c r="A671" t="str">
        <f>"14:01:33.328"</f>
        <v>14:01:33.328</v>
      </c>
      <c r="B671">
        <v>39.291916000000001</v>
      </c>
      <c r="C671">
        <v>-77.187602999999996</v>
      </c>
      <c r="D671">
        <v>8700</v>
      </c>
      <c r="E671">
        <v>9025</v>
      </c>
      <c r="F671">
        <v>174</v>
      </c>
      <c r="G671">
        <v>74</v>
      </c>
      <c r="H671">
        <v>0</v>
      </c>
      <c r="J671" s="1">
        <f t="shared" si="50"/>
        <v>30276</v>
      </c>
      <c r="K671" s="1">
        <f t="shared" si="51"/>
        <v>5476</v>
      </c>
      <c r="L671" s="1">
        <f t="shared" si="52"/>
        <v>35752</v>
      </c>
      <c r="M671" s="1">
        <f t="shared" si="53"/>
        <v>189.08199279677586</v>
      </c>
      <c r="N671" s="7">
        <f t="shared" si="54"/>
        <v>189.08199279677586</v>
      </c>
    </row>
    <row r="672" spans="1:14" x14ac:dyDescent="0.25">
      <c r="A672" t="str">
        <f>"14:01:34.438"</f>
        <v>14:01:34.438</v>
      </c>
      <c r="B672">
        <v>39.292281000000003</v>
      </c>
      <c r="C672">
        <v>-77.186464999999998</v>
      </c>
      <c r="D672">
        <v>8700</v>
      </c>
      <c r="E672">
        <v>9025</v>
      </c>
      <c r="F672">
        <v>174</v>
      </c>
      <c r="G672">
        <v>74</v>
      </c>
      <c r="H672">
        <v>64</v>
      </c>
      <c r="J672" s="1">
        <f t="shared" si="50"/>
        <v>30276</v>
      </c>
      <c r="K672" s="1">
        <f t="shared" si="51"/>
        <v>5476</v>
      </c>
      <c r="L672" s="1">
        <f t="shared" si="52"/>
        <v>35752</v>
      </c>
      <c r="M672" s="1">
        <f t="shared" si="53"/>
        <v>189.08199279677586</v>
      </c>
      <c r="N672" s="7">
        <f t="shared" si="54"/>
        <v>189.08199279677586</v>
      </c>
    </row>
    <row r="673" spans="1:14" x14ac:dyDescent="0.25">
      <c r="A673" t="str">
        <f>"14:01:35.398"</f>
        <v>14:01:35.398</v>
      </c>
      <c r="B673">
        <v>39.292645</v>
      </c>
      <c r="C673">
        <v>-77.185434999999998</v>
      </c>
      <c r="D673">
        <v>8700</v>
      </c>
      <c r="E673">
        <v>9025</v>
      </c>
      <c r="F673">
        <v>174</v>
      </c>
      <c r="G673">
        <v>74</v>
      </c>
      <c r="H673">
        <v>0</v>
      </c>
      <c r="J673" s="1">
        <f t="shared" si="50"/>
        <v>30276</v>
      </c>
      <c r="K673" s="1">
        <f t="shared" si="51"/>
        <v>5476</v>
      </c>
      <c r="L673" s="1">
        <f t="shared" si="52"/>
        <v>35752</v>
      </c>
      <c r="M673" s="1">
        <f t="shared" si="53"/>
        <v>189.08199279677586</v>
      </c>
      <c r="N673" s="7">
        <f t="shared" si="54"/>
        <v>189.08199279677586</v>
      </c>
    </row>
    <row r="674" spans="1:14" x14ac:dyDescent="0.25">
      <c r="A674" t="str">
        <f>"14:01:36.406"</f>
        <v>14:01:36.406</v>
      </c>
      <c r="B674">
        <v>39.292966999999997</v>
      </c>
      <c r="C674">
        <v>-77.184383999999994</v>
      </c>
      <c r="D674">
        <v>8700</v>
      </c>
      <c r="E674">
        <v>9025</v>
      </c>
      <c r="F674">
        <v>175</v>
      </c>
      <c r="G674">
        <v>73</v>
      </c>
      <c r="H674">
        <v>0</v>
      </c>
      <c r="J674" s="1">
        <f t="shared" si="50"/>
        <v>30625</v>
      </c>
      <c r="K674" s="1">
        <f t="shared" si="51"/>
        <v>5329</v>
      </c>
      <c r="L674" s="1">
        <f t="shared" si="52"/>
        <v>35954</v>
      </c>
      <c r="M674" s="1">
        <f t="shared" si="53"/>
        <v>189.61540021844218</v>
      </c>
      <c r="N674" s="7">
        <f t="shared" si="54"/>
        <v>189.61540021844218</v>
      </c>
    </row>
    <row r="675" spans="1:14" x14ac:dyDescent="0.25">
      <c r="A675" t="str">
        <f>"14:01:37.469"</f>
        <v>14:01:37.469</v>
      </c>
      <c r="B675">
        <v>39.293311000000003</v>
      </c>
      <c r="C675">
        <v>-77.183353999999994</v>
      </c>
      <c r="D675">
        <v>8700</v>
      </c>
      <c r="E675">
        <v>9025</v>
      </c>
      <c r="F675">
        <v>175</v>
      </c>
      <c r="G675">
        <v>73</v>
      </c>
      <c r="H675">
        <v>0</v>
      </c>
      <c r="J675" s="1">
        <f t="shared" si="50"/>
        <v>30625</v>
      </c>
      <c r="K675" s="1">
        <f t="shared" si="51"/>
        <v>5329</v>
      </c>
      <c r="L675" s="1">
        <f t="shared" si="52"/>
        <v>35954</v>
      </c>
      <c r="M675" s="1">
        <f t="shared" si="53"/>
        <v>189.61540021844218</v>
      </c>
      <c r="N675" s="7">
        <f t="shared" si="54"/>
        <v>189.61540021844218</v>
      </c>
    </row>
    <row r="676" spans="1:14" x14ac:dyDescent="0.25">
      <c r="A676" t="str">
        <f>"14:01:38.477"</f>
        <v>14:01:38.477</v>
      </c>
      <c r="B676">
        <v>39.293697000000002</v>
      </c>
      <c r="C676">
        <v>-77.182174000000003</v>
      </c>
      <c r="D676">
        <v>8700</v>
      </c>
      <c r="E676">
        <v>9025</v>
      </c>
      <c r="F676">
        <v>175</v>
      </c>
      <c r="G676">
        <v>73</v>
      </c>
      <c r="H676">
        <v>0</v>
      </c>
      <c r="J676" s="1">
        <f t="shared" si="50"/>
        <v>30625</v>
      </c>
      <c r="K676" s="1">
        <f t="shared" si="51"/>
        <v>5329</v>
      </c>
      <c r="L676" s="1">
        <f t="shared" si="52"/>
        <v>35954</v>
      </c>
      <c r="M676" s="1">
        <f t="shared" si="53"/>
        <v>189.61540021844218</v>
      </c>
      <c r="N676" s="7">
        <f t="shared" si="54"/>
        <v>189.61540021844218</v>
      </c>
    </row>
    <row r="677" spans="1:14" x14ac:dyDescent="0.25">
      <c r="A677" t="str">
        <f>"14:01:39.484"</f>
        <v>14:01:39.484</v>
      </c>
      <c r="B677">
        <v>39.294018999999999</v>
      </c>
      <c r="C677">
        <v>-77.181164999999993</v>
      </c>
      <c r="D677">
        <v>8700</v>
      </c>
      <c r="E677">
        <v>9025</v>
      </c>
      <c r="F677">
        <v>175</v>
      </c>
      <c r="G677">
        <v>73</v>
      </c>
      <c r="H677">
        <v>0</v>
      </c>
      <c r="J677" s="1">
        <f t="shared" si="50"/>
        <v>30625</v>
      </c>
      <c r="K677" s="1">
        <f t="shared" si="51"/>
        <v>5329</v>
      </c>
      <c r="L677" s="1">
        <f t="shared" si="52"/>
        <v>35954</v>
      </c>
      <c r="M677" s="1">
        <f t="shared" si="53"/>
        <v>189.61540021844218</v>
      </c>
      <c r="N677" s="7">
        <f t="shared" si="54"/>
        <v>189.61540021844218</v>
      </c>
    </row>
    <row r="678" spans="1:14" x14ac:dyDescent="0.25">
      <c r="A678" t="str">
        <f>"14:01:40.445"</f>
        <v>14:01:40.445</v>
      </c>
      <c r="B678">
        <v>39.294319000000002</v>
      </c>
      <c r="C678">
        <v>-77.180177999999998</v>
      </c>
      <c r="D678">
        <v>8700</v>
      </c>
      <c r="E678">
        <v>9025</v>
      </c>
      <c r="F678">
        <v>175</v>
      </c>
      <c r="G678">
        <v>72</v>
      </c>
      <c r="H678">
        <v>0</v>
      </c>
      <c r="J678" s="1">
        <f t="shared" si="50"/>
        <v>30625</v>
      </c>
      <c r="K678" s="1">
        <f t="shared" si="51"/>
        <v>5184</v>
      </c>
      <c r="L678" s="1">
        <f t="shared" si="52"/>
        <v>35809</v>
      </c>
      <c r="M678" s="1">
        <f t="shared" si="53"/>
        <v>189.23266102869241</v>
      </c>
      <c r="N678" s="7">
        <f t="shared" si="54"/>
        <v>189.23266102869241</v>
      </c>
    </row>
    <row r="679" spans="1:14" x14ac:dyDescent="0.25">
      <c r="A679" t="str">
        <f>"14:01:41.555"</f>
        <v>14:01:41.555</v>
      </c>
      <c r="B679">
        <v>39.294705</v>
      </c>
      <c r="C679">
        <v>-77.178955000000002</v>
      </c>
      <c r="D679">
        <v>8700</v>
      </c>
      <c r="E679">
        <v>9025</v>
      </c>
      <c r="F679">
        <v>175</v>
      </c>
      <c r="G679">
        <v>72</v>
      </c>
      <c r="H679">
        <v>0</v>
      </c>
      <c r="J679" s="1">
        <f t="shared" si="50"/>
        <v>30625</v>
      </c>
      <c r="K679" s="1">
        <f t="shared" si="51"/>
        <v>5184</v>
      </c>
      <c r="L679" s="1">
        <f t="shared" si="52"/>
        <v>35809</v>
      </c>
      <c r="M679" s="1">
        <f t="shared" si="53"/>
        <v>189.23266102869241</v>
      </c>
      <c r="N679" s="7">
        <f t="shared" si="54"/>
        <v>189.23266102869241</v>
      </c>
    </row>
    <row r="680" spans="1:14" x14ac:dyDescent="0.25">
      <c r="A680" t="str">
        <f>"14:01:42.516"</f>
        <v>14:01:42.516</v>
      </c>
      <c r="B680">
        <v>39.295026999999997</v>
      </c>
      <c r="C680">
        <v>-77.177988999999997</v>
      </c>
      <c r="D680">
        <v>8700</v>
      </c>
      <c r="E680">
        <v>9025</v>
      </c>
      <c r="F680">
        <v>176</v>
      </c>
      <c r="G680">
        <v>71</v>
      </c>
      <c r="H680">
        <v>-64</v>
      </c>
      <c r="J680" s="1">
        <f t="shared" si="50"/>
        <v>30976</v>
      </c>
      <c r="K680" s="1">
        <f t="shared" si="51"/>
        <v>5041</v>
      </c>
      <c r="L680" s="1">
        <f t="shared" si="52"/>
        <v>36017</v>
      </c>
      <c r="M680" s="1">
        <f t="shared" si="53"/>
        <v>189.7814532561072</v>
      </c>
      <c r="N680" s="7">
        <f t="shared" si="54"/>
        <v>189.7814532561072</v>
      </c>
    </row>
    <row r="681" spans="1:14" x14ac:dyDescent="0.25">
      <c r="A681" t="str">
        <f>"14:01:43.570"</f>
        <v>14:01:43.570</v>
      </c>
      <c r="B681">
        <v>39.295392</v>
      </c>
      <c r="C681">
        <v>-77.176809000000006</v>
      </c>
      <c r="D681">
        <v>8700</v>
      </c>
      <c r="E681">
        <v>9025</v>
      </c>
      <c r="F681">
        <v>176</v>
      </c>
      <c r="G681">
        <v>71</v>
      </c>
      <c r="H681">
        <v>0</v>
      </c>
      <c r="J681" s="1">
        <f t="shared" si="50"/>
        <v>30976</v>
      </c>
      <c r="K681" s="1">
        <f t="shared" si="51"/>
        <v>5041</v>
      </c>
      <c r="L681" s="1">
        <f t="shared" si="52"/>
        <v>36017</v>
      </c>
      <c r="M681" s="1">
        <f t="shared" si="53"/>
        <v>189.7814532561072</v>
      </c>
      <c r="N681" s="7">
        <f t="shared" si="54"/>
        <v>189.7814532561072</v>
      </c>
    </row>
    <row r="682" spans="1:14" x14ac:dyDescent="0.25">
      <c r="A682" t="str">
        <f>"14:01:44.586"</f>
        <v>14:01:44.586</v>
      </c>
      <c r="B682">
        <v>39.295713999999997</v>
      </c>
      <c r="C682">
        <v>-77.175779000000006</v>
      </c>
      <c r="D682">
        <v>8700</v>
      </c>
      <c r="E682">
        <v>9025</v>
      </c>
      <c r="F682">
        <v>176</v>
      </c>
      <c r="G682">
        <v>71</v>
      </c>
      <c r="H682">
        <v>0</v>
      </c>
      <c r="J682" s="1">
        <f t="shared" si="50"/>
        <v>30976</v>
      </c>
      <c r="K682" s="1">
        <f t="shared" si="51"/>
        <v>5041</v>
      </c>
      <c r="L682" s="1">
        <f t="shared" si="52"/>
        <v>36017</v>
      </c>
      <c r="M682" s="1">
        <f t="shared" si="53"/>
        <v>189.7814532561072</v>
      </c>
      <c r="N682" s="7">
        <f t="shared" si="54"/>
        <v>189.7814532561072</v>
      </c>
    </row>
    <row r="683" spans="1:14" x14ac:dyDescent="0.25">
      <c r="A683" t="str">
        <f>"14:01:45.594"</f>
        <v>14:01:45.594</v>
      </c>
      <c r="B683">
        <v>39.296056999999998</v>
      </c>
      <c r="C683">
        <v>-77.174749000000006</v>
      </c>
      <c r="D683">
        <v>8700</v>
      </c>
      <c r="E683">
        <v>9025</v>
      </c>
      <c r="F683">
        <v>176</v>
      </c>
      <c r="G683">
        <v>70</v>
      </c>
      <c r="H683">
        <v>-64</v>
      </c>
      <c r="J683" s="1">
        <f t="shared" si="50"/>
        <v>30976</v>
      </c>
      <c r="K683" s="1">
        <f t="shared" si="51"/>
        <v>4900</v>
      </c>
      <c r="L683" s="1">
        <f t="shared" si="52"/>
        <v>35876</v>
      </c>
      <c r="M683" s="1">
        <f t="shared" si="53"/>
        <v>189.40960904874916</v>
      </c>
      <c r="N683" s="7">
        <f t="shared" si="54"/>
        <v>189.40960904874916</v>
      </c>
    </row>
    <row r="684" spans="1:14" x14ac:dyDescent="0.25">
      <c r="A684" t="str">
        <f>"14:01:46.602"</f>
        <v>14:01:46.602</v>
      </c>
      <c r="B684">
        <v>39.296379000000002</v>
      </c>
      <c r="C684">
        <v>-77.173698000000002</v>
      </c>
      <c r="D684">
        <v>8700</v>
      </c>
      <c r="E684">
        <v>9025</v>
      </c>
      <c r="F684">
        <v>176</v>
      </c>
      <c r="G684">
        <v>70</v>
      </c>
      <c r="H684">
        <v>-64</v>
      </c>
      <c r="J684" s="1">
        <f t="shared" si="50"/>
        <v>30976</v>
      </c>
      <c r="K684" s="1">
        <f t="shared" si="51"/>
        <v>4900</v>
      </c>
      <c r="L684" s="1">
        <f t="shared" si="52"/>
        <v>35876</v>
      </c>
      <c r="M684" s="1">
        <f t="shared" si="53"/>
        <v>189.40960904874916</v>
      </c>
      <c r="N684" s="7">
        <f t="shared" si="54"/>
        <v>189.40960904874916</v>
      </c>
    </row>
    <row r="685" spans="1:14" x14ac:dyDescent="0.25">
      <c r="A685" t="str">
        <f>"14:01:47.461"</f>
        <v>14:01:47.461</v>
      </c>
      <c r="B685">
        <v>39.296636999999997</v>
      </c>
      <c r="C685">
        <v>-77.172753999999998</v>
      </c>
      <c r="D685">
        <v>8700</v>
      </c>
      <c r="E685">
        <v>9025</v>
      </c>
      <c r="F685">
        <v>176</v>
      </c>
      <c r="G685">
        <v>70</v>
      </c>
      <c r="H685">
        <v>-64</v>
      </c>
      <c r="J685" s="1">
        <f t="shared" si="50"/>
        <v>30976</v>
      </c>
      <c r="K685" s="1">
        <f t="shared" si="51"/>
        <v>4900</v>
      </c>
      <c r="L685" s="1">
        <f t="shared" si="52"/>
        <v>35876</v>
      </c>
      <c r="M685" s="1">
        <f t="shared" si="53"/>
        <v>189.40960904874916</v>
      </c>
      <c r="N685" s="7">
        <f t="shared" si="54"/>
        <v>189.40960904874916</v>
      </c>
    </row>
    <row r="686" spans="1:14" x14ac:dyDescent="0.25">
      <c r="A686" t="str">
        <f>"14:01:48.516"</f>
        <v>14:01:48.516</v>
      </c>
      <c r="B686">
        <v>39.296957999999997</v>
      </c>
      <c r="C686">
        <v>-77.171723999999998</v>
      </c>
      <c r="D686">
        <v>8700</v>
      </c>
      <c r="E686">
        <v>9025</v>
      </c>
      <c r="F686">
        <v>176</v>
      </c>
      <c r="G686">
        <v>70</v>
      </c>
      <c r="H686">
        <v>-64</v>
      </c>
      <c r="J686" s="1">
        <f t="shared" si="50"/>
        <v>30976</v>
      </c>
      <c r="K686" s="1">
        <f t="shared" si="51"/>
        <v>4900</v>
      </c>
      <c r="L686" s="1">
        <f t="shared" si="52"/>
        <v>35876</v>
      </c>
      <c r="M686" s="1">
        <f t="shared" si="53"/>
        <v>189.40960904874916</v>
      </c>
      <c r="N686" s="7">
        <f t="shared" si="54"/>
        <v>189.40960904874916</v>
      </c>
    </row>
    <row r="687" spans="1:14" x14ac:dyDescent="0.25">
      <c r="A687" t="str">
        <f>"14:01:49.531"</f>
        <v>14:01:49.531</v>
      </c>
      <c r="B687">
        <v>39.297280000000001</v>
      </c>
      <c r="C687">
        <v>-77.170651000000007</v>
      </c>
      <c r="D687">
        <v>8700</v>
      </c>
      <c r="E687">
        <v>9025</v>
      </c>
      <c r="F687">
        <v>176</v>
      </c>
      <c r="G687">
        <v>69</v>
      </c>
      <c r="H687">
        <v>-64</v>
      </c>
      <c r="J687" s="1">
        <f t="shared" si="50"/>
        <v>30976</v>
      </c>
      <c r="K687" s="1">
        <f t="shared" si="51"/>
        <v>4761</v>
      </c>
      <c r="L687" s="1">
        <f t="shared" si="52"/>
        <v>35737</v>
      </c>
      <c r="M687" s="1">
        <f t="shared" si="53"/>
        <v>189.04232330353963</v>
      </c>
      <c r="N687" s="7">
        <f t="shared" si="54"/>
        <v>189.04232330353963</v>
      </c>
    </row>
    <row r="688" spans="1:14" x14ac:dyDescent="0.25">
      <c r="A688" t="str">
        <f>"14:01:50.484"</f>
        <v>14:01:50.484</v>
      </c>
      <c r="B688">
        <v>39.297601999999998</v>
      </c>
      <c r="C688">
        <v>-77.169578000000001</v>
      </c>
      <c r="D688">
        <v>8700</v>
      </c>
      <c r="E688">
        <v>9025</v>
      </c>
      <c r="F688">
        <v>176</v>
      </c>
      <c r="G688">
        <v>69</v>
      </c>
      <c r="H688">
        <v>-64</v>
      </c>
      <c r="J688" s="1">
        <f t="shared" si="50"/>
        <v>30976</v>
      </c>
      <c r="K688" s="1">
        <f t="shared" si="51"/>
        <v>4761</v>
      </c>
      <c r="L688" s="1">
        <f t="shared" si="52"/>
        <v>35737</v>
      </c>
      <c r="M688" s="1">
        <f t="shared" si="53"/>
        <v>189.04232330353963</v>
      </c>
      <c r="N688" s="7">
        <f t="shared" si="54"/>
        <v>189.04232330353963</v>
      </c>
    </row>
    <row r="689" spans="1:14" x14ac:dyDescent="0.25">
      <c r="A689" t="str">
        <f>"14:01:51.445"</f>
        <v>14:01:51.445</v>
      </c>
      <c r="B689">
        <v>39.297902999999998</v>
      </c>
      <c r="C689">
        <v>-77.168633999999997</v>
      </c>
      <c r="D689">
        <v>8700</v>
      </c>
      <c r="E689">
        <v>9025</v>
      </c>
      <c r="F689">
        <v>177</v>
      </c>
      <c r="G689">
        <v>69</v>
      </c>
      <c r="H689">
        <v>0</v>
      </c>
      <c r="J689" s="1">
        <f t="shared" si="50"/>
        <v>31329</v>
      </c>
      <c r="K689" s="1">
        <f t="shared" si="51"/>
        <v>4761</v>
      </c>
      <c r="L689" s="1">
        <f t="shared" si="52"/>
        <v>36090</v>
      </c>
      <c r="M689" s="1">
        <f t="shared" si="53"/>
        <v>189.97368238785077</v>
      </c>
      <c r="N689" s="7">
        <f t="shared" si="54"/>
        <v>189.97368238785077</v>
      </c>
    </row>
    <row r="690" spans="1:14" x14ac:dyDescent="0.25">
      <c r="A690" t="str">
        <f>"14:01:52.508"</f>
        <v>14:01:52.508</v>
      </c>
      <c r="B690">
        <v>39.298223999999998</v>
      </c>
      <c r="C690">
        <v>-77.167496999999997</v>
      </c>
      <c r="D690">
        <v>8700</v>
      </c>
      <c r="E690">
        <v>9025</v>
      </c>
      <c r="F690">
        <v>177</v>
      </c>
      <c r="G690">
        <v>68</v>
      </c>
      <c r="H690">
        <v>0</v>
      </c>
      <c r="J690" s="1">
        <f t="shared" si="50"/>
        <v>31329</v>
      </c>
      <c r="K690" s="1">
        <f t="shared" si="51"/>
        <v>4624</v>
      </c>
      <c r="L690" s="1">
        <f t="shared" si="52"/>
        <v>35953</v>
      </c>
      <c r="M690" s="1">
        <f t="shared" si="53"/>
        <v>189.61276328348785</v>
      </c>
      <c r="N690" s="7">
        <f t="shared" si="54"/>
        <v>189.61276328348785</v>
      </c>
    </row>
    <row r="691" spans="1:14" x14ac:dyDescent="0.25">
      <c r="A691" t="str">
        <f>"14:01:53.516"</f>
        <v>14:01:53.516</v>
      </c>
      <c r="B691">
        <v>39.298546000000002</v>
      </c>
      <c r="C691">
        <v>-77.166424000000006</v>
      </c>
      <c r="D691">
        <v>8700</v>
      </c>
      <c r="E691">
        <v>9025</v>
      </c>
      <c r="F691">
        <v>177</v>
      </c>
      <c r="G691">
        <v>68</v>
      </c>
      <c r="H691">
        <v>0</v>
      </c>
      <c r="J691" s="1">
        <f t="shared" si="50"/>
        <v>31329</v>
      </c>
      <c r="K691" s="1">
        <f t="shared" si="51"/>
        <v>4624</v>
      </c>
      <c r="L691" s="1">
        <f t="shared" si="52"/>
        <v>35953</v>
      </c>
      <c r="M691" s="1">
        <f t="shared" si="53"/>
        <v>189.61276328348785</v>
      </c>
      <c r="N691" s="7">
        <f t="shared" si="54"/>
        <v>189.61276328348785</v>
      </c>
    </row>
    <row r="692" spans="1:14" x14ac:dyDescent="0.25">
      <c r="A692" t="str">
        <f>"14:01:54.422"</f>
        <v>14:01:54.422</v>
      </c>
      <c r="B692">
        <v>39.298847000000002</v>
      </c>
      <c r="C692">
        <v>-77.165458000000001</v>
      </c>
      <c r="D692">
        <v>8700</v>
      </c>
      <c r="E692">
        <v>9025</v>
      </c>
      <c r="F692">
        <v>177</v>
      </c>
      <c r="G692">
        <v>68</v>
      </c>
      <c r="H692">
        <v>0</v>
      </c>
      <c r="J692" s="1">
        <f t="shared" si="50"/>
        <v>31329</v>
      </c>
      <c r="K692" s="1">
        <f t="shared" si="51"/>
        <v>4624</v>
      </c>
      <c r="L692" s="1">
        <f t="shared" si="52"/>
        <v>35953</v>
      </c>
      <c r="M692" s="1">
        <f t="shared" si="53"/>
        <v>189.61276328348785</v>
      </c>
      <c r="N692" s="7">
        <f t="shared" si="54"/>
        <v>189.61276328348785</v>
      </c>
    </row>
    <row r="693" spans="1:14" x14ac:dyDescent="0.25">
      <c r="A693" t="str">
        <f>"14:01:55.383"</f>
        <v>14:01:55.383</v>
      </c>
      <c r="B693">
        <v>39.299146999999998</v>
      </c>
      <c r="C693">
        <v>-77.164557000000002</v>
      </c>
      <c r="D693">
        <v>8700</v>
      </c>
      <c r="E693">
        <v>9025</v>
      </c>
      <c r="F693">
        <v>177</v>
      </c>
      <c r="G693">
        <v>68</v>
      </c>
      <c r="H693">
        <v>0</v>
      </c>
      <c r="J693" s="1">
        <f t="shared" si="50"/>
        <v>31329</v>
      </c>
      <c r="K693" s="1">
        <f t="shared" si="51"/>
        <v>4624</v>
      </c>
      <c r="L693" s="1">
        <f t="shared" si="52"/>
        <v>35953</v>
      </c>
      <c r="M693" s="1">
        <f t="shared" si="53"/>
        <v>189.61276328348785</v>
      </c>
      <c r="N693" s="7">
        <f t="shared" si="54"/>
        <v>189.61276328348785</v>
      </c>
    </row>
    <row r="694" spans="1:14" x14ac:dyDescent="0.25">
      <c r="A694" t="str">
        <f>"14:01:56.336"</f>
        <v>14:01:56.336</v>
      </c>
      <c r="B694">
        <v>39.299425999999997</v>
      </c>
      <c r="C694">
        <v>-77.163483999999997</v>
      </c>
      <c r="D694">
        <v>8700</v>
      </c>
      <c r="E694">
        <v>9025</v>
      </c>
      <c r="F694">
        <v>176</v>
      </c>
      <c r="G694">
        <v>68</v>
      </c>
      <c r="H694">
        <v>0</v>
      </c>
      <c r="J694" s="1">
        <f t="shared" si="50"/>
        <v>30976</v>
      </c>
      <c r="K694" s="1">
        <f t="shared" si="51"/>
        <v>4624</v>
      </c>
      <c r="L694" s="1">
        <f t="shared" si="52"/>
        <v>35600</v>
      </c>
      <c r="M694" s="1">
        <f t="shared" si="53"/>
        <v>188.67962264113208</v>
      </c>
      <c r="N694" s="7">
        <f t="shared" si="54"/>
        <v>188.67962264113208</v>
      </c>
    </row>
    <row r="695" spans="1:14" x14ac:dyDescent="0.25">
      <c r="A695" t="str">
        <f>"14:01:57.297"</f>
        <v>14:01:57.297</v>
      </c>
      <c r="B695">
        <v>39.299726</v>
      </c>
      <c r="C695">
        <v>-77.162540000000007</v>
      </c>
      <c r="D695">
        <v>8700</v>
      </c>
      <c r="E695">
        <v>9025</v>
      </c>
      <c r="F695">
        <v>176</v>
      </c>
      <c r="G695">
        <v>68</v>
      </c>
      <c r="H695">
        <v>0</v>
      </c>
      <c r="J695" s="1">
        <f t="shared" si="50"/>
        <v>30976</v>
      </c>
      <c r="K695" s="1">
        <f t="shared" si="51"/>
        <v>4624</v>
      </c>
      <c r="L695" s="1">
        <f t="shared" si="52"/>
        <v>35600</v>
      </c>
      <c r="M695" s="1">
        <f t="shared" si="53"/>
        <v>188.67962264113208</v>
      </c>
      <c r="N695" s="7">
        <f t="shared" si="54"/>
        <v>188.67962264113208</v>
      </c>
    </row>
    <row r="696" spans="1:14" x14ac:dyDescent="0.25">
      <c r="A696" t="str">
        <f>"14:01:58.156"</f>
        <v>14:01:58.156</v>
      </c>
      <c r="B696">
        <v>39.300047999999997</v>
      </c>
      <c r="C696">
        <v>-77.161489000000003</v>
      </c>
      <c r="D696">
        <v>8700</v>
      </c>
      <c r="E696">
        <v>9025</v>
      </c>
      <c r="F696">
        <v>176</v>
      </c>
      <c r="G696">
        <v>69</v>
      </c>
      <c r="H696">
        <v>0</v>
      </c>
      <c r="J696" s="1">
        <f t="shared" si="50"/>
        <v>30976</v>
      </c>
      <c r="K696" s="1">
        <f t="shared" si="51"/>
        <v>4761</v>
      </c>
      <c r="L696" s="1">
        <f t="shared" si="52"/>
        <v>35737</v>
      </c>
      <c r="M696" s="1">
        <f t="shared" si="53"/>
        <v>189.04232330353963</v>
      </c>
      <c r="N696" s="7">
        <f t="shared" si="54"/>
        <v>189.04232330353963</v>
      </c>
    </row>
    <row r="697" spans="1:14" x14ac:dyDescent="0.25">
      <c r="A697" t="str">
        <f>"14:01:59.219"</f>
        <v>14:01:59.219</v>
      </c>
      <c r="B697">
        <v>39.300370000000001</v>
      </c>
      <c r="C697">
        <v>-77.160459000000003</v>
      </c>
      <c r="D697">
        <v>8700</v>
      </c>
      <c r="E697">
        <v>9025</v>
      </c>
      <c r="F697">
        <v>176</v>
      </c>
      <c r="G697">
        <v>69</v>
      </c>
      <c r="H697">
        <v>64</v>
      </c>
      <c r="J697" s="1">
        <f t="shared" si="50"/>
        <v>30976</v>
      </c>
      <c r="K697" s="1">
        <f t="shared" si="51"/>
        <v>4761</v>
      </c>
      <c r="L697" s="1">
        <f t="shared" si="52"/>
        <v>35737</v>
      </c>
      <c r="M697" s="1">
        <f t="shared" si="53"/>
        <v>189.04232330353963</v>
      </c>
      <c r="N697" s="7">
        <f t="shared" si="54"/>
        <v>189.04232330353963</v>
      </c>
    </row>
    <row r="698" spans="1:14" x14ac:dyDescent="0.25">
      <c r="A698" t="str">
        <f>"14:02:00.273"</f>
        <v>14:02:00.273</v>
      </c>
      <c r="B698">
        <v>39.300691999999998</v>
      </c>
      <c r="C698">
        <v>-77.159429000000003</v>
      </c>
      <c r="D698">
        <v>8700</v>
      </c>
      <c r="E698">
        <v>9025</v>
      </c>
      <c r="F698">
        <v>176</v>
      </c>
      <c r="G698">
        <v>69</v>
      </c>
      <c r="H698">
        <v>64</v>
      </c>
      <c r="J698" s="1">
        <f t="shared" si="50"/>
        <v>30976</v>
      </c>
      <c r="K698" s="1">
        <f t="shared" si="51"/>
        <v>4761</v>
      </c>
      <c r="L698" s="1">
        <f t="shared" si="52"/>
        <v>35737</v>
      </c>
      <c r="M698" s="1">
        <f t="shared" si="53"/>
        <v>189.04232330353963</v>
      </c>
      <c r="N698" s="7">
        <f t="shared" si="54"/>
        <v>189.04232330353963</v>
      </c>
    </row>
    <row r="699" spans="1:14" x14ac:dyDescent="0.25">
      <c r="A699" t="str">
        <f>"14:02:01.234"</f>
        <v>14:02:01.234</v>
      </c>
      <c r="B699">
        <v>39.301034999999999</v>
      </c>
      <c r="C699">
        <v>-77.158377000000002</v>
      </c>
      <c r="D699">
        <v>8700</v>
      </c>
      <c r="E699">
        <v>9025</v>
      </c>
      <c r="F699">
        <v>176</v>
      </c>
      <c r="G699">
        <v>70</v>
      </c>
      <c r="H699">
        <v>64</v>
      </c>
      <c r="J699" s="1">
        <f t="shared" si="50"/>
        <v>30976</v>
      </c>
      <c r="K699" s="1">
        <f t="shared" si="51"/>
        <v>4900</v>
      </c>
      <c r="L699" s="1">
        <f t="shared" si="52"/>
        <v>35876</v>
      </c>
      <c r="M699" s="1">
        <f t="shared" si="53"/>
        <v>189.40960904874916</v>
      </c>
      <c r="N699" s="7">
        <f t="shared" si="54"/>
        <v>189.40960904874916</v>
      </c>
    </row>
    <row r="700" spans="1:14" x14ac:dyDescent="0.25">
      <c r="A700" t="str">
        <f>"14:02:02.391"</f>
        <v>14:02:02.391</v>
      </c>
      <c r="B700">
        <v>39.301400000000001</v>
      </c>
      <c r="C700">
        <v>-77.157111</v>
      </c>
      <c r="D700">
        <v>8700</v>
      </c>
      <c r="E700">
        <v>9025</v>
      </c>
      <c r="F700">
        <v>176</v>
      </c>
      <c r="G700">
        <v>70</v>
      </c>
      <c r="H700">
        <v>0</v>
      </c>
      <c r="J700" s="1">
        <f t="shared" si="50"/>
        <v>30976</v>
      </c>
      <c r="K700" s="1">
        <f t="shared" si="51"/>
        <v>4900</v>
      </c>
      <c r="L700" s="1">
        <f t="shared" si="52"/>
        <v>35876</v>
      </c>
      <c r="M700" s="1">
        <f t="shared" si="53"/>
        <v>189.40960904874916</v>
      </c>
      <c r="N700" s="7">
        <f t="shared" si="54"/>
        <v>189.40960904874916</v>
      </c>
    </row>
    <row r="701" spans="1:14" x14ac:dyDescent="0.25">
      <c r="A701" t="str">
        <f>"14:02:03.453"</f>
        <v>14:02:03.453</v>
      </c>
      <c r="B701">
        <v>39.301765000000003</v>
      </c>
      <c r="C701">
        <v>-77.155974000000001</v>
      </c>
      <c r="D701">
        <v>8700</v>
      </c>
      <c r="E701">
        <v>9025</v>
      </c>
      <c r="F701">
        <v>175</v>
      </c>
      <c r="G701">
        <v>71</v>
      </c>
      <c r="H701">
        <v>0</v>
      </c>
      <c r="J701" s="1">
        <f t="shared" si="50"/>
        <v>30625</v>
      </c>
      <c r="K701" s="1">
        <f t="shared" si="51"/>
        <v>5041</v>
      </c>
      <c r="L701" s="1">
        <f t="shared" si="52"/>
        <v>35666</v>
      </c>
      <c r="M701" s="1">
        <f t="shared" si="53"/>
        <v>188.85444130334875</v>
      </c>
      <c r="N701" s="7">
        <f t="shared" si="54"/>
        <v>188.85444130334875</v>
      </c>
    </row>
    <row r="702" spans="1:14" x14ac:dyDescent="0.25">
      <c r="A702" t="str">
        <f>"14:02:04.461"</f>
        <v>14:02:04.461</v>
      </c>
      <c r="B702">
        <v>39.302087</v>
      </c>
      <c r="C702">
        <v>-77.154900999999995</v>
      </c>
      <c r="D702">
        <v>8700</v>
      </c>
      <c r="E702">
        <v>9025</v>
      </c>
      <c r="F702">
        <v>175</v>
      </c>
      <c r="G702">
        <v>71</v>
      </c>
      <c r="H702">
        <v>0</v>
      </c>
      <c r="J702" s="1">
        <f t="shared" si="50"/>
        <v>30625</v>
      </c>
      <c r="K702" s="1">
        <f t="shared" si="51"/>
        <v>5041</v>
      </c>
      <c r="L702" s="1">
        <f t="shared" si="52"/>
        <v>35666</v>
      </c>
      <c r="M702" s="1">
        <f t="shared" si="53"/>
        <v>188.85444130334875</v>
      </c>
      <c r="N702" s="7">
        <f t="shared" si="54"/>
        <v>188.85444130334875</v>
      </c>
    </row>
    <row r="703" spans="1:14" x14ac:dyDescent="0.25">
      <c r="A703" t="str">
        <f>"14:02:05.477"</f>
        <v>14:02:05.477</v>
      </c>
      <c r="B703">
        <v>39.302452000000002</v>
      </c>
      <c r="C703">
        <v>-77.153870999999995</v>
      </c>
      <c r="D703">
        <v>8700</v>
      </c>
      <c r="E703">
        <v>9025</v>
      </c>
      <c r="F703">
        <v>175</v>
      </c>
      <c r="G703">
        <v>71</v>
      </c>
      <c r="H703">
        <v>0</v>
      </c>
      <c r="J703" s="1">
        <f t="shared" si="50"/>
        <v>30625</v>
      </c>
      <c r="K703" s="1">
        <f t="shared" si="51"/>
        <v>5041</v>
      </c>
      <c r="L703" s="1">
        <f t="shared" si="52"/>
        <v>35666</v>
      </c>
      <c r="M703" s="1">
        <f t="shared" si="53"/>
        <v>188.85444130334875</v>
      </c>
      <c r="N703" s="7">
        <f t="shared" si="54"/>
        <v>188.85444130334875</v>
      </c>
    </row>
    <row r="704" spans="1:14" x14ac:dyDescent="0.25">
      <c r="A704" t="str">
        <f>"14:02:06.281"</f>
        <v>14:02:06.281</v>
      </c>
      <c r="B704">
        <v>39.302666000000002</v>
      </c>
      <c r="C704">
        <v>-77.153034000000005</v>
      </c>
      <c r="D704">
        <v>8700</v>
      </c>
      <c r="E704">
        <v>9025</v>
      </c>
      <c r="F704">
        <v>175</v>
      </c>
      <c r="G704">
        <v>72</v>
      </c>
      <c r="H704">
        <v>0</v>
      </c>
      <c r="J704" s="1">
        <f t="shared" si="50"/>
        <v>30625</v>
      </c>
      <c r="K704" s="1">
        <f t="shared" si="51"/>
        <v>5184</v>
      </c>
      <c r="L704" s="1">
        <f t="shared" si="52"/>
        <v>35809</v>
      </c>
      <c r="M704" s="1">
        <f t="shared" si="53"/>
        <v>189.23266102869241</v>
      </c>
      <c r="N704" s="7">
        <f t="shared" si="54"/>
        <v>189.23266102869241</v>
      </c>
    </row>
    <row r="705" spans="1:14" x14ac:dyDescent="0.25">
      <c r="A705" t="str">
        <f>"14:02:07.289"</f>
        <v>14:02:07.289</v>
      </c>
      <c r="B705">
        <v>39.303030999999997</v>
      </c>
      <c r="C705">
        <v>-77.151961</v>
      </c>
      <c r="D705">
        <v>8700</v>
      </c>
      <c r="E705">
        <v>9025</v>
      </c>
      <c r="F705">
        <v>175</v>
      </c>
      <c r="G705">
        <v>72</v>
      </c>
      <c r="H705">
        <v>0</v>
      </c>
      <c r="J705" s="1">
        <f t="shared" si="50"/>
        <v>30625</v>
      </c>
      <c r="K705" s="1">
        <f t="shared" si="51"/>
        <v>5184</v>
      </c>
      <c r="L705" s="1">
        <f t="shared" si="52"/>
        <v>35809</v>
      </c>
      <c r="M705" s="1">
        <f t="shared" si="53"/>
        <v>189.23266102869241</v>
      </c>
      <c r="N705" s="7">
        <f t="shared" si="54"/>
        <v>189.23266102869241</v>
      </c>
    </row>
    <row r="706" spans="1:14" x14ac:dyDescent="0.25">
      <c r="A706" t="str">
        <f>"14:02:08.406"</f>
        <v>14:02:08.406</v>
      </c>
      <c r="B706">
        <v>39.303395999999999</v>
      </c>
      <c r="C706">
        <v>-77.150824</v>
      </c>
      <c r="D706">
        <v>8700</v>
      </c>
      <c r="E706">
        <v>9025</v>
      </c>
      <c r="F706">
        <v>175</v>
      </c>
      <c r="G706">
        <v>72</v>
      </c>
      <c r="H706">
        <v>-64</v>
      </c>
      <c r="J706" s="1">
        <f t="shared" si="50"/>
        <v>30625</v>
      </c>
      <c r="K706" s="1">
        <f t="shared" si="51"/>
        <v>5184</v>
      </c>
      <c r="L706" s="1">
        <f t="shared" si="52"/>
        <v>35809</v>
      </c>
      <c r="M706" s="1">
        <f t="shared" si="53"/>
        <v>189.23266102869241</v>
      </c>
      <c r="N706" s="7">
        <f t="shared" si="54"/>
        <v>189.23266102869241</v>
      </c>
    </row>
    <row r="707" spans="1:14" x14ac:dyDescent="0.25">
      <c r="A707" t="str">
        <f>"14:02:09.258"</f>
        <v>14:02:09.258</v>
      </c>
      <c r="B707">
        <v>39.303674999999998</v>
      </c>
      <c r="C707">
        <v>-77.150030000000001</v>
      </c>
      <c r="D707">
        <v>8700</v>
      </c>
      <c r="E707">
        <v>9025</v>
      </c>
      <c r="F707">
        <v>175</v>
      </c>
      <c r="G707">
        <v>72</v>
      </c>
      <c r="H707">
        <v>-64</v>
      </c>
      <c r="J707" s="1">
        <f t="shared" ref="J707:J770" si="55">F707^2</f>
        <v>30625</v>
      </c>
      <c r="K707" s="1">
        <f t="shared" ref="K707:K770" si="56">G707^2</f>
        <v>5184</v>
      </c>
      <c r="L707" s="1">
        <f t="shared" ref="L707:L770" si="57">SUMSQ(F707,G707)</f>
        <v>35809</v>
      </c>
      <c r="M707" s="1">
        <f t="shared" ref="M707:M770" si="58">SQRT(L707)</f>
        <v>189.23266102869241</v>
      </c>
      <c r="N707" s="7">
        <f t="shared" ref="N707:N770" si="59">M707</f>
        <v>189.23266102869241</v>
      </c>
    </row>
    <row r="708" spans="1:14" x14ac:dyDescent="0.25">
      <c r="A708" t="str">
        <f>"14:02:10.172"</f>
        <v>14:02:10.172</v>
      </c>
      <c r="B708">
        <v>39.304017999999999</v>
      </c>
      <c r="C708">
        <v>-77.148978999999997</v>
      </c>
      <c r="D708">
        <v>8700</v>
      </c>
      <c r="E708">
        <v>9025</v>
      </c>
      <c r="F708">
        <v>175</v>
      </c>
      <c r="G708">
        <v>73</v>
      </c>
      <c r="H708">
        <v>-64</v>
      </c>
      <c r="J708" s="1">
        <f t="shared" si="55"/>
        <v>30625</v>
      </c>
      <c r="K708" s="1">
        <f t="shared" si="56"/>
        <v>5329</v>
      </c>
      <c r="L708" s="1">
        <f t="shared" si="57"/>
        <v>35954</v>
      </c>
      <c r="M708" s="1">
        <f t="shared" si="58"/>
        <v>189.61540021844218</v>
      </c>
      <c r="N708" s="7">
        <f t="shared" si="59"/>
        <v>189.61540021844218</v>
      </c>
    </row>
    <row r="709" spans="1:14" x14ac:dyDescent="0.25">
      <c r="A709" t="str">
        <f>"14:02:11.078"</f>
        <v>14:02:11.078</v>
      </c>
      <c r="B709">
        <v>39.304276000000002</v>
      </c>
      <c r="C709">
        <v>-77.148034999999993</v>
      </c>
      <c r="D709">
        <v>8700</v>
      </c>
      <c r="E709">
        <v>9025</v>
      </c>
      <c r="F709">
        <v>175</v>
      </c>
      <c r="G709">
        <v>73</v>
      </c>
      <c r="H709">
        <v>-64</v>
      </c>
      <c r="J709" s="1">
        <f t="shared" si="55"/>
        <v>30625</v>
      </c>
      <c r="K709" s="1">
        <f t="shared" si="56"/>
        <v>5329</v>
      </c>
      <c r="L709" s="1">
        <f t="shared" si="57"/>
        <v>35954</v>
      </c>
      <c r="M709" s="1">
        <f t="shared" si="58"/>
        <v>189.61540021844218</v>
      </c>
      <c r="N709" s="7">
        <f t="shared" si="59"/>
        <v>189.61540021844218</v>
      </c>
    </row>
    <row r="710" spans="1:14" x14ac:dyDescent="0.25">
      <c r="A710" t="str">
        <f>"14:02:12.133"</f>
        <v>14:02:12.133</v>
      </c>
      <c r="B710">
        <v>39.304639999999999</v>
      </c>
      <c r="C710">
        <v>-77.147004999999993</v>
      </c>
      <c r="D710">
        <v>8700</v>
      </c>
      <c r="E710">
        <v>9025</v>
      </c>
      <c r="F710">
        <v>175</v>
      </c>
      <c r="G710">
        <v>73</v>
      </c>
      <c r="H710">
        <v>-64</v>
      </c>
      <c r="J710" s="1">
        <f t="shared" si="55"/>
        <v>30625</v>
      </c>
      <c r="K710" s="1">
        <f t="shared" si="56"/>
        <v>5329</v>
      </c>
      <c r="L710" s="1">
        <f t="shared" si="57"/>
        <v>35954</v>
      </c>
      <c r="M710" s="1">
        <f t="shared" si="58"/>
        <v>189.61540021844218</v>
      </c>
      <c r="N710" s="7">
        <f t="shared" si="59"/>
        <v>189.61540021844218</v>
      </c>
    </row>
    <row r="711" spans="1:14" x14ac:dyDescent="0.25">
      <c r="A711" t="str">
        <f>"14:02:13.141"</f>
        <v>14:02:13.141</v>
      </c>
      <c r="B711">
        <v>39.304983999999997</v>
      </c>
      <c r="C711">
        <v>-77.145803000000001</v>
      </c>
      <c r="D711">
        <v>8700</v>
      </c>
      <c r="E711">
        <v>9025</v>
      </c>
      <c r="F711">
        <v>175</v>
      </c>
      <c r="G711">
        <v>73</v>
      </c>
      <c r="H711">
        <v>0</v>
      </c>
      <c r="J711" s="1">
        <f t="shared" si="55"/>
        <v>30625</v>
      </c>
      <c r="K711" s="1">
        <f t="shared" si="56"/>
        <v>5329</v>
      </c>
      <c r="L711" s="1">
        <f t="shared" si="57"/>
        <v>35954</v>
      </c>
      <c r="M711" s="1">
        <f t="shared" si="58"/>
        <v>189.61540021844218</v>
      </c>
      <c r="N711" s="7">
        <f t="shared" si="59"/>
        <v>189.61540021844218</v>
      </c>
    </row>
    <row r="712" spans="1:14" x14ac:dyDescent="0.25">
      <c r="A712" t="str">
        <f>"14:02:14.203"</f>
        <v>14:02:14.203</v>
      </c>
      <c r="B712">
        <v>39.305348000000002</v>
      </c>
      <c r="C712">
        <v>-77.144773000000001</v>
      </c>
      <c r="D712">
        <v>8700</v>
      </c>
      <c r="E712">
        <v>9025</v>
      </c>
      <c r="F712">
        <v>175</v>
      </c>
      <c r="G712">
        <v>73</v>
      </c>
      <c r="H712">
        <v>0</v>
      </c>
      <c r="J712" s="1">
        <f t="shared" si="55"/>
        <v>30625</v>
      </c>
      <c r="K712" s="1">
        <f t="shared" si="56"/>
        <v>5329</v>
      </c>
      <c r="L712" s="1">
        <f t="shared" si="57"/>
        <v>35954</v>
      </c>
      <c r="M712" s="1">
        <f t="shared" si="58"/>
        <v>189.61540021844218</v>
      </c>
      <c r="N712" s="7">
        <f t="shared" si="59"/>
        <v>189.61540021844218</v>
      </c>
    </row>
    <row r="713" spans="1:14" x14ac:dyDescent="0.25">
      <c r="A713" t="str">
        <f>"14:02:15.211"</f>
        <v>14:02:15.211</v>
      </c>
      <c r="B713">
        <v>39.305692000000001</v>
      </c>
      <c r="C713">
        <v>-77.143743000000001</v>
      </c>
      <c r="D713">
        <v>8700</v>
      </c>
      <c r="E713">
        <v>9025</v>
      </c>
      <c r="F713">
        <v>175</v>
      </c>
      <c r="G713">
        <v>73</v>
      </c>
      <c r="H713">
        <v>0</v>
      </c>
      <c r="J713" s="1">
        <f t="shared" si="55"/>
        <v>30625</v>
      </c>
      <c r="K713" s="1">
        <f t="shared" si="56"/>
        <v>5329</v>
      </c>
      <c r="L713" s="1">
        <f t="shared" si="57"/>
        <v>35954</v>
      </c>
      <c r="M713" s="1">
        <f t="shared" si="58"/>
        <v>189.61540021844218</v>
      </c>
      <c r="N713" s="7">
        <f t="shared" si="59"/>
        <v>189.61540021844218</v>
      </c>
    </row>
    <row r="714" spans="1:14" x14ac:dyDescent="0.25">
      <c r="A714" t="str">
        <f>"14:02:16.219"</f>
        <v>14:02:16.219</v>
      </c>
      <c r="B714">
        <v>39.306013999999998</v>
      </c>
      <c r="C714">
        <v>-77.142691999999997</v>
      </c>
      <c r="D714">
        <v>8700</v>
      </c>
      <c r="E714">
        <v>9025</v>
      </c>
      <c r="F714">
        <v>175</v>
      </c>
      <c r="G714">
        <v>73</v>
      </c>
      <c r="H714">
        <v>0</v>
      </c>
      <c r="J714" s="1">
        <f t="shared" si="55"/>
        <v>30625</v>
      </c>
      <c r="K714" s="1">
        <f t="shared" si="56"/>
        <v>5329</v>
      </c>
      <c r="L714" s="1">
        <f t="shared" si="57"/>
        <v>35954</v>
      </c>
      <c r="M714" s="1">
        <f t="shared" si="58"/>
        <v>189.61540021844218</v>
      </c>
      <c r="N714" s="7">
        <f t="shared" si="59"/>
        <v>189.61540021844218</v>
      </c>
    </row>
    <row r="715" spans="1:14" x14ac:dyDescent="0.25">
      <c r="A715" t="str">
        <f>"14:02:17.133"</f>
        <v>14:02:17.133</v>
      </c>
      <c r="B715">
        <v>39.306334999999997</v>
      </c>
      <c r="C715">
        <v>-77.141746999999995</v>
      </c>
      <c r="D715">
        <v>8700</v>
      </c>
      <c r="E715">
        <v>9025</v>
      </c>
      <c r="F715">
        <v>175</v>
      </c>
      <c r="G715">
        <v>72</v>
      </c>
      <c r="H715">
        <v>0</v>
      </c>
      <c r="J715" s="1">
        <f t="shared" si="55"/>
        <v>30625</v>
      </c>
      <c r="K715" s="1">
        <f t="shared" si="56"/>
        <v>5184</v>
      </c>
      <c r="L715" s="1">
        <f t="shared" si="57"/>
        <v>35809</v>
      </c>
      <c r="M715" s="1">
        <f t="shared" si="58"/>
        <v>189.23266102869241</v>
      </c>
      <c r="N715" s="7">
        <f t="shared" si="59"/>
        <v>189.23266102869241</v>
      </c>
    </row>
    <row r="716" spans="1:14" x14ac:dyDescent="0.25">
      <c r="A716" t="str">
        <f>"14:02:18.289"</f>
        <v>14:02:18.289</v>
      </c>
      <c r="B716">
        <v>39.306699999999999</v>
      </c>
      <c r="C716">
        <v>-77.140502999999995</v>
      </c>
      <c r="D716">
        <v>8700</v>
      </c>
      <c r="E716">
        <v>9025</v>
      </c>
      <c r="F716">
        <v>175</v>
      </c>
      <c r="G716">
        <v>72</v>
      </c>
      <c r="H716">
        <v>0</v>
      </c>
      <c r="J716" s="1">
        <f t="shared" si="55"/>
        <v>30625</v>
      </c>
      <c r="K716" s="1">
        <f t="shared" si="56"/>
        <v>5184</v>
      </c>
      <c r="L716" s="1">
        <f t="shared" si="57"/>
        <v>35809</v>
      </c>
      <c r="M716" s="1">
        <f t="shared" si="58"/>
        <v>189.23266102869241</v>
      </c>
      <c r="N716" s="7">
        <f t="shared" si="59"/>
        <v>189.23266102869241</v>
      </c>
    </row>
    <row r="717" spans="1:14" x14ac:dyDescent="0.25">
      <c r="A717" t="str">
        <f>"14:02:19.297"</f>
        <v>14:02:19.297</v>
      </c>
      <c r="B717">
        <v>39.307065000000001</v>
      </c>
      <c r="C717">
        <v>-77.139493999999999</v>
      </c>
      <c r="D717">
        <v>8700</v>
      </c>
      <c r="E717">
        <v>9025</v>
      </c>
      <c r="F717">
        <v>175</v>
      </c>
      <c r="G717">
        <v>72</v>
      </c>
      <c r="H717">
        <v>64</v>
      </c>
      <c r="J717" s="1">
        <f t="shared" si="55"/>
        <v>30625</v>
      </c>
      <c r="K717" s="1">
        <f t="shared" si="56"/>
        <v>5184</v>
      </c>
      <c r="L717" s="1">
        <f t="shared" si="57"/>
        <v>35809</v>
      </c>
      <c r="M717" s="1">
        <f t="shared" si="58"/>
        <v>189.23266102869241</v>
      </c>
      <c r="N717" s="7">
        <f t="shared" si="59"/>
        <v>189.23266102869241</v>
      </c>
    </row>
    <row r="718" spans="1:14" x14ac:dyDescent="0.25">
      <c r="A718" t="str">
        <f>"14:02:20.258"</f>
        <v>14:02:20.258</v>
      </c>
      <c r="B718">
        <v>39.307386999999999</v>
      </c>
      <c r="C718">
        <v>-77.138422000000006</v>
      </c>
      <c r="D718">
        <v>8700</v>
      </c>
      <c r="E718">
        <v>9025</v>
      </c>
      <c r="F718">
        <v>175</v>
      </c>
      <c r="G718">
        <v>72</v>
      </c>
      <c r="H718">
        <v>64</v>
      </c>
      <c r="J718" s="1">
        <f t="shared" si="55"/>
        <v>30625</v>
      </c>
      <c r="K718" s="1">
        <f t="shared" si="56"/>
        <v>5184</v>
      </c>
      <c r="L718" s="1">
        <f t="shared" si="57"/>
        <v>35809</v>
      </c>
      <c r="M718" s="1">
        <f t="shared" si="58"/>
        <v>189.23266102869241</v>
      </c>
      <c r="N718" s="7">
        <f t="shared" si="59"/>
        <v>189.23266102869241</v>
      </c>
    </row>
    <row r="719" spans="1:14" x14ac:dyDescent="0.25">
      <c r="A719" t="str">
        <f>"14:02:21.164"</f>
        <v>14:02:21.164</v>
      </c>
      <c r="B719">
        <v>39.307665999999998</v>
      </c>
      <c r="C719">
        <v>-77.137585000000001</v>
      </c>
      <c r="D719">
        <v>8700</v>
      </c>
      <c r="E719">
        <v>9025</v>
      </c>
      <c r="F719">
        <v>175</v>
      </c>
      <c r="G719">
        <v>72</v>
      </c>
      <c r="H719">
        <v>0</v>
      </c>
      <c r="J719" s="1">
        <f t="shared" si="55"/>
        <v>30625</v>
      </c>
      <c r="K719" s="1">
        <f t="shared" si="56"/>
        <v>5184</v>
      </c>
      <c r="L719" s="1">
        <f t="shared" si="57"/>
        <v>35809</v>
      </c>
      <c r="M719" s="1">
        <f t="shared" si="58"/>
        <v>189.23266102869241</v>
      </c>
      <c r="N719" s="7">
        <f t="shared" si="59"/>
        <v>189.23266102869241</v>
      </c>
    </row>
    <row r="720" spans="1:14" x14ac:dyDescent="0.25">
      <c r="A720" t="str">
        <f>"14:02:22.227"</f>
        <v>14:02:22.227</v>
      </c>
      <c r="B720">
        <v>39.308008999999998</v>
      </c>
      <c r="C720">
        <v>-77.136469000000005</v>
      </c>
      <c r="D720">
        <v>8700</v>
      </c>
      <c r="E720">
        <v>9025</v>
      </c>
      <c r="F720">
        <v>175</v>
      </c>
      <c r="G720">
        <v>71</v>
      </c>
      <c r="H720">
        <v>0</v>
      </c>
      <c r="J720" s="1">
        <f t="shared" si="55"/>
        <v>30625</v>
      </c>
      <c r="K720" s="1">
        <f t="shared" si="56"/>
        <v>5041</v>
      </c>
      <c r="L720" s="1">
        <f t="shared" si="57"/>
        <v>35666</v>
      </c>
      <c r="M720" s="1">
        <f t="shared" si="58"/>
        <v>188.85444130334875</v>
      </c>
      <c r="N720" s="7">
        <f t="shared" si="59"/>
        <v>188.85444130334875</v>
      </c>
    </row>
    <row r="721" spans="1:14" x14ac:dyDescent="0.25">
      <c r="A721" t="str">
        <f>"14:02:23.188"</f>
        <v>14:02:23.188</v>
      </c>
      <c r="B721">
        <v>39.308331000000003</v>
      </c>
      <c r="C721">
        <v>-77.135439000000005</v>
      </c>
      <c r="D721">
        <v>8700</v>
      </c>
      <c r="E721">
        <v>9025</v>
      </c>
      <c r="F721">
        <v>175</v>
      </c>
      <c r="G721">
        <v>71</v>
      </c>
      <c r="H721">
        <v>0</v>
      </c>
      <c r="J721" s="1">
        <f t="shared" si="55"/>
        <v>30625</v>
      </c>
      <c r="K721" s="1">
        <f t="shared" si="56"/>
        <v>5041</v>
      </c>
      <c r="L721" s="1">
        <f t="shared" si="57"/>
        <v>35666</v>
      </c>
      <c r="M721" s="1">
        <f t="shared" si="58"/>
        <v>188.85444130334875</v>
      </c>
      <c r="N721" s="7">
        <f t="shared" si="59"/>
        <v>188.85444130334875</v>
      </c>
    </row>
    <row r="722" spans="1:14" x14ac:dyDescent="0.25">
      <c r="A722" t="str">
        <f>"14:02:24.195"</f>
        <v>14:02:24.195</v>
      </c>
      <c r="B722">
        <v>39.308653</v>
      </c>
      <c r="C722">
        <v>-77.134344999999996</v>
      </c>
      <c r="D722">
        <v>8700</v>
      </c>
      <c r="E722">
        <v>9025</v>
      </c>
      <c r="F722">
        <v>175</v>
      </c>
      <c r="G722">
        <v>71</v>
      </c>
      <c r="H722">
        <v>0</v>
      </c>
      <c r="J722" s="1">
        <f t="shared" si="55"/>
        <v>30625</v>
      </c>
      <c r="K722" s="1">
        <f t="shared" si="56"/>
        <v>5041</v>
      </c>
      <c r="L722" s="1">
        <f t="shared" si="57"/>
        <v>35666</v>
      </c>
      <c r="M722" s="1">
        <f t="shared" si="58"/>
        <v>188.85444130334875</v>
      </c>
      <c r="N722" s="7">
        <f t="shared" si="59"/>
        <v>188.85444130334875</v>
      </c>
    </row>
    <row r="723" spans="1:14" x14ac:dyDescent="0.25">
      <c r="A723" t="str">
        <f>"14:02:25.156"</f>
        <v>14:02:25.156</v>
      </c>
      <c r="B723">
        <v>39.308953000000002</v>
      </c>
      <c r="C723">
        <v>-77.133399999999995</v>
      </c>
      <c r="D723">
        <v>8700</v>
      </c>
      <c r="E723">
        <v>9025</v>
      </c>
      <c r="F723">
        <v>175</v>
      </c>
      <c r="G723">
        <v>70</v>
      </c>
      <c r="H723">
        <v>0</v>
      </c>
      <c r="J723" s="1">
        <f t="shared" si="55"/>
        <v>30625</v>
      </c>
      <c r="K723" s="1">
        <f t="shared" si="56"/>
        <v>4900</v>
      </c>
      <c r="L723" s="1">
        <f t="shared" si="57"/>
        <v>35525</v>
      </c>
      <c r="M723" s="1">
        <f t="shared" si="58"/>
        <v>188.48076824970764</v>
      </c>
      <c r="N723" s="7">
        <f t="shared" si="59"/>
        <v>188.48076824970764</v>
      </c>
    </row>
    <row r="724" spans="1:14" x14ac:dyDescent="0.25">
      <c r="A724" t="str">
        <f>"14:02:26.008"</f>
        <v>14:02:26.008</v>
      </c>
      <c r="B724">
        <v>39.309275</v>
      </c>
      <c r="C724">
        <v>-77.132498999999996</v>
      </c>
      <c r="D724">
        <v>8700</v>
      </c>
      <c r="E724">
        <v>9025</v>
      </c>
      <c r="F724">
        <v>176</v>
      </c>
      <c r="G724">
        <v>70</v>
      </c>
      <c r="H724">
        <v>0</v>
      </c>
      <c r="J724" s="1">
        <f t="shared" si="55"/>
        <v>30976</v>
      </c>
      <c r="K724" s="1">
        <f t="shared" si="56"/>
        <v>4900</v>
      </c>
      <c r="L724" s="1">
        <f t="shared" si="57"/>
        <v>35876</v>
      </c>
      <c r="M724" s="1">
        <f t="shared" si="58"/>
        <v>189.40960904874916</v>
      </c>
      <c r="N724" s="7">
        <f t="shared" si="59"/>
        <v>189.40960904874916</v>
      </c>
    </row>
    <row r="725" spans="1:14" x14ac:dyDescent="0.25">
      <c r="A725" t="str">
        <f>"14:02:26.922"</f>
        <v>14:02:26.922</v>
      </c>
      <c r="B725">
        <v>39.309533000000002</v>
      </c>
      <c r="C725">
        <v>-77.131555000000006</v>
      </c>
      <c r="D725">
        <v>8700</v>
      </c>
      <c r="E725">
        <v>9025</v>
      </c>
      <c r="F725">
        <v>176</v>
      </c>
      <c r="G725">
        <v>70</v>
      </c>
      <c r="H725">
        <v>0</v>
      </c>
      <c r="J725" s="1">
        <f t="shared" si="55"/>
        <v>30976</v>
      </c>
      <c r="K725" s="1">
        <f t="shared" si="56"/>
        <v>4900</v>
      </c>
      <c r="L725" s="1">
        <f t="shared" si="57"/>
        <v>35876</v>
      </c>
      <c r="M725" s="1">
        <f t="shared" si="58"/>
        <v>189.40960904874916</v>
      </c>
      <c r="N725" s="7">
        <f t="shared" si="59"/>
        <v>189.40960904874916</v>
      </c>
    </row>
    <row r="726" spans="1:14" x14ac:dyDescent="0.25">
      <c r="A726" t="str">
        <f>"14:02:27.828"</f>
        <v>14:02:27.828</v>
      </c>
      <c r="B726">
        <v>39.309832999999998</v>
      </c>
      <c r="C726">
        <v>-77.130611000000002</v>
      </c>
      <c r="D726">
        <v>8700</v>
      </c>
      <c r="E726">
        <v>9025</v>
      </c>
      <c r="F726">
        <v>176</v>
      </c>
      <c r="G726">
        <v>69</v>
      </c>
      <c r="H726">
        <v>-64</v>
      </c>
      <c r="J726" s="1">
        <f t="shared" si="55"/>
        <v>30976</v>
      </c>
      <c r="K726" s="1">
        <f t="shared" si="56"/>
        <v>4761</v>
      </c>
      <c r="L726" s="1">
        <f t="shared" si="57"/>
        <v>35737</v>
      </c>
      <c r="M726" s="1">
        <f t="shared" si="58"/>
        <v>189.04232330353963</v>
      </c>
      <c r="N726" s="7">
        <f t="shared" si="59"/>
        <v>189.04232330353963</v>
      </c>
    </row>
    <row r="727" spans="1:14" x14ac:dyDescent="0.25">
      <c r="A727" t="str">
        <f>"14:02:28.789"</f>
        <v>14:02:28.789</v>
      </c>
      <c r="B727">
        <v>39.310155000000002</v>
      </c>
      <c r="C727">
        <v>-77.129517000000007</v>
      </c>
      <c r="D727">
        <v>8700</v>
      </c>
      <c r="E727">
        <v>9025</v>
      </c>
      <c r="F727">
        <v>176</v>
      </c>
      <c r="G727">
        <v>69</v>
      </c>
      <c r="H727">
        <v>0</v>
      </c>
      <c r="J727" s="1">
        <f t="shared" si="55"/>
        <v>30976</v>
      </c>
      <c r="K727" s="1">
        <f t="shared" si="56"/>
        <v>4761</v>
      </c>
      <c r="L727" s="1">
        <f t="shared" si="57"/>
        <v>35737</v>
      </c>
      <c r="M727" s="1">
        <f t="shared" si="58"/>
        <v>189.04232330353963</v>
      </c>
      <c r="N727" s="7">
        <f t="shared" si="59"/>
        <v>189.04232330353963</v>
      </c>
    </row>
    <row r="728" spans="1:14" x14ac:dyDescent="0.25">
      <c r="A728" t="str">
        <f>"14:02:29.695"</f>
        <v>14:02:29.695</v>
      </c>
      <c r="B728">
        <v>39.310454999999997</v>
      </c>
      <c r="C728">
        <v>-77.128614999999996</v>
      </c>
      <c r="D728">
        <v>8700</v>
      </c>
      <c r="E728">
        <v>9025</v>
      </c>
      <c r="F728">
        <v>176</v>
      </c>
      <c r="G728">
        <v>69</v>
      </c>
      <c r="H728">
        <v>0</v>
      </c>
      <c r="J728" s="1">
        <f t="shared" si="55"/>
        <v>30976</v>
      </c>
      <c r="K728" s="1">
        <f t="shared" si="56"/>
        <v>4761</v>
      </c>
      <c r="L728" s="1">
        <f t="shared" si="57"/>
        <v>35737</v>
      </c>
      <c r="M728" s="1">
        <f t="shared" si="58"/>
        <v>189.04232330353963</v>
      </c>
      <c r="N728" s="7">
        <f t="shared" si="59"/>
        <v>189.04232330353963</v>
      </c>
    </row>
    <row r="729" spans="1:14" x14ac:dyDescent="0.25">
      <c r="A729" t="str">
        <f>"14:02:30.602"</f>
        <v>14:02:30.602</v>
      </c>
      <c r="B729">
        <v>39.310713</v>
      </c>
      <c r="C729">
        <v>-77.127628000000001</v>
      </c>
      <c r="D729">
        <v>8700</v>
      </c>
      <c r="E729">
        <v>9025</v>
      </c>
      <c r="F729">
        <v>176</v>
      </c>
      <c r="G729">
        <v>68</v>
      </c>
      <c r="H729">
        <v>0</v>
      </c>
      <c r="J729" s="1">
        <f t="shared" si="55"/>
        <v>30976</v>
      </c>
      <c r="K729" s="1">
        <f t="shared" si="56"/>
        <v>4624</v>
      </c>
      <c r="L729" s="1">
        <f t="shared" si="57"/>
        <v>35600</v>
      </c>
      <c r="M729" s="1">
        <f t="shared" si="58"/>
        <v>188.67962264113208</v>
      </c>
      <c r="N729" s="7">
        <f t="shared" si="59"/>
        <v>188.67962264113208</v>
      </c>
    </row>
    <row r="730" spans="1:14" x14ac:dyDescent="0.25">
      <c r="A730" t="str">
        <f>"14:02:31.664"</f>
        <v>14:02:31.664</v>
      </c>
      <c r="B730">
        <v>39.311056000000001</v>
      </c>
      <c r="C730">
        <v>-77.126469999999998</v>
      </c>
      <c r="D730">
        <v>8700</v>
      </c>
      <c r="E730">
        <v>9025</v>
      </c>
      <c r="F730">
        <v>176</v>
      </c>
      <c r="G730">
        <v>68</v>
      </c>
      <c r="H730">
        <v>0</v>
      </c>
      <c r="J730" s="1">
        <f t="shared" si="55"/>
        <v>30976</v>
      </c>
      <c r="K730" s="1">
        <f t="shared" si="56"/>
        <v>4624</v>
      </c>
      <c r="L730" s="1">
        <f t="shared" si="57"/>
        <v>35600</v>
      </c>
      <c r="M730" s="1">
        <f t="shared" si="58"/>
        <v>188.67962264113208</v>
      </c>
      <c r="N730" s="7">
        <f t="shared" si="59"/>
        <v>188.67962264113208</v>
      </c>
    </row>
    <row r="731" spans="1:14" x14ac:dyDescent="0.25">
      <c r="A731" t="str">
        <f>"14:02:32.719"</f>
        <v>14:02:32.719</v>
      </c>
      <c r="B731">
        <v>39.311377999999998</v>
      </c>
      <c r="C731">
        <v>-77.125461000000001</v>
      </c>
      <c r="D731">
        <v>8700</v>
      </c>
      <c r="E731">
        <v>9025</v>
      </c>
      <c r="F731">
        <v>177</v>
      </c>
      <c r="G731">
        <v>67</v>
      </c>
      <c r="H731">
        <v>0</v>
      </c>
      <c r="J731" s="1">
        <f t="shared" si="55"/>
        <v>31329</v>
      </c>
      <c r="K731" s="1">
        <f t="shared" si="56"/>
        <v>4489</v>
      </c>
      <c r="L731" s="1">
        <f t="shared" si="57"/>
        <v>35818</v>
      </c>
      <c r="M731" s="1">
        <f t="shared" si="58"/>
        <v>189.25643978475344</v>
      </c>
      <c r="N731" s="7">
        <f t="shared" si="59"/>
        <v>189.25643978475344</v>
      </c>
    </row>
    <row r="732" spans="1:14" x14ac:dyDescent="0.25">
      <c r="A732" t="str">
        <f>"14:02:33.734"</f>
        <v>14:02:33.734</v>
      </c>
      <c r="B732">
        <v>39.311700000000002</v>
      </c>
      <c r="C732">
        <v>-77.124387999999996</v>
      </c>
      <c r="D732">
        <v>8700</v>
      </c>
      <c r="E732">
        <v>9025</v>
      </c>
      <c r="F732">
        <v>177</v>
      </c>
      <c r="G732">
        <v>67</v>
      </c>
      <c r="H732">
        <v>0</v>
      </c>
      <c r="J732" s="1">
        <f t="shared" si="55"/>
        <v>31329</v>
      </c>
      <c r="K732" s="1">
        <f t="shared" si="56"/>
        <v>4489</v>
      </c>
      <c r="L732" s="1">
        <f t="shared" si="57"/>
        <v>35818</v>
      </c>
      <c r="M732" s="1">
        <f t="shared" si="58"/>
        <v>189.25643978475344</v>
      </c>
      <c r="N732" s="7">
        <f t="shared" si="59"/>
        <v>189.25643978475344</v>
      </c>
    </row>
    <row r="733" spans="1:14" x14ac:dyDescent="0.25">
      <c r="A733" t="str">
        <f>"14:02:34.641"</f>
        <v>14:02:34.641</v>
      </c>
      <c r="B733">
        <v>39.312021999999999</v>
      </c>
      <c r="C733">
        <v>-77.123357999999996</v>
      </c>
      <c r="D733">
        <v>8700</v>
      </c>
      <c r="E733">
        <v>9025</v>
      </c>
      <c r="F733">
        <v>177</v>
      </c>
      <c r="G733">
        <v>67</v>
      </c>
      <c r="H733">
        <v>0</v>
      </c>
      <c r="J733" s="1">
        <f t="shared" si="55"/>
        <v>31329</v>
      </c>
      <c r="K733" s="1">
        <f t="shared" si="56"/>
        <v>4489</v>
      </c>
      <c r="L733" s="1">
        <f t="shared" si="57"/>
        <v>35818</v>
      </c>
      <c r="M733" s="1">
        <f t="shared" si="58"/>
        <v>189.25643978475344</v>
      </c>
      <c r="N733" s="7">
        <f t="shared" si="59"/>
        <v>189.25643978475344</v>
      </c>
    </row>
    <row r="734" spans="1:14" x14ac:dyDescent="0.25">
      <c r="A734" t="str">
        <f>"14:02:35.547"</f>
        <v>14:02:35.547</v>
      </c>
      <c r="B734">
        <v>39.312258</v>
      </c>
      <c r="C734">
        <v>-77.122371000000001</v>
      </c>
      <c r="D734">
        <v>8700</v>
      </c>
      <c r="E734">
        <v>9025</v>
      </c>
      <c r="F734">
        <v>177</v>
      </c>
      <c r="G734">
        <v>67</v>
      </c>
      <c r="H734">
        <v>0</v>
      </c>
      <c r="J734" s="1">
        <f t="shared" si="55"/>
        <v>31329</v>
      </c>
      <c r="K734" s="1">
        <f t="shared" si="56"/>
        <v>4489</v>
      </c>
      <c r="L734" s="1">
        <f t="shared" si="57"/>
        <v>35818</v>
      </c>
      <c r="M734" s="1">
        <f t="shared" si="58"/>
        <v>189.25643978475344</v>
      </c>
      <c r="N734" s="7">
        <f t="shared" si="59"/>
        <v>189.25643978475344</v>
      </c>
    </row>
    <row r="735" spans="1:14" x14ac:dyDescent="0.25">
      <c r="A735" t="str">
        <f>"14:02:36.453"</f>
        <v>14:02:36.453</v>
      </c>
      <c r="B735">
        <v>39.312536999999999</v>
      </c>
      <c r="C735">
        <v>-77.121512999999993</v>
      </c>
      <c r="D735">
        <v>8700</v>
      </c>
      <c r="E735">
        <v>9025</v>
      </c>
      <c r="F735">
        <v>177</v>
      </c>
      <c r="G735">
        <v>66</v>
      </c>
      <c r="H735">
        <v>0</v>
      </c>
      <c r="J735" s="1">
        <f t="shared" si="55"/>
        <v>31329</v>
      </c>
      <c r="K735" s="1">
        <f t="shared" si="56"/>
        <v>4356</v>
      </c>
      <c r="L735" s="1">
        <f t="shared" si="57"/>
        <v>35685</v>
      </c>
      <c r="M735" s="1">
        <f t="shared" si="58"/>
        <v>188.90473789717399</v>
      </c>
      <c r="N735" s="7">
        <f t="shared" si="59"/>
        <v>188.90473789717399</v>
      </c>
    </row>
    <row r="736" spans="1:14" x14ac:dyDescent="0.25">
      <c r="A736" t="str">
        <f>"14:02:37.469"</f>
        <v>14:02:37.469</v>
      </c>
      <c r="B736">
        <v>39.312837000000002</v>
      </c>
      <c r="C736">
        <v>-77.120375999999993</v>
      </c>
      <c r="D736">
        <v>8700</v>
      </c>
      <c r="E736">
        <v>9025</v>
      </c>
      <c r="F736">
        <v>177</v>
      </c>
      <c r="G736">
        <v>66</v>
      </c>
      <c r="H736">
        <v>0</v>
      </c>
      <c r="J736" s="1">
        <f t="shared" si="55"/>
        <v>31329</v>
      </c>
      <c r="K736" s="1">
        <f t="shared" si="56"/>
        <v>4356</v>
      </c>
      <c r="L736" s="1">
        <f t="shared" si="57"/>
        <v>35685</v>
      </c>
      <c r="M736" s="1">
        <f t="shared" si="58"/>
        <v>188.90473789717399</v>
      </c>
      <c r="N736" s="7">
        <f t="shared" si="59"/>
        <v>188.90473789717399</v>
      </c>
    </row>
    <row r="737" spans="1:14" x14ac:dyDescent="0.25">
      <c r="A737" t="str">
        <f>"14:02:38.625"</f>
        <v>14:02:38.625</v>
      </c>
      <c r="B737">
        <v>39.313180000000003</v>
      </c>
      <c r="C737">
        <v>-77.119195000000005</v>
      </c>
      <c r="D737">
        <v>8700</v>
      </c>
      <c r="E737">
        <v>9025</v>
      </c>
      <c r="F737">
        <v>177</v>
      </c>
      <c r="G737">
        <v>66</v>
      </c>
      <c r="H737">
        <v>0</v>
      </c>
      <c r="J737" s="1">
        <f t="shared" si="55"/>
        <v>31329</v>
      </c>
      <c r="K737" s="1">
        <f t="shared" si="56"/>
        <v>4356</v>
      </c>
      <c r="L737" s="1">
        <f t="shared" si="57"/>
        <v>35685</v>
      </c>
      <c r="M737" s="1">
        <f t="shared" si="58"/>
        <v>188.90473789717399</v>
      </c>
      <c r="N737" s="7">
        <f t="shared" si="59"/>
        <v>188.90473789717399</v>
      </c>
    </row>
    <row r="738" spans="1:14" x14ac:dyDescent="0.25">
      <c r="A738" t="str">
        <f>"14:02:39.633"</f>
        <v>14:02:39.633</v>
      </c>
      <c r="B738">
        <v>39.313502</v>
      </c>
      <c r="C738">
        <v>-77.118165000000005</v>
      </c>
      <c r="D738">
        <v>8700</v>
      </c>
      <c r="E738">
        <v>9025</v>
      </c>
      <c r="F738">
        <v>177</v>
      </c>
      <c r="G738">
        <v>66</v>
      </c>
      <c r="H738">
        <v>0</v>
      </c>
      <c r="J738" s="1">
        <f t="shared" si="55"/>
        <v>31329</v>
      </c>
      <c r="K738" s="1">
        <f t="shared" si="56"/>
        <v>4356</v>
      </c>
      <c r="L738" s="1">
        <f t="shared" si="57"/>
        <v>35685</v>
      </c>
      <c r="M738" s="1">
        <f t="shared" si="58"/>
        <v>188.90473789717399</v>
      </c>
      <c r="N738" s="7">
        <f t="shared" si="59"/>
        <v>188.90473789717399</v>
      </c>
    </row>
    <row r="739" spans="1:14" x14ac:dyDescent="0.25">
      <c r="A739" t="str">
        <f>"14:02:40.648"</f>
        <v>14:02:40.648</v>
      </c>
      <c r="B739">
        <v>39.313823999999997</v>
      </c>
      <c r="C739">
        <v>-77.117136000000002</v>
      </c>
      <c r="D739">
        <v>8700</v>
      </c>
      <c r="E739">
        <v>9025</v>
      </c>
      <c r="F739">
        <v>177</v>
      </c>
      <c r="G739">
        <v>67</v>
      </c>
      <c r="H739">
        <v>0</v>
      </c>
      <c r="J739" s="1">
        <f t="shared" si="55"/>
        <v>31329</v>
      </c>
      <c r="K739" s="1">
        <f t="shared" si="56"/>
        <v>4489</v>
      </c>
      <c r="L739" s="1">
        <f t="shared" si="57"/>
        <v>35818</v>
      </c>
      <c r="M739" s="1">
        <f t="shared" si="58"/>
        <v>189.25643978475344</v>
      </c>
      <c r="N739" s="7">
        <f t="shared" si="59"/>
        <v>189.25643978475344</v>
      </c>
    </row>
    <row r="740" spans="1:14" x14ac:dyDescent="0.25">
      <c r="A740" t="str">
        <f>"14:02:41.656"</f>
        <v>14:02:41.656</v>
      </c>
      <c r="B740">
        <v>39.314166999999998</v>
      </c>
      <c r="C740">
        <v>-77.115955</v>
      </c>
      <c r="D740">
        <v>8700</v>
      </c>
      <c r="E740">
        <v>9025</v>
      </c>
      <c r="F740">
        <v>177</v>
      </c>
      <c r="G740">
        <v>67</v>
      </c>
      <c r="H740">
        <v>0</v>
      </c>
      <c r="J740" s="1">
        <f t="shared" si="55"/>
        <v>31329</v>
      </c>
      <c r="K740" s="1">
        <f t="shared" si="56"/>
        <v>4489</v>
      </c>
      <c r="L740" s="1">
        <f t="shared" si="57"/>
        <v>35818</v>
      </c>
      <c r="M740" s="1">
        <f t="shared" si="58"/>
        <v>189.25643978475344</v>
      </c>
      <c r="N740" s="7">
        <f t="shared" si="59"/>
        <v>189.25643978475344</v>
      </c>
    </row>
    <row r="741" spans="1:14" x14ac:dyDescent="0.25">
      <c r="A741" t="str">
        <f>"14:02:42.719"</f>
        <v>14:02:42.719</v>
      </c>
      <c r="B741">
        <v>39.314445999999997</v>
      </c>
      <c r="C741">
        <v>-77.114881999999994</v>
      </c>
      <c r="D741">
        <v>8700</v>
      </c>
      <c r="E741">
        <v>9025</v>
      </c>
      <c r="F741">
        <v>177</v>
      </c>
      <c r="G741">
        <v>67</v>
      </c>
      <c r="H741">
        <v>0</v>
      </c>
      <c r="J741" s="1">
        <f t="shared" si="55"/>
        <v>31329</v>
      </c>
      <c r="K741" s="1">
        <f t="shared" si="56"/>
        <v>4489</v>
      </c>
      <c r="L741" s="1">
        <f t="shared" si="57"/>
        <v>35818</v>
      </c>
      <c r="M741" s="1">
        <f t="shared" si="58"/>
        <v>189.25643978475344</v>
      </c>
      <c r="N741" s="7">
        <f t="shared" si="59"/>
        <v>189.25643978475344</v>
      </c>
    </row>
    <row r="742" spans="1:14" x14ac:dyDescent="0.25">
      <c r="A742" t="str">
        <f>"14:02:43.875"</f>
        <v>14:02:43.875</v>
      </c>
      <c r="B742">
        <v>39.314853999999997</v>
      </c>
      <c r="C742">
        <v>-77.113637999999995</v>
      </c>
      <c r="D742">
        <v>8700</v>
      </c>
      <c r="E742">
        <v>9025</v>
      </c>
      <c r="F742">
        <v>177</v>
      </c>
      <c r="G742">
        <v>67</v>
      </c>
      <c r="H742">
        <v>0</v>
      </c>
      <c r="J742" s="1">
        <f t="shared" si="55"/>
        <v>31329</v>
      </c>
      <c r="K742" s="1">
        <f t="shared" si="56"/>
        <v>4489</v>
      </c>
      <c r="L742" s="1">
        <f t="shared" si="57"/>
        <v>35818</v>
      </c>
      <c r="M742" s="1">
        <f t="shared" si="58"/>
        <v>189.25643978475344</v>
      </c>
      <c r="N742" s="7">
        <f t="shared" si="59"/>
        <v>189.25643978475344</v>
      </c>
    </row>
    <row r="743" spans="1:14" x14ac:dyDescent="0.25">
      <c r="A743" t="str">
        <f>"14:02:44.734"</f>
        <v>14:02:44.734</v>
      </c>
      <c r="B743">
        <v>39.315069000000001</v>
      </c>
      <c r="C743">
        <v>-77.112801000000005</v>
      </c>
      <c r="D743">
        <v>8700</v>
      </c>
      <c r="E743">
        <v>9025</v>
      </c>
      <c r="F743">
        <v>177</v>
      </c>
      <c r="G743">
        <v>67</v>
      </c>
      <c r="H743">
        <v>0</v>
      </c>
      <c r="J743" s="1">
        <f t="shared" si="55"/>
        <v>31329</v>
      </c>
      <c r="K743" s="1">
        <f t="shared" si="56"/>
        <v>4489</v>
      </c>
      <c r="L743" s="1">
        <f t="shared" si="57"/>
        <v>35818</v>
      </c>
      <c r="M743" s="1">
        <f t="shared" si="58"/>
        <v>189.25643978475344</v>
      </c>
      <c r="N743" s="7">
        <f t="shared" si="59"/>
        <v>189.25643978475344</v>
      </c>
    </row>
    <row r="744" spans="1:14" x14ac:dyDescent="0.25">
      <c r="A744" t="str">
        <f>"14:02:45.891"</f>
        <v>14:02:45.891</v>
      </c>
      <c r="B744">
        <v>39.315455</v>
      </c>
      <c r="C744">
        <v>-77.111535000000003</v>
      </c>
      <c r="D744">
        <v>8700</v>
      </c>
      <c r="E744">
        <v>9025</v>
      </c>
      <c r="F744">
        <v>177</v>
      </c>
      <c r="G744">
        <v>67</v>
      </c>
      <c r="H744">
        <v>0</v>
      </c>
      <c r="J744" s="1">
        <f t="shared" si="55"/>
        <v>31329</v>
      </c>
      <c r="K744" s="1">
        <f t="shared" si="56"/>
        <v>4489</v>
      </c>
      <c r="L744" s="1">
        <f t="shared" si="57"/>
        <v>35818</v>
      </c>
      <c r="M744" s="1">
        <f t="shared" si="58"/>
        <v>189.25643978475344</v>
      </c>
      <c r="N744" s="7">
        <f t="shared" si="59"/>
        <v>189.25643978475344</v>
      </c>
    </row>
    <row r="745" spans="1:14" x14ac:dyDescent="0.25">
      <c r="A745" t="str">
        <f>"14:02:46.805"</f>
        <v>14:02:46.805</v>
      </c>
      <c r="B745">
        <v>39.315733999999999</v>
      </c>
      <c r="C745">
        <v>-77.110590999999999</v>
      </c>
      <c r="D745">
        <v>8700</v>
      </c>
      <c r="E745">
        <v>9025</v>
      </c>
      <c r="F745">
        <v>177</v>
      </c>
      <c r="G745">
        <v>68</v>
      </c>
      <c r="H745">
        <v>0</v>
      </c>
      <c r="J745" s="1">
        <f t="shared" si="55"/>
        <v>31329</v>
      </c>
      <c r="K745" s="1">
        <f t="shared" si="56"/>
        <v>4624</v>
      </c>
      <c r="L745" s="1">
        <f t="shared" si="57"/>
        <v>35953</v>
      </c>
      <c r="M745" s="1">
        <f t="shared" si="58"/>
        <v>189.61276328348785</v>
      </c>
      <c r="N745" s="7">
        <f t="shared" si="59"/>
        <v>189.61276328348785</v>
      </c>
    </row>
    <row r="746" spans="1:14" x14ac:dyDescent="0.25">
      <c r="A746" t="str">
        <f>"14:02:47.813"</f>
        <v>14:02:47.813</v>
      </c>
      <c r="B746">
        <v>39.316056000000003</v>
      </c>
      <c r="C746">
        <v>-77.109560999999999</v>
      </c>
      <c r="D746">
        <v>8700</v>
      </c>
      <c r="E746">
        <v>9025</v>
      </c>
      <c r="F746">
        <v>176</v>
      </c>
      <c r="G746">
        <v>68</v>
      </c>
      <c r="H746">
        <v>0</v>
      </c>
      <c r="J746" s="1">
        <f t="shared" si="55"/>
        <v>30976</v>
      </c>
      <c r="K746" s="1">
        <f t="shared" si="56"/>
        <v>4624</v>
      </c>
      <c r="L746" s="1">
        <f t="shared" si="57"/>
        <v>35600</v>
      </c>
      <c r="M746" s="1">
        <f t="shared" si="58"/>
        <v>188.67962264113208</v>
      </c>
      <c r="N746" s="7">
        <f t="shared" si="59"/>
        <v>188.67962264113208</v>
      </c>
    </row>
    <row r="747" spans="1:14" x14ac:dyDescent="0.25">
      <c r="A747" t="str">
        <f>"14:02:48.719"</f>
        <v>14:02:48.719</v>
      </c>
      <c r="B747">
        <v>39.316355999999999</v>
      </c>
      <c r="C747">
        <v>-77.108552000000003</v>
      </c>
      <c r="D747">
        <v>8700</v>
      </c>
      <c r="E747">
        <v>9025</v>
      </c>
      <c r="F747">
        <v>176</v>
      </c>
      <c r="G747">
        <v>68</v>
      </c>
      <c r="H747">
        <v>0</v>
      </c>
      <c r="J747" s="1">
        <f t="shared" si="55"/>
        <v>30976</v>
      </c>
      <c r="K747" s="1">
        <f t="shared" si="56"/>
        <v>4624</v>
      </c>
      <c r="L747" s="1">
        <f t="shared" si="57"/>
        <v>35600</v>
      </c>
      <c r="M747" s="1">
        <f t="shared" si="58"/>
        <v>188.67962264113208</v>
      </c>
      <c r="N747" s="7">
        <f t="shared" si="59"/>
        <v>188.67962264113208</v>
      </c>
    </row>
    <row r="748" spans="1:14" x14ac:dyDescent="0.25">
      <c r="A748" t="str">
        <f>"14:02:49.727"</f>
        <v>14:02:49.727</v>
      </c>
      <c r="B748">
        <v>39.316678000000003</v>
      </c>
      <c r="C748">
        <v>-77.107544000000004</v>
      </c>
      <c r="D748">
        <v>8700</v>
      </c>
      <c r="E748">
        <v>9025</v>
      </c>
      <c r="F748">
        <v>176</v>
      </c>
      <c r="G748">
        <v>69</v>
      </c>
      <c r="H748">
        <v>64</v>
      </c>
      <c r="J748" s="1">
        <f t="shared" si="55"/>
        <v>30976</v>
      </c>
      <c r="K748" s="1">
        <f t="shared" si="56"/>
        <v>4761</v>
      </c>
      <c r="L748" s="1">
        <f t="shared" si="57"/>
        <v>35737</v>
      </c>
      <c r="M748" s="1">
        <f t="shared" si="58"/>
        <v>189.04232330353963</v>
      </c>
      <c r="N748" s="7">
        <f t="shared" si="59"/>
        <v>189.04232330353963</v>
      </c>
    </row>
    <row r="749" spans="1:14" x14ac:dyDescent="0.25">
      <c r="A749" t="str">
        <f>"14:02:50.641"</f>
        <v>14:02:50.641</v>
      </c>
      <c r="B749">
        <v>39.316957000000002</v>
      </c>
      <c r="C749">
        <v>-77.106556999999995</v>
      </c>
      <c r="D749">
        <v>8700</v>
      </c>
      <c r="E749">
        <v>9025</v>
      </c>
      <c r="F749">
        <v>176</v>
      </c>
      <c r="G749">
        <v>69</v>
      </c>
      <c r="H749">
        <v>64</v>
      </c>
      <c r="J749" s="1">
        <f t="shared" si="55"/>
        <v>30976</v>
      </c>
      <c r="K749" s="1">
        <f t="shared" si="56"/>
        <v>4761</v>
      </c>
      <c r="L749" s="1">
        <f t="shared" si="57"/>
        <v>35737</v>
      </c>
      <c r="M749" s="1">
        <f t="shared" si="58"/>
        <v>189.04232330353963</v>
      </c>
      <c r="N749" s="7">
        <f t="shared" si="59"/>
        <v>189.04232330353963</v>
      </c>
    </row>
    <row r="750" spans="1:14" x14ac:dyDescent="0.25">
      <c r="A750" t="str">
        <f>"14:02:51.602"</f>
        <v>14:02:51.602</v>
      </c>
      <c r="B750">
        <v>39.317278999999999</v>
      </c>
      <c r="C750">
        <v>-77.105526999999995</v>
      </c>
      <c r="D750">
        <v>8700</v>
      </c>
      <c r="E750">
        <v>9025</v>
      </c>
      <c r="F750">
        <v>176</v>
      </c>
      <c r="G750">
        <v>70</v>
      </c>
      <c r="H750">
        <v>64</v>
      </c>
      <c r="J750" s="1">
        <f t="shared" si="55"/>
        <v>30976</v>
      </c>
      <c r="K750" s="1">
        <f t="shared" si="56"/>
        <v>4900</v>
      </c>
      <c r="L750" s="1">
        <f t="shared" si="57"/>
        <v>35876</v>
      </c>
      <c r="M750" s="1">
        <f t="shared" si="58"/>
        <v>189.40960904874916</v>
      </c>
      <c r="N750" s="7">
        <f t="shared" si="59"/>
        <v>189.40960904874916</v>
      </c>
    </row>
    <row r="751" spans="1:14" x14ac:dyDescent="0.25">
      <c r="A751" t="str">
        <f>"14:02:52.555"</f>
        <v>14:02:52.555</v>
      </c>
      <c r="B751">
        <v>39.317557999999998</v>
      </c>
      <c r="C751">
        <v>-77.104625999999996</v>
      </c>
      <c r="D751">
        <v>8700</v>
      </c>
      <c r="E751">
        <v>9025</v>
      </c>
      <c r="F751">
        <v>176</v>
      </c>
      <c r="G751">
        <v>70</v>
      </c>
      <c r="H751">
        <v>0</v>
      </c>
      <c r="J751" s="1">
        <f t="shared" si="55"/>
        <v>30976</v>
      </c>
      <c r="K751" s="1">
        <f t="shared" si="56"/>
        <v>4900</v>
      </c>
      <c r="L751" s="1">
        <f t="shared" si="57"/>
        <v>35876</v>
      </c>
      <c r="M751" s="1">
        <f t="shared" si="58"/>
        <v>189.40960904874916</v>
      </c>
      <c r="N751" s="7">
        <f t="shared" si="59"/>
        <v>189.40960904874916</v>
      </c>
    </row>
    <row r="752" spans="1:14" x14ac:dyDescent="0.25">
      <c r="A752" t="str">
        <f>"14:02:53.617"</f>
        <v>14:02:53.617</v>
      </c>
      <c r="B752">
        <v>39.317923</v>
      </c>
      <c r="C752">
        <v>-77.103446000000005</v>
      </c>
      <c r="D752">
        <v>8700</v>
      </c>
      <c r="E752">
        <v>9025</v>
      </c>
      <c r="F752">
        <v>175</v>
      </c>
      <c r="G752">
        <v>71</v>
      </c>
      <c r="H752">
        <v>0</v>
      </c>
      <c r="J752" s="1">
        <f t="shared" si="55"/>
        <v>30625</v>
      </c>
      <c r="K752" s="1">
        <f t="shared" si="56"/>
        <v>5041</v>
      </c>
      <c r="L752" s="1">
        <f t="shared" si="57"/>
        <v>35666</v>
      </c>
      <c r="M752" s="1">
        <f t="shared" si="58"/>
        <v>188.85444130334875</v>
      </c>
      <c r="N752" s="7">
        <f t="shared" si="59"/>
        <v>188.85444130334875</v>
      </c>
    </row>
    <row r="753" spans="1:14" x14ac:dyDescent="0.25">
      <c r="A753" t="str">
        <f>"14:02:54.578"</f>
        <v>14:02:54.578</v>
      </c>
      <c r="B753">
        <v>39.318244</v>
      </c>
      <c r="C753">
        <v>-77.102416000000005</v>
      </c>
      <c r="D753">
        <v>8700</v>
      </c>
      <c r="E753">
        <v>9025</v>
      </c>
      <c r="F753">
        <v>175</v>
      </c>
      <c r="G753">
        <v>71</v>
      </c>
      <c r="H753">
        <v>0</v>
      </c>
      <c r="J753" s="1">
        <f t="shared" si="55"/>
        <v>30625</v>
      </c>
      <c r="K753" s="1">
        <f t="shared" si="56"/>
        <v>5041</v>
      </c>
      <c r="L753" s="1">
        <f t="shared" si="57"/>
        <v>35666</v>
      </c>
      <c r="M753" s="1">
        <f t="shared" si="58"/>
        <v>188.85444130334875</v>
      </c>
      <c r="N753" s="7">
        <f t="shared" si="59"/>
        <v>188.85444130334875</v>
      </c>
    </row>
    <row r="754" spans="1:14" x14ac:dyDescent="0.25">
      <c r="A754" t="str">
        <f>"14:02:55.688"</f>
        <v>14:02:55.688</v>
      </c>
      <c r="B754">
        <v>39.318609000000002</v>
      </c>
      <c r="C754">
        <v>-77.101277999999994</v>
      </c>
      <c r="D754">
        <v>8700</v>
      </c>
      <c r="E754">
        <v>9025</v>
      </c>
      <c r="F754">
        <v>175</v>
      </c>
      <c r="G754">
        <v>72</v>
      </c>
      <c r="H754">
        <v>0</v>
      </c>
      <c r="J754" s="1">
        <f t="shared" si="55"/>
        <v>30625</v>
      </c>
      <c r="K754" s="1">
        <f t="shared" si="56"/>
        <v>5184</v>
      </c>
      <c r="L754" s="1">
        <f t="shared" si="57"/>
        <v>35809</v>
      </c>
      <c r="M754" s="1">
        <f t="shared" si="58"/>
        <v>189.23266102869241</v>
      </c>
      <c r="N754" s="7">
        <f t="shared" si="59"/>
        <v>189.23266102869241</v>
      </c>
    </row>
    <row r="755" spans="1:14" x14ac:dyDescent="0.25">
      <c r="A755" t="str">
        <f>"14:02:56.695"</f>
        <v>14:02:56.695</v>
      </c>
      <c r="B755">
        <v>39.318973999999997</v>
      </c>
      <c r="C755">
        <v>-77.100205000000003</v>
      </c>
      <c r="D755">
        <v>8700</v>
      </c>
      <c r="E755">
        <v>9025</v>
      </c>
      <c r="F755">
        <v>175</v>
      </c>
      <c r="G755">
        <v>72</v>
      </c>
      <c r="H755">
        <v>0</v>
      </c>
      <c r="J755" s="1">
        <f t="shared" si="55"/>
        <v>30625</v>
      </c>
      <c r="K755" s="1">
        <f t="shared" si="56"/>
        <v>5184</v>
      </c>
      <c r="L755" s="1">
        <f t="shared" si="57"/>
        <v>35809</v>
      </c>
      <c r="M755" s="1">
        <f t="shared" si="58"/>
        <v>189.23266102869241</v>
      </c>
      <c r="N755" s="7">
        <f t="shared" si="59"/>
        <v>189.23266102869241</v>
      </c>
    </row>
    <row r="756" spans="1:14" x14ac:dyDescent="0.25">
      <c r="A756" t="str">
        <f>"14:02:57.703"</f>
        <v>14:02:57.703</v>
      </c>
      <c r="B756">
        <v>39.319296000000001</v>
      </c>
      <c r="C756">
        <v>-77.099175000000002</v>
      </c>
      <c r="D756">
        <v>8700</v>
      </c>
      <c r="E756">
        <v>9025</v>
      </c>
      <c r="F756">
        <v>175</v>
      </c>
      <c r="G756">
        <v>72</v>
      </c>
      <c r="H756">
        <v>0</v>
      </c>
      <c r="J756" s="1">
        <f t="shared" si="55"/>
        <v>30625</v>
      </c>
      <c r="K756" s="1">
        <f t="shared" si="56"/>
        <v>5184</v>
      </c>
      <c r="L756" s="1">
        <f t="shared" si="57"/>
        <v>35809</v>
      </c>
      <c r="M756" s="1">
        <f t="shared" si="58"/>
        <v>189.23266102869241</v>
      </c>
      <c r="N756" s="7">
        <f t="shared" si="59"/>
        <v>189.23266102869241</v>
      </c>
    </row>
    <row r="757" spans="1:14" x14ac:dyDescent="0.25">
      <c r="A757" t="str">
        <f>"14:02:58.609"</f>
        <v>14:02:58.609</v>
      </c>
      <c r="B757">
        <v>39.319595999999997</v>
      </c>
      <c r="C757">
        <v>-77.098209999999995</v>
      </c>
      <c r="D757">
        <v>8700</v>
      </c>
      <c r="E757">
        <v>9025</v>
      </c>
      <c r="F757">
        <v>175</v>
      </c>
      <c r="G757">
        <v>72</v>
      </c>
      <c r="H757">
        <v>-64</v>
      </c>
      <c r="J757" s="1">
        <f t="shared" si="55"/>
        <v>30625</v>
      </c>
      <c r="K757" s="1">
        <f t="shared" si="56"/>
        <v>5184</v>
      </c>
      <c r="L757" s="1">
        <f t="shared" si="57"/>
        <v>35809</v>
      </c>
      <c r="M757" s="1">
        <f t="shared" si="58"/>
        <v>189.23266102869241</v>
      </c>
      <c r="N757" s="7">
        <f t="shared" si="59"/>
        <v>189.23266102869241</v>
      </c>
    </row>
    <row r="758" spans="1:14" x14ac:dyDescent="0.25">
      <c r="A758" t="str">
        <f>"14:02:59.672"</f>
        <v>14:02:59.672</v>
      </c>
      <c r="B758">
        <v>39.319983000000001</v>
      </c>
      <c r="C758">
        <v>-77.097093999999998</v>
      </c>
      <c r="D758">
        <v>8700</v>
      </c>
      <c r="E758">
        <v>9025</v>
      </c>
      <c r="F758">
        <v>175</v>
      </c>
      <c r="G758">
        <v>72</v>
      </c>
      <c r="H758">
        <v>0</v>
      </c>
      <c r="J758" s="1">
        <f t="shared" si="55"/>
        <v>30625</v>
      </c>
      <c r="K758" s="1">
        <f t="shared" si="56"/>
        <v>5184</v>
      </c>
      <c r="L758" s="1">
        <f t="shared" si="57"/>
        <v>35809</v>
      </c>
      <c r="M758" s="1">
        <f t="shared" si="58"/>
        <v>189.23266102869241</v>
      </c>
      <c r="N758" s="7">
        <f t="shared" si="59"/>
        <v>189.23266102869241</v>
      </c>
    </row>
    <row r="759" spans="1:14" x14ac:dyDescent="0.25">
      <c r="A759" t="str">
        <f>"14:03:00.680"</f>
        <v>14:03:00.680</v>
      </c>
      <c r="B759">
        <v>39.320304</v>
      </c>
      <c r="C759">
        <v>-77.096020999999993</v>
      </c>
      <c r="D759">
        <v>8700</v>
      </c>
      <c r="E759">
        <v>9025</v>
      </c>
      <c r="F759">
        <v>175</v>
      </c>
      <c r="G759">
        <v>72</v>
      </c>
      <c r="H759">
        <v>0</v>
      </c>
      <c r="J759" s="1">
        <f t="shared" si="55"/>
        <v>30625</v>
      </c>
      <c r="K759" s="1">
        <f t="shared" si="56"/>
        <v>5184</v>
      </c>
      <c r="L759" s="1">
        <f t="shared" si="57"/>
        <v>35809</v>
      </c>
      <c r="M759" s="1">
        <f t="shared" si="58"/>
        <v>189.23266102869241</v>
      </c>
      <c r="N759" s="7">
        <f t="shared" si="59"/>
        <v>189.23266102869241</v>
      </c>
    </row>
    <row r="760" spans="1:14" x14ac:dyDescent="0.25">
      <c r="A760" t="str">
        <f>"14:03:01.789"</f>
        <v>14:03:01.789</v>
      </c>
      <c r="B760">
        <v>39.320669000000002</v>
      </c>
      <c r="C760">
        <v>-77.094904999999997</v>
      </c>
      <c r="D760">
        <v>8700</v>
      </c>
      <c r="E760">
        <v>9025</v>
      </c>
      <c r="F760">
        <v>175</v>
      </c>
      <c r="G760">
        <v>72</v>
      </c>
      <c r="H760">
        <v>0</v>
      </c>
      <c r="J760" s="1">
        <f t="shared" si="55"/>
        <v>30625</v>
      </c>
      <c r="K760" s="1">
        <f t="shared" si="56"/>
        <v>5184</v>
      </c>
      <c r="L760" s="1">
        <f t="shared" si="57"/>
        <v>35809</v>
      </c>
      <c r="M760" s="1">
        <f t="shared" si="58"/>
        <v>189.23266102869241</v>
      </c>
      <c r="N760" s="7">
        <f t="shared" si="59"/>
        <v>189.23266102869241</v>
      </c>
    </row>
    <row r="761" spans="1:14" x14ac:dyDescent="0.25">
      <c r="A761" t="str">
        <f>"14:03:02.602"</f>
        <v>14:03:02.602</v>
      </c>
      <c r="B761">
        <v>39.320905000000003</v>
      </c>
      <c r="C761">
        <v>-77.094047000000003</v>
      </c>
      <c r="D761">
        <v>8700</v>
      </c>
      <c r="E761">
        <v>9025</v>
      </c>
      <c r="F761">
        <v>175</v>
      </c>
      <c r="G761">
        <v>71</v>
      </c>
      <c r="H761">
        <v>0</v>
      </c>
      <c r="J761" s="1">
        <f t="shared" si="55"/>
        <v>30625</v>
      </c>
      <c r="K761" s="1">
        <f t="shared" si="56"/>
        <v>5041</v>
      </c>
      <c r="L761" s="1">
        <f t="shared" si="57"/>
        <v>35666</v>
      </c>
      <c r="M761" s="1">
        <f t="shared" si="58"/>
        <v>188.85444130334875</v>
      </c>
      <c r="N761" s="7">
        <f t="shared" si="59"/>
        <v>188.85444130334875</v>
      </c>
    </row>
    <row r="762" spans="1:14" x14ac:dyDescent="0.25">
      <c r="A762" t="str">
        <f>"14:03:03.711"</f>
        <v>14:03:03.711</v>
      </c>
      <c r="B762">
        <v>39.321249000000002</v>
      </c>
      <c r="C762">
        <v>-77.092910000000003</v>
      </c>
      <c r="D762">
        <v>8700</v>
      </c>
      <c r="E762">
        <v>9025</v>
      </c>
      <c r="F762">
        <v>176</v>
      </c>
      <c r="G762">
        <v>71</v>
      </c>
      <c r="H762">
        <v>0</v>
      </c>
      <c r="J762" s="1">
        <f t="shared" si="55"/>
        <v>30976</v>
      </c>
      <c r="K762" s="1">
        <f t="shared" si="56"/>
        <v>5041</v>
      </c>
      <c r="L762" s="1">
        <f t="shared" si="57"/>
        <v>36017</v>
      </c>
      <c r="M762" s="1">
        <f t="shared" si="58"/>
        <v>189.7814532561072</v>
      </c>
      <c r="N762" s="7">
        <f t="shared" si="59"/>
        <v>189.7814532561072</v>
      </c>
    </row>
    <row r="763" spans="1:14" x14ac:dyDescent="0.25">
      <c r="A763" t="str">
        <f>"14:03:04.570"</f>
        <v>14:03:04.570</v>
      </c>
      <c r="B763">
        <v>39.321548999999997</v>
      </c>
      <c r="C763">
        <v>-77.091922999999994</v>
      </c>
      <c r="D763">
        <v>8700</v>
      </c>
      <c r="E763">
        <v>9025</v>
      </c>
      <c r="F763">
        <v>176</v>
      </c>
      <c r="G763">
        <v>71</v>
      </c>
      <c r="H763">
        <v>-64</v>
      </c>
      <c r="J763" s="1">
        <f t="shared" si="55"/>
        <v>30976</v>
      </c>
      <c r="K763" s="1">
        <f t="shared" si="56"/>
        <v>5041</v>
      </c>
      <c r="L763" s="1">
        <f t="shared" si="57"/>
        <v>36017</v>
      </c>
      <c r="M763" s="1">
        <f t="shared" si="58"/>
        <v>189.7814532561072</v>
      </c>
      <c r="N763" s="7">
        <f t="shared" si="59"/>
        <v>189.7814532561072</v>
      </c>
    </row>
    <row r="764" spans="1:14" x14ac:dyDescent="0.25">
      <c r="A764" t="str">
        <f>"14:03:05.625"</f>
        <v>14:03:05.625</v>
      </c>
      <c r="B764">
        <v>39.321891999999998</v>
      </c>
      <c r="C764">
        <v>-77.090871000000007</v>
      </c>
      <c r="D764">
        <v>8700</v>
      </c>
      <c r="E764">
        <v>9025</v>
      </c>
      <c r="F764">
        <v>176</v>
      </c>
      <c r="G764">
        <v>70</v>
      </c>
      <c r="H764">
        <v>-64</v>
      </c>
      <c r="J764" s="1">
        <f t="shared" si="55"/>
        <v>30976</v>
      </c>
      <c r="K764" s="1">
        <f t="shared" si="56"/>
        <v>4900</v>
      </c>
      <c r="L764" s="1">
        <f t="shared" si="57"/>
        <v>35876</v>
      </c>
      <c r="M764" s="1">
        <f t="shared" si="58"/>
        <v>189.40960904874916</v>
      </c>
      <c r="N764" s="7">
        <f t="shared" si="59"/>
        <v>189.40960904874916</v>
      </c>
    </row>
    <row r="765" spans="1:14" x14ac:dyDescent="0.25">
      <c r="A765" t="str">
        <f>"14:03:06.586"</f>
        <v>14:03:06.586</v>
      </c>
      <c r="B765">
        <v>39.322214000000002</v>
      </c>
      <c r="C765">
        <v>-77.089841000000007</v>
      </c>
      <c r="D765">
        <v>8700</v>
      </c>
      <c r="E765">
        <v>9025</v>
      </c>
      <c r="F765">
        <v>176</v>
      </c>
      <c r="G765">
        <v>70</v>
      </c>
      <c r="H765">
        <v>-64</v>
      </c>
      <c r="J765" s="1">
        <f t="shared" si="55"/>
        <v>30976</v>
      </c>
      <c r="K765" s="1">
        <f t="shared" si="56"/>
        <v>4900</v>
      </c>
      <c r="L765" s="1">
        <f t="shared" si="57"/>
        <v>35876</v>
      </c>
      <c r="M765" s="1">
        <f t="shared" si="58"/>
        <v>189.40960904874916</v>
      </c>
      <c r="N765" s="7">
        <f t="shared" si="59"/>
        <v>189.40960904874916</v>
      </c>
    </row>
    <row r="766" spans="1:14" x14ac:dyDescent="0.25">
      <c r="A766" t="str">
        <f>"14:03:07.648"</f>
        <v>14:03:07.648</v>
      </c>
      <c r="B766">
        <v>39.322535999999999</v>
      </c>
      <c r="C766">
        <v>-77.088811000000007</v>
      </c>
      <c r="D766">
        <v>8700</v>
      </c>
      <c r="E766">
        <v>9025</v>
      </c>
      <c r="F766">
        <v>176</v>
      </c>
      <c r="G766">
        <v>69</v>
      </c>
      <c r="H766">
        <v>-64</v>
      </c>
      <c r="J766" s="1">
        <f t="shared" si="55"/>
        <v>30976</v>
      </c>
      <c r="K766" s="1">
        <f t="shared" si="56"/>
        <v>4761</v>
      </c>
      <c r="L766" s="1">
        <f t="shared" si="57"/>
        <v>35737</v>
      </c>
      <c r="M766" s="1">
        <f t="shared" si="58"/>
        <v>189.04232330353963</v>
      </c>
      <c r="N766" s="7">
        <f t="shared" si="59"/>
        <v>189.04232330353963</v>
      </c>
    </row>
    <row r="767" spans="1:14" x14ac:dyDescent="0.25">
      <c r="A767" t="str">
        <f>"14:03:08.602"</f>
        <v>14:03:08.602</v>
      </c>
      <c r="B767">
        <v>39.322857999999997</v>
      </c>
      <c r="C767">
        <v>-77.087760000000003</v>
      </c>
      <c r="D767">
        <v>8700</v>
      </c>
      <c r="E767">
        <v>9025</v>
      </c>
      <c r="F767">
        <v>177</v>
      </c>
      <c r="G767">
        <v>69</v>
      </c>
      <c r="H767">
        <v>-64</v>
      </c>
      <c r="J767" s="1">
        <f t="shared" si="55"/>
        <v>31329</v>
      </c>
      <c r="K767" s="1">
        <f t="shared" si="56"/>
        <v>4761</v>
      </c>
      <c r="L767" s="1">
        <f t="shared" si="57"/>
        <v>36090</v>
      </c>
      <c r="M767" s="1">
        <f t="shared" si="58"/>
        <v>189.97368238785077</v>
      </c>
      <c r="N767" s="7">
        <f t="shared" si="59"/>
        <v>189.97368238785077</v>
      </c>
    </row>
    <row r="768" spans="1:14" x14ac:dyDescent="0.25">
      <c r="A768" t="str">
        <f>"14:03:09.563"</f>
        <v>14:03:09.563</v>
      </c>
      <c r="B768">
        <v>39.323137000000003</v>
      </c>
      <c r="C768">
        <v>-77.086772999999994</v>
      </c>
      <c r="D768">
        <v>8700</v>
      </c>
      <c r="E768">
        <v>9025</v>
      </c>
      <c r="F768">
        <v>177</v>
      </c>
      <c r="G768">
        <v>68</v>
      </c>
      <c r="H768">
        <v>0</v>
      </c>
      <c r="J768" s="1">
        <f t="shared" si="55"/>
        <v>31329</v>
      </c>
      <c r="K768" s="1">
        <f t="shared" si="56"/>
        <v>4624</v>
      </c>
      <c r="L768" s="1">
        <f t="shared" si="57"/>
        <v>35953</v>
      </c>
      <c r="M768" s="1">
        <f t="shared" si="58"/>
        <v>189.61276328348785</v>
      </c>
      <c r="N768" s="7">
        <f t="shared" si="59"/>
        <v>189.61276328348785</v>
      </c>
    </row>
    <row r="769" spans="1:14" x14ac:dyDescent="0.25">
      <c r="A769" t="str">
        <f>"14:03:10.422"</f>
        <v>14:03:10.422</v>
      </c>
      <c r="B769">
        <v>39.323416000000002</v>
      </c>
      <c r="C769">
        <v>-77.085807000000003</v>
      </c>
      <c r="D769">
        <v>8700</v>
      </c>
      <c r="E769">
        <v>9025</v>
      </c>
      <c r="F769">
        <v>177</v>
      </c>
      <c r="G769">
        <v>68</v>
      </c>
      <c r="H769">
        <v>0</v>
      </c>
      <c r="J769" s="1">
        <f t="shared" si="55"/>
        <v>31329</v>
      </c>
      <c r="K769" s="1">
        <f t="shared" si="56"/>
        <v>4624</v>
      </c>
      <c r="L769" s="1">
        <f t="shared" si="57"/>
        <v>35953</v>
      </c>
      <c r="M769" s="1">
        <f t="shared" si="58"/>
        <v>189.61276328348785</v>
      </c>
      <c r="N769" s="7">
        <f t="shared" si="59"/>
        <v>189.61276328348785</v>
      </c>
    </row>
    <row r="770" spans="1:14" x14ac:dyDescent="0.25">
      <c r="A770" t="str">
        <f>"14:03:11.430"</f>
        <v>14:03:11.430</v>
      </c>
      <c r="B770">
        <v>39.323737999999999</v>
      </c>
      <c r="C770">
        <v>-77.084777000000003</v>
      </c>
      <c r="D770">
        <v>8700</v>
      </c>
      <c r="E770">
        <v>9025</v>
      </c>
      <c r="F770">
        <v>177</v>
      </c>
      <c r="G770">
        <v>68</v>
      </c>
      <c r="H770">
        <v>0</v>
      </c>
      <c r="J770" s="1">
        <f t="shared" si="55"/>
        <v>31329</v>
      </c>
      <c r="K770" s="1">
        <f t="shared" si="56"/>
        <v>4624</v>
      </c>
      <c r="L770" s="1">
        <f t="shared" si="57"/>
        <v>35953</v>
      </c>
      <c r="M770" s="1">
        <f t="shared" si="58"/>
        <v>189.61276328348785</v>
      </c>
      <c r="N770" s="7">
        <f t="shared" si="59"/>
        <v>189.61276328348785</v>
      </c>
    </row>
    <row r="771" spans="1:14" x14ac:dyDescent="0.25">
      <c r="A771" t="str">
        <f>"14:03:12.391"</f>
        <v>14:03:12.391</v>
      </c>
      <c r="B771">
        <v>39.324081</v>
      </c>
      <c r="C771">
        <v>-77.083747000000002</v>
      </c>
      <c r="D771">
        <v>8700</v>
      </c>
      <c r="E771">
        <v>9025</v>
      </c>
      <c r="F771">
        <v>177</v>
      </c>
      <c r="G771">
        <v>67</v>
      </c>
      <c r="H771">
        <v>0</v>
      </c>
      <c r="J771" s="1">
        <f t="shared" ref="J771:J834" si="60">F771^2</f>
        <v>31329</v>
      </c>
      <c r="K771" s="1">
        <f t="shared" ref="K771:K834" si="61">G771^2</f>
        <v>4489</v>
      </c>
      <c r="L771" s="1">
        <f t="shared" ref="L771:L834" si="62">SUMSQ(F771,G771)</f>
        <v>35818</v>
      </c>
      <c r="M771" s="1">
        <f t="shared" ref="M771:M834" si="63">SQRT(L771)</f>
        <v>189.25643978475344</v>
      </c>
      <c r="N771" s="7">
        <f t="shared" ref="N771:N834" si="64">M771</f>
        <v>189.25643978475344</v>
      </c>
    </row>
    <row r="772" spans="1:14" x14ac:dyDescent="0.25">
      <c r="A772" t="str">
        <f>"14:03:13.352"</f>
        <v>14:03:13.352</v>
      </c>
      <c r="B772">
        <v>39.324317000000001</v>
      </c>
      <c r="C772">
        <v>-77.082759999999993</v>
      </c>
      <c r="D772">
        <v>8700</v>
      </c>
      <c r="E772">
        <v>9025</v>
      </c>
      <c r="F772">
        <v>177</v>
      </c>
      <c r="G772">
        <v>67</v>
      </c>
      <c r="H772">
        <v>64</v>
      </c>
      <c r="J772" s="1">
        <f t="shared" si="60"/>
        <v>31329</v>
      </c>
      <c r="K772" s="1">
        <f t="shared" si="61"/>
        <v>4489</v>
      </c>
      <c r="L772" s="1">
        <f t="shared" si="62"/>
        <v>35818</v>
      </c>
      <c r="M772" s="1">
        <f t="shared" si="63"/>
        <v>189.25643978475344</v>
      </c>
      <c r="N772" s="7">
        <f t="shared" si="64"/>
        <v>189.25643978475344</v>
      </c>
    </row>
    <row r="773" spans="1:14" x14ac:dyDescent="0.25">
      <c r="A773" t="str">
        <f>"14:03:14.203"</f>
        <v>14:03:14.203</v>
      </c>
      <c r="B773">
        <v>39.324638999999998</v>
      </c>
      <c r="C773">
        <v>-77.081838000000005</v>
      </c>
      <c r="D773">
        <v>8700</v>
      </c>
      <c r="E773">
        <v>9025</v>
      </c>
      <c r="F773">
        <v>177</v>
      </c>
      <c r="G773">
        <v>67</v>
      </c>
      <c r="H773">
        <v>64</v>
      </c>
      <c r="J773" s="1">
        <f t="shared" si="60"/>
        <v>31329</v>
      </c>
      <c r="K773" s="1">
        <f t="shared" si="61"/>
        <v>4489</v>
      </c>
      <c r="L773" s="1">
        <f t="shared" si="62"/>
        <v>35818</v>
      </c>
      <c r="M773" s="1">
        <f t="shared" si="63"/>
        <v>189.25643978475344</v>
      </c>
      <c r="N773" s="7">
        <f t="shared" si="64"/>
        <v>189.25643978475344</v>
      </c>
    </row>
    <row r="774" spans="1:14" x14ac:dyDescent="0.25">
      <c r="A774" t="str">
        <f>"14:03:15.016"</f>
        <v>14:03:15.016</v>
      </c>
      <c r="B774">
        <v>39.324852999999997</v>
      </c>
      <c r="C774">
        <v>-77.081001000000001</v>
      </c>
      <c r="D774">
        <v>8700</v>
      </c>
      <c r="E774">
        <v>9025</v>
      </c>
      <c r="F774">
        <v>177</v>
      </c>
      <c r="G774">
        <v>67</v>
      </c>
      <c r="H774">
        <v>64</v>
      </c>
      <c r="J774" s="1">
        <f t="shared" si="60"/>
        <v>31329</v>
      </c>
      <c r="K774" s="1">
        <f t="shared" si="61"/>
        <v>4489</v>
      </c>
      <c r="L774" s="1">
        <f t="shared" si="62"/>
        <v>35818</v>
      </c>
      <c r="M774" s="1">
        <f t="shared" si="63"/>
        <v>189.25643978475344</v>
      </c>
      <c r="N774" s="7">
        <f t="shared" si="64"/>
        <v>189.25643978475344</v>
      </c>
    </row>
    <row r="775" spans="1:14" x14ac:dyDescent="0.25">
      <c r="A775" t="str">
        <f>"14:03:16.070"</f>
        <v>14:03:16.070</v>
      </c>
      <c r="B775">
        <v>39.325197000000003</v>
      </c>
      <c r="C775">
        <v>-77.079841999999999</v>
      </c>
      <c r="D775">
        <v>8700</v>
      </c>
      <c r="E775">
        <v>9025</v>
      </c>
      <c r="F775">
        <v>177</v>
      </c>
      <c r="G775">
        <v>67</v>
      </c>
      <c r="H775">
        <v>64</v>
      </c>
      <c r="J775" s="1">
        <f t="shared" si="60"/>
        <v>31329</v>
      </c>
      <c r="K775" s="1">
        <f t="shared" si="61"/>
        <v>4489</v>
      </c>
      <c r="L775" s="1">
        <f t="shared" si="62"/>
        <v>35818</v>
      </c>
      <c r="M775" s="1">
        <f t="shared" si="63"/>
        <v>189.25643978475344</v>
      </c>
      <c r="N775" s="7">
        <f t="shared" si="64"/>
        <v>189.25643978475344</v>
      </c>
    </row>
    <row r="776" spans="1:14" x14ac:dyDescent="0.25">
      <c r="A776" t="str">
        <f>"14:03:17.086"</f>
        <v>14:03:17.086</v>
      </c>
      <c r="B776">
        <v>39.325519</v>
      </c>
      <c r="C776">
        <v>-77.078768999999994</v>
      </c>
      <c r="D776">
        <v>8700</v>
      </c>
      <c r="E776">
        <v>9025</v>
      </c>
      <c r="F776">
        <v>177</v>
      </c>
      <c r="G776">
        <v>67</v>
      </c>
      <c r="H776">
        <v>0</v>
      </c>
      <c r="J776" s="1">
        <f t="shared" si="60"/>
        <v>31329</v>
      </c>
      <c r="K776" s="1">
        <f t="shared" si="61"/>
        <v>4489</v>
      </c>
      <c r="L776" s="1">
        <f t="shared" si="62"/>
        <v>35818</v>
      </c>
      <c r="M776" s="1">
        <f t="shared" si="63"/>
        <v>189.25643978475344</v>
      </c>
      <c r="N776" s="7">
        <f t="shared" si="64"/>
        <v>189.25643978475344</v>
      </c>
    </row>
    <row r="777" spans="1:14" x14ac:dyDescent="0.25">
      <c r="A777" t="str">
        <f>"14:03:17.992"</f>
        <v>14:03:17.992</v>
      </c>
      <c r="B777">
        <v>39.325797999999999</v>
      </c>
      <c r="C777">
        <v>-77.077825000000004</v>
      </c>
      <c r="D777">
        <v>8700</v>
      </c>
      <c r="E777">
        <v>9025</v>
      </c>
      <c r="F777">
        <v>177</v>
      </c>
      <c r="G777">
        <v>67</v>
      </c>
      <c r="H777">
        <v>0</v>
      </c>
      <c r="J777" s="1">
        <f t="shared" si="60"/>
        <v>31329</v>
      </c>
      <c r="K777" s="1">
        <f t="shared" si="61"/>
        <v>4489</v>
      </c>
      <c r="L777" s="1">
        <f t="shared" si="62"/>
        <v>35818</v>
      </c>
      <c r="M777" s="1">
        <f t="shared" si="63"/>
        <v>189.25643978475344</v>
      </c>
      <c r="N777" s="7">
        <f t="shared" si="64"/>
        <v>189.25643978475344</v>
      </c>
    </row>
    <row r="778" spans="1:14" x14ac:dyDescent="0.25">
      <c r="A778" t="str">
        <f>"14:03:18.953"</f>
        <v>14:03:18.953</v>
      </c>
      <c r="B778">
        <v>39.326118999999998</v>
      </c>
      <c r="C778">
        <v>-77.076774</v>
      </c>
      <c r="D778">
        <v>8700</v>
      </c>
      <c r="E778">
        <v>9025</v>
      </c>
      <c r="F778">
        <v>177</v>
      </c>
      <c r="G778">
        <v>67</v>
      </c>
      <c r="H778">
        <v>0</v>
      </c>
      <c r="J778" s="1">
        <f t="shared" si="60"/>
        <v>31329</v>
      </c>
      <c r="K778" s="1">
        <f t="shared" si="61"/>
        <v>4489</v>
      </c>
      <c r="L778" s="1">
        <f t="shared" si="62"/>
        <v>35818</v>
      </c>
      <c r="M778" s="1">
        <f t="shared" si="63"/>
        <v>189.25643978475344</v>
      </c>
      <c r="N778" s="7">
        <f t="shared" si="64"/>
        <v>189.25643978475344</v>
      </c>
    </row>
    <row r="779" spans="1:14" x14ac:dyDescent="0.25">
      <c r="A779" t="str">
        <f>"14:03:19.961"</f>
        <v>14:03:19.961</v>
      </c>
      <c r="B779">
        <v>39.326397999999998</v>
      </c>
      <c r="C779">
        <v>-77.075678999999994</v>
      </c>
      <c r="D779">
        <v>8700</v>
      </c>
      <c r="E779">
        <v>9025</v>
      </c>
      <c r="F779">
        <v>177</v>
      </c>
      <c r="G779">
        <v>67</v>
      </c>
      <c r="H779">
        <v>0</v>
      </c>
      <c r="J779" s="1">
        <f t="shared" si="60"/>
        <v>31329</v>
      </c>
      <c r="K779" s="1">
        <f t="shared" si="61"/>
        <v>4489</v>
      </c>
      <c r="L779" s="1">
        <f t="shared" si="62"/>
        <v>35818</v>
      </c>
      <c r="M779" s="1">
        <f t="shared" si="63"/>
        <v>189.25643978475344</v>
      </c>
      <c r="N779" s="7">
        <f t="shared" si="64"/>
        <v>189.25643978475344</v>
      </c>
    </row>
    <row r="780" spans="1:14" x14ac:dyDescent="0.25">
      <c r="A780" t="str">
        <f>"14:03:20.867"</f>
        <v>14:03:20.867</v>
      </c>
      <c r="B780">
        <v>39.326698999999998</v>
      </c>
      <c r="C780">
        <v>-77.074757000000005</v>
      </c>
      <c r="D780">
        <v>8700</v>
      </c>
      <c r="E780">
        <v>9025</v>
      </c>
      <c r="F780">
        <v>177</v>
      </c>
      <c r="G780">
        <v>67</v>
      </c>
      <c r="H780">
        <v>0</v>
      </c>
      <c r="J780" s="1">
        <f t="shared" si="60"/>
        <v>31329</v>
      </c>
      <c r="K780" s="1">
        <f t="shared" si="61"/>
        <v>4489</v>
      </c>
      <c r="L780" s="1">
        <f t="shared" si="62"/>
        <v>35818</v>
      </c>
      <c r="M780" s="1">
        <f t="shared" si="63"/>
        <v>189.25643978475344</v>
      </c>
      <c r="N780" s="7">
        <f t="shared" si="64"/>
        <v>189.25643978475344</v>
      </c>
    </row>
    <row r="781" spans="1:14" x14ac:dyDescent="0.25">
      <c r="A781" t="str">
        <f>"14:03:21.727"</f>
        <v>14:03:21.727</v>
      </c>
      <c r="B781">
        <v>39.326934999999999</v>
      </c>
      <c r="C781">
        <v>-77.073920000000001</v>
      </c>
      <c r="D781">
        <v>8700</v>
      </c>
      <c r="E781">
        <v>9025</v>
      </c>
      <c r="F781">
        <v>177</v>
      </c>
      <c r="G781">
        <v>67</v>
      </c>
      <c r="H781">
        <v>0</v>
      </c>
      <c r="J781" s="1">
        <f t="shared" si="60"/>
        <v>31329</v>
      </c>
      <c r="K781" s="1">
        <f t="shared" si="61"/>
        <v>4489</v>
      </c>
      <c r="L781" s="1">
        <f t="shared" si="62"/>
        <v>35818</v>
      </c>
      <c r="M781" s="1">
        <f t="shared" si="63"/>
        <v>189.25643978475344</v>
      </c>
      <c r="N781" s="7">
        <f t="shared" si="64"/>
        <v>189.25643978475344</v>
      </c>
    </row>
    <row r="782" spans="1:14" x14ac:dyDescent="0.25">
      <c r="A782" t="str">
        <f>"14:03:22.734"</f>
        <v>14:03:22.734</v>
      </c>
      <c r="B782">
        <v>39.327257000000003</v>
      </c>
      <c r="C782">
        <v>-77.072846999999996</v>
      </c>
      <c r="D782">
        <v>8700</v>
      </c>
      <c r="E782">
        <v>9025</v>
      </c>
      <c r="F782">
        <v>177</v>
      </c>
      <c r="G782">
        <v>67</v>
      </c>
      <c r="H782">
        <v>0</v>
      </c>
      <c r="J782" s="1">
        <f t="shared" si="60"/>
        <v>31329</v>
      </c>
      <c r="K782" s="1">
        <f t="shared" si="61"/>
        <v>4489</v>
      </c>
      <c r="L782" s="1">
        <f t="shared" si="62"/>
        <v>35818</v>
      </c>
      <c r="M782" s="1">
        <f t="shared" si="63"/>
        <v>189.25643978475344</v>
      </c>
      <c r="N782" s="7">
        <f t="shared" si="64"/>
        <v>189.25643978475344</v>
      </c>
    </row>
    <row r="783" spans="1:14" x14ac:dyDescent="0.25">
      <c r="A783" t="str">
        <f>"14:03:23.844"</f>
        <v>14:03:23.844</v>
      </c>
      <c r="B783">
        <v>39.327599999999997</v>
      </c>
      <c r="C783">
        <v>-77.071709999999996</v>
      </c>
      <c r="D783">
        <v>8700</v>
      </c>
      <c r="E783">
        <v>9025</v>
      </c>
      <c r="F783">
        <v>177</v>
      </c>
      <c r="G783">
        <v>68</v>
      </c>
      <c r="H783">
        <v>0</v>
      </c>
      <c r="J783" s="1">
        <f t="shared" si="60"/>
        <v>31329</v>
      </c>
      <c r="K783" s="1">
        <f t="shared" si="61"/>
        <v>4624</v>
      </c>
      <c r="L783" s="1">
        <f t="shared" si="62"/>
        <v>35953</v>
      </c>
      <c r="M783" s="1">
        <f t="shared" si="63"/>
        <v>189.61276328348785</v>
      </c>
      <c r="N783" s="7">
        <f t="shared" si="64"/>
        <v>189.61276328348785</v>
      </c>
    </row>
    <row r="784" spans="1:14" x14ac:dyDescent="0.25">
      <c r="A784" t="str">
        <f>"14:03:24.852"</f>
        <v>14:03:24.852</v>
      </c>
      <c r="B784">
        <v>39.327942999999998</v>
      </c>
      <c r="C784">
        <v>-77.070594</v>
      </c>
      <c r="D784">
        <v>8700</v>
      </c>
      <c r="E784">
        <v>9025</v>
      </c>
      <c r="F784">
        <v>177</v>
      </c>
      <c r="G784">
        <v>68</v>
      </c>
      <c r="H784">
        <v>0</v>
      </c>
      <c r="J784" s="1">
        <f t="shared" si="60"/>
        <v>31329</v>
      </c>
      <c r="K784" s="1">
        <f t="shared" si="61"/>
        <v>4624</v>
      </c>
      <c r="L784" s="1">
        <f t="shared" si="62"/>
        <v>35953</v>
      </c>
      <c r="M784" s="1">
        <f t="shared" si="63"/>
        <v>189.61276328348785</v>
      </c>
      <c r="N784" s="7">
        <f t="shared" si="64"/>
        <v>189.61276328348785</v>
      </c>
    </row>
    <row r="785" spans="1:14" x14ac:dyDescent="0.25">
      <c r="A785" t="str">
        <f>"14:03:25.859"</f>
        <v>14:03:25.859</v>
      </c>
      <c r="B785">
        <v>39.328265000000002</v>
      </c>
      <c r="C785">
        <v>-77.069498999999993</v>
      </c>
      <c r="D785">
        <v>8700</v>
      </c>
      <c r="E785">
        <v>9025</v>
      </c>
      <c r="F785">
        <v>176</v>
      </c>
      <c r="G785">
        <v>68</v>
      </c>
      <c r="H785">
        <v>64</v>
      </c>
      <c r="J785" s="1">
        <f t="shared" si="60"/>
        <v>30976</v>
      </c>
      <c r="K785" s="1">
        <f t="shared" si="61"/>
        <v>4624</v>
      </c>
      <c r="L785" s="1">
        <f t="shared" si="62"/>
        <v>35600</v>
      </c>
      <c r="M785" s="1">
        <f t="shared" si="63"/>
        <v>188.67962264113208</v>
      </c>
      <c r="N785" s="7">
        <f t="shared" si="64"/>
        <v>188.67962264113208</v>
      </c>
    </row>
    <row r="786" spans="1:14" x14ac:dyDescent="0.25">
      <c r="A786" t="str">
        <f>"14:03:26.922"</f>
        <v>14:03:26.922</v>
      </c>
      <c r="B786">
        <v>39.328586999999999</v>
      </c>
      <c r="C786">
        <v>-77.068427</v>
      </c>
      <c r="D786">
        <v>8700</v>
      </c>
      <c r="E786">
        <v>9025</v>
      </c>
      <c r="F786">
        <v>176</v>
      </c>
      <c r="G786">
        <v>68</v>
      </c>
      <c r="H786">
        <v>64</v>
      </c>
      <c r="J786" s="1">
        <f t="shared" si="60"/>
        <v>30976</v>
      </c>
      <c r="K786" s="1">
        <f t="shared" si="61"/>
        <v>4624</v>
      </c>
      <c r="L786" s="1">
        <f t="shared" si="62"/>
        <v>35600</v>
      </c>
      <c r="M786" s="1">
        <f t="shared" si="63"/>
        <v>188.67962264113208</v>
      </c>
      <c r="N786" s="7">
        <f t="shared" si="64"/>
        <v>188.67962264113208</v>
      </c>
    </row>
    <row r="787" spans="1:14" x14ac:dyDescent="0.25">
      <c r="A787" t="str">
        <f>"14:03:27.828"</f>
        <v>14:03:27.828</v>
      </c>
      <c r="B787">
        <v>39.328909000000003</v>
      </c>
      <c r="C787">
        <v>-77.067418000000004</v>
      </c>
      <c r="D787">
        <v>8700</v>
      </c>
      <c r="E787">
        <v>9025</v>
      </c>
      <c r="F787">
        <v>176</v>
      </c>
      <c r="G787">
        <v>68</v>
      </c>
      <c r="H787">
        <v>64</v>
      </c>
      <c r="J787" s="1">
        <f t="shared" si="60"/>
        <v>30976</v>
      </c>
      <c r="K787" s="1">
        <f t="shared" si="61"/>
        <v>4624</v>
      </c>
      <c r="L787" s="1">
        <f t="shared" si="62"/>
        <v>35600</v>
      </c>
      <c r="M787" s="1">
        <f t="shared" si="63"/>
        <v>188.67962264113208</v>
      </c>
      <c r="N787" s="7">
        <f t="shared" si="64"/>
        <v>188.67962264113208</v>
      </c>
    </row>
    <row r="788" spans="1:14" x14ac:dyDescent="0.25">
      <c r="A788" t="str">
        <f>"14:03:28.891"</f>
        <v>14:03:28.891</v>
      </c>
      <c r="B788">
        <v>39.329231</v>
      </c>
      <c r="C788">
        <v>-77.066344999999998</v>
      </c>
      <c r="D788">
        <v>8700</v>
      </c>
      <c r="E788">
        <v>9025</v>
      </c>
      <c r="F788">
        <v>176</v>
      </c>
      <c r="G788">
        <v>68</v>
      </c>
      <c r="H788">
        <v>64</v>
      </c>
      <c r="J788" s="1">
        <f t="shared" si="60"/>
        <v>30976</v>
      </c>
      <c r="K788" s="1">
        <f t="shared" si="61"/>
        <v>4624</v>
      </c>
      <c r="L788" s="1">
        <f t="shared" si="62"/>
        <v>35600</v>
      </c>
      <c r="M788" s="1">
        <f t="shared" si="63"/>
        <v>188.67962264113208</v>
      </c>
      <c r="N788" s="7">
        <f t="shared" si="64"/>
        <v>188.67962264113208</v>
      </c>
    </row>
    <row r="789" spans="1:14" x14ac:dyDescent="0.25">
      <c r="A789" t="str">
        <f>"14:03:29.898"</f>
        <v>14:03:29.898</v>
      </c>
      <c r="B789">
        <v>39.329552999999997</v>
      </c>
      <c r="C789">
        <v>-77.065271999999993</v>
      </c>
      <c r="D789">
        <v>8700</v>
      </c>
      <c r="E789">
        <v>9025</v>
      </c>
      <c r="F789">
        <v>176</v>
      </c>
      <c r="G789">
        <v>69</v>
      </c>
      <c r="H789">
        <v>64</v>
      </c>
      <c r="J789" s="1">
        <f t="shared" si="60"/>
        <v>30976</v>
      </c>
      <c r="K789" s="1">
        <f t="shared" si="61"/>
        <v>4761</v>
      </c>
      <c r="L789" s="1">
        <f t="shared" si="62"/>
        <v>35737</v>
      </c>
      <c r="M789" s="1">
        <f t="shared" si="63"/>
        <v>189.04232330353963</v>
      </c>
      <c r="N789" s="7">
        <f t="shared" si="64"/>
        <v>189.04232330353963</v>
      </c>
    </row>
    <row r="790" spans="1:14" x14ac:dyDescent="0.25">
      <c r="A790" t="str">
        <f>"14:03:30.961"</f>
        <v>14:03:30.961</v>
      </c>
      <c r="B790">
        <v>39.329895999999998</v>
      </c>
      <c r="C790">
        <v>-77.064156999999994</v>
      </c>
      <c r="D790">
        <v>8700</v>
      </c>
      <c r="E790">
        <v>9025</v>
      </c>
      <c r="F790">
        <v>176</v>
      </c>
      <c r="G790">
        <v>69</v>
      </c>
      <c r="H790">
        <v>0</v>
      </c>
      <c r="J790" s="1">
        <f t="shared" si="60"/>
        <v>30976</v>
      </c>
      <c r="K790" s="1">
        <f t="shared" si="61"/>
        <v>4761</v>
      </c>
      <c r="L790" s="1">
        <f t="shared" si="62"/>
        <v>35737</v>
      </c>
      <c r="M790" s="1">
        <f t="shared" si="63"/>
        <v>189.04232330353963</v>
      </c>
      <c r="N790" s="7">
        <f t="shared" si="64"/>
        <v>189.04232330353963</v>
      </c>
    </row>
    <row r="791" spans="1:14" x14ac:dyDescent="0.25">
      <c r="A791" t="str">
        <f>"14:03:31.867"</f>
        <v>14:03:31.867</v>
      </c>
      <c r="B791">
        <v>39.330174999999997</v>
      </c>
      <c r="C791">
        <v>-77.063191000000003</v>
      </c>
      <c r="D791">
        <v>8700</v>
      </c>
      <c r="E791">
        <v>9025</v>
      </c>
      <c r="F791">
        <v>176</v>
      </c>
      <c r="G791">
        <v>69</v>
      </c>
      <c r="H791">
        <v>0</v>
      </c>
      <c r="J791" s="1">
        <f t="shared" si="60"/>
        <v>30976</v>
      </c>
      <c r="K791" s="1">
        <f t="shared" si="61"/>
        <v>4761</v>
      </c>
      <c r="L791" s="1">
        <f t="shared" si="62"/>
        <v>35737</v>
      </c>
      <c r="M791" s="1">
        <f t="shared" si="63"/>
        <v>189.04232330353963</v>
      </c>
      <c r="N791" s="7">
        <f t="shared" si="64"/>
        <v>189.04232330353963</v>
      </c>
    </row>
    <row r="792" spans="1:14" x14ac:dyDescent="0.25">
      <c r="A792" t="str">
        <f>"14:03:32.930"</f>
        <v>14:03:32.930</v>
      </c>
      <c r="B792">
        <v>39.330497000000001</v>
      </c>
      <c r="C792">
        <v>-77.062161000000003</v>
      </c>
      <c r="D792">
        <v>8700</v>
      </c>
      <c r="E792">
        <v>9025</v>
      </c>
      <c r="F792">
        <v>176</v>
      </c>
      <c r="G792">
        <v>70</v>
      </c>
      <c r="H792">
        <v>0</v>
      </c>
      <c r="J792" s="1">
        <f t="shared" si="60"/>
        <v>30976</v>
      </c>
      <c r="K792" s="1">
        <f t="shared" si="61"/>
        <v>4900</v>
      </c>
      <c r="L792" s="1">
        <f t="shared" si="62"/>
        <v>35876</v>
      </c>
      <c r="M792" s="1">
        <f t="shared" si="63"/>
        <v>189.40960904874916</v>
      </c>
      <c r="N792" s="7">
        <f t="shared" si="64"/>
        <v>189.40960904874916</v>
      </c>
    </row>
    <row r="793" spans="1:14" x14ac:dyDescent="0.25">
      <c r="A793" t="str">
        <f>"14:03:33.992"</f>
        <v>14:03:33.992</v>
      </c>
      <c r="B793">
        <v>39.330862000000003</v>
      </c>
      <c r="C793">
        <v>-77.060980999999998</v>
      </c>
      <c r="D793">
        <v>8700</v>
      </c>
      <c r="E793">
        <v>9025</v>
      </c>
      <c r="F793">
        <v>176</v>
      </c>
      <c r="G793">
        <v>70</v>
      </c>
      <c r="H793">
        <v>0</v>
      </c>
      <c r="J793" s="1">
        <f t="shared" si="60"/>
        <v>30976</v>
      </c>
      <c r="K793" s="1">
        <f t="shared" si="61"/>
        <v>4900</v>
      </c>
      <c r="L793" s="1">
        <f t="shared" si="62"/>
        <v>35876</v>
      </c>
      <c r="M793" s="1">
        <f t="shared" si="63"/>
        <v>189.40960904874916</v>
      </c>
      <c r="N793" s="7">
        <f t="shared" si="64"/>
        <v>189.40960904874916</v>
      </c>
    </row>
    <row r="794" spans="1:14" x14ac:dyDescent="0.25">
      <c r="A794" t="str">
        <f>"14:03:35.148"</f>
        <v>14:03:35.148</v>
      </c>
      <c r="B794">
        <v>39.331248000000002</v>
      </c>
      <c r="C794">
        <v>-77.059843999999998</v>
      </c>
      <c r="D794">
        <v>8700</v>
      </c>
      <c r="E794">
        <v>9025</v>
      </c>
      <c r="F794">
        <v>176</v>
      </c>
      <c r="G794">
        <v>70</v>
      </c>
      <c r="H794">
        <v>-64</v>
      </c>
      <c r="J794" s="1">
        <f t="shared" si="60"/>
        <v>30976</v>
      </c>
      <c r="K794" s="1">
        <f t="shared" si="61"/>
        <v>4900</v>
      </c>
      <c r="L794" s="1">
        <f t="shared" si="62"/>
        <v>35876</v>
      </c>
      <c r="M794" s="1">
        <f t="shared" si="63"/>
        <v>189.40960904874916</v>
      </c>
      <c r="N794" s="7">
        <f t="shared" si="64"/>
        <v>189.40960904874916</v>
      </c>
    </row>
    <row r="795" spans="1:14" x14ac:dyDescent="0.25">
      <c r="A795" t="str">
        <f>"14:03:36.156"</f>
        <v>14:03:36.156</v>
      </c>
      <c r="B795">
        <v>39.331569999999999</v>
      </c>
      <c r="C795">
        <v>-77.058706000000001</v>
      </c>
      <c r="D795">
        <v>8700</v>
      </c>
      <c r="E795">
        <v>9025</v>
      </c>
      <c r="F795">
        <v>176</v>
      </c>
      <c r="G795">
        <v>71</v>
      </c>
      <c r="H795">
        <v>-64</v>
      </c>
      <c r="J795" s="1">
        <f t="shared" si="60"/>
        <v>30976</v>
      </c>
      <c r="K795" s="1">
        <f t="shared" si="61"/>
        <v>5041</v>
      </c>
      <c r="L795" s="1">
        <f t="shared" si="62"/>
        <v>36017</v>
      </c>
      <c r="M795" s="1">
        <f t="shared" si="63"/>
        <v>189.7814532561072</v>
      </c>
      <c r="N795" s="7">
        <f t="shared" si="64"/>
        <v>189.7814532561072</v>
      </c>
    </row>
    <row r="796" spans="1:14" x14ac:dyDescent="0.25">
      <c r="A796" t="str">
        <f>"14:03:37.320"</f>
        <v>14:03:37.320</v>
      </c>
      <c r="B796">
        <v>39.331933999999997</v>
      </c>
      <c r="C796">
        <v>-77.057569000000001</v>
      </c>
      <c r="D796">
        <v>8700</v>
      </c>
      <c r="E796">
        <v>9025</v>
      </c>
      <c r="F796">
        <v>176</v>
      </c>
      <c r="G796">
        <v>71</v>
      </c>
      <c r="H796">
        <v>-64</v>
      </c>
      <c r="J796" s="1">
        <f t="shared" si="60"/>
        <v>30976</v>
      </c>
      <c r="K796" s="1">
        <f t="shared" si="61"/>
        <v>5041</v>
      </c>
      <c r="L796" s="1">
        <f t="shared" si="62"/>
        <v>36017</v>
      </c>
      <c r="M796" s="1">
        <f t="shared" si="63"/>
        <v>189.7814532561072</v>
      </c>
      <c r="N796" s="7">
        <f t="shared" si="64"/>
        <v>189.7814532561072</v>
      </c>
    </row>
    <row r="797" spans="1:14" x14ac:dyDescent="0.25">
      <c r="A797" t="str">
        <f>"14:03:38.430"</f>
        <v>14:03:38.430</v>
      </c>
      <c r="B797">
        <v>39.332321</v>
      </c>
      <c r="C797">
        <v>-77.056388999999996</v>
      </c>
      <c r="D797">
        <v>8700</v>
      </c>
      <c r="E797">
        <v>9025</v>
      </c>
      <c r="F797">
        <v>175</v>
      </c>
      <c r="G797">
        <v>71</v>
      </c>
      <c r="H797">
        <v>-64</v>
      </c>
      <c r="J797" s="1">
        <f t="shared" si="60"/>
        <v>30625</v>
      </c>
      <c r="K797" s="1">
        <f t="shared" si="61"/>
        <v>5041</v>
      </c>
      <c r="L797" s="1">
        <f t="shared" si="62"/>
        <v>35666</v>
      </c>
      <c r="M797" s="1">
        <f t="shared" si="63"/>
        <v>188.85444130334875</v>
      </c>
      <c r="N797" s="7">
        <f t="shared" si="64"/>
        <v>188.85444130334875</v>
      </c>
    </row>
    <row r="798" spans="1:14" x14ac:dyDescent="0.25">
      <c r="A798" t="str">
        <f>"14:03:39.289"</f>
        <v>14:03:39.289</v>
      </c>
      <c r="B798">
        <v>39.332621000000003</v>
      </c>
      <c r="C798">
        <v>-77.055487999999997</v>
      </c>
      <c r="D798">
        <v>8700</v>
      </c>
      <c r="E798">
        <v>9025</v>
      </c>
      <c r="F798">
        <v>175</v>
      </c>
      <c r="G798">
        <v>72</v>
      </c>
      <c r="H798">
        <v>-64</v>
      </c>
      <c r="J798" s="1">
        <f t="shared" si="60"/>
        <v>30625</v>
      </c>
      <c r="K798" s="1">
        <f t="shared" si="61"/>
        <v>5184</v>
      </c>
      <c r="L798" s="1">
        <f t="shared" si="62"/>
        <v>35809</v>
      </c>
      <c r="M798" s="1">
        <f t="shared" si="63"/>
        <v>189.23266102869241</v>
      </c>
      <c r="N798" s="7">
        <f t="shared" si="64"/>
        <v>189.23266102869241</v>
      </c>
    </row>
    <row r="799" spans="1:14" x14ac:dyDescent="0.25">
      <c r="A799" t="str">
        <f>"14:03:40.297"</f>
        <v>14:03:40.297</v>
      </c>
      <c r="B799">
        <v>39.332922000000003</v>
      </c>
      <c r="C799">
        <v>-77.054393000000005</v>
      </c>
      <c r="D799">
        <v>8700</v>
      </c>
      <c r="E799">
        <v>9025</v>
      </c>
      <c r="F799">
        <v>175</v>
      </c>
      <c r="G799">
        <v>74</v>
      </c>
      <c r="H799">
        <v>-64</v>
      </c>
      <c r="J799" s="1">
        <f t="shared" si="60"/>
        <v>30625</v>
      </c>
      <c r="K799" s="1">
        <f t="shared" si="61"/>
        <v>5476</v>
      </c>
      <c r="L799" s="1">
        <f t="shared" si="62"/>
        <v>36101</v>
      </c>
      <c r="M799" s="1">
        <f t="shared" si="63"/>
        <v>190.00263156072339</v>
      </c>
      <c r="N799" s="7">
        <f t="shared" si="64"/>
        <v>190.00263156072339</v>
      </c>
    </row>
    <row r="800" spans="1:14" x14ac:dyDescent="0.25">
      <c r="A800" t="str">
        <f>"14:03:41.203"</f>
        <v>14:03:41.203</v>
      </c>
      <c r="B800">
        <v>39.333286000000001</v>
      </c>
      <c r="C800">
        <v>-77.053471000000002</v>
      </c>
      <c r="D800">
        <v>8700</v>
      </c>
      <c r="E800">
        <v>9025</v>
      </c>
      <c r="F800">
        <v>174</v>
      </c>
      <c r="G800">
        <v>76</v>
      </c>
      <c r="H800">
        <v>-64</v>
      </c>
      <c r="J800" s="1">
        <f t="shared" si="60"/>
        <v>30276</v>
      </c>
      <c r="K800" s="1">
        <f t="shared" si="61"/>
        <v>5776</v>
      </c>
      <c r="L800" s="1">
        <f t="shared" si="62"/>
        <v>36052</v>
      </c>
      <c r="M800" s="1">
        <f t="shared" si="63"/>
        <v>189.87364219396014</v>
      </c>
      <c r="N800" s="7">
        <f t="shared" si="64"/>
        <v>189.87364219396014</v>
      </c>
    </row>
    <row r="801" spans="1:14" x14ac:dyDescent="0.25">
      <c r="A801" t="str">
        <f>"14:03:42.211"</f>
        <v>14:03:42.211</v>
      </c>
      <c r="B801">
        <v>39.333651000000003</v>
      </c>
      <c r="C801">
        <v>-77.052484000000007</v>
      </c>
      <c r="D801">
        <v>8700</v>
      </c>
      <c r="E801">
        <v>9025</v>
      </c>
      <c r="F801">
        <v>172</v>
      </c>
      <c r="G801">
        <v>79</v>
      </c>
      <c r="H801">
        <v>-64</v>
      </c>
      <c r="J801" s="1">
        <f t="shared" si="60"/>
        <v>29584</v>
      </c>
      <c r="K801" s="1">
        <f t="shared" si="61"/>
        <v>6241</v>
      </c>
      <c r="L801" s="1">
        <f t="shared" si="62"/>
        <v>35825</v>
      </c>
      <c r="M801" s="1">
        <f t="shared" si="63"/>
        <v>189.274932307477</v>
      </c>
      <c r="N801" s="7">
        <f t="shared" si="64"/>
        <v>189.274932307477</v>
      </c>
    </row>
    <row r="802" spans="1:14" x14ac:dyDescent="0.25">
      <c r="A802" t="str">
        <f>"14:03:43.172"</f>
        <v>14:03:43.172</v>
      </c>
      <c r="B802">
        <v>39.334037000000002</v>
      </c>
      <c r="C802">
        <v>-77.051454000000007</v>
      </c>
      <c r="D802">
        <v>8700</v>
      </c>
      <c r="E802">
        <v>9025</v>
      </c>
      <c r="F802">
        <v>170</v>
      </c>
      <c r="G802">
        <v>83</v>
      </c>
      <c r="H802">
        <v>-128</v>
      </c>
      <c r="J802" s="1">
        <f t="shared" si="60"/>
        <v>28900</v>
      </c>
      <c r="K802" s="1">
        <f t="shared" si="61"/>
        <v>6889</v>
      </c>
      <c r="L802" s="1">
        <f t="shared" si="62"/>
        <v>35789</v>
      </c>
      <c r="M802" s="1">
        <f t="shared" si="63"/>
        <v>189.17980864775183</v>
      </c>
      <c r="N802" s="7">
        <f t="shared" si="64"/>
        <v>189.17980864775183</v>
      </c>
    </row>
    <row r="803" spans="1:14" x14ac:dyDescent="0.25">
      <c r="A803" t="str">
        <f>"14:03:44.234"</f>
        <v>14:03:44.234</v>
      </c>
      <c r="B803">
        <v>39.334445000000002</v>
      </c>
      <c r="C803">
        <v>-77.050466999999998</v>
      </c>
      <c r="D803">
        <v>8700</v>
      </c>
      <c r="E803">
        <v>9000</v>
      </c>
      <c r="F803">
        <v>168</v>
      </c>
      <c r="G803">
        <v>88</v>
      </c>
      <c r="H803">
        <v>-192</v>
      </c>
      <c r="J803" s="1">
        <f t="shared" si="60"/>
        <v>28224</v>
      </c>
      <c r="K803" s="1">
        <f t="shared" si="61"/>
        <v>7744</v>
      </c>
      <c r="L803" s="1">
        <f t="shared" si="62"/>
        <v>35968</v>
      </c>
      <c r="M803" s="1">
        <f t="shared" si="63"/>
        <v>189.65231345807516</v>
      </c>
      <c r="N803" s="7">
        <f t="shared" si="64"/>
        <v>189.65231345807516</v>
      </c>
    </row>
    <row r="804" spans="1:14" x14ac:dyDescent="0.25">
      <c r="A804" t="str">
        <f>"14:03:45.242"</f>
        <v>14:03:45.242</v>
      </c>
      <c r="B804">
        <v>39.334938999999999</v>
      </c>
      <c r="C804">
        <v>-77.049394000000007</v>
      </c>
      <c r="D804">
        <v>8700</v>
      </c>
      <c r="E804">
        <v>9000</v>
      </c>
      <c r="F804">
        <v>165</v>
      </c>
      <c r="G804">
        <v>94</v>
      </c>
      <c r="H804">
        <v>-192</v>
      </c>
      <c r="J804" s="1">
        <f t="shared" si="60"/>
        <v>27225</v>
      </c>
      <c r="K804" s="1">
        <f t="shared" si="61"/>
        <v>8836</v>
      </c>
      <c r="L804" s="1">
        <f t="shared" si="62"/>
        <v>36061</v>
      </c>
      <c r="M804" s="1">
        <f t="shared" si="63"/>
        <v>189.89734068701435</v>
      </c>
      <c r="N804" s="7">
        <f t="shared" si="64"/>
        <v>189.89734068701435</v>
      </c>
    </row>
    <row r="805" spans="1:14" x14ac:dyDescent="0.25">
      <c r="A805" t="str">
        <f>"14:03:46.305"</f>
        <v>14:03:46.305</v>
      </c>
      <c r="B805">
        <v>39.335411000000001</v>
      </c>
      <c r="C805">
        <v>-77.048428000000001</v>
      </c>
      <c r="D805">
        <v>8700</v>
      </c>
      <c r="E805">
        <v>9000</v>
      </c>
      <c r="F805">
        <v>161</v>
      </c>
      <c r="G805">
        <v>101</v>
      </c>
      <c r="H805">
        <v>-128</v>
      </c>
      <c r="J805" s="1">
        <f t="shared" si="60"/>
        <v>25921</v>
      </c>
      <c r="K805" s="1">
        <f t="shared" si="61"/>
        <v>10201</v>
      </c>
      <c r="L805" s="1">
        <f t="shared" si="62"/>
        <v>36122</v>
      </c>
      <c r="M805" s="1">
        <f t="shared" si="63"/>
        <v>190.057885919001</v>
      </c>
      <c r="N805" s="7">
        <f t="shared" si="64"/>
        <v>190.057885919001</v>
      </c>
    </row>
    <row r="806" spans="1:14" x14ac:dyDescent="0.25">
      <c r="A806" t="str">
        <f>"14:03:47.258"</f>
        <v>14:03:47.258</v>
      </c>
      <c r="B806">
        <v>39.335839999999997</v>
      </c>
      <c r="C806">
        <v>-77.047548000000006</v>
      </c>
      <c r="D806">
        <v>8700</v>
      </c>
      <c r="E806">
        <v>9000</v>
      </c>
      <c r="F806">
        <v>159</v>
      </c>
      <c r="G806">
        <v>105</v>
      </c>
      <c r="H806">
        <v>-64</v>
      </c>
      <c r="J806" s="1">
        <f t="shared" si="60"/>
        <v>25281</v>
      </c>
      <c r="K806" s="1">
        <f t="shared" si="61"/>
        <v>11025</v>
      </c>
      <c r="L806" s="1">
        <f t="shared" si="62"/>
        <v>36306</v>
      </c>
      <c r="M806" s="1">
        <f t="shared" si="63"/>
        <v>190.541334098405</v>
      </c>
      <c r="N806" s="7">
        <f t="shared" si="64"/>
        <v>190.541334098405</v>
      </c>
    </row>
    <row r="807" spans="1:14" x14ac:dyDescent="0.25">
      <c r="A807" t="str">
        <f>"14:03:48.320"</f>
        <v>14:03:48.320</v>
      </c>
      <c r="B807">
        <v>39.336418999999999</v>
      </c>
      <c r="C807">
        <v>-77.046582999999998</v>
      </c>
      <c r="D807">
        <v>8700</v>
      </c>
      <c r="E807">
        <v>9000</v>
      </c>
      <c r="F807">
        <v>154</v>
      </c>
      <c r="G807">
        <v>111</v>
      </c>
      <c r="H807">
        <v>0</v>
      </c>
      <c r="J807" s="1">
        <f t="shared" si="60"/>
        <v>23716</v>
      </c>
      <c r="K807" s="1">
        <f t="shared" si="61"/>
        <v>12321</v>
      </c>
      <c r="L807" s="1">
        <f t="shared" si="62"/>
        <v>36037</v>
      </c>
      <c r="M807" s="1">
        <f t="shared" si="63"/>
        <v>189.83413813115911</v>
      </c>
      <c r="N807" s="7">
        <f t="shared" si="64"/>
        <v>189.83413813115911</v>
      </c>
    </row>
    <row r="808" spans="1:14" x14ac:dyDescent="0.25">
      <c r="A808" t="str">
        <f>"14:03:49.430"</f>
        <v>14:03:49.430</v>
      </c>
      <c r="B808">
        <v>39.337020000000003</v>
      </c>
      <c r="C808">
        <v>-77.045596000000003</v>
      </c>
      <c r="D808">
        <v>8700</v>
      </c>
      <c r="E808">
        <v>9000</v>
      </c>
      <c r="F808">
        <v>150</v>
      </c>
      <c r="G808">
        <v>116</v>
      </c>
      <c r="H808">
        <v>128</v>
      </c>
      <c r="J808" s="1">
        <f t="shared" si="60"/>
        <v>22500</v>
      </c>
      <c r="K808" s="1">
        <f t="shared" si="61"/>
        <v>13456</v>
      </c>
      <c r="L808" s="1">
        <f t="shared" si="62"/>
        <v>35956</v>
      </c>
      <c r="M808" s="1">
        <f t="shared" si="63"/>
        <v>189.62067397834025</v>
      </c>
      <c r="N808" s="7">
        <f t="shared" si="64"/>
        <v>189.62067397834025</v>
      </c>
    </row>
    <row r="809" spans="1:14" x14ac:dyDescent="0.25">
      <c r="A809" t="str">
        <f>"14:03:50.391"</f>
        <v>14:03:50.391</v>
      </c>
      <c r="B809">
        <v>39.337578000000001</v>
      </c>
      <c r="C809">
        <v>-77.044736999999998</v>
      </c>
      <c r="D809">
        <v>8700</v>
      </c>
      <c r="E809">
        <v>9000</v>
      </c>
      <c r="F809">
        <v>146</v>
      </c>
      <c r="G809">
        <v>121</v>
      </c>
      <c r="H809">
        <v>256</v>
      </c>
      <c r="J809" s="1">
        <f t="shared" si="60"/>
        <v>21316</v>
      </c>
      <c r="K809" s="1">
        <f t="shared" si="61"/>
        <v>14641</v>
      </c>
      <c r="L809" s="1">
        <f t="shared" si="62"/>
        <v>35957</v>
      </c>
      <c r="M809" s="1">
        <f t="shared" si="63"/>
        <v>189.62331080328704</v>
      </c>
      <c r="N809" s="7">
        <f t="shared" si="64"/>
        <v>189.62331080328704</v>
      </c>
    </row>
    <row r="810" spans="1:14" x14ac:dyDescent="0.25">
      <c r="A810" t="str">
        <f>"14:03:51.602"</f>
        <v>14:03:51.602</v>
      </c>
      <c r="B810">
        <v>39.338264000000002</v>
      </c>
      <c r="C810">
        <v>-77.043772000000004</v>
      </c>
      <c r="D810">
        <v>8700</v>
      </c>
      <c r="E810">
        <v>9025</v>
      </c>
      <c r="F810">
        <v>140</v>
      </c>
      <c r="G810">
        <v>126</v>
      </c>
      <c r="H810">
        <v>384</v>
      </c>
      <c r="J810" s="1">
        <f t="shared" si="60"/>
        <v>19600</v>
      </c>
      <c r="K810" s="1">
        <f t="shared" si="61"/>
        <v>15876</v>
      </c>
      <c r="L810" s="1">
        <f t="shared" si="62"/>
        <v>35476</v>
      </c>
      <c r="M810" s="1">
        <f t="shared" si="63"/>
        <v>188.35073665903195</v>
      </c>
      <c r="N810" s="7">
        <f t="shared" si="64"/>
        <v>188.35073665903195</v>
      </c>
    </row>
    <row r="811" spans="1:14" x14ac:dyDescent="0.25">
      <c r="A811" t="str">
        <f>"14:03:52.508"</f>
        <v>14:03:52.508</v>
      </c>
      <c r="B811">
        <v>39.338844000000002</v>
      </c>
      <c r="C811">
        <v>-77.042998999999995</v>
      </c>
      <c r="D811">
        <v>8700</v>
      </c>
      <c r="E811">
        <v>9025</v>
      </c>
      <c r="F811">
        <v>136</v>
      </c>
      <c r="G811">
        <v>129</v>
      </c>
      <c r="H811">
        <v>448</v>
      </c>
      <c r="J811" s="1">
        <f t="shared" si="60"/>
        <v>18496</v>
      </c>
      <c r="K811" s="1">
        <f t="shared" si="61"/>
        <v>16641</v>
      </c>
      <c r="L811" s="1">
        <f t="shared" si="62"/>
        <v>35137</v>
      </c>
      <c r="M811" s="1">
        <f t="shared" si="63"/>
        <v>187.44865963777923</v>
      </c>
      <c r="N811" s="7">
        <f t="shared" si="64"/>
        <v>187.44865963777923</v>
      </c>
    </row>
    <row r="812" spans="1:14" x14ac:dyDescent="0.25">
      <c r="A812" t="str">
        <f>"14:03:53.414"</f>
        <v>14:03:53.414</v>
      </c>
      <c r="B812">
        <v>39.339379999999998</v>
      </c>
      <c r="C812">
        <v>-77.042291000000006</v>
      </c>
      <c r="D812">
        <v>8700</v>
      </c>
      <c r="E812">
        <v>9025</v>
      </c>
      <c r="F812">
        <v>132</v>
      </c>
      <c r="G812">
        <v>132</v>
      </c>
      <c r="H812">
        <v>448</v>
      </c>
      <c r="J812" s="1">
        <f t="shared" si="60"/>
        <v>17424</v>
      </c>
      <c r="K812" s="1">
        <f t="shared" si="61"/>
        <v>17424</v>
      </c>
      <c r="L812" s="1">
        <f t="shared" si="62"/>
        <v>34848</v>
      </c>
      <c r="M812" s="1">
        <f t="shared" si="63"/>
        <v>186.67619023324855</v>
      </c>
      <c r="N812" s="7">
        <f t="shared" si="64"/>
        <v>186.67619023324855</v>
      </c>
    </row>
    <row r="813" spans="1:14" x14ac:dyDescent="0.25">
      <c r="A813" t="str">
        <f>"14:03:54.375"</f>
        <v>14:03:54.375</v>
      </c>
      <c r="B813">
        <v>39.340045000000003</v>
      </c>
      <c r="C813">
        <v>-77.041561999999999</v>
      </c>
      <c r="D813">
        <v>8700</v>
      </c>
      <c r="E813">
        <v>9025</v>
      </c>
      <c r="F813">
        <v>128</v>
      </c>
      <c r="G813">
        <v>136</v>
      </c>
      <c r="H813">
        <v>384</v>
      </c>
      <c r="J813" s="1">
        <f t="shared" si="60"/>
        <v>16384</v>
      </c>
      <c r="K813" s="1">
        <f t="shared" si="61"/>
        <v>18496</v>
      </c>
      <c r="L813" s="1">
        <f t="shared" si="62"/>
        <v>34880</v>
      </c>
      <c r="M813" s="1">
        <f t="shared" si="63"/>
        <v>186.76188047886004</v>
      </c>
      <c r="N813" s="7">
        <f t="shared" si="64"/>
        <v>186.76188047886004</v>
      </c>
    </row>
    <row r="814" spans="1:14" x14ac:dyDescent="0.25">
      <c r="A814" t="str">
        <f>"14:03:55.383"</f>
        <v>14:03:55.383</v>
      </c>
      <c r="B814">
        <v>39.340688999999998</v>
      </c>
      <c r="C814">
        <v>-77.040831999999995</v>
      </c>
      <c r="D814">
        <v>8700</v>
      </c>
      <c r="E814">
        <v>9050</v>
      </c>
      <c r="F814">
        <v>123</v>
      </c>
      <c r="G814">
        <v>139</v>
      </c>
      <c r="H814">
        <v>320</v>
      </c>
      <c r="J814" s="1">
        <f t="shared" si="60"/>
        <v>15129</v>
      </c>
      <c r="K814" s="1">
        <f t="shared" si="61"/>
        <v>19321</v>
      </c>
      <c r="L814" s="1">
        <f t="shared" si="62"/>
        <v>34450</v>
      </c>
      <c r="M814" s="1">
        <f t="shared" si="63"/>
        <v>185.60711193270586</v>
      </c>
      <c r="N814" s="7">
        <f t="shared" si="64"/>
        <v>185.60711193270586</v>
      </c>
    </row>
    <row r="815" spans="1:14" x14ac:dyDescent="0.25">
      <c r="A815" t="str">
        <f>"14:03:56.344"</f>
        <v>14:03:56.344</v>
      </c>
      <c r="B815">
        <v>39.341332999999999</v>
      </c>
      <c r="C815">
        <v>-77.040102000000005</v>
      </c>
      <c r="D815">
        <v>8700</v>
      </c>
      <c r="E815">
        <v>9050</v>
      </c>
      <c r="F815">
        <v>119</v>
      </c>
      <c r="G815">
        <v>142</v>
      </c>
      <c r="H815">
        <v>192</v>
      </c>
      <c r="J815" s="1">
        <f t="shared" si="60"/>
        <v>14161</v>
      </c>
      <c r="K815" s="1">
        <f t="shared" si="61"/>
        <v>20164</v>
      </c>
      <c r="L815" s="1">
        <f t="shared" si="62"/>
        <v>34325</v>
      </c>
      <c r="M815" s="1">
        <f t="shared" si="63"/>
        <v>185.27007313648906</v>
      </c>
      <c r="N815" s="7">
        <f t="shared" si="64"/>
        <v>185.27007313648906</v>
      </c>
    </row>
    <row r="816" spans="1:14" x14ac:dyDescent="0.25">
      <c r="A816" t="str">
        <f>"14:03:57.352"</f>
        <v>14:03:57.352</v>
      </c>
      <c r="B816">
        <v>39.341954999999999</v>
      </c>
      <c r="C816">
        <v>-77.039545000000004</v>
      </c>
      <c r="D816">
        <v>8700</v>
      </c>
      <c r="E816">
        <v>9050</v>
      </c>
      <c r="F816">
        <v>114</v>
      </c>
      <c r="G816">
        <v>145</v>
      </c>
      <c r="H816">
        <v>128</v>
      </c>
      <c r="J816" s="1">
        <f t="shared" si="60"/>
        <v>12996</v>
      </c>
      <c r="K816" s="1">
        <f t="shared" si="61"/>
        <v>21025</v>
      </c>
      <c r="L816" s="1">
        <f t="shared" si="62"/>
        <v>34021</v>
      </c>
      <c r="M816" s="1">
        <f t="shared" si="63"/>
        <v>184.44782460088814</v>
      </c>
      <c r="N816" s="7">
        <f t="shared" si="64"/>
        <v>184.44782460088814</v>
      </c>
    </row>
    <row r="817" spans="1:14" x14ac:dyDescent="0.25">
      <c r="A817" t="str">
        <f>"14:03:58.313"</f>
        <v>14:03:58.313</v>
      </c>
      <c r="B817">
        <v>39.342641999999998</v>
      </c>
      <c r="C817">
        <v>-77.038878999999994</v>
      </c>
      <c r="D817">
        <v>8700</v>
      </c>
      <c r="E817">
        <v>9050</v>
      </c>
      <c r="F817">
        <v>110</v>
      </c>
      <c r="G817">
        <v>148</v>
      </c>
      <c r="H817">
        <v>64</v>
      </c>
      <c r="J817" s="1">
        <f t="shared" si="60"/>
        <v>12100</v>
      </c>
      <c r="K817" s="1">
        <f t="shared" si="61"/>
        <v>21904</v>
      </c>
      <c r="L817" s="1">
        <f t="shared" si="62"/>
        <v>34004</v>
      </c>
      <c r="M817" s="1">
        <f t="shared" si="63"/>
        <v>184.40173534975207</v>
      </c>
      <c r="N817" s="7">
        <f t="shared" si="64"/>
        <v>184.40173534975207</v>
      </c>
    </row>
    <row r="818" spans="1:14" x14ac:dyDescent="0.25">
      <c r="A818" t="str">
        <f>"14:03:59.477"</f>
        <v>14:03:59.477</v>
      </c>
      <c r="B818">
        <v>39.343392999999999</v>
      </c>
      <c r="C818">
        <v>-77.038213999999996</v>
      </c>
      <c r="D818">
        <v>8700</v>
      </c>
      <c r="E818">
        <v>9050</v>
      </c>
      <c r="F818">
        <v>105</v>
      </c>
      <c r="G818">
        <v>151</v>
      </c>
      <c r="H818">
        <v>0</v>
      </c>
      <c r="J818" s="1">
        <f t="shared" si="60"/>
        <v>11025</v>
      </c>
      <c r="K818" s="1">
        <f t="shared" si="61"/>
        <v>22801</v>
      </c>
      <c r="L818" s="1">
        <f t="shared" si="62"/>
        <v>33826</v>
      </c>
      <c r="M818" s="1">
        <f t="shared" si="63"/>
        <v>183.91846019364124</v>
      </c>
      <c r="N818" s="7">
        <f t="shared" si="64"/>
        <v>183.91846019364124</v>
      </c>
    </row>
    <row r="819" spans="1:14" x14ac:dyDescent="0.25">
      <c r="A819" t="str">
        <f>"14:04:00.281"</f>
        <v>14:04:00.281</v>
      </c>
      <c r="B819">
        <v>39.344057999999997</v>
      </c>
      <c r="C819">
        <v>-77.037678</v>
      </c>
      <c r="D819">
        <v>8700</v>
      </c>
      <c r="E819">
        <v>9050</v>
      </c>
      <c r="F819">
        <v>100</v>
      </c>
      <c r="G819">
        <v>154</v>
      </c>
      <c r="H819">
        <v>-64</v>
      </c>
      <c r="J819" s="1">
        <f t="shared" si="60"/>
        <v>10000</v>
      </c>
      <c r="K819" s="1">
        <f t="shared" si="61"/>
        <v>23716</v>
      </c>
      <c r="L819" s="1">
        <f t="shared" si="62"/>
        <v>33716</v>
      </c>
      <c r="M819" s="1">
        <f t="shared" si="63"/>
        <v>183.61917111238685</v>
      </c>
      <c r="N819" s="7">
        <f t="shared" si="64"/>
        <v>183.61917111238685</v>
      </c>
    </row>
    <row r="820" spans="1:14" x14ac:dyDescent="0.25">
      <c r="A820" t="str">
        <f>"14:04:01.242"</f>
        <v>14:04:01.242</v>
      </c>
      <c r="B820">
        <v>39.344701999999998</v>
      </c>
      <c r="C820">
        <v>-77.037163000000007</v>
      </c>
      <c r="D820">
        <v>8700</v>
      </c>
      <c r="E820">
        <v>9050</v>
      </c>
      <c r="F820">
        <v>96</v>
      </c>
      <c r="G820">
        <v>156</v>
      </c>
      <c r="H820">
        <v>-64</v>
      </c>
      <c r="J820" s="1">
        <f t="shared" si="60"/>
        <v>9216</v>
      </c>
      <c r="K820" s="1">
        <f t="shared" si="61"/>
        <v>24336</v>
      </c>
      <c r="L820" s="1">
        <f t="shared" si="62"/>
        <v>33552</v>
      </c>
      <c r="M820" s="1">
        <f t="shared" si="63"/>
        <v>183.17205026968497</v>
      </c>
      <c r="N820" s="7">
        <f t="shared" si="64"/>
        <v>183.17205026968497</v>
      </c>
    </row>
    <row r="821" spans="1:14" x14ac:dyDescent="0.25">
      <c r="A821" t="str">
        <f>"14:04:02.352"</f>
        <v>14:04:02.352</v>
      </c>
      <c r="B821">
        <v>39.345517000000001</v>
      </c>
      <c r="C821">
        <v>-77.036541</v>
      </c>
      <c r="D821">
        <v>8700</v>
      </c>
      <c r="E821">
        <v>9050</v>
      </c>
      <c r="F821">
        <v>91</v>
      </c>
      <c r="G821">
        <v>159</v>
      </c>
      <c r="H821">
        <v>-128</v>
      </c>
      <c r="J821" s="1">
        <f t="shared" si="60"/>
        <v>8281</v>
      </c>
      <c r="K821" s="1">
        <f t="shared" si="61"/>
        <v>25281</v>
      </c>
      <c r="L821" s="1">
        <f t="shared" si="62"/>
        <v>33562</v>
      </c>
      <c r="M821" s="1">
        <f t="shared" si="63"/>
        <v>183.19934497699495</v>
      </c>
      <c r="N821" s="7">
        <f t="shared" si="64"/>
        <v>183.19934497699495</v>
      </c>
    </row>
    <row r="822" spans="1:14" x14ac:dyDescent="0.25">
      <c r="A822" t="str">
        <f>"14:04:03.461"</f>
        <v>14:04:03.461</v>
      </c>
      <c r="B822">
        <v>39.346333000000001</v>
      </c>
      <c r="C822">
        <v>-77.036004000000005</v>
      </c>
      <c r="D822">
        <v>8700</v>
      </c>
      <c r="E822">
        <v>9050</v>
      </c>
      <c r="F822">
        <v>86</v>
      </c>
      <c r="G822">
        <v>161</v>
      </c>
      <c r="H822">
        <v>-128</v>
      </c>
      <c r="J822" s="1">
        <f t="shared" si="60"/>
        <v>7396</v>
      </c>
      <c r="K822" s="1">
        <f t="shared" si="61"/>
        <v>25921</v>
      </c>
      <c r="L822" s="1">
        <f t="shared" si="62"/>
        <v>33317</v>
      </c>
      <c r="M822" s="1">
        <f t="shared" si="63"/>
        <v>182.52944967867515</v>
      </c>
      <c r="N822" s="7">
        <f t="shared" si="64"/>
        <v>182.52944967867515</v>
      </c>
    </row>
    <row r="823" spans="1:14" x14ac:dyDescent="0.25">
      <c r="A823" t="str">
        <f>"14:04:04.625"</f>
        <v>14:04:04.625</v>
      </c>
      <c r="B823">
        <v>39.347254999999997</v>
      </c>
      <c r="C823">
        <v>-77.035467999999995</v>
      </c>
      <c r="D823">
        <v>8700</v>
      </c>
      <c r="E823">
        <v>9050</v>
      </c>
      <c r="F823">
        <v>80</v>
      </c>
      <c r="G823">
        <v>164</v>
      </c>
      <c r="H823">
        <v>-128</v>
      </c>
      <c r="J823" s="1">
        <f t="shared" si="60"/>
        <v>6400</v>
      </c>
      <c r="K823" s="1">
        <f t="shared" si="61"/>
        <v>26896</v>
      </c>
      <c r="L823" s="1">
        <f t="shared" si="62"/>
        <v>33296</v>
      </c>
      <c r="M823" s="1">
        <f t="shared" si="63"/>
        <v>182.4719156473127</v>
      </c>
      <c r="N823" s="7">
        <f t="shared" si="64"/>
        <v>182.4719156473127</v>
      </c>
    </row>
    <row r="824" spans="1:14" x14ac:dyDescent="0.25">
      <c r="A824" t="str">
        <f>"14:04:05.633"</f>
        <v>14:04:05.633</v>
      </c>
      <c r="B824">
        <v>39.348049000000003</v>
      </c>
      <c r="C824">
        <v>-77.035038</v>
      </c>
      <c r="D824">
        <v>8700</v>
      </c>
      <c r="E824">
        <v>9025</v>
      </c>
      <c r="F824">
        <v>73</v>
      </c>
      <c r="G824">
        <v>166</v>
      </c>
      <c r="H824">
        <v>-64</v>
      </c>
      <c r="J824" s="1">
        <f t="shared" si="60"/>
        <v>5329</v>
      </c>
      <c r="K824" s="1">
        <f t="shared" si="61"/>
        <v>27556</v>
      </c>
      <c r="L824" s="1">
        <f t="shared" si="62"/>
        <v>32885</v>
      </c>
      <c r="M824" s="1">
        <f t="shared" si="63"/>
        <v>181.34221791960084</v>
      </c>
      <c r="N824" s="7">
        <f t="shared" si="64"/>
        <v>181.34221791960084</v>
      </c>
    </row>
    <row r="825" spans="1:14" x14ac:dyDescent="0.25">
      <c r="A825" t="str">
        <f>"14:04:06.688"</f>
        <v>14:04:06.688</v>
      </c>
      <c r="B825">
        <v>39.348865000000004</v>
      </c>
      <c r="C825">
        <v>-77.034587999999999</v>
      </c>
      <c r="D825">
        <v>8700</v>
      </c>
      <c r="E825">
        <v>9025</v>
      </c>
      <c r="F825">
        <v>69</v>
      </c>
      <c r="G825">
        <v>168</v>
      </c>
      <c r="H825">
        <v>-64</v>
      </c>
      <c r="J825" s="1">
        <f t="shared" si="60"/>
        <v>4761</v>
      </c>
      <c r="K825" s="1">
        <f t="shared" si="61"/>
        <v>28224</v>
      </c>
      <c r="L825" s="1">
        <f t="shared" si="62"/>
        <v>32985</v>
      </c>
      <c r="M825" s="1">
        <f t="shared" si="63"/>
        <v>181.61773041198373</v>
      </c>
      <c r="N825" s="7">
        <f t="shared" si="64"/>
        <v>181.61773041198373</v>
      </c>
    </row>
    <row r="826" spans="1:14" x14ac:dyDescent="0.25">
      <c r="A826" t="str">
        <f>"14:04:07.648"</f>
        <v>14:04:07.648</v>
      </c>
      <c r="B826">
        <v>39.349572999999999</v>
      </c>
      <c r="C826">
        <v>-77.034244999999999</v>
      </c>
      <c r="D826">
        <v>8700</v>
      </c>
      <c r="E826">
        <v>9025</v>
      </c>
      <c r="F826">
        <v>63</v>
      </c>
      <c r="G826">
        <v>170</v>
      </c>
      <c r="H826">
        <v>0</v>
      </c>
      <c r="J826" s="1">
        <f t="shared" si="60"/>
        <v>3969</v>
      </c>
      <c r="K826" s="1">
        <f t="shared" si="61"/>
        <v>28900</v>
      </c>
      <c r="L826" s="1">
        <f t="shared" si="62"/>
        <v>32869</v>
      </c>
      <c r="M826" s="1">
        <f t="shared" si="63"/>
        <v>181.29809706668186</v>
      </c>
      <c r="N826" s="7">
        <f t="shared" si="64"/>
        <v>181.29809706668186</v>
      </c>
    </row>
    <row r="827" spans="1:14" x14ac:dyDescent="0.25">
      <c r="A827" t="str">
        <f>"14:04:08.453"</f>
        <v>14:04:08.453</v>
      </c>
      <c r="B827">
        <v>39.350281000000003</v>
      </c>
      <c r="C827">
        <v>-77.033923000000001</v>
      </c>
      <c r="D827">
        <v>8700</v>
      </c>
      <c r="E827">
        <v>9025</v>
      </c>
      <c r="F827">
        <v>59</v>
      </c>
      <c r="G827">
        <v>171</v>
      </c>
      <c r="H827">
        <v>64</v>
      </c>
      <c r="J827" s="1">
        <f t="shared" si="60"/>
        <v>3481</v>
      </c>
      <c r="K827" s="1">
        <f t="shared" si="61"/>
        <v>29241</v>
      </c>
      <c r="L827" s="1">
        <f t="shared" si="62"/>
        <v>32722</v>
      </c>
      <c r="M827" s="1">
        <f t="shared" si="63"/>
        <v>180.89223311131963</v>
      </c>
      <c r="N827" s="7">
        <f t="shared" si="64"/>
        <v>180.89223311131963</v>
      </c>
    </row>
    <row r="828" spans="1:14" x14ac:dyDescent="0.25">
      <c r="A828" t="str">
        <f>"14:04:09.414"</f>
        <v>14:04:09.414</v>
      </c>
      <c r="B828">
        <v>39.351031999999996</v>
      </c>
      <c r="C828">
        <v>-77.033621999999994</v>
      </c>
      <c r="D828">
        <v>8700</v>
      </c>
      <c r="E828">
        <v>9025</v>
      </c>
      <c r="F828">
        <v>54</v>
      </c>
      <c r="G828">
        <v>172</v>
      </c>
      <c r="H828">
        <v>64</v>
      </c>
      <c r="J828" s="1">
        <f t="shared" si="60"/>
        <v>2916</v>
      </c>
      <c r="K828" s="1">
        <f t="shared" si="61"/>
        <v>29584</v>
      </c>
      <c r="L828" s="1">
        <f t="shared" si="62"/>
        <v>32500</v>
      </c>
      <c r="M828" s="1">
        <f t="shared" si="63"/>
        <v>180.27756377319946</v>
      </c>
      <c r="N828" s="7">
        <f t="shared" si="64"/>
        <v>180.27756377319946</v>
      </c>
    </row>
    <row r="829" spans="1:14" x14ac:dyDescent="0.25">
      <c r="A829" t="str">
        <f>"14:04:10.523"</f>
        <v>14:04:10.523</v>
      </c>
      <c r="B829">
        <v>39.351889999999997</v>
      </c>
      <c r="C829">
        <v>-77.033321999999998</v>
      </c>
      <c r="D829">
        <v>8700</v>
      </c>
      <c r="E829">
        <v>9050</v>
      </c>
      <c r="F829">
        <v>50</v>
      </c>
      <c r="G829">
        <v>172</v>
      </c>
      <c r="H829">
        <v>128</v>
      </c>
      <c r="J829" s="1">
        <f t="shared" si="60"/>
        <v>2500</v>
      </c>
      <c r="K829" s="1">
        <f t="shared" si="61"/>
        <v>29584</v>
      </c>
      <c r="L829" s="1">
        <f t="shared" si="62"/>
        <v>32084</v>
      </c>
      <c r="M829" s="1">
        <f t="shared" si="63"/>
        <v>179.12007146045917</v>
      </c>
      <c r="N829" s="7">
        <f t="shared" si="64"/>
        <v>179.12007146045917</v>
      </c>
    </row>
    <row r="830" spans="1:14" x14ac:dyDescent="0.25">
      <c r="A830" t="str">
        <f>"14:04:11.586"</f>
        <v>14:04:11.586</v>
      </c>
      <c r="B830">
        <v>39.352791000000003</v>
      </c>
      <c r="C830">
        <v>-77.033021000000005</v>
      </c>
      <c r="D830">
        <v>8700</v>
      </c>
      <c r="E830">
        <v>9050</v>
      </c>
      <c r="F830">
        <v>45</v>
      </c>
      <c r="G830">
        <v>173</v>
      </c>
      <c r="H830">
        <v>128</v>
      </c>
      <c r="J830" s="1">
        <f t="shared" si="60"/>
        <v>2025</v>
      </c>
      <c r="K830" s="1">
        <f t="shared" si="61"/>
        <v>29929</v>
      </c>
      <c r="L830" s="1">
        <f t="shared" si="62"/>
        <v>31954</v>
      </c>
      <c r="M830" s="1">
        <f t="shared" si="63"/>
        <v>178.75681805178789</v>
      </c>
      <c r="N830" s="7">
        <f t="shared" si="64"/>
        <v>178.75681805178789</v>
      </c>
    </row>
    <row r="831" spans="1:14" x14ac:dyDescent="0.25">
      <c r="A831" t="str">
        <f>"14:04:12.594"</f>
        <v>14:04:12.594</v>
      </c>
      <c r="B831">
        <v>39.353585000000002</v>
      </c>
      <c r="C831">
        <v>-77.032785000000004</v>
      </c>
      <c r="D831">
        <v>8700</v>
      </c>
      <c r="E831">
        <v>9050</v>
      </c>
      <c r="F831">
        <v>41</v>
      </c>
      <c r="G831">
        <v>174</v>
      </c>
      <c r="H831">
        <v>128</v>
      </c>
      <c r="J831" s="1">
        <f t="shared" si="60"/>
        <v>1681</v>
      </c>
      <c r="K831" s="1">
        <f t="shared" si="61"/>
        <v>30276</v>
      </c>
      <c r="L831" s="1">
        <f t="shared" si="62"/>
        <v>31957</v>
      </c>
      <c r="M831" s="1">
        <f t="shared" si="63"/>
        <v>178.76520914316635</v>
      </c>
      <c r="N831" s="7">
        <f t="shared" si="64"/>
        <v>178.76520914316635</v>
      </c>
    </row>
    <row r="832" spans="1:14" x14ac:dyDescent="0.25">
      <c r="A832" t="str">
        <f>"14:04:13.656"</f>
        <v>14:04:13.656</v>
      </c>
      <c r="B832">
        <v>39.354379000000002</v>
      </c>
      <c r="C832">
        <v>-77.032527999999999</v>
      </c>
      <c r="D832">
        <v>8700</v>
      </c>
      <c r="E832">
        <v>9050</v>
      </c>
      <c r="F832">
        <v>37</v>
      </c>
      <c r="G832">
        <v>174</v>
      </c>
      <c r="H832">
        <v>64</v>
      </c>
      <c r="J832" s="1">
        <f t="shared" si="60"/>
        <v>1369</v>
      </c>
      <c r="K832" s="1">
        <f t="shared" si="61"/>
        <v>30276</v>
      </c>
      <c r="L832" s="1">
        <f t="shared" si="62"/>
        <v>31645</v>
      </c>
      <c r="M832" s="1">
        <f t="shared" si="63"/>
        <v>177.89041570584965</v>
      </c>
      <c r="N832" s="7">
        <f t="shared" si="64"/>
        <v>177.89041570584965</v>
      </c>
    </row>
    <row r="833" spans="1:14" x14ac:dyDescent="0.25">
      <c r="A833" t="str">
        <f>"14:04:14.609"</f>
        <v>14:04:14.609</v>
      </c>
      <c r="B833">
        <v>39.355215999999999</v>
      </c>
      <c r="C833">
        <v>-77.032355999999993</v>
      </c>
      <c r="D833">
        <v>8700</v>
      </c>
      <c r="E833">
        <v>9050</v>
      </c>
      <c r="F833">
        <v>35</v>
      </c>
      <c r="G833">
        <v>174</v>
      </c>
      <c r="H833">
        <v>64</v>
      </c>
      <c r="J833" s="1">
        <f t="shared" si="60"/>
        <v>1225</v>
      </c>
      <c r="K833" s="1">
        <f t="shared" si="61"/>
        <v>30276</v>
      </c>
      <c r="L833" s="1">
        <f t="shared" si="62"/>
        <v>31501</v>
      </c>
      <c r="M833" s="1">
        <f t="shared" si="63"/>
        <v>177.48521065147935</v>
      </c>
      <c r="N833" s="7">
        <f t="shared" si="64"/>
        <v>177.48521065147935</v>
      </c>
    </row>
    <row r="834" spans="1:14" x14ac:dyDescent="0.25">
      <c r="A834" t="str">
        <f>"14:04:15.523"</f>
        <v>14:04:15.523</v>
      </c>
      <c r="B834">
        <v>39.355902999999998</v>
      </c>
      <c r="C834">
        <v>-77.032184999999998</v>
      </c>
      <c r="D834">
        <v>8700</v>
      </c>
      <c r="E834">
        <v>9050</v>
      </c>
      <c r="F834">
        <v>33</v>
      </c>
      <c r="G834">
        <v>174</v>
      </c>
      <c r="H834">
        <v>64</v>
      </c>
      <c r="J834" s="1">
        <f t="shared" si="60"/>
        <v>1089</v>
      </c>
      <c r="K834" s="1">
        <f t="shared" si="61"/>
        <v>30276</v>
      </c>
      <c r="L834" s="1">
        <f t="shared" si="62"/>
        <v>31365</v>
      </c>
      <c r="M834" s="1">
        <f t="shared" si="63"/>
        <v>177.10166571774531</v>
      </c>
      <c r="N834" s="7">
        <f t="shared" si="64"/>
        <v>177.10166571774531</v>
      </c>
    </row>
    <row r="835" spans="1:14" x14ac:dyDescent="0.25">
      <c r="A835" t="str">
        <f>"14:04:16.680"</f>
        <v>14:04:16.680</v>
      </c>
      <c r="B835">
        <v>39.356867999999999</v>
      </c>
      <c r="C835">
        <v>-77.031948999999997</v>
      </c>
      <c r="D835">
        <v>8700</v>
      </c>
      <c r="E835">
        <v>9050</v>
      </c>
      <c r="F835">
        <v>32</v>
      </c>
      <c r="G835">
        <v>174</v>
      </c>
      <c r="H835">
        <v>0</v>
      </c>
      <c r="J835" s="1">
        <f t="shared" ref="J835:J898" si="65">F835^2</f>
        <v>1024</v>
      </c>
      <c r="K835" s="1">
        <f t="shared" ref="K835:K898" si="66">G835^2</f>
        <v>30276</v>
      </c>
      <c r="L835" s="1">
        <f t="shared" ref="L835:L898" si="67">SUMSQ(F835,G835)</f>
        <v>31300</v>
      </c>
      <c r="M835" s="1">
        <f t="shared" ref="M835:M898" si="68">SQRT(L835)</f>
        <v>176.91806012954132</v>
      </c>
      <c r="N835" s="7">
        <f t="shared" ref="N835:N898" si="69">M835</f>
        <v>176.91806012954132</v>
      </c>
    </row>
    <row r="836" spans="1:14" x14ac:dyDescent="0.25">
      <c r="A836" t="str">
        <f>"14:04:17.594"</f>
        <v>14:04:17.594</v>
      </c>
      <c r="B836">
        <v>39.357641000000001</v>
      </c>
      <c r="C836">
        <v>-77.031797999999995</v>
      </c>
      <c r="D836">
        <v>8700</v>
      </c>
      <c r="E836">
        <v>9050</v>
      </c>
      <c r="F836">
        <v>33</v>
      </c>
      <c r="G836">
        <v>174</v>
      </c>
      <c r="H836">
        <v>0</v>
      </c>
      <c r="J836" s="1">
        <f t="shared" si="65"/>
        <v>1089</v>
      </c>
      <c r="K836" s="1">
        <f t="shared" si="66"/>
        <v>30276</v>
      </c>
      <c r="L836" s="1">
        <f t="shared" si="67"/>
        <v>31365</v>
      </c>
      <c r="M836" s="1">
        <f t="shared" si="68"/>
        <v>177.10166571774531</v>
      </c>
      <c r="N836" s="7">
        <f t="shared" si="69"/>
        <v>177.10166571774531</v>
      </c>
    </row>
    <row r="837" spans="1:14" x14ac:dyDescent="0.25">
      <c r="A837" t="str">
        <f>"14:04:18.445"</f>
        <v>14:04:18.445</v>
      </c>
      <c r="B837">
        <v>39.358283999999998</v>
      </c>
      <c r="C837">
        <v>-77.031627</v>
      </c>
      <c r="D837">
        <v>8700</v>
      </c>
      <c r="E837">
        <v>9050</v>
      </c>
      <c r="F837">
        <v>35</v>
      </c>
      <c r="G837">
        <v>174</v>
      </c>
      <c r="H837">
        <v>-64</v>
      </c>
      <c r="J837" s="1">
        <f t="shared" si="65"/>
        <v>1225</v>
      </c>
      <c r="K837" s="1">
        <f t="shared" si="66"/>
        <v>30276</v>
      </c>
      <c r="L837" s="1">
        <f t="shared" si="67"/>
        <v>31501</v>
      </c>
      <c r="M837" s="1">
        <f t="shared" si="68"/>
        <v>177.48521065147935</v>
      </c>
      <c r="N837" s="7">
        <f t="shared" si="69"/>
        <v>177.48521065147935</v>
      </c>
    </row>
    <row r="838" spans="1:14" x14ac:dyDescent="0.25">
      <c r="A838" t="str">
        <f>"14:04:19.406"</f>
        <v>14:04:19.406</v>
      </c>
      <c r="B838">
        <v>39.359077999999997</v>
      </c>
      <c r="C838">
        <v>-77.031368999999998</v>
      </c>
      <c r="D838">
        <v>8700</v>
      </c>
      <c r="E838">
        <v>9050</v>
      </c>
      <c r="F838">
        <v>37</v>
      </c>
      <c r="G838">
        <v>174</v>
      </c>
      <c r="H838">
        <v>-128</v>
      </c>
      <c r="J838" s="1">
        <f t="shared" si="65"/>
        <v>1369</v>
      </c>
      <c r="K838" s="1">
        <f t="shared" si="66"/>
        <v>30276</v>
      </c>
      <c r="L838" s="1">
        <f t="shared" si="67"/>
        <v>31645</v>
      </c>
      <c r="M838" s="1">
        <f t="shared" si="68"/>
        <v>177.89041570584965</v>
      </c>
      <c r="N838" s="7">
        <f t="shared" si="69"/>
        <v>177.89041570584965</v>
      </c>
    </row>
    <row r="839" spans="1:14" x14ac:dyDescent="0.25">
      <c r="A839" t="str">
        <f>"14:04:20.469"</f>
        <v>14:04:20.469</v>
      </c>
      <c r="B839">
        <v>39.35998</v>
      </c>
      <c r="C839">
        <v>-77.031111999999993</v>
      </c>
      <c r="D839">
        <v>8700</v>
      </c>
      <c r="E839">
        <v>9050</v>
      </c>
      <c r="F839">
        <v>41</v>
      </c>
      <c r="G839">
        <v>174</v>
      </c>
      <c r="H839">
        <v>-192</v>
      </c>
      <c r="J839" s="1">
        <f t="shared" si="65"/>
        <v>1681</v>
      </c>
      <c r="K839" s="1">
        <f t="shared" si="66"/>
        <v>30276</v>
      </c>
      <c r="L839" s="1">
        <f t="shared" si="67"/>
        <v>31957</v>
      </c>
      <c r="M839" s="1">
        <f t="shared" si="68"/>
        <v>178.76520914316635</v>
      </c>
      <c r="N839" s="7">
        <f t="shared" si="69"/>
        <v>178.76520914316635</v>
      </c>
    </row>
    <row r="840" spans="1:14" x14ac:dyDescent="0.25">
      <c r="A840" t="str">
        <f>"14:04:21.328"</f>
        <v>14:04:21.328</v>
      </c>
      <c r="B840">
        <v>39.360622999999997</v>
      </c>
      <c r="C840">
        <v>-77.030876000000006</v>
      </c>
      <c r="D840">
        <v>8700</v>
      </c>
      <c r="E840">
        <v>9050</v>
      </c>
      <c r="F840">
        <v>44</v>
      </c>
      <c r="G840">
        <v>174</v>
      </c>
      <c r="H840">
        <v>-256</v>
      </c>
      <c r="J840" s="1">
        <f t="shared" si="65"/>
        <v>1936</v>
      </c>
      <c r="K840" s="1">
        <f t="shared" si="66"/>
        <v>30276</v>
      </c>
      <c r="L840" s="1">
        <f t="shared" si="67"/>
        <v>32212</v>
      </c>
      <c r="M840" s="1">
        <f t="shared" si="68"/>
        <v>179.47701802737865</v>
      </c>
      <c r="N840" s="7">
        <f t="shared" si="69"/>
        <v>179.47701802737865</v>
      </c>
    </row>
    <row r="841" spans="1:14" x14ac:dyDescent="0.25">
      <c r="A841" t="str">
        <f>"14:04:22.383"</f>
        <v>14:04:22.383</v>
      </c>
      <c r="B841">
        <v>39.361502999999999</v>
      </c>
      <c r="C841">
        <v>-77.030574999999999</v>
      </c>
      <c r="D841">
        <v>8700</v>
      </c>
      <c r="E841">
        <v>9025</v>
      </c>
      <c r="F841">
        <v>48</v>
      </c>
      <c r="G841">
        <v>174</v>
      </c>
      <c r="H841">
        <v>-256</v>
      </c>
      <c r="J841" s="1">
        <f t="shared" si="65"/>
        <v>2304</v>
      </c>
      <c r="K841" s="1">
        <f t="shared" si="66"/>
        <v>30276</v>
      </c>
      <c r="L841" s="1">
        <f t="shared" si="67"/>
        <v>32580</v>
      </c>
      <c r="M841" s="1">
        <f t="shared" si="68"/>
        <v>180.49930747789588</v>
      </c>
      <c r="N841" s="7">
        <f t="shared" si="69"/>
        <v>180.49930747789588</v>
      </c>
    </row>
    <row r="842" spans="1:14" x14ac:dyDescent="0.25">
      <c r="A842" t="str">
        <f>"14:04:23.445"</f>
        <v>14:04:23.445</v>
      </c>
      <c r="B842">
        <v>39.362296999999998</v>
      </c>
      <c r="C842">
        <v>-77.030275000000003</v>
      </c>
      <c r="D842">
        <v>8700</v>
      </c>
      <c r="E842">
        <v>9025</v>
      </c>
      <c r="F842">
        <v>51</v>
      </c>
      <c r="G842">
        <v>174</v>
      </c>
      <c r="H842">
        <v>-192</v>
      </c>
      <c r="J842" s="1">
        <f t="shared" si="65"/>
        <v>2601</v>
      </c>
      <c r="K842" s="1">
        <f t="shared" si="66"/>
        <v>30276</v>
      </c>
      <c r="L842" s="1">
        <f t="shared" si="67"/>
        <v>32877</v>
      </c>
      <c r="M842" s="1">
        <f t="shared" si="68"/>
        <v>181.3201588351389</v>
      </c>
      <c r="N842" s="7">
        <f t="shared" si="69"/>
        <v>181.3201588351389</v>
      </c>
    </row>
    <row r="843" spans="1:14" x14ac:dyDescent="0.25">
      <c r="A843" t="str">
        <f>"14:04:24.305"</f>
        <v>14:04:24.305</v>
      </c>
      <c r="B843">
        <v>39.363005000000001</v>
      </c>
      <c r="C843">
        <v>-77.029973999999996</v>
      </c>
      <c r="D843">
        <v>8700</v>
      </c>
      <c r="E843">
        <v>9025</v>
      </c>
      <c r="F843">
        <v>54</v>
      </c>
      <c r="G843">
        <v>173</v>
      </c>
      <c r="H843">
        <v>-192</v>
      </c>
      <c r="J843" s="1">
        <f t="shared" si="65"/>
        <v>2916</v>
      </c>
      <c r="K843" s="1">
        <f t="shared" si="66"/>
        <v>29929</v>
      </c>
      <c r="L843" s="1">
        <f t="shared" si="67"/>
        <v>32845</v>
      </c>
      <c r="M843" s="1">
        <f t="shared" si="68"/>
        <v>181.23189564753773</v>
      </c>
      <c r="N843" s="7">
        <f t="shared" si="69"/>
        <v>181.23189564753773</v>
      </c>
    </row>
    <row r="844" spans="1:14" x14ac:dyDescent="0.25">
      <c r="A844" t="str">
        <f>"14:04:25.367"</f>
        <v>14:04:25.367</v>
      </c>
      <c r="B844">
        <v>39.363928000000001</v>
      </c>
      <c r="C844">
        <v>-77.029544999999999</v>
      </c>
      <c r="D844">
        <v>8700</v>
      </c>
      <c r="E844">
        <v>9025</v>
      </c>
      <c r="F844">
        <v>58</v>
      </c>
      <c r="G844">
        <v>173</v>
      </c>
      <c r="H844">
        <v>-192</v>
      </c>
      <c r="J844" s="1">
        <f t="shared" si="65"/>
        <v>3364</v>
      </c>
      <c r="K844" s="1">
        <f t="shared" si="66"/>
        <v>29929</v>
      </c>
      <c r="L844" s="1">
        <f t="shared" si="67"/>
        <v>33293</v>
      </c>
      <c r="M844" s="1">
        <f t="shared" si="68"/>
        <v>182.46369501903661</v>
      </c>
      <c r="N844" s="7">
        <f t="shared" si="69"/>
        <v>182.46369501903661</v>
      </c>
    </row>
    <row r="845" spans="1:14" x14ac:dyDescent="0.25">
      <c r="A845" t="str">
        <f>"14:04:26.375"</f>
        <v>14:04:26.375</v>
      </c>
      <c r="B845">
        <v>39.364722</v>
      </c>
      <c r="C845">
        <v>-77.029180999999994</v>
      </c>
      <c r="D845">
        <v>8700</v>
      </c>
      <c r="E845">
        <v>9025</v>
      </c>
      <c r="F845">
        <v>64</v>
      </c>
      <c r="G845">
        <v>172</v>
      </c>
      <c r="H845">
        <v>-192</v>
      </c>
      <c r="J845" s="1">
        <f t="shared" si="65"/>
        <v>4096</v>
      </c>
      <c r="K845" s="1">
        <f t="shared" si="66"/>
        <v>29584</v>
      </c>
      <c r="L845" s="1">
        <f t="shared" si="67"/>
        <v>33680</v>
      </c>
      <c r="M845" s="1">
        <f t="shared" si="68"/>
        <v>183.52111595127138</v>
      </c>
      <c r="N845" s="7">
        <f t="shared" si="69"/>
        <v>183.52111595127138</v>
      </c>
    </row>
    <row r="846" spans="1:14" x14ac:dyDescent="0.25">
      <c r="A846" t="str">
        <f>"14:04:27.430"</f>
        <v>14:04:27.430</v>
      </c>
      <c r="B846">
        <v>39.365451</v>
      </c>
      <c r="C846">
        <v>-77.028751</v>
      </c>
      <c r="D846">
        <v>8700</v>
      </c>
      <c r="E846">
        <v>9025</v>
      </c>
      <c r="F846">
        <v>69</v>
      </c>
      <c r="G846">
        <v>170</v>
      </c>
      <c r="H846">
        <v>-192</v>
      </c>
      <c r="J846" s="1">
        <f t="shared" si="65"/>
        <v>4761</v>
      </c>
      <c r="K846" s="1">
        <f t="shared" si="66"/>
        <v>28900</v>
      </c>
      <c r="L846" s="1">
        <f t="shared" si="67"/>
        <v>33661</v>
      </c>
      <c r="M846" s="1">
        <f t="shared" si="68"/>
        <v>183.46934348822421</v>
      </c>
      <c r="N846" s="7">
        <f t="shared" si="69"/>
        <v>183.46934348822421</v>
      </c>
    </row>
    <row r="847" spans="1:14" x14ac:dyDescent="0.25">
      <c r="A847" t="str">
        <f>"14:04:28.445"</f>
        <v>14:04:28.445</v>
      </c>
      <c r="B847">
        <v>39.366244999999999</v>
      </c>
      <c r="C847">
        <v>-77.028322000000003</v>
      </c>
      <c r="D847">
        <v>8700</v>
      </c>
      <c r="E847">
        <v>9025</v>
      </c>
      <c r="F847">
        <v>75</v>
      </c>
      <c r="G847">
        <v>169</v>
      </c>
      <c r="H847">
        <v>-256</v>
      </c>
      <c r="J847" s="1">
        <f t="shared" si="65"/>
        <v>5625</v>
      </c>
      <c r="K847" s="1">
        <f t="shared" si="66"/>
        <v>28561</v>
      </c>
      <c r="L847" s="1">
        <f t="shared" si="67"/>
        <v>34186</v>
      </c>
      <c r="M847" s="1">
        <f t="shared" si="68"/>
        <v>184.89456454963732</v>
      </c>
      <c r="N847" s="7">
        <f t="shared" si="69"/>
        <v>184.89456454963732</v>
      </c>
    </row>
    <row r="848" spans="1:14" x14ac:dyDescent="0.25">
      <c r="A848" t="str">
        <f>"14:04:29.555"</f>
        <v>14:04:29.555</v>
      </c>
      <c r="B848">
        <v>39.367189000000003</v>
      </c>
      <c r="C848">
        <v>-77.027699999999996</v>
      </c>
      <c r="D848">
        <v>8700</v>
      </c>
      <c r="E848">
        <v>9000</v>
      </c>
      <c r="F848">
        <v>82</v>
      </c>
      <c r="G848">
        <v>166</v>
      </c>
      <c r="H848">
        <v>-256</v>
      </c>
      <c r="J848" s="1">
        <f t="shared" si="65"/>
        <v>6724</v>
      </c>
      <c r="K848" s="1">
        <f t="shared" si="66"/>
        <v>27556</v>
      </c>
      <c r="L848" s="1">
        <f t="shared" si="67"/>
        <v>34280</v>
      </c>
      <c r="M848" s="1">
        <f t="shared" si="68"/>
        <v>185.14858897652988</v>
      </c>
      <c r="N848" s="7">
        <f t="shared" si="69"/>
        <v>185.14858897652988</v>
      </c>
    </row>
    <row r="849" spans="1:14" x14ac:dyDescent="0.25">
      <c r="A849" t="str">
        <f>"14:04:30.508"</f>
        <v>14:04:30.508</v>
      </c>
      <c r="B849">
        <v>39.367854999999999</v>
      </c>
      <c r="C849">
        <v>-77.027227999999994</v>
      </c>
      <c r="D849">
        <v>8700</v>
      </c>
      <c r="E849">
        <v>9000</v>
      </c>
      <c r="F849">
        <v>89</v>
      </c>
      <c r="G849">
        <v>164</v>
      </c>
      <c r="H849">
        <v>-320</v>
      </c>
      <c r="J849" s="1">
        <f t="shared" si="65"/>
        <v>7921</v>
      </c>
      <c r="K849" s="1">
        <f t="shared" si="66"/>
        <v>26896</v>
      </c>
      <c r="L849" s="1">
        <f t="shared" si="67"/>
        <v>34817</v>
      </c>
      <c r="M849" s="1">
        <f t="shared" si="68"/>
        <v>186.59314028120113</v>
      </c>
      <c r="N849" s="7">
        <f t="shared" si="69"/>
        <v>186.59314028120113</v>
      </c>
    </row>
    <row r="850" spans="1:14" x14ac:dyDescent="0.25">
      <c r="A850" t="str">
        <f>"14:04:31.523"</f>
        <v>14:04:31.523</v>
      </c>
      <c r="B850">
        <v>39.368583999999998</v>
      </c>
      <c r="C850">
        <v>-77.026649000000006</v>
      </c>
      <c r="D850">
        <v>8700</v>
      </c>
      <c r="E850">
        <v>9000</v>
      </c>
      <c r="F850">
        <v>94</v>
      </c>
      <c r="G850">
        <v>162</v>
      </c>
      <c r="H850">
        <v>-256</v>
      </c>
      <c r="J850" s="1">
        <f t="shared" si="65"/>
        <v>8836</v>
      </c>
      <c r="K850" s="1">
        <f t="shared" si="66"/>
        <v>26244</v>
      </c>
      <c r="L850" s="1">
        <f t="shared" si="67"/>
        <v>35080</v>
      </c>
      <c r="M850" s="1">
        <f t="shared" si="68"/>
        <v>187.29655629509048</v>
      </c>
      <c r="N850" s="7">
        <f t="shared" si="69"/>
        <v>187.29655629509048</v>
      </c>
    </row>
    <row r="851" spans="1:14" x14ac:dyDescent="0.25">
      <c r="A851" t="str">
        <f>"14:04:32.477"</f>
        <v>14:04:32.477</v>
      </c>
      <c r="B851">
        <v>39.369314000000003</v>
      </c>
      <c r="C851">
        <v>-77.026048000000003</v>
      </c>
      <c r="D851">
        <v>8700</v>
      </c>
      <c r="E851">
        <v>9000</v>
      </c>
      <c r="F851">
        <v>101</v>
      </c>
      <c r="G851">
        <v>158</v>
      </c>
      <c r="H851">
        <v>-192</v>
      </c>
      <c r="J851" s="1">
        <f t="shared" si="65"/>
        <v>10201</v>
      </c>
      <c r="K851" s="1">
        <f t="shared" si="66"/>
        <v>24964</v>
      </c>
      <c r="L851" s="1">
        <f t="shared" si="67"/>
        <v>35165</v>
      </c>
      <c r="M851" s="1">
        <f t="shared" si="68"/>
        <v>187.52333188166213</v>
      </c>
      <c r="N851" s="7">
        <f t="shared" si="69"/>
        <v>187.52333188166213</v>
      </c>
    </row>
    <row r="852" spans="1:14" x14ac:dyDescent="0.25">
      <c r="A852" t="str">
        <f>"14:04:33.492"</f>
        <v>14:04:33.492</v>
      </c>
      <c r="B852">
        <v>39.370064999999997</v>
      </c>
      <c r="C852">
        <v>-77.025383000000005</v>
      </c>
      <c r="D852">
        <v>8700</v>
      </c>
      <c r="E852">
        <v>9000</v>
      </c>
      <c r="F852">
        <v>107</v>
      </c>
      <c r="G852">
        <v>155</v>
      </c>
      <c r="H852">
        <v>-64</v>
      </c>
      <c r="J852" s="1">
        <f t="shared" si="65"/>
        <v>11449</v>
      </c>
      <c r="K852" s="1">
        <f t="shared" si="66"/>
        <v>24025</v>
      </c>
      <c r="L852" s="1">
        <f t="shared" si="67"/>
        <v>35474</v>
      </c>
      <c r="M852" s="1">
        <f t="shared" si="68"/>
        <v>188.34542734029941</v>
      </c>
      <c r="N852" s="7">
        <f t="shared" si="69"/>
        <v>188.34542734029941</v>
      </c>
    </row>
    <row r="853" spans="1:14" x14ac:dyDescent="0.25">
      <c r="A853" t="str">
        <f>"14:04:34.500"</f>
        <v>14:04:34.500</v>
      </c>
      <c r="B853">
        <v>39.370750999999998</v>
      </c>
      <c r="C853">
        <v>-77.024674000000005</v>
      </c>
      <c r="D853">
        <v>8700</v>
      </c>
      <c r="E853">
        <v>9000</v>
      </c>
      <c r="F853">
        <v>112</v>
      </c>
      <c r="G853">
        <v>152</v>
      </c>
      <c r="H853">
        <v>-64</v>
      </c>
      <c r="J853" s="1">
        <f t="shared" si="65"/>
        <v>12544</v>
      </c>
      <c r="K853" s="1">
        <f t="shared" si="66"/>
        <v>23104</v>
      </c>
      <c r="L853" s="1">
        <f t="shared" si="67"/>
        <v>35648</v>
      </c>
      <c r="M853" s="1">
        <f t="shared" si="68"/>
        <v>188.80677953929515</v>
      </c>
      <c r="N853" s="7">
        <f t="shared" si="69"/>
        <v>188.80677953929515</v>
      </c>
    </row>
    <row r="854" spans="1:14" x14ac:dyDescent="0.25">
      <c r="A854" t="str">
        <f>"14:04:35.609"</f>
        <v>14:04:35.609</v>
      </c>
      <c r="B854">
        <v>39.371502</v>
      </c>
      <c r="C854">
        <v>-77.023922999999996</v>
      </c>
      <c r="D854">
        <v>8700</v>
      </c>
      <c r="E854">
        <v>9000</v>
      </c>
      <c r="F854">
        <v>119</v>
      </c>
      <c r="G854">
        <v>147</v>
      </c>
      <c r="H854">
        <v>64</v>
      </c>
      <c r="J854" s="1">
        <f t="shared" si="65"/>
        <v>14161</v>
      </c>
      <c r="K854" s="1">
        <f t="shared" si="66"/>
        <v>21609</v>
      </c>
      <c r="L854" s="1">
        <f t="shared" si="67"/>
        <v>35770</v>
      </c>
      <c r="M854" s="1">
        <f t="shared" si="68"/>
        <v>189.12958520548815</v>
      </c>
      <c r="N854" s="7">
        <f t="shared" si="69"/>
        <v>189.12958520548815</v>
      </c>
    </row>
    <row r="855" spans="1:14" x14ac:dyDescent="0.25">
      <c r="A855" t="str">
        <f>"14:04:36.617"</f>
        <v>14:04:36.617</v>
      </c>
      <c r="B855">
        <v>39.372168000000002</v>
      </c>
      <c r="C855">
        <v>-77.023128999999997</v>
      </c>
      <c r="D855">
        <v>8700</v>
      </c>
      <c r="E855">
        <v>9000</v>
      </c>
      <c r="F855">
        <v>124</v>
      </c>
      <c r="G855">
        <v>143</v>
      </c>
      <c r="H855">
        <v>64</v>
      </c>
      <c r="J855" s="1">
        <f t="shared" si="65"/>
        <v>15376</v>
      </c>
      <c r="K855" s="1">
        <f t="shared" si="66"/>
        <v>20449</v>
      </c>
      <c r="L855" s="1">
        <f t="shared" si="67"/>
        <v>35825</v>
      </c>
      <c r="M855" s="1">
        <f t="shared" si="68"/>
        <v>189.274932307477</v>
      </c>
      <c r="N855" s="7">
        <f t="shared" si="69"/>
        <v>189.274932307477</v>
      </c>
    </row>
    <row r="856" spans="1:14" x14ac:dyDescent="0.25">
      <c r="A856" t="str">
        <f>"14:04:37.523"</f>
        <v>14:04:37.523</v>
      </c>
      <c r="B856">
        <v>39.372703999999999</v>
      </c>
      <c r="C856">
        <v>-77.022463999999999</v>
      </c>
      <c r="D856">
        <v>8700</v>
      </c>
      <c r="E856">
        <v>9000</v>
      </c>
      <c r="F856">
        <v>130</v>
      </c>
      <c r="G856">
        <v>138</v>
      </c>
      <c r="H856">
        <v>128</v>
      </c>
      <c r="J856" s="1">
        <f t="shared" si="65"/>
        <v>16900</v>
      </c>
      <c r="K856" s="1">
        <f t="shared" si="66"/>
        <v>19044</v>
      </c>
      <c r="L856" s="1">
        <f t="shared" si="67"/>
        <v>35944</v>
      </c>
      <c r="M856" s="1">
        <f t="shared" si="68"/>
        <v>189.58902921846507</v>
      </c>
      <c r="N856" s="7">
        <f t="shared" si="69"/>
        <v>189.58902921846507</v>
      </c>
    </row>
    <row r="857" spans="1:14" x14ac:dyDescent="0.25">
      <c r="A857" t="str">
        <f>"14:04:38.641"</f>
        <v>14:04:38.641</v>
      </c>
      <c r="B857">
        <v>39.373368999999997</v>
      </c>
      <c r="C857">
        <v>-77.021541999999997</v>
      </c>
      <c r="D857">
        <v>8700</v>
      </c>
      <c r="E857">
        <v>9000</v>
      </c>
      <c r="F857">
        <v>135</v>
      </c>
      <c r="G857">
        <v>133</v>
      </c>
      <c r="H857">
        <v>128</v>
      </c>
      <c r="J857" s="1">
        <f t="shared" si="65"/>
        <v>18225</v>
      </c>
      <c r="K857" s="1">
        <f t="shared" si="66"/>
        <v>17689</v>
      </c>
      <c r="L857" s="1">
        <f t="shared" si="67"/>
        <v>35914</v>
      </c>
      <c r="M857" s="1">
        <f t="shared" si="68"/>
        <v>189.50989420080418</v>
      </c>
      <c r="N857" s="7">
        <f t="shared" si="69"/>
        <v>189.50989420080418</v>
      </c>
    </row>
    <row r="858" spans="1:14" x14ac:dyDescent="0.25">
      <c r="A858" t="str">
        <f>"14:04:39.445"</f>
        <v>14:04:39.445</v>
      </c>
      <c r="B858">
        <v>39.373840999999999</v>
      </c>
      <c r="C858">
        <v>-77.020876000000001</v>
      </c>
      <c r="D858">
        <v>8700</v>
      </c>
      <c r="E858">
        <v>9000</v>
      </c>
      <c r="F858">
        <v>139</v>
      </c>
      <c r="G858">
        <v>129</v>
      </c>
      <c r="H858">
        <v>128</v>
      </c>
      <c r="J858" s="1">
        <f t="shared" si="65"/>
        <v>19321</v>
      </c>
      <c r="K858" s="1">
        <f t="shared" si="66"/>
        <v>16641</v>
      </c>
      <c r="L858" s="1">
        <f t="shared" si="67"/>
        <v>35962</v>
      </c>
      <c r="M858" s="1">
        <f t="shared" si="68"/>
        <v>189.63649437806004</v>
      </c>
      <c r="N858" s="7">
        <f t="shared" si="69"/>
        <v>189.63649437806004</v>
      </c>
    </row>
    <row r="859" spans="1:14" x14ac:dyDescent="0.25">
      <c r="A859" t="str">
        <f>"14:04:40.453"</f>
        <v>14:04:40.453</v>
      </c>
      <c r="B859">
        <v>39.374505999999997</v>
      </c>
      <c r="C859">
        <v>-77.019953999999998</v>
      </c>
      <c r="D859">
        <v>8700</v>
      </c>
      <c r="E859">
        <v>9000</v>
      </c>
      <c r="F859">
        <v>144</v>
      </c>
      <c r="G859">
        <v>124</v>
      </c>
      <c r="H859">
        <v>192</v>
      </c>
      <c r="J859" s="1">
        <f t="shared" si="65"/>
        <v>20736</v>
      </c>
      <c r="K859" s="1">
        <f t="shared" si="66"/>
        <v>15376</v>
      </c>
      <c r="L859" s="1">
        <f t="shared" si="67"/>
        <v>36112</v>
      </c>
      <c r="M859" s="1">
        <f t="shared" si="68"/>
        <v>190.03157632351525</v>
      </c>
      <c r="N859" s="7">
        <f t="shared" si="69"/>
        <v>190.03157632351525</v>
      </c>
    </row>
    <row r="860" spans="1:14" x14ac:dyDescent="0.25">
      <c r="A860" t="str">
        <f>"14:04:41.461"</f>
        <v>14:04:41.461</v>
      </c>
      <c r="B860">
        <v>39.374957000000002</v>
      </c>
      <c r="C860">
        <v>-77.019159999999999</v>
      </c>
      <c r="D860">
        <v>8700</v>
      </c>
      <c r="E860">
        <v>9000</v>
      </c>
      <c r="F860">
        <v>146</v>
      </c>
      <c r="G860">
        <v>122</v>
      </c>
      <c r="H860">
        <v>192</v>
      </c>
      <c r="J860" s="1">
        <f t="shared" si="65"/>
        <v>21316</v>
      </c>
      <c r="K860" s="1">
        <f t="shared" si="66"/>
        <v>14884</v>
      </c>
      <c r="L860" s="1">
        <f t="shared" si="67"/>
        <v>36200</v>
      </c>
      <c r="M860" s="1">
        <f t="shared" si="68"/>
        <v>190.26297590440447</v>
      </c>
      <c r="N860" s="7">
        <f t="shared" si="69"/>
        <v>190.26297590440447</v>
      </c>
    </row>
    <row r="861" spans="1:14" x14ac:dyDescent="0.25">
      <c r="A861" t="str">
        <f>"14:04:42.625"</f>
        <v>14:04:42.625</v>
      </c>
      <c r="B861">
        <v>39.375601000000003</v>
      </c>
      <c r="C861">
        <v>-77.018065000000007</v>
      </c>
      <c r="D861">
        <v>8700</v>
      </c>
      <c r="E861">
        <v>9000</v>
      </c>
      <c r="F861">
        <v>152</v>
      </c>
      <c r="G861">
        <v>113</v>
      </c>
      <c r="H861">
        <v>192</v>
      </c>
      <c r="J861" s="1">
        <f t="shared" si="65"/>
        <v>23104</v>
      </c>
      <c r="K861" s="1">
        <f t="shared" si="66"/>
        <v>12769</v>
      </c>
      <c r="L861" s="1">
        <f t="shared" si="67"/>
        <v>35873</v>
      </c>
      <c r="M861" s="1">
        <f t="shared" si="68"/>
        <v>189.40168953839878</v>
      </c>
      <c r="N861" s="7">
        <f t="shared" si="69"/>
        <v>189.40168953839878</v>
      </c>
    </row>
    <row r="862" spans="1:14" x14ac:dyDescent="0.25">
      <c r="A862" t="str">
        <f>"14:04:43.633"</f>
        <v>14:04:43.633</v>
      </c>
      <c r="B862">
        <v>39.376072999999998</v>
      </c>
      <c r="C862">
        <v>-77.017099999999999</v>
      </c>
      <c r="D862">
        <v>8700</v>
      </c>
      <c r="E862">
        <v>9000</v>
      </c>
      <c r="F862">
        <v>156</v>
      </c>
      <c r="G862">
        <v>108</v>
      </c>
      <c r="H862">
        <v>128</v>
      </c>
      <c r="J862" s="1">
        <f t="shared" si="65"/>
        <v>24336</v>
      </c>
      <c r="K862" s="1">
        <f t="shared" si="66"/>
        <v>11664</v>
      </c>
      <c r="L862" s="1">
        <f t="shared" si="67"/>
        <v>36000</v>
      </c>
      <c r="M862" s="1">
        <f t="shared" si="68"/>
        <v>189.73665961010275</v>
      </c>
      <c r="N862" s="7">
        <f t="shared" si="69"/>
        <v>189.73665961010275</v>
      </c>
    </row>
    <row r="863" spans="1:14" x14ac:dyDescent="0.25">
      <c r="A863" t="str">
        <f>"14:04:44.539"</f>
        <v>14:04:44.539</v>
      </c>
      <c r="B863">
        <v>39.376502000000002</v>
      </c>
      <c r="C863">
        <v>-77.016242000000005</v>
      </c>
      <c r="D863">
        <v>8700</v>
      </c>
      <c r="E863">
        <v>9025</v>
      </c>
      <c r="F863">
        <v>159</v>
      </c>
      <c r="G863">
        <v>104</v>
      </c>
      <c r="H863">
        <v>128</v>
      </c>
      <c r="J863" s="1">
        <f t="shared" si="65"/>
        <v>25281</v>
      </c>
      <c r="K863" s="1">
        <f t="shared" si="66"/>
        <v>10816</v>
      </c>
      <c r="L863" s="1">
        <f t="shared" si="67"/>
        <v>36097</v>
      </c>
      <c r="M863" s="1">
        <f t="shared" si="68"/>
        <v>189.992105099133</v>
      </c>
      <c r="N863" s="7">
        <f t="shared" si="69"/>
        <v>189.992105099133</v>
      </c>
    </row>
    <row r="864" spans="1:14" x14ac:dyDescent="0.25">
      <c r="A864" t="str">
        <f>"14:04:45.453"</f>
        <v>14:04:45.453</v>
      </c>
      <c r="B864">
        <v>39.376973999999997</v>
      </c>
      <c r="C864">
        <v>-77.015297000000004</v>
      </c>
      <c r="D864">
        <v>8700</v>
      </c>
      <c r="E864">
        <v>9025</v>
      </c>
      <c r="F864">
        <v>160</v>
      </c>
      <c r="G864">
        <v>102</v>
      </c>
      <c r="H864">
        <v>128</v>
      </c>
      <c r="J864" s="1">
        <f t="shared" si="65"/>
        <v>25600</v>
      </c>
      <c r="K864" s="1">
        <f t="shared" si="66"/>
        <v>10404</v>
      </c>
      <c r="L864" s="1">
        <f t="shared" si="67"/>
        <v>36004</v>
      </c>
      <c r="M864" s="1">
        <f t="shared" si="68"/>
        <v>189.74720024284943</v>
      </c>
      <c r="N864" s="7">
        <f t="shared" si="69"/>
        <v>189.74720024284943</v>
      </c>
    </row>
    <row r="865" spans="1:14" x14ac:dyDescent="0.25">
      <c r="A865" t="str">
        <f>"14:04:46.609"</f>
        <v>14:04:46.609</v>
      </c>
      <c r="B865">
        <v>39.377468</v>
      </c>
      <c r="C865">
        <v>-77.014224999999996</v>
      </c>
      <c r="D865">
        <v>8700</v>
      </c>
      <c r="E865">
        <v>9025</v>
      </c>
      <c r="F865">
        <v>163</v>
      </c>
      <c r="G865">
        <v>97</v>
      </c>
      <c r="H865">
        <v>192</v>
      </c>
      <c r="J865" s="1">
        <f t="shared" si="65"/>
        <v>26569</v>
      </c>
      <c r="K865" s="1">
        <f t="shared" si="66"/>
        <v>9409</v>
      </c>
      <c r="L865" s="1">
        <f t="shared" si="67"/>
        <v>35978</v>
      </c>
      <c r="M865" s="1">
        <f t="shared" si="68"/>
        <v>189.67867565965344</v>
      </c>
      <c r="N865" s="7">
        <f t="shared" si="69"/>
        <v>189.67867565965344</v>
      </c>
    </row>
    <row r="866" spans="1:14" x14ac:dyDescent="0.25">
      <c r="A866" t="str">
        <f>"14:04:47.719"</f>
        <v>14:04:47.719</v>
      </c>
      <c r="B866">
        <v>39.377940000000002</v>
      </c>
      <c r="C866">
        <v>-77.013152000000005</v>
      </c>
      <c r="D866">
        <v>8700</v>
      </c>
      <c r="E866">
        <v>9025</v>
      </c>
      <c r="F866">
        <v>164</v>
      </c>
      <c r="G866">
        <v>94</v>
      </c>
      <c r="H866">
        <v>256</v>
      </c>
      <c r="J866" s="1">
        <f t="shared" si="65"/>
        <v>26896</v>
      </c>
      <c r="K866" s="1">
        <f t="shared" si="66"/>
        <v>8836</v>
      </c>
      <c r="L866" s="1">
        <f t="shared" si="67"/>
        <v>35732</v>
      </c>
      <c r="M866" s="1">
        <f t="shared" si="68"/>
        <v>189.02909828912584</v>
      </c>
      <c r="N866" s="7">
        <f t="shared" si="69"/>
        <v>189.02909828912584</v>
      </c>
    </row>
    <row r="867" spans="1:14" x14ac:dyDescent="0.25">
      <c r="A867" t="str">
        <f>"14:04:48.734"</f>
        <v>14:04:48.734</v>
      </c>
      <c r="B867">
        <v>39.378390000000003</v>
      </c>
      <c r="C867">
        <v>-77.012122000000005</v>
      </c>
      <c r="D867">
        <v>8700</v>
      </c>
      <c r="E867">
        <v>9025</v>
      </c>
      <c r="F867">
        <v>165</v>
      </c>
      <c r="G867">
        <v>93</v>
      </c>
      <c r="H867">
        <v>192</v>
      </c>
      <c r="J867" s="1">
        <f t="shared" si="65"/>
        <v>27225</v>
      </c>
      <c r="K867" s="1">
        <f t="shared" si="66"/>
        <v>8649</v>
      </c>
      <c r="L867" s="1">
        <f t="shared" si="67"/>
        <v>35874</v>
      </c>
      <c r="M867" s="1">
        <f t="shared" si="68"/>
        <v>189.40432941197517</v>
      </c>
      <c r="N867" s="7">
        <f t="shared" si="69"/>
        <v>189.40432941197517</v>
      </c>
    </row>
    <row r="868" spans="1:14" x14ac:dyDescent="0.25">
      <c r="A868" t="str">
        <f>"14:04:49.742"</f>
        <v>14:04:49.742</v>
      </c>
      <c r="B868">
        <v>39.378798000000003</v>
      </c>
      <c r="C868">
        <v>-77.011178000000001</v>
      </c>
      <c r="D868">
        <v>8700</v>
      </c>
      <c r="E868">
        <v>9025</v>
      </c>
      <c r="F868">
        <v>165</v>
      </c>
      <c r="G868">
        <v>92</v>
      </c>
      <c r="H868">
        <v>192</v>
      </c>
      <c r="J868" s="1">
        <f t="shared" si="65"/>
        <v>27225</v>
      </c>
      <c r="K868" s="1">
        <f t="shared" si="66"/>
        <v>8464</v>
      </c>
      <c r="L868" s="1">
        <f t="shared" si="67"/>
        <v>35689</v>
      </c>
      <c r="M868" s="1">
        <f t="shared" si="68"/>
        <v>188.91532494744834</v>
      </c>
      <c r="N868" s="7">
        <f t="shared" si="69"/>
        <v>188.91532494744834</v>
      </c>
    </row>
    <row r="869" spans="1:14" x14ac:dyDescent="0.25">
      <c r="A869" t="str">
        <f>"14:04:50.797"</f>
        <v>14:04:50.797</v>
      </c>
      <c r="B869">
        <v>39.379292</v>
      </c>
      <c r="C869">
        <v>-77.010062000000005</v>
      </c>
      <c r="D869">
        <v>8700</v>
      </c>
      <c r="E869">
        <v>9025</v>
      </c>
      <c r="F869">
        <v>165</v>
      </c>
      <c r="G869">
        <v>91</v>
      </c>
      <c r="H869">
        <v>128</v>
      </c>
      <c r="J869" s="1">
        <f t="shared" si="65"/>
        <v>27225</v>
      </c>
      <c r="K869" s="1">
        <f t="shared" si="66"/>
        <v>8281</v>
      </c>
      <c r="L869" s="1">
        <f t="shared" si="67"/>
        <v>35506</v>
      </c>
      <c r="M869" s="1">
        <f t="shared" si="68"/>
        <v>188.43035848822237</v>
      </c>
      <c r="N869" s="7">
        <f t="shared" si="69"/>
        <v>188.43035848822237</v>
      </c>
    </row>
    <row r="870" spans="1:14" x14ac:dyDescent="0.25">
      <c r="A870" t="str">
        <f>"14:04:51.961"</f>
        <v>14:04:51.961</v>
      </c>
      <c r="B870">
        <v>39.379721000000004</v>
      </c>
      <c r="C870">
        <v>-77.009032000000005</v>
      </c>
      <c r="D870">
        <v>8700</v>
      </c>
      <c r="E870">
        <v>9025</v>
      </c>
      <c r="F870">
        <v>166</v>
      </c>
      <c r="G870">
        <v>91</v>
      </c>
      <c r="H870">
        <v>64</v>
      </c>
      <c r="J870" s="1">
        <f t="shared" si="65"/>
        <v>27556</v>
      </c>
      <c r="K870" s="1">
        <f t="shared" si="66"/>
        <v>8281</v>
      </c>
      <c r="L870" s="1">
        <f t="shared" si="67"/>
        <v>35837</v>
      </c>
      <c r="M870" s="1">
        <f t="shared" si="68"/>
        <v>189.30662957223657</v>
      </c>
      <c r="N870" s="7">
        <f t="shared" si="69"/>
        <v>189.30662957223657</v>
      </c>
    </row>
    <row r="871" spans="1:14" x14ac:dyDescent="0.25">
      <c r="A871" t="str">
        <f>"14:04:53.023"</f>
        <v>14:04:53.023</v>
      </c>
      <c r="B871">
        <v>39.380170999999997</v>
      </c>
      <c r="C871">
        <v>-77.007936999999998</v>
      </c>
      <c r="D871">
        <v>8700</v>
      </c>
      <c r="E871">
        <v>9025</v>
      </c>
      <c r="F871">
        <v>166</v>
      </c>
      <c r="G871">
        <v>90</v>
      </c>
      <c r="H871">
        <v>0</v>
      </c>
      <c r="J871" s="1">
        <f t="shared" si="65"/>
        <v>27556</v>
      </c>
      <c r="K871" s="1">
        <f t="shared" si="66"/>
        <v>8100</v>
      </c>
      <c r="L871" s="1">
        <f t="shared" si="67"/>
        <v>35656</v>
      </c>
      <c r="M871" s="1">
        <f t="shared" si="68"/>
        <v>188.82796403075471</v>
      </c>
      <c r="N871" s="7">
        <f t="shared" si="69"/>
        <v>188.82796403075471</v>
      </c>
    </row>
    <row r="872" spans="1:14" x14ac:dyDescent="0.25">
      <c r="A872" t="str">
        <f>"14:04:53.977"</f>
        <v>14:04:53.977</v>
      </c>
      <c r="B872">
        <v>39.380578999999997</v>
      </c>
      <c r="C872">
        <v>-77.006906999999998</v>
      </c>
      <c r="D872">
        <v>8700</v>
      </c>
      <c r="E872">
        <v>9025</v>
      </c>
      <c r="F872">
        <v>166</v>
      </c>
      <c r="G872">
        <v>90</v>
      </c>
      <c r="H872">
        <v>-64</v>
      </c>
      <c r="J872" s="1">
        <f t="shared" si="65"/>
        <v>27556</v>
      </c>
      <c r="K872" s="1">
        <f t="shared" si="66"/>
        <v>8100</v>
      </c>
      <c r="L872" s="1">
        <f t="shared" si="67"/>
        <v>35656</v>
      </c>
      <c r="M872" s="1">
        <f t="shared" si="68"/>
        <v>188.82796403075471</v>
      </c>
      <c r="N872" s="7">
        <f t="shared" si="69"/>
        <v>188.82796403075471</v>
      </c>
    </row>
    <row r="873" spans="1:14" x14ac:dyDescent="0.25">
      <c r="A873" t="str">
        <f>"14:04:54.992"</f>
        <v>14:04:54.992</v>
      </c>
      <c r="B873">
        <v>39.381008000000001</v>
      </c>
      <c r="C873">
        <v>-77.005920000000003</v>
      </c>
      <c r="D873">
        <v>8700</v>
      </c>
      <c r="E873">
        <v>9025</v>
      </c>
      <c r="F873">
        <v>166</v>
      </c>
      <c r="G873">
        <v>90</v>
      </c>
      <c r="H873">
        <v>-64</v>
      </c>
      <c r="J873" s="1">
        <f t="shared" si="65"/>
        <v>27556</v>
      </c>
      <c r="K873" s="1">
        <f t="shared" si="66"/>
        <v>8100</v>
      </c>
      <c r="L873" s="1">
        <f t="shared" si="67"/>
        <v>35656</v>
      </c>
      <c r="M873" s="1">
        <f t="shared" si="68"/>
        <v>188.82796403075471</v>
      </c>
      <c r="N873" s="7">
        <f t="shared" si="69"/>
        <v>188.82796403075471</v>
      </c>
    </row>
    <row r="874" spans="1:14" x14ac:dyDescent="0.25">
      <c r="A874" t="str">
        <f>"14:04:56.047"</f>
        <v>14:04:56.047</v>
      </c>
      <c r="B874">
        <v>39.381416000000002</v>
      </c>
      <c r="C874">
        <v>-77.004932999999994</v>
      </c>
      <c r="D874">
        <v>8700</v>
      </c>
      <c r="E874">
        <v>9025</v>
      </c>
      <c r="F874">
        <v>166</v>
      </c>
      <c r="G874">
        <v>90</v>
      </c>
      <c r="H874">
        <v>-64</v>
      </c>
      <c r="J874" s="1">
        <f t="shared" si="65"/>
        <v>27556</v>
      </c>
      <c r="K874" s="1">
        <f t="shared" si="66"/>
        <v>8100</v>
      </c>
      <c r="L874" s="1">
        <f t="shared" si="67"/>
        <v>35656</v>
      </c>
      <c r="M874" s="1">
        <f t="shared" si="68"/>
        <v>188.82796403075471</v>
      </c>
      <c r="N874" s="7">
        <f t="shared" si="69"/>
        <v>188.82796403075471</v>
      </c>
    </row>
    <row r="875" spans="1:14" x14ac:dyDescent="0.25">
      <c r="A875" t="str">
        <f>"14:04:57.008"</f>
        <v>14:04:57.008</v>
      </c>
      <c r="B875">
        <v>39.381844999999998</v>
      </c>
      <c r="C875">
        <v>-77.003902999999994</v>
      </c>
      <c r="D875">
        <v>8700</v>
      </c>
      <c r="E875">
        <v>9025</v>
      </c>
      <c r="F875">
        <v>167</v>
      </c>
      <c r="G875">
        <v>90</v>
      </c>
      <c r="H875">
        <v>-64</v>
      </c>
      <c r="J875" s="1">
        <f t="shared" si="65"/>
        <v>27889</v>
      </c>
      <c r="K875" s="1">
        <f t="shared" si="66"/>
        <v>8100</v>
      </c>
      <c r="L875" s="1">
        <f t="shared" si="67"/>
        <v>35989</v>
      </c>
      <c r="M875" s="1">
        <f t="shared" si="68"/>
        <v>189.70766985021982</v>
      </c>
      <c r="N875" s="7">
        <f t="shared" si="69"/>
        <v>189.70766985021982</v>
      </c>
    </row>
    <row r="876" spans="1:14" x14ac:dyDescent="0.25">
      <c r="A876" t="str">
        <f>"14:04:58.016"</f>
        <v>14:04:58.016</v>
      </c>
      <c r="B876">
        <v>39.382252999999999</v>
      </c>
      <c r="C876">
        <v>-77.002938</v>
      </c>
      <c r="D876">
        <v>8700</v>
      </c>
      <c r="E876">
        <v>9025</v>
      </c>
      <c r="F876">
        <v>167</v>
      </c>
      <c r="G876">
        <v>90</v>
      </c>
      <c r="H876">
        <v>-64</v>
      </c>
      <c r="J876" s="1">
        <f t="shared" si="65"/>
        <v>27889</v>
      </c>
      <c r="K876" s="1">
        <f t="shared" si="66"/>
        <v>8100</v>
      </c>
      <c r="L876" s="1">
        <f t="shared" si="67"/>
        <v>35989</v>
      </c>
      <c r="M876" s="1">
        <f t="shared" si="68"/>
        <v>189.70766985021982</v>
      </c>
      <c r="N876" s="7">
        <f t="shared" si="69"/>
        <v>189.70766985021982</v>
      </c>
    </row>
    <row r="877" spans="1:14" x14ac:dyDescent="0.25">
      <c r="A877" t="str">
        <f>"14:04:59.078"</f>
        <v>14:04:59.078</v>
      </c>
      <c r="B877">
        <v>39.382745999999997</v>
      </c>
      <c r="C877">
        <v>-77.001864999999995</v>
      </c>
      <c r="D877">
        <v>8700</v>
      </c>
      <c r="E877">
        <v>9025</v>
      </c>
      <c r="F877">
        <v>167</v>
      </c>
      <c r="G877">
        <v>90</v>
      </c>
      <c r="H877">
        <v>-64</v>
      </c>
      <c r="J877" s="1">
        <f t="shared" si="65"/>
        <v>27889</v>
      </c>
      <c r="K877" s="1">
        <f t="shared" si="66"/>
        <v>8100</v>
      </c>
      <c r="L877" s="1">
        <f t="shared" si="67"/>
        <v>35989</v>
      </c>
      <c r="M877" s="1">
        <f t="shared" si="68"/>
        <v>189.70766985021982</v>
      </c>
      <c r="N877" s="7">
        <f t="shared" si="69"/>
        <v>189.70766985021982</v>
      </c>
    </row>
    <row r="878" spans="1:14" x14ac:dyDescent="0.25">
      <c r="A878" t="str">
        <f>"14:05:00.086"</f>
        <v>14:05:00.086</v>
      </c>
      <c r="B878">
        <v>39.383153999999998</v>
      </c>
      <c r="C878">
        <v>-77.000834999999995</v>
      </c>
      <c r="D878">
        <v>8700</v>
      </c>
      <c r="E878">
        <v>9025</v>
      </c>
      <c r="F878">
        <v>167</v>
      </c>
      <c r="G878">
        <v>90</v>
      </c>
      <c r="H878">
        <v>-64</v>
      </c>
      <c r="J878" s="1">
        <f t="shared" si="65"/>
        <v>27889</v>
      </c>
      <c r="K878" s="1">
        <f t="shared" si="66"/>
        <v>8100</v>
      </c>
      <c r="L878" s="1">
        <f t="shared" si="67"/>
        <v>35989</v>
      </c>
      <c r="M878" s="1">
        <f t="shared" si="68"/>
        <v>189.70766985021982</v>
      </c>
      <c r="N878" s="7">
        <f t="shared" si="69"/>
        <v>189.70766985021982</v>
      </c>
    </row>
    <row r="879" spans="1:14" x14ac:dyDescent="0.25">
      <c r="A879" t="str">
        <f>"14:05:01.102"</f>
        <v>14:05:01.102</v>
      </c>
      <c r="B879">
        <v>39.383561999999998</v>
      </c>
      <c r="C879">
        <v>-76.999825999999999</v>
      </c>
      <c r="D879">
        <v>8700</v>
      </c>
      <c r="E879">
        <v>9025</v>
      </c>
      <c r="F879">
        <v>167</v>
      </c>
      <c r="G879">
        <v>89</v>
      </c>
      <c r="H879">
        <v>-64</v>
      </c>
      <c r="J879" s="1">
        <f t="shared" si="65"/>
        <v>27889</v>
      </c>
      <c r="K879" s="1">
        <f t="shared" si="66"/>
        <v>7921</v>
      </c>
      <c r="L879" s="1">
        <f t="shared" si="67"/>
        <v>35810</v>
      </c>
      <c r="M879" s="1">
        <f t="shared" si="68"/>
        <v>189.2353032602532</v>
      </c>
      <c r="N879" s="7">
        <f t="shared" si="69"/>
        <v>189.2353032602532</v>
      </c>
    </row>
    <row r="880" spans="1:14" x14ac:dyDescent="0.25">
      <c r="A880" t="str">
        <f>"14:05:02.211"</f>
        <v>14:05:02.211</v>
      </c>
      <c r="B880">
        <v>39.383991000000002</v>
      </c>
      <c r="C880">
        <v>-76.998711</v>
      </c>
      <c r="D880">
        <v>8700</v>
      </c>
      <c r="E880">
        <v>9025</v>
      </c>
      <c r="F880">
        <v>167</v>
      </c>
      <c r="G880">
        <v>89</v>
      </c>
      <c r="H880">
        <v>0</v>
      </c>
      <c r="J880" s="1">
        <f t="shared" si="65"/>
        <v>27889</v>
      </c>
      <c r="K880" s="1">
        <f t="shared" si="66"/>
        <v>7921</v>
      </c>
      <c r="L880" s="1">
        <f t="shared" si="67"/>
        <v>35810</v>
      </c>
      <c r="M880" s="1">
        <f t="shared" si="68"/>
        <v>189.2353032602532</v>
      </c>
      <c r="N880" s="7">
        <f t="shared" si="69"/>
        <v>189.2353032602532</v>
      </c>
    </row>
    <row r="881" spans="1:14" x14ac:dyDescent="0.25">
      <c r="A881" t="str">
        <f>"14:05:03.219"</f>
        <v>14:05:03.219</v>
      </c>
      <c r="B881">
        <v>39.384397999999997</v>
      </c>
      <c r="C881">
        <v>-76.997744999999995</v>
      </c>
      <c r="D881">
        <v>8700</v>
      </c>
      <c r="E881">
        <v>9025</v>
      </c>
      <c r="F881">
        <v>168</v>
      </c>
      <c r="G881">
        <v>89</v>
      </c>
      <c r="H881">
        <v>0</v>
      </c>
      <c r="J881" s="1">
        <f t="shared" si="65"/>
        <v>28224</v>
      </c>
      <c r="K881" s="1">
        <f t="shared" si="66"/>
        <v>7921</v>
      </c>
      <c r="L881" s="1">
        <f t="shared" si="67"/>
        <v>36145</v>
      </c>
      <c r="M881" s="1">
        <f t="shared" si="68"/>
        <v>190.11838417154718</v>
      </c>
      <c r="N881" s="7">
        <f t="shared" si="69"/>
        <v>190.11838417154718</v>
      </c>
    </row>
    <row r="882" spans="1:14" x14ac:dyDescent="0.25">
      <c r="A882" t="str">
        <f>"14:05:04.125"</f>
        <v>14:05:04.125</v>
      </c>
      <c r="B882">
        <v>39.384805999999998</v>
      </c>
      <c r="C882">
        <v>-76.996843999999996</v>
      </c>
      <c r="D882">
        <v>8700</v>
      </c>
      <c r="E882">
        <v>9025</v>
      </c>
      <c r="F882">
        <v>168</v>
      </c>
      <c r="G882">
        <v>89</v>
      </c>
      <c r="H882">
        <v>0</v>
      </c>
      <c r="J882" s="1">
        <f t="shared" si="65"/>
        <v>28224</v>
      </c>
      <c r="K882" s="1">
        <f t="shared" si="66"/>
        <v>7921</v>
      </c>
      <c r="L882" s="1">
        <f t="shared" si="67"/>
        <v>36145</v>
      </c>
      <c r="M882" s="1">
        <f t="shared" si="68"/>
        <v>190.11838417154718</v>
      </c>
      <c r="N882" s="7">
        <f t="shared" si="69"/>
        <v>190.11838417154718</v>
      </c>
    </row>
    <row r="883" spans="1:14" x14ac:dyDescent="0.25">
      <c r="A883" t="str">
        <f>"14:05:05.086"</f>
        <v>14:05:05.086</v>
      </c>
      <c r="B883">
        <v>39.385213999999998</v>
      </c>
      <c r="C883">
        <v>-76.995835</v>
      </c>
      <c r="D883">
        <v>8700</v>
      </c>
      <c r="E883">
        <v>9025</v>
      </c>
      <c r="F883">
        <v>168</v>
      </c>
      <c r="G883">
        <v>89</v>
      </c>
      <c r="H883">
        <v>0</v>
      </c>
      <c r="J883" s="1">
        <f t="shared" si="65"/>
        <v>28224</v>
      </c>
      <c r="K883" s="1">
        <f t="shared" si="66"/>
        <v>7921</v>
      </c>
      <c r="L883" s="1">
        <f t="shared" si="67"/>
        <v>36145</v>
      </c>
      <c r="M883" s="1">
        <f t="shared" si="68"/>
        <v>190.11838417154718</v>
      </c>
      <c r="N883" s="7">
        <f t="shared" si="69"/>
        <v>190.11838417154718</v>
      </c>
    </row>
    <row r="884" spans="1:14" x14ac:dyDescent="0.25">
      <c r="A884" t="str">
        <f>"14:05:06.094"</f>
        <v>14:05:06.094</v>
      </c>
      <c r="B884">
        <v>39.385556999999999</v>
      </c>
      <c r="C884">
        <v>-76.994934000000001</v>
      </c>
      <c r="D884">
        <v>8700</v>
      </c>
      <c r="E884">
        <v>9025</v>
      </c>
      <c r="F884">
        <v>168</v>
      </c>
      <c r="G884">
        <v>89</v>
      </c>
      <c r="H884">
        <v>0</v>
      </c>
      <c r="J884" s="1">
        <f t="shared" si="65"/>
        <v>28224</v>
      </c>
      <c r="K884" s="1">
        <f t="shared" si="66"/>
        <v>7921</v>
      </c>
      <c r="L884" s="1">
        <f t="shared" si="67"/>
        <v>36145</v>
      </c>
      <c r="M884" s="1">
        <f t="shared" si="68"/>
        <v>190.11838417154718</v>
      </c>
      <c r="N884" s="7">
        <f t="shared" si="69"/>
        <v>190.11838417154718</v>
      </c>
    </row>
    <row r="885" spans="1:14" x14ac:dyDescent="0.25">
      <c r="A885" t="str">
        <f>"14:05:07.000"</f>
        <v>14:05:07.000</v>
      </c>
      <c r="B885">
        <v>39.385986000000003</v>
      </c>
      <c r="C885">
        <v>-76.993947000000006</v>
      </c>
      <c r="D885">
        <v>8700</v>
      </c>
      <c r="E885">
        <v>9025</v>
      </c>
      <c r="F885">
        <v>168</v>
      </c>
      <c r="G885">
        <v>89</v>
      </c>
      <c r="H885">
        <v>0</v>
      </c>
      <c r="J885" s="1">
        <f t="shared" si="65"/>
        <v>28224</v>
      </c>
      <c r="K885" s="1">
        <f t="shared" si="66"/>
        <v>7921</v>
      </c>
      <c r="L885" s="1">
        <f t="shared" si="67"/>
        <v>36145</v>
      </c>
      <c r="M885" s="1">
        <f t="shared" si="68"/>
        <v>190.11838417154718</v>
      </c>
      <c r="N885" s="7">
        <f t="shared" si="69"/>
        <v>190.11838417154718</v>
      </c>
    </row>
    <row r="886" spans="1:14" x14ac:dyDescent="0.25">
      <c r="A886" t="str">
        <f>"14:05:08.109"</f>
        <v>14:05:08.109</v>
      </c>
      <c r="B886">
        <v>39.386437000000001</v>
      </c>
      <c r="C886">
        <v>-76.992852999999997</v>
      </c>
      <c r="D886">
        <v>8700</v>
      </c>
      <c r="E886">
        <v>9025</v>
      </c>
      <c r="F886">
        <v>168</v>
      </c>
      <c r="G886">
        <v>89</v>
      </c>
      <c r="H886">
        <v>0</v>
      </c>
      <c r="J886" s="1">
        <f t="shared" si="65"/>
        <v>28224</v>
      </c>
      <c r="K886" s="1">
        <f t="shared" si="66"/>
        <v>7921</v>
      </c>
      <c r="L886" s="1">
        <f t="shared" si="67"/>
        <v>36145</v>
      </c>
      <c r="M886" s="1">
        <f t="shared" si="68"/>
        <v>190.11838417154718</v>
      </c>
      <c r="N886" s="7">
        <f t="shared" si="69"/>
        <v>190.11838417154718</v>
      </c>
    </row>
    <row r="887" spans="1:14" x14ac:dyDescent="0.25">
      <c r="A887" t="str">
        <f>"14:05:09.070"</f>
        <v>14:05:09.070</v>
      </c>
      <c r="B887">
        <v>39.386823</v>
      </c>
      <c r="C887">
        <v>-76.991951</v>
      </c>
      <c r="D887">
        <v>8700</v>
      </c>
      <c r="E887">
        <v>9025</v>
      </c>
      <c r="F887">
        <v>168</v>
      </c>
      <c r="G887">
        <v>89</v>
      </c>
      <c r="H887">
        <v>0</v>
      </c>
      <c r="J887" s="1">
        <f t="shared" si="65"/>
        <v>28224</v>
      </c>
      <c r="K887" s="1">
        <f t="shared" si="66"/>
        <v>7921</v>
      </c>
      <c r="L887" s="1">
        <f t="shared" si="67"/>
        <v>36145</v>
      </c>
      <c r="M887" s="1">
        <f t="shared" si="68"/>
        <v>190.11838417154718</v>
      </c>
      <c r="N887" s="7">
        <f t="shared" si="69"/>
        <v>190.11838417154718</v>
      </c>
    </row>
    <row r="888" spans="1:14" x14ac:dyDescent="0.25">
      <c r="A888" t="str">
        <f>"14:05:10.078"</f>
        <v>14:05:10.078</v>
      </c>
      <c r="B888">
        <v>39.387273999999998</v>
      </c>
      <c r="C888">
        <v>-76.990814</v>
      </c>
      <c r="D888">
        <v>8700</v>
      </c>
      <c r="E888">
        <v>9025</v>
      </c>
      <c r="F888">
        <v>168</v>
      </c>
      <c r="G888">
        <v>88</v>
      </c>
      <c r="H888">
        <v>0</v>
      </c>
      <c r="J888" s="1">
        <f t="shared" si="65"/>
        <v>28224</v>
      </c>
      <c r="K888" s="1">
        <f t="shared" si="66"/>
        <v>7744</v>
      </c>
      <c r="L888" s="1">
        <f t="shared" si="67"/>
        <v>35968</v>
      </c>
      <c r="M888" s="1">
        <f t="shared" si="68"/>
        <v>189.65231345807516</v>
      </c>
      <c r="N888" s="7">
        <f t="shared" si="69"/>
        <v>189.65231345807516</v>
      </c>
    </row>
    <row r="889" spans="1:14" x14ac:dyDescent="0.25">
      <c r="A889" t="str">
        <f>"14:05:11.141"</f>
        <v>14:05:11.141</v>
      </c>
      <c r="B889">
        <v>39.387681000000001</v>
      </c>
      <c r="C889">
        <v>-76.989806000000002</v>
      </c>
      <c r="D889">
        <v>8700</v>
      </c>
      <c r="E889">
        <v>9025</v>
      </c>
      <c r="F889">
        <v>168</v>
      </c>
      <c r="G889">
        <v>88</v>
      </c>
      <c r="H889">
        <v>0</v>
      </c>
      <c r="J889" s="1">
        <f t="shared" si="65"/>
        <v>28224</v>
      </c>
      <c r="K889" s="1">
        <f t="shared" si="66"/>
        <v>7744</v>
      </c>
      <c r="L889" s="1">
        <f t="shared" si="67"/>
        <v>35968</v>
      </c>
      <c r="M889" s="1">
        <f t="shared" si="68"/>
        <v>189.65231345807516</v>
      </c>
      <c r="N889" s="7">
        <f t="shared" si="69"/>
        <v>189.65231345807516</v>
      </c>
    </row>
    <row r="890" spans="1:14" x14ac:dyDescent="0.25">
      <c r="A890" t="str">
        <f>"14:05:12.047"</f>
        <v>14:05:12.047</v>
      </c>
      <c r="B890">
        <v>39.388089000000001</v>
      </c>
      <c r="C890">
        <v>-76.988839999999996</v>
      </c>
      <c r="D890">
        <v>8700</v>
      </c>
      <c r="E890">
        <v>9025</v>
      </c>
      <c r="F890">
        <v>168</v>
      </c>
      <c r="G890">
        <v>88</v>
      </c>
      <c r="H890">
        <v>0</v>
      </c>
      <c r="J890" s="1">
        <f t="shared" si="65"/>
        <v>28224</v>
      </c>
      <c r="K890" s="1">
        <f t="shared" si="66"/>
        <v>7744</v>
      </c>
      <c r="L890" s="1">
        <f t="shared" si="67"/>
        <v>35968</v>
      </c>
      <c r="M890" s="1">
        <f t="shared" si="68"/>
        <v>189.65231345807516</v>
      </c>
      <c r="N890" s="7">
        <f t="shared" si="69"/>
        <v>189.65231345807516</v>
      </c>
    </row>
    <row r="891" spans="1:14" x14ac:dyDescent="0.25">
      <c r="A891" t="str">
        <f>"14:05:12.961"</f>
        <v>14:05:12.961</v>
      </c>
      <c r="B891">
        <v>39.388410999999998</v>
      </c>
      <c r="C891">
        <v>-76.988003000000006</v>
      </c>
      <c r="D891">
        <v>8700</v>
      </c>
      <c r="E891">
        <v>9025</v>
      </c>
      <c r="F891">
        <v>168</v>
      </c>
      <c r="G891">
        <v>88</v>
      </c>
      <c r="H891">
        <v>0</v>
      </c>
      <c r="J891" s="1">
        <f t="shared" si="65"/>
        <v>28224</v>
      </c>
      <c r="K891" s="1">
        <f t="shared" si="66"/>
        <v>7744</v>
      </c>
      <c r="L891" s="1">
        <f t="shared" si="67"/>
        <v>35968</v>
      </c>
      <c r="M891" s="1">
        <f t="shared" si="68"/>
        <v>189.65231345807516</v>
      </c>
      <c r="N891" s="7">
        <f t="shared" si="69"/>
        <v>189.65231345807516</v>
      </c>
    </row>
    <row r="892" spans="1:14" x14ac:dyDescent="0.25">
      <c r="A892" t="str">
        <f>"14:05:14.016"</f>
        <v>14:05:14.016</v>
      </c>
      <c r="B892">
        <v>39.388818999999998</v>
      </c>
      <c r="C892">
        <v>-76.986930000000001</v>
      </c>
      <c r="D892">
        <v>8700</v>
      </c>
      <c r="E892">
        <v>9025</v>
      </c>
      <c r="F892">
        <v>169</v>
      </c>
      <c r="G892">
        <v>88</v>
      </c>
      <c r="H892">
        <v>0</v>
      </c>
      <c r="J892" s="1">
        <f t="shared" si="65"/>
        <v>28561</v>
      </c>
      <c r="K892" s="1">
        <f t="shared" si="66"/>
        <v>7744</v>
      </c>
      <c r="L892" s="1">
        <f t="shared" si="67"/>
        <v>36305</v>
      </c>
      <c r="M892" s="1">
        <f t="shared" si="68"/>
        <v>190.53870997778904</v>
      </c>
      <c r="N892" s="7">
        <f t="shared" si="69"/>
        <v>190.53870997778904</v>
      </c>
    </row>
    <row r="893" spans="1:14" x14ac:dyDescent="0.25">
      <c r="A893" t="str">
        <f>"14:05:14.875"</f>
        <v>14:05:14.875</v>
      </c>
      <c r="B893">
        <v>39.389184</v>
      </c>
      <c r="C893">
        <v>-76.985985999999997</v>
      </c>
      <c r="D893">
        <v>8700</v>
      </c>
      <c r="E893">
        <v>9025</v>
      </c>
      <c r="F893">
        <v>169</v>
      </c>
      <c r="G893">
        <v>87</v>
      </c>
      <c r="H893">
        <v>0</v>
      </c>
      <c r="J893" s="1">
        <f t="shared" si="65"/>
        <v>28561</v>
      </c>
      <c r="K893" s="1">
        <f t="shared" si="66"/>
        <v>7569</v>
      </c>
      <c r="L893" s="1">
        <f t="shared" si="67"/>
        <v>36130</v>
      </c>
      <c r="M893" s="1">
        <f t="shared" si="68"/>
        <v>190.07893097342483</v>
      </c>
      <c r="N893" s="7">
        <f t="shared" si="69"/>
        <v>190.07893097342483</v>
      </c>
    </row>
    <row r="894" spans="1:14" x14ac:dyDescent="0.25">
      <c r="A894" t="str">
        <f>"14:05:15.836"</f>
        <v>14:05:15.836</v>
      </c>
      <c r="B894">
        <v>39.389569999999999</v>
      </c>
      <c r="C894">
        <v>-76.985106000000002</v>
      </c>
      <c r="D894">
        <v>8700</v>
      </c>
      <c r="E894">
        <v>9025</v>
      </c>
      <c r="F894">
        <v>169</v>
      </c>
      <c r="G894">
        <v>87</v>
      </c>
      <c r="H894">
        <v>0</v>
      </c>
      <c r="J894" s="1">
        <f t="shared" si="65"/>
        <v>28561</v>
      </c>
      <c r="K894" s="1">
        <f t="shared" si="66"/>
        <v>7569</v>
      </c>
      <c r="L894" s="1">
        <f t="shared" si="67"/>
        <v>36130</v>
      </c>
      <c r="M894" s="1">
        <f t="shared" si="68"/>
        <v>190.07893097342483</v>
      </c>
      <c r="N894" s="7">
        <f t="shared" si="69"/>
        <v>190.07893097342483</v>
      </c>
    </row>
    <row r="895" spans="1:14" x14ac:dyDescent="0.25">
      <c r="A895" t="str">
        <f>"14:05:16.695"</f>
        <v>14:05:16.695</v>
      </c>
      <c r="B895">
        <v>39.389913</v>
      </c>
      <c r="C895">
        <v>-76.984183999999999</v>
      </c>
      <c r="D895">
        <v>8700</v>
      </c>
      <c r="E895">
        <v>9025</v>
      </c>
      <c r="F895">
        <v>169</v>
      </c>
      <c r="G895">
        <v>87</v>
      </c>
      <c r="H895">
        <v>0</v>
      </c>
      <c r="J895" s="1">
        <f t="shared" si="65"/>
        <v>28561</v>
      </c>
      <c r="K895" s="1">
        <f t="shared" si="66"/>
        <v>7569</v>
      </c>
      <c r="L895" s="1">
        <f t="shared" si="67"/>
        <v>36130</v>
      </c>
      <c r="M895" s="1">
        <f t="shared" si="68"/>
        <v>190.07893097342483</v>
      </c>
      <c r="N895" s="7">
        <f t="shared" si="69"/>
        <v>190.07893097342483</v>
      </c>
    </row>
    <row r="896" spans="1:14" x14ac:dyDescent="0.25">
      <c r="A896" t="str">
        <f>"14:05:17.750"</f>
        <v>14:05:17.750</v>
      </c>
      <c r="B896">
        <v>39.390341999999997</v>
      </c>
      <c r="C896">
        <v>-76.983175000000003</v>
      </c>
      <c r="D896">
        <v>8700</v>
      </c>
      <c r="E896">
        <v>9025</v>
      </c>
      <c r="F896">
        <v>169</v>
      </c>
      <c r="G896">
        <v>86</v>
      </c>
      <c r="H896">
        <v>0</v>
      </c>
      <c r="J896" s="1">
        <f t="shared" si="65"/>
        <v>28561</v>
      </c>
      <c r="K896" s="1">
        <f t="shared" si="66"/>
        <v>7396</v>
      </c>
      <c r="L896" s="1">
        <f t="shared" si="67"/>
        <v>35957</v>
      </c>
      <c r="M896" s="1">
        <f t="shared" si="68"/>
        <v>189.62331080328704</v>
      </c>
      <c r="N896" s="7">
        <f t="shared" si="69"/>
        <v>189.62331080328704</v>
      </c>
    </row>
    <row r="897" spans="1:14" x14ac:dyDescent="0.25">
      <c r="A897" t="str">
        <f>"14:05:18.813"</f>
        <v>14:05:18.813</v>
      </c>
      <c r="B897">
        <v>39.390771000000001</v>
      </c>
      <c r="C897">
        <v>-76.982059000000007</v>
      </c>
      <c r="D897">
        <v>8700</v>
      </c>
      <c r="E897">
        <v>9025</v>
      </c>
      <c r="F897">
        <v>169</v>
      </c>
      <c r="G897">
        <v>86</v>
      </c>
      <c r="H897">
        <v>0</v>
      </c>
      <c r="J897" s="1">
        <f t="shared" si="65"/>
        <v>28561</v>
      </c>
      <c r="K897" s="1">
        <f t="shared" si="66"/>
        <v>7396</v>
      </c>
      <c r="L897" s="1">
        <f t="shared" si="67"/>
        <v>35957</v>
      </c>
      <c r="M897" s="1">
        <f t="shared" si="68"/>
        <v>189.62331080328704</v>
      </c>
      <c r="N897" s="7">
        <f t="shared" si="69"/>
        <v>189.62331080328704</v>
      </c>
    </row>
    <row r="898" spans="1:14" x14ac:dyDescent="0.25">
      <c r="A898" t="str">
        <f>"14:05:19.922"</f>
        <v>14:05:19.922</v>
      </c>
      <c r="B898">
        <v>39.391201000000002</v>
      </c>
      <c r="C898">
        <v>-76.980964999999998</v>
      </c>
      <c r="D898">
        <v>8700</v>
      </c>
      <c r="E898">
        <v>9025</v>
      </c>
      <c r="F898">
        <v>170</v>
      </c>
      <c r="G898">
        <v>85</v>
      </c>
      <c r="H898">
        <v>0</v>
      </c>
      <c r="J898" s="1">
        <f t="shared" si="65"/>
        <v>28900</v>
      </c>
      <c r="K898" s="1">
        <f t="shared" si="66"/>
        <v>7225</v>
      </c>
      <c r="L898" s="1">
        <f t="shared" si="67"/>
        <v>36125</v>
      </c>
      <c r="M898" s="1">
        <f t="shared" si="68"/>
        <v>190.06577808748213</v>
      </c>
      <c r="N898" s="7">
        <f t="shared" si="69"/>
        <v>190.06577808748213</v>
      </c>
    </row>
    <row r="899" spans="1:14" x14ac:dyDescent="0.25">
      <c r="A899" t="str">
        <f>"14:05:20.938"</f>
        <v>14:05:20.938</v>
      </c>
      <c r="B899">
        <v>39.391565</v>
      </c>
      <c r="C899">
        <v>-76.979956999999999</v>
      </c>
      <c r="D899">
        <v>8700</v>
      </c>
      <c r="E899">
        <v>9025</v>
      </c>
      <c r="F899">
        <v>170</v>
      </c>
      <c r="G899">
        <v>85</v>
      </c>
      <c r="H899">
        <v>-64</v>
      </c>
      <c r="J899" s="1">
        <f t="shared" ref="J899:J962" si="70">F899^2</f>
        <v>28900</v>
      </c>
      <c r="K899" s="1">
        <f t="shared" ref="K899:K962" si="71">G899^2</f>
        <v>7225</v>
      </c>
      <c r="L899" s="1">
        <f t="shared" ref="L899:L962" si="72">SUMSQ(F899,G899)</f>
        <v>36125</v>
      </c>
      <c r="M899" s="1">
        <f t="shared" ref="M899:M962" si="73">SQRT(L899)</f>
        <v>190.06577808748213</v>
      </c>
      <c r="N899" s="7">
        <f t="shared" ref="N899:N962" si="74">M899</f>
        <v>190.06577808748213</v>
      </c>
    </row>
    <row r="900" spans="1:14" x14ac:dyDescent="0.25">
      <c r="A900" t="str">
        <f>"14:05:21.945"</f>
        <v>14:05:21.945</v>
      </c>
      <c r="B900">
        <v>39.392037000000002</v>
      </c>
      <c r="C900">
        <v>-76.978819000000001</v>
      </c>
      <c r="D900">
        <v>8700</v>
      </c>
      <c r="E900">
        <v>9025</v>
      </c>
      <c r="F900">
        <v>170</v>
      </c>
      <c r="G900">
        <v>85</v>
      </c>
      <c r="H900">
        <v>-64</v>
      </c>
      <c r="J900" s="1">
        <f t="shared" si="70"/>
        <v>28900</v>
      </c>
      <c r="K900" s="1">
        <f t="shared" si="71"/>
        <v>7225</v>
      </c>
      <c r="L900" s="1">
        <f t="shared" si="72"/>
        <v>36125</v>
      </c>
      <c r="M900" s="1">
        <f t="shared" si="73"/>
        <v>190.06577808748213</v>
      </c>
      <c r="N900" s="7">
        <f t="shared" si="74"/>
        <v>190.06577808748213</v>
      </c>
    </row>
    <row r="901" spans="1:14" x14ac:dyDescent="0.25">
      <c r="A901" t="str">
        <f>"14:05:23.000"</f>
        <v>14:05:23.000</v>
      </c>
      <c r="B901">
        <v>39.392401999999997</v>
      </c>
      <c r="C901">
        <v>-76.977789000000001</v>
      </c>
      <c r="D901">
        <v>8700</v>
      </c>
      <c r="E901">
        <v>9025</v>
      </c>
      <c r="F901">
        <v>170</v>
      </c>
      <c r="G901">
        <v>84</v>
      </c>
      <c r="H901">
        <v>-64</v>
      </c>
      <c r="J901" s="1">
        <f t="shared" si="70"/>
        <v>28900</v>
      </c>
      <c r="K901" s="1">
        <f t="shared" si="71"/>
        <v>7056</v>
      </c>
      <c r="L901" s="1">
        <f t="shared" si="72"/>
        <v>35956</v>
      </c>
      <c r="M901" s="1">
        <f t="shared" si="73"/>
        <v>189.62067397834025</v>
      </c>
      <c r="N901" s="7">
        <f t="shared" si="74"/>
        <v>189.62067397834025</v>
      </c>
    </row>
    <row r="902" spans="1:14" x14ac:dyDescent="0.25">
      <c r="A902" t="str">
        <f>"14:05:23.961"</f>
        <v>14:05:23.961</v>
      </c>
      <c r="B902">
        <v>39.392788000000003</v>
      </c>
      <c r="C902">
        <v>-76.976802000000006</v>
      </c>
      <c r="D902">
        <v>8700</v>
      </c>
      <c r="E902">
        <v>9025</v>
      </c>
      <c r="F902">
        <v>171</v>
      </c>
      <c r="G902">
        <v>84</v>
      </c>
      <c r="H902">
        <v>0</v>
      </c>
      <c r="J902" s="1">
        <f t="shared" si="70"/>
        <v>29241</v>
      </c>
      <c r="K902" s="1">
        <f t="shared" si="71"/>
        <v>7056</v>
      </c>
      <c r="L902" s="1">
        <f t="shared" si="72"/>
        <v>36297</v>
      </c>
      <c r="M902" s="1">
        <f t="shared" si="73"/>
        <v>190.51771571168914</v>
      </c>
      <c r="N902" s="7">
        <f t="shared" si="74"/>
        <v>190.51771571168914</v>
      </c>
    </row>
    <row r="903" spans="1:14" x14ac:dyDescent="0.25">
      <c r="A903" t="str">
        <f>"14:05:24.820"</f>
        <v>14:05:24.820</v>
      </c>
      <c r="B903">
        <v>39.39311</v>
      </c>
      <c r="C903">
        <v>-76.975943999999998</v>
      </c>
      <c r="D903">
        <v>8700</v>
      </c>
      <c r="E903">
        <v>9025</v>
      </c>
      <c r="F903">
        <v>171</v>
      </c>
      <c r="G903">
        <v>83</v>
      </c>
      <c r="H903">
        <v>0</v>
      </c>
      <c r="J903" s="1">
        <f t="shared" si="70"/>
        <v>29241</v>
      </c>
      <c r="K903" s="1">
        <f t="shared" si="71"/>
        <v>6889</v>
      </c>
      <c r="L903" s="1">
        <f t="shared" si="72"/>
        <v>36130</v>
      </c>
      <c r="M903" s="1">
        <f t="shared" si="73"/>
        <v>190.07893097342483</v>
      </c>
      <c r="N903" s="7">
        <f t="shared" si="74"/>
        <v>190.07893097342483</v>
      </c>
    </row>
    <row r="904" spans="1:14" x14ac:dyDescent="0.25">
      <c r="A904" t="str">
        <f>"14:05:25.883"</f>
        <v>14:05:25.883</v>
      </c>
      <c r="B904">
        <v>39.393538999999997</v>
      </c>
      <c r="C904">
        <v>-76.974806999999998</v>
      </c>
      <c r="D904">
        <v>8700</v>
      </c>
      <c r="E904">
        <v>9025</v>
      </c>
      <c r="F904">
        <v>171</v>
      </c>
      <c r="G904">
        <v>83</v>
      </c>
      <c r="H904">
        <v>0</v>
      </c>
      <c r="J904" s="1">
        <f t="shared" si="70"/>
        <v>29241</v>
      </c>
      <c r="K904" s="1">
        <f t="shared" si="71"/>
        <v>6889</v>
      </c>
      <c r="L904" s="1">
        <f t="shared" si="72"/>
        <v>36130</v>
      </c>
      <c r="M904" s="1">
        <f t="shared" si="73"/>
        <v>190.07893097342483</v>
      </c>
      <c r="N904" s="7">
        <f t="shared" si="74"/>
        <v>190.07893097342483</v>
      </c>
    </row>
    <row r="905" spans="1:14" x14ac:dyDescent="0.25">
      <c r="A905" t="str">
        <f>"14:05:26.891"</f>
        <v>14:05:26.891</v>
      </c>
      <c r="B905">
        <v>39.393903999999999</v>
      </c>
      <c r="C905">
        <v>-76.973798000000002</v>
      </c>
      <c r="D905">
        <v>8700</v>
      </c>
      <c r="E905">
        <v>9025</v>
      </c>
      <c r="F905">
        <v>171</v>
      </c>
      <c r="G905">
        <v>83</v>
      </c>
      <c r="H905">
        <v>0</v>
      </c>
      <c r="J905" s="1">
        <f t="shared" si="70"/>
        <v>29241</v>
      </c>
      <c r="K905" s="1">
        <f t="shared" si="71"/>
        <v>6889</v>
      </c>
      <c r="L905" s="1">
        <f t="shared" si="72"/>
        <v>36130</v>
      </c>
      <c r="M905" s="1">
        <f t="shared" si="73"/>
        <v>190.07893097342483</v>
      </c>
      <c r="N905" s="7">
        <f t="shared" si="74"/>
        <v>190.07893097342483</v>
      </c>
    </row>
    <row r="906" spans="1:14" x14ac:dyDescent="0.25">
      <c r="A906" t="str">
        <f>"14:05:27.797"</f>
        <v>14:05:27.797</v>
      </c>
      <c r="B906">
        <v>39.394269000000001</v>
      </c>
      <c r="C906">
        <v>-76.972897000000003</v>
      </c>
      <c r="D906">
        <v>8700</v>
      </c>
      <c r="E906">
        <v>9025</v>
      </c>
      <c r="F906">
        <v>171</v>
      </c>
      <c r="G906">
        <v>83</v>
      </c>
      <c r="H906">
        <v>0</v>
      </c>
      <c r="J906" s="1">
        <f t="shared" si="70"/>
        <v>29241</v>
      </c>
      <c r="K906" s="1">
        <f t="shared" si="71"/>
        <v>6889</v>
      </c>
      <c r="L906" s="1">
        <f t="shared" si="72"/>
        <v>36130</v>
      </c>
      <c r="M906" s="1">
        <f t="shared" si="73"/>
        <v>190.07893097342483</v>
      </c>
      <c r="N906" s="7">
        <f t="shared" si="74"/>
        <v>190.07893097342483</v>
      </c>
    </row>
    <row r="907" spans="1:14" x14ac:dyDescent="0.25">
      <c r="A907" t="str">
        <f>"14:05:28.703"</f>
        <v>14:05:28.703</v>
      </c>
      <c r="B907">
        <v>39.394590999999998</v>
      </c>
      <c r="C907">
        <v>-76.971996000000004</v>
      </c>
      <c r="D907">
        <v>8700</v>
      </c>
      <c r="E907">
        <v>9025</v>
      </c>
      <c r="F907">
        <v>171</v>
      </c>
      <c r="G907">
        <v>83</v>
      </c>
      <c r="H907">
        <v>64</v>
      </c>
      <c r="J907" s="1">
        <f t="shared" si="70"/>
        <v>29241</v>
      </c>
      <c r="K907" s="1">
        <f t="shared" si="71"/>
        <v>6889</v>
      </c>
      <c r="L907" s="1">
        <f t="shared" si="72"/>
        <v>36130</v>
      </c>
      <c r="M907" s="1">
        <f t="shared" si="73"/>
        <v>190.07893097342483</v>
      </c>
      <c r="N907" s="7">
        <f t="shared" si="74"/>
        <v>190.07893097342483</v>
      </c>
    </row>
    <row r="908" spans="1:14" x14ac:dyDescent="0.25">
      <c r="A908" t="str">
        <f>"14:05:29.664"</f>
        <v>14:05:29.664</v>
      </c>
      <c r="B908">
        <v>39.394976999999997</v>
      </c>
      <c r="C908">
        <v>-76.971073000000004</v>
      </c>
      <c r="D908">
        <v>8700</v>
      </c>
      <c r="E908">
        <v>9025</v>
      </c>
      <c r="F908">
        <v>171</v>
      </c>
      <c r="G908">
        <v>83</v>
      </c>
      <c r="H908">
        <v>64</v>
      </c>
      <c r="J908" s="1">
        <f t="shared" si="70"/>
        <v>29241</v>
      </c>
      <c r="K908" s="1">
        <f t="shared" si="71"/>
        <v>6889</v>
      </c>
      <c r="L908" s="1">
        <f t="shared" si="72"/>
        <v>36130</v>
      </c>
      <c r="M908" s="1">
        <f t="shared" si="73"/>
        <v>190.07893097342483</v>
      </c>
      <c r="N908" s="7">
        <f t="shared" si="74"/>
        <v>190.07893097342483</v>
      </c>
    </row>
    <row r="909" spans="1:14" x14ac:dyDescent="0.25">
      <c r="A909" t="str">
        <f>"14:05:30.727"</f>
        <v>14:05:30.727</v>
      </c>
      <c r="B909">
        <v>39.395363000000003</v>
      </c>
      <c r="C909">
        <v>-76.969914000000003</v>
      </c>
      <c r="D909">
        <v>8700</v>
      </c>
      <c r="E909">
        <v>9025</v>
      </c>
      <c r="F909">
        <v>171</v>
      </c>
      <c r="G909">
        <v>83</v>
      </c>
      <c r="H909">
        <v>64</v>
      </c>
      <c r="J909" s="1">
        <f t="shared" si="70"/>
        <v>29241</v>
      </c>
      <c r="K909" s="1">
        <f t="shared" si="71"/>
        <v>6889</v>
      </c>
      <c r="L909" s="1">
        <f t="shared" si="72"/>
        <v>36130</v>
      </c>
      <c r="M909" s="1">
        <f t="shared" si="73"/>
        <v>190.07893097342483</v>
      </c>
      <c r="N909" s="7">
        <f t="shared" si="74"/>
        <v>190.07893097342483</v>
      </c>
    </row>
    <row r="910" spans="1:14" x14ac:dyDescent="0.25">
      <c r="A910" t="str">
        <f>"14:05:31.836"</f>
        <v>14:05:31.836</v>
      </c>
      <c r="B910">
        <v>39.395814000000001</v>
      </c>
      <c r="C910">
        <v>-76.968819999999994</v>
      </c>
      <c r="D910">
        <v>8700</v>
      </c>
      <c r="E910">
        <v>9025</v>
      </c>
      <c r="F910">
        <v>171</v>
      </c>
      <c r="G910">
        <v>83</v>
      </c>
      <c r="H910">
        <v>0</v>
      </c>
      <c r="J910" s="1">
        <f t="shared" si="70"/>
        <v>29241</v>
      </c>
      <c r="K910" s="1">
        <f t="shared" si="71"/>
        <v>6889</v>
      </c>
      <c r="L910" s="1">
        <f t="shared" si="72"/>
        <v>36130</v>
      </c>
      <c r="M910" s="1">
        <f t="shared" si="73"/>
        <v>190.07893097342483</v>
      </c>
      <c r="N910" s="7">
        <f t="shared" si="74"/>
        <v>190.07893097342483</v>
      </c>
    </row>
    <row r="911" spans="1:14" x14ac:dyDescent="0.25">
      <c r="A911" t="str">
        <f>"14:05:32.844"</f>
        <v>14:05:32.844</v>
      </c>
      <c r="B911">
        <v>39.396178999999997</v>
      </c>
      <c r="C911">
        <v>-76.967769000000004</v>
      </c>
      <c r="D911">
        <v>8700</v>
      </c>
      <c r="E911">
        <v>9025</v>
      </c>
      <c r="F911">
        <v>171</v>
      </c>
      <c r="G911">
        <v>84</v>
      </c>
      <c r="H911">
        <v>0</v>
      </c>
      <c r="J911" s="1">
        <f t="shared" si="70"/>
        <v>29241</v>
      </c>
      <c r="K911" s="1">
        <f t="shared" si="71"/>
        <v>7056</v>
      </c>
      <c r="L911" s="1">
        <f t="shared" si="72"/>
        <v>36297</v>
      </c>
      <c r="M911" s="1">
        <f t="shared" si="73"/>
        <v>190.51771571168914</v>
      </c>
      <c r="N911" s="7">
        <f t="shared" si="74"/>
        <v>190.51771571168914</v>
      </c>
    </row>
    <row r="912" spans="1:14" x14ac:dyDescent="0.25">
      <c r="A912" t="str">
        <f>"14:05:33.703"</f>
        <v>14:05:33.703</v>
      </c>
      <c r="B912">
        <v>39.396521999999997</v>
      </c>
      <c r="C912">
        <v>-76.966866999999993</v>
      </c>
      <c r="D912">
        <v>8700</v>
      </c>
      <c r="E912">
        <v>9025</v>
      </c>
      <c r="F912">
        <v>171</v>
      </c>
      <c r="G912">
        <v>84</v>
      </c>
      <c r="H912">
        <v>0</v>
      </c>
      <c r="J912" s="1">
        <f t="shared" si="70"/>
        <v>29241</v>
      </c>
      <c r="K912" s="1">
        <f t="shared" si="71"/>
        <v>7056</v>
      </c>
      <c r="L912" s="1">
        <f t="shared" si="72"/>
        <v>36297</v>
      </c>
      <c r="M912" s="1">
        <f t="shared" si="73"/>
        <v>190.51771571168914</v>
      </c>
      <c r="N912" s="7">
        <f t="shared" si="74"/>
        <v>190.51771571168914</v>
      </c>
    </row>
    <row r="913" spans="1:14" x14ac:dyDescent="0.25">
      <c r="A913" t="str">
        <f>"14:05:34.711"</f>
        <v>14:05:34.711</v>
      </c>
      <c r="B913">
        <v>39.396929999999998</v>
      </c>
      <c r="C913">
        <v>-76.965858999999995</v>
      </c>
      <c r="D913">
        <v>8700</v>
      </c>
      <c r="E913">
        <v>9025</v>
      </c>
      <c r="F913">
        <v>170</v>
      </c>
      <c r="G913">
        <v>84</v>
      </c>
      <c r="H913">
        <v>0</v>
      </c>
      <c r="J913" s="1">
        <f t="shared" si="70"/>
        <v>28900</v>
      </c>
      <c r="K913" s="1">
        <f t="shared" si="71"/>
        <v>7056</v>
      </c>
      <c r="L913" s="1">
        <f t="shared" si="72"/>
        <v>35956</v>
      </c>
      <c r="M913" s="1">
        <f t="shared" si="73"/>
        <v>189.62067397834025</v>
      </c>
      <c r="N913" s="7">
        <f t="shared" si="74"/>
        <v>189.62067397834025</v>
      </c>
    </row>
    <row r="914" spans="1:14" x14ac:dyDescent="0.25">
      <c r="A914" t="str">
        <f>"14:05:35.773"</f>
        <v>14:05:35.773</v>
      </c>
      <c r="B914">
        <v>39.397337</v>
      </c>
      <c r="C914">
        <v>-76.964721999999995</v>
      </c>
      <c r="D914">
        <v>8700</v>
      </c>
      <c r="E914">
        <v>9025</v>
      </c>
      <c r="F914">
        <v>170</v>
      </c>
      <c r="G914">
        <v>85</v>
      </c>
      <c r="H914">
        <v>0</v>
      </c>
      <c r="J914" s="1">
        <f t="shared" si="70"/>
        <v>28900</v>
      </c>
      <c r="K914" s="1">
        <f t="shared" si="71"/>
        <v>7225</v>
      </c>
      <c r="L914" s="1">
        <f t="shared" si="72"/>
        <v>36125</v>
      </c>
      <c r="M914" s="1">
        <f t="shared" si="73"/>
        <v>190.06577808748213</v>
      </c>
      <c r="N914" s="7">
        <f t="shared" si="74"/>
        <v>190.06577808748213</v>
      </c>
    </row>
    <row r="915" spans="1:14" x14ac:dyDescent="0.25">
      <c r="A915" t="str">
        <f>"14:05:36.883"</f>
        <v>14:05:36.883</v>
      </c>
      <c r="B915">
        <v>39.397787999999998</v>
      </c>
      <c r="C915">
        <v>-76.963649000000004</v>
      </c>
      <c r="D915">
        <v>8700</v>
      </c>
      <c r="E915">
        <v>9025</v>
      </c>
      <c r="F915">
        <v>170</v>
      </c>
      <c r="G915">
        <v>85</v>
      </c>
      <c r="H915">
        <v>0</v>
      </c>
      <c r="J915" s="1">
        <f t="shared" si="70"/>
        <v>28900</v>
      </c>
      <c r="K915" s="1">
        <f t="shared" si="71"/>
        <v>7225</v>
      </c>
      <c r="L915" s="1">
        <f t="shared" si="72"/>
        <v>36125</v>
      </c>
      <c r="M915" s="1">
        <f t="shared" si="73"/>
        <v>190.06577808748213</v>
      </c>
      <c r="N915" s="7">
        <f t="shared" si="74"/>
        <v>190.06577808748213</v>
      </c>
    </row>
    <row r="916" spans="1:14" x14ac:dyDescent="0.25">
      <c r="A916" t="str">
        <f>"14:05:37.891"</f>
        <v>14:05:37.891</v>
      </c>
      <c r="B916">
        <v>39.398217000000002</v>
      </c>
      <c r="C916">
        <v>-76.962639999999993</v>
      </c>
      <c r="D916">
        <v>8700</v>
      </c>
      <c r="E916">
        <v>9025</v>
      </c>
      <c r="F916">
        <v>170</v>
      </c>
      <c r="G916">
        <v>86</v>
      </c>
      <c r="H916">
        <v>0</v>
      </c>
      <c r="J916" s="1">
        <f t="shared" si="70"/>
        <v>28900</v>
      </c>
      <c r="K916" s="1">
        <f t="shared" si="71"/>
        <v>7396</v>
      </c>
      <c r="L916" s="1">
        <f t="shared" si="72"/>
        <v>36296</v>
      </c>
      <c r="M916" s="1">
        <f t="shared" si="73"/>
        <v>190.51509126575775</v>
      </c>
      <c r="N916" s="7">
        <f t="shared" si="74"/>
        <v>190.51509126575775</v>
      </c>
    </row>
    <row r="917" spans="1:14" x14ac:dyDescent="0.25">
      <c r="A917" t="str">
        <f>"14:05:38.797"</f>
        <v>14:05:38.797</v>
      </c>
      <c r="B917">
        <v>39.398561000000001</v>
      </c>
      <c r="C917">
        <v>-76.961738999999994</v>
      </c>
      <c r="D917">
        <v>8700</v>
      </c>
      <c r="E917">
        <v>9025</v>
      </c>
      <c r="F917">
        <v>170</v>
      </c>
      <c r="G917">
        <v>86</v>
      </c>
      <c r="H917">
        <v>0</v>
      </c>
      <c r="J917" s="1">
        <f t="shared" si="70"/>
        <v>28900</v>
      </c>
      <c r="K917" s="1">
        <f t="shared" si="71"/>
        <v>7396</v>
      </c>
      <c r="L917" s="1">
        <f t="shared" si="72"/>
        <v>36296</v>
      </c>
      <c r="M917" s="1">
        <f t="shared" si="73"/>
        <v>190.51509126575775</v>
      </c>
      <c r="N917" s="7">
        <f t="shared" si="74"/>
        <v>190.51509126575775</v>
      </c>
    </row>
    <row r="918" spans="1:14" x14ac:dyDescent="0.25">
      <c r="A918" t="str">
        <f>"14:05:39.758"</f>
        <v>14:05:39.758</v>
      </c>
      <c r="B918">
        <v>39.398968000000004</v>
      </c>
      <c r="C918">
        <v>-76.960688000000005</v>
      </c>
      <c r="D918">
        <v>8700</v>
      </c>
      <c r="E918">
        <v>9025</v>
      </c>
      <c r="F918">
        <v>169</v>
      </c>
      <c r="G918">
        <v>87</v>
      </c>
      <c r="H918">
        <v>0</v>
      </c>
      <c r="J918" s="1">
        <f t="shared" si="70"/>
        <v>28561</v>
      </c>
      <c r="K918" s="1">
        <f t="shared" si="71"/>
        <v>7569</v>
      </c>
      <c r="L918" s="1">
        <f t="shared" si="72"/>
        <v>36130</v>
      </c>
      <c r="M918" s="1">
        <f t="shared" si="73"/>
        <v>190.07893097342483</v>
      </c>
      <c r="N918" s="7">
        <f t="shared" si="74"/>
        <v>190.07893097342483</v>
      </c>
    </row>
    <row r="919" spans="1:14" x14ac:dyDescent="0.25">
      <c r="A919" t="str">
        <f>"14:05:40.867"</f>
        <v>14:05:40.867</v>
      </c>
      <c r="B919">
        <v>39.399354000000002</v>
      </c>
      <c r="C919">
        <v>-76.959658000000005</v>
      </c>
      <c r="D919">
        <v>8700</v>
      </c>
      <c r="E919">
        <v>9025</v>
      </c>
      <c r="F919">
        <v>169</v>
      </c>
      <c r="G919">
        <v>87</v>
      </c>
      <c r="H919">
        <v>0</v>
      </c>
      <c r="J919" s="1">
        <f t="shared" si="70"/>
        <v>28561</v>
      </c>
      <c r="K919" s="1">
        <f t="shared" si="71"/>
        <v>7569</v>
      </c>
      <c r="L919" s="1">
        <f t="shared" si="72"/>
        <v>36130</v>
      </c>
      <c r="M919" s="1">
        <f t="shared" si="73"/>
        <v>190.07893097342483</v>
      </c>
      <c r="N919" s="7">
        <f t="shared" si="74"/>
        <v>190.07893097342483</v>
      </c>
    </row>
    <row r="920" spans="1:14" x14ac:dyDescent="0.25">
      <c r="A920" t="str">
        <f>"14:05:41.781"</f>
        <v>14:05:41.781</v>
      </c>
      <c r="B920">
        <v>39.399762000000003</v>
      </c>
      <c r="C920">
        <v>-76.958670999999995</v>
      </c>
      <c r="D920">
        <v>8700</v>
      </c>
      <c r="E920">
        <v>9025</v>
      </c>
      <c r="F920">
        <v>169</v>
      </c>
      <c r="G920">
        <v>87</v>
      </c>
      <c r="H920">
        <v>0</v>
      </c>
      <c r="J920" s="1">
        <f t="shared" si="70"/>
        <v>28561</v>
      </c>
      <c r="K920" s="1">
        <f t="shared" si="71"/>
        <v>7569</v>
      </c>
      <c r="L920" s="1">
        <f t="shared" si="72"/>
        <v>36130</v>
      </c>
      <c r="M920" s="1">
        <f t="shared" si="73"/>
        <v>190.07893097342483</v>
      </c>
      <c r="N920" s="7">
        <f t="shared" si="74"/>
        <v>190.07893097342483</v>
      </c>
    </row>
    <row r="921" spans="1:14" x14ac:dyDescent="0.25">
      <c r="A921" t="str">
        <f>"14:05:42.789"</f>
        <v>14:05:42.789</v>
      </c>
      <c r="B921">
        <v>39.400191</v>
      </c>
      <c r="C921">
        <v>-76.957640999999995</v>
      </c>
      <c r="D921">
        <v>8700</v>
      </c>
      <c r="E921">
        <v>9025</v>
      </c>
      <c r="F921">
        <v>169</v>
      </c>
      <c r="G921">
        <v>88</v>
      </c>
      <c r="H921">
        <v>0</v>
      </c>
      <c r="J921" s="1">
        <f t="shared" si="70"/>
        <v>28561</v>
      </c>
      <c r="K921" s="1">
        <f t="shared" si="71"/>
        <v>7744</v>
      </c>
      <c r="L921" s="1">
        <f t="shared" si="72"/>
        <v>36305</v>
      </c>
      <c r="M921" s="1">
        <f t="shared" si="73"/>
        <v>190.53870997778904</v>
      </c>
      <c r="N921" s="7">
        <f t="shared" si="74"/>
        <v>190.53870997778904</v>
      </c>
    </row>
    <row r="922" spans="1:14" x14ac:dyDescent="0.25">
      <c r="A922" t="str">
        <f>"14:05:43.648"</f>
        <v>14:05:43.648</v>
      </c>
      <c r="B922">
        <v>39.400512999999997</v>
      </c>
      <c r="C922">
        <v>-76.956846999999996</v>
      </c>
      <c r="D922">
        <v>8700</v>
      </c>
      <c r="E922">
        <v>9025</v>
      </c>
      <c r="F922">
        <v>169</v>
      </c>
      <c r="G922">
        <v>88</v>
      </c>
      <c r="H922">
        <v>0</v>
      </c>
      <c r="J922" s="1">
        <f t="shared" si="70"/>
        <v>28561</v>
      </c>
      <c r="K922" s="1">
        <f t="shared" si="71"/>
        <v>7744</v>
      </c>
      <c r="L922" s="1">
        <f t="shared" si="72"/>
        <v>36305</v>
      </c>
      <c r="M922" s="1">
        <f t="shared" si="73"/>
        <v>190.53870997778904</v>
      </c>
      <c r="N922" s="7">
        <f t="shared" si="74"/>
        <v>190.53870997778904</v>
      </c>
    </row>
    <row r="923" spans="1:14" x14ac:dyDescent="0.25">
      <c r="A923" t="str">
        <f>"14:05:44.500"</f>
        <v>14:05:44.500</v>
      </c>
      <c r="B923">
        <v>39.400855999999997</v>
      </c>
      <c r="C923">
        <v>-76.955945</v>
      </c>
      <c r="D923">
        <v>8700</v>
      </c>
      <c r="E923">
        <v>9025</v>
      </c>
      <c r="F923">
        <v>169</v>
      </c>
      <c r="G923">
        <v>88</v>
      </c>
      <c r="H923">
        <v>0</v>
      </c>
      <c r="J923" s="1">
        <f t="shared" si="70"/>
        <v>28561</v>
      </c>
      <c r="K923" s="1">
        <f t="shared" si="71"/>
        <v>7744</v>
      </c>
      <c r="L923" s="1">
        <f t="shared" si="72"/>
        <v>36305</v>
      </c>
      <c r="M923" s="1">
        <f t="shared" si="73"/>
        <v>190.53870997778904</v>
      </c>
      <c r="N923" s="7">
        <f t="shared" si="74"/>
        <v>190.53870997778904</v>
      </c>
    </row>
    <row r="924" spans="1:14" x14ac:dyDescent="0.25">
      <c r="A924" t="str">
        <f>"14:05:45.414"</f>
        <v>14:05:45.414</v>
      </c>
      <c r="B924">
        <v>39.401200000000003</v>
      </c>
      <c r="C924">
        <v>-76.955087000000006</v>
      </c>
      <c r="D924">
        <v>8700</v>
      </c>
      <c r="E924">
        <v>9025</v>
      </c>
      <c r="F924">
        <v>169</v>
      </c>
      <c r="G924">
        <v>88</v>
      </c>
      <c r="H924">
        <v>0</v>
      </c>
      <c r="J924" s="1">
        <f t="shared" si="70"/>
        <v>28561</v>
      </c>
      <c r="K924" s="1">
        <f t="shared" si="71"/>
        <v>7744</v>
      </c>
      <c r="L924" s="1">
        <f t="shared" si="72"/>
        <v>36305</v>
      </c>
      <c r="M924" s="1">
        <f t="shared" si="73"/>
        <v>190.53870997778904</v>
      </c>
      <c r="N924" s="7">
        <f t="shared" si="74"/>
        <v>190.53870997778904</v>
      </c>
    </row>
    <row r="925" spans="1:14" x14ac:dyDescent="0.25">
      <c r="A925" t="str">
        <f>"14:05:46.320"</f>
        <v>14:05:46.320</v>
      </c>
      <c r="B925">
        <v>39.401586000000002</v>
      </c>
      <c r="C925">
        <v>-76.954143000000002</v>
      </c>
      <c r="D925">
        <v>8700</v>
      </c>
      <c r="E925">
        <v>9025</v>
      </c>
      <c r="F925">
        <v>168</v>
      </c>
      <c r="G925">
        <v>89</v>
      </c>
      <c r="H925">
        <v>0</v>
      </c>
      <c r="J925" s="1">
        <f t="shared" si="70"/>
        <v>28224</v>
      </c>
      <c r="K925" s="1">
        <f t="shared" si="71"/>
        <v>7921</v>
      </c>
      <c r="L925" s="1">
        <f t="shared" si="72"/>
        <v>36145</v>
      </c>
      <c r="M925" s="1">
        <f t="shared" si="73"/>
        <v>190.11838417154718</v>
      </c>
      <c r="N925" s="7">
        <f t="shared" si="74"/>
        <v>190.11838417154718</v>
      </c>
    </row>
    <row r="926" spans="1:14" x14ac:dyDescent="0.25">
      <c r="A926" t="str">
        <f>"14:05:47.383"</f>
        <v>14:05:47.383</v>
      </c>
      <c r="B926">
        <v>39.402014999999999</v>
      </c>
      <c r="C926">
        <v>-76.953135000000003</v>
      </c>
      <c r="D926">
        <v>8700</v>
      </c>
      <c r="E926">
        <v>9025</v>
      </c>
      <c r="F926">
        <v>168</v>
      </c>
      <c r="G926">
        <v>89</v>
      </c>
      <c r="H926">
        <v>0</v>
      </c>
      <c r="J926" s="1">
        <f t="shared" si="70"/>
        <v>28224</v>
      </c>
      <c r="K926" s="1">
        <f t="shared" si="71"/>
        <v>7921</v>
      </c>
      <c r="L926" s="1">
        <f t="shared" si="72"/>
        <v>36145</v>
      </c>
      <c r="M926" s="1">
        <f t="shared" si="73"/>
        <v>190.11838417154718</v>
      </c>
      <c r="N926" s="7">
        <f t="shared" si="74"/>
        <v>190.11838417154718</v>
      </c>
    </row>
    <row r="927" spans="1:14" x14ac:dyDescent="0.25">
      <c r="A927" t="str">
        <f>"14:05:48.188"</f>
        <v>14:05:48.188</v>
      </c>
      <c r="B927">
        <v>39.402380000000001</v>
      </c>
      <c r="C927">
        <v>-76.952212000000003</v>
      </c>
      <c r="D927">
        <v>8700</v>
      </c>
      <c r="E927">
        <v>9025</v>
      </c>
      <c r="F927">
        <v>168</v>
      </c>
      <c r="G927">
        <v>89</v>
      </c>
      <c r="H927">
        <v>0</v>
      </c>
      <c r="J927" s="1">
        <f t="shared" si="70"/>
        <v>28224</v>
      </c>
      <c r="K927" s="1">
        <f t="shared" si="71"/>
        <v>7921</v>
      </c>
      <c r="L927" s="1">
        <f t="shared" si="72"/>
        <v>36145</v>
      </c>
      <c r="M927" s="1">
        <f t="shared" si="73"/>
        <v>190.11838417154718</v>
      </c>
      <c r="N927" s="7">
        <f t="shared" si="74"/>
        <v>190.11838417154718</v>
      </c>
    </row>
    <row r="928" spans="1:14" x14ac:dyDescent="0.25">
      <c r="A928" t="str">
        <f>"14:05:49.195"</f>
        <v>14:05:49.195</v>
      </c>
      <c r="B928">
        <v>39.402788000000001</v>
      </c>
      <c r="C928">
        <v>-76.951224999999994</v>
      </c>
      <c r="D928">
        <v>8700</v>
      </c>
      <c r="E928">
        <v>9025</v>
      </c>
      <c r="F928">
        <v>168</v>
      </c>
      <c r="G928">
        <v>89</v>
      </c>
      <c r="H928">
        <v>0</v>
      </c>
      <c r="J928" s="1">
        <f t="shared" si="70"/>
        <v>28224</v>
      </c>
      <c r="K928" s="1">
        <f t="shared" si="71"/>
        <v>7921</v>
      </c>
      <c r="L928" s="1">
        <f t="shared" si="72"/>
        <v>36145</v>
      </c>
      <c r="M928" s="1">
        <f t="shared" si="73"/>
        <v>190.11838417154718</v>
      </c>
      <c r="N928" s="7">
        <f t="shared" si="74"/>
        <v>190.11838417154718</v>
      </c>
    </row>
    <row r="929" spans="1:14" x14ac:dyDescent="0.25">
      <c r="A929" t="str">
        <f>"14:05:50.305"</f>
        <v>14:05:50.305</v>
      </c>
      <c r="B929">
        <v>39.403238000000002</v>
      </c>
      <c r="C929">
        <v>-76.950152000000003</v>
      </c>
      <c r="D929">
        <v>8700</v>
      </c>
      <c r="E929">
        <v>9025</v>
      </c>
      <c r="F929">
        <v>168</v>
      </c>
      <c r="G929">
        <v>89</v>
      </c>
      <c r="H929">
        <v>0</v>
      </c>
      <c r="J929" s="1">
        <f t="shared" si="70"/>
        <v>28224</v>
      </c>
      <c r="K929" s="1">
        <f t="shared" si="71"/>
        <v>7921</v>
      </c>
      <c r="L929" s="1">
        <f t="shared" si="72"/>
        <v>36145</v>
      </c>
      <c r="M929" s="1">
        <f t="shared" si="73"/>
        <v>190.11838417154718</v>
      </c>
      <c r="N929" s="7">
        <f t="shared" si="74"/>
        <v>190.11838417154718</v>
      </c>
    </row>
    <row r="930" spans="1:14" x14ac:dyDescent="0.25">
      <c r="A930" t="str">
        <f>"14:05:51.367"</f>
        <v>14:05:51.367</v>
      </c>
      <c r="B930">
        <v>39.403731999999998</v>
      </c>
      <c r="C930">
        <v>-76.949036000000007</v>
      </c>
      <c r="D930">
        <v>8700</v>
      </c>
      <c r="E930">
        <v>9025</v>
      </c>
      <c r="F930">
        <v>168</v>
      </c>
      <c r="G930">
        <v>89</v>
      </c>
      <c r="H930">
        <v>0</v>
      </c>
      <c r="J930" s="1">
        <f t="shared" si="70"/>
        <v>28224</v>
      </c>
      <c r="K930" s="1">
        <f t="shared" si="71"/>
        <v>7921</v>
      </c>
      <c r="L930" s="1">
        <f t="shared" si="72"/>
        <v>36145</v>
      </c>
      <c r="M930" s="1">
        <f t="shared" si="73"/>
        <v>190.11838417154718</v>
      </c>
      <c r="N930" s="7">
        <f t="shared" si="74"/>
        <v>190.11838417154718</v>
      </c>
    </row>
    <row r="931" spans="1:14" x14ac:dyDescent="0.25">
      <c r="A931" t="str">
        <f>"14:05:52.227"</f>
        <v>14:05:52.227</v>
      </c>
      <c r="B931">
        <v>39.404054000000002</v>
      </c>
      <c r="C931">
        <v>-76.948241999999993</v>
      </c>
      <c r="D931">
        <v>8700</v>
      </c>
      <c r="E931">
        <v>9025</v>
      </c>
      <c r="F931">
        <v>168</v>
      </c>
      <c r="G931">
        <v>89</v>
      </c>
      <c r="H931">
        <v>0</v>
      </c>
      <c r="J931" s="1">
        <f t="shared" si="70"/>
        <v>28224</v>
      </c>
      <c r="K931" s="1">
        <f t="shared" si="71"/>
        <v>7921</v>
      </c>
      <c r="L931" s="1">
        <f t="shared" si="72"/>
        <v>36145</v>
      </c>
      <c r="M931" s="1">
        <f t="shared" si="73"/>
        <v>190.11838417154718</v>
      </c>
      <c r="N931" s="7">
        <f t="shared" si="74"/>
        <v>190.11838417154718</v>
      </c>
    </row>
    <row r="932" spans="1:14" x14ac:dyDescent="0.25">
      <c r="A932" t="str">
        <f>"14:05:53.234"</f>
        <v>14:05:53.234</v>
      </c>
      <c r="B932">
        <v>39.404418</v>
      </c>
      <c r="C932">
        <v>-76.947211999999993</v>
      </c>
      <c r="D932">
        <v>8700</v>
      </c>
      <c r="E932">
        <v>9025</v>
      </c>
      <c r="F932">
        <v>168</v>
      </c>
      <c r="G932">
        <v>89</v>
      </c>
      <c r="H932">
        <v>0</v>
      </c>
      <c r="J932" s="1">
        <f t="shared" si="70"/>
        <v>28224</v>
      </c>
      <c r="K932" s="1">
        <f t="shared" si="71"/>
        <v>7921</v>
      </c>
      <c r="L932" s="1">
        <f t="shared" si="72"/>
        <v>36145</v>
      </c>
      <c r="M932" s="1">
        <f t="shared" si="73"/>
        <v>190.11838417154718</v>
      </c>
      <c r="N932" s="7">
        <f t="shared" si="74"/>
        <v>190.11838417154718</v>
      </c>
    </row>
    <row r="933" spans="1:14" x14ac:dyDescent="0.25">
      <c r="A933" t="str">
        <f>"14:05:54.141"</f>
        <v>14:05:54.141</v>
      </c>
      <c r="B933">
        <v>39.404805000000003</v>
      </c>
      <c r="C933">
        <v>-76.946331999999998</v>
      </c>
      <c r="D933">
        <v>8700</v>
      </c>
      <c r="E933">
        <v>9025</v>
      </c>
      <c r="F933">
        <v>168</v>
      </c>
      <c r="G933">
        <v>89</v>
      </c>
      <c r="H933">
        <v>0</v>
      </c>
      <c r="J933" s="1">
        <f t="shared" si="70"/>
        <v>28224</v>
      </c>
      <c r="K933" s="1">
        <f t="shared" si="71"/>
        <v>7921</v>
      </c>
      <c r="L933" s="1">
        <f t="shared" si="72"/>
        <v>36145</v>
      </c>
      <c r="M933" s="1">
        <f t="shared" si="73"/>
        <v>190.11838417154718</v>
      </c>
      <c r="N933" s="7">
        <f t="shared" si="74"/>
        <v>190.11838417154718</v>
      </c>
    </row>
    <row r="934" spans="1:14" x14ac:dyDescent="0.25">
      <c r="A934" t="str">
        <f>"14:05:55.102"</f>
        <v>14:05:55.102</v>
      </c>
      <c r="B934">
        <v>39.405211999999999</v>
      </c>
      <c r="C934">
        <v>-76.945323999999999</v>
      </c>
      <c r="D934">
        <v>8700</v>
      </c>
      <c r="E934">
        <v>9025</v>
      </c>
      <c r="F934">
        <v>168</v>
      </c>
      <c r="G934">
        <v>89</v>
      </c>
      <c r="H934">
        <v>0</v>
      </c>
      <c r="J934" s="1">
        <f t="shared" si="70"/>
        <v>28224</v>
      </c>
      <c r="K934" s="1">
        <f t="shared" si="71"/>
        <v>7921</v>
      </c>
      <c r="L934" s="1">
        <f t="shared" si="72"/>
        <v>36145</v>
      </c>
      <c r="M934" s="1">
        <f t="shared" si="73"/>
        <v>190.11838417154718</v>
      </c>
      <c r="N934" s="7">
        <f t="shared" si="74"/>
        <v>190.11838417154718</v>
      </c>
    </row>
    <row r="935" spans="1:14" x14ac:dyDescent="0.25">
      <c r="A935" t="str">
        <f>"14:05:56.164"</f>
        <v>14:05:56.164</v>
      </c>
      <c r="B935">
        <v>39.405619999999999</v>
      </c>
      <c r="C935">
        <v>-76.944293999999999</v>
      </c>
      <c r="D935">
        <v>8700</v>
      </c>
      <c r="E935">
        <v>9025</v>
      </c>
      <c r="F935">
        <v>168</v>
      </c>
      <c r="G935">
        <v>89</v>
      </c>
      <c r="H935">
        <v>0</v>
      </c>
      <c r="J935" s="1">
        <f t="shared" si="70"/>
        <v>28224</v>
      </c>
      <c r="K935" s="1">
        <f t="shared" si="71"/>
        <v>7921</v>
      </c>
      <c r="L935" s="1">
        <f t="shared" si="72"/>
        <v>36145</v>
      </c>
      <c r="M935" s="1">
        <f t="shared" si="73"/>
        <v>190.11838417154718</v>
      </c>
      <c r="N935" s="7">
        <f t="shared" si="74"/>
        <v>190.11838417154718</v>
      </c>
    </row>
    <row r="936" spans="1:14" x14ac:dyDescent="0.25">
      <c r="A936" t="str">
        <f>"14:05:57.125"</f>
        <v>14:05:57.125</v>
      </c>
      <c r="B936">
        <v>39.406027999999999</v>
      </c>
      <c r="C936">
        <v>-76.943285000000003</v>
      </c>
      <c r="D936">
        <v>8700</v>
      </c>
      <c r="E936">
        <v>9025</v>
      </c>
      <c r="F936">
        <v>168</v>
      </c>
      <c r="G936">
        <v>89</v>
      </c>
      <c r="H936">
        <v>0</v>
      </c>
      <c r="J936" s="1">
        <f t="shared" si="70"/>
        <v>28224</v>
      </c>
      <c r="K936" s="1">
        <f t="shared" si="71"/>
        <v>7921</v>
      </c>
      <c r="L936" s="1">
        <f t="shared" si="72"/>
        <v>36145</v>
      </c>
      <c r="M936" s="1">
        <f t="shared" si="73"/>
        <v>190.11838417154718</v>
      </c>
      <c r="N936" s="7">
        <f t="shared" si="74"/>
        <v>190.11838417154718</v>
      </c>
    </row>
    <row r="937" spans="1:14" x14ac:dyDescent="0.25">
      <c r="A937" t="str">
        <f>"14:05:58.281"</f>
        <v>14:05:58.281</v>
      </c>
      <c r="B937">
        <v>39.406542999999999</v>
      </c>
      <c r="C937">
        <v>-76.942083999999994</v>
      </c>
      <c r="D937">
        <v>8700</v>
      </c>
      <c r="E937">
        <v>9025</v>
      </c>
      <c r="F937">
        <v>168</v>
      </c>
      <c r="G937">
        <v>89</v>
      </c>
      <c r="H937">
        <v>0</v>
      </c>
      <c r="J937" s="1">
        <f t="shared" si="70"/>
        <v>28224</v>
      </c>
      <c r="K937" s="1">
        <f t="shared" si="71"/>
        <v>7921</v>
      </c>
      <c r="L937" s="1">
        <f t="shared" si="72"/>
        <v>36145</v>
      </c>
      <c r="M937" s="1">
        <f t="shared" si="73"/>
        <v>190.11838417154718</v>
      </c>
      <c r="N937" s="7">
        <f t="shared" si="74"/>
        <v>190.11838417154718</v>
      </c>
    </row>
    <row r="938" spans="1:14" x14ac:dyDescent="0.25">
      <c r="A938" t="str">
        <f>"14:05:59.195"</f>
        <v>14:05:59.195</v>
      </c>
      <c r="B938">
        <v>39.406928999999998</v>
      </c>
      <c r="C938">
        <v>-76.941226</v>
      </c>
      <c r="D938">
        <v>8700</v>
      </c>
      <c r="E938">
        <v>9025</v>
      </c>
      <c r="F938">
        <v>168</v>
      </c>
      <c r="G938">
        <v>89</v>
      </c>
      <c r="H938">
        <v>0</v>
      </c>
      <c r="J938" s="1">
        <f t="shared" si="70"/>
        <v>28224</v>
      </c>
      <c r="K938" s="1">
        <f t="shared" si="71"/>
        <v>7921</v>
      </c>
      <c r="L938" s="1">
        <f t="shared" si="72"/>
        <v>36145</v>
      </c>
      <c r="M938" s="1">
        <f t="shared" si="73"/>
        <v>190.11838417154718</v>
      </c>
      <c r="N938" s="7">
        <f t="shared" si="74"/>
        <v>190.11838417154718</v>
      </c>
    </row>
    <row r="939" spans="1:14" x14ac:dyDescent="0.25">
      <c r="A939" t="str">
        <f>"14:06:00.250"</f>
        <v>14:06:00.250</v>
      </c>
      <c r="B939">
        <v>39.407358000000002</v>
      </c>
      <c r="C939">
        <v>-76.940196</v>
      </c>
      <c r="D939">
        <v>8700</v>
      </c>
      <c r="E939">
        <v>9025</v>
      </c>
      <c r="F939">
        <v>168</v>
      </c>
      <c r="G939">
        <v>89</v>
      </c>
      <c r="H939">
        <v>0</v>
      </c>
      <c r="J939" s="1">
        <f t="shared" si="70"/>
        <v>28224</v>
      </c>
      <c r="K939" s="1">
        <f t="shared" si="71"/>
        <v>7921</v>
      </c>
      <c r="L939" s="1">
        <f t="shared" si="72"/>
        <v>36145</v>
      </c>
      <c r="M939" s="1">
        <f t="shared" si="73"/>
        <v>190.11838417154718</v>
      </c>
      <c r="N939" s="7">
        <f t="shared" si="74"/>
        <v>190.11838417154718</v>
      </c>
    </row>
    <row r="940" spans="1:14" x14ac:dyDescent="0.25">
      <c r="A940" t="str">
        <f>"14:06:01.359"</f>
        <v>14:06:01.359</v>
      </c>
      <c r="B940">
        <v>39.407766000000002</v>
      </c>
      <c r="C940">
        <v>-76.939100999999994</v>
      </c>
      <c r="D940">
        <v>8700</v>
      </c>
      <c r="E940">
        <v>9025</v>
      </c>
      <c r="F940">
        <v>169</v>
      </c>
      <c r="G940">
        <v>89</v>
      </c>
      <c r="H940">
        <v>0</v>
      </c>
      <c r="J940" s="1">
        <f t="shared" si="70"/>
        <v>28561</v>
      </c>
      <c r="K940" s="1">
        <f t="shared" si="71"/>
        <v>7921</v>
      </c>
      <c r="L940" s="1">
        <f t="shared" si="72"/>
        <v>36482</v>
      </c>
      <c r="M940" s="1">
        <f t="shared" si="73"/>
        <v>191.00261778310789</v>
      </c>
      <c r="N940" s="7">
        <f t="shared" si="74"/>
        <v>191.00261778310789</v>
      </c>
    </row>
    <row r="941" spans="1:14" x14ac:dyDescent="0.25">
      <c r="A941" t="str">
        <f>"14:06:02.422"</f>
        <v>14:06:02.422</v>
      </c>
      <c r="B941">
        <v>39.408237999999997</v>
      </c>
      <c r="C941">
        <v>-76.937984999999998</v>
      </c>
      <c r="D941">
        <v>8700</v>
      </c>
      <c r="E941">
        <v>9025</v>
      </c>
      <c r="F941">
        <v>169</v>
      </c>
      <c r="G941">
        <v>89</v>
      </c>
      <c r="H941">
        <v>0</v>
      </c>
      <c r="J941" s="1">
        <f t="shared" si="70"/>
        <v>28561</v>
      </c>
      <c r="K941" s="1">
        <f t="shared" si="71"/>
        <v>7921</v>
      </c>
      <c r="L941" s="1">
        <f t="shared" si="72"/>
        <v>36482</v>
      </c>
      <c r="M941" s="1">
        <f t="shared" si="73"/>
        <v>191.00261778310789</v>
      </c>
      <c r="N941" s="7">
        <f t="shared" si="74"/>
        <v>191.00261778310789</v>
      </c>
    </row>
    <row r="942" spans="1:14" x14ac:dyDescent="0.25">
      <c r="A942" t="str">
        <f>"14:06:03.430"</f>
        <v>14:06:03.430</v>
      </c>
      <c r="B942">
        <v>39.408667000000001</v>
      </c>
      <c r="C942">
        <v>-76.936954999999998</v>
      </c>
      <c r="D942">
        <v>8700</v>
      </c>
      <c r="E942">
        <v>9025</v>
      </c>
      <c r="F942">
        <v>169</v>
      </c>
      <c r="G942">
        <v>89</v>
      </c>
      <c r="H942">
        <v>0</v>
      </c>
      <c r="J942" s="1">
        <f t="shared" si="70"/>
        <v>28561</v>
      </c>
      <c r="K942" s="1">
        <f t="shared" si="71"/>
        <v>7921</v>
      </c>
      <c r="L942" s="1">
        <f t="shared" si="72"/>
        <v>36482</v>
      </c>
      <c r="M942" s="1">
        <f t="shared" si="73"/>
        <v>191.00261778310789</v>
      </c>
      <c r="N942" s="7">
        <f t="shared" si="74"/>
        <v>191.00261778310789</v>
      </c>
    </row>
    <row r="943" spans="1:14" x14ac:dyDescent="0.25">
      <c r="A943" t="str">
        <f>"14:06:04.391"</f>
        <v>14:06:04.391</v>
      </c>
      <c r="B943">
        <v>39.409075000000001</v>
      </c>
      <c r="C943">
        <v>-76.935968000000003</v>
      </c>
      <c r="D943">
        <v>8700</v>
      </c>
      <c r="E943">
        <v>9025</v>
      </c>
      <c r="F943">
        <v>169</v>
      </c>
      <c r="G943">
        <v>88</v>
      </c>
      <c r="H943">
        <v>0</v>
      </c>
      <c r="J943" s="1">
        <f t="shared" si="70"/>
        <v>28561</v>
      </c>
      <c r="K943" s="1">
        <f t="shared" si="71"/>
        <v>7744</v>
      </c>
      <c r="L943" s="1">
        <f t="shared" si="72"/>
        <v>36305</v>
      </c>
      <c r="M943" s="1">
        <f t="shared" si="73"/>
        <v>190.53870997778904</v>
      </c>
      <c r="N943" s="7">
        <f t="shared" si="74"/>
        <v>190.53870997778904</v>
      </c>
    </row>
    <row r="944" spans="1:14" x14ac:dyDescent="0.25">
      <c r="A944" t="str">
        <f>"14:06:05.297"</f>
        <v>14:06:05.297</v>
      </c>
      <c r="B944">
        <v>39.409418000000002</v>
      </c>
      <c r="C944">
        <v>-76.935046</v>
      </c>
      <c r="D944">
        <v>8700</v>
      </c>
      <c r="E944">
        <v>9025</v>
      </c>
      <c r="F944">
        <v>169</v>
      </c>
      <c r="G944">
        <v>88</v>
      </c>
      <c r="H944">
        <v>0</v>
      </c>
      <c r="J944" s="1">
        <f t="shared" si="70"/>
        <v>28561</v>
      </c>
      <c r="K944" s="1">
        <f t="shared" si="71"/>
        <v>7744</v>
      </c>
      <c r="L944" s="1">
        <f t="shared" si="72"/>
        <v>36305</v>
      </c>
      <c r="M944" s="1">
        <f t="shared" si="73"/>
        <v>190.53870997778904</v>
      </c>
      <c r="N944" s="7">
        <f t="shared" si="74"/>
        <v>190.53870997778904</v>
      </c>
    </row>
    <row r="945" spans="1:14" x14ac:dyDescent="0.25">
      <c r="A945" t="str">
        <f>"14:06:06.406"</f>
        <v>14:06:06.406</v>
      </c>
      <c r="B945">
        <v>39.409869</v>
      </c>
      <c r="C945">
        <v>-76.933950999999993</v>
      </c>
      <c r="D945">
        <v>8700</v>
      </c>
      <c r="E945">
        <v>9025</v>
      </c>
      <c r="F945">
        <v>169</v>
      </c>
      <c r="G945">
        <v>88</v>
      </c>
      <c r="H945">
        <v>0</v>
      </c>
      <c r="J945" s="1">
        <f t="shared" si="70"/>
        <v>28561</v>
      </c>
      <c r="K945" s="1">
        <f t="shared" si="71"/>
        <v>7744</v>
      </c>
      <c r="L945" s="1">
        <f t="shared" si="72"/>
        <v>36305</v>
      </c>
      <c r="M945" s="1">
        <f t="shared" si="73"/>
        <v>190.53870997778904</v>
      </c>
      <c r="N945" s="7">
        <f t="shared" si="74"/>
        <v>190.53870997778904</v>
      </c>
    </row>
    <row r="946" spans="1:14" x14ac:dyDescent="0.25">
      <c r="A946" t="str">
        <f>"14:06:07.320"</f>
        <v>14:06:07.320</v>
      </c>
      <c r="B946">
        <v>39.410254999999999</v>
      </c>
      <c r="C946">
        <v>-76.933007000000003</v>
      </c>
      <c r="D946">
        <v>8700</v>
      </c>
      <c r="E946">
        <v>9025</v>
      </c>
      <c r="F946">
        <v>169</v>
      </c>
      <c r="G946">
        <v>88</v>
      </c>
      <c r="H946">
        <v>0</v>
      </c>
      <c r="J946" s="1">
        <f t="shared" si="70"/>
        <v>28561</v>
      </c>
      <c r="K946" s="1">
        <f t="shared" si="71"/>
        <v>7744</v>
      </c>
      <c r="L946" s="1">
        <f t="shared" si="72"/>
        <v>36305</v>
      </c>
      <c r="M946" s="1">
        <f t="shared" si="73"/>
        <v>190.53870997778904</v>
      </c>
      <c r="N946" s="7">
        <f t="shared" si="74"/>
        <v>190.53870997778904</v>
      </c>
    </row>
    <row r="947" spans="1:14" x14ac:dyDescent="0.25">
      <c r="A947" t="str">
        <f>"14:06:08.273"</f>
        <v>14:06:08.273</v>
      </c>
      <c r="B947">
        <v>39.410663</v>
      </c>
      <c r="C947">
        <v>-76.931999000000005</v>
      </c>
      <c r="D947">
        <v>8700</v>
      </c>
      <c r="E947">
        <v>9025</v>
      </c>
      <c r="F947">
        <v>169</v>
      </c>
      <c r="G947">
        <v>88</v>
      </c>
      <c r="H947">
        <v>0</v>
      </c>
      <c r="J947" s="1">
        <f t="shared" si="70"/>
        <v>28561</v>
      </c>
      <c r="K947" s="1">
        <f t="shared" si="71"/>
        <v>7744</v>
      </c>
      <c r="L947" s="1">
        <f t="shared" si="72"/>
        <v>36305</v>
      </c>
      <c r="M947" s="1">
        <f t="shared" si="73"/>
        <v>190.53870997778904</v>
      </c>
      <c r="N947" s="7">
        <f t="shared" si="74"/>
        <v>190.53870997778904</v>
      </c>
    </row>
    <row r="948" spans="1:14" x14ac:dyDescent="0.25">
      <c r="A948" t="str">
        <f>"14:06:09.234"</f>
        <v>14:06:09.234</v>
      </c>
      <c r="B948">
        <v>39.411026999999997</v>
      </c>
      <c r="C948">
        <v>-76.931098000000006</v>
      </c>
      <c r="D948">
        <v>8700</v>
      </c>
      <c r="E948">
        <v>9025</v>
      </c>
      <c r="F948">
        <v>169</v>
      </c>
      <c r="G948">
        <v>88</v>
      </c>
      <c r="H948">
        <v>0</v>
      </c>
      <c r="J948" s="1">
        <f t="shared" si="70"/>
        <v>28561</v>
      </c>
      <c r="K948" s="1">
        <f t="shared" si="71"/>
        <v>7744</v>
      </c>
      <c r="L948" s="1">
        <f t="shared" si="72"/>
        <v>36305</v>
      </c>
      <c r="M948" s="1">
        <f t="shared" si="73"/>
        <v>190.53870997778904</v>
      </c>
      <c r="N948" s="7">
        <f t="shared" si="74"/>
        <v>190.53870997778904</v>
      </c>
    </row>
    <row r="949" spans="1:14" x14ac:dyDescent="0.25">
      <c r="A949" t="str">
        <f>"14:06:10.242"</f>
        <v>14:06:10.242</v>
      </c>
      <c r="B949">
        <v>39.411414000000001</v>
      </c>
      <c r="C949">
        <v>-76.930109999999999</v>
      </c>
      <c r="D949">
        <v>8700</v>
      </c>
      <c r="E949">
        <v>9025</v>
      </c>
      <c r="F949">
        <v>170</v>
      </c>
      <c r="G949">
        <v>88</v>
      </c>
      <c r="H949">
        <v>0</v>
      </c>
      <c r="J949" s="1">
        <f t="shared" si="70"/>
        <v>28900</v>
      </c>
      <c r="K949" s="1">
        <f t="shared" si="71"/>
        <v>7744</v>
      </c>
      <c r="L949" s="1">
        <f t="shared" si="72"/>
        <v>36644</v>
      </c>
      <c r="M949" s="1">
        <f t="shared" si="73"/>
        <v>191.42622599842477</v>
      </c>
      <c r="N949" s="7">
        <f t="shared" si="74"/>
        <v>191.42622599842477</v>
      </c>
    </row>
    <row r="950" spans="1:14" x14ac:dyDescent="0.25">
      <c r="A950" t="str">
        <f>"14:06:11.203"</f>
        <v>14:06:11.203</v>
      </c>
      <c r="B950">
        <v>39.411821000000003</v>
      </c>
      <c r="C950">
        <v>-76.929079999999999</v>
      </c>
      <c r="D950">
        <v>8700</v>
      </c>
      <c r="E950">
        <v>9025</v>
      </c>
      <c r="F950">
        <v>170</v>
      </c>
      <c r="G950">
        <v>87</v>
      </c>
      <c r="H950">
        <v>0</v>
      </c>
      <c r="J950" s="1">
        <f t="shared" si="70"/>
        <v>28900</v>
      </c>
      <c r="K950" s="1">
        <f t="shared" si="71"/>
        <v>7569</v>
      </c>
      <c r="L950" s="1">
        <f t="shared" si="72"/>
        <v>36469</v>
      </c>
      <c r="M950" s="1">
        <f t="shared" si="73"/>
        <v>190.9685838037241</v>
      </c>
      <c r="N950" s="7">
        <f t="shared" si="74"/>
        <v>190.9685838037241</v>
      </c>
    </row>
    <row r="951" spans="1:14" x14ac:dyDescent="0.25">
      <c r="A951" t="str">
        <f>"14:06:12.211"</f>
        <v>14:06:12.211</v>
      </c>
      <c r="B951">
        <v>39.412250999999998</v>
      </c>
      <c r="C951">
        <v>-76.928093000000004</v>
      </c>
      <c r="D951">
        <v>8700</v>
      </c>
      <c r="E951">
        <v>9025</v>
      </c>
      <c r="F951">
        <v>170</v>
      </c>
      <c r="G951">
        <v>87</v>
      </c>
      <c r="H951">
        <v>0</v>
      </c>
      <c r="J951" s="1">
        <f t="shared" si="70"/>
        <v>28900</v>
      </c>
      <c r="K951" s="1">
        <f t="shared" si="71"/>
        <v>7569</v>
      </c>
      <c r="L951" s="1">
        <f t="shared" si="72"/>
        <v>36469</v>
      </c>
      <c r="M951" s="1">
        <f t="shared" si="73"/>
        <v>190.9685838037241</v>
      </c>
      <c r="N951" s="7">
        <f t="shared" si="74"/>
        <v>190.9685838037241</v>
      </c>
    </row>
    <row r="952" spans="1:14" x14ac:dyDescent="0.25">
      <c r="A952" t="str">
        <f>"14:06:13.125"</f>
        <v>14:06:13.125</v>
      </c>
      <c r="B952">
        <v>39.412571999999997</v>
      </c>
      <c r="C952">
        <v>-76.927171000000001</v>
      </c>
      <c r="D952">
        <v>8700</v>
      </c>
      <c r="E952">
        <v>9025</v>
      </c>
      <c r="F952">
        <v>170</v>
      </c>
      <c r="G952">
        <v>87</v>
      </c>
      <c r="H952">
        <v>0</v>
      </c>
      <c r="J952" s="1">
        <f t="shared" si="70"/>
        <v>28900</v>
      </c>
      <c r="K952" s="1">
        <f t="shared" si="71"/>
        <v>7569</v>
      </c>
      <c r="L952" s="1">
        <f t="shared" si="72"/>
        <v>36469</v>
      </c>
      <c r="M952" s="1">
        <f t="shared" si="73"/>
        <v>190.9685838037241</v>
      </c>
      <c r="N952" s="7">
        <f t="shared" si="74"/>
        <v>190.9685838037241</v>
      </c>
    </row>
    <row r="953" spans="1:14" x14ac:dyDescent="0.25">
      <c r="A953" t="str">
        <f>"14:06:14.234"</f>
        <v>14:06:14.234</v>
      </c>
      <c r="B953">
        <v>39.413023000000003</v>
      </c>
      <c r="C953">
        <v>-76.926033000000004</v>
      </c>
      <c r="D953">
        <v>8700</v>
      </c>
      <c r="E953">
        <v>9025</v>
      </c>
      <c r="F953">
        <v>170</v>
      </c>
      <c r="G953">
        <v>87</v>
      </c>
      <c r="H953">
        <v>0</v>
      </c>
      <c r="J953" s="1">
        <f t="shared" si="70"/>
        <v>28900</v>
      </c>
      <c r="K953" s="1">
        <f t="shared" si="71"/>
        <v>7569</v>
      </c>
      <c r="L953" s="1">
        <f t="shared" si="72"/>
        <v>36469</v>
      </c>
      <c r="M953" s="1">
        <f t="shared" si="73"/>
        <v>190.9685838037241</v>
      </c>
      <c r="N953" s="7">
        <f t="shared" si="74"/>
        <v>190.9685838037241</v>
      </c>
    </row>
    <row r="954" spans="1:14" x14ac:dyDescent="0.25">
      <c r="A954" t="str">
        <f>"14:06:15.344"</f>
        <v>14:06:15.344</v>
      </c>
      <c r="B954">
        <v>39.413451999999999</v>
      </c>
      <c r="C954">
        <v>-76.924960999999996</v>
      </c>
      <c r="D954">
        <v>8700</v>
      </c>
      <c r="E954">
        <v>9025</v>
      </c>
      <c r="F954">
        <v>170</v>
      </c>
      <c r="G954">
        <v>87</v>
      </c>
      <c r="H954">
        <v>0</v>
      </c>
      <c r="J954" s="1">
        <f t="shared" si="70"/>
        <v>28900</v>
      </c>
      <c r="K954" s="1">
        <f t="shared" si="71"/>
        <v>7569</v>
      </c>
      <c r="L954" s="1">
        <f t="shared" si="72"/>
        <v>36469</v>
      </c>
      <c r="M954" s="1">
        <f t="shared" si="73"/>
        <v>190.9685838037241</v>
      </c>
      <c r="N954" s="7">
        <f t="shared" si="74"/>
        <v>190.9685838037241</v>
      </c>
    </row>
    <row r="955" spans="1:14" x14ac:dyDescent="0.25">
      <c r="A955" t="str">
        <f>"14:06:16.203"</f>
        <v>14:06:16.203</v>
      </c>
      <c r="B955">
        <v>39.413817000000002</v>
      </c>
      <c r="C955">
        <v>-76.924015999999995</v>
      </c>
      <c r="D955">
        <v>8700</v>
      </c>
      <c r="E955">
        <v>9025</v>
      </c>
      <c r="F955">
        <v>170</v>
      </c>
      <c r="G955">
        <v>87</v>
      </c>
      <c r="H955">
        <v>0</v>
      </c>
      <c r="J955" s="1">
        <f t="shared" si="70"/>
        <v>28900</v>
      </c>
      <c r="K955" s="1">
        <f t="shared" si="71"/>
        <v>7569</v>
      </c>
      <c r="L955" s="1">
        <f t="shared" si="72"/>
        <v>36469</v>
      </c>
      <c r="M955" s="1">
        <f t="shared" si="73"/>
        <v>190.9685838037241</v>
      </c>
      <c r="N955" s="7">
        <f t="shared" si="74"/>
        <v>190.9685838037241</v>
      </c>
    </row>
    <row r="956" spans="1:14" x14ac:dyDescent="0.25">
      <c r="A956" t="str">
        <f>"14:06:17.164"</f>
        <v>14:06:17.164</v>
      </c>
      <c r="B956">
        <v>39.414245999999999</v>
      </c>
      <c r="C956">
        <v>-76.922965000000005</v>
      </c>
      <c r="D956">
        <v>8700</v>
      </c>
      <c r="E956">
        <v>9025</v>
      </c>
      <c r="F956">
        <v>170</v>
      </c>
      <c r="G956">
        <v>87</v>
      </c>
      <c r="H956">
        <v>0</v>
      </c>
      <c r="J956" s="1">
        <f t="shared" si="70"/>
        <v>28900</v>
      </c>
      <c r="K956" s="1">
        <f t="shared" si="71"/>
        <v>7569</v>
      </c>
      <c r="L956" s="1">
        <f t="shared" si="72"/>
        <v>36469</v>
      </c>
      <c r="M956" s="1">
        <f t="shared" si="73"/>
        <v>190.9685838037241</v>
      </c>
      <c r="N956" s="7">
        <f t="shared" si="74"/>
        <v>190.9685838037241</v>
      </c>
    </row>
    <row r="957" spans="1:14" x14ac:dyDescent="0.25">
      <c r="A957" t="str">
        <f>"14:06:18.320"</f>
        <v>14:06:18.320</v>
      </c>
      <c r="B957">
        <v>39.414696999999997</v>
      </c>
      <c r="C957">
        <v>-76.921848999999995</v>
      </c>
      <c r="D957">
        <v>8700</v>
      </c>
      <c r="E957">
        <v>9025</v>
      </c>
      <c r="F957">
        <v>170</v>
      </c>
      <c r="G957">
        <v>86</v>
      </c>
      <c r="H957">
        <v>0</v>
      </c>
      <c r="J957" s="1">
        <f t="shared" si="70"/>
        <v>28900</v>
      </c>
      <c r="K957" s="1">
        <f t="shared" si="71"/>
        <v>7396</v>
      </c>
      <c r="L957" s="1">
        <f t="shared" si="72"/>
        <v>36296</v>
      </c>
      <c r="M957" s="1">
        <f t="shared" si="73"/>
        <v>190.51509126575775</v>
      </c>
      <c r="N957" s="7">
        <f t="shared" si="74"/>
        <v>190.51509126575775</v>
      </c>
    </row>
    <row r="958" spans="1:14" x14ac:dyDescent="0.25">
      <c r="A958" t="str">
        <f>"14:06:19.281"</f>
        <v>14:06:19.281</v>
      </c>
      <c r="B958">
        <v>39.415061000000001</v>
      </c>
      <c r="C958">
        <v>-76.920840999999996</v>
      </c>
      <c r="D958">
        <v>8700</v>
      </c>
      <c r="E958">
        <v>9025</v>
      </c>
      <c r="F958">
        <v>170</v>
      </c>
      <c r="G958">
        <v>86</v>
      </c>
      <c r="H958">
        <v>0</v>
      </c>
      <c r="J958" s="1">
        <f t="shared" si="70"/>
        <v>28900</v>
      </c>
      <c r="K958" s="1">
        <f t="shared" si="71"/>
        <v>7396</v>
      </c>
      <c r="L958" s="1">
        <f t="shared" si="72"/>
        <v>36296</v>
      </c>
      <c r="M958" s="1">
        <f t="shared" si="73"/>
        <v>190.51509126575775</v>
      </c>
      <c r="N958" s="7">
        <f t="shared" si="74"/>
        <v>190.51509126575775</v>
      </c>
    </row>
    <row r="959" spans="1:14" x14ac:dyDescent="0.25">
      <c r="A959" t="str">
        <f>"14:06:20.242"</f>
        <v>14:06:20.242</v>
      </c>
      <c r="B959">
        <v>39.415469000000002</v>
      </c>
      <c r="C959">
        <v>-76.919810999999996</v>
      </c>
      <c r="D959">
        <v>8700</v>
      </c>
      <c r="E959">
        <v>9025</v>
      </c>
      <c r="F959">
        <v>170</v>
      </c>
      <c r="G959">
        <v>86</v>
      </c>
      <c r="H959">
        <v>0</v>
      </c>
      <c r="J959" s="1">
        <f t="shared" si="70"/>
        <v>28900</v>
      </c>
      <c r="K959" s="1">
        <f t="shared" si="71"/>
        <v>7396</v>
      </c>
      <c r="L959" s="1">
        <f t="shared" si="72"/>
        <v>36296</v>
      </c>
      <c r="M959" s="1">
        <f t="shared" si="73"/>
        <v>190.51509126575775</v>
      </c>
      <c r="N959" s="7">
        <f t="shared" si="74"/>
        <v>190.51509126575775</v>
      </c>
    </row>
    <row r="960" spans="1:14" x14ac:dyDescent="0.25">
      <c r="A960" t="str">
        <f>"14:06:21.195"</f>
        <v>14:06:21.195</v>
      </c>
      <c r="B960">
        <v>39.415833999999997</v>
      </c>
      <c r="C960">
        <v>-76.918952000000004</v>
      </c>
      <c r="D960">
        <v>8700</v>
      </c>
      <c r="E960">
        <v>9025</v>
      </c>
      <c r="F960">
        <v>170</v>
      </c>
      <c r="G960">
        <v>86</v>
      </c>
      <c r="H960">
        <v>0</v>
      </c>
      <c r="J960" s="1">
        <f t="shared" si="70"/>
        <v>28900</v>
      </c>
      <c r="K960" s="1">
        <f t="shared" si="71"/>
        <v>7396</v>
      </c>
      <c r="L960" s="1">
        <f t="shared" si="72"/>
        <v>36296</v>
      </c>
      <c r="M960" s="1">
        <f t="shared" si="73"/>
        <v>190.51509126575775</v>
      </c>
      <c r="N960" s="7">
        <f t="shared" si="74"/>
        <v>190.51509126575775</v>
      </c>
    </row>
    <row r="961" spans="1:14" x14ac:dyDescent="0.25">
      <c r="A961" t="str">
        <f>"14:06:22.211"</f>
        <v>14:06:22.211</v>
      </c>
      <c r="B961">
        <v>39.416241999999997</v>
      </c>
      <c r="C961">
        <v>-76.917901000000001</v>
      </c>
      <c r="D961">
        <v>8700</v>
      </c>
      <c r="E961">
        <v>9025</v>
      </c>
      <c r="F961">
        <v>170</v>
      </c>
      <c r="G961">
        <v>86</v>
      </c>
      <c r="H961">
        <v>0</v>
      </c>
      <c r="J961" s="1">
        <f t="shared" si="70"/>
        <v>28900</v>
      </c>
      <c r="K961" s="1">
        <f t="shared" si="71"/>
        <v>7396</v>
      </c>
      <c r="L961" s="1">
        <f t="shared" si="72"/>
        <v>36296</v>
      </c>
      <c r="M961" s="1">
        <f t="shared" si="73"/>
        <v>190.51509126575775</v>
      </c>
      <c r="N961" s="7">
        <f t="shared" si="74"/>
        <v>190.51509126575775</v>
      </c>
    </row>
    <row r="962" spans="1:14" x14ac:dyDescent="0.25">
      <c r="A962" t="str">
        <f>"14:06:23.172"</f>
        <v>14:06:23.172</v>
      </c>
      <c r="B962">
        <v>39.416628000000003</v>
      </c>
      <c r="C962">
        <v>-76.916871</v>
      </c>
      <c r="D962">
        <v>8700</v>
      </c>
      <c r="E962">
        <v>9025</v>
      </c>
      <c r="F962">
        <v>170</v>
      </c>
      <c r="G962">
        <v>86</v>
      </c>
      <c r="H962">
        <v>0</v>
      </c>
      <c r="J962" s="1">
        <f t="shared" si="70"/>
        <v>28900</v>
      </c>
      <c r="K962" s="1">
        <f t="shared" si="71"/>
        <v>7396</v>
      </c>
      <c r="L962" s="1">
        <f t="shared" si="72"/>
        <v>36296</v>
      </c>
      <c r="M962" s="1">
        <f t="shared" si="73"/>
        <v>190.51509126575775</v>
      </c>
      <c r="N962" s="7">
        <f t="shared" si="74"/>
        <v>190.51509126575775</v>
      </c>
    </row>
    <row r="963" spans="1:14" x14ac:dyDescent="0.25">
      <c r="A963" t="str">
        <f>"14:06:24.125"</f>
        <v>14:06:24.125</v>
      </c>
      <c r="B963">
        <v>39.416970999999997</v>
      </c>
      <c r="C963">
        <v>-76.915991000000005</v>
      </c>
      <c r="D963">
        <v>8700</v>
      </c>
      <c r="E963">
        <v>9025</v>
      </c>
      <c r="F963">
        <v>171</v>
      </c>
      <c r="G963">
        <v>86</v>
      </c>
      <c r="H963">
        <v>0</v>
      </c>
      <c r="J963" s="1">
        <f t="shared" ref="J963:J1026" si="75">F963^2</f>
        <v>29241</v>
      </c>
      <c r="K963" s="1">
        <f t="shared" ref="K963:K1026" si="76">G963^2</f>
        <v>7396</v>
      </c>
      <c r="L963" s="1">
        <f t="shared" ref="L963:L1026" si="77">SUMSQ(F963,G963)</f>
        <v>36637</v>
      </c>
      <c r="M963" s="1">
        <f t="shared" ref="M963:M1026" si="78">SQRT(L963)</f>
        <v>191.40794131905812</v>
      </c>
      <c r="N963" s="7">
        <f t="shared" ref="N963:N1026" si="79">M963</f>
        <v>191.40794131905812</v>
      </c>
    </row>
    <row r="964" spans="1:14" x14ac:dyDescent="0.25">
      <c r="A964" t="str">
        <f>"14:06:25.234"</f>
        <v>14:06:25.234</v>
      </c>
      <c r="B964">
        <v>39.417465</v>
      </c>
      <c r="C964">
        <v>-76.914854000000005</v>
      </c>
      <c r="D964">
        <v>8700</v>
      </c>
      <c r="E964">
        <v>9025</v>
      </c>
      <c r="F964">
        <v>170</v>
      </c>
      <c r="G964">
        <v>86</v>
      </c>
      <c r="H964">
        <v>0</v>
      </c>
      <c r="J964" s="1">
        <f t="shared" si="75"/>
        <v>28900</v>
      </c>
      <c r="K964" s="1">
        <f t="shared" si="76"/>
        <v>7396</v>
      </c>
      <c r="L964" s="1">
        <f t="shared" si="77"/>
        <v>36296</v>
      </c>
      <c r="M964" s="1">
        <f t="shared" si="78"/>
        <v>190.51509126575775</v>
      </c>
      <c r="N964" s="7">
        <f t="shared" si="79"/>
        <v>190.51509126575775</v>
      </c>
    </row>
    <row r="965" spans="1:14" x14ac:dyDescent="0.25">
      <c r="A965" t="str">
        <f>"14:06:26.195"</f>
        <v>14:06:26.195</v>
      </c>
      <c r="B965">
        <v>39.417808000000001</v>
      </c>
      <c r="C965">
        <v>-76.913973999999996</v>
      </c>
      <c r="D965">
        <v>8700</v>
      </c>
      <c r="E965">
        <v>9025</v>
      </c>
      <c r="F965">
        <v>170</v>
      </c>
      <c r="G965">
        <v>86</v>
      </c>
      <c r="H965">
        <v>0</v>
      </c>
      <c r="J965" s="1">
        <f t="shared" si="75"/>
        <v>28900</v>
      </c>
      <c r="K965" s="1">
        <f t="shared" si="76"/>
        <v>7396</v>
      </c>
      <c r="L965" s="1">
        <f t="shared" si="77"/>
        <v>36296</v>
      </c>
      <c r="M965" s="1">
        <f t="shared" si="78"/>
        <v>190.51509126575775</v>
      </c>
      <c r="N965" s="7">
        <f t="shared" si="79"/>
        <v>190.51509126575775</v>
      </c>
    </row>
    <row r="966" spans="1:14" x14ac:dyDescent="0.25">
      <c r="A966" t="str">
        <f>"14:06:27.203"</f>
        <v>14:06:27.203</v>
      </c>
      <c r="B966">
        <v>39.418236999999998</v>
      </c>
      <c r="C966">
        <v>-76.912836999999996</v>
      </c>
      <c r="D966">
        <v>8700</v>
      </c>
      <c r="E966">
        <v>9025</v>
      </c>
      <c r="F966">
        <v>170</v>
      </c>
      <c r="G966">
        <v>87</v>
      </c>
      <c r="H966">
        <v>0</v>
      </c>
      <c r="J966" s="1">
        <f t="shared" si="75"/>
        <v>28900</v>
      </c>
      <c r="K966" s="1">
        <f t="shared" si="76"/>
        <v>7569</v>
      </c>
      <c r="L966" s="1">
        <f t="shared" si="77"/>
        <v>36469</v>
      </c>
      <c r="M966" s="1">
        <f t="shared" si="78"/>
        <v>190.9685838037241</v>
      </c>
      <c r="N966" s="7">
        <f t="shared" si="79"/>
        <v>190.9685838037241</v>
      </c>
    </row>
    <row r="967" spans="1:14" x14ac:dyDescent="0.25">
      <c r="A967" t="str">
        <f>"14:06:28.063"</f>
        <v>14:06:28.063</v>
      </c>
      <c r="B967">
        <v>39.418581000000003</v>
      </c>
      <c r="C967">
        <v>-76.911871000000005</v>
      </c>
      <c r="D967">
        <v>8700</v>
      </c>
      <c r="E967">
        <v>9025</v>
      </c>
      <c r="F967">
        <v>170</v>
      </c>
      <c r="G967">
        <v>87</v>
      </c>
      <c r="H967">
        <v>0</v>
      </c>
      <c r="J967" s="1">
        <f t="shared" si="75"/>
        <v>28900</v>
      </c>
      <c r="K967" s="1">
        <f t="shared" si="76"/>
        <v>7569</v>
      </c>
      <c r="L967" s="1">
        <f t="shared" si="77"/>
        <v>36469</v>
      </c>
      <c r="M967" s="1">
        <f t="shared" si="78"/>
        <v>190.9685838037241</v>
      </c>
      <c r="N967" s="7">
        <f t="shared" si="79"/>
        <v>190.9685838037241</v>
      </c>
    </row>
    <row r="968" spans="1:14" x14ac:dyDescent="0.25">
      <c r="A968" t="str">
        <f>"14:06:28.922"</f>
        <v>14:06:28.922</v>
      </c>
      <c r="B968">
        <v>39.418902000000003</v>
      </c>
      <c r="C968">
        <v>-76.911098999999993</v>
      </c>
      <c r="D968">
        <v>8700</v>
      </c>
      <c r="E968">
        <v>9025</v>
      </c>
      <c r="F968">
        <v>170</v>
      </c>
      <c r="G968">
        <v>87</v>
      </c>
      <c r="H968">
        <v>0</v>
      </c>
      <c r="J968" s="1">
        <f t="shared" si="75"/>
        <v>28900</v>
      </c>
      <c r="K968" s="1">
        <f t="shared" si="76"/>
        <v>7569</v>
      </c>
      <c r="L968" s="1">
        <f t="shared" si="77"/>
        <v>36469</v>
      </c>
      <c r="M968" s="1">
        <f t="shared" si="78"/>
        <v>190.9685838037241</v>
      </c>
      <c r="N968" s="7">
        <f t="shared" si="79"/>
        <v>190.9685838037241</v>
      </c>
    </row>
    <row r="969" spans="1:14" x14ac:dyDescent="0.25">
      <c r="A969" t="str">
        <f>"14:06:29.977"</f>
        <v>14:06:29.977</v>
      </c>
      <c r="B969">
        <v>39.419373999999998</v>
      </c>
      <c r="C969">
        <v>-76.909982999999997</v>
      </c>
      <c r="D969">
        <v>8700</v>
      </c>
      <c r="E969">
        <v>9025</v>
      </c>
      <c r="F969">
        <v>170</v>
      </c>
      <c r="G969">
        <v>87</v>
      </c>
      <c r="H969">
        <v>0</v>
      </c>
      <c r="J969" s="1">
        <f t="shared" si="75"/>
        <v>28900</v>
      </c>
      <c r="K969" s="1">
        <f t="shared" si="76"/>
        <v>7569</v>
      </c>
      <c r="L969" s="1">
        <f t="shared" si="77"/>
        <v>36469</v>
      </c>
      <c r="M969" s="1">
        <f t="shared" si="78"/>
        <v>190.9685838037241</v>
      </c>
      <c r="N969" s="7">
        <f t="shared" si="79"/>
        <v>190.9685838037241</v>
      </c>
    </row>
    <row r="970" spans="1:14" x14ac:dyDescent="0.25">
      <c r="A970" t="str">
        <f>"14:06:30.938"</f>
        <v>14:06:30.938</v>
      </c>
      <c r="B970">
        <v>39.419718000000003</v>
      </c>
      <c r="C970">
        <v>-76.909081999999998</v>
      </c>
      <c r="D970">
        <v>8700</v>
      </c>
      <c r="E970">
        <v>9025</v>
      </c>
      <c r="F970">
        <v>170</v>
      </c>
      <c r="G970">
        <v>88</v>
      </c>
      <c r="H970">
        <v>0</v>
      </c>
      <c r="J970" s="1">
        <f t="shared" si="75"/>
        <v>28900</v>
      </c>
      <c r="K970" s="1">
        <f t="shared" si="76"/>
        <v>7744</v>
      </c>
      <c r="L970" s="1">
        <f t="shared" si="77"/>
        <v>36644</v>
      </c>
      <c r="M970" s="1">
        <f t="shared" si="78"/>
        <v>191.42622599842477</v>
      </c>
      <c r="N970" s="7">
        <f t="shared" si="79"/>
        <v>191.42622599842477</v>
      </c>
    </row>
    <row r="971" spans="1:14" x14ac:dyDescent="0.25">
      <c r="A971" t="str">
        <f>"14:06:31.844"</f>
        <v>14:06:31.844</v>
      </c>
      <c r="B971">
        <v>39.420104000000002</v>
      </c>
      <c r="C971">
        <v>-76.908137999999994</v>
      </c>
      <c r="D971">
        <v>8700</v>
      </c>
      <c r="E971">
        <v>9025</v>
      </c>
      <c r="F971">
        <v>170</v>
      </c>
      <c r="G971">
        <v>88</v>
      </c>
      <c r="H971">
        <v>0</v>
      </c>
      <c r="J971" s="1">
        <f t="shared" si="75"/>
        <v>28900</v>
      </c>
      <c r="K971" s="1">
        <f t="shared" si="76"/>
        <v>7744</v>
      </c>
      <c r="L971" s="1">
        <f t="shared" si="77"/>
        <v>36644</v>
      </c>
      <c r="M971" s="1">
        <f t="shared" si="78"/>
        <v>191.42622599842477</v>
      </c>
      <c r="N971" s="7">
        <f t="shared" si="79"/>
        <v>191.42622599842477</v>
      </c>
    </row>
    <row r="972" spans="1:14" x14ac:dyDescent="0.25">
      <c r="A972" t="str">
        <f>"14:06:32.703"</f>
        <v>14:06:32.703</v>
      </c>
      <c r="B972">
        <v>39.420447000000003</v>
      </c>
      <c r="C972">
        <v>-76.907214999999994</v>
      </c>
      <c r="D972">
        <v>8700</v>
      </c>
      <c r="E972">
        <v>9025</v>
      </c>
      <c r="F972">
        <v>170</v>
      </c>
      <c r="G972">
        <v>88</v>
      </c>
      <c r="H972">
        <v>0</v>
      </c>
      <c r="J972" s="1">
        <f t="shared" si="75"/>
        <v>28900</v>
      </c>
      <c r="K972" s="1">
        <f t="shared" si="76"/>
        <v>7744</v>
      </c>
      <c r="L972" s="1">
        <f t="shared" si="77"/>
        <v>36644</v>
      </c>
      <c r="M972" s="1">
        <f t="shared" si="78"/>
        <v>191.42622599842477</v>
      </c>
      <c r="N972" s="7">
        <f t="shared" si="79"/>
        <v>191.42622599842477</v>
      </c>
    </row>
    <row r="973" spans="1:14" x14ac:dyDescent="0.25">
      <c r="A973" t="str">
        <f>"14:06:33.563"</f>
        <v>14:06:33.563</v>
      </c>
      <c r="B973">
        <v>39.420855000000003</v>
      </c>
      <c r="C973">
        <v>-76.906313999999995</v>
      </c>
      <c r="D973">
        <v>8700</v>
      </c>
      <c r="E973">
        <v>9025</v>
      </c>
      <c r="F973">
        <v>170</v>
      </c>
      <c r="G973">
        <v>88</v>
      </c>
      <c r="H973">
        <v>0</v>
      </c>
      <c r="J973" s="1">
        <f t="shared" si="75"/>
        <v>28900</v>
      </c>
      <c r="K973" s="1">
        <f t="shared" si="76"/>
        <v>7744</v>
      </c>
      <c r="L973" s="1">
        <f t="shared" si="77"/>
        <v>36644</v>
      </c>
      <c r="M973" s="1">
        <f t="shared" si="78"/>
        <v>191.42622599842477</v>
      </c>
      <c r="N973" s="7">
        <f t="shared" si="79"/>
        <v>191.42622599842477</v>
      </c>
    </row>
    <row r="974" spans="1:14" x14ac:dyDescent="0.25">
      <c r="A974" t="str">
        <f>"14:06:34.570"</f>
        <v>14:06:34.570</v>
      </c>
      <c r="B974">
        <v>39.421219999999998</v>
      </c>
      <c r="C974">
        <v>-76.905327</v>
      </c>
      <c r="D974">
        <v>8700</v>
      </c>
      <c r="E974">
        <v>9025</v>
      </c>
      <c r="F974">
        <v>169</v>
      </c>
      <c r="G974">
        <v>89</v>
      </c>
      <c r="H974">
        <v>0</v>
      </c>
      <c r="J974" s="1">
        <f t="shared" si="75"/>
        <v>28561</v>
      </c>
      <c r="K974" s="1">
        <f t="shared" si="76"/>
        <v>7921</v>
      </c>
      <c r="L974" s="1">
        <f t="shared" si="77"/>
        <v>36482</v>
      </c>
      <c r="M974" s="1">
        <f t="shared" si="78"/>
        <v>191.00261778310789</v>
      </c>
      <c r="N974" s="7">
        <f t="shared" si="79"/>
        <v>191.00261778310789</v>
      </c>
    </row>
    <row r="975" spans="1:14" x14ac:dyDescent="0.25">
      <c r="A975" t="str">
        <f>"14:06:35.586"</f>
        <v>14:06:35.586</v>
      </c>
      <c r="B975">
        <v>39.421649000000002</v>
      </c>
      <c r="C975">
        <v>-76.904297</v>
      </c>
      <c r="D975">
        <v>8700</v>
      </c>
      <c r="E975">
        <v>9025</v>
      </c>
      <c r="F975">
        <v>169</v>
      </c>
      <c r="G975">
        <v>89</v>
      </c>
      <c r="H975">
        <v>0</v>
      </c>
      <c r="J975" s="1">
        <f t="shared" si="75"/>
        <v>28561</v>
      </c>
      <c r="K975" s="1">
        <f t="shared" si="76"/>
        <v>7921</v>
      </c>
      <c r="L975" s="1">
        <f t="shared" si="77"/>
        <v>36482</v>
      </c>
      <c r="M975" s="1">
        <f t="shared" si="78"/>
        <v>191.00261778310789</v>
      </c>
      <c r="N975" s="7">
        <f t="shared" si="79"/>
        <v>191.00261778310789</v>
      </c>
    </row>
    <row r="976" spans="1:14" x14ac:dyDescent="0.25">
      <c r="A976" t="str">
        <f>"14:06:36.539"</f>
        <v>14:06:36.539</v>
      </c>
      <c r="B976">
        <v>39.422013999999997</v>
      </c>
      <c r="C976">
        <v>-76.903396000000001</v>
      </c>
      <c r="D976">
        <v>8700</v>
      </c>
      <c r="E976">
        <v>9025</v>
      </c>
      <c r="F976">
        <v>169</v>
      </c>
      <c r="G976">
        <v>89</v>
      </c>
      <c r="H976">
        <v>0</v>
      </c>
      <c r="J976" s="1">
        <f t="shared" si="75"/>
        <v>28561</v>
      </c>
      <c r="K976" s="1">
        <f t="shared" si="76"/>
        <v>7921</v>
      </c>
      <c r="L976" s="1">
        <f t="shared" si="77"/>
        <v>36482</v>
      </c>
      <c r="M976" s="1">
        <f t="shared" si="78"/>
        <v>191.00261778310789</v>
      </c>
      <c r="N976" s="7">
        <f t="shared" si="79"/>
        <v>191.00261778310789</v>
      </c>
    </row>
    <row r="977" spans="1:14" x14ac:dyDescent="0.25">
      <c r="A977" t="str">
        <f>"14:06:37.500"</f>
        <v>14:06:37.500</v>
      </c>
      <c r="B977">
        <v>39.422421</v>
      </c>
      <c r="C977">
        <v>-76.902387000000004</v>
      </c>
      <c r="D977">
        <v>8700</v>
      </c>
      <c r="E977">
        <v>9025</v>
      </c>
      <c r="F977">
        <v>169</v>
      </c>
      <c r="G977">
        <v>90</v>
      </c>
      <c r="H977">
        <v>0</v>
      </c>
      <c r="J977" s="1">
        <f t="shared" si="75"/>
        <v>28561</v>
      </c>
      <c r="K977" s="1">
        <f t="shared" si="76"/>
        <v>8100</v>
      </c>
      <c r="L977" s="1">
        <f t="shared" si="77"/>
        <v>36661</v>
      </c>
      <c r="M977" s="1">
        <f t="shared" si="78"/>
        <v>191.47062437878037</v>
      </c>
      <c r="N977" s="7">
        <f t="shared" si="79"/>
        <v>191.47062437878037</v>
      </c>
    </row>
    <row r="978" spans="1:14" x14ac:dyDescent="0.25">
      <c r="A978" t="str">
        <f>"14:06:38.508"</f>
        <v>14:06:38.508</v>
      </c>
      <c r="B978">
        <v>39.422871999999998</v>
      </c>
      <c r="C978">
        <v>-76.901379000000006</v>
      </c>
      <c r="D978">
        <v>8700</v>
      </c>
      <c r="E978">
        <v>9025</v>
      </c>
      <c r="F978">
        <v>169</v>
      </c>
      <c r="G978">
        <v>90</v>
      </c>
      <c r="H978">
        <v>-64</v>
      </c>
      <c r="J978" s="1">
        <f t="shared" si="75"/>
        <v>28561</v>
      </c>
      <c r="K978" s="1">
        <f t="shared" si="76"/>
        <v>8100</v>
      </c>
      <c r="L978" s="1">
        <f t="shared" si="77"/>
        <v>36661</v>
      </c>
      <c r="M978" s="1">
        <f t="shared" si="78"/>
        <v>191.47062437878037</v>
      </c>
      <c r="N978" s="7">
        <f t="shared" si="79"/>
        <v>191.47062437878037</v>
      </c>
    </row>
    <row r="979" spans="1:14" x14ac:dyDescent="0.25">
      <c r="A979" t="str">
        <f>"14:06:39.367"</f>
        <v>14:06:39.367</v>
      </c>
      <c r="B979">
        <v>39.423237</v>
      </c>
      <c r="C979">
        <v>-76.900456000000005</v>
      </c>
      <c r="D979">
        <v>8700</v>
      </c>
      <c r="E979">
        <v>9025</v>
      </c>
      <c r="F979">
        <v>169</v>
      </c>
      <c r="G979">
        <v>90</v>
      </c>
      <c r="H979">
        <v>-64</v>
      </c>
      <c r="J979" s="1">
        <f t="shared" si="75"/>
        <v>28561</v>
      </c>
      <c r="K979" s="1">
        <f t="shared" si="76"/>
        <v>8100</v>
      </c>
      <c r="L979" s="1">
        <f t="shared" si="77"/>
        <v>36661</v>
      </c>
      <c r="M979" s="1">
        <f t="shared" si="78"/>
        <v>191.47062437878037</v>
      </c>
      <c r="N979" s="7">
        <f t="shared" si="79"/>
        <v>191.47062437878037</v>
      </c>
    </row>
    <row r="980" spans="1:14" x14ac:dyDescent="0.25">
      <c r="A980" t="str">
        <f>"14:06:40.227"</f>
        <v>14:06:40.227</v>
      </c>
      <c r="B980">
        <v>39.423558999999997</v>
      </c>
      <c r="C980">
        <v>-76.899662000000006</v>
      </c>
      <c r="D980">
        <v>8700</v>
      </c>
      <c r="E980">
        <v>9025</v>
      </c>
      <c r="F980">
        <v>169</v>
      </c>
      <c r="G980">
        <v>90</v>
      </c>
      <c r="H980">
        <v>-64</v>
      </c>
      <c r="J980" s="1">
        <f t="shared" si="75"/>
        <v>28561</v>
      </c>
      <c r="K980" s="1">
        <f t="shared" si="76"/>
        <v>8100</v>
      </c>
      <c r="L980" s="1">
        <f t="shared" si="77"/>
        <v>36661</v>
      </c>
      <c r="M980" s="1">
        <f t="shared" si="78"/>
        <v>191.47062437878037</v>
      </c>
      <c r="N980" s="7">
        <f t="shared" si="79"/>
        <v>191.47062437878037</v>
      </c>
    </row>
    <row r="981" spans="1:14" x14ac:dyDescent="0.25">
      <c r="A981" t="str">
        <f>"14:06:41.336"</f>
        <v>14:06:41.336</v>
      </c>
      <c r="B981">
        <v>39.424030999999999</v>
      </c>
      <c r="C981">
        <v>-76.898567999999997</v>
      </c>
      <c r="D981">
        <v>8700</v>
      </c>
      <c r="E981">
        <v>9025</v>
      </c>
      <c r="F981">
        <v>169</v>
      </c>
      <c r="G981">
        <v>90</v>
      </c>
      <c r="H981">
        <v>-64</v>
      </c>
      <c r="J981" s="1">
        <f t="shared" si="75"/>
        <v>28561</v>
      </c>
      <c r="K981" s="1">
        <f t="shared" si="76"/>
        <v>8100</v>
      </c>
      <c r="L981" s="1">
        <f t="shared" si="77"/>
        <v>36661</v>
      </c>
      <c r="M981" s="1">
        <f t="shared" si="78"/>
        <v>191.47062437878037</v>
      </c>
      <c r="N981" s="7">
        <f t="shared" si="79"/>
        <v>191.47062437878037</v>
      </c>
    </row>
    <row r="982" spans="1:14" x14ac:dyDescent="0.25">
      <c r="A982" t="str">
        <f>"14:06:42.492"</f>
        <v>14:06:42.492</v>
      </c>
      <c r="B982">
        <v>39.424481</v>
      </c>
      <c r="C982">
        <v>-76.897452000000001</v>
      </c>
      <c r="D982">
        <v>8700</v>
      </c>
      <c r="E982">
        <v>9025</v>
      </c>
      <c r="F982">
        <v>169</v>
      </c>
      <c r="G982">
        <v>91</v>
      </c>
      <c r="H982">
        <v>-64</v>
      </c>
      <c r="J982" s="1">
        <f t="shared" si="75"/>
        <v>28561</v>
      </c>
      <c r="K982" s="1">
        <f t="shared" si="76"/>
        <v>8281</v>
      </c>
      <c r="L982" s="1">
        <f t="shared" si="77"/>
        <v>36842</v>
      </c>
      <c r="M982" s="1">
        <f t="shared" si="78"/>
        <v>191.94269978303421</v>
      </c>
      <c r="N982" s="7">
        <f t="shared" si="79"/>
        <v>191.94269978303421</v>
      </c>
    </row>
    <row r="983" spans="1:14" x14ac:dyDescent="0.25">
      <c r="A983" t="str">
        <f>"14:06:43.453"</f>
        <v>14:06:43.453</v>
      </c>
      <c r="B983">
        <v>39.424931999999998</v>
      </c>
      <c r="C983">
        <v>-76.896358000000006</v>
      </c>
      <c r="D983">
        <v>8700</v>
      </c>
      <c r="E983">
        <v>9025</v>
      </c>
      <c r="F983">
        <v>169</v>
      </c>
      <c r="G983">
        <v>91</v>
      </c>
      <c r="H983">
        <v>-64</v>
      </c>
      <c r="J983" s="1">
        <f t="shared" si="75"/>
        <v>28561</v>
      </c>
      <c r="K983" s="1">
        <f t="shared" si="76"/>
        <v>8281</v>
      </c>
      <c r="L983" s="1">
        <f t="shared" si="77"/>
        <v>36842</v>
      </c>
      <c r="M983" s="1">
        <f t="shared" si="78"/>
        <v>191.94269978303421</v>
      </c>
      <c r="N983" s="7">
        <f t="shared" si="79"/>
        <v>191.94269978303421</v>
      </c>
    </row>
    <row r="984" spans="1:14" x14ac:dyDescent="0.25">
      <c r="A984" t="str">
        <f>"14:06:44.516"</f>
        <v>14:06:44.516</v>
      </c>
      <c r="B984">
        <v>39.425361000000002</v>
      </c>
      <c r="C984">
        <v>-76.895348999999996</v>
      </c>
      <c r="D984">
        <v>8700</v>
      </c>
      <c r="E984">
        <v>9025</v>
      </c>
      <c r="F984">
        <v>169</v>
      </c>
      <c r="G984">
        <v>91</v>
      </c>
      <c r="H984">
        <v>-64</v>
      </c>
      <c r="J984" s="1">
        <f t="shared" si="75"/>
        <v>28561</v>
      </c>
      <c r="K984" s="1">
        <f t="shared" si="76"/>
        <v>8281</v>
      </c>
      <c r="L984" s="1">
        <f t="shared" si="77"/>
        <v>36842</v>
      </c>
      <c r="M984" s="1">
        <f t="shared" si="78"/>
        <v>191.94269978303421</v>
      </c>
      <c r="N984" s="7">
        <f t="shared" si="79"/>
        <v>191.94269978303421</v>
      </c>
    </row>
    <row r="985" spans="1:14" x14ac:dyDescent="0.25">
      <c r="A985" t="str">
        <f>"14:06:45.477"</f>
        <v>14:06:45.477</v>
      </c>
      <c r="B985">
        <v>39.425812000000001</v>
      </c>
      <c r="C985">
        <v>-76.894318999999996</v>
      </c>
      <c r="D985">
        <v>8700</v>
      </c>
      <c r="E985">
        <v>9025</v>
      </c>
      <c r="F985">
        <v>169</v>
      </c>
      <c r="G985">
        <v>91</v>
      </c>
      <c r="H985">
        <v>-64</v>
      </c>
      <c r="J985" s="1">
        <f t="shared" si="75"/>
        <v>28561</v>
      </c>
      <c r="K985" s="1">
        <f t="shared" si="76"/>
        <v>8281</v>
      </c>
      <c r="L985" s="1">
        <f t="shared" si="77"/>
        <v>36842</v>
      </c>
      <c r="M985" s="1">
        <f t="shared" si="78"/>
        <v>191.94269978303421</v>
      </c>
      <c r="N985" s="7">
        <f t="shared" si="79"/>
        <v>191.94269978303421</v>
      </c>
    </row>
    <row r="986" spans="1:14" x14ac:dyDescent="0.25">
      <c r="A986" t="str">
        <f>"14:06:46.430"</f>
        <v>14:06:46.430</v>
      </c>
      <c r="B986">
        <v>39.426155000000001</v>
      </c>
      <c r="C986">
        <v>-76.893439000000001</v>
      </c>
      <c r="D986">
        <v>8700</v>
      </c>
      <c r="E986">
        <v>9025</v>
      </c>
      <c r="F986">
        <v>169</v>
      </c>
      <c r="G986">
        <v>91</v>
      </c>
      <c r="H986">
        <v>-64</v>
      </c>
      <c r="J986" s="1">
        <f t="shared" si="75"/>
        <v>28561</v>
      </c>
      <c r="K986" s="1">
        <f t="shared" si="76"/>
        <v>8281</v>
      </c>
      <c r="L986" s="1">
        <f t="shared" si="77"/>
        <v>36842</v>
      </c>
      <c r="M986" s="1">
        <f t="shared" si="78"/>
        <v>191.94269978303421</v>
      </c>
      <c r="N986" s="7">
        <f t="shared" si="79"/>
        <v>191.94269978303421</v>
      </c>
    </row>
    <row r="987" spans="1:14" x14ac:dyDescent="0.25">
      <c r="A987" t="str">
        <f>"14:06:47.344"</f>
        <v>14:06:47.344</v>
      </c>
      <c r="B987">
        <v>39.426583999999998</v>
      </c>
      <c r="C987">
        <v>-76.892387999999997</v>
      </c>
      <c r="D987">
        <v>8700</v>
      </c>
      <c r="E987">
        <v>9025</v>
      </c>
      <c r="F987">
        <v>169</v>
      </c>
      <c r="G987">
        <v>91</v>
      </c>
      <c r="H987">
        <v>-64</v>
      </c>
      <c r="J987" s="1">
        <f t="shared" si="75"/>
        <v>28561</v>
      </c>
      <c r="K987" s="1">
        <f t="shared" si="76"/>
        <v>8281</v>
      </c>
      <c r="L987" s="1">
        <f t="shared" si="77"/>
        <v>36842</v>
      </c>
      <c r="M987" s="1">
        <f t="shared" si="78"/>
        <v>191.94269978303421</v>
      </c>
      <c r="N987" s="7">
        <f t="shared" si="79"/>
        <v>191.94269978303421</v>
      </c>
    </row>
    <row r="988" spans="1:14" x14ac:dyDescent="0.25">
      <c r="A988" t="str">
        <f>"14:06:48.555"</f>
        <v>14:06:48.555</v>
      </c>
      <c r="B988">
        <v>39.427056</v>
      </c>
      <c r="C988">
        <v>-76.891272000000001</v>
      </c>
      <c r="D988">
        <v>8700</v>
      </c>
      <c r="E988">
        <v>9000</v>
      </c>
      <c r="F988">
        <v>169</v>
      </c>
      <c r="G988">
        <v>91</v>
      </c>
      <c r="H988">
        <v>0</v>
      </c>
      <c r="J988" s="1">
        <f t="shared" si="75"/>
        <v>28561</v>
      </c>
      <c r="K988" s="1">
        <f t="shared" si="76"/>
        <v>8281</v>
      </c>
      <c r="L988" s="1">
        <f t="shared" si="77"/>
        <v>36842</v>
      </c>
      <c r="M988" s="1">
        <f t="shared" si="78"/>
        <v>191.94269978303421</v>
      </c>
      <c r="N988" s="7">
        <f t="shared" si="79"/>
        <v>191.94269978303421</v>
      </c>
    </row>
    <row r="989" spans="1:14" x14ac:dyDescent="0.25">
      <c r="A989" t="str">
        <f>"14:06:49.563"</f>
        <v>14:06:49.563</v>
      </c>
      <c r="B989">
        <v>39.427506999999999</v>
      </c>
      <c r="C989">
        <v>-76.890264000000002</v>
      </c>
      <c r="D989">
        <v>8700</v>
      </c>
      <c r="E989">
        <v>9000</v>
      </c>
      <c r="F989">
        <v>169</v>
      </c>
      <c r="G989">
        <v>91</v>
      </c>
      <c r="H989">
        <v>0</v>
      </c>
      <c r="J989" s="1">
        <f t="shared" si="75"/>
        <v>28561</v>
      </c>
      <c r="K989" s="1">
        <f t="shared" si="76"/>
        <v>8281</v>
      </c>
      <c r="L989" s="1">
        <f t="shared" si="77"/>
        <v>36842</v>
      </c>
      <c r="M989" s="1">
        <f t="shared" si="78"/>
        <v>191.94269978303421</v>
      </c>
      <c r="N989" s="7">
        <f t="shared" si="79"/>
        <v>191.94269978303421</v>
      </c>
    </row>
    <row r="990" spans="1:14" x14ac:dyDescent="0.25">
      <c r="A990" t="str">
        <f>"14:06:50.516"</f>
        <v>14:06:50.516</v>
      </c>
      <c r="B990">
        <v>39.427914999999999</v>
      </c>
      <c r="C990">
        <v>-76.889255000000006</v>
      </c>
      <c r="D990">
        <v>8700</v>
      </c>
      <c r="E990">
        <v>9000</v>
      </c>
      <c r="F990">
        <v>169</v>
      </c>
      <c r="G990">
        <v>91</v>
      </c>
      <c r="H990">
        <v>0</v>
      </c>
      <c r="J990" s="1">
        <f t="shared" si="75"/>
        <v>28561</v>
      </c>
      <c r="K990" s="1">
        <f t="shared" si="76"/>
        <v>8281</v>
      </c>
      <c r="L990" s="1">
        <f t="shared" si="77"/>
        <v>36842</v>
      </c>
      <c r="M990" s="1">
        <f t="shared" si="78"/>
        <v>191.94269978303421</v>
      </c>
      <c r="N990" s="7">
        <f t="shared" si="79"/>
        <v>191.94269978303421</v>
      </c>
    </row>
    <row r="991" spans="1:14" x14ac:dyDescent="0.25">
      <c r="A991" t="str">
        <f>"14:06:51.578"</f>
        <v>14:06:51.578</v>
      </c>
      <c r="B991">
        <v>39.428387000000001</v>
      </c>
      <c r="C991">
        <v>-76.888182</v>
      </c>
      <c r="D991">
        <v>8700</v>
      </c>
      <c r="E991">
        <v>9025</v>
      </c>
      <c r="F991">
        <v>169</v>
      </c>
      <c r="G991">
        <v>91</v>
      </c>
      <c r="H991">
        <v>0</v>
      </c>
      <c r="J991" s="1">
        <f t="shared" si="75"/>
        <v>28561</v>
      </c>
      <c r="K991" s="1">
        <f t="shared" si="76"/>
        <v>8281</v>
      </c>
      <c r="L991" s="1">
        <f t="shared" si="77"/>
        <v>36842</v>
      </c>
      <c r="M991" s="1">
        <f t="shared" si="78"/>
        <v>191.94269978303421</v>
      </c>
      <c r="N991" s="7">
        <f t="shared" si="79"/>
        <v>191.94269978303421</v>
      </c>
    </row>
    <row r="992" spans="1:14" x14ac:dyDescent="0.25">
      <c r="A992" t="str">
        <f>"14:06:52.641"</f>
        <v>14:06:52.641</v>
      </c>
      <c r="B992">
        <v>39.428815999999998</v>
      </c>
      <c r="C992">
        <v>-76.887152</v>
      </c>
      <c r="D992">
        <v>8700</v>
      </c>
      <c r="E992">
        <v>9025</v>
      </c>
      <c r="F992">
        <v>169</v>
      </c>
      <c r="G992">
        <v>91</v>
      </c>
      <c r="H992">
        <v>64</v>
      </c>
      <c r="J992" s="1">
        <f t="shared" si="75"/>
        <v>28561</v>
      </c>
      <c r="K992" s="1">
        <f t="shared" si="76"/>
        <v>8281</v>
      </c>
      <c r="L992" s="1">
        <f t="shared" si="77"/>
        <v>36842</v>
      </c>
      <c r="M992" s="1">
        <f t="shared" si="78"/>
        <v>191.94269978303421</v>
      </c>
      <c r="N992" s="7">
        <f t="shared" si="79"/>
        <v>191.94269978303421</v>
      </c>
    </row>
    <row r="993" spans="1:14" x14ac:dyDescent="0.25">
      <c r="A993" t="str">
        <f>"14:06:53.695"</f>
        <v>14:06:53.695</v>
      </c>
      <c r="B993">
        <v>39.429245000000002</v>
      </c>
      <c r="C993">
        <v>-76.886036000000004</v>
      </c>
      <c r="D993">
        <v>8700</v>
      </c>
      <c r="E993">
        <v>9025</v>
      </c>
      <c r="F993">
        <v>169</v>
      </c>
      <c r="G993">
        <v>91</v>
      </c>
      <c r="H993">
        <v>64</v>
      </c>
      <c r="J993" s="1">
        <f t="shared" si="75"/>
        <v>28561</v>
      </c>
      <c r="K993" s="1">
        <f t="shared" si="76"/>
        <v>8281</v>
      </c>
      <c r="L993" s="1">
        <f t="shared" si="77"/>
        <v>36842</v>
      </c>
      <c r="M993" s="1">
        <f t="shared" si="78"/>
        <v>191.94269978303421</v>
      </c>
      <c r="N993" s="7">
        <f t="shared" si="79"/>
        <v>191.94269978303421</v>
      </c>
    </row>
    <row r="994" spans="1:14" x14ac:dyDescent="0.25">
      <c r="A994" t="str">
        <f>"14:06:54.813"</f>
        <v>14:06:54.813</v>
      </c>
      <c r="B994">
        <v>39.429696</v>
      </c>
      <c r="C994">
        <v>-76.884941999999995</v>
      </c>
      <c r="D994">
        <v>8700</v>
      </c>
      <c r="E994">
        <v>9025</v>
      </c>
      <c r="F994">
        <v>169</v>
      </c>
      <c r="G994">
        <v>91</v>
      </c>
      <c r="H994">
        <v>0</v>
      </c>
      <c r="J994" s="1">
        <f t="shared" si="75"/>
        <v>28561</v>
      </c>
      <c r="K994" s="1">
        <f t="shared" si="76"/>
        <v>8281</v>
      </c>
      <c r="L994" s="1">
        <f t="shared" si="77"/>
        <v>36842</v>
      </c>
      <c r="M994" s="1">
        <f t="shared" si="78"/>
        <v>191.94269978303421</v>
      </c>
      <c r="N994" s="7">
        <f t="shared" si="79"/>
        <v>191.94269978303421</v>
      </c>
    </row>
    <row r="995" spans="1:14" x14ac:dyDescent="0.25">
      <c r="A995" t="str">
        <f>"14:06:55.922"</f>
        <v>14:06:55.922</v>
      </c>
      <c r="B995">
        <v>39.430168000000002</v>
      </c>
      <c r="C995">
        <v>-76.883825999999999</v>
      </c>
      <c r="D995">
        <v>8700</v>
      </c>
      <c r="E995">
        <v>9025</v>
      </c>
      <c r="F995">
        <v>169</v>
      </c>
      <c r="G995">
        <v>90</v>
      </c>
      <c r="H995">
        <v>0</v>
      </c>
      <c r="J995" s="1">
        <f t="shared" si="75"/>
        <v>28561</v>
      </c>
      <c r="K995" s="1">
        <f t="shared" si="76"/>
        <v>8100</v>
      </c>
      <c r="L995" s="1">
        <f t="shared" si="77"/>
        <v>36661</v>
      </c>
      <c r="M995" s="1">
        <f t="shared" si="78"/>
        <v>191.47062437878037</v>
      </c>
      <c r="N995" s="7">
        <f t="shared" si="79"/>
        <v>191.47062437878037</v>
      </c>
    </row>
    <row r="996" spans="1:14" x14ac:dyDescent="0.25">
      <c r="A996" t="str">
        <f>"14:06:56.977"</f>
        <v>14:06:56.977</v>
      </c>
      <c r="B996">
        <v>39.430618000000003</v>
      </c>
      <c r="C996">
        <v>-76.882795999999999</v>
      </c>
      <c r="D996">
        <v>8700</v>
      </c>
      <c r="E996">
        <v>9025</v>
      </c>
      <c r="F996">
        <v>169</v>
      </c>
      <c r="G996">
        <v>90</v>
      </c>
      <c r="H996">
        <v>0</v>
      </c>
      <c r="J996" s="1">
        <f t="shared" si="75"/>
        <v>28561</v>
      </c>
      <c r="K996" s="1">
        <f t="shared" si="76"/>
        <v>8100</v>
      </c>
      <c r="L996" s="1">
        <f t="shared" si="77"/>
        <v>36661</v>
      </c>
      <c r="M996" s="1">
        <f t="shared" si="78"/>
        <v>191.47062437878037</v>
      </c>
      <c r="N996" s="7">
        <f t="shared" si="79"/>
        <v>191.47062437878037</v>
      </c>
    </row>
    <row r="997" spans="1:14" x14ac:dyDescent="0.25">
      <c r="A997" t="str">
        <f>"14:06:57.891"</f>
        <v>14:06:57.891</v>
      </c>
      <c r="B997">
        <v>39.431026000000003</v>
      </c>
      <c r="C997">
        <v>-76.881788</v>
      </c>
      <c r="D997">
        <v>8700</v>
      </c>
      <c r="E997">
        <v>9025</v>
      </c>
      <c r="F997">
        <v>169</v>
      </c>
      <c r="G997">
        <v>90</v>
      </c>
      <c r="H997">
        <v>0</v>
      </c>
      <c r="J997" s="1">
        <f t="shared" si="75"/>
        <v>28561</v>
      </c>
      <c r="K997" s="1">
        <f t="shared" si="76"/>
        <v>8100</v>
      </c>
      <c r="L997" s="1">
        <f t="shared" si="77"/>
        <v>36661</v>
      </c>
      <c r="M997" s="1">
        <f t="shared" si="78"/>
        <v>191.47062437878037</v>
      </c>
      <c r="N997" s="7">
        <f t="shared" si="79"/>
        <v>191.47062437878037</v>
      </c>
    </row>
    <row r="998" spans="1:14" x14ac:dyDescent="0.25">
      <c r="A998" t="str">
        <f>"14:06:58.844"</f>
        <v>14:06:58.844</v>
      </c>
      <c r="B998">
        <v>39.431368999999997</v>
      </c>
      <c r="C998">
        <v>-76.880928999999995</v>
      </c>
      <c r="D998">
        <v>8700</v>
      </c>
      <c r="E998">
        <v>9025</v>
      </c>
      <c r="F998">
        <v>169</v>
      </c>
      <c r="G998">
        <v>90</v>
      </c>
      <c r="H998">
        <v>0</v>
      </c>
      <c r="J998" s="1">
        <f t="shared" si="75"/>
        <v>28561</v>
      </c>
      <c r="K998" s="1">
        <f t="shared" si="76"/>
        <v>8100</v>
      </c>
      <c r="L998" s="1">
        <f t="shared" si="77"/>
        <v>36661</v>
      </c>
      <c r="M998" s="1">
        <f t="shared" si="78"/>
        <v>191.47062437878037</v>
      </c>
      <c r="N998" s="7">
        <f t="shared" si="79"/>
        <v>191.47062437878037</v>
      </c>
    </row>
    <row r="999" spans="1:14" x14ac:dyDescent="0.25">
      <c r="A999" t="str">
        <f>"14:06:59.703"</f>
        <v>14:06:59.703</v>
      </c>
      <c r="B999">
        <v>39.431756</v>
      </c>
      <c r="C999">
        <v>-76.879985000000005</v>
      </c>
      <c r="D999">
        <v>8700</v>
      </c>
      <c r="E999">
        <v>9025</v>
      </c>
      <c r="F999">
        <v>169</v>
      </c>
      <c r="G999">
        <v>90</v>
      </c>
      <c r="H999">
        <v>0</v>
      </c>
      <c r="J999" s="1">
        <f t="shared" si="75"/>
        <v>28561</v>
      </c>
      <c r="K999" s="1">
        <f t="shared" si="76"/>
        <v>8100</v>
      </c>
      <c r="L999" s="1">
        <f t="shared" si="77"/>
        <v>36661</v>
      </c>
      <c r="M999" s="1">
        <f t="shared" si="78"/>
        <v>191.47062437878037</v>
      </c>
      <c r="N999" s="7">
        <f t="shared" si="79"/>
        <v>191.47062437878037</v>
      </c>
    </row>
    <row r="1000" spans="1:14" x14ac:dyDescent="0.25">
      <c r="A1000" t="str">
        <f>"14:07:00.813"</f>
        <v>14:07:00.813</v>
      </c>
      <c r="B1000">
        <v>39.432206000000001</v>
      </c>
      <c r="C1000">
        <v>-76.878848000000005</v>
      </c>
      <c r="D1000">
        <v>8700</v>
      </c>
      <c r="E1000">
        <v>9025</v>
      </c>
      <c r="F1000">
        <v>169</v>
      </c>
      <c r="G1000">
        <v>89</v>
      </c>
      <c r="H1000">
        <v>0</v>
      </c>
      <c r="J1000" s="1">
        <f t="shared" si="75"/>
        <v>28561</v>
      </c>
      <c r="K1000" s="1">
        <f t="shared" si="76"/>
        <v>7921</v>
      </c>
      <c r="L1000" s="1">
        <f t="shared" si="77"/>
        <v>36482</v>
      </c>
      <c r="M1000" s="1">
        <f t="shared" si="78"/>
        <v>191.00261778310789</v>
      </c>
      <c r="N1000" s="7">
        <f t="shared" si="79"/>
        <v>191.00261778310789</v>
      </c>
    </row>
    <row r="1001" spans="1:14" x14ac:dyDescent="0.25">
      <c r="A1001" t="str">
        <f>"14:07:01.820"</f>
        <v>14:07:01.820</v>
      </c>
      <c r="B1001">
        <v>39.432634999999998</v>
      </c>
      <c r="C1001">
        <v>-76.877860999999996</v>
      </c>
      <c r="D1001">
        <v>8700</v>
      </c>
      <c r="E1001">
        <v>9025</v>
      </c>
      <c r="F1001">
        <v>169</v>
      </c>
      <c r="G1001">
        <v>89</v>
      </c>
      <c r="H1001">
        <v>0</v>
      </c>
      <c r="J1001" s="1">
        <f t="shared" si="75"/>
        <v>28561</v>
      </c>
      <c r="K1001" s="1">
        <f t="shared" si="76"/>
        <v>7921</v>
      </c>
      <c r="L1001" s="1">
        <f t="shared" si="77"/>
        <v>36482</v>
      </c>
      <c r="M1001" s="1">
        <f t="shared" si="78"/>
        <v>191.00261778310789</v>
      </c>
      <c r="N1001" s="7">
        <f t="shared" si="79"/>
        <v>191.00261778310789</v>
      </c>
    </row>
    <row r="1002" spans="1:14" x14ac:dyDescent="0.25">
      <c r="A1002" t="str">
        <f>"14:07:02.781"</f>
        <v>14:07:02.781</v>
      </c>
      <c r="B1002">
        <v>39.433042999999998</v>
      </c>
      <c r="C1002">
        <v>-76.876830999999996</v>
      </c>
      <c r="D1002">
        <v>8700</v>
      </c>
      <c r="E1002">
        <v>9000</v>
      </c>
      <c r="F1002">
        <v>170</v>
      </c>
      <c r="G1002">
        <v>89</v>
      </c>
      <c r="H1002">
        <v>-64</v>
      </c>
      <c r="J1002" s="1">
        <f t="shared" si="75"/>
        <v>28900</v>
      </c>
      <c r="K1002" s="1">
        <f t="shared" si="76"/>
        <v>7921</v>
      </c>
      <c r="L1002" s="1">
        <f t="shared" si="77"/>
        <v>36821</v>
      </c>
      <c r="M1002" s="1">
        <f t="shared" si="78"/>
        <v>191.88798815975949</v>
      </c>
      <c r="N1002" s="7">
        <f t="shared" si="79"/>
        <v>191.88798815975949</v>
      </c>
    </row>
    <row r="1003" spans="1:14" x14ac:dyDescent="0.25">
      <c r="A1003" t="str">
        <f>"14:07:03.891"</f>
        <v>14:07:03.891</v>
      </c>
      <c r="B1003">
        <v>39.433494000000003</v>
      </c>
      <c r="C1003">
        <v>-76.875758000000005</v>
      </c>
      <c r="D1003">
        <v>8700</v>
      </c>
      <c r="E1003">
        <v>9025</v>
      </c>
      <c r="F1003">
        <v>170</v>
      </c>
      <c r="G1003">
        <v>89</v>
      </c>
      <c r="H1003">
        <v>0</v>
      </c>
      <c r="J1003" s="1">
        <f t="shared" si="75"/>
        <v>28900</v>
      </c>
      <c r="K1003" s="1">
        <f t="shared" si="76"/>
        <v>7921</v>
      </c>
      <c r="L1003" s="1">
        <f t="shared" si="77"/>
        <v>36821</v>
      </c>
      <c r="M1003" s="1">
        <f t="shared" si="78"/>
        <v>191.88798815975949</v>
      </c>
      <c r="N1003" s="7">
        <f t="shared" si="79"/>
        <v>191.88798815975949</v>
      </c>
    </row>
    <row r="1004" spans="1:14" x14ac:dyDescent="0.25">
      <c r="A1004" t="str">
        <f>"14:07:04.750"</f>
        <v>14:07:04.750</v>
      </c>
      <c r="B1004">
        <v>39.433836999999997</v>
      </c>
      <c r="C1004">
        <v>-76.874814000000001</v>
      </c>
      <c r="D1004">
        <v>8700</v>
      </c>
      <c r="E1004">
        <v>9025</v>
      </c>
      <c r="F1004">
        <v>170</v>
      </c>
      <c r="G1004">
        <v>89</v>
      </c>
      <c r="H1004">
        <v>0</v>
      </c>
      <c r="J1004" s="1">
        <f t="shared" si="75"/>
        <v>28900</v>
      </c>
      <c r="K1004" s="1">
        <f t="shared" si="76"/>
        <v>7921</v>
      </c>
      <c r="L1004" s="1">
        <f t="shared" si="77"/>
        <v>36821</v>
      </c>
      <c r="M1004" s="1">
        <f t="shared" si="78"/>
        <v>191.88798815975949</v>
      </c>
      <c r="N1004" s="7">
        <f t="shared" si="79"/>
        <v>191.88798815975949</v>
      </c>
    </row>
    <row r="1005" spans="1:14" x14ac:dyDescent="0.25">
      <c r="A1005" t="str">
        <f>"14:07:05.859"</f>
        <v>14:07:05.859</v>
      </c>
      <c r="B1005">
        <v>39.434330000000003</v>
      </c>
      <c r="C1005">
        <v>-76.873720000000006</v>
      </c>
      <c r="D1005">
        <v>8700</v>
      </c>
      <c r="E1005">
        <v>9025</v>
      </c>
      <c r="F1005">
        <v>170</v>
      </c>
      <c r="G1005">
        <v>88</v>
      </c>
      <c r="H1005">
        <v>0</v>
      </c>
      <c r="J1005" s="1">
        <f t="shared" si="75"/>
        <v>28900</v>
      </c>
      <c r="K1005" s="1">
        <f t="shared" si="76"/>
        <v>7744</v>
      </c>
      <c r="L1005" s="1">
        <f t="shared" si="77"/>
        <v>36644</v>
      </c>
      <c r="M1005" s="1">
        <f t="shared" si="78"/>
        <v>191.42622599842477</v>
      </c>
      <c r="N1005" s="7">
        <f t="shared" si="79"/>
        <v>191.42622599842477</v>
      </c>
    </row>
    <row r="1006" spans="1:14" x14ac:dyDescent="0.25">
      <c r="A1006" t="str">
        <f>"14:07:06.922"</f>
        <v>14:07:06.922</v>
      </c>
      <c r="B1006">
        <v>39.434694999999998</v>
      </c>
      <c r="C1006">
        <v>-76.872710999999995</v>
      </c>
      <c r="D1006">
        <v>8700</v>
      </c>
      <c r="E1006">
        <v>9025</v>
      </c>
      <c r="F1006">
        <v>170</v>
      </c>
      <c r="G1006">
        <v>88</v>
      </c>
      <c r="H1006">
        <v>0</v>
      </c>
      <c r="J1006" s="1">
        <f t="shared" si="75"/>
        <v>28900</v>
      </c>
      <c r="K1006" s="1">
        <f t="shared" si="76"/>
        <v>7744</v>
      </c>
      <c r="L1006" s="1">
        <f t="shared" si="77"/>
        <v>36644</v>
      </c>
      <c r="M1006" s="1">
        <f t="shared" si="78"/>
        <v>191.42622599842477</v>
      </c>
      <c r="N1006" s="7">
        <f t="shared" si="79"/>
        <v>191.42622599842477</v>
      </c>
    </row>
    <row r="1007" spans="1:14" x14ac:dyDescent="0.25">
      <c r="A1007" t="str">
        <f>"14:07:07.984"</f>
        <v>14:07:07.984</v>
      </c>
      <c r="B1007">
        <v>39.435146000000003</v>
      </c>
      <c r="C1007">
        <v>-76.871573999999995</v>
      </c>
      <c r="D1007">
        <v>8700</v>
      </c>
      <c r="E1007">
        <v>9000</v>
      </c>
      <c r="F1007">
        <v>170</v>
      </c>
      <c r="G1007">
        <v>88</v>
      </c>
      <c r="H1007">
        <v>0</v>
      </c>
      <c r="J1007" s="1">
        <f t="shared" si="75"/>
        <v>28900</v>
      </c>
      <c r="K1007" s="1">
        <f t="shared" si="76"/>
        <v>7744</v>
      </c>
      <c r="L1007" s="1">
        <f t="shared" si="77"/>
        <v>36644</v>
      </c>
      <c r="M1007" s="1">
        <f t="shared" si="78"/>
        <v>191.42622599842477</v>
      </c>
      <c r="N1007" s="7">
        <f t="shared" si="79"/>
        <v>191.42622599842477</v>
      </c>
    </row>
    <row r="1008" spans="1:14" x14ac:dyDescent="0.25">
      <c r="A1008" t="str">
        <f>"14:07:09.094"</f>
        <v>14:07:09.094</v>
      </c>
      <c r="B1008">
        <v>39.435617999999998</v>
      </c>
      <c r="C1008">
        <v>-76.870436999999995</v>
      </c>
      <c r="D1008">
        <v>8700</v>
      </c>
      <c r="E1008">
        <v>9000</v>
      </c>
      <c r="F1008">
        <v>170</v>
      </c>
      <c r="G1008">
        <v>88</v>
      </c>
      <c r="H1008">
        <v>0</v>
      </c>
      <c r="J1008" s="1">
        <f t="shared" si="75"/>
        <v>28900</v>
      </c>
      <c r="K1008" s="1">
        <f t="shared" si="76"/>
        <v>7744</v>
      </c>
      <c r="L1008" s="1">
        <f t="shared" si="77"/>
        <v>36644</v>
      </c>
      <c r="M1008" s="1">
        <f t="shared" si="78"/>
        <v>191.42622599842477</v>
      </c>
      <c r="N1008" s="7">
        <f t="shared" si="79"/>
        <v>191.42622599842477</v>
      </c>
    </row>
    <row r="1009" spans="1:14" x14ac:dyDescent="0.25">
      <c r="A1009" t="str">
        <f>"14:07:10.102"</f>
        <v>14:07:10.102</v>
      </c>
      <c r="B1009">
        <v>39.436025999999998</v>
      </c>
      <c r="C1009">
        <v>-76.869427999999999</v>
      </c>
      <c r="D1009">
        <v>8700</v>
      </c>
      <c r="E1009">
        <v>9000</v>
      </c>
      <c r="F1009">
        <v>170</v>
      </c>
      <c r="G1009">
        <v>87</v>
      </c>
      <c r="H1009">
        <v>0</v>
      </c>
      <c r="J1009" s="1">
        <f t="shared" si="75"/>
        <v>28900</v>
      </c>
      <c r="K1009" s="1">
        <f t="shared" si="76"/>
        <v>7569</v>
      </c>
      <c r="L1009" s="1">
        <f t="shared" si="77"/>
        <v>36469</v>
      </c>
      <c r="M1009" s="1">
        <f t="shared" si="78"/>
        <v>190.9685838037241</v>
      </c>
      <c r="N1009" s="7">
        <f t="shared" si="79"/>
        <v>190.9685838037241</v>
      </c>
    </row>
    <row r="1010" spans="1:14" x14ac:dyDescent="0.25">
      <c r="A1010" t="str">
        <f>"14:07:11.008"</f>
        <v>14:07:11.008</v>
      </c>
      <c r="B1010">
        <v>39.436411999999997</v>
      </c>
      <c r="C1010">
        <v>-76.868527</v>
      </c>
      <c r="D1010">
        <v>8700</v>
      </c>
      <c r="E1010">
        <v>9000</v>
      </c>
      <c r="F1010">
        <v>170</v>
      </c>
      <c r="G1010">
        <v>87</v>
      </c>
      <c r="H1010">
        <v>0</v>
      </c>
      <c r="J1010" s="1">
        <f t="shared" si="75"/>
        <v>28900</v>
      </c>
      <c r="K1010" s="1">
        <f t="shared" si="76"/>
        <v>7569</v>
      </c>
      <c r="L1010" s="1">
        <f t="shared" si="77"/>
        <v>36469</v>
      </c>
      <c r="M1010" s="1">
        <f t="shared" si="78"/>
        <v>190.9685838037241</v>
      </c>
      <c r="N1010" s="7">
        <f t="shared" si="79"/>
        <v>190.9685838037241</v>
      </c>
    </row>
    <row r="1011" spans="1:14" x14ac:dyDescent="0.25">
      <c r="A1011" t="str">
        <f>"14:07:12.023"</f>
        <v>14:07:12.023</v>
      </c>
      <c r="B1011">
        <v>39.436776999999999</v>
      </c>
      <c r="C1011">
        <v>-76.867497</v>
      </c>
      <c r="D1011">
        <v>8700</v>
      </c>
      <c r="E1011">
        <v>9000</v>
      </c>
      <c r="F1011">
        <v>170</v>
      </c>
      <c r="G1011">
        <v>87</v>
      </c>
      <c r="H1011">
        <v>0</v>
      </c>
      <c r="J1011" s="1">
        <f t="shared" si="75"/>
        <v>28900</v>
      </c>
      <c r="K1011" s="1">
        <f t="shared" si="76"/>
        <v>7569</v>
      </c>
      <c r="L1011" s="1">
        <f t="shared" si="77"/>
        <v>36469</v>
      </c>
      <c r="M1011" s="1">
        <f t="shared" si="78"/>
        <v>190.9685838037241</v>
      </c>
      <c r="N1011" s="7">
        <f t="shared" si="79"/>
        <v>190.9685838037241</v>
      </c>
    </row>
    <row r="1012" spans="1:14" x14ac:dyDescent="0.25">
      <c r="A1012" t="str">
        <f>"14:07:12.930"</f>
        <v>14:07:12.930</v>
      </c>
      <c r="B1012">
        <v>39.43712</v>
      </c>
      <c r="C1012">
        <v>-76.866617000000005</v>
      </c>
      <c r="D1012">
        <v>8700</v>
      </c>
      <c r="E1012">
        <v>9000</v>
      </c>
      <c r="F1012">
        <v>170</v>
      </c>
      <c r="G1012">
        <v>87</v>
      </c>
      <c r="H1012">
        <v>64</v>
      </c>
      <c r="J1012" s="1">
        <f t="shared" si="75"/>
        <v>28900</v>
      </c>
      <c r="K1012" s="1">
        <f t="shared" si="76"/>
        <v>7569</v>
      </c>
      <c r="L1012" s="1">
        <f t="shared" si="77"/>
        <v>36469</v>
      </c>
      <c r="M1012" s="1">
        <f t="shared" si="78"/>
        <v>190.9685838037241</v>
      </c>
      <c r="N1012" s="7">
        <f t="shared" si="79"/>
        <v>190.9685838037241</v>
      </c>
    </row>
    <row r="1013" spans="1:14" x14ac:dyDescent="0.25">
      <c r="A1013" t="str">
        <f>"14:07:13.984"</f>
        <v>14:07:13.984</v>
      </c>
      <c r="B1013">
        <v>39.437570999999998</v>
      </c>
      <c r="C1013">
        <v>-76.865480000000005</v>
      </c>
      <c r="D1013">
        <v>8700</v>
      </c>
      <c r="E1013">
        <v>9000</v>
      </c>
      <c r="F1013">
        <v>170</v>
      </c>
      <c r="G1013">
        <v>87</v>
      </c>
      <c r="H1013">
        <v>64</v>
      </c>
      <c r="J1013" s="1">
        <f t="shared" si="75"/>
        <v>28900</v>
      </c>
      <c r="K1013" s="1">
        <f t="shared" si="76"/>
        <v>7569</v>
      </c>
      <c r="L1013" s="1">
        <f t="shared" si="77"/>
        <v>36469</v>
      </c>
      <c r="M1013" s="1">
        <f t="shared" si="78"/>
        <v>190.9685838037241</v>
      </c>
      <c r="N1013" s="7">
        <f t="shared" si="79"/>
        <v>190.9685838037241</v>
      </c>
    </row>
    <row r="1014" spans="1:14" x14ac:dyDescent="0.25">
      <c r="A1014" t="str">
        <f>"14:07:15.000"</f>
        <v>14:07:15.000</v>
      </c>
      <c r="B1014">
        <v>39.437978000000001</v>
      </c>
      <c r="C1014">
        <v>-76.864450000000005</v>
      </c>
      <c r="D1014">
        <v>8700</v>
      </c>
      <c r="E1014">
        <v>9025</v>
      </c>
      <c r="F1014">
        <v>170</v>
      </c>
      <c r="G1014">
        <v>87</v>
      </c>
      <c r="H1014">
        <v>64</v>
      </c>
      <c r="J1014" s="1">
        <f t="shared" si="75"/>
        <v>28900</v>
      </c>
      <c r="K1014" s="1">
        <f t="shared" si="76"/>
        <v>7569</v>
      </c>
      <c r="L1014" s="1">
        <f t="shared" si="77"/>
        <v>36469</v>
      </c>
      <c r="M1014" s="1">
        <f t="shared" si="78"/>
        <v>190.9685838037241</v>
      </c>
      <c r="N1014" s="7">
        <f t="shared" si="79"/>
        <v>190.9685838037241</v>
      </c>
    </row>
    <row r="1015" spans="1:14" x14ac:dyDescent="0.25">
      <c r="A1015" t="str">
        <f>"14:07:15.906"</f>
        <v>14:07:15.906</v>
      </c>
      <c r="B1015">
        <v>39.438364999999997</v>
      </c>
      <c r="C1015">
        <v>-76.863506000000001</v>
      </c>
      <c r="D1015">
        <v>8700</v>
      </c>
      <c r="E1015">
        <v>9025</v>
      </c>
      <c r="F1015">
        <v>170</v>
      </c>
      <c r="G1015">
        <v>87</v>
      </c>
      <c r="H1015">
        <v>64</v>
      </c>
      <c r="J1015" s="1">
        <f t="shared" si="75"/>
        <v>28900</v>
      </c>
      <c r="K1015" s="1">
        <f t="shared" si="76"/>
        <v>7569</v>
      </c>
      <c r="L1015" s="1">
        <f t="shared" si="77"/>
        <v>36469</v>
      </c>
      <c r="M1015" s="1">
        <f t="shared" si="78"/>
        <v>190.9685838037241</v>
      </c>
      <c r="N1015" s="7">
        <f t="shared" si="79"/>
        <v>190.9685838037241</v>
      </c>
    </row>
    <row r="1016" spans="1:14" x14ac:dyDescent="0.25">
      <c r="A1016" t="str">
        <f>"14:07:16.969"</f>
        <v>14:07:16.969</v>
      </c>
      <c r="B1016">
        <v>39.438772</v>
      </c>
      <c r="C1016">
        <v>-76.862432999999996</v>
      </c>
      <c r="D1016">
        <v>8700</v>
      </c>
      <c r="E1016">
        <v>9025</v>
      </c>
      <c r="F1016">
        <v>170</v>
      </c>
      <c r="G1016">
        <v>87</v>
      </c>
      <c r="H1016">
        <v>64</v>
      </c>
      <c r="J1016" s="1">
        <f t="shared" si="75"/>
        <v>28900</v>
      </c>
      <c r="K1016" s="1">
        <f t="shared" si="76"/>
        <v>7569</v>
      </c>
      <c r="L1016" s="1">
        <f t="shared" si="77"/>
        <v>36469</v>
      </c>
      <c r="M1016" s="1">
        <f t="shared" si="78"/>
        <v>190.9685838037241</v>
      </c>
      <c r="N1016" s="7">
        <f t="shared" si="79"/>
        <v>190.9685838037241</v>
      </c>
    </row>
    <row r="1017" spans="1:14" x14ac:dyDescent="0.25">
      <c r="A1017" t="str">
        <f>"14:07:17.977"</f>
        <v>14:07:17.977</v>
      </c>
      <c r="B1017">
        <v>39.43918</v>
      </c>
      <c r="C1017">
        <v>-76.861489000000006</v>
      </c>
      <c r="D1017">
        <v>8700</v>
      </c>
      <c r="E1017">
        <v>9025</v>
      </c>
      <c r="F1017">
        <v>170</v>
      </c>
      <c r="G1017">
        <v>87</v>
      </c>
      <c r="H1017">
        <v>64</v>
      </c>
      <c r="J1017" s="1">
        <f t="shared" si="75"/>
        <v>28900</v>
      </c>
      <c r="K1017" s="1">
        <f t="shared" si="76"/>
        <v>7569</v>
      </c>
      <c r="L1017" s="1">
        <f t="shared" si="77"/>
        <v>36469</v>
      </c>
      <c r="M1017" s="1">
        <f t="shared" si="78"/>
        <v>190.9685838037241</v>
      </c>
      <c r="N1017" s="7">
        <f t="shared" si="79"/>
        <v>190.9685838037241</v>
      </c>
    </row>
    <row r="1018" spans="1:14" x14ac:dyDescent="0.25">
      <c r="A1018" t="str">
        <f>"14:07:18.930"</f>
        <v>14:07:18.930</v>
      </c>
      <c r="B1018">
        <v>39.439545000000003</v>
      </c>
      <c r="C1018">
        <v>-76.860523000000001</v>
      </c>
      <c r="D1018">
        <v>8700</v>
      </c>
      <c r="E1018">
        <v>9025</v>
      </c>
      <c r="F1018">
        <v>170</v>
      </c>
      <c r="G1018">
        <v>87</v>
      </c>
      <c r="H1018">
        <v>64</v>
      </c>
      <c r="J1018" s="1">
        <f t="shared" si="75"/>
        <v>28900</v>
      </c>
      <c r="K1018" s="1">
        <f t="shared" si="76"/>
        <v>7569</v>
      </c>
      <c r="L1018" s="1">
        <f t="shared" si="77"/>
        <v>36469</v>
      </c>
      <c r="M1018" s="1">
        <f t="shared" si="78"/>
        <v>190.9685838037241</v>
      </c>
      <c r="N1018" s="7">
        <f t="shared" si="79"/>
        <v>190.9685838037241</v>
      </c>
    </row>
    <row r="1019" spans="1:14" x14ac:dyDescent="0.25">
      <c r="A1019" t="str">
        <f>"14:07:19.891"</f>
        <v>14:07:19.891</v>
      </c>
      <c r="B1019">
        <v>39.439951999999998</v>
      </c>
      <c r="C1019">
        <v>-76.859515000000002</v>
      </c>
      <c r="D1019">
        <v>8700</v>
      </c>
      <c r="E1019">
        <v>9025</v>
      </c>
      <c r="F1019">
        <v>169</v>
      </c>
      <c r="G1019">
        <v>87</v>
      </c>
      <c r="H1019">
        <v>64</v>
      </c>
      <c r="J1019" s="1">
        <f t="shared" si="75"/>
        <v>28561</v>
      </c>
      <c r="K1019" s="1">
        <f t="shared" si="76"/>
        <v>7569</v>
      </c>
      <c r="L1019" s="1">
        <f t="shared" si="77"/>
        <v>36130</v>
      </c>
      <c r="M1019" s="1">
        <f t="shared" si="78"/>
        <v>190.07893097342483</v>
      </c>
      <c r="N1019" s="7">
        <f t="shared" si="79"/>
        <v>190.07893097342483</v>
      </c>
    </row>
    <row r="1020" spans="1:14" x14ac:dyDescent="0.25">
      <c r="A1020" t="str">
        <f>"14:07:21.000"</f>
        <v>14:07:21.000</v>
      </c>
      <c r="B1020">
        <v>39.440403000000003</v>
      </c>
      <c r="C1020">
        <v>-76.858399000000006</v>
      </c>
      <c r="D1020">
        <v>8700</v>
      </c>
      <c r="E1020">
        <v>9025</v>
      </c>
      <c r="F1020">
        <v>169</v>
      </c>
      <c r="G1020">
        <v>87</v>
      </c>
      <c r="H1020">
        <v>64</v>
      </c>
      <c r="J1020" s="1">
        <f t="shared" si="75"/>
        <v>28561</v>
      </c>
      <c r="K1020" s="1">
        <f t="shared" si="76"/>
        <v>7569</v>
      </c>
      <c r="L1020" s="1">
        <f t="shared" si="77"/>
        <v>36130</v>
      </c>
      <c r="M1020" s="1">
        <f t="shared" si="78"/>
        <v>190.07893097342483</v>
      </c>
      <c r="N1020" s="7">
        <f t="shared" si="79"/>
        <v>190.07893097342483</v>
      </c>
    </row>
    <row r="1021" spans="1:14" x14ac:dyDescent="0.25">
      <c r="A1021" t="str">
        <f>"14:07:22.109"</f>
        <v>14:07:22.109</v>
      </c>
      <c r="B1021">
        <v>39.440874999999998</v>
      </c>
      <c r="C1021">
        <v>-76.857240000000004</v>
      </c>
      <c r="D1021">
        <v>8700</v>
      </c>
      <c r="E1021">
        <v>9025</v>
      </c>
      <c r="F1021">
        <v>169</v>
      </c>
      <c r="G1021">
        <v>87</v>
      </c>
      <c r="H1021">
        <v>64</v>
      </c>
      <c r="J1021" s="1">
        <f t="shared" si="75"/>
        <v>28561</v>
      </c>
      <c r="K1021" s="1">
        <f t="shared" si="76"/>
        <v>7569</v>
      </c>
      <c r="L1021" s="1">
        <f t="shared" si="77"/>
        <v>36130</v>
      </c>
      <c r="M1021" s="1">
        <f t="shared" si="78"/>
        <v>190.07893097342483</v>
      </c>
      <c r="N1021" s="7">
        <f t="shared" si="79"/>
        <v>190.07893097342483</v>
      </c>
    </row>
    <row r="1022" spans="1:14" x14ac:dyDescent="0.25">
      <c r="A1022" t="str">
        <f>"14:07:23.273"</f>
        <v>14:07:23.273</v>
      </c>
      <c r="B1022">
        <v>39.441325999999997</v>
      </c>
      <c r="C1022">
        <v>-76.856059999999999</v>
      </c>
      <c r="D1022">
        <v>8700</v>
      </c>
      <c r="E1022">
        <v>9025</v>
      </c>
      <c r="F1022">
        <v>169</v>
      </c>
      <c r="G1022">
        <v>88</v>
      </c>
      <c r="H1022">
        <v>64</v>
      </c>
      <c r="J1022" s="1">
        <f t="shared" si="75"/>
        <v>28561</v>
      </c>
      <c r="K1022" s="1">
        <f t="shared" si="76"/>
        <v>7744</v>
      </c>
      <c r="L1022" s="1">
        <f t="shared" si="77"/>
        <v>36305</v>
      </c>
      <c r="M1022" s="1">
        <f t="shared" si="78"/>
        <v>190.53870997778904</v>
      </c>
      <c r="N1022" s="7">
        <f t="shared" si="79"/>
        <v>190.53870997778904</v>
      </c>
    </row>
    <row r="1023" spans="1:14" x14ac:dyDescent="0.25">
      <c r="A1023" t="str">
        <f>"14:07:24.180"</f>
        <v>14:07:24.180</v>
      </c>
      <c r="B1023">
        <v>39.441712000000003</v>
      </c>
      <c r="C1023">
        <v>-76.855159</v>
      </c>
      <c r="D1023">
        <v>8700</v>
      </c>
      <c r="E1023">
        <v>9025</v>
      </c>
      <c r="F1023">
        <v>169</v>
      </c>
      <c r="G1023">
        <v>88</v>
      </c>
      <c r="H1023">
        <v>0</v>
      </c>
      <c r="J1023" s="1">
        <f t="shared" si="75"/>
        <v>28561</v>
      </c>
      <c r="K1023" s="1">
        <f t="shared" si="76"/>
        <v>7744</v>
      </c>
      <c r="L1023" s="1">
        <f t="shared" si="77"/>
        <v>36305</v>
      </c>
      <c r="M1023" s="1">
        <f t="shared" si="78"/>
        <v>190.53870997778904</v>
      </c>
      <c r="N1023" s="7">
        <f t="shared" si="79"/>
        <v>190.53870997778904</v>
      </c>
    </row>
    <row r="1024" spans="1:14" x14ac:dyDescent="0.25">
      <c r="A1024" t="str">
        <f>"14:07:25.289"</f>
        <v>14:07:25.289</v>
      </c>
      <c r="B1024">
        <v>39.442163000000001</v>
      </c>
      <c r="C1024">
        <v>-76.854022000000001</v>
      </c>
      <c r="D1024">
        <v>8700</v>
      </c>
      <c r="E1024">
        <v>9025</v>
      </c>
      <c r="F1024">
        <v>168</v>
      </c>
      <c r="G1024">
        <v>88</v>
      </c>
      <c r="H1024">
        <v>0</v>
      </c>
      <c r="J1024" s="1">
        <f t="shared" si="75"/>
        <v>28224</v>
      </c>
      <c r="K1024" s="1">
        <f t="shared" si="76"/>
        <v>7744</v>
      </c>
      <c r="L1024" s="1">
        <f t="shared" si="77"/>
        <v>35968</v>
      </c>
      <c r="M1024" s="1">
        <f t="shared" si="78"/>
        <v>189.65231345807516</v>
      </c>
      <c r="N1024" s="7">
        <f t="shared" si="79"/>
        <v>189.65231345807516</v>
      </c>
    </row>
    <row r="1025" spans="1:14" x14ac:dyDescent="0.25">
      <c r="A1025" t="str">
        <f>"14:07:26.148"</f>
        <v>14:07:26.148</v>
      </c>
      <c r="B1025">
        <v>39.442484</v>
      </c>
      <c r="C1025">
        <v>-76.853249000000005</v>
      </c>
      <c r="D1025">
        <v>8700</v>
      </c>
      <c r="E1025">
        <v>9025</v>
      </c>
      <c r="F1025">
        <v>168</v>
      </c>
      <c r="G1025">
        <v>88</v>
      </c>
      <c r="H1025">
        <v>0</v>
      </c>
      <c r="J1025" s="1">
        <f t="shared" si="75"/>
        <v>28224</v>
      </c>
      <c r="K1025" s="1">
        <f t="shared" si="76"/>
        <v>7744</v>
      </c>
      <c r="L1025" s="1">
        <f t="shared" si="77"/>
        <v>35968</v>
      </c>
      <c r="M1025" s="1">
        <f t="shared" si="78"/>
        <v>189.65231345807516</v>
      </c>
      <c r="N1025" s="7">
        <f t="shared" si="79"/>
        <v>189.65231345807516</v>
      </c>
    </row>
    <row r="1026" spans="1:14" x14ac:dyDescent="0.25">
      <c r="A1026" t="str">
        <f>"14:07:27.063"</f>
        <v>14:07:27.063</v>
      </c>
      <c r="B1026">
        <v>39.442870999999997</v>
      </c>
      <c r="C1026">
        <v>-76.852348000000006</v>
      </c>
      <c r="D1026">
        <v>8700</v>
      </c>
      <c r="E1026">
        <v>9025</v>
      </c>
      <c r="F1026">
        <v>168</v>
      </c>
      <c r="G1026">
        <v>89</v>
      </c>
      <c r="H1026">
        <v>0</v>
      </c>
      <c r="J1026" s="1">
        <f t="shared" si="75"/>
        <v>28224</v>
      </c>
      <c r="K1026" s="1">
        <f t="shared" si="76"/>
        <v>7921</v>
      </c>
      <c r="L1026" s="1">
        <f t="shared" si="77"/>
        <v>36145</v>
      </c>
      <c r="M1026" s="1">
        <f t="shared" si="78"/>
        <v>190.11838417154718</v>
      </c>
      <c r="N1026" s="7">
        <f t="shared" si="79"/>
        <v>190.11838417154718</v>
      </c>
    </row>
    <row r="1027" spans="1:14" x14ac:dyDescent="0.25">
      <c r="A1027" t="str">
        <f>"14:07:28.070"</f>
        <v>14:07:28.070</v>
      </c>
      <c r="B1027">
        <v>39.443300000000001</v>
      </c>
      <c r="C1027">
        <v>-76.851211000000006</v>
      </c>
      <c r="D1027">
        <v>8700</v>
      </c>
      <c r="E1027">
        <v>9025</v>
      </c>
      <c r="F1027">
        <v>168</v>
      </c>
      <c r="G1027">
        <v>89</v>
      </c>
      <c r="H1027">
        <v>0</v>
      </c>
      <c r="J1027" s="1">
        <f t="shared" ref="J1027:J1090" si="80">F1027^2</f>
        <v>28224</v>
      </c>
      <c r="K1027" s="1">
        <f t="shared" ref="K1027:K1090" si="81">G1027^2</f>
        <v>7921</v>
      </c>
      <c r="L1027" s="1">
        <f t="shared" ref="L1027:L1090" si="82">SUMSQ(F1027,G1027)</f>
        <v>36145</v>
      </c>
      <c r="M1027" s="1">
        <f t="shared" ref="M1027:M1090" si="83">SQRT(L1027)</f>
        <v>190.11838417154718</v>
      </c>
      <c r="N1027" s="7">
        <f t="shared" ref="N1027:N1090" si="84">M1027</f>
        <v>190.11838417154718</v>
      </c>
    </row>
    <row r="1028" spans="1:14" x14ac:dyDescent="0.25">
      <c r="A1028" t="str">
        <f>"14:07:29.125"</f>
        <v>14:07:29.125</v>
      </c>
      <c r="B1028">
        <v>39.443707000000003</v>
      </c>
      <c r="C1028">
        <v>-76.850266000000005</v>
      </c>
      <c r="D1028">
        <v>8700</v>
      </c>
      <c r="E1028">
        <v>9025</v>
      </c>
      <c r="F1028">
        <v>168</v>
      </c>
      <c r="G1028">
        <v>89</v>
      </c>
      <c r="H1028">
        <v>0</v>
      </c>
      <c r="J1028" s="1">
        <f t="shared" si="80"/>
        <v>28224</v>
      </c>
      <c r="K1028" s="1">
        <f t="shared" si="81"/>
        <v>7921</v>
      </c>
      <c r="L1028" s="1">
        <f t="shared" si="82"/>
        <v>36145</v>
      </c>
      <c r="M1028" s="1">
        <f t="shared" si="83"/>
        <v>190.11838417154718</v>
      </c>
      <c r="N1028" s="7">
        <f t="shared" si="84"/>
        <v>190.11838417154718</v>
      </c>
    </row>
    <row r="1029" spans="1:14" x14ac:dyDescent="0.25">
      <c r="A1029" t="str">
        <f>"14:07:30.141"</f>
        <v>14:07:30.141</v>
      </c>
      <c r="B1029">
        <v>39.444114999999996</v>
      </c>
      <c r="C1029">
        <v>-76.849236000000005</v>
      </c>
      <c r="D1029">
        <v>8700</v>
      </c>
      <c r="E1029">
        <v>9025</v>
      </c>
      <c r="F1029">
        <v>167</v>
      </c>
      <c r="G1029">
        <v>90</v>
      </c>
      <c r="H1029">
        <v>0</v>
      </c>
      <c r="J1029" s="1">
        <f t="shared" si="80"/>
        <v>27889</v>
      </c>
      <c r="K1029" s="1">
        <f t="shared" si="81"/>
        <v>8100</v>
      </c>
      <c r="L1029" s="1">
        <f t="shared" si="82"/>
        <v>35989</v>
      </c>
      <c r="M1029" s="1">
        <f t="shared" si="83"/>
        <v>189.70766985021982</v>
      </c>
      <c r="N1029" s="7">
        <f t="shared" si="84"/>
        <v>189.70766985021982</v>
      </c>
    </row>
    <row r="1030" spans="1:14" x14ac:dyDescent="0.25">
      <c r="A1030" t="str">
        <f>"14:07:31.250"</f>
        <v>14:07:31.250</v>
      </c>
      <c r="B1030">
        <v>39.444586999999999</v>
      </c>
      <c r="C1030">
        <v>-76.848141999999996</v>
      </c>
      <c r="D1030">
        <v>8700</v>
      </c>
      <c r="E1030">
        <v>9025</v>
      </c>
      <c r="F1030">
        <v>167</v>
      </c>
      <c r="G1030">
        <v>90</v>
      </c>
      <c r="H1030">
        <v>0</v>
      </c>
      <c r="J1030" s="1">
        <f t="shared" si="80"/>
        <v>27889</v>
      </c>
      <c r="K1030" s="1">
        <f t="shared" si="81"/>
        <v>8100</v>
      </c>
      <c r="L1030" s="1">
        <f t="shared" si="82"/>
        <v>35989</v>
      </c>
      <c r="M1030" s="1">
        <f t="shared" si="83"/>
        <v>189.70766985021982</v>
      </c>
      <c r="N1030" s="7">
        <f t="shared" si="84"/>
        <v>189.70766985021982</v>
      </c>
    </row>
    <row r="1031" spans="1:14" x14ac:dyDescent="0.25">
      <c r="A1031" t="str">
        <f>"14:07:32.156"</f>
        <v>14:07:32.156</v>
      </c>
      <c r="B1031">
        <v>39.444994999999999</v>
      </c>
      <c r="C1031">
        <v>-76.847218999999996</v>
      </c>
      <c r="D1031">
        <v>8700</v>
      </c>
      <c r="E1031">
        <v>9025</v>
      </c>
      <c r="F1031">
        <v>167</v>
      </c>
      <c r="G1031">
        <v>90</v>
      </c>
      <c r="H1031">
        <v>-64</v>
      </c>
      <c r="J1031" s="1">
        <f t="shared" si="80"/>
        <v>27889</v>
      </c>
      <c r="K1031" s="1">
        <f t="shared" si="81"/>
        <v>8100</v>
      </c>
      <c r="L1031" s="1">
        <f t="shared" si="82"/>
        <v>35989</v>
      </c>
      <c r="M1031" s="1">
        <f t="shared" si="83"/>
        <v>189.70766985021982</v>
      </c>
      <c r="N1031" s="7">
        <f t="shared" si="84"/>
        <v>189.70766985021982</v>
      </c>
    </row>
    <row r="1032" spans="1:14" x14ac:dyDescent="0.25">
      <c r="A1032" t="str">
        <f>"14:07:33.117"</f>
        <v>14:07:33.117</v>
      </c>
      <c r="B1032">
        <v>39.445402999999999</v>
      </c>
      <c r="C1032">
        <v>-76.846254000000002</v>
      </c>
      <c r="D1032">
        <v>8700</v>
      </c>
      <c r="E1032">
        <v>9025</v>
      </c>
      <c r="F1032">
        <v>167</v>
      </c>
      <c r="G1032">
        <v>91</v>
      </c>
      <c r="H1032">
        <v>0</v>
      </c>
      <c r="J1032" s="1">
        <f t="shared" si="80"/>
        <v>27889</v>
      </c>
      <c r="K1032" s="1">
        <f t="shared" si="81"/>
        <v>8281</v>
      </c>
      <c r="L1032" s="1">
        <f t="shared" si="82"/>
        <v>36170</v>
      </c>
      <c r="M1032" s="1">
        <f t="shared" si="83"/>
        <v>190.18412131405714</v>
      </c>
      <c r="N1032" s="7">
        <f t="shared" si="84"/>
        <v>190.18412131405714</v>
      </c>
    </row>
    <row r="1033" spans="1:14" x14ac:dyDescent="0.25">
      <c r="A1033" t="str">
        <f>"14:07:34.180"</f>
        <v>14:07:34.180</v>
      </c>
      <c r="B1033">
        <v>39.445810000000002</v>
      </c>
      <c r="C1033">
        <v>-76.845245000000006</v>
      </c>
      <c r="D1033">
        <v>8700</v>
      </c>
      <c r="E1033">
        <v>9025</v>
      </c>
      <c r="F1033">
        <v>167</v>
      </c>
      <c r="G1033">
        <v>91</v>
      </c>
      <c r="H1033">
        <v>-64</v>
      </c>
      <c r="J1033" s="1">
        <f t="shared" si="80"/>
        <v>27889</v>
      </c>
      <c r="K1033" s="1">
        <f t="shared" si="81"/>
        <v>8281</v>
      </c>
      <c r="L1033" s="1">
        <f t="shared" si="82"/>
        <v>36170</v>
      </c>
      <c r="M1033" s="1">
        <f t="shared" si="83"/>
        <v>190.18412131405714</v>
      </c>
      <c r="N1033" s="7">
        <f t="shared" si="84"/>
        <v>190.18412131405714</v>
      </c>
    </row>
    <row r="1034" spans="1:14" x14ac:dyDescent="0.25">
      <c r="A1034" t="str">
        <f>"14:07:35.234"</f>
        <v>14:07:35.234</v>
      </c>
      <c r="B1034">
        <v>39.446261</v>
      </c>
      <c r="C1034">
        <v>-76.844172</v>
      </c>
      <c r="D1034">
        <v>8700</v>
      </c>
      <c r="E1034">
        <v>9025</v>
      </c>
      <c r="F1034">
        <v>166</v>
      </c>
      <c r="G1034">
        <v>91</v>
      </c>
      <c r="H1034">
        <v>-64</v>
      </c>
      <c r="J1034" s="1">
        <f t="shared" si="80"/>
        <v>27556</v>
      </c>
      <c r="K1034" s="1">
        <f t="shared" si="81"/>
        <v>8281</v>
      </c>
      <c r="L1034" s="1">
        <f t="shared" si="82"/>
        <v>35837</v>
      </c>
      <c r="M1034" s="1">
        <f t="shared" si="83"/>
        <v>189.30662957223657</v>
      </c>
      <c r="N1034" s="7">
        <f t="shared" si="84"/>
        <v>189.30662957223657</v>
      </c>
    </row>
    <row r="1035" spans="1:14" x14ac:dyDescent="0.25">
      <c r="A1035" t="str">
        <f>"14:07:36.094"</f>
        <v>14:07:36.094</v>
      </c>
      <c r="B1035">
        <v>39.446646999999999</v>
      </c>
      <c r="C1035">
        <v>-76.843271000000001</v>
      </c>
      <c r="D1035">
        <v>8700</v>
      </c>
      <c r="E1035">
        <v>9025</v>
      </c>
      <c r="F1035">
        <v>166</v>
      </c>
      <c r="G1035">
        <v>91</v>
      </c>
      <c r="H1035">
        <v>-64</v>
      </c>
      <c r="J1035" s="1">
        <f t="shared" si="80"/>
        <v>27556</v>
      </c>
      <c r="K1035" s="1">
        <f t="shared" si="81"/>
        <v>8281</v>
      </c>
      <c r="L1035" s="1">
        <f t="shared" si="82"/>
        <v>35837</v>
      </c>
      <c r="M1035" s="1">
        <f t="shared" si="83"/>
        <v>189.30662957223657</v>
      </c>
      <c r="N1035" s="7">
        <f t="shared" si="84"/>
        <v>189.30662957223657</v>
      </c>
    </row>
    <row r="1036" spans="1:14" x14ac:dyDescent="0.25">
      <c r="A1036" t="str">
        <f>"14:07:37.000"</f>
        <v>14:07:37.000</v>
      </c>
      <c r="B1036">
        <v>39.447054999999999</v>
      </c>
      <c r="C1036">
        <v>-76.842348999999999</v>
      </c>
      <c r="D1036">
        <v>8700</v>
      </c>
      <c r="E1036">
        <v>9025</v>
      </c>
      <c r="F1036">
        <v>166</v>
      </c>
      <c r="G1036">
        <v>91</v>
      </c>
      <c r="H1036">
        <v>-64</v>
      </c>
      <c r="J1036" s="1">
        <f t="shared" si="80"/>
        <v>27556</v>
      </c>
      <c r="K1036" s="1">
        <f t="shared" si="81"/>
        <v>8281</v>
      </c>
      <c r="L1036" s="1">
        <f t="shared" si="82"/>
        <v>35837</v>
      </c>
      <c r="M1036" s="1">
        <f t="shared" si="83"/>
        <v>189.30662957223657</v>
      </c>
      <c r="N1036" s="7">
        <f t="shared" si="84"/>
        <v>189.30662957223657</v>
      </c>
    </row>
    <row r="1037" spans="1:14" x14ac:dyDescent="0.25">
      <c r="A1037" t="str">
        <f>"14:07:38.063"</f>
        <v>14:07:38.063</v>
      </c>
      <c r="B1037">
        <v>39.447484000000003</v>
      </c>
      <c r="C1037">
        <v>-76.841362000000004</v>
      </c>
      <c r="D1037">
        <v>8700</v>
      </c>
      <c r="E1037">
        <v>9025</v>
      </c>
      <c r="F1037">
        <v>166</v>
      </c>
      <c r="G1037">
        <v>92</v>
      </c>
      <c r="H1037">
        <v>-64</v>
      </c>
      <c r="J1037" s="1">
        <f t="shared" si="80"/>
        <v>27556</v>
      </c>
      <c r="K1037" s="1">
        <f t="shared" si="81"/>
        <v>8464</v>
      </c>
      <c r="L1037" s="1">
        <f t="shared" si="82"/>
        <v>36020</v>
      </c>
      <c r="M1037" s="1">
        <f t="shared" si="83"/>
        <v>189.7893569197177</v>
      </c>
      <c r="N1037" s="7">
        <f t="shared" si="84"/>
        <v>189.7893569197177</v>
      </c>
    </row>
    <row r="1038" spans="1:14" x14ac:dyDescent="0.25">
      <c r="A1038" t="str">
        <f>"14:07:39.023"</f>
        <v>14:07:39.023</v>
      </c>
      <c r="B1038">
        <v>39.447892000000003</v>
      </c>
      <c r="C1038">
        <v>-76.840395999999998</v>
      </c>
      <c r="D1038">
        <v>8700</v>
      </c>
      <c r="E1038">
        <v>9025</v>
      </c>
      <c r="F1038">
        <v>166</v>
      </c>
      <c r="G1038">
        <v>92</v>
      </c>
      <c r="H1038">
        <v>-64</v>
      </c>
      <c r="J1038" s="1">
        <f t="shared" si="80"/>
        <v>27556</v>
      </c>
      <c r="K1038" s="1">
        <f t="shared" si="81"/>
        <v>8464</v>
      </c>
      <c r="L1038" s="1">
        <f t="shared" si="82"/>
        <v>36020</v>
      </c>
      <c r="M1038" s="1">
        <f t="shared" si="83"/>
        <v>189.7893569197177</v>
      </c>
      <c r="N1038" s="7">
        <f t="shared" si="84"/>
        <v>189.7893569197177</v>
      </c>
    </row>
    <row r="1039" spans="1:14" x14ac:dyDescent="0.25">
      <c r="A1039" t="str">
        <f>"14:07:39.977"</f>
        <v>14:07:39.977</v>
      </c>
      <c r="B1039">
        <v>39.448321</v>
      </c>
      <c r="C1039">
        <v>-76.839409000000003</v>
      </c>
      <c r="D1039">
        <v>8700</v>
      </c>
      <c r="E1039">
        <v>9025</v>
      </c>
      <c r="F1039">
        <v>166</v>
      </c>
      <c r="G1039">
        <v>92</v>
      </c>
      <c r="H1039">
        <v>-64</v>
      </c>
      <c r="J1039" s="1">
        <f t="shared" si="80"/>
        <v>27556</v>
      </c>
      <c r="K1039" s="1">
        <f t="shared" si="81"/>
        <v>8464</v>
      </c>
      <c r="L1039" s="1">
        <f t="shared" si="82"/>
        <v>36020</v>
      </c>
      <c r="M1039" s="1">
        <f t="shared" si="83"/>
        <v>189.7893569197177</v>
      </c>
      <c r="N1039" s="7">
        <f t="shared" si="84"/>
        <v>189.7893569197177</v>
      </c>
    </row>
    <row r="1040" spans="1:14" x14ac:dyDescent="0.25">
      <c r="A1040" t="str">
        <f>"14:07:41.039"</f>
        <v>14:07:41.039</v>
      </c>
      <c r="B1040">
        <v>39.448729</v>
      </c>
      <c r="C1040">
        <v>-76.838379000000003</v>
      </c>
      <c r="D1040">
        <v>8700</v>
      </c>
      <c r="E1040">
        <v>9025</v>
      </c>
      <c r="F1040">
        <v>166</v>
      </c>
      <c r="G1040">
        <v>92</v>
      </c>
      <c r="H1040">
        <v>-64</v>
      </c>
      <c r="J1040" s="1">
        <f t="shared" si="80"/>
        <v>27556</v>
      </c>
      <c r="K1040" s="1">
        <f t="shared" si="81"/>
        <v>8464</v>
      </c>
      <c r="L1040" s="1">
        <f t="shared" si="82"/>
        <v>36020</v>
      </c>
      <c r="M1040" s="1">
        <f t="shared" si="83"/>
        <v>189.7893569197177</v>
      </c>
      <c r="N1040" s="7">
        <f t="shared" si="84"/>
        <v>189.7893569197177</v>
      </c>
    </row>
    <row r="1041" spans="1:14" x14ac:dyDescent="0.25">
      <c r="A1041" t="str">
        <f>"14:07:41.945"</f>
        <v>14:07:41.945</v>
      </c>
      <c r="B1041">
        <v>39.449157999999997</v>
      </c>
      <c r="C1041">
        <v>-76.837456000000003</v>
      </c>
      <c r="D1041">
        <v>8700</v>
      </c>
      <c r="E1041">
        <v>9025</v>
      </c>
      <c r="F1041">
        <v>166</v>
      </c>
      <c r="G1041">
        <v>92</v>
      </c>
      <c r="H1041">
        <v>0</v>
      </c>
      <c r="J1041" s="1">
        <f t="shared" si="80"/>
        <v>27556</v>
      </c>
      <c r="K1041" s="1">
        <f t="shared" si="81"/>
        <v>8464</v>
      </c>
      <c r="L1041" s="1">
        <f t="shared" si="82"/>
        <v>36020</v>
      </c>
      <c r="M1041" s="1">
        <f t="shared" si="83"/>
        <v>189.7893569197177</v>
      </c>
      <c r="N1041" s="7">
        <f t="shared" si="84"/>
        <v>189.7893569197177</v>
      </c>
    </row>
    <row r="1042" spans="1:14" x14ac:dyDescent="0.25">
      <c r="A1042" t="str">
        <f>"14:07:42.906"</f>
        <v>14:07:42.906</v>
      </c>
      <c r="B1042">
        <v>39.449522000000002</v>
      </c>
      <c r="C1042">
        <v>-76.836534</v>
      </c>
      <c r="D1042">
        <v>8700</v>
      </c>
      <c r="E1042">
        <v>9025</v>
      </c>
      <c r="F1042">
        <v>166</v>
      </c>
      <c r="G1042">
        <v>92</v>
      </c>
      <c r="H1042">
        <v>0</v>
      </c>
      <c r="J1042" s="1">
        <f t="shared" si="80"/>
        <v>27556</v>
      </c>
      <c r="K1042" s="1">
        <f t="shared" si="81"/>
        <v>8464</v>
      </c>
      <c r="L1042" s="1">
        <f t="shared" si="82"/>
        <v>36020</v>
      </c>
      <c r="M1042" s="1">
        <f t="shared" si="83"/>
        <v>189.7893569197177</v>
      </c>
      <c r="N1042" s="7">
        <f t="shared" si="84"/>
        <v>189.7893569197177</v>
      </c>
    </row>
    <row r="1043" spans="1:14" x14ac:dyDescent="0.25">
      <c r="A1043" t="str">
        <f>"14:07:43.914"</f>
        <v>14:07:43.914</v>
      </c>
      <c r="B1043">
        <v>39.449973</v>
      </c>
      <c r="C1043">
        <v>-76.835504</v>
      </c>
      <c r="D1043">
        <v>8700</v>
      </c>
      <c r="E1043">
        <v>9025</v>
      </c>
      <c r="F1043">
        <v>166</v>
      </c>
      <c r="G1043">
        <v>92</v>
      </c>
      <c r="H1043">
        <v>0</v>
      </c>
      <c r="J1043" s="1">
        <f t="shared" si="80"/>
        <v>27556</v>
      </c>
      <c r="K1043" s="1">
        <f t="shared" si="81"/>
        <v>8464</v>
      </c>
      <c r="L1043" s="1">
        <f t="shared" si="82"/>
        <v>36020</v>
      </c>
      <c r="M1043" s="1">
        <f t="shared" si="83"/>
        <v>189.7893569197177</v>
      </c>
      <c r="N1043" s="7">
        <f t="shared" si="84"/>
        <v>189.7893569197177</v>
      </c>
    </row>
    <row r="1044" spans="1:14" x14ac:dyDescent="0.25">
      <c r="A1044" t="str">
        <f>"14:07:44.930"</f>
        <v>14:07:44.930</v>
      </c>
      <c r="B1044">
        <v>39.450401999999997</v>
      </c>
      <c r="C1044">
        <v>-76.834558999999999</v>
      </c>
      <c r="D1044">
        <v>8700</v>
      </c>
      <c r="E1044">
        <v>9025</v>
      </c>
      <c r="F1044">
        <v>166</v>
      </c>
      <c r="G1044">
        <v>92</v>
      </c>
      <c r="H1044">
        <v>0</v>
      </c>
      <c r="J1044" s="1">
        <f t="shared" si="80"/>
        <v>27556</v>
      </c>
      <c r="K1044" s="1">
        <f t="shared" si="81"/>
        <v>8464</v>
      </c>
      <c r="L1044" s="1">
        <f t="shared" si="82"/>
        <v>36020</v>
      </c>
      <c r="M1044" s="1">
        <f t="shared" si="83"/>
        <v>189.7893569197177</v>
      </c>
      <c r="N1044" s="7">
        <f t="shared" si="84"/>
        <v>189.7893569197177</v>
      </c>
    </row>
    <row r="1045" spans="1:14" x14ac:dyDescent="0.25">
      <c r="A1045" t="str">
        <f>"14:07:45.984"</f>
        <v>14:07:45.984</v>
      </c>
      <c r="B1045">
        <v>39.450873999999999</v>
      </c>
      <c r="C1045">
        <v>-76.833487000000005</v>
      </c>
      <c r="D1045">
        <v>8700</v>
      </c>
      <c r="E1045">
        <v>9000</v>
      </c>
      <c r="F1045">
        <v>166</v>
      </c>
      <c r="G1045">
        <v>92</v>
      </c>
      <c r="H1045">
        <v>0</v>
      </c>
      <c r="J1045" s="1">
        <f t="shared" si="80"/>
        <v>27556</v>
      </c>
      <c r="K1045" s="1">
        <f t="shared" si="81"/>
        <v>8464</v>
      </c>
      <c r="L1045" s="1">
        <f t="shared" si="82"/>
        <v>36020</v>
      </c>
      <c r="M1045" s="1">
        <f t="shared" si="83"/>
        <v>189.7893569197177</v>
      </c>
      <c r="N1045" s="7">
        <f t="shared" si="84"/>
        <v>189.7893569197177</v>
      </c>
    </row>
    <row r="1046" spans="1:14" x14ac:dyDescent="0.25">
      <c r="A1046" t="str">
        <f>"14:07:47.047"</f>
        <v>14:07:47.047</v>
      </c>
      <c r="B1046">
        <v>39.451346000000001</v>
      </c>
      <c r="C1046">
        <v>-76.832348999999994</v>
      </c>
      <c r="D1046">
        <v>8700</v>
      </c>
      <c r="E1046">
        <v>9025</v>
      </c>
      <c r="F1046">
        <v>166</v>
      </c>
      <c r="G1046">
        <v>92</v>
      </c>
      <c r="H1046">
        <v>0</v>
      </c>
      <c r="J1046" s="1">
        <f t="shared" si="80"/>
        <v>27556</v>
      </c>
      <c r="K1046" s="1">
        <f t="shared" si="81"/>
        <v>8464</v>
      </c>
      <c r="L1046" s="1">
        <f t="shared" si="82"/>
        <v>36020</v>
      </c>
      <c r="M1046" s="1">
        <f t="shared" si="83"/>
        <v>189.7893569197177</v>
      </c>
      <c r="N1046" s="7">
        <f t="shared" si="84"/>
        <v>189.7893569197177</v>
      </c>
    </row>
    <row r="1047" spans="1:14" x14ac:dyDescent="0.25">
      <c r="A1047" t="str">
        <f>"14:07:48.055"</f>
        <v>14:07:48.055</v>
      </c>
      <c r="B1047">
        <v>39.451711000000003</v>
      </c>
      <c r="C1047">
        <v>-76.831491</v>
      </c>
      <c r="D1047">
        <v>8700</v>
      </c>
      <c r="E1047">
        <v>9025</v>
      </c>
      <c r="F1047">
        <v>166</v>
      </c>
      <c r="G1047">
        <v>92</v>
      </c>
      <c r="H1047">
        <v>64</v>
      </c>
      <c r="J1047" s="1">
        <f t="shared" si="80"/>
        <v>27556</v>
      </c>
      <c r="K1047" s="1">
        <f t="shared" si="81"/>
        <v>8464</v>
      </c>
      <c r="L1047" s="1">
        <f t="shared" si="82"/>
        <v>36020</v>
      </c>
      <c r="M1047" s="1">
        <f t="shared" si="83"/>
        <v>189.7893569197177</v>
      </c>
      <c r="N1047" s="7">
        <f t="shared" si="84"/>
        <v>189.7893569197177</v>
      </c>
    </row>
    <row r="1048" spans="1:14" x14ac:dyDescent="0.25">
      <c r="A1048" t="str">
        <f>"14:07:49.016"</f>
        <v>14:07:49.016</v>
      </c>
      <c r="B1048">
        <v>39.45214</v>
      </c>
      <c r="C1048">
        <v>-76.830439999999996</v>
      </c>
      <c r="D1048">
        <v>8700</v>
      </c>
      <c r="E1048">
        <v>9025</v>
      </c>
      <c r="F1048">
        <v>166</v>
      </c>
      <c r="G1048">
        <v>91</v>
      </c>
      <c r="H1048">
        <v>0</v>
      </c>
      <c r="J1048" s="1">
        <f t="shared" si="80"/>
        <v>27556</v>
      </c>
      <c r="K1048" s="1">
        <f t="shared" si="81"/>
        <v>8281</v>
      </c>
      <c r="L1048" s="1">
        <f t="shared" si="82"/>
        <v>35837</v>
      </c>
      <c r="M1048" s="1">
        <f t="shared" si="83"/>
        <v>189.30662957223657</v>
      </c>
      <c r="N1048" s="7">
        <f t="shared" si="84"/>
        <v>189.30662957223657</v>
      </c>
    </row>
    <row r="1049" spans="1:14" x14ac:dyDescent="0.25">
      <c r="A1049" t="str">
        <f>"14:07:50.125"</f>
        <v>14:07:50.125</v>
      </c>
      <c r="B1049">
        <v>39.452590999999998</v>
      </c>
      <c r="C1049">
        <v>-76.829431</v>
      </c>
      <c r="D1049">
        <v>8700</v>
      </c>
      <c r="E1049">
        <v>9025</v>
      </c>
      <c r="F1049">
        <v>166</v>
      </c>
      <c r="G1049">
        <v>91</v>
      </c>
      <c r="H1049">
        <v>0</v>
      </c>
      <c r="J1049" s="1">
        <f t="shared" si="80"/>
        <v>27556</v>
      </c>
      <c r="K1049" s="1">
        <f t="shared" si="81"/>
        <v>8281</v>
      </c>
      <c r="L1049" s="1">
        <f t="shared" si="82"/>
        <v>35837</v>
      </c>
      <c r="M1049" s="1">
        <f t="shared" si="83"/>
        <v>189.30662957223657</v>
      </c>
      <c r="N1049" s="7">
        <f t="shared" si="84"/>
        <v>189.30662957223657</v>
      </c>
    </row>
    <row r="1050" spans="1:14" x14ac:dyDescent="0.25">
      <c r="A1050" t="str">
        <f>"14:07:51.086"</f>
        <v>14:07:51.086</v>
      </c>
      <c r="B1050">
        <v>39.453042000000003</v>
      </c>
      <c r="C1050">
        <v>-76.828400999999999</v>
      </c>
      <c r="D1050">
        <v>8700</v>
      </c>
      <c r="E1050">
        <v>9025</v>
      </c>
      <c r="F1050">
        <v>166</v>
      </c>
      <c r="G1050">
        <v>91</v>
      </c>
      <c r="H1050">
        <v>0</v>
      </c>
      <c r="J1050" s="1">
        <f t="shared" si="80"/>
        <v>27556</v>
      </c>
      <c r="K1050" s="1">
        <f t="shared" si="81"/>
        <v>8281</v>
      </c>
      <c r="L1050" s="1">
        <f t="shared" si="82"/>
        <v>35837</v>
      </c>
      <c r="M1050" s="1">
        <f t="shared" si="83"/>
        <v>189.30662957223657</v>
      </c>
      <c r="N1050" s="7">
        <f t="shared" si="84"/>
        <v>189.30662957223657</v>
      </c>
    </row>
    <row r="1051" spans="1:14" x14ac:dyDescent="0.25">
      <c r="A1051" t="str">
        <f>"14:07:51.992"</f>
        <v>14:07:51.992</v>
      </c>
      <c r="B1051">
        <v>39.453384999999997</v>
      </c>
      <c r="C1051">
        <v>-76.827521000000004</v>
      </c>
      <c r="D1051">
        <v>8700</v>
      </c>
      <c r="E1051">
        <v>9025</v>
      </c>
      <c r="F1051">
        <v>166</v>
      </c>
      <c r="G1051">
        <v>91</v>
      </c>
      <c r="H1051">
        <v>0</v>
      </c>
      <c r="J1051" s="1">
        <f t="shared" si="80"/>
        <v>27556</v>
      </c>
      <c r="K1051" s="1">
        <f t="shared" si="81"/>
        <v>8281</v>
      </c>
      <c r="L1051" s="1">
        <f t="shared" si="82"/>
        <v>35837</v>
      </c>
      <c r="M1051" s="1">
        <f t="shared" si="83"/>
        <v>189.30662957223657</v>
      </c>
      <c r="N1051" s="7">
        <f t="shared" si="84"/>
        <v>189.30662957223657</v>
      </c>
    </row>
    <row r="1052" spans="1:14" x14ac:dyDescent="0.25">
      <c r="A1052" t="str">
        <f>"14:07:53.102"</f>
        <v>14:07:53.102</v>
      </c>
      <c r="B1052">
        <v>39.453878000000003</v>
      </c>
      <c r="C1052">
        <v>-76.826384000000004</v>
      </c>
      <c r="D1052">
        <v>8700</v>
      </c>
      <c r="E1052">
        <v>9025</v>
      </c>
      <c r="F1052">
        <v>166</v>
      </c>
      <c r="G1052">
        <v>91</v>
      </c>
      <c r="H1052">
        <v>0</v>
      </c>
      <c r="J1052" s="1">
        <f t="shared" si="80"/>
        <v>27556</v>
      </c>
      <c r="K1052" s="1">
        <f t="shared" si="81"/>
        <v>8281</v>
      </c>
      <c r="L1052" s="1">
        <f t="shared" si="82"/>
        <v>35837</v>
      </c>
      <c r="M1052" s="1">
        <f t="shared" si="83"/>
        <v>189.30662957223657</v>
      </c>
      <c r="N1052" s="7">
        <f t="shared" si="84"/>
        <v>189.30662957223657</v>
      </c>
    </row>
    <row r="1053" spans="1:14" x14ac:dyDescent="0.25">
      <c r="A1053" t="str">
        <f>"14:07:54.164"</f>
        <v>14:07:54.164</v>
      </c>
      <c r="B1053">
        <v>39.454286000000003</v>
      </c>
      <c r="C1053">
        <v>-76.825417999999999</v>
      </c>
      <c r="D1053">
        <v>8700</v>
      </c>
      <c r="E1053">
        <v>9025</v>
      </c>
      <c r="F1053">
        <v>166</v>
      </c>
      <c r="G1053">
        <v>90</v>
      </c>
      <c r="H1053">
        <v>0</v>
      </c>
      <c r="J1053" s="1">
        <f t="shared" si="80"/>
        <v>27556</v>
      </c>
      <c r="K1053" s="1">
        <f t="shared" si="81"/>
        <v>8100</v>
      </c>
      <c r="L1053" s="1">
        <f t="shared" si="82"/>
        <v>35656</v>
      </c>
      <c r="M1053" s="1">
        <f t="shared" si="83"/>
        <v>188.82796403075471</v>
      </c>
      <c r="N1053" s="7">
        <f t="shared" si="84"/>
        <v>188.82796403075471</v>
      </c>
    </row>
    <row r="1054" spans="1:14" x14ac:dyDescent="0.25">
      <c r="A1054" t="str">
        <f>"14:07:55.125"</f>
        <v>14:07:55.125</v>
      </c>
      <c r="B1054">
        <v>39.454694000000003</v>
      </c>
      <c r="C1054">
        <v>-76.82441</v>
      </c>
      <c r="D1054">
        <v>8700</v>
      </c>
      <c r="E1054">
        <v>9025</v>
      </c>
      <c r="F1054">
        <v>167</v>
      </c>
      <c r="G1054">
        <v>90</v>
      </c>
      <c r="H1054">
        <v>0</v>
      </c>
      <c r="J1054" s="1">
        <f t="shared" si="80"/>
        <v>27889</v>
      </c>
      <c r="K1054" s="1">
        <f t="shared" si="81"/>
        <v>8100</v>
      </c>
      <c r="L1054" s="1">
        <f t="shared" si="82"/>
        <v>35989</v>
      </c>
      <c r="M1054" s="1">
        <f t="shared" si="83"/>
        <v>189.70766985021982</v>
      </c>
      <c r="N1054" s="7">
        <f t="shared" si="84"/>
        <v>189.70766985021982</v>
      </c>
    </row>
    <row r="1055" spans="1:14" x14ac:dyDescent="0.25">
      <c r="A1055" t="str">
        <f>"14:07:56.188"</f>
        <v>14:07:56.188</v>
      </c>
      <c r="B1055">
        <v>39.455165999999998</v>
      </c>
      <c r="C1055">
        <v>-76.823294000000004</v>
      </c>
      <c r="D1055">
        <v>8700</v>
      </c>
      <c r="E1055">
        <v>9025</v>
      </c>
      <c r="F1055">
        <v>167</v>
      </c>
      <c r="G1055">
        <v>90</v>
      </c>
      <c r="H1055">
        <v>0</v>
      </c>
      <c r="J1055" s="1">
        <f t="shared" si="80"/>
        <v>27889</v>
      </c>
      <c r="K1055" s="1">
        <f t="shared" si="81"/>
        <v>8100</v>
      </c>
      <c r="L1055" s="1">
        <f t="shared" si="82"/>
        <v>35989</v>
      </c>
      <c r="M1055" s="1">
        <f t="shared" si="83"/>
        <v>189.70766985021982</v>
      </c>
      <c r="N1055" s="7">
        <f t="shared" si="84"/>
        <v>189.70766985021982</v>
      </c>
    </row>
    <row r="1056" spans="1:14" x14ac:dyDescent="0.25">
      <c r="A1056" t="str">
        <f>"14:07:57.094"</f>
        <v>14:07:57.094</v>
      </c>
      <c r="B1056">
        <v>39.455531000000001</v>
      </c>
      <c r="C1056">
        <v>-76.822435999999996</v>
      </c>
      <c r="D1056">
        <v>8700</v>
      </c>
      <c r="E1056">
        <v>9025</v>
      </c>
      <c r="F1056">
        <v>167</v>
      </c>
      <c r="G1056">
        <v>89</v>
      </c>
      <c r="H1056">
        <v>0</v>
      </c>
      <c r="J1056" s="1">
        <f t="shared" si="80"/>
        <v>27889</v>
      </c>
      <c r="K1056" s="1">
        <f t="shared" si="81"/>
        <v>7921</v>
      </c>
      <c r="L1056" s="1">
        <f t="shared" si="82"/>
        <v>35810</v>
      </c>
      <c r="M1056" s="1">
        <f t="shared" si="83"/>
        <v>189.2353032602532</v>
      </c>
      <c r="N1056" s="7">
        <f t="shared" si="84"/>
        <v>189.2353032602532</v>
      </c>
    </row>
    <row r="1057" spans="1:14" x14ac:dyDescent="0.25">
      <c r="A1057" t="str">
        <f>"14:07:58.047"</f>
        <v>14:07:58.047</v>
      </c>
      <c r="B1057">
        <v>39.455916999999999</v>
      </c>
      <c r="C1057">
        <v>-76.821534999999997</v>
      </c>
      <c r="D1057">
        <v>8700</v>
      </c>
      <c r="E1057">
        <v>9025</v>
      </c>
      <c r="F1057">
        <v>167</v>
      </c>
      <c r="G1057">
        <v>89</v>
      </c>
      <c r="H1057">
        <v>0</v>
      </c>
      <c r="J1057" s="1">
        <f t="shared" si="80"/>
        <v>27889</v>
      </c>
      <c r="K1057" s="1">
        <f t="shared" si="81"/>
        <v>7921</v>
      </c>
      <c r="L1057" s="1">
        <f t="shared" si="82"/>
        <v>35810</v>
      </c>
      <c r="M1057" s="1">
        <f t="shared" si="83"/>
        <v>189.2353032602532</v>
      </c>
      <c r="N1057" s="7">
        <f t="shared" si="84"/>
        <v>189.2353032602532</v>
      </c>
    </row>
    <row r="1058" spans="1:14" x14ac:dyDescent="0.25">
      <c r="A1058" t="str">
        <f>"14:07:59.109"</f>
        <v>14:07:59.109</v>
      </c>
      <c r="B1058">
        <v>39.456346000000003</v>
      </c>
      <c r="C1058">
        <v>-76.820397</v>
      </c>
      <c r="D1058">
        <v>8700</v>
      </c>
      <c r="E1058">
        <v>9025</v>
      </c>
      <c r="F1058">
        <v>167</v>
      </c>
      <c r="G1058">
        <v>89</v>
      </c>
      <c r="H1058">
        <v>0</v>
      </c>
      <c r="J1058" s="1">
        <f t="shared" si="80"/>
        <v>27889</v>
      </c>
      <c r="K1058" s="1">
        <f t="shared" si="81"/>
        <v>7921</v>
      </c>
      <c r="L1058" s="1">
        <f t="shared" si="82"/>
        <v>35810</v>
      </c>
      <c r="M1058" s="1">
        <f t="shared" si="83"/>
        <v>189.2353032602532</v>
      </c>
      <c r="N1058" s="7">
        <f t="shared" si="84"/>
        <v>189.2353032602532</v>
      </c>
    </row>
    <row r="1059" spans="1:14" x14ac:dyDescent="0.25">
      <c r="A1059" t="str">
        <f>"14:08:00.070"</f>
        <v>14:08:00.070</v>
      </c>
      <c r="B1059">
        <v>39.456753999999997</v>
      </c>
      <c r="C1059">
        <v>-76.819452999999996</v>
      </c>
      <c r="D1059">
        <v>8700</v>
      </c>
      <c r="E1059">
        <v>9025</v>
      </c>
      <c r="F1059">
        <v>168</v>
      </c>
      <c r="G1059">
        <v>88</v>
      </c>
      <c r="H1059">
        <v>0</v>
      </c>
      <c r="J1059" s="1">
        <f t="shared" si="80"/>
        <v>28224</v>
      </c>
      <c r="K1059" s="1">
        <f t="shared" si="81"/>
        <v>7744</v>
      </c>
      <c r="L1059" s="1">
        <f t="shared" si="82"/>
        <v>35968</v>
      </c>
      <c r="M1059" s="1">
        <f t="shared" si="83"/>
        <v>189.65231345807516</v>
      </c>
      <c r="N1059" s="7">
        <f t="shared" si="84"/>
        <v>189.65231345807516</v>
      </c>
    </row>
    <row r="1060" spans="1:14" x14ac:dyDescent="0.25">
      <c r="A1060" t="str">
        <f>"14:08:01.180"</f>
        <v>14:08:01.180</v>
      </c>
      <c r="B1060">
        <v>39.457203999999997</v>
      </c>
      <c r="C1060">
        <v>-76.818359000000001</v>
      </c>
      <c r="D1060">
        <v>8700</v>
      </c>
      <c r="E1060">
        <v>9025</v>
      </c>
      <c r="F1060">
        <v>168</v>
      </c>
      <c r="G1060">
        <v>88</v>
      </c>
      <c r="H1060">
        <v>0</v>
      </c>
      <c r="J1060" s="1">
        <f t="shared" si="80"/>
        <v>28224</v>
      </c>
      <c r="K1060" s="1">
        <f t="shared" si="81"/>
        <v>7744</v>
      </c>
      <c r="L1060" s="1">
        <f t="shared" si="82"/>
        <v>35968</v>
      </c>
      <c r="M1060" s="1">
        <f t="shared" si="83"/>
        <v>189.65231345807516</v>
      </c>
      <c r="N1060" s="7">
        <f t="shared" si="84"/>
        <v>189.65231345807516</v>
      </c>
    </row>
    <row r="1061" spans="1:14" x14ac:dyDescent="0.25">
      <c r="A1061" t="str">
        <f>"14:08:02.141"</f>
        <v>14:08:02.141</v>
      </c>
      <c r="B1061">
        <v>39.457591000000001</v>
      </c>
      <c r="C1061">
        <v>-76.817414999999997</v>
      </c>
      <c r="D1061">
        <v>8700</v>
      </c>
      <c r="E1061">
        <v>9025</v>
      </c>
      <c r="F1061">
        <v>168</v>
      </c>
      <c r="G1061">
        <v>87</v>
      </c>
      <c r="H1061">
        <v>0</v>
      </c>
      <c r="J1061" s="1">
        <f t="shared" si="80"/>
        <v>28224</v>
      </c>
      <c r="K1061" s="1">
        <f t="shared" si="81"/>
        <v>7569</v>
      </c>
      <c r="L1061" s="1">
        <f t="shared" si="82"/>
        <v>35793</v>
      </c>
      <c r="M1061" s="1">
        <f t="shared" si="83"/>
        <v>189.19038030513073</v>
      </c>
      <c r="N1061" s="7">
        <f t="shared" si="84"/>
        <v>189.19038030513073</v>
      </c>
    </row>
    <row r="1062" spans="1:14" x14ac:dyDescent="0.25">
      <c r="A1062" t="str">
        <f>"14:08:03.047"</f>
        <v>14:08:03.047</v>
      </c>
      <c r="B1062">
        <v>39.457912</v>
      </c>
      <c r="C1062">
        <v>-76.816535000000002</v>
      </c>
      <c r="D1062">
        <v>8700</v>
      </c>
      <c r="E1062">
        <v>9025</v>
      </c>
      <c r="F1062">
        <v>168</v>
      </c>
      <c r="G1062">
        <v>87</v>
      </c>
      <c r="H1062">
        <v>0</v>
      </c>
      <c r="J1062" s="1">
        <f t="shared" si="80"/>
        <v>28224</v>
      </c>
      <c r="K1062" s="1">
        <f t="shared" si="81"/>
        <v>7569</v>
      </c>
      <c r="L1062" s="1">
        <f t="shared" si="82"/>
        <v>35793</v>
      </c>
      <c r="M1062" s="1">
        <f t="shared" si="83"/>
        <v>189.19038030513073</v>
      </c>
      <c r="N1062" s="7">
        <f t="shared" si="84"/>
        <v>189.19038030513073</v>
      </c>
    </row>
    <row r="1063" spans="1:14" x14ac:dyDescent="0.25">
      <c r="A1063" t="str">
        <f>"14:08:04.109"</f>
        <v>14:08:04.109</v>
      </c>
      <c r="B1063">
        <v>39.458362999999999</v>
      </c>
      <c r="C1063">
        <v>-76.815441000000007</v>
      </c>
      <c r="D1063">
        <v>8700</v>
      </c>
      <c r="E1063">
        <v>9025</v>
      </c>
      <c r="F1063">
        <v>168</v>
      </c>
      <c r="G1063">
        <v>87</v>
      </c>
      <c r="H1063">
        <v>0</v>
      </c>
      <c r="J1063" s="1">
        <f t="shared" si="80"/>
        <v>28224</v>
      </c>
      <c r="K1063" s="1">
        <f t="shared" si="81"/>
        <v>7569</v>
      </c>
      <c r="L1063" s="1">
        <f t="shared" si="82"/>
        <v>35793</v>
      </c>
      <c r="M1063" s="1">
        <f t="shared" si="83"/>
        <v>189.19038030513073</v>
      </c>
      <c r="N1063" s="7">
        <f t="shared" si="84"/>
        <v>189.19038030513073</v>
      </c>
    </row>
    <row r="1064" spans="1:14" x14ac:dyDescent="0.25">
      <c r="A1064" t="str">
        <f>"14:08:05.266"</f>
        <v>14:08:05.266</v>
      </c>
      <c r="B1064">
        <v>39.458792000000003</v>
      </c>
      <c r="C1064">
        <v>-76.814324999999997</v>
      </c>
      <c r="D1064">
        <v>8700</v>
      </c>
      <c r="E1064">
        <v>9025</v>
      </c>
      <c r="F1064">
        <v>169</v>
      </c>
      <c r="G1064">
        <v>86</v>
      </c>
      <c r="H1064">
        <v>0</v>
      </c>
      <c r="J1064" s="1">
        <f t="shared" si="80"/>
        <v>28561</v>
      </c>
      <c r="K1064" s="1">
        <f t="shared" si="81"/>
        <v>7396</v>
      </c>
      <c r="L1064" s="1">
        <f t="shared" si="82"/>
        <v>35957</v>
      </c>
      <c r="M1064" s="1">
        <f t="shared" si="83"/>
        <v>189.62331080328704</v>
      </c>
      <c r="N1064" s="7">
        <f t="shared" si="84"/>
        <v>189.62331080328704</v>
      </c>
    </row>
    <row r="1065" spans="1:14" x14ac:dyDescent="0.25">
      <c r="A1065" t="str">
        <f>"14:08:06.375"</f>
        <v>14:08:06.375</v>
      </c>
      <c r="B1065">
        <v>39.459220999999999</v>
      </c>
      <c r="C1065">
        <v>-76.813187999999997</v>
      </c>
      <c r="D1065">
        <v>8700</v>
      </c>
      <c r="E1065">
        <v>9025</v>
      </c>
      <c r="F1065">
        <v>169</v>
      </c>
      <c r="G1065">
        <v>86</v>
      </c>
      <c r="H1065">
        <v>0</v>
      </c>
      <c r="J1065" s="1">
        <f t="shared" si="80"/>
        <v>28561</v>
      </c>
      <c r="K1065" s="1">
        <f t="shared" si="81"/>
        <v>7396</v>
      </c>
      <c r="L1065" s="1">
        <f t="shared" si="82"/>
        <v>35957</v>
      </c>
      <c r="M1065" s="1">
        <f t="shared" si="83"/>
        <v>189.62331080328704</v>
      </c>
      <c r="N1065" s="7">
        <f t="shared" si="84"/>
        <v>189.62331080328704</v>
      </c>
    </row>
    <row r="1066" spans="1:14" x14ac:dyDescent="0.25">
      <c r="A1066" t="str">
        <f>"14:08:07.289"</f>
        <v>14:08:07.289</v>
      </c>
      <c r="B1066">
        <v>39.459651000000001</v>
      </c>
      <c r="C1066">
        <v>-76.812222000000006</v>
      </c>
      <c r="D1066">
        <v>8700</v>
      </c>
      <c r="E1066">
        <v>9025</v>
      </c>
      <c r="F1066">
        <v>169</v>
      </c>
      <c r="G1066">
        <v>85</v>
      </c>
      <c r="H1066">
        <v>0</v>
      </c>
      <c r="J1066" s="1">
        <f t="shared" si="80"/>
        <v>28561</v>
      </c>
      <c r="K1066" s="1">
        <f t="shared" si="81"/>
        <v>7225</v>
      </c>
      <c r="L1066" s="1">
        <f t="shared" si="82"/>
        <v>35786</v>
      </c>
      <c r="M1066" s="1">
        <f t="shared" si="83"/>
        <v>189.1718795170149</v>
      </c>
      <c r="N1066" s="7">
        <f t="shared" si="84"/>
        <v>189.1718795170149</v>
      </c>
    </row>
    <row r="1067" spans="1:14" x14ac:dyDescent="0.25">
      <c r="A1067" t="str">
        <f>"14:08:08.398"</f>
        <v>14:08:08.398</v>
      </c>
      <c r="B1067">
        <v>39.460101000000002</v>
      </c>
      <c r="C1067">
        <v>-76.811042</v>
      </c>
      <c r="D1067">
        <v>8700</v>
      </c>
      <c r="E1067">
        <v>9025</v>
      </c>
      <c r="F1067">
        <v>169</v>
      </c>
      <c r="G1067">
        <v>85</v>
      </c>
      <c r="H1067">
        <v>0</v>
      </c>
      <c r="J1067" s="1">
        <f t="shared" si="80"/>
        <v>28561</v>
      </c>
      <c r="K1067" s="1">
        <f t="shared" si="81"/>
        <v>7225</v>
      </c>
      <c r="L1067" s="1">
        <f t="shared" si="82"/>
        <v>35786</v>
      </c>
      <c r="M1067" s="1">
        <f t="shared" si="83"/>
        <v>189.1718795170149</v>
      </c>
      <c r="N1067" s="7">
        <f t="shared" si="84"/>
        <v>189.1718795170149</v>
      </c>
    </row>
    <row r="1068" spans="1:14" x14ac:dyDescent="0.25">
      <c r="A1068" t="str">
        <f>"14:08:09.461"</f>
        <v>14:08:09.461</v>
      </c>
      <c r="B1068">
        <v>39.460509000000002</v>
      </c>
      <c r="C1068">
        <v>-76.809946999999994</v>
      </c>
      <c r="D1068">
        <v>8700</v>
      </c>
      <c r="E1068">
        <v>9025</v>
      </c>
      <c r="F1068">
        <v>169</v>
      </c>
      <c r="G1068">
        <v>85</v>
      </c>
      <c r="H1068">
        <v>0</v>
      </c>
      <c r="J1068" s="1">
        <f t="shared" si="80"/>
        <v>28561</v>
      </c>
      <c r="K1068" s="1">
        <f t="shared" si="81"/>
        <v>7225</v>
      </c>
      <c r="L1068" s="1">
        <f t="shared" si="82"/>
        <v>35786</v>
      </c>
      <c r="M1068" s="1">
        <f t="shared" si="83"/>
        <v>189.1718795170149</v>
      </c>
      <c r="N1068" s="7">
        <f t="shared" si="84"/>
        <v>189.1718795170149</v>
      </c>
    </row>
    <row r="1069" spans="1:14" x14ac:dyDescent="0.25">
      <c r="A1069" t="str">
        <f>"14:08:10.617"</f>
        <v>14:08:10.617</v>
      </c>
      <c r="B1069">
        <v>39.460937999999999</v>
      </c>
      <c r="C1069">
        <v>-76.808831999999995</v>
      </c>
      <c r="D1069">
        <v>8700</v>
      </c>
      <c r="E1069">
        <v>9025</v>
      </c>
      <c r="F1069">
        <v>169</v>
      </c>
      <c r="G1069">
        <v>85</v>
      </c>
      <c r="H1069">
        <v>0</v>
      </c>
      <c r="J1069" s="1">
        <f t="shared" si="80"/>
        <v>28561</v>
      </c>
      <c r="K1069" s="1">
        <f t="shared" si="81"/>
        <v>7225</v>
      </c>
      <c r="L1069" s="1">
        <f t="shared" si="82"/>
        <v>35786</v>
      </c>
      <c r="M1069" s="1">
        <f t="shared" si="83"/>
        <v>189.1718795170149</v>
      </c>
      <c r="N1069" s="7">
        <f t="shared" si="84"/>
        <v>189.1718795170149</v>
      </c>
    </row>
    <row r="1070" spans="1:14" x14ac:dyDescent="0.25">
      <c r="A1070" t="str">
        <f>"14:08:11.578"</f>
        <v>14:08:11.578</v>
      </c>
      <c r="B1070">
        <v>39.461345999999999</v>
      </c>
      <c r="C1070">
        <v>-76.807801999999995</v>
      </c>
      <c r="D1070">
        <v>8700</v>
      </c>
      <c r="E1070">
        <v>9025</v>
      </c>
      <c r="F1070">
        <v>169</v>
      </c>
      <c r="G1070">
        <v>85</v>
      </c>
      <c r="H1070">
        <v>0</v>
      </c>
      <c r="J1070" s="1">
        <f t="shared" si="80"/>
        <v>28561</v>
      </c>
      <c r="K1070" s="1">
        <f t="shared" si="81"/>
        <v>7225</v>
      </c>
      <c r="L1070" s="1">
        <f t="shared" si="82"/>
        <v>35786</v>
      </c>
      <c r="M1070" s="1">
        <f t="shared" si="83"/>
        <v>189.1718795170149</v>
      </c>
      <c r="N1070" s="7">
        <f t="shared" si="84"/>
        <v>189.1718795170149</v>
      </c>
    </row>
    <row r="1071" spans="1:14" x14ac:dyDescent="0.25">
      <c r="A1071" t="str">
        <f>"14:08:12.586"</f>
        <v>14:08:12.586</v>
      </c>
      <c r="B1071">
        <v>39.461709999999997</v>
      </c>
      <c r="C1071">
        <v>-76.806922</v>
      </c>
      <c r="D1071">
        <v>8700</v>
      </c>
      <c r="E1071">
        <v>9025</v>
      </c>
      <c r="F1071">
        <v>169</v>
      </c>
      <c r="G1071">
        <v>84</v>
      </c>
      <c r="H1071">
        <v>0</v>
      </c>
      <c r="J1071" s="1">
        <f t="shared" si="80"/>
        <v>28561</v>
      </c>
      <c r="K1071" s="1">
        <f t="shared" si="81"/>
        <v>7056</v>
      </c>
      <c r="L1071" s="1">
        <f t="shared" si="82"/>
        <v>35617</v>
      </c>
      <c r="M1071" s="1">
        <f t="shared" si="83"/>
        <v>188.72466717416671</v>
      </c>
      <c r="N1071" s="7">
        <f t="shared" si="84"/>
        <v>188.72466717416671</v>
      </c>
    </row>
    <row r="1072" spans="1:14" x14ac:dyDescent="0.25">
      <c r="A1072" t="str">
        <f>"14:08:13.594"</f>
        <v>14:08:13.594</v>
      </c>
      <c r="B1072">
        <v>39.462097</v>
      </c>
      <c r="C1072">
        <v>-76.805785</v>
      </c>
      <c r="D1072">
        <v>8700</v>
      </c>
      <c r="E1072">
        <v>9025</v>
      </c>
      <c r="F1072">
        <v>169</v>
      </c>
      <c r="G1072">
        <v>84</v>
      </c>
      <c r="H1072">
        <v>0</v>
      </c>
      <c r="J1072" s="1">
        <f t="shared" si="80"/>
        <v>28561</v>
      </c>
      <c r="K1072" s="1">
        <f t="shared" si="81"/>
        <v>7056</v>
      </c>
      <c r="L1072" s="1">
        <f t="shared" si="82"/>
        <v>35617</v>
      </c>
      <c r="M1072" s="1">
        <f t="shared" si="83"/>
        <v>188.72466717416671</v>
      </c>
      <c r="N1072" s="7">
        <f t="shared" si="84"/>
        <v>188.72466717416671</v>
      </c>
    </row>
    <row r="1073" spans="1:14" x14ac:dyDescent="0.25">
      <c r="A1073" t="str">
        <f>"14:08:14.656"</f>
        <v>14:08:14.656</v>
      </c>
      <c r="B1073">
        <v>39.462525999999997</v>
      </c>
      <c r="C1073">
        <v>-76.804818999999995</v>
      </c>
      <c r="D1073">
        <v>8700</v>
      </c>
      <c r="E1073">
        <v>9025</v>
      </c>
      <c r="F1073">
        <v>169</v>
      </c>
      <c r="G1073">
        <v>84</v>
      </c>
      <c r="H1073">
        <v>0</v>
      </c>
      <c r="J1073" s="1">
        <f t="shared" si="80"/>
        <v>28561</v>
      </c>
      <c r="K1073" s="1">
        <f t="shared" si="81"/>
        <v>7056</v>
      </c>
      <c r="L1073" s="1">
        <f t="shared" si="82"/>
        <v>35617</v>
      </c>
      <c r="M1073" s="1">
        <f t="shared" si="83"/>
        <v>188.72466717416671</v>
      </c>
      <c r="N1073" s="7">
        <f t="shared" si="84"/>
        <v>188.72466717416671</v>
      </c>
    </row>
    <row r="1074" spans="1:14" x14ac:dyDescent="0.25">
      <c r="A1074" t="str">
        <f>"14:08:15.617"</f>
        <v>14:08:15.617</v>
      </c>
      <c r="B1074">
        <v>39.462890999999999</v>
      </c>
      <c r="C1074">
        <v>-76.803768000000005</v>
      </c>
      <c r="D1074">
        <v>8700</v>
      </c>
      <c r="E1074">
        <v>9025</v>
      </c>
      <c r="F1074">
        <v>169</v>
      </c>
      <c r="G1074">
        <v>84</v>
      </c>
      <c r="H1074">
        <v>0</v>
      </c>
      <c r="J1074" s="1">
        <f t="shared" si="80"/>
        <v>28561</v>
      </c>
      <c r="K1074" s="1">
        <f t="shared" si="81"/>
        <v>7056</v>
      </c>
      <c r="L1074" s="1">
        <f t="shared" si="82"/>
        <v>35617</v>
      </c>
      <c r="M1074" s="1">
        <f t="shared" si="83"/>
        <v>188.72466717416671</v>
      </c>
      <c r="N1074" s="7">
        <f t="shared" si="84"/>
        <v>188.72466717416671</v>
      </c>
    </row>
    <row r="1075" spans="1:14" x14ac:dyDescent="0.25">
      <c r="A1075" t="str">
        <f>"14:08:16.578"</f>
        <v>14:08:16.578</v>
      </c>
      <c r="B1075">
        <v>39.463320000000003</v>
      </c>
      <c r="C1075">
        <v>-76.802738000000005</v>
      </c>
      <c r="D1075">
        <v>8700</v>
      </c>
      <c r="E1075">
        <v>9025</v>
      </c>
      <c r="F1075">
        <v>169</v>
      </c>
      <c r="G1075">
        <v>85</v>
      </c>
      <c r="H1075">
        <v>-64</v>
      </c>
      <c r="J1075" s="1">
        <f t="shared" si="80"/>
        <v>28561</v>
      </c>
      <c r="K1075" s="1">
        <f t="shared" si="81"/>
        <v>7225</v>
      </c>
      <c r="L1075" s="1">
        <f t="shared" si="82"/>
        <v>35786</v>
      </c>
      <c r="M1075" s="1">
        <f t="shared" si="83"/>
        <v>189.1718795170149</v>
      </c>
      <c r="N1075" s="7">
        <f t="shared" si="84"/>
        <v>189.1718795170149</v>
      </c>
    </row>
    <row r="1076" spans="1:14" x14ac:dyDescent="0.25">
      <c r="A1076" t="str">
        <f>"14:08:17.734"</f>
        <v>14:08:17.734</v>
      </c>
      <c r="B1076">
        <v>39.463706000000002</v>
      </c>
      <c r="C1076">
        <v>-76.801665</v>
      </c>
      <c r="D1076">
        <v>8700</v>
      </c>
      <c r="E1076">
        <v>9025</v>
      </c>
      <c r="F1076">
        <v>169</v>
      </c>
      <c r="G1076">
        <v>85</v>
      </c>
      <c r="H1076">
        <v>-64</v>
      </c>
      <c r="J1076" s="1">
        <f t="shared" si="80"/>
        <v>28561</v>
      </c>
      <c r="K1076" s="1">
        <f t="shared" si="81"/>
        <v>7225</v>
      </c>
      <c r="L1076" s="1">
        <f t="shared" si="82"/>
        <v>35786</v>
      </c>
      <c r="M1076" s="1">
        <f t="shared" si="83"/>
        <v>189.1718795170149</v>
      </c>
      <c r="N1076" s="7">
        <f t="shared" si="84"/>
        <v>189.1718795170149</v>
      </c>
    </row>
    <row r="1077" spans="1:14" x14ac:dyDescent="0.25">
      <c r="A1077" t="str">
        <f>"14:08:18.695"</f>
        <v>14:08:18.695</v>
      </c>
      <c r="B1077">
        <v>39.464134999999999</v>
      </c>
      <c r="C1077">
        <v>-76.800635</v>
      </c>
      <c r="D1077">
        <v>8700</v>
      </c>
      <c r="E1077">
        <v>9025</v>
      </c>
      <c r="F1077">
        <v>169</v>
      </c>
      <c r="G1077">
        <v>85</v>
      </c>
      <c r="H1077">
        <v>0</v>
      </c>
      <c r="J1077" s="1">
        <f t="shared" si="80"/>
        <v>28561</v>
      </c>
      <c r="K1077" s="1">
        <f t="shared" si="81"/>
        <v>7225</v>
      </c>
      <c r="L1077" s="1">
        <f t="shared" si="82"/>
        <v>35786</v>
      </c>
      <c r="M1077" s="1">
        <f t="shared" si="83"/>
        <v>189.1718795170149</v>
      </c>
      <c r="N1077" s="7">
        <f t="shared" si="84"/>
        <v>189.1718795170149</v>
      </c>
    </row>
    <row r="1078" spans="1:14" x14ac:dyDescent="0.25">
      <c r="A1078" t="str">
        <f>"14:08:19.703"</f>
        <v>14:08:19.703</v>
      </c>
      <c r="B1078">
        <v>39.464500000000001</v>
      </c>
      <c r="C1078">
        <v>-76.799626000000004</v>
      </c>
      <c r="D1078">
        <v>8700</v>
      </c>
      <c r="E1078">
        <v>9025</v>
      </c>
      <c r="F1078">
        <v>169</v>
      </c>
      <c r="G1078">
        <v>85</v>
      </c>
      <c r="H1078">
        <v>0</v>
      </c>
      <c r="J1078" s="1">
        <f t="shared" si="80"/>
        <v>28561</v>
      </c>
      <c r="K1078" s="1">
        <f t="shared" si="81"/>
        <v>7225</v>
      </c>
      <c r="L1078" s="1">
        <f t="shared" si="82"/>
        <v>35786</v>
      </c>
      <c r="M1078" s="1">
        <f t="shared" si="83"/>
        <v>189.1718795170149</v>
      </c>
      <c r="N1078" s="7">
        <f t="shared" si="84"/>
        <v>189.1718795170149</v>
      </c>
    </row>
    <row r="1079" spans="1:14" x14ac:dyDescent="0.25">
      <c r="A1079" t="str">
        <f>"14:08:20.766"</f>
        <v>14:08:20.766</v>
      </c>
      <c r="B1079">
        <v>39.464908000000001</v>
      </c>
      <c r="C1079">
        <v>-76.798618000000005</v>
      </c>
      <c r="D1079">
        <v>8700</v>
      </c>
      <c r="E1079">
        <v>9025</v>
      </c>
      <c r="F1079">
        <v>169</v>
      </c>
      <c r="G1079">
        <v>85</v>
      </c>
      <c r="H1079">
        <v>0</v>
      </c>
      <c r="J1079" s="1">
        <f t="shared" si="80"/>
        <v>28561</v>
      </c>
      <c r="K1079" s="1">
        <f t="shared" si="81"/>
        <v>7225</v>
      </c>
      <c r="L1079" s="1">
        <f t="shared" si="82"/>
        <v>35786</v>
      </c>
      <c r="M1079" s="1">
        <f t="shared" si="83"/>
        <v>189.1718795170149</v>
      </c>
      <c r="N1079" s="7">
        <f t="shared" si="84"/>
        <v>189.1718795170149</v>
      </c>
    </row>
    <row r="1080" spans="1:14" x14ac:dyDescent="0.25">
      <c r="A1080" t="str">
        <f>"14:08:21.773"</f>
        <v>14:08:21.773</v>
      </c>
      <c r="B1080">
        <v>39.465314999999997</v>
      </c>
      <c r="C1080">
        <v>-76.797588000000005</v>
      </c>
      <c r="D1080">
        <v>8700</v>
      </c>
      <c r="E1080">
        <v>9000</v>
      </c>
      <c r="F1080">
        <v>169</v>
      </c>
      <c r="G1080">
        <v>86</v>
      </c>
      <c r="H1080">
        <v>0</v>
      </c>
      <c r="J1080" s="1">
        <f t="shared" si="80"/>
        <v>28561</v>
      </c>
      <c r="K1080" s="1">
        <f t="shared" si="81"/>
        <v>7396</v>
      </c>
      <c r="L1080" s="1">
        <f t="shared" si="82"/>
        <v>35957</v>
      </c>
      <c r="M1080" s="1">
        <f t="shared" si="83"/>
        <v>189.62331080328704</v>
      </c>
      <c r="N1080" s="7">
        <f t="shared" si="84"/>
        <v>189.62331080328704</v>
      </c>
    </row>
    <row r="1081" spans="1:14" x14ac:dyDescent="0.25">
      <c r="A1081" t="str">
        <f>"14:08:22.734"</f>
        <v>14:08:22.734</v>
      </c>
      <c r="B1081">
        <v>39.465679999999999</v>
      </c>
      <c r="C1081">
        <v>-76.796578999999994</v>
      </c>
      <c r="D1081">
        <v>8700</v>
      </c>
      <c r="E1081">
        <v>9000</v>
      </c>
      <c r="F1081">
        <v>169</v>
      </c>
      <c r="G1081">
        <v>86</v>
      </c>
      <c r="H1081">
        <v>0</v>
      </c>
      <c r="J1081" s="1">
        <f t="shared" si="80"/>
        <v>28561</v>
      </c>
      <c r="K1081" s="1">
        <f t="shared" si="81"/>
        <v>7396</v>
      </c>
      <c r="L1081" s="1">
        <f t="shared" si="82"/>
        <v>35957</v>
      </c>
      <c r="M1081" s="1">
        <f t="shared" si="83"/>
        <v>189.62331080328704</v>
      </c>
      <c r="N1081" s="7">
        <f t="shared" si="84"/>
        <v>189.62331080328704</v>
      </c>
    </row>
    <row r="1082" spans="1:14" x14ac:dyDescent="0.25">
      <c r="A1082" t="str">
        <f>"14:08:23.594"</f>
        <v>14:08:23.594</v>
      </c>
      <c r="B1082">
        <v>39.466065999999998</v>
      </c>
      <c r="C1082">
        <v>-76.795721</v>
      </c>
      <c r="D1082">
        <v>8700</v>
      </c>
      <c r="E1082">
        <v>9000</v>
      </c>
      <c r="F1082">
        <v>169</v>
      </c>
      <c r="G1082">
        <v>86</v>
      </c>
      <c r="H1082">
        <v>0</v>
      </c>
      <c r="J1082" s="1">
        <f t="shared" si="80"/>
        <v>28561</v>
      </c>
      <c r="K1082" s="1">
        <f t="shared" si="81"/>
        <v>7396</v>
      </c>
      <c r="L1082" s="1">
        <f t="shared" si="82"/>
        <v>35957</v>
      </c>
      <c r="M1082" s="1">
        <f t="shared" si="83"/>
        <v>189.62331080328704</v>
      </c>
      <c r="N1082" s="7">
        <f t="shared" si="84"/>
        <v>189.62331080328704</v>
      </c>
    </row>
    <row r="1083" spans="1:14" x14ac:dyDescent="0.25">
      <c r="A1083" t="str">
        <f>"14:08:24.648"</f>
        <v>14:08:24.648</v>
      </c>
      <c r="B1083">
        <v>39.466473999999998</v>
      </c>
      <c r="C1083">
        <v>-76.794669999999996</v>
      </c>
      <c r="D1083">
        <v>8700</v>
      </c>
      <c r="E1083">
        <v>9000</v>
      </c>
      <c r="F1083">
        <v>169</v>
      </c>
      <c r="G1083">
        <v>86</v>
      </c>
      <c r="H1083">
        <v>0</v>
      </c>
      <c r="J1083" s="1">
        <f t="shared" si="80"/>
        <v>28561</v>
      </c>
      <c r="K1083" s="1">
        <f t="shared" si="81"/>
        <v>7396</v>
      </c>
      <c r="L1083" s="1">
        <f t="shared" si="82"/>
        <v>35957</v>
      </c>
      <c r="M1083" s="1">
        <f t="shared" si="83"/>
        <v>189.62331080328704</v>
      </c>
      <c r="N1083" s="7">
        <f t="shared" si="84"/>
        <v>189.62331080328704</v>
      </c>
    </row>
    <row r="1084" spans="1:14" x14ac:dyDescent="0.25">
      <c r="A1084" t="str">
        <f>"14:08:25.664"</f>
        <v>14:08:25.664</v>
      </c>
      <c r="B1084">
        <v>39.466925000000003</v>
      </c>
      <c r="C1084">
        <v>-76.793597000000005</v>
      </c>
      <c r="D1084">
        <v>8700</v>
      </c>
      <c r="E1084">
        <v>9000</v>
      </c>
      <c r="F1084">
        <v>168</v>
      </c>
      <c r="G1084">
        <v>87</v>
      </c>
      <c r="H1084">
        <v>0</v>
      </c>
      <c r="J1084" s="1">
        <f t="shared" si="80"/>
        <v>28224</v>
      </c>
      <c r="K1084" s="1">
        <f t="shared" si="81"/>
        <v>7569</v>
      </c>
      <c r="L1084" s="1">
        <f t="shared" si="82"/>
        <v>35793</v>
      </c>
      <c r="M1084" s="1">
        <f t="shared" si="83"/>
        <v>189.19038030513073</v>
      </c>
      <c r="N1084" s="7">
        <f t="shared" si="84"/>
        <v>189.19038030513073</v>
      </c>
    </row>
    <row r="1085" spans="1:14" x14ac:dyDescent="0.25">
      <c r="A1085" t="str">
        <f>"14:08:26.672"</f>
        <v>14:08:26.672</v>
      </c>
      <c r="B1085">
        <v>39.467267999999997</v>
      </c>
      <c r="C1085">
        <v>-76.792674000000005</v>
      </c>
      <c r="D1085">
        <v>8700</v>
      </c>
      <c r="E1085">
        <v>9000</v>
      </c>
      <c r="F1085">
        <v>168</v>
      </c>
      <c r="G1085">
        <v>87</v>
      </c>
      <c r="H1085">
        <v>64</v>
      </c>
      <c r="J1085" s="1">
        <f t="shared" si="80"/>
        <v>28224</v>
      </c>
      <c r="K1085" s="1">
        <f t="shared" si="81"/>
        <v>7569</v>
      </c>
      <c r="L1085" s="1">
        <f t="shared" si="82"/>
        <v>35793</v>
      </c>
      <c r="M1085" s="1">
        <f t="shared" si="83"/>
        <v>189.19038030513073</v>
      </c>
      <c r="N1085" s="7">
        <f t="shared" si="84"/>
        <v>189.19038030513073</v>
      </c>
    </row>
    <row r="1086" spans="1:14" x14ac:dyDescent="0.25">
      <c r="A1086" t="str">
        <f>"14:08:27.578"</f>
        <v>14:08:27.578</v>
      </c>
      <c r="B1086">
        <v>39.467675999999997</v>
      </c>
      <c r="C1086">
        <v>-76.791686999999996</v>
      </c>
      <c r="D1086">
        <v>8700</v>
      </c>
      <c r="E1086">
        <v>9025</v>
      </c>
      <c r="F1086">
        <v>168</v>
      </c>
      <c r="G1086">
        <v>88</v>
      </c>
      <c r="H1086">
        <v>64</v>
      </c>
      <c r="J1086" s="1">
        <f t="shared" si="80"/>
        <v>28224</v>
      </c>
      <c r="K1086" s="1">
        <f t="shared" si="81"/>
        <v>7744</v>
      </c>
      <c r="L1086" s="1">
        <f t="shared" si="82"/>
        <v>35968</v>
      </c>
      <c r="M1086" s="1">
        <f t="shared" si="83"/>
        <v>189.65231345807516</v>
      </c>
      <c r="N1086" s="7">
        <f t="shared" si="84"/>
        <v>189.65231345807516</v>
      </c>
    </row>
    <row r="1087" spans="1:14" x14ac:dyDescent="0.25">
      <c r="A1087" t="str">
        <f>"14:08:28.688"</f>
        <v>14:08:28.688</v>
      </c>
      <c r="B1087">
        <v>39.468105000000001</v>
      </c>
      <c r="C1087">
        <v>-76.790549999999996</v>
      </c>
      <c r="D1087">
        <v>8700</v>
      </c>
      <c r="E1087">
        <v>9025</v>
      </c>
      <c r="F1087">
        <v>167</v>
      </c>
      <c r="G1087">
        <v>88</v>
      </c>
      <c r="H1087">
        <v>64</v>
      </c>
      <c r="J1087" s="1">
        <f t="shared" si="80"/>
        <v>27889</v>
      </c>
      <c r="K1087" s="1">
        <f t="shared" si="81"/>
        <v>7744</v>
      </c>
      <c r="L1087" s="1">
        <f t="shared" si="82"/>
        <v>35633</v>
      </c>
      <c r="M1087" s="1">
        <f t="shared" si="83"/>
        <v>188.76705220985997</v>
      </c>
      <c r="N1087" s="7">
        <f t="shared" si="84"/>
        <v>188.76705220985997</v>
      </c>
    </row>
    <row r="1088" spans="1:14" x14ac:dyDescent="0.25">
      <c r="A1088" t="str">
        <f>"14:08:29.648"</f>
        <v>14:08:29.648</v>
      </c>
      <c r="B1088">
        <v>39.468470000000003</v>
      </c>
      <c r="C1088">
        <v>-76.789670000000001</v>
      </c>
      <c r="D1088">
        <v>8700</v>
      </c>
      <c r="E1088">
        <v>9025</v>
      </c>
      <c r="F1088">
        <v>167</v>
      </c>
      <c r="G1088">
        <v>88</v>
      </c>
      <c r="H1088">
        <v>64</v>
      </c>
      <c r="J1088" s="1">
        <f t="shared" si="80"/>
        <v>27889</v>
      </c>
      <c r="K1088" s="1">
        <f t="shared" si="81"/>
        <v>7744</v>
      </c>
      <c r="L1088" s="1">
        <f t="shared" si="82"/>
        <v>35633</v>
      </c>
      <c r="M1088" s="1">
        <f t="shared" si="83"/>
        <v>188.76705220985997</v>
      </c>
      <c r="N1088" s="7">
        <f t="shared" si="84"/>
        <v>188.76705220985997</v>
      </c>
    </row>
    <row r="1089" spans="1:14" x14ac:dyDescent="0.25">
      <c r="A1089" t="str">
        <f>"14:08:30.555"</f>
        <v>14:08:30.555</v>
      </c>
      <c r="B1089">
        <v>39.468899</v>
      </c>
      <c r="C1089">
        <v>-76.788703999999996</v>
      </c>
      <c r="D1089">
        <v>8700</v>
      </c>
      <c r="E1089">
        <v>9025</v>
      </c>
      <c r="F1089">
        <v>167</v>
      </c>
      <c r="G1089">
        <v>89</v>
      </c>
      <c r="H1089">
        <v>64</v>
      </c>
      <c r="J1089" s="1">
        <f t="shared" si="80"/>
        <v>27889</v>
      </c>
      <c r="K1089" s="1">
        <f t="shared" si="81"/>
        <v>7921</v>
      </c>
      <c r="L1089" s="1">
        <f t="shared" si="82"/>
        <v>35810</v>
      </c>
      <c r="M1089" s="1">
        <f t="shared" si="83"/>
        <v>189.2353032602532</v>
      </c>
      <c r="N1089" s="7">
        <f t="shared" si="84"/>
        <v>189.2353032602532</v>
      </c>
    </row>
    <row r="1090" spans="1:14" x14ac:dyDescent="0.25">
      <c r="A1090" t="str">
        <f>"14:08:31.469"</f>
        <v>14:08:31.469</v>
      </c>
      <c r="B1090">
        <v>39.469264000000003</v>
      </c>
      <c r="C1090">
        <v>-76.787802999999997</v>
      </c>
      <c r="D1090">
        <v>8700</v>
      </c>
      <c r="E1090">
        <v>9025</v>
      </c>
      <c r="F1090">
        <v>167</v>
      </c>
      <c r="G1090">
        <v>89</v>
      </c>
      <c r="H1090">
        <v>64</v>
      </c>
      <c r="J1090" s="1">
        <f t="shared" si="80"/>
        <v>27889</v>
      </c>
      <c r="K1090" s="1">
        <f t="shared" si="81"/>
        <v>7921</v>
      </c>
      <c r="L1090" s="1">
        <f t="shared" si="82"/>
        <v>35810</v>
      </c>
      <c r="M1090" s="1">
        <f t="shared" si="83"/>
        <v>189.2353032602532</v>
      </c>
      <c r="N1090" s="7">
        <f t="shared" si="84"/>
        <v>189.2353032602532</v>
      </c>
    </row>
    <row r="1091" spans="1:14" x14ac:dyDescent="0.25">
      <c r="A1091" t="str">
        <f>"14:08:32.531"</f>
        <v>14:08:32.531</v>
      </c>
      <c r="B1091">
        <v>39.469670999999998</v>
      </c>
      <c r="C1091">
        <v>-76.786794999999998</v>
      </c>
      <c r="D1091">
        <v>8700</v>
      </c>
      <c r="E1091">
        <v>9025</v>
      </c>
      <c r="F1091">
        <v>166</v>
      </c>
      <c r="G1091">
        <v>90</v>
      </c>
      <c r="H1091">
        <v>64</v>
      </c>
      <c r="J1091" s="1">
        <f t="shared" ref="J1091:J1154" si="85">F1091^2</f>
        <v>27556</v>
      </c>
      <c r="K1091" s="1">
        <f t="shared" ref="K1091:K1154" si="86">G1091^2</f>
        <v>8100</v>
      </c>
      <c r="L1091" s="1">
        <f t="shared" ref="L1091:L1154" si="87">SUMSQ(F1091,G1091)</f>
        <v>35656</v>
      </c>
      <c r="M1091" s="1">
        <f t="shared" ref="M1091:M1154" si="88">SQRT(L1091)</f>
        <v>188.82796403075471</v>
      </c>
      <c r="N1091" s="7">
        <f t="shared" ref="N1091:N1154" si="89">M1091</f>
        <v>188.82796403075471</v>
      </c>
    </row>
    <row r="1092" spans="1:14" x14ac:dyDescent="0.25">
      <c r="A1092" t="str">
        <f>"14:08:33.383"</f>
        <v>14:08:33.383</v>
      </c>
      <c r="B1092">
        <v>39.470056999999997</v>
      </c>
      <c r="C1092">
        <v>-76.785893000000002</v>
      </c>
      <c r="D1092">
        <v>8700</v>
      </c>
      <c r="E1092">
        <v>9025</v>
      </c>
      <c r="F1092">
        <v>166</v>
      </c>
      <c r="G1092">
        <v>90</v>
      </c>
      <c r="H1092">
        <v>0</v>
      </c>
      <c r="J1092" s="1">
        <f t="shared" si="85"/>
        <v>27556</v>
      </c>
      <c r="K1092" s="1">
        <f t="shared" si="86"/>
        <v>8100</v>
      </c>
      <c r="L1092" s="1">
        <f t="shared" si="87"/>
        <v>35656</v>
      </c>
      <c r="M1092" s="1">
        <f t="shared" si="88"/>
        <v>188.82796403075471</v>
      </c>
      <c r="N1092" s="7">
        <f t="shared" si="89"/>
        <v>188.82796403075471</v>
      </c>
    </row>
    <row r="1093" spans="1:14" x14ac:dyDescent="0.25">
      <c r="A1093" t="str">
        <f>"14:08:34.297"</f>
        <v>14:08:34.297</v>
      </c>
      <c r="B1093">
        <v>39.470444000000001</v>
      </c>
      <c r="C1093">
        <v>-76.784992000000003</v>
      </c>
      <c r="D1093">
        <v>8700</v>
      </c>
      <c r="E1093">
        <v>9025</v>
      </c>
      <c r="F1093">
        <v>166</v>
      </c>
      <c r="G1093">
        <v>90</v>
      </c>
      <c r="H1093">
        <v>0</v>
      </c>
      <c r="J1093" s="1">
        <f t="shared" si="85"/>
        <v>27556</v>
      </c>
      <c r="K1093" s="1">
        <f t="shared" si="86"/>
        <v>8100</v>
      </c>
      <c r="L1093" s="1">
        <f t="shared" si="87"/>
        <v>35656</v>
      </c>
      <c r="M1093" s="1">
        <f t="shared" si="88"/>
        <v>188.82796403075471</v>
      </c>
      <c r="N1093" s="7">
        <f t="shared" si="89"/>
        <v>188.82796403075471</v>
      </c>
    </row>
    <row r="1094" spans="1:14" x14ac:dyDescent="0.25">
      <c r="A1094" t="str">
        <f>"14:08:35.352"</f>
        <v>14:08:35.352</v>
      </c>
      <c r="B1094">
        <v>39.470851000000003</v>
      </c>
      <c r="C1094">
        <v>-76.784047999999999</v>
      </c>
      <c r="D1094">
        <v>8700</v>
      </c>
      <c r="E1094">
        <v>9025</v>
      </c>
      <c r="F1094">
        <v>166</v>
      </c>
      <c r="G1094">
        <v>91</v>
      </c>
      <c r="H1094">
        <v>0</v>
      </c>
      <c r="J1094" s="1">
        <f t="shared" si="85"/>
        <v>27556</v>
      </c>
      <c r="K1094" s="1">
        <f t="shared" si="86"/>
        <v>8281</v>
      </c>
      <c r="L1094" s="1">
        <f t="shared" si="87"/>
        <v>35837</v>
      </c>
      <c r="M1094" s="1">
        <f t="shared" si="88"/>
        <v>189.30662957223657</v>
      </c>
      <c r="N1094" s="7">
        <f t="shared" si="89"/>
        <v>189.30662957223657</v>
      </c>
    </row>
    <row r="1095" spans="1:14" x14ac:dyDescent="0.25">
      <c r="A1095" t="str">
        <f>"14:08:36.414"</f>
        <v>14:08:36.414</v>
      </c>
      <c r="B1095">
        <v>39.471322999999998</v>
      </c>
      <c r="C1095">
        <v>-76.782888999999997</v>
      </c>
      <c r="D1095">
        <v>8700</v>
      </c>
      <c r="E1095">
        <v>9025</v>
      </c>
      <c r="F1095">
        <v>166</v>
      </c>
      <c r="G1095">
        <v>91</v>
      </c>
      <c r="H1095">
        <v>0</v>
      </c>
      <c r="J1095" s="1">
        <f t="shared" si="85"/>
        <v>27556</v>
      </c>
      <c r="K1095" s="1">
        <f t="shared" si="86"/>
        <v>8281</v>
      </c>
      <c r="L1095" s="1">
        <f t="shared" si="87"/>
        <v>35837</v>
      </c>
      <c r="M1095" s="1">
        <f t="shared" si="88"/>
        <v>189.30662957223657</v>
      </c>
      <c r="N1095" s="7">
        <f t="shared" si="89"/>
        <v>189.30662957223657</v>
      </c>
    </row>
    <row r="1096" spans="1:14" x14ac:dyDescent="0.25">
      <c r="A1096" t="str">
        <f>"14:08:37.375"</f>
        <v>14:08:37.375</v>
      </c>
      <c r="B1096">
        <v>39.471730999999998</v>
      </c>
      <c r="C1096">
        <v>-76.781924000000004</v>
      </c>
      <c r="D1096">
        <v>8700</v>
      </c>
      <c r="E1096">
        <v>9025</v>
      </c>
      <c r="F1096">
        <v>166</v>
      </c>
      <c r="G1096">
        <v>91</v>
      </c>
      <c r="H1096">
        <v>-64</v>
      </c>
      <c r="J1096" s="1">
        <f t="shared" si="85"/>
        <v>27556</v>
      </c>
      <c r="K1096" s="1">
        <f t="shared" si="86"/>
        <v>8281</v>
      </c>
      <c r="L1096" s="1">
        <f t="shared" si="87"/>
        <v>35837</v>
      </c>
      <c r="M1096" s="1">
        <f t="shared" si="88"/>
        <v>189.30662957223657</v>
      </c>
      <c r="N1096" s="7">
        <f t="shared" si="89"/>
        <v>189.30662957223657</v>
      </c>
    </row>
    <row r="1097" spans="1:14" x14ac:dyDescent="0.25">
      <c r="A1097" t="str">
        <f>"14:08:38.531"</f>
        <v>14:08:38.531</v>
      </c>
      <c r="B1097">
        <v>39.472225000000002</v>
      </c>
      <c r="C1097">
        <v>-76.780828999999997</v>
      </c>
      <c r="D1097">
        <v>8700</v>
      </c>
      <c r="E1097">
        <v>9025</v>
      </c>
      <c r="F1097">
        <v>166</v>
      </c>
      <c r="G1097">
        <v>91</v>
      </c>
      <c r="H1097">
        <v>0</v>
      </c>
      <c r="J1097" s="1">
        <f t="shared" si="85"/>
        <v>27556</v>
      </c>
      <c r="K1097" s="1">
        <f t="shared" si="86"/>
        <v>8281</v>
      </c>
      <c r="L1097" s="1">
        <f t="shared" si="87"/>
        <v>35837</v>
      </c>
      <c r="M1097" s="1">
        <f t="shared" si="88"/>
        <v>189.30662957223657</v>
      </c>
      <c r="N1097" s="7">
        <f t="shared" si="89"/>
        <v>189.30662957223657</v>
      </c>
    </row>
    <row r="1098" spans="1:14" x14ac:dyDescent="0.25">
      <c r="A1098" t="str">
        <f>"14:08:39.594"</f>
        <v>14:08:39.594</v>
      </c>
      <c r="B1098">
        <v>39.472675000000002</v>
      </c>
      <c r="C1098">
        <v>-76.779713999999998</v>
      </c>
      <c r="D1098">
        <v>8700</v>
      </c>
      <c r="E1098">
        <v>9025</v>
      </c>
      <c r="F1098">
        <v>166</v>
      </c>
      <c r="G1098">
        <v>91</v>
      </c>
      <c r="H1098">
        <v>0</v>
      </c>
      <c r="J1098" s="1">
        <f t="shared" si="85"/>
        <v>27556</v>
      </c>
      <c r="K1098" s="1">
        <f t="shared" si="86"/>
        <v>8281</v>
      </c>
      <c r="L1098" s="1">
        <f t="shared" si="87"/>
        <v>35837</v>
      </c>
      <c r="M1098" s="1">
        <f t="shared" si="88"/>
        <v>189.30662957223657</v>
      </c>
      <c r="N1098" s="7">
        <f t="shared" si="89"/>
        <v>189.30662957223657</v>
      </c>
    </row>
    <row r="1099" spans="1:14" x14ac:dyDescent="0.25">
      <c r="A1099" t="str">
        <f>"14:08:40.602"</f>
        <v>14:08:40.602</v>
      </c>
      <c r="B1099">
        <v>39.473083000000003</v>
      </c>
      <c r="C1099">
        <v>-76.778747999999993</v>
      </c>
      <c r="D1099">
        <v>8700</v>
      </c>
      <c r="E1099">
        <v>9025</v>
      </c>
      <c r="F1099">
        <v>166</v>
      </c>
      <c r="G1099">
        <v>91</v>
      </c>
      <c r="H1099">
        <v>0</v>
      </c>
      <c r="J1099" s="1">
        <f t="shared" si="85"/>
        <v>27556</v>
      </c>
      <c r="K1099" s="1">
        <f t="shared" si="86"/>
        <v>8281</v>
      </c>
      <c r="L1099" s="1">
        <f t="shared" si="87"/>
        <v>35837</v>
      </c>
      <c r="M1099" s="1">
        <f t="shared" si="88"/>
        <v>189.30662957223657</v>
      </c>
      <c r="N1099" s="7">
        <f t="shared" si="89"/>
        <v>189.30662957223657</v>
      </c>
    </row>
    <row r="1100" spans="1:14" x14ac:dyDescent="0.25">
      <c r="A1100" t="str">
        <f>"14:08:41.664"</f>
        <v>14:08:41.664</v>
      </c>
      <c r="B1100">
        <v>39.473511999999999</v>
      </c>
      <c r="C1100">
        <v>-76.777760999999998</v>
      </c>
      <c r="D1100">
        <v>8700</v>
      </c>
      <c r="E1100">
        <v>9025</v>
      </c>
      <c r="F1100">
        <v>166</v>
      </c>
      <c r="G1100">
        <v>91</v>
      </c>
      <c r="H1100">
        <v>0</v>
      </c>
      <c r="J1100" s="1">
        <f t="shared" si="85"/>
        <v>27556</v>
      </c>
      <c r="K1100" s="1">
        <f t="shared" si="86"/>
        <v>8281</v>
      </c>
      <c r="L1100" s="1">
        <f t="shared" si="87"/>
        <v>35837</v>
      </c>
      <c r="M1100" s="1">
        <f t="shared" si="88"/>
        <v>189.30662957223657</v>
      </c>
      <c r="N1100" s="7">
        <f t="shared" si="89"/>
        <v>189.30662957223657</v>
      </c>
    </row>
    <row r="1101" spans="1:14" x14ac:dyDescent="0.25">
      <c r="A1101" t="str">
        <f>"14:08:42.477"</f>
        <v>14:08:42.477</v>
      </c>
      <c r="B1101">
        <v>39.473877000000002</v>
      </c>
      <c r="C1101">
        <v>-76.776966999999999</v>
      </c>
      <c r="D1101">
        <v>8700</v>
      </c>
      <c r="E1101">
        <v>9025</v>
      </c>
      <c r="F1101">
        <v>166</v>
      </c>
      <c r="G1101">
        <v>91</v>
      </c>
      <c r="H1101">
        <v>0</v>
      </c>
      <c r="J1101" s="1">
        <f t="shared" si="85"/>
        <v>27556</v>
      </c>
      <c r="K1101" s="1">
        <f t="shared" si="86"/>
        <v>8281</v>
      </c>
      <c r="L1101" s="1">
        <f t="shared" si="87"/>
        <v>35837</v>
      </c>
      <c r="M1101" s="1">
        <f t="shared" si="88"/>
        <v>189.30662957223657</v>
      </c>
      <c r="N1101" s="7">
        <f t="shared" si="89"/>
        <v>189.30662957223657</v>
      </c>
    </row>
    <row r="1102" spans="1:14" x14ac:dyDescent="0.25">
      <c r="A1102" t="str">
        <f>"14:08:43.430"</f>
        <v>14:08:43.430</v>
      </c>
      <c r="B1102">
        <v>39.474305999999999</v>
      </c>
      <c r="C1102">
        <v>-76.776000999999994</v>
      </c>
      <c r="D1102">
        <v>8700</v>
      </c>
      <c r="E1102">
        <v>9025</v>
      </c>
      <c r="F1102">
        <v>166</v>
      </c>
      <c r="G1102">
        <v>91</v>
      </c>
      <c r="H1102">
        <v>0</v>
      </c>
      <c r="J1102" s="1">
        <f t="shared" si="85"/>
        <v>27556</v>
      </c>
      <c r="K1102" s="1">
        <f t="shared" si="86"/>
        <v>8281</v>
      </c>
      <c r="L1102" s="1">
        <f t="shared" si="87"/>
        <v>35837</v>
      </c>
      <c r="M1102" s="1">
        <f t="shared" si="88"/>
        <v>189.30662957223657</v>
      </c>
      <c r="N1102" s="7">
        <f t="shared" si="89"/>
        <v>189.30662957223657</v>
      </c>
    </row>
    <row r="1103" spans="1:14" x14ac:dyDescent="0.25">
      <c r="A1103" t="str">
        <f>"14:08:44.539"</f>
        <v>14:08:44.539</v>
      </c>
      <c r="B1103">
        <v>39.474756999999997</v>
      </c>
      <c r="C1103">
        <v>-76.774906999999999</v>
      </c>
      <c r="D1103">
        <v>8700</v>
      </c>
      <c r="E1103">
        <v>9025</v>
      </c>
      <c r="F1103">
        <v>166</v>
      </c>
      <c r="G1103">
        <v>91</v>
      </c>
      <c r="H1103">
        <v>64</v>
      </c>
      <c r="J1103" s="1">
        <f t="shared" si="85"/>
        <v>27556</v>
      </c>
      <c r="K1103" s="1">
        <f t="shared" si="86"/>
        <v>8281</v>
      </c>
      <c r="L1103" s="1">
        <f t="shared" si="87"/>
        <v>35837</v>
      </c>
      <c r="M1103" s="1">
        <f t="shared" si="88"/>
        <v>189.30662957223657</v>
      </c>
      <c r="N1103" s="7">
        <f t="shared" si="89"/>
        <v>189.30662957223657</v>
      </c>
    </row>
    <row r="1104" spans="1:14" x14ac:dyDescent="0.25">
      <c r="A1104" t="str">
        <f>"14:08:45.398"</f>
        <v>14:08:45.398</v>
      </c>
      <c r="B1104">
        <v>39.475143000000003</v>
      </c>
      <c r="C1104">
        <v>-76.773983999999999</v>
      </c>
      <c r="D1104">
        <v>8700</v>
      </c>
      <c r="E1104">
        <v>9025</v>
      </c>
      <c r="F1104">
        <v>166</v>
      </c>
      <c r="G1104">
        <v>91</v>
      </c>
      <c r="H1104">
        <v>64</v>
      </c>
      <c r="J1104" s="1">
        <f t="shared" si="85"/>
        <v>27556</v>
      </c>
      <c r="K1104" s="1">
        <f t="shared" si="86"/>
        <v>8281</v>
      </c>
      <c r="L1104" s="1">
        <f t="shared" si="87"/>
        <v>35837</v>
      </c>
      <c r="M1104" s="1">
        <f t="shared" si="88"/>
        <v>189.30662957223657</v>
      </c>
      <c r="N1104" s="7">
        <f t="shared" si="89"/>
        <v>189.30662957223657</v>
      </c>
    </row>
    <row r="1105" spans="1:14" x14ac:dyDescent="0.25">
      <c r="A1105" t="str">
        <f>"14:08:46.305"</f>
        <v>14:08:46.305</v>
      </c>
      <c r="B1105">
        <v>39.475485999999997</v>
      </c>
      <c r="C1105">
        <v>-76.773126000000005</v>
      </c>
      <c r="D1105">
        <v>8700</v>
      </c>
      <c r="E1105">
        <v>9025</v>
      </c>
      <c r="F1105">
        <v>166</v>
      </c>
      <c r="G1105">
        <v>90</v>
      </c>
      <c r="H1105">
        <v>64</v>
      </c>
      <c r="J1105" s="1">
        <f t="shared" si="85"/>
        <v>27556</v>
      </c>
      <c r="K1105" s="1">
        <f t="shared" si="86"/>
        <v>8100</v>
      </c>
      <c r="L1105" s="1">
        <f t="shared" si="87"/>
        <v>35656</v>
      </c>
      <c r="M1105" s="1">
        <f t="shared" si="88"/>
        <v>188.82796403075471</v>
      </c>
      <c r="N1105" s="7">
        <f t="shared" si="89"/>
        <v>188.82796403075471</v>
      </c>
    </row>
    <row r="1106" spans="1:14" x14ac:dyDescent="0.25">
      <c r="A1106" t="str">
        <f>"14:08:47.219"</f>
        <v>14:08:47.219</v>
      </c>
      <c r="B1106">
        <v>39.475873</v>
      </c>
      <c r="C1106">
        <v>-76.772225000000006</v>
      </c>
      <c r="D1106">
        <v>8700</v>
      </c>
      <c r="E1106">
        <v>9025</v>
      </c>
      <c r="F1106">
        <v>167</v>
      </c>
      <c r="G1106">
        <v>90</v>
      </c>
      <c r="H1106">
        <v>128</v>
      </c>
      <c r="J1106" s="1">
        <f t="shared" si="85"/>
        <v>27889</v>
      </c>
      <c r="K1106" s="1">
        <f t="shared" si="86"/>
        <v>8100</v>
      </c>
      <c r="L1106" s="1">
        <f t="shared" si="87"/>
        <v>35989</v>
      </c>
      <c r="M1106" s="1">
        <f t="shared" si="88"/>
        <v>189.70766985021982</v>
      </c>
      <c r="N1106" s="7">
        <f t="shared" si="89"/>
        <v>189.70766985021982</v>
      </c>
    </row>
    <row r="1107" spans="1:14" x14ac:dyDescent="0.25">
      <c r="A1107" t="str">
        <f>"14:08:48.273"</f>
        <v>14:08:48.273</v>
      </c>
      <c r="B1107">
        <v>39.476301999999997</v>
      </c>
      <c r="C1107">
        <v>-76.771152000000001</v>
      </c>
      <c r="D1107">
        <v>8700</v>
      </c>
      <c r="E1107">
        <v>9025</v>
      </c>
      <c r="F1107">
        <v>167</v>
      </c>
      <c r="G1107">
        <v>90</v>
      </c>
      <c r="H1107">
        <v>128</v>
      </c>
      <c r="J1107" s="1">
        <f t="shared" si="85"/>
        <v>27889</v>
      </c>
      <c r="K1107" s="1">
        <f t="shared" si="86"/>
        <v>8100</v>
      </c>
      <c r="L1107" s="1">
        <f t="shared" si="87"/>
        <v>35989</v>
      </c>
      <c r="M1107" s="1">
        <f t="shared" si="88"/>
        <v>189.70766985021982</v>
      </c>
      <c r="N1107" s="7">
        <f t="shared" si="89"/>
        <v>189.70766985021982</v>
      </c>
    </row>
    <row r="1108" spans="1:14" x14ac:dyDescent="0.25">
      <c r="A1108" t="str">
        <f>"14:08:49.336"</f>
        <v>14:08:49.336</v>
      </c>
      <c r="B1108">
        <v>39.476709</v>
      </c>
      <c r="C1108">
        <v>-76.770122000000001</v>
      </c>
      <c r="D1108">
        <v>8700</v>
      </c>
      <c r="E1108">
        <v>9025</v>
      </c>
      <c r="F1108">
        <v>167</v>
      </c>
      <c r="G1108">
        <v>89</v>
      </c>
      <c r="H1108">
        <v>128</v>
      </c>
      <c r="J1108" s="1">
        <f t="shared" si="85"/>
        <v>27889</v>
      </c>
      <c r="K1108" s="1">
        <f t="shared" si="86"/>
        <v>7921</v>
      </c>
      <c r="L1108" s="1">
        <f t="shared" si="87"/>
        <v>35810</v>
      </c>
      <c r="M1108" s="1">
        <f t="shared" si="88"/>
        <v>189.2353032602532</v>
      </c>
      <c r="N1108" s="7">
        <f t="shared" si="89"/>
        <v>189.2353032602532</v>
      </c>
    </row>
    <row r="1109" spans="1:14" x14ac:dyDescent="0.25">
      <c r="A1109" t="str">
        <f>"14:08:51.359"</f>
        <v>14:08:51.359</v>
      </c>
      <c r="B1109">
        <v>39.477611000000003</v>
      </c>
      <c r="C1109">
        <v>-76.767998000000006</v>
      </c>
      <c r="D1109">
        <v>8700</v>
      </c>
      <c r="E1109">
        <v>9025</v>
      </c>
      <c r="F1109">
        <v>167</v>
      </c>
      <c r="G1109">
        <v>88</v>
      </c>
      <c r="H1109">
        <v>64</v>
      </c>
      <c r="J1109" s="1">
        <f t="shared" si="85"/>
        <v>27889</v>
      </c>
      <c r="K1109" s="1">
        <f t="shared" si="86"/>
        <v>7744</v>
      </c>
      <c r="L1109" s="1">
        <f t="shared" si="87"/>
        <v>35633</v>
      </c>
      <c r="M1109" s="1">
        <f t="shared" si="88"/>
        <v>188.76705220985997</v>
      </c>
      <c r="N1109" s="7">
        <f t="shared" si="89"/>
        <v>188.76705220985997</v>
      </c>
    </row>
    <row r="1110" spans="1:14" x14ac:dyDescent="0.25">
      <c r="A1110" t="str">
        <f>"14:08:52.367"</f>
        <v>14:08:52.367</v>
      </c>
      <c r="B1110">
        <v>39.478017999999999</v>
      </c>
      <c r="C1110">
        <v>-76.767032</v>
      </c>
      <c r="D1110">
        <v>8700</v>
      </c>
      <c r="E1110">
        <v>9025</v>
      </c>
      <c r="F1110">
        <v>168</v>
      </c>
      <c r="G1110">
        <v>87</v>
      </c>
      <c r="H1110">
        <v>64</v>
      </c>
      <c r="J1110" s="1">
        <f t="shared" si="85"/>
        <v>28224</v>
      </c>
      <c r="K1110" s="1">
        <f t="shared" si="86"/>
        <v>7569</v>
      </c>
      <c r="L1110" s="1">
        <f t="shared" si="87"/>
        <v>35793</v>
      </c>
      <c r="M1110" s="1">
        <f t="shared" si="88"/>
        <v>189.19038030513073</v>
      </c>
      <c r="N1110" s="7">
        <f t="shared" si="89"/>
        <v>189.19038030513073</v>
      </c>
    </row>
    <row r="1111" spans="1:14" x14ac:dyDescent="0.25">
      <c r="A1111" t="str">
        <f>"14:08:53.273"</f>
        <v>14:08:53.273</v>
      </c>
      <c r="B1111">
        <v>39.478361999999997</v>
      </c>
      <c r="C1111">
        <v>-76.766131000000001</v>
      </c>
      <c r="D1111">
        <v>8700</v>
      </c>
      <c r="E1111">
        <v>9025</v>
      </c>
      <c r="F1111">
        <v>168</v>
      </c>
      <c r="G1111">
        <v>87</v>
      </c>
      <c r="H1111">
        <v>0</v>
      </c>
      <c r="J1111" s="1">
        <f t="shared" si="85"/>
        <v>28224</v>
      </c>
      <c r="K1111" s="1">
        <f t="shared" si="86"/>
        <v>7569</v>
      </c>
      <c r="L1111" s="1">
        <f t="shared" si="87"/>
        <v>35793</v>
      </c>
      <c r="M1111" s="1">
        <f t="shared" si="88"/>
        <v>189.19038030513073</v>
      </c>
      <c r="N1111" s="7">
        <f t="shared" si="89"/>
        <v>189.19038030513073</v>
      </c>
    </row>
    <row r="1112" spans="1:14" x14ac:dyDescent="0.25">
      <c r="A1112" t="str">
        <f>"14:08:54.438"</f>
        <v>14:08:54.438</v>
      </c>
      <c r="B1112">
        <v>39.478811999999998</v>
      </c>
      <c r="C1112">
        <v>-76.765015000000005</v>
      </c>
      <c r="D1112">
        <v>8700</v>
      </c>
      <c r="E1112">
        <v>9025</v>
      </c>
      <c r="F1112">
        <v>168</v>
      </c>
      <c r="G1112">
        <v>87</v>
      </c>
      <c r="H1112">
        <v>-64</v>
      </c>
      <c r="J1112" s="1">
        <f t="shared" si="85"/>
        <v>28224</v>
      </c>
      <c r="K1112" s="1">
        <f t="shared" si="86"/>
        <v>7569</v>
      </c>
      <c r="L1112" s="1">
        <f t="shared" si="87"/>
        <v>35793</v>
      </c>
      <c r="M1112" s="1">
        <f t="shared" si="88"/>
        <v>189.19038030513073</v>
      </c>
      <c r="N1112" s="7">
        <f t="shared" si="89"/>
        <v>189.19038030513073</v>
      </c>
    </row>
    <row r="1113" spans="1:14" x14ac:dyDescent="0.25">
      <c r="A1113" t="str">
        <f>"14:08:55.445"</f>
        <v>14:08:55.445</v>
      </c>
      <c r="B1113">
        <v>39.479177</v>
      </c>
      <c r="C1113">
        <v>-76.763985000000005</v>
      </c>
      <c r="D1113">
        <v>8700</v>
      </c>
      <c r="E1113">
        <v>9025</v>
      </c>
      <c r="F1113">
        <v>168</v>
      </c>
      <c r="G1113">
        <v>86</v>
      </c>
      <c r="H1113">
        <v>-64</v>
      </c>
      <c r="J1113" s="1">
        <f t="shared" si="85"/>
        <v>28224</v>
      </c>
      <c r="K1113" s="1">
        <f t="shared" si="86"/>
        <v>7396</v>
      </c>
      <c r="L1113" s="1">
        <f t="shared" si="87"/>
        <v>35620</v>
      </c>
      <c r="M1113" s="1">
        <f t="shared" si="88"/>
        <v>188.73261509341728</v>
      </c>
      <c r="N1113" s="7">
        <f t="shared" si="89"/>
        <v>188.73261509341728</v>
      </c>
    </row>
    <row r="1114" spans="1:14" x14ac:dyDescent="0.25">
      <c r="A1114" t="str">
        <f>"14:08:56.406"</f>
        <v>14:08:56.406</v>
      </c>
      <c r="B1114">
        <v>39.479605999999997</v>
      </c>
      <c r="C1114">
        <v>-76.762997999999996</v>
      </c>
      <c r="D1114">
        <v>8700</v>
      </c>
      <c r="E1114">
        <v>9025</v>
      </c>
      <c r="F1114">
        <v>168</v>
      </c>
      <c r="G1114">
        <v>86</v>
      </c>
      <c r="H1114">
        <v>-64</v>
      </c>
      <c r="J1114" s="1">
        <f t="shared" si="85"/>
        <v>28224</v>
      </c>
      <c r="K1114" s="1">
        <f t="shared" si="86"/>
        <v>7396</v>
      </c>
      <c r="L1114" s="1">
        <f t="shared" si="87"/>
        <v>35620</v>
      </c>
      <c r="M1114" s="1">
        <f t="shared" si="88"/>
        <v>188.73261509341728</v>
      </c>
      <c r="N1114" s="7">
        <f t="shared" si="89"/>
        <v>188.73261509341728</v>
      </c>
    </row>
    <row r="1115" spans="1:14" x14ac:dyDescent="0.25">
      <c r="A1115" t="str">
        <f>"14:08:57.313"</f>
        <v>14:08:57.313</v>
      </c>
      <c r="B1115">
        <v>39.479970999999999</v>
      </c>
      <c r="C1115">
        <v>-76.762140000000002</v>
      </c>
      <c r="D1115">
        <v>8700</v>
      </c>
      <c r="E1115">
        <v>9025</v>
      </c>
      <c r="F1115">
        <v>169</v>
      </c>
      <c r="G1115">
        <v>86</v>
      </c>
      <c r="H1115">
        <v>-64</v>
      </c>
      <c r="J1115" s="1">
        <f t="shared" si="85"/>
        <v>28561</v>
      </c>
      <c r="K1115" s="1">
        <f t="shared" si="86"/>
        <v>7396</v>
      </c>
      <c r="L1115" s="1">
        <f t="shared" si="87"/>
        <v>35957</v>
      </c>
      <c r="M1115" s="1">
        <f t="shared" si="88"/>
        <v>189.62331080328704</v>
      </c>
      <c r="N1115" s="7">
        <f t="shared" si="89"/>
        <v>189.62331080328704</v>
      </c>
    </row>
    <row r="1116" spans="1:14" x14ac:dyDescent="0.25">
      <c r="A1116" t="str">
        <f>"14:08:58.422"</f>
        <v>14:08:58.422</v>
      </c>
      <c r="B1116">
        <v>39.480400000000003</v>
      </c>
      <c r="C1116">
        <v>-76.760981000000001</v>
      </c>
      <c r="D1116">
        <v>8700</v>
      </c>
      <c r="E1116">
        <v>9025</v>
      </c>
      <c r="F1116">
        <v>169</v>
      </c>
      <c r="G1116">
        <v>86</v>
      </c>
      <c r="H1116">
        <v>-64</v>
      </c>
      <c r="J1116" s="1">
        <f t="shared" si="85"/>
        <v>28561</v>
      </c>
      <c r="K1116" s="1">
        <f t="shared" si="86"/>
        <v>7396</v>
      </c>
      <c r="L1116" s="1">
        <f t="shared" si="87"/>
        <v>35957</v>
      </c>
      <c r="M1116" s="1">
        <f t="shared" si="88"/>
        <v>189.62331080328704</v>
      </c>
      <c r="N1116" s="7">
        <f t="shared" si="89"/>
        <v>189.62331080328704</v>
      </c>
    </row>
    <row r="1117" spans="1:14" x14ac:dyDescent="0.25">
      <c r="A1117" t="str">
        <f>"14:08:59.336"</f>
        <v>14:08:59.336</v>
      </c>
      <c r="B1117">
        <v>39.480742999999997</v>
      </c>
      <c r="C1117">
        <v>-76.760101000000006</v>
      </c>
      <c r="D1117">
        <v>8700</v>
      </c>
      <c r="E1117">
        <v>9025</v>
      </c>
      <c r="F1117">
        <v>169</v>
      </c>
      <c r="G1117">
        <v>86</v>
      </c>
      <c r="H1117">
        <v>-64</v>
      </c>
      <c r="J1117" s="1">
        <f t="shared" si="85"/>
        <v>28561</v>
      </c>
      <c r="K1117" s="1">
        <f t="shared" si="86"/>
        <v>7396</v>
      </c>
      <c r="L1117" s="1">
        <f t="shared" si="87"/>
        <v>35957</v>
      </c>
      <c r="M1117" s="1">
        <f t="shared" si="88"/>
        <v>189.62331080328704</v>
      </c>
      <c r="N1117" s="7">
        <f t="shared" si="89"/>
        <v>189.62331080328704</v>
      </c>
    </row>
    <row r="1118" spans="1:14" x14ac:dyDescent="0.25">
      <c r="A1118" t="str">
        <f>"14:09:00.344"</f>
        <v>14:09:00.344</v>
      </c>
      <c r="B1118">
        <v>39.481150999999997</v>
      </c>
      <c r="C1118">
        <v>-76.759092999999993</v>
      </c>
      <c r="D1118">
        <v>8700</v>
      </c>
      <c r="E1118">
        <v>9025</v>
      </c>
      <c r="F1118">
        <v>169</v>
      </c>
      <c r="G1118">
        <v>87</v>
      </c>
      <c r="H1118">
        <v>-64</v>
      </c>
      <c r="J1118" s="1">
        <f t="shared" si="85"/>
        <v>28561</v>
      </c>
      <c r="K1118" s="1">
        <f t="shared" si="86"/>
        <v>7569</v>
      </c>
      <c r="L1118" s="1">
        <f t="shared" si="87"/>
        <v>36130</v>
      </c>
      <c r="M1118" s="1">
        <f t="shared" si="88"/>
        <v>190.07893097342483</v>
      </c>
      <c r="N1118" s="7">
        <f t="shared" si="89"/>
        <v>190.07893097342483</v>
      </c>
    </row>
    <row r="1119" spans="1:14" x14ac:dyDescent="0.25">
      <c r="A1119" t="str">
        <f>"14:09:01.305"</f>
        <v>14:09:01.305</v>
      </c>
      <c r="B1119">
        <v>39.481558999999997</v>
      </c>
      <c r="C1119">
        <v>-76.758063000000007</v>
      </c>
      <c r="D1119">
        <v>8700</v>
      </c>
      <c r="E1119">
        <v>9025</v>
      </c>
      <c r="F1119">
        <v>169</v>
      </c>
      <c r="G1119">
        <v>87</v>
      </c>
      <c r="H1119">
        <v>-64</v>
      </c>
      <c r="J1119" s="1">
        <f t="shared" si="85"/>
        <v>28561</v>
      </c>
      <c r="K1119" s="1">
        <f t="shared" si="86"/>
        <v>7569</v>
      </c>
      <c r="L1119" s="1">
        <f t="shared" si="87"/>
        <v>36130</v>
      </c>
      <c r="M1119" s="1">
        <f t="shared" si="88"/>
        <v>190.07893097342483</v>
      </c>
      <c r="N1119" s="7">
        <f t="shared" si="89"/>
        <v>190.07893097342483</v>
      </c>
    </row>
    <row r="1120" spans="1:14" x14ac:dyDescent="0.25">
      <c r="A1120" t="str">
        <f>"14:09:02.156"</f>
        <v>14:09:02.156</v>
      </c>
      <c r="B1120">
        <v>39.481923999999999</v>
      </c>
      <c r="C1120">
        <v>-76.757140000000007</v>
      </c>
      <c r="D1120">
        <v>8700</v>
      </c>
      <c r="E1120">
        <v>9025</v>
      </c>
      <c r="F1120">
        <v>169</v>
      </c>
      <c r="G1120">
        <v>87</v>
      </c>
      <c r="H1120">
        <v>0</v>
      </c>
      <c r="J1120" s="1">
        <f t="shared" si="85"/>
        <v>28561</v>
      </c>
      <c r="K1120" s="1">
        <f t="shared" si="86"/>
        <v>7569</v>
      </c>
      <c r="L1120" s="1">
        <f t="shared" si="87"/>
        <v>36130</v>
      </c>
      <c r="M1120" s="1">
        <f t="shared" si="88"/>
        <v>190.07893097342483</v>
      </c>
      <c r="N1120" s="7">
        <f t="shared" si="89"/>
        <v>190.07893097342483</v>
      </c>
    </row>
    <row r="1121" spans="1:14" x14ac:dyDescent="0.25">
      <c r="A1121" t="str">
        <f>"14:09:03.070"</f>
        <v>14:09:03.070</v>
      </c>
      <c r="B1121">
        <v>39.482267</v>
      </c>
      <c r="C1121">
        <v>-76.756345999999994</v>
      </c>
      <c r="D1121">
        <v>8700</v>
      </c>
      <c r="E1121">
        <v>9025</v>
      </c>
      <c r="F1121">
        <v>169</v>
      </c>
      <c r="G1121">
        <v>87</v>
      </c>
      <c r="H1121">
        <v>0</v>
      </c>
      <c r="J1121" s="1">
        <f t="shared" si="85"/>
        <v>28561</v>
      </c>
      <c r="K1121" s="1">
        <f t="shared" si="86"/>
        <v>7569</v>
      </c>
      <c r="L1121" s="1">
        <f t="shared" si="87"/>
        <v>36130</v>
      </c>
      <c r="M1121" s="1">
        <f t="shared" si="88"/>
        <v>190.07893097342483</v>
      </c>
      <c r="N1121" s="7">
        <f t="shared" si="89"/>
        <v>190.07893097342483</v>
      </c>
    </row>
    <row r="1122" spans="1:14" x14ac:dyDescent="0.25">
      <c r="A1122" t="str">
        <f>"14:09:03.977"</f>
        <v>14:09:03.977</v>
      </c>
      <c r="B1122">
        <v>39.482610000000001</v>
      </c>
      <c r="C1122">
        <v>-76.755444999999995</v>
      </c>
      <c r="D1122">
        <v>8700</v>
      </c>
      <c r="E1122">
        <v>9025</v>
      </c>
      <c r="F1122">
        <v>168</v>
      </c>
      <c r="G1122">
        <v>88</v>
      </c>
      <c r="H1122">
        <v>0</v>
      </c>
      <c r="J1122" s="1">
        <f t="shared" si="85"/>
        <v>28224</v>
      </c>
      <c r="K1122" s="1">
        <f t="shared" si="86"/>
        <v>7744</v>
      </c>
      <c r="L1122" s="1">
        <f t="shared" si="87"/>
        <v>35968</v>
      </c>
      <c r="M1122" s="1">
        <f t="shared" si="88"/>
        <v>189.65231345807516</v>
      </c>
      <c r="N1122" s="7">
        <f t="shared" si="89"/>
        <v>189.65231345807516</v>
      </c>
    </row>
    <row r="1123" spans="1:14" x14ac:dyDescent="0.25">
      <c r="A1123" t="str">
        <f>"14:09:04.938"</f>
        <v>14:09:04.938</v>
      </c>
      <c r="B1123">
        <v>39.483038999999998</v>
      </c>
      <c r="C1123">
        <v>-76.754435999999998</v>
      </c>
      <c r="D1123">
        <v>8700</v>
      </c>
      <c r="E1123">
        <v>9025</v>
      </c>
      <c r="F1123">
        <v>168</v>
      </c>
      <c r="G1123">
        <v>88</v>
      </c>
      <c r="H1123">
        <v>0</v>
      </c>
      <c r="J1123" s="1">
        <f t="shared" si="85"/>
        <v>28224</v>
      </c>
      <c r="K1123" s="1">
        <f t="shared" si="86"/>
        <v>7744</v>
      </c>
      <c r="L1123" s="1">
        <f t="shared" si="87"/>
        <v>35968</v>
      </c>
      <c r="M1123" s="1">
        <f t="shared" si="88"/>
        <v>189.65231345807516</v>
      </c>
      <c r="N1123" s="7">
        <f t="shared" si="89"/>
        <v>189.65231345807516</v>
      </c>
    </row>
    <row r="1124" spans="1:14" x14ac:dyDescent="0.25">
      <c r="A1124" t="str">
        <f>"14:09:05.844"</f>
        <v>14:09:05.844</v>
      </c>
      <c r="B1124">
        <v>39.483383000000003</v>
      </c>
      <c r="C1124">
        <v>-76.753534999999999</v>
      </c>
      <c r="D1124">
        <v>8700</v>
      </c>
      <c r="E1124">
        <v>9025</v>
      </c>
      <c r="F1124">
        <v>168</v>
      </c>
      <c r="G1124">
        <v>88</v>
      </c>
      <c r="H1124">
        <v>0</v>
      </c>
      <c r="J1124" s="1">
        <f t="shared" si="85"/>
        <v>28224</v>
      </c>
      <c r="K1124" s="1">
        <f t="shared" si="86"/>
        <v>7744</v>
      </c>
      <c r="L1124" s="1">
        <f t="shared" si="87"/>
        <v>35968</v>
      </c>
      <c r="M1124" s="1">
        <f t="shared" si="88"/>
        <v>189.65231345807516</v>
      </c>
      <c r="N1124" s="7">
        <f t="shared" si="89"/>
        <v>189.65231345807516</v>
      </c>
    </row>
    <row r="1125" spans="1:14" x14ac:dyDescent="0.25">
      <c r="A1125" t="str">
        <f>"14:09:06.750"</f>
        <v>14:09:06.750</v>
      </c>
      <c r="B1125">
        <v>39.483769000000002</v>
      </c>
      <c r="C1125">
        <v>-76.752634</v>
      </c>
      <c r="D1125">
        <v>8700</v>
      </c>
      <c r="E1125">
        <v>9025</v>
      </c>
      <c r="F1125">
        <v>168</v>
      </c>
      <c r="G1125">
        <v>89</v>
      </c>
      <c r="H1125">
        <v>0</v>
      </c>
      <c r="J1125" s="1">
        <f t="shared" si="85"/>
        <v>28224</v>
      </c>
      <c r="K1125" s="1">
        <f t="shared" si="86"/>
        <v>7921</v>
      </c>
      <c r="L1125" s="1">
        <f t="shared" si="87"/>
        <v>36145</v>
      </c>
      <c r="M1125" s="1">
        <f t="shared" si="88"/>
        <v>190.11838417154718</v>
      </c>
      <c r="N1125" s="7">
        <f t="shared" si="89"/>
        <v>190.11838417154718</v>
      </c>
    </row>
    <row r="1126" spans="1:14" x14ac:dyDescent="0.25">
      <c r="A1126" t="str">
        <f>"14:09:07.820"</f>
        <v>14:09:07.820</v>
      </c>
      <c r="B1126">
        <v>39.484220000000001</v>
      </c>
      <c r="C1126">
        <v>-76.751518000000004</v>
      </c>
      <c r="D1126">
        <v>8700</v>
      </c>
      <c r="E1126">
        <v>9025</v>
      </c>
      <c r="F1126">
        <v>168</v>
      </c>
      <c r="G1126">
        <v>89</v>
      </c>
      <c r="H1126">
        <v>0</v>
      </c>
      <c r="J1126" s="1">
        <f t="shared" si="85"/>
        <v>28224</v>
      </c>
      <c r="K1126" s="1">
        <f t="shared" si="86"/>
        <v>7921</v>
      </c>
      <c r="L1126" s="1">
        <f t="shared" si="87"/>
        <v>36145</v>
      </c>
      <c r="M1126" s="1">
        <f t="shared" si="88"/>
        <v>190.11838417154718</v>
      </c>
      <c r="N1126" s="7">
        <f t="shared" si="89"/>
        <v>190.11838417154718</v>
      </c>
    </row>
    <row r="1127" spans="1:14" x14ac:dyDescent="0.25">
      <c r="A1127" t="str">
        <f>"14:09:08.875"</f>
        <v>14:09:08.875</v>
      </c>
      <c r="B1127">
        <v>39.484670000000001</v>
      </c>
      <c r="C1127">
        <v>-76.750423999999995</v>
      </c>
      <c r="D1127">
        <v>8700</v>
      </c>
      <c r="E1127">
        <v>9025</v>
      </c>
      <c r="F1127">
        <v>168</v>
      </c>
      <c r="G1127">
        <v>89</v>
      </c>
      <c r="H1127">
        <v>64</v>
      </c>
      <c r="J1127" s="1">
        <f t="shared" si="85"/>
        <v>28224</v>
      </c>
      <c r="K1127" s="1">
        <f t="shared" si="86"/>
        <v>7921</v>
      </c>
      <c r="L1127" s="1">
        <f t="shared" si="87"/>
        <v>36145</v>
      </c>
      <c r="M1127" s="1">
        <f t="shared" si="88"/>
        <v>190.11838417154718</v>
      </c>
      <c r="N1127" s="7">
        <f t="shared" si="89"/>
        <v>190.11838417154718</v>
      </c>
    </row>
    <row r="1128" spans="1:14" x14ac:dyDescent="0.25">
      <c r="A1128" t="str">
        <f>"14:09:09.930"</f>
        <v>14:09:09.930</v>
      </c>
      <c r="B1128">
        <v>39.485098999999998</v>
      </c>
      <c r="C1128">
        <v>-76.749414999999999</v>
      </c>
      <c r="D1128">
        <v>8700</v>
      </c>
      <c r="E1128">
        <v>9025</v>
      </c>
      <c r="F1128">
        <v>167</v>
      </c>
      <c r="G1128">
        <v>89</v>
      </c>
      <c r="H1128">
        <v>64</v>
      </c>
      <c r="J1128" s="1">
        <f t="shared" si="85"/>
        <v>27889</v>
      </c>
      <c r="K1128" s="1">
        <f t="shared" si="86"/>
        <v>7921</v>
      </c>
      <c r="L1128" s="1">
        <f t="shared" si="87"/>
        <v>35810</v>
      </c>
      <c r="M1128" s="1">
        <f t="shared" si="88"/>
        <v>189.2353032602532</v>
      </c>
      <c r="N1128" s="7">
        <f t="shared" si="89"/>
        <v>189.2353032602532</v>
      </c>
    </row>
    <row r="1129" spans="1:14" x14ac:dyDescent="0.25">
      <c r="A1129" t="str">
        <f>"14:09:10.789"</f>
        <v>14:09:10.789</v>
      </c>
      <c r="B1129">
        <v>39.485421000000002</v>
      </c>
      <c r="C1129">
        <v>-76.748536000000001</v>
      </c>
      <c r="D1129">
        <v>8700</v>
      </c>
      <c r="E1129">
        <v>9025</v>
      </c>
      <c r="F1129">
        <v>167</v>
      </c>
      <c r="G1129">
        <v>89</v>
      </c>
      <c r="H1129">
        <v>64</v>
      </c>
      <c r="J1129" s="1">
        <f t="shared" si="85"/>
        <v>27889</v>
      </c>
      <c r="K1129" s="1">
        <f t="shared" si="86"/>
        <v>7921</v>
      </c>
      <c r="L1129" s="1">
        <f t="shared" si="87"/>
        <v>35810</v>
      </c>
      <c r="M1129" s="1">
        <f t="shared" si="88"/>
        <v>189.2353032602532</v>
      </c>
      <c r="N1129" s="7">
        <f t="shared" si="89"/>
        <v>189.2353032602532</v>
      </c>
    </row>
    <row r="1130" spans="1:14" x14ac:dyDescent="0.25">
      <c r="A1130" t="str">
        <f>"14:09:11.703"</f>
        <v>14:09:11.703</v>
      </c>
      <c r="B1130">
        <v>39.485829000000003</v>
      </c>
      <c r="C1130">
        <v>-76.747613000000001</v>
      </c>
      <c r="D1130">
        <v>8700</v>
      </c>
      <c r="E1130">
        <v>9025</v>
      </c>
      <c r="F1130">
        <v>167</v>
      </c>
      <c r="G1130">
        <v>89</v>
      </c>
      <c r="H1130">
        <v>0</v>
      </c>
      <c r="J1130" s="1">
        <f t="shared" si="85"/>
        <v>27889</v>
      </c>
      <c r="K1130" s="1">
        <f t="shared" si="86"/>
        <v>7921</v>
      </c>
      <c r="L1130" s="1">
        <f t="shared" si="87"/>
        <v>35810</v>
      </c>
      <c r="M1130" s="1">
        <f t="shared" si="88"/>
        <v>189.2353032602532</v>
      </c>
      <c r="N1130" s="7">
        <f t="shared" si="89"/>
        <v>189.2353032602532</v>
      </c>
    </row>
    <row r="1131" spans="1:14" x14ac:dyDescent="0.25">
      <c r="A1131" t="str">
        <f>"14:09:12.609"</f>
        <v>14:09:12.609</v>
      </c>
      <c r="B1131">
        <v>39.486215000000001</v>
      </c>
      <c r="C1131">
        <v>-76.746712000000002</v>
      </c>
      <c r="D1131">
        <v>8700</v>
      </c>
      <c r="E1131">
        <v>9025</v>
      </c>
      <c r="F1131">
        <v>167</v>
      </c>
      <c r="G1131">
        <v>89</v>
      </c>
      <c r="H1131">
        <v>0</v>
      </c>
      <c r="J1131" s="1">
        <f t="shared" si="85"/>
        <v>27889</v>
      </c>
      <c r="K1131" s="1">
        <f t="shared" si="86"/>
        <v>7921</v>
      </c>
      <c r="L1131" s="1">
        <f t="shared" si="87"/>
        <v>35810</v>
      </c>
      <c r="M1131" s="1">
        <f t="shared" si="88"/>
        <v>189.2353032602532</v>
      </c>
      <c r="N1131" s="7">
        <f t="shared" si="89"/>
        <v>189.2353032602532</v>
      </c>
    </row>
    <row r="1132" spans="1:14" x14ac:dyDescent="0.25">
      <c r="A1132" t="str">
        <f>"14:09:13.664"</f>
        <v>14:09:13.664</v>
      </c>
      <c r="B1132">
        <v>39.486623000000002</v>
      </c>
      <c r="C1132">
        <v>-76.745724999999993</v>
      </c>
      <c r="D1132">
        <v>8700</v>
      </c>
      <c r="E1132">
        <v>9025</v>
      </c>
      <c r="F1132">
        <v>167</v>
      </c>
      <c r="G1132">
        <v>89</v>
      </c>
      <c r="H1132">
        <v>0</v>
      </c>
      <c r="J1132" s="1">
        <f t="shared" si="85"/>
        <v>27889</v>
      </c>
      <c r="K1132" s="1">
        <f t="shared" si="86"/>
        <v>7921</v>
      </c>
      <c r="L1132" s="1">
        <f t="shared" si="87"/>
        <v>35810</v>
      </c>
      <c r="M1132" s="1">
        <f t="shared" si="88"/>
        <v>189.2353032602532</v>
      </c>
      <c r="N1132" s="7">
        <f t="shared" si="89"/>
        <v>189.2353032602532</v>
      </c>
    </row>
    <row r="1133" spans="1:14" x14ac:dyDescent="0.25">
      <c r="A1133" t="str">
        <f>"14:09:14.781"</f>
        <v>14:09:14.781</v>
      </c>
      <c r="B1133">
        <v>39.487094999999997</v>
      </c>
      <c r="C1133">
        <v>-76.744501999999997</v>
      </c>
      <c r="D1133">
        <v>8700</v>
      </c>
      <c r="E1133">
        <v>9025</v>
      </c>
      <c r="F1133">
        <v>167</v>
      </c>
      <c r="G1133">
        <v>89</v>
      </c>
      <c r="H1133">
        <v>0</v>
      </c>
      <c r="J1133" s="1">
        <f t="shared" si="85"/>
        <v>27889</v>
      </c>
      <c r="K1133" s="1">
        <f t="shared" si="86"/>
        <v>7921</v>
      </c>
      <c r="L1133" s="1">
        <f t="shared" si="87"/>
        <v>35810</v>
      </c>
      <c r="M1133" s="1">
        <f t="shared" si="88"/>
        <v>189.2353032602532</v>
      </c>
      <c r="N1133" s="7">
        <f t="shared" si="89"/>
        <v>189.2353032602532</v>
      </c>
    </row>
    <row r="1134" spans="1:14" x14ac:dyDescent="0.25">
      <c r="A1134" t="str">
        <f>"14:09:15.789"</f>
        <v>14:09:15.789</v>
      </c>
      <c r="B1134">
        <v>39.487524000000001</v>
      </c>
      <c r="C1134">
        <v>-76.743536000000006</v>
      </c>
      <c r="D1134">
        <v>8700</v>
      </c>
      <c r="E1134">
        <v>9025</v>
      </c>
      <c r="F1134">
        <v>167</v>
      </c>
      <c r="G1134">
        <v>89</v>
      </c>
      <c r="H1134">
        <v>0</v>
      </c>
      <c r="J1134" s="1">
        <f t="shared" si="85"/>
        <v>27889</v>
      </c>
      <c r="K1134" s="1">
        <f t="shared" si="86"/>
        <v>7921</v>
      </c>
      <c r="L1134" s="1">
        <f t="shared" si="87"/>
        <v>35810</v>
      </c>
      <c r="M1134" s="1">
        <f t="shared" si="88"/>
        <v>189.2353032602532</v>
      </c>
      <c r="N1134" s="7">
        <f t="shared" si="89"/>
        <v>189.2353032602532</v>
      </c>
    </row>
    <row r="1135" spans="1:14" x14ac:dyDescent="0.25">
      <c r="A1135" t="str">
        <f>"14:09:16.797"</f>
        <v>14:09:16.797</v>
      </c>
      <c r="B1135">
        <v>39.487932000000001</v>
      </c>
      <c r="C1135">
        <v>-76.742548999999997</v>
      </c>
      <c r="D1135">
        <v>8700</v>
      </c>
      <c r="E1135">
        <v>9025</v>
      </c>
      <c r="F1135">
        <v>168</v>
      </c>
      <c r="G1135">
        <v>88</v>
      </c>
      <c r="H1135">
        <v>0</v>
      </c>
      <c r="J1135" s="1">
        <f t="shared" si="85"/>
        <v>28224</v>
      </c>
      <c r="K1135" s="1">
        <f t="shared" si="86"/>
        <v>7744</v>
      </c>
      <c r="L1135" s="1">
        <f t="shared" si="87"/>
        <v>35968</v>
      </c>
      <c r="M1135" s="1">
        <f t="shared" si="88"/>
        <v>189.65231345807516</v>
      </c>
      <c r="N1135" s="7">
        <f t="shared" si="89"/>
        <v>189.65231345807516</v>
      </c>
    </row>
    <row r="1136" spans="1:14" x14ac:dyDescent="0.25">
      <c r="A1136" t="str">
        <f>"14:09:17.805"</f>
        <v>14:09:17.805</v>
      </c>
      <c r="B1136">
        <v>39.488318</v>
      </c>
      <c r="C1136">
        <v>-76.741518999999997</v>
      </c>
      <c r="D1136">
        <v>8700</v>
      </c>
      <c r="E1136">
        <v>9025</v>
      </c>
      <c r="F1136">
        <v>168</v>
      </c>
      <c r="G1136">
        <v>88</v>
      </c>
      <c r="H1136">
        <v>0</v>
      </c>
      <c r="J1136" s="1">
        <f t="shared" si="85"/>
        <v>28224</v>
      </c>
      <c r="K1136" s="1">
        <f t="shared" si="86"/>
        <v>7744</v>
      </c>
      <c r="L1136" s="1">
        <f t="shared" si="87"/>
        <v>35968</v>
      </c>
      <c r="M1136" s="1">
        <f t="shared" si="88"/>
        <v>189.65231345807516</v>
      </c>
      <c r="N1136" s="7">
        <f t="shared" si="89"/>
        <v>189.65231345807516</v>
      </c>
    </row>
    <row r="1137" spans="1:14" x14ac:dyDescent="0.25">
      <c r="A1137" t="str">
        <f>"14:09:18.867"</f>
        <v>14:09:18.867</v>
      </c>
      <c r="B1137">
        <v>39.488746999999996</v>
      </c>
      <c r="C1137">
        <v>-76.740403000000001</v>
      </c>
      <c r="D1137">
        <v>8700</v>
      </c>
      <c r="E1137">
        <v>9025</v>
      </c>
      <c r="F1137">
        <v>168</v>
      </c>
      <c r="G1137">
        <v>88</v>
      </c>
      <c r="H1137">
        <v>0</v>
      </c>
      <c r="J1137" s="1">
        <f t="shared" si="85"/>
        <v>28224</v>
      </c>
      <c r="K1137" s="1">
        <f t="shared" si="86"/>
        <v>7744</v>
      </c>
      <c r="L1137" s="1">
        <f t="shared" si="87"/>
        <v>35968</v>
      </c>
      <c r="M1137" s="1">
        <f t="shared" si="88"/>
        <v>189.65231345807516</v>
      </c>
      <c r="N1137" s="7">
        <f t="shared" si="89"/>
        <v>189.65231345807516</v>
      </c>
    </row>
    <row r="1138" spans="1:14" x14ac:dyDescent="0.25">
      <c r="A1138" t="str">
        <f>"14:09:20.031"</f>
        <v>14:09:20.031</v>
      </c>
      <c r="B1138">
        <v>39.489198000000002</v>
      </c>
      <c r="C1138">
        <v>-76.739309000000006</v>
      </c>
      <c r="D1138">
        <v>8700</v>
      </c>
      <c r="E1138">
        <v>9025</v>
      </c>
      <c r="F1138">
        <v>168</v>
      </c>
      <c r="G1138">
        <v>87</v>
      </c>
      <c r="H1138">
        <v>-64</v>
      </c>
      <c r="J1138" s="1">
        <f t="shared" si="85"/>
        <v>28224</v>
      </c>
      <c r="K1138" s="1">
        <f t="shared" si="86"/>
        <v>7569</v>
      </c>
      <c r="L1138" s="1">
        <f t="shared" si="87"/>
        <v>35793</v>
      </c>
      <c r="M1138" s="1">
        <f t="shared" si="88"/>
        <v>189.19038030513073</v>
      </c>
      <c r="N1138" s="7">
        <f t="shared" si="89"/>
        <v>189.19038030513073</v>
      </c>
    </row>
    <row r="1139" spans="1:14" x14ac:dyDescent="0.25">
      <c r="A1139" t="str">
        <f>"14:09:20.883"</f>
        <v>14:09:20.883</v>
      </c>
      <c r="B1139">
        <v>39.489584000000001</v>
      </c>
      <c r="C1139">
        <v>-76.738428999999996</v>
      </c>
      <c r="D1139">
        <v>8700</v>
      </c>
      <c r="E1139">
        <v>9025</v>
      </c>
      <c r="F1139">
        <v>168</v>
      </c>
      <c r="G1139">
        <v>87</v>
      </c>
      <c r="H1139">
        <v>-64</v>
      </c>
      <c r="J1139" s="1">
        <f t="shared" si="85"/>
        <v>28224</v>
      </c>
      <c r="K1139" s="1">
        <f t="shared" si="86"/>
        <v>7569</v>
      </c>
      <c r="L1139" s="1">
        <f t="shared" si="87"/>
        <v>35793</v>
      </c>
      <c r="M1139" s="1">
        <f t="shared" si="88"/>
        <v>189.19038030513073</v>
      </c>
      <c r="N1139" s="7">
        <f t="shared" si="89"/>
        <v>189.19038030513073</v>
      </c>
    </row>
    <row r="1140" spans="1:14" x14ac:dyDescent="0.25">
      <c r="A1140" t="str">
        <f>"14:09:22.047"</f>
        <v>14:09:22.047</v>
      </c>
      <c r="B1140">
        <v>39.490034999999999</v>
      </c>
      <c r="C1140">
        <v>-76.737313</v>
      </c>
      <c r="D1140">
        <v>8700</v>
      </c>
      <c r="E1140">
        <v>9025</v>
      </c>
      <c r="F1140">
        <v>169</v>
      </c>
      <c r="G1140">
        <v>87</v>
      </c>
      <c r="H1140">
        <v>-64</v>
      </c>
      <c r="J1140" s="1">
        <f t="shared" si="85"/>
        <v>28561</v>
      </c>
      <c r="K1140" s="1">
        <f t="shared" si="86"/>
        <v>7569</v>
      </c>
      <c r="L1140" s="1">
        <f t="shared" si="87"/>
        <v>36130</v>
      </c>
      <c r="M1140" s="1">
        <f t="shared" si="88"/>
        <v>190.07893097342483</v>
      </c>
      <c r="N1140" s="7">
        <f t="shared" si="89"/>
        <v>190.07893097342483</v>
      </c>
    </row>
    <row r="1141" spans="1:14" x14ac:dyDescent="0.25">
      <c r="A1141" t="str">
        <f>"14:09:22.953"</f>
        <v>14:09:22.953</v>
      </c>
      <c r="B1141">
        <v>39.490355999999998</v>
      </c>
      <c r="C1141">
        <v>-76.736390999999998</v>
      </c>
      <c r="D1141">
        <v>8700</v>
      </c>
      <c r="E1141">
        <v>9025</v>
      </c>
      <c r="F1141">
        <v>169</v>
      </c>
      <c r="G1141">
        <v>86</v>
      </c>
      <c r="H1141">
        <v>-64</v>
      </c>
      <c r="J1141" s="1">
        <f t="shared" si="85"/>
        <v>28561</v>
      </c>
      <c r="K1141" s="1">
        <f t="shared" si="86"/>
        <v>7396</v>
      </c>
      <c r="L1141" s="1">
        <f t="shared" si="87"/>
        <v>35957</v>
      </c>
      <c r="M1141" s="1">
        <f t="shared" si="88"/>
        <v>189.62331080328704</v>
      </c>
      <c r="N1141" s="7">
        <f t="shared" si="89"/>
        <v>189.62331080328704</v>
      </c>
    </row>
    <row r="1142" spans="1:14" x14ac:dyDescent="0.25">
      <c r="A1142" t="str">
        <f>"14:09:23.969"</f>
        <v>14:09:23.969</v>
      </c>
      <c r="B1142">
        <v>39.490828999999998</v>
      </c>
      <c r="C1142">
        <v>-76.735296000000005</v>
      </c>
      <c r="D1142">
        <v>8700</v>
      </c>
      <c r="E1142">
        <v>9025</v>
      </c>
      <c r="F1142">
        <v>169</v>
      </c>
      <c r="G1142">
        <v>86</v>
      </c>
      <c r="H1142">
        <v>-64</v>
      </c>
      <c r="J1142" s="1">
        <f t="shared" si="85"/>
        <v>28561</v>
      </c>
      <c r="K1142" s="1">
        <f t="shared" si="86"/>
        <v>7396</v>
      </c>
      <c r="L1142" s="1">
        <f t="shared" si="87"/>
        <v>35957</v>
      </c>
      <c r="M1142" s="1">
        <f t="shared" si="88"/>
        <v>189.62331080328704</v>
      </c>
      <c r="N1142" s="7">
        <f t="shared" si="89"/>
        <v>189.62331080328704</v>
      </c>
    </row>
    <row r="1143" spans="1:14" x14ac:dyDescent="0.25">
      <c r="A1143" t="str">
        <f>"14:09:24.922"</f>
        <v>14:09:24.922</v>
      </c>
      <c r="B1143">
        <v>39.491171999999999</v>
      </c>
      <c r="C1143">
        <v>-76.734374000000003</v>
      </c>
      <c r="D1143">
        <v>8700</v>
      </c>
      <c r="E1143">
        <v>9025</v>
      </c>
      <c r="F1143">
        <v>169</v>
      </c>
      <c r="G1143">
        <v>86</v>
      </c>
      <c r="H1143">
        <v>0</v>
      </c>
      <c r="J1143" s="1">
        <f t="shared" si="85"/>
        <v>28561</v>
      </c>
      <c r="K1143" s="1">
        <f t="shared" si="86"/>
        <v>7396</v>
      </c>
      <c r="L1143" s="1">
        <f t="shared" si="87"/>
        <v>35957</v>
      </c>
      <c r="M1143" s="1">
        <f t="shared" si="88"/>
        <v>189.62331080328704</v>
      </c>
      <c r="N1143" s="7">
        <f t="shared" si="89"/>
        <v>189.62331080328704</v>
      </c>
    </row>
    <row r="1144" spans="1:14" x14ac:dyDescent="0.25">
      <c r="A1144" t="str">
        <f>"14:09:25.883"</f>
        <v>14:09:25.883</v>
      </c>
      <c r="B1144">
        <v>39.491537000000001</v>
      </c>
      <c r="C1144">
        <v>-76.733344000000002</v>
      </c>
      <c r="D1144">
        <v>8700</v>
      </c>
      <c r="E1144">
        <v>9025</v>
      </c>
      <c r="F1144">
        <v>169</v>
      </c>
      <c r="G1144">
        <v>86</v>
      </c>
      <c r="H1144">
        <v>-64</v>
      </c>
      <c r="J1144" s="1">
        <f t="shared" si="85"/>
        <v>28561</v>
      </c>
      <c r="K1144" s="1">
        <f t="shared" si="86"/>
        <v>7396</v>
      </c>
      <c r="L1144" s="1">
        <f t="shared" si="87"/>
        <v>35957</v>
      </c>
      <c r="M1144" s="1">
        <f t="shared" si="88"/>
        <v>189.62331080328704</v>
      </c>
      <c r="N1144" s="7">
        <f t="shared" si="89"/>
        <v>189.62331080328704</v>
      </c>
    </row>
    <row r="1145" spans="1:14" x14ac:dyDescent="0.25">
      <c r="A1145" t="str">
        <f>"14:09:26.844"</f>
        <v>14:09:26.844</v>
      </c>
      <c r="B1145">
        <v>39.491943999999997</v>
      </c>
      <c r="C1145">
        <v>-76.732484999999997</v>
      </c>
      <c r="D1145">
        <v>8700</v>
      </c>
      <c r="E1145">
        <v>9025</v>
      </c>
      <c r="F1145">
        <v>169</v>
      </c>
      <c r="G1145">
        <v>86</v>
      </c>
      <c r="H1145">
        <v>0</v>
      </c>
      <c r="J1145" s="1">
        <f t="shared" si="85"/>
        <v>28561</v>
      </c>
      <c r="K1145" s="1">
        <f t="shared" si="86"/>
        <v>7396</v>
      </c>
      <c r="L1145" s="1">
        <f t="shared" si="87"/>
        <v>35957</v>
      </c>
      <c r="M1145" s="1">
        <f t="shared" si="88"/>
        <v>189.62331080328704</v>
      </c>
      <c r="N1145" s="7">
        <f t="shared" si="89"/>
        <v>189.62331080328704</v>
      </c>
    </row>
    <row r="1146" spans="1:14" x14ac:dyDescent="0.25">
      <c r="A1146" t="str">
        <f>"14:09:27.750"</f>
        <v>14:09:27.750</v>
      </c>
      <c r="B1146">
        <v>39.492288000000002</v>
      </c>
      <c r="C1146">
        <v>-76.731498000000002</v>
      </c>
      <c r="D1146">
        <v>8700</v>
      </c>
      <c r="E1146">
        <v>9025</v>
      </c>
      <c r="F1146">
        <v>169</v>
      </c>
      <c r="G1146">
        <v>86</v>
      </c>
      <c r="H1146">
        <v>0</v>
      </c>
      <c r="J1146" s="1">
        <f t="shared" si="85"/>
        <v>28561</v>
      </c>
      <c r="K1146" s="1">
        <f t="shared" si="86"/>
        <v>7396</v>
      </c>
      <c r="L1146" s="1">
        <f t="shared" si="87"/>
        <v>35957</v>
      </c>
      <c r="M1146" s="1">
        <f t="shared" si="88"/>
        <v>189.62331080328704</v>
      </c>
      <c r="N1146" s="7">
        <f t="shared" si="89"/>
        <v>189.62331080328704</v>
      </c>
    </row>
    <row r="1147" spans="1:14" x14ac:dyDescent="0.25">
      <c r="A1147" t="str">
        <f>"14:09:28.711"</f>
        <v>14:09:28.711</v>
      </c>
      <c r="B1147">
        <v>39.492694999999998</v>
      </c>
      <c r="C1147">
        <v>-76.730490000000003</v>
      </c>
      <c r="D1147">
        <v>8700</v>
      </c>
      <c r="E1147">
        <v>9025</v>
      </c>
      <c r="F1147">
        <v>169</v>
      </c>
      <c r="G1147">
        <v>86</v>
      </c>
      <c r="H1147">
        <v>0</v>
      </c>
      <c r="J1147" s="1">
        <f t="shared" si="85"/>
        <v>28561</v>
      </c>
      <c r="K1147" s="1">
        <f t="shared" si="86"/>
        <v>7396</v>
      </c>
      <c r="L1147" s="1">
        <f t="shared" si="87"/>
        <v>35957</v>
      </c>
      <c r="M1147" s="1">
        <f t="shared" si="88"/>
        <v>189.62331080328704</v>
      </c>
      <c r="N1147" s="7">
        <f t="shared" si="89"/>
        <v>189.62331080328704</v>
      </c>
    </row>
    <row r="1148" spans="1:14" x14ac:dyDescent="0.25">
      <c r="A1148" t="str">
        <f>"14:09:29.766"</f>
        <v>14:09:29.766</v>
      </c>
      <c r="B1148">
        <v>39.493102999999998</v>
      </c>
      <c r="C1148">
        <v>-76.729438000000002</v>
      </c>
      <c r="D1148">
        <v>8700</v>
      </c>
      <c r="E1148">
        <v>9025</v>
      </c>
      <c r="F1148">
        <v>169</v>
      </c>
      <c r="G1148">
        <v>86</v>
      </c>
      <c r="H1148">
        <v>0</v>
      </c>
      <c r="J1148" s="1">
        <f t="shared" si="85"/>
        <v>28561</v>
      </c>
      <c r="K1148" s="1">
        <f t="shared" si="86"/>
        <v>7396</v>
      </c>
      <c r="L1148" s="1">
        <f t="shared" si="87"/>
        <v>35957</v>
      </c>
      <c r="M1148" s="1">
        <f t="shared" si="88"/>
        <v>189.62331080328704</v>
      </c>
      <c r="N1148" s="7">
        <f t="shared" si="89"/>
        <v>189.62331080328704</v>
      </c>
    </row>
    <row r="1149" spans="1:14" x14ac:dyDescent="0.25">
      <c r="A1149" t="str">
        <f>"14:09:30.727"</f>
        <v>14:09:30.727</v>
      </c>
      <c r="B1149">
        <v>39.493468</v>
      </c>
      <c r="C1149">
        <v>-76.728515999999999</v>
      </c>
      <c r="D1149">
        <v>8700</v>
      </c>
      <c r="E1149">
        <v>9025</v>
      </c>
      <c r="F1149">
        <v>169</v>
      </c>
      <c r="G1149">
        <v>86</v>
      </c>
      <c r="H1149">
        <v>0</v>
      </c>
      <c r="J1149" s="1">
        <f t="shared" si="85"/>
        <v>28561</v>
      </c>
      <c r="K1149" s="1">
        <f t="shared" si="86"/>
        <v>7396</v>
      </c>
      <c r="L1149" s="1">
        <f t="shared" si="87"/>
        <v>35957</v>
      </c>
      <c r="M1149" s="1">
        <f t="shared" si="88"/>
        <v>189.62331080328704</v>
      </c>
      <c r="N1149" s="7">
        <f t="shared" si="89"/>
        <v>189.62331080328704</v>
      </c>
    </row>
    <row r="1150" spans="1:14" x14ac:dyDescent="0.25">
      <c r="A1150" t="str">
        <f>"14:09:31.836"</f>
        <v>14:09:31.836</v>
      </c>
      <c r="B1150">
        <v>39.493896999999997</v>
      </c>
      <c r="C1150">
        <v>-76.727421000000007</v>
      </c>
      <c r="D1150">
        <v>8700</v>
      </c>
      <c r="E1150">
        <v>9025</v>
      </c>
      <c r="F1150">
        <v>169</v>
      </c>
      <c r="G1150">
        <v>86</v>
      </c>
      <c r="H1150">
        <v>0</v>
      </c>
      <c r="J1150" s="1">
        <f t="shared" si="85"/>
        <v>28561</v>
      </c>
      <c r="K1150" s="1">
        <f t="shared" si="86"/>
        <v>7396</v>
      </c>
      <c r="L1150" s="1">
        <f t="shared" si="87"/>
        <v>35957</v>
      </c>
      <c r="M1150" s="1">
        <f t="shared" si="88"/>
        <v>189.62331080328704</v>
      </c>
      <c r="N1150" s="7">
        <f t="shared" si="89"/>
        <v>189.62331080328704</v>
      </c>
    </row>
    <row r="1151" spans="1:14" x14ac:dyDescent="0.25">
      <c r="A1151" t="str">
        <f>"14:09:32.852"</f>
        <v>14:09:32.852</v>
      </c>
      <c r="B1151">
        <v>39.494304999999997</v>
      </c>
      <c r="C1151">
        <v>-76.726370000000003</v>
      </c>
      <c r="D1151">
        <v>8700</v>
      </c>
      <c r="E1151">
        <v>9025</v>
      </c>
      <c r="F1151">
        <v>168</v>
      </c>
      <c r="G1151">
        <v>86</v>
      </c>
      <c r="H1151">
        <v>0</v>
      </c>
      <c r="J1151" s="1">
        <f t="shared" si="85"/>
        <v>28224</v>
      </c>
      <c r="K1151" s="1">
        <f t="shared" si="86"/>
        <v>7396</v>
      </c>
      <c r="L1151" s="1">
        <f t="shared" si="87"/>
        <v>35620</v>
      </c>
      <c r="M1151" s="1">
        <f t="shared" si="88"/>
        <v>188.73261509341728</v>
      </c>
      <c r="N1151" s="7">
        <f t="shared" si="89"/>
        <v>188.73261509341728</v>
      </c>
    </row>
    <row r="1152" spans="1:14" x14ac:dyDescent="0.25">
      <c r="A1152" t="str">
        <f>"14:09:33.859"</f>
        <v>14:09:33.859</v>
      </c>
      <c r="B1152">
        <v>39.494691000000003</v>
      </c>
      <c r="C1152">
        <v>-76.725403999999997</v>
      </c>
      <c r="D1152">
        <v>8700</v>
      </c>
      <c r="E1152">
        <v>9025</v>
      </c>
      <c r="F1152">
        <v>168</v>
      </c>
      <c r="G1152">
        <v>86</v>
      </c>
      <c r="H1152">
        <v>0</v>
      </c>
      <c r="J1152" s="1">
        <f t="shared" si="85"/>
        <v>28224</v>
      </c>
      <c r="K1152" s="1">
        <f t="shared" si="86"/>
        <v>7396</v>
      </c>
      <c r="L1152" s="1">
        <f t="shared" si="87"/>
        <v>35620</v>
      </c>
      <c r="M1152" s="1">
        <f t="shared" si="88"/>
        <v>188.73261509341728</v>
      </c>
      <c r="N1152" s="7">
        <f t="shared" si="89"/>
        <v>188.73261509341728</v>
      </c>
    </row>
    <row r="1153" spans="1:14" x14ac:dyDescent="0.25">
      <c r="A1153" t="str">
        <f>"14:09:34.766"</f>
        <v>14:09:34.766</v>
      </c>
      <c r="B1153">
        <v>39.495099000000003</v>
      </c>
      <c r="C1153">
        <v>-76.724373999999997</v>
      </c>
      <c r="D1153">
        <v>8700</v>
      </c>
      <c r="E1153">
        <v>9025</v>
      </c>
      <c r="F1153">
        <v>168</v>
      </c>
      <c r="G1153">
        <v>87</v>
      </c>
      <c r="H1153">
        <v>0</v>
      </c>
      <c r="J1153" s="1">
        <f t="shared" si="85"/>
        <v>28224</v>
      </c>
      <c r="K1153" s="1">
        <f t="shared" si="86"/>
        <v>7569</v>
      </c>
      <c r="L1153" s="1">
        <f t="shared" si="87"/>
        <v>35793</v>
      </c>
      <c r="M1153" s="1">
        <f t="shared" si="88"/>
        <v>189.19038030513073</v>
      </c>
      <c r="N1153" s="7">
        <f t="shared" si="89"/>
        <v>189.19038030513073</v>
      </c>
    </row>
    <row r="1154" spans="1:14" x14ac:dyDescent="0.25">
      <c r="A1154" t="str">
        <f>"14:09:35.828"</f>
        <v>14:09:35.828</v>
      </c>
      <c r="B1154">
        <v>39.495528</v>
      </c>
      <c r="C1154">
        <v>-76.723387000000002</v>
      </c>
      <c r="D1154">
        <v>8700</v>
      </c>
      <c r="E1154">
        <v>9025</v>
      </c>
      <c r="F1154">
        <v>168</v>
      </c>
      <c r="G1154">
        <v>87</v>
      </c>
      <c r="H1154">
        <v>0</v>
      </c>
      <c r="J1154" s="1">
        <f t="shared" si="85"/>
        <v>28224</v>
      </c>
      <c r="K1154" s="1">
        <f t="shared" si="86"/>
        <v>7569</v>
      </c>
      <c r="L1154" s="1">
        <f t="shared" si="87"/>
        <v>35793</v>
      </c>
      <c r="M1154" s="1">
        <f t="shared" si="88"/>
        <v>189.19038030513073</v>
      </c>
      <c r="N1154" s="7">
        <f t="shared" si="89"/>
        <v>189.19038030513073</v>
      </c>
    </row>
    <row r="1155" spans="1:14" x14ac:dyDescent="0.25">
      <c r="A1155" t="str">
        <f>"14:09:36.836"</f>
        <v>14:09:36.836</v>
      </c>
      <c r="B1155">
        <v>39.495893000000002</v>
      </c>
      <c r="C1155">
        <v>-76.722421999999995</v>
      </c>
      <c r="D1155">
        <v>8700</v>
      </c>
      <c r="E1155">
        <v>9025</v>
      </c>
      <c r="F1155">
        <v>167</v>
      </c>
      <c r="G1155">
        <v>87</v>
      </c>
      <c r="H1155">
        <v>0</v>
      </c>
      <c r="J1155" s="1">
        <f t="shared" ref="J1155:J1218" si="90">F1155^2</f>
        <v>27889</v>
      </c>
      <c r="K1155" s="1">
        <f t="shared" ref="K1155:K1218" si="91">G1155^2</f>
        <v>7569</v>
      </c>
      <c r="L1155" s="1">
        <f t="shared" ref="L1155:L1218" si="92">SUMSQ(F1155,G1155)</f>
        <v>35458</v>
      </c>
      <c r="M1155" s="1">
        <f t="shared" ref="M1155:M1218" si="93">SQRT(L1155)</f>
        <v>188.30294740125552</v>
      </c>
      <c r="N1155" s="7">
        <f t="shared" ref="N1155:N1218" si="94">M1155</f>
        <v>188.30294740125552</v>
      </c>
    </row>
    <row r="1156" spans="1:14" x14ac:dyDescent="0.25">
      <c r="A1156" t="str">
        <f>"14:09:38.352"</f>
        <v>14:09:38.352</v>
      </c>
      <c r="B1156">
        <v>39.496535999999999</v>
      </c>
      <c r="C1156">
        <v>-76.720877000000002</v>
      </c>
      <c r="D1156">
        <v>8700</v>
      </c>
      <c r="E1156">
        <v>9025</v>
      </c>
      <c r="F1156">
        <v>167</v>
      </c>
      <c r="G1156">
        <v>88</v>
      </c>
      <c r="H1156">
        <v>0</v>
      </c>
      <c r="J1156" s="1">
        <f t="shared" si="90"/>
        <v>27889</v>
      </c>
      <c r="K1156" s="1">
        <f t="shared" si="91"/>
        <v>7744</v>
      </c>
      <c r="L1156" s="1">
        <f t="shared" si="92"/>
        <v>35633</v>
      </c>
      <c r="M1156" s="1">
        <f t="shared" si="93"/>
        <v>188.76705220985997</v>
      </c>
      <c r="N1156" s="7">
        <f t="shared" si="94"/>
        <v>188.76705220985997</v>
      </c>
    </row>
    <row r="1157" spans="1:14" x14ac:dyDescent="0.25">
      <c r="A1157" t="str">
        <f>"14:09:39.313"</f>
        <v>14:09:39.313</v>
      </c>
      <c r="B1157">
        <v>39.496943999999999</v>
      </c>
      <c r="C1157">
        <v>-76.719910999999996</v>
      </c>
      <c r="D1157">
        <v>8700</v>
      </c>
      <c r="E1157">
        <v>9025</v>
      </c>
      <c r="F1157">
        <v>167</v>
      </c>
      <c r="G1157">
        <v>88</v>
      </c>
      <c r="H1157">
        <v>0</v>
      </c>
      <c r="J1157" s="1">
        <f t="shared" si="90"/>
        <v>27889</v>
      </c>
      <c r="K1157" s="1">
        <f t="shared" si="91"/>
        <v>7744</v>
      </c>
      <c r="L1157" s="1">
        <f t="shared" si="92"/>
        <v>35633</v>
      </c>
      <c r="M1157" s="1">
        <f t="shared" si="93"/>
        <v>188.76705220985997</v>
      </c>
      <c r="N1157" s="7">
        <f t="shared" si="94"/>
        <v>188.76705220985997</v>
      </c>
    </row>
    <row r="1158" spans="1:14" x14ac:dyDescent="0.25">
      <c r="A1158" t="str">
        <f>"14:09:40.266"</f>
        <v>14:09:40.266</v>
      </c>
      <c r="B1158">
        <v>39.497351999999999</v>
      </c>
      <c r="C1158">
        <v>-76.718902999999997</v>
      </c>
      <c r="D1158">
        <v>8700</v>
      </c>
      <c r="E1158">
        <v>9025</v>
      </c>
      <c r="F1158">
        <v>167</v>
      </c>
      <c r="G1158">
        <v>89</v>
      </c>
      <c r="H1158">
        <v>0</v>
      </c>
      <c r="J1158" s="1">
        <f t="shared" si="90"/>
        <v>27889</v>
      </c>
      <c r="K1158" s="1">
        <f t="shared" si="91"/>
        <v>7921</v>
      </c>
      <c r="L1158" s="1">
        <f t="shared" si="92"/>
        <v>35810</v>
      </c>
      <c r="M1158" s="1">
        <f t="shared" si="93"/>
        <v>189.2353032602532</v>
      </c>
      <c r="N1158" s="7">
        <f t="shared" si="94"/>
        <v>189.2353032602532</v>
      </c>
    </row>
    <row r="1159" spans="1:14" x14ac:dyDescent="0.25">
      <c r="A1159" t="str">
        <f>"14:09:41.281"</f>
        <v>14:09:41.281</v>
      </c>
      <c r="B1159">
        <v>39.497781000000003</v>
      </c>
      <c r="C1159">
        <v>-76.717894000000001</v>
      </c>
      <c r="D1159">
        <v>8700</v>
      </c>
      <c r="E1159">
        <v>9025</v>
      </c>
      <c r="F1159">
        <v>167</v>
      </c>
      <c r="G1159">
        <v>89</v>
      </c>
      <c r="H1159">
        <v>0</v>
      </c>
      <c r="J1159" s="1">
        <f t="shared" si="90"/>
        <v>27889</v>
      </c>
      <c r="K1159" s="1">
        <f t="shared" si="91"/>
        <v>7921</v>
      </c>
      <c r="L1159" s="1">
        <f t="shared" si="92"/>
        <v>35810</v>
      </c>
      <c r="M1159" s="1">
        <f t="shared" si="93"/>
        <v>189.2353032602532</v>
      </c>
      <c r="N1159" s="7">
        <f t="shared" si="94"/>
        <v>189.2353032602532</v>
      </c>
    </row>
    <row r="1160" spans="1:14" x14ac:dyDescent="0.25">
      <c r="A1160" t="str">
        <f>"14:09:42.188"</f>
        <v>14:09:42.188</v>
      </c>
      <c r="B1160">
        <v>39.498123999999997</v>
      </c>
      <c r="C1160">
        <v>-76.716971000000001</v>
      </c>
      <c r="D1160">
        <v>8700</v>
      </c>
      <c r="E1160">
        <v>9025</v>
      </c>
      <c r="F1160">
        <v>166</v>
      </c>
      <c r="G1160">
        <v>89</v>
      </c>
      <c r="H1160">
        <v>-64</v>
      </c>
      <c r="J1160" s="1">
        <f t="shared" si="90"/>
        <v>27556</v>
      </c>
      <c r="K1160" s="1">
        <f t="shared" si="91"/>
        <v>7921</v>
      </c>
      <c r="L1160" s="1">
        <f t="shared" si="92"/>
        <v>35477</v>
      </c>
      <c r="M1160" s="1">
        <f t="shared" si="93"/>
        <v>188.35339126227592</v>
      </c>
      <c r="N1160" s="7">
        <f t="shared" si="94"/>
        <v>188.35339126227592</v>
      </c>
    </row>
    <row r="1161" spans="1:14" x14ac:dyDescent="0.25">
      <c r="A1161" t="str">
        <f>"14:09:43.297"</f>
        <v>14:09:43.297</v>
      </c>
      <c r="B1161">
        <v>39.498595999999999</v>
      </c>
      <c r="C1161">
        <v>-76.715919999999997</v>
      </c>
      <c r="D1161">
        <v>8700</v>
      </c>
      <c r="E1161">
        <v>9025</v>
      </c>
      <c r="F1161">
        <v>166</v>
      </c>
      <c r="G1161">
        <v>90</v>
      </c>
      <c r="H1161">
        <v>0</v>
      </c>
      <c r="J1161" s="1">
        <f t="shared" si="90"/>
        <v>27556</v>
      </c>
      <c r="K1161" s="1">
        <f t="shared" si="91"/>
        <v>8100</v>
      </c>
      <c r="L1161" s="1">
        <f t="shared" si="92"/>
        <v>35656</v>
      </c>
      <c r="M1161" s="1">
        <f t="shared" si="93"/>
        <v>188.82796403075471</v>
      </c>
      <c r="N1161" s="7">
        <f t="shared" si="94"/>
        <v>188.82796403075471</v>
      </c>
    </row>
    <row r="1162" spans="1:14" x14ac:dyDescent="0.25">
      <c r="A1162" t="str">
        <f>"14:09:44.258"</f>
        <v>14:09:44.258</v>
      </c>
      <c r="B1162">
        <v>39.498961000000001</v>
      </c>
      <c r="C1162">
        <v>-76.715018999999998</v>
      </c>
      <c r="D1162">
        <v>8700</v>
      </c>
      <c r="E1162">
        <v>9025</v>
      </c>
      <c r="F1162">
        <v>166</v>
      </c>
      <c r="G1162">
        <v>90</v>
      </c>
      <c r="H1162">
        <v>0</v>
      </c>
      <c r="J1162" s="1">
        <f t="shared" si="90"/>
        <v>27556</v>
      </c>
      <c r="K1162" s="1">
        <f t="shared" si="91"/>
        <v>8100</v>
      </c>
      <c r="L1162" s="1">
        <f t="shared" si="92"/>
        <v>35656</v>
      </c>
      <c r="M1162" s="1">
        <f t="shared" si="93"/>
        <v>188.82796403075471</v>
      </c>
      <c r="N1162" s="7">
        <f t="shared" si="94"/>
        <v>188.82796403075471</v>
      </c>
    </row>
    <row r="1163" spans="1:14" x14ac:dyDescent="0.25">
      <c r="A1163" t="str">
        <f>"14:09:45.266"</f>
        <v>14:09:45.266</v>
      </c>
      <c r="B1163">
        <v>39.499389999999998</v>
      </c>
      <c r="C1163">
        <v>-76.714053000000007</v>
      </c>
      <c r="D1163">
        <v>8700</v>
      </c>
      <c r="E1163">
        <v>9025</v>
      </c>
      <c r="F1163">
        <v>166</v>
      </c>
      <c r="G1163">
        <v>90</v>
      </c>
      <c r="H1163">
        <v>0</v>
      </c>
      <c r="J1163" s="1">
        <f t="shared" si="90"/>
        <v>27556</v>
      </c>
      <c r="K1163" s="1">
        <f t="shared" si="91"/>
        <v>8100</v>
      </c>
      <c r="L1163" s="1">
        <f t="shared" si="92"/>
        <v>35656</v>
      </c>
      <c r="M1163" s="1">
        <f t="shared" si="93"/>
        <v>188.82796403075471</v>
      </c>
      <c r="N1163" s="7">
        <f t="shared" si="94"/>
        <v>188.82796403075471</v>
      </c>
    </row>
    <row r="1164" spans="1:14" x14ac:dyDescent="0.25">
      <c r="A1164" t="str">
        <f>"14:09:46.172"</f>
        <v>14:09:46.172</v>
      </c>
      <c r="B1164">
        <v>39.499732999999999</v>
      </c>
      <c r="C1164">
        <v>-76.713109000000003</v>
      </c>
      <c r="D1164">
        <v>8700</v>
      </c>
      <c r="E1164">
        <v>9025</v>
      </c>
      <c r="F1164">
        <v>166</v>
      </c>
      <c r="G1164">
        <v>90</v>
      </c>
      <c r="H1164">
        <v>0</v>
      </c>
      <c r="J1164" s="1">
        <f t="shared" si="90"/>
        <v>27556</v>
      </c>
      <c r="K1164" s="1">
        <f t="shared" si="91"/>
        <v>8100</v>
      </c>
      <c r="L1164" s="1">
        <f t="shared" si="92"/>
        <v>35656</v>
      </c>
      <c r="M1164" s="1">
        <f t="shared" si="93"/>
        <v>188.82796403075471</v>
      </c>
      <c r="N1164" s="7">
        <f t="shared" si="94"/>
        <v>188.82796403075471</v>
      </c>
    </row>
    <row r="1165" spans="1:14" x14ac:dyDescent="0.25">
      <c r="A1165" t="str">
        <f>"14:09:46.984"</f>
        <v>14:09:46.984</v>
      </c>
      <c r="B1165">
        <v>39.500140999999999</v>
      </c>
      <c r="C1165">
        <v>-76.712271999999999</v>
      </c>
      <c r="D1165">
        <v>8700</v>
      </c>
      <c r="E1165">
        <v>9025</v>
      </c>
      <c r="F1165">
        <v>166</v>
      </c>
      <c r="G1165">
        <v>90</v>
      </c>
      <c r="H1165">
        <v>0</v>
      </c>
      <c r="J1165" s="1">
        <f t="shared" si="90"/>
        <v>27556</v>
      </c>
      <c r="K1165" s="1">
        <f t="shared" si="91"/>
        <v>8100</v>
      </c>
      <c r="L1165" s="1">
        <f t="shared" si="92"/>
        <v>35656</v>
      </c>
      <c r="M1165" s="1">
        <f t="shared" si="93"/>
        <v>188.82796403075471</v>
      </c>
      <c r="N1165" s="7">
        <f t="shared" si="94"/>
        <v>188.82796403075471</v>
      </c>
    </row>
    <row r="1166" spans="1:14" x14ac:dyDescent="0.25">
      <c r="A1166" t="str">
        <f>"14:09:48.094"</f>
        <v>14:09:48.094</v>
      </c>
      <c r="B1166">
        <v>39.500613000000001</v>
      </c>
      <c r="C1166">
        <v>-76.711134999999999</v>
      </c>
      <c r="D1166">
        <v>8700</v>
      </c>
      <c r="E1166">
        <v>9025</v>
      </c>
      <c r="F1166">
        <v>165</v>
      </c>
      <c r="G1166">
        <v>90</v>
      </c>
      <c r="H1166">
        <v>0</v>
      </c>
      <c r="J1166" s="1">
        <f t="shared" si="90"/>
        <v>27225</v>
      </c>
      <c r="K1166" s="1">
        <f t="shared" si="91"/>
        <v>8100</v>
      </c>
      <c r="L1166" s="1">
        <f t="shared" si="92"/>
        <v>35325</v>
      </c>
      <c r="M1166" s="1">
        <f t="shared" si="93"/>
        <v>187.94946129212502</v>
      </c>
      <c r="N1166" s="7">
        <f t="shared" si="94"/>
        <v>187.94946129212502</v>
      </c>
    </row>
    <row r="1167" spans="1:14" x14ac:dyDescent="0.25">
      <c r="A1167" t="str">
        <f>"14:09:49.000"</f>
        <v>14:09:49.000</v>
      </c>
      <c r="B1167">
        <v>39.500978000000003</v>
      </c>
      <c r="C1167">
        <v>-76.710277000000005</v>
      </c>
      <c r="D1167">
        <v>8700</v>
      </c>
      <c r="E1167">
        <v>9025</v>
      </c>
      <c r="F1167">
        <v>165</v>
      </c>
      <c r="G1167">
        <v>90</v>
      </c>
      <c r="H1167">
        <v>64</v>
      </c>
      <c r="J1167" s="1">
        <f t="shared" si="90"/>
        <v>27225</v>
      </c>
      <c r="K1167" s="1">
        <f t="shared" si="91"/>
        <v>8100</v>
      </c>
      <c r="L1167" s="1">
        <f t="shared" si="92"/>
        <v>35325</v>
      </c>
      <c r="M1167" s="1">
        <f t="shared" si="93"/>
        <v>187.94946129212502</v>
      </c>
      <c r="N1167" s="7">
        <f t="shared" si="94"/>
        <v>187.94946129212502</v>
      </c>
    </row>
    <row r="1168" spans="1:14" x14ac:dyDescent="0.25">
      <c r="A1168" t="str">
        <f>"14:09:49.906"</f>
        <v>14:09:49.906</v>
      </c>
      <c r="B1168">
        <v>39.501342999999999</v>
      </c>
      <c r="C1168">
        <v>-76.709417999999999</v>
      </c>
      <c r="D1168">
        <v>8700</v>
      </c>
      <c r="E1168">
        <v>9025</v>
      </c>
      <c r="F1168">
        <v>165</v>
      </c>
      <c r="G1168">
        <v>90</v>
      </c>
      <c r="H1168">
        <v>64</v>
      </c>
      <c r="J1168" s="1">
        <f t="shared" si="90"/>
        <v>27225</v>
      </c>
      <c r="K1168" s="1">
        <f t="shared" si="91"/>
        <v>8100</v>
      </c>
      <c r="L1168" s="1">
        <f t="shared" si="92"/>
        <v>35325</v>
      </c>
      <c r="M1168" s="1">
        <f t="shared" si="93"/>
        <v>187.94946129212502</v>
      </c>
      <c r="N1168" s="7">
        <f t="shared" si="94"/>
        <v>187.94946129212502</v>
      </c>
    </row>
    <row r="1169" spans="1:14" x14ac:dyDescent="0.25">
      <c r="A1169" t="str">
        <f>"14:09:50.766"</f>
        <v>14:09:50.766</v>
      </c>
      <c r="B1169">
        <v>39.501708000000001</v>
      </c>
      <c r="C1169">
        <v>-76.708495999999997</v>
      </c>
      <c r="D1169">
        <v>8700</v>
      </c>
      <c r="E1169">
        <v>9025</v>
      </c>
      <c r="F1169">
        <v>165</v>
      </c>
      <c r="G1169">
        <v>90</v>
      </c>
      <c r="H1169">
        <v>64</v>
      </c>
      <c r="J1169" s="1">
        <f t="shared" si="90"/>
        <v>27225</v>
      </c>
      <c r="K1169" s="1">
        <f t="shared" si="91"/>
        <v>8100</v>
      </c>
      <c r="L1169" s="1">
        <f t="shared" si="92"/>
        <v>35325</v>
      </c>
      <c r="M1169" s="1">
        <f t="shared" si="93"/>
        <v>187.94946129212502</v>
      </c>
      <c r="N1169" s="7">
        <f t="shared" si="94"/>
        <v>187.94946129212502</v>
      </c>
    </row>
    <row r="1170" spans="1:14" x14ac:dyDescent="0.25">
      <c r="A1170" t="str">
        <f>"14:09:51.672"</f>
        <v>14:09:51.672</v>
      </c>
      <c r="B1170">
        <v>39.502094</v>
      </c>
      <c r="C1170">
        <v>-76.707701999999998</v>
      </c>
      <c r="D1170">
        <v>8700</v>
      </c>
      <c r="E1170">
        <v>9025</v>
      </c>
      <c r="F1170">
        <v>165</v>
      </c>
      <c r="G1170">
        <v>90</v>
      </c>
      <c r="H1170">
        <v>0</v>
      </c>
      <c r="J1170" s="1">
        <f t="shared" si="90"/>
        <v>27225</v>
      </c>
      <c r="K1170" s="1">
        <f t="shared" si="91"/>
        <v>8100</v>
      </c>
      <c r="L1170" s="1">
        <f t="shared" si="92"/>
        <v>35325</v>
      </c>
      <c r="M1170" s="1">
        <f t="shared" si="93"/>
        <v>187.94946129212502</v>
      </c>
      <c r="N1170" s="7">
        <f t="shared" si="94"/>
        <v>187.94946129212502</v>
      </c>
    </row>
    <row r="1171" spans="1:14" x14ac:dyDescent="0.25">
      <c r="A1171" t="str">
        <f>"14:09:52.680"</f>
        <v>14:09:52.680</v>
      </c>
      <c r="B1171">
        <v>39.502501000000002</v>
      </c>
      <c r="C1171">
        <v>-76.706671999999998</v>
      </c>
      <c r="D1171">
        <v>8700</v>
      </c>
      <c r="E1171">
        <v>9025</v>
      </c>
      <c r="F1171">
        <v>165</v>
      </c>
      <c r="G1171">
        <v>90</v>
      </c>
      <c r="H1171">
        <v>0</v>
      </c>
      <c r="J1171" s="1">
        <f t="shared" si="90"/>
        <v>27225</v>
      </c>
      <c r="K1171" s="1">
        <f t="shared" si="91"/>
        <v>8100</v>
      </c>
      <c r="L1171" s="1">
        <f t="shared" si="92"/>
        <v>35325</v>
      </c>
      <c r="M1171" s="1">
        <f t="shared" si="93"/>
        <v>187.94946129212502</v>
      </c>
      <c r="N1171" s="7">
        <f t="shared" si="94"/>
        <v>187.94946129212502</v>
      </c>
    </row>
    <row r="1172" spans="1:14" x14ac:dyDescent="0.25">
      <c r="A1172" t="str">
        <f>"14:09:53.695"</f>
        <v>14:09:53.695</v>
      </c>
      <c r="B1172">
        <v>39.502952000000001</v>
      </c>
      <c r="C1172">
        <v>-76.705577000000005</v>
      </c>
      <c r="D1172">
        <v>8700</v>
      </c>
      <c r="E1172">
        <v>9025</v>
      </c>
      <c r="F1172">
        <v>165</v>
      </c>
      <c r="G1172">
        <v>90</v>
      </c>
      <c r="H1172">
        <v>0</v>
      </c>
      <c r="J1172" s="1">
        <f t="shared" si="90"/>
        <v>27225</v>
      </c>
      <c r="K1172" s="1">
        <f t="shared" si="91"/>
        <v>8100</v>
      </c>
      <c r="L1172" s="1">
        <f t="shared" si="92"/>
        <v>35325</v>
      </c>
      <c r="M1172" s="1">
        <f t="shared" si="93"/>
        <v>187.94946129212502</v>
      </c>
      <c r="N1172" s="7">
        <f t="shared" si="94"/>
        <v>187.94946129212502</v>
      </c>
    </row>
    <row r="1173" spans="1:14" x14ac:dyDescent="0.25">
      <c r="A1173" t="str">
        <f>"14:09:54.656"</f>
        <v>14:09:54.656</v>
      </c>
      <c r="B1173">
        <v>39.503295000000001</v>
      </c>
      <c r="C1173">
        <v>-76.704718999999997</v>
      </c>
      <c r="D1173">
        <v>8700</v>
      </c>
      <c r="E1173">
        <v>9025</v>
      </c>
      <c r="F1173">
        <v>165</v>
      </c>
      <c r="G1173">
        <v>90</v>
      </c>
      <c r="H1173">
        <v>0</v>
      </c>
      <c r="J1173" s="1">
        <f t="shared" si="90"/>
        <v>27225</v>
      </c>
      <c r="K1173" s="1">
        <f t="shared" si="91"/>
        <v>8100</v>
      </c>
      <c r="L1173" s="1">
        <f t="shared" si="92"/>
        <v>35325</v>
      </c>
      <c r="M1173" s="1">
        <f t="shared" si="93"/>
        <v>187.94946129212502</v>
      </c>
      <c r="N1173" s="7">
        <f t="shared" si="94"/>
        <v>187.94946129212502</v>
      </c>
    </row>
    <row r="1174" spans="1:14" x14ac:dyDescent="0.25">
      <c r="A1174" t="str">
        <f>"14:09:55.508"</f>
        <v>14:09:55.508</v>
      </c>
      <c r="B1174">
        <v>39.503681999999998</v>
      </c>
      <c r="C1174">
        <v>-76.703795999999997</v>
      </c>
      <c r="D1174">
        <v>8700</v>
      </c>
      <c r="E1174">
        <v>9025</v>
      </c>
      <c r="F1174">
        <v>166</v>
      </c>
      <c r="G1174">
        <v>90</v>
      </c>
      <c r="H1174">
        <v>0</v>
      </c>
      <c r="J1174" s="1">
        <f t="shared" si="90"/>
        <v>27556</v>
      </c>
      <c r="K1174" s="1">
        <f t="shared" si="91"/>
        <v>8100</v>
      </c>
      <c r="L1174" s="1">
        <f t="shared" si="92"/>
        <v>35656</v>
      </c>
      <c r="M1174" s="1">
        <f t="shared" si="93"/>
        <v>188.82796403075471</v>
      </c>
      <c r="N1174" s="7">
        <f t="shared" si="94"/>
        <v>188.82796403075471</v>
      </c>
    </row>
    <row r="1175" spans="1:14" x14ac:dyDescent="0.25">
      <c r="A1175" t="str">
        <f>"14:09:56.625"</f>
        <v>14:09:56.625</v>
      </c>
      <c r="B1175">
        <v>39.504131999999998</v>
      </c>
      <c r="C1175">
        <v>-76.702765999999997</v>
      </c>
      <c r="D1175">
        <v>8700</v>
      </c>
      <c r="E1175">
        <v>9025</v>
      </c>
      <c r="F1175">
        <v>166</v>
      </c>
      <c r="G1175">
        <v>89</v>
      </c>
      <c r="H1175">
        <v>0</v>
      </c>
      <c r="J1175" s="1">
        <f t="shared" si="90"/>
        <v>27556</v>
      </c>
      <c r="K1175" s="1">
        <f t="shared" si="91"/>
        <v>7921</v>
      </c>
      <c r="L1175" s="1">
        <f t="shared" si="92"/>
        <v>35477</v>
      </c>
      <c r="M1175" s="1">
        <f t="shared" si="93"/>
        <v>188.35339126227592</v>
      </c>
      <c r="N1175" s="7">
        <f t="shared" si="94"/>
        <v>188.35339126227592</v>
      </c>
    </row>
    <row r="1176" spans="1:14" x14ac:dyDescent="0.25">
      <c r="A1176" t="str">
        <f>"14:09:57.477"</f>
        <v>14:09:57.477</v>
      </c>
      <c r="B1176">
        <v>39.504454000000003</v>
      </c>
      <c r="C1176">
        <v>-76.701971999999998</v>
      </c>
      <c r="D1176">
        <v>8700</v>
      </c>
      <c r="E1176">
        <v>9025</v>
      </c>
      <c r="F1176">
        <v>166</v>
      </c>
      <c r="G1176">
        <v>89</v>
      </c>
      <c r="H1176">
        <v>0</v>
      </c>
      <c r="J1176" s="1">
        <f t="shared" si="90"/>
        <v>27556</v>
      </c>
      <c r="K1176" s="1">
        <f t="shared" si="91"/>
        <v>7921</v>
      </c>
      <c r="L1176" s="1">
        <f t="shared" si="92"/>
        <v>35477</v>
      </c>
      <c r="M1176" s="1">
        <f t="shared" si="93"/>
        <v>188.35339126227592</v>
      </c>
      <c r="N1176" s="7">
        <f t="shared" si="94"/>
        <v>188.35339126227592</v>
      </c>
    </row>
    <row r="1177" spans="1:14" x14ac:dyDescent="0.25">
      <c r="A1177" t="str">
        <f>"14:09:58.289"</f>
        <v>14:09:58.289</v>
      </c>
      <c r="B1177">
        <v>39.504818999999998</v>
      </c>
      <c r="C1177">
        <v>-76.701049999999995</v>
      </c>
      <c r="D1177">
        <v>8700</v>
      </c>
      <c r="E1177">
        <v>9025</v>
      </c>
      <c r="F1177">
        <v>166</v>
      </c>
      <c r="G1177">
        <v>89</v>
      </c>
      <c r="H1177">
        <v>0</v>
      </c>
      <c r="J1177" s="1">
        <f t="shared" si="90"/>
        <v>27556</v>
      </c>
      <c r="K1177" s="1">
        <f t="shared" si="91"/>
        <v>7921</v>
      </c>
      <c r="L1177" s="1">
        <f t="shared" si="92"/>
        <v>35477</v>
      </c>
      <c r="M1177" s="1">
        <f t="shared" si="93"/>
        <v>188.35339126227592</v>
      </c>
      <c r="N1177" s="7">
        <f t="shared" si="94"/>
        <v>188.35339126227592</v>
      </c>
    </row>
    <row r="1178" spans="1:14" x14ac:dyDescent="0.25">
      <c r="A1178" t="str">
        <f>"14:09:59.398"</f>
        <v>14:09:59.398</v>
      </c>
      <c r="B1178">
        <v>39.505291</v>
      </c>
      <c r="C1178">
        <v>-76.699955000000003</v>
      </c>
      <c r="D1178">
        <v>8700</v>
      </c>
      <c r="E1178">
        <v>9025</v>
      </c>
      <c r="F1178">
        <v>166</v>
      </c>
      <c r="G1178">
        <v>88</v>
      </c>
      <c r="H1178">
        <v>0</v>
      </c>
      <c r="J1178" s="1">
        <f t="shared" si="90"/>
        <v>27556</v>
      </c>
      <c r="K1178" s="1">
        <f t="shared" si="91"/>
        <v>7744</v>
      </c>
      <c r="L1178" s="1">
        <f t="shared" si="92"/>
        <v>35300</v>
      </c>
      <c r="M1178" s="1">
        <f t="shared" si="93"/>
        <v>187.88294228055935</v>
      </c>
      <c r="N1178" s="7">
        <f t="shared" si="94"/>
        <v>187.88294228055935</v>
      </c>
    </row>
    <row r="1179" spans="1:14" x14ac:dyDescent="0.25">
      <c r="A1179" t="str">
        <f>"14:10:00.563"</f>
        <v>14:10:00.563</v>
      </c>
      <c r="B1179">
        <v>39.505741999999998</v>
      </c>
      <c r="C1179">
        <v>-76.698840000000004</v>
      </c>
      <c r="D1179">
        <v>8700</v>
      </c>
      <c r="E1179">
        <v>9025</v>
      </c>
      <c r="F1179">
        <v>167</v>
      </c>
      <c r="G1179">
        <v>88</v>
      </c>
      <c r="H1179">
        <v>-64</v>
      </c>
      <c r="J1179" s="1">
        <f t="shared" si="90"/>
        <v>27889</v>
      </c>
      <c r="K1179" s="1">
        <f t="shared" si="91"/>
        <v>7744</v>
      </c>
      <c r="L1179" s="1">
        <f t="shared" si="92"/>
        <v>35633</v>
      </c>
      <c r="M1179" s="1">
        <f t="shared" si="93"/>
        <v>188.76705220985997</v>
      </c>
      <c r="N1179" s="7">
        <f t="shared" si="94"/>
        <v>188.76705220985997</v>
      </c>
    </row>
    <row r="1180" spans="1:14" x14ac:dyDescent="0.25">
      <c r="A1180" t="str">
        <f>"14:10:01.516"</f>
        <v>14:10:01.516</v>
      </c>
      <c r="B1180">
        <v>39.506149000000001</v>
      </c>
      <c r="C1180">
        <v>-76.697830999999994</v>
      </c>
      <c r="D1180">
        <v>8700</v>
      </c>
      <c r="E1180">
        <v>9025</v>
      </c>
      <c r="F1180">
        <v>167</v>
      </c>
      <c r="G1180">
        <v>87</v>
      </c>
      <c r="H1180">
        <v>-64</v>
      </c>
      <c r="J1180" s="1">
        <f t="shared" si="90"/>
        <v>27889</v>
      </c>
      <c r="K1180" s="1">
        <f t="shared" si="91"/>
        <v>7569</v>
      </c>
      <c r="L1180" s="1">
        <f t="shared" si="92"/>
        <v>35458</v>
      </c>
      <c r="M1180" s="1">
        <f t="shared" si="93"/>
        <v>188.30294740125552</v>
      </c>
      <c r="N1180" s="7">
        <f t="shared" si="94"/>
        <v>188.30294740125552</v>
      </c>
    </row>
    <row r="1181" spans="1:14" x14ac:dyDescent="0.25">
      <c r="A1181" t="str">
        <f>"14:10:02.625"</f>
        <v>14:10:02.625</v>
      </c>
      <c r="B1181">
        <v>39.506599999999999</v>
      </c>
      <c r="C1181">
        <v>-76.696780000000004</v>
      </c>
      <c r="D1181">
        <v>8700</v>
      </c>
      <c r="E1181">
        <v>9025</v>
      </c>
      <c r="F1181">
        <v>167</v>
      </c>
      <c r="G1181">
        <v>87</v>
      </c>
      <c r="H1181">
        <v>-64</v>
      </c>
      <c r="J1181" s="1">
        <f t="shared" si="90"/>
        <v>27889</v>
      </c>
      <c r="K1181" s="1">
        <f t="shared" si="91"/>
        <v>7569</v>
      </c>
      <c r="L1181" s="1">
        <f t="shared" si="92"/>
        <v>35458</v>
      </c>
      <c r="M1181" s="1">
        <f t="shared" si="93"/>
        <v>188.30294740125552</v>
      </c>
      <c r="N1181" s="7">
        <f t="shared" si="94"/>
        <v>188.30294740125552</v>
      </c>
    </row>
    <row r="1182" spans="1:14" x14ac:dyDescent="0.25">
      <c r="A1182" t="str">
        <f>"14:10:03.539"</f>
        <v>14:10:03.539</v>
      </c>
      <c r="B1182">
        <v>39.506922000000003</v>
      </c>
      <c r="C1182">
        <v>-76.695857000000004</v>
      </c>
      <c r="D1182">
        <v>8700</v>
      </c>
      <c r="E1182">
        <v>9025</v>
      </c>
      <c r="F1182">
        <v>167</v>
      </c>
      <c r="G1182">
        <v>87</v>
      </c>
      <c r="H1182">
        <v>-64</v>
      </c>
      <c r="J1182" s="1">
        <f t="shared" si="90"/>
        <v>27889</v>
      </c>
      <c r="K1182" s="1">
        <f t="shared" si="91"/>
        <v>7569</v>
      </c>
      <c r="L1182" s="1">
        <f t="shared" si="92"/>
        <v>35458</v>
      </c>
      <c r="M1182" s="1">
        <f t="shared" si="93"/>
        <v>188.30294740125552</v>
      </c>
      <c r="N1182" s="7">
        <f t="shared" si="94"/>
        <v>188.30294740125552</v>
      </c>
    </row>
    <row r="1183" spans="1:14" x14ac:dyDescent="0.25">
      <c r="A1183" t="str">
        <f>"14:10:04.500"</f>
        <v>14:10:04.500</v>
      </c>
      <c r="B1183">
        <v>39.507328999999999</v>
      </c>
      <c r="C1183">
        <v>-76.694849000000005</v>
      </c>
      <c r="D1183">
        <v>8700</v>
      </c>
      <c r="E1183">
        <v>9025</v>
      </c>
      <c r="F1183">
        <v>167</v>
      </c>
      <c r="G1183">
        <v>87</v>
      </c>
      <c r="H1183">
        <v>0</v>
      </c>
      <c r="J1183" s="1">
        <f t="shared" si="90"/>
        <v>27889</v>
      </c>
      <c r="K1183" s="1">
        <f t="shared" si="91"/>
        <v>7569</v>
      </c>
      <c r="L1183" s="1">
        <f t="shared" si="92"/>
        <v>35458</v>
      </c>
      <c r="M1183" s="1">
        <f t="shared" si="93"/>
        <v>188.30294740125552</v>
      </c>
      <c r="N1183" s="7">
        <f t="shared" si="94"/>
        <v>188.30294740125552</v>
      </c>
    </row>
    <row r="1184" spans="1:14" x14ac:dyDescent="0.25">
      <c r="A1184" t="str">
        <f>"14:10:05.453"</f>
        <v>14:10:05.453</v>
      </c>
      <c r="B1184">
        <v>39.507716000000002</v>
      </c>
      <c r="C1184">
        <v>-76.693968999999996</v>
      </c>
      <c r="D1184">
        <v>8700</v>
      </c>
      <c r="E1184">
        <v>9025</v>
      </c>
      <c r="F1184">
        <v>167</v>
      </c>
      <c r="G1184">
        <v>87</v>
      </c>
      <c r="H1184">
        <v>0</v>
      </c>
      <c r="J1184" s="1">
        <f t="shared" si="90"/>
        <v>27889</v>
      </c>
      <c r="K1184" s="1">
        <f t="shared" si="91"/>
        <v>7569</v>
      </c>
      <c r="L1184" s="1">
        <f t="shared" si="92"/>
        <v>35458</v>
      </c>
      <c r="M1184" s="1">
        <f t="shared" si="93"/>
        <v>188.30294740125552</v>
      </c>
      <c r="N1184" s="7">
        <f t="shared" si="94"/>
        <v>188.30294740125552</v>
      </c>
    </row>
    <row r="1185" spans="1:14" x14ac:dyDescent="0.25">
      <c r="A1185" t="str">
        <f>"14:10:06.617"</f>
        <v>14:10:06.617</v>
      </c>
      <c r="B1185">
        <v>39.508231000000002</v>
      </c>
      <c r="C1185">
        <v>-76.692746</v>
      </c>
      <c r="D1185">
        <v>8700</v>
      </c>
      <c r="E1185">
        <v>9025</v>
      </c>
      <c r="F1185">
        <v>167</v>
      </c>
      <c r="G1185">
        <v>87</v>
      </c>
      <c r="H1185">
        <v>64</v>
      </c>
      <c r="J1185" s="1">
        <f t="shared" si="90"/>
        <v>27889</v>
      </c>
      <c r="K1185" s="1">
        <f t="shared" si="91"/>
        <v>7569</v>
      </c>
      <c r="L1185" s="1">
        <f t="shared" si="92"/>
        <v>35458</v>
      </c>
      <c r="M1185" s="1">
        <f t="shared" si="93"/>
        <v>188.30294740125552</v>
      </c>
      <c r="N1185" s="7">
        <f t="shared" si="94"/>
        <v>188.30294740125552</v>
      </c>
    </row>
    <row r="1186" spans="1:14" x14ac:dyDescent="0.25">
      <c r="A1186" t="str">
        <f>"14:10:07.625"</f>
        <v>14:10:07.625</v>
      </c>
      <c r="B1186">
        <v>39.508595</v>
      </c>
      <c r="C1186">
        <v>-76.691716</v>
      </c>
      <c r="D1186">
        <v>8700</v>
      </c>
      <c r="E1186">
        <v>9025</v>
      </c>
      <c r="F1186">
        <v>167</v>
      </c>
      <c r="G1186">
        <v>88</v>
      </c>
      <c r="H1186">
        <v>64</v>
      </c>
      <c r="J1186" s="1">
        <f t="shared" si="90"/>
        <v>27889</v>
      </c>
      <c r="K1186" s="1">
        <f t="shared" si="91"/>
        <v>7744</v>
      </c>
      <c r="L1186" s="1">
        <f t="shared" si="92"/>
        <v>35633</v>
      </c>
      <c r="M1186" s="1">
        <f t="shared" si="93"/>
        <v>188.76705220985997</v>
      </c>
      <c r="N1186" s="7">
        <f t="shared" si="94"/>
        <v>188.76705220985997</v>
      </c>
    </row>
    <row r="1187" spans="1:14" x14ac:dyDescent="0.25">
      <c r="A1187" t="str">
        <f>"14:10:08.586"</f>
        <v>14:10:08.586</v>
      </c>
      <c r="B1187">
        <v>39.509025000000001</v>
      </c>
      <c r="C1187">
        <v>-76.690729000000005</v>
      </c>
      <c r="D1187">
        <v>8700</v>
      </c>
      <c r="E1187">
        <v>9025</v>
      </c>
      <c r="F1187">
        <v>167</v>
      </c>
      <c r="G1187">
        <v>88</v>
      </c>
      <c r="H1187">
        <v>64</v>
      </c>
      <c r="J1187" s="1">
        <f t="shared" si="90"/>
        <v>27889</v>
      </c>
      <c r="K1187" s="1">
        <f t="shared" si="91"/>
        <v>7744</v>
      </c>
      <c r="L1187" s="1">
        <f t="shared" si="92"/>
        <v>35633</v>
      </c>
      <c r="M1187" s="1">
        <f t="shared" si="93"/>
        <v>188.76705220985997</v>
      </c>
      <c r="N1187" s="7">
        <f t="shared" si="94"/>
        <v>188.76705220985997</v>
      </c>
    </row>
    <row r="1188" spans="1:14" x14ac:dyDescent="0.25">
      <c r="A1188" t="str">
        <f>"14:10:09.648"</f>
        <v>14:10:09.648</v>
      </c>
      <c r="B1188">
        <v>39.509431999999997</v>
      </c>
      <c r="C1188">
        <v>-76.689762999999999</v>
      </c>
      <c r="D1188">
        <v>8700</v>
      </c>
      <c r="E1188">
        <v>9025</v>
      </c>
      <c r="F1188">
        <v>166</v>
      </c>
      <c r="G1188">
        <v>88</v>
      </c>
      <c r="H1188">
        <v>64</v>
      </c>
      <c r="J1188" s="1">
        <f t="shared" si="90"/>
        <v>27556</v>
      </c>
      <c r="K1188" s="1">
        <f t="shared" si="91"/>
        <v>7744</v>
      </c>
      <c r="L1188" s="1">
        <f t="shared" si="92"/>
        <v>35300</v>
      </c>
      <c r="M1188" s="1">
        <f t="shared" si="93"/>
        <v>187.88294228055935</v>
      </c>
      <c r="N1188" s="7">
        <f t="shared" si="94"/>
        <v>187.88294228055935</v>
      </c>
    </row>
    <row r="1189" spans="1:14" x14ac:dyDescent="0.25">
      <c r="A1189" t="str">
        <f>"14:10:10.711"</f>
        <v>14:10:10.711</v>
      </c>
      <c r="B1189">
        <v>39.509903999999999</v>
      </c>
      <c r="C1189">
        <v>-76.688625999999999</v>
      </c>
      <c r="D1189">
        <v>8700</v>
      </c>
      <c r="E1189">
        <v>9025</v>
      </c>
      <c r="F1189">
        <v>166</v>
      </c>
      <c r="G1189">
        <v>88</v>
      </c>
      <c r="H1189">
        <v>64</v>
      </c>
      <c r="J1189" s="1">
        <f t="shared" si="90"/>
        <v>27556</v>
      </c>
      <c r="K1189" s="1">
        <f t="shared" si="91"/>
        <v>7744</v>
      </c>
      <c r="L1189" s="1">
        <f t="shared" si="92"/>
        <v>35300</v>
      </c>
      <c r="M1189" s="1">
        <f t="shared" si="93"/>
        <v>187.88294228055935</v>
      </c>
      <c r="N1189" s="7">
        <f t="shared" si="94"/>
        <v>187.88294228055935</v>
      </c>
    </row>
    <row r="1190" spans="1:14" x14ac:dyDescent="0.25">
      <c r="A1190" t="str">
        <f>"14:10:11.766"</f>
        <v>14:10:11.766</v>
      </c>
      <c r="B1190">
        <v>39.510269000000001</v>
      </c>
      <c r="C1190">
        <v>-76.687681999999995</v>
      </c>
      <c r="D1190">
        <v>8700</v>
      </c>
      <c r="E1190">
        <v>9025</v>
      </c>
      <c r="F1190">
        <v>166</v>
      </c>
      <c r="G1190">
        <v>88</v>
      </c>
      <c r="H1190">
        <v>64</v>
      </c>
      <c r="J1190" s="1">
        <f t="shared" si="90"/>
        <v>27556</v>
      </c>
      <c r="K1190" s="1">
        <f t="shared" si="91"/>
        <v>7744</v>
      </c>
      <c r="L1190" s="1">
        <f t="shared" si="92"/>
        <v>35300</v>
      </c>
      <c r="M1190" s="1">
        <f t="shared" si="93"/>
        <v>187.88294228055935</v>
      </c>
      <c r="N1190" s="7">
        <f t="shared" si="94"/>
        <v>187.88294228055935</v>
      </c>
    </row>
    <row r="1191" spans="1:14" x14ac:dyDescent="0.25">
      <c r="A1191" t="str">
        <f>"14:10:12.930"</f>
        <v>14:10:12.930</v>
      </c>
      <c r="B1191">
        <v>39.510762999999997</v>
      </c>
      <c r="C1191">
        <v>-76.686480000000003</v>
      </c>
      <c r="D1191">
        <v>8700</v>
      </c>
      <c r="E1191">
        <v>9025</v>
      </c>
      <c r="F1191">
        <v>166</v>
      </c>
      <c r="G1191">
        <v>89</v>
      </c>
      <c r="H1191">
        <v>0</v>
      </c>
      <c r="J1191" s="1">
        <f t="shared" si="90"/>
        <v>27556</v>
      </c>
      <c r="K1191" s="1">
        <f t="shared" si="91"/>
        <v>7921</v>
      </c>
      <c r="L1191" s="1">
        <f t="shared" si="92"/>
        <v>35477</v>
      </c>
      <c r="M1191" s="1">
        <f t="shared" si="93"/>
        <v>188.35339126227592</v>
      </c>
      <c r="N1191" s="7">
        <f t="shared" si="94"/>
        <v>188.35339126227592</v>
      </c>
    </row>
    <row r="1192" spans="1:14" x14ac:dyDescent="0.25">
      <c r="A1192" t="str">
        <f>"14:10:13.992"</f>
        <v>14:10:13.992</v>
      </c>
      <c r="B1192">
        <v>39.511212999999998</v>
      </c>
      <c r="C1192">
        <v>-76.685428999999999</v>
      </c>
      <c r="D1192">
        <v>8700</v>
      </c>
      <c r="E1192">
        <v>9025</v>
      </c>
      <c r="F1192">
        <v>166</v>
      </c>
      <c r="G1192">
        <v>89</v>
      </c>
      <c r="H1192">
        <v>0</v>
      </c>
      <c r="J1192" s="1">
        <f t="shared" si="90"/>
        <v>27556</v>
      </c>
      <c r="K1192" s="1">
        <f t="shared" si="91"/>
        <v>7921</v>
      </c>
      <c r="L1192" s="1">
        <f t="shared" si="92"/>
        <v>35477</v>
      </c>
      <c r="M1192" s="1">
        <f t="shared" si="93"/>
        <v>188.35339126227592</v>
      </c>
      <c r="N1192" s="7">
        <f t="shared" si="94"/>
        <v>188.35339126227592</v>
      </c>
    </row>
    <row r="1193" spans="1:14" x14ac:dyDescent="0.25">
      <c r="A1193" t="str">
        <f>"14:10:15.047"</f>
        <v>14:10:15.047</v>
      </c>
      <c r="B1193">
        <v>39.511620999999998</v>
      </c>
      <c r="C1193">
        <v>-76.684376999999998</v>
      </c>
      <c r="D1193">
        <v>8700</v>
      </c>
      <c r="E1193">
        <v>9025</v>
      </c>
      <c r="F1193">
        <v>166</v>
      </c>
      <c r="G1193">
        <v>89</v>
      </c>
      <c r="H1193">
        <v>-64</v>
      </c>
      <c r="J1193" s="1">
        <f t="shared" si="90"/>
        <v>27556</v>
      </c>
      <c r="K1193" s="1">
        <f t="shared" si="91"/>
        <v>7921</v>
      </c>
      <c r="L1193" s="1">
        <f t="shared" si="92"/>
        <v>35477</v>
      </c>
      <c r="M1193" s="1">
        <f t="shared" si="93"/>
        <v>188.35339126227592</v>
      </c>
      <c r="N1193" s="7">
        <f t="shared" si="94"/>
        <v>188.35339126227592</v>
      </c>
    </row>
    <row r="1194" spans="1:14" x14ac:dyDescent="0.25">
      <c r="A1194" t="str">
        <f>"14:10:15.953"</f>
        <v>14:10:15.953</v>
      </c>
      <c r="B1194">
        <v>39.512006999999997</v>
      </c>
      <c r="C1194">
        <v>-76.683497000000003</v>
      </c>
      <c r="D1194">
        <v>8700</v>
      </c>
      <c r="E1194">
        <v>9025</v>
      </c>
      <c r="F1194">
        <v>166</v>
      </c>
      <c r="G1194">
        <v>90</v>
      </c>
      <c r="H1194">
        <v>-64</v>
      </c>
      <c r="J1194" s="1">
        <f t="shared" si="90"/>
        <v>27556</v>
      </c>
      <c r="K1194" s="1">
        <f t="shared" si="91"/>
        <v>8100</v>
      </c>
      <c r="L1194" s="1">
        <f t="shared" si="92"/>
        <v>35656</v>
      </c>
      <c r="M1194" s="1">
        <f t="shared" si="93"/>
        <v>188.82796403075471</v>
      </c>
      <c r="N1194" s="7">
        <f t="shared" si="94"/>
        <v>188.82796403075471</v>
      </c>
    </row>
    <row r="1195" spans="1:14" x14ac:dyDescent="0.25">
      <c r="A1195" t="str">
        <f>"14:10:16.914"</f>
        <v>14:10:16.914</v>
      </c>
      <c r="B1195">
        <v>39.512414999999997</v>
      </c>
      <c r="C1195">
        <v>-76.682531999999995</v>
      </c>
      <c r="D1195">
        <v>8700</v>
      </c>
      <c r="E1195">
        <v>9025</v>
      </c>
      <c r="F1195">
        <v>166</v>
      </c>
      <c r="G1195">
        <v>90</v>
      </c>
      <c r="H1195">
        <v>-64</v>
      </c>
      <c r="J1195" s="1">
        <f t="shared" si="90"/>
        <v>27556</v>
      </c>
      <c r="K1195" s="1">
        <f t="shared" si="91"/>
        <v>8100</v>
      </c>
      <c r="L1195" s="1">
        <f t="shared" si="92"/>
        <v>35656</v>
      </c>
      <c r="M1195" s="1">
        <f t="shared" si="93"/>
        <v>188.82796403075471</v>
      </c>
      <c r="N1195" s="7">
        <f t="shared" si="94"/>
        <v>188.82796403075471</v>
      </c>
    </row>
    <row r="1196" spans="1:14" x14ac:dyDescent="0.25">
      <c r="A1196" t="str">
        <f>"14:10:17.773"</f>
        <v>14:10:17.773</v>
      </c>
      <c r="B1196">
        <v>39.512801000000003</v>
      </c>
      <c r="C1196">
        <v>-76.681630999999996</v>
      </c>
      <c r="D1196">
        <v>8700</v>
      </c>
      <c r="E1196">
        <v>9025</v>
      </c>
      <c r="F1196">
        <v>166</v>
      </c>
      <c r="G1196">
        <v>90</v>
      </c>
      <c r="H1196">
        <v>-64</v>
      </c>
      <c r="J1196" s="1">
        <f t="shared" si="90"/>
        <v>27556</v>
      </c>
      <c r="K1196" s="1">
        <f t="shared" si="91"/>
        <v>8100</v>
      </c>
      <c r="L1196" s="1">
        <f t="shared" si="92"/>
        <v>35656</v>
      </c>
      <c r="M1196" s="1">
        <f t="shared" si="93"/>
        <v>188.82796403075471</v>
      </c>
      <c r="N1196" s="7">
        <f t="shared" si="94"/>
        <v>188.82796403075471</v>
      </c>
    </row>
    <row r="1197" spans="1:14" x14ac:dyDescent="0.25">
      <c r="A1197" t="str">
        <f>"14:10:18.938"</f>
        <v>14:10:18.938</v>
      </c>
      <c r="B1197">
        <v>39.513252000000001</v>
      </c>
      <c r="C1197">
        <v>-76.680578999999994</v>
      </c>
      <c r="D1197">
        <v>8700</v>
      </c>
      <c r="E1197">
        <v>9025</v>
      </c>
      <c r="F1197">
        <v>166</v>
      </c>
      <c r="G1197">
        <v>90</v>
      </c>
      <c r="H1197">
        <v>-64</v>
      </c>
      <c r="J1197" s="1">
        <f t="shared" si="90"/>
        <v>27556</v>
      </c>
      <c r="K1197" s="1">
        <f t="shared" si="91"/>
        <v>8100</v>
      </c>
      <c r="L1197" s="1">
        <f t="shared" si="92"/>
        <v>35656</v>
      </c>
      <c r="M1197" s="1">
        <f t="shared" si="93"/>
        <v>188.82796403075471</v>
      </c>
      <c r="N1197" s="7">
        <f t="shared" si="94"/>
        <v>188.82796403075471</v>
      </c>
    </row>
    <row r="1198" spans="1:14" x14ac:dyDescent="0.25">
      <c r="A1198" t="str">
        <f>"14:10:19.891"</f>
        <v>14:10:19.891</v>
      </c>
      <c r="B1198">
        <v>39.513702000000002</v>
      </c>
      <c r="C1198">
        <v>-76.679548999999994</v>
      </c>
      <c r="D1198">
        <v>8700</v>
      </c>
      <c r="E1198">
        <v>9025</v>
      </c>
      <c r="F1198">
        <v>166</v>
      </c>
      <c r="G1198">
        <v>90</v>
      </c>
      <c r="H1198">
        <v>-64</v>
      </c>
      <c r="J1198" s="1">
        <f t="shared" si="90"/>
        <v>27556</v>
      </c>
      <c r="K1198" s="1">
        <f t="shared" si="91"/>
        <v>8100</v>
      </c>
      <c r="L1198" s="1">
        <f t="shared" si="92"/>
        <v>35656</v>
      </c>
      <c r="M1198" s="1">
        <f t="shared" si="93"/>
        <v>188.82796403075471</v>
      </c>
      <c r="N1198" s="7">
        <f t="shared" si="94"/>
        <v>188.82796403075471</v>
      </c>
    </row>
    <row r="1199" spans="1:14" x14ac:dyDescent="0.25">
      <c r="A1199" t="str">
        <f>"14:10:20.906"</f>
        <v>14:10:20.906</v>
      </c>
      <c r="B1199">
        <v>39.514110000000002</v>
      </c>
      <c r="C1199">
        <v>-76.678540999999996</v>
      </c>
      <c r="D1199">
        <v>8700</v>
      </c>
      <c r="E1199">
        <v>9025</v>
      </c>
      <c r="F1199">
        <v>166</v>
      </c>
      <c r="G1199">
        <v>90</v>
      </c>
      <c r="H1199">
        <v>-64</v>
      </c>
      <c r="J1199" s="1">
        <f t="shared" si="90"/>
        <v>27556</v>
      </c>
      <c r="K1199" s="1">
        <f t="shared" si="91"/>
        <v>8100</v>
      </c>
      <c r="L1199" s="1">
        <f t="shared" si="92"/>
        <v>35656</v>
      </c>
      <c r="M1199" s="1">
        <f t="shared" si="93"/>
        <v>188.82796403075471</v>
      </c>
      <c r="N1199" s="7">
        <f t="shared" si="94"/>
        <v>188.82796403075471</v>
      </c>
    </row>
    <row r="1200" spans="1:14" x14ac:dyDescent="0.25">
      <c r="A1200" t="str">
        <f>"14:10:22.016"</f>
        <v>14:10:22.016</v>
      </c>
      <c r="B1200">
        <v>39.514561</v>
      </c>
      <c r="C1200">
        <v>-76.677488999999994</v>
      </c>
      <c r="D1200">
        <v>8700</v>
      </c>
      <c r="E1200">
        <v>9000</v>
      </c>
      <c r="F1200">
        <v>166</v>
      </c>
      <c r="G1200">
        <v>90</v>
      </c>
      <c r="H1200">
        <v>-64</v>
      </c>
      <c r="J1200" s="1">
        <f t="shared" si="90"/>
        <v>27556</v>
      </c>
      <c r="K1200" s="1">
        <f t="shared" si="91"/>
        <v>8100</v>
      </c>
      <c r="L1200" s="1">
        <f t="shared" si="92"/>
        <v>35656</v>
      </c>
      <c r="M1200" s="1">
        <f t="shared" si="93"/>
        <v>188.82796403075471</v>
      </c>
      <c r="N1200" s="7">
        <f t="shared" si="94"/>
        <v>188.82796403075471</v>
      </c>
    </row>
    <row r="1201" spans="1:14" x14ac:dyDescent="0.25">
      <c r="A1201" t="str">
        <f>"14:10:22.875"</f>
        <v>14:10:22.875</v>
      </c>
      <c r="B1201">
        <v>39.514882999999998</v>
      </c>
      <c r="C1201">
        <v>-76.676694999999995</v>
      </c>
      <c r="D1201">
        <v>8700</v>
      </c>
      <c r="E1201">
        <v>9000</v>
      </c>
      <c r="F1201">
        <v>166</v>
      </c>
      <c r="G1201">
        <v>89</v>
      </c>
      <c r="H1201">
        <v>0</v>
      </c>
      <c r="J1201" s="1">
        <f t="shared" si="90"/>
        <v>27556</v>
      </c>
      <c r="K1201" s="1">
        <f t="shared" si="91"/>
        <v>7921</v>
      </c>
      <c r="L1201" s="1">
        <f t="shared" si="92"/>
        <v>35477</v>
      </c>
      <c r="M1201" s="1">
        <f t="shared" si="93"/>
        <v>188.35339126227592</v>
      </c>
      <c r="N1201" s="7">
        <f t="shared" si="94"/>
        <v>188.35339126227592</v>
      </c>
    </row>
    <row r="1202" spans="1:14" x14ac:dyDescent="0.25">
      <c r="A1202" t="str">
        <f>"14:10:23.984"</f>
        <v>14:10:23.984</v>
      </c>
      <c r="B1202">
        <v>39.515355</v>
      </c>
      <c r="C1202">
        <v>-76.675557999999995</v>
      </c>
      <c r="D1202">
        <v>8700</v>
      </c>
      <c r="E1202">
        <v>9000</v>
      </c>
      <c r="F1202">
        <v>166</v>
      </c>
      <c r="G1202">
        <v>89</v>
      </c>
      <c r="H1202">
        <v>0</v>
      </c>
      <c r="J1202" s="1">
        <f t="shared" si="90"/>
        <v>27556</v>
      </c>
      <c r="K1202" s="1">
        <f t="shared" si="91"/>
        <v>7921</v>
      </c>
      <c r="L1202" s="1">
        <f t="shared" si="92"/>
        <v>35477</v>
      </c>
      <c r="M1202" s="1">
        <f t="shared" si="93"/>
        <v>188.35339126227592</v>
      </c>
      <c r="N1202" s="7">
        <f t="shared" si="94"/>
        <v>188.35339126227592</v>
      </c>
    </row>
    <row r="1203" spans="1:14" x14ac:dyDescent="0.25">
      <c r="A1203" t="str">
        <f>"14:10:25.047"</f>
        <v>14:10:25.047</v>
      </c>
      <c r="B1203">
        <v>39.515783999999996</v>
      </c>
      <c r="C1203">
        <v>-76.674507000000006</v>
      </c>
      <c r="D1203">
        <v>8700</v>
      </c>
      <c r="E1203">
        <v>9000</v>
      </c>
      <c r="F1203">
        <v>167</v>
      </c>
      <c r="G1203">
        <v>89</v>
      </c>
      <c r="H1203">
        <v>0</v>
      </c>
      <c r="J1203" s="1">
        <f t="shared" si="90"/>
        <v>27889</v>
      </c>
      <c r="K1203" s="1">
        <f t="shared" si="91"/>
        <v>7921</v>
      </c>
      <c r="L1203" s="1">
        <f t="shared" si="92"/>
        <v>35810</v>
      </c>
      <c r="M1203" s="1">
        <f t="shared" si="93"/>
        <v>189.2353032602532</v>
      </c>
      <c r="N1203" s="7">
        <f t="shared" si="94"/>
        <v>189.2353032602532</v>
      </c>
    </row>
    <row r="1204" spans="1:14" x14ac:dyDescent="0.25">
      <c r="A1204" t="str">
        <f>"14:10:26.055"</f>
        <v>14:10:26.055</v>
      </c>
      <c r="B1204">
        <v>39.516213</v>
      </c>
      <c r="C1204">
        <v>-76.673411999999999</v>
      </c>
      <c r="D1204">
        <v>8700</v>
      </c>
      <c r="E1204">
        <v>9000</v>
      </c>
      <c r="F1204">
        <v>167</v>
      </c>
      <c r="G1204">
        <v>89</v>
      </c>
      <c r="H1204">
        <v>64</v>
      </c>
      <c r="J1204" s="1">
        <f t="shared" si="90"/>
        <v>27889</v>
      </c>
      <c r="K1204" s="1">
        <f t="shared" si="91"/>
        <v>7921</v>
      </c>
      <c r="L1204" s="1">
        <f t="shared" si="92"/>
        <v>35810</v>
      </c>
      <c r="M1204" s="1">
        <f t="shared" si="93"/>
        <v>189.2353032602532</v>
      </c>
      <c r="N1204" s="7">
        <f t="shared" si="94"/>
        <v>189.2353032602532</v>
      </c>
    </row>
    <row r="1205" spans="1:14" x14ac:dyDescent="0.25">
      <c r="A1205" t="str">
        <f>"14:10:27.164"</f>
        <v>14:10:27.164</v>
      </c>
      <c r="B1205">
        <v>39.516641999999997</v>
      </c>
      <c r="C1205">
        <v>-76.672381999999999</v>
      </c>
      <c r="D1205">
        <v>8700</v>
      </c>
      <c r="E1205">
        <v>9025</v>
      </c>
      <c r="F1205">
        <v>167</v>
      </c>
      <c r="G1205">
        <v>88</v>
      </c>
      <c r="H1205">
        <v>64</v>
      </c>
      <c r="J1205" s="1">
        <f t="shared" si="90"/>
        <v>27889</v>
      </c>
      <c r="K1205" s="1">
        <f t="shared" si="91"/>
        <v>7744</v>
      </c>
      <c r="L1205" s="1">
        <f t="shared" si="92"/>
        <v>35633</v>
      </c>
      <c r="M1205" s="1">
        <f t="shared" si="93"/>
        <v>188.76705220985997</v>
      </c>
      <c r="N1205" s="7">
        <f t="shared" si="94"/>
        <v>188.76705220985997</v>
      </c>
    </row>
    <row r="1206" spans="1:14" x14ac:dyDescent="0.25">
      <c r="A1206" t="str">
        <f>"14:10:28.227"</f>
        <v>14:10:28.227</v>
      </c>
      <c r="B1206">
        <v>39.517071000000001</v>
      </c>
      <c r="C1206">
        <v>-76.671330999999995</v>
      </c>
      <c r="D1206">
        <v>8700</v>
      </c>
      <c r="E1206">
        <v>9025</v>
      </c>
      <c r="F1206">
        <v>167</v>
      </c>
      <c r="G1206">
        <v>88</v>
      </c>
      <c r="H1206">
        <v>64</v>
      </c>
      <c r="J1206" s="1">
        <f t="shared" si="90"/>
        <v>27889</v>
      </c>
      <c r="K1206" s="1">
        <f t="shared" si="91"/>
        <v>7744</v>
      </c>
      <c r="L1206" s="1">
        <f t="shared" si="92"/>
        <v>35633</v>
      </c>
      <c r="M1206" s="1">
        <f t="shared" si="93"/>
        <v>188.76705220985997</v>
      </c>
      <c r="N1206" s="7">
        <f t="shared" si="94"/>
        <v>188.76705220985997</v>
      </c>
    </row>
    <row r="1207" spans="1:14" x14ac:dyDescent="0.25">
      <c r="A1207" t="str">
        <f>"14:10:29.086"</f>
        <v>14:10:29.086</v>
      </c>
      <c r="B1207">
        <v>39.517457</v>
      </c>
      <c r="C1207">
        <v>-76.670429999999996</v>
      </c>
      <c r="D1207">
        <v>8700</v>
      </c>
      <c r="E1207">
        <v>9025</v>
      </c>
      <c r="F1207">
        <v>167</v>
      </c>
      <c r="G1207">
        <v>87</v>
      </c>
      <c r="H1207">
        <v>128</v>
      </c>
      <c r="J1207" s="1">
        <f t="shared" si="90"/>
        <v>27889</v>
      </c>
      <c r="K1207" s="1">
        <f t="shared" si="91"/>
        <v>7569</v>
      </c>
      <c r="L1207" s="1">
        <f t="shared" si="92"/>
        <v>35458</v>
      </c>
      <c r="M1207" s="1">
        <f t="shared" si="93"/>
        <v>188.30294740125552</v>
      </c>
      <c r="N1207" s="7">
        <f t="shared" si="94"/>
        <v>188.30294740125552</v>
      </c>
    </row>
    <row r="1208" spans="1:14" x14ac:dyDescent="0.25">
      <c r="A1208" t="str">
        <f>"14:10:30.094"</f>
        <v>14:10:30.094</v>
      </c>
      <c r="B1208">
        <v>39.517865</v>
      </c>
      <c r="C1208">
        <v>-76.669399999999996</v>
      </c>
      <c r="D1208">
        <v>8700</v>
      </c>
      <c r="E1208">
        <v>9025</v>
      </c>
      <c r="F1208">
        <v>167</v>
      </c>
      <c r="G1208">
        <v>87</v>
      </c>
      <c r="H1208">
        <v>128</v>
      </c>
      <c r="J1208" s="1">
        <f t="shared" si="90"/>
        <v>27889</v>
      </c>
      <c r="K1208" s="1">
        <f t="shared" si="91"/>
        <v>7569</v>
      </c>
      <c r="L1208" s="1">
        <f t="shared" si="92"/>
        <v>35458</v>
      </c>
      <c r="M1208" s="1">
        <f t="shared" si="93"/>
        <v>188.30294740125552</v>
      </c>
      <c r="N1208" s="7">
        <f t="shared" si="94"/>
        <v>188.30294740125552</v>
      </c>
    </row>
    <row r="1209" spans="1:14" x14ac:dyDescent="0.25">
      <c r="A1209" t="str">
        <f>"14:10:31.055"</f>
        <v>14:10:31.055</v>
      </c>
      <c r="B1209">
        <v>39.518250999999999</v>
      </c>
      <c r="C1209">
        <v>-76.668520000000001</v>
      </c>
      <c r="D1209">
        <v>8700</v>
      </c>
      <c r="E1209">
        <v>9025</v>
      </c>
      <c r="F1209">
        <v>167</v>
      </c>
      <c r="G1209">
        <v>87</v>
      </c>
      <c r="H1209">
        <v>128</v>
      </c>
      <c r="J1209" s="1">
        <f t="shared" si="90"/>
        <v>27889</v>
      </c>
      <c r="K1209" s="1">
        <f t="shared" si="91"/>
        <v>7569</v>
      </c>
      <c r="L1209" s="1">
        <f t="shared" si="92"/>
        <v>35458</v>
      </c>
      <c r="M1209" s="1">
        <f t="shared" si="93"/>
        <v>188.30294740125552</v>
      </c>
      <c r="N1209" s="7">
        <f t="shared" si="94"/>
        <v>188.30294740125552</v>
      </c>
    </row>
    <row r="1210" spans="1:14" x14ac:dyDescent="0.25">
      <c r="A1210" t="str">
        <f>"14:10:32.063"</f>
        <v>14:10:32.063</v>
      </c>
      <c r="B1210">
        <v>39.518638000000003</v>
      </c>
      <c r="C1210">
        <v>-76.667383000000001</v>
      </c>
      <c r="D1210">
        <v>8700</v>
      </c>
      <c r="E1210">
        <v>9025</v>
      </c>
      <c r="F1210">
        <v>167</v>
      </c>
      <c r="G1210">
        <v>86</v>
      </c>
      <c r="H1210">
        <v>64</v>
      </c>
      <c r="J1210" s="1">
        <f t="shared" si="90"/>
        <v>27889</v>
      </c>
      <c r="K1210" s="1">
        <f t="shared" si="91"/>
        <v>7396</v>
      </c>
      <c r="L1210" s="1">
        <f t="shared" si="92"/>
        <v>35285</v>
      </c>
      <c r="M1210" s="1">
        <f t="shared" si="93"/>
        <v>187.84301956687131</v>
      </c>
      <c r="N1210" s="7">
        <f t="shared" si="94"/>
        <v>187.84301956687131</v>
      </c>
    </row>
    <row r="1211" spans="1:14" x14ac:dyDescent="0.25">
      <c r="A1211" t="str">
        <f>"14:10:33.070"</f>
        <v>14:10:33.070</v>
      </c>
      <c r="B1211">
        <v>39.519067</v>
      </c>
      <c r="C1211">
        <v>-76.666416999999996</v>
      </c>
      <c r="D1211">
        <v>8700</v>
      </c>
      <c r="E1211">
        <v>9025</v>
      </c>
      <c r="F1211">
        <v>167</v>
      </c>
      <c r="G1211">
        <v>86</v>
      </c>
      <c r="H1211">
        <v>64</v>
      </c>
      <c r="J1211" s="1">
        <f t="shared" si="90"/>
        <v>27889</v>
      </c>
      <c r="K1211" s="1">
        <f t="shared" si="91"/>
        <v>7396</v>
      </c>
      <c r="L1211" s="1">
        <f t="shared" si="92"/>
        <v>35285</v>
      </c>
      <c r="M1211" s="1">
        <f t="shared" si="93"/>
        <v>187.84301956687131</v>
      </c>
      <c r="N1211" s="7">
        <f t="shared" si="94"/>
        <v>187.84301956687131</v>
      </c>
    </row>
    <row r="1212" spans="1:14" x14ac:dyDescent="0.25">
      <c r="A1212" t="str">
        <f>"14:10:33.977"</f>
        <v>14:10:33.977</v>
      </c>
      <c r="B1212">
        <v>39.519388999999997</v>
      </c>
      <c r="C1212">
        <v>-76.665580000000006</v>
      </c>
      <c r="D1212">
        <v>8700</v>
      </c>
      <c r="E1212">
        <v>9025</v>
      </c>
      <c r="F1212">
        <v>168</v>
      </c>
      <c r="G1212">
        <v>86</v>
      </c>
      <c r="H1212">
        <v>0</v>
      </c>
      <c r="J1212" s="1">
        <f t="shared" si="90"/>
        <v>28224</v>
      </c>
      <c r="K1212" s="1">
        <f t="shared" si="91"/>
        <v>7396</v>
      </c>
      <c r="L1212" s="1">
        <f t="shared" si="92"/>
        <v>35620</v>
      </c>
      <c r="M1212" s="1">
        <f t="shared" si="93"/>
        <v>188.73261509341728</v>
      </c>
      <c r="N1212" s="7">
        <f t="shared" si="94"/>
        <v>188.73261509341728</v>
      </c>
    </row>
    <row r="1213" spans="1:14" x14ac:dyDescent="0.25">
      <c r="A1213" t="str">
        <f>"14:10:35.086"</f>
        <v>14:10:35.086</v>
      </c>
      <c r="B1213">
        <v>39.519818000000001</v>
      </c>
      <c r="C1213">
        <v>-76.664485999999997</v>
      </c>
      <c r="D1213">
        <v>8700</v>
      </c>
      <c r="E1213">
        <v>9025</v>
      </c>
      <c r="F1213">
        <v>168</v>
      </c>
      <c r="G1213">
        <v>86</v>
      </c>
      <c r="H1213">
        <v>-64</v>
      </c>
      <c r="J1213" s="1">
        <f t="shared" si="90"/>
        <v>28224</v>
      </c>
      <c r="K1213" s="1">
        <f t="shared" si="91"/>
        <v>7396</v>
      </c>
      <c r="L1213" s="1">
        <f t="shared" si="92"/>
        <v>35620</v>
      </c>
      <c r="M1213" s="1">
        <f t="shared" si="93"/>
        <v>188.73261509341728</v>
      </c>
      <c r="N1213" s="7">
        <f t="shared" si="94"/>
        <v>188.73261509341728</v>
      </c>
    </row>
    <row r="1214" spans="1:14" x14ac:dyDescent="0.25">
      <c r="A1214" t="str">
        <f>"14:10:36.047"</f>
        <v>14:10:36.047</v>
      </c>
      <c r="B1214">
        <v>39.520204</v>
      </c>
      <c r="C1214">
        <v>-76.663520000000005</v>
      </c>
      <c r="D1214">
        <v>8700</v>
      </c>
      <c r="E1214">
        <v>9025</v>
      </c>
      <c r="F1214">
        <v>168</v>
      </c>
      <c r="G1214">
        <v>85</v>
      </c>
      <c r="H1214">
        <v>-64</v>
      </c>
      <c r="J1214" s="1">
        <f t="shared" si="90"/>
        <v>28224</v>
      </c>
      <c r="K1214" s="1">
        <f t="shared" si="91"/>
        <v>7225</v>
      </c>
      <c r="L1214" s="1">
        <f t="shared" si="92"/>
        <v>35449</v>
      </c>
      <c r="M1214" s="1">
        <f t="shared" si="93"/>
        <v>188.27904822364064</v>
      </c>
      <c r="N1214" s="7">
        <f t="shared" si="94"/>
        <v>188.27904822364064</v>
      </c>
    </row>
    <row r="1215" spans="1:14" x14ac:dyDescent="0.25">
      <c r="A1215" t="str">
        <f>"14:10:37.008"</f>
        <v>14:10:37.008</v>
      </c>
      <c r="B1215">
        <v>39.520612</v>
      </c>
      <c r="C1215">
        <v>-76.662469000000002</v>
      </c>
      <c r="D1215">
        <v>8700</v>
      </c>
      <c r="E1215">
        <v>9025</v>
      </c>
      <c r="F1215">
        <v>168</v>
      </c>
      <c r="G1215">
        <v>85</v>
      </c>
      <c r="H1215">
        <v>-64</v>
      </c>
      <c r="J1215" s="1">
        <f t="shared" si="90"/>
        <v>28224</v>
      </c>
      <c r="K1215" s="1">
        <f t="shared" si="91"/>
        <v>7225</v>
      </c>
      <c r="L1215" s="1">
        <f t="shared" si="92"/>
        <v>35449</v>
      </c>
      <c r="M1215" s="1">
        <f t="shared" si="93"/>
        <v>188.27904822364064</v>
      </c>
      <c r="N1215" s="7">
        <f t="shared" si="94"/>
        <v>188.27904822364064</v>
      </c>
    </row>
    <row r="1216" spans="1:14" x14ac:dyDescent="0.25">
      <c r="A1216" t="str">
        <f>"14:10:37.969"</f>
        <v>14:10:37.969</v>
      </c>
      <c r="B1216">
        <v>39.520933999999997</v>
      </c>
      <c r="C1216">
        <v>-76.661589000000006</v>
      </c>
      <c r="D1216">
        <v>8700</v>
      </c>
      <c r="E1216">
        <v>9025</v>
      </c>
      <c r="F1216">
        <v>168</v>
      </c>
      <c r="G1216">
        <v>85</v>
      </c>
      <c r="H1216">
        <v>-64</v>
      </c>
      <c r="J1216" s="1">
        <f t="shared" si="90"/>
        <v>28224</v>
      </c>
      <c r="K1216" s="1">
        <f t="shared" si="91"/>
        <v>7225</v>
      </c>
      <c r="L1216" s="1">
        <f t="shared" si="92"/>
        <v>35449</v>
      </c>
      <c r="M1216" s="1">
        <f t="shared" si="93"/>
        <v>188.27904822364064</v>
      </c>
      <c r="N1216" s="7">
        <f t="shared" si="94"/>
        <v>188.27904822364064</v>
      </c>
    </row>
    <row r="1217" spans="1:14" x14ac:dyDescent="0.25">
      <c r="A1217" t="str">
        <f>"14:10:39.078"</f>
        <v>14:10:39.078</v>
      </c>
      <c r="B1217">
        <v>39.521448999999997</v>
      </c>
      <c r="C1217">
        <v>-76.660387999999998</v>
      </c>
      <c r="D1217">
        <v>8700</v>
      </c>
      <c r="E1217">
        <v>9025</v>
      </c>
      <c r="F1217">
        <v>168</v>
      </c>
      <c r="G1217">
        <v>85</v>
      </c>
      <c r="H1217">
        <v>-64</v>
      </c>
      <c r="J1217" s="1">
        <f t="shared" si="90"/>
        <v>28224</v>
      </c>
      <c r="K1217" s="1">
        <f t="shared" si="91"/>
        <v>7225</v>
      </c>
      <c r="L1217" s="1">
        <f t="shared" si="92"/>
        <v>35449</v>
      </c>
      <c r="M1217" s="1">
        <f t="shared" si="93"/>
        <v>188.27904822364064</v>
      </c>
      <c r="N1217" s="7">
        <f t="shared" si="94"/>
        <v>188.27904822364064</v>
      </c>
    </row>
    <row r="1218" spans="1:14" x14ac:dyDescent="0.25">
      <c r="A1218" t="str">
        <f>"14:10:40.188"</f>
        <v>14:10:40.188</v>
      </c>
      <c r="B1218">
        <v>39.521878000000001</v>
      </c>
      <c r="C1218">
        <v>-76.65925</v>
      </c>
      <c r="D1218">
        <v>8700</v>
      </c>
      <c r="E1218">
        <v>9025</v>
      </c>
      <c r="F1218">
        <v>169</v>
      </c>
      <c r="G1218">
        <v>85</v>
      </c>
      <c r="H1218">
        <v>-64</v>
      </c>
      <c r="J1218" s="1">
        <f t="shared" si="90"/>
        <v>28561</v>
      </c>
      <c r="K1218" s="1">
        <f t="shared" si="91"/>
        <v>7225</v>
      </c>
      <c r="L1218" s="1">
        <f t="shared" si="92"/>
        <v>35786</v>
      </c>
      <c r="M1218" s="1">
        <f t="shared" si="93"/>
        <v>189.1718795170149</v>
      </c>
      <c r="N1218" s="7">
        <f t="shared" si="94"/>
        <v>189.1718795170149</v>
      </c>
    </row>
    <row r="1219" spans="1:14" x14ac:dyDescent="0.25">
      <c r="A1219" t="str">
        <f>"14:10:41.352"</f>
        <v>14:10:41.352</v>
      </c>
      <c r="B1219">
        <v>39.522306999999998</v>
      </c>
      <c r="C1219">
        <v>-76.658113</v>
      </c>
      <c r="D1219">
        <v>8700</v>
      </c>
      <c r="E1219">
        <v>9025</v>
      </c>
      <c r="F1219">
        <v>169</v>
      </c>
      <c r="G1219">
        <v>85</v>
      </c>
      <c r="H1219">
        <v>-64</v>
      </c>
      <c r="J1219" s="1">
        <f t="shared" ref="J1219:J1282" si="95">F1219^2</f>
        <v>28561</v>
      </c>
      <c r="K1219" s="1">
        <f t="shared" ref="K1219:K1282" si="96">G1219^2</f>
        <v>7225</v>
      </c>
      <c r="L1219" s="1">
        <f t="shared" ref="L1219:L1282" si="97">SUMSQ(F1219,G1219)</f>
        <v>35786</v>
      </c>
      <c r="M1219" s="1">
        <f t="shared" ref="M1219:M1282" si="98">SQRT(L1219)</f>
        <v>189.1718795170149</v>
      </c>
      <c r="N1219" s="7">
        <f t="shared" ref="N1219:N1282" si="99">M1219</f>
        <v>189.1718795170149</v>
      </c>
    </row>
    <row r="1220" spans="1:14" x14ac:dyDescent="0.25">
      <c r="A1220" t="str">
        <f>"14:10:42.313"</f>
        <v>14:10:42.313</v>
      </c>
      <c r="B1220">
        <v>39.522672</v>
      </c>
      <c r="C1220">
        <v>-76.657168999999996</v>
      </c>
      <c r="D1220">
        <v>8700</v>
      </c>
      <c r="E1220">
        <v>9025</v>
      </c>
      <c r="F1220">
        <v>169</v>
      </c>
      <c r="G1220">
        <v>85</v>
      </c>
      <c r="H1220">
        <v>0</v>
      </c>
      <c r="J1220" s="1">
        <f t="shared" si="95"/>
        <v>28561</v>
      </c>
      <c r="K1220" s="1">
        <f t="shared" si="96"/>
        <v>7225</v>
      </c>
      <c r="L1220" s="1">
        <f t="shared" si="97"/>
        <v>35786</v>
      </c>
      <c r="M1220" s="1">
        <f t="shared" si="98"/>
        <v>189.1718795170149</v>
      </c>
      <c r="N1220" s="7">
        <f t="shared" si="99"/>
        <v>189.1718795170149</v>
      </c>
    </row>
    <row r="1221" spans="1:14" x14ac:dyDescent="0.25">
      <c r="A1221" t="str">
        <f>"14:10:43.367"</f>
        <v>14:10:43.367</v>
      </c>
      <c r="B1221">
        <v>39.523122000000001</v>
      </c>
      <c r="C1221">
        <v>-76.656009999999995</v>
      </c>
      <c r="D1221">
        <v>8700</v>
      </c>
      <c r="E1221">
        <v>9025</v>
      </c>
      <c r="F1221">
        <v>169</v>
      </c>
      <c r="G1221">
        <v>85</v>
      </c>
      <c r="H1221">
        <v>0</v>
      </c>
      <c r="J1221" s="1">
        <f t="shared" si="95"/>
        <v>28561</v>
      </c>
      <c r="K1221" s="1">
        <f t="shared" si="96"/>
        <v>7225</v>
      </c>
      <c r="L1221" s="1">
        <f t="shared" si="97"/>
        <v>35786</v>
      </c>
      <c r="M1221" s="1">
        <f t="shared" si="98"/>
        <v>189.1718795170149</v>
      </c>
      <c r="N1221" s="7">
        <f t="shared" si="99"/>
        <v>189.1718795170149</v>
      </c>
    </row>
    <row r="1222" spans="1:14" x14ac:dyDescent="0.25">
      <c r="A1222" t="str">
        <f>"14:10:44.180"</f>
        <v>14:10:44.180</v>
      </c>
      <c r="B1222">
        <v>39.523465999999999</v>
      </c>
      <c r="C1222">
        <v>-76.655215999999996</v>
      </c>
      <c r="D1222">
        <v>8700</v>
      </c>
      <c r="E1222">
        <v>9025</v>
      </c>
      <c r="F1222">
        <v>169</v>
      </c>
      <c r="G1222">
        <v>85</v>
      </c>
      <c r="H1222">
        <v>64</v>
      </c>
      <c r="J1222" s="1">
        <f t="shared" si="95"/>
        <v>28561</v>
      </c>
      <c r="K1222" s="1">
        <f t="shared" si="96"/>
        <v>7225</v>
      </c>
      <c r="L1222" s="1">
        <f t="shared" si="97"/>
        <v>35786</v>
      </c>
      <c r="M1222" s="1">
        <f t="shared" si="98"/>
        <v>189.1718795170149</v>
      </c>
      <c r="N1222" s="7">
        <f t="shared" si="99"/>
        <v>189.1718795170149</v>
      </c>
    </row>
    <row r="1223" spans="1:14" x14ac:dyDescent="0.25">
      <c r="A1223" t="str">
        <f>"14:10:45.141"</f>
        <v>14:10:45.141</v>
      </c>
      <c r="B1223">
        <v>39.523766000000002</v>
      </c>
      <c r="C1223">
        <v>-76.654293999999993</v>
      </c>
      <c r="D1223">
        <v>8700</v>
      </c>
      <c r="E1223">
        <v>9025</v>
      </c>
      <c r="F1223">
        <v>168</v>
      </c>
      <c r="G1223">
        <v>85</v>
      </c>
      <c r="H1223">
        <v>64</v>
      </c>
      <c r="J1223" s="1">
        <f t="shared" si="95"/>
        <v>28224</v>
      </c>
      <c r="K1223" s="1">
        <f t="shared" si="96"/>
        <v>7225</v>
      </c>
      <c r="L1223" s="1">
        <f t="shared" si="97"/>
        <v>35449</v>
      </c>
      <c r="M1223" s="1">
        <f t="shared" si="98"/>
        <v>188.27904822364064</v>
      </c>
      <c r="N1223" s="7">
        <f t="shared" si="99"/>
        <v>188.27904822364064</v>
      </c>
    </row>
    <row r="1224" spans="1:14" x14ac:dyDescent="0.25">
      <c r="A1224" t="str">
        <f>"14:10:46.148"</f>
        <v>14:10:46.148</v>
      </c>
      <c r="B1224">
        <v>39.524194999999999</v>
      </c>
      <c r="C1224">
        <v>-76.653284999999997</v>
      </c>
      <c r="D1224">
        <v>8700</v>
      </c>
      <c r="E1224">
        <v>9025</v>
      </c>
      <c r="F1224">
        <v>168</v>
      </c>
      <c r="G1224">
        <v>85</v>
      </c>
      <c r="H1224">
        <v>64</v>
      </c>
      <c r="J1224" s="1">
        <f t="shared" si="95"/>
        <v>28224</v>
      </c>
      <c r="K1224" s="1">
        <f t="shared" si="96"/>
        <v>7225</v>
      </c>
      <c r="L1224" s="1">
        <f t="shared" si="97"/>
        <v>35449</v>
      </c>
      <c r="M1224" s="1">
        <f t="shared" si="98"/>
        <v>188.27904822364064</v>
      </c>
      <c r="N1224" s="7">
        <f t="shared" si="99"/>
        <v>188.27904822364064</v>
      </c>
    </row>
    <row r="1225" spans="1:14" x14ac:dyDescent="0.25">
      <c r="A1225" t="str">
        <f>"14:10:47.258"</f>
        <v>14:10:47.258</v>
      </c>
      <c r="B1225">
        <v>39.524624000000003</v>
      </c>
      <c r="C1225">
        <v>-76.652212000000006</v>
      </c>
      <c r="D1225">
        <v>8700</v>
      </c>
      <c r="E1225">
        <v>9025</v>
      </c>
      <c r="F1225">
        <v>168</v>
      </c>
      <c r="G1225">
        <v>85</v>
      </c>
      <c r="H1225">
        <v>64</v>
      </c>
      <c r="J1225" s="1">
        <f t="shared" si="95"/>
        <v>28224</v>
      </c>
      <c r="K1225" s="1">
        <f t="shared" si="96"/>
        <v>7225</v>
      </c>
      <c r="L1225" s="1">
        <f t="shared" si="97"/>
        <v>35449</v>
      </c>
      <c r="M1225" s="1">
        <f t="shared" si="98"/>
        <v>188.27904822364064</v>
      </c>
      <c r="N1225" s="7">
        <f t="shared" si="99"/>
        <v>188.27904822364064</v>
      </c>
    </row>
    <row r="1226" spans="1:14" x14ac:dyDescent="0.25">
      <c r="A1226" t="str">
        <f>"14:10:48.219"</f>
        <v>14:10:48.219</v>
      </c>
      <c r="B1226">
        <v>39.525032000000003</v>
      </c>
      <c r="C1226">
        <v>-76.651182000000006</v>
      </c>
      <c r="D1226">
        <v>8700</v>
      </c>
      <c r="E1226">
        <v>9025</v>
      </c>
      <c r="F1226">
        <v>168</v>
      </c>
      <c r="G1226">
        <v>86</v>
      </c>
      <c r="H1226">
        <v>64</v>
      </c>
      <c r="J1226" s="1">
        <f t="shared" si="95"/>
        <v>28224</v>
      </c>
      <c r="K1226" s="1">
        <f t="shared" si="96"/>
        <v>7396</v>
      </c>
      <c r="L1226" s="1">
        <f t="shared" si="97"/>
        <v>35620</v>
      </c>
      <c r="M1226" s="1">
        <f t="shared" si="98"/>
        <v>188.73261509341728</v>
      </c>
      <c r="N1226" s="7">
        <f t="shared" si="99"/>
        <v>188.73261509341728</v>
      </c>
    </row>
    <row r="1227" spans="1:14" x14ac:dyDescent="0.25">
      <c r="A1227" t="str">
        <f>"14:10:49.328"</f>
        <v>14:10:49.328</v>
      </c>
      <c r="B1227">
        <v>39.525461</v>
      </c>
      <c r="C1227">
        <v>-76.650109</v>
      </c>
      <c r="D1227">
        <v>8700</v>
      </c>
      <c r="E1227">
        <v>9025</v>
      </c>
      <c r="F1227">
        <v>168</v>
      </c>
      <c r="G1227">
        <v>86</v>
      </c>
      <c r="H1227">
        <v>0</v>
      </c>
      <c r="J1227" s="1">
        <f t="shared" si="95"/>
        <v>28224</v>
      </c>
      <c r="K1227" s="1">
        <f t="shared" si="96"/>
        <v>7396</v>
      </c>
      <c r="L1227" s="1">
        <f t="shared" si="97"/>
        <v>35620</v>
      </c>
      <c r="M1227" s="1">
        <f t="shared" si="98"/>
        <v>188.73261509341728</v>
      </c>
      <c r="N1227" s="7">
        <f t="shared" si="99"/>
        <v>188.73261509341728</v>
      </c>
    </row>
    <row r="1228" spans="1:14" x14ac:dyDescent="0.25">
      <c r="A1228" t="str">
        <f>"14:10:50.188"</f>
        <v>14:10:50.188</v>
      </c>
      <c r="B1228">
        <v>39.525826000000002</v>
      </c>
      <c r="C1228">
        <v>-76.649164999999996</v>
      </c>
      <c r="D1228">
        <v>8700</v>
      </c>
      <c r="E1228">
        <v>9025</v>
      </c>
      <c r="F1228">
        <v>168</v>
      </c>
      <c r="G1228">
        <v>86</v>
      </c>
      <c r="H1228">
        <v>0</v>
      </c>
      <c r="J1228" s="1">
        <f t="shared" si="95"/>
        <v>28224</v>
      </c>
      <c r="K1228" s="1">
        <f t="shared" si="96"/>
        <v>7396</v>
      </c>
      <c r="L1228" s="1">
        <f t="shared" si="97"/>
        <v>35620</v>
      </c>
      <c r="M1228" s="1">
        <f t="shared" si="98"/>
        <v>188.73261509341728</v>
      </c>
      <c r="N1228" s="7">
        <f t="shared" si="99"/>
        <v>188.73261509341728</v>
      </c>
    </row>
    <row r="1229" spans="1:14" x14ac:dyDescent="0.25">
      <c r="A1229" t="str">
        <f>"14:10:51.195"</f>
        <v>14:10:51.195</v>
      </c>
      <c r="B1229">
        <v>39.526212000000001</v>
      </c>
      <c r="C1229">
        <v>-76.648200000000003</v>
      </c>
      <c r="D1229">
        <v>8700</v>
      </c>
      <c r="E1229">
        <v>9025</v>
      </c>
      <c r="F1229">
        <v>168</v>
      </c>
      <c r="G1229">
        <v>86</v>
      </c>
      <c r="H1229">
        <v>0</v>
      </c>
      <c r="J1229" s="1">
        <f t="shared" si="95"/>
        <v>28224</v>
      </c>
      <c r="K1229" s="1">
        <f t="shared" si="96"/>
        <v>7396</v>
      </c>
      <c r="L1229" s="1">
        <f t="shared" si="97"/>
        <v>35620</v>
      </c>
      <c r="M1229" s="1">
        <f t="shared" si="98"/>
        <v>188.73261509341728</v>
      </c>
      <c r="N1229" s="7">
        <f t="shared" si="99"/>
        <v>188.73261509341728</v>
      </c>
    </row>
    <row r="1230" spans="1:14" x14ac:dyDescent="0.25">
      <c r="A1230" t="str">
        <f>"14:10:52.258"</f>
        <v>14:10:52.258</v>
      </c>
      <c r="B1230">
        <v>39.526620000000001</v>
      </c>
      <c r="C1230">
        <v>-76.647148000000001</v>
      </c>
      <c r="D1230">
        <v>8700</v>
      </c>
      <c r="E1230">
        <v>9025</v>
      </c>
      <c r="F1230">
        <v>168</v>
      </c>
      <c r="G1230">
        <v>87</v>
      </c>
      <c r="H1230">
        <v>0</v>
      </c>
      <c r="J1230" s="1">
        <f t="shared" si="95"/>
        <v>28224</v>
      </c>
      <c r="K1230" s="1">
        <f t="shared" si="96"/>
        <v>7569</v>
      </c>
      <c r="L1230" s="1">
        <f t="shared" si="97"/>
        <v>35793</v>
      </c>
      <c r="M1230" s="1">
        <f t="shared" si="98"/>
        <v>189.19038030513073</v>
      </c>
      <c r="N1230" s="7">
        <f t="shared" si="99"/>
        <v>189.19038030513073</v>
      </c>
    </row>
    <row r="1231" spans="1:14" x14ac:dyDescent="0.25">
      <c r="A1231" t="str">
        <f>"14:10:53.313"</f>
        <v>14:10:53.313</v>
      </c>
      <c r="B1231">
        <v>39.527070999999999</v>
      </c>
      <c r="C1231">
        <v>-76.646054000000007</v>
      </c>
      <c r="D1231">
        <v>8700</v>
      </c>
      <c r="E1231">
        <v>9025</v>
      </c>
      <c r="F1231">
        <v>168</v>
      </c>
      <c r="G1231">
        <v>87</v>
      </c>
      <c r="H1231">
        <v>-64</v>
      </c>
      <c r="J1231" s="1">
        <f t="shared" si="95"/>
        <v>28224</v>
      </c>
      <c r="K1231" s="1">
        <f t="shared" si="96"/>
        <v>7569</v>
      </c>
      <c r="L1231" s="1">
        <f t="shared" si="97"/>
        <v>35793</v>
      </c>
      <c r="M1231" s="1">
        <f t="shared" si="98"/>
        <v>189.19038030513073</v>
      </c>
      <c r="N1231" s="7">
        <f t="shared" si="99"/>
        <v>189.19038030513073</v>
      </c>
    </row>
    <row r="1232" spans="1:14" x14ac:dyDescent="0.25">
      <c r="A1232" t="str">
        <f>"14:10:54.125"</f>
        <v>14:10:54.125</v>
      </c>
      <c r="B1232">
        <v>39.527391999999999</v>
      </c>
      <c r="C1232">
        <v>-76.645280999999997</v>
      </c>
      <c r="D1232">
        <v>8700</v>
      </c>
      <c r="E1232">
        <v>9025</v>
      </c>
      <c r="F1232">
        <v>168</v>
      </c>
      <c r="G1232">
        <v>87</v>
      </c>
      <c r="H1232">
        <v>-64</v>
      </c>
      <c r="J1232" s="1">
        <f t="shared" si="95"/>
        <v>28224</v>
      </c>
      <c r="K1232" s="1">
        <f t="shared" si="96"/>
        <v>7569</v>
      </c>
      <c r="L1232" s="1">
        <f t="shared" si="97"/>
        <v>35793</v>
      </c>
      <c r="M1232" s="1">
        <f t="shared" si="98"/>
        <v>189.19038030513073</v>
      </c>
      <c r="N1232" s="7">
        <f t="shared" si="99"/>
        <v>189.19038030513073</v>
      </c>
    </row>
    <row r="1233" spans="1:14" x14ac:dyDescent="0.25">
      <c r="A1233" t="str">
        <f>"14:10:55.031"</f>
        <v>14:10:55.031</v>
      </c>
      <c r="B1233">
        <v>39.527735999999997</v>
      </c>
      <c r="C1233">
        <v>-76.644358999999994</v>
      </c>
      <c r="D1233">
        <v>8700</v>
      </c>
      <c r="E1233">
        <v>9025</v>
      </c>
      <c r="F1233">
        <v>168</v>
      </c>
      <c r="G1233">
        <v>88</v>
      </c>
      <c r="H1233">
        <v>-64</v>
      </c>
      <c r="J1233" s="1">
        <f t="shared" si="95"/>
        <v>28224</v>
      </c>
      <c r="K1233" s="1">
        <f t="shared" si="96"/>
        <v>7744</v>
      </c>
      <c r="L1233" s="1">
        <f t="shared" si="97"/>
        <v>35968</v>
      </c>
      <c r="M1233" s="1">
        <f t="shared" si="98"/>
        <v>189.65231345807516</v>
      </c>
      <c r="N1233" s="7">
        <f t="shared" si="99"/>
        <v>189.65231345807516</v>
      </c>
    </row>
    <row r="1234" spans="1:14" x14ac:dyDescent="0.25">
      <c r="A1234" t="str">
        <f>"14:10:56.094"</f>
        <v>14:10:56.094</v>
      </c>
      <c r="B1234">
        <v>39.528207999999999</v>
      </c>
      <c r="C1234">
        <v>-76.643242999999998</v>
      </c>
      <c r="D1234">
        <v>8700</v>
      </c>
      <c r="E1234">
        <v>9025</v>
      </c>
      <c r="F1234">
        <v>167</v>
      </c>
      <c r="G1234">
        <v>88</v>
      </c>
      <c r="H1234">
        <v>-64</v>
      </c>
      <c r="J1234" s="1">
        <f t="shared" si="95"/>
        <v>27889</v>
      </c>
      <c r="K1234" s="1">
        <f t="shared" si="96"/>
        <v>7744</v>
      </c>
      <c r="L1234" s="1">
        <f t="shared" si="97"/>
        <v>35633</v>
      </c>
      <c r="M1234" s="1">
        <f t="shared" si="98"/>
        <v>188.76705220985997</v>
      </c>
      <c r="N1234" s="7">
        <f t="shared" si="99"/>
        <v>188.76705220985997</v>
      </c>
    </row>
    <row r="1235" spans="1:14" x14ac:dyDescent="0.25">
      <c r="A1235" t="str">
        <f>"14:10:57.102"</f>
        <v>14:10:57.102</v>
      </c>
      <c r="B1235">
        <v>39.528615000000002</v>
      </c>
      <c r="C1235">
        <v>-76.642298999999994</v>
      </c>
      <c r="D1235">
        <v>8700</v>
      </c>
      <c r="E1235">
        <v>9025</v>
      </c>
      <c r="F1235">
        <v>167</v>
      </c>
      <c r="G1235">
        <v>88</v>
      </c>
      <c r="H1235">
        <v>0</v>
      </c>
      <c r="J1235" s="1">
        <f t="shared" si="95"/>
        <v>27889</v>
      </c>
      <c r="K1235" s="1">
        <f t="shared" si="96"/>
        <v>7744</v>
      </c>
      <c r="L1235" s="1">
        <f t="shared" si="97"/>
        <v>35633</v>
      </c>
      <c r="M1235" s="1">
        <f t="shared" si="98"/>
        <v>188.76705220985997</v>
      </c>
      <c r="N1235" s="7">
        <f t="shared" si="99"/>
        <v>188.76705220985997</v>
      </c>
    </row>
    <row r="1236" spans="1:14" x14ac:dyDescent="0.25">
      <c r="A1236" t="str">
        <f>"14:10:58.063"</f>
        <v>14:10:58.063</v>
      </c>
      <c r="B1236">
        <v>39.529001999999998</v>
      </c>
      <c r="C1236">
        <v>-76.641355000000004</v>
      </c>
      <c r="D1236">
        <v>8700</v>
      </c>
      <c r="E1236">
        <v>9025</v>
      </c>
      <c r="F1236">
        <v>167</v>
      </c>
      <c r="G1236">
        <v>89</v>
      </c>
      <c r="H1236">
        <v>0</v>
      </c>
      <c r="J1236" s="1">
        <f t="shared" si="95"/>
        <v>27889</v>
      </c>
      <c r="K1236" s="1">
        <f t="shared" si="96"/>
        <v>7921</v>
      </c>
      <c r="L1236" s="1">
        <f t="shared" si="97"/>
        <v>35810</v>
      </c>
      <c r="M1236" s="1">
        <f t="shared" si="98"/>
        <v>189.2353032602532</v>
      </c>
      <c r="N1236" s="7">
        <f t="shared" si="99"/>
        <v>189.2353032602532</v>
      </c>
    </row>
    <row r="1237" spans="1:14" x14ac:dyDescent="0.25">
      <c r="A1237" t="str">
        <f>"14:10:59.125"</f>
        <v>14:10:59.125</v>
      </c>
      <c r="B1237">
        <v>39.529451999999999</v>
      </c>
      <c r="C1237">
        <v>-76.640259999999998</v>
      </c>
      <c r="D1237">
        <v>8700</v>
      </c>
      <c r="E1237">
        <v>9025</v>
      </c>
      <c r="F1237">
        <v>167</v>
      </c>
      <c r="G1237">
        <v>89</v>
      </c>
      <c r="H1237">
        <v>0</v>
      </c>
      <c r="J1237" s="1">
        <f t="shared" si="95"/>
        <v>27889</v>
      </c>
      <c r="K1237" s="1">
        <f t="shared" si="96"/>
        <v>7921</v>
      </c>
      <c r="L1237" s="1">
        <f t="shared" si="97"/>
        <v>35810</v>
      </c>
      <c r="M1237" s="1">
        <f t="shared" si="98"/>
        <v>189.2353032602532</v>
      </c>
      <c r="N1237" s="7">
        <f t="shared" si="99"/>
        <v>189.2353032602532</v>
      </c>
    </row>
    <row r="1238" spans="1:14" x14ac:dyDescent="0.25">
      <c r="A1238" t="str">
        <f>"14:11:00.031"</f>
        <v>14:11:00.031</v>
      </c>
      <c r="B1238">
        <v>39.529795999999997</v>
      </c>
      <c r="C1238">
        <v>-76.639402000000004</v>
      </c>
      <c r="D1238">
        <v>8700</v>
      </c>
      <c r="E1238">
        <v>9025</v>
      </c>
      <c r="F1238">
        <v>167</v>
      </c>
      <c r="G1238">
        <v>90</v>
      </c>
      <c r="H1238">
        <v>0</v>
      </c>
      <c r="J1238" s="1">
        <f t="shared" si="95"/>
        <v>27889</v>
      </c>
      <c r="K1238" s="1">
        <f t="shared" si="96"/>
        <v>8100</v>
      </c>
      <c r="L1238" s="1">
        <f t="shared" si="97"/>
        <v>35989</v>
      </c>
      <c r="M1238" s="1">
        <f t="shared" si="98"/>
        <v>189.70766985021982</v>
      </c>
      <c r="N1238" s="7">
        <f t="shared" si="99"/>
        <v>189.70766985021982</v>
      </c>
    </row>
    <row r="1239" spans="1:14" x14ac:dyDescent="0.25">
      <c r="A1239" t="str">
        <f>"14:11:01.039"</f>
        <v>14:11:01.039</v>
      </c>
      <c r="B1239">
        <v>39.530203</v>
      </c>
      <c r="C1239">
        <v>-76.638372000000004</v>
      </c>
      <c r="D1239">
        <v>8700</v>
      </c>
      <c r="E1239">
        <v>9025</v>
      </c>
      <c r="F1239">
        <v>167</v>
      </c>
      <c r="G1239">
        <v>90</v>
      </c>
      <c r="H1239">
        <v>0</v>
      </c>
      <c r="J1239" s="1">
        <f t="shared" si="95"/>
        <v>27889</v>
      </c>
      <c r="K1239" s="1">
        <f t="shared" si="96"/>
        <v>8100</v>
      </c>
      <c r="L1239" s="1">
        <f t="shared" si="97"/>
        <v>35989</v>
      </c>
      <c r="M1239" s="1">
        <f t="shared" si="98"/>
        <v>189.70766985021982</v>
      </c>
      <c r="N1239" s="7">
        <f t="shared" si="99"/>
        <v>189.70766985021982</v>
      </c>
    </row>
    <row r="1240" spans="1:14" x14ac:dyDescent="0.25">
      <c r="A1240" t="str">
        <f>"14:11:02.000"</f>
        <v>14:11:02.000</v>
      </c>
      <c r="B1240">
        <v>39.530631999999997</v>
      </c>
      <c r="C1240">
        <v>-76.637384999999995</v>
      </c>
      <c r="D1240">
        <v>8700</v>
      </c>
      <c r="E1240">
        <v>9025</v>
      </c>
      <c r="F1240">
        <v>167</v>
      </c>
      <c r="G1240">
        <v>90</v>
      </c>
      <c r="H1240">
        <v>0</v>
      </c>
      <c r="J1240" s="1">
        <f t="shared" si="95"/>
        <v>27889</v>
      </c>
      <c r="K1240" s="1">
        <f t="shared" si="96"/>
        <v>8100</v>
      </c>
      <c r="L1240" s="1">
        <f t="shared" si="97"/>
        <v>35989</v>
      </c>
      <c r="M1240" s="1">
        <f t="shared" si="98"/>
        <v>189.70766985021982</v>
      </c>
      <c r="N1240" s="7">
        <f t="shared" si="99"/>
        <v>189.70766985021982</v>
      </c>
    </row>
    <row r="1241" spans="1:14" x14ac:dyDescent="0.25">
      <c r="A1241" t="str">
        <f>"14:11:03.008"</f>
        <v>14:11:03.008</v>
      </c>
      <c r="B1241">
        <v>39.531039999999997</v>
      </c>
      <c r="C1241">
        <v>-76.636419000000004</v>
      </c>
      <c r="D1241">
        <v>8700</v>
      </c>
      <c r="E1241">
        <v>9025</v>
      </c>
      <c r="F1241">
        <v>166</v>
      </c>
      <c r="G1241">
        <v>91</v>
      </c>
      <c r="H1241">
        <v>64</v>
      </c>
      <c r="J1241" s="1">
        <f t="shared" si="95"/>
        <v>27556</v>
      </c>
      <c r="K1241" s="1">
        <f t="shared" si="96"/>
        <v>8281</v>
      </c>
      <c r="L1241" s="1">
        <f t="shared" si="97"/>
        <v>35837</v>
      </c>
      <c r="M1241" s="1">
        <f t="shared" si="98"/>
        <v>189.30662957223657</v>
      </c>
      <c r="N1241" s="7">
        <f t="shared" si="99"/>
        <v>189.30662957223657</v>
      </c>
    </row>
    <row r="1242" spans="1:14" x14ac:dyDescent="0.25">
      <c r="A1242" t="str">
        <f>"14:11:04.070"</f>
        <v>14:11:04.070</v>
      </c>
      <c r="B1242">
        <v>39.531511999999999</v>
      </c>
      <c r="C1242">
        <v>-76.635302999999993</v>
      </c>
      <c r="D1242">
        <v>8700</v>
      </c>
      <c r="E1242">
        <v>9025</v>
      </c>
      <c r="F1242">
        <v>166</v>
      </c>
      <c r="G1242">
        <v>91</v>
      </c>
      <c r="H1242">
        <v>64</v>
      </c>
      <c r="J1242" s="1">
        <f t="shared" si="95"/>
        <v>27556</v>
      </c>
      <c r="K1242" s="1">
        <f t="shared" si="96"/>
        <v>8281</v>
      </c>
      <c r="L1242" s="1">
        <f t="shared" si="97"/>
        <v>35837</v>
      </c>
      <c r="M1242" s="1">
        <f t="shared" si="98"/>
        <v>189.30662957223657</v>
      </c>
      <c r="N1242" s="7">
        <f t="shared" si="99"/>
        <v>189.30662957223657</v>
      </c>
    </row>
    <row r="1243" spans="1:14" x14ac:dyDescent="0.25">
      <c r="A1243" t="str">
        <f>"14:11:05.180"</f>
        <v>14:11:05.180</v>
      </c>
      <c r="B1243">
        <v>39.531962999999998</v>
      </c>
      <c r="C1243">
        <v>-76.634294999999995</v>
      </c>
      <c r="D1243">
        <v>8700</v>
      </c>
      <c r="E1243">
        <v>9025</v>
      </c>
      <c r="F1243">
        <v>166</v>
      </c>
      <c r="G1243">
        <v>91</v>
      </c>
      <c r="H1243">
        <v>64</v>
      </c>
      <c r="J1243" s="1">
        <f t="shared" si="95"/>
        <v>27556</v>
      </c>
      <c r="K1243" s="1">
        <f t="shared" si="96"/>
        <v>8281</v>
      </c>
      <c r="L1243" s="1">
        <f t="shared" si="97"/>
        <v>35837</v>
      </c>
      <c r="M1243" s="1">
        <f t="shared" si="98"/>
        <v>189.30662957223657</v>
      </c>
      <c r="N1243" s="7">
        <f t="shared" si="99"/>
        <v>189.30662957223657</v>
      </c>
    </row>
    <row r="1244" spans="1:14" x14ac:dyDescent="0.25">
      <c r="A1244" t="str">
        <f>"14:11:06.141"</f>
        <v>14:11:06.141</v>
      </c>
      <c r="B1244">
        <v>39.532370999999998</v>
      </c>
      <c r="C1244">
        <v>-76.633285999999998</v>
      </c>
      <c r="D1244">
        <v>8700</v>
      </c>
      <c r="E1244">
        <v>9025</v>
      </c>
      <c r="F1244">
        <v>166</v>
      </c>
      <c r="G1244">
        <v>91</v>
      </c>
      <c r="H1244">
        <v>64</v>
      </c>
      <c r="J1244" s="1">
        <f t="shared" si="95"/>
        <v>27556</v>
      </c>
      <c r="K1244" s="1">
        <f t="shared" si="96"/>
        <v>8281</v>
      </c>
      <c r="L1244" s="1">
        <f t="shared" si="97"/>
        <v>35837</v>
      </c>
      <c r="M1244" s="1">
        <f t="shared" si="98"/>
        <v>189.30662957223657</v>
      </c>
      <c r="N1244" s="7">
        <f t="shared" si="99"/>
        <v>189.30662957223657</v>
      </c>
    </row>
    <row r="1245" spans="1:14" x14ac:dyDescent="0.25">
      <c r="A1245" t="str">
        <f>"14:11:07.094"</f>
        <v>14:11:07.094</v>
      </c>
      <c r="B1245">
        <v>39.532800000000002</v>
      </c>
      <c r="C1245">
        <v>-76.632321000000005</v>
      </c>
      <c r="D1245">
        <v>8700</v>
      </c>
      <c r="E1245">
        <v>9025</v>
      </c>
      <c r="F1245">
        <v>166</v>
      </c>
      <c r="G1245">
        <v>91</v>
      </c>
      <c r="H1245">
        <v>64</v>
      </c>
      <c r="J1245" s="1">
        <f t="shared" si="95"/>
        <v>27556</v>
      </c>
      <c r="K1245" s="1">
        <f t="shared" si="96"/>
        <v>8281</v>
      </c>
      <c r="L1245" s="1">
        <f t="shared" si="97"/>
        <v>35837</v>
      </c>
      <c r="M1245" s="1">
        <f t="shared" si="98"/>
        <v>189.30662957223657</v>
      </c>
      <c r="N1245" s="7">
        <f t="shared" si="99"/>
        <v>189.30662957223657</v>
      </c>
    </row>
    <row r="1246" spans="1:14" x14ac:dyDescent="0.25">
      <c r="A1246" t="str">
        <f>"14:11:08.211"</f>
        <v>14:11:08.211</v>
      </c>
      <c r="B1246">
        <v>39.533271999999997</v>
      </c>
      <c r="C1246">
        <v>-76.631226999999996</v>
      </c>
      <c r="D1246">
        <v>8700</v>
      </c>
      <c r="E1246">
        <v>9025</v>
      </c>
      <c r="F1246">
        <v>166</v>
      </c>
      <c r="G1246">
        <v>91</v>
      </c>
      <c r="H1246">
        <v>64</v>
      </c>
      <c r="J1246" s="1">
        <f t="shared" si="95"/>
        <v>27556</v>
      </c>
      <c r="K1246" s="1">
        <f t="shared" si="96"/>
        <v>8281</v>
      </c>
      <c r="L1246" s="1">
        <f t="shared" si="97"/>
        <v>35837</v>
      </c>
      <c r="M1246" s="1">
        <f t="shared" si="98"/>
        <v>189.30662957223657</v>
      </c>
      <c r="N1246" s="7">
        <f t="shared" si="99"/>
        <v>189.30662957223657</v>
      </c>
    </row>
    <row r="1247" spans="1:14" x14ac:dyDescent="0.25">
      <c r="A1247" t="str">
        <f>"14:11:09.164"</f>
        <v>14:11:09.164</v>
      </c>
      <c r="B1247">
        <v>39.533658000000003</v>
      </c>
      <c r="C1247">
        <v>-76.630347</v>
      </c>
      <c r="D1247">
        <v>8700</v>
      </c>
      <c r="E1247">
        <v>9025</v>
      </c>
      <c r="F1247">
        <v>166</v>
      </c>
      <c r="G1247">
        <v>91</v>
      </c>
      <c r="H1247">
        <v>64</v>
      </c>
      <c r="J1247" s="1">
        <f t="shared" si="95"/>
        <v>27556</v>
      </c>
      <c r="K1247" s="1">
        <f t="shared" si="96"/>
        <v>8281</v>
      </c>
      <c r="L1247" s="1">
        <f t="shared" si="97"/>
        <v>35837</v>
      </c>
      <c r="M1247" s="1">
        <f t="shared" si="98"/>
        <v>189.30662957223657</v>
      </c>
      <c r="N1247" s="7">
        <f t="shared" si="99"/>
        <v>189.30662957223657</v>
      </c>
    </row>
    <row r="1248" spans="1:14" x14ac:dyDescent="0.25">
      <c r="A1248" t="str">
        <f>"14:11:10.078"</f>
        <v>14:11:10.078</v>
      </c>
      <c r="B1248">
        <v>39.534066000000003</v>
      </c>
      <c r="C1248">
        <v>-76.629338000000004</v>
      </c>
      <c r="D1248">
        <v>8700</v>
      </c>
      <c r="E1248">
        <v>9025</v>
      </c>
      <c r="F1248">
        <v>166</v>
      </c>
      <c r="G1248">
        <v>91</v>
      </c>
      <c r="H1248">
        <v>128</v>
      </c>
      <c r="J1248" s="1">
        <f t="shared" si="95"/>
        <v>27556</v>
      </c>
      <c r="K1248" s="1">
        <f t="shared" si="96"/>
        <v>8281</v>
      </c>
      <c r="L1248" s="1">
        <f t="shared" si="97"/>
        <v>35837</v>
      </c>
      <c r="M1248" s="1">
        <f t="shared" si="98"/>
        <v>189.30662957223657</v>
      </c>
      <c r="N1248" s="7">
        <f t="shared" si="99"/>
        <v>189.30662957223657</v>
      </c>
    </row>
    <row r="1249" spans="1:14" x14ac:dyDescent="0.25">
      <c r="A1249" t="str">
        <f>"14:11:11.188"</f>
        <v>14:11:11.188</v>
      </c>
      <c r="B1249">
        <v>39.534537999999998</v>
      </c>
      <c r="C1249">
        <v>-76.628243999999995</v>
      </c>
      <c r="D1249">
        <v>8700</v>
      </c>
      <c r="E1249">
        <v>9025</v>
      </c>
      <c r="F1249">
        <v>166</v>
      </c>
      <c r="G1249">
        <v>91</v>
      </c>
      <c r="H1249">
        <v>128</v>
      </c>
      <c r="J1249" s="1">
        <f t="shared" si="95"/>
        <v>27556</v>
      </c>
      <c r="K1249" s="1">
        <f t="shared" si="96"/>
        <v>8281</v>
      </c>
      <c r="L1249" s="1">
        <f t="shared" si="97"/>
        <v>35837</v>
      </c>
      <c r="M1249" s="1">
        <f t="shared" si="98"/>
        <v>189.30662957223657</v>
      </c>
      <c r="N1249" s="7">
        <f t="shared" si="99"/>
        <v>189.30662957223657</v>
      </c>
    </row>
    <row r="1250" spans="1:14" x14ac:dyDescent="0.25">
      <c r="A1250" t="str">
        <f>"14:11:12.250"</f>
        <v>14:11:12.250</v>
      </c>
      <c r="B1250">
        <v>39.534945</v>
      </c>
      <c r="C1250">
        <v>-76.627257</v>
      </c>
      <c r="D1250">
        <v>8700</v>
      </c>
      <c r="E1250">
        <v>9025</v>
      </c>
      <c r="F1250">
        <v>166</v>
      </c>
      <c r="G1250">
        <v>91</v>
      </c>
      <c r="H1250">
        <v>64</v>
      </c>
      <c r="J1250" s="1">
        <f t="shared" si="95"/>
        <v>27556</v>
      </c>
      <c r="K1250" s="1">
        <f t="shared" si="96"/>
        <v>8281</v>
      </c>
      <c r="L1250" s="1">
        <f t="shared" si="97"/>
        <v>35837</v>
      </c>
      <c r="M1250" s="1">
        <f t="shared" si="98"/>
        <v>189.30662957223657</v>
      </c>
      <c r="N1250" s="7">
        <f t="shared" si="99"/>
        <v>189.30662957223657</v>
      </c>
    </row>
    <row r="1251" spans="1:14" x14ac:dyDescent="0.25">
      <c r="A1251" t="str">
        <f>"14:11:13.203"</f>
        <v>14:11:13.203</v>
      </c>
      <c r="B1251">
        <v>39.535375000000002</v>
      </c>
      <c r="C1251">
        <v>-76.626290999999995</v>
      </c>
      <c r="D1251">
        <v>8700</v>
      </c>
      <c r="E1251">
        <v>9025</v>
      </c>
      <c r="F1251">
        <v>166</v>
      </c>
      <c r="G1251">
        <v>91</v>
      </c>
      <c r="H1251">
        <v>64</v>
      </c>
      <c r="J1251" s="1">
        <f t="shared" si="95"/>
        <v>27556</v>
      </c>
      <c r="K1251" s="1">
        <f t="shared" si="96"/>
        <v>8281</v>
      </c>
      <c r="L1251" s="1">
        <f t="shared" si="97"/>
        <v>35837</v>
      </c>
      <c r="M1251" s="1">
        <f t="shared" si="98"/>
        <v>189.30662957223657</v>
      </c>
      <c r="N1251" s="7">
        <f t="shared" si="99"/>
        <v>189.30662957223657</v>
      </c>
    </row>
    <row r="1252" spans="1:14" x14ac:dyDescent="0.25">
      <c r="A1252" t="str">
        <f>"14:11:14.266"</f>
        <v>14:11:14.266</v>
      </c>
      <c r="B1252">
        <v>39.535781999999998</v>
      </c>
      <c r="C1252">
        <v>-76.625240000000005</v>
      </c>
      <c r="D1252">
        <v>8700</v>
      </c>
      <c r="E1252">
        <v>9025</v>
      </c>
      <c r="F1252">
        <v>166</v>
      </c>
      <c r="G1252">
        <v>91</v>
      </c>
      <c r="H1252">
        <v>0</v>
      </c>
      <c r="J1252" s="1">
        <f t="shared" si="95"/>
        <v>27556</v>
      </c>
      <c r="K1252" s="1">
        <f t="shared" si="96"/>
        <v>8281</v>
      </c>
      <c r="L1252" s="1">
        <f t="shared" si="97"/>
        <v>35837</v>
      </c>
      <c r="M1252" s="1">
        <f t="shared" si="98"/>
        <v>189.30662957223657</v>
      </c>
      <c r="N1252" s="7">
        <f t="shared" si="99"/>
        <v>189.30662957223657</v>
      </c>
    </row>
    <row r="1253" spans="1:14" x14ac:dyDescent="0.25">
      <c r="A1253" t="str">
        <f>"14:11:15.172"</f>
        <v>14:11:15.172</v>
      </c>
      <c r="B1253">
        <v>39.536169000000001</v>
      </c>
      <c r="C1253">
        <v>-76.624381999999997</v>
      </c>
      <c r="D1253">
        <v>8700</v>
      </c>
      <c r="E1253">
        <v>9025</v>
      </c>
      <c r="F1253">
        <v>166</v>
      </c>
      <c r="G1253">
        <v>91</v>
      </c>
      <c r="H1253">
        <v>-64</v>
      </c>
      <c r="J1253" s="1">
        <f t="shared" si="95"/>
        <v>27556</v>
      </c>
      <c r="K1253" s="1">
        <f t="shared" si="96"/>
        <v>8281</v>
      </c>
      <c r="L1253" s="1">
        <f t="shared" si="97"/>
        <v>35837</v>
      </c>
      <c r="M1253" s="1">
        <f t="shared" si="98"/>
        <v>189.30662957223657</v>
      </c>
      <c r="N1253" s="7">
        <f t="shared" si="99"/>
        <v>189.30662957223657</v>
      </c>
    </row>
    <row r="1254" spans="1:14" x14ac:dyDescent="0.25">
      <c r="A1254" t="str">
        <f>"14:11:16.133"</f>
        <v>14:11:16.133</v>
      </c>
      <c r="B1254">
        <v>39.536597999999998</v>
      </c>
      <c r="C1254">
        <v>-76.623373000000001</v>
      </c>
      <c r="D1254">
        <v>8700</v>
      </c>
      <c r="E1254">
        <v>9025</v>
      </c>
      <c r="F1254">
        <v>166</v>
      </c>
      <c r="G1254">
        <v>91</v>
      </c>
      <c r="H1254">
        <v>-64</v>
      </c>
      <c r="J1254" s="1">
        <f t="shared" si="95"/>
        <v>27556</v>
      </c>
      <c r="K1254" s="1">
        <f t="shared" si="96"/>
        <v>8281</v>
      </c>
      <c r="L1254" s="1">
        <f t="shared" si="97"/>
        <v>35837</v>
      </c>
      <c r="M1254" s="1">
        <f t="shared" si="98"/>
        <v>189.30662957223657</v>
      </c>
      <c r="N1254" s="7">
        <f t="shared" si="99"/>
        <v>189.30662957223657</v>
      </c>
    </row>
    <row r="1255" spans="1:14" x14ac:dyDescent="0.25">
      <c r="A1255" t="str">
        <f>"14:11:17.195"</f>
        <v>14:11:17.195</v>
      </c>
      <c r="B1255">
        <v>39.537047999999999</v>
      </c>
      <c r="C1255">
        <v>-76.622257000000005</v>
      </c>
      <c r="D1255">
        <v>8700</v>
      </c>
      <c r="E1255">
        <v>9025</v>
      </c>
      <c r="F1255">
        <v>167</v>
      </c>
      <c r="G1255">
        <v>91</v>
      </c>
      <c r="H1255">
        <v>-128</v>
      </c>
      <c r="J1255" s="1">
        <f t="shared" si="95"/>
        <v>27889</v>
      </c>
      <c r="K1255" s="1">
        <f t="shared" si="96"/>
        <v>8281</v>
      </c>
      <c r="L1255" s="1">
        <f t="shared" si="97"/>
        <v>36170</v>
      </c>
      <c r="M1255" s="1">
        <f t="shared" si="98"/>
        <v>190.18412131405714</v>
      </c>
      <c r="N1255" s="7">
        <f t="shared" si="99"/>
        <v>190.18412131405714</v>
      </c>
    </row>
    <row r="1256" spans="1:14" x14ac:dyDescent="0.25">
      <c r="A1256" t="str">
        <f>"14:11:18.156"</f>
        <v>14:11:18.156</v>
      </c>
      <c r="B1256">
        <v>39.537477000000003</v>
      </c>
      <c r="C1256">
        <v>-76.621269999999996</v>
      </c>
      <c r="D1256">
        <v>8700</v>
      </c>
      <c r="E1256">
        <v>9025</v>
      </c>
      <c r="F1256">
        <v>167</v>
      </c>
      <c r="G1256">
        <v>91</v>
      </c>
      <c r="H1256">
        <v>-128</v>
      </c>
      <c r="J1256" s="1">
        <f t="shared" si="95"/>
        <v>27889</v>
      </c>
      <c r="K1256" s="1">
        <f t="shared" si="96"/>
        <v>8281</v>
      </c>
      <c r="L1256" s="1">
        <f t="shared" si="97"/>
        <v>36170</v>
      </c>
      <c r="M1256" s="1">
        <f t="shared" si="98"/>
        <v>190.18412131405714</v>
      </c>
      <c r="N1256" s="7">
        <f t="shared" si="99"/>
        <v>190.18412131405714</v>
      </c>
    </row>
    <row r="1257" spans="1:14" x14ac:dyDescent="0.25">
      <c r="A1257" t="str">
        <f>"14:11:19.266"</f>
        <v>14:11:19.266</v>
      </c>
      <c r="B1257">
        <v>39.537885000000003</v>
      </c>
      <c r="C1257">
        <v>-76.620305000000002</v>
      </c>
      <c r="D1257">
        <v>8700</v>
      </c>
      <c r="E1257">
        <v>9025</v>
      </c>
      <c r="F1257">
        <v>167</v>
      </c>
      <c r="G1257">
        <v>91</v>
      </c>
      <c r="H1257">
        <v>-128</v>
      </c>
      <c r="J1257" s="1">
        <f t="shared" si="95"/>
        <v>27889</v>
      </c>
      <c r="K1257" s="1">
        <f t="shared" si="96"/>
        <v>8281</v>
      </c>
      <c r="L1257" s="1">
        <f t="shared" si="97"/>
        <v>36170</v>
      </c>
      <c r="M1257" s="1">
        <f t="shared" si="98"/>
        <v>190.18412131405714</v>
      </c>
      <c r="N1257" s="7">
        <f t="shared" si="99"/>
        <v>190.18412131405714</v>
      </c>
    </row>
    <row r="1258" spans="1:14" x14ac:dyDescent="0.25">
      <c r="A1258" t="str">
        <f>"14:11:20.219"</f>
        <v>14:11:20.219</v>
      </c>
      <c r="B1258">
        <v>39.538314</v>
      </c>
      <c r="C1258">
        <v>-76.619253</v>
      </c>
      <c r="D1258">
        <v>8700</v>
      </c>
      <c r="E1258">
        <v>9025</v>
      </c>
      <c r="F1258">
        <v>167</v>
      </c>
      <c r="G1258">
        <v>90</v>
      </c>
      <c r="H1258">
        <v>-128</v>
      </c>
      <c r="J1258" s="1">
        <f t="shared" si="95"/>
        <v>27889</v>
      </c>
      <c r="K1258" s="1">
        <f t="shared" si="96"/>
        <v>8100</v>
      </c>
      <c r="L1258" s="1">
        <f t="shared" si="97"/>
        <v>35989</v>
      </c>
      <c r="M1258" s="1">
        <f t="shared" si="98"/>
        <v>189.70766985021982</v>
      </c>
      <c r="N1258" s="7">
        <f t="shared" si="99"/>
        <v>189.70766985021982</v>
      </c>
    </row>
    <row r="1259" spans="1:14" x14ac:dyDescent="0.25">
      <c r="A1259" t="str">
        <f>"14:11:21.133"</f>
        <v>14:11:21.133</v>
      </c>
      <c r="B1259">
        <v>39.538701000000003</v>
      </c>
      <c r="C1259">
        <v>-76.618352000000002</v>
      </c>
      <c r="D1259">
        <v>8700</v>
      </c>
      <c r="E1259">
        <v>9025</v>
      </c>
      <c r="F1259">
        <v>168</v>
      </c>
      <c r="G1259">
        <v>90</v>
      </c>
      <c r="H1259">
        <v>-128</v>
      </c>
      <c r="J1259" s="1">
        <f t="shared" si="95"/>
        <v>28224</v>
      </c>
      <c r="K1259" s="1">
        <f t="shared" si="96"/>
        <v>8100</v>
      </c>
      <c r="L1259" s="1">
        <f t="shared" si="97"/>
        <v>36324</v>
      </c>
      <c r="M1259" s="1">
        <f t="shared" si="98"/>
        <v>190.58856209122308</v>
      </c>
      <c r="N1259" s="7">
        <f t="shared" si="99"/>
        <v>190.58856209122308</v>
      </c>
    </row>
    <row r="1260" spans="1:14" x14ac:dyDescent="0.25">
      <c r="A1260" t="str">
        <f>"14:11:22.195"</f>
        <v>14:11:22.195</v>
      </c>
      <c r="B1260">
        <v>39.539150999999997</v>
      </c>
      <c r="C1260">
        <v>-76.617258000000007</v>
      </c>
      <c r="D1260">
        <v>8700</v>
      </c>
      <c r="E1260">
        <v>9025</v>
      </c>
      <c r="F1260">
        <v>168</v>
      </c>
      <c r="G1260">
        <v>90</v>
      </c>
      <c r="H1260">
        <v>-128</v>
      </c>
      <c r="J1260" s="1">
        <f t="shared" si="95"/>
        <v>28224</v>
      </c>
      <c r="K1260" s="1">
        <f t="shared" si="96"/>
        <v>8100</v>
      </c>
      <c r="L1260" s="1">
        <f t="shared" si="97"/>
        <v>36324</v>
      </c>
      <c r="M1260" s="1">
        <f t="shared" si="98"/>
        <v>190.58856209122308</v>
      </c>
      <c r="N1260" s="7">
        <f t="shared" si="99"/>
        <v>190.58856209122308</v>
      </c>
    </row>
    <row r="1261" spans="1:14" x14ac:dyDescent="0.25">
      <c r="A1261" t="str">
        <f>"14:11:23.352"</f>
        <v>14:11:23.352</v>
      </c>
      <c r="B1261">
        <v>39.539602000000002</v>
      </c>
      <c r="C1261">
        <v>-76.616141999999996</v>
      </c>
      <c r="D1261">
        <v>8700</v>
      </c>
      <c r="E1261">
        <v>9025</v>
      </c>
      <c r="F1261">
        <v>168</v>
      </c>
      <c r="G1261">
        <v>90</v>
      </c>
      <c r="H1261">
        <v>-64</v>
      </c>
      <c r="J1261" s="1">
        <f t="shared" si="95"/>
        <v>28224</v>
      </c>
      <c r="K1261" s="1">
        <f t="shared" si="96"/>
        <v>8100</v>
      </c>
      <c r="L1261" s="1">
        <f t="shared" si="97"/>
        <v>36324</v>
      </c>
      <c r="M1261" s="1">
        <f t="shared" si="98"/>
        <v>190.58856209122308</v>
      </c>
      <c r="N1261" s="7">
        <f t="shared" si="99"/>
        <v>190.58856209122308</v>
      </c>
    </row>
    <row r="1262" spans="1:14" x14ac:dyDescent="0.25">
      <c r="A1262" t="str">
        <f>"14:11:24.414"</f>
        <v>14:11:24.414</v>
      </c>
      <c r="B1262">
        <v>39.540073999999997</v>
      </c>
      <c r="C1262">
        <v>-76.615047000000004</v>
      </c>
      <c r="D1262">
        <v>8700</v>
      </c>
      <c r="E1262">
        <v>9025</v>
      </c>
      <c r="F1262">
        <v>168</v>
      </c>
      <c r="G1262">
        <v>89</v>
      </c>
      <c r="H1262">
        <v>0</v>
      </c>
      <c r="J1262" s="1">
        <f t="shared" si="95"/>
        <v>28224</v>
      </c>
      <c r="K1262" s="1">
        <f t="shared" si="96"/>
        <v>7921</v>
      </c>
      <c r="L1262" s="1">
        <f t="shared" si="97"/>
        <v>36145</v>
      </c>
      <c r="M1262" s="1">
        <f t="shared" si="98"/>
        <v>190.11838417154718</v>
      </c>
      <c r="N1262" s="7">
        <f t="shared" si="99"/>
        <v>190.11838417154718</v>
      </c>
    </row>
    <row r="1263" spans="1:14" x14ac:dyDescent="0.25">
      <c r="A1263" t="str">
        <f>"14:11:25.422"</f>
        <v>14:11:25.422</v>
      </c>
      <c r="B1263">
        <v>39.540503000000001</v>
      </c>
      <c r="C1263">
        <v>-76.614017000000004</v>
      </c>
      <c r="D1263">
        <v>8700</v>
      </c>
      <c r="E1263">
        <v>9025</v>
      </c>
      <c r="F1263">
        <v>168</v>
      </c>
      <c r="G1263">
        <v>89</v>
      </c>
      <c r="H1263">
        <v>64</v>
      </c>
      <c r="J1263" s="1">
        <f t="shared" si="95"/>
        <v>28224</v>
      </c>
      <c r="K1263" s="1">
        <f t="shared" si="96"/>
        <v>7921</v>
      </c>
      <c r="L1263" s="1">
        <f t="shared" si="97"/>
        <v>36145</v>
      </c>
      <c r="M1263" s="1">
        <f t="shared" si="98"/>
        <v>190.11838417154718</v>
      </c>
      <c r="N1263" s="7">
        <f t="shared" si="99"/>
        <v>190.11838417154718</v>
      </c>
    </row>
    <row r="1264" spans="1:14" x14ac:dyDescent="0.25">
      <c r="A1264" t="str">
        <f>"14:11:26.484"</f>
        <v>14:11:26.484</v>
      </c>
      <c r="B1264">
        <v>39.540931999999998</v>
      </c>
      <c r="C1264">
        <v>-76.612922999999995</v>
      </c>
      <c r="D1264">
        <v>8700</v>
      </c>
      <c r="E1264">
        <v>9025</v>
      </c>
      <c r="F1264">
        <v>168</v>
      </c>
      <c r="G1264">
        <v>89</v>
      </c>
      <c r="H1264">
        <v>64</v>
      </c>
      <c r="J1264" s="1">
        <f t="shared" si="95"/>
        <v>28224</v>
      </c>
      <c r="K1264" s="1">
        <f t="shared" si="96"/>
        <v>7921</v>
      </c>
      <c r="L1264" s="1">
        <f t="shared" si="97"/>
        <v>36145</v>
      </c>
      <c r="M1264" s="1">
        <f t="shared" si="98"/>
        <v>190.11838417154718</v>
      </c>
      <c r="N1264" s="7">
        <f t="shared" si="99"/>
        <v>190.11838417154718</v>
      </c>
    </row>
    <row r="1265" spans="1:14" x14ac:dyDescent="0.25">
      <c r="A1265" t="str">
        <f>"14:11:27.539"</f>
        <v>14:11:27.539</v>
      </c>
      <c r="B1265">
        <v>39.541361000000002</v>
      </c>
      <c r="C1265">
        <v>-76.611914999999996</v>
      </c>
      <c r="D1265">
        <v>8700</v>
      </c>
      <c r="E1265">
        <v>9025</v>
      </c>
      <c r="F1265">
        <v>169</v>
      </c>
      <c r="G1265">
        <v>88</v>
      </c>
      <c r="H1265">
        <v>64</v>
      </c>
      <c r="J1265" s="1">
        <f t="shared" si="95"/>
        <v>28561</v>
      </c>
      <c r="K1265" s="1">
        <f t="shared" si="96"/>
        <v>7744</v>
      </c>
      <c r="L1265" s="1">
        <f t="shared" si="97"/>
        <v>36305</v>
      </c>
      <c r="M1265" s="1">
        <f t="shared" si="98"/>
        <v>190.53870997778904</v>
      </c>
      <c r="N1265" s="7">
        <f t="shared" si="99"/>
        <v>190.53870997778904</v>
      </c>
    </row>
    <row r="1266" spans="1:14" x14ac:dyDescent="0.25">
      <c r="A1266" t="str">
        <f>"14:11:28.656"</f>
        <v>14:11:28.656</v>
      </c>
      <c r="B1266">
        <v>39.541812</v>
      </c>
      <c r="C1266">
        <v>-76.610713000000004</v>
      </c>
      <c r="D1266">
        <v>8700</v>
      </c>
      <c r="E1266">
        <v>9025</v>
      </c>
      <c r="F1266">
        <v>169</v>
      </c>
      <c r="G1266">
        <v>88</v>
      </c>
      <c r="H1266">
        <v>64</v>
      </c>
      <c r="J1266" s="1">
        <f t="shared" si="95"/>
        <v>28561</v>
      </c>
      <c r="K1266" s="1">
        <f t="shared" si="96"/>
        <v>7744</v>
      </c>
      <c r="L1266" s="1">
        <f t="shared" si="97"/>
        <v>36305</v>
      </c>
      <c r="M1266" s="1">
        <f t="shared" si="98"/>
        <v>190.53870997778904</v>
      </c>
      <c r="N1266" s="7">
        <f t="shared" si="99"/>
        <v>190.53870997778904</v>
      </c>
    </row>
    <row r="1267" spans="1:14" x14ac:dyDescent="0.25">
      <c r="A1267" t="str">
        <f>"14:11:29.664"</f>
        <v>14:11:29.664</v>
      </c>
      <c r="B1267">
        <v>39.542177000000002</v>
      </c>
      <c r="C1267">
        <v>-76.609812000000005</v>
      </c>
      <c r="D1267">
        <v>8700</v>
      </c>
      <c r="E1267">
        <v>9025</v>
      </c>
      <c r="F1267">
        <v>169</v>
      </c>
      <c r="G1267">
        <v>87</v>
      </c>
      <c r="H1267">
        <v>128</v>
      </c>
      <c r="J1267" s="1">
        <f t="shared" si="95"/>
        <v>28561</v>
      </c>
      <c r="K1267" s="1">
        <f t="shared" si="96"/>
        <v>7569</v>
      </c>
      <c r="L1267" s="1">
        <f t="shared" si="97"/>
        <v>36130</v>
      </c>
      <c r="M1267" s="1">
        <f t="shared" si="98"/>
        <v>190.07893097342483</v>
      </c>
      <c r="N1267" s="7">
        <f t="shared" si="99"/>
        <v>190.07893097342483</v>
      </c>
    </row>
    <row r="1268" spans="1:14" x14ac:dyDescent="0.25">
      <c r="A1268" t="str">
        <f>"14:11:30.625"</f>
        <v>14:11:30.625</v>
      </c>
      <c r="B1268">
        <v>39.542583999999998</v>
      </c>
      <c r="C1268">
        <v>-76.608824999999996</v>
      </c>
      <c r="D1268">
        <v>8700</v>
      </c>
      <c r="E1268">
        <v>9025</v>
      </c>
      <c r="F1268">
        <v>169</v>
      </c>
      <c r="G1268">
        <v>87</v>
      </c>
      <c r="H1268">
        <v>128</v>
      </c>
      <c r="J1268" s="1">
        <f t="shared" si="95"/>
        <v>28561</v>
      </c>
      <c r="K1268" s="1">
        <f t="shared" si="96"/>
        <v>7569</v>
      </c>
      <c r="L1268" s="1">
        <f t="shared" si="97"/>
        <v>36130</v>
      </c>
      <c r="M1268" s="1">
        <f t="shared" si="98"/>
        <v>190.07893097342483</v>
      </c>
      <c r="N1268" s="7">
        <f t="shared" si="99"/>
        <v>190.07893097342483</v>
      </c>
    </row>
    <row r="1269" spans="1:14" x14ac:dyDescent="0.25">
      <c r="A1269" t="str">
        <f>"14:11:31.680"</f>
        <v>14:11:31.680</v>
      </c>
      <c r="B1269">
        <v>39.543035000000003</v>
      </c>
      <c r="C1269">
        <v>-76.607665999999995</v>
      </c>
      <c r="D1269">
        <v>8700</v>
      </c>
      <c r="E1269">
        <v>9025</v>
      </c>
      <c r="F1269">
        <v>169</v>
      </c>
      <c r="G1269">
        <v>87</v>
      </c>
      <c r="H1269">
        <v>64</v>
      </c>
      <c r="J1269" s="1">
        <f t="shared" si="95"/>
        <v>28561</v>
      </c>
      <c r="K1269" s="1">
        <f t="shared" si="96"/>
        <v>7569</v>
      </c>
      <c r="L1269" s="1">
        <f t="shared" si="97"/>
        <v>36130</v>
      </c>
      <c r="M1269" s="1">
        <f t="shared" si="98"/>
        <v>190.07893097342483</v>
      </c>
      <c r="N1269" s="7">
        <f t="shared" si="99"/>
        <v>190.07893097342483</v>
      </c>
    </row>
    <row r="1270" spans="1:14" x14ac:dyDescent="0.25">
      <c r="A1270" t="str">
        <f>"14:11:32.695"</f>
        <v>14:11:32.695</v>
      </c>
      <c r="B1270">
        <v>39.543464</v>
      </c>
      <c r="C1270">
        <v>-76.606657999999996</v>
      </c>
      <c r="D1270">
        <v>8700</v>
      </c>
      <c r="E1270">
        <v>9025</v>
      </c>
      <c r="F1270">
        <v>169</v>
      </c>
      <c r="G1270">
        <v>87</v>
      </c>
      <c r="H1270">
        <v>0</v>
      </c>
      <c r="J1270" s="1">
        <f t="shared" si="95"/>
        <v>28561</v>
      </c>
      <c r="K1270" s="1">
        <f t="shared" si="96"/>
        <v>7569</v>
      </c>
      <c r="L1270" s="1">
        <f t="shared" si="97"/>
        <v>36130</v>
      </c>
      <c r="M1270" s="1">
        <f t="shared" si="98"/>
        <v>190.07893097342483</v>
      </c>
      <c r="N1270" s="7">
        <f t="shared" si="99"/>
        <v>190.07893097342483</v>
      </c>
    </row>
    <row r="1271" spans="1:14" x14ac:dyDescent="0.25">
      <c r="A1271" t="str">
        <f>"14:11:33.750"</f>
        <v>14:11:33.750</v>
      </c>
      <c r="B1271">
        <v>39.543829000000002</v>
      </c>
      <c r="C1271">
        <v>-76.605692000000005</v>
      </c>
      <c r="D1271">
        <v>8700</v>
      </c>
      <c r="E1271">
        <v>9025</v>
      </c>
      <c r="F1271">
        <v>169</v>
      </c>
      <c r="G1271">
        <v>87</v>
      </c>
      <c r="H1271">
        <v>0</v>
      </c>
      <c r="J1271" s="1">
        <f t="shared" si="95"/>
        <v>28561</v>
      </c>
      <c r="K1271" s="1">
        <f t="shared" si="96"/>
        <v>7569</v>
      </c>
      <c r="L1271" s="1">
        <f t="shared" si="97"/>
        <v>36130</v>
      </c>
      <c r="M1271" s="1">
        <f t="shared" si="98"/>
        <v>190.07893097342483</v>
      </c>
      <c r="N1271" s="7">
        <f t="shared" si="99"/>
        <v>190.07893097342483</v>
      </c>
    </row>
    <row r="1272" spans="1:14" x14ac:dyDescent="0.25">
      <c r="A1272" t="str">
        <f>"14:11:34.656"</f>
        <v>14:11:34.656</v>
      </c>
      <c r="B1272">
        <v>39.544237000000003</v>
      </c>
      <c r="C1272">
        <v>-76.604619</v>
      </c>
      <c r="D1272">
        <v>8700</v>
      </c>
      <c r="E1272">
        <v>9025</v>
      </c>
      <c r="F1272">
        <v>169</v>
      </c>
      <c r="G1272">
        <v>86</v>
      </c>
      <c r="H1272">
        <v>-64</v>
      </c>
      <c r="J1272" s="1">
        <f t="shared" si="95"/>
        <v>28561</v>
      </c>
      <c r="K1272" s="1">
        <f t="shared" si="96"/>
        <v>7396</v>
      </c>
      <c r="L1272" s="1">
        <f t="shared" si="97"/>
        <v>35957</v>
      </c>
      <c r="M1272" s="1">
        <f t="shared" si="98"/>
        <v>189.62331080328704</v>
      </c>
      <c r="N1272" s="7">
        <f t="shared" si="99"/>
        <v>189.62331080328704</v>
      </c>
    </row>
    <row r="1273" spans="1:14" x14ac:dyDescent="0.25">
      <c r="A1273" t="str">
        <f>"14:11:35.773"</f>
        <v>14:11:35.773</v>
      </c>
      <c r="B1273">
        <v>39.544687000000003</v>
      </c>
      <c r="C1273">
        <v>-76.603525000000005</v>
      </c>
      <c r="D1273">
        <v>8700</v>
      </c>
      <c r="E1273">
        <v>9025</v>
      </c>
      <c r="F1273">
        <v>169</v>
      </c>
      <c r="G1273">
        <v>86</v>
      </c>
      <c r="H1273">
        <v>-64</v>
      </c>
      <c r="J1273" s="1">
        <f t="shared" si="95"/>
        <v>28561</v>
      </c>
      <c r="K1273" s="1">
        <f t="shared" si="96"/>
        <v>7396</v>
      </c>
      <c r="L1273" s="1">
        <f t="shared" si="97"/>
        <v>35957</v>
      </c>
      <c r="M1273" s="1">
        <f t="shared" si="98"/>
        <v>189.62331080328704</v>
      </c>
      <c r="N1273" s="7">
        <f t="shared" si="99"/>
        <v>189.62331080328704</v>
      </c>
    </row>
    <row r="1274" spans="1:14" x14ac:dyDescent="0.25">
      <c r="A1274" t="str">
        <f>"14:11:36.781"</f>
        <v>14:11:36.781</v>
      </c>
      <c r="B1274">
        <v>39.545009</v>
      </c>
      <c r="C1274">
        <v>-76.602644999999995</v>
      </c>
      <c r="D1274">
        <v>8700</v>
      </c>
      <c r="E1274">
        <v>9025</v>
      </c>
      <c r="F1274">
        <v>170</v>
      </c>
      <c r="G1274">
        <v>86</v>
      </c>
      <c r="H1274">
        <v>-64</v>
      </c>
      <c r="J1274" s="1">
        <f t="shared" si="95"/>
        <v>28900</v>
      </c>
      <c r="K1274" s="1">
        <f t="shared" si="96"/>
        <v>7396</v>
      </c>
      <c r="L1274" s="1">
        <f t="shared" si="97"/>
        <v>36296</v>
      </c>
      <c r="M1274" s="1">
        <f t="shared" si="98"/>
        <v>190.51509126575775</v>
      </c>
      <c r="N1274" s="7">
        <f t="shared" si="99"/>
        <v>190.51509126575775</v>
      </c>
    </row>
    <row r="1275" spans="1:14" x14ac:dyDescent="0.25">
      <c r="A1275" t="str">
        <f>"14:11:37.789"</f>
        <v>14:11:37.789</v>
      </c>
      <c r="B1275">
        <v>39.545481000000002</v>
      </c>
      <c r="C1275">
        <v>-76.601507999999995</v>
      </c>
      <c r="D1275">
        <v>8700</v>
      </c>
      <c r="E1275">
        <v>9025</v>
      </c>
      <c r="F1275">
        <v>170</v>
      </c>
      <c r="G1275">
        <v>86</v>
      </c>
      <c r="H1275">
        <v>-64</v>
      </c>
      <c r="J1275" s="1">
        <f t="shared" si="95"/>
        <v>28900</v>
      </c>
      <c r="K1275" s="1">
        <f t="shared" si="96"/>
        <v>7396</v>
      </c>
      <c r="L1275" s="1">
        <f t="shared" si="97"/>
        <v>36296</v>
      </c>
      <c r="M1275" s="1">
        <f t="shared" si="98"/>
        <v>190.51509126575775</v>
      </c>
      <c r="N1275" s="7">
        <f t="shared" si="99"/>
        <v>190.51509126575775</v>
      </c>
    </row>
    <row r="1276" spans="1:14" x14ac:dyDescent="0.25">
      <c r="A1276" t="str">
        <f>"14:11:38.852"</f>
        <v>14:11:38.852</v>
      </c>
      <c r="B1276">
        <v>39.545845999999997</v>
      </c>
      <c r="C1276">
        <v>-76.600521000000001</v>
      </c>
      <c r="D1276">
        <v>8700</v>
      </c>
      <c r="E1276">
        <v>9025</v>
      </c>
      <c r="F1276">
        <v>170</v>
      </c>
      <c r="G1276">
        <v>86</v>
      </c>
      <c r="H1276">
        <v>-128</v>
      </c>
      <c r="J1276" s="1">
        <f t="shared" si="95"/>
        <v>28900</v>
      </c>
      <c r="K1276" s="1">
        <f t="shared" si="96"/>
        <v>7396</v>
      </c>
      <c r="L1276" s="1">
        <f t="shared" si="97"/>
        <v>36296</v>
      </c>
      <c r="M1276" s="1">
        <f t="shared" si="98"/>
        <v>190.51509126575775</v>
      </c>
      <c r="N1276" s="7">
        <f t="shared" si="99"/>
        <v>190.51509126575775</v>
      </c>
    </row>
    <row r="1277" spans="1:14" x14ac:dyDescent="0.25">
      <c r="A1277" t="str">
        <f>"14:11:39.859"</f>
        <v>14:11:39.859</v>
      </c>
      <c r="B1277">
        <v>39.546275000000001</v>
      </c>
      <c r="C1277">
        <v>-76.599491</v>
      </c>
      <c r="D1277">
        <v>8700</v>
      </c>
      <c r="E1277">
        <v>9025</v>
      </c>
      <c r="F1277">
        <v>170</v>
      </c>
      <c r="G1277">
        <v>85</v>
      </c>
      <c r="H1277">
        <v>-64</v>
      </c>
      <c r="J1277" s="1">
        <f t="shared" si="95"/>
        <v>28900</v>
      </c>
      <c r="K1277" s="1">
        <f t="shared" si="96"/>
        <v>7225</v>
      </c>
      <c r="L1277" s="1">
        <f t="shared" si="97"/>
        <v>36125</v>
      </c>
      <c r="M1277" s="1">
        <f t="shared" si="98"/>
        <v>190.06577808748213</v>
      </c>
      <c r="N1277" s="7">
        <f t="shared" si="99"/>
        <v>190.06577808748213</v>
      </c>
    </row>
    <row r="1278" spans="1:14" x14ac:dyDescent="0.25">
      <c r="A1278" t="str">
        <f>"14:11:40.820"</f>
        <v>14:11:40.820</v>
      </c>
      <c r="B1278">
        <v>39.546639999999996</v>
      </c>
      <c r="C1278">
        <v>-76.598438999999999</v>
      </c>
      <c r="D1278">
        <v>8700</v>
      </c>
      <c r="E1278">
        <v>9025</v>
      </c>
      <c r="F1278">
        <v>170</v>
      </c>
      <c r="G1278">
        <v>85</v>
      </c>
      <c r="H1278">
        <v>-64</v>
      </c>
      <c r="J1278" s="1">
        <f t="shared" si="95"/>
        <v>28900</v>
      </c>
      <c r="K1278" s="1">
        <f t="shared" si="96"/>
        <v>7225</v>
      </c>
      <c r="L1278" s="1">
        <f t="shared" si="97"/>
        <v>36125</v>
      </c>
      <c r="M1278" s="1">
        <f t="shared" si="98"/>
        <v>190.06577808748213</v>
      </c>
      <c r="N1278" s="7">
        <f t="shared" si="99"/>
        <v>190.06577808748213</v>
      </c>
    </row>
    <row r="1279" spans="1:14" x14ac:dyDescent="0.25">
      <c r="A1279" t="str">
        <f>"14:11:41.680"</f>
        <v>14:11:41.680</v>
      </c>
      <c r="B1279">
        <v>39.547026000000002</v>
      </c>
      <c r="C1279">
        <v>-76.597516999999996</v>
      </c>
      <c r="D1279">
        <v>8700</v>
      </c>
      <c r="E1279">
        <v>9025</v>
      </c>
      <c r="F1279">
        <v>170</v>
      </c>
      <c r="G1279">
        <v>85</v>
      </c>
      <c r="H1279">
        <v>-64</v>
      </c>
      <c r="J1279" s="1">
        <f t="shared" si="95"/>
        <v>28900</v>
      </c>
      <c r="K1279" s="1">
        <f t="shared" si="96"/>
        <v>7225</v>
      </c>
      <c r="L1279" s="1">
        <f t="shared" si="97"/>
        <v>36125</v>
      </c>
      <c r="M1279" s="1">
        <f t="shared" si="98"/>
        <v>190.06577808748213</v>
      </c>
      <c r="N1279" s="7">
        <f t="shared" si="99"/>
        <v>190.06577808748213</v>
      </c>
    </row>
    <row r="1280" spans="1:14" x14ac:dyDescent="0.25">
      <c r="A1280" t="str">
        <f>"14:11:42.734"</f>
        <v>14:11:42.734</v>
      </c>
      <c r="B1280">
        <v>39.547390999999998</v>
      </c>
      <c r="C1280">
        <v>-76.596508</v>
      </c>
      <c r="D1280">
        <v>8700</v>
      </c>
      <c r="E1280">
        <v>9025</v>
      </c>
      <c r="F1280">
        <v>170</v>
      </c>
      <c r="G1280">
        <v>85</v>
      </c>
      <c r="H1280">
        <v>-64</v>
      </c>
      <c r="J1280" s="1">
        <f t="shared" si="95"/>
        <v>28900</v>
      </c>
      <c r="K1280" s="1">
        <f t="shared" si="96"/>
        <v>7225</v>
      </c>
      <c r="L1280" s="1">
        <f t="shared" si="97"/>
        <v>36125</v>
      </c>
      <c r="M1280" s="1">
        <f t="shared" si="98"/>
        <v>190.06577808748213</v>
      </c>
      <c r="N1280" s="7">
        <f t="shared" si="99"/>
        <v>190.06577808748213</v>
      </c>
    </row>
    <row r="1281" spans="1:14" x14ac:dyDescent="0.25">
      <c r="A1281" t="str">
        <f>"14:11:43.750"</f>
        <v>14:11:43.750</v>
      </c>
      <c r="B1281">
        <v>39.547798999999998</v>
      </c>
      <c r="C1281">
        <v>-76.595478</v>
      </c>
      <c r="D1281">
        <v>8700</v>
      </c>
      <c r="E1281">
        <v>9025</v>
      </c>
      <c r="F1281">
        <v>170</v>
      </c>
      <c r="G1281">
        <v>85</v>
      </c>
      <c r="H1281">
        <v>0</v>
      </c>
      <c r="J1281" s="1">
        <f t="shared" si="95"/>
        <v>28900</v>
      </c>
      <c r="K1281" s="1">
        <f t="shared" si="96"/>
        <v>7225</v>
      </c>
      <c r="L1281" s="1">
        <f t="shared" si="97"/>
        <v>36125</v>
      </c>
      <c r="M1281" s="1">
        <f t="shared" si="98"/>
        <v>190.06577808748213</v>
      </c>
      <c r="N1281" s="7">
        <f t="shared" si="99"/>
        <v>190.06577808748213</v>
      </c>
    </row>
    <row r="1282" spans="1:14" x14ac:dyDescent="0.25">
      <c r="A1282" t="str">
        <f>"14:11:44.758"</f>
        <v>14:11:44.758</v>
      </c>
      <c r="B1282">
        <v>39.548228000000002</v>
      </c>
      <c r="C1282">
        <v>-76.594470000000001</v>
      </c>
      <c r="D1282">
        <v>8700</v>
      </c>
      <c r="E1282">
        <v>9025</v>
      </c>
      <c r="F1282">
        <v>170</v>
      </c>
      <c r="G1282">
        <v>85</v>
      </c>
      <c r="H1282">
        <v>64</v>
      </c>
      <c r="J1282" s="1">
        <f t="shared" si="95"/>
        <v>28900</v>
      </c>
      <c r="K1282" s="1">
        <f t="shared" si="96"/>
        <v>7225</v>
      </c>
      <c r="L1282" s="1">
        <f t="shared" si="97"/>
        <v>36125</v>
      </c>
      <c r="M1282" s="1">
        <f t="shared" si="98"/>
        <v>190.06577808748213</v>
      </c>
      <c r="N1282" s="7">
        <f t="shared" si="99"/>
        <v>190.06577808748213</v>
      </c>
    </row>
    <row r="1283" spans="1:14" x14ac:dyDescent="0.25">
      <c r="A1283" t="str">
        <f>"14:11:45.664"</f>
        <v>14:11:45.664</v>
      </c>
      <c r="B1283">
        <v>39.548592999999997</v>
      </c>
      <c r="C1283">
        <v>-76.593461000000005</v>
      </c>
      <c r="D1283">
        <v>8700</v>
      </c>
      <c r="E1283">
        <v>9025</v>
      </c>
      <c r="F1283">
        <v>170</v>
      </c>
      <c r="G1283">
        <v>85</v>
      </c>
      <c r="H1283">
        <v>64</v>
      </c>
      <c r="J1283" s="1">
        <f t="shared" ref="J1283:J1346" si="100">F1283^2</f>
        <v>28900</v>
      </c>
      <c r="K1283" s="1">
        <f t="shared" ref="K1283:K1346" si="101">G1283^2</f>
        <v>7225</v>
      </c>
      <c r="L1283" s="1">
        <f t="shared" ref="L1283:L1346" si="102">SUMSQ(F1283,G1283)</f>
        <v>36125</v>
      </c>
      <c r="M1283" s="1">
        <f t="shared" ref="M1283:M1346" si="103">SQRT(L1283)</f>
        <v>190.06577808748213</v>
      </c>
      <c r="N1283" s="7">
        <f t="shared" ref="N1283:N1346" si="104">M1283</f>
        <v>190.06577808748213</v>
      </c>
    </row>
    <row r="1284" spans="1:14" x14ac:dyDescent="0.25">
      <c r="A1284" t="str">
        <f>"14:11:46.727"</f>
        <v>14:11:46.727</v>
      </c>
      <c r="B1284">
        <v>39.548999999999999</v>
      </c>
      <c r="C1284">
        <v>-76.592431000000005</v>
      </c>
      <c r="D1284">
        <v>8700</v>
      </c>
      <c r="E1284">
        <v>9025</v>
      </c>
      <c r="F1284">
        <v>170</v>
      </c>
      <c r="G1284">
        <v>86</v>
      </c>
      <c r="H1284">
        <v>128</v>
      </c>
      <c r="J1284" s="1">
        <f t="shared" si="100"/>
        <v>28900</v>
      </c>
      <c r="K1284" s="1">
        <f t="shared" si="101"/>
        <v>7396</v>
      </c>
      <c r="L1284" s="1">
        <f t="shared" si="102"/>
        <v>36296</v>
      </c>
      <c r="M1284" s="1">
        <f t="shared" si="103"/>
        <v>190.51509126575775</v>
      </c>
      <c r="N1284" s="7">
        <f t="shared" si="104"/>
        <v>190.51509126575775</v>
      </c>
    </row>
    <row r="1285" spans="1:14" x14ac:dyDescent="0.25">
      <c r="A1285" t="str">
        <f>"14:11:47.734"</f>
        <v>14:11:47.734</v>
      </c>
      <c r="B1285">
        <v>39.549408</v>
      </c>
      <c r="C1285">
        <v>-76.591423000000006</v>
      </c>
      <c r="D1285">
        <v>8700</v>
      </c>
      <c r="E1285">
        <v>9025</v>
      </c>
      <c r="F1285">
        <v>170</v>
      </c>
      <c r="G1285">
        <v>86</v>
      </c>
      <c r="H1285">
        <v>128</v>
      </c>
      <c r="J1285" s="1">
        <f t="shared" si="100"/>
        <v>28900</v>
      </c>
      <c r="K1285" s="1">
        <f t="shared" si="101"/>
        <v>7396</v>
      </c>
      <c r="L1285" s="1">
        <f t="shared" si="102"/>
        <v>36296</v>
      </c>
      <c r="M1285" s="1">
        <f t="shared" si="103"/>
        <v>190.51509126575775</v>
      </c>
      <c r="N1285" s="7">
        <f t="shared" si="104"/>
        <v>190.51509126575775</v>
      </c>
    </row>
    <row r="1286" spans="1:14" x14ac:dyDescent="0.25">
      <c r="A1286" t="str">
        <f>"14:11:48.641"</f>
        <v>14:11:48.641</v>
      </c>
      <c r="B1286">
        <v>39.549751000000001</v>
      </c>
      <c r="C1286">
        <v>-76.590520999999995</v>
      </c>
      <c r="D1286">
        <v>8700</v>
      </c>
      <c r="E1286">
        <v>9025</v>
      </c>
      <c r="F1286">
        <v>170</v>
      </c>
      <c r="G1286">
        <v>86</v>
      </c>
      <c r="H1286">
        <v>128</v>
      </c>
      <c r="J1286" s="1">
        <f t="shared" si="100"/>
        <v>28900</v>
      </c>
      <c r="K1286" s="1">
        <f t="shared" si="101"/>
        <v>7396</v>
      </c>
      <c r="L1286" s="1">
        <f t="shared" si="102"/>
        <v>36296</v>
      </c>
      <c r="M1286" s="1">
        <f t="shared" si="103"/>
        <v>190.51509126575775</v>
      </c>
      <c r="N1286" s="7">
        <f t="shared" si="104"/>
        <v>190.51509126575775</v>
      </c>
    </row>
    <row r="1287" spans="1:14" x14ac:dyDescent="0.25">
      <c r="A1287" t="str">
        <f>"14:11:49.555"</f>
        <v>14:11:49.555</v>
      </c>
      <c r="B1287">
        <v>39.550137999999997</v>
      </c>
      <c r="C1287">
        <v>-76.589470000000006</v>
      </c>
      <c r="D1287">
        <v>8700</v>
      </c>
      <c r="E1287">
        <v>9025</v>
      </c>
      <c r="F1287">
        <v>170</v>
      </c>
      <c r="G1287">
        <v>86</v>
      </c>
      <c r="H1287">
        <v>128</v>
      </c>
      <c r="J1287" s="1">
        <f t="shared" si="100"/>
        <v>28900</v>
      </c>
      <c r="K1287" s="1">
        <f t="shared" si="101"/>
        <v>7396</v>
      </c>
      <c r="L1287" s="1">
        <f t="shared" si="102"/>
        <v>36296</v>
      </c>
      <c r="M1287" s="1">
        <f t="shared" si="103"/>
        <v>190.51509126575775</v>
      </c>
      <c r="N1287" s="7">
        <f t="shared" si="104"/>
        <v>190.51509126575775</v>
      </c>
    </row>
    <row r="1288" spans="1:14" x14ac:dyDescent="0.25">
      <c r="A1288" t="str">
        <f>"14:11:50.563"</f>
        <v>14:11:50.563</v>
      </c>
      <c r="B1288">
        <v>39.550545</v>
      </c>
      <c r="C1288">
        <v>-76.588504</v>
      </c>
      <c r="D1288">
        <v>8700</v>
      </c>
      <c r="E1288">
        <v>9025</v>
      </c>
      <c r="F1288">
        <v>170</v>
      </c>
      <c r="G1288">
        <v>86</v>
      </c>
      <c r="H1288">
        <v>128</v>
      </c>
      <c r="J1288" s="1">
        <f t="shared" si="100"/>
        <v>28900</v>
      </c>
      <c r="K1288" s="1">
        <f t="shared" si="101"/>
        <v>7396</v>
      </c>
      <c r="L1288" s="1">
        <f t="shared" si="102"/>
        <v>36296</v>
      </c>
      <c r="M1288" s="1">
        <f t="shared" si="103"/>
        <v>190.51509126575775</v>
      </c>
      <c r="N1288" s="7">
        <f t="shared" si="104"/>
        <v>190.51509126575775</v>
      </c>
    </row>
    <row r="1289" spans="1:14" x14ac:dyDescent="0.25">
      <c r="A1289" t="str">
        <f>"14:11:51.469"</f>
        <v>14:11:51.469</v>
      </c>
      <c r="B1289">
        <v>39.550910000000002</v>
      </c>
      <c r="C1289">
        <v>-76.587603000000001</v>
      </c>
      <c r="D1289">
        <v>8700</v>
      </c>
      <c r="E1289">
        <v>9025</v>
      </c>
      <c r="F1289">
        <v>169</v>
      </c>
      <c r="G1289">
        <v>86</v>
      </c>
      <c r="H1289">
        <v>128</v>
      </c>
      <c r="J1289" s="1">
        <f t="shared" si="100"/>
        <v>28561</v>
      </c>
      <c r="K1289" s="1">
        <f t="shared" si="101"/>
        <v>7396</v>
      </c>
      <c r="L1289" s="1">
        <f t="shared" si="102"/>
        <v>35957</v>
      </c>
      <c r="M1289" s="1">
        <f t="shared" si="103"/>
        <v>189.62331080328704</v>
      </c>
      <c r="N1289" s="7">
        <f t="shared" si="104"/>
        <v>189.62331080328704</v>
      </c>
    </row>
    <row r="1290" spans="1:14" x14ac:dyDescent="0.25">
      <c r="A1290" t="str">
        <f>"14:11:52.430"</f>
        <v>14:11:52.430</v>
      </c>
      <c r="B1290">
        <v>39.551253000000003</v>
      </c>
      <c r="C1290">
        <v>-76.586680000000001</v>
      </c>
      <c r="D1290">
        <v>8700</v>
      </c>
      <c r="E1290">
        <v>9025</v>
      </c>
      <c r="F1290">
        <v>169</v>
      </c>
      <c r="G1290">
        <v>86</v>
      </c>
      <c r="H1290">
        <v>64</v>
      </c>
      <c r="J1290" s="1">
        <f t="shared" si="100"/>
        <v>28561</v>
      </c>
      <c r="K1290" s="1">
        <f t="shared" si="101"/>
        <v>7396</v>
      </c>
      <c r="L1290" s="1">
        <f t="shared" si="102"/>
        <v>35957</v>
      </c>
      <c r="M1290" s="1">
        <f t="shared" si="103"/>
        <v>189.62331080328704</v>
      </c>
      <c r="N1290" s="7">
        <f t="shared" si="104"/>
        <v>189.62331080328704</v>
      </c>
    </row>
    <row r="1291" spans="1:14" x14ac:dyDescent="0.25">
      <c r="A1291" t="str">
        <f>"14:11:53.438"</f>
        <v>14:11:53.438</v>
      </c>
      <c r="B1291">
        <v>39.551661000000003</v>
      </c>
      <c r="C1291">
        <v>-76.585628999999997</v>
      </c>
      <c r="D1291">
        <v>8700</v>
      </c>
      <c r="E1291">
        <v>9025</v>
      </c>
      <c r="F1291">
        <v>169</v>
      </c>
      <c r="G1291">
        <v>86</v>
      </c>
      <c r="H1291">
        <v>0</v>
      </c>
      <c r="J1291" s="1">
        <f t="shared" si="100"/>
        <v>28561</v>
      </c>
      <c r="K1291" s="1">
        <f t="shared" si="101"/>
        <v>7396</v>
      </c>
      <c r="L1291" s="1">
        <f t="shared" si="102"/>
        <v>35957</v>
      </c>
      <c r="M1291" s="1">
        <f t="shared" si="103"/>
        <v>189.62331080328704</v>
      </c>
      <c r="N1291" s="7">
        <f t="shared" si="104"/>
        <v>189.62331080328704</v>
      </c>
    </row>
    <row r="1292" spans="1:14" x14ac:dyDescent="0.25">
      <c r="A1292" t="str">
        <f>"14:11:54.500"</f>
        <v>14:11:54.500</v>
      </c>
      <c r="B1292">
        <v>39.552112000000001</v>
      </c>
      <c r="C1292">
        <v>-76.584556000000006</v>
      </c>
      <c r="D1292">
        <v>8700</v>
      </c>
      <c r="E1292">
        <v>9025</v>
      </c>
      <c r="F1292">
        <v>169</v>
      </c>
      <c r="G1292">
        <v>87</v>
      </c>
      <c r="H1292">
        <v>-64</v>
      </c>
      <c r="J1292" s="1">
        <f t="shared" si="100"/>
        <v>28561</v>
      </c>
      <c r="K1292" s="1">
        <f t="shared" si="101"/>
        <v>7569</v>
      </c>
      <c r="L1292" s="1">
        <f t="shared" si="102"/>
        <v>36130</v>
      </c>
      <c r="M1292" s="1">
        <f t="shared" si="103"/>
        <v>190.07893097342483</v>
      </c>
      <c r="N1292" s="7">
        <f t="shared" si="104"/>
        <v>190.07893097342483</v>
      </c>
    </row>
    <row r="1293" spans="1:14" x14ac:dyDescent="0.25">
      <c r="A1293" t="str">
        <f>"14:11:55.453"</f>
        <v>14:11:55.453</v>
      </c>
      <c r="B1293">
        <v>39.552518999999997</v>
      </c>
      <c r="C1293">
        <v>-76.583547999999993</v>
      </c>
      <c r="D1293">
        <v>8700</v>
      </c>
      <c r="E1293">
        <v>9025</v>
      </c>
      <c r="F1293">
        <v>169</v>
      </c>
      <c r="G1293">
        <v>87</v>
      </c>
      <c r="H1293">
        <v>-64</v>
      </c>
      <c r="J1293" s="1">
        <f t="shared" si="100"/>
        <v>28561</v>
      </c>
      <c r="K1293" s="1">
        <f t="shared" si="101"/>
        <v>7569</v>
      </c>
      <c r="L1293" s="1">
        <f t="shared" si="102"/>
        <v>36130</v>
      </c>
      <c r="M1293" s="1">
        <f t="shared" si="103"/>
        <v>190.07893097342483</v>
      </c>
      <c r="N1293" s="7">
        <f t="shared" si="104"/>
        <v>190.07893097342483</v>
      </c>
    </row>
    <row r="1294" spans="1:14" x14ac:dyDescent="0.25">
      <c r="A1294" t="str">
        <f>"14:11:56.617"</f>
        <v>14:11:56.617</v>
      </c>
      <c r="B1294">
        <v>39.552970000000002</v>
      </c>
      <c r="C1294">
        <v>-76.582389000000006</v>
      </c>
      <c r="D1294">
        <v>8700</v>
      </c>
      <c r="E1294">
        <v>9025</v>
      </c>
      <c r="F1294">
        <v>169</v>
      </c>
      <c r="G1294">
        <v>87</v>
      </c>
      <c r="H1294">
        <v>-128</v>
      </c>
      <c r="J1294" s="1">
        <f t="shared" si="100"/>
        <v>28561</v>
      </c>
      <c r="K1294" s="1">
        <f t="shared" si="101"/>
        <v>7569</v>
      </c>
      <c r="L1294" s="1">
        <f t="shared" si="102"/>
        <v>36130</v>
      </c>
      <c r="M1294" s="1">
        <f t="shared" si="103"/>
        <v>190.07893097342483</v>
      </c>
      <c r="N1294" s="7">
        <f t="shared" si="104"/>
        <v>190.07893097342483</v>
      </c>
    </row>
    <row r="1295" spans="1:14" x14ac:dyDescent="0.25">
      <c r="A1295" t="str">
        <f>"14:11:57.680"</f>
        <v>14:11:57.680</v>
      </c>
      <c r="B1295">
        <v>39.553398999999999</v>
      </c>
      <c r="C1295">
        <v>-76.581272999999996</v>
      </c>
      <c r="D1295">
        <v>8700</v>
      </c>
      <c r="E1295">
        <v>9025</v>
      </c>
      <c r="F1295">
        <v>169</v>
      </c>
      <c r="G1295">
        <v>88</v>
      </c>
      <c r="H1295">
        <v>-128</v>
      </c>
      <c r="J1295" s="1">
        <f t="shared" si="100"/>
        <v>28561</v>
      </c>
      <c r="K1295" s="1">
        <f t="shared" si="101"/>
        <v>7744</v>
      </c>
      <c r="L1295" s="1">
        <f t="shared" si="102"/>
        <v>36305</v>
      </c>
      <c r="M1295" s="1">
        <f t="shared" si="103"/>
        <v>190.53870997778904</v>
      </c>
      <c r="N1295" s="7">
        <f t="shared" si="104"/>
        <v>190.53870997778904</v>
      </c>
    </row>
    <row r="1296" spans="1:14" x14ac:dyDescent="0.25">
      <c r="A1296" t="str">
        <f>"14:11:58.688"</f>
        <v>14:11:58.688</v>
      </c>
      <c r="B1296">
        <v>39.553806999999999</v>
      </c>
      <c r="C1296">
        <v>-76.580264999999997</v>
      </c>
      <c r="D1296">
        <v>8700</v>
      </c>
      <c r="E1296">
        <v>9025</v>
      </c>
      <c r="F1296">
        <v>169</v>
      </c>
      <c r="G1296">
        <v>88</v>
      </c>
      <c r="H1296">
        <v>-128</v>
      </c>
      <c r="J1296" s="1">
        <f t="shared" si="100"/>
        <v>28561</v>
      </c>
      <c r="K1296" s="1">
        <f t="shared" si="101"/>
        <v>7744</v>
      </c>
      <c r="L1296" s="1">
        <f t="shared" si="102"/>
        <v>36305</v>
      </c>
      <c r="M1296" s="1">
        <f t="shared" si="103"/>
        <v>190.53870997778904</v>
      </c>
      <c r="N1296" s="7">
        <f t="shared" si="104"/>
        <v>190.53870997778904</v>
      </c>
    </row>
    <row r="1297" spans="1:14" x14ac:dyDescent="0.25">
      <c r="A1297" t="str">
        <f>"14:11:59.695"</f>
        <v>14:11:59.695</v>
      </c>
      <c r="B1297">
        <v>39.554214000000002</v>
      </c>
      <c r="C1297">
        <v>-76.579234999999997</v>
      </c>
      <c r="D1297">
        <v>8700</v>
      </c>
      <c r="E1297">
        <v>9025</v>
      </c>
      <c r="F1297">
        <v>169</v>
      </c>
      <c r="G1297">
        <v>88</v>
      </c>
      <c r="H1297">
        <v>-64</v>
      </c>
      <c r="J1297" s="1">
        <f t="shared" si="100"/>
        <v>28561</v>
      </c>
      <c r="K1297" s="1">
        <f t="shared" si="101"/>
        <v>7744</v>
      </c>
      <c r="L1297" s="1">
        <f t="shared" si="102"/>
        <v>36305</v>
      </c>
      <c r="M1297" s="1">
        <f t="shared" si="103"/>
        <v>190.53870997778904</v>
      </c>
      <c r="N1297" s="7">
        <f t="shared" si="104"/>
        <v>190.53870997778904</v>
      </c>
    </row>
    <row r="1298" spans="1:14" x14ac:dyDescent="0.25">
      <c r="A1298" t="str">
        <f>"14:12:00.508"</f>
        <v>14:12:00.508</v>
      </c>
      <c r="B1298">
        <v>39.554535999999999</v>
      </c>
      <c r="C1298">
        <v>-76.578462000000002</v>
      </c>
      <c r="D1298">
        <v>8700</v>
      </c>
      <c r="E1298">
        <v>9025</v>
      </c>
      <c r="F1298">
        <v>169</v>
      </c>
      <c r="G1298">
        <v>89</v>
      </c>
      <c r="H1298">
        <v>-64</v>
      </c>
      <c r="J1298" s="1">
        <f t="shared" si="100"/>
        <v>28561</v>
      </c>
      <c r="K1298" s="1">
        <f t="shared" si="101"/>
        <v>7921</v>
      </c>
      <c r="L1298" s="1">
        <f t="shared" si="102"/>
        <v>36482</v>
      </c>
      <c r="M1298" s="1">
        <f t="shared" si="103"/>
        <v>191.00261778310789</v>
      </c>
      <c r="N1298" s="7">
        <f t="shared" si="104"/>
        <v>191.00261778310789</v>
      </c>
    </row>
    <row r="1299" spans="1:14" x14ac:dyDescent="0.25">
      <c r="A1299" t="str">
        <f>"14:12:01.516"</f>
        <v>14:12:01.516</v>
      </c>
      <c r="B1299">
        <v>39.554943999999999</v>
      </c>
      <c r="C1299">
        <v>-76.577454000000003</v>
      </c>
      <c r="D1299">
        <v>8700</v>
      </c>
      <c r="E1299">
        <v>9025</v>
      </c>
      <c r="F1299">
        <v>169</v>
      </c>
      <c r="G1299">
        <v>89</v>
      </c>
      <c r="H1299">
        <v>0</v>
      </c>
      <c r="J1299" s="1">
        <f t="shared" si="100"/>
        <v>28561</v>
      </c>
      <c r="K1299" s="1">
        <f t="shared" si="101"/>
        <v>7921</v>
      </c>
      <c r="L1299" s="1">
        <f t="shared" si="102"/>
        <v>36482</v>
      </c>
      <c r="M1299" s="1">
        <f t="shared" si="103"/>
        <v>191.00261778310789</v>
      </c>
      <c r="N1299" s="7">
        <f t="shared" si="104"/>
        <v>191.00261778310789</v>
      </c>
    </row>
    <row r="1300" spans="1:14" x14ac:dyDescent="0.25">
      <c r="A1300" t="str">
        <f>"14:12:02.578"</f>
        <v>14:12:02.578</v>
      </c>
      <c r="B1300">
        <v>39.555394999999997</v>
      </c>
      <c r="C1300">
        <v>-76.576358999999997</v>
      </c>
      <c r="D1300">
        <v>8700</v>
      </c>
      <c r="E1300">
        <v>9025</v>
      </c>
      <c r="F1300">
        <v>169</v>
      </c>
      <c r="G1300">
        <v>89</v>
      </c>
      <c r="H1300">
        <v>64</v>
      </c>
      <c r="J1300" s="1">
        <f t="shared" si="100"/>
        <v>28561</v>
      </c>
      <c r="K1300" s="1">
        <f t="shared" si="101"/>
        <v>7921</v>
      </c>
      <c r="L1300" s="1">
        <f t="shared" si="102"/>
        <v>36482</v>
      </c>
      <c r="M1300" s="1">
        <f t="shared" si="103"/>
        <v>191.00261778310789</v>
      </c>
      <c r="N1300" s="7">
        <f t="shared" si="104"/>
        <v>191.00261778310789</v>
      </c>
    </row>
    <row r="1301" spans="1:14" x14ac:dyDescent="0.25">
      <c r="A1301" t="str">
        <f>"14:12:03.484"</f>
        <v>14:12:03.484</v>
      </c>
      <c r="B1301">
        <v>39.555781000000003</v>
      </c>
      <c r="C1301">
        <v>-76.575415000000007</v>
      </c>
      <c r="D1301">
        <v>8700</v>
      </c>
      <c r="E1301">
        <v>9025</v>
      </c>
      <c r="F1301">
        <v>169</v>
      </c>
      <c r="G1301">
        <v>89</v>
      </c>
      <c r="H1301">
        <v>64</v>
      </c>
      <c r="J1301" s="1">
        <f t="shared" si="100"/>
        <v>28561</v>
      </c>
      <c r="K1301" s="1">
        <f t="shared" si="101"/>
        <v>7921</v>
      </c>
      <c r="L1301" s="1">
        <f t="shared" si="102"/>
        <v>36482</v>
      </c>
      <c r="M1301" s="1">
        <f t="shared" si="103"/>
        <v>191.00261778310789</v>
      </c>
      <c r="N1301" s="7">
        <f t="shared" si="104"/>
        <v>191.00261778310789</v>
      </c>
    </row>
    <row r="1302" spans="1:14" x14ac:dyDescent="0.25">
      <c r="A1302" t="str">
        <f>"14:12:04.398"</f>
        <v>14:12:04.398</v>
      </c>
      <c r="B1302">
        <v>39.556189000000003</v>
      </c>
      <c r="C1302">
        <v>-76.574513999999994</v>
      </c>
      <c r="D1302">
        <v>8700</v>
      </c>
      <c r="E1302">
        <v>9025</v>
      </c>
      <c r="F1302">
        <v>169</v>
      </c>
      <c r="G1302">
        <v>89</v>
      </c>
      <c r="H1302">
        <v>64</v>
      </c>
      <c r="J1302" s="1">
        <f t="shared" si="100"/>
        <v>28561</v>
      </c>
      <c r="K1302" s="1">
        <f t="shared" si="101"/>
        <v>7921</v>
      </c>
      <c r="L1302" s="1">
        <f t="shared" si="102"/>
        <v>36482</v>
      </c>
      <c r="M1302" s="1">
        <f t="shared" si="103"/>
        <v>191.00261778310789</v>
      </c>
      <c r="N1302" s="7">
        <f t="shared" si="104"/>
        <v>191.00261778310789</v>
      </c>
    </row>
    <row r="1303" spans="1:14" x14ac:dyDescent="0.25">
      <c r="A1303" t="str">
        <f>"14:12:05.297"</f>
        <v>14:12:05.297</v>
      </c>
      <c r="B1303">
        <v>39.556553000000001</v>
      </c>
      <c r="C1303">
        <v>-76.573633999999998</v>
      </c>
      <c r="D1303">
        <v>8700</v>
      </c>
      <c r="E1303">
        <v>9025</v>
      </c>
      <c r="F1303">
        <v>169</v>
      </c>
      <c r="G1303">
        <v>89</v>
      </c>
      <c r="H1303">
        <v>128</v>
      </c>
      <c r="J1303" s="1">
        <f t="shared" si="100"/>
        <v>28561</v>
      </c>
      <c r="K1303" s="1">
        <f t="shared" si="101"/>
        <v>7921</v>
      </c>
      <c r="L1303" s="1">
        <f t="shared" si="102"/>
        <v>36482</v>
      </c>
      <c r="M1303" s="1">
        <f t="shared" si="103"/>
        <v>191.00261778310789</v>
      </c>
      <c r="N1303" s="7">
        <f t="shared" si="104"/>
        <v>191.00261778310789</v>
      </c>
    </row>
    <row r="1304" spans="1:14" x14ac:dyDescent="0.25">
      <c r="A1304" t="str">
        <f>"14:12:06.359"</f>
        <v>14:12:06.359</v>
      </c>
      <c r="B1304">
        <v>39.556983000000002</v>
      </c>
      <c r="C1304">
        <v>-76.572518000000002</v>
      </c>
      <c r="D1304">
        <v>8700</v>
      </c>
      <c r="E1304">
        <v>9025</v>
      </c>
      <c r="F1304">
        <v>169</v>
      </c>
      <c r="G1304">
        <v>89</v>
      </c>
      <c r="H1304">
        <v>128</v>
      </c>
      <c r="J1304" s="1">
        <f t="shared" si="100"/>
        <v>28561</v>
      </c>
      <c r="K1304" s="1">
        <f t="shared" si="101"/>
        <v>7921</v>
      </c>
      <c r="L1304" s="1">
        <f t="shared" si="102"/>
        <v>36482</v>
      </c>
      <c r="M1304" s="1">
        <f t="shared" si="103"/>
        <v>191.00261778310789</v>
      </c>
      <c r="N1304" s="7">
        <f t="shared" si="104"/>
        <v>191.00261778310789</v>
      </c>
    </row>
    <row r="1305" spans="1:14" x14ac:dyDescent="0.25">
      <c r="A1305" t="str">
        <f>"14:12:07.422"</f>
        <v>14:12:07.422</v>
      </c>
      <c r="B1305">
        <v>39.557389999999998</v>
      </c>
      <c r="C1305">
        <v>-76.571466999999998</v>
      </c>
      <c r="D1305">
        <v>8700</v>
      </c>
      <c r="E1305">
        <v>9025</v>
      </c>
      <c r="F1305">
        <v>168</v>
      </c>
      <c r="G1305">
        <v>90</v>
      </c>
      <c r="H1305">
        <v>128</v>
      </c>
      <c r="J1305" s="1">
        <f t="shared" si="100"/>
        <v>28224</v>
      </c>
      <c r="K1305" s="1">
        <f t="shared" si="101"/>
        <v>8100</v>
      </c>
      <c r="L1305" s="1">
        <f t="shared" si="102"/>
        <v>36324</v>
      </c>
      <c r="M1305" s="1">
        <f t="shared" si="103"/>
        <v>190.58856209122308</v>
      </c>
      <c r="N1305" s="7">
        <f t="shared" si="104"/>
        <v>190.58856209122308</v>
      </c>
    </row>
    <row r="1306" spans="1:14" x14ac:dyDescent="0.25">
      <c r="A1306" t="str">
        <f>"14:12:08.430"</f>
        <v>14:12:08.430</v>
      </c>
      <c r="B1306">
        <v>39.557819000000002</v>
      </c>
      <c r="C1306">
        <v>-76.570500999999993</v>
      </c>
      <c r="D1306">
        <v>8700</v>
      </c>
      <c r="E1306">
        <v>9025</v>
      </c>
      <c r="F1306">
        <v>168</v>
      </c>
      <c r="G1306">
        <v>90</v>
      </c>
      <c r="H1306">
        <v>64</v>
      </c>
      <c r="J1306" s="1">
        <f t="shared" si="100"/>
        <v>28224</v>
      </c>
      <c r="K1306" s="1">
        <f t="shared" si="101"/>
        <v>8100</v>
      </c>
      <c r="L1306" s="1">
        <f t="shared" si="102"/>
        <v>36324</v>
      </c>
      <c r="M1306" s="1">
        <f t="shared" si="103"/>
        <v>190.58856209122308</v>
      </c>
      <c r="N1306" s="7">
        <f t="shared" si="104"/>
        <v>190.58856209122308</v>
      </c>
    </row>
    <row r="1307" spans="1:14" x14ac:dyDescent="0.25">
      <c r="A1307" t="str">
        <f>"14:12:09.438"</f>
        <v>14:12:09.438</v>
      </c>
      <c r="B1307">
        <v>39.558227000000002</v>
      </c>
      <c r="C1307">
        <v>-76.569450000000003</v>
      </c>
      <c r="D1307">
        <v>8700</v>
      </c>
      <c r="E1307">
        <v>9025</v>
      </c>
      <c r="F1307">
        <v>168</v>
      </c>
      <c r="G1307">
        <v>90</v>
      </c>
      <c r="H1307">
        <v>64</v>
      </c>
      <c r="J1307" s="1">
        <f t="shared" si="100"/>
        <v>28224</v>
      </c>
      <c r="K1307" s="1">
        <f t="shared" si="101"/>
        <v>8100</v>
      </c>
      <c r="L1307" s="1">
        <f t="shared" si="102"/>
        <v>36324</v>
      </c>
      <c r="M1307" s="1">
        <f t="shared" si="103"/>
        <v>190.58856209122308</v>
      </c>
      <c r="N1307" s="7">
        <f t="shared" si="104"/>
        <v>190.58856209122308</v>
      </c>
    </row>
    <row r="1308" spans="1:14" x14ac:dyDescent="0.25">
      <c r="A1308" t="str">
        <f>"14:12:10.500"</f>
        <v>14:12:10.500</v>
      </c>
      <c r="B1308">
        <v>39.558655999999999</v>
      </c>
      <c r="C1308">
        <v>-76.568483999999998</v>
      </c>
      <c r="D1308">
        <v>8700</v>
      </c>
      <c r="E1308">
        <v>9025</v>
      </c>
      <c r="F1308">
        <v>168</v>
      </c>
      <c r="G1308">
        <v>90</v>
      </c>
      <c r="H1308">
        <v>0</v>
      </c>
      <c r="J1308" s="1">
        <f t="shared" si="100"/>
        <v>28224</v>
      </c>
      <c r="K1308" s="1">
        <f t="shared" si="101"/>
        <v>8100</v>
      </c>
      <c r="L1308" s="1">
        <f t="shared" si="102"/>
        <v>36324</v>
      </c>
      <c r="M1308" s="1">
        <f t="shared" si="103"/>
        <v>190.58856209122308</v>
      </c>
      <c r="N1308" s="7">
        <f t="shared" si="104"/>
        <v>190.58856209122308</v>
      </c>
    </row>
    <row r="1309" spans="1:14" x14ac:dyDescent="0.25">
      <c r="A1309" t="str">
        <f>"14:12:11.359"</f>
        <v>14:12:11.359</v>
      </c>
      <c r="B1309">
        <v>39.559021000000001</v>
      </c>
      <c r="C1309">
        <v>-76.567605</v>
      </c>
      <c r="D1309">
        <v>8700</v>
      </c>
      <c r="E1309">
        <v>9025</v>
      </c>
      <c r="F1309">
        <v>168</v>
      </c>
      <c r="G1309">
        <v>90</v>
      </c>
      <c r="H1309">
        <v>0</v>
      </c>
      <c r="J1309" s="1">
        <f t="shared" si="100"/>
        <v>28224</v>
      </c>
      <c r="K1309" s="1">
        <f t="shared" si="101"/>
        <v>8100</v>
      </c>
      <c r="L1309" s="1">
        <f t="shared" si="102"/>
        <v>36324</v>
      </c>
      <c r="M1309" s="1">
        <f t="shared" si="103"/>
        <v>190.58856209122308</v>
      </c>
      <c r="N1309" s="7">
        <f t="shared" si="104"/>
        <v>190.58856209122308</v>
      </c>
    </row>
    <row r="1310" spans="1:14" x14ac:dyDescent="0.25">
      <c r="A1310" t="str">
        <f>"14:12:12.516"</f>
        <v>14:12:12.516</v>
      </c>
      <c r="B1310">
        <v>39.559514999999998</v>
      </c>
      <c r="C1310">
        <v>-76.566338999999999</v>
      </c>
      <c r="D1310">
        <v>8700</v>
      </c>
      <c r="E1310">
        <v>9025</v>
      </c>
      <c r="F1310">
        <v>168</v>
      </c>
      <c r="G1310">
        <v>90</v>
      </c>
      <c r="H1310">
        <v>-64</v>
      </c>
      <c r="J1310" s="1">
        <f t="shared" si="100"/>
        <v>28224</v>
      </c>
      <c r="K1310" s="1">
        <f t="shared" si="101"/>
        <v>8100</v>
      </c>
      <c r="L1310" s="1">
        <f t="shared" si="102"/>
        <v>36324</v>
      </c>
      <c r="M1310" s="1">
        <f t="shared" si="103"/>
        <v>190.58856209122308</v>
      </c>
      <c r="N1310" s="7">
        <f t="shared" si="104"/>
        <v>190.58856209122308</v>
      </c>
    </row>
    <row r="1311" spans="1:14" x14ac:dyDescent="0.25">
      <c r="A1311" t="str">
        <f>"14:12:13.531"</f>
        <v>14:12:13.531</v>
      </c>
      <c r="B1311">
        <v>39.559944000000002</v>
      </c>
      <c r="C1311">
        <v>-76.565330000000003</v>
      </c>
      <c r="D1311">
        <v>8700</v>
      </c>
      <c r="E1311">
        <v>9025</v>
      </c>
      <c r="F1311">
        <v>168</v>
      </c>
      <c r="G1311">
        <v>89</v>
      </c>
      <c r="H1311">
        <v>-64</v>
      </c>
      <c r="J1311" s="1">
        <f t="shared" si="100"/>
        <v>28224</v>
      </c>
      <c r="K1311" s="1">
        <f t="shared" si="101"/>
        <v>7921</v>
      </c>
      <c r="L1311" s="1">
        <f t="shared" si="102"/>
        <v>36145</v>
      </c>
      <c r="M1311" s="1">
        <f t="shared" si="103"/>
        <v>190.11838417154718</v>
      </c>
      <c r="N1311" s="7">
        <f t="shared" si="104"/>
        <v>190.11838417154718</v>
      </c>
    </row>
    <row r="1312" spans="1:14" x14ac:dyDescent="0.25">
      <c r="A1312" t="str">
        <f>"14:12:14.539"</f>
        <v>14:12:14.539</v>
      </c>
      <c r="B1312">
        <v>39.560350999999997</v>
      </c>
      <c r="C1312">
        <v>-76.564385999999999</v>
      </c>
      <c r="D1312">
        <v>8700</v>
      </c>
      <c r="E1312">
        <v>9025</v>
      </c>
      <c r="F1312">
        <v>168</v>
      </c>
      <c r="G1312">
        <v>89</v>
      </c>
      <c r="H1312">
        <v>-64</v>
      </c>
      <c r="J1312" s="1">
        <f t="shared" si="100"/>
        <v>28224</v>
      </c>
      <c r="K1312" s="1">
        <f t="shared" si="101"/>
        <v>7921</v>
      </c>
      <c r="L1312" s="1">
        <f t="shared" si="102"/>
        <v>36145</v>
      </c>
      <c r="M1312" s="1">
        <f t="shared" si="103"/>
        <v>190.11838417154718</v>
      </c>
      <c r="N1312" s="7">
        <f t="shared" si="104"/>
        <v>190.11838417154718</v>
      </c>
    </row>
    <row r="1313" spans="1:14" x14ac:dyDescent="0.25">
      <c r="A1313" t="str">
        <f>"14:12:15.398"</f>
        <v>14:12:15.398</v>
      </c>
      <c r="B1313">
        <v>39.560695000000003</v>
      </c>
      <c r="C1313">
        <v>-76.563419999999994</v>
      </c>
      <c r="D1313">
        <v>8700</v>
      </c>
      <c r="E1313">
        <v>9025</v>
      </c>
      <c r="F1313">
        <v>169</v>
      </c>
      <c r="G1313">
        <v>89</v>
      </c>
      <c r="H1313">
        <v>-128</v>
      </c>
      <c r="J1313" s="1">
        <f t="shared" si="100"/>
        <v>28561</v>
      </c>
      <c r="K1313" s="1">
        <f t="shared" si="101"/>
        <v>7921</v>
      </c>
      <c r="L1313" s="1">
        <f t="shared" si="102"/>
        <v>36482</v>
      </c>
      <c r="M1313" s="1">
        <f t="shared" si="103"/>
        <v>191.00261778310789</v>
      </c>
      <c r="N1313" s="7">
        <f t="shared" si="104"/>
        <v>191.00261778310789</v>
      </c>
    </row>
    <row r="1314" spans="1:14" x14ac:dyDescent="0.25">
      <c r="A1314" t="str">
        <f>"14:12:16.453"</f>
        <v>14:12:16.453</v>
      </c>
      <c r="B1314">
        <v>39.561166999999998</v>
      </c>
      <c r="C1314">
        <v>-76.562347000000003</v>
      </c>
      <c r="D1314">
        <v>8700</v>
      </c>
      <c r="E1314">
        <v>9025</v>
      </c>
      <c r="F1314">
        <v>169</v>
      </c>
      <c r="G1314">
        <v>89</v>
      </c>
      <c r="H1314">
        <v>-128</v>
      </c>
      <c r="J1314" s="1">
        <f t="shared" si="100"/>
        <v>28561</v>
      </c>
      <c r="K1314" s="1">
        <f t="shared" si="101"/>
        <v>7921</v>
      </c>
      <c r="L1314" s="1">
        <f t="shared" si="102"/>
        <v>36482</v>
      </c>
      <c r="M1314" s="1">
        <f t="shared" si="103"/>
        <v>191.00261778310789</v>
      </c>
      <c r="N1314" s="7">
        <f t="shared" si="104"/>
        <v>191.00261778310789</v>
      </c>
    </row>
    <row r="1315" spans="1:14" x14ac:dyDescent="0.25">
      <c r="A1315" t="str">
        <f>"14:12:17.414"</f>
        <v>14:12:17.414</v>
      </c>
      <c r="B1315">
        <v>39.561532</v>
      </c>
      <c r="C1315">
        <v>-76.561402999999999</v>
      </c>
      <c r="D1315">
        <v>8700</v>
      </c>
      <c r="E1315">
        <v>9025</v>
      </c>
      <c r="F1315">
        <v>169</v>
      </c>
      <c r="G1315">
        <v>89</v>
      </c>
      <c r="H1315">
        <v>-128</v>
      </c>
      <c r="J1315" s="1">
        <f t="shared" si="100"/>
        <v>28561</v>
      </c>
      <c r="K1315" s="1">
        <f t="shared" si="101"/>
        <v>7921</v>
      </c>
      <c r="L1315" s="1">
        <f t="shared" si="102"/>
        <v>36482</v>
      </c>
      <c r="M1315" s="1">
        <f t="shared" si="103"/>
        <v>191.00261778310789</v>
      </c>
      <c r="N1315" s="7">
        <f t="shared" si="104"/>
        <v>191.00261778310789</v>
      </c>
    </row>
    <row r="1316" spans="1:14" x14ac:dyDescent="0.25">
      <c r="A1316" t="str">
        <f>"14:12:18.422"</f>
        <v>14:12:18.422</v>
      </c>
      <c r="B1316">
        <v>39.561960999999997</v>
      </c>
      <c r="C1316">
        <v>-76.560416000000004</v>
      </c>
      <c r="D1316">
        <v>8700</v>
      </c>
      <c r="E1316">
        <v>9025</v>
      </c>
      <c r="F1316">
        <v>169</v>
      </c>
      <c r="G1316">
        <v>89</v>
      </c>
      <c r="H1316">
        <v>-128</v>
      </c>
      <c r="J1316" s="1">
        <f t="shared" si="100"/>
        <v>28561</v>
      </c>
      <c r="K1316" s="1">
        <f t="shared" si="101"/>
        <v>7921</v>
      </c>
      <c r="L1316" s="1">
        <f t="shared" si="102"/>
        <v>36482</v>
      </c>
      <c r="M1316" s="1">
        <f t="shared" si="103"/>
        <v>191.00261778310789</v>
      </c>
      <c r="N1316" s="7">
        <f t="shared" si="104"/>
        <v>191.00261778310789</v>
      </c>
    </row>
    <row r="1317" spans="1:14" x14ac:dyDescent="0.25">
      <c r="A1317" t="str">
        <f>"14:12:19.383"</f>
        <v>14:12:19.383</v>
      </c>
      <c r="B1317">
        <v>39.562367999999999</v>
      </c>
      <c r="C1317">
        <v>-76.559386000000003</v>
      </c>
      <c r="D1317">
        <v>8700</v>
      </c>
      <c r="E1317">
        <v>9025</v>
      </c>
      <c r="F1317">
        <v>169</v>
      </c>
      <c r="G1317">
        <v>89</v>
      </c>
      <c r="H1317">
        <v>-128</v>
      </c>
      <c r="J1317" s="1">
        <f t="shared" si="100"/>
        <v>28561</v>
      </c>
      <c r="K1317" s="1">
        <f t="shared" si="101"/>
        <v>7921</v>
      </c>
      <c r="L1317" s="1">
        <f t="shared" si="102"/>
        <v>36482</v>
      </c>
      <c r="M1317" s="1">
        <f t="shared" si="103"/>
        <v>191.00261778310789</v>
      </c>
      <c r="N1317" s="7">
        <f t="shared" si="104"/>
        <v>191.00261778310789</v>
      </c>
    </row>
    <row r="1318" spans="1:14" x14ac:dyDescent="0.25">
      <c r="A1318" t="str">
        <f>"14:12:20.242"</f>
        <v>14:12:20.242</v>
      </c>
      <c r="B1318">
        <v>39.562690000000003</v>
      </c>
      <c r="C1318">
        <v>-76.558592000000004</v>
      </c>
      <c r="D1318">
        <v>8700</v>
      </c>
      <c r="E1318">
        <v>9025</v>
      </c>
      <c r="F1318">
        <v>169</v>
      </c>
      <c r="G1318">
        <v>89</v>
      </c>
      <c r="H1318">
        <v>-128</v>
      </c>
      <c r="J1318" s="1">
        <f t="shared" si="100"/>
        <v>28561</v>
      </c>
      <c r="K1318" s="1">
        <f t="shared" si="101"/>
        <v>7921</v>
      </c>
      <c r="L1318" s="1">
        <f t="shared" si="102"/>
        <v>36482</v>
      </c>
      <c r="M1318" s="1">
        <f t="shared" si="103"/>
        <v>191.00261778310789</v>
      </c>
      <c r="N1318" s="7">
        <f t="shared" si="104"/>
        <v>191.00261778310789</v>
      </c>
    </row>
    <row r="1319" spans="1:14" x14ac:dyDescent="0.25">
      <c r="A1319" t="str">
        <f>"14:12:21.156"</f>
        <v>14:12:21.156</v>
      </c>
      <c r="B1319">
        <v>39.563054999999999</v>
      </c>
      <c r="C1319">
        <v>-76.557691000000005</v>
      </c>
      <c r="D1319">
        <v>8700</v>
      </c>
      <c r="E1319">
        <v>9025</v>
      </c>
      <c r="F1319">
        <v>169</v>
      </c>
      <c r="G1319">
        <v>89</v>
      </c>
      <c r="H1319">
        <v>-64</v>
      </c>
      <c r="J1319" s="1">
        <f t="shared" si="100"/>
        <v>28561</v>
      </c>
      <c r="K1319" s="1">
        <f t="shared" si="101"/>
        <v>7921</v>
      </c>
      <c r="L1319" s="1">
        <f t="shared" si="102"/>
        <v>36482</v>
      </c>
      <c r="M1319" s="1">
        <f t="shared" si="103"/>
        <v>191.00261778310789</v>
      </c>
      <c r="N1319" s="7">
        <f t="shared" si="104"/>
        <v>191.00261778310789</v>
      </c>
    </row>
    <row r="1320" spans="1:14" x14ac:dyDescent="0.25">
      <c r="A1320" t="str">
        <f>"14:12:22.008"</f>
        <v>14:12:22.008</v>
      </c>
      <c r="B1320">
        <v>39.563440999999997</v>
      </c>
      <c r="C1320">
        <v>-76.556768000000005</v>
      </c>
      <c r="D1320">
        <v>8700</v>
      </c>
      <c r="E1320">
        <v>9025</v>
      </c>
      <c r="F1320">
        <v>170</v>
      </c>
      <c r="G1320">
        <v>88</v>
      </c>
      <c r="H1320">
        <v>-64</v>
      </c>
      <c r="J1320" s="1">
        <f t="shared" si="100"/>
        <v>28900</v>
      </c>
      <c r="K1320" s="1">
        <f t="shared" si="101"/>
        <v>7744</v>
      </c>
      <c r="L1320" s="1">
        <f t="shared" si="102"/>
        <v>36644</v>
      </c>
      <c r="M1320" s="1">
        <f t="shared" si="103"/>
        <v>191.42622599842477</v>
      </c>
      <c r="N1320" s="7">
        <f t="shared" si="104"/>
        <v>191.42622599842477</v>
      </c>
    </row>
    <row r="1321" spans="1:14" x14ac:dyDescent="0.25">
      <c r="A1321" t="str">
        <f>"14:12:23.023"</f>
        <v>14:12:23.023</v>
      </c>
      <c r="B1321">
        <v>39.563870000000001</v>
      </c>
      <c r="C1321">
        <v>-76.555717000000001</v>
      </c>
      <c r="D1321">
        <v>8700</v>
      </c>
      <c r="E1321">
        <v>9025</v>
      </c>
      <c r="F1321">
        <v>170</v>
      </c>
      <c r="G1321">
        <v>88</v>
      </c>
      <c r="H1321">
        <v>-64</v>
      </c>
      <c r="J1321" s="1">
        <f t="shared" si="100"/>
        <v>28900</v>
      </c>
      <c r="K1321" s="1">
        <f t="shared" si="101"/>
        <v>7744</v>
      </c>
      <c r="L1321" s="1">
        <f t="shared" si="102"/>
        <v>36644</v>
      </c>
      <c r="M1321" s="1">
        <f t="shared" si="103"/>
        <v>191.42622599842477</v>
      </c>
      <c r="N1321" s="7">
        <f t="shared" si="104"/>
        <v>191.42622599842477</v>
      </c>
    </row>
    <row r="1322" spans="1:14" x14ac:dyDescent="0.25">
      <c r="A1322" t="str">
        <f>"14:12:23.930"</f>
        <v>14:12:23.930</v>
      </c>
      <c r="B1322">
        <v>39.564191999999998</v>
      </c>
      <c r="C1322">
        <v>-76.554816000000002</v>
      </c>
      <c r="D1322">
        <v>8700</v>
      </c>
      <c r="E1322">
        <v>9025</v>
      </c>
      <c r="F1322">
        <v>170</v>
      </c>
      <c r="G1322">
        <v>88</v>
      </c>
      <c r="H1322">
        <v>-64</v>
      </c>
      <c r="J1322" s="1">
        <f t="shared" si="100"/>
        <v>28900</v>
      </c>
      <c r="K1322" s="1">
        <f t="shared" si="101"/>
        <v>7744</v>
      </c>
      <c r="L1322" s="1">
        <f t="shared" si="102"/>
        <v>36644</v>
      </c>
      <c r="M1322" s="1">
        <f t="shared" si="103"/>
        <v>191.42622599842477</v>
      </c>
      <c r="N1322" s="7">
        <f t="shared" si="104"/>
        <v>191.42622599842477</v>
      </c>
    </row>
    <row r="1323" spans="1:14" x14ac:dyDescent="0.25">
      <c r="A1323" t="str">
        <f>"14:12:24.836"</f>
        <v>14:12:24.836</v>
      </c>
      <c r="B1323">
        <v>39.564557000000001</v>
      </c>
      <c r="C1323">
        <v>-76.553893000000002</v>
      </c>
      <c r="D1323">
        <v>8700</v>
      </c>
      <c r="E1323">
        <v>9025</v>
      </c>
      <c r="F1323">
        <v>170</v>
      </c>
      <c r="G1323">
        <v>88</v>
      </c>
      <c r="H1323">
        <v>0</v>
      </c>
      <c r="J1323" s="1">
        <f t="shared" si="100"/>
        <v>28900</v>
      </c>
      <c r="K1323" s="1">
        <f t="shared" si="101"/>
        <v>7744</v>
      </c>
      <c r="L1323" s="1">
        <f t="shared" si="102"/>
        <v>36644</v>
      </c>
      <c r="M1323" s="1">
        <f t="shared" si="103"/>
        <v>191.42622599842477</v>
      </c>
      <c r="N1323" s="7">
        <f t="shared" si="104"/>
        <v>191.42622599842477</v>
      </c>
    </row>
    <row r="1324" spans="1:14" x14ac:dyDescent="0.25">
      <c r="A1324" t="str">
        <f>"14:12:25.898"</f>
        <v>14:12:25.898</v>
      </c>
      <c r="B1324">
        <v>39.565007999999999</v>
      </c>
      <c r="C1324">
        <v>-76.552798999999993</v>
      </c>
      <c r="D1324">
        <v>8700</v>
      </c>
      <c r="E1324">
        <v>9025</v>
      </c>
      <c r="F1324">
        <v>170</v>
      </c>
      <c r="G1324">
        <v>88</v>
      </c>
      <c r="H1324">
        <v>0</v>
      </c>
      <c r="J1324" s="1">
        <f t="shared" si="100"/>
        <v>28900</v>
      </c>
      <c r="K1324" s="1">
        <f t="shared" si="101"/>
        <v>7744</v>
      </c>
      <c r="L1324" s="1">
        <f t="shared" si="102"/>
        <v>36644</v>
      </c>
      <c r="M1324" s="1">
        <f t="shared" si="103"/>
        <v>191.42622599842477</v>
      </c>
      <c r="N1324" s="7">
        <f t="shared" si="104"/>
        <v>191.42622599842477</v>
      </c>
    </row>
    <row r="1325" spans="1:14" x14ac:dyDescent="0.25">
      <c r="A1325" t="str">
        <f>"14:12:26.953"</f>
        <v>14:12:26.953</v>
      </c>
      <c r="B1325">
        <v>39.565437000000003</v>
      </c>
      <c r="C1325">
        <v>-76.551768999999993</v>
      </c>
      <c r="D1325">
        <v>8700</v>
      </c>
      <c r="E1325">
        <v>9025</v>
      </c>
      <c r="F1325">
        <v>170</v>
      </c>
      <c r="G1325">
        <v>88</v>
      </c>
      <c r="H1325">
        <v>0</v>
      </c>
      <c r="J1325" s="1">
        <f t="shared" si="100"/>
        <v>28900</v>
      </c>
      <c r="K1325" s="1">
        <f t="shared" si="101"/>
        <v>7744</v>
      </c>
      <c r="L1325" s="1">
        <f t="shared" si="102"/>
        <v>36644</v>
      </c>
      <c r="M1325" s="1">
        <f t="shared" si="103"/>
        <v>191.42622599842477</v>
      </c>
      <c r="N1325" s="7">
        <f t="shared" si="104"/>
        <v>191.42622599842477</v>
      </c>
    </row>
    <row r="1326" spans="1:14" x14ac:dyDescent="0.25">
      <c r="A1326" t="str">
        <f>"14:12:27.969"</f>
        <v>14:12:27.969</v>
      </c>
      <c r="B1326">
        <v>39.565866</v>
      </c>
      <c r="C1326">
        <v>-76.550652999999997</v>
      </c>
      <c r="D1326">
        <v>8700</v>
      </c>
      <c r="E1326">
        <v>9025</v>
      </c>
      <c r="F1326">
        <v>170</v>
      </c>
      <c r="G1326">
        <v>87</v>
      </c>
      <c r="H1326">
        <v>0</v>
      </c>
      <c r="J1326" s="1">
        <f t="shared" si="100"/>
        <v>28900</v>
      </c>
      <c r="K1326" s="1">
        <f t="shared" si="101"/>
        <v>7569</v>
      </c>
      <c r="L1326" s="1">
        <f t="shared" si="102"/>
        <v>36469</v>
      </c>
      <c r="M1326" s="1">
        <f t="shared" si="103"/>
        <v>190.9685838037241</v>
      </c>
      <c r="N1326" s="7">
        <f t="shared" si="104"/>
        <v>190.9685838037241</v>
      </c>
    </row>
    <row r="1327" spans="1:14" x14ac:dyDescent="0.25">
      <c r="A1327" t="str">
        <f>"14:12:29.375"</f>
        <v>14:12:29.375</v>
      </c>
      <c r="B1327">
        <v>39.566423999999998</v>
      </c>
      <c r="C1327">
        <v>-76.549257999999995</v>
      </c>
      <c r="D1327">
        <v>8700</v>
      </c>
      <c r="E1327">
        <v>9025</v>
      </c>
      <c r="F1327">
        <v>170</v>
      </c>
      <c r="G1327">
        <v>87</v>
      </c>
      <c r="H1327">
        <v>64</v>
      </c>
      <c r="J1327" s="1">
        <f t="shared" si="100"/>
        <v>28900</v>
      </c>
      <c r="K1327" s="1">
        <f t="shared" si="101"/>
        <v>7569</v>
      </c>
      <c r="L1327" s="1">
        <f t="shared" si="102"/>
        <v>36469</v>
      </c>
      <c r="M1327" s="1">
        <f t="shared" si="103"/>
        <v>190.9685838037241</v>
      </c>
      <c r="N1327" s="7">
        <f t="shared" si="104"/>
        <v>190.9685838037241</v>
      </c>
    </row>
    <row r="1328" spans="1:14" x14ac:dyDescent="0.25">
      <c r="A1328" t="str">
        <f>"14:12:30.289"</f>
        <v>14:12:30.289</v>
      </c>
      <c r="B1328">
        <v>39.566809999999997</v>
      </c>
      <c r="C1328">
        <v>-76.548314000000005</v>
      </c>
      <c r="D1328">
        <v>8700</v>
      </c>
      <c r="E1328">
        <v>9025</v>
      </c>
      <c r="F1328">
        <v>170</v>
      </c>
      <c r="G1328">
        <v>87</v>
      </c>
      <c r="H1328">
        <v>0</v>
      </c>
      <c r="J1328" s="1">
        <f t="shared" si="100"/>
        <v>28900</v>
      </c>
      <c r="K1328" s="1">
        <f t="shared" si="101"/>
        <v>7569</v>
      </c>
      <c r="L1328" s="1">
        <f t="shared" si="102"/>
        <v>36469</v>
      </c>
      <c r="M1328" s="1">
        <f t="shared" si="103"/>
        <v>190.9685838037241</v>
      </c>
      <c r="N1328" s="7">
        <f t="shared" si="104"/>
        <v>190.9685838037241</v>
      </c>
    </row>
    <row r="1329" spans="1:14" x14ac:dyDescent="0.25">
      <c r="A1329" t="str">
        <f>"14:12:31.250"</f>
        <v>14:12:31.250</v>
      </c>
      <c r="B1329">
        <v>39.567174999999999</v>
      </c>
      <c r="C1329">
        <v>-76.547433999999996</v>
      </c>
      <c r="D1329">
        <v>8700</v>
      </c>
      <c r="E1329">
        <v>9025</v>
      </c>
      <c r="F1329">
        <v>169</v>
      </c>
      <c r="G1329">
        <v>87</v>
      </c>
      <c r="H1329">
        <v>64</v>
      </c>
      <c r="J1329" s="1">
        <f t="shared" si="100"/>
        <v>28561</v>
      </c>
      <c r="K1329" s="1">
        <f t="shared" si="101"/>
        <v>7569</v>
      </c>
      <c r="L1329" s="1">
        <f t="shared" si="102"/>
        <v>36130</v>
      </c>
      <c r="M1329" s="1">
        <f t="shared" si="103"/>
        <v>190.07893097342483</v>
      </c>
      <c r="N1329" s="7">
        <f t="shared" si="104"/>
        <v>190.07893097342483</v>
      </c>
    </row>
    <row r="1330" spans="1:14" x14ac:dyDescent="0.25">
      <c r="A1330" t="str">
        <f>"14:12:32.305"</f>
        <v>14:12:32.305</v>
      </c>
      <c r="B1330">
        <v>39.567625999999997</v>
      </c>
      <c r="C1330">
        <v>-76.546276000000006</v>
      </c>
      <c r="D1330">
        <v>8700</v>
      </c>
      <c r="E1330">
        <v>9025</v>
      </c>
      <c r="F1330">
        <v>169</v>
      </c>
      <c r="G1330">
        <v>87</v>
      </c>
      <c r="H1330">
        <v>64</v>
      </c>
      <c r="J1330" s="1">
        <f t="shared" si="100"/>
        <v>28561</v>
      </c>
      <c r="K1330" s="1">
        <f t="shared" si="101"/>
        <v>7569</v>
      </c>
      <c r="L1330" s="1">
        <f t="shared" si="102"/>
        <v>36130</v>
      </c>
      <c r="M1330" s="1">
        <f t="shared" si="103"/>
        <v>190.07893097342483</v>
      </c>
      <c r="N1330" s="7">
        <f t="shared" si="104"/>
        <v>190.07893097342483</v>
      </c>
    </row>
    <row r="1331" spans="1:14" x14ac:dyDescent="0.25">
      <c r="A1331" t="str">
        <f>"14:12:33.266"</f>
        <v>14:12:33.266</v>
      </c>
      <c r="B1331">
        <v>39.567990000000002</v>
      </c>
      <c r="C1331">
        <v>-76.545266999999996</v>
      </c>
      <c r="D1331">
        <v>8700</v>
      </c>
      <c r="E1331">
        <v>9025</v>
      </c>
      <c r="F1331">
        <v>169</v>
      </c>
      <c r="G1331">
        <v>87</v>
      </c>
      <c r="H1331">
        <v>0</v>
      </c>
      <c r="J1331" s="1">
        <f t="shared" si="100"/>
        <v>28561</v>
      </c>
      <c r="K1331" s="1">
        <f t="shared" si="101"/>
        <v>7569</v>
      </c>
      <c r="L1331" s="1">
        <f t="shared" si="102"/>
        <v>36130</v>
      </c>
      <c r="M1331" s="1">
        <f t="shared" si="103"/>
        <v>190.07893097342483</v>
      </c>
      <c r="N1331" s="7">
        <f t="shared" si="104"/>
        <v>190.07893097342483</v>
      </c>
    </row>
    <row r="1332" spans="1:14" x14ac:dyDescent="0.25">
      <c r="A1332" t="str">
        <f>"14:12:34.430"</f>
        <v>14:12:34.430</v>
      </c>
      <c r="B1332">
        <v>39.568461999999997</v>
      </c>
      <c r="C1332">
        <v>-76.544194000000005</v>
      </c>
      <c r="D1332">
        <v>8700</v>
      </c>
      <c r="E1332">
        <v>9025</v>
      </c>
      <c r="F1332">
        <v>169</v>
      </c>
      <c r="G1332">
        <v>87</v>
      </c>
      <c r="H1332">
        <v>64</v>
      </c>
      <c r="J1332" s="1">
        <f t="shared" si="100"/>
        <v>28561</v>
      </c>
      <c r="K1332" s="1">
        <f t="shared" si="101"/>
        <v>7569</v>
      </c>
      <c r="L1332" s="1">
        <f t="shared" si="102"/>
        <v>36130</v>
      </c>
      <c r="M1332" s="1">
        <f t="shared" si="103"/>
        <v>190.07893097342483</v>
      </c>
      <c r="N1332" s="7">
        <f t="shared" si="104"/>
        <v>190.07893097342483</v>
      </c>
    </row>
    <row r="1333" spans="1:14" x14ac:dyDescent="0.25">
      <c r="A1333" t="str">
        <f>"14:12:35.336"</f>
        <v>14:12:35.336</v>
      </c>
      <c r="B1333">
        <v>39.568826999999999</v>
      </c>
      <c r="C1333">
        <v>-76.543293000000006</v>
      </c>
      <c r="D1333">
        <v>8700</v>
      </c>
      <c r="E1333">
        <v>9025</v>
      </c>
      <c r="F1333">
        <v>169</v>
      </c>
      <c r="G1333">
        <v>87</v>
      </c>
      <c r="H1333">
        <v>0</v>
      </c>
      <c r="J1333" s="1">
        <f t="shared" si="100"/>
        <v>28561</v>
      </c>
      <c r="K1333" s="1">
        <f t="shared" si="101"/>
        <v>7569</v>
      </c>
      <c r="L1333" s="1">
        <f t="shared" si="102"/>
        <v>36130</v>
      </c>
      <c r="M1333" s="1">
        <f t="shared" si="103"/>
        <v>190.07893097342483</v>
      </c>
      <c r="N1333" s="7">
        <f t="shared" si="104"/>
        <v>190.07893097342483</v>
      </c>
    </row>
    <row r="1334" spans="1:14" x14ac:dyDescent="0.25">
      <c r="A1334" t="str">
        <f>"14:12:36.398"</f>
        <v>14:12:36.398</v>
      </c>
      <c r="B1334">
        <v>39.569256000000003</v>
      </c>
      <c r="C1334">
        <v>-76.542176999999995</v>
      </c>
      <c r="D1334">
        <v>8700</v>
      </c>
      <c r="E1334">
        <v>9025</v>
      </c>
      <c r="F1334">
        <v>169</v>
      </c>
      <c r="G1334">
        <v>88</v>
      </c>
      <c r="H1334">
        <v>0</v>
      </c>
      <c r="J1334" s="1">
        <f t="shared" si="100"/>
        <v>28561</v>
      </c>
      <c r="K1334" s="1">
        <f t="shared" si="101"/>
        <v>7744</v>
      </c>
      <c r="L1334" s="1">
        <f t="shared" si="102"/>
        <v>36305</v>
      </c>
      <c r="M1334" s="1">
        <f t="shared" si="103"/>
        <v>190.53870997778904</v>
      </c>
      <c r="N1334" s="7">
        <f t="shared" si="104"/>
        <v>190.53870997778904</v>
      </c>
    </row>
    <row r="1335" spans="1:14" x14ac:dyDescent="0.25">
      <c r="A1335" t="str">
        <f>"14:12:37.508"</f>
        <v>14:12:37.508</v>
      </c>
      <c r="B1335">
        <v>39.569727999999998</v>
      </c>
      <c r="C1335">
        <v>-76.541039999999995</v>
      </c>
      <c r="D1335">
        <v>8700</v>
      </c>
      <c r="E1335">
        <v>9025</v>
      </c>
      <c r="F1335">
        <v>168</v>
      </c>
      <c r="G1335">
        <v>88</v>
      </c>
      <c r="H1335">
        <v>0</v>
      </c>
      <c r="J1335" s="1">
        <f t="shared" si="100"/>
        <v>28224</v>
      </c>
      <c r="K1335" s="1">
        <f t="shared" si="101"/>
        <v>7744</v>
      </c>
      <c r="L1335" s="1">
        <f t="shared" si="102"/>
        <v>35968</v>
      </c>
      <c r="M1335" s="1">
        <f t="shared" si="103"/>
        <v>189.65231345807516</v>
      </c>
      <c r="N1335" s="7">
        <f t="shared" si="104"/>
        <v>189.65231345807516</v>
      </c>
    </row>
    <row r="1336" spans="1:14" x14ac:dyDescent="0.25">
      <c r="A1336" t="str">
        <f>"14:12:38.570"</f>
        <v>14:12:38.570</v>
      </c>
      <c r="B1336">
        <v>39.570157999999999</v>
      </c>
      <c r="C1336">
        <v>-76.539923999999999</v>
      </c>
      <c r="D1336">
        <v>8700</v>
      </c>
      <c r="E1336">
        <v>9025</v>
      </c>
      <c r="F1336">
        <v>168</v>
      </c>
      <c r="G1336">
        <v>88</v>
      </c>
      <c r="H1336">
        <v>0</v>
      </c>
      <c r="J1336" s="1">
        <f t="shared" si="100"/>
        <v>28224</v>
      </c>
      <c r="K1336" s="1">
        <f t="shared" si="101"/>
        <v>7744</v>
      </c>
      <c r="L1336" s="1">
        <f t="shared" si="102"/>
        <v>35968</v>
      </c>
      <c r="M1336" s="1">
        <f t="shared" si="103"/>
        <v>189.65231345807516</v>
      </c>
      <c r="N1336" s="7">
        <f t="shared" si="104"/>
        <v>189.65231345807516</v>
      </c>
    </row>
    <row r="1337" spans="1:14" x14ac:dyDescent="0.25">
      <c r="A1337" t="str">
        <f>"14:12:39.578"</f>
        <v>14:12:39.578</v>
      </c>
      <c r="B1337">
        <v>39.570565000000002</v>
      </c>
      <c r="C1337">
        <v>-76.538937000000004</v>
      </c>
      <c r="D1337">
        <v>8700</v>
      </c>
      <c r="E1337">
        <v>9025</v>
      </c>
      <c r="F1337">
        <v>168</v>
      </c>
      <c r="G1337">
        <v>89</v>
      </c>
      <c r="H1337">
        <v>0</v>
      </c>
      <c r="J1337" s="1">
        <f t="shared" si="100"/>
        <v>28224</v>
      </c>
      <c r="K1337" s="1">
        <f t="shared" si="101"/>
        <v>7921</v>
      </c>
      <c r="L1337" s="1">
        <f t="shared" si="102"/>
        <v>36145</v>
      </c>
      <c r="M1337" s="1">
        <f t="shared" si="103"/>
        <v>190.11838417154718</v>
      </c>
      <c r="N1337" s="7">
        <f t="shared" si="104"/>
        <v>190.11838417154718</v>
      </c>
    </row>
    <row r="1338" spans="1:14" x14ac:dyDescent="0.25">
      <c r="A1338" t="str">
        <f>"14:12:40.539"</f>
        <v>14:12:40.539</v>
      </c>
      <c r="B1338">
        <v>39.570973000000002</v>
      </c>
      <c r="C1338">
        <v>-76.538036000000005</v>
      </c>
      <c r="D1338">
        <v>8700</v>
      </c>
      <c r="E1338">
        <v>9025</v>
      </c>
      <c r="F1338">
        <v>168</v>
      </c>
      <c r="G1338">
        <v>90</v>
      </c>
      <c r="H1338">
        <v>0</v>
      </c>
      <c r="J1338" s="1">
        <f t="shared" si="100"/>
        <v>28224</v>
      </c>
      <c r="K1338" s="1">
        <f t="shared" si="101"/>
        <v>8100</v>
      </c>
      <c r="L1338" s="1">
        <f t="shared" si="102"/>
        <v>36324</v>
      </c>
      <c r="M1338" s="1">
        <f t="shared" si="103"/>
        <v>190.58856209122308</v>
      </c>
      <c r="N1338" s="7">
        <f t="shared" si="104"/>
        <v>190.58856209122308</v>
      </c>
    </row>
    <row r="1339" spans="1:14" x14ac:dyDescent="0.25">
      <c r="A1339" t="str">
        <f>"14:12:41.445"</f>
        <v>14:12:41.445</v>
      </c>
      <c r="B1339">
        <v>39.571316000000003</v>
      </c>
      <c r="C1339">
        <v>-76.537177999999997</v>
      </c>
      <c r="D1339">
        <v>8700</v>
      </c>
      <c r="E1339">
        <v>9025</v>
      </c>
      <c r="F1339">
        <v>167</v>
      </c>
      <c r="G1339">
        <v>90</v>
      </c>
      <c r="H1339">
        <v>0</v>
      </c>
      <c r="J1339" s="1">
        <f t="shared" si="100"/>
        <v>27889</v>
      </c>
      <c r="K1339" s="1">
        <f t="shared" si="101"/>
        <v>8100</v>
      </c>
      <c r="L1339" s="1">
        <f t="shared" si="102"/>
        <v>35989</v>
      </c>
      <c r="M1339" s="1">
        <f t="shared" si="103"/>
        <v>189.70766985021982</v>
      </c>
      <c r="N1339" s="7">
        <f t="shared" si="104"/>
        <v>189.70766985021982</v>
      </c>
    </row>
    <row r="1340" spans="1:14" x14ac:dyDescent="0.25">
      <c r="A1340" t="str">
        <f>"14:12:42.555"</f>
        <v>14:12:42.555</v>
      </c>
      <c r="B1340">
        <v>39.571831000000003</v>
      </c>
      <c r="C1340">
        <v>-76.535954000000004</v>
      </c>
      <c r="D1340">
        <v>8700</v>
      </c>
      <c r="E1340">
        <v>9025</v>
      </c>
      <c r="F1340">
        <v>167</v>
      </c>
      <c r="G1340">
        <v>91</v>
      </c>
      <c r="H1340">
        <v>0</v>
      </c>
      <c r="J1340" s="1">
        <f t="shared" si="100"/>
        <v>27889</v>
      </c>
      <c r="K1340" s="1">
        <f t="shared" si="101"/>
        <v>8281</v>
      </c>
      <c r="L1340" s="1">
        <f t="shared" si="102"/>
        <v>36170</v>
      </c>
      <c r="M1340" s="1">
        <f t="shared" si="103"/>
        <v>190.18412131405714</v>
      </c>
      <c r="N1340" s="7">
        <f t="shared" si="104"/>
        <v>190.18412131405714</v>
      </c>
    </row>
    <row r="1341" spans="1:14" x14ac:dyDescent="0.25">
      <c r="A1341" t="str">
        <f>"14:12:43.516"</f>
        <v>14:12:43.516</v>
      </c>
      <c r="B1341">
        <v>39.572195999999998</v>
      </c>
      <c r="C1341">
        <v>-76.535053000000005</v>
      </c>
      <c r="D1341">
        <v>8700</v>
      </c>
      <c r="E1341">
        <v>9025</v>
      </c>
      <c r="F1341">
        <v>167</v>
      </c>
      <c r="G1341">
        <v>91</v>
      </c>
      <c r="H1341">
        <v>0</v>
      </c>
      <c r="J1341" s="1">
        <f t="shared" si="100"/>
        <v>27889</v>
      </c>
      <c r="K1341" s="1">
        <f t="shared" si="101"/>
        <v>8281</v>
      </c>
      <c r="L1341" s="1">
        <f t="shared" si="102"/>
        <v>36170</v>
      </c>
      <c r="M1341" s="1">
        <f t="shared" si="103"/>
        <v>190.18412131405714</v>
      </c>
      <c r="N1341" s="7">
        <f t="shared" si="104"/>
        <v>190.18412131405714</v>
      </c>
    </row>
    <row r="1342" spans="1:14" x14ac:dyDescent="0.25">
      <c r="A1342" t="str">
        <f>"14:12:44.477"</f>
        <v>14:12:44.477</v>
      </c>
      <c r="B1342">
        <v>39.572603999999998</v>
      </c>
      <c r="C1342">
        <v>-76.534172999999996</v>
      </c>
      <c r="D1342">
        <v>8700</v>
      </c>
      <c r="E1342">
        <v>9025</v>
      </c>
      <c r="F1342">
        <v>166</v>
      </c>
      <c r="G1342">
        <v>91</v>
      </c>
      <c r="H1342">
        <v>0</v>
      </c>
      <c r="J1342" s="1">
        <f t="shared" si="100"/>
        <v>27556</v>
      </c>
      <c r="K1342" s="1">
        <f t="shared" si="101"/>
        <v>8281</v>
      </c>
      <c r="L1342" s="1">
        <f t="shared" si="102"/>
        <v>35837</v>
      </c>
      <c r="M1342" s="1">
        <f t="shared" si="103"/>
        <v>189.30662957223657</v>
      </c>
      <c r="N1342" s="7">
        <f t="shared" si="104"/>
        <v>189.30662957223657</v>
      </c>
    </row>
    <row r="1343" spans="1:14" x14ac:dyDescent="0.25">
      <c r="A1343" t="str">
        <f>"14:12:45.383"</f>
        <v>14:12:45.383</v>
      </c>
      <c r="B1343">
        <v>39.573033000000002</v>
      </c>
      <c r="C1343">
        <v>-76.533143999999993</v>
      </c>
      <c r="D1343">
        <v>8700</v>
      </c>
      <c r="E1343">
        <v>9025</v>
      </c>
      <c r="F1343">
        <v>166</v>
      </c>
      <c r="G1343">
        <v>92</v>
      </c>
      <c r="H1343">
        <v>0</v>
      </c>
      <c r="J1343" s="1">
        <f t="shared" si="100"/>
        <v>27556</v>
      </c>
      <c r="K1343" s="1">
        <f t="shared" si="101"/>
        <v>8464</v>
      </c>
      <c r="L1343" s="1">
        <f t="shared" si="102"/>
        <v>36020</v>
      </c>
      <c r="M1343" s="1">
        <f t="shared" si="103"/>
        <v>189.7893569197177</v>
      </c>
      <c r="N1343" s="7">
        <f t="shared" si="104"/>
        <v>189.7893569197177</v>
      </c>
    </row>
    <row r="1344" spans="1:14" x14ac:dyDescent="0.25">
      <c r="A1344" t="str">
        <f>"14:12:46.344"</f>
        <v>14:12:46.344</v>
      </c>
      <c r="B1344">
        <v>39.573397999999997</v>
      </c>
      <c r="C1344">
        <v>-76.532263999999998</v>
      </c>
      <c r="D1344">
        <v>8700</v>
      </c>
      <c r="E1344">
        <v>9025</v>
      </c>
      <c r="F1344">
        <v>166</v>
      </c>
      <c r="G1344">
        <v>92</v>
      </c>
      <c r="H1344">
        <v>0</v>
      </c>
      <c r="J1344" s="1">
        <f t="shared" si="100"/>
        <v>27556</v>
      </c>
      <c r="K1344" s="1">
        <f t="shared" si="101"/>
        <v>8464</v>
      </c>
      <c r="L1344" s="1">
        <f t="shared" si="102"/>
        <v>36020</v>
      </c>
      <c r="M1344" s="1">
        <f t="shared" si="103"/>
        <v>189.7893569197177</v>
      </c>
      <c r="N1344" s="7">
        <f t="shared" si="104"/>
        <v>189.7893569197177</v>
      </c>
    </row>
    <row r="1345" spans="1:14" x14ac:dyDescent="0.25">
      <c r="A1345" t="str">
        <f>"14:12:47.352"</f>
        <v>14:12:47.352</v>
      </c>
      <c r="B1345">
        <v>39.573805</v>
      </c>
      <c r="C1345">
        <v>-76.531233999999998</v>
      </c>
      <c r="D1345">
        <v>8700</v>
      </c>
      <c r="E1345">
        <v>9025</v>
      </c>
      <c r="F1345">
        <v>166</v>
      </c>
      <c r="G1345">
        <v>92</v>
      </c>
      <c r="H1345">
        <v>0</v>
      </c>
      <c r="J1345" s="1">
        <f t="shared" si="100"/>
        <v>27556</v>
      </c>
      <c r="K1345" s="1">
        <f t="shared" si="101"/>
        <v>8464</v>
      </c>
      <c r="L1345" s="1">
        <f t="shared" si="102"/>
        <v>36020</v>
      </c>
      <c r="M1345" s="1">
        <f t="shared" si="103"/>
        <v>189.7893569197177</v>
      </c>
      <c r="N1345" s="7">
        <f t="shared" si="104"/>
        <v>189.7893569197177</v>
      </c>
    </row>
    <row r="1346" spans="1:14" x14ac:dyDescent="0.25">
      <c r="A1346" t="str">
        <f>"14:12:48.359"</f>
        <v>14:12:48.359</v>
      </c>
      <c r="B1346">
        <v>39.574255999999998</v>
      </c>
      <c r="C1346">
        <v>-76.530289999999994</v>
      </c>
      <c r="D1346">
        <v>8700</v>
      </c>
      <c r="E1346">
        <v>9025</v>
      </c>
      <c r="F1346">
        <v>166</v>
      </c>
      <c r="G1346">
        <v>92</v>
      </c>
      <c r="H1346">
        <v>0</v>
      </c>
      <c r="J1346" s="1">
        <f t="shared" si="100"/>
        <v>27556</v>
      </c>
      <c r="K1346" s="1">
        <f t="shared" si="101"/>
        <v>8464</v>
      </c>
      <c r="L1346" s="1">
        <f t="shared" si="102"/>
        <v>36020</v>
      </c>
      <c r="M1346" s="1">
        <f t="shared" si="103"/>
        <v>189.7893569197177</v>
      </c>
      <c r="N1346" s="7">
        <f t="shared" si="104"/>
        <v>189.7893569197177</v>
      </c>
    </row>
    <row r="1347" spans="1:14" x14ac:dyDescent="0.25">
      <c r="A1347" t="str">
        <f>"14:12:49.320"</f>
        <v>14:12:49.320</v>
      </c>
      <c r="B1347">
        <v>39.574685000000002</v>
      </c>
      <c r="C1347">
        <v>-76.529259999999994</v>
      </c>
      <c r="D1347">
        <v>8700</v>
      </c>
      <c r="E1347">
        <v>9025</v>
      </c>
      <c r="F1347">
        <v>166</v>
      </c>
      <c r="G1347">
        <v>92</v>
      </c>
      <c r="H1347">
        <v>0</v>
      </c>
      <c r="J1347" s="1">
        <f t="shared" ref="J1347:J1410" si="105">F1347^2</f>
        <v>27556</v>
      </c>
      <c r="K1347" s="1">
        <f t="shared" ref="K1347:K1410" si="106">G1347^2</f>
        <v>8464</v>
      </c>
      <c r="L1347" s="1">
        <f t="shared" ref="L1347:L1410" si="107">SUMSQ(F1347,G1347)</f>
        <v>36020</v>
      </c>
      <c r="M1347" s="1">
        <f t="shared" ref="M1347:M1410" si="108">SQRT(L1347)</f>
        <v>189.7893569197177</v>
      </c>
      <c r="N1347" s="7">
        <f t="shared" ref="N1347:N1410" si="109">M1347</f>
        <v>189.7893569197177</v>
      </c>
    </row>
    <row r="1348" spans="1:14" x14ac:dyDescent="0.25">
      <c r="A1348" t="str">
        <f>"14:12:50.383"</f>
        <v>14:12:50.383</v>
      </c>
      <c r="B1348">
        <v>39.575136000000001</v>
      </c>
      <c r="C1348">
        <v>-76.528208000000006</v>
      </c>
      <c r="D1348">
        <v>8700</v>
      </c>
      <c r="E1348">
        <v>9025</v>
      </c>
      <c r="F1348">
        <v>166</v>
      </c>
      <c r="G1348">
        <v>92</v>
      </c>
      <c r="H1348">
        <v>0</v>
      </c>
      <c r="J1348" s="1">
        <f t="shared" si="105"/>
        <v>27556</v>
      </c>
      <c r="K1348" s="1">
        <f t="shared" si="106"/>
        <v>8464</v>
      </c>
      <c r="L1348" s="1">
        <f t="shared" si="107"/>
        <v>36020</v>
      </c>
      <c r="M1348" s="1">
        <f t="shared" si="108"/>
        <v>189.7893569197177</v>
      </c>
      <c r="N1348" s="7">
        <f t="shared" si="109"/>
        <v>189.7893569197177</v>
      </c>
    </row>
    <row r="1349" spans="1:14" x14ac:dyDescent="0.25">
      <c r="A1349" t="str">
        <f>"14:12:51.539"</f>
        <v>14:12:51.539</v>
      </c>
      <c r="B1349">
        <v>39.575586000000001</v>
      </c>
      <c r="C1349">
        <v>-76.527050000000003</v>
      </c>
      <c r="D1349">
        <v>8700</v>
      </c>
      <c r="E1349">
        <v>9025</v>
      </c>
      <c r="F1349">
        <v>166</v>
      </c>
      <c r="G1349">
        <v>91</v>
      </c>
      <c r="H1349">
        <v>0</v>
      </c>
      <c r="J1349" s="1">
        <f t="shared" si="105"/>
        <v>27556</v>
      </c>
      <c r="K1349" s="1">
        <f t="shared" si="106"/>
        <v>8281</v>
      </c>
      <c r="L1349" s="1">
        <f t="shared" si="107"/>
        <v>35837</v>
      </c>
      <c r="M1349" s="1">
        <f t="shared" si="108"/>
        <v>189.30662957223657</v>
      </c>
      <c r="N1349" s="7">
        <f t="shared" si="109"/>
        <v>189.30662957223657</v>
      </c>
    </row>
    <row r="1350" spans="1:14" x14ac:dyDescent="0.25">
      <c r="A1350" t="str">
        <f>"14:12:52.352"</f>
        <v>14:12:52.352</v>
      </c>
      <c r="B1350">
        <v>39.575951000000003</v>
      </c>
      <c r="C1350">
        <v>-76.526276999999993</v>
      </c>
      <c r="D1350">
        <v>8700</v>
      </c>
      <c r="E1350">
        <v>9025</v>
      </c>
      <c r="F1350">
        <v>166</v>
      </c>
      <c r="G1350">
        <v>91</v>
      </c>
      <c r="H1350">
        <v>0</v>
      </c>
      <c r="J1350" s="1">
        <f t="shared" si="105"/>
        <v>27556</v>
      </c>
      <c r="K1350" s="1">
        <f t="shared" si="106"/>
        <v>8281</v>
      </c>
      <c r="L1350" s="1">
        <f t="shared" si="107"/>
        <v>35837</v>
      </c>
      <c r="M1350" s="1">
        <f t="shared" si="108"/>
        <v>189.30662957223657</v>
      </c>
      <c r="N1350" s="7">
        <f t="shared" si="109"/>
        <v>189.30662957223657</v>
      </c>
    </row>
    <row r="1351" spans="1:14" x14ac:dyDescent="0.25">
      <c r="A1351" t="str">
        <f>"14:12:53.359"</f>
        <v>14:12:53.359</v>
      </c>
      <c r="B1351">
        <v>39.57638</v>
      </c>
      <c r="C1351">
        <v>-76.525268999999994</v>
      </c>
      <c r="D1351">
        <v>8700</v>
      </c>
      <c r="E1351">
        <v>9025</v>
      </c>
      <c r="F1351">
        <v>166</v>
      </c>
      <c r="G1351">
        <v>91</v>
      </c>
      <c r="H1351">
        <v>0</v>
      </c>
      <c r="J1351" s="1">
        <f t="shared" si="105"/>
        <v>27556</v>
      </c>
      <c r="K1351" s="1">
        <f t="shared" si="106"/>
        <v>8281</v>
      </c>
      <c r="L1351" s="1">
        <f t="shared" si="107"/>
        <v>35837</v>
      </c>
      <c r="M1351" s="1">
        <f t="shared" si="108"/>
        <v>189.30662957223657</v>
      </c>
      <c r="N1351" s="7">
        <f t="shared" si="109"/>
        <v>189.30662957223657</v>
      </c>
    </row>
    <row r="1352" spans="1:14" x14ac:dyDescent="0.25">
      <c r="A1352" t="str">
        <f>"14:12:54.469"</f>
        <v>14:12:54.469</v>
      </c>
      <c r="B1352">
        <v>39.576873999999997</v>
      </c>
      <c r="C1352">
        <v>-76.524067000000002</v>
      </c>
      <c r="D1352">
        <v>8700</v>
      </c>
      <c r="E1352">
        <v>9025</v>
      </c>
      <c r="F1352">
        <v>167</v>
      </c>
      <c r="G1352">
        <v>90</v>
      </c>
      <c r="H1352">
        <v>0</v>
      </c>
      <c r="J1352" s="1">
        <f t="shared" si="105"/>
        <v>27889</v>
      </c>
      <c r="K1352" s="1">
        <f t="shared" si="106"/>
        <v>8100</v>
      </c>
      <c r="L1352" s="1">
        <f t="shared" si="107"/>
        <v>35989</v>
      </c>
      <c r="M1352" s="1">
        <f t="shared" si="108"/>
        <v>189.70766985021982</v>
      </c>
      <c r="N1352" s="7">
        <f t="shared" si="109"/>
        <v>189.70766985021982</v>
      </c>
    </row>
    <row r="1353" spans="1:14" x14ac:dyDescent="0.25">
      <c r="A1353" t="str">
        <f>"14:12:55.477"</f>
        <v>14:12:55.477</v>
      </c>
      <c r="B1353">
        <v>39.577260000000003</v>
      </c>
      <c r="C1353">
        <v>-76.523186999999993</v>
      </c>
      <c r="D1353">
        <v>8700</v>
      </c>
      <c r="E1353">
        <v>9025</v>
      </c>
      <c r="F1353">
        <v>167</v>
      </c>
      <c r="G1353">
        <v>90</v>
      </c>
      <c r="H1353">
        <v>0</v>
      </c>
      <c r="J1353" s="1">
        <f t="shared" si="105"/>
        <v>27889</v>
      </c>
      <c r="K1353" s="1">
        <f t="shared" si="106"/>
        <v>8100</v>
      </c>
      <c r="L1353" s="1">
        <f t="shared" si="107"/>
        <v>35989</v>
      </c>
      <c r="M1353" s="1">
        <f t="shared" si="108"/>
        <v>189.70766985021982</v>
      </c>
      <c r="N1353" s="7">
        <f t="shared" si="109"/>
        <v>189.70766985021982</v>
      </c>
    </row>
    <row r="1354" spans="1:14" x14ac:dyDescent="0.25">
      <c r="A1354" t="str">
        <f>"14:12:56.438"</f>
        <v>14:12:56.438</v>
      </c>
      <c r="B1354">
        <v>39.577646000000001</v>
      </c>
      <c r="C1354">
        <v>-76.522221999999999</v>
      </c>
      <c r="D1354">
        <v>8700</v>
      </c>
      <c r="E1354">
        <v>9025</v>
      </c>
      <c r="F1354">
        <v>167</v>
      </c>
      <c r="G1354">
        <v>89</v>
      </c>
      <c r="H1354">
        <v>0</v>
      </c>
      <c r="J1354" s="1">
        <f t="shared" si="105"/>
        <v>27889</v>
      </c>
      <c r="K1354" s="1">
        <f t="shared" si="106"/>
        <v>7921</v>
      </c>
      <c r="L1354" s="1">
        <f t="shared" si="107"/>
        <v>35810</v>
      </c>
      <c r="M1354" s="1">
        <f t="shared" si="108"/>
        <v>189.2353032602532</v>
      </c>
      <c r="N1354" s="7">
        <f t="shared" si="109"/>
        <v>189.2353032602532</v>
      </c>
    </row>
    <row r="1355" spans="1:14" x14ac:dyDescent="0.25">
      <c r="A1355" t="str">
        <f>"14:12:57.344"</f>
        <v>14:12:57.344</v>
      </c>
      <c r="B1355">
        <v>39.578054000000002</v>
      </c>
      <c r="C1355">
        <v>-76.521169999999998</v>
      </c>
      <c r="D1355">
        <v>8700</v>
      </c>
      <c r="E1355">
        <v>9025</v>
      </c>
      <c r="F1355">
        <v>167</v>
      </c>
      <c r="G1355">
        <v>89</v>
      </c>
      <c r="H1355">
        <v>0</v>
      </c>
      <c r="J1355" s="1">
        <f t="shared" si="105"/>
        <v>27889</v>
      </c>
      <c r="K1355" s="1">
        <f t="shared" si="106"/>
        <v>7921</v>
      </c>
      <c r="L1355" s="1">
        <f t="shared" si="107"/>
        <v>35810</v>
      </c>
      <c r="M1355" s="1">
        <f t="shared" si="108"/>
        <v>189.2353032602532</v>
      </c>
      <c r="N1355" s="7">
        <f t="shared" si="109"/>
        <v>189.2353032602532</v>
      </c>
    </row>
    <row r="1356" spans="1:14" x14ac:dyDescent="0.25">
      <c r="A1356" t="str">
        <f>"14:12:58.352"</f>
        <v>14:12:58.352</v>
      </c>
      <c r="B1356">
        <v>39.578440000000001</v>
      </c>
      <c r="C1356">
        <v>-76.520312000000004</v>
      </c>
      <c r="D1356">
        <v>8700</v>
      </c>
      <c r="E1356">
        <v>9025</v>
      </c>
      <c r="F1356">
        <v>167</v>
      </c>
      <c r="G1356">
        <v>88</v>
      </c>
      <c r="H1356">
        <v>0</v>
      </c>
      <c r="J1356" s="1">
        <f t="shared" si="105"/>
        <v>27889</v>
      </c>
      <c r="K1356" s="1">
        <f t="shared" si="106"/>
        <v>7744</v>
      </c>
      <c r="L1356" s="1">
        <f t="shared" si="107"/>
        <v>35633</v>
      </c>
      <c r="M1356" s="1">
        <f t="shared" si="108"/>
        <v>188.76705220985997</v>
      </c>
      <c r="N1356" s="7">
        <f t="shared" si="109"/>
        <v>188.76705220985997</v>
      </c>
    </row>
    <row r="1357" spans="1:14" x14ac:dyDescent="0.25">
      <c r="A1357" t="str">
        <f>"14:12:59.367"</f>
        <v>14:12:59.367</v>
      </c>
      <c r="B1357">
        <v>39.578848000000001</v>
      </c>
      <c r="C1357">
        <v>-76.519302999999994</v>
      </c>
      <c r="D1357">
        <v>8700</v>
      </c>
      <c r="E1357">
        <v>9025</v>
      </c>
      <c r="F1357">
        <v>168</v>
      </c>
      <c r="G1357">
        <v>88</v>
      </c>
      <c r="H1357">
        <v>0</v>
      </c>
      <c r="J1357" s="1">
        <f t="shared" si="105"/>
        <v>28224</v>
      </c>
      <c r="K1357" s="1">
        <f t="shared" si="106"/>
        <v>7744</v>
      </c>
      <c r="L1357" s="1">
        <f t="shared" si="107"/>
        <v>35968</v>
      </c>
      <c r="M1357" s="1">
        <f t="shared" si="108"/>
        <v>189.65231345807516</v>
      </c>
      <c r="N1357" s="7">
        <f t="shared" si="109"/>
        <v>189.65231345807516</v>
      </c>
    </row>
    <row r="1358" spans="1:14" x14ac:dyDescent="0.25">
      <c r="A1358" t="str">
        <f>"14:13:00.273"</f>
        <v>14:13:00.273</v>
      </c>
      <c r="B1358">
        <v>39.579234</v>
      </c>
      <c r="C1358">
        <v>-76.518381000000005</v>
      </c>
      <c r="D1358">
        <v>8700</v>
      </c>
      <c r="E1358">
        <v>9025</v>
      </c>
      <c r="F1358">
        <v>168</v>
      </c>
      <c r="G1358">
        <v>88</v>
      </c>
      <c r="H1358">
        <v>0</v>
      </c>
      <c r="J1358" s="1">
        <f t="shared" si="105"/>
        <v>28224</v>
      </c>
      <c r="K1358" s="1">
        <f t="shared" si="106"/>
        <v>7744</v>
      </c>
      <c r="L1358" s="1">
        <f t="shared" si="107"/>
        <v>35968</v>
      </c>
      <c r="M1358" s="1">
        <f t="shared" si="108"/>
        <v>189.65231345807516</v>
      </c>
      <c r="N1358" s="7">
        <f t="shared" si="109"/>
        <v>189.65231345807516</v>
      </c>
    </row>
    <row r="1359" spans="1:14" x14ac:dyDescent="0.25">
      <c r="A1359" t="str">
        <f>"14:13:01.383"</f>
        <v>14:13:01.383</v>
      </c>
      <c r="B1359">
        <v>39.579684999999998</v>
      </c>
      <c r="C1359">
        <v>-76.517222000000004</v>
      </c>
      <c r="D1359">
        <v>8700</v>
      </c>
      <c r="E1359">
        <v>9025</v>
      </c>
      <c r="F1359">
        <v>168</v>
      </c>
      <c r="G1359">
        <v>87</v>
      </c>
      <c r="H1359">
        <v>0</v>
      </c>
      <c r="J1359" s="1">
        <f t="shared" si="105"/>
        <v>28224</v>
      </c>
      <c r="K1359" s="1">
        <f t="shared" si="106"/>
        <v>7569</v>
      </c>
      <c r="L1359" s="1">
        <f t="shared" si="107"/>
        <v>35793</v>
      </c>
      <c r="M1359" s="1">
        <f t="shared" si="108"/>
        <v>189.19038030513073</v>
      </c>
      <c r="N1359" s="7">
        <f t="shared" si="109"/>
        <v>189.19038030513073</v>
      </c>
    </row>
    <row r="1360" spans="1:14" x14ac:dyDescent="0.25">
      <c r="A1360" t="str">
        <f>"14:13:02.289"</f>
        <v>14:13:02.289</v>
      </c>
      <c r="B1360">
        <v>39.580027999999999</v>
      </c>
      <c r="C1360">
        <v>-76.516255999999998</v>
      </c>
      <c r="D1360">
        <v>8700</v>
      </c>
      <c r="E1360">
        <v>9025</v>
      </c>
      <c r="F1360">
        <v>168</v>
      </c>
      <c r="G1360">
        <v>87</v>
      </c>
      <c r="H1360">
        <v>0</v>
      </c>
      <c r="J1360" s="1">
        <f t="shared" si="105"/>
        <v>28224</v>
      </c>
      <c r="K1360" s="1">
        <f t="shared" si="106"/>
        <v>7569</v>
      </c>
      <c r="L1360" s="1">
        <f t="shared" si="107"/>
        <v>35793</v>
      </c>
      <c r="M1360" s="1">
        <f t="shared" si="108"/>
        <v>189.19038030513073</v>
      </c>
      <c r="N1360" s="7">
        <f t="shared" si="109"/>
        <v>189.19038030513073</v>
      </c>
    </row>
    <row r="1361" spans="1:14" x14ac:dyDescent="0.25">
      <c r="A1361" t="str">
        <f>"14:13:03.305"</f>
        <v>14:13:03.305</v>
      </c>
      <c r="B1361">
        <v>39.580435999999999</v>
      </c>
      <c r="C1361">
        <v>-76.515291000000005</v>
      </c>
      <c r="D1361">
        <v>8700</v>
      </c>
      <c r="E1361">
        <v>9025</v>
      </c>
      <c r="F1361">
        <v>168</v>
      </c>
      <c r="G1361">
        <v>87</v>
      </c>
      <c r="H1361">
        <v>0</v>
      </c>
      <c r="J1361" s="1">
        <f t="shared" si="105"/>
        <v>28224</v>
      </c>
      <c r="K1361" s="1">
        <f t="shared" si="106"/>
        <v>7569</v>
      </c>
      <c r="L1361" s="1">
        <f t="shared" si="107"/>
        <v>35793</v>
      </c>
      <c r="M1361" s="1">
        <f t="shared" si="108"/>
        <v>189.19038030513073</v>
      </c>
      <c r="N1361" s="7">
        <f t="shared" si="109"/>
        <v>189.19038030513073</v>
      </c>
    </row>
    <row r="1362" spans="1:14" x14ac:dyDescent="0.25">
      <c r="A1362" t="str">
        <f>"14:13:04.211"</f>
        <v>14:13:04.211</v>
      </c>
      <c r="B1362">
        <v>39.580801000000001</v>
      </c>
      <c r="C1362">
        <v>-76.514347000000001</v>
      </c>
      <c r="D1362">
        <v>8700</v>
      </c>
      <c r="E1362">
        <v>9025</v>
      </c>
      <c r="F1362">
        <v>168</v>
      </c>
      <c r="G1362">
        <v>87</v>
      </c>
      <c r="H1362">
        <v>0</v>
      </c>
      <c r="J1362" s="1">
        <f t="shared" si="105"/>
        <v>28224</v>
      </c>
      <c r="K1362" s="1">
        <f t="shared" si="106"/>
        <v>7569</v>
      </c>
      <c r="L1362" s="1">
        <f t="shared" si="107"/>
        <v>35793</v>
      </c>
      <c r="M1362" s="1">
        <f t="shared" si="108"/>
        <v>189.19038030513073</v>
      </c>
      <c r="N1362" s="7">
        <f t="shared" si="109"/>
        <v>189.19038030513073</v>
      </c>
    </row>
    <row r="1363" spans="1:14" x14ac:dyDescent="0.25">
      <c r="A1363" t="str">
        <f>"14:13:05.070"</f>
        <v>14:13:05.070</v>
      </c>
      <c r="B1363">
        <v>39.581187</v>
      </c>
      <c r="C1363">
        <v>-76.513445000000004</v>
      </c>
      <c r="D1363">
        <v>8700</v>
      </c>
      <c r="E1363">
        <v>9025</v>
      </c>
      <c r="F1363">
        <v>168</v>
      </c>
      <c r="G1363">
        <v>86</v>
      </c>
      <c r="H1363">
        <v>0</v>
      </c>
      <c r="J1363" s="1">
        <f t="shared" si="105"/>
        <v>28224</v>
      </c>
      <c r="K1363" s="1">
        <f t="shared" si="106"/>
        <v>7396</v>
      </c>
      <c r="L1363" s="1">
        <f t="shared" si="107"/>
        <v>35620</v>
      </c>
      <c r="M1363" s="1">
        <f t="shared" si="108"/>
        <v>188.73261509341728</v>
      </c>
      <c r="N1363" s="7">
        <f t="shared" si="109"/>
        <v>188.73261509341728</v>
      </c>
    </row>
    <row r="1364" spans="1:14" x14ac:dyDescent="0.25">
      <c r="A1364" t="str">
        <f>"14:13:06.180"</f>
        <v>14:13:06.180</v>
      </c>
      <c r="B1364">
        <v>39.581594000000003</v>
      </c>
      <c r="C1364">
        <v>-76.512437000000006</v>
      </c>
      <c r="D1364">
        <v>8700</v>
      </c>
      <c r="E1364">
        <v>9025</v>
      </c>
      <c r="F1364">
        <v>168</v>
      </c>
      <c r="G1364">
        <v>86</v>
      </c>
      <c r="H1364">
        <v>0</v>
      </c>
      <c r="J1364" s="1">
        <f t="shared" si="105"/>
        <v>28224</v>
      </c>
      <c r="K1364" s="1">
        <f t="shared" si="106"/>
        <v>7396</v>
      </c>
      <c r="L1364" s="1">
        <f t="shared" si="107"/>
        <v>35620</v>
      </c>
      <c r="M1364" s="1">
        <f t="shared" si="108"/>
        <v>188.73261509341728</v>
      </c>
      <c r="N1364" s="7">
        <f t="shared" si="109"/>
        <v>188.73261509341728</v>
      </c>
    </row>
    <row r="1365" spans="1:14" x14ac:dyDescent="0.25">
      <c r="A1365" t="str">
        <f>"14:13:07.086"</f>
        <v>14:13:07.086</v>
      </c>
      <c r="B1365">
        <v>39.582002000000003</v>
      </c>
      <c r="C1365">
        <v>-76.511471</v>
      </c>
      <c r="D1365">
        <v>8700</v>
      </c>
      <c r="E1365">
        <v>9025</v>
      </c>
      <c r="F1365">
        <v>168</v>
      </c>
      <c r="G1365">
        <v>86</v>
      </c>
      <c r="H1365">
        <v>0</v>
      </c>
      <c r="J1365" s="1">
        <f t="shared" si="105"/>
        <v>28224</v>
      </c>
      <c r="K1365" s="1">
        <f t="shared" si="106"/>
        <v>7396</v>
      </c>
      <c r="L1365" s="1">
        <f t="shared" si="107"/>
        <v>35620</v>
      </c>
      <c r="M1365" s="1">
        <f t="shared" si="108"/>
        <v>188.73261509341728</v>
      </c>
      <c r="N1365" s="7">
        <f t="shared" si="109"/>
        <v>188.73261509341728</v>
      </c>
    </row>
    <row r="1366" spans="1:14" x14ac:dyDescent="0.25">
      <c r="A1366" t="str">
        <f>"14:13:08.000"</f>
        <v>14:13:08.000</v>
      </c>
      <c r="B1366">
        <v>39.582344999999997</v>
      </c>
      <c r="C1366">
        <v>-76.510548999999997</v>
      </c>
      <c r="D1366">
        <v>8700</v>
      </c>
      <c r="E1366">
        <v>9025</v>
      </c>
      <c r="F1366">
        <v>168</v>
      </c>
      <c r="G1366">
        <v>86</v>
      </c>
      <c r="H1366">
        <v>0</v>
      </c>
      <c r="J1366" s="1">
        <f t="shared" si="105"/>
        <v>28224</v>
      </c>
      <c r="K1366" s="1">
        <f t="shared" si="106"/>
        <v>7396</v>
      </c>
      <c r="L1366" s="1">
        <f t="shared" si="107"/>
        <v>35620</v>
      </c>
      <c r="M1366" s="1">
        <f t="shared" si="108"/>
        <v>188.73261509341728</v>
      </c>
      <c r="N1366" s="7">
        <f t="shared" si="109"/>
        <v>188.73261509341728</v>
      </c>
    </row>
    <row r="1367" spans="1:14" x14ac:dyDescent="0.25">
      <c r="A1367" t="str">
        <f>"14:13:08.859"</f>
        <v>14:13:08.859</v>
      </c>
      <c r="B1367">
        <v>39.582667000000001</v>
      </c>
      <c r="C1367">
        <v>-76.509776000000002</v>
      </c>
      <c r="D1367">
        <v>8700</v>
      </c>
      <c r="E1367">
        <v>9025</v>
      </c>
      <c r="F1367">
        <v>168</v>
      </c>
      <c r="G1367">
        <v>86</v>
      </c>
      <c r="H1367">
        <v>0</v>
      </c>
      <c r="J1367" s="1">
        <f t="shared" si="105"/>
        <v>28224</v>
      </c>
      <c r="K1367" s="1">
        <f t="shared" si="106"/>
        <v>7396</v>
      </c>
      <c r="L1367" s="1">
        <f t="shared" si="107"/>
        <v>35620</v>
      </c>
      <c r="M1367" s="1">
        <f t="shared" si="108"/>
        <v>188.73261509341728</v>
      </c>
      <c r="N1367" s="7">
        <f t="shared" si="109"/>
        <v>188.73261509341728</v>
      </c>
    </row>
    <row r="1368" spans="1:14" x14ac:dyDescent="0.25">
      <c r="A1368" t="str">
        <f>"14:13:09.711"</f>
        <v>14:13:09.711</v>
      </c>
      <c r="B1368">
        <v>39.583010999999999</v>
      </c>
      <c r="C1368">
        <v>-76.508853000000002</v>
      </c>
      <c r="D1368">
        <v>8700</v>
      </c>
      <c r="E1368">
        <v>9025</v>
      </c>
      <c r="F1368">
        <v>168</v>
      </c>
      <c r="G1368">
        <v>86</v>
      </c>
      <c r="H1368">
        <v>0</v>
      </c>
      <c r="J1368" s="1">
        <f t="shared" si="105"/>
        <v>28224</v>
      </c>
      <c r="K1368" s="1">
        <f t="shared" si="106"/>
        <v>7396</v>
      </c>
      <c r="L1368" s="1">
        <f t="shared" si="107"/>
        <v>35620</v>
      </c>
      <c r="M1368" s="1">
        <f t="shared" si="108"/>
        <v>188.73261509341728</v>
      </c>
      <c r="N1368" s="7">
        <f t="shared" si="109"/>
        <v>188.73261509341728</v>
      </c>
    </row>
    <row r="1369" spans="1:14" x14ac:dyDescent="0.25">
      <c r="A1369" t="str">
        <f>"14:13:10.773"</f>
        <v>14:13:10.773</v>
      </c>
      <c r="B1369">
        <v>39.583418000000002</v>
      </c>
      <c r="C1369">
        <v>-76.507823000000002</v>
      </c>
      <c r="D1369">
        <v>8700</v>
      </c>
      <c r="E1369">
        <v>9025</v>
      </c>
      <c r="F1369">
        <v>168</v>
      </c>
      <c r="G1369">
        <v>86</v>
      </c>
      <c r="H1369">
        <v>0</v>
      </c>
      <c r="J1369" s="1">
        <f t="shared" si="105"/>
        <v>28224</v>
      </c>
      <c r="K1369" s="1">
        <f t="shared" si="106"/>
        <v>7396</v>
      </c>
      <c r="L1369" s="1">
        <f t="shared" si="107"/>
        <v>35620</v>
      </c>
      <c r="M1369" s="1">
        <f t="shared" si="108"/>
        <v>188.73261509341728</v>
      </c>
      <c r="N1369" s="7">
        <f t="shared" si="109"/>
        <v>188.73261509341728</v>
      </c>
    </row>
    <row r="1370" spans="1:14" x14ac:dyDescent="0.25">
      <c r="A1370" t="str">
        <f>"14:13:11.781"</f>
        <v>14:13:11.781</v>
      </c>
      <c r="B1370">
        <v>39.583826000000002</v>
      </c>
      <c r="C1370">
        <v>-76.506815000000003</v>
      </c>
      <c r="D1370">
        <v>8700</v>
      </c>
      <c r="E1370">
        <v>9025</v>
      </c>
      <c r="F1370">
        <v>167</v>
      </c>
      <c r="G1370">
        <v>86</v>
      </c>
      <c r="H1370">
        <v>0</v>
      </c>
      <c r="J1370" s="1">
        <f t="shared" si="105"/>
        <v>27889</v>
      </c>
      <c r="K1370" s="1">
        <f t="shared" si="106"/>
        <v>7396</v>
      </c>
      <c r="L1370" s="1">
        <f t="shared" si="107"/>
        <v>35285</v>
      </c>
      <c r="M1370" s="1">
        <f t="shared" si="108"/>
        <v>187.84301956687131</v>
      </c>
      <c r="N1370" s="7">
        <f t="shared" si="109"/>
        <v>187.84301956687131</v>
      </c>
    </row>
    <row r="1371" spans="1:14" x14ac:dyDescent="0.25">
      <c r="A1371" t="str">
        <f>"14:13:12.695"</f>
        <v>14:13:12.695</v>
      </c>
      <c r="B1371">
        <v>39.584190999999997</v>
      </c>
      <c r="C1371">
        <v>-76.505870999999999</v>
      </c>
      <c r="D1371">
        <v>8700</v>
      </c>
      <c r="E1371">
        <v>9025</v>
      </c>
      <c r="F1371">
        <v>167</v>
      </c>
      <c r="G1371">
        <v>86</v>
      </c>
      <c r="H1371">
        <v>0</v>
      </c>
      <c r="J1371" s="1">
        <f t="shared" si="105"/>
        <v>27889</v>
      </c>
      <c r="K1371" s="1">
        <f t="shared" si="106"/>
        <v>7396</v>
      </c>
      <c r="L1371" s="1">
        <f t="shared" si="107"/>
        <v>35285</v>
      </c>
      <c r="M1371" s="1">
        <f t="shared" si="108"/>
        <v>187.84301956687131</v>
      </c>
      <c r="N1371" s="7">
        <f t="shared" si="109"/>
        <v>187.84301956687131</v>
      </c>
    </row>
    <row r="1372" spans="1:14" x14ac:dyDescent="0.25">
      <c r="A1372" t="str">
        <f>"14:13:13.648"</f>
        <v>14:13:13.648</v>
      </c>
      <c r="B1372">
        <v>39.584577000000003</v>
      </c>
      <c r="C1372">
        <v>-76.504947999999999</v>
      </c>
      <c r="D1372">
        <v>8700</v>
      </c>
      <c r="E1372">
        <v>9025</v>
      </c>
      <c r="F1372">
        <v>167</v>
      </c>
      <c r="G1372">
        <v>86</v>
      </c>
      <c r="H1372">
        <v>0</v>
      </c>
      <c r="J1372" s="1">
        <f t="shared" si="105"/>
        <v>27889</v>
      </c>
      <c r="K1372" s="1">
        <f t="shared" si="106"/>
        <v>7396</v>
      </c>
      <c r="L1372" s="1">
        <f t="shared" si="107"/>
        <v>35285</v>
      </c>
      <c r="M1372" s="1">
        <f t="shared" si="108"/>
        <v>187.84301956687131</v>
      </c>
      <c r="N1372" s="7">
        <f t="shared" si="109"/>
        <v>187.84301956687131</v>
      </c>
    </row>
    <row r="1373" spans="1:14" x14ac:dyDescent="0.25">
      <c r="A1373" t="str">
        <f>"14:13:14.711"</f>
        <v>14:13:14.711</v>
      </c>
      <c r="B1373">
        <v>39.585028000000001</v>
      </c>
      <c r="C1373">
        <v>-76.503832000000003</v>
      </c>
      <c r="D1373">
        <v>8700</v>
      </c>
      <c r="E1373">
        <v>9025</v>
      </c>
      <c r="F1373">
        <v>167</v>
      </c>
      <c r="G1373">
        <v>86</v>
      </c>
      <c r="H1373">
        <v>0</v>
      </c>
      <c r="J1373" s="1">
        <f t="shared" si="105"/>
        <v>27889</v>
      </c>
      <c r="K1373" s="1">
        <f t="shared" si="106"/>
        <v>7396</v>
      </c>
      <c r="L1373" s="1">
        <f t="shared" si="107"/>
        <v>35285</v>
      </c>
      <c r="M1373" s="1">
        <f t="shared" si="108"/>
        <v>187.84301956687131</v>
      </c>
      <c r="N1373" s="7">
        <f t="shared" si="109"/>
        <v>187.84301956687131</v>
      </c>
    </row>
    <row r="1374" spans="1:14" x14ac:dyDescent="0.25">
      <c r="A1374" t="str">
        <f>"14:13:15.516"</f>
        <v>14:13:15.516</v>
      </c>
      <c r="B1374">
        <v>39.585349999999998</v>
      </c>
      <c r="C1374">
        <v>-76.503060000000005</v>
      </c>
      <c r="D1374">
        <v>8700</v>
      </c>
      <c r="E1374">
        <v>9025</v>
      </c>
      <c r="F1374">
        <v>167</v>
      </c>
      <c r="G1374">
        <v>86</v>
      </c>
      <c r="H1374">
        <v>64</v>
      </c>
      <c r="J1374" s="1">
        <f t="shared" si="105"/>
        <v>27889</v>
      </c>
      <c r="K1374" s="1">
        <f t="shared" si="106"/>
        <v>7396</v>
      </c>
      <c r="L1374" s="1">
        <f t="shared" si="107"/>
        <v>35285</v>
      </c>
      <c r="M1374" s="1">
        <f t="shared" si="108"/>
        <v>187.84301956687131</v>
      </c>
      <c r="N1374" s="7">
        <f t="shared" si="109"/>
        <v>187.84301956687131</v>
      </c>
    </row>
    <row r="1375" spans="1:14" x14ac:dyDescent="0.25">
      <c r="A1375" t="str">
        <f>"14:13:16.375"</f>
        <v>14:13:16.375</v>
      </c>
      <c r="B1375">
        <v>39.585692999999999</v>
      </c>
      <c r="C1375">
        <v>-76.502137000000005</v>
      </c>
      <c r="D1375">
        <v>8700</v>
      </c>
      <c r="E1375">
        <v>9025</v>
      </c>
      <c r="F1375">
        <v>167</v>
      </c>
      <c r="G1375">
        <v>86</v>
      </c>
      <c r="H1375">
        <v>0</v>
      </c>
      <c r="J1375" s="1">
        <f t="shared" si="105"/>
        <v>27889</v>
      </c>
      <c r="K1375" s="1">
        <f t="shared" si="106"/>
        <v>7396</v>
      </c>
      <c r="L1375" s="1">
        <f t="shared" si="107"/>
        <v>35285</v>
      </c>
      <c r="M1375" s="1">
        <f t="shared" si="108"/>
        <v>187.84301956687131</v>
      </c>
      <c r="N1375" s="7">
        <f t="shared" si="109"/>
        <v>187.84301956687131</v>
      </c>
    </row>
    <row r="1376" spans="1:14" x14ac:dyDescent="0.25">
      <c r="A1376" t="str">
        <f>"14:13:17.484"</f>
        <v>14:13:17.484</v>
      </c>
      <c r="B1376">
        <v>39.586122000000003</v>
      </c>
      <c r="C1376">
        <v>-76.501020999999994</v>
      </c>
      <c r="D1376">
        <v>8700</v>
      </c>
      <c r="E1376">
        <v>9025</v>
      </c>
      <c r="F1376">
        <v>167</v>
      </c>
      <c r="G1376">
        <v>86</v>
      </c>
      <c r="H1376">
        <v>64</v>
      </c>
      <c r="J1376" s="1">
        <f t="shared" si="105"/>
        <v>27889</v>
      </c>
      <c r="K1376" s="1">
        <f t="shared" si="106"/>
        <v>7396</v>
      </c>
      <c r="L1376" s="1">
        <f t="shared" si="107"/>
        <v>35285</v>
      </c>
      <c r="M1376" s="1">
        <f t="shared" si="108"/>
        <v>187.84301956687131</v>
      </c>
      <c r="N1376" s="7">
        <f t="shared" si="109"/>
        <v>187.84301956687131</v>
      </c>
    </row>
    <row r="1377" spans="1:14" x14ac:dyDescent="0.25">
      <c r="A1377" t="str">
        <f>"14:13:18.602"</f>
        <v>14:13:18.602</v>
      </c>
      <c r="B1377">
        <v>39.586573000000001</v>
      </c>
      <c r="C1377">
        <v>-76.499949000000001</v>
      </c>
      <c r="D1377">
        <v>8700</v>
      </c>
      <c r="E1377">
        <v>9025</v>
      </c>
      <c r="F1377">
        <v>167</v>
      </c>
      <c r="G1377">
        <v>86</v>
      </c>
      <c r="H1377">
        <v>0</v>
      </c>
      <c r="J1377" s="1">
        <f t="shared" si="105"/>
        <v>27889</v>
      </c>
      <c r="K1377" s="1">
        <f t="shared" si="106"/>
        <v>7396</v>
      </c>
      <c r="L1377" s="1">
        <f t="shared" si="107"/>
        <v>35285</v>
      </c>
      <c r="M1377" s="1">
        <f t="shared" si="108"/>
        <v>187.84301956687131</v>
      </c>
      <c r="N1377" s="7">
        <f t="shared" si="109"/>
        <v>187.84301956687131</v>
      </c>
    </row>
    <row r="1378" spans="1:14" x14ac:dyDescent="0.25">
      <c r="A1378" t="str">
        <f>"14:13:19.656"</f>
        <v>14:13:19.656</v>
      </c>
      <c r="B1378">
        <v>39.586959</v>
      </c>
      <c r="C1378">
        <v>-76.498960999999994</v>
      </c>
      <c r="D1378">
        <v>8700</v>
      </c>
      <c r="E1378">
        <v>9025</v>
      </c>
      <c r="F1378">
        <v>167</v>
      </c>
      <c r="G1378">
        <v>86</v>
      </c>
      <c r="H1378">
        <v>0</v>
      </c>
      <c r="J1378" s="1">
        <f t="shared" si="105"/>
        <v>27889</v>
      </c>
      <c r="K1378" s="1">
        <f t="shared" si="106"/>
        <v>7396</v>
      </c>
      <c r="L1378" s="1">
        <f t="shared" si="107"/>
        <v>35285</v>
      </c>
      <c r="M1378" s="1">
        <f t="shared" si="108"/>
        <v>187.84301956687131</v>
      </c>
      <c r="N1378" s="7">
        <f t="shared" si="109"/>
        <v>187.84301956687131</v>
      </c>
    </row>
    <row r="1379" spans="1:14" x14ac:dyDescent="0.25">
      <c r="A1379" t="str">
        <f>"14:13:20.664"</f>
        <v>14:13:20.664</v>
      </c>
      <c r="B1379">
        <v>39.587409000000001</v>
      </c>
      <c r="C1379">
        <v>-76.497866999999999</v>
      </c>
      <c r="D1379">
        <v>8700</v>
      </c>
      <c r="E1379">
        <v>9025</v>
      </c>
      <c r="F1379">
        <v>166</v>
      </c>
      <c r="G1379">
        <v>87</v>
      </c>
      <c r="H1379">
        <v>0</v>
      </c>
      <c r="J1379" s="1">
        <f t="shared" si="105"/>
        <v>27556</v>
      </c>
      <c r="K1379" s="1">
        <f t="shared" si="106"/>
        <v>7569</v>
      </c>
      <c r="L1379" s="1">
        <f t="shared" si="107"/>
        <v>35125</v>
      </c>
      <c r="M1379" s="1">
        <f t="shared" si="108"/>
        <v>187.41664813991312</v>
      </c>
      <c r="N1379" s="7">
        <f t="shared" si="109"/>
        <v>187.41664813991312</v>
      </c>
    </row>
    <row r="1380" spans="1:14" x14ac:dyDescent="0.25">
      <c r="A1380" t="str">
        <f>"14:13:21.625"</f>
        <v>14:13:21.625</v>
      </c>
      <c r="B1380">
        <v>39.587795999999997</v>
      </c>
      <c r="C1380">
        <v>-76.496943999999999</v>
      </c>
      <c r="D1380">
        <v>8700</v>
      </c>
      <c r="E1380">
        <v>9025</v>
      </c>
      <c r="F1380">
        <v>166</v>
      </c>
      <c r="G1380">
        <v>87</v>
      </c>
      <c r="H1380">
        <v>0</v>
      </c>
      <c r="J1380" s="1">
        <f t="shared" si="105"/>
        <v>27556</v>
      </c>
      <c r="K1380" s="1">
        <f t="shared" si="106"/>
        <v>7569</v>
      </c>
      <c r="L1380" s="1">
        <f t="shared" si="107"/>
        <v>35125</v>
      </c>
      <c r="M1380" s="1">
        <f t="shared" si="108"/>
        <v>187.41664813991312</v>
      </c>
      <c r="N1380" s="7">
        <f t="shared" si="109"/>
        <v>187.41664813991312</v>
      </c>
    </row>
    <row r="1381" spans="1:14" x14ac:dyDescent="0.25">
      <c r="A1381" t="str">
        <f>"14:13:22.586"</f>
        <v>14:13:22.586</v>
      </c>
      <c r="B1381">
        <v>39.588160999999999</v>
      </c>
      <c r="C1381">
        <v>-76.495979000000005</v>
      </c>
      <c r="D1381">
        <v>8700</v>
      </c>
      <c r="E1381">
        <v>9025</v>
      </c>
      <c r="F1381">
        <v>166</v>
      </c>
      <c r="G1381">
        <v>87</v>
      </c>
      <c r="H1381">
        <v>0</v>
      </c>
      <c r="J1381" s="1">
        <f t="shared" si="105"/>
        <v>27556</v>
      </c>
      <c r="K1381" s="1">
        <f t="shared" si="106"/>
        <v>7569</v>
      </c>
      <c r="L1381" s="1">
        <f t="shared" si="107"/>
        <v>35125</v>
      </c>
      <c r="M1381" s="1">
        <f t="shared" si="108"/>
        <v>187.41664813991312</v>
      </c>
      <c r="N1381" s="7">
        <f t="shared" si="109"/>
        <v>187.41664813991312</v>
      </c>
    </row>
    <row r="1382" spans="1:14" x14ac:dyDescent="0.25">
      <c r="A1382" t="str">
        <f>"14:13:23.547"</f>
        <v>14:13:23.547</v>
      </c>
      <c r="B1382">
        <v>39.588546999999998</v>
      </c>
      <c r="C1382">
        <v>-76.495056000000005</v>
      </c>
      <c r="D1382">
        <v>8700</v>
      </c>
      <c r="E1382">
        <v>9025</v>
      </c>
      <c r="F1382">
        <v>166</v>
      </c>
      <c r="G1382">
        <v>87</v>
      </c>
      <c r="H1382">
        <v>0</v>
      </c>
      <c r="J1382" s="1">
        <f t="shared" si="105"/>
        <v>27556</v>
      </c>
      <c r="K1382" s="1">
        <f t="shared" si="106"/>
        <v>7569</v>
      </c>
      <c r="L1382" s="1">
        <f t="shared" si="107"/>
        <v>35125</v>
      </c>
      <c r="M1382" s="1">
        <f t="shared" si="108"/>
        <v>187.41664813991312</v>
      </c>
      <c r="N1382" s="7">
        <f t="shared" si="109"/>
        <v>187.41664813991312</v>
      </c>
    </row>
    <row r="1383" spans="1:14" x14ac:dyDescent="0.25">
      <c r="A1383" t="str">
        <f>"14:13:24.703"</f>
        <v>14:13:24.703</v>
      </c>
      <c r="B1383">
        <v>39.588996999999999</v>
      </c>
      <c r="C1383">
        <v>-76.493854999999996</v>
      </c>
      <c r="D1383">
        <v>8700</v>
      </c>
      <c r="E1383">
        <v>9025</v>
      </c>
      <c r="F1383">
        <v>166</v>
      </c>
      <c r="G1383">
        <v>87</v>
      </c>
      <c r="H1383">
        <v>0</v>
      </c>
      <c r="J1383" s="1">
        <f t="shared" si="105"/>
        <v>27556</v>
      </c>
      <c r="K1383" s="1">
        <f t="shared" si="106"/>
        <v>7569</v>
      </c>
      <c r="L1383" s="1">
        <f t="shared" si="107"/>
        <v>35125</v>
      </c>
      <c r="M1383" s="1">
        <f t="shared" si="108"/>
        <v>187.41664813991312</v>
      </c>
      <c r="N1383" s="7">
        <f t="shared" si="109"/>
        <v>187.41664813991312</v>
      </c>
    </row>
    <row r="1384" spans="1:14" x14ac:dyDescent="0.25">
      <c r="A1384" t="str">
        <f>"14:13:25.664"</f>
        <v>14:13:25.664</v>
      </c>
      <c r="B1384">
        <v>39.589427000000001</v>
      </c>
      <c r="C1384">
        <v>-76.492846</v>
      </c>
      <c r="D1384">
        <v>8700</v>
      </c>
      <c r="E1384">
        <v>9025</v>
      </c>
      <c r="F1384">
        <v>166</v>
      </c>
      <c r="G1384">
        <v>87</v>
      </c>
      <c r="H1384">
        <v>0</v>
      </c>
      <c r="J1384" s="1">
        <f t="shared" si="105"/>
        <v>27556</v>
      </c>
      <c r="K1384" s="1">
        <f t="shared" si="106"/>
        <v>7569</v>
      </c>
      <c r="L1384" s="1">
        <f t="shared" si="107"/>
        <v>35125</v>
      </c>
      <c r="M1384" s="1">
        <f t="shared" si="108"/>
        <v>187.41664813991312</v>
      </c>
      <c r="N1384" s="7">
        <f t="shared" si="109"/>
        <v>187.41664813991312</v>
      </c>
    </row>
    <row r="1385" spans="1:14" x14ac:dyDescent="0.25">
      <c r="A1385" t="str">
        <f>"14:13:26.672"</f>
        <v>14:13:26.672</v>
      </c>
      <c r="B1385">
        <v>39.589790999999998</v>
      </c>
      <c r="C1385">
        <v>-76.492008999999996</v>
      </c>
      <c r="D1385">
        <v>8700</v>
      </c>
      <c r="E1385">
        <v>9025</v>
      </c>
      <c r="F1385">
        <v>166</v>
      </c>
      <c r="G1385">
        <v>87</v>
      </c>
      <c r="H1385">
        <v>0</v>
      </c>
      <c r="J1385" s="1">
        <f t="shared" si="105"/>
        <v>27556</v>
      </c>
      <c r="K1385" s="1">
        <f t="shared" si="106"/>
        <v>7569</v>
      </c>
      <c r="L1385" s="1">
        <f t="shared" si="107"/>
        <v>35125</v>
      </c>
      <c r="M1385" s="1">
        <f t="shared" si="108"/>
        <v>187.41664813991312</v>
      </c>
      <c r="N1385" s="7">
        <f t="shared" si="109"/>
        <v>187.41664813991312</v>
      </c>
    </row>
    <row r="1386" spans="1:14" x14ac:dyDescent="0.25">
      <c r="A1386" t="str">
        <f>"14:13:27.734"</f>
        <v>14:13:27.734</v>
      </c>
      <c r="B1386">
        <v>39.590242000000003</v>
      </c>
      <c r="C1386">
        <v>-76.490871999999996</v>
      </c>
      <c r="D1386">
        <v>8700</v>
      </c>
      <c r="E1386">
        <v>9025</v>
      </c>
      <c r="F1386">
        <v>166</v>
      </c>
      <c r="G1386">
        <v>87</v>
      </c>
      <c r="H1386">
        <v>0</v>
      </c>
      <c r="J1386" s="1">
        <f t="shared" si="105"/>
        <v>27556</v>
      </c>
      <c r="K1386" s="1">
        <f t="shared" si="106"/>
        <v>7569</v>
      </c>
      <c r="L1386" s="1">
        <f t="shared" si="107"/>
        <v>35125</v>
      </c>
      <c r="M1386" s="1">
        <f t="shared" si="108"/>
        <v>187.41664813991312</v>
      </c>
      <c r="N1386" s="7">
        <f t="shared" si="109"/>
        <v>187.41664813991312</v>
      </c>
    </row>
    <row r="1387" spans="1:14" x14ac:dyDescent="0.25">
      <c r="A1387" t="str">
        <f>"14:13:28.797"</f>
        <v>14:13:28.797</v>
      </c>
      <c r="B1387">
        <v>39.590671</v>
      </c>
      <c r="C1387">
        <v>-76.489799000000005</v>
      </c>
      <c r="D1387">
        <v>8700</v>
      </c>
      <c r="E1387">
        <v>9025</v>
      </c>
      <c r="F1387">
        <v>166</v>
      </c>
      <c r="G1387">
        <v>87</v>
      </c>
      <c r="H1387">
        <v>-64</v>
      </c>
      <c r="J1387" s="1">
        <f t="shared" si="105"/>
        <v>27556</v>
      </c>
      <c r="K1387" s="1">
        <f t="shared" si="106"/>
        <v>7569</v>
      </c>
      <c r="L1387" s="1">
        <f t="shared" si="107"/>
        <v>35125</v>
      </c>
      <c r="M1387" s="1">
        <f t="shared" si="108"/>
        <v>187.41664813991312</v>
      </c>
      <c r="N1387" s="7">
        <f t="shared" si="109"/>
        <v>187.41664813991312</v>
      </c>
    </row>
    <row r="1388" spans="1:14" x14ac:dyDescent="0.25">
      <c r="A1388" t="str">
        <f>"14:13:29.852"</f>
        <v>14:13:29.852</v>
      </c>
      <c r="B1388">
        <v>39.591099999999997</v>
      </c>
      <c r="C1388">
        <v>-76.488833</v>
      </c>
      <c r="D1388">
        <v>8700</v>
      </c>
      <c r="E1388">
        <v>9025</v>
      </c>
      <c r="F1388">
        <v>166</v>
      </c>
      <c r="G1388">
        <v>88</v>
      </c>
      <c r="H1388">
        <v>0</v>
      </c>
      <c r="J1388" s="1">
        <f t="shared" si="105"/>
        <v>27556</v>
      </c>
      <c r="K1388" s="1">
        <f t="shared" si="106"/>
        <v>7744</v>
      </c>
      <c r="L1388" s="1">
        <f t="shared" si="107"/>
        <v>35300</v>
      </c>
      <c r="M1388" s="1">
        <f t="shared" si="108"/>
        <v>187.88294228055935</v>
      </c>
      <c r="N1388" s="7">
        <f t="shared" si="109"/>
        <v>187.88294228055935</v>
      </c>
    </row>
    <row r="1389" spans="1:14" x14ac:dyDescent="0.25">
      <c r="A1389" t="str">
        <f>"14:13:30.969"</f>
        <v>14:13:30.969</v>
      </c>
      <c r="B1389">
        <v>39.591529000000001</v>
      </c>
      <c r="C1389">
        <v>-76.487718000000001</v>
      </c>
      <c r="D1389">
        <v>8700</v>
      </c>
      <c r="E1389">
        <v>9025</v>
      </c>
      <c r="F1389">
        <v>166</v>
      </c>
      <c r="G1389">
        <v>88</v>
      </c>
      <c r="H1389">
        <v>0</v>
      </c>
      <c r="J1389" s="1">
        <f t="shared" si="105"/>
        <v>27556</v>
      </c>
      <c r="K1389" s="1">
        <f t="shared" si="106"/>
        <v>7744</v>
      </c>
      <c r="L1389" s="1">
        <f t="shared" si="107"/>
        <v>35300</v>
      </c>
      <c r="M1389" s="1">
        <f t="shared" si="108"/>
        <v>187.88294228055935</v>
      </c>
      <c r="N1389" s="7">
        <f t="shared" si="109"/>
        <v>187.88294228055935</v>
      </c>
    </row>
    <row r="1390" spans="1:14" x14ac:dyDescent="0.25">
      <c r="A1390" t="str">
        <f>"14:13:32.078"</f>
        <v>14:13:32.078</v>
      </c>
      <c r="B1390">
        <v>39.592022999999998</v>
      </c>
      <c r="C1390">
        <v>-76.486515999999995</v>
      </c>
      <c r="D1390">
        <v>8700</v>
      </c>
      <c r="E1390">
        <v>9025</v>
      </c>
      <c r="F1390">
        <v>166</v>
      </c>
      <c r="G1390">
        <v>88</v>
      </c>
      <c r="H1390">
        <v>0</v>
      </c>
      <c r="J1390" s="1">
        <f t="shared" si="105"/>
        <v>27556</v>
      </c>
      <c r="K1390" s="1">
        <f t="shared" si="106"/>
        <v>7744</v>
      </c>
      <c r="L1390" s="1">
        <f t="shared" si="107"/>
        <v>35300</v>
      </c>
      <c r="M1390" s="1">
        <f t="shared" si="108"/>
        <v>187.88294228055935</v>
      </c>
      <c r="N1390" s="7">
        <f t="shared" si="109"/>
        <v>187.88294228055935</v>
      </c>
    </row>
    <row r="1391" spans="1:14" x14ac:dyDescent="0.25">
      <c r="A1391" t="str">
        <f>"14:13:33.094"</f>
        <v>14:13:33.094</v>
      </c>
      <c r="B1391">
        <v>39.592430999999998</v>
      </c>
      <c r="C1391">
        <v>-76.485506999999998</v>
      </c>
      <c r="D1391">
        <v>8700</v>
      </c>
      <c r="E1391">
        <v>9025</v>
      </c>
      <c r="F1391">
        <v>165</v>
      </c>
      <c r="G1391">
        <v>88</v>
      </c>
      <c r="H1391">
        <v>0</v>
      </c>
      <c r="J1391" s="1">
        <f t="shared" si="105"/>
        <v>27225</v>
      </c>
      <c r="K1391" s="1">
        <f t="shared" si="106"/>
        <v>7744</v>
      </c>
      <c r="L1391" s="1">
        <f t="shared" si="107"/>
        <v>34969</v>
      </c>
      <c r="M1391" s="1">
        <f t="shared" si="108"/>
        <v>187</v>
      </c>
      <c r="N1391" s="7">
        <f t="shared" si="109"/>
        <v>187</v>
      </c>
    </row>
    <row r="1392" spans="1:14" x14ac:dyDescent="0.25">
      <c r="A1392" t="str">
        <f>"14:13:34.047"</f>
        <v>14:13:34.047</v>
      </c>
      <c r="B1392">
        <v>39.592816999999997</v>
      </c>
      <c r="C1392">
        <v>-76.484628000000001</v>
      </c>
      <c r="D1392">
        <v>8700</v>
      </c>
      <c r="E1392">
        <v>9025</v>
      </c>
      <c r="F1392">
        <v>165</v>
      </c>
      <c r="G1392">
        <v>88</v>
      </c>
      <c r="H1392">
        <v>0</v>
      </c>
      <c r="J1392" s="1">
        <f t="shared" si="105"/>
        <v>27225</v>
      </c>
      <c r="K1392" s="1">
        <f t="shared" si="106"/>
        <v>7744</v>
      </c>
      <c r="L1392" s="1">
        <f t="shared" si="107"/>
        <v>34969</v>
      </c>
      <c r="M1392" s="1">
        <f t="shared" si="108"/>
        <v>187</v>
      </c>
      <c r="N1392" s="7">
        <f t="shared" si="109"/>
        <v>187</v>
      </c>
    </row>
    <row r="1393" spans="1:14" x14ac:dyDescent="0.25">
      <c r="A1393" t="str">
        <f>"14:13:35.008"</f>
        <v>14:13:35.008</v>
      </c>
      <c r="B1393">
        <v>39.593181999999999</v>
      </c>
      <c r="C1393">
        <v>-76.483641000000006</v>
      </c>
      <c r="D1393">
        <v>8700</v>
      </c>
      <c r="E1393">
        <v>9025</v>
      </c>
      <c r="F1393">
        <v>165</v>
      </c>
      <c r="G1393">
        <v>88</v>
      </c>
      <c r="H1393">
        <v>0</v>
      </c>
      <c r="J1393" s="1">
        <f t="shared" si="105"/>
        <v>27225</v>
      </c>
      <c r="K1393" s="1">
        <f t="shared" si="106"/>
        <v>7744</v>
      </c>
      <c r="L1393" s="1">
        <f t="shared" si="107"/>
        <v>34969</v>
      </c>
      <c r="M1393" s="1">
        <f t="shared" si="108"/>
        <v>187</v>
      </c>
      <c r="N1393" s="7">
        <f t="shared" si="109"/>
        <v>187</v>
      </c>
    </row>
    <row r="1394" spans="1:14" x14ac:dyDescent="0.25">
      <c r="A1394" t="str">
        <f>"14:13:35.859"</f>
        <v>14:13:35.859</v>
      </c>
      <c r="B1394">
        <v>39.593589000000001</v>
      </c>
      <c r="C1394">
        <v>-76.482760999999996</v>
      </c>
      <c r="D1394">
        <v>8700</v>
      </c>
      <c r="E1394">
        <v>9025</v>
      </c>
      <c r="F1394">
        <v>165</v>
      </c>
      <c r="G1394">
        <v>89</v>
      </c>
      <c r="H1394">
        <v>0</v>
      </c>
      <c r="J1394" s="1">
        <f t="shared" si="105"/>
        <v>27225</v>
      </c>
      <c r="K1394" s="1">
        <f t="shared" si="106"/>
        <v>7921</v>
      </c>
      <c r="L1394" s="1">
        <f t="shared" si="107"/>
        <v>35146</v>
      </c>
      <c r="M1394" s="1">
        <f t="shared" si="108"/>
        <v>187.47266467407988</v>
      </c>
      <c r="N1394" s="7">
        <f t="shared" si="109"/>
        <v>187.47266467407988</v>
      </c>
    </row>
    <row r="1395" spans="1:14" x14ac:dyDescent="0.25">
      <c r="A1395" t="str">
        <f>"14:13:36.977"</f>
        <v>14:13:36.977</v>
      </c>
      <c r="B1395">
        <v>39.593997000000002</v>
      </c>
      <c r="C1395">
        <v>-76.481795000000005</v>
      </c>
      <c r="D1395">
        <v>8700</v>
      </c>
      <c r="E1395">
        <v>9025</v>
      </c>
      <c r="F1395">
        <v>165</v>
      </c>
      <c r="G1395">
        <v>89</v>
      </c>
      <c r="H1395">
        <v>0</v>
      </c>
      <c r="J1395" s="1">
        <f t="shared" si="105"/>
        <v>27225</v>
      </c>
      <c r="K1395" s="1">
        <f t="shared" si="106"/>
        <v>7921</v>
      </c>
      <c r="L1395" s="1">
        <f t="shared" si="107"/>
        <v>35146</v>
      </c>
      <c r="M1395" s="1">
        <f t="shared" si="108"/>
        <v>187.47266467407988</v>
      </c>
      <c r="N1395" s="7">
        <f t="shared" si="109"/>
        <v>187.47266467407988</v>
      </c>
    </row>
    <row r="1396" spans="1:14" x14ac:dyDescent="0.25">
      <c r="A1396" t="str">
        <f>"14:13:37.984"</f>
        <v>14:13:37.984</v>
      </c>
      <c r="B1396">
        <v>39.594448</v>
      </c>
      <c r="C1396">
        <v>-76.480722</v>
      </c>
      <c r="D1396">
        <v>8700</v>
      </c>
      <c r="E1396">
        <v>9025</v>
      </c>
      <c r="F1396">
        <v>165</v>
      </c>
      <c r="G1396">
        <v>89</v>
      </c>
      <c r="H1396">
        <v>0</v>
      </c>
      <c r="J1396" s="1">
        <f t="shared" si="105"/>
        <v>27225</v>
      </c>
      <c r="K1396" s="1">
        <f t="shared" si="106"/>
        <v>7921</v>
      </c>
      <c r="L1396" s="1">
        <f t="shared" si="107"/>
        <v>35146</v>
      </c>
      <c r="M1396" s="1">
        <f t="shared" si="108"/>
        <v>187.47266467407988</v>
      </c>
      <c r="N1396" s="7">
        <f t="shared" si="109"/>
        <v>187.47266467407988</v>
      </c>
    </row>
    <row r="1397" spans="1:14" x14ac:dyDescent="0.25">
      <c r="A1397" t="str">
        <f>"14:13:38.945"</f>
        <v>14:13:38.945</v>
      </c>
      <c r="B1397">
        <v>39.594811999999997</v>
      </c>
      <c r="C1397">
        <v>-76.479821000000001</v>
      </c>
      <c r="D1397">
        <v>8700</v>
      </c>
      <c r="E1397">
        <v>9025</v>
      </c>
      <c r="F1397">
        <v>165</v>
      </c>
      <c r="G1397">
        <v>89</v>
      </c>
      <c r="H1397">
        <v>0</v>
      </c>
      <c r="J1397" s="1">
        <f t="shared" si="105"/>
        <v>27225</v>
      </c>
      <c r="K1397" s="1">
        <f t="shared" si="106"/>
        <v>7921</v>
      </c>
      <c r="L1397" s="1">
        <f t="shared" si="107"/>
        <v>35146</v>
      </c>
      <c r="M1397" s="1">
        <f t="shared" si="108"/>
        <v>187.47266467407988</v>
      </c>
      <c r="N1397" s="7">
        <f t="shared" si="109"/>
        <v>187.47266467407988</v>
      </c>
    </row>
    <row r="1398" spans="1:14" x14ac:dyDescent="0.25">
      <c r="A1398" t="str">
        <f>"14:13:40.102"</f>
        <v>14:13:40.102</v>
      </c>
      <c r="B1398">
        <v>39.595326999999997</v>
      </c>
      <c r="C1398">
        <v>-76.478640999999996</v>
      </c>
      <c r="D1398">
        <v>8700</v>
      </c>
      <c r="E1398">
        <v>9025</v>
      </c>
      <c r="F1398">
        <v>164</v>
      </c>
      <c r="G1398">
        <v>89</v>
      </c>
      <c r="H1398">
        <v>0</v>
      </c>
      <c r="J1398" s="1">
        <f t="shared" si="105"/>
        <v>26896</v>
      </c>
      <c r="K1398" s="1">
        <f t="shared" si="106"/>
        <v>7921</v>
      </c>
      <c r="L1398" s="1">
        <f t="shared" si="107"/>
        <v>34817</v>
      </c>
      <c r="M1398" s="1">
        <f t="shared" si="108"/>
        <v>186.59314028120113</v>
      </c>
      <c r="N1398" s="7">
        <f t="shared" si="109"/>
        <v>186.59314028120113</v>
      </c>
    </row>
    <row r="1399" spans="1:14" x14ac:dyDescent="0.25">
      <c r="A1399" t="str">
        <f>"14:13:40.906"</f>
        <v>14:13:40.906</v>
      </c>
      <c r="B1399">
        <v>39.595649000000002</v>
      </c>
      <c r="C1399">
        <v>-76.477868999999998</v>
      </c>
      <c r="D1399">
        <v>8700</v>
      </c>
      <c r="E1399">
        <v>9025</v>
      </c>
      <c r="F1399">
        <v>164</v>
      </c>
      <c r="G1399">
        <v>89</v>
      </c>
      <c r="H1399">
        <v>0</v>
      </c>
      <c r="J1399" s="1">
        <f t="shared" si="105"/>
        <v>26896</v>
      </c>
      <c r="K1399" s="1">
        <f t="shared" si="106"/>
        <v>7921</v>
      </c>
      <c r="L1399" s="1">
        <f t="shared" si="107"/>
        <v>34817</v>
      </c>
      <c r="M1399" s="1">
        <f t="shared" si="108"/>
        <v>186.59314028120113</v>
      </c>
      <c r="N1399" s="7">
        <f t="shared" si="109"/>
        <v>186.59314028120113</v>
      </c>
    </row>
    <row r="1400" spans="1:14" x14ac:dyDescent="0.25">
      <c r="A1400" t="str">
        <f>"14:13:42.023"</f>
        <v>14:13:42.023</v>
      </c>
      <c r="B1400">
        <v>39.596120999999997</v>
      </c>
      <c r="C1400">
        <v>-76.476753000000002</v>
      </c>
      <c r="D1400">
        <v>8700</v>
      </c>
      <c r="E1400">
        <v>9025</v>
      </c>
      <c r="F1400">
        <v>164</v>
      </c>
      <c r="G1400">
        <v>90</v>
      </c>
      <c r="H1400">
        <v>0</v>
      </c>
      <c r="J1400" s="1">
        <f t="shared" si="105"/>
        <v>26896</v>
      </c>
      <c r="K1400" s="1">
        <f t="shared" si="106"/>
        <v>8100</v>
      </c>
      <c r="L1400" s="1">
        <f t="shared" si="107"/>
        <v>34996</v>
      </c>
      <c r="M1400" s="1">
        <f t="shared" si="108"/>
        <v>187.07217858356171</v>
      </c>
      <c r="N1400" s="7">
        <f t="shared" si="109"/>
        <v>187.07217858356171</v>
      </c>
    </row>
    <row r="1401" spans="1:14" x14ac:dyDescent="0.25">
      <c r="A1401" t="str">
        <f>"14:13:43.078"</f>
        <v>14:13:43.078</v>
      </c>
      <c r="B1401">
        <v>39.596550000000001</v>
      </c>
      <c r="C1401">
        <v>-76.475657999999996</v>
      </c>
      <c r="D1401">
        <v>8700</v>
      </c>
      <c r="E1401">
        <v>9025</v>
      </c>
      <c r="F1401">
        <v>164</v>
      </c>
      <c r="G1401">
        <v>90</v>
      </c>
      <c r="H1401">
        <v>0</v>
      </c>
      <c r="J1401" s="1">
        <f t="shared" si="105"/>
        <v>26896</v>
      </c>
      <c r="K1401" s="1">
        <f t="shared" si="106"/>
        <v>8100</v>
      </c>
      <c r="L1401" s="1">
        <f t="shared" si="107"/>
        <v>34996</v>
      </c>
      <c r="M1401" s="1">
        <f t="shared" si="108"/>
        <v>187.07217858356171</v>
      </c>
      <c r="N1401" s="7">
        <f t="shared" si="109"/>
        <v>187.07217858356171</v>
      </c>
    </row>
    <row r="1402" spans="1:14" x14ac:dyDescent="0.25">
      <c r="A1402" t="str">
        <f>"14:13:44.141"</f>
        <v>14:13:44.141</v>
      </c>
      <c r="B1402">
        <v>39.596980000000002</v>
      </c>
      <c r="C1402">
        <v>-76.474693000000002</v>
      </c>
      <c r="D1402">
        <v>8700</v>
      </c>
      <c r="E1402">
        <v>9025</v>
      </c>
      <c r="F1402">
        <v>164</v>
      </c>
      <c r="G1402">
        <v>90</v>
      </c>
      <c r="H1402">
        <v>0</v>
      </c>
      <c r="J1402" s="1">
        <f t="shared" si="105"/>
        <v>26896</v>
      </c>
      <c r="K1402" s="1">
        <f t="shared" si="106"/>
        <v>8100</v>
      </c>
      <c r="L1402" s="1">
        <f t="shared" si="107"/>
        <v>34996</v>
      </c>
      <c r="M1402" s="1">
        <f t="shared" si="108"/>
        <v>187.07217858356171</v>
      </c>
      <c r="N1402" s="7">
        <f t="shared" si="109"/>
        <v>187.07217858356171</v>
      </c>
    </row>
    <row r="1403" spans="1:14" x14ac:dyDescent="0.25">
      <c r="A1403" t="str">
        <f>"14:13:45.250"</f>
        <v>14:13:45.250</v>
      </c>
      <c r="B1403">
        <v>39.597430000000003</v>
      </c>
      <c r="C1403">
        <v>-76.473641000000001</v>
      </c>
      <c r="D1403">
        <v>8700</v>
      </c>
      <c r="E1403">
        <v>9025</v>
      </c>
      <c r="F1403">
        <v>164</v>
      </c>
      <c r="G1403">
        <v>90</v>
      </c>
      <c r="H1403">
        <v>-64</v>
      </c>
      <c r="J1403" s="1">
        <f t="shared" si="105"/>
        <v>26896</v>
      </c>
      <c r="K1403" s="1">
        <f t="shared" si="106"/>
        <v>8100</v>
      </c>
      <c r="L1403" s="1">
        <f t="shared" si="107"/>
        <v>34996</v>
      </c>
      <c r="M1403" s="1">
        <f t="shared" si="108"/>
        <v>187.07217858356171</v>
      </c>
      <c r="N1403" s="7">
        <f t="shared" si="109"/>
        <v>187.07217858356171</v>
      </c>
    </row>
    <row r="1404" spans="1:14" x14ac:dyDescent="0.25">
      <c r="A1404" t="str">
        <f>"14:13:46.258"</f>
        <v>14:13:46.258</v>
      </c>
      <c r="B1404">
        <v>39.597881000000001</v>
      </c>
      <c r="C1404">
        <v>-76.472547000000006</v>
      </c>
      <c r="D1404">
        <v>8700</v>
      </c>
      <c r="E1404">
        <v>9025</v>
      </c>
      <c r="F1404">
        <v>164</v>
      </c>
      <c r="G1404">
        <v>90</v>
      </c>
      <c r="H1404">
        <v>-64</v>
      </c>
      <c r="J1404" s="1">
        <f t="shared" si="105"/>
        <v>26896</v>
      </c>
      <c r="K1404" s="1">
        <f t="shared" si="106"/>
        <v>8100</v>
      </c>
      <c r="L1404" s="1">
        <f t="shared" si="107"/>
        <v>34996</v>
      </c>
      <c r="M1404" s="1">
        <f t="shared" si="108"/>
        <v>187.07217858356171</v>
      </c>
      <c r="N1404" s="7">
        <f t="shared" si="109"/>
        <v>187.07217858356171</v>
      </c>
    </row>
    <row r="1405" spans="1:14" x14ac:dyDescent="0.25">
      <c r="A1405" t="str">
        <f>"14:13:47.164"</f>
        <v>14:13:47.164</v>
      </c>
      <c r="B1405">
        <v>39.598267</v>
      </c>
      <c r="C1405">
        <v>-76.471624000000006</v>
      </c>
      <c r="D1405">
        <v>8700</v>
      </c>
      <c r="E1405">
        <v>9025</v>
      </c>
      <c r="F1405">
        <v>164</v>
      </c>
      <c r="G1405">
        <v>90</v>
      </c>
      <c r="H1405">
        <v>-64</v>
      </c>
      <c r="J1405" s="1">
        <f t="shared" si="105"/>
        <v>26896</v>
      </c>
      <c r="K1405" s="1">
        <f t="shared" si="106"/>
        <v>8100</v>
      </c>
      <c r="L1405" s="1">
        <f t="shared" si="107"/>
        <v>34996</v>
      </c>
      <c r="M1405" s="1">
        <f t="shared" si="108"/>
        <v>187.07217858356171</v>
      </c>
      <c r="N1405" s="7">
        <f t="shared" si="109"/>
        <v>187.07217858356171</v>
      </c>
    </row>
    <row r="1406" spans="1:14" x14ac:dyDescent="0.25">
      <c r="A1406" t="str">
        <f>"14:13:48.180"</f>
        <v>14:13:48.180</v>
      </c>
      <c r="B1406">
        <v>39.598675</v>
      </c>
      <c r="C1406">
        <v>-76.470636999999996</v>
      </c>
      <c r="D1406">
        <v>8700</v>
      </c>
      <c r="E1406">
        <v>9025</v>
      </c>
      <c r="F1406">
        <v>164</v>
      </c>
      <c r="G1406">
        <v>90</v>
      </c>
      <c r="H1406">
        <v>-64</v>
      </c>
      <c r="J1406" s="1">
        <f t="shared" si="105"/>
        <v>26896</v>
      </c>
      <c r="K1406" s="1">
        <f t="shared" si="106"/>
        <v>8100</v>
      </c>
      <c r="L1406" s="1">
        <f t="shared" si="107"/>
        <v>34996</v>
      </c>
      <c r="M1406" s="1">
        <f t="shared" si="108"/>
        <v>187.07217858356171</v>
      </c>
      <c r="N1406" s="7">
        <f t="shared" si="109"/>
        <v>187.07217858356171</v>
      </c>
    </row>
    <row r="1407" spans="1:14" x14ac:dyDescent="0.25">
      <c r="A1407" t="str">
        <f>"14:13:49.086"</f>
        <v>14:13:49.086</v>
      </c>
      <c r="B1407">
        <v>39.599040000000002</v>
      </c>
      <c r="C1407">
        <v>-76.469800000000006</v>
      </c>
      <c r="D1407">
        <v>8700</v>
      </c>
      <c r="E1407">
        <v>9025</v>
      </c>
      <c r="F1407">
        <v>165</v>
      </c>
      <c r="G1407">
        <v>89</v>
      </c>
      <c r="H1407">
        <v>-64</v>
      </c>
      <c r="J1407" s="1">
        <f t="shared" si="105"/>
        <v>27225</v>
      </c>
      <c r="K1407" s="1">
        <f t="shared" si="106"/>
        <v>7921</v>
      </c>
      <c r="L1407" s="1">
        <f t="shared" si="107"/>
        <v>35146</v>
      </c>
      <c r="M1407" s="1">
        <f t="shared" si="108"/>
        <v>187.47266467407988</v>
      </c>
      <c r="N1407" s="7">
        <f t="shared" si="109"/>
        <v>187.47266467407988</v>
      </c>
    </row>
    <row r="1408" spans="1:14" x14ac:dyDescent="0.25">
      <c r="A1408" t="str">
        <f>"14:13:50.148"</f>
        <v>14:13:50.148</v>
      </c>
      <c r="B1408">
        <v>39.599446999999998</v>
      </c>
      <c r="C1408">
        <v>-76.468791999999993</v>
      </c>
      <c r="D1408">
        <v>8700</v>
      </c>
      <c r="E1408">
        <v>9025</v>
      </c>
      <c r="F1408">
        <v>165</v>
      </c>
      <c r="G1408">
        <v>89</v>
      </c>
      <c r="H1408">
        <v>-128</v>
      </c>
      <c r="J1408" s="1">
        <f t="shared" si="105"/>
        <v>27225</v>
      </c>
      <c r="K1408" s="1">
        <f t="shared" si="106"/>
        <v>7921</v>
      </c>
      <c r="L1408" s="1">
        <f t="shared" si="107"/>
        <v>35146</v>
      </c>
      <c r="M1408" s="1">
        <f t="shared" si="108"/>
        <v>187.47266467407988</v>
      </c>
      <c r="N1408" s="7">
        <f t="shared" si="109"/>
        <v>187.47266467407988</v>
      </c>
    </row>
    <row r="1409" spans="1:14" x14ac:dyDescent="0.25">
      <c r="A1409" t="str">
        <f>"14:13:51.156"</f>
        <v>14:13:51.156</v>
      </c>
      <c r="B1409">
        <v>39.599854999999998</v>
      </c>
      <c r="C1409">
        <v>-76.467761999999993</v>
      </c>
      <c r="D1409">
        <v>8700</v>
      </c>
      <c r="E1409">
        <v>9000</v>
      </c>
      <c r="F1409">
        <v>165</v>
      </c>
      <c r="G1409">
        <v>89</v>
      </c>
      <c r="H1409">
        <v>-384</v>
      </c>
      <c r="J1409" s="1">
        <f t="shared" si="105"/>
        <v>27225</v>
      </c>
      <c r="K1409" s="1">
        <f t="shared" si="106"/>
        <v>7921</v>
      </c>
      <c r="L1409" s="1">
        <f t="shared" si="107"/>
        <v>35146</v>
      </c>
      <c r="M1409" s="1">
        <f t="shared" si="108"/>
        <v>187.47266467407988</v>
      </c>
      <c r="N1409" s="7">
        <f t="shared" si="109"/>
        <v>187.47266467407988</v>
      </c>
    </row>
    <row r="1410" spans="1:14" x14ac:dyDescent="0.25">
      <c r="A1410" t="str">
        <f>"14:13:52.016"</f>
        <v>14:13:52.016</v>
      </c>
      <c r="B1410">
        <v>39.60022</v>
      </c>
      <c r="C1410">
        <v>-76.466925000000003</v>
      </c>
      <c r="D1410">
        <v>8700</v>
      </c>
      <c r="E1410">
        <v>9000</v>
      </c>
      <c r="F1410">
        <v>166</v>
      </c>
      <c r="G1410">
        <v>89</v>
      </c>
      <c r="H1410">
        <v>-576</v>
      </c>
      <c r="J1410" s="1">
        <f t="shared" si="105"/>
        <v>27556</v>
      </c>
      <c r="K1410" s="1">
        <f t="shared" si="106"/>
        <v>7921</v>
      </c>
      <c r="L1410" s="1">
        <f t="shared" si="107"/>
        <v>35477</v>
      </c>
      <c r="M1410" s="1">
        <f t="shared" si="108"/>
        <v>188.35339126227592</v>
      </c>
      <c r="N1410" s="7">
        <f t="shared" si="109"/>
        <v>188.35339126227592</v>
      </c>
    </row>
    <row r="1411" spans="1:14" x14ac:dyDescent="0.25">
      <c r="A1411" t="str">
        <f>"14:13:53.125"</f>
        <v>14:13:53.125</v>
      </c>
      <c r="B1411">
        <v>39.600670000000001</v>
      </c>
      <c r="C1411">
        <v>-76.465808999999993</v>
      </c>
      <c r="D1411">
        <v>8700</v>
      </c>
      <c r="E1411">
        <v>9000</v>
      </c>
      <c r="F1411">
        <v>167</v>
      </c>
      <c r="G1411">
        <v>88</v>
      </c>
      <c r="H1411">
        <v>-640</v>
      </c>
      <c r="J1411" s="1">
        <f t="shared" ref="J1411:J1474" si="110">F1411^2</f>
        <v>27889</v>
      </c>
      <c r="K1411" s="1">
        <f t="shared" ref="K1411:K1474" si="111">G1411^2</f>
        <v>7744</v>
      </c>
      <c r="L1411" s="1">
        <f t="shared" ref="L1411:L1474" si="112">SUMSQ(F1411,G1411)</f>
        <v>35633</v>
      </c>
      <c r="M1411" s="1">
        <f t="shared" ref="M1411:M1474" si="113">SQRT(L1411)</f>
        <v>188.76705220985997</v>
      </c>
      <c r="N1411" s="7">
        <f t="shared" ref="N1411:N1474" si="114">M1411</f>
        <v>188.76705220985997</v>
      </c>
    </row>
    <row r="1412" spans="1:14" x14ac:dyDescent="0.25">
      <c r="A1412" t="str">
        <f>"14:13:54.133"</f>
        <v>14:13:54.133</v>
      </c>
      <c r="B1412">
        <v>39.601098999999998</v>
      </c>
      <c r="C1412">
        <v>-76.464778999999993</v>
      </c>
      <c r="D1412">
        <v>8700</v>
      </c>
      <c r="E1412">
        <v>8975</v>
      </c>
      <c r="F1412">
        <v>168</v>
      </c>
      <c r="G1412">
        <v>88</v>
      </c>
      <c r="H1412">
        <v>-768</v>
      </c>
      <c r="J1412" s="1">
        <f t="shared" si="110"/>
        <v>28224</v>
      </c>
      <c r="K1412" s="1">
        <f t="shared" si="111"/>
        <v>7744</v>
      </c>
      <c r="L1412" s="1">
        <f t="shared" si="112"/>
        <v>35968</v>
      </c>
      <c r="M1412" s="1">
        <f t="shared" si="113"/>
        <v>189.65231345807516</v>
      </c>
      <c r="N1412" s="7">
        <f t="shared" si="114"/>
        <v>189.65231345807516</v>
      </c>
    </row>
    <row r="1413" spans="1:14" x14ac:dyDescent="0.25">
      <c r="A1413" t="str">
        <f>"14:13:55.094"</f>
        <v>14:13:55.094</v>
      </c>
      <c r="B1413">
        <v>39.601506999999998</v>
      </c>
      <c r="C1413">
        <v>-76.463770999999994</v>
      </c>
      <c r="D1413">
        <v>8700</v>
      </c>
      <c r="E1413">
        <v>8975</v>
      </c>
      <c r="F1413">
        <v>169</v>
      </c>
      <c r="G1413">
        <v>87</v>
      </c>
      <c r="H1413">
        <v>-832</v>
      </c>
      <c r="J1413" s="1">
        <f t="shared" si="110"/>
        <v>28561</v>
      </c>
      <c r="K1413" s="1">
        <f t="shared" si="111"/>
        <v>7569</v>
      </c>
      <c r="L1413" s="1">
        <f t="shared" si="112"/>
        <v>36130</v>
      </c>
      <c r="M1413" s="1">
        <f t="shared" si="113"/>
        <v>190.07893097342483</v>
      </c>
      <c r="N1413" s="7">
        <f t="shared" si="114"/>
        <v>190.07893097342483</v>
      </c>
    </row>
    <row r="1414" spans="1:14" x14ac:dyDescent="0.25">
      <c r="A1414" t="str">
        <f>"14:13:56.055"</f>
        <v>14:13:56.055</v>
      </c>
      <c r="B1414">
        <v>39.601851000000003</v>
      </c>
      <c r="C1414">
        <v>-76.462827000000004</v>
      </c>
      <c r="D1414">
        <v>8600</v>
      </c>
      <c r="E1414">
        <v>8950</v>
      </c>
      <c r="F1414">
        <v>170</v>
      </c>
      <c r="G1414">
        <v>87</v>
      </c>
      <c r="H1414">
        <v>-960</v>
      </c>
      <c r="J1414" s="1">
        <f t="shared" si="110"/>
        <v>28900</v>
      </c>
      <c r="K1414" s="1">
        <f t="shared" si="111"/>
        <v>7569</v>
      </c>
      <c r="L1414" s="1">
        <f t="shared" si="112"/>
        <v>36469</v>
      </c>
      <c r="M1414" s="1">
        <f t="shared" si="113"/>
        <v>190.9685838037241</v>
      </c>
      <c r="N1414" s="7">
        <f t="shared" si="114"/>
        <v>190.9685838037241</v>
      </c>
    </row>
    <row r="1415" spans="1:14" x14ac:dyDescent="0.25">
      <c r="A1415" t="str">
        <f>"14:13:57.164"</f>
        <v>14:13:57.164</v>
      </c>
      <c r="B1415">
        <v>39.60228</v>
      </c>
      <c r="C1415">
        <v>-76.461731999999998</v>
      </c>
      <c r="D1415">
        <v>8600</v>
      </c>
      <c r="E1415">
        <v>8925</v>
      </c>
      <c r="F1415">
        <v>172</v>
      </c>
      <c r="G1415">
        <v>86</v>
      </c>
      <c r="H1415">
        <v>-1024</v>
      </c>
      <c r="J1415" s="1">
        <f t="shared" si="110"/>
        <v>29584</v>
      </c>
      <c r="K1415" s="1">
        <f t="shared" si="111"/>
        <v>7396</v>
      </c>
      <c r="L1415" s="1">
        <f t="shared" si="112"/>
        <v>36980</v>
      </c>
      <c r="M1415" s="1">
        <f t="shared" si="113"/>
        <v>192.3018460649819</v>
      </c>
      <c r="N1415" s="7">
        <f t="shared" si="114"/>
        <v>192.3018460649819</v>
      </c>
    </row>
    <row r="1416" spans="1:14" x14ac:dyDescent="0.25">
      <c r="A1416" t="str">
        <f>"14:13:58.273"</f>
        <v>14:13:58.273</v>
      </c>
      <c r="B1416">
        <v>39.602772999999999</v>
      </c>
      <c r="C1416">
        <v>-76.460487999999998</v>
      </c>
      <c r="D1416">
        <v>8600</v>
      </c>
      <c r="E1416">
        <v>8900</v>
      </c>
      <c r="F1416">
        <v>173</v>
      </c>
      <c r="G1416">
        <v>86</v>
      </c>
      <c r="H1416">
        <v>-1024</v>
      </c>
      <c r="J1416" s="1">
        <f t="shared" si="110"/>
        <v>29929</v>
      </c>
      <c r="K1416" s="1">
        <f t="shared" si="111"/>
        <v>7396</v>
      </c>
      <c r="L1416" s="1">
        <f t="shared" si="112"/>
        <v>37325</v>
      </c>
      <c r="M1416" s="1">
        <f t="shared" si="113"/>
        <v>193.19679086361657</v>
      </c>
      <c r="N1416" s="7">
        <f t="shared" si="114"/>
        <v>193.19679086361657</v>
      </c>
    </row>
    <row r="1417" spans="1:14" x14ac:dyDescent="0.25">
      <c r="A1417" t="str">
        <f>"14:13:59.430"</f>
        <v>14:13:59.430</v>
      </c>
      <c r="B1417">
        <v>39.603202000000003</v>
      </c>
      <c r="C1417">
        <v>-76.459350999999998</v>
      </c>
      <c r="D1417">
        <v>8600</v>
      </c>
      <c r="E1417">
        <v>8900</v>
      </c>
      <c r="F1417">
        <v>174</v>
      </c>
      <c r="G1417">
        <v>85</v>
      </c>
      <c r="H1417">
        <v>-1024</v>
      </c>
      <c r="J1417" s="1">
        <f t="shared" si="110"/>
        <v>30276</v>
      </c>
      <c r="K1417" s="1">
        <f t="shared" si="111"/>
        <v>7225</v>
      </c>
      <c r="L1417" s="1">
        <f t="shared" si="112"/>
        <v>37501</v>
      </c>
      <c r="M1417" s="1">
        <f t="shared" si="113"/>
        <v>193.65174928205528</v>
      </c>
      <c r="N1417" s="7">
        <f t="shared" si="114"/>
        <v>193.65174928205528</v>
      </c>
    </row>
    <row r="1418" spans="1:14" x14ac:dyDescent="0.25">
      <c r="A1418" t="str">
        <f>"14:14:00.391"</f>
        <v>14:14:00.391</v>
      </c>
      <c r="B1418">
        <v>39.603566999999998</v>
      </c>
      <c r="C1418">
        <v>-76.458256000000006</v>
      </c>
      <c r="D1418">
        <v>8600</v>
      </c>
      <c r="E1418">
        <v>8875</v>
      </c>
      <c r="F1418">
        <v>176</v>
      </c>
      <c r="G1418">
        <v>85</v>
      </c>
      <c r="H1418">
        <v>-1024</v>
      </c>
      <c r="J1418" s="1">
        <f t="shared" si="110"/>
        <v>30976</v>
      </c>
      <c r="K1418" s="1">
        <f t="shared" si="111"/>
        <v>7225</v>
      </c>
      <c r="L1418" s="1">
        <f t="shared" si="112"/>
        <v>38201</v>
      </c>
      <c r="M1418" s="1">
        <f t="shared" si="113"/>
        <v>195.45076106272904</v>
      </c>
      <c r="N1418" s="7">
        <f t="shared" si="114"/>
        <v>195.45076106272904</v>
      </c>
    </row>
    <row r="1419" spans="1:14" x14ac:dyDescent="0.25">
      <c r="A1419" t="str">
        <f>"14:14:01.453"</f>
        <v>14:14:01.453</v>
      </c>
      <c r="B1419">
        <v>39.603996000000002</v>
      </c>
      <c r="C1419">
        <v>-76.457205000000002</v>
      </c>
      <c r="D1419">
        <v>8500</v>
      </c>
      <c r="E1419">
        <v>8875</v>
      </c>
      <c r="F1419">
        <v>176</v>
      </c>
      <c r="G1419">
        <v>85</v>
      </c>
      <c r="H1419">
        <v>-1024</v>
      </c>
      <c r="J1419" s="1">
        <f t="shared" si="110"/>
        <v>30976</v>
      </c>
      <c r="K1419" s="1">
        <f t="shared" si="111"/>
        <v>7225</v>
      </c>
      <c r="L1419" s="1">
        <f t="shared" si="112"/>
        <v>38201</v>
      </c>
      <c r="M1419" s="1">
        <f t="shared" si="113"/>
        <v>195.45076106272904</v>
      </c>
      <c r="N1419" s="7">
        <f t="shared" si="114"/>
        <v>195.45076106272904</v>
      </c>
    </row>
    <row r="1420" spans="1:14" x14ac:dyDescent="0.25">
      <c r="A1420" t="str">
        <f>"14:14:02.313"</f>
        <v>14:14:02.313</v>
      </c>
      <c r="B1420">
        <v>39.604340000000001</v>
      </c>
      <c r="C1420">
        <v>-76.456238999999997</v>
      </c>
      <c r="D1420">
        <v>8500</v>
      </c>
      <c r="E1420">
        <v>8850</v>
      </c>
      <c r="F1420">
        <v>178</v>
      </c>
      <c r="G1420">
        <v>85</v>
      </c>
      <c r="H1420">
        <v>-1024</v>
      </c>
      <c r="J1420" s="1">
        <f t="shared" si="110"/>
        <v>31684</v>
      </c>
      <c r="K1420" s="1">
        <f t="shared" si="111"/>
        <v>7225</v>
      </c>
      <c r="L1420" s="1">
        <f t="shared" si="112"/>
        <v>38909</v>
      </c>
      <c r="M1420" s="1">
        <f t="shared" si="113"/>
        <v>197.25364381932212</v>
      </c>
      <c r="N1420" s="7">
        <f t="shared" si="114"/>
        <v>197.25364381932212</v>
      </c>
    </row>
    <row r="1421" spans="1:14" x14ac:dyDescent="0.25">
      <c r="A1421" t="str">
        <f>"14:14:03.219"</f>
        <v>14:14:03.219</v>
      </c>
      <c r="B1421">
        <v>39.604683000000001</v>
      </c>
      <c r="C1421">
        <v>-76.455316999999994</v>
      </c>
      <c r="D1421">
        <v>8500</v>
      </c>
      <c r="E1421">
        <v>8825</v>
      </c>
      <c r="F1421">
        <v>178</v>
      </c>
      <c r="G1421">
        <v>84</v>
      </c>
      <c r="H1421">
        <v>-1024</v>
      </c>
      <c r="J1421" s="1">
        <f t="shared" si="110"/>
        <v>31684</v>
      </c>
      <c r="K1421" s="1">
        <f t="shared" si="111"/>
        <v>7056</v>
      </c>
      <c r="L1421" s="1">
        <f t="shared" si="112"/>
        <v>38740</v>
      </c>
      <c r="M1421" s="1">
        <f t="shared" si="113"/>
        <v>196.82479518597245</v>
      </c>
      <c r="N1421" s="7">
        <f t="shared" si="114"/>
        <v>196.82479518597245</v>
      </c>
    </row>
    <row r="1422" spans="1:14" x14ac:dyDescent="0.25">
      <c r="A1422" t="str">
        <f>"14:14:04.227"</f>
        <v>14:14:04.227</v>
      </c>
      <c r="B1422">
        <v>39.605069</v>
      </c>
      <c r="C1422">
        <v>-76.454222000000001</v>
      </c>
      <c r="D1422">
        <v>8500</v>
      </c>
      <c r="E1422">
        <v>8800</v>
      </c>
      <c r="F1422">
        <v>179</v>
      </c>
      <c r="G1422">
        <v>84</v>
      </c>
      <c r="H1422">
        <v>-1024</v>
      </c>
      <c r="J1422" s="1">
        <f t="shared" si="110"/>
        <v>32041</v>
      </c>
      <c r="K1422" s="1">
        <f t="shared" si="111"/>
        <v>7056</v>
      </c>
      <c r="L1422" s="1">
        <f t="shared" si="112"/>
        <v>39097</v>
      </c>
      <c r="M1422" s="1">
        <f t="shared" si="113"/>
        <v>197.72961336127676</v>
      </c>
      <c r="N1422" s="7">
        <f t="shared" si="114"/>
        <v>197.72961336127676</v>
      </c>
    </row>
    <row r="1423" spans="1:14" x14ac:dyDescent="0.25">
      <c r="A1423" t="str">
        <f>"14:14:05.289"</f>
        <v>14:14:05.289</v>
      </c>
      <c r="B1423">
        <v>39.605477</v>
      </c>
      <c r="C1423">
        <v>-76.453021000000007</v>
      </c>
      <c r="D1423">
        <v>8500</v>
      </c>
      <c r="E1423">
        <v>8800</v>
      </c>
      <c r="F1423">
        <v>180</v>
      </c>
      <c r="G1423">
        <v>84</v>
      </c>
      <c r="H1423">
        <v>-1024</v>
      </c>
      <c r="J1423" s="1">
        <f t="shared" si="110"/>
        <v>32400</v>
      </c>
      <c r="K1423" s="1">
        <f t="shared" si="111"/>
        <v>7056</v>
      </c>
      <c r="L1423" s="1">
        <f t="shared" si="112"/>
        <v>39456</v>
      </c>
      <c r="M1423" s="1">
        <f t="shared" si="113"/>
        <v>198.63534428696218</v>
      </c>
      <c r="N1423" s="7">
        <f t="shared" si="114"/>
        <v>198.63534428696218</v>
      </c>
    </row>
    <row r="1424" spans="1:14" x14ac:dyDescent="0.25">
      <c r="A1424" t="str">
        <f>"14:14:06.297"</f>
        <v>14:14:06.297</v>
      </c>
      <c r="B1424">
        <v>39.605905999999997</v>
      </c>
      <c r="C1424">
        <v>-76.451948000000002</v>
      </c>
      <c r="D1424">
        <v>8500</v>
      </c>
      <c r="E1424">
        <v>8775</v>
      </c>
      <c r="F1424">
        <v>181</v>
      </c>
      <c r="G1424">
        <v>84</v>
      </c>
      <c r="H1424">
        <v>-960</v>
      </c>
      <c r="J1424" s="1">
        <f t="shared" si="110"/>
        <v>32761</v>
      </c>
      <c r="K1424" s="1">
        <f t="shared" si="111"/>
        <v>7056</v>
      </c>
      <c r="L1424" s="1">
        <f t="shared" si="112"/>
        <v>39817</v>
      </c>
      <c r="M1424" s="1">
        <f t="shared" si="113"/>
        <v>199.54197553397131</v>
      </c>
      <c r="N1424" s="7">
        <f t="shared" si="114"/>
        <v>199.54197553397131</v>
      </c>
    </row>
    <row r="1425" spans="1:14" x14ac:dyDescent="0.25">
      <c r="A1425" t="str">
        <f>"14:14:07.406"</f>
        <v>14:14:07.406</v>
      </c>
      <c r="B1425">
        <v>39.606313999999998</v>
      </c>
      <c r="C1425">
        <v>-76.450745999999995</v>
      </c>
      <c r="D1425">
        <v>8500</v>
      </c>
      <c r="E1425">
        <v>8750</v>
      </c>
      <c r="F1425">
        <v>182</v>
      </c>
      <c r="G1425">
        <v>85</v>
      </c>
      <c r="H1425">
        <v>-1024</v>
      </c>
      <c r="J1425" s="1">
        <f t="shared" si="110"/>
        <v>33124</v>
      </c>
      <c r="K1425" s="1">
        <f t="shared" si="111"/>
        <v>7225</v>
      </c>
      <c r="L1425" s="1">
        <f t="shared" si="112"/>
        <v>40349</v>
      </c>
      <c r="M1425" s="1">
        <f t="shared" si="113"/>
        <v>200.8706051168264</v>
      </c>
      <c r="N1425" s="7">
        <f t="shared" si="114"/>
        <v>200.8706051168264</v>
      </c>
    </row>
    <row r="1426" spans="1:14" x14ac:dyDescent="0.25">
      <c r="A1426" t="str">
        <f>"14:14:08.320"</f>
        <v>14:14:08.320</v>
      </c>
      <c r="B1426">
        <v>39.606678000000002</v>
      </c>
      <c r="C1426">
        <v>-76.449802000000005</v>
      </c>
      <c r="D1426">
        <v>8400</v>
      </c>
      <c r="E1426">
        <v>8750</v>
      </c>
      <c r="F1426">
        <v>182</v>
      </c>
      <c r="G1426">
        <v>85</v>
      </c>
      <c r="H1426">
        <v>-1088</v>
      </c>
      <c r="J1426" s="1">
        <f t="shared" si="110"/>
        <v>33124</v>
      </c>
      <c r="K1426" s="1">
        <f t="shared" si="111"/>
        <v>7225</v>
      </c>
      <c r="L1426" s="1">
        <f t="shared" si="112"/>
        <v>40349</v>
      </c>
      <c r="M1426" s="1">
        <f t="shared" si="113"/>
        <v>200.8706051168264</v>
      </c>
      <c r="N1426" s="7">
        <f t="shared" si="114"/>
        <v>200.8706051168264</v>
      </c>
    </row>
    <row r="1427" spans="1:14" x14ac:dyDescent="0.25">
      <c r="A1427" t="str">
        <f>"14:14:09.273"</f>
        <v>14:14:09.273</v>
      </c>
      <c r="B1427">
        <v>39.607086000000002</v>
      </c>
      <c r="C1427">
        <v>-76.448665000000005</v>
      </c>
      <c r="D1427">
        <v>8400</v>
      </c>
      <c r="E1427">
        <v>8725</v>
      </c>
      <c r="F1427">
        <v>183</v>
      </c>
      <c r="G1427">
        <v>85</v>
      </c>
      <c r="H1427">
        <v>-1216</v>
      </c>
      <c r="J1427" s="1">
        <f t="shared" si="110"/>
        <v>33489</v>
      </c>
      <c r="K1427" s="1">
        <f t="shared" si="111"/>
        <v>7225</v>
      </c>
      <c r="L1427" s="1">
        <f t="shared" si="112"/>
        <v>40714</v>
      </c>
      <c r="M1427" s="1">
        <f t="shared" si="113"/>
        <v>201.77710474679728</v>
      </c>
      <c r="N1427" s="7">
        <f t="shared" si="114"/>
        <v>201.77710474679728</v>
      </c>
    </row>
    <row r="1428" spans="1:14" x14ac:dyDescent="0.25">
      <c r="A1428" t="str">
        <f>"14:14:10.336"</f>
        <v>14:14:10.336</v>
      </c>
      <c r="B1428">
        <v>39.607494000000003</v>
      </c>
      <c r="C1428">
        <v>-76.447592</v>
      </c>
      <c r="D1428">
        <v>8400</v>
      </c>
      <c r="E1428">
        <v>8700</v>
      </c>
      <c r="F1428">
        <v>184</v>
      </c>
      <c r="G1428">
        <v>86</v>
      </c>
      <c r="H1428">
        <v>-1344</v>
      </c>
      <c r="J1428" s="1">
        <f t="shared" si="110"/>
        <v>33856</v>
      </c>
      <c r="K1428" s="1">
        <f t="shared" si="111"/>
        <v>7396</v>
      </c>
      <c r="L1428" s="1">
        <f t="shared" si="112"/>
        <v>41252</v>
      </c>
      <c r="M1428" s="1">
        <f t="shared" si="113"/>
        <v>203.10588371585891</v>
      </c>
      <c r="N1428" s="7">
        <f t="shared" si="114"/>
        <v>203.10588371585891</v>
      </c>
    </row>
    <row r="1429" spans="1:14" x14ac:dyDescent="0.25">
      <c r="A1429" t="str">
        <f>"14:14:11.398"</f>
        <v>14:14:11.398</v>
      </c>
      <c r="B1429">
        <v>39.607902000000003</v>
      </c>
      <c r="C1429">
        <v>-76.446347000000003</v>
      </c>
      <c r="D1429">
        <v>8400</v>
      </c>
      <c r="E1429">
        <v>8675</v>
      </c>
      <c r="F1429">
        <v>185</v>
      </c>
      <c r="G1429">
        <v>86</v>
      </c>
      <c r="H1429">
        <v>-1408</v>
      </c>
      <c r="J1429" s="1">
        <f t="shared" si="110"/>
        <v>34225</v>
      </c>
      <c r="K1429" s="1">
        <f t="shared" si="111"/>
        <v>7396</v>
      </c>
      <c r="L1429" s="1">
        <f t="shared" si="112"/>
        <v>41621</v>
      </c>
      <c r="M1429" s="1">
        <f t="shared" si="113"/>
        <v>204.01225453388824</v>
      </c>
      <c r="N1429" s="7">
        <f t="shared" si="114"/>
        <v>204.01225453388824</v>
      </c>
    </row>
    <row r="1430" spans="1:14" x14ac:dyDescent="0.25">
      <c r="A1430" t="str">
        <f>"14:14:12.203"</f>
        <v>14:14:12.203</v>
      </c>
      <c r="B1430">
        <v>39.608223000000002</v>
      </c>
      <c r="C1430">
        <v>-76.445488999999995</v>
      </c>
      <c r="D1430">
        <v>8300</v>
      </c>
      <c r="E1430">
        <v>8650</v>
      </c>
      <c r="F1430">
        <v>185</v>
      </c>
      <c r="G1430">
        <v>87</v>
      </c>
      <c r="H1430">
        <v>-1472</v>
      </c>
      <c r="J1430" s="1">
        <f t="shared" si="110"/>
        <v>34225</v>
      </c>
      <c r="K1430" s="1">
        <f t="shared" si="111"/>
        <v>7569</v>
      </c>
      <c r="L1430" s="1">
        <f t="shared" si="112"/>
        <v>41794</v>
      </c>
      <c r="M1430" s="1">
        <f t="shared" si="113"/>
        <v>204.43580899636933</v>
      </c>
      <c r="N1430" s="7">
        <f t="shared" si="114"/>
        <v>204.43580899636933</v>
      </c>
    </row>
    <row r="1431" spans="1:14" x14ac:dyDescent="0.25">
      <c r="A1431" t="str">
        <f>"14:14:13.164"</f>
        <v>14:14:13.164</v>
      </c>
      <c r="B1431">
        <v>39.608587999999997</v>
      </c>
      <c r="C1431">
        <v>-76.444479999999999</v>
      </c>
      <c r="D1431">
        <v>8300</v>
      </c>
      <c r="E1431">
        <v>8725</v>
      </c>
      <c r="F1431">
        <v>186</v>
      </c>
      <c r="G1431">
        <v>87</v>
      </c>
      <c r="H1431">
        <v>-1472</v>
      </c>
      <c r="J1431" s="1">
        <f t="shared" si="110"/>
        <v>34596</v>
      </c>
      <c r="K1431" s="1">
        <f t="shared" si="111"/>
        <v>7569</v>
      </c>
      <c r="L1431" s="1">
        <f t="shared" si="112"/>
        <v>42165</v>
      </c>
      <c r="M1431" s="1">
        <f t="shared" si="113"/>
        <v>205.34117950377123</v>
      </c>
      <c r="N1431" s="7">
        <f t="shared" si="114"/>
        <v>205.34117950377123</v>
      </c>
    </row>
    <row r="1432" spans="1:14" x14ac:dyDescent="0.25">
      <c r="A1432" t="str">
        <f>"14:14:14.227"</f>
        <v>14:14:14.227</v>
      </c>
      <c r="B1432">
        <v>39.609059999999999</v>
      </c>
      <c r="C1432">
        <v>-76.443235999999999</v>
      </c>
      <c r="D1432">
        <v>8300</v>
      </c>
      <c r="E1432">
        <v>8700</v>
      </c>
      <c r="F1432">
        <v>187</v>
      </c>
      <c r="G1432">
        <v>87</v>
      </c>
      <c r="H1432">
        <v>-1536</v>
      </c>
      <c r="J1432" s="1">
        <f t="shared" si="110"/>
        <v>34969</v>
      </c>
      <c r="K1432" s="1">
        <f t="shared" si="111"/>
        <v>7569</v>
      </c>
      <c r="L1432" s="1">
        <f t="shared" si="112"/>
        <v>42538</v>
      </c>
      <c r="M1432" s="1">
        <f t="shared" si="113"/>
        <v>206.24742422634034</v>
      </c>
      <c r="N1432" s="7">
        <f t="shared" si="114"/>
        <v>206.24742422634034</v>
      </c>
    </row>
    <row r="1433" spans="1:14" x14ac:dyDescent="0.25">
      <c r="A1433" t="str">
        <f>"14:14:15.180"</f>
        <v>14:14:15.180</v>
      </c>
      <c r="B1433">
        <v>39.609447000000003</v>
      </c>
      <c r="C1433">
        <v>-76.442076999999998</v>
      </c>
      <c r="D1433">
        <v>8300</v>
      </c>
      <c r="E1433">
        <v>8575</v>
      </c>
      <c r="F1433">
        <v>188</v>
      </c>
      <c r="G1433">
        <v>88</v>
      </c>
      <c r="H1433">
        <v>-1472</v>
      </c>
      <c r="J1433" s="1">
        <f t="shared" si="110"/>
        <v>35344</v>
      </c>
      <c r="K1433" s="1">
        <f t="shared" si="111"/>
        <v>7744</v>
      </c>
      <c r="L1433" s="1">
        <f t="shared" si="112"/>
        <v>43088</v>
      </c>
      <c r="M1433" s="1">
        <f t="shared" si="113"/>
        <v>207.57649192526594</v>
      </c>
      <c r="N1433" s="7">
        <f t="shared" si="114"/>
        <v>207.57649192526594</v>
      </c>
    </row>
    <row r="1434" spans="1:14" x14ac:dyDescent="0.25">
      <c r="A1434" t="str">
        <f>"14:14:16.094"</f>
        <v>14:14:16.094</v>
      </c>
      <c r="B1434">
        <v>39.609833000000002</v>
      </c>
      <c r="C1434">
        <v>-76.441090000000003</v>
      </c>
      <c r="D1434">
        <v>8300</v>
      </c>
      <c r="E1434">
        <v>8550</v>
      </c>
      <c r="F1434">
        <v>189</v>
      </c>
      <c r="G1434">
        <v>88</v>
      </c>
      <c r="H1434">
        <v>-1472</v>
      </c>
      <c r="J1434" s="1">
        <f t="shared" si="110"/>
        <v>35721</v>
      </c>
      <c r="K1434" s="1">
        <f t="shared" si="111"/>
        <v>7744</v>
      </c>
      <c r="L1434" s="1">
        <f t="shared" si="112"/>
        <v>43465</v>
      </c>
      <c r="M1434" s="1">
        <f t="shared" si="113"/>
        <v>208.48261318392957</v>
      </c>
      <c r="N1434" s="7">
        <f t="shared" si="114"/>
        <v>208.48261318392957</v>
      </c>
    </row>
    <row r="1435" spans="1:14" x14ac:dyDescent="0.25">
      <c r="A1435" t="str">
        <f>"14:14:17.148"</f>
        <v>14:14:17.148</v>
      </c>
      <c r="B1435">
        <v>39.610283000000003</v>
      </c>
      <c r="C1435">
        <v>-76.439824000000002</v>
      </c>
      <c r="D1435">
        <v>8300</v>
      </c>
      <c r="E1435">
        <v>8525</v>
      </c>
      <c r="F1435">
        <v>189</v>
      </c>
      <c r="G1435">
        <v>89</v>
      </c>
      <c r="H1435">
        <v>-1408</v>
      </c>
      <c r="J1435" s="1">
        <f t="shared" si="110"/>
        <v>35721</v>
      </c>
      <c r="K1435" s="1">
        <f t="shared" si="111"/>
        <v>7921</v>
      </c>
      <c r="L1435" s="1">
        <f t="shared" si="112"/>
        <v>43642</v>
      </c>
      <c r="M1435" s="1">
        <f t="shared" si="113"/>
        <v>208.90667772955464</v>
      </c>
      <c r="N1435" s="7">
        <f t="shared" si="114"/>
        <v>208.90667772955464</v>
      </c>
    </row>
    <row r="1436" spans="1:14" x14ac:dyDescent="0.25">
      <c r="A1436" t="str">
        <f>"14:14:18.109"</f>
        <v>14:14:18.109</v>
      </c>
      <c r="B1436">
        <v>39.610647999999998</v>
      </c>
      <c r="C1436">
        <v>-76.438816000000003</v>
      </c>
      <c r="D1436">
        <v>8200</v>
      </c>
      <c r="E1436">
        <v>8500</v>
      </c>
      <c r="F1436">
        <v>190</v>
      </c>
      <c r="G1436">
        <v>89</v>
      </c>
      <c r="H1436">
        <v>-1408</v>
      </c>
      <c r="J1436" s="1">
        <f t="shared" si="110"/>
        <v>36100</v>
      </c>
      <c r="K1436" s="1">
        <f t="shared" si="111"/>
        <v>7921</v>
      </c>
      <c r="L1436" s="1">
        <f t="shared" si="112"/>
        <v>44021</v>
      </c>
      <c r="M1436" s="1">
        <f t="shared" si="113"/>
        <v>209.8118204487059</v>
      </c>
      <c r="N1436" s="7">
        <f t="shared" si="114"/>
        <v>209.8118204487059</v>
      </c>
    </row>
    <row r="1437" spans="1:14" x14ac:dyDescent="0.25">
      <c r="A1437" t="str">
        <f>"14:14:19.070"</f>
        <v>14:14:19.070</v>
      </c>
      <c r="B1437">
        <v>39.611013</v>
      </c>
      <c r="C1437">
        <v>-76.437807000000006</v>
      </c>
      <c r="D1437">
        <v>8200</v>
      </c>
      <c r="E1437">
        <v>8500</v>
      </c>
      <c r="F1437">
        <v>191</v>
      </c>
      <c r="G1437">
        <v>89</v>
      </c>
      <c r="H1437">
        <v>-1344</v>
      </c>
      <c r="J1437" s="1">
        <f t="shared" si="110"/>
        <v>36481</v>
      </c>
      <c r="K1437" s="1">
        <f t="shared" si="111"/>
        <v>7921</v>
      </c>
      <c r="L1437" s="1">
        <f t="shared" si="112"/>
        <v>44402</v>
      </c>
      <c r="M1437" s="1">
        <f t="shared" si="113"/>
        <v>210.71782079359116</v>
      </c>
      <c r="N1437" s="7">
        <f t="shared" si="114"/>
        <v>210.71782079359116</v>
      </c>
    </row>
    <row r="1438" spans="1:14" x14ac:dyDescent="0.25">
      <c r="A1438" t="str">
        <f>"14:14:20.078"</f>
        <v>14:14:20.078</v>
      </c>
      <c r="B1438">
        <v>39.611485000000002</v>
      </c>
      <c r="C1438">
        <v>-76.436541000000005</v>
      </c>
      <c r="D1438">
        <v>8200</v>
      </c>
      <c r="E1438">
        <v>8450</v>
      </c>
      <c r="F1438">
        <v>191</v>
      </c>
      <c r="G1438">
        <v>90</v>
      </c>
      <c r="H1438">
        <v>-1344</v>
      </c>
      <c r="J1438" s="1">
        <f t="shared" si="110"/>
        <v>36481</v>
      </c>
      <c r="K1438" s="1">
        <f t="shared" si="111"/>
        <v>8100</v>
      </c>
      <c r="L1438" s="1">
        <f t="shared" si="112"/>
        <v>44581</v>
      </c>
      <c r="M1438" s="1">
        <f t="shared" si="113"/>
        <v>211.14213222377006</v>
      </c>
      <c r="N1438" s="7">
        <f t="shared" si="114"/>
        <v>211.14213222377006</v>
      </c>
    </row>
    <row r="1439" spans="1:14" x14ac:dyDescent="0.25">
      <c r="A1439" t="str">
        <f>"14:14:21.141"</f>
        <v>14:14:21.141</v>
      </c>
      <c r="B1439">
        <v>39.611893000000002</v>
      </c>
      <c r="C1439">
        <v>-76.435338999999999</v>
      </c>
      <c r="D1439">
        <v>8200</v>
      </c>
      <c r="E1439">
        <v>8450</v>
      </c>
      <c r="F1439">
        <v>192</v>
      </c>
      <c r="G1439">
        <v>90</v>
      </c>
      <c r="H1439">
        <v>-1344</v>
      </c>
      <c r="J1439" s="1">
        <f t="shared" si="110"/>
        <v>36864</v>
      </c>
      <c r="K1439" s="1">
        <f t="shared" si="111"/>
        <v>8100</v>
      </c>
      <c r="L1439" s="1">
        <f t="shared" si="112"/>
        <v>44964</v>
      </c>
      <c r="M1439" s="1">
        <f t="shared" si="113"/>
        <v>212.0471645648675</v>
      </c>
      <c r="N1439" s="7">
        <f t="shared" si="114"/>
        <v>212.0471645648675</v>
      </c>
    </row>
    <row r="1440" spans="1:14" x14ac:dyDescent="0.25">
      <c r="A1440" t="str">
        <f>"14:14:22.148"</f>
        <v>14:14:22.148</v>
      </c>
      <c r="B1440">
        <v>39.612299999999998</v>
      </c>
      <c r="C1440">
        <v>-76.434224</v>
      </c>
      <c r="D1440">
        <v>8100</v>
      </c>
      <c r="E1440">
        <v>8425</v>
      </c>
      <c r="F1440">
        <v>193</v>
      </c>
      <c r="G1440">
        <v>91</v>
      </c>
      <c r="H1440">
        <v>-1344</v>
      </c>
      <c r="J1440" s="1">
        <f t="shared" si="110"/>
        <v>37249</v>
      </c>
      <c r="K1440" s="1">
        <f t="shared" si="111"/>
        <v>8281</v>
      </c>
      <c r="L1440" s="1">
        <f t="shared" si="112"/>
        <v>45530</v>
      </c>
      <c r="M1440" s="1">
        <f t="shared" si="113"/>
        <v>213.37759957408838</v>
      </c>
      <c r="N1440" s="7">
        <f t="shared" si="114"/>
        <v>213.37759957408838</v>
      </c>
    </row>
    <row r="1441" spans="1:14" x14ac:dyDescent="0.25">
      <c r="A1441" t="str">
        <f>"14:14:23.211"</f>
        <v>14:14:23.211</v>
      </c>
      <c r="B1441">
        <v>39.612794000000001</v>
      </c>
      <c r="C1441">
        <v>-76.432914999999994</v>
      </c>
      <c r="D1441">
        <v>8100</v>
      </c>
      <c r="E1441">
        <v>8400</v>
      </c>
      <c r="F1441">
        <v>193</v>
      </c>
      <c r="G1441">
        <v>91</v>
      </c>
      <c r="H1441">
        <v>-1344</v>
      </c>
      <c r="J1441" s="1">
        <f t="shared" si="110"/>
        <v>37249</v>
      </c>
      <c r="K1441" s="1">
        <f t="shared" si="111"/>
        <v>8281</v>
      </c>
      <c r="L1441" s="1">
        <f t="shared" si="112"/>
        <v>45530</v>
      </c>
      <c r="M1441" s="1">
        <f t="shared" si="113"/>
        <v>213.37759957408838</v>
      </c>
      <c r="N1441" s="7">
        <f t="shared" si="114"/>
        <v>213.37759957408838</v>
      </c>
    </row>
    <row r="1442" spans="1:14" x14ac:dyDescent="0.25">
      <c r="A1442" t="str">
        <f>"14:14:24.219"</f>
        <v>14:14:24.219</v>
      </c>
      <c r="B1442">
        <v>39.613202000000001</v>
      </c>
      <c r="C1442">
        <v>-76.431755999999993</v>
      </c>
      <c r="D1442">
        <v>8100</v>
      </c>
      <c r="E1442">
        <v>8375</v>
      </c>
      <c r="F1442">
        <v>194</v>
      </c>
      <c r="G1442">
        <v>92</v>
      </c>
      <c r="H1442">
        <v>-1280</v>
      </c>
      <c r="J1442" s="1">
        <f t="shared" si="110"/>
        <v>37636</v>
      </c>
      <c r="K1442" s="1">
        <f t="shared" si="111"/>
        <v>8464</v>
      </c>
      <c r="L1442" s="1">
        <f t="shared" si="112"/>
        <v>46100</v>
      </c>
      <c r="M1442" s="1">
        <f t="shared" si="113"/>
        <v>214.70910553583889</v>
      </c>
      <c r="N1442" s="7">
        <f t="shared" si="114"/>
        <v>214.70910553583889</v>
      </c>
    </row>
    <row r="1443" spans="1:14" x14ac:dyDescent="0.25">
      <c r="A1443" t="str">
        <f>"14:14:25.180"</f>
        <v>14:14:25.180</v>
      </c>
      <c r="B1443">
        <v>39.613630999999998</v>
      </c>
      <c r="C1443">
        <v>-76.430597000000006</v>
      </c>
      <c r="D1443">
        <v>8100</v>
      </c>
      <c r="E1443">
        <v>8350</v>
      </c>
      <c r="F1443">
        <v>194</v>
      </c>
      <c r="G1443">
        <v>92</v>
      </c>
      <c r="H1443">
        <v>-1216</v>
      </c>
      <c r="J1443" s="1">
        <f t="shared" si="110"/>
        <v>37636</v>
      </c>
      <c r="K1443" s="1">
        <f t="shared" si="111"/>
        <v>8464</v>
      </c>
      <c r="L1443" s="1">
        <f t="shared" si="112"/>
        <v>46100</v>
      </c>
      <c r="M1443" s="1">
        <f t="shared" si="113"/>
        <v>214.70910553583889</v>
      </c>
      <c r="N1443" s="7">
        <f t="shared" si="114"/>
        <v>214.70910553583889</v>
      </c>
    </row>
    <row r="1444" spans="1:14" x14ac:dyDescent="0.25">
      <c r="A1444" t="str">
        <f>"14:14:26.289"</f>
        <v>14:14:26.289</v>
      </c>
      <c r="B1444">
        <v>39.614038000000001</v>
      </c>
      <c r="C1444">
        <v>-76.429439000000002</v>
      </c>
      <c r="D1444">
        <v>8000</v>
      </c>
      <c r="E1444">
        <v>8325</v>
      </c>
      <c r="F1444">
        <v>194</v>
      </c>
      <c r="G1444">
        <v>93</v>
      </c>
      <c r="H1444">
        <v>-1216</v>
      </c>
      <c r="J1444" s="1">
        <f t="shared" si="110"/>
        <v>37636</v>
      </c>
      <c r="K1444" s="1">
        <f t="shared" si="111"/>
        <v>8649</v>
      </c>
      <c r="L1444" s="1">
        <f t="shared" si="112"/>
        <v>46285</v>
      </c>
      <c r="M1444" s="1">
        <f t="shared" si="113"/>
        <v>215.13948963405113</v>
      </c>
      <c r="N1444" s="7">
        <f t="shared" si="114"/>
        <v>215.13948963405113</v>
      </c>
    </row>
    <row r="1445" spans="1:14" x14ac:dyDescent="0.25">
      <c r="A1445" t="str">
        <f>"14:14:27.250"</f>
        <v>14:14:27.250</v>
      </c>
      <c r="B1445">
        <v>39.614468000000002</v>
      </c>
      <c r="C1445">
        <v>-76.428280000000001</v>
      </c>
      <c r="D1445">
        <v>8000</v>
      </c>
      <c r="E1445">
        <v>8300</v>
      </c>
      <c r="F1445">
        <v>194</v>
      </c>
      <c r="G1445">
        <v>93</v>
      </c>
      <c r="H1445">
        <v>-1152</v>
      </c>
      <c r="J1445" s="1">
        <f t="shared" si="110"/>
        <v>37636</v>
      </c>
      <c r="K1445" s="1">
        <f t="shared" si="111"/>
        <v>8649</v>
      </c>
      <c r="L1445" s="1">
        <f t="shared" si="112"/>
        <v>46285</v>
      </c>
      <c r="M1445" s="1">
        <f t="shared" si="113"/>
        <v>215.13948963405113</v>
      </c>
      <c r="N1445" s="7">
        <f t="shared" si="114"/>
        <v>215.13948963405113</v>
      </c>
    </row>
    <row r="1446" spans="1:14" x14ac:dyDescent="0.25">
      <c r="A1446" t="str">
        <f>"14:14:28.156"</f>
        <v>14:14:28.156</v>
      </c>
      <c r="B1446">
        <v>39.614939999999997</v>
      </c>
      <c r="C1446">
        <v>-76.427121</v>
      </c>
      <c r="D1446">
        <v>8000</v>
      </c>
      <c r="E1446">
        <v>8300</v>
      </c>
      <c r="F1446">
        <v>194</v>
      </c>
      <c r="G1446">
        <v>94</v>
      </c>
      <c r="H1446">
        <v>-1152</v>
      </c>
      <c r="J1446" s="1">
        <f t="shared" si="110"/>
        <v>37636</v>
      </c>
      <c r="K1446" s="1">
        <f t="shared" si="111"/>
        <v>8836</v>
      </c>
      <c r="L1446" s="1">
        <f t="shared" si="112"/>
        <v>46472</v>
      </c>
      <c r="M1446" s="1">
        <f t="shared" si="113"/>
        <v>215.57365330670629</v>
      </c>
      <c r="N1446" s="7">
        <f t="shared" si="114"/>
        <v>215.57365330670629</v>
      </c>
    </row>
    <row r="1447" spans="1:14" x14ac:dyDescent="0.25">
      <c r="A1447" t="str">
        <f>"14:14:29.266"</f>
        <v>14:14:29.266</v>
      </c>
      <c r="B1447">
        <v>39.615347</v>
      </c>
      <c r="C1447">
        <v>-76.425961999999998</v>
      </c>
      <c r="D1447">
        <v>8000</v>
      </c>
      <c r="E1447">
        <v>8275</v>
      </c>
      <c r="F1447">
        <v>195</v>
      </c>
      <c r="G1447">
        <v>94</v>
      </c>
      <c r="H1447">
        <v>-1152</v>
      </c>
      <c r="J1447" s="1">
        <f t="shared" si="110"/>
        <v>38025</v>
      </c>
      <c r="K1447" s="1">
        <f t="shared" si="111"/>
        <v>8836</v>
      </c>
      <c r="L1447" s="1">
        <f t="shared" si="112"/>
        <v>46861</v>
      </c>
      <c r="M1447" s="1">
        <f t="shared" si="113"/>
        <v>216.47401691658055</v>
      </c>
      <c r="N1447" s="7">
        <f t="shared" si="114"/>
        <v>216.47401691658055</v>
      </c>
    </row>
    <row r="1448" spans="1:14" x14ac:dyDescent="0.25">
      <c r="A1448" t="str">
        <f>"14:14:30.328"</f>
        <v>14:14:30.328</v>
      </c>
      <c r="B1448">
        <v>39.615819000000002</v>
      </c>
      <c r="C1448">
        <v>-76.424654000000004</v>
      </c>
      <c r="D1448">
        <v>8000</v>
      </c>
      <c r="E1448">
        <v>8250</v>
      </c>
      <c r="F1448">
        <v>195</v>
      </c>
      <c r="G1448">
        <v>95</v>
      </c>
      <c r="H1448">
        <v>-1088</v>
      </c>
      <c r="J1448" s="1">
        <f t="shared" si="110"/>
        <v>38025</v>
      </c>
      <c r="K1448" s="1">
        <f t="shared" si="111"/>
        <v>9025</v>
      </c>
      <c r="L1448" s="1">
        <f t="shared" si="112"/>
        <v>47050</v>
      </c>
      <c r="M1448" s="1">
        <f t="shared" si="113"/>
        <v>216.91011963483862</v>
      </c>
      <c r="N1448" s="7">
        <f t="shared" si="114"/>
        <v>216.91011963483862</v>
      </c>
    </row>
    <row r="1449" spans="1:14" x14ac:dyDescent="0.25">
      <c r="A1449" t="str">
        <f>"14:14:31.289"</f>
        <v>14:14:31.289</v>
      </c>
      <c r="B1449">
        <v>39.616292000000001</v>
      </c>
      <c r="C1449">
        <v>-76.423516000000006</v>
      </c>
      <c r="D1449">
        <v>8000</v>
      </c>
      <c r="E1449">
        <v>8225</v>
      </c>
      <c r="F1449">
        <v>195</v>
      </c>
      <c r="G1449">
        <v>96</v>
      </c>
      <c r="H1449">
        <v>-1088</v>
      </c>
      <c r="J1449" s="1">
        <f t="shared" si="110"/>
        <v>38025</v>
      </c>
      <c r="K1449" s="1">
        <f t="shared" si="111"/>
        <v>9216</v>
      </c>
      <c r="L1449" s="1">
        <f t="shared" si="112"/>
        <v>47241</v>
      </c>
      <c r="M1449" s="1">
        <f t="shared" si="113"/>
        <v>217.34994824015948</v>
      </c>
      <c r="N1449" s="7">
        <f t="shared" si="114"/>
        <v>217.34994824015948</v>
      </c>
    </row>
    <row r="1450" spans="1:14" x14ac:dyDescent="0.25">
      <c r="A1450" t="str">
        <f>"14:14:32.297"</f>
        <v>14:14:32.297</v>
      </c>
      <c r="B1450">
        <v>39.616742000000002</v>
      </c>
      <c r="C1450">
        <v>-76.422336000000001</v>
      </c>
      <c r="D1450">
        <v>8000</v>
      </c>
      <c r="E1450">
        <v>8225</v>
      </c>
      <c r="F1450">
        <v>195</v>
      </c>
      <c r="G1450">
        <v>96</v>
      </c>
      <c r="H1450">
        <v>-1024</v>
      </c>
      <c r="J1450" s="1">
        <f t="shared" si="110"/>
        <v>38025</v>
      </c>
      <c r="K1450" s="1">
        <f t="shared" si="111"/>
        <v>9216</v>
      </c>
      <c r="L1450" s="1">
        <f t="shared" si="112"/>
        <v>47241</v>
      </c>
      <c r="M1450" s="1">
        <f t="shared" si="113"/>
        <v>217.34994824015948</v>
      </c>
      <c r="N1450" s="7">
        <f t="shared" si="114"/>
        <v>217.34994824015948</v>
      </c>
    </row>
    <row r="1451" spans="1:14" x14ac:dyDescent="0.25">
      <c r="A1451" t="str">
        <f>"14:14:33.258"</f>
        <v>14:14:33.258</v>
      </c>
      <c r="B1451">
        <v>39.617128000000001</v>
      </c>
      <c r="C1451">
        <v>-76.421328000000003</v>
      </c>
      <c r="D1451">
        <v>7900</v>
      </c>
      <c r="E1451">
        <v>8300</v>
      </c>
      <c r="F1451">
        <v>195</v>
      </c>
      <c r="G1451">
        <v>96</v>
      </c>
      <c r="H1451">
        <v>-1024</v>
      </c>
      <c r="J1451" s="1">
        <f t="shared" si="110"/>
        <v>38025</v>
      </c>
      <c r="K1451" s="1">
        <f t="shared" si="111"/>
        <v>9216</v>
      </c>
      <c r="L1451" s="1">
        <f t="shared" si="112"/>
        <v>47241</v>
      </c>
      <c r="M1451" s="1">
        <f t="shared" si="113"/>
        <v>217.34994824015948</v>
      </c>
      <c r="N1451" s="7">
        <f t="shared" si="114"/>
        <v>217.34994824015948</v>
      </c>
    </row>
    <row r="1452" spans="1:14" x14ac:dyDescent="0.25">
      <c r="A1452" t="str">
        <f>"14:14:34.211"</f>
        <v>14:14:34.211</v>
      </c>
      <c r="B1452">
        <v>39.617578999999999</v>
      </c>
      <c r="C1452">
        <v>-76.420105000000007</v>
      </c>
      <c r="D1452">
        <v>7900</v>
      </c>
      <c r="E1452">
        <v>8175</v>
      </c>
      <c r="F1452">
        <v>195</v>
      </c>
      <c r="G1452">
        <v>96</v>
      </c>
      <c r="H1452">
        <v>-1088</v>
      </c>
      <c r="J1452" s="1">
        <f t="shared" si="110"/>
        <v>38025</v>
      </c>
      <c r="K1452" s="1">
        <f t="shared" si="111"/>
        <v>9216</v>
      </c>
      <c r="L1452" s="1">
        <f t="shared" si="112"/>
        <v>47241</v>
      </c>
      <c r="M1452" s="1">
        <f t="shared" si="113"/>
        <v>217.34994824015948</v>
      </c>
      <c r="N1452" s="7">
        <f t="shared" si="114"/>
        <v>217.34994824015948</v>
      </c>
    </row>
    <row r="1453" spans="1:14" x14ac:dyDescent="0.25">
      <c r="A1453" t="str">
        <f>"14:14:35.273"</f>
        <v>14:14:35.273</v>
      </c>
      <c r="B1453">
        <v>39.618051000000001</v>
      </c>
      <c r="C1453">
        <v>-76.418946000000005</v>
      </c>
      <c r="D1453">
        <v>7900</v>
      </c>
      <c r="E1453">
        <v>8150</v>
      </c>
      <c r="F1453">
        <v>195</v>
      </c>
      <c r="G1453">
        <v>97</v>
      </c>
      <c r="H1453">
        <v>-1152</v>
      </c>
      <c r="J1453" s="1">
        <f t="shared" si="110"/>
        <v>38025</v>
      </c>
      <c r="K1453" s="1">
        <f t="shared" si="111"/>
        <v>9409</v>
      </c>
      <c r="L1453" s="1">
        <f t="shared" si="112"/>
        <v>47434</v>
      </c>
      <c r="M1453" s="1">
        <f t="shared" si="113"/>
        <v>217.79348015953096</v>
      </c>
      <c r="N1453" s="7">
        <f t="shared" si="114"/>
        <v>217.79348015953096</v>
      </c>
    </row>
    <row r="1454" spans="1:14" x14ac:dyDescent="0.25">
      <c r="A1454" t="str">
        <f>"14:14:36.234"</f>
        <v>14:14:36.234</v>
      </c>
      <c r="B1454">
        <v>39.618459000000001</v>
      </c>
      <c r="C1454">
        <v>-76.417787000000004</v>
      </c>
      <c r="D1454">
        <v>7900</v>
      </c>
      <c r="E1454">
        <v>8150</v>
      </c>
      <c r="F1454">
        <v>195</v>
      </c>
      <c r="G1454">
        <v>97</v>
      </c>
      <c r="H1454">
        <v>-1280</v>
      </c>
      <c r="J1454" s="1">
        <f t="shared" si="110"/>
        <v>38025</v>
      </c>
      <c r="K1454" s="1">
        <f t="shared" si="111"/>
        <v>9409</v>
      </c>
      <c r="L1454" s="1">
        <f t="shared" si="112"/>
        <v>47434</v>
      </c>
      <c r="M1454" s="1">
        <f t="shared" si="113"/>
        <v>217.79348015953096</v>
      </c>
      <c r="N1454" s="7">
        <f t="shared" si="114"/>
        <v>217.79348015953096</v>
      </c>
    </row>
    <row r="1455" spans="1:14" x14ac:dyDescent="0.25">
      <c r="A1455" t="str">
        <f>"14:14:37.344"</f>
        <v>14:14:37.344</v>
      </c>
      <c r="B1455">
        <v>39.618994999999998</v>
      </c>
      <c r="C1455">
        <v>-76.416477999999998</v>
      </c>
      <c r="D1455">
        <v>7800</v>
      </c>
      <c r="E1455">
        <v>8125</v>
      </c>
      <c r="F1455">
        <v>196</v>
      </c>
      <c r="G1455">
        <v>97</v>
      </c>
      <c r="H1455">
        <v>-1344</v>
      </c>
      <c r="J1455" s="1">
        <f t="shared" si="110"/>
        <v>38416</v>
      </c>
      <c r="K1455" s="1">
        <f t="shared" si="111"/>
        <v>9409</v>
      </c>
      <c r="L1455" s="1">
        <f t="shared" si="112"/>
        <v>47825</v>
      </c>
      <c r="M1455" s="1">
        <f t="shared" si="113"/>
        <v>218.68927728629038</v>
      </c>
      <c r="N1455" s="7">
        <f t="shared" si="114"/>
        <v>218.68927728629038</v>
      </c>
    </row>
    <row r="1456" spans="1:14" x14ac:dyDescent="0.25">
      <c r="A1456" t="str">
        <f>"14:14:38.305"</f>
        <v>14:14:38.305</v>
      </c>
      <c r="B1456">
        <v>39.619446000000003</v>
      </c>
      <c r="C1456">
        <v>-76.415340999999998</v>
      </c>
      <c r="D1456">
        <v>7800</v>
      </c>
      <c r="E1456">
        <v>8100</v>
      </c>
      <c r="F1456">
        <v>196</v>
      </c>
      <c r="G1456">
        <v>98</v>
      </c>
      <c r="H1456">
        <v>-1408</v>
      </c>
      <c r="J1456" s="1">
        <f t="shared" si="110"/>
        <v>38416</v>
      </c>
      <c r="K1456" s="1">
        <f t="shared" si="111"/>
        <v>9604</v>
      </c>
      <c r="L1456" s="1">
        <f t="shared" si="112"/>
        <v>48020</v>
      </c>
      <c r="M1456" s="1">
        <f t="shared" si="113"/>
        <v>219.13466179497939</v>
      </c>
      <c r="N1456" s="7">
        <f t="shared" si="114"/>
        <v>219.13466179497939</v>
      </c>
    </row>
    <row r="1457" spans="1:14" x14ac:dyDescent="0.25">
      <c r="A1457" t="str">
        <f>"14:14:39.211"</f>
        <v>14:14:39.211</v>
      </c>
      <c r="B1457">
        <v>39.619810999999999</v>
      </c>
      <c r="C1457">
        <v>-76.414247000000003</v>
      </c>
      <c r="D1457">
        <v>7800</v>
      </c>
      <c r="E1457">
        <v>8075</v>
      </c>
      <c r="F1457">
        <v>196</v>
      </c>
      <c r="G1457">
        <v>98</v>
      </c>
      <c r="H1457">
        <v>-1408</v>
      </c>
      <c r="J1457" s="1">
        <f t="shared" si="110"/>
        <v>38416</v>
      </c>
      <c r="K1457" s="1">
        <f t="shared" si="111"/>
        <v>9604</v>
      </c>
      <c r="L1457" s="1">
        <f t="shared" si="112"/>
        <v>48020</v>
      </c>
      <c r="M1457" s="1">
        <f t="shared" si="113"/>
        <v>219.13466179497939</v>
      </c>
      <c r="N1457" s="7">
        <f t="shared" si="114"/>
        <v>219.13466179497939</v>
      </c>
    </row>
    <row r="1458" spans="1:14" x14ac:dyDescent="0.25">
      <c r="A1458" t="str">
        <f>"14:14:40.273"</f>
        <v>14:14:40.273</v>
      </c>
      <c r="B1458">
        <v>39.620283000000001</v>
      </c>
      <c r="C1458">
        <v>-76.413088000000002</v>
      </c>
      <c r="D1458">
        <v>7800</v>
      </c>
      <c r="E1458">
        <v>8050</v>
      </c>
      <c r="F1458">
        <v>197</v>
      </c>
      <c r="G1458">
        <v>99</v>
      </c>
      <c r="H1458">
        <v>-1472</v>
      </c>
      <c r="J1458" s="1">
        <f t="shared" si="110"/>
        <v>38809</v>
      </c>
      <c r="K1458" s="1">
        <f t="shared" si="111"/>
        <v>9801</v>
      </c>
      <c r="L1458" s="1">
        <f t="shared" si="112"/>
        <v>48610</v>
      </c>
      <c r="M1458" s="1">
        <f t="shared" si="113"/>
        <v>220.47675614449702</v>
      </c>
      <c r="N1458" s="7">
        <f t="shared" si="114"/>
        <v>220.47675614449702</v>
      </c>
    </row>
    <row r="1459" spans="1:14" x14ac:dyDescent="0.25">
      <c r="A1459" t="str">
        <f>"14:14:41.430"</f>
        <v>14:14:41.430</v>
      </c>
      <c r="B1459">
        <v>39.620840999999999</v>
      </c>
      <c r="C1459">
        <v>-76.411671999999996</v>
      </c>
      <c r="D1459">
        <v>7800</v>
      </c>
      <c r="E1459">
        <v>8025</v>
      </c>
      <c r="F1459">
        <v>197</v>
      </c>
      <c r="G1459">
        <v>99</v>
      </c>
      <c r="H1459">
        <v>-1472</v>
      </c>
      <c r="J1459" s="1">
        <f t="shared" si="110"/>
        <v>38809</v>
      </c>
      <c r="K1459" s="1">
        <f t="shared" si="111"/>
        <v>9801</v>
      </c>
      <c r="L1459" s="1">
        <f t="shared" si="112"/>
        <v>48610</v>
      </c>
      <c r="M1459" s="1">
        <f t="shared" si="113"/>
        <v>220.47675614449702</v>
      </c>
      <c r="N1459" s="7">
        <f t="shared" si="114"/>
        <v>220.47675614449702</v>
      </c>
    </row>
    <row r="1460" spans="1:14" x14ac:dyDescent="0.25">
      <c r="A1460" t="str">
        <f>"14:14:42.539"</f>
        <v>14:14:42.539</v>
      </c>
      <c r="B1460">
        <v>39.621377000000003</v>
      </c>
      <c r="C1460">
        <v>-76.410383999999993</v>
      </c>
      <c r="D1460">
        <v>7700</v>
      </c>
      <c r="E1460">
        <v>8000</v>
      </c>
      <c r="F1460">
        <v>197</v>
      </c>
      <c r="G1460">
        <v>100</v>
      </c>
      <c r="H1460">
        <v>-1472</v>
      </c>
      <c r="J1460" s="1">
        <f t="shared" si="110"/>
        <v>38809</v>
      </c>
      <c r="K1460" s="1">
        <f t="shared" si="111"/>
        <v>10000</v>
      </c>
      <c r="L1460" s="1">
        <f t="shared" si="112"/>
        <v>48809</v>
      </c>
      <c r="M1460" s="1">
        <f t="shared" si="113"/>
        <v>220.92758994747578</v>
      </c>
      <c r="N1460" s="7">
        <f t="shared" si="114"/>
        <v>220.92758994747578</v>
      </c>
    </row>
    <row r="1461" spans="1:14" x14ac:dyDescent="0.25">
      <c r="A1461" t="str">
        <f>"14:14:43.453"</f>
        <v>14:14:43.453</v>
      </c>
      <c r="B1461">
        <v>39.621828000000001</v>
      </c>
      <c r="C1461">
        <v>-76.409204000000003</v>
      </c>
      <c r="D1461">
        <v>7700</v>
      </c>
      <c r="E1461">
        <v>7975</v>
      </c>
      <c r="F1461">
        <v>198</v>
      </c>
      <c r="G1461">
        <v>100</v>
      </c>
      <c r="H1461">
        <v>-1472</v>
      </c>
      <c r="J1461" s="1">
        <f t="shared" si="110"/>
        <v>39204</v>
      </c>
      <c r="K1461" s="1">
        <f t="shared" si="111"/>
        <v>10000</v>
      </c>
      <c r="L1461" s="1">
        <f t="shared" si="112"/>
        <v>49204</v>
      </c>
      <c r="M1461" s="1">
        <f t="shared" si="113"/>
        <v>221.81974664127628</v>
      </c>
      <c r="N1461" s="7">
        <f t="shared" si="114"/>
        <v>221.81974664127628</v>
      </c>
    </row>
    <row r="1462" spans="1:14" x14ac:dyDescent="0.25">
      <c r="A1462" t="str">
        <f>"14:14:44.563"</f>
        <v>14:14:44.563</v>
      </c>
      <c r="B1462">
        <v>39.622278000000001</v>
      </c>
      <c r="C1462">
        <v>-76.408001999999996</v>
      </c>
      <c r="D1462">
        <v>7700</v>
      </c>
      <c r="E1462">
        <v>7950</v>
      </c>
      <c r="F1462">
        <v>198</v>
      </c>
      <c r="G1462">
        <v>100</v>
      </c>
      <c r="H1462">
        <v>-1472</v>
      </c>
      <c r="J1462" s="1">
        <f t="shared" si="110"/>
        <v>39204</v>
      </c>
      <c r="K1462" s="1">
        <f t="shared" si="111"/>
        <v>10000</v>
      </c>
      <c r="L1462" s="1">
        <f t="shared" si="112"/>
        <v>49204</v>
      </c>
      <c r="M1462" s="1">
        <f t="shared" si="113"/>
        <v>221.81974664127628</v>
      </c>
      <c r="N1462" s="7">
        <f t="shared" si="114"/>
        <v>221.81974664127628</v>
      </c>
    </row>
    <row r="1463" spans="1:14" x14ac:dyDescent="0.25">
      <c r="A1463" t="str">
        <f>"14:14:45.617"</f>
        <v>14:14:45.617</v>
      </c>
      <c r="B1463">
        <v>39.622793000000001</v>
      </c>
      <c r="C1463">
        <v>-76.406672</v>
      </c>
      <c r="D1463">
        <v>7700</v>
      </c>
      <c r="E1463">
        <v>7925</v>
      </c>
      <c r="F1463">
        <v>199</v>
      </c>
      <c r="G1463">
        <v>101</v>
      </c>
      <c r="H1463">
        <v>-1408</v>
      </c>
      <c r="J1463" s="1">
        <f t="shared" si="110"/>
        <v>39601</v>
      </c>
      <c r="K1463" s="1">
        <f t="shared" si="111"/>
        <v>10201</v>
      </c>
      <c r="L1463" s="1">
        <f t="shared" si="112"/>
        <v>49802</v>
      </c>
      <c r="M1463" s="1">
        <f t="shared" si="113"/>
        <v>223.16361710637332</v>
      </c>
      <c r="N1463" s="7">
        <f t="shared" si="114"/>
        <v>223.16361710637332</v>
      </c>
    </row>
    <row r="1464" spans="1:14" x14ac:dyDescent="0.25">
      <c r="A1464" t="str">
        <f>"14:14:46.781"</f>
        <v>14:14:46.781</v>
      </c>
      <c r="B1464">
        <v>39.623330000000003</v>
      </c>
      <c r="C1464">
        <v>-76.405384999999995</v>
      </c>
      <c r="D1464">
        <v>7700</v>
      </c>
      <c r="E1464">
        <v>7900</v>
      </c>
      <c r="F1464">
        <v>199</v>
      </c>
      <c r="G1464">
        <v>101</v>
      </c>
      <c r="H1464">
        <v>-1344</v>
      </c>
      <c r="J1464" s="1">
        <f t="shared" si="110"/>
        <v>39601</v>
      </c>
      <c r="K1464" s="1">
        <f t="shared" si="111"/>
        <v>10201</v>
      </c>
      <c r="L1464" s="1">
        <f t="shared" si="112"/>
        <v>49802</v>
      </c>
      <c r="M1464" s="1">
        <f t="shared" si="113"/>
        <v>223.16361710637332</v>
      </c>
      <c r="N1464" s="7">
        <f t="shared" si="114"/>
        <v>223.16361710637332</v>
      </c>
    </row>
    <row r="1465" spans="1:14" x14ac:dyDescent="0.25">
      <c r="A1465" t="str">
        <f>"14:14:47.742"</f>
        <v>14:14:47.742</v>
      </c>
      <c r="B1465">
        <v>39.623801999999998</v>
      </c>
      <c r="C1465">
        <v>-76.404183000000003</v>
      </c>
      <c r="D1465">
        <v>7600</v>
      </c>
      <c r="E1465">
        <v>7975</v>
      </c>
      <c r="F1465">
        <v>199</v>
      </c>
      <c r="G1465">
        <v>101</v>
      </c>
      <c r="H1465">
        <v>-1344</v>
      </c>
      <c r="J1465" s="1">
        <f t="shared" si="110"/>
        <v>39601</v>
      </c>
      <c r="K1465" s="1">
        <f t="shared" si="111"/>
        <v>10201</v>
      </c>
      <c r="L1465" s="1">
        <f t="shared" si="112"/>
        <v>49802</v>
      </c>
      <c r="M1465" s="1">
        <f t="shared" si="113"/>
        <v>223.16361710637332</v>
      </c>
      <c r="N1465" s="7">
        <f t="shared" si="114"/>
        <v>223.16361710637332</v>
      </c>
    </row>
    <row r="1466" spans="1:14" x14ac:dyDescent="0.25">
      <c r="A1466" t="str">
        <f>"14:14:48.703"</f>
        <v>14:14:48.703</v>
      </c>
      <c r="B1466">
        <v>39.624251999999998</v>
      </c>
      <c r="C1466">
        <v>-76.402980999999997</v>
      </c>
      <c r="D1466">
        <v>7600</v>
      </c>
      <c r="E1466">
        <v>7850</v>
      </c>
      <c r="F1466">
        <v>199</v>
      </c>
      <c r="G1466">
        <v>101</v>
      </c>
      <c r="H1466">
        <v>-1280</v>
      </c>
      <c r="J1466" s="1">
        <f t="shared" si="110"/>
        <v>39601</v>
      </c>
      <c r="K1466" s="1">
        <f t="shared" si="111"/>
        <v>10201</v>
      </c>
      <c r="L1466" s="1">
        <f t="shared" si="112"/>
        <v>49802</v>
      </c>
      <c r="M1466" s="1">
        <f t="shared" si="113"/>
        <v>223.16361710637332</v>
      </c>
      <c r="N1466" s="7">
        <f t="shared" si="114"/>
        <v>223.16361710637332</v>
      </c>
    </row>
    <row r="1467" spans="1:14" x14ac:dyDescent="0.25">
      <c r="A1467" t="str">
        <f>"14:14:49.758"</f>
        <v>14:14:49.758</v>
      </c>
      <c r="B1467">
        <v>39.624702999999997</v>
      </c>
      <c r="C1467">
        <v>-76.401801000000006</v>
      </c>
      <c r="D1467">
        <v>7600</v>
      </c>
      <c r="E1467">
        <v>7825</v>
      </c>
      <c r="F1467">
        <v>200</v>
      </c>
      <c r="G1467">
        <v>101</v>
      </c>
      <c r="H1467">
        <v>-1280</v>
      </c>
      <c r="J1467" s="1">
        <f t="shared" si="110"/>
        <v>40000</v>
      </c>
      <c r="K1467" s="1">
        <f t="shared" si="111"/>
        <v>10201</v>
      </c>
      <c r="L1467" s="1">
        <f t="shared" si="112"/>
        <v>50201</v>
      </c>
      <c r="M1467" s="1">
        <f t="shared" si="113"/>
        <v>224.05579662218071</v>
      </c>
      <c r="N1467" s="7">
        <f t="shared" si="114"/>
        <v>224.05579662218071</v>
      </c>
    </row>
    <row r="1468" spans="1:14" x14ac:dyDescent="0.25">
      <c r="A1468" t="str">
        <f>"14:14:50.820"</f>
        <v>14:14:50.820</v>
      </c>
      <c r="B1468">
        <v>39.625217999999997</v>
      </c>
      <c r="C1468">
        <v>-76.400448999999995</v>
      </c>
      <c r="D1468">
        <v>7500</v>
      </c>
      <c r="E1468">
        <v>7800</v>
      </c>
      <c r="F1468">
        <v>200</v>
      </c>
      <c r="G1468">
        <v>101</v>
      </c>
      <c r="H1468">
        <v>-1216</v>
      </c>
      <c r="J1468" s="1">
        <f t="shared" si="110"/>
        <v>40000</v>
      </c>
      <c r="K1468" s="1">
        <f t="shared" si="111"/>
        <v>10201</v>
      </c>
      <c r="L1468" s="1">
        <f t="shared" si="112"/>
        <v>50201</v>
      </c>
      <c r="M1468" s="1">
        <f t="shared" si="113"/>
        <v>224.05579662218071</v>
      </c>
      <c r="N1468" s="7">
        <f t="shared" si="114"/>
        <v>224.05579662218071</v>
      </c>
    </row>
    <row r="1469" spans="1:14" x14ac:dyDescent="0.25">
      <c r="A1469" t="str">
        <f>"14:14:51.781"</f>
        <v>14:14:51.781</v>
      </c>
      <c r="B1469">
        <v>39.625689999999999</v>
      </c>
      <c r="C1469">
        <v>-76.399291000000005</v>
      </c>
      <c r="D1469">
        <v>7500</v>
      </c>
      <c r="E1469">
        <v>7775</v>
      </c>
      <c r="F1469">
        <v>200</v>
      </c>
      <c r="G1469">
        <v>101</v>
      </c>
      <c r="H1469">
        <v>-1216</v>
      </c>
      <c r="J1469" s="1">
        <f t="shared" si="110"/>
        <v>40000</v>
      </c>
      <c r="K1469" s="1">
        <f t="shared" si="111"/>
        <v>10201</v>
      </c>
      <c r="L1469" s="1">
        <f t="shared" si="112"/>
        <v>50201</v>
      </c>
      <c r="M1469" s="1">
        <f t="shared" si="113"/>
        <v>224.05579662218071</v>
      </c>
      <c r="N1469" s="7">
        <f t="shared" si="114"/>
        <v>224.05579662218071</v>
      </c>
    </row>
    <row r="1470" spans="1:14" x14ac:dyDescent="0.25">
      <c r="A1470" t="str">
        <f>"14:14:52.734"</f>
        <v>14:14:52.734</v>
      </c>
      <c r="B1470">
        <v>39.626119000000003</v>
      </c>
      <c r="C1470">
        <v>-76.398218</v>
      </c>
      <c r="D1470">
        <v>7500</v>
      </c>
      <c r="E1470">
        <v>7775</v>
      </c>
      <c r="F1470">
        <v>200</v>
      </c>
      <c r="G1470">
        <v>101</v>
      </c>
      <c r="H1470">
        <v>-1216</v>
      </c>
      <c r="J1470" s="1">
        <f t="shared" si="110"/>
        <v>40000</v>
      </c>
      <c r="K1470" s="1">
        <f t="shared" si="111"/>
        <v>10201</v>
      </c>
      <c r="L1470" s="1">
        <f t="shared" si="112"/>
        <v>50201</v>
      </c>
      <c r="M1470" s="1">
        <f t="shared" si="113"/>
        <v>224.05579662218071</v>
      </c>
      <c r="N1470" s="7">
        <f t="shared" si="114"/>
        <v>224.05579662218071</v>
      </c>
    </row>
    <row r="1471" spans="1:14" x14ac:dyDescent="0.25">
      <c r="A1471" t="str">
        <f>"14:14:53.844"</f>
        <v>14:14:53.844</v>
      </c>
      <c r="B1471">
        <v>39.626655999999997</v>
      </c>
      <c r="C1471">
        <v>-76.396844000000002</v>
      </c>
      <c r="D1471">
        <v>7500</v>
      </c>
      <c r="E1471">
        <v>7750</v>
      </c>
      <c r="F1471">
        <v>200</v>
      </c>
      <c r="G1471">
        <v>101</v>
      </c>
      <c r="H1471">
        <v>-1216</v>
      </c>
      <c r="J1471" s="1">
        <f t="shared" si="110"/>
        <v>40000</v>
      </c>
      <c r="K1471" s="1">
        <f t="shared" si="111"/>
        <v>10201</v>
      </c>
      <c r="L1471" s="1">
        <f t="shared" si="112"/>
        <v>50201</v>
      </c>
      <c r="M1471" s="1">
        <f t="shared" si="113"/>
        <v>224.05579662218071</v>
      </c>
      <c r="N1471" s="7">
        <f t="shared" si="114"/>
        <v>224.05579662218071</v>
      </c>
    </row>
    <row r="1472" spans="1:14" x14ac:dyDescent="0.25">
      <c r="A1472" t="str">
        <f>"14:14:54.859"</f>
        <v>14:14:54.859</v>
      </c>
      <c r="B1472">
        <v>39.627127999999999</v>
      </c>
      <c r="C1472">
        <v>-76.395685999999998</v>
      </c>
      <c r="D1472">
        <v>7500</v>
      </c>
      <c r="E1472">
        <v>7725</v>
      </c>
      <c r="F1472">
        <v>200</v>
      </c>
      <c r="G1472">
        <v>102</v>
      </c>
      <c r="H1472">
        <v>-1152</v>
      </c>
      <c r="J1472" s="1">
        <f t="shared" si="110"/>
        <v>40000</v>
      </c>
      <c r="K1472" s="1">
        <f t="shared" si="111"/>
        <v>10404</v>
      </c>
      <c r="L1472" s="1">
        <f t="shared" si="112"/>
        <v>50404</v>
      </c>
      <c r="M1472" s="1">
        <f t="shared" si="113"/>
        <v>224.50835173774718</v>
      </c>
      <c r="N1472" s="7">
        <f t="shared" si="114"/>
        <v>224.50835173774718</v>
      </c>
    </row>
    <row r="1473" spans="1:14" x14ac:dyDescent="0.25">
      <c r="A1473" t="str">
        <f>"14:14:55.867"</f>
        <v>14:14:55.867</v>
      </c>
      <c r="B1473">
        <v>39.627642999999999</v>
      </c>
      <c r="C1473">
        <v>-76.394397999999995</v>
      </c>
      <c r="D1473">
        <v>7500</v>
      </c>
      <c r="E1473">
        <v>7700</v>
      </c>
      <c r="F1473">
        <v>200</v>
      </c>
      <c r="G1473">
        <v>102</v>
      </c>
      <c r="H1473">
        <v>-1152</v>
      </c>
      <c r="J1473" s="1">
        <f t="shared" si="110"/>
        <v>40000</v>
      </c>
      <c r="K1473" s="1">
        <f t="shared" si="111"/>
        <v>10404</v>
      </c>
      <c r="L1473" s="1">
        <f t="shared" si="112"/>
        <v>50404</v>
      </c>
      <c r="M1473" s="1">
        <f t="shared" si="113"/>
        <v>224.50835173774718</v>
      </c>
      <c r="N1473" s="7">
        <f t="shared" si="114"/>
        <v>224.50835173774718</v>
      </c>
    </row>
    <row r="1474" spans="1:14" x14ac:dyDescent="0.25">
      <c r="A1474" t="str">
        <f>"14:14:56.922"</f>
        <v>14:14:56.922</v>
      </c>
      <c r="B1474">
        <v>39.628093</v>
      </c>
      <c r="C1474">
        <v>-76.393131999999994</v>
      </c>
      <c r="D1474">
        <v>7400</v>
      </c>
      <c r="E1474">
        <v>7675</v>
      </c>
      <c r="F1474">
        <v>200</v>
      </c>
      <c r="G1474">
        <v>102</v>
      </c>
      <c r="H1474">
        <v>-1216</v>
      </c>
      <c r="J1474" s="1">
        <f t="shared" si="110"/>
        <v>40000</v>
      </c>
      <c r="K1474" s="1">
        <f t="shared" si="111"/>
        <v>10404</v>
      </c>
      <c r="L1474" s="1">
        <f t="shared" si="112"/>
        <v>50404</v>
      </c>
      <c r="M1474" s="1">
        <f t="shared" si="113"/>
        <v>224.50835173774718</v>
      </c>
      <c r="N1474" s="7">
        <f t="shared" si="114"/>
        <v>224.50835173774718</v>
      </c>
    </row>
    <row r="1475" spans="1:14" x14ac:dyDescent="0.25">
      <c r="A1475" t="str">
        <f>"14:14:57.938"</f>
        <v>14:14:57.938</v>
      </c>
      <c r="B1475">
        <v>39.628608</v>
      </c>
      <c r="C1475">
        <v>-76.391931</v>
      </c>
      <c r="D1475">
        <v>7400</v>
      </c>
      <c r="E1475">
        <v>7650</v>
      </c>
      <c r="F1475">
        <v>200</v>
      </c>
      <c r="G1475">
        <v>102</v>
      </c>
      <c r="H1475">
        <v>-1216</v>
      </c>
      <c r="J1475" s="1">
        <f t="shared" ref="J1475:J1538" si="115">F1475^2</f>
        <v>40000</v>
      </c>
      <c r="K1475" s="1">
        <f t="shared" ref="K1475:K1538" si="116">G1475^2</f>
        <v>10404</v>
      </c>
      <c r="L1475" s="1">
        <f t="shared" ref="L1475:L1538" si="117">SUMSQ(F1475,G1475)</f>
        <v>50404</v>
      </c>
      <c r="M1475" s="1">
        <f t="shared" ref="M1475:M1538" si="118">SQRT(L1475)</f>
        <v>224.50835173774718</v>
      </c>
      <c r="N1475" s="7">
        <f t="shared" ref="N1475:N1538" si="119">M1475</f>
        <v>224.50835173774718</v>
      </c>
    </row>
    <row r="1476" spans="1:14" x14ac:dyDescent="0.25">
      <c r="A1476" t="str">
        <f>"14:14:58.891"</f>
        <v>14:14:58.891</v>
      </c>
      <c r="B1476">
        <v>39.629058999999998</v>
      </c>
      <c r="C1476">
        <v>-76.390749999999997</v>
      </c>
      <c r="D1476">
        <v>7400</v>
      </c>
      <c r="E1476">
        <v>7650</v>
      </c>
      <c r="F1476">
        <v>200</v>
      </c>
      <c r="G1476">
        <v>102</v>
      </c>
      <c r="H1476">
        <v>-1152</v>
      </c>
      <c r="J1476" s="1">
        <f t="shared" si="115"/>
        <v>40000</v>
      </c>
      <c r="K1476" s="1">
        <f t="shared" si="116"/>
        <v>10404</v>
      </c>
      <c r="L1476" s="1">
        <f t="shared" si="117"/>
        <v>50404</v>
      </c>
      <c r="M1476" s="1">
        <f t="shared" si="118"/>
        <v>224.50835173774718</v>
      </c>
      <c r="N1476" s="7">
        <f t="shared" si="119"/>
        <v>224.50835173774718</v>
      </c>
    </row>
    <row r="1477" spans="1:14" x14ac:dyDescent="0.25">
      <c r="A1477" t="str">
        <f>"14:14:59.750"</f>
        <v>14:14:59.750</v>
      </c>
      <c r="B1477">
        <v>39.629424</v>
      </c>
      <c r="C1477">
        <v>-76.389785000000003</v>
      </c>
      <c r="D1477">
        <v>7400</v>
      </c>
      <c r="E1477">
        <v>7625</v>
      </c>
      <c r="F1477">
        <v>200</v>
      </c>
      <c r="G1477">
        <v>102</v>
      </c>
      <c r="H1477">
        <v>-1152</v>
      </c>
      <c r="J1477" s="1">
        <f t="shared" si="115"/>
        <v>40000</v>
      </c>
      <c r="K1477" s="1">
        <f t="shared" si="116"/>
        <v>10404</v>
      </c>
      <c r="L1477" s="1">
        <f t="shared" si="117"/>
        <v>50404</v>
      </c>
      <c r="M1477" s="1">
        <f t="shared" si="118"/>
        <v>224.50835173774718</v>
      </c>
      <c r="N1477" s="7">
        <f t="shared" si="119"/>
        <v>224.50835173774718</v>
      </c>
    </row>
    <row r="1478" spans="1:14" x14ac:dyDescent="0.25">
      <c r="A1478" t="str">
        <f>"14:15:00.813"</f>
        <v>14:15:00.813</v>
      </c>
      <c r="B1478">
        <v>39.629959999999997</v>
      </c>
      <c r="C1478">
        <v>-76.388497000000001</v>
      </c>
      <c r="D1478">
        <v>7400</v>
      </c>
      <c r="E1478">
        <v>7600</v>
      </c>
      <c r="F1478">
        <v>200</v>
      </c>
      <c r="G1478">
        <v>103</v>
      </c>
      <c r="H1478">
        <v>-1152</v>
      </c>
      <c r="J1478" s="1">
        <f t="shared" si="115"/>
        <v>40000</v>
      </c>
      <c r="K1478" s="1">
        <f t="shared" si="116"/>
        <v>10609</v>
      </c>
      <c r="L1478" s="1">
        <f t="shared" si="117"/>
        <v>50609</v>
      </c>
      <c r="M1478" s="1">
        <f t="shared" si="118"/>
        <v>224.96444163467257</v>
      </c>
      <c r="N1478" s="7">
        <f t="shared" si="119"/>
        <v>224.96444163467257</v>
      </c>
    </row>
    <row r="1479" spans="1:14" x14ac:dyDescent="0.25">
      <c r="A1479" t="str">
        <f>"14:15:01.820"</f>
        <v>14:15:01.820</v>
      </c>
      <c r="B1479">
        <v>39.630431999999999</v>
      </c>
      <c r="C1479">
        <v>-76.387274000000005</v>
      </c>
      <c r="D1479">
        <v>7300</v>
      </c>
      <c r="E1479">
        <v>7575</v>
      </c>
      <c r="F1479">
        <v>200</v>
      </c>
      <c r="G1479">
        <v>103</v>
      </c>
      <c r="H1479">
        <v>-1088</v>
      </c>
      <c r="J1479" s="1">
        <f t="shared" si="115"/>
        <v>40000</v>
      </c>
      <c r="K1479" s="1">
        <f t="shared" si="116"/>
        <v>10609</v>
      </c>
      <c r="L1479" s="1">
        <f t="shared" si="117"/>
        <v>50609</v>
      </c>
      <c r="M1479" s="1">
        <f t="shared" si="118"/>
        <v>224.96444163467257</v>
      </c>
      <c r="N1479" s="7">
        <f t="shared" si="119"/>
        <v>224.96444163467257</v>
      </c>
    </row>
    <row r="1480" spans="1:14" x14ac:dyDescent="0.25">
      <c r="A1480" t="str">
        <f>"14:15:02.828"</f>
        <v>14:15:02.828</v>
      </c>
      <c r="B1480">
        <v>39.630904000000001</v>
      </c>
      <c r="C1480">
        <v>-76.386116000000001</v>
      </c>
      <c r="D1480">
        <v>7300</v>
      </c>
      <c r="E1480">
        <v>7575</v>
      </c>
      <c r="F1480">
        <v>200</v>
      </c>
      <c r="G1480">
        <v>103</v>
      </c>
      <c r="H1480">
        <v>-1088</v>
      </c>
      <c r="J1480" s="1">
        <f t="shared" si="115"/>
        <v>40000</v>
      </c>
      <c r="K1480" s="1">
        <f t="shared" si="116"/>
        <v>10609</v>
      </c>
      <c r="L1480" s="1">
        <f t="shared" si="117"/>
        <v>50609</v>
      </c>
      <c r="M1480" s="1">
        <f t="shared" si="118"/>
        <v>224.96444163467257</v>
      </c>
      <c r="N1480" s="7">
        <f t="shared" si="119"/>
        <v>224.96444163467257</v>
      </c>
    </row>
    <row r="1481" spans="1:14" x14ac:dyDescent="0.25">
      <c r="A1481" t="str">
        <f>"14:15:03.742"</f>
        <v>14:15:03.742</v>
      </c>
      <c r="B1481">
        <v>39.631354999999999</v>
      </c>
      <c r="C1481">
        <v>-76.385020999999995</v>
      </c>
      <c r="D1481">
        <v>7300</v>
      </c>
      <c r="E1481">
        <v>7550</v>
      </c>
      <c r="F1481">
        <v>200</v>
      </c>
      <c r="G1481">
        <v>103</v>
      </c>
      <c r="H1481">
        <v>-1024</v>
      </c>
      <c r="J1481" s="1">
        <f t="shared" si="115"/>
        <v>40000</v>
      </c>
      <c r="K1481" s="1">
        <f t="shared" si="116"/>
        <v>10609</v>
      </c>
      <c r="L1481" s="1">
        <f t="shared" si="117"/>
        <v>50609</v>
      </c>
      <c r="M1481" s="1">
        <f t="shared" si="118"/>
        <v>224.96444163467257</v>
      </c>
      <c r="N1481" s="7">
        <f t="shared" si="119"/>
        <v>224.96444163467257</v>
      </c>
    </row>
    <row r="1482" spans="1:14" x14ac:dyDescent="0.25">
      <c r="A1482" t="str">
        <f>"14:15:04.797"</f>
        <v>14:15:04.797</v>
      </c>
      <c r="B1482">
        <v>39.631869999999999</v>
      </c>
      <c r="C1482">
        <v>-76.383734000000004</v>
      </c>
      <c r="D1482">
        <v>7300</v>
      </c>
      <c r="E1482">
        <v>7525</v>
      </c>
      <c r="F1482">
        <v>199</v>
      </c>
      <c r="G1482">
        <v>103</v>
      </c>
      <c r="H1482">
        <v>-1024</v>
      </c>
      <c r="J1482" s="1">
        <f t="shared" si="115"/>
        <v>39601</v>
      </c>
      <c r="K1482" s="1">
        <f t="shared" si="116"/>
        <v>10609</v>
      </c>
      <c r="L1482" s="1">
        <f t="shared" si="117"/>
        <v>50210</v>
      </c>
      <c r="M1482" s="1">
        <f t="shared" si="118"/>
        <v>224.07588000496617</v>
      </c>
      <c r="N1482" s="7">
        <f t="shared" si="119"/>
        <v>224.07588000496617</v>
      </c>
    </row>
    <row r="1483" spans="1:14" x14ac:dyDescent="0.25">
      <c r="A1483" t="str">
        <f>"14:15:05.813"</f>
        <v>14:15:05.813</v>
      </c>
      <c r="B1483">
        <v>39.632342000000001</v>
      </c>
      <c r="C1483">
        <v>-76.382510999999994</v>
      </c>
      <c r="D1483">
        <v>7300</v>
      </c>
      <c r="E1483">
        <v>7525</v>
      </c>
      <c r="F1483">
        <v>199</v>
      </c>
      <c r="G1483">
        <v>103</v>
      </c>
      <c r="H1483">
        <v>-1024</v>
      </c>
      <c r="J1483" s="1">
        <f t="shared" si="115"/>
        <v>39601</v>
      </c>
      <c r="K1483" s="1">
        <f t="shared" si="116"/>
        <v>10609</v>
      </c>
      <c r="L1483" s="1">
        <f t="shared" si="117"/>
        <v>50210</v>
      </c>
      <c r="M1483" s="1">
        <f t="shared" si="118"/>
        <v>224.07588000496617</v>
      </c>
      <c r="N1483" s="7">
        <f t="shared" si="119"/>
        <v>224.07588000496617</v>
      </c>
    </row>
    <row r="1484" spans="1:14" x14ac:dyDescent="0.25">
      <c r="A1484" t="str">
        <f>"14:15:06.719"</f>
        <v>14:15:06.719</v>
      </c>
      <c r="B1484">
        <v>39.632770999999998</v>
      </c>
      <c r="C1484">
        <v>-76.381438000000003</v>
      </c>
      <c r="D1484">
        <v>7300</v>
      </c>
      <c r="E1484">
        <v>7500</v>
      </c>
      <c r="F1484">
        <v>199</v>
      </c>
      <c r="G1484">
        <v>103</v>
      </c>
      <c r="H1484">
        <v>-1024</v>
      </c>
      <c r="J1484" s="1">
        <f t="shared" si="115"/>
        <v>39601</v>
      </c>
      <c r="K1484" s="1">
        <f t="shared" si="116"/>
        <v>10609</v>
      </c>
      <c r="L1484" s="1">
        <f t="shared" si="117"/>
        <v>50210</v>
      </c>
      <c r="M1484" s="1">
        <f t="shared" si="118"/>
        <v>224.07588000496617</v>
      </c>
      <c r="N1484" s="7">
        <f t="shared" si="119"/>
        <v>224.07588000496617</v>
      </c>
    </row>
    <row r="1485" spans="1:14" x14ac:dyDescent="0.25">
      <c r="A1485" t="str">
        <f>"14:15:07.680"</f>
        <v>14:15:07.680</v>
      </c>
      <c r="B1485">
        <v>39.633222000000004</v>
      </c>
      <c r="C1485">
        <v>-76.380364999999998</v>
      </c>
      <c r="D1485">
        <v>7200</v>
      </c>
      <c r="E1485">
        <v>7475</v>
      </c>
      <c r="F1485">
        <v>199</v>
      </c>
      <c r="G1485">
        <v>103</v>
      </c>
      <c r="H1485">
        <v>-960</v>
      </c>
      <c r="J1485" s="1">
        <f t="shared" si="115"/>
        <v>39601</v>
      </c>
      <c r="K1485" s="1">
        <f t="shared" si="116"/>
        <v>10609</v>
      </c>
      <c r="L1485" s="1">
        <f t="shared" si="117"/>
        <v>50210</v>
      </c>
      <c r="M1485" s="1">
        <f t="shared" si="118"/>
        <v>224.07588000496617</v>
      </c>
      <c r="N1485" s="7">
        <f t="shared" si="119"/>
        <v>224.07588000496617</v>
      </c>
    </row>
    <row r="1486" spans="1:14" x14ac:dyDescent="0.25">
      <c r="A1486" t="str">
        <f>"14:15:08.633"</f>
        <v>14:15:08.633</v>
      </c>
      <c r="B1486">
        <v>39.633693999999998</v>
      </c>
      <c r="C1486">
        <v>-76.379142000000002</v>
      </c>
      <c r="D1486">
        <v>7200</v>
      </c>
      <c r="E1486">
        <v>7475</v>
      </c>
      <c r="F1486">
        <v>199</v>
      </c>
      <c r="G1486">
        <v>103</v>
      </c>
      <c r="H1486">
        <v>-1024</v>
      </c>
      <c r="J1486" s="1">
        <f t="shared" si="115"/>
        <v>39601</v>
      </c>
      <c r="K1486" s="1">
        <f t="shared" si="116"/>
        <v>10609</v>
      </c>
      <c r="L1486" s="1">
        <f t="shared" si="117"/>
        <v>50210</v>
      </c>
      <c r="M1486" s="1">
        <f t="shared" si="118"/>
        <v>224.07588000496617</v>
      </c>
      <c r="N1486" s="7">
        <f t="shared" si="119"/>
        <v>224.07588000496617</v>
      </c>
    </row>
    <row r="1487" spans="1:14" x14ac:dyDescent="0.25">
      <c r="A1487" t="str">
        <f>"14:15:09.547"</f>
        <v>14:15:09.547</v>
      </c>
      <c r="B1487">
        <v>39.634101000000001</v>
      </c>
      <c r="C1487">
        <v>-76.37809</v>
      </c>
      <c r="D1487">
        <v>7200</v>
      </c>
      <c r="E1487">
        <v>7450</v>
      </c>
      <c r="F1487">
        <v>199</v>
      </c>
      <c r="G1487">
        <v>103</v>
      </c>
      <c r="H1487">
        <v>-1088</v>
      </c>
      <c r="J1487" s="1">
        <f t="shared" si="115"/>
        <v>39601</v>
      </c>
      <c r="K1487" s="1">
        <f t="shared" si="116"/>
        <v>10609</v>
      </c>
      <c r="L1487" s="1">
        <f t="shared" si="117"/>
        <v>50210</v>
      </c>
      <c r="M1487" s="1">
        <f t="shared" si="118"/>
        <v>224.07588000496617</v>
      </c>
      <c r="N1487" s="7">
        <f t="shared" si="119"/>
        <v>224.07588000496617</v>
      </c>
    </row>
    <row r="1488" spans="1:14" x14ac:dyDescent="0.25">
      <c r="A1488" t="str">
        <f>"14:15:10.453"</f>
        <v>14:15:10.453</v>
      </c>
      <c r="B1488">
        <v>39.634594999999997</v>
      </c>
      <c r="C1488">
        <v>-76.376889000000006</v>
      </c>
      <c r="D1488">
        <v>7200</v>
      </c>
      <c r="E1488">
        <v>7450</v>
      </c>
      <c r="F1488">
        <v>198</v>
      </c>
      <c r="G1488">
        <v>103</v>
      </c>
      <c r="H1488">
        <v>-1088</v>
      </c>
      <c r="J1488" s="1">
        <f t="shared" si="115"/>
        <v>39204</v>
      </c>
      <c r="K1488" s="1">
        <f t="shared" si="116"/>
        <v>10609</v>
      </c>
      <c r="L1488" s="1">
        <f t="shared" si="117"/>
        <v>49813</v>
      </c>
      <c r="M1488" s="1">
        <f t="shared" si="118"/>
        <v>223.18826134006241</v>
      </c>
      <c r="N1488" s="7">
        <f t="shared" si="119"/>
        <v>223.18826134006241</v>
      </c>
    </row>
    <row r="1489" spans="1:14" x14ac:dyDescent="0.25">
      <c r="A1489" t="str">
        <f>"14:15:11.516"</f>
        <v>14:15:11.516</v>
      </c>
      <c r="B1489">
        <v>39.635046000000003</v>
      </c>
      <c r="C1489">
        <v>-76.375750999999994</v>
      </c>
      <c r="D1489">
        <v>7200</v>
      </c>
      <c r="E1489">
        <v>7425</v>
      </c>
      <c r="F1489">
        <v>198</v>
      </c>
      <c r="G1489">
        <v>103</v>
      </c>
      <c r="H1489">
        <v>-1088</v>
      </c>
      <c r="J1489" s="1">
        <f t="shared" si="115"/>
        <v>39204</v>
      </c>
      <c r="K1489" s="1">
        <f t="shared" si="116"/>
        <v>10609</v>
      </c>
      <c r="L1489" s="1">
        <f t="shared" si="117"/>
        <v>49813</v>
      </c>
      <c r="M1489" s="1">
        <f t="shared" si="118"/>
        <v>223.18826134006241</v>
      </c>
      <c r="N1489" s="7">
        <f t="shared" si="119"/>
        <v>223.18826134006241</v>
      </c>
    </row>
    <row r="1490" spans="1:14" x14ac:dyDescent="0.25">
      <c r="A1490" t="str">
        <f>"14:15:12.570"</f>
        <v>14:15:12.570</v>
      </c>
      <c r="B1490">
        <v>39.635561000000003</v>
      </c>
      <c r="C1490">
        <v>-76.374571000000003</v>
      </c>
      <c r="D1490">
        <v>7200</v>
      </c>
      <c r="E1490">
        <v>7400</v>
      </c>
      <c r="F1490">
        <v>198</v>
      </c>
      <c r="G1490">
        <v>103</v>
      </c>
      <c r="H1490">
        <v>-1088</v>
      </c>
      <c r="J1490" s="1">
        <f t="shared" si="115"/>
        <v>39204</v>
      </c>
      <c r="K1490" s="1">
        <f t="shared" si="116"/>
        <v>10609</v>
      </c>
      <c r="L1490" s="1">
        <f t="shared" si="117"/>
        <v>49813</v>
      </c>
      <c r="M1490" s="1">
        <f t="shared" si="118"/>
        <v>223.18826134006241</v>
      </c>
      <c r="N1490" s="7">
        <f t="shared" si="119"/>
        <v>223.18826134006241</v>
      </c>
    </row>
    <row r="1491" spans="1:14" x14ac:dyDescent="0.25">
      <c r="A1491" t="str">
        <f>"14:15:13.578"</f>
        <v>14:15:13.578</v>
      </c>
      <c r="B1491">
        <v>39.636011000000003</v>
      </c>
      <c r="C1491">
        <v>-76.373369999999994</v>
      </c>
      <c r="D1491">
        <v>7200</v>
      </c>
      <c r="E1491">
        <v>7375</v>
      </c>
      <c r="F1491">
        <v>198</v>
      </c>
      <c r="G1491">
        <v>103</v>
      </c>
      <c r="H1491">
        <v>-1088</v>
      </c>
      <c r="J1491" s="1">
        <f t="shared" si="115"/>
        <v>39204</v>
      </c>
      <c r="K1491" s="1">
        <f t="shared" si="116"/>
        <v>10609</v>
      </c>
      <c r="L1491" s="1">
        <f t="shared" si="117"/>
        <v>49813</v>
      </c>
      <c r="M1491" s="1">
        <f t="shared" si="118"/>
        <v>223.18826134006241</v>
      </c>
      <c r="N1491" s="7">
        <f t="shared" si="119"/>
        <v>223.18826134006241</v>
      </c>
    </row>
    <row r="1492" spans="1:14" x14ac:dyDescent="0.25">
      <c r="A1492" t="str">
        <f>"14:15:14.695"</f>
        <v>14:15:14.695</v>
      </c>
      <c r="B1492">
        <v>39.636612</v>
      </c>
      <c r="C1492">
        <v>-76.371932000000001</v>
      </c>
      <c r="D1492">
        <v>7100</v>
      </c>
      <c r="E1492">
        <v>7375</v>
      </c>
      <c r="F1492">
        <v>198</v>
      </c>
      <c r="G1492">
        <v>103</v>
      </c>
      <c r="H1492">
        <v>-1088</v>
      </c>
      <c r="J1492" s="1">
        <f t="shared" si="115"/>
        <v>39204</v>
      </c>
      <c r="K1492" s="1">
        <f t="shared" si="116"/>
        <v>10609</v>
      </c>
      <c r="L1492" s="1">
        <f t="shared" si="117"/>
        <v>49813</v>
      </c>
      <c r="M1492" s="1">
        <f t="shared" si="118"/>
        <v>223.18826134006241</v>
      </c>
      <c r="N1492" s="7">
        <f t="shared" si="119"/>
        <v>223.18826134006241</v>
      </c>
    </row>
    <row r="1493" spans="1:14" x14ac:dyDescent="0.25">
      <c r="A1493" t="str">
        <f>"14:15:15.805"</f>
        <v>14:15:15.805</v>
      </c>
      <c r="B1493">
        <v>39.637062999999998</v>
      </c>
      <c r="C1493">
        <v>-76.370751999999996</v>
      </c>
      <c r="D1493">
        <v>7100</v>
      </c>
      <c r="E1493">
        <v>7450</v>
      </c>
      <c r="F1493">
        <v>198</v>
      </c>
      <c r="G1493">
        <v>103</v>
      </c>
      <c r="H1493">
        <v>-1088</v>
      </c>
      <c r="J1493" s="1">
        <f t="shared" si="115"/>
        <v>39204</v>
      </c>
      <c r="K1493" s="1">
        <f t="shared" si="116"/>
        <v>10609</v>
      </c>
      <c r="L1493" s="1">
        <f t="shared" si="117"/>
        <v>49813</v>
      </c>
      <c r="M1493" s="1">
        <f t="shared" si="118"/>
        <v>223.18826134006241</v>
      </c>
      <c r="N1493" s="7">
        <f t="shared" si="119"/>
        <v>223.18826134006241</v>
      </c>
    </row>
    <row r="1494" spans="1:14" x14ac:dyDescent="0.25">
      <c r="A1494" t="str">
        <f>"14:15:16.813"</f>
        <v>14:15:16.813</v>
      </c>
      <c r="B1494">
        <v>39.637599000000002</v>
      </c>
      <c r="C1494">
        <v>-76.369443000000004</v>
      </c>
      <c r="D1494">
        <v>7100</v>
      </c>
      <c r="E1494">
        <v>7325</v>
      </c>
      <c r="F1494">
        <v>198</v>
      </c>
      <c r="G1494">
        <v>103</v>
      </c>
      <c r="H1494">
        <v>-1152</v>
      </c>
      <c r="J1494" s="1">
        <f t="shared" si="115"/>
        <v>39204</v>
      </c>
      <c r="K1494" s="1">
        <f t="shared" si="116"/>
        <v>10609</v>
      </c>
      <c r="L1494" s="1">
        <f t="shared" si="117"/>
        <v>49813</v>
      </c>
      <c r="M1494" s="1">
        <f t="shared" si="118"/>
        <v>223.18826134006241</v>
      </c>
      <c r="N1494" s="7">
        <f t="shared" si="119"/>
        <v>223.18826134006241</v>
      </c>
    </row>
    <row r="1495" spans="1:14" x14ac:dyDescent="0.25">
      <c r="A1495" t="str">
        <f>"14:15:17.820"</f>
        <v>14:15:17.820</v>
      </c>
      <c r="B1495">
        <v>39.638070999999997</v>
      </c>
      <c r="C1495">
        <v>-76.368219999999994</v>
      </c>
      <c r="D1495">
        <v>7100</v>
      </c>
      <c r="E1495">
        <v>7300</v>
      </c>
      <c r="F1495">
        <v>198</v>
      </c>
      <c r="G1495">
        <v>103</v>
      </c>
      <c r="H1495">
        <v>-1152</v>
      </c>
      <c r="J1495" s="1">
        <f t="shared" si="115"/>
        <v>39204</v>
      </c>
      <c r="K1495" s="1">
        <f t="shared" si="116"/>
        <v>10609</v>
      </c>
      <c r="L1495" s="1">
        <f t="shared" si="117"/>
        <v>49813</v>
      </c>
      <c r="M1495" s="1">
        <f t="shared" si="118"/>
        <v>223.18826134006241</v>
      </c>
      <c r="N1495" s="7">
        <f t="shared" si="119"/>
        <v>223.18826134006241</v>
      </c>
    </row>
    <row r="1496" spans="1:14" x14ac:dyDescent="0.25">
      <c r="A1496" t="str">
        <f>"14:15:18.633"</f>
        <v>14:15:18.633</v>
      </c>
      <c r="B1496">
        <v>39.638435999999999</v>
      </c>
      <c r="C1496">
        <v>-76.367318999999995</v>
      </c>
      <c r="D1496">
        <v>7000</v>
      </c>
      <c r="E1496">
        <v>7300</v>
      </c>
      <c r="F1496">
        <v>198</v>
      </c>
      <c r="G1496">
        <v>103</v>
      </c>
      <c r="H1496">
        <v>-1152</v>
      </c>
      <c r="J1496" s="1">
        <f t="shared" si="115"/>
        <v>39204</v>
      </c>
      <c r="K1496" s="1">
        <f t="shared" si="116"/>
        <v>10609</v>
      </c>
      <c r="L1496" s="1">
        <f t="shared" si="117"/>
        <v>49813</v>
      </c>
      <c r="M1496" s="1">
        <f t="shared" si="118"/>
        <v>223.18826134006241</v>
      </c>
      <c r="N1496" s="7">
        <f t="shared" si="119"/>
        <v>223.18826134006241</v>
      </c>
    </row>
    <row r="1497" spans="1:14" x14ac:dyDescent="0.25">
      <c r="A1497" t="str">
        <f>"14:15:19.586"</f>
        <v>14:15:19.586</v>
      </c>
      <c r="B1497">
        <v>39.638950999999999</v>
      </c>
      <c r="C1497">
        <v>-76.366095999999999</v>
      </c>
      <c r="D1497">
        <v>7000</v>
      </c>
      <c r="E1497">
        <v>7275</v>
      </c>
      <c r="F1497">
        <v>198</v>
      </c>
      <c r="G1497">
        <v>103</v>
      </c>
      <c r="H1497">
        <v>-1152</v>
      </c>
      <c r="J1497" s="1">
        <f t="shared" si="115"/>
        <v>39204</v>
      </c>
      <c r="K1497" s="1">
        <f t="shared" si="116"/>
        <v>10609</v>
      </c>
      <c r="L1497" s="1">
        <f t="shared" si="117"/>
        <v>49813</v>
      </c>
      <c r="M1497" s="1">
        <f t="shared" si="118"/>
        <v>223.18826134006241</v>
      </c>
      <c r="N1497" s="7">
        <f t="shared" si="119"/>
        <v>223.18826134006241</v>
      </c>
    </row>
    <row r="1498" spans="1:14" x14ac:dyDescent="0.25">
      <c r="A1498" t="str">
        <f>"14:15:20.695"</f>
        <v>14:15:20.695</v>
      </c>
      <c r="B1498">
        <v>39.639443999999997</v>
      </c>
      <c r="C1498">
        <v>-76.364829999999998</v>
      </c>
      <c r="D1498">
        <v>7000</v>
      </c>
      <c r="E1498">
        <v>7250</v>
      </c>
      <c r="F1498">
        <v>198</v>
      </c>
      <c r="G1498">
        <v>103</v>
      </c>
      <c r="H1498">
        <v>-1152</v>
      </c>
      <c r="J1498" s="1">
        <f t="shared" si="115"/>
        <v>39204</v>
      </c>
      <c r="K1498" s="1">
        <f t="shared" si="116"/>
        <v>10609</v>
      </c>
      <c r="L1498" s="1">
        <f t="shared" si="117"/>
        <v>49813</v>
      </c>
      <c r="M1498" s="1">
        <f t="shared" si="118"/>
        <v>223.18826134006241</v>
      </c>
      <c r="N1498" s="7">
        <f t="shared" si="119"/>
        <v>223.18826134006241</v>
      </c>
    </row>
    <row r="1499" spans="1:14" x14ac:dyDescent="0.25">
      <c r="A1499" t="str">
        <f>"14:15:21.555"</f>
        <v>14:15:21.555</v>
      </c>
      <c r="B1499">
        <v>39.639809</v>
      </c>
      <c r="C1499">
        <v>-76.363884999999996</v>
      </c>
      <c r="D1499">
        <v>7000</v>
      </c>
      <c r="E1499">
        <v>7225</v>
      </c>
      <c r="F1499">
        <v>198</v>
      </c>
      <c r="G1499">
        <v>102</v>
      </c>
      <c r="H1499">
        <v>-1216</v>
      </c>
      <c r="J1499" s="1">
        <f t="shared" si="115"/>
        <v>39204</v>
      </c>
      <c r="K1499" s="1">
        <f t="shared" si="116"/>
        <v>10404</v>
      </c>
      <c r="L1499" s="1">
        <f t="shared" si="117"/>
        <v>49608</v>
      </c>
      <c r="M1499" s="1">
        <f t="shared" si="118"/>
        <v>222.72853431924702</v>
      </c>
      <c r="N1499" s="7">
        <f t="shared" si="119"/>
        <v>222.72853431924702</v>
      </c>
    </row>
    <row r="1500" spans="1:14" x14ac:dyDescent="0.25">
      <c r="A1500" t="str">
        <f>"14:15:22.469"</f>
        <v>14:15:22.469</v>
      </c>
      <c r="B1500">
        <v>39.640259999999998</v>
      </c>
      <c r="C1500">
        <v>-76.362791000000001</v>
      </c>
      <c r="D1500">
        <v>7000</v>
      </c>
      <c r="E1500">
        <v>7200</v>
      </c>
      <c r="F1500">
        <v>198</v>
      </c>
      <c r="G1500">
        <v>102</v>
      </c>
      <c r="H1500">
        <v>-1152</v>
      </c>
      <c r="J1500" s="1">
        <f t="shared" si="115"/>
        <v>39204</v>
      </c>
      <c r="K1500" s="1">
        <f t="shared" si="116"/>
        <v>10404</v>
      </c>
      <c r="L1500" s="1">
        <f t="shared" si="117"/>
        <v>49608</v>
      </c>
      <c r="M1500" s="1">
        <f t="shared" si="118"/>
        <v>222.72853431924702</v>
      </c>
      <c r="N1500" s="7">
        <f t="shared" si="119"/>
        <v>222.72853431924702</v>
      </c>
    </row>
    <row r="1501" spans="1:14" x14ac:dyDescent="0.25">
      <c r="A1501" t="str">
        <f>"14:15:23.375"</f>
        <v>14:15:23.375</v>
      </c>
      <c r="B1501">
        <v>39.640709999999999</v>
      </c>
      <c r="C1501">
        <v>-76.361632</v>
      </c>
      <c r="D1501">
        <v>7000</v>
      </c>
      <c r="E1501">
        <v>7200</v>
      </c>
      <c r="F1501">
        <v>198</v>
      </c>
      <c r="G1501">
        <v>102</v>
      </c>
      <c r="H1501">
        <v>-1216</v>
      </c>
      <c r="J1501" s="1">
        <f t="shared" si="115"/>
        <v>39204</v>
      </c>
      <c r="K1501" s="1">
        <f t="shared" si="116"/>
        <v>10404</v>
      </c>
      <c r="L1501" s="1">
        <f t="shared" si="117"/>
        <v>49608</v>
      </c>
      <c r="M1501" s="1">
        <f t="shared" si="118"/>
        <v>222.72853431924702</v>
      </c>
      <c r="N1501" s="7">
        <f t="shared" si="119"/>
        <v>222.72853431924702</v>
      </c>
    </row>
    <row r="1502" spans="1:14" x14ac:dyDescent="0.25">
      <c r="A1502" t="str">
        <f>"14:15:24.484"</f>
        <v>14:15:24.484</v>
      </c>
      <c r="B1502">
        <v>39.641182000000001</v>
      </c>
      <c r="C1502">
        <v>-76.360409000000004</v>
      </c>
      <c r="D1502">
        <v>7000</v>
      </c>
      <c r="E1502">
        <v>7175</v>
      </c>
      <c r="F1502">
        <v>198</v>
      </c>
      <c r="G1502">
        <v>102</v>
      </c>
      <c r="H1502">
        <v>-1216</v>
      </c>
      <c r="J1502" s="1">
        <f t="shared" si="115"/>
        <v>39204</v>
      </c>
      <c r="K1502" s="1">
        <f t="shared" si="116"/>
        <v>10404</v>
      </c>
      <c r="L1502" s="1">
        <f t="shared" si="117"/>
        <v>49608</v>
      </c>
      <c r="M1502" s="1">
        <f t="shared" si="118"/>
        <v>222.72853431924702</v>
      </c>
      <c r="N1502" s="7">
        <f t="shared" si="119"/>
        <v>222.72853431924702</v>
      </c>
    </row>
    <row r="1503" spans="1:14" x14ac:dyDescent="0.25">
      <c r="A1503" t="str">
        <f>"14:15:25.500"</f>
        <v>14:15:25.500</v>
      </c>
      <c r="B1503">
        <v>39.641739999999999</v>
      </c>
      <c r="C1503">
        <v>-76.359099999999998</v>
      </c>
      <c r="D1503">
        <v>6900</v>
      </c>
      <c r="E1503">
        <v>7150</v>
      </c>
      <c r="F1503">
        <v>198</v>
      </c>
      <c r="G1503">
        <v>102</v>
      </c>
      <c r="H1503">
        <v>-1216</v>
      </c>
      <c r="J1503" s="1">
        <f t="shared" si="115"/>
        <v>39204</v>
      </c>
      <c r="K1503" s="1">
        <f t="shared" si="116"/>
        <v>10404</v>
      </c>
      <c r="L1503" s="1">
        <f t="shared" si="117"/>
        <v>49608</v>
      </c>
      <c r="M1503" s="1">
        <f t="shared" si="118"/>
        <v>222.72853431924702</v>
      </c>
      <c r="N1503" s="7">
        <f t="shared" si="119"/>
        <v>222.72853431924702</v>
      </c>
    </row>
    <row r="1504" spans="1:14" x14ac:dyDescent="0.25">
      <c r="A1504" t="str">
        <f>"14:15:26.500"</f>
        <v>14:15:26.500</v>
      </c>
      <c r="B1504">
        <v>39.642190999999997</v>
      </c>
      <c r="C1504">
        <v>-76.357899000000003</v>
      </c>
      <c r="D1504">
        <v>6900</v>
      </c>
      <c r="E1504">
        <v>7125</v>
      </c>
      <c r="F1504">
        <v>198</v>
      </c>
      <c r="G1504">
        <v>102</v>
      </c>
      <c r="H1504">
        <v>-1152</v>
      </c>
      <c r="J1504" s="1">
        <f t="shared" si="115"/>
        <v>39204</v>
      </c>
      <c r="K1504" s="1">
        <f t="shared" si="116"/>
        <v>10404</v>
      </c>
      <c r="L1504" s="1">
        <f t="shared" si="117"/>
        <v>49608</v>
      </c>
      <c r="M1504" s="1">
        <f t="shared" si="118"/>
        <v>222.72853431924702</v>
      </c>
      <c r="N1504" s="7">
        <f t="shared" si="119"/>
        <v>222.72853431924702</v>
      </c>
    </row>
    <row r="1505" spans="1:14" x14ac:dyDescent="0.25">
      <c r="A1505" t="str">
        <f>"14:15:27.563"</f>
        <v>14:15:27.563</v>
      </c>
      <c r="B1505">
        <v>39.642662999999999</v>
      </c>
      <c r="C1505">
        <v>-76.356718999999998</v>
      </c>
      <c r="D1505">
        <v>6900</v>
      </c>
      <c r="E1505">
        <v>7100</v>
      </c>
      <c r="F1505">
        <v>198</v>
      </c>
      <c r="G1505">
        <v>101</v>
      </c>
      <c r="H1505">
        <v>-1152</v>
      </c>
      <c r="J1505" s="1">
        <f t="shared" si="115"/>
        <v>39204</v>
      </c>
      <c r="K1505" s="1">
        <f t="shared" si="116"/>
        <v>10201</v>
      </c>
      <c r="L1505" s="1">
        <f t="shared" si="117"/>
        <v>49405</v>
      </c>
      <c r="M1505" s="1">
        <f t="shared" si="118"/>
        <v>222.27235545609355</v>
      </c>
      <c r="N1505" s="7">
        <f t="shared" si="119"/>
        <v>222.27235545609355</v>
      </c>
    </row>
    <row r="1506" spans="1:14" x14ac:dyDescent="0.25">
      <c r="A1506" t="str">
        <f>"14:15:28.523"</f>
        <v>14:15:28.523</v>
      </c>
      <c r="B1506">
        <v>39.643113999999997</v>
      </c>
      <c r="C1506">
        <v>-76.355581000000001</v>
      </c>
      <c r="D1506">
        <v>6900</v>
      </c>
      <c r="E1506">
        <v>7100</v>
      </c>
      <c r="F1506">
        <v>198</v>
      </c>
      <c r="G1506">
        <v>101</v>
      </c>
      <c r="H1506">
        <v>-1152</v>
      </c>
      <c r="J1506" s="1">
        <f t="shared" si="115"/>
        <v>39204</v>
      </c>
      <c r="K1506" s="1">
        <f t="shared" si="116"/>
        <v>10201</v>
      </c>
      <c r="L1506" s="1">
        <f t="shared" si="117"/>
        <v>49405</v>
      </c>
      <c r="M1506" s="1">
        <f t="shared" si="118"/>
        <v>222.27235545609355</v>
      </c>
      <c r="N1506" s="7">
        <f t="shared" si="119"/>
        <v>222.27235545609355</v>
      </c>
    </row>
    <row r="1507" spans="1:14" x14ac:dyDescent="0.25">
      <c r="A1507" t="str">
        <f>"14:15:29.430"</f>
        <v>14:15:29.430</v>
      </c>
      <c r="B1507">
        <v>39.643563999999998</v>
      </c>
      <c r="C1507">
        <v>-76.354487000000006</v>
      </c>
      <c r="D1507">
        <v>6800</v>
      </c>
      <c r="E1507">
        <v>7075</v>
      </c>
      <c r="F1507">
        <v>198</v>
      </c>
      <c r="G1507">
        <v>101</v>
      </c>
      <c r="H1507">
        <v>-1152</v>
      </c>
      <c r="J1507" s="1">
        <f t="shared" si="115"/>
        <v>39204</v>
      </c>
      <c r="K1507" s="1">
        <f t="shared" si="116"/>
        <v>10201</v>
      </c>
      <c r="L1507" s="1">
        <f t="shared" si="117"/>
        <v>49405</v>
      </c>
      <c r="M1507" s="1">
        <f t="shared" si="118"/>
        <v>222.27235545609355</v>
      </c>
      <c r="N1507" s="7">
        <f t="shared" si="119"/>
        <v>222.27235545609355</v>
      </c>
    </row>
    <row r="1508" spans="1:14" x14ac:dyDescent="0.25">
      <c r="A1508" t="str">
        <f>"14:15:30.594"</f>
        <v>14:15:30.594</v>
      </c>
      <c r="B1508">
        <v>39.644122000000003</v>
      </c>
      <c r="C1508">
        <v>-76.353092000000004</v>
      </c>
      <c r="D1508">
        <v>6800</v>
      </c>
      <c r="E1508">
        <v>7050</v>
      </c>
      <c r="F1508">
        <v>198</v>
      </c>
      <c r="G1508">
        <v>101</v>
      </c>
      <c r="H1508">
        <v>-1152</v>
      </c>
      <c r="J1508" s="1">
        <f t="shared" si="115"/>
        <v>39204</v>
      </c>
      <c r="K1508" s="1">
        <f t="shared" si="116"/>
        <v>10201</v>
      </c>
      <c r="L1508" s="1">
        <f t="shared" si="117"/>
        <v>49405</v>
      </c>
      <c r="M1508" s="1">
        <f t="shared" si="118"/>
        <v>222.27235545609355</v>
      </c>
      <c r="N1508" s="7">
        <f t="shared" si="119"/>
        <v>222.27235545609355</v>
      </c>
    </row>
    <row r="1509" spans="1:14" x14ac:dyDescent="0.25">
      <c r="A1509" t="str">
        <f>"14:15:31.648"</f>
        <v>14:15:31.648</v>
      </c>
      <c r="B1509">
        <v>39.644593999999998</v>
      </c>
      <c r="C1509">
        <v>-76.351868999999994</v>
      </c>
      <c r="D1509">
        <v>6800</v>
      </c>
      <c r="E1509">
        <v>7025</v>
      </c>
      <c r="F1509">
        <v>198</v>
      </c>
      <c r="G1509">
        <v>101</v>
      </c>
      <c r="H1509">
        <v>-1216</v>
      </c>
      <c r="J1509" s="1">
        <f t="shared" si="115"/>
        <v>39204</v>
      </c>
      <c r="K1509" s="1">
        <f t="shared" si="116"/>
        <v>10201</v>
      </c>
      <c r="L1509" s="1">
        <f t="shared" si="117"/>
        <v>49405</v>
      </c>
      <c r="M1509" s="1">
        <f t="shared" si="118"/>
        <v>222.27235545609355</v>
      </c>
      <c r="N1509" s="7">
        <f t="shared" si="119"/>
        <v>222.27235545609355</v>
      </c>
    </row>
    <row r="1510" spans="1:14" x14ac:dyDescent="0.25">
      <c r="A1510" t="str">
        <f>"14:15:32.563"</f>
        <v>14:15:32.563</v>
      </c>
      <c r="B1510">
        <v>39.645045000000003</v>
      </c>
      <c r="C1510">
        <v>-76.350710000000007</v>
      </c>
      <c r="D1510">
        <v>6800</v>
      </c>
      <c r="E1510">
        <v>7025</v>
      </c>
      <c r="F1510">
        <v>198</v>
      </c>
      <c r="G1510">
        <v>100</v>
      </c>
      <c r="H1510">
        <v>-1216</v>
      </c>
      <c r="J1510" s="1">
        <f t="shared" si="115"/>
        <v>39204</v>
      </c>
      <c r="K1510" s="1">
        <f t="shared" si="116"/>
        <v>10000</v>
      </c>
      <c r="L1510" s="1">
        <f t="shared" si="117"/>
        <v>49204</v>
      </c>
      <c r="M1510" s="1">
        <f t="shared" si="118"/>
        <v>221.81974664127628</v>
      </c>
      <c r="N1510" s="7">
        <f t="shared" si="119"/>
        <v>221.81974664127628</v>
      </c>
    </row>
    <row r="1511" spans="1:14" x14ac:dyDescent="0.25">
      <c r="A1511" t="str">
        <f>"14:15:33.469"</f>
        <v>14:15:33.469</v>
      </c>
      <c r="B1511">
        <v>39.645431000000002</v>
      </c>
      <c r="C1511">
        <v>-76.349722999999997</v>
      </c>
      <c r="D1511">
        <v>6800</v>
      </c>
      <c r="E1511">
        <v>7000</v>
      </c>
      <c r="F1511">
        <v>198</v>
      </c>
      <c r="G1511">
        <v>100</v>
      </c>
      <c r="H1511">
        <v>-1280</v>
      </c>
      <c r="J1511" s="1">
        <f t="shared" si="115"/>
        <v>39204</v>
      </c>
      <c r="K1511" s="1">
        <f t="shared" si="116"/>
        <v>10000</v>
      </c>
      <c r="L1511" s="1">
        <f t="shared" si="117"/>
        <v>49204</v>
      </c>
      <c r="M1511" s="1">
        <f t="shared" si="118"/>
        <v>221.81974664127628</v>
      </c>
      <c r="N1511" s="7">
        <f t="shared" si="119"/>
        <v>221.81974664127628</v>
      </c>
    </row>
    <row r="1512" spans="1:14" x14ac:dyDescent="0.25">
      <c r="A1512" t="str">
        <f>"14:15:34.578"</f>
        <v>14:15:34.578</v>
      </c>
      <c r="B1512">
        <v>39.645902999999997</v>
      </c>
      <c r="C1512">
        <v>-76.348414000000005</v>
      </c>
      <c r="D1512">
        <v>6700</v>
      </c>
      <c r="E1512">
        <v>6975</v>
      </c>
      <c r="F1512">
        <v>198</v>
      </c>
      <c r="G1512">
        <v>100</v>
      </c>
      <c r="H1512">
        <v>-1472</v>
      </c>
      <c r="J1512" s="1">
        <f t="shared" si="115"/>
        <v>39204</v>
      </c>
      <c r="K1512" s="1">
        <f t="shared" si="116"/>
        <v>10000</v>
      </c>
      <c r="L1512" s="1">
        <f t="shared" si="117"/>
        <v>49204</v>
      </c>
      <c r="M1512" s="1">
        <f t="shared" si="118"/>
        <v>221.81974664127628</v>
      </c>
      <c r="N1512" s="7">
        <f t="shared" si="119"/>
        <v>221.81974664127628</v>
      </c>
    </row>
    <row r="1513" spans="1:14" x14ac:dyDescent="0.25">
      <c r="A1513" t="str">
        <f>"14:15:35.484"</f>
        <v>14:15:35.484</v>
      </c>
      <c r="B1513">
        <v>39.646354000000002</v>
      </c>
      <c r="C1513">
        <v>-76.347212999999996</v>
      </c>
      <c r="D1513">
        <v>6700</v>
      </c>
      <c r="E1513">
        <v>6950</v>
      </c>
      <c r="F1513">
        <v>198</v>
      </c>
      <c r="G1513">
        <v>100</v>
      </c>
      <c r="H1513">
        <v>-1536</v>
      </c>
      <c r="J1513" s="1">
        <f t="shared" si="115"/>
        <v>39204</v>
      </c>
      <c r="K1513" s="1">
        <f t="shared" si="116"/>
        <v>10000</v>
      </c>
      <c r="L1513" s="1">
        <f t="shared" si="117"/>
        <v>49204</v>
      </c>
      <c r="M1513" s="1">
        <f t="shared" si="118"/>
        <v>221.81974664127628</v>
      </c>
      <c r="N1513" s="7">
        <f t="shared" si="119"/>
        <v>221.81974664127628</v>
      </c>
    </row>
    <row r="1514" spans="1:14" x14ac:dyDescent="0.25">
      <c r="A1514" t="str">
        <f>"14:15:36.500"</f>
        <v>14:15:36.500</v>
      </c>
      <c r="B1514">
        <v>39.646825999999997</v>
      </c>
      <c r="C1514">
        <v>-76.346033000000006</v>
      </c>
      <c r="D1514">
        <v>6700</v>
      </c>
      <c r="E1514">
        <v>6925</v>
      </c>
      <c r="F1514">
        <v>198</v>
      </c>
      <c r="G1514">
        <v>100</v>
      </c>
      <c r="H1514">
        <v>-1600</v>
      </c>
      <c r="J1514" s="1">
        <f t="shared" si="115"/>
        <v>39204</v>
      </c>
      <c r="K1514" s="1">
        <f t="shared" si="116"/>
        <v>10000</v>
      </c>
      <c r="L1514" s="1">
        <f t="shared" si="117"/>
        <v>49204</v>
      </c>
      <c r="M1514" s="1">
        <f t="shared" si="118"/>
        <v>221.81974664127628</v>
      </c>
      <c r="N1514" s="7">
        <f t="shared" si="119"/>
        <v>221.81974664127628</v>
      </c>
    </row>
    <row r="1515" spans="1:14" x14ac:dyDescent="0.25">
      <c r="A1515" t="str">
        <f>"14:15:37.453"</f>
        <v>14:15:37.453</v>
      </c>
      <c r="B1515">
        <v>39.647233</v>
      </c>
      <c r="C1515">
        <v>-76.344981000000004</v>
      </c>
      <c r="D1515">
        <v>6700</v>
      </c>
      <c r="E1515">
        <v>6900</v>
      </c>
      <c r="F1515">
        <v>199</v>
      </c>
      <c r="G1515">
        <v>99</v>
      </c>
      <c r="H1515">
        <v>-1728</v>
      </c>
      <c r="J1515" s="1">
        <f t="shared" si="115"/>
        <v>39601</v>
      </c>
      <c r="K1515" s="1">
        <f t="shared" si="116"/>
        <v>9801</v>
      </c>
      <c r="L1515" s="1">
        <f t="shared" si="117"/>
        <v>49402</v>
      </c>
      <c r="M1515" s="1">
        <f t="shared" si="118"/>
        <v>222.26560687609768</v>
      </c>
      <c r="N1515" s="7">
        <f t="shared" si="119"/>
        <v>222.26560687609768</v>
      </c>
    </row>
    <row r="1516" spans="1:14" x14ac:dyDescent="0.25">
      <c r="A1516" t="str">
        <f>"14:15:38.313"</f>
        <v>14:15:38.313</v>
      </c>
      <c r="B1516">
        <v>39.647641</v>
      </c>
      <c r="C1516">
        <v>-76.34393</v>
      </c>
      <c r="D1516">
        <v>6700</v>
      </c>
      <c r="E1516">
        <v>6875</v>
      </c>
      <c r="F1516">
        <v>199</v>
      </c>
      <c r="G1516">
        <v>99</v>
      </c>
      <c r="H1516">
        <v>-1792</v>
      </c>
      <c r="J1516" s="1">
        <f t="shared" si="115"/>
        <v>39601</v>
      </c>
      <c r="K1516" s="1">
        <f t="shared" si="116"/>
        <v>9801</v>
      </c>
      <c r="L1516" s="1">
        <f t="shared" si="117"/>
        <v>49402</v>
      </c>
      <c r="M1516" s="1">
        <f t="shared" si="118"/>
        <v>222.26560687609768</v>
      </c>
      <c r="N1516" s="7">
        <f t="shared" si="119"/>
        <v>222.26560687609768</v>
      </c>
    </row>
    <row r="1517" spans="1:14" x14ac:dyDescent="0.25">
      <c r="A1517" t="str">
        <f>"14:15:39.172"</f>
        <v>14:15:39.172</v>
      </c>
      <c r="B1517">
        <v>39.648069999999997</v>
      </c>
      <c r="C1517">
        <v>-76.342834999999994</v>
      </c>
      <c r="D1517">
        <v>6600</v>
      </c>
      <c r="E1517">
        <v>6850</v>
      </c>
      <c r="F1517">
        <v>199</v>
      </c>
      <c r="G1517">
        <v>99</v>
      </c>
      <c r="H1517">
        <v>-1792</v>
      </c>
      <c r="J1517" s="1">
        <f t="shared" si="115"/>
        <v>39601</v>
      </c>
      <c r="K1517" s="1">
        <f t="shared" si="116"/>
        <v>9801</v>
      </c>
      <c r="L1517" s="1">
        <f t="shared" si="117"/>
        <v>49402</v>
      </c>
      <c r="M1517" s="1">
        <f t="shared" si="118"/>
        <v>222.26560687609768</v>
      </c>
      <c r="N1517" s="7">
        <f t="shared" si="119"/>
        <v>222.26560687609768</v>
      </c>
    </row>
    <row r="1518" spans="1:14" x14ac:dyDescent="0.25">
      <c r="A1518" t="str">
        <f>"14:15:40.078"</f>
        <v>14:15:40.078</v>
      </c>
      <c r="B1518">
        <v>39.648521000000002</v>
      </c>
      <c r="C1518">
        <v>-76.341719999999995</v>
      </c>
      <c r="D1518">
        <v>6600</v>
      </c>
      <c r="E1518">
        <v>6825</v>
      </c>
      <c r="F1518">
        <v>200</v>
      </c>
      <c r="G1518">
        <v>99</v>
      </c>
      <c r="H1518">
        <v>-1792</v>
      </c>
      <c r="J1518" s="1">
        <f t="shared" si="115"/>
        <v>40000</v>
      </c>
      <c r="K1518" s="1">
        <f t="shared" si="116"/>
        <v>9801</v>
      </c>
      <c r="L1518" s="1">
        <f t="shared" si="117"/>
        <v>49801</v>
      </c>
      <c r="M1518" s="1">
        <f t="shared" si="118"/>
        <v>223.16137658654108</v>
      </c>
      <c r="N1518" s="7">
        <f t="shared" si="119"/>
        <v>223.16137658654108</v>
      </c>
    </row>
    <row r="1519" spans="1:14" x14ac:dyDescent="0.25">
      <c r="A1519" t="str">
        <f>"14:15:41.141"</f>
        <v>14:15:41.141</v>
      </c>
      <c r="B1519">
        <v>39.648972000000001</v>
      </c>
      <c r="C1519">
        <v>-76.340539000000007</v>
      </c>
      <c r="D1519">
        <v>6600</v>
      </c>
      <c r="E1519">
        <v>6800</v>
      </c>
      <c r="F1519">
        <v>200</v>
      </c>
      <c r="G1519">
        <v>99</v>
      </c>
      <c r="H1519">
        <v>-1792</v>
      </c>
      <c r="J1519" s="1">
        <f t="shared" si="115"/>
        <v>40000</v>
      </c>
      <c r="K1519" s="1">
        <f t="shared" si="116"/>
        <v>9801</v>
      </c>
      <c r="L1519" s="1">
        <f t="shared" si="117"/>
        <v>49801</v>
      </c>
      <c r="M1519" s="1">
        <f t="shared" si="118"/>
        <v>223.16137658654108</v>
      </c>
      <c r="N1519" s="7">
        <f t="shared" si="119"/>
        <v>223.16137658654108</v>
      </c>
    </row>
    <row r="1520" spans="1:14" x14ac:dyDescent="0.25">
      <c r="A1520" t="str">
        <f>"14:15:42.000"</f>
        <v>14:15:42.000</v>
      </c>
      <c r="B1520">
        <v>39.649379000000003</v>
      </c>
      <c r="C1520">
        <v>-76.339488000000003</v>
      </c>
      <c r="D1520">
        <v>6500</v>
      </c>
      <c r="E1520">
        <v>6750</v>
      </c>
      <c r="F1520">
        <v>200</v>
      </c>
      <c r="G1520">
        <v>99</v>
      </c>
      <c r="H1520">
        <v>-1728</v>
      </c>
      <c r="J1520" s="1">
        <f t="shared" si="115"/>
        <v>40000</v>
      </c>
      <c r="K1520" s="1">
        <f t="shared" si="116"/>
        <v>9801</v>
      </c>
      <c r="L1520" s="1">
        <f t="shared" si="117"/>
        <v>49801</v>
      </c>
      <c r="M1520" s="1">
        <f t="shared" si="118"/>
        <v>223.16137658654108</v>
      </c>
      <c r="N1520" s="7">
        <f t="shared" si="119"/>
        <v>223.16137658654108</v>
      </c>
    </row>
    <row r="1521" spans="1:14" x14ac:dyDescent="0.25">
      <c r="A1521" t="str">
        <f>"14:15:42.906"</f>
        <v>14:15:42.906</v>
      </c>
      <c r="B1521">
        <v>39.649787000000003</v>
      </c>
      <c r="C1521">
        <v>-76.338372000000007</v>
      </c>
      <c r="D1521">
        <v>6500</v>
      </c>
      <c r="E1521">
        <v>6725</v>
      </c>
      <c r="F1521">
        <v>201</v>
      </c>
      <c r="G1521">
        <v>100</v>
      </c>
      <c r="H1521">
        <v>-1728</v>
      </c>
      <c r="J1521" s="1">
        <f t="shared" si="115"/>
        <v>40401</v>
      </c>
      <c r="K1521" s="1">
        <f t="shared" si="116"/>
        <v>10000</v>
      </c>
      <c r="L1521" s="1">
        <f t="shared" si="117"/>
        <v>50401</v>
      </c>
      <c r="M1521" s="1">
        <f t="shared" si="118"/>
        <v>224.50167037240502</v>
      </c>
      <c r="N1521" s="7">
        <f t="shared" si="119"/>
        <v>224.50167037240502</v>
      </c>
    </row>
    <row r="1522" spans="1:14" x14ac:dyDescent="0.25">
      <c r="A1522" t="str">
        <f>"14:15:43.969"</f>
        <v>14:15:43.969</v>
      </c>
      <c r="B1522">
        <v>39.650302000000003</v>
      </c>
      <c r="C1522">
        <v>-76.337041999999997</v>
      </c>
      <c r="D1522">
        <v>6500</v>
      </c>
      <c r="E1522">
        <v>6700</v>
      </c>
      <c r="F1522">
        <v>201</v>
      </c>
      <c r="G1522">
        <v>100</v>
      </c>
      <c r="H1522">
        <v>-1728</v>
      </c>
      <c r="J1522" s="1">
        <f t="shared" si="115"/>
        <v>40401</v>
      </c>
      <c r="K1522" s="1">
        <f t="shared" si="116"/>
        <v>10000</v>
      </c>
      <c r="L1522" s="1">
        <f t="shared" si="117"/>
        <v>50401</v>
      </c>
      <c r="M1522" s="1">
        <f t="shared" si="118"/>
        <v>224.50167037240502</v>
      </c>
      <c r="N1522" s="7">
        <f t="shared" si="119"/>
        <v>224.50167037240502</v>
      </c>
    </row>
    <row r="1523" spans="1:14" x14ac:dyDescent="0.25">
      <c r="A1523" t="str">
        <f>"14:15:45.023"</f>
        <v>14:15:45.023</v>
      </c>
      <c r="B1523">
        <v>39.650773999999998</v>
      </c>
      <c r="C1523">
        <v>-76.335882999999995</v>
      </c>
      <c r="D1523">
        <v>6500</v>
      </c>
      <c r="E1523">
        <v>6675</v>
      </c>
      <c r="F1523">
        <v>201</v>
      </c>
      <c r="G1523">
        <v>100</v>
      </c>
      <c r="H1523">
        <v>-1728</v>
      </c>
      <c r="J1523" s="1">
        <f t="shared" si="115"/>
        <v>40401</v>
      </c>
      <c r="K1523" s="1">
        <f t="shared" si="116"/>
        <v>10000</v>
      </c>
      <c r="L1523" s="1">
        <f t="shared" si="117"/>
        <v>50401</v>
      </c>
      <c r="M1523" s="1">
        <f t="shared" si="118"/>
        <v>224.50167037240502</v>
      </c>
      <c r="N1523" s="7">
        <f t="shared" si="119"/>
        <v>224.50167037240502</v>
      </c>
    </row>
    <row r="1524" spans="1:14" x14ac:dyDescent="0.25">
      <c r="A1524" t="str">
        <f>"14:15:46.086"</f>
        <v>14:15:46.086</v>
      </c>
      <c r="B1524">
        <v>39.651246</v>
      </c>
      <c r="C1524">
        <v>-76.33466</v>
      </c>
      <c r="D1524">
        <v>6400</v>
      </c>
      <c r="E1524">
        <v>6625</v>
      </c>
      <c r="F1524">
        <v>201</v>
      </c>
      <c r="G1524">
        <v>100</v>
      </c>
      <c r="H1524">
        <v>-1728</v>
      </c>
      <c r="J1524" s="1">
        <f t="shared" si="115"/>
        <v>40401</v>
      </c>
      <c r="K1524" s="1">
        <f t="shared" si="116"/>
        <v>10000</v>
      </c>
      <c r="L1524" s="1">
        <f t="shared" si="117"/>
        <v>50401</v>
      </c>
      <c r="M1524" s="1">
        <f t="shared" si="118"/>
        <v>224.50167037240502</v>
      </c>
      <c r="N1524" s="7">
        <f t="shared" si="119"/>
        <v>224.50167037240502</v>
      </c>
    </row>
    <row r="1525" spans="1:14" x14ac:dyDescent="0.25">
      <c r="A1525" t="str">
        <f>"14:15:46.992"</f>
        <v>14:15:46.992</v>
      </c>
      <c r="B1525">
        <v>39.651696999999999</v>
      </c>
      <c r="C1525">
        <v>-76.333437000000004</v>
      </c>
      <c r="D1525">
        <v>6400</v>
      </c>
      <c r="E1525">
        <v>6625</v>
      </c>
      <c r="F1525">
        <v>202</v>
      </c>
      <c r="G1525">
        <v>100</v>
      </c>
      <c r="H1525">
        <v>-1728</v>
      </c>
      <c r="J1525" s="1">
        <f t="shared" si="115"/>
        <v>40804</v>
      </c>
      <c r="K1525" s="1">
        <f t="shared" si="116"/>
        <v>10000</v>
      </c>
      <c r="L1525" s="1">
        <f t="shared" si="117"/>
        <v>50804</v>
      </c>
      <c r="M1525" s="1">
        <f t="shared" si="118"/>
        <v>225.39742678211746</v>
      </c>
      <c r="N1525" s="7">
        <f t="shared" si="119"/>
        <v>225.39742678211746</v>
      </c>
    </row>
    <row r="1526" spans="1:14" x14ac:dyDescent="0.25">
      <c r="A1526" t="str">
        <f>"14:15:47.906"</f>
        <v>14:15:47.906</v>
      </c>
      <c r="B1526">
        <v>39.652082999999998</v>
      </c>
      <c r="C1526">
        <v>-76.332342999999995</v>
      </c>
      <c r="D1526">
        <v>6400</v>
      </c>
      <c r="E1526">
        <v>6575</v>
      </c>
      <c r="F1526">
        <v>202</v>
      </c>
      <c r="G1526">
        <v>101</v>
      </c>
      <c r="H1526">
        <v>-1728</v>
      </c>
      <c r="J1526" s="1">
        <f t="shared" si="115"/>
        <v>40804</v>
      </c>
      <c r="K1526" s="1">
        <f t="shared" si="116"/>
        <v>10201</v>
      </c>
      <c r="L1526" s="1">
        <f t="shared" si="117"/>
        <v>51005</v>
      </c>
      <c r="M1526" s="1">
        <f t="shared" si="118"/>
        <v>225.84286572747877</v>
      </c>
      <c r="N1526" s="7">
        <f t="shared" si="119"/>
        <v>225.84286572747877</v>
      </c>
    </row>
    <row r="1527" spans="1:14" x14ac:dyDescent="0.25">
      <c r="A1527" t="str">
        <f>"14:15:48.766"</f>
        <v>14:15:48.766</v>
      </c>
      <c r="B1527">
        <v>39.652490999999998</v>
      </c>
      <c r="C1527">
        <v>-76.331397999999993</v>
      </c>
      <c r="D1527">
        <v>6300</v>
      </c>
      <c r="E1527">
        <v>6550</v>
      </c>
      <c r="F1527">
        <v>202</v>
      </c>
      <c r="G1527">
        <v>101</v>
      </c>
      <c r="H1527">
        <v>-1728</v>
      </c>
      <c r="J1527" s="1">
        <f t="shared" si="115"/>
        <v>40804</v>
      </c>
      <c r="K1527" s="1">
        <f t="shared" si="116"/>
        <v>10201</v>
      </c>
      <c r="L1527" s="1">
        <f t="shared" si="117"/>
        <v>51005</v>
      </c>
      <c r="M1527" s="1">
        <f t="shared" si="118"/>
        <v>225.84286572747877</v>
      </c>
      <c r="N1527" s="7">
        <f t="shared" si="119"/>
        <v>225.84286572747877</v>
      </c>
    </row>
    <row r="1528" spans="1:14" x14ac:dyDescent="0.25">
      <c r="A1528" t="str">
        <f>"14:15:49.773"</f>
        <v>14:15:49.773</v>
      </c>
      <c r="B1528">
        <v>39.653005999999998</v>
      </c>
      <c r="C1528">
        <v>-76.330067999999997</v>
      </c>
      <c r="D1528">
        <v>6300</v>
      </c>
      <c r="E1528">
        <v>6525</v>
      </c>
      <c r="F1528">
        <v>202</v>
      </c>
      <c r="G1528">
        <v>101</v>
      </c>
      <c r="H1528">
        <v>-1728</v>
      </c>
      <c r="J1528" s="1">
        <f t="shared" si="115"/>
        <v>40804</v>
      </c>
      <c r="K1528" s="1">
        <f t="shared" si="116"/>
        <v>10201</v>
      </c>
      <c r="L1528" s="1">
        <f t="shared" si="117"/>
        <v>51005</v>
      </c>
      <c r="M1528" s="1">
        <f t="shared" si="118"/>
        <v>225.84286572747877</v>
      </c>
      <c r="N1528" s="7">
        <f t="shared" si="119"/>
        <v>225.84286572747877</v>
      </c>
    </row>
    <row r="1529" spans="1:14" x14ac:dyDescent="0.25">
      <c r="A1529" t="str">
        <f>"14:15:50.930"</f>
        <v>14:15:50.930</v>
      </c>
      <c r="B1529">
        <v>39.653498999999996</v>
      </c>
      <c r="C1529">
        <v>-76.328716</v>
      </c>
      <c r="D1529">
        <v>6300</v>
      </c>
      <c r="E1529">
        <v>6500</v>
      </c>
      <c r="F1529">
        <v>202</v>
      </c>
      <c r="G1529">
        <v>101</v>
      </c>
      <c r="H1529">
        <v>-1728</v>
      </c>
      <c r="J1529" s="1">
        <f t="shared" si="115"/>
        <v>40804</v>
      </c>
      <c r="K1529" s="1">
        <f t="shared" si="116"/>
        <v>10201</v>
      </c>
      <c r="L1529" s="1">
        <f t="shared" si="117"/>
        <v>51005</v>
      </c>
      <c r="M1529" s="1">
        <f t="shared" si="118"/>
        <v>225.84286572747877</v>
      </c>
      <c r="N1529" s="7">
        <f t="shared" si="119"/>
        <v>225.84286572747877</v>
      </c>
    </row>
    <row r="1530" spans="1:14" x14ac:dyDescent="0.25">
      <c r="A1530" t="str">
        <f>"14:15:51.938"</f>
        <v>14:15:51.938</v>
      </c>
      <c r="B1530">
        <v>39.653970999999999</v>
      </c>
      <c r="C1530">
        <v>-76.327515000000005</v>
      </c>
      <c r="D1530">
        <v>6300</v>
      </c>
      <c r="E1530">
        <v>6475</v>
      </c>
      <c r="F1530">
        <v>202</v>
      </c>
      <c r="G1530">
        <v>101</v>
      </c>
      <c r="H1530">
        <v>-1600</v>
      </c>
      <c r="J1530" s="1">
        <f t="shared" si="115"/>
        <v>40804</v>
      </c>
      <c r="K1530" s="1">
        <f t="shared" si="116"/>
        <v>10201</v>
      </c>
      <c r="L1530" s="1">
        <f t="shared" si="117"/>
        <v>51005</v>
      </c>
      <c r="M1530" s="1">
        <f t="shared" si="118"/>
        <v>225.84286572747877</v>
      </c>
      <c r="N1530" s="7">
        <f t="shared" si="119"/>
        <v>225.84286572747877</v>
      </c>
    </row>
    <row r="1531" spans="1:14" x14ac:dyDescent="0.25">
      <c r="A1531" t="str">
        <f>"14:15:52.953"</f>
        <v>14:15:52.953</v>
      </c>
      <c r="B1531">
        <v>39.654421999999997</v>
      </c>
      <c r="C1531">
        <v>-76.326312999999999</v>
      </c>
      <c r="D1531">
        <v>6300</v>
      </c>
      <c r="E1531">
        <v>6450</v>
      </c>
      <c r="F1531">
        <v>201</v>
      </c>
      <c r="G1531">
        <v>101</v>
      </c>
      <c r="H1531">
        <v>-1408</v>
      </c>
      <c r="J1531" s="1">
        <f t="shared" si="115"/>
        <v>40401</v>
      </c>
      <c r="K1531" s="1">
        <f t="shared" si="116"/>
        <v>10201</v>
      </c>
      <c r="L1531" s="1">
        <f t="shared" si="117"/>
        <v>50602</v>
      </c>
      <c r="M1531" s="1">
        <f t="shared" si="118"/>
        <v>224.94888308235718</v>
      </c>
      <c r="N1531" s="7">
        <f t="shared" si="119"/>
        <v>224.94888308235718</v>
      </c>
    </row>
    <row r="1532" spans="1:14" x14ac:dyDescent="0.25">
      <c r="A1532" t="str">
        <f>"14:15:53.961"</f>
        <v>14:15:53.961</v>
      </c>
      <c r="B1532">
        <v>39.654958000000001</v>
      </c>
      <c r="C1532">
        <v>-76.325004000000007</v>
      </c>
      <c r="D1532">
        <v>6200</v>
      </c>
      <c r="E1532">
        <v>6425</v>
      </c>
      <c r="F1532">
        <v>200</v>
      </c>
      <c r="G1532">
        <v>101</v>
      </c>
      <c r="H1532">
        <v>-1408</v>
      </c>
      <c r="J1532" s="1">
        <f t="shared" si="115"/>
        <v>40000</v>
      </c>
      <c r="K1532" s="1">
        <f t="shared" si="116"/>
        <v>10201</v>
      </c>
      <c r="L1532" s="1">
        <f t="shared" si="117"/>
        <v>50201</v>
      </c>
      <c r="M1532" s="1">
        <f t="shared" si="118"/>
        <v>224.05579662218071</v>
      </c>
      <c r="N1532" s="7">
        <f t="shared" si="119"/>
        <v>224.05579662218071</v>
      </c>
    </row>
    <row r="1533" spans="1:14" x14ac:dyDescent="0.25">
      <c r="A1533" t="str">
        <f>"14:15:55.070"</f>
        <v>14:15:55.070</v>
      </c>
      <c r="B1533">
        <v>39.655430000000003</v>
      </c>
      <c r="C1533">
        <v>-76.323780999999997</v>
      </c>
      <c r="D1533">
        <v>6200</v>
      </c>
      <c r="E1533">
        <v>6400</v>
      </c>
      <c r="F1533">
        <v>199</v>
      </c>
      <c r="G1533">
        <v>100</v>
      </c>
      <c r="H1533">
        <v>-1344</v>
      </c>
      <c r="J1533" s="1">
        <f t="shared" si="115"/>
        <v>39601</v>
      </c>
      <c r="K1533" s="1">
        <f t="shared" si="116"/>
        <v>10000</v>
      </c>
      <c r="L1533" s="1">
        <f t="shared" si="117"/>
        <v>49601</v>
      </c>
      <c r="M1533" s="1">
        <f t="shared" si="118"/>
        <v>222.71281956816046</v>
      </c>
      <c r="N1533" s="7">
        <f t="shared" si="119"/>
        <v>222.71281956816046</v>
      </c>
    </row>
    <row r="1534" spans="1:14" x14ac:dyDescent="0.25">
      <c r="A1534" t="str">
        <f>"14:15:56.180"</f>
        <v>14:15:56.180</v>
      </c>
      <c r="B1534">
        <v>39.655988000000001</v>
      </c>
      <c r="C1534">
        <v>-76.322385999999995</v>
      </c>
      <c r="D1534">
        <v>6200</v>
      </c>
      <c r="E1534">
        <v>6375</v>
      </c>
      <c r="F1534">
        <v>197</v>
      </c>
      <c r="G1534">
        <v>100</v>
      </c>
      <c r="H1534">
        <v>-1408</v>
      </c>
      <c r="J1534" s="1">
        <f t="shared" si="115"/>
        <v>38809</v>
      </c>
      <c r="K1534" s="1">
        <f t="shared" si="116"/>
        <v>10000</v>
      </c>
      <c r="L1534" s="1">
        <f t="shared" si="117"/>
        <v>48809</v>
      </c>
      <c r="M1534" s="1">
        <f t="shared" si="118"/>
        <v>220.92758994747578</v>
      </c>
      <c r="N1534" s="7">
        <f t="shared" si="119"/>
        <v>220.92758994747578</v>
      </c>
    </row>
    <row r="1535" spans="1:14" x14ac:dyDescent="0.25">
      <c r="A1535" t="str">
        <f>"14:15:57.094"</f>
        <v>14:15:57.094</v>
      </c>
      <c r="B1535">
        <v>39.656353000000003</v>
      </c>
      <c r="C1535">
        <v>-76.321464000000006</v>
      </c>
      <c r="D1535">
        <v>6200</v>
      </c>
      <c r="E1535">
        <v>6350</v>
      </c>
      <c r="F1535">
        <v>196</v>
      </c>
      <c r="G1535">
        <v>101</v>
      </c>
      <c r="H1535">
        <v>-1472</v>
      </c>
      <c r="J1535" s="1">
        <f t="shared" si="115"/>
        <v>38416</v>
      </c>
      <c r="K1535" s="1">
        <f t="shared" si="116"/>
        <v>10201</v>
      </c>
      <c r="L1535" s="1">
        <f t="shared" si="117"/>
        <v>48617</v>
      </c>
      <c r="M1535" s="1">
        <f t="shared" si="118"/>
        <v>220.49263026232873</v>
      </c>
      <c r="N1535" s="7">
        <f t="shared" si="119"/>
        <v>220.49263026232873</v>
      </c>
    </row>
    <row r="1536" spans="1:14" x14ac:dyDescent="0.25">
      <c r="A1536" t="str">
        <f>"14:15:58.203"</f>
        <v>14:15:58.203</v>
      </c>
      <c r="B1536">
        <v>39.656911000000001</v>
      </c>
      <c r="C1536">
        <v>-76.320069000000004</v>
      </c>
      <c r="D1536">
        <v>6100</v>
      </c>
      <c r="E1536">
        <v>6425</v>
      </c>
      <c r="F1536">
        <v>195</v>
      </c>
      <c r="G1536">
        <v>101</v>
      </c>
      <c r="H1536">
        <v>-1600</v>
      </c>
      <c r="J1536" s="1">
        <f t="shared" si="115"/>
        <v>38025</v>
      </c>
      <c r="K1536" s="1">
        <f t="shared" si="116"/>
        <v>10201</v>
      </c>
      <c r="L1536" s="1">
        <f t="shared" si="117"/>
        <v>48226</v>
      </c>
      <c r="M1536" s="1">
        <f t="shared" si="118"/>
        <v>219.60418939537561</v>
      </c>
      <c r="N1536" s="7">
        <f t="shared" si="119"/>
        <v>219.60418939537561</v>
      </c>
    </row>
    <row r="1537" spans="1:14" x14ac:dyDescent="0.25">
      <c r="A1537" t="str">
        <f>"14:15:59.109"</f>
        <v>14:15:59.109</v>
      </c>
      <c r="B1537">
        <v>39.657339999999998</v>
      </c>
      <c r="C1537">
        <v>-76.318973999999997</v>
      </c>
      <c r="D1537">
        <v>6100</v>
      </c>
      <c r="E1537">
        <v>6300</v>
      </c>
      <c r="F1537">
        <v>194</v>
      </c>
      <c r="G1537">
        <v>101</v>
      </c>
      <c r="H1537">
        <v>-1664</v>
      </c>
      <c r="J1537" s="1">
        <f t="shared" si="115"/>
        <v>37636</v>
      </c>
      <c r="K1537" s="1">
        <f t="shared" si="116"/>
        <v>10201</v>
      </c>
      <c r="L1537" s="1">
        <f t="shared" si="117"/>
        <v>47837</v>
      </c>
      <c r="M1537" s="1">
        <f t="shared" si="118"/>
        <v>218.7167117528974</v>
      </c>
      <c r="N1537" s="7">
        <f t="shared" si="119"/>
        <v>218.7167117528974</v>
      </c>
    </row>
    <row r="1538" spans="1:14" x14ac:dyDescent="0.25">
      <c r="A1538" t="str">
        <f>"14:16:00.117"</f>
        <v>14:16:00.117</v>
      </c>
      <c r="B1538">
        <v>39.657812</v>
      </c>
      <c r="C1538">
        <v>-76.317836999999997</v>
      </c>
      <c r="D1538">
        <v>6100</v>
      </c>
      <c r="E1538">
        <v>6275</v>
      </c>
      <c r="F1538">
        <v>194</v>
      </c>
      <c r="G1538">
        <v>101</v>
      </c>
      <c r="H1538">
        <v>-1728</v>
      </c>
      <c r="J1538" s="1">
        <f t="shared" si="115"/>
        <v>37636</v>
      </c>
      <c r="K1538" s="1">
        <f t="shared" si="116"/>
        <v>10201</v>
      </c>
      <c r="L1538" s="1">
        <f t="shared" si="117"/>
        <v>47837</v>
      </c>
      <c r="M1538" s="1">
        <f t="shared" si="118"/>
        <v>218.7167117528974</v>
      </c>
      <c r="N1538" s="7">
        <f t="shared" si="119"/>
        <v>218.7167117528974</v>
      </c>
    </row>
    <row r="1539" spans="1:14" x14ac:dyDescent="0.25">
      <c r="A1539" t="str">
        <f>"14:16:01.078"</f>
        <v>14:16:01.078</v>
      </c>
      <c r="B1539">
        <v>39.65822</v>
      </c>
      <c r="C1539">
        <v>-76.316764000000006</v>
      </c>
      <c r="D1539">
        <v>6000</v>
      </c>
      <c r="E1539">
        <v>6225</v>
      </c>
      <c r="F1539">
        <v>193</v>
      </c>
      <c r="G1539">
        <v>101</v>
      </c>
      <c r="H1539">
        <v>-1856</v>
      </c>
      <c r="J1539" s="1">
        <f t="shared" ref="J1539:J1602" si="120">F1539^2</f>
        <v>37249</v>
      </c>
      <c r="K1539" s="1">
        <f t="shared" ref="K1539:K1602" si="121">G1539^2</f>
        <v>10201</v>
      </c>
      <c r="L1539" s="1">
        <f t="shared" ref="L1539:L1602" si="122">SUMSQ(F1539,G1539)</f>
        <v>47450</v>
      </c>
      <c r="M1539" s="1">
        <f t="shared" ref="M1539:M1602" si="123">SQRT(L1539)</f>
        <v>217.83020910791964</v>
      </c>
      <c r="N1539" s="7">
        <f t="shared" ref="N1539:N1602" si="124">M1539</f>
        <v>217.83020910791964</v>
      </c>
    </row>
    <row r="1540" spans="1:14" x14ac:dyDescent="0.25">
      <c r="A1540" t="str">
        <f>"14:16:02.039"</f>
        <v>14:16:02.039</v>
      </c>
      <c r="B1540">
        <v>39.658692000000002</v>
      </c>
      <c r="C1540">
        <v>-76.315669999999997</v>
      </c>
      <c r="D1540">
        <v>6000</v>
      </c>
      <c r="E1540">
        <v>6200</v>
      </c>
      <c r="F1540">
        <v>192</v>
      </c>
      <c r="G1540">
        <v>102</v>
      </c>
      <c r="H1540">
        <v>-1920</v>
      </c>
      <c r="J1540" s="1">
        <f t="shared" si="120"/>
        <v>36864</v>
      </c>
      <c r="K1540" s="1">
        <f t="shared" si="121"/>
        <v>10404</v>
      </c>
      <c r="L1540" s="1">
        <f t="shared" si="122"/>
        <v>47268</v>
      </c>
      <c r="M1540" s="1">
        <f t="shared" si="123"/>
        <v>217.41205118392128</v>
      </c>
      <c r="N1540" s="7">
        <f t="shared" si="124"/>
        <v>217.41205118392128</v>
      </c>
    </row>
    <row r="1541" spans="1:14" x14ac:dyDescent="0.25">
      <c r="A1541" t="str">
        <f>"14:16:02.945"</f>
        <v>14:16:02.945</v>
      </c>
      <c r="B1541">
        <v>39.659142000000003</v>
      </c>
      <c r="C1541">
        <v>-76.314618999999993</v>
      </c>
      <c r="D1541">
        <v>6000</v>
      </c>
      <c r="E1541">
        <v>6175</v>
      </c>
      <c r="F1541">
        <v>191</v>
      </c>
      <c r="G1541">
        <v>102</v>
      </c>
      <c r="H1541">
        <v>-1920</v>
      </c>
      <c r="J1541" s="1">
        <f t="shared" si="120"/>
        <v>36481</v>
      </c>
      <c r="K1541" s="1">
        <f t="shared" si="121"/>
        <v>10404</v>
      </c>
      <c r="L1541" s="1">
        <f t="shared" si="122"/>
        <v>46885</v>
      </c>
      <c r="M1541" s="1">
        <f t="shared" si="123"/>
        <v>216.52944372532804</v>
      </c>
      <c r="N1541" s="7">
        <f t="shared" si="124"/>
        <v>216.52944372532804</v>
      </c>
    </row>
    <row r="1542" spans="1:14" x14ac:dyDescent="0.25">
      <c r="A1542" t="str">
        <f>"14:16:03.906"</f>
        <v>14:16:03.906</v>
      </c>
      <c r="B1542">
        <v>39.659593000000001</v>
      </c>
      <c r="C1542">
        <v>-76.313480999999996</v>
      </c>
      <c r="D1542">
        <v>6000</v>
      </c>
      <c r="E1542">
        <v>6150</v>
      </c>
      <c r="F1542">
        <v>191</v>
      </c>
      <c r="G1542">
        <v>102</v>
      </c>
      <c r="H1542">
        <v>-1920</v>
      </c>
      <c r="J1542" s="1">
        <f t="shared" si="120"/>
        <v>36481</v>
      </c>
      <c r="K1542" s="1">
        <f t="shared" si="121"/>
        <v>10404</v>
      </c>
      <c r="L1542" s="1">
        <f t="shared" si="122"/>
        <v>46885</v>
      </c>
      <c r="M1542" s="1">
        <f t="shared" si="123"/>
        <v>216.52944372532804</v>
      </c>
      <c r="N1542" s="7">
        <f t="shared" si="124"/>
        <v>216.52944372532804</v>
      </c>
    </row>
    <row r="1543" spans="1:14" x14ac:dyDescent="0.25">
      <c r="A1543" t="str">
        <f>"14:16:04.859"</f>
        <v>14:16:04.859</v>
      </c>
      <c r="B1543">
        <v>39.660043999999999</v>
      </c>
      <c r="C1543">
        <v>-76.312430000000006</v>
      </c>
      <c r="D1543">
        <v>5900</v>
      </c>
      <c r="E1543">
        <v>6125</v>
      </c>
      <c r="F1543">
        <v>191</v>
      </c>
      <c r="G1543">
        <v>102</v>
      </c>
      <c r="H1543">
        <v>-1920</v>
      </c>
      <c r="J1543" s="1">
        <f t="shared" si="120"/>
        <v>36481</v>
      </c>
      <c r="K1543" s="1">
        <f t="shared" si="121"/>
        <v>10404</v>
      </c>
      <c r="L1543" s="1">
        <f t="shared" si="122"/>
        <v>46885</v>
      </c>
      <c r="M1543" s="1">
        <f t="shared" si="123"/>
        <v>216.52944372532804</v>
      </c>
      <c r="N1543" s="7">
        <f t="shared" si="124"/>
        <v>216.52944372532804</v>
      </c>
    </row>
    <row r="1544" spans="1:14" x14ac:dyDescent="0.25">
      <c r="A1544" t="str">
        <f>"14:16:05.922"</f>
        <v>14:16:05.922</v>
      </c>
      <c r="B1544">
        <v>39.660558999999999</v>
      </c>
      <c r="C1544">
        <v>-76.311206999999996</v>
      </c>
      <c r="D1544">
        <v>5900</v>
      </c>
      <c r="E1544">
        <v>6075</v>
      </c>
      <c r="F1544">
        <v>190</v>
      </c>
      <c r="G1544">
        <v>103</v>
      </c>
      <c r="H1544">
        <v>-1920</v>
      </c>
      <c r="J1544" s="1">
        <f t="shared" si="120"/>
        <v>36100</v>
      </c>
      <c r="K1544" s="1">
        <f t="shared" si="121"/>
        <v>10609</v>
      </c>
      <c r="L1544" s="1">
        <f t="shared" si="122"/>
        <v>46709</v>
      </c>
      <c r="M1544" s="1">
        <f t="shared" si="123"/>
        <v>216.12265036316762</v>
      </c>
      <c r="N1544" s="7">
        <f t="shared" si="124"/>
        <v>216.12265036316762</v>
      </c>
    </row>
    <row r="1545" spans="1:14" x14ac:dyDescent="0.25">
      <c r="A1545" t="str">
        <f>"14:16:06.883"</f>
        <v>14:16:06.883</v>
      </c>
      <c r="B1545">
        <v>39.660966000000002</v>
      </c>
      <c r="C1545">
        <v>-76.310176999999996</v>
      </c>
      <c r="D1545">
        <v>5800</v>
      </c>
      <c r="E1545">
        <v>6075</v>
      </c>
      <c r="F1545">
        <v>189</v>
      </c>
      <c r="G1545">
        <v>103</v>
      </c>
      <c r="H1545">
        <v>-1920</v>
      </c>
      <c r="J1545" s="1">
        <f t="shared" si="120"/>
        <v>35721</v>
      </c>
      <c r="K1545" s="1">
        <f t="shared" si="121"/>
        <v>10609</v>
      </c>
      <c r="L1545" s="1">
        <f t="shared" si="122"/>
        <v>46330</v>
      </c>
      <c r="M1545" s="1">
        <f t="shared" si="123"/>
        <v>215.24404753674375</v>
      </c>
      <c r="N1545" s="7">
        <f t="shared" si="124"/>
        <v>215.24404753674375</v>
      </c>
    </row>
    <row r="1546" spans="1:14" x14ac:dyDescent="0.25">
      <c r="A1546" t="str">
        <f>"14:16:07.992"</f>
        <v>14:16:07.992</v>
      </c>
      <c r="B1546">
        <v>39.661524</v>
      </c>
      <c r="C1546">
        <v>-76.308846000000003</v>
      </c>
      <c r="D1546">
        <v>5800</v>
      </c>
      <c r="E1546">
        <v>6025</v>
      </c>
      <c r="F1546">
        <v>188</v>
      </c>
      <c r="G1546">
        <v>103</v>
      </c>
      <c r="H1546">
        <v>-1920</v>
      </c>
      <c r="J1546" s="1">
        <f t="shared" si="120"/>
        <v>35344</v>
      </c>
      <c r="K1546" s="1">
        <f t="shared" si="121"/>
        <v>10609</v>
      </c>
      <c r="L1546" s="1">
        <f t="shared" si="122"/>
        <v>45953</v>
      </c>
      <c r="M1546" s="1">
        <f t="shared" si="123"/>
        <v>214.36650857818253</v>
      </c>
      <c r="N1546" s="7">
        <f t="shared" si="124"/>
        <v>214.36650857818253</v>
      </c>
    </row>
    <row r="1547" spans="1:14" x14ac:dyDescent="0.25">
      <c r="A1547" t="str">
        <f>"14:16:09.000"</f>
        <v>14:16:09.000</v>
      </c>
      <c r="B1547">
        <v>39.662039</v>
      </c>
      <c r="C1547">
        <v>-76.307687999999999</v>
      </c>
      <c r="D1547">
        <v>5800</v>
      </c>
      <c r="E1547">
        <v>5975</v>
      </c>
      <c r="F1547">
        <v>188</v>
      </c>
      <c r="G1547">
        <v>103</v>
      </c>
      <c r="H1547">
        <v>-1856</v>
      </c>
      <c r="J1547" s="1">
        <f t="shared" si="120"/>
        <v>35344</v>
      </c>
      <c r="K1547" s="1">
        <f t="shared" si="121"/>
        <v>10609</v>
      </c>
      <c r="L1547" s="1">
        <f t="shared" si="122"/>
        <v>45953</v>
      </c>
      <c r="M1547" s="1">
        <f t="shared" si="123"/>
        <v>214.36650857818253</v>
      </c>
      <c r="N1547" s="7">
        <f t="shared" si="124"/>
        <v>214.36650857818253</v>
      </c>
    </row>
    <row r="1548" spans="1:14" x14ac:dyDescent="0.25">
      <c r="A1548" t="str">
        <f>"14:16:10.008"</f>
        <v>14:16:10.008</v>
      </c>
      <c r="B1548">
        <v>39.662511000000002</v>
      </c>
      <c r="C1548">
        <v>-76.306572000000003</v>
      </c>
      <c r="D1548">
        <v>5800</v>
      </c>
      <c r="E1548">
        <v>5950</v>
      </c>
      <c r="F1548">
        <v>187</v>
      </c>
      <c r="G1548">
        <v>103</v>
      </c>
      <c r="H1548">
        <v>-1856</v>
      </c>
      <c r="J1548" s="1">
        <f t="shared" si="120"/>
        <v>34969</v>
      </c>
      <c r="K1548" s="1">
        <f t="shared" si="121"/>
        <v>10609</v>
      </c>
      <c r="L1548" s="1">
        <f t="shared" si="122"/>
        <v>45578</v>
      </c>
      <c r="M1548" s="1">
        <f t="shared" si="123"/>
        <v>213.49004660639335</v>
      </c>
      <c r="N1548" s="7">
        <f t="shared" si="124"/>
        <v>213.49004660639335</v>
      </c>
    </row>
    <row r="1549" spans="1:14" x14ac:dyDescent="0.25">
      <c r="A1549" t="str">
        <f>"14:16:10.969"</f>
        <v>14:16:10.969</v>
      </c>
      <c r="B1549">
        <v>39.662941000000004</v>
      </c>
      <c r="C1549">
        <v>-76.305605999999997</v>
      </c>
      <c r="D1549">
        <v>5700</v>
      </c>
      <c r="E1549">
        <v>5925</v>
      </c>
      <c r="F1549">
        <v>187</v>
      </c>
      <c r="G1549">
        <v>103</v>
      </c>
      <c r="H1549">
        <v>-1856</v>
      </c>
      <c r="J1549" s="1">
        <f t="shared" si="120"/>
        <v>34969</v>
      </c>
      <c r="K1549" s="1">
        <f t="shared" si="121"/>
        <v>10609</v>
      </c>
      <c r="L1549" s="1">
        <f t="shared" si="122"/>
        <v>45578</v>
      </c>
      <c r="M1549" s="1">
        <f t="shared" si="123"/>
        <v>213.49004660639335</v>
      </c>
      <c r="N1549" s="7">
        <f t="shared" si="124"/>
        <v>213.49004660639335</v>
      </c>
    </row>
    <row r="1550" spans="1:14" x14ac:dyDescent="0.25">
      <c r="A1550" t="str">
        <f>"14:16:11.977"</f>
        <v>14:16:11.977</v>
      </c>
      <c r="B1550">
        <v>39.663477</v>
      </c>
      <c r="C1550">
        <v>-76.304319000000007</v>
      </c>
      <c r="D1550">
        <v>5700</v>
      </c>
      <c r="E1550">
        <v>5900</v>
      </c>
      <c r="F1550">
        <v>187</v>
      </c>
      <c r="G1550">
        <v>103</v>
      </c>
      <c r="H1550">
        <v>-1856</v>
      </c>
      <c r="J1550" s="1">
        <f t="shared" si="120"/>
        <v>34969</v>
      </c>
      <c r="K1550" s="1">
        <f t="shared" si="121"/>
        <v>10609</v>
      </c>
      <c r="L1550" s="1">
        <f t="shared" si="122"/>
        <v>45578</v>
      </c>
      <c r="M1550" s="1">
        <f t="shared" si="123"/>
        <v>213.49004660639335</v>
      </c>
      <c r="N1550" s="7">
        <f t="shared" si="124"/>
        <v>213.49004660639335</v>
      </c>
    </row>
    <row r="1551" spans="1:14" x14ac:dyDescent="0.25">
      <c r="A1551" t="str">
        <f>"14:16:12.992"</f>
        <v>14:16:12.992</v>
      </c>
      <c r="B1551">
        <v>39.663949000000002</v>
      </c>
      <c r="C1551">
        <v>-76.303224999999998</v>
      </c>
      <c r="D1551">
        <v>5700</v>
      </c>
      <c r="E1551">
        <v>5850</v>
      </c>
      <c r="F1551">
        <v>186</v>
      </c>
      <c r="G1551">
        <v>103</v>
      </c>
      <c r="H1551">
        <v>-1792</v>
      </c>
      <c r="J1551" s="1">
        <f t="shared" si="120"/>
        <v>34596</v>
      </c>
      <c r="K1551" s="1">
        <f t="shared" si="121"/>
        <v>10609</v>
      </c>
      <c r="L1551" s="1">
        <f t="shared" si="122"/>
        <v>45205</v>
      </c>
      <c r="M1551" s="1">
        <f t="shared" si="123"/>
        <v>212.61467494037188</v>
      </c>
      <c r="N1551" s="7">
        <f t="shared" si="124"/>
        <v>212.61467494037188</v>
      </c>
    </row>
    <row r="1552" spans="1:14" x14ac:dyDescent="0.25">
      <c r="A1552" t="str">
        <f>"14:16:14.148"</f>
        <v>14:16:14.148</v>
      </c>
      <c r="B1552">
        <v>39.664484999999999</v>
      </c>
      <c r="C1552">
        <v>-76.302023000000005</v>
      </c>
      <c r="D1552">
        <v>5600</v>
      </c>
      <c r="E1552">
        <v>5825</v>
      </c>
      <c r="F1552">
        <v>186</v>
      </c>
      <c r="G1552">
        <v>103</v>
      </c>
      <c r="H1552">
        <v>-1792</v>
      </c>
      <c r="J1552" s="1">
        <f t="shared" si="120"/>
        <v>34596</v>
      </c>
      <c r="K1552" s="1">
        <f t="shared" si="121"/>
        <v>10609</v>
      </c>
      <c r="L1552" s="1">
        <f t="shared" si="122"/>
        <v>45205</v>
      </c>
      <c r="M1552" s="1">
        <f t="shared" si="123"/>
        <v>212.61467494037188</v>
      </c>
      <c r="N1552" s="7">
        <f t="shared" si="124"/>
        <v>212.61467494037188</v>
      </c>
    </row>
    <row r="1553" spans="1:14" x14ac:dyDescent="0.25">
      <c r="A1553" t="str">
        <f>"14:16:14.906"</f>
        <v>14:16:14.906</v>
      </c>
      <c r="B1553">
        <v>39.664850000000001</v>
      </c>
      <c r="C1553">
        <v>-76.301122000000007</v>
      </c>
      <c r="D1553">
        <v>5600</v>
      </c>
      <c r="E1553">
        <v>5800</v>
      </c>
      <c r="F1553">
        <v>186</v>
      </c>
      <c r="G1553">
        <v>102</v>
      </c>
      <c r="H1553">
        <v>-1728</v>
      </c>
      <c r="J1553" s="1">
        <f t="shared" si="120"/>
        <v>34596</v>
      </c>
      <c r="K1553" s="1">
        <f t="shared" si="121"/>
        <v>10404</v>
      </c>
      <c r="L1553" s="1">
        <f t="shared" si="122"/>
        <v>45000</v>
      </c>
      <c r="M1553" s="1">
        <f t="shared" si="123"/>
        <v>212.13203435596427</v>
      </c>
      <c r="N1553" s="7">
        <f t="shared" si="124"/>
        <v>212.13203435596427</v>
      </c>
    </row>
    <row r="1554" spans="1:14" x14ac:dyDescent="0.25">
      <c r="A1554" t="str">
        <f>"14:16:16.016"</f>
        <v>14:16:16.016</v>
      </c>
      <c r="B1554">
        <v>39.665343999999997</v>
      </c>
      <c r="C1554">
        <v>-76.299856000000005</v>
      </c>
      <c r="D1554">
        <v>5600</v>
      </c>
      <c r="E1554">
        <v>5775</v>
      </c>
      <c r="F1554">
        <v>185</v>
      </c>
      <c r="G1554">
        <v>102</v>
      </c>
      <c r="H1554">
        <v>-1728</v>
      </c>
      <c r="J1554" s="1">
        <f t="shared" si="120"/>
        <v>34225</v>
      </c>
      <c r="K1554" s="1">
        <f t="shared" si="121"/>
        <v>10404</v>
      </c>
      <c r="L1554" s="1">
        <f t="shared" si="122"/>
        <v>44629</v>
      </c>
      <c r="M1554" s="1">
        <f t="shared" si="123"/>
        <v>211.25576915199264</v>
      </c>
      <c r="N1554" s="7">
        <f t="shared" si="124"/>
        <v>211.25576915199264</v>
      </c>
    </row>
    <row r="1555" spans="1:14" x14ac:dyDescent="0.25">
      <c r="A1555" t="str">
        <f>"14:16:16.875"</f>
        <v>14:16:16.875</v>
      </c>
      <c r="B1555">
        <v>39.665773000000002</v>
      </c>
      <c r="C1555">
        <v>-76.298912000000001</v>
      </c>
      <c r="D1555">
        <v>5500</v>
      </c>
      <c r="E1555">
        <v>5750</v>
      </c>
      <c r="F1555">
        <v>185</v>
      </c>
      <c r="G1555">
        <v>102</v>
      </c>
      <c r="H1555">
        <v>-1728</v>
      </c>
      <c r="J1555" s="1">
        <f t="shared" si="120"/>
        <v>34225</v>
      </c>
      <c r="K1555" s="1">
        <f t="shared" si="121"/>
        <v>10404</v>
      </c>
      <c r="L1555" s="1">
        <f t="shared" si="122"/>
        <v>44629</v>
      </c>
      <c r="M1555" s="1">
        <f t="shared" si="123"/>
        <v>211.25576915199264</v>
      </c>
      <c r="N1555" s="7">
        <f t="shared" si="124"/>
        <v>211.25576915199264</v>
      </c>
    </row>
    <row r="1556" spans="1:14" x14ac:dyDescent="0.25">
      <c r="A1556" t="str">
        <f>"14:16:17.938"</f>
        <v>14:16:17.938</v>
      </c>
      <c r="B1556">
        <v>39.666266</v>
      </c>
      <c r="C1556">
        <v>-76.297774000000004</v>
      </c>
      <c r="D1556">
        <v>5500</v>
      </c>
      <c r="E1556">
        <v>5725</v>
      </c>
      <c r="F1556">
        <v>185</v>
      </c>
      <c r="G1556">
        <v>101</v>
      </c>
      <c r="H1556">
        <v>-1728</v>
      </c>
      <c r="J1556" s="1">
        <f t="shared" si="120"/>
        <v>34225</v>
      </c>
      <c r="K1556" s="1">
        <f t="shared" si="121"/>
        <v>10201</v>
      </c>
      <c r="L1556" s="1">
        <f t="shared" si="122"/>
        <v>44426</v>
      </c>
      <c r="M1556" s="1">
        <f t="shared" si="123"/>
        <v>210.77476129745705</v>
      </c>
      <c r="N1556" s="7">
        <f t="shared" si="124"/>
        <v>210.77476129745705</v>
      </c>
    </row>
    <row r="1557" spans="1:14" x14ac:dyDescent="0.25">
      <c r="A1557" t="str">
        <f>"14:16:18.891"</f>
        <v>14:16:18.891</v>
      </c>
      <c r="B1557">
        <v>39.666739</v>
      </c>
      <c r="C1557">
        <v>-76.296700999999999</v>
      </c>
      <c r="D1557">
        <v>5500</v>
      </c>
      <c r="E1557">
        <v>5700</v>
      </c>
      <c r="F1557">
        <v>184</v>
      </c>
      <c r="G1557">
        <v>101</v>
      </c>
      <c r="H1557">
        <v>-1728</v>
      </c>
      <c r="J1557" s="1">
        <f t="shared" si="120"/>
        <v>33856</v>
      </c>
      <c r="K1557" s="1">
        <f t="shared" si="121"/>
        <v>10201</v>
      </c>
      <c r="L1557" s="1">
        <f t="shared" si="122"/>
        <v>44057</v>
      </c>
      <c r="M1557" s="1">
        <f t="shared" si="123"/>
        <v>209.89759407863636</v>
      </c>
      <c r="N1557" s="7">
        <f t="shared" si="124"/>
        <v>209.89759407863636</v>
      </c>
    </row>
    <row r="1558" spans="1:14" x14ac:dyDescent="0.25">
      <c r="A1558" t="str">
        <f>"14:16:19.953"</f>
        <v>14:16:19.953</v>
      </c>
      <c r="B1558">
        <v>39.667189</v>
      </c>
      <c r="C1558">
        <v>-76.295563999999999</v>
      </c>
      <c r="D1558">
        <v>5500</v>
      </c>
      <c r="E1558">
        <v>5650</v>
      </c>
      <c r="F1558">
        <v>184</v>
      </c>
      <c r="G1558">
        <v>100</v>
      </c>
      <c r="H1558">
        <v>-1728</v>
      </c>
      <c r="J1558" s="1">
        <f t="shared" si="120"/>
        <v>33856</v>
      </c>
      <c r="K1558" s="1">
        <f t="shared" si="121"/>
        <v>10000</v>
      </c>
      <c r="L1558" s="1">
        <f t="shared" si="122"/>
        <v>43856</v>
      </c>
      <c r="M1558" s="1">
        <f t="shared" si="123"/>
        <v>209.41824180333478</v>
      </c>
      <c r="N1558" s="7">
        <f t="shared" si="124"/>
        <v>209.41824180333478</v>
      </c>
    </row>
    <row r="1559" spans="1:14" x14ac:dyDescent="0.25">
      <c r="A1559" t="str">
        <f>"14:16:20.914"</f>
        <v>14:16:20.914</v>
      </c>
      <c r="B1559">
        <v>39.667639999999999</v>
      </c>
      <c r="C1559">
        <v>-76.294490999999994</v>
      </c>
      <c r="D1559">
        <v>5400</v>
      </c>
      <c r="E1559">
        <v>5625</v>
      </c>
      <c r="F1559">
        <v>184</v>
      </c>
      <c r="G1559">
        <v>99</v>
      </c>
      <c r="H1559">
        <v>-1728</v>
      </c>
      <c r="J1559" s="1">
        <f t="shared" si="120"/>
        <v>33856</v>
      </c>
      <c r="K1559" s="1">
        <f t="shared" si="121"/>
        <v>9801</v>
      </c>
      <c r="L1559" s="1">
        <f t="shared" si="122"/>
        <v>43657</v>
      </c>
      <c r="M1559" s="1">
        <f t="shared" si="123"/>
        <v>208.94257584322062</v>
      </c>
      <c r="N1559" s="7">
        <f t="shared" si="124"/>
        <v>208.94257584322062</v>
      </c>
    </row>
    <row r="1560" spans="1:14" x14ac:dyDescent="0.25">
      <c r="A1560" t="str">
        <f>"14:16:21.875"</f>
        <v>14:16:21.875</v>
      </c>
      <c r="B1560">
        <v>39.668047000000001</v>
      </c>
      <c r="C1560">
        <v>-76.293460999999994</v>
      </c>
      <c r="D1560">
        <v>5400</v>
      </c>
      <c r="E1560">
        <v>5600</v>
      </c>
      <c r="F1560">
        <v>184</v>
      </c>
      <c r="G1560">
        <v>99</v>
      </c>
      <c r="H1560">
        <v>-1728</v>
      </c>
      <c r="J1560" s="1">
        <f t="shared" si="120"/>
        <v>33856</v>
      </c>
      <c r="K1560" s="1">
        <f t="shared" si="121"/>
        <v>9801</v>
      </c>
      <c r="L1560" s="1">
        <f t="shared" si="122"/>
        <v>43657</v>
      </c>
      <c r="M1560" s="1">
        <f t="shared" si="123"/>
        <v>208.94257584322062</v>
      </c>
      <c r="N1560" s="7">
        <f t="shared" si="124"/>
        <v>208.94257584322062</v>
      </c>
    </row>
    <row r="1561" spans="1:14" x14ac:dyDescent="0.25">
      <c r="A1561" t="str">
        <f>"14:16:22.727"</f>
        <v>14:16:22.727</v>
      </c>
      <c r="B1561">
        <v>39.668477000000003</v>
      </c>
      <c r="C1561">
        <v>-76.292473999999999</v>
      </c>
      <c r="D1561">
        <v>5400</v>
      </c>
      <c r="E1561">
        <v>5575</v>
      </c>
      <c r="F1561">
        <v>184</v>
      </c>
      <c r="G1561">
        <v>98</v>
      </c>
      <c r="H1561">
        <v>-1728</v>
      </c>
      <c r="J1561" s="1">
        <f t="shared" si="120"/>
        <v>33856</v>
      </c>
      <c r="K1561" s="1">
        <f t="shared" si="121"/>
        <v>9604</v>
      </c>
      <c r="L1561" s="1">
        <f t="shared" si="122"/>
        <v>43460</v>
      </c>
      <c r="M1561" s="1">
        <f t="shared" si="123"/>
        <v>208.47062143141417</v>
      </c>
      <c r="N1561" s="7">
        <f t="shared" si="124"/>
        <v>208.47062143141417</v>
      </c>
    </row>
    <row r="1562" spans="1:14" x14ac:dyDescent="0.25">
      <c r="A1562" t="str">
        <f>"14:16:23.742"</f>
        <v>14:16:23.742</v>
      </c>
      <c r="B1562">
        <v>39.668926999999996</v>
      </c>
      <c r="C1562">
        <v>-76.291400999999993</v>
      </c>
      <c r="D1562">
        <v>5300</v>
      </c>
      <c r="E1562">
        <v>5550</v>
      </c>
      <c r="F1562">
        <v>184</v>
      </c>
      <c r="G1562">
        <v>98</v>
      </c>
      <c r="H1562">
        <v>-1728</v>
      </c>
      <c r="J1562" s="1">
        <f t="shared" si="120"/>
        <v>33856</v>
      </c>
      <c r="K1562" s="1">
        <f t="shared" si="121"/>
        <v>9604</v>
      </c>
      <c r="L1562" s="1">
        <f t="shared" si="122"/>
        <v>43460</v>
      </c>
      <c r="M1562" s="1">
        <f t="shared" si="123"/>
        <v>208.47062143141417</v>
      </c>
      <c r="N1562" s="7">
        <f t="shared" si="124"/>
        <v>208.47062143141417</v>
      </c>
    </row>
    <row r="1563" spans="1:14" x14ac:dyDescent="0.25">
      <c r="A1563" t="str">
        <f>"14:16:24.695"</f>
        <v>14:16:24.695</v>
      </c>
      <c r="B1563">
        <v>39.669378000000002</v>
      </c>
      <c r="C1563">
        <v>-76.290306999999999</v>
      </c>
      <c r="D1563">
        <v>5300</v>
      </c>
      <c r="E1563">
        <v>5525</v>
      </c>
      <c r="F1563">
        <v>183</v>
      </c>
      <c r="G1563">
        <v>97</v>
      </c>
      <c r="H1563">
        <v>-1728</v>
      </c>
      <c r="J1563" s="1">
        <f t="shared" si="120"/>
        <v>33489</v>
      </c>
      <c r="K1563" s="1">
        <f t="shared" si="121"/>
        <v>9409</v>
      </c>
      <c r="L1563" s="1">
        <f t="shared" si="122"/>
        <v>42898</v>
      </c>
      <c r="M1563" s="1">
        <f t="shared" si="123"/>
        <v>207.1183236703117</v>
      </c>
      <c r="N1563" s="7">
        <f t="shared" si="124"/>
        <v>207.1183236703117</v>
      </c>
    </row>
    <row r="1564" spans="1:14" x14ac:dyDescent="0.25">
      <c r="A1564" t="str">
        <f>"14:16:25.656"</f>
        <v>14:16:25.656</v>
      </c>
      <c r="B1564">
        <v>39.669764000000001</v>
      </c>
      <c r="C1564">
        <v>-76.289299</v>
      </c>
      <c r="D1564">
        <v>5300</v>
      </c>
      <c r="E1564">
        <v>5500</v>
      </c>
      <c r="F1564">
        <v>183</v>
      </c>
      <c r="G1564">
        <v>97</v>
      </c>
      <c r="H1564">
        <v>-1728</v>
      </c>
      <c r="J1564" s="1">
        <f t="shared" si="120"/>
        <v>33489</v>
      </c>
      <c r="K1564" s="1">
        <f t="shared" si="121"/>
        <v>9409</v>
      </c>
      <c r="L1564" s="1">
        <f t="shared" si="122"/>
        <v>42898</v>
      </c>
      <c r="M1564" s="1">
        <f t="shared" si="123"/>
        <v>207.1183236703117</v>
      </c>
      <c r="N1564" s="7">
        <f t="shared" si="124"/>
        <v>207.1183236703117</v>
      </c>
    </row>
    <row r="1565" spans="1:14" x14ac:dyDescent="0.25">
      <c r="A1565" t="str">
        <f>"14:16:26.516"</f>
        <v>14:16:26.516</v>
      </c>
      <c r="B1565">
        <v>39.670172000000001</v>
      </c>
      <c r="C1565">
        <v>-76.288353999999998</v>
      </c>
      <c r="D1565">
        <v>5300</v>
      </c>
      <c r="E1565">
        <v>5475</v>
      </c>
      <c r="F1565">
        <v>183</v>
      </c>
      <c r="G1565">
        <v>96</v>
      </c>
      <c r="H1565">
        <v>-1728</v>
      </c>
      <c r="J1565" s="1">
        <f t="shared" si="120"/>
        <v>33489</v>
      </c>
      <c r="K1565" s="1">
        <f t="shared" si="121"/>
        <v>9216</v>
      </c>
      <c r="L1565" s="1">
        <f t="shared" si="122"/>
        <v>42705</v>
      </c>
      <c r="M1565" s="1">
        <f t="shared" si="123"/>
        <v>206.65188119153427</v>
      </c>
      <c r="N1565" s="7">
        <f t="shared" si="124"/>
        <v>206.65188119153427</v>
      </c>
    </row>
    <row r="1566" spans="1:14" x14ac:dyDescent="0.25">
      <c r="A1566" t="str">
        <f>"14:16:27.320"</f>
        <v>14:16:27.320</v>
      </c>
      <c r="B1566">
        <v>39.670537000000003</v>
      </c>
      <c r="C1566">
        <v>-76.287452999999999</v>
      </c>
      <c r="D1566">
        <v>5200</v>
      </c>
      <c r="E1566">
        <v>5450</v>
      </c>
      <c r="F1566">
        <v>183</v>
      </c>
      <c r="G1566">
        <v>96</v>
      </c>
      <c r="H1566">
        <v>-1728</v>
      </c>
      <c r="J1566" s="1">
        <f t="shared" si="120"/>
        <v>33489</v>
      </c>
      <c r="K1566" s="1">
        <f t="shared" si="121"/>
        <v>9216</v>
      </c>
      <c r="L1566" s="1">
        <f t="shared" si="122"/>
        <v>42705</v>
      </c>
      <c r="M1566" s="1">
        <f t="shared" si="123"/>
        <v>206.65188119153427</v>
      </c>
      <c r="N1566" s="7">
        <f t="shared" si="124"/>
        <v>206.65188119153427</v>
      </c>
    </row>
    <row r="1567" spans="1:14" x14ac:dyDescent="0.25">
      <c r="A1567" t="str">
        <f>"14:16:28.383"</f>
        <v>14:16:28.383</v>
      </c>
      <c r="B1567">
        <v>39.671030000000002</v>
      </c>
      <c r="C1567">
        <v>-76.286252000000005</v>
      </c>
      <c r="D1567">
        <v>5200</v>
      </c>
      <c r="E1567">
        <v>5425</v>
      </c>
      <c r="F1567">
        <v>183</v>
      </c>
      <c r="G1567">
        <v>96</v>
      </c>
      <c r="H1567">
        <v>-1728</v>
      </c>
      <c r="J1567" s="1">
        <f t="shared" si="120"/>
        <v>33489</v>
      </c>
      <c r="K1567" s="1">
        <f t="shared" si="121"/>
        <v>9216</v>
      </c>
      <c r="L1567" s="1">
        <f t="shared" si="122"/>
        <v>42705</v>
      </c>
      <c r="M1567" s="1">
        <f t="shared" si="123"/>
        <v>206.65188119153427</v>
      </c>
      <c r="N1567" s="7">
        <f t="shared" si="124"/>
        <v>206.65188119153427</v>
      </c>
    </row>
    <row r="1568" spans="1:14" x14ac:dyDescent="0.25">
      <c r="A1568" t="str">
        <f>"14:16:29.445"</f>
        <v>14:16:29.445</v>
      </c>
      <c r="B1568">
        <v>39.671438000000002</v>
      </c>
      <c r="C1568">
        <v>-76.285156999999998</v>
      </c>
      <c r="D1568">
        <v>5200</v>
      </c>
      <c r="E1568">
        <v>5400</v>
      </c>
      <c r="F1568">
        <v>183</v>
      </c>
      <c r="G1568">
        <v>95</v>
      </c>
      <c r="H1568">
        <v>-1728</v>
      </c>
      <c r="J1568" s="1">
        <f t="shared" si="120"/>
        <v>33489</v>
      </c>
      <c r="K1568" s="1">
        <f t="shared" si="121"/>
        <v>9025</v>
      </c>
      <c r="L1568" s="1">
        <f t="shared" si="122"/>
        <v>42514</v>
      </c>
      <c r="M1568" s="1">
        <f t="shared" si="123"/>
        <v>206.18923347255549</v>
      </c>
      <c r="N1568" s="7">
        <f t="shared" si="124"/>
        <v>206.18923347255549</v>
      </c>
    </row>
    <row r="1569" spans="1:14" x14ac:dyDescent="0.25">
      <c r="A1569" t="str">
        <f>"14:16:30.305"</f>
        <v>14:16:30.305</v>
      </c>
      <c r="B1569">
        <v>39.671866999999999</v>
      </c>
      <c r="C1569">
        <v>-76.284170000000003</v>
      </c>
      <c r="D1569">
        <v>5200</v>
      </c>
      <c r="E1569">
        <v>5350</v>
      </c>
      <c r="F1569">
        <v>183</v>
      </c>
      <c r="G1569">
        <v>95</v>
      </c>
      <c r="H1569">
        <v>-1728</v>
      </c>
      <c r="J1569" s="1">
        <f t="shared" si="120"/>
        <v>33489</v>
      </c>
      <c r="K1569" s="1">
        <f t="shared" si="121"/>
        <v>9025</v>
      </c>
      <c r="L1569" s="1">
        <f t="shared" si="122"/>
        <v>42514</v>
      </c>
      <c r="M1569" s="1">
        <f t="shared" si="123"/>
        <v>206.18923347255549</v>
      </c>
      <c r="N1569" s="7">
        <f t="shared" si="124"/>
        <v>206.18923347255549</v>
      </c>
    </row>
    <row r="1570" spans="1:14" x14ac:dyDescent="0.25">
      <c r="A1570" t="str">
        <f>"14:16:31.313"</f>
        <v>14:16:31.313</v>
      </c>
      <c r="B1570">
        <v>39.672232000000001</v>
      </c>
      <c r="C1570">
        <v>-76.283140000000003</v>
      </c>
      <c r="D1570">
        <v>5200</v>
      </c>
      <c r="E1570">
        <v>5325</v>
      </c>
      <c r="F1570">
        <v>183</v>
      </c>
      <c r="G1570">
        <v>94</v>
      </c>
      <c r="H1570">
        <v>-1664</v>
      </c>
      <c r="J1570" s="1">
        <f t="shared" si="120"/>
        <v>33489</v>
      </c>
      <c r="K1570" s="1">
        <f t="shared" si="121"/>
        <v>8836</v>
      </c>
      <c r="L1570" s="1">
        <f t="shared" si="122"/>
        <v>42325</v>
      </c>
      <c r="M1570" s="1">
        <f t="shared" si="123"/>
        <v>205.73040611440985</v>
      </c>
      <c r="N1570" s="7">
        <f t="shared" si="124"/>
        <v>205.73040611440985</v>
      </c>
    </row>
    <row r="1571" spans="1:14" x14ac:dyDescent="0.25">
      <c r="A1571" t="str">
        <f>"14:16:32.320"</f>
        <v>14:16:32.320</v>
      </c>
      <c r="B1571">
        <v>39.672725</v>
      </c>
      <c r="C1571">
        <v>-76.281959999999998</v>
      </c>
      <c r="D1571">
        <v>5100</v>
      </c>
      <c r="E1571">
        <v>5400</v>
      </c>
      <c r="F1571">
        <v>183</v>
      </c>
      <c r="G1571">
        <v>94</v>
      </c>
      <c r="H1571">
        <v>-1600</v>
      </c>
      <c r="J1571" s="1">
        <f t="shared" si="120"/>
        <v>33489</v>
      </c>
      <c r="K1571" s="1">
        <f t="shared" si="121"/>
        <v>8836</v>
      </c>
      <c r="L1571" s="1">
        <f t="shared" si="122"/>
        <v>42325</v>
      </c>
      <c r="M1571" s="1">
        <f t="shared" si="123"/>
        <v>205.73040611440985</v>
      </c>
      <c r="N1571" s="7">
        <f t="shared" si="124"/>
        <v>205.73040611440985</v>
      </c>
    </row>
    <row r="1572" spans="1:14" x14ac:dyDescent="0.25">
      <c r="A1572" t="str">
        <f>"14:16:33.180"</f>
        <v>14:16:33.180</v>
      </c>
      <c r="B1572">
        <v>39.673110999999999</v>
      </c>
      <c r="C1572">
        <v>-76.281015999999994</v>
      </c>
      <c r="D1572">
        <v>5100</v>
      </c>
      <c r="E1572">
        <v>5375</v>
      </c>
      <c r="F1572">
        <v>182</v>
      </c>
      <c r="G1572">
        <v>94</v>
      </c>
      <c r="H1572">
        <v>-1536</v>
      </c>
      <c r="J1572" s="1">
        <f t="shared" si="120"/>
        <v>33124</v>
      </c>
      <c r="K1572" s="1">
        <f t="shared" si="121"/>
        <v>8836</v>
      </c>
      <c r="L1572" s="1">
        <f t="shared" si="122"/>
        <v>41960</v>
      </c>
      <c r="M1572" s="1">
        <f t="shared" si="123"/>
        <v>204.84140206510986</v>
      </c>
      <c r="N1572" s="7">
        <f t="shared" si="124"/>
        <v>204.84140206510986</v>
      </c>
    </row>
    <row r="1573" spans="1:14" x14ac:dyDescent="0.25">
      <c r="A1573" t="str">
        <f>"14:16:34.438"</f>
        <v>14:16:34.438</v>
      </c>
      <c r="B1573">
        <v>39.673625999999999</v>
      </c>
      <c r="C1573">
        <v>-76.279663999999997</v>
      </c>
      <c r="D1573">
        <v>5000</v>
      </c>
      <c r="E1573">
        <v>5250</v>
      </c>
      <c r="F1573">
        <v>182</v>
      </c>
      <c r="G1573">
        <v>94</v>
      </c>
      <c r="H1573">
        <v>-1536</v>
      </c>
      <c r="J1573" s="1">
        <f t="shared" si="120"/>
        <v>33124</v>
      </c>
      <c r="K1573" s="1">
        <f t="shared" si="121"/>
        <v>8836</v>
      </c>
      <c r="L1573" s="1">
        <f t="shared" si="122"/>
        <v>41960</v>
      </c>
      <c r="M1573" s="1">
        <f t="shared" si="123"/>
        <v>204.84140206510986</v>
      </c>
      <c r="N1573" s="7">
        <f t="shared" si="124"/>
        <v>204.84140206510986</v>
      </c>
    </row>
    <row r="1574" spans="1:14" x14ac:dyDescent="0.25">
      <c r="A1574" t="str">
        <f>"14:16:35.547"</f>
        <v>14:16:35.547</v>
      </c>
      <c r="B1574">
        <v>39.674098000000001</v>
      </c>
      <c r="C1574">
        <v>-76.278484000000006</v>
      </c>
      <c r="D1574">
        <v>5000</v>
      </c>
      <c r="E1574">
        <v>5350</v>
      </c>
      <c r="F1574">
        <v>182</v>
      </c>
      <c r="G1574">
        <v>94</v>
      </c>
      <c r="H1574">
        <v>-1536</v>
      </c>
      <c r="J1574" s="1">
        <f t="shared" si="120"/>
        <v>33124</v>
      </c>
      <c r="K1574" s="1">
        <f t="shared" si="121"/>
        <v>8836</v>
      </c>
      <c r="L1574" s="1">
        <f t="shared" si="122"/>
        <v>41960</v>
      </c>
      <c r="M1574" s="1">
        <f t="shared" si="123"/>
        <v>204.84140206510986</v>
      </c>
      <c r="N1574" s="7">
        <f t="shared" si="124"/>
        <v>204.84140206510986</v>
      </c>
    </row>
    <row r="1575" spans="1:14" x14ac:dyDescent="0.25">
      <c r="A1575" t="str">
        <f>"14:16:36.664"</f>
        <v>14:16:36.664</v>
      </c>
      <c r="B1575">
        <v>39.674655999999999</v>
      </c>
      <c r="C1575">
        <v>-76.277175</v>
      </c>
      <c r="D1575">
        <v>5000</v>
      </c>
      <c r="E1575">
        <v>5200</v>
      </c>
      <c r="F1575">
        <v>182</v>
      </c>
      <c r="G1575">
        <v>93</v>
      </c>
      <c r="H1575">
        <v>-1536</v>
      </c>
      <c r="J1575" s="1">
        <f t="shared" si="120"/>
        <v>33124</v>
      </c>
      <c r="K1575" s="1">
        <f t="shared" si="121"/>
        <v>8649</v>
      </c>
      <c r="L1575" s="1">
        <f t="shared" si="122"/>
        <v>41773</v>
      </c>
      <c r="M1575" s="1">
        <f t="shared" si="123"/>
        <v>204.38444167793205</v>
      </c>
      <c r="N1575" s="7">
        <f t="shared" si="124"/>
        <v>204.38444167793205</v>
      </c>
    </row>
    <row r="1576" spans="1:14" x14ac:dyDescent="0.25">
      <c r="A1576" t="str">
        <f>"14:16:37.719"</f>
        <v>14:16:37.719</v>
      </c>
      <c r="B1576">
        <v>39.675063999999999</v>
      </c>
      <c r="C1576">
        <v>-76.276038</v>
      </c>
      <c r="D1576">
        <v>5000</v>
      </c>
      <c r="E1576">
        <v>5175</v>
      </c>
      <c r="F1576">
        <v>182</v>
      </c>
      <c r="G1576">
        <v>93</v>
      </c>
      <c r="H1576">
        <v>-1536</v>
      </c>
      <c r="J1576" s="1">
        <f t="shared" si="120"/>
        <v>33124</v>
      </c>
      <c r="K1576" s="1">
        <f t="shared" si="121"/>
        <v>8649</v>
      </c>
      <c r="L1576" s="1">
        <f t="shared" si="122"/>
        <v>41773</v>
      </c>
      <c r="M1576" s="1">
        <f t="shared" si="123"/>
        <v>204.38444167793205</v>
      </c>
      <c r="N1576" s="7">
        <f t="shared" si="124"/>
        <v>204.38444167793205</v>
      </c>
    </row>
    <row r="1577" spans="1:14" x14ac:dyDescent="0.25">
      <c r="A1577" t="str">
        <f>"14:16:38.781"</f>
        <v>14:16:38.781</v>
      </c>
      <c r="B1577">
        <v>39.675471999999999</v>
      </c>
      <c r="C1577">
        <v>-76.274964999999995</v>
      </c>
      <c r="D1577">
        <v>5000</v>
      </c>
      <c r="E1577">
        <v>5150</v>
      </c>
      <c r="F1577">
        <v>181</v>
      </c>
      <c r="G1577">
        <v>93</v>
      </c>
      <c r="H1577">
        <v>-1600</v>
      </c>
      <c r="J1577" s="1">
        <f t="shared" si="120"/>
        <v>32761</v>
      </c>
      <c r="K1577" s="1">
        <f t="shared" si="121"/>
        <v>8649</v>
      </c>
      <c r="L1577" s="1">
        <f t="shared" si="122"/>
        <v>41410</v>
      </c>
      <c r="M1577" s="1">
        <f t="shared" si="123"/>
        <v>203.49447166937975</v>
      </c>
      <c r="N1577" s="7">
        <f t="shared" si="124"/>
        <v>203.49447166937975</v>
      </c>
    </row>
    <row r="1578" spans="1:14" x14ac:dyDescent="0.25">
      <c r="A1578" t="str">
        <f>"14:16:39.688"</f>
        <v>14:16:39.688</v>
      </c>
      <c r="B1578">
        <v>39.675944000000001</v>
      </c>
      <c r="C1578">
        <v>-76.273892000000004</v>
      </c>
      <c r="D1578">
        <v>4900</v>
      </c>
      <c r="E1578">
        <v>5100</v>
      </c>
      <c r="F1578">
        <v>181</v>
      </c>
      <c r="G1578">
        <v>93</v>
      </c>
      <c r="H1578">
        <v>-1600</v>
      </c>
      <c r="J1578" s="1">
        <f t="shared" si="120"/>
        <v>32761</v>
      </c>
      <c r="K1578" s="1">
        <f t="shared" si="121"/>
        <v>8649</v>
      </c>
      <c r="L1578" s="1">
        <f t="shared" si="122"/>
        <v>41410</v>
      </c>
      <c r="M1578" s="1">
        <f t="shared" si="123"/>
        <v>203.49447166937975</v>
      </c>
      <c r="N1578" s="7">
        <f t="shared" si="124"/>
        <v>203.49447166937975</v>
      </c>
    </row>
    <row r="1579" spans="1:14" x14ac:dyDescent="0.25">
      <c r="A1579" t="str">
        <f>"14:16:40.648"</f>
        <v>14:16:40.648</v>
      </c>
      <c r="B1579">
        <v>39.676352000000001</v>
      </c>
      <c r="C1579">
        <v>-76.272818999999998</v>
      </c>
      <c r="D1579">
        <v>4900</v>
      </c>
      <c r="E1579">
        <v>5100</v>
      </c>
      <c r="F1579">
        <v>181</v>
      </c>
      <c r="G1579">
        <v>94</v>
      </c>
      <c r="H1579">
        <v>-1664</v>
      </c>
      <c r="J1579" s="1">
        <f t="shared" si="120"/>
        <v>32761</v>
      </c>
      <c r="K1579" s="1">
        <f t="shared" si="121"/>
        <v>8836</v>
      </c>
      <c r="L1579" s="1">
        <f t="shared" si="122"/>
        <v>41597</v>
      </c>
      <c r="M1579" s="1">
        <f t="shared" si="123"/>
        <v>203.95342605604839</v>
      </c>
      <c r="N1579" s="7">
        <f t="shared" si="124"/>
        <v>203.95342605604839</v>
      </c>
    </row>
    <row r="1580" spans="1:14" x14ac:dyDescent="0.25">
      <c r="A1580" t="str">
        <f>"14:16:41.609"</f>
        <v>14:16:41.609</v>
      </c>
      <c r="B1580">
        <v>39.676758999999997</v>
      </c>
      <c r="C1580">
        <v>-76.271852999999993</v>
      </c>
      <c r="D1580">
        <v>4800</v>
      </c>
      <c r="E1580">
        <v>5050</v>
      </c>
      <c r="F1580">
        <v>181</v>
      </c>
      <c r="G1580">
        <v>94</v>
      </c>
      <c r="H1580">
        <v>-1728</v>
      </c>
      <c r="J1580" s="1">
        <f t="shared" si="120"/>
        <v>32761</v>
      </c>
      <c r="K1580" s="1">
        <f t="shared" si="121"/>
        <v>8836</v>
      </c>
      <c r="L1580" s="1">
        <f t="shared" si="122"/>
        <v>41597</v>
      </c>
      <c r="M1580" s="1">
        <f t="shared" si="123"/>
        <v>203.95342605604839</v>
      </c>
      <c r="N1580" s="7">
        <f t="shared" si="124"/>
        <v>203.95342605604839</v>
      </c>
    </row>
    <row r="1581" spans="1:14" x14ac:dyDescent="0.25">
      <c r="A1581" t="str">
        <f>"14:16:42.766"</f>
        <v>14:16:42.766</v>
      </c>
      <c r="B1581">
        <v>39.677273999999997</v>
      </c>
      <c r="C1581">
        <v>-76.270501999999993</v>
      </c>
      <c r="D1581">
        <v>4800</v>
      </c>
      <c r="E1581">
        <v>5025</v>
      </c>
      <c r="F1581">
        <v>181</v>
      </c>
      <c r="G1581">
        <v>94</v>
      </c>
      <c r="H1581">
        <v>-1472</v>
      </c>
      <c r="J1581" s="1">
        <f t="shared" si="120"/>
        <v>32761</v>
      </c>
      <c r="K1581" s="1">
        <f t="shared" si="121"/>
        <v>8836</v>
      </c>
      <c r="L1581" s="1">
        <f t="shared" si="122"/>
        <v>41597</v>
      </c>
      <c r="M1581" s="1">
        <f t="shared" si="123"/>
        <v>203.95342605604839</v>
      </c>
      <c r="N1581" s="7">
        <f t="shared" si="124"/>
        <v>203.95342605604839</v>
      </c>
    </row>
    <row r="1582" spans="1:14" x14ac:dyDescent="0.25">
      <c r="A1582" t="str">
        <f>"14:16:43.781"</f>
        <v>14:16:43.781</v>
      </c>
      <c r="B1582">
        <v>39.677681999999997</v>
      </c>
      <c r="C1582">
        <v>-76.269536000000002</v>
      </c>
      <c r="D1582">
        <v>4800</v>
      </c>
      <c r="E1582">
        <v>5000</v>
      </c>
      <c r="F1582">
        <v>181</v>
      </c>
      <c r="G1582">
        <v>94</v>
      </c>
      <c r="H1582">
        <v>-1280</v>
      </c>
      <c r="J1582" s="1">
        <f t="shared" si="120"/>
        <v>32761</v>
      </c>
      <c r="K1582" s="1">
        <f t="shared" si="121"/>
        <v>8836</v>
      </c>
      <c r="L1582" s="1">
        <f t="shared" si="122"/>
        <v>41597</v>
      </c>
      <c r="M1582" s="1">
        <f t="shared" si="123"/>
        <v>203.95342605604839</v>
      </c>
      <c r="N1582" s="7">
        <f t="shared" si="124"/>
        <v>203.95342605604839</v>
      </c>
    </row>
    <row r="1583" spans="1:14" x14ac:dyDescent="0.25">
      <c r="A1583" t="str">
        <f>"14:16:44.734"</f>
        <v>14:16:44.734</v>
      </c>
      <c r="B1583">
        <v>39.678089999999997</v>
      </c>
      <c r="C1583">
        <v>-76.268462999999997</v>
      </c>
      <c r="D1583">
        <v>4800</v>
      </c>
      <c r="E1583">
        <v>4975</v>
      </c>
      <c r="F1583">
        <v>181</v>
      </c>
      <c r="G1583">
        <v>94</v>
      </c>
      <c r="H1583">
        <v>-1152</v>
      </c>
      <c r="J1583" s="1">
        <f t="shared" si="120"/>
        <v>32761</v>
      </c>
      <c r="K1583" s="1">
        <f t="shared" si="121"/>
        <v>8836</v>
      </c>
      <c r="L1583" s="1">
        <f t="shared" si="122"/>
        <v>41597</v>
      </c>
      <c r="M1583" s="1">
        <f t="shared" si="123"/>
        <v>203.95342605604839</v>
      </c>
      <c r="N1583" s="7">
        <f t="shared" si="124"/>
        <v>203.95342605604839</v>
      </c>
    </row>
    <row r="1584" spans="1:14" x14ac:dyDescent="0.25">
      <c r="A1584" t="str">
        <f>"14:16:45.797"</f>
        <v>14:16:45.797</v>
      </c>
      <c r="B1584">
        <v>39.678561999999999</v>
      </c>
      <c r="C1584">
        <v>-76.267283000000006</v>
      </c>
      <c r="D1584">
        <v>4800</v>
      </c>
      <c r="E1584">
        <v>4975</v>
      </c>
      <c r="F1584">
        <v>180</v>
      </c>
      <c r="G1584">
        <v>94</v>
      </c>
      <c r="H1584">
        <v>-1024</v>
      </c>
      <c r="J1584" s="1">
        <f t="shared" si="120"/>
        <v>32400</v>
      </c>
      <c r="K1584" s="1">
        <f t="shared" si="121"/>
        <v>8836</v>
      </c>
      <c r="L1584" s="1">
        <f t="shared" si="122"/>
        <v>41236</v>
      </c>
      <c r="M1584" s="1">
        <f t="shared" si="123"/>
        <v>203.06649157357302</v>
      </c>
      <c r="N1584" s="7">
        <f t="shared" si="124"/>
        <v>203.06649157357302</v>
      </c>
    </row>
    <row r="1585" spans="1:14" x14ac:dyDescent="0.25">
      <c r="A1585" t="str">
        <f>"14:16:46.859"</f>
        <v>14:16:46.859</v>
      </c>
      <c r="B1585">
        <v>39.679034000000001</v>
      </c>
      <c r="C1585">
        <v>-76.266166999999996</v>
      </c>
      <c r="D1585">
        <v>4800</v>
      </c>
      <c r="E1585">
        <v>4950</v>
      </c>
      <c r="F1585">
        <v>180</v>
      </c>
      <c r="G1585">
        <v>94</v>
      </c>
      <c r="H1585">
        <v>-1024</v>
      </c>
      <c r="J1585" s="1">
        <f t="shared" si="120"/>
        <v>32400</v>
      </c>
      <c r="K1585" s="1">
        <f t="shared" si="121"/>
        <v>8836</v>
      </c>
      <c r="L1585" s="1">
        <f t="shared" si="122"/>
        <v>41236</v>
      </c>
      <c r="M1585" s="1">
        <f t="shared" si="123"/>
        <v>203.06649157357302</v>
      </c>
      <c r="N1585" s="7">
        <f t="shared" si="124"/>
        <v>203.06649157357302</v>
      </c>
    </row>
    <row r="1586" spans="1:14" x14ac:dyDescent="0.25">
      <c r="A1586" t="str">
        <f>"14:16:47.914"</f>
        <v>14:16:47.914</v>
      </c>
      <c r="B1586">
        <v>39.679506000000003</v>
      </c>
      <c r="C1586">
        <v>-76.265007999999995</v>
      </c>
      <c r="D1586">
        <v>4800</v>
      </c>
      <c r="E1586">
        <v>4925</v>
      </c>
      <c r="F1586">
        <v>181</v>
      </c>
      <c r="G1586">
        <v>94</v>
      </c>
      <c r="H1586">
        <v>-896</v>
      </c>
      <c r="J1586" s="1">
        <f t="shared" si="120"/>
        <v>32761</v>
      </c>
      <c r="K1586" s="1">
        <f t="shared" si="121"/>
        <v>8836</v>
      </c>
      <c r="L1586" s="1">
        <f t="shared" si="122"/>
        <v>41597</v>
      </c>
      <c r="M1586" s="1">
        <f t="shared" si="123"/>
        <v>203.95342605604839</v>
      </c>
      <c r="N1586" s="7">
        <f t="shared" si="124"/>
        <v>203.95342605604839</v>
      </c>
    </row>
    <row r="1587" spans="1:14" x14ac:dyDescent="0.25">
      <c r="A1587" t="str">
        <f>"14:16:49.031"</f>
        <v>14:16:49.031</v>
      </c>
      <c r="B1587">
        <v>39.679955999999997</v>
      </c>
      <c r="C1587">
        <v>-76.263784999999999</v>
      </c>
      <c r="D1587">
        <v>4700</v>
      </c>
      <c r="E1587">
        <v>4925</v>
      </c>
      <c r="F1587">
        <v>181</v>
      </c>
      <c r="G1587">
        <v>94</v>
      </c>
      <c r="H1587">
        <v>-704</v>
      </c>
      <c r="J1587" s="1">
        <f t="shared" si="120"/>
        <v>32761</v>
      </c>
      <c r="K1587" s="1">
        <f t="shared" si="121"/>
        <v>8836</v>
      </c>
      <c r="L1587" s="1">
        <f t="shared" si="122"/>
        <v>41597</v>
      </c>
      <c r="M1587" s="1">
        <f t="shared" si="123"/>
        <v>203.95342605604839</v>
      </c>
      <c r="N1587" s="7">
        <f t="shared" si="124"/>
        <v>203.95342605604839</v>
      </c>
    </row>
    <row r="1588" spans="1:14" x14ac:dyDescent="0.25">
      <c r="A1588" t="str">
        <f>"14:16:50.188"</f>
        <v>14:16:50.188</v>
      </c>
      <c r="B1588">
        <v>39.680470999999997</v>
      </c>
      <c r="C1588">
        <v>-76.262604999999994</v>
      </c>
      <c r="D1588">
        <v>4700</v>
      </c>
      <c r="E1588">
        <v>4900</v>
      </c>
      <c r="F1588">
        <v>181</v>
      </c>
      <c r="G1588">
        <v>93</v>
      </c>
      <c r="H1588">
        <v>-576</v>
      </c>
      <c r="J1588" s="1">
        <f t="shared" si="120"/>
        <v>32761</v>
      </c>
      <c r="K1588" s="1">
        <f t="shared" si="121"/>
        <v>8649</v>
      </c>
      <c r="L1588" s="1">
        <f t="shared" si="122"/>
        <v>41410</v>
      </c>
      <c r="M1588" s="1">
        <f t="shared" si="123"/>
        <v>203.49447166937975</v>
      </c>
      <c r="N1588" s="7">
        <f t="shared" si="124"/>
        <v>203.49447166937975</v>
      </c>
    </row>
    <row r="1589" spans="1:14" x14ac:dyDescent="0.25">
      <c r="A1589" t="str">
        <f>"14:16:51.250"</f>
        <v>14:16:51.250</v>
      </c>
      <c r="B1589">
        <v>39.680942999999999</v>
      </c>
      <c r="C1589">
        <v>-76.261403999999999</v>
      </c>
      <c r="D1589">
        <v>4700</v>
      </c>
      <c r="E1589">
        <v>4900</v>
      </c>
      <c r="F1589">
        <v>181</v>
      </c>
      <c r="G1589">
        <v>93</v>
      </c>
      <c r="H1589">
        <v>-512</v>
      </c>
      <c r="J1589" s="1">
        <f t="shared" si="120"/>
        <v>32761</v>
      </c>
      <c r="K1589" s="1">
        <f t="shared" si="121"/>
        <v>8649</v>
      </c>
      <c r="L1589" s="1">
        <f t="shared" si="122"/>
        <v>41410</v>
      </c>
      <c r="M1589" s="1">
        <f t="shared" si="123"/>
        <v>203.49447166937975</v>
      </c>
      <c r="N1589" s="7">
        <f t="shared" si="124"/>
        <v>203.49447166937975</v>
      </c>
    </row>
    <row r="1590" spans="1:14" x14ac:dyDescent="0.25">
      <c r="A1590" t="str">
        <f>"14:16:52.109"</f>
        <v>14:16:52.109</v>
      </c>
      <c r="B1590">
        <v>39.681286999999998</v>
      </c>
      <c r="C1590">
        <v>-76.260458999999997</v>
      </c>
      <c r="D1590">
        <v>4700</v>
      </c>
      <c r="E1590">
        <v>4875</v>
      </c>
      <c r="F1590">
        <v>181</v>
      </c>
      <c r="G1590">
        <v>93</v>
      </c>
      <c r="H1590">
        <v>-448</v>
      </c>
      <c r="J1590" s="1">
        <f t="shared" si="120"/>
        <v>32761</v>
      </c>
      <c r="K1590" s="1">
        <f t="shared" si="121"/>
        <v>8649</v>
      </c>
      <c r="L1590" s="1">
        <f t="shared" si="122"/>
        <v>41410</v>
      </c>
      <c r="M1590" s="1">
        <f t="shared" si="123"/>
        <v>203.49447166937975</v>
      </c>
      <c r="N1590" s="7">
        <f t="shared" si="124"/>
        <v>203.49447166937975</v>
      </c>
    </row>
    <row r="1591" spans="1:14" x14ac:dyDescent="0.25">
      <c r="A1591" t="str">
        <f>"14:16:53.117"</f>
        <v>14:16:53.117</v>
      </c>
      <c r="B1591">
        <v>39.681694999999998</v>
      </c>
      <c r="C1591">
        <v>-76.259450999999999</v>
      </c>
      <c r="D1591">
        <v>4700</v>
      </c>
      <c r="E1591">
        <v>4875</v>
      </c>
      <c r="F1591">
        <v>181</v>
      </c>
      <c r="G1591">
        <v>92</v>
      </c>
      <c r="H1591">
        <v>-384</v>
      </c>
      <c r="J1591" s="1">
        <f t="shared" si="120"/>
        <v>32761</v>
      </c>
      <c r="K1591" s="1">
        <f t="shared" si="121"/>
        <v>8464</v>
      </c>
      <c r="L1591" s="1">
        <f t="shared" si="122"/>
        <v>41225</v>
      </c>
      <c r="M1591" s="1">
        <f t="shared" si="123"/>
        <v>203.03940504246953</v>
      </c>
      <c r="N1591" s="7">
        <f t="shared" si="124"/>
        <v>203.03940504246953</v>
      </c>
    </row>
    <row r="1592" spans="1:14" x14ac:dyDescent="0.25">
      <c r="A1592" t="str">
        <f>"14:16:53.977"</f>
        <v>14:16:53.977</v>
      </c>
      <c r="B1592">
        <v>39.682059000000002</v>
      </c>
      <c r="C1592">
        <v>-76.258484999999993</v>
      </c>
      <c r="D1592">
        <v>4700</v>
      </c>
      <c r="E1592">
        <v>4875</v>
      </c>
      <c r="F1592">
        <v>180</v>
      </c>
      <c r="G1592">
        <v>92</v>
      </c>
      <c r="H1592">
        <v>-320</v>
      </c>
      <c r="J1592" s="1">
        <f t="shared" si="120"/>
        <v>32400</v>
      </c>
      <c r="K1592" s="1">
        <f t="shared" si="121"/>
        <v>8464</v>
      </c>
      <c r="L1592" s="1">
        <f t="shared" si="122"/>
        <v>40864</v>
      </c>
      <c r="M1592" s="1">
        <f t="shared" si="123"/>
        <v>202.14846029589245</v>
      </c>
      <c r="N1592" s="7">
        <f t="shared" si="124"/>
        <v>202.14846029589245</v>
      </c>
    </row>
    <row r="1593" spans="1:14" x14ac:dyDescent="0.25">
      <c r="A1593" t="str">
        <f>"14:16:55.031"</f>
        <v>14:16:55.031</v>
      </c>
      <c r="B1593">
        <v>39.682530999999997</v>
      </c>
      <c r="C1593">
        <v>-76.257327000000004</v>
      </c>
      <c r="D1593">
        <v>4700</v>
      </c>
      <c r="E1593">
        <v>4875</v>
      </c>
      <c r="F1593">
        <v>180</v>
      </c>
      <c r="G1593">
        <v>92</v>
      </c>
      <c r="H1593">
        <v>-320</v>
      </c>
      <c r="J1593" s="1">
        <f t="shared" si="120"/>
        <v>32400</v>
      </c>
      <c r="K1593" s="1">
        <f t="shared" si="121"/>
        <v>8464</v>
      </c>
      <c r="L1593" s="1">
        <f t="shared" si="122"/>
        <v>40864</v>
      </c>
      <c r="M1593" s="1">
        <f t="shared" si="123"/>
        <v>202.14846029589245</v>
      </c>
      <c r="N1593" s="7">
        <f t="shared" si="124"/>
        <v>202.14846029589245</v>
      </c>
    </row>
    <row r="1594" spans="1:14" x14ac:dyDescent="0.25">
      <c r="A1594" t="str">
        <f>"14:16:56.047"</f>
        <v>14:16:56.047</v>
      </c>
      <c r="B1594">
        <v>39.682982000000003</v>
      </c>
      <c r="C1594">
        <v>-76.256231999999997</v>
      </c>
      <c r="D1594">
        <v>4700</v>
      </c>
      <c r="E1594">
        <v>4875</v>
      </c>
      <c r="F1594">
        <v>180</v>
      </c>
      <c r="G1594">
        <v>91</v>
      </c>
      <c r="H1594">
        <v>-320</v>
      </c>
      <c r="J1594" s="1">
        <f t="shared" si="120"/>
        <v>32400</v>
      </c>
      <c r="K1594" s="1">
        <f t="shared" si="121"/>
        <v>8281</v>
      </c>
      <c r="L1594" s="1">
        <f t="shared" si="122"/>
        <v>40681</v>
      </c>
      <c r="M1594" s="1">
        <f t="shared" si="123"/>
        <v>201.69531476958011</v>
      </c>
      <c r="N1594" s="7">
        <f t="shared" si="124"/>
        <v>201.69531476958011</v>
      </c>
    </row>
    <row r="1595" spans="1:14" x14ac:dyDescent="0.25">
      <c r="A1595" t="str">
        <f>"14:16:57.055"</f>
        <v>14:16:57.055</v>
      </c>
      <c r="B1595">
        <v>39.683411</v>
      </c>
      <c r="C1595">
        <v>-76.255180999999993</v>
      </c>
      <c r="D1595">
        <v>4700</v>
      </c>
      <c r="E1595">
        <v>4850</v>
      </c>
      <c r="F1595">
        <v>179</v>
      </c>
      <c r="G1595">
        <v>91</v>
      </c>
      <c r="H1595">
        <v>-256</v>
      </c>
      <c r="J1595" s="1">
        <f t="shared" si="120"/>
        <v>32041</v>
      </c>
      <c r="K1595" s="1">
        <f t="shared" si="121"/>
        <v>8281</v>
      </c>
      <c r="L1595" s="1">
        <f t="shared" si="122"/>
        <v>40322</v>
      </c>
      <c r="M1595" s="1">
        <f t="shared" si="123"/>
        <v>200.80338642562779</v>
      </c>
      <c r="N1595" s="7">
        <f t="shared" si="124"/>
        <v>200.80338642562779</v>
      </c>
    </row>
    <row r="1596" spans="1:14" x14ac:dyDescent="0.25">
      <c r="A1596" t="str">
        <f>"14:16:58.164"</f>
        <v>14:16:58.164</v>
      </c>
      <c r="B1596">
        <v>39.683861999999998</v>
      </c>
      <c r="C1596">
        <v>-76.254022000000006</v>
      </c>
      <c r="D1596">
        <v>4700</v>
      </c>
      <c r="E1596">
        <v>4850</v>
      </c>
      <c r="F1596">
        <v>179</v>
      </c>
      <c r="G1596">
        <v>91</v>
      </c>
      <c r="H1596">
        <v>-128</v>
      </c>
      <c r="J1596" s="1">
        <f t="shared" si="120"/>
        <v>32041</v>
      </c>
      <c r="K1596" s="1">
        <f t="shared" si="121"/>
        <v>8281</v>
      </c>
      <c r="L1596" s="1">
        <f t="shared" si="122"/>
        <v>40322</v>
      </c>
      <c r="M1596" s="1">
        <f t="shared" si="123"/>
        <v>200.80338642562779</v>
      </c>
      <c r="N1596" s="7">
        <f t="shared" si="124"/>
        <v>200.80338642562779</v>
      </c>
    </row>
    <row r="1597" spans="1:14" x14ac:dyDescent="0.25">
      <c r="A1597" t="str">
        <f>"14:16:59.023"</f>
        <v>14:16:59.023</v>
      </c>
      <c r="B1597">
        <v>39.684247999999997</v>
      </c>
      <c r="C1597">
        <v>-76.253056999999998</v>
      </c>
      <c r="D1597">
        <v>4700</v>
      </c>
      <c r="E1597">
        <v>4850</v>
      </c>
      <c r="F1597">
        <v>178</v>
      </c>
      <c r="G1597">
        <v>91</v>
      </c>
      <c r="H1597">
        <v>0</v>
      </c>
      <c r="J1597" s="1">
        <f t="shared" si="120"/>
        <v>31684</v>
      </c>
      <c r="K1597" s="1">
        <f t="shared" si="121"/>
        <v>8281</v>
      </c>
      <c r="L1597" s="1">
        <f t="shared" si="122"/>
        <v>39965</v>
      </c>
      <c r="M1597" s="1">
        <f t="shared" si="123"/>
        <v>199.91248085099639</v>
      </c>
      <c r="N1597" s="7">
        <f t="shared" si="124"/>
        <v>199.91248085099639</v>
      </c>
    </row>
    <row r="1598" spans="1:14" x14ac:dyDescent="0.25">
      <c r="A1598" t="str">
        <f>"14:17:00.078"</f>
        <v>14:17:00.078</v>
      </c>
      <c r="B1598">
        <v>39.684677000000001</v>
      </c>
      <c r="C1598">
        <v>-76.251855000000006</v>
      </c>
      <c r="D1598">
        <v>4700</v>
      </c>
      <c r="E1598">
        <v>4850</v>
      </c>
      <c r="F1598">
        <v>178</v>
      </c>
      <c r="G1598">
        <v>90</v>
      </c>
      <c r="H1598">
        <v>64</v>
      </c>
      <c r="J1598" s="1">
        <f t="shared" si="120"/>
        <v>31684</v>
      </c>
      <c r="K1598" s="1">
        <f t="shared" si="121"/>
        <v>8100</v>
      </c>
      <c r="L1598" s="1">
        <f t="shared" si="122"/>
        <v>39784</v>
      </c>
      <c r="M1598" s="1">
        <f t="shared" si="123"/>
        <v>199.45926902503177</v>
      </c>
      <c r="N1598" s="7">
        <f t="shared" si="124"/>
        <v>199.45926902503177</v>
      </c>
    </row>
    <row r="1599" spans="1:14" x14ac:dyDescent="0.25">
      <c r="A1599" t="str">
        <f>"14:17:01.195"</f>
        <v>14:17:01.195</v>
      </c>
      <c r="B1599">
        <v>39.685127999999999</v>
      </c>
      <c r="C1599">
        <v>-76.250675000000001</v>
      </c>
      <c r="D1599">
        <v>4700</v>
      </c>
      <c r="E1599">
        <v>4850</v>
      </c>
      <c r="F1599">
        <v>177</v>
      </c>
      <c r="G1599">
        <v>90</v>
      </c>
      <c r="H1599">
        <v>192</v>
      </c>
      <c r="J1599" s="1">
        <f t="shared" si="120"/>
        <v>31329</v>
      </c>
      <c r="K1599" s="1">
        <f t="shared" si="121"/>
        <v>8100</v>
      </c>
      <c r="L1599" s="1">
        <f t="shared" si="122"/>
        <v>39429</v>
      </c>
      <c r="M1599" s="1">
        <f t="shared" si="123"/>
        <v>198.56736892047493</v>
      </c>
      <c r="N1599" s="7">
        <f t="shared" si="124"/>
        <v>198.56736892047493</v>
      </c>
    </row>
    <row r="1600" spans="1:14" x14ac:dyDescent="0.25">
      <c r="A1600" t="str">
        <f>"14:17:02.250"</f>
        <v>14:17:02.250</v>
      </c>
      <c r="B1600">
        <v>39.685557000000003</v>
      </c>
      <c r="C1600">
        <v>-76.249623</v>
      </c>
      <c r="D1600">
        <v>4700</v>
      </c>
      <c r="E1600">
        <v>4875</v>
      </c>
      <c r="F1600">
        <v>176</v>
      </c>
      <c r="G1600">
        <v>90</v>
      </c>
      <c r="H1600">
        <v>192</v>
      </c>
      <c r="J1600" s="1">
        <f t="shared" si="120"/>
        <v>30976</v>
      </c>
      <c r="K1600" s="1">
        <f t="shared" si="121"/>
        <v>8100</v>
      </c>
      <c r="L1600" s="1">
        <f t="shared" si="122"/>
        <v>39076</v>
      </c>
      <c r="M1600" s="1">
        <f t="shared" si="123"/>
        <v>197.67650340897879</v>
      </c>
      <c r="N1600" s="7">
        <f t="shared" si="124"/>
        <v>197.67650340897879</v>
      </c>
    </row>
    <row r="1601" spans="1:14" x14ac:dyDescent="0.25">
      <c r="A1601" t="str">
        <f>"14:17:03.359"</f>
        <v>14:17:03.359</v>
      </c>
      <c r="B1601">
        <v>39.686006999999996</v>
      </c>
      <c r="C1601">
        <v>-76.248529000000005</v>
      </c>
      <c r="D1601">
        <v>4700</v>
      </c>
      <c r="E1601">
        <v>4875</v>
      </c>
      <c r="F1601">
        <v>175</v>
      </c>
      <c r="G1601">
        <v>89</v>
      </c>
      <c r="H1601">
        <v>128</v>
      </c>
      <c r="J1601" s="1">
        <f t="shared" si="120"/>
        <v>30625</v>
      </c>
      <c r="K1601" s="1">
        <f t="shared" si="121"/>
        <v>7921</v>
      </c>
      <c r="L1601" s="1">
        <f t="shared" si="122"/>
        <v>38546</v>
      </c>
      <c r="M1601" s="1">
        <f t="shared" si="123"/>
        <v>196.33135256499406</v>
      </c>
      <c r="N1601" s="7">
        <f t="shared" si="124"/>
        <v>196.33135256499406</v>
      </c>
    </row>
    <row r="1602" spans="1:14" x14ac:dyDescent="0.25">
      <c r="A1602" t="str">
        <f>"14:17:04.320"</f>
        <v>14:17:04.320</v>
      </c>
      <c r="B1602">
        <v>39.686414999999997</v>
      </c>
      <c r="C1602">
        <v>-76.247456</v>
      </c>
      <c r="D1602">
        <v>4700</v>
      </c>
      <c r="E1602">
        <v>4875</v>
      </c>
      <c r="F1602">
        <v>174</v>
      </c>
      <c r="G1602">
        <v>89</v>
      </c>
      <c r="H1602">
        <v>128</v>
      </c>
      <c r="J1602" s="1">
        <f t="shared" si="120"/>
        <v>30276</v>
      </c>
      <c r="K1602" s="1">
        <f t="shared" si="121"/>
        <v>7921</v>
      </c>
      <c r="L1602" s="1">
        <f t="shared" si="122"/>
        <v>38197</v>
      </c>
      <c r="M1602" s="1">
        <f t="shared" si="123"/>
        <v>195.44052803858261</v>
      </c>
      <c r="N1602" s="7">
        <f t="shared" si="124"/>
        <v>195.44052803858261</v>
      </c>
    </row>
    <row r="1603" spans="1:14" x14ac:dyDescent="0.25">
      <c r="A1603" t="str">
        <f>"14:17:05.227"</f>
        <v>14:17:05.227</v>
      </c>
      <c r="B1603">
        <v>39.686801000000003</v>
      </c>
      <c r="C1603">
        <v>-76.246511999999996</v>
      </c>
      <c r="D1603">
        <v>4700</v>
      </c>
      <c r="E1603">
        <v>4875</v>
      </c>
      <c r="F1603">
        <v>174</v>
      </c>
      <c r="G1603">
        <v>89</v>
      </c>
      <c r="H1603">
        <v>128</v>
      </c>
      <c r="J1603" s="1">
        <f t="shared" ref="J1603:J1666" si="125">F1603^2</f>
        <v>30276</v>
      </c>
      <c r="K1603" s="1">
        <f t="shared" ref="K1603:K1666" si="126">G1603^2</f>
        <v>7921</v>
      </c>
      <c r="L1603" s="1">
        <f t="shared" ref="L1603:L1666" si="127">SUMSQ(F1603,G1603)</f>
        <v>38197</v>
      </c>
      <c r="M1603" s="1">
        <f t="shared" ref="M1603:M1666" si="128">SQRT(L1603)</f>
        <v>195.44052803858261</v>
      </c>
      <c r="N1603" s="7">
        <f t="shared" ref="N1603:N1666" si="129">M1603</f>
        <v>195.44052803858261</v>
      </c>
    </row>
    <row r="1604" spans="1:14" x14ac:dyDescent="0.25">
      <c r="A1604" t="str">
        <f>"14:17:06.289"</f>
        <v>14:17:06.289</v>
      </c>
      <c r="B1604">
        <v>39.687230999999997</v>
      </c>
      <c r="C1604">
        <v>-76.245481999999996</v>
      </c>
      <c r="D1604">
        <v>4700</v>
      </c>
      <c r="E1604">
        <v>4875</v>
      </c>
      <c r="F1604">
        <v>173</v>
      </c>
      <c r="G1604">
        <v>89</v>
      </c>
      <c r="H1604">
        <v>128</v>
      </c>
      <c r="J1604" s="1">
        <f t="shared" si="125"/>
        <v>29929</v>
      </c>
      <c r="K1604" s="1">
        <f t="shared" si="126"/>
        <v>7921</v>
      </c>
      <c r="L1604" s="1">
        <f t="shared" si="127"/>
        <v>37850</v>
      </c>
      <c r="M1604" s="1">
        <f t="shared" si="128"/>
        <v>194.5507645834372</v>
      </c>
      <c r="N1604" s="7">
        <f t="shared" si="129"/>
        <v>194.5507645834372</v>
      </c>
    </row>
    <row r="1605" spans="1:14" x14ac:dyDescent="0.25">
      <c r="A1605" t="str">
        <f>"14:17:07.195"</f>
        <v>14:17:07.195</v>
      </c>
      <c r="B1605">
        <v>39.687638</v>
      </c>
      <c r="C1605">
        <v>-76.244451999999995</v>
      </c>
      <c r="D1605">
        <v>4700</v>
      </c>
      <c r="E1605">
        <v>4875</v>
      </c>
      <c r="F1605">
        <v>173</v>
      </c>
      <c r="G1605">
        <v>89</v>
      </c>
      <c r="H1605">
        <v>64</v>
      </c>
      <c r="J1605" s="1">
        <f t="shared" si="125"/>
        <v>29929</v>
      </c>
      <c r="K1605" s="1">
        <f t="shared" si="126"/>
        <v>7921</v>
      </c>
      <c r="L1605" s="1">
        <f t="shared" si="127"/>
        <v>37850</v>
      </c>
      <c r="M1605" s="1">
        <f t="shared" si="128"/>
        <v>194.5507645834372</v>
      </c>
      <c r="N1605" s="7">
        <f t="shared" si="129"/>
        <v>194.5507645834372</v>
      </c>
    </row>
    <row r="1606" spans="1:14" x14ac:dyDescent="0.25">
      <c r="A1606" t="str">
        <f>"14:17:08.211"</f>
        <v>14:17:08.211</v>
      </c>
      <c r="B1606">
        <v>39.688025000000003</v>
      </c>
      <c r="C1606">
        <v>-76.243401000000006</v>
      </c>
      <c r="D1606">
        <v>4700</v>
      </c>
      <c r="E1606">
        <v>4875</v>
      </c>
      <c r="F1606">
        <v>172</v>
      </c>
      <c r="G1606">
        <v>89</v>
      </c>
      <c r="H1606">
        <v>0</v>
      </c>
      <c r="J1606" s="1">
        <f t="shared" si="125"/>
        <v>29584</v>
      </c>
      <c r="K1606" s="1">
        <f t="shared" si="126"/>
        <v>7921</v>
      </c>
      <c r="L1606" s="1">
        <f t="shared" si="127"/>
        <v>37505</v>
      </c>
      <c r="M1606" s="1">
        <f t="shared" si="128"/>
        <v>193.66207682455541</v>
      </c>
      <c r="N1606" s="7">
        <f t="shared" si="129"/>
        <v>193.66207682455541</v>
      </c>
    </row>
    <row r="1607" spans="1:14" x14ac:dyDescent="0.25">
      <c r="A1607" t="str">
        <f>"14:17:09.219"</f>
        <v>14:17:09.219</v>
      </c>
      <c r="B1607">
        <v>39.688431999999999</v>
      </c>
      <c r="C1607">
        <v>-76.242371000000006</v>
      </c>
      <c r="D1607">
        <v>4700</v>
      </c>
      <c r="E1607">
        <v>4875</v>
      </c>
      <c r="F1607">
        <v>172</v>
      </c>
      <c r="G1607">
        <v>89</v>
      </c>
      <c r="H1607">
        <v>0</v>
      </c>
      <c r="J1607" s="1">
        <f t="shared" si="125"/>
        <v>29584</v>
      </c>
      <c r="K1607" s="1">
        <f t="shared" si="126"/>
        <v>7921</v>
      </c>
      <c r="L1607" s="1">
        <f t="shared" si="127"/>
        <v>37505</v>
      </c>
      <c r="M1607" s="1">
        <f t="shared" si="128"/>
        <v>193.66207682455541</v>
      </c>
      <c r="N1607" s="7">
        <f t="shared" si="129"/>
        <v>193.66207682455541</v>
      </c>
    </row>
    <row r="1608" spans="1:14" x14ac:dyDescent="0.25">
      <c r="A1608" t="str">
        <f>"14:17:10.125"</f>
        <v>14:17:10.125</v>
      </c>
      <c r="B1608">
        <v>39.688797000000001</v>
      </c>
      <c r="C1608">
        <v>-76.241468999999995</v>
      </c>
      <c r="D1608">
        <v>4700</v>
      </c>
      <c r="E1608">
        <v>4875</v>
      </c>
      <c r="F1608">
        <v>171</v>
      </c>
      <c r="G1608">
        <v>89</v>
      </c>
      <c r="H1608">
        <v>0</v>
      </c>
      <c r="J1608" s="1">
        <f t="shared" si="125"/>
        <v>29241</v>
      </c>
      <c r="K1608" s="1">
        <f t="shared" si="126"/>
        <v>7921</v>
      </c>
      <c r="L1608" s="1">
        <f t="shared" si="127"/>
        <v>37162</v>
      </c>
      <c r="M1608" s="1">
        <f t="shared" si="128"/>
        <v>192.77447963877376</v>
      </c>
      <c r="N1608" s="7">
        <f t="shared" si="129"/>
        <v>192.77447963877376</v>
      </c>
    </row>
    <row r="1609" spans="1:14" x14ac:dyDescent="0.25">
      <c r="A1609" t="str">
        <f>"14:17:11.188"</f>
        <v>14:17:11.188</v>
      </c>
      <c r="B1609">
        <v>39.689269000000003</v>
      </c>
      <c r="C1609">
        <v>-76.240353999999996</v>
      </c>
      <c r="D1609">
        <v>4700</v>
      </c>
      <c r="E1609">
        <v>4875</v>
      </c>
      <c r="F1609">
        <v>171</v>
      </c>
      <c r="G1609">
        <v>89</v>
      </c>
      <c r="H1609">
        <v>0</v>
      </c>
      <c r="J1609" s="1">
        <f t="shared" si="125"/>
        <v>29241</v>
      </c>
      <c r="K1609" s="1">
        <f t="shared" si="126"/>
        <v>7921</v>
      </c>
      <c r="L1609" s="1">
        <f t="shared" si="127"/>
        <v>37162</v>
      </c>
      <c r="M1609" s="1">
        <f t="shared" si="128"/>
        <v>192.77447963877376</v>
      </c>
      <c r="N1609" s="7">
        <f t="shared" si="129"/>
        <v>192.77447963877376</v>
      </c>
    </row>
    <row r="1610" spans="1:14" x14ac:dyDescent="0.25">
      <c r="A1610" t="str">
        <f>"14:17:12.195"</f>
        <v>14:17:12.195</v>
      </c>
      <c r="B1610">
        <v>39.689698</v>
      </c>
      <c r="C1610">
        <v>-76.239323999999996</v>
      </c>
      <c r="D1610">
        <v>4700</v>
      </c>
      <c r="E1610">
        <v>4875</v>
      </c>
      <c r="F1610">
        <v>170</v>
      </c>
      <c r="G1610">
        <v>89</v>
      </c>
      <c r="H1610">
        <v>0</v>
      </c>
      <c r="J1610" s="1">
        <f t="shared" si="125"/>
        <v>28900</v>
      </c>
      <c r="K1610" s="1">
        <f t="shared" si="126"/>
        <v>7921</v>
      </c>
      <c r="L1610" s="1">
        <f t="shared" si="127"/>
        <v>36821</v>
      </c>
      <c r="M1610" s="1">
        <f t="shared" si="128"/>
        <v>191.88798815975949</v>
      </c>
      <c r="N1610" s="7">
        <f t="shared" si="129"/>
        <v>191.88798815975949</v>
      </c>
    </row>
    <row r="1611" spans="1:14" x14ac:dyDescent="0.25">
      <c r="A1611" t="str">
        <f>"14:17:13.203"</f>
        <v>14:17:13.203</v>
      </c>
      <c r="B1611">
        <v>39.690041999999998</v>
      </c>
      <c r="C1611">
        <v>-76.238378999999995</v>
      </c>
      <c r="D1611">
        <v>4700</v>
      </c>
      <c r="E1611">
        <v>4875</v>
      </c>
      <c r="F1611">
        <v>170</v>
      </c>
      <c r="G1611">
        <v>89</v>
      </c>
      <c r="H1611">
        <v>0</v>
      </c>
      <c r="J1611" s="1">
        <f t="shared" si="125"/>
        <v>28900</v>
      </c>
      <c r="K1611" s="1">
        <f t="shared" si="126"/>
        <v>7921</v>
      </c>
      <c r="L1611" s="1">
        <f t="shared" si="127"/>
        <v>36821</v>
      </c>
      <c r="M1611" s="1">
        <f t="shared" si="128"/>
        <v>191.88798815975949</v>
      </c>
      <c r="N1611" s="7">
        <f t="shared" si="129"/>
        <v>191.88798815975949</v>
      </c>
    </row>
    <row r="1612" spans="1:14" x14ac:dyDescent="0.25">
      <c r="A1612" t="str">
        <f>"14:17:14.117"</f>
        <v>14:17:14.117</v>
      </c>
      <c r="B1612">
        <v>39.690449000000001</v>
      </c>
      <c r="C1612">
        <v>-76.237414000000001</v>
      </c>
      <c r="D1612">
        <v>4700</v>
      </c>
      <c r="E1612">
        <v>4875</v>
      </c>
      <c r="F1612">
        <v>169</v>
      </c>
      <c r="G1612">
        <v>89</v>
      </c>
      <c r="H1612">
        <v>0</v>
      </c>
      <c r="J1612" s="1">
        <f t="shared" si="125"/>
        <v>28561</v>
      </c>
      <c r="K1612" s="1">
        <f t="shared" si="126"/>
        <v>7921</v>
      </c>
      <c r="L1612" s="1">
        <f t="shared" si="127"/>
        <v>36482</v>
      </c>
      <c r="M1612" s="1">
        <f t="shared" si="128"/>
        <v>191.00261778310789</v>
      </c>
      <c r="N1612" s="7">
        <f t="shared" si="129"/>
        <v>191.00261778310789</v>
      </c>
    </row>
    <row r="1613" spans="1:14" x14ac:dyDescent="0.25">
      <c r="A1613" t="str">
        <f>"14:17:15.227"</f>
        <v>14:17:15.227</v>
      </c>
      <c r="B1613">
        <v>39.690899999999999</v>
      </c>
      <c r="C1613">
        <v>-76.236277000000001</v>
      </c>
      <c r="D1613">
        <v>4700</v>
      </c>
      <c r="E1613">
        <v>4875</v>
      </c>
      <c r="F1613">
        <v>169</v>
      </c>
      <c r="G1613">
        <v>88</v>
      </c>
      <c r="H1613">
        <v>0</v>
      </c>
      <c r="J1613" s="1">
        <f t="shared" si="125"/>
        <v>28561</v>
      </c>
      <c r="K1613" s="1">
        <f t="shared" si="126"/>
        <v>7744</v>
      </c>
      <c r="L1613" s="1">
        <f t="shared" si="127"/>
        <v>36305</v>
      </c>
      <c r="M1613" s="1">
        <f t="shared" si="128"/>
        <v>190.53870997778904</v>
      </c>
      <c r="N1613" s="7">
        <f t="shared" si="129"/>
        <v>190.53870997778904</v>
      </c>
    </row>
    <row r="1614" spans="1:14" x14ac:dyDescent="0.25">
      <c r="A1614" t="str">
        <f>"14:17:16.336"</f>
        <v>14:17:16.336</v>
      </c>
      <c r="B1614">
        <v>39.69135</v>
      </c>
      <c r="C1614">
        <v>-76.235139000000004</v>
      </c>
      <c r="D1614">
        <v>4700</v>
      </c>
      <c r="E1614">
        <v>4875</v>
      </c>
      <c r="F1614">
        <v>168</v>
      </c>
      <c r="G1614">
        <v>88</v>
      </c>
      <c r="H1614">
        <v>0</v>
      </c>
      <c r="J1614" s="1">
        <f t="shared" si="125"/>
        <v>28224</v>
      </c>
      <c r="K1614" s="1">
        <f t="shared" si="126"/>
        <v>7744</v>
      </c>
      <c r="L1614" s="1">
        <f t="shared" si="127"/>
        <v>35968</v>
      </c>
      <c r="M1614" s="1">
        <f t="shared" si="128"/>
        <v>189.65231345807516</v>
      </c>
      <c r="N1614" s="7">
        <f t="shared" si="129"/>
        <v>189.65231345807516</v>
      </c>
    </row>
    <row r="1615" spans="1:14" x14ac:dyDescent="0.25">
      <c r="A1615" t="str">
        <f>"14:17:17.492"</f>
        <v>14:17:17.492</v>
      </c>
      <c r="B1615">
        <v>39.691865</v>
      </c>
      <c r="C1615">
        <v>-76.233958999999999</v>
      </c>
      <c r="D1615">
        <v>4700</v>
      </c>
      <c r="E1615">
        <v>4875</v>
      </c>
      <c r="F1615">
        <v>168</v>
      </c>
      <c r="G1615">
        <v>88</v>
      </c>
      <c r="H1615">
        <v>64</v>
      </c>
      <c r="J1615" s="1">
        <f t="shared" si="125"/>
        <v>28224</v>
      </c>
      <c r="K1615" s="1">
        <f t="shared" si="126"/>
        <v>7744</v>
      </c>
      <c r="L1615" s="1">
        <f t="shared" si="127"/>
        <v>35968</v>
      </c>
      <c r="M1615" s="1">
        <f t="shared" si="128"/>
        <v>189.65231345807516</v>
      </c>
      <c r="N1615" s="7">
        <f t="shared" si="129"/>
        <v>189.65231345807516</v>
      </c>
    </row>
    <row r="1616" spans="1:14" x14ac:dyDescent="0.25">
      <c r="A1616" t="str">
        <f>"14:17:18.453"</f>
        <v>14:17:18.453</v>
      </c>
      <c r="B1616">
        <v>39.692208999999998</v>
      </c>
      <c r="C1616">
        <v>-76.233036999999996</v>
      </c>
      <c r="D1616">
        <v>4700</v>
      </c>
      <c r="E1616">
        <v>4875</v>
      </c>
      <c r="F1616">
        <v>167</v>
      </c>
      <c r="G1616">
        <v>89</v>
      </c>
      <c r="H1616">
        <v>128</v>
      </c>
      <c r="J1616" s="1">
        <f t="shared" si="125"/>
        <v>27889</v>
      </c>
      <c r="K1616" s="1">
        <f t="shared" si="126"/>
        <v>7921</v>
      </c>
      <c r="L1616" s="1">
        <f t="shared" si="127"/>
        <v>35810</v>
      </c>
      <c r="M1616" s="1">
        <f t="shared" si="128"/>
        <v>189.2353032602532</v>
      </c>
      <c r="N1616" s="7">
        <f t="shared" si="129"/>
        <v>189.2353032602532</v>
      </c>
    </row>
    <row r="1617" spans="1:14" x14ac:dyDescent="0.25">
      <c r="A1617" t="str">
        <f>"14:17:19.516"</f>
        <v>14:17:19.516</v>
      </c>
      <c r="B1617">
        <v>39.692681</v>
      </c>
      <c r="C1617">
        <v>-76.231984999999995</v>
      </c>
      <c r="D1617">
        <v>4700</v>
      </c>
      <c r="E1617">
        <v>4875</v>
      </c>
      <c r="F1617">
        <v>167</v>
      </c>
      <c r="G1617">
        <v>89</v>
      </c>
      <c r="H1617">
        <v>128</v>
      </c>
      <c r="J1617" s="1">
        <f t="shared" si="125"/>
        <v>27889</v>
      </c>
      <c r="K1617" s="1">
        <f t="shared" si="126"/>
        <v>7921</v>
      </c>
      <c r="L1617" s="1">
        <f t="shared" si="127"/>
        <v>35810</v>
      </c>
      <c r="M1617" s="1">
        <f t="shared" si="128"/>
        <v>189.2353032602532</v>
      </c>
      <c r="N1617" s="7">
        <f t="shared" si="129"/>
        <v>189.2353032602532</v>
      </c>
    </row>
    <row r="1618" spans="1:14" x14ac:dyDescent="0.25">
      <c r="A1618" t="str">
        <f>"14:17:20.375"</f>
        <v>14:17:20.375</v>
      </c>
      <c r="B1618">
        <v>39.693002999999997</v>
      </c>
      <c r="C1618">
        <v>-76.231148000000005</v>
      </c>
      <c r="D1618">
        <v>4700</v>
      </c>
      <c r="E1618">
        <v>4875</v>
      </c>
      <c r="F1618">
        <v>166</v>
      </c>
      <c r="G1618">
        <v>89</v>
      </c>
      <c r="H1618">
        <v>64</v>
      </c>
      <c r="J1618" s="1">
        <f t="shared" si="125"/>
        <v>27556</v>
      </c>
      <c r="K1618" s="1">
        <f t="shared" si="126"/>
        <v>7921</v>
      </c>
      <c r="L1618" s="1">
        <f t="shared" si="127"/>
        <v>35477</v>
      </c>
      <c r="M1618" s="1">
        <f t="shared" si="128"/>
        <v>188.35339126227592</v>
      </c>
      <c r="N1618" s="7">
        <f t="shared" si="129"/>
        <v>188.35339126227592</v>
      </c>
    </row>
    <row r="1619" spans="1:14" x14ac:dyDescent="0.25">
      <c r="A1619" t="str">
        <f>"14:17:21.336"</f>
        <v>14:17:21.336</v>
      </c>
      <c r="B1619">
        <v>39.69341</v>
      </c>
      <c r="C1619">
        <v>-76.230182999999997</v>
      </c>
      <c r="D1619">
        <v>4700</v>
      </c>
      <c r="E1619">
        <v>4875</v>
      </c>
      <c r="F1619">
        <v>166</v>
      </c>
      <c r="G1619">
        <v>89</v>
      </c>
      <c r="H1619">
        <v>128</v>
      </c>
      <c r="J1619" s="1">
        <f t="shared" si="125"/>
        <v>27556</v>
      </c>
      <c r="K1619" s="1">
        <f t="shared" si="126"/>
        <v>7921</v>
      </c>
      <c r="L1619" s="1">
        <f t="shared" si="127"/>
        <v>35477</v>
      </c>
      <c r="M1619" s="1">
        <f t="shared" si="128"/>
        <v>188.35339126227592</v>
      </c>
      <c r="N1619" s="7">
        <f t="shared" si="129"/>
        <v>188.35339126227592</v>
      </c>
    </row>
    <row r="1620" spans="1:14" x14ac:dyDescent="0.25">
      <c r="A1620" t="str">
        <f>"14:17:22.297"</f>
        <v>14:17:22.297</v>
      </c>
      <c r="B1620">
        <v>39.693840000000002</v>
      </c>
      <c r="C1620">
        <v>-76.229174</v>
      </c>
      <c r="D1620">
        <v>4700</v>
      </c>
      <c r="E1620">
        <v>4875</v>
      </c>
      <c r="F1620">
        <v>165</v>
      </c>
      <c r="G1620">
        <v>88</v>
      </c>
      <c r="H1620">
        <v>0</v>
      </c>
      <c r="J1620" s="1">
        <f t="shared" si="125"/>
        <v>27225</v>
      </c>
      <c r="K1620" s="1">
        <f t="shared" si="126"/>
        <v>7744</v>
      </c>
      <c r="L1620" s="1">
        <f t="shared" si="127"/>
        <v>34969</v>
      </c>
      <c r="M1620" s="1">
        <f t="shared" si="128"/>
        <v>187</v>
      </c>
      <c r="N1620" s="7">
        <f t="shared" si="129"/>
        <v>187</v>
      </c>
    </row>
    <row r="1621" spans="1:14" x14ac:dyDescent="0.25">
      <c r="A1621" t="str">
        <f>"14:17:23.398"</f>
        <v>14:17:23.398</v>
      </c>
      <c r="B1621">
        <v>39.694246999999997</v>
      </c>
      <c r="C1621">
        <v>-76.228080000000006</v>
      </c>
      <c r="D1621">
        <v>4700</v>
      </c>
      <c r="E1621">
        <v>4875</v>
      </c>
      <c r="F1621">
        <v>165</v>
      </c>
      <c r="G1621">
        <v>88</v>
      </c>
      <c r="H1621">
        <v>-64</v>
      </c>
      <c r="J1621" s="1">
        <f t="shared" si="125"/>
        <v>27225</v>
      </c>
      <c r="K1621" s="1">
        <f t="shared" si="126"/>
        <v>7744</v>
      </c>
      <c r="L1621" s="1">
        <f t="shared" si="127"/>
        <v>34969</v>
      </c>
      <c r="M1621" s="1">
        <f t="shared" si="128"/>
        <v>187</v>
      </c>
      <c r="N1621" s="7">
        <f t="shared" si="129"/>
        <v>187</v>
      </c>
    </row>
    <row r="1622" spans="1:14" x14ac:dyDescent="0.25">
      <c r="A1622" t="str">
        <f>"14:17:24.359"</f>
        <v>14:17:24.359</v>
      </c>
      <c r="B1622">
        <v>39.694654999999997</v>
      </c>
      <c r="C1622">
        <v>-76.227199999999996</v>
      </c>
      <c r="D1622">
        <v>4700</v>
      </c>
      <c r="E1622">
        <v>4875</v>
      </c>
      <c r="F1622">
        <v>165</v>
      </c>
      <c r="G1622">
        <v>88</v>
      </c>
      <c r="H1622">
        <v>-64</v>
      </c>
      <c r="J1622" s="1">
        <f t="shared" si="125"/>
        <v>27225</v>
      </c>
      <c r="K1622" s="1">
        <f t="shared" si="126"/>
        <v>7744</v>
      </c>
      <c r="L1622" s="1">
        <f t="shared" si="127"/>
        <v>34969</v>
      </c>
      <c r="M1622" s="1">
        <f t="shared" si="128"/>
        <v>187</v>
      </c>
      <c r="N1622" s="7">
        <f t="shared" si="129"/>
        <v>187</v>
      </c>
    </row>
    <row r="1623" spans="1:14" x14ac:dyDescent="0.25">
      <c r="A1623" t="str">
        <f>"14:17:25.469"</f>
        <v>14:17:25.469</v>
      </c>
      <c r="B1623">
        <v>39.695106000000003</v>
      </c>
      <c r="C1623">
        <v>-76.226020000000005</v>
      </c>
      <c r="D1623">
        <v>4700</v>
      </c>
      <c r="E1623">
        <v>4875</v>
      </c>
      <c r="F1623">
        <v>164</v>
      </c>
      <c r="G1623">
        <v>88</v>
      </c>
      <c r="H1623">
        <v>0</v>
      </c>
      <c r="J1623" s="1">
        <f t="shared" si="125"/>
        <v>26896</v>
      </c>
      <c r="K1623" s="1">
        <f t="shared" si="126"/>
        <v>7744</v>
      </c>
      <c r="L1623" s="1">
        <f t="shared" si="127"/>
        <v>34640</v>
      </c>
      <c r="M1623" s="1">
        <f t="shared" si="128"/>
        <v>186.11824198610947</v>
      </c>
      <c r="N1623" s="7">
        <f t="shared" si="129"/>
        <v>186.11824198610947</v>
      </c>
    </row>
    <row r="1624" spans="1:14" x14ac:dyDescent="0.25">
      <c r="A1624" t="str">
        <f>"14:17:26.375"</f>
        <v>14:17:26.375</v>
      </c>
      <c r="B1624">
        <v>39.695512999999998</v>
      </c>
      <c r="C1624">
        <v>-76.225161999999997</v>
      </c>
      <c r="D1624">
        <v>4700</v>
      </c>
      <c r="E1624">
        <v>4875</v>
      </c>
      <c r="F1624">
        <v>164</v>
      </c>
      <c r="G1624">
        <v>88</v>
      </c>
      <c r="H1624">
        <v>0</v>
      </c>
      <c r="J1624" s="1">
        <f t="shared" si="125"/>
        <v>26896</v>
      </c>
      <c r="K1624" s="1">
        <f t="shared" si="126"/>
        <v>7744</v>
      </c>
      <c r="L1624" s="1">
        <f t="shared" si="127"/>
        <v>34640</v>
      </c>
      <c r="M1624" s="1">
        <f t="shared" si="128"/>
        <v>186.11824198610947</v>
      </c>
      <c r="N1624" s="7">
        <f t="shared" si="129"/>
        <v>186.11824198610947</v>
      </c>
    </row>
    <row r="1625" spans="1:14" x14ac:dyDescent="0.25">
      <c r="A1625" t="str">
        <f>"14:17:27.391"</f>
        <v>14:17:27.391</v>
      </c>
      <c r="B1625">
        <v>39.695878</v>
      </c>
      <c r="C1625">
        <v>-76.224174000000005</v>
      </c>
      <c r="D1625">
        <v>4700</v>
      </c>
      <c r="E1625">
        <v>4875</v>
      </c>
      <c r="F1625">
        <v>164</v>
      </c>
      <c r="G1625">
        <v>88</v>
      </c>
      <c r="H1625">
        <v>64</v>
      </c>
      <c r="J1625" s="1">
        <f t="shared" si="125"/>
        <v>26896</v>
      </c>
      <c r="K1625" s="1">
        <f t="shared" si="126"/>
        <v>7744</v>
      </c>
      <c r="L1625" s="1">
        <f t="shared" si="127"/>
        <v>34640</v>
      </c>
      <c r="M1625" s="1">
        <f t="shared" si="128"/>
        <v>186.11824198610947</v>
      </c>
      <c r="N1625" s="7">
        <f t="shared" si="129"/>
        <v>186.11824198610947</v>
      </c>
    </row>
    <row r="1626" spans="1:14" x14ac:dyDescent="0.25">
      <c r="A1626" t="str">
        <f>"14:17:28.398"</f>
        <v>14:17:28.398</v>
      </c>
      <c r="B1626">
        <v>39.696306999999997</v>
      </c>
      <c r="C1626">
        <v>-76.223208999999997</v>
      </c>
      <c r="D1626">
        <v>4700</v>
      </c>
      <c r="E1626">
        <v>4875</v>
      </c>
      <c r="F1626">
        <v>163</v>
      </c>
      <c r="G1626">
        <v>88</v>
      </c>
      <c r="H1626">
        <v>64</v>
      </c>
      <c r="J1626" s="1">
        <f t="shared" si="125"/>
        <v>26569</v>
      </c>
      <c r="K1626" s="1">
        <f t="shared" si="126"/>
        <v>7744</v>
      </c>
      <c r="L1626" s="1">
        <f t="shared" si="127"/>
        <v>34313</v>
      </c>
      <c r="M1626" s="1">
        <f t="shared" si="128"/>
        <v>185.23768515072737</v>
      </c>
      <c r="N1626" s="7">
        <f t="shared" si="129"/>
        <v>185.23768515072737</v>
      </c>
    </row>
    <row r="1627" spans="1:14" x14ac:dyDescent="0.25">
      <c r="A1627" t="str">
        <f>"14:17:29.508"</f>
        <v>14:17:29.508</v>
      </c>
      <c r="B1627">
        <v>39.696758000000003</v>
      </c>
      <c r="C1627">
        <v>-76.222136000000006</v>
      </c>
      <c r="D1627">
        <v>4700</v>
      </c>
      <c r="E1627">
        <v>4875</v>
      </c>
      <c r="F1627">
        <v>163</v>
      </c>
      <c r="G1627">
        <v>88</v>
      </c>
      <c r="H1627">
        <v>0</v>
      </c>
      <c r="J1627" s="1">
        <f t="shared" si="125"/>
        <v>26569</v>
      </c>
      <c r="K1627" s="1">
        <f t="shared" si="126"/>
        <v>7744</v>
      </c>
      <c r="L1627" s="1">
        <f t="shared" si="127"/>
        <v>34313</v>
      </c>
      <c r="M1627" s="1">
        <f t="shared" si="128"/>
        <v>185.23768515072737</v>
      </c>
      <c r="N1627" s="7">
        <f t="shared" si="129"/>
        <v>185.23768515072737</v>
      </c>
    </row>
    <row r="1628" spans="1:14" x14ac:dyDescent="0.25">
      <c r="A1628" t="str">
        <f>"14:17:30.313"</f>
        <v>14:17:30.313</v>
      </c>
      <c r="B1628">
        <v>39.69708</v>
      </c>
      <c r="C1628">
        <v>-76.221363999999994</v>
      </c>
      <c r="D1628">
        <v>4700</v>
      </c>
      <c r="E1628">
        <v>4875</v>
      </c>
      <c r="F1628">
        <v>163</v>
      </c>
      <c r="G1628">
        <v>88</v>
      </c>
      <c r="H1628">
        <v>192</v>
      </c>
      <c r="J1628" s="1">
        <f t="shared" si="125"/>
        <v>26569</v>
      </c>
      <c r="K1628" s="1">
        <f t="shared" si="126"/>
        <v>7744</v>
      </c>
      <c r="L1628" s="1">
        <f t="shared" si="127"/>
        <v>34313</v>
      </c>
      <c r="M1628" s="1">
        <f t="shared" si="128"/>
        <v>185.23768515072737</v>
      </c>
      <c r="N1628" s="7">
        <f t="shared" si="129"/>
        <v>185.23768515072737</v>
      </c>
    </row>
    <row r="1629" spans="1:14" x14ac:dyDescent="0.25">
      <c r="A1629" t="str">
        <f>"14:17:31.227"</f>
        <v>14:17:31.227</v>
      </c>
      <c r="B1629">
        <v>39.697465999999999</v>
      </c>
      <c r="C1629">
        <v>-76.220461999999998</v>
      </c>
      <c r="D1629">
        <v>4700</v>
      </c>
      <c r="E1629">
        <v>4875</v>
      </c>
      <c r="F1629">
        <v>162</v>
      </c>
      <c r="G1629">
        <v>88</v>
      </c>
      <c r="H1629">
        <v>128</v>
      </c>
      <c r="J1629" s="1">
        <f t="shared" si="125"/>
        <v>26244</v>
      </c>
      <c r="K1629" s="1">
        <f t="shared" si="126"/>
        <v>7744</v>
      </c>
      <c r="L1629" s="1">
        <f t="shared" si="127"/>
        <v>33988</v>
      </c>
      <c r="M1629" s="1">
        <f t="shared" si="128"/>
        <v>184.35834670553976</v>
      </c>
      <c r="N1629" s="7">
        <f t="shared" si="129"/>
        <v>184.35834670553976</v>
      </c>
    </row>
    <row r="1630" spans="1:14" x14ac:dyDescent="0.25">
      <c r="A1630" t="str">
        <f>"14:17:32.281"</f>
        <v>14:17:32.281</v>
      </c>
      <c r="B1630">
        <v>39.697916999999997</v>
      </c>
      <c r="C1630">
        <v>-76.219389000000007</v>
      </c>
      <c r="D1630">
        <v>4700</v>
      </c>
      <c r="E1630">
        <v>4875</v>
      </c>
      <c r="F1630">
        <v>162</v>
      </c>
      <c r="G1630">
        <v>88</v>
      </c>
      <c r="H1630">
        <v>64</v>
      </c>
      <c r="J1630" s="1">
        <f t="shared" si="125"/>
        <v>26244</v>
      </c>
      <c r="K1630" s="1">
        <f t="shared" si="126"/>
        <v>7744</v>
      </c>
      <c r="L1630" s="1">
        <f t="shared" si="127"/>
        <v>33988</v>
      </c>
      <c r="M1630" s="1">
        <f t="shared" si="128"/>
        <v>184.35834670553976</v>
      </c>
      <c r="N1630" s="7">
        <f t="shared" si="129"/>
        <v>184.35834670553976</v>
      </c>
    </row>
    <row r="1631" spans="1:14" x14ac:dyDescent="0.25">
      <c r="A1631" t="str">
        <f>"14:17:33.242"</f>
        <v>14:17:33.242</v>
      </c>
      <c r="B1631">
        <v>39.698259999999998</v>
      </c>
      <c r="C1631">
        <v>-76.218509999999995</v>
      </c>
      <c r="D1631">
        <v>4700</v>
      </c>
      <c r="E1631">
        <v>4875</v>
      </c>
      <c r="F1631">
        <v>162</v>
      </c>
      <c r="G1631">
        <v>87</v>
      </c>
      <c r="H1631">
        <v>0</v>
      </c>
      <c r="J1631" s="1">
        <f t="shared" si="125"/>
        <v>26244</v>
      </c>
      <c r="K1631" s="1">
        <f t="shared" si="126"/>
        <v>7569</v>
      </c>
      <c r="L1631" s="1">
        <f t="shared" si="127"/>
        <v>33813</v>
      </c>
      <c r="M1631" s="1">
        <f t="shared" si="128"/>
        <v>183.88311504866346</v>
      </c>
      <c r="N1631" s="7">
        <f t="shared" si="129"/>
        <v>183.88311504866346</v>
      </c>
    </row>
    <row r="1632" spans="1:14" x14ac:dyDescent="0.25">
      <c r="A1632" t="str">
        <f>"14:17:34.203"</f>
        <v>14:17:34.203</v>
      </c>
      <c r="B1632">
        <v>39.698667999999998</v>
      </c>
      <c r="C1632">
        <v>-76.217523</v>
      </c>
      <c r="D1632">
        <v>4700</v>
      </c>
      <c r="E1632">
        <v>4875</v>
      </c>
      <c r="F1632">
        <v>162</v>
      </c>
      <c r="G1632">
        <v>87</v>
      </c>
      <c r="H1632">
        <v>-64</v>
      </c>
      <c r="J1632" s="1">
        <f t="shared" si="125"/>
        <v>26244</v>
      </c>
      <c r="K1632" s="1">
        <f t="shared" si="126"/>
        <v>7569</v>
      </c>
      <c r="L1632" s="1">
        <f t="shared" si="127"/>
        <v>33813</v>
      </c>
      <c r="M1632" s="1">
        <f t="shared" si="128"/>
        <v>183.88311504866346</v>
      </c>
      <c r="N1632" s="7">
        <f t="shared" si="129"/>
        <v>183.88311504866346</v>
      </c>
    </row>
    <row r="1633" spans="1:14" x14ac:dyDescent="0.25">
      <c r="A1633" t="str">
        <f>"14:17:35.266"</f>
        <v>14:17:35.266</v>
      </c>
      <c r="B1633">
        <v>39.699053999999997</v>
      </c>
      <c r="C1633">
        <v>-76.216556999999995</v>
      </c>
      <c r="D1633">
        <v>4700</v>
      </c>
      <c r="E1633">
        <v>4875</v>
      </c>
      <c r="F1633">
        <v>162</v>
      </c>
      <c r="G1633">
        <v>86</v>
      </c>
      <c r="H1633">
        <v>-128</v>
      </c>
      <c r="J1633" s="1">
        <f t="shared" si="125"/>
        <v>26244</v>
      </c>
      <c r="K1633" s="1">
        <f t="shared" si="126"/>
        <v>7396</v>
      </c>
      <c r="L1633" s="1">
        <f t="shared" si="127"/>
        <v>33640</v>
      </c>
      <c r="M1633" s="1">
        <f t="shared" si="128"/>
        <v>183.41210428976601</v>
      </c>
      <c r="N1633" s="7">
        <f t="shared" si="129"/>
        <v>183.41210428976601</v>
      </c>
    </row>
    <row r="1634" spans="1:14" x14ac:dyDescent="0.25">
      <c r="A1634" t="str">
        <f>"14:17:36.219"</f>
        <v>14:17:36.219</v>
      </c>
      <c r="B1634">
        <v>39.699460999999999</v>
      </c>
      <c r="C1634">
        <v>-76.21557</v>
      </c>
      <c r="D1634">
        <v>4700</v>
      </c>
      <c r="E1634">
        <v>4875</v>
      </c>
      <c r="F1634">
        <v>162</v>
      </c>
      <c r="G1634">
        <v>86</v>
      </c>
      <c r="H1634">
        <v>-128</v>
      </c>
      <c r="J1634" s="1">
        <f t="shared" si="125"/>
        <v>26244</v>
      </c>
      <c r="K1634" s="1">
        <f t="shared" si="126"/>
        <v>7396</v>
      </c>
      <c r="L1634" s="1">
        <f t="shared" si="127"/>
        <v>33640</v>
      </c>
      <c r="M1634" s="1">
        <f t="shared" si="128"/>
        <v>183.41210428976601</v>
      </c>
      <c r="N1634" s="7">
        <f t="shared" si="129"/>
        <v>183.41210428976601</v>
      </c>
    </row>
    <row r="1635" spans="1:14" x14ac:dyDescent="0.25">
      <c r="A1635" t="str">
        <f>"14:17:37.180"</f>
        <v>14:17:37.180</v>
      </c>
      <c r="B1635">
        <v>39.699826000000002</v>
      </c>
      <c r="C1635">
        <v>-76.214732999999995</v>
      </c>
      <c r="D1635">
        <v>4700</v>
      </c>
      <c r="E1635">
        <v>4875</v>
      </c>
      <c r="F1635">
        <v>162</v>
      </c>
      <c r="G1635">
        <v>86</v>
      </c>
      <c r="H1635">
        <v>-64</v>
      </c>
      <c r="J1635" s="1">
        <f t="shared" si="125"/>
        <v>26244</v>
      </c>
      <c r="K1635" s="1">
        <f t="shared" si="126"/>
        <v>7396</v>
      </c>
      <c r="L1635" s="1">
        <f t="shared" si="127"/>
        <v>33640</v>
      </c>
      <c r="M1635" s="1">
        <f t="shared" si="128"/>
        <v>183.41210428976601</v>
      </c>
      <c r="N1635" s="7">
        <f t="shared" si="129"/>
        <v>183.41210428976601</v>
      </c>
    </row>
    <row r="1636" spans="1:14" x14ac:dyDescent="0.25">
      <c r="A1636" t="str">
        <f>"14:17:38.188"</f>
        <v>14:17:38.188</v>
      </c>
      <c r="B1636">
        <v>39.700190999999997</v>
      </c>
      <c r="C1636">
        <v>-76.213768000000002</v>
      </c>
      <c r="D1636">
        <v>4700</v>
      </c>
      <c r="E1636">
        <v>4875</v>
      </c>
      <c r="F1636">
        <v>162</v>
      </c>
      <c r="G1636">
        <v>85</v>
      </c>
      <c r="H1636">
        <v>0</v>
      </c>
      <c r="J1636" s="1">
        <f t="shared" si="125"/>
        <v>26244</v>
      </c>
      <c r="K1636" s="1">
        <f t="shared" si="126"/>
        <v>7225</v>
      </c>
      <c r="L1636" s="1">
        <f t="shared" si="127"/>
        <v>33469</v>
      </c>
      <c r="M1636" s="1">
        <f t="shared" si="128"/>
        <v>182.94534703019914</v>
      </c>
      <c r="N1636" s="7">
        <f t="shared" si="129"/>
        <v>182.94534703019914</v>
      </c>
    </row>
    <row r="1637" spans="1:14" x14ac:dyDescent="0.25">
      <c r="A1637" t="str">
        <f>"14:17:39.203"</f>
        <v>14:17:39.203</v>
      </c>
      <c r="B1637">
        <v>39.700642000000002</v>
      </c>
      <c r="C1637">
        <v>-76.212716</v>
      </c>
      <c r="D1637">
        <v>4700</v>
      </c>
      <c r="E1637">
        <v>4875</v>
      </c>
      <c r="F1637">
        <v>162</v>
      </c>
      <c r="G1637">
        <v>85</v>
      </c>
      <c r="H1637">
        <v>64</v>
      </c>
      <c r="J1637" s="1">
        <f t="shared" si="125"/>
        <v>26244</v>
      </c>
      <c r="K1637" s="1">
        <f t="shared" si="126"/>
        <v>7225</v>
      </c>
      <c r="L1637" s="1">
        <f t="shared" si="127"/>
        <v>33469</v>
      </c>
      <c r="M1637" s="1">
        <f t="shared" si="128"/>
        <v>182.94534703019914</v>
      </c>
      <c r="N1637" s="7">
        <f t="shared" si="129"/>
        <v>182.94534703019914</v>
      </c>
    </row>
    <row r="1638" spans="1:14" x14ac:dyDescent="0.25">
      <c r="A1638" t="str">
        <f>"14:17:40.258"</f>
        <v>14:17:40.258</v>
      </c>
      <c r="B1638">
        <v>39.701048999999998</v>
      </c>
      <c r="C1638">
        <v>-76.211729000000005</v>
      </c>
      <c r="D1638">
        <v>4700</v>
      </c>
      <c r="E1638">
        <v>4875</v>
      </c>
      <c r="F1638">
        <v>162</v>
      </c>
      <c r="G1638">
        <v>85</v>
      </c>
      <c r="H1638">
        <v>0</v>
      </c>
      <c r="J1638" s="1">
        <f t="shared" si="125"/>
        <v>26244</v>
      </c>
      <c r="K1638" s="1">
        <f t="shared" si="126"/>
        <v>7225</v>
      </c>
      <c r="L1638" s="1">
        <f t="shared" si="127"/>
        <v>33469</v>
      </c>
      <c r="M1638" s="1">
        <f t="shared" si="128"/>
        <v>182.94534703019914</v>
      </c>
      <c r="N1638" s="7">
        <f t="shared" si="129"/>
        <v>182.94534703019914</v>
      </c>
    </row>
    <row r="1639" spans="1:14" x14ac:dyDescent="0.25">
      <c r="A1639" t="str">
        <f>"14:17:41.320"</f>
        <v>14:17:41.320</v>
      </c>
      <c r="B1639">
        <v>39.701478000000002</v>
      </c>
      <c r="C1639">
        <v>-76.210656</v>
      </c>
      <c r="D1639">
        <v>4700</v>
      </c>
      <c r="E1639">
        <v>4875</v>
      </c>
      <c r="F1639">
        <v>162</v>
      </c>
      <c r="G1639">
        <v>85</v>
      </c>
      <c r="H1639">
        <v>0</v>
      </c>
      <c r="J1639" s="1">
        <f t="shared" si="125"/>
        <v>26244</v>
      </c>
      <c r="K1639" s="1">
        <f t="shared" si="126"/>
        <v>7225</v>
      </c>
      <c r="L1639" s="1">
        <f t="shared" si="127"/>
        <v>33469</v>
      </c>
      <c r="M1639" s="1">
        <f t="shared" si="128"/>
        <v>182.94534703019914</v>
      </c>
      <c r="N1639" s="7">
        <f t="shared" si="129"/>
        <v>182.94534703019914</v>
      </c>
    </row>
    <row r="1640" spans="1:14" x14ac:dyDescent="0.25">
      <c r="A1640" t="str">
        <f>"14:17:42.281"</f>
        <v>14:17:42.281</v>
      </c>
      <c r="B1640">
        <v>39.701842999999997</v>
      </c>
      <c r="C1640">
        <v>-76.209648000000001</v>
      </c>
      <c r="D1640">
        <v>4700</v>
      </c>
      <c r="E1640">
        <v>4875</v>
      </c>
      <c r="F1640">
        <v>162</v>
      </c>
      <c r="G1640">
        <v>84</v>
      </c>
      <c r="H1640">
        <v>64</v>
      </c>
      <c r="J1640" s="1">
        <f t="shared" si="125"/>
        <v>26244</v>
      </c>
      <c r="K1640" s="1">
        <f t="shared" si="126"/>
        <v>7056</v>
      </c>
      <c r="L1640" s="1">
        <f t="shared" si="127"/>
        <v>33300</v>
      </c>
      <c r="M1640" s="1">
        <f t="shared" si="128"/>
        <v>182.4828759089466</v>
      </c>
      <c r="N1640" s="7">
        <f t="shared" si="129"/>
        <v>182.4828759089466</v>
      </c>
    </row>
    <row r="1641" spans="1:14" x14ac:dyDescent="0.25">
      <c r="A1641" t="str">
        <f>"14:17:43.289"</f>
        <v>14:17:43.289</v>
      </c>
      <c r="B1641">
        <v>39.702207999999999</v>
      </c>
      <c r="C1641">
        <v>-76.208810999999997</v>
      </c>
      <c r="D1641">
        <v>4700</v>
      </c>
      <c r="E1641">
        <v>4875</v>
      </c>
      <c r="F1641">
        <v>161</v>
      </c>
      <c r="G1641">
        <v>84</v>
      </c>
      <c r="H1641">
        <v>64</v>
      </c>
      <c r="J1641" s="1">
        <f t="shared" si="125"/>
        <v>25921</v>
      </c>
      <c r="K1641" s="1">
        <f t="shared" si="126"/>
        <v>7056</v>
      </c>
      <c r="L1641" s="1">
        <f t="shared" si="127"/>
        <v>32977</v>
      </c>
      <c r="M1641" s="1">
        <f t="shared" si="128"/>
        <v>181.59570479501986</v>
      </c>
      <c r="N1641" s="7">
        <f t="shared" si="129"/>
        <v>181.59570479501986</v>
      </c>
    </row>
    <row r="1642" spans="1:14" x14ac:dyDescent="0.25">
      <c r="A1642" t="str">
        <f>"14:17:44.344"</f>
        <v>14:17:44.344</v>
      </c>
      <c r="B1642">
        <v>39.702615999999999</v>
      </c>
      <c r="C1642">
        <v>-76.207738000000006</v>
      </c>
      <c r="D1642">
        <v>4700</v>
      </c>
      <c r="E1642">
        <v>4875</v>
      </c>
      <c r="F1642">
        <v>161</v>
      </c>
      <c r="G1642">
        <v>84</v>
      </c>
      <c r="H1642">
        <v>64</v>
      </c>
      <c r="J1642" s="1">
        <f t="shared" si="125"/>
        <v>25921</v>
      </c>
      <c r="K1642" s="1">
        <f t="shared" si="126"/>
        <v>7056</v>
      </c>
      <c r="L1642" s="1">
        <f t="shared" si="127"/>
        <v>32977</v>
      </c>
      <c r="M1642" s="1">
        <f t="shared" si="128"/>
        <v>181.59570479501986</v>
      </c>
      <c r="N1642" s="7">
        <f t="shared" si="129"/>
        <v>181.59570479501986</v>
      </c>
    </row>
    <row r="1643" spans="1:14" x14ac:dyDescent="0.25">
      <c r="A1643" t="str">
        <f>"14:17:45.305"</f>
        <v>14:17:45.305</v>
      </c>
      <c r="B1643">
        <v>39.703023000000002</v>
      </c>
      <c r="C1643">
        <v>-76.206794000000002</v>
      </c>
      <c r="D1643">
        <v>4700</v>
      </c>
      <c r="E1643">
        <v>4875</v>
      </c>
      <c r="F1643">
        <v>161</v>
      </c>
      <c r="G1643">
        <v>84</v>
      </c>
      <c r="H1643">
        <v>64</v>
      </c>
      <c r="J1643" s="1">
        <f t="shared" si="125"/>
        <v>25921</v>
      </c>
      <c r="K1643" s="1">
        <f t="shared" si="126"/>
        <v>7056</v>
      </c>
      <c r="L1643" s="1">
        <f t="shared" si="127"/>
        <v>32977</v>
      </c>
      <c r="M1643" s="1">
        <f t="shared" si="128"/>
        <v>181.59570479501986</v>
      </c>
      <c r="N1643" s="7">
        <f t="shared" si="129"/>
        <v>181.59570479501986</v>
      </c>
    </row>
    <row r="1644" spans="1:14" x14ac:dyDescent="0.25">
      <c r="A1644" t="str">
        <f>"14:17:46.266"</f>
        <v>14:17:46.266</v>
      </c>
      <c r="B1644">
        <v>39.703387999999997</v>
      </c>
      <c r="C1644">
        <v>-76.205934999999997</v>
      </c>
      <c r="D1644">
        <v>4700</v>
      </c>
      <c r="E1644">
        <v>4875</v>
      </c>
      <c r="F1644">
        <v>161</v>
      </c>
      <c r="G1644">
        <v>84</v>
      </c>
      <c r="H1644">
        <v>64</v>
      </c>
      <c r="J1644" s="1">
        <f t="shared" si="125"/>
        <v>25921</v>
      </c>
      <c r="K1644" s="1">
        <f t="shared" si="126"/>
        <v>7056</v>
      </c>
      <c r="L1644" s="1">
        <f t="shared" si="127"/>
        <v>32977</v>
      </c>
      <c r="M1644" s="1">
        <f t="shared" si="128"/>
        <v>181.59570479501986</v>
      </c>
      <c r="N1644" s="7">
        <f t="shared" si="129"/>
        <v>181.59570479501986</v>
      </c>
    </row>
    <row r="1645" spans="1:14" x14ac:dyDescent="0.25">
      <c r="A1645" t="str">
        <f>"14:17:47.328"</f>
        <v>14:17:47.328</v>
      </c>
      <c r="B1645">
        <v>39.703817000000001</v>
      </c>
      <c r="C1645">
        <v>-76.204819999999998</v>
      </c>
      <c r="D1645">
        <v>4700</v>
      </c>
      <c r="E1645">
        <v>4900</v>
      </c>
      <c r="F1645">
        <v>161</v>
      </c>
      <c r="G1645">
        <v>83</v>
      </c>
      <c r="H1645">
        <v>64</v>
      </c>
      <c r="J1645" s="1">
        <f t="shared" si="125"/>
        <v>25921</v>
      </c>
      <c r="K1645" s="1">
        <f t="shared" si="126"/>
        <v>6889</v>
      </c>
      <c r="L1645" s="1">
        <f t="shared" si="127"/>
        <v>32810</v>
      </c>
      <c r="M1645" s="1">
        <f t="shared" si="128"/>
        <v>181.13530854032848</v>
      </c>
      <c r="N1645" s="7">
        <f t="shared" si="129"/>
        <v>181.13530854032848</v>
      </c>
    </row>
    <row r="1646" spans="1:14" x14ac:dyDescent="0.25">
      <c r="A1646" t="str">
        <f>"14:17:48.391"</f>
        <v>14:17:48.391</v>
      </c>
      <c r="B1646">
        <v>39.704225000000001</v>
      </c>
      <c r="C1646">
        <v>-76.203789999999998</v>
      </c>
      <c r="D1646">
        <v>4700</v>
      </c>
      <c r="E1646">
        <v>4900</v>
      </c>
      <c r="F1646">
        <v>161</v>
      </c>
      <c r="G1646">
        <v>83</v>
      </c>
      <c r="H1646">
        <v>64</v>
      </c>
      <c r="J1646" s="1">
        <f t="shared" si="125"/>
        <v>25921</v>
      </c>
      <c r="K1646" s="1">
        <f t="shared" si="126"/>
        <v>6889</v>
      </c>
      <c r="L1646" s="1">
        <f t="shared" si="127"/>
        <v>32810</v>
      </c>
      <c r="M1646" s="1">
        <f t="shared" si="128"/>
        <v>181.13530854032848</v>
      </c>
      <c r="N1646" s="7">
        <f t="shared" si="129"/>
        <v>181.13530854032848</v>
      </c>
    </row>
    <row r="1647" spans="1:14" x14ac:dyDescent="0.25">
      <c r="A1647" t="str">
        <f>"14:17:49.344"</f>
        <v>14:17:49.344</v>
      </c>
      <c r="B1647">
        <v>39.704590000000003</v>
      </c>
      <c r="C1647">
        <v>-76.202910000000003</v>
      </c>
      <c r="D1647">
        <v>4700</v>
      </c>
      <c r="E1647">
        <v>4900</v>
      </c>
      <c r="F1647">
        <v>160</v>
      </c>
      <c r="G1647">
        <v>83</v>
      </c>
      <c r="H1647">
        <v>64</v>
      </c>
      <c r="J1647" s="1">
        <f t="shared" si="125"/>
        <v>25600</v>
      </c>
      <c r="K1647" s="1">
        <f t="shared" si="126"/>
        <v>6889</v>
      </c>
      <c r="L1647" s="1">
        <f t="shared" si="127"/>
        <v>32489</v>
      </c>
      <c r="M1647" s="1">
        <f t="shared" si="128"/>
        <v>180.24705268048075</v>
      </c>
      <c r="N1647" s="7">
        <f t="shared" si="129"/>
        <v>180.24705268048075</v>
      </c>
    </row>
    <row r="1648" spans="1:14" x14ac:dyDescent="0.25">
      <c r="A1648" t="str">
        <f>"14:17:50.406"</f>
        <v>14:17:50.406</v>
      </c>
      <c r="B1648">
        <v>39.705019</v>
      </c>
      <c r="C1648">
        <v>-76.201836999999998</v>
      </c>
      <c r="D1648">
        <v>4700</v>
      </c>
      <c r="E1648">
        <v>4900</v>
      </c>
      <c r="F1648">
        <v>160</v>
      </c>
      <c r="G1648">
        <v>83</v>
      </c>
      <c r="H1648">
        <v>64</v>
      </c>
      <c r="J1648" s="1">
        <f t="shared" si="125"/>
        <v>25600</v>
      </c>
      <c r="K1648" s="1">
        <f t="shared" si="126"/>
        <v>6889</v>
      </c>
      <c r="L1648" s="1">
        <f t="shared" si="127"/>
        <v>32489</v>
      </c>
      <c r="M1648" s="1">
        <f t="shared" si="128"/>
        <v>180.24705268048075</v>
      </c>
      <c r="N1648" s="7">
        <f t="shared" si="129"/>
        <v>180.24705268048075</v>
      </c>
    </row>
    <row r="1649" spans="1:14" x14ac:dyDescent="0.25">
      <c r="A1649" t="str">
        <f>"14:17:51.313"</f>
        <v>14:17:51.313</v>
      </c>
      <c r="B1649">
        <v>39.705319000000003</v>
      </c>
      <c r="C1649">
        <v>-76.200999999999993</v>
      </c>
      <c r="D1649">
        <v>4700</v>
      </c>
      <c r="E1649">
        <v>4900</v>
      </c>
      <c r="F1649">
        <v>160</v>
      </c>
      <c r="G1649">
        <v>83</v>
      </c>
      <c r="H1649">
        <v>0</v>
      </c>
      <c r="J1649" s="1">
        <f t="shared" si="125"/>
        <v>25600</v>
      </c>
      <c r="K1649" s="1">
        <f t="shared" si="126"/>
        <v>6889</v>
      </c>
      <c r="L1649" s="1">
        <f t="shared" si="127"/>
        <v>32489</v>
      </c>
      <c r="M1649" s="1">
        <f t="shared" si="128"/>
        <v>180.24705268048075</v>
      </c>
      <c r="N1649" s="7">
        <f t="shared" si="129"/>
        <v>180.24705268048075</v>
      </c>
    </row>
    <row r="1650" spans="1:14" x14ac:dyDescent="0.25">
      <c r="A1650" t="str">
        <f>"14:17:52.273"</f>
        <v>14:17:52.273</v>
      </c>
      <c r="B1650">
        <v>39.705727000000003</v>
      </c>
      <c r="C1650">
        <v>-76.200035</v>
      </c>
      <c r="D1650">
        <v>4700</v>
      </c>
      <c r="E1650">
        <v>4900</v>
      </c>
      <c r="F1650">
        <v>160</v>
      </c>
      <c r="G1650">
        <v>83</v>
      </c>
      <c r="H1650">
        <v>0</v>
      </c>
      <c r="J1650" s="1">
        <f t="shared" si="125"/>
        <v>25600</v>
      </c>
      <c r="K1650" s="1">
        <f t="shared" si="126"/>
        <v>6889</v>
      </c>
      <c r="L1650" s="1">
        <f t="shared" si="127"/>
        <v>32489</v>
      </c>
      <c r="M1650" s="1">
        <f t="shared" si="128"/>
        <v>180.24705268048075</v>
      </c>
      <c r="N1650" s="7">
        <f t="shared" si="129"/>
        <v>180.24705268048075</v>
      </c>
    </row>
    <row r="1651" spans="1:14" x14ac:dyDescent="0.25">
      <c r="A1651" t="str">
        <f>"14:17:53.328"</f>
        <v>14:17:53.328</v>
      </c>
      <c r="B1651">
        <v>39.706091999999998</v>
      </c>
      <c r="C1651">
        <v>-76.199089999999998</v>
      </c>
      <c r="D1651">
        <v>4700</v>
      </c>
      <c r="E1651">
        <v>4900</v>
      </c>
      <c r="F1651">
        <v>160</v>
      </c>
      <c r="G1651">
        <v>83</v>
      </c>
      <c r="H1651">
        <v>-64</v>
      </c>
      <c r="J1651" s="1">
        <f t="shared" si="125"/>
        <v>25600</v>
      </c>
      <c r="K1651" s="1">
        <f t="shared" si="126"/>
        <v>6889</v>
      </c>
      <c r="L1651" s="1">
        <f t="shared" si="127"/>
        <v>32489</v>
      </c>
      <c r="M1651" s="1">
        <f t="shared" si="128"/>
        <v>180.24705268048075</v>
      </c>
      <c r="N1651" s="7">
        <f t="shared" si="129"/>
        <v>180.24705268048075</v>
      </c>
    </row>
    <row r="1652" spans="1:14" x14ac:dyDescent="0.25">
      <c r="A1652" t="str">
        <f>"14:17:54.336"</f>
        <v>14:17:54.336</v>
      </c>
      <c r="B1652">
        <v>39.706457</v>
      </c>
      <c r="C1652">
        <v>-76.198125000000005</v>
      </c>
      <c r="D1652">
        <v>4700</v>
      </c>
      <c r="E1652">
        <v>4875</v>
      </c>
      <c r="F1652">
        <v>160</v>
      </c>
      <c r="G1652">
        <v>83</v>
      </c>
      <c r="H1652">
        <v>-64</v>
      </c>
      <c r="J1652" s="1">
        <f t="shared" si="125"/>
        <v>25600</v>
      </c>
      <c r="K1652" s="1">
        <f t="shared" si="126"/>
        <v>6889</v>
      </c>
      <c r="L1652" s="1">
        <f t="shared" si="127"/>
        <v>32489</v>
      </c>
      <c r="M1652" s="1">
        <f t="shared" si="128"/>
        <v>180.24705268048075</v>
      </c>
      <c r="N1652" s="7">
        <f t="shared" si="129"/>
        <v>180.24705268048075</v>
      </c>
    </row>
    <row r="1653" spans="1:14" x14ac:dyDescent="0.25">
      <c r="A1653" t="str">
        <f>"14:17:55.398"</f>
        <v>14:17:55.398</v>
      </c>
      <c r="B1653">
        <v>39.706907000000001</v>
      </c>
      <c r="C1653">
        <v>-76.197073000000003</v>
      </c>
      <c r="D1653">
        <v>4700</v>
      </c>
      <c r="E1653">
        <v>4875</v>
      </c>
      <c r="F1653">
        <v>160</v>
      </c>
      <c r="G1653">
        <v>83</v>
      </c>
      <c r="H1653">
        <v>-64</v>
      </c>
      <c r="J1653" s="1">
        <f t="shared" si="125"/>
        <v>25600</v>
      </c>
      <c r="K1653" s="1">
        <f t="shared" si="126"/>
        <v>6889</v>
      </c>
      <c r="L1653" s="1">
        <f t="shared" si="127"/>
        <v>32489</v>
      </c>
      <c r="M1653" s="1">
        <f t="shared" si="128"/>
        <v>180.24705268048075</v>
      </c>
      <c r="N1653" s="7">
        <f t="shared" si="129"/>
        <v>180.24705268048075</v>
      </c>
    </row>
    <row r="1654" spans="1:14" x14ac:dyDescent="0.25">
      <c r="A1654" t="str">
        <f>"14:17:56.359"</f>
        <v>14:17:56.359</v>
      </c>
      <c r="B1654">
        <v>39.707250999999999</v>
      </c>
      <c r="C1654">
        <v>-76.196214999999995</v>
      </c>
      <c r="D1654">
        <v>4700</v>
      </c>
      <c r="E1654">
        <v>4875</v>
      </c>
      <c r="F1654">
        <v>160</v>
      </c>
      <c r="G1654">
        <v>82</v>
      </c>
      <c r="H1654">
        <v>-64</v>
      </c>
      <c r="J1654" s="1">
        <f t="shared" si="125"/>
        <v>25600</v>
      </c>
      <c r="K1654" s="1">
        <f t="shared" si="126"/>
        <v>6724</v>
      </c>
      <c r="L1654" s="1">
        <f t="shared" si="127"/>
        <v>32324</v>
      </c>
      <c r="M1654" s="1">
        <f t="shared" si="128"/>
        <v>179.78876494375282</v>
      </c>
      <c r="N1654" s="7">
        <f t="shared" si="129"/>
        <v>179.78876494375282</v>
      </c>
    </row>
    <row r="1655" spans="1:14" x14ac:dyDescent="0.25">
      <c r="A1655" t="str">
        <f>"14:17:57.273"</f>
        <v>14:17:57.273</v>
      </c>
      <c r="B1655">
        <v>39.707614999999997</v>
      </c>
      <c r="C1655">
        <v>-76.195271000000005</v>
      </c>
      <c r="D1655">
        <v>4700</v>
      </c>
      <c r="E1655">
        <v>4875</v>
      </c>
      <c r="F1655">
        <v>160</v>
      </c>
      <c r="G1655">
        <v>82</v>
      </c>
      <c r="H1655">
        <v>64</v>
      </c>
      <c r="J1655" s="1">
        <f t="shared" si="125"/>
        <v>25600</v>
      </c>
      <c r="K1655" s="1">
        <f t="shared" si="126"/>
        <v>6724</v>
      </c>
      <c r="L1655" s="1">
        <f t="shared" si="127"/>
        <v>32324</v>
      </c>
      <c r="M1655" s="1">
        <f t="shared" si="128"/>
        <v>179.78876494375282</v>
      </c>
      <c r="N1655" s="7">
        <f t="shared" si="129"/>
        <v>179.78876494375282</v>
      </c>
    </row>
    <row r="1656" spans="1:14" x14ac:dyDescent="0.25">
      <c r="A1656" t="str">
        <f>"14:17:58.328"</f>
        <v>14:17:58.328</v>
      </c>
      <c r="B1656">
        <v>39.708022999999997</v>
      </c>
      <c r="C1656">
        <v>-76.194305</v>
      </c>
      <c r="D1656">
        <v>4700</v>
      </c>
      <c r="E1656">
        <v>4900</v>
      </c>
      <c r="F1656">
        <v>160</v>
      </c>
      <c r="G1656">
        <v>83</v>
      </c>
      <c r="H1656">
        <v>64</v>
      </c>
      <c r="J1656" s="1">
        <f t="shared" si="125"/>
        <v>25600</v>
      </c>
      <c r="K1656" s="1">
        <f t="shared" si="126"/>
        <v>6889</v>
      </c>
      <c r="L1656" s="1">
        <f t="shared" si="127"/>
        <v>32489</v>
      </c>
      <c r="M1656" s="1">
        <f t="shared" si="128"/>
        <v>180.24705268048075</v>
      </c>
      <c r="N1656" s="7">
        <f t="shared" si="129"/>
        <v>180.24705268048075</v>
      </c>
    </row>
    <row r="1657" spans="1:14" x14ac:dyDescent="0.25">
      <c r="A1657" t="str">
        <f>"14:17:59.484"</f>
        <v>14:17:59.484</v>
      </c>
      <c r="B1657">
        <v>39.708474000000002</v>
      </c>
      <c r="C1657">
        <v>-76.193104000000005</v>
      </c>
      <c r="D1657">
        <v>4700</v>
      </c>
      <c r="E1657">
        <v>4900</v>
      </c>
      <c r="F1657">
        <v>159</v>
      </c>
      <c r="G1657">
        <v>83</v>
      </c>
      <c r="H1657">
        <v>64</v>
      </c>
      <c r="J1657" s="1">
        <f t="shared" si="125"/>
        <v>25281</v>
      </c>
      <c r="K1657" s="1">
        <f t="shared" si="126"/>
        <v>6889</v>
      </c>
      <c r="L1657" s="1">
        <f t="shared" si="127"/>
        <v>32170</v>
      </c>
      <c r="M1657" s="1">
        <f t="shared" si="128"/>
        <v>179.35997323817821</v>
      </c>
      <c r="N1657" s="7">
        <f t="shared" si="129"/>
        <v>179.35997323817821</v>
      </c>
    </row>
    <row r="1658" spans="1:14" x14ac:dyDescent="0.25">
      <c r="A1658" t="str">
        <f>"14:18:00.594"</f>
        <v>14:18:00.594</v>
      </c>
      <c r="B1658">
        <v>39.708924000000003</v>
      </c>
      <c r="C1658">
        <v>-76.192074000000005</v>
      </c>
      <c r="D1658">
        <v>4700</v>
      </c>
      <c r="E1658">
        <v>4900</v>
      </c>
      <c r="F1658">
        <v>159</v>
      </c>
      <c r="G1658">
        <v>83</v>
      </c>
      <c r="H1658">
        <v>0</v>
      </c>
      <c r="J1658" s="1">
        <f t="shared" si="125"/>
        <v>25281</v>
      </c>
      <c r="K1658" s="1">
        <f t="shared" si="126"/>
        <v>6889</v>
      </c>
      <c r="L1658" s="1">
        <f t="shared" si="127"/>
        <v>32170</v>
      </c>
      <c r="M1658" s="1">
        <f t="shared" si="128"/>
        <v>179.35997323817821</v>
      </c>
      <c r="N1658" s="7">
        <f t="shared" si="129"/>
        <v>179.35997323817821</v>
      </c>
    </row>
    <row r="1659" spans="1:14" x14ac:dyDescent="0.25">
      <c r="A1659" t="str">
        <f>"14:18:01.555"</f>
        <v>14:18:01.555</v>
      </c>
      <c r="B1659">
        <v>39.709268000000002</v>
      </c>
      <c r="C1659">
        <v>-76.191258000000005</v>
      </c>
      <c r="D1659">
        <v>4700</v>
      </c>
      <c r="E1659">
        <v>4900</v>
      </c>
      <c r="F1659">
        <v>159</v>
      </c>
      <c r="G1659">
        <v>83</v>
      </c>
      <c r="H1659">
        <v>-64</v>
      </c>
      <c r="J1659" s="1">
        <f t="shared" si="125"/>
        <v>25281</v>
      </c>
      <c r="K1659" s="1">
        <f t="shared" si="126"/>
        <v>6889</v>
      </c>
      <c r="L1659" s="1">
        <f t="shared" si="127"/>
        <v>32170</v>
      </c>
      <c r="M1659" s="1">
        <f t="shared" si="128"/>
        <v>179.35997323817821</v>
      </c>
      <c r="N1659" s="7">
        <f t="shared" si="129"/>
        <v>179.35997323817821</v>
      </c>
    </row>
    <row r="1660" spans="1:14" x14ac:dyDescent="0.25">
      <c r="A1660" t="str">
        <f>"14:18:02.617"</f>
        <v>14:18:02.617</v>
      </c>
      <c r="B1660">
        <v>39.709654</v>
      </c>
      <c r="C1660">
        <v>-76.190185999999997</v>
      </c>
      <c r="D1660">
        <v>4700</v>
      </c>
      <c r="E1660">
        <v>4900</v>
      </c>
      <c r="F1660">
        <v>159</v>
      </c>
      <c r="G1660">
        <v>83</v>
      </c>
      <c r="H1660">
        <v>-64</v>
      </c>
      <c r="J1660" s="1">
        <f t="shared" si="125"/>
        <v>25281</v>
      </c>
      <c r="K1660" s="1">
        <f t="shared" si="126"/>
        <v>6889</v>
      </c>
      <c r="L1660" s="1">
        <f t="shared" si="127"/>
        <v>32170</v>
      </c>
      <c r="M1660" s="1">
        <f t="shared" si="128"/>
        <v>179.35997323817821</v>
      </c>
      <c r="N1660" s="7">
        <f t="shared" si="129"/>
        <v>179.35997323817821</v>
      </c>
    </row>
    <row r="1661" spans="1:14" x14ac:dyDescent="0.25">
      <c r="A1661" t="str">
        <f>"14:18:03.727"</f>
        <v>14:18:03.727</v>
      </c>
      <c r="B1661">
        <v>39.710082999999997</v>
      </c>
      <c r="C1661">
        <v>-76.189113000000006</v>
      </c>
      <c r="D1661">
        <v>4700</v>
      </c>
      <c r="E1661">
        <v>4875</v>
      </c>
      <c r="F1661">
        <v>159</v>
      </c>
      <c r="G1661">
        <v>83</v>
      </c>
      <c r="H1661">
        <v>-64</v>
      </c>
      <c r="J1661" s="1">
        <f t="shared" si="125"/>
        <v>25281</v>
      </c>
      <c r="K1661" s="1">
        <f t="shared" si="126"/>
        <v>6889</v>
      </c>
      <c r="L1661" s="1">
        <f t="shared" si="127"/>
        <v>32170</v>
      </c>
      <c r="M1661" s="1">
        <f t="shared" si="128"/>
        <v>179.35997323817821</v>
      </c>
      <c r="N1661" s="7">
        <f t="shared" si="129"/>
        <v>179.35997323817821</v>
      </c>
    </row>
    <row r="1662" spans="1:14" x14ac:dyDescent="0.25">
      <c r="A1662" t="str">
        <f>"14:18:04.836"</f>
        <v>14:18:04.836</v>
      </c>
      <c r="B1662">
        <v>39.710512000000001</v>
      </c>
      <c r="C1662">
        <v>-76.188103999999996</v>
      </c>
      <c r="D1662">
        <v>4700</v>
      </c>
      <c r="E1662">
        <v>4875</v>
      </c>
      <c r="F1662">
        <v>158</v>
      </c>
      <c r="G1662">
        <v>83</v>
      </c>
      <c r="H1662">
        <v>0</v>
      </c>
      <c r="J1662" s="1">
        <f t="shared" si="125"/>
        <v>24964</v>
      </c>
      <c r="K1662" s="1">
        <f t="shared" si="126"/>
        <v>6889</v>
      </c>
      <c r="L1662" s="1">
        <f t="shared" si="127"/>
        <v>31853</v>
      </c>
      <c r="M1662" s="1">
        <f t="shared" si="128"/>
        <v>178.47408775505761</v>
      </c>
      <c r="N1662" s="7">
        <f t="shared" si="129"/>
        <v>178.47408775505761</v>
      </c>
    </row>
    <row r="1663" spans="1:14" x14ac:dyDescent="0.25">
      <c r="A1663" t="str">
        <f>"14:18:05.797"</f>
        <v>14:18:05.797</v>
      </c>
      <c r="B1663">
        <v>39.710920000000002</v>
      </c>
      <c r="C1663">
        <v>-76.187139000000002</v>
      </c>
      <c r="D1663">
        <v>4700</v>
      </c>
      <c r="E1663">
        <v>4875</v>
      </c>
      <c r="F1663">
        <v>158</v>
      </c>
      <c r="G1663">
        <v>84</v>
      </c>
      <c r="H1663">
        <v>0</v>
      </c>
      <c r="J1663" s="1">
        <f t="shared" si="125"/>
        <v>24964</v>
      </c>
      <c r="K1663" s="1">
        <f t="shared" si="126"/>
        <v>7056</v>
      </c>
      <c r="L1663" s="1">
        <f t="shared" si="127"/>
        <v>32020</v>
      </c>
      <c r="M1663" s="1">
        <f t="shared" si="128"/>
        <v>178.94133116750865</v>
      </c>
      <c r="N1663" s="7">
        <f t="shared" si="129"/>
        <v>178.94133116750865</v>
      </c>
    </row>
    <row r="1664" spans="1:14" x14ac:dyDescent="0.25">
      <c r="A1664" t="str">
        <f>"14:18:06.805"</f>
        <v>14:18:06.805</v>
      </c>
      <c r="B1664">
        <v>39.711284999999997</v>
      </c>
      <c r="C1664">
        <v>-76.186216000000002</v>
      </c>
      <c r="D1664">
        <v>4700</v>
      </c>
      <c r="E1664">
        <v>4875</v>
      </c>
      <c r="F1664">
        <v>158</v>
      </c>
      <c r="G1664">
        <v>84</v>
      </c>
      <c r="H1664">
        <v>0</v>
      </c>
      <c r="J1664" s="1">
        <f t="shared" si="125"/>
        <v>24964</v>
      </c>
      <c r="K1664" s="1">
        <f t="shared" si="126"/>
        <v>7056</v>
      </c>
      <c r="L1664" s="1">
        <f t="shared" si="127"/>
        <v>32020</v>
      </c>
      <c r="M1664" s="1">
        <f t="shared" si="128"/>
        <v>178.94133116750865</v>
      </c>
      <c r="N1664" s="7">
        <f t="shared" si="129"/>
        <v>178.94133116750865</v>
      </c>
    </row>
    <row r="1665" spans="1:14" x14ac:dyDescent="0.25">
      <c r="A1665" t="str">
        <f>"14:18:07.867"</f>
        <v>14:18:07.867</v>
      </c>
      <c r="B1665">
        <v>39.711671000000003</v>
      </c>
      <c r="C1665">
        <v>-76.185249999999996</v>
      </c>
      <c r="D1665">
        <v>4700</v>
      </c>
      <c r="E1665">
        <v>4875</v>
      </c>
      <c r="F1665">
        <v>158</v>
      </c>
      <c r="G1665">
        <v>84</v>
      </c>
      <c r="H1665">
        <v>0</v>
      </c>
      <c r="J1665" s="1">
        <f t="shared" si="125"/>
        <v>24964</v>
      </c>
      <c r="K1665" s="1">
        <f t="shared" si="126"/>
        <v>7056</v>
      </c>
      <c r="L1665" s="1">
        <f t="shared" si="127"/>
        <v>32020</v>
      </c>
      <c r="M1665" s="1">
        <f t="shared" si="128"/>
        <v>178.94133116750865</v>
      </c>
      <c r="N1665" s="7">
        <f t="shared" si="129"/>
        <v>178.94133116750865</v>
      </c>
    </row>
    <row r="1666" spans="1:14" x14ac:dyDescent="0.25">
      <c r="A1666" t="str">
        <f>"14:18:08.875"</f>
        <v>14:18:08.875</v>
      </c>
      <c r="B1666">
        <v>39.7121</v>
      </c>
      <c r="C1666">
        <v>-76.184219999999996</v>
      </c>
      <c r="D1666">
        <v>4700</v>
      </c>
      <c r="E1666">
        <v>4875</v>
      </c>
      <c r="F1666">
        <v>158</v>
      </c>
      <c r="G1666">
        <v>84</v>
      </c>
      <c r="H1666">
        <v>-64</v>
      </c>
      <c r="J1666" s="1">
        <f t="shared" si="125"/>
        <v>24964</v>
      </c>
      <c r="K1666" s="1">
        <f t="shared" si="126"/>
        <v>7056</v>
      </c>
      <c r="L1666" s="1">
        <f t="shared" si="127"/>
        <v>32020</v>
      </c>
      <c r="M1666" s="1">
        <f t="shared" si="128"/>
        <v>178.94133116750865</v>
      </c>
      <c r="N1666" s="7">
        <f t="shared" si="129"/>
        <v>178.94133116750865</v>
      </c>
    </row>
    <row r="1667" spans="1:14" x14ac:dyDescent="0.25">
      <c r="A1667" t="str">
        <f>"14:18:09.883"</f>
        <v>14:18:09.883</v>
      </c>
      <c r="B1667">
        <v>39.712465000000002</v>
      </c>
      <c r="C1667">
        <v>-76.183340999999999</v>
      </c>
      <c r="D1667">
        <v>4700</v>
      </c>
      <c r="E1667">
        <v>4875</v>
      </c>
      <c r="F1667">
        <v>158</v>
      </c>
      <c r="G1667">
        <v>84</v>
      </c>
      <c r="H1667">
        <v>-64</v>
      </c>
      <c r="J1667" s="1">
        <f t="shared" ref="J1667:J1730" si="130">F1667^2</f>
        <v>24964</v>
      </c>
      <c r="K1667" s="1">
        <f t="shared" ref="K1667:K1730" si="131">G1667^2</f>
        <v>7056</v>
      </c>
      <c r="L1667" s="1">
        <f t="shared" ref="L1667:L1730" si="132">SUMSQ(F1667,G1667)</f>
        <v>32020</v>
      </c>
      <c r="M1667" s="1">
        <f t="shared" ref="M1667:M1730" si="133">SQRT(L1667)</f>
        <v>178.94133116750865</v>
      </c>
      <c r="N1667" s="7">
        <f t="shared" ref="N1667:N1730" si="134">M1667</f>
        <v>178.94133116750865</v>
      </c>
    </row>
    <row r="1668" spans="1:14" x14ac:dyDescent="0.25">
      <c r="A1668" t="str">
        <f>"14:18:10.844"</f>
        <v>14:18:10.844</v>
      </c>
      <c r="B1668">
        <v>39.712873000000002</v>
      </c>
      <c r="C1668">
        <v>-76.182439000000002</v>
      </c>
      <c r="D1668">
        <v>4700</v>
      </c>
      <c r="E1668">
        <v>4875</v>
      </c>
      <c r="F1668">
        <v>158</v>
      </c>
      <c r="G1668">
        <v>84</v>
      </c>
      <c r="H1668">
        <v>-64</v>
      </c>
      <c r="J1668" s="1">
        <f t="shared" si="130"/>
        <v>24964</v>
      </c>
      <c r="K1668" s="1">
        <f t="shared" si="131"/>
        <v>7056</v>
      </c>
      <c r="L1668" s="1">
        <f t="shared" si="132"/>
        <v>32020</v>
      </c>
      <c r="M1668" s="1">
        <f t="shared" si="133"/>
        <v>178.94133116750865</v>
      </c>
      <c r="N1668" s="7">
        <f t="shared" si="134"/>
        <v>178.94133116750865</v>
      </c>
    </row>
    <row r="1669" spans="1:14" x14ac:dyDescent="0.25">
      <c r="A1669" t="str">
        <f>"14:18:11.953"</f>
        <v>14:18:11.953</v>
      </c>
      <c r="B1669">
        <v>39.713279999999997</v>
      </c>
      <c r="C1669">
        <v>-76.181344999999993</v>
      </c>
      <c r="D1669">
        <v>4700</v>
      </c>
      <c r="E1669">
        <v>4875</v>
      </c>
      <c r="F1669">
        <v>157</v>
      </c>
      <c r="G1669">
        <v>84</v>
      </c>
      <c r="H1669">
        <v>0</v>
      </c>
      <c r="J1669" s="1">
        <f t="shared" si="130"/>
        <v>24649</v>
      </c>
      <c r="K1669" s="1">
        <f t="shared" si="131"/>
        <v>7056</v>
      </c>
      <c r="L1669" s="1">
        <f t="shared" si="132"/>
        <v>31705</v>
      </c>
      <c r="M1669" s="1">
        <f t="shared" si="133"/>
        <v>178.05897899291685</v>
      </c>
      <c r="N1669" s="7">
        <f t="shared" si="134"/>
        <v>178.05897899291685</v>
      </c>
    </row>
    <row r="1670" spans="1:14" x14ac:dyDescent="0.25">
      <c r="A1670" t="str">
        <f>"14:18:12.914"</f>
        <v>14:18:12.914</v>
      </c>
      <c r="B1670">
        <v>39.713645</v>
      </c>
      <c r="C1670">
        <v>-76.180443999999994</v>
      </c>
      <c r="D1670">
        <v>4700</v>
      </c>
      <c r="E1670">
        <v>4875</v>
      </c>
      <c r="F1670">
        <v>157</v>
      </c>
      <c r="G1670">
        <v>84</v>
      </c>
      <c r="H1670">
        <v>64</v>
      </c>
      <c r="J1670" s="1">
        <f t="shared" si="130"/>
        <v>24649</v>
      </c>
      <c r="K1670" s="1">
        <f t="shared" si="131"/>
        <v>7056</v>
      </c>
      <c r="L1670" s="1">
        <f t="shared" si="132"/>
        <v>31705</v>
      </c>
      <c r="M1670" s="1">
        <f t="shared" si="133"/>
        <v>178.05897899291685</v>
      </c>
      <c r="N1670" s="7">
        <f t="shared" si="134"/>
        <v>178.05897899291685</v>
      </c>
    </row>
    <row r="1671" spans="1:14" x14ac:dyDescent="0.25">
      <c r="A1671" t="str">
        <f>"14:18:13.969"</f>
        <v>14:18:13.969</v>
      </c>
      <c r="B1671">
        <v>39.714073999999997</v>
      </c>
      <c r="C1671">
        <v>-76.179500000000004</v>
      </c>
      <c r="D1671">
        <v>4700</v>
      </c>
      <c r="E1671">
        <v>4875</v>
      </c>
      <c r="F1671">
        <v>157</v>
      </c>
      <c r="G1671">
        <v>84</v>
      </c>
      <c r="H1671">
        <v>64</v>
      </c>
      <c r="J1671" s="1">
        <f t="shared" si="130"/>
        <v>24649</v>
      </c>
      <c r="K1671" s="1">
        <f t="shared" si="131"/>
        <v>7056</v>
      </c>
      <c r="L1671" s="1">
        <f t="shared" si="132"/>
        <v>31705</v>
      </c>
      <c r="M1671" s="1">
        <f t="shared" si="133"/>
        <v>178.05897899291685</v>
      </c>
      <c r="N1671" s="7">
        <f t="shared" si="134"/>
        <v>178.05897899291685</v>
      </c>
    </row>
    <row r="1672" spans="1:14" x14ac:dyDescent="0.25">
      <c r="A1672" t="str">
        <f>"14:18:14.984"</f>
        <v>14:18:14.984</v>
      </c>
      <c r="B1672">
        <v>39.714503000000001</v>
      </c>
      <c r="C1672">
        <v>-76.178470000000004</v>
      </c>
      <c r="D1672">
        <v>4700</v>
      </c>
      <c r="E1672">
        <v>4875</v>
      </c>
      <c r="F1672">
        <v>157</v>
      </c>
      <c r="G1672">
        <v>84</v>
      </c>
      <c r="H1672">
        <v>0</v>
      </c>
      <c r="J1672" s="1">
        <f t="shared" si="130"/>
        <v>24649</v>
      </c>
      <c r="K1672" s="1">
        <f t="shared" si="131"/>
        <v>7056</v>
      </c>
      <c r="L1672" s="1">
        <f t="shared" si="132"/>
        <v>31705</v>
      </c>
      <c r="M1672" s="1">
        <f t="shared" si="133"/>
        <v>178.05897899291685</v>
      </c>
      <c r="N1672" s="7">
        <f t="shared" si="134"/>
        <v>178.05897899291685</v>
      </c>
    </row>
    <row r="1673" spans="1:14" x14ac:dyDescent="0.25">
      <c r="A1673" t="str">
        <f>"14:18:15.992"</f>
        <v>14:18:15.992</v>
      </c>
      <c r="B1673">
        <v>39.714868000000003</v>
      </c>
      <c r="C1673">
        <v>-76.177482999999995</v>
      </c>
      <c r="D1673">
        <v>4700</v>
      </c>
      <c r="E1673">
        <v>4875</v>
      </c>
      <c r="F1673">
        <v>157</v>
      </c>
      <c r="G1673">
        <v>84</v>
      </c>
      <c r="H1673">
        <v>0</v>
      </c>
      <c r="J1673" s="1">
        <f t="shared" si="130"/>
        <v>24649</v>
      </c>
      <c r="K1673" s="1">
        <f t="shared" si="131"/>
        <v>7056</v>
      </c>
      <c r="L1673" s="1">
        <f t="shared" si="132"/>
        <v>31705</v>
      </c>
      <c r="M1673" s="1">
        <f t="shared" si="133"/>
        <v>178.05897899291685</v>
      </c>
      <c r="N1673" s="7">
        <f t="shared" si="134"/>
        <v>178.05897899291685</v>
      </c>
    </row>
    <row r="1674" spans="1:14" x14ac:dyDescent="0.25">
      <c r="A1674" t="str">
        <f>"14:18:16.945"</f>
        <v>14:18:16.945</v>
      </c>
      <c r="B1674">
        <v>39.715210999999996</v>
      </c>
      <c r="C1674">
        <v>-76.176688999999996</v>
      </c>
      <c r="D1674">
        <v>4700</v>
      </c>
      <c r="E1674">
        <v>4875</v>
      </c>
      <c r="F1674">
        <v>157</v>
      </c>
      <c r="G1674">
        <v>84</v>
      </c>
      <c r="H1674">
        <v>0</v>
      </c>
      <c r="J1674" s="1">
        <f t="shared" si="130"/>
        <v>24649</v>
      </c>
      <c r="K1674" s="1">
        <f t="shared" si="131"/>
        <v>7056</v>
      </c>
      <c r="L1674" s="1">
        <f t="shared" si="132"/>
        <v>31705</v>
      </c>
      <c r="M1674" s="1">
        <f t="shared" si="133"/>
        <v>178.05897899291685</v>
      </c>
      <c r="N1674" s="7">
        <f t="shared" si="134"/>
        <v>178.05897899291685</v>
      </c>
    </row>
    <row r="1675" spans="1:14" x14ac:dyDescent="0.25">
      <c r="A1675" t="str">
        <f>"14:18:17.859"</f>
        <v>14:18:17.859</v>
      </c>
      <c r="B1675">
        <v>39.715575999999999</v>
      </c>
      <c r="C1675">
        <v>-76.175852000000006</v>
      </c>
      <c r="D1675">
        <v>4700</v>
      </c>
      <c r="E1675">
        <v>4900</v>
      </c>
      <c r="F1675">
        <v>157</v>
      </c>
      <c r="G1675">
        <v>84</v>
      </c>
      <c r="H1675">
        <v>0</v>
      </c>
      <c r="J1675" s="1">
        <f t="shared" si="130"/>
        <v>24649</v>
      </c>
      <c r="K1675" s="1">
        <f t="shared" si="131"/>
        <v>7056</v>
      </c>
      <c r="L1675" s="1">
        <f t="shared" si="132"/>
        <v>31705</v>
      </c>
      <c r="M1675" s="1">
        <f t="shared" si="133"/>
        <v>178.05897899291685</v>
      </c>
      <c r="N1675" s="7">
        <f t="shared" si="134"/>
        <v>178.05897899291685</v>
      </c>
    </row>
    <row r="1676" spans="1:14" x14ac:dyDescent="0.25">
      <c r="A1676" t="str">
        <f>"14:18:18.875"</f>
        <v>14:18:18.875</v>
      </c>
      <c r="B1676">
        <v>39.715983999999999</v>
      </c>
      <c r="C1676">
        <v>-76.174779000000001</v>
      </c>
      <c r="D1676">
        <v>4700</v>
      </c>
      <c r="E1676">
        <v>4900</v>
      </c>
      <c r="F1676">
        <v>157</v>
      </c>
      <c r="G1676">
        <v>84</v>
      </c>
      <c r="H1676">
        <v>0</v>
      </c>
      <c r="J1676" s="1">
        <f t="shared" si="130"/>
        <v>24649</v>
      </c>
      <c r="K1676" s="1">
        <f t="shared" si="131"/>
        <v>7056</v>
      </c>
      <c r="L1676" s="1">
        <f t="shared" si="132"/>
        <v>31705</v>
      </c>
      <c r="M1676" s="1">
        <f t="shared" si="133"/>
        <v>178.05897899291685</v>
      </c>
      <c r="N1676" s="7">
        <f t="shared" si="134"/>
        <v>178.05897899291685</v>
      </c>
    </row>
    <row r="1677" spans="1:14" x14ac:dyDescent="0.25">
      <c r="A1677" t="str">
        <f>"14:18:19.875"</f>
        <v>14:18:19.875</v>
      </c>
      <c r="B1677">
        <v>39.716391999999999</v>
      </c>
      <c r="C1677">
        <v>-76.173834999999997</v>
      </c>
      <c r="D1677">
        <v>4700</v>
      </c>
      <c r="E1677">
        <v>4900</v>
      </c>
      <c r="F1677">
        <v>157</v>
      </c>
      <c r="G1677">
        <v>84</v>
      </c>
      <c r="H1677">
        <v>0</v>
      </c>
      <c r="J1677" s="1">
        <f t="shared" si="130"/>
        <v>24649</v>
      </c>
      <c r="K1677" s="1">
        <f t="shared" si="131"/>
        <v>7056</v>
      </c>
      <c r="L1677" s="1">
        <f t="shared" si="132"/>
        <v>31705</v>
      </c>
      <c r="M1677" s="1">
        <f t="shared" si="133"/>
        <v>178.05897899291685</v>
      </c>
      <c r="N1677" s="7">
        <f t="shared" si="134"/>
        <v>178.05897899291685</v>
      </c>
    </row>
    <row r="1678" spans="1:14" x14ac:dyDescent="0.25">
      <c r="A1678" t="str">
        <f>"14:18:20.891"</f>
        <v>14:18:20.891</v>
      </c>
      <c r="B1678">
        <v>39.716755999999997</v>
      </c>
      <c r="C1678">
        <v>-76.172933999999998</v>
      </c>
      <c r="D1678">
        <v>4700</v>
      </c>
      <c r="E1678">
        <v>4900</v>
      </c>
      <c r="F1678">
        <v>157</v>
      </c>
      <c r="G1678">
        <v>83</v>
      </c>
      <c r="H1678">
        <v>0</v>
      </c>
      <c r="J1678" s="1">
        <f t="shared" si="130"/>
        <v>24649</v>
      </c>
      <c r="K1678" s="1">
        <f t="shared" si="131"/>
        <v>6889</v>
      </c>
      <c r="L1678" s="1">
        <f t="shared" si="132"/>
        <v>31538</v>
      </c>
      <c r="M1678" s="1">
        <f t="shared" si="133"/>
        <v>177.58941409892651</v>
      </c>
      <c r="N1678" s="7">
        <f t="shared" si="134"/>
        <v>177.58941409892651</v>
      </c>
    </row>
    <row r="1679" spans="1:14" x14ac:dyDescent="0.25">
      <c r="A1679" t="str">
        <f>"14:18:21.844"</f>
        <v>14:18:21.844</v>
      </c>
      <c r="B1679">
        <v>39.717120999999999</v>
      </c>
      <c r="C1679">
        <v>-76.172054000000003</v>
      </c>
      <c r="D1679">
        <v>4700</v>
      </c>
      <c r="E1679">
        <v>4900</v>
      </c>
      <c r="F1679">
        <v>157</v>
      </c>
      <c r="G1679">
        <v>83</v>
      </c>
      <c r="H1679">
        <v>0</v>
      </c>
      <c r="J1679" s="1">
        <f t="shared" si="130"/>
        <v>24649</v>
      </c>
      <c r="K1679" s="1">
        <f t="shared" si="131"/>
        <v>6889</v>
      </c>
      <c r="L1679" s="1">
        <f t="shared" si="132"/>
        <v>31538</v>
      </c>
      <c r="M1679" s="1">
        <f t="shared" si="133"/>
        <v>177.58941409892651</v>
      </c>
      <c r="N1679" s="7">
        <f t="shared" si="134"/>
        <v>177.58941409892651</v>
      </c>
    </row>
    <row r="1680" spans="1:14" x14ac:dyDescent="0.25">
      <c r="A1680" t="str">
        <f>"14:18:22.906"</f>
        <v>14:18:22.906</v>
      </c>
      <c r="B1680">
        <v>39.717550000000003</v>
      </c>
      <c r="C1680">
        <v>-76.171024000000003</v>
      </c>
      <c r="D1680">
        <v>4700</v>
      </c>
      <c r="E1680">
        <v>4900</v>
      </c>
      <c r="F1680">
        <v>157</v>
      </c>
      <c r="G1680">
        <v>83</v>
      </c>
      <c r="H1680">
        <v>0</v>
      </c>
      <c r="J1680" s="1">
        <f t="shared" si="130"/>
        <v>24649</v>
      </c>
      <c r="K1680" s="1">
        <f t="shared" si="131"/>
        <v>6889</v>
      </c>
      <c r="L1680" s="1">
        <f t="shared" si="132"/>
        <v>31538</v>
      </c>
      <c r="M1680" s="1">
        <f t="shared" si="133"/>
        <v>177.58941409892651</v>
      </c>
      <c r="N1680" s="7">
        <f t="shared" si="134"/>
        <v>177.58941409892651</v>
      </c>
    </row>
    <row r="1681" spans="1:14" x14ac:dyDescent="0.25">
      <c r="A1681" t="str">
        <f>"14:18:23.867"</f>
        <v>14:18:23.867</v>
      </c>
      <c r="B1681">
        <v>39.717914999999998</v>
      </c>
      <c r="C1681">
        <v>-76.170057999999997</v>
      </c>
      <c r="D1681">
        <v>4700</v>
      </c>
      <c r="E1681">
        <v>4900</v>
      </c>
      <c r="F1681">
        <v>157</v>
      </c>
      <c r="G1681">
        <v>83</v>
      </c>
      <c r="H1681">
        <v>0</v>
      </c>
      <c r="J1681" s="1">
        <f t="shared" si="130"/>
        <v>24649</v>
      </c>
      <c r="K1681" s="1">
        <f t="shared" si="131"/>
        <v>6889</v>
      </c>
      <c r="L1681" s="1">
        <f t="shared" si="132"/>
        <v>31538</v>
      </c>
      <c r="M1681" s="1">
        <f t="shared" si="133"/>
        <v>177.58941409892651</v>
      </c>
      <c r="N1681" s="7">
        <f t="shared" si="134"/>
        <v>177.58941409892651</v>
      </c>
    </row>
    <row r="1682" spans="1:14" x14ac:dyDescent="0.25">
      <c r="A1682" t="str">
        <f>"14:18:24.820"</f>
        <v>14:18:24.820</v>
      </c>
      <c r="B1682">
        <v>39.71828</v>
      </c>
      <c r="C1682">
        <v>-76.169242999999994</v>
      </c>
      <c r="D1682">
        <v>4700</v>
      </c>
      <c r="E1682">
        <v>4900</v>
      </c>
      <c r="F1682">
        <v>157</v>
      </c>
      <c r="G1682">
        <v>83</v>
      </c>
      <c r="H1682">
        <v>0</v>
      </c>
      <c r="J1682" s="1">
        <f t="shared" si="130"/>
        <v>24649</v>
      </c>
      <c r="K1682" s="1">
        <f t="shared" si="131"/>
        <v>6889</v>
      </c>
      <c r="L1682" s="1">
        <f t="shared" si="132"/>
        <v>31538</v>
      </c>
      <c r="M1682" s="1">
        <f t="shared" si="133"/>
        <v>177.58941409892651</v>
      </c>
      <c r="N1682" s="7">
        <f t="shared" si="134"/>
        <v>177.58941409892651</v>
      </c>
    </row>
    <row r="1683" spans="1:14" x14ac:dyDescent="0.25">
      <c r="A1683" t="str">
        <f>"14:18:25.734"</f>
        <v>14:18:25.734</v>
      </c>
      <c r="B1683">
        <v>39.718601999999997</v>
      </c>
      <c r="C1683">
        <v>-76.168385000000001</v>
      </c>
      <c r="D1683">
        <v>4700</v>
      </c>
      <c r="E1683">
        <v>4900</v>
      </c>
      <c r="F1683">
        <v>157</v>
      </c>
      <c r="G1683">
        <v>82</v>
      </c>
      <c r="H1683">
        <v>0</v>
      </c>
      <c r="J1683" s="1">
        <f t="shared" si="130"/>
        <v>24649</v>
      </c>
      <c r="K1683" s="1">
        <f t="shared" si="131"/>
        <v>6724</v>
      </c>
      <c r="L1683" s="1">
        <f t="shared" si="132"/>
        <v>31373</v>
      </c>
      <c r="M1683" s="1">
        <f t="shared" si="133"/>
        <v>177.12425017484196</v>
      </c>
      <c r="N1683" s="7">
        <f t="shared" si="134"/>
        <v>177.12425017484196</v>
      </c>
    </row>
    <row r="1684" spans="1:14" x14ac:dyDescent="0.25">
      <c r="A1684" t="str">
        <f>"14:18:26.742"</f>
        <v>14:18:26.742</v>
      </c>
      <c r="B1684">
        <v>39.719009</v>
      </c>
      <c r="C1684">
        <v>-76.167439999999999</v>
      </c>
      <c r="D1684">
        <v>4700</v>
      </c>
      <c r="E1684">
        <v>4900</v>
      </c>
      <c r="F1684">
        <v>157</v>
      </c>
      <c r="G1684">
        <v>82</v>
      </c>
      <c r="H1684">
        <v>0</v>
      </c>
      <c r="J1684" s="1">
        <f t="shared" si="130"/>
        <v>24649</v>
      </c>
      <c r="K1684" s="1">
        <f t="shared" si="131"/>
        <v>6724</v>
      </c>
      <c r="L1684" s="1">
        <f t="shared" si="132"/>
        <v>31373</v>
      </c>
      <c r="M1684" s="1">
        <f t="shared" si="133"/>
        <v>177.12425017484196</v>
      </c>
      <c r="N1684" s="7">
        <f t="shared" si="134"/>
        <v>177.12425017484196</v>
      </c>
    </row>
    <row r="1685" spans="1:14" x14ac:dyDescent="0.25">
      <c r="A1685" t="str">
        <f>"14:18:27.602"</f>
        <v>14:18:27.602</v>
      </c>
      <c r="B1685">
        <v>39.719352999999998</v>
      </c>
      <c r="C1685">
        <v>-76.166624999999996</v>
      </c>
      <c r="D1685">
        <v>4700</v>
      </c>
      <c r="E1685">
        <v>4900</v>
      </c>
      <c r="F1685">
        <v>157</v>
      </c>
      <c r="G1685">
        <v>82</v>
      </c>
      <c r="H1685">
        <v>0</v>
      </c>
      <c r="J1685" s="1">
        <f t="shared" si="130"/>
        <v>24649</v>
      </c>
      <c r="K1685" s="1">
        <f t="shared" si="131"/>
        <v>6724</v>
      </c>
      <c r="L1685" s="1">
        <f t="shared" si="132"/>
        <v>31373</v>
      </c>
      <c r="M1685" s="1">
        <f t="shared" si="133"/>
        <v>177.12425017484196</v>
      </c>
      <c r="N1685" s="7">
        <f t="shared" si="134"/>
        <v>177.12425017484196</v>
      </c>
    </row>
    <row r="1686" spans="1:14" x14ac:dyDescent="0.25">
      <c r="A1686" t="str">
        <f>"14:18:28.609"</f>
        <v>14:18:28.609</v>
      </c>
      <c r="B1686">
        <v>39.719695999999999</v>
      </c>
      <c r="C1686">
        <v>-76.165767000000002</v>
      </c>
      <c r="D1686">
        <v>4700</v>
      </c>
      <c r="E1686">
        <v>4900</v>
      </c>
      <c r="F1686">
        <v>157</v>
      </c>
      <c r="G1686">
        <v>82</v>
      </c>
      <c r="H1686">
        <v>0</v>
      </c>
      <c r="J1686" s="1">
        <f t="shared" si="130"/>
        <v>24649</v>
      </c>
      <c r="K1686" s="1">
        <f t="shared" si="131"/>
        <v>6724</v>
      </c>
      <c r="L1686" s="1">
        <f t="shared" si="132"/>
        <v>31373</v>
      </c>
      <c r="M1686" s="1">
        <f t="shared" si="133"/>
        <v>177.12425017484196</v>
      </c>
      <c r="N1686" s="7">
        <f t="shared" si="134"/>
        <v>177.12425017484196</v>
      </c>
    </row>
    <row r="1687" spans="1:14" x14ac:dyDescent="0.25">
      <c r="A1687" t="str">
        <f>"14:18:29.570"</f>
        <v>14:18:29.570</v>
      </c>
      <c r="B1687">
        <v>39.720081999999998</v>
      </c>
      <c r="C1687">
        <v>-76.164737000000002</v>
      </c>
      <c r="D1687">
        <v>4700</v>
      </c>
      <c r="E1687">
        <v>4900</v>
      </c>
      <c r="F1687">
        <v>157</v>
      </c>
      <c r="G1687">
        <v>82</v>
      </c>
      <c r="H1687">
        <v>0</v>
      </c>
      <c r="J1687" s="1">
        <f t="shared" si="130"/>
        <v>24649</v>
      </c>
      <c r="K1687" s="1">
        <f t="shared" si="131"/>
        <v>6724</v>
      </c>
      <c r="L1687" s="1">
        <f t="shared" si="132"/>
        <v>31373</v>
      </c>
      <c r="M1687" s="1">
        <f t="shared" si="133"/>
        <v>177.12425017484196</v>
      </c>
      <c r="N1687" s="7">
        <f t="shared" si="134"/>
        <v>177.12425017484196</v>
      </c>
    </row>
    <row r="1688" spans="1:14" x14ac:dyDescent="0.25">
      <c r="A1688" t="str">
        <f>"14:18:30.625"</f>
        <v>14:18:30.625</v>
      </c>
      <c r="B1688">
        <v>39.720469000000001</v>
      </c>
      <c r="C1688">
        <v>-76.163749999999993</v>
      </c>
      <c r="D1688">
        <v>4700</v>
      </c>
      <c r="E1688">
        <v>4900</v>
      </c>
      <c r="F1688">
        <v>157</v>
      </c>
      <c r="G1688">
        <v>81</v>
      </c>
      <c r="H1688">
        <v>0</v>
      </c>
      <c r="J1688" s="1">
        <f t="shared" si="130"/>
        <v>24649</v>
      </c>
      <c r="K1688" s="1">
        <f t="shared" si="131"/>
        <v>6561</v>
      </c>
      <c r="L1688" s="1">
        <f t="shared" si="132"/>
        <v>31210</v>
      </c>
      <c r="M1688" s="1">
        <f t="shared" si="133"/>
        <v>176.6635219845908</v>
      </c>
      <c r="N1688" s="7">
        <f t="shared" si="134"/>
        <v>176.6635219845908</v>
      </c>
    </row>
    <row r="1689" spans="1:14" x14ac:dyDescent="0.25">
      <c r="A1689" t="str">
        <f>"14:18:31.641"</f>
        <v>14:18:31.641</v>
      </c>
      <c r="B1689">
        <v>39.720832999999999</v>
      </c>
      <c r="C1689">
        <v>-76.162847999999997</v>
      </c>
      <c r="D1689">
        <v>4700</v>
      </c>
      <c r="E1689">
        <v>4900</v>
      </c>
      <c r="F1689">
        <v>157</v>
      </c>
      <c r="G1689">
        <v>81</v>
      </c>
      <c r="H1689">
        <v>0</v>
      </c>
      <c r="J1689" s="1">
        <f t="shared" si="130"/>
        <v>24649</v>
      </c>
      <c r="K1689" s="1">
        <f t="shared" si="131"/>
        <v>6561</v>
      </c>
      <c r="L1689" s="1">
        <f t="shared" si="132"/>
        <v>31210</v>
      </c>
      <c r="M1689" s="1">
        <f t="shared" si="133"/>
        <v>176.6635219845908</v>
      </c>
      <c r="N1689" s="7">
        <f t="shared" si="134"/>
        <v>176.6635219845908</v>
      </c>
    </row>
    <row r="1690" spans="1:14" x14ac:dyDescent="0.25">
      <c r="A1690" t="str">
        <f>"14:18:32.750"</f>
        <v>14:18:32.750</v>
      </c>
      <c r="B1690">
        <v>39.721262000000003</v>
      </c>
      <c r="C1690">
        <v>-76.161818999999994</v>
      </c>
      <c r="D1690">
        <v>4700</v>
      </c>
      <c r="E1690">
        <v>4900</v>
      </c>
      <c r="F1690">
        <v>157</v>
      </c>
      <c r="G1690">
        <v>81</v>
      </c>
      <c r="H1690">
        <v>0</v>
      </c>
      <c r="J1690" s="1">
        <f t="shared" si="130"/>
        <v>24649</v>
      </c>
      <c r="K1690" s="1">
        <f t="shared" si="131"/>
        <v>6561</v>
      </c>
      <c r="L1690" s="1">
        <f t="shared" si="132"/>
        <v>31210</v>
      </c>
      <c r="M1690" s="1">
        <f t="shared" si="133"/>
        <v>176.6635219845908</v>
      </c>
      <c r="N1690" s="7">
        <f t="shared" si="134"/>
        <v>176.6635219845908</v>
      </c>
    </row>
    <row r="1691" spans="1:14" x14ac:dyDescent="0.25">
      <c r="A1691" t="str">
        <f>"14:18:33.859"</f>
        <v>14:18:33.859</v>
      </c>
      <c r="B1691">
        <v>39.721670000000003</v>
      </c>
      <c r="C1691">
        <v>-76.160767000000007</v>
      </c>
      <c r="D1691">
        <v>4700</v>
      </c>
      <c r="E1691">
        <v>4900</v>
      </c>
      <c r="F1691">
        <v>157</v>
      </c>
      <c r="G1691">
        <v>81</v>
      </c>
      <c r="H1691">
        <v>0</v>
      </c>
      <c r="J1691" s="1">
        <f t="shared" si="130"/>
        <v>24649</v>
      </c>
      <c r="K1691" s="1">
        <f t="shared" si="131"/>
        <v>6561</v>
      </c>
      <c r="L1691" s="1">
        <f t="shared" si="132"/>
        <v>31210</v>
      </c>
      <c r="M1691" s="1">
        <f t="shared" si="133"/>
        <v>176.6635219845908</v>
      </c>
      <c r="N1691" s="7">
        <f t="shared" si="134"/>
        <v>176.6635219845908</v>
      </c>
    </row>
    <row r="1692" spans="1:14" x14ac:dyDescent="0.25">
      <c r="A1692" t="str">
        <f>"14:18:34.867"</f>
        <v>14:18:34.867</v>
      </c>
      <c r="B1692">
        <v>39.722056000000002</v>
      </c>
      <c r="C1692">
        <v>-76.159844000000007</v>
      </c>
      <c r="D1692">
        <v>4700</v>
      </c>
      <c r="E1692">
        <v>4900</v>
      </c>
      <c r="F1692">
        <v>157</v>
      </c>
      <c r="G1692">
        <v>81</v>
      </c>
      <c r="H1692">
        <v>0</v>
      </c>
      <c r="J1692" s="1">
        <f t="shared" si="130"/>
        <v>24649</v>
      </c>
      <c r="K1692" s="1">
        <f t="shared" si="131"/>
        <v>6561</v>
      </c>
      <c r="L1692" s="1">
        <f t="shared" si="132"/>
        <v>31210</v>
      </c>
      <c r="M1692" s="1">
        <f t="shared" si="133"/>
        <v>176.6635219845908</v>
      </c>
      <c r="N1692" s="7">
        <f t="shared" si="134"/>
        <v>176.6635219845908</v>
      </c>
    </row>
    <row r="1693" spans="1:14" x14ac:dyDescent="0.25">
      <c r="A1693" t="str">
        <f>"14:18:35.875"</f>
        <v>14:18:35.875</v>
      </c>
      <c r="B1693">
        <v>39.722442999999998</v>
      </c>
      <c r="C1693">
        <v>-76.158771999999999</v>
      </c>
      <c r="D1693">
        <v>4700</v>
      </c>
      <c r="E1693">
        <v>4900</v>
      </c>
      <c r="F1693">
        <v>157</v>
      </c>
      <c r="G1693">
        <v>81</v>
      </c>
      <c r="H1693">
        <v>0</v>
      </c>
      <c r="J1693" s="1">
        <f t="shared" si="130"/>
        <v>24649</v>
      </c>
      <c r="K1693" s="1">
        <f t="shared" si="131"/>
        <v>6561</v>
      </c>
      <c r="L1693" s="1">
        <f t="shared" si="132"/>
        <v>31210</v>
      </c>
      <c r="M1693" s="1">
        <f t="shared" si="133"/>
        <v>176.6635219845908</v>
      </c>
      <c r="N1693" s="7">
        <f t="shared" si="134"/>
        <v>176.6635219845908</v>
      </c>
    </row>
    <row r="1694" spans="1:14" x14ac:dyDescent="0.25">
      <c r="A1694" t="str">
        <f>"14:18:36.688"</f>
        <v>14:18:36.688</v>
      </c>
      <c r="B1694">
        <v>39.722763999999998</v>
      </c>
      <c r="C1694">
        <v>-76.158062999999999</v>
      </c>
      <c r="D1694">
        <v>4700</v>
      </c>
      <c r="E1694">
        <v>4900</v>
      </c>
      <c r="F1694">
        <v>157</v>
      </c>
      <c r="G1694">
        <v>81</v>
      </c>
      <c r="H1694">
        <v>0</v>
      </c>
      <c r="J1694" s="1">
        <f t="shared" si="130"/>
        <v>24649</v>
      </c>
      <c r="K1694" s="1">
        <f t="shared" si="131"/>
        <v>6561</v>
      </c>
      <c r="L1694" s="1">
        <f t="shared" si="132"/>
        <v>31210</v>
      </c>
      <c r="M1694" s="1">
        <f t="shared" si="133"/>
        <v>176.6635219845908</v>
      </c>
      <c r="N1694" s="7">
        <f t="shared" si="134"/>
        <v>176.6635219845908</v>
      </c>
    </row>
    <row r="1695" spans="1:14" x14ac:dyDescent="0.25">
      <c r="A1695" t="str">
        <f>"14:18:37.695"</f>
        <v>14:18:37.695</v>
      </c>
      <c r="B1695">
        <v>39.723108000000003</v>
      </c>
      <c r="C1695">
        <v>-76.157162</v>
      </c>
      <c r="D1695">
        <v>4700</v>
      </c>
      <c r="E1695">
        <v>4900</v>
      </c>
      <c r="F1695">
        <v>157</v>
      </c>
      <c r="G1695">
        <v>81</v>
      </c>
      <c r="H1695">
        <v>0</v>
      </c>
      <c r="J1695" s="1">
        <f t="shared" si="130"/>
        <v>24649</v>
      </c>
      <c r="K1695" s="1">
        <f t="shared" si="131"/>
        <v>6561</v>
      </c>
      <c r="L1695" s="1">
        <f t="shared" si="132"/>
        <v>31210</v>
      </c>
      <c r="M1695" s="1">
        <f t="shared" si="133"/>
        <v>176.6635219845908</v>
      </c>
      <c r="N1695" s="7">
        <f t="shared" si="134"/>
        <v>176.6635219845908</v>
      </c>
    </row>
    <row r="1696" spans="1:14" x14ac:dyDescent="0.25">
      <c r="A1696" t="str">
        <f>"14:18:38.758"</f>
        <v>14:18:38.758</v>
      </c>
      <c r="B1696">
        <v>39.723494000000002</v>
      </c>
      <c r="C1696">
        <v>-76.156154000000001</v>
      </c>
      <c r="D1696">
        <v>4700</v>
      </c>
      <c r="E1696">
        <v>4900</v>
      </c>
      <c r="F1696">
        <v>157</v>
      </c>
      <c r="G1696">
        <v>81</v>
      </c>
      <c r="H1696">
        <v>0</v>
      </c>
      <c r="J1696" s="1">
        <f t="shared" si="130"/>
        <v>24649</v>
      </c>
      <c r="K1696" s="1">
        <f t="shared" si="131"/>
        <v>6561</v>
      </c>
      <c r="L1696" s="1">
        <f t="shared" si="132"/>
        <v>31210</v>
      </c>
      <c r="M1696" s="1">
        <f t="shared" si="133"/>
        <v>176.6635219845908</v>
      </c>
      <c r="N1696" s="7">
        <f t="shared" si="134"/>
        <v>176.6635219845908</v>
      </c>
    </row>
    <row r="1697" spans="1:14" x14ac:dyDescent="0.25">
      <c r="A1697" t="str">
        <f>"14:18:39.664"</f>
        <v>14:18:39.664</v>
      </c>
      <c r="B1697">
        <v>39.723858999999997</v>
      </c>
      <c r="C1697">
        <v>-76.155338</v>
      </c>
      <c r="D1697">
        <v>4700</v>
      </c>
      <c r="E1697">
        <v>4900</v>
      </c>
      <c r="F1697">
        <v>157</v>
      </c>
      <c r="G1697">
        <v>81</v>
      </c>
      <c r="H1697">
        <v>0</v>
      </c>
      <c r="J1697" s="1">
        <f t="shared" si="130"/>
        <v>24649</v>
      </c>
      <c r="K1697" s="1">
        <f t="shared" si="131"/>
        <v>6561</v>
      </c>
      <c r="L1697" s="1">
        <f t="shared" si="132"/>
        <v>31210</v>
      </c>
      <c r="M1697" s="1">
        <f t="shared" si="133"/>
        <v>176.6635219845908</v>
      </c>
      <c r="N1697" s="7">
        <f t="shared" si="134"/>
        <v>176.6635219845908</v>
      </c>
    </row>
    <row r="1698" spans="1:14" x14ac:dyDescent="0.25">
      <c r="A1698" t="str">
        <f>"14:18:40.523"</f>
        <v>14:18:40.523</v>
      </c>
      <c r="B1698">
        <v>39.724181000000002</v>
      </c>
      <c r="C1698">
        <v>-76.154480000000007</v>
      </c>
      <c r="D1698">
        <v>4700</v>
      </c>
      <c r="E1698">
        <v>4900</v>
      </c>
      <c r="F1698">
        <v>157</v>
      </c>
      <c r="G1698">
        <v>81</v>
      </c>
      <c r="H1698">
        <v>0</v>
      </c>
      <c r="J1698" s="1">
        <f t="shared" si="130"/>
        <v>24649</v>
      </c>
      <c r="K1698" s="1">
        <f t="shared" si="131"/>
        <v>6561</v>
      </c>
      <c r="L1698" s="1">
        <f t="shared" si="132"/>
        <v>31210</v>
      </c>
      <c r="M1698" s="1">
        <f t="shared" si="133"/>
        <v>176.6635219845908</v>
      </c>
      <c r="N1698" s="7">
        <f t="shared" si="134"/>
        <v>176.6635219845908</v>
      </c>
    </row>
    <row r="1699" spans="1:14" x14ac:dyDescent="0.25">
      <c r="A1699" t="str">
        <f>"14:18:41.477"</f>
        <v>14:18:41.477</v>
      </c>
      <c r="B1699">
        <v>39.724524000000002</v>
      </c>
      <c r="C1699">
        <v>-76.153621999999999</v>
      </c>
      <c r="D1699">
        <v>4700</v>
      </c>
      <c r="E1699">
        <v>4900</v>
      </c>
      <c r="F1699">
        <v>157</v>
      </c>
      <c r="G1699">
        <v>81</v>
      </c>
      <c r="H1699">
        <v>0</v>
      </c>
      <c r="J1699" s="1">
        <f t="shared" si="130"/>
        <v>24649</v>
      </c>
      <c r="K1699" s="1">
        <f t="shared" si="131"/>
        <v>6561</v>
      </c>
      <c r="L1699" s="1">
        <f t="shared" si="132"/>
        <v>31210</v>
      </c>
      <c r="M1699" s="1">
        <f t="shared" si="133"/>
        <v>176.6635219845908</v>
      </c>
      <c r="N1699" s="7">
        <f t="shared" si="134"/>
        <v>176.6635219845908</v>
      </c>
    </row>
    <row r="1700" spans="1:14" x14ac:dyDescent="0.25">
      <c r="A1700" t="str">
        <f>"14:18:42.539"</f>
        <v>14:18:42.539</v>
      </c>
      <c r="B1700">
        <v>39.724952999999999</v>
      </c>
      <c r="C1700">
        <v>-76.152569999999997</v>
      </c>
      <c r="D1700">
        <v>4700</v>
      </c>
      <c r="E1700">
        <v>4900</v>
      </c>
      <c r="F1700">
        <v>157</v>
      </c>
      <c r="G1700">
        <v>81</v>
      </c>
      <c r="H1700">
        <v>0</v>
      </c>
      <c r="J1700" s="1">
        <f t="shared" si="130"/>
        <v>24649</v>
      </c>
      <c r="K1700" s="1">
        <f t="shared" si="131"/>
        <v>6561</v>
      </c>
      <c r="L1700" s="1">
        <f t="shared" si="132"/>
        <v>31210</v>
      </c>
      <c r="M1700" s="1">
        <f t="shared" si="133"/>
        <v>176.6635219845908</v>
      </c>
      <c r="N1700" s="7">
        <f t="shared" si="134"/>
        <v>176.6635219845908</v>
      </c>
    </row>
    <row r="1701" spans="1:14" x14ac:dyDescent="0.25">
      <c r="A1701" t="str">
        <f>"14:18:43.547"</f>
        <v>14:18:43.547</v>
      </c>
      <c r="B1701">
        <v>39.725318000000001</v>
      </c>
      <c r="C1701">
        <v>-76.151668999999998</v>
      </c>
      <c r="D1701">
        <v>4700</v>
      </c>
      <c r="E1701">
        <v>4900</v>
      </c>
      <c r="F1701">
        <v>156</v>
      </c>
      <c r="G1701">
        <v>82</v>
      </c>
      <c r="H1701">
        <v>0</v>
      </c>
      <c r="J1701" s="1">
        <f t="shared" si="130"/>
        <v>24336</v>
      </c>
      <c r="K1701" s="1">
        <f t="shared" si="131"/>
        <v>6724</v>
      </c>
      <c r="L1701" s="1">
        <f t="shared" si="132"/>
        <v>31060</v>
      </c>
      <c r="M1701" s="1">
        <f t="shared" si="133"/>
        <v>176.23847480048164</v>
      </c>
      <c r="N1701" s="7">
        <f t="shared" si="134"/>
        <v>176.23847480048164</v>
      </c>
    </row>
    <row r="1702" spans="1:14" x14ac:dyDescent="0.25">
      <c r="A1702" t="str">
        <f>"14:18:44.555"</f>
        <v>14:18:44.555</v>
      </c>
      <c r="B1702">
        <v>39.725682999999997</v>
      </c>
      <c r="C1702">
        <v>-76.150724999999994</v>
      </c>
      <c r="D1702">
        <v>4700</v>
      </c>
      <c r="E1702">
        <v>4900</v>
      </c>
      <c r="F1702">
        <v>156</v>
      </c>
      <c r="G1702">
        <v>82</v>
      </c>
      <c r="H1702">
        <v>0</v>
      </c>
      <c r="J1702" s="1">
        <f t="shared" si="130"/>
        <v>24336</v>
      </c>
      <c r="K1702" s="1">
        <f t="shared" si="131"/>
        <v>6724</v>
      </c>
      <c r="L1702" s="1">
        <f t="shared" si="132"/>
        <v>31060</v>
      </c>
      <c r="M1702" s="1">
        <f t="shared" si="133"/>
        <v>176.23847480048164</v>
      </c>
      <c r="N1702" s="7">
        <f t="shared" si="134"/>
        <v>176.23847480048164</v>
      </c>
    </row>
    <row r="1703" spans="1:14" x14ac:dyDescent="0.25">
      <c r="A1703" t="str">
        <f>"14:18:45.617"</f>
        <v>14:18:45.617</v>
      </c>
      <c r="B1703">
        <v>39.726089999999999</v>
      </c>
      <c r="C1703">
        <v>-76.149652000000003</v>
      </c>
      <c r="D1703">
        <v>4700</v>
      </c>
      <c r="E1703">
        <v>4900</v>
      </c>
      <c r="F1703">
        <v>156</v>
      </c>
      <c r="G1703">
        <v>82</v>
      </c>
      <c r="H1703">
        <v>0</v>
      </c>
      <c r="J1703" s="1">
        <f t="shared" si="130"/>
        <v>24336</v>
      </c>
      <c r="K1703" s="1">
        <f t="shared" si="131"/>
        <v>6724</v>
      </c>
      <c r="L1703" s="1">
        <f t="shared" si="132"/>
        <v>31060</v>
      </c>
      <c r="M1703" s="1">
        <f t="shared" si="133"/>
        <v>176.23847480048164</v>
      </c>
      <c r="N1703" s="7">
        <f t="shared" si="134"/>
        <v>176.23847480048164</v>
      </c>
    </row>
    <row r="1704" spans="1:14" x14ac:dyDescent="0.25">
      <c r="A1704" t="str">
        <f>"14:18:46.578"</f>
        <v>14:18:46.578</v>
      </c>
      <c r="B1704">
        <v>39.726520000000001</v>
      </c>
      <c r="C1704">
        <v>-76.148751000000004</v>
      </c>
      <c r="D1704">
        <v>4700</v>
      </c>
      <c r="E1704">
        <v>4900</v>
      </c>
      <c r="F1704">
        <v>156</v>
      </c>
      <c r="G1704">
        <v>82</v>
      </c>
      <c r="H1704">
        <v>64</v>
      </c>
      <c r="J1704" s="1">
        <f t="shared" si="130"/>
        <v>24336</v>
      </c>
      <c r="K1704" s="1">
        <f t="shared" si="131"/>
        <v>6724</v>
      </c>
      <c r="L1704" s="1">
        <f t="shared" si="132"/>
        <v>31060</v>
      </c>
      <c r="M1704" s="1">
        <f t="shared" si="133"/>
        <v>176.23847480048164</v>
      </c>
      <c r="N1704" s="7">
        <f t="shared" si="134"/>
        <v>176.23847480048164</v>
      </c>
    </row>
    <row r="1705" spans="1:14" x14ac:dyDescent="0.25">
      <c r="A1705" t="str">
        <f>"14:18:47.539"</f>
        <v>14:18:47.539</v>
      </c>
      <c r="B1705">
        <v>39.726841</v>
      </c>
      <c r="C1705">
        <v>-76.147914</v>
      </c>
      <c r="D1705">
        <v>4700</v>
      </c>
      <c r="E1705">
        <v>4900</v>
      </c>
      <c r="F1705">
        <v>156</v>
      </c>
      <c r="G1705">
        <v>82</v>
      </c>
      <c r="H1705">
        <v>128</v>
      </c>
      <c r="J1705" s="1">
        <f t="shared" si="130"/>
        <v>24336</v>
      </c>
      <c r="K1705" s="1">
        <f t="shared" si="131"/>
        <v>6724</v>
      </c>
      <c r="L1705" s="1">
        <f t="shared" si="132"/>
        <v>31060</v>
      </c>
      <c r="M1705" s="1">
        <f t="shared" si="133"/>
        <v>176.23847480048164</v>
      </c>
      <c r="N1705" s="7">
        <f t="shared" si="134"/>
        <v>176.23847480048164</v>
      </c>
    </row>
    <row r="1706" spans="1:14" x14ac:dyDescent="0.25">
      <c r="A1706" t="str">
        <f>"14:18:48.648"</f>
        <v>14:18:48.648</v>
      </c>
      <c r="B1706">
        <v>39.727271000000002</v>
      </c>
      <c r="C1706">
        <v>-76.146840999999995</v>
      </c>
      <c r="D1706">
        <v>4700</v>
      </c>
      <c r="E1706">
        <v>4900</v>
      </c>
      <c r="F1706">
        <v>156</v>
      </c>
      <c r="G1706">
        <v>83</v>
      </c>
      <c r="H1706">
        <v>128</v>
      </c>
      <c r="J1706" s="1">
        <f t="shared" si="130"/>
        <v>24336</v>
      </c>
      <c r="K1706" s="1">
        <f t="shared" si="131"/>
        <v>6889</v>
      </c>
      <c r="L1706" s="1">
        <f t="shared" si="132"/>
        <v>31225</v>
      </c>
      <c r="M1706" s="1">
        <f t="shared" si="133"/>
        <v>176.70597047072292</v>
      </c>
      <c r="N1706" s="7">
        <f t="shared" si="134"/>
        <v>176.70597047072292</v>
      </c>
    </row>
    <row r="1707" spans="1:14" x14ac:dyDescent="0.25">
      <c r="A1707" t="str">
        <f>"14:18:49.703"</f>
        <v>14:18:49.703</v>
      </c>
      <c r="B1707">
        <v>39.727699999999999</v>
      </c>
      <c r="C1707">
        <v>-76.145832999999996</v>
      </c>
      <c r="D1707">
        <v>4700</v>
      </c>
      <c r="E1707">
        <v>4900</v>
      </c>
      <c r="F1707">
        <v>156</v>
      </c>
      <c r="G1707">
        <v>83</v>
      </c>
      <c r="H1707">
        <v>128</v>
      </c>
      <c r="J1707" s="1">
        <f t="shared" si="130"/>
        <v>24336</v>
      </c>
      <c r="K1707" s="1">
        <f t="shared" si="131"/>
        <v>6889</v>
      </c>
      <c r="L1707" s="1">
        <f t="shared" si="132"/>
        <v>31225</v>
      </c>
      <c r="M1707" s="1">
        <f t="shared" si="133"/>
        <v>176.70597047072292</v>
      </c>
      <c r="N1707" s="7">
        <f t="shared" si="134"/>
        <v>176.70597047072292</v>
      </c>
    </row>
    <row r="1708" spans="1:14" x14ac:dyDescent="0.25">
      <c r="A1708" t="str">
        <f>"14:18:50.664"</f>
        <v>14:18:50.664</v>
      </c>
      <c r="B1708">
        <v>39.728043</v>
      </c>
      <c r="C1708">
        <v>-76.145016999999996</v>
      </c>
      <c r="D1708">
        <v>4700</v>
      </c>
      <c r="E1708">
        <v>4900</v>
      </c>
      <c r="F1708">
        <v>156</v>
      </c>
      <c r="G1708">
        <v>83</v>
      </c>
      <c r="H1708">
        <v>128</v>
      </c>
      <c r="J1708" s="1">
        <f t="shared" si="130"/>
        <v>24336</v>
      </c>
      <c r="K1708" s="1">
        <f t="shared" si="131"/>
        <v>6889</v>
      </c>
      <c r="L1708" s="1">
        <f t="shared" si="132"/>
        <v>31225</v>
      </c>
      <c r="M1708" s="1">
        <f t="shared" si="133"/>
        <v>176.70597047072292</v>
      </c>
      <c r="N1708" s="7">
        <f t="shared" si="134"/>
        <v>176.70597047072292</v>
      </c>
    </row>
    <row r="1709" spans="1:14" x14ac:dyDescent="0.25">
      <c r="A1709" t="str">
        <f>"14:18:51.523"</f>
        <v>14:18:51.523</v>
      </c>
      <c r="B1709">
        <v>39.728386</v>
      </c>
      <c r="C1709">
        <v>-76.144159000000002</v>
      </c>
      <c r="D1709">
        <v>4700</v>
      </c>
      <c r="E1709">
        <v>4900</v>
      </c>
      <c r="F1709">
        <v>156</v>
      </c>
      <c r="G1709">
        <v>83</v>
      </c>
      <c r="H1709">
        <v>128</v>
      </c>
      <c r="J1709" s="1">
        <f t="shared" si="130"/>
        <v>24336</v>
      </c>
      <c r="K1709" s="1">
        <f t="shared" si="131"/>
        <v>6889</v>
      </c>
      <c r="L1709" s="1">
        <f t="shared" si="132"/>
        <v>31225</v>
      </c>
      <c r="M1709" s="1">
        <f t="shared" si="133"/>
        <v>176.70597047072292</v>
      </c>
      <c r="N1709" s="7">
        <f t="shared" si="134"/>
        <v>176.70597047072292</v>
      </c>
    </row>
    <row r="1710" spans="1:14" x14ac:dyDescent="0.25">
      <c r="A1710" t="str">
        <f>"14:18:52.633"</f>
        <v>14:18:52.633</v>
      </c>
      <c r="B1710">
        <v>39.728794000000001</v>
      </c>
      <c r="C1710">
        <v>-76.143129000000002</v>
      </c>
      <c r="D1710">
        <v>4700</v>
      </c>
      <c r="E1710">
        <v>4900</v>
      </c>
      <c r="F1710">
        <v>156</v>
      </c>
      <c r="G1710">
        <v>83</v>
      </c>
      <c r="H1710">
        <v>64</v>
      </c>
      <c r="J1710" s="1">
        <f t="shared" si="130"/>
        <v>24336</v>
      </c>
      <c r="K1710" s="1">
        <f t="shared" si="131"/>
        <v>6889</v>
      </c>
      <c r="L1710" s="1">
        <f t="shared" si="132"/>
        <v>31225</v>
      </c>
      <c r="M1710" s="1">
        <f t="shared" si="133"/>
        <v>176.70597047072292</v>
      </c>
      <c r="N1710" s="7">
        <f t="shared" si="134"/>
        <v>176.70597047072292</v>
      </c>
    </row>
    <row r="1711" spans="1:14" x14ac:dyDescent="0.25">
      <c r="A1711" t="str">
        <f>"14:18:53.594"</f>
        <v>14:18:53.594</v>
      </c>
      <c r="B1711">
        <v>39.729222999999998</v>
      </c>
      <c r="C1711">
        <v>-76.142206000000002</v>
      </c>
      <c r="D1711">
        <v>4700</v>
      </c>
      <c r="E1711">
        <v>4900</v>
      </c>
      <c r="F1711">
        <v>156</v>
      </c>
      <c r="G1711">
        <v>83</v>
      </c>
      <c r="H1711">
        <v>0</v>
      </c>
      <c r="J1711" s="1">
        <f t="shared" si="130"/>
        <v>24336</v>
      </c>
      <c r="K1711" s="1">
        <f t="shared" si="131"/>
        <v>6889</v>
      </c>
      <c r="L1711" s="1">
        <f t="shared" si="132"/>
        <v>31225</v>
      </c>
      <c r="M1711" s="1">
        <f t="shared" si="133"/>
        <v>176.70597047072292</v>
      </c>
      <c r="N1711" s="7">
        <f t="shared" si="134"/>
        <v>176.70597047072292</v>
      </c>
    </row>
    <row r="1712" spans="1:14" x14ac:dyDescent="0.25">
      <c r="A1712" t="str">
        <f>"14:18:54.602"</f>
        <v>14:18:54.602</v>
      </c>
      <c r="B1712">
        <v>39.729588</v>
      </c>
      <c r="C1712">
        <v>-76.141305000000003</v>
      </c>
      <c r="D1712">
        <v>4700</v>
      </c>
      <c r="E1712">
        <v>4900</v>
      </c>
      <c r="F1712">
        <v>156</v>
      </c>
      <c r="G1712">
        <v>83</v>
      </c>
      <c r="H1712">
        <v>-64</v>
      </c>
      <c r="J1712" s="1">
        <f t="shared" si="130"/>
        <v>24336</v>
      </c>
      <c r="K1712" s="1">
        <f t="shared" si="131"/>
        <v>6889</v>
      </c>
      <c r="L1712" s="1">
        <f t="shared" si="132"/>
        <v>31225</v>
      </c>
      <c r="M1712" s="1">
        <f t="shared" si="133"/>
        <v>176.70597047072292</v>
      </c>
      <c r="N1712" s="7">
        <f t="shared" si="134"/>
        <v>176.70597047072292</v>
      </c>
    </row>
    <row r="1713" spans="1:14" x14ac:dyDescent="0.25">
      <c r="A1713" t="str">
        <f>"14:18:55.508"</f>
        <v>14:18:55.508</v>
      </c>
      <c r="B1713">
        <v>39.729953000000002</v>
      </c>
      <c r="C1713">
        <v>-76.140382000000002</v>
      </c>
      <c r="D1713">
        <v>4700</v>
      </c>
      <c r="E1713">
        <v>4900</v>
      </c>
      <c r="F1713">
        <v>156</v>
      </c>
      <c r="G1713">
        <v>84</v>
      </c>
      <c r="H1713">
        <v>-64</v>
      </c>
      <c r="J1713" s="1">
        <f t="shared" si="130"/>
        <v>24336</v>
      </c>
      <c r="K1713" s="1">
        <f t="shared" si="131"/>
        <v>7056</v>
      </c>
      <c r="L1713" s="1">
        <f t="shared" si="132"/>
        <v>31392</v>
      </c>
      <c r="M1713" s="1">
        <f t="shared" si="133"/>
        <v>177.17787672280082</v>
      </c>
      <c r="N1713" s="7">
        <f t="shared" si="134"/>
        <v>177.17787672280082</v>
      </c>
    </row>
    <row r="1714" spans="1:14" x14ac:dyDescent="0.25">
      <c r="A1714" t="str">
        <f>"14:18:56.422"</f>
        <v>14:18:56.422</v>
      </c>
      <c r="B1714">
        <v>39.730296000000003</v>
      </c>
      <c r="C1714">
        <v>-76.139588000000003</v>
      </c>
      <c r="D1714">
        <v>4700</v>
      </c>
      <c r="E1714">
        <v>4900</v>
      </c>
      <c r="F1714">
        <v>156</v>
      </c>
      <c r="G1714">
        <v>83</v>
      </c>
      <c r="H1714">
        <v>-128</v>
      </c>
      <c r="J1714" s="1">
        <f t="shared" si="130"/>
        <v>24336</v>
      </c>
      <c r="K1714" s="1">
        <f t="shared" si="131"/>
        <v>6889</v>
      </c>
      <c r="L1714" s="1">
        <f t="shared" si="132"/>
        <v>31225</v>
      </c>
      <c r="M1714" s="1">
        <f t="shared" si="133"/>
        <v>176.70597047072292</v>
      </c>
      <c r="N1714" s="7">
        <f t="shared" si="134"/>
        <v>176.70597047072292</v>
      </c>
    </row>
    <row r="1715" spans="1:14" x14ac:dyDescent="0.25">
      <c r="A1715" t="str">
        <f>"14:18:57.273"</f>
        <v>14:18:57.273</v>
      </c>
      <c r="B1715">
        <v>39.730638999999996</v>
      </c>
      <c r="C1715">
        <v>-76.138709000000006</v>
      </c>
      <c r="D1715">
        <v>4700</v>
      </c>
      <c r="E1715">
        <v>4900</v>
      </c>
      <c r="F1715">
        <v>156</v>
      </c>
      <c r="G1715">
        <v>83</v>
      </c>
      <c r="H1715">
        <v>-128</v>
      </c>
      <c r="J1715" s="1">
        <f t="shared" si="130"/>
        <v>24336</v>
      </c>
      <c r="K1715" s="1">
        <f t="shared" si="131"/>
        <v>6889</v>
      </c>
      <c r="L1715" s="1">
        <f t="shared" si="132"/>
        <v>31225</v>
      </c>
      <c r="M1715" s="1">
        <f t="shared" si="133"/>
        <v>176.70597047072292</v>
      </c>
      <c r="N1715" s="7">
        <f t="shared" si="134"/>
        <v>176.70597047072292</v>
      </c>
    </row>
    <row r="1716" spans="1:14" x14ac:dyDescent="0.25">
      <c r="A1716" t="str">
        <f>"14:18:58.188"</f>
        <v>14:18:58.188</v>
      </c>
      <c r="B1716">
        <v>39.730983000000002</v>
      </c>
      <c r="C1716">
        <v>-76.137872000000002</v>
      </c>
      <c r="D1716">
        <v>4700</v>
      </c>
      <c r="E1716">
        <v>4900</v>
      </c>
      <c r="F1716">
        <v>157</v>
      </c>
      <c r="G1716">
        <v>83</v>
      </c>
      <c r="H1716">
        <v>-128</v>
      </c>
      <c r="J1716" s="1">
        <f t="shared" si="130"/>
        <v>24649</v>
      </c>
      <c r="K1716" s="1">
        <f t="shared" si="131"/>
        <v>6889</v>
      </c>
      <c r="L1716" s="1">
        <f t="shared" si="132"/>
        <v>31538</v>
      </c>
      <c r="M1716" s="1">
        <f t="shared" si="133"/>
        <v>177.58941409892651</v>
      </c>
      <c r="N1716" s="7">
        <f t="shared" si="134"/>
        <v>177.58941409892651</v>
      </c>
    </row>
    <row r="1717" spans="1:14" x14ac:dyDescent="0.25">
      <c r="A1717" t="str">
        <f>"14:18:59.195"</f>
        <v>14:18:59.195</v>
      </c>
      <c r="B1717">
        <v>39.731347999999997</v>
      </c>
      <c r="C1717">
        <v>-76.136905999999996</v>
      </c>
      <c r="D1717">
        <v>4700</v>
      </c>
      <c r="E1717">
        <v>4900</v>
      </c>
      <c r="F1717">
        <v>157</v>
      </c>
      <c r="G1717">
        <v>83</v>
      </c>
      <c r="H1717">
        <v>-128</v>
      </c>
      <c r="J1717" s="1">
        <f t="shared" si="130"/>
        <v>24649</v>
      </c>
      <c r="K1717" s="1">
        <f t="shared" si="131"/>
        <v>6889</v>
      </c>
      <c r="L1717" s="1">
        <f t="shared" si="132"/>
        <v>31538</v>
      </c>
      <c r="M1717" s="1">
        <f t="shared" si="133"/>
        <v>177.58941409892651</v>
      </c>
      <c r="N1717" s="7">
        <f t="shared" si="134"/>
        <v>177.58941409892651</v>
      </c>
    </row>
    <row r="1718" spans="1:14" x14ac:dyDescent="0.25">
      <c r="A1718" t="str">
        <f>"14:19:00.102"</f>
        <v>14:19:00.102</v>
      </c>
      <c r="B1718">
        <v>39.731690999999998</v>
      </c>
      <c r="C1718">
        <v>-76.136090999999993</v>
      </c>
      <c r="D1718">
        <v>4700</v>
      </c>
      <c r="E1718">
        <v>4900</v>
      </c>
      <c r="F1718">
        <v>157</v>
      </c>
      <c r="G1718">
        <v>83</v>
      </c>
      <c r="H1718">
        <v>-128</v>
      </c>
      <c r="J1718" s="1">
        <f t="shared" si="130"/>
        <v>24649</v>
      </c>
      <c r="K1718" s="1">
        <f t="shared" si="131"/>
        <v>6889</v>
      </c>
      <c r="L1718" s="1">
        <f t="shared" si="132"/>
        <v>31538</v>
      </c>
      <c r="M1718" s="1">
        <f t="shared" si="133"/>
        <v>177.58941409892651</v>
      </c>
      <c r="N1718" s="7">
        <f t="shared" si="134"/>
        <v>177.58941409892651</v>
      </c>
    </row>
    <row r="1719" spans="1:14" x14ac:dyDescent="0.25">
      <c r="A1719" t="str">
        <f>"14:19:01.008"</f>
        <v>14:19:01.008</v>
      </c>
      <c r="B1719">
        <v>39.732056</v>
      </c>
      <c r="C1719">
        <v>-76.135254000000003</v>
      </c>
      <c r="D1719">
        <v>4700</v>
      </c>
      <c r="E1719">
        <v>4900</v>
      </c>
      <c r="F1719">
        <v>157</v>
      </c>
      <c r="G1719">
        <v>82</v>
      </c>
      <c r="H1719">
        <v>-128</v>
      </c>
      <c r="J1719" s="1">
        <f t="shared" si="130"/>
        <v>24649</v>
      </c>
      <c r="K1719" s="1">
        <f t="shared" si="131"/>
        <v>6724</v>
      </c>
      <c r="L1719" s="1">
        <f t="shared" si="132"/>
        <v>31373</v>
      </c>
      <c r="M1719" s="1">
        <f t="shared" si="133"/>
        <v>177.12425017484196</v>
      </c>
      <c r="N1719" s="7">
        <f t="shared" si="134"/>
        <v>177.12425017484196</v>
      </c>
    </row>
    <row r="1720" spans="1:14" x14ac:dyDescent="0.25">
      <c r="A1720" t="str">
        <f>"14:19:02.070"</f>
        <v>14:19:02.070</v>
      </c>
      <c r="B1720">
        <v>39.732419999999998</v>
      </c>
      <c r="C1720">
        <v>-76.134266999999994</v>
      </c>
      <c r="D1720">
        <v>4700</v>
      </c>
      <c r="E1720">
        <v>4900</v>
      </c>
      <c r="F1720">
        <v>158</v>
      </c>
      <c r="G1720">
        <v>82</v>
      </c>
      <c r="H1720">
        <v>-128</v>
      </c>
      <c r="J1720" s="1">
        <f t="shared" si="130"/>
        <v>24964</v>
      </c>
      <c r="K1720" s="1">
        <f t="shared" si="131"/>
        <v>6724</v>
      </c>
      <c r="L1720" s="1">
        <f t="shared" si="132"/>
        <v>31688</v>
      </c>
      <c r="M1720" s="1">
        <f t="shared" si="133"/>
        <v>178.01123560045303</v>
      </c>
      <c r="N1720" s="7">
        <f t="shared" si="134"/>
        <v>178.01123560045303</v>
      </c>
    </row>
    <row r="1721" spans="1:14" x14ac:dyDescent="0.25">
      <c r="A1721" t="str">
        <f>"14:19:03.133"</f>
        <v>14:19:03.133</v>
      </c>
      <c r="B1721">
        <v>39.732827999999998</v>
      </c>
      <c r="C1721">
        <v>-76.133215000000007</v>
      </c>
      <c r="D1721">
        <v>4700</v>
      </c>
      <c r="E1721">
        <v>4900</v>
      </c>
      <c r="F1721">
        <v>158</v>
      </c>
      <c r="G1721">
        <v>82</v>
      </c>
      <c r="H1721">
        <v>-64</v>
      </c>
      <c r="J1721" s="1">
        <f t="shared" si="130"/>
        <v>24964</v>
      </c>
      <c r="K1721" s="1">
        <f t="shared" si="131"/>
        <v>6724</v>
      </c>
      <c r="L1721" s="1">
        <f t="shared" si="132"/>
        <v>31688</v>
      </c>
      <c r="M1721" s="1">
        <f t="shared" si="133"/>
        <v>178.01123560045303</v>
      </c>
      <c r="N1721" s="7">
        <f t="shared" si="134"/>
        <v>178.01123560045303</v>
      </c>
    </row>
    <row r="1722" spans="1:14" x14ac:dyDescent="0.25">
      <c r="A1722" t="str">
        <f>"14:19:04.141"</f>
        <v>14:19:04.141</v>
      </c>
      <c r="B1722">
        <v>39.733193</v>
      </c>
      <c r="C1722">
        <v>-76.132271000000003</v>
      </c>
      <c r="D1722">
        <v>4700</v>
      </c>
      <c r="E1722">
        <v>4875</v>
      </c>
      <c r="F1722">
        <v>158</v>
      </c>
      <c r="G1722">
        <v>81</v>
      </c>
      <c r="H1722">
        <v>-64</v>
      </c>
      <c r="J1722" s="1">
        <f t="shared" si="130"/>
        <v>24964</v>
      </c>
      <c r="K1722" s="1">
        <f t="shared" si="131"/>
        <v>6561</v>
      </c>
      <c r="L1722" s="1">
        <f t="shared" si="132"/>
        <v>31525</v>
      </c>
      <c r="M1722" s="1">
        <f t="shared" si="133"/>
        <v>177.55280904564702</v>
      </c>
      <c r="N1722" s="7">
        <f t="shared" si="134"/>
        <v>177.55280904564702</v>
      </c>
    </row>
    <row r="1723" spans="1:14" x14ac:dyDescent="0.25">
      <c r="A1723" t="str">
        <f>"14:19:05.047"</f>
        <v>14:19:05.047</v>
      </c>
      <c r="B1723">
        <v>39.733536000000001</v>
      </c>
      <c r="C1723">
        <v>-76.131412999999995</v>
      </c>
      <c r="D1723">
        <v>4700</v>
      </c>
      <c r="E1723">
        <v>4875</v>
      </c>
      <c r="F1723">
        <v>158</v>
      </c>
      <c r="G1723">
        <v>81</v>
      </c>
      <c r="H1723">
        <v>-64</v>
      </c>
      <c r="J1723" s="1">
        <f t="shared" si="130"/>
        <v>24964</v>
      </c>
      <c r="K1723" s="1">
        <f t="shared" si="131"/>
        <v>6561</v>
      </c>
      <c r="L1723" s="1">
        <f t="shared" si="132"/>
        <v>31525</v>
      </c>
      <c r="M1723" s="1">
        <f t="shared" si="133"/>
        <v>177.55280904564702</v>
      </c>
      <c r="N1723" s="7">
        <f t="shared" si="134"/>
        <v>177.55280904564702</v>
      </c>
    </row>
    <row r="1724" spans="1:14" x14ac:dyDescent="0.25">
      <c r="A1724" t="str">
        <f>"14:19:05.961"</f>
        <v>14:19:05.961</v>
      </c>
      <c r="B1724">
        <v>39.733879999999999</v>
      </c>
      <c r="C1724">
        <v>-76.130598000000006</v>
      </c>
      <c r="D1724">
        <v>4700</v>
      </c>
      <c r="E1724">
        <v>4875</v>
      </c>
      <c r="F1724">
        <v>158</v>
      </c>
      <c r="G1724">
        <v>81</v>
      </c>
      <c r="H1724">
        <v>0</v>
      </c>
      <c r="J1724" s="1">
        <f t="shared" si="130"/>
        <v>24964</v>
      </c>
      <c r="K1724" s="1">
        <f t="shared" si="131"/>
        <v>6561</v>
      </c>
      <c r="L1724" s="1">
        <f t="shared" si="132"/>
        <v>31525</v>
      </c>
      <c r="M1724" s="1">
        <f t="shared" si="133"/>
        <v>177.55280904564702</v>
      </c>
      <c r="N1724" s="7">
        <f t="shared" si="134"/>
        <v>177.55280904564702</v>
      </c>
    </row>
    <row r="1725" spans="1:14" x14ac:dyDescent="0.25">
      <c r="A1725" t="str">
        <f>"14:19:06.813"</f>
        <v>14:19:06.813</v>
      </c>
      <c r="B1725">
        <v>39.734243999999997</v>
      </c>
      <c r="C1725">
        <v>-76.129761000000002</v>
      </c>
      <c r="D1725">
        <v>4700</v>
      </c>
      <c r="E1725">
        <v>4875</v>
      </c>
      <c r="F1725">
        <v>158</v>
      </c>
      <c r="G1725">
        <v>81</v>
      </c>
      <c r="H1725">
        <v>0</v>
      </c>
      <c r="J1725" s="1">
        <f t="shared" si="130"/>
        <v>24964</v>
      </c>
      <c r="K1725" s="1">
        <f t="shared" si="131"/>
        <v>6561</v>
      </c>
      <c r="L1725" s="1">
        <f t="shared" si="132"/>
        <v>31525</v>
      </c>
      <c r="M1725" s="1">
        <f t="shared" si="133"/>
        <v>177.55280904564702</v>
      </c>
      <c r="N1725" s="7">
        <f t="shared" si="134"/>
        <v>177.55280904564702</v>
      </c>
    </row>
    <row r="1726" spans="1:14" x14ac:dyDescent="0.25">
      <c r="A1726" t="str">
        <f>"14:19:07.875"</f>
        <v>14:19:07.875</v>
      </c>
      <c r="B1726">
        <v>39.734608999999999</v>
      </c>
      <c r="C1726">
        <v>-76.128774000000007</v>
      </c>
      <c r="D1726">
        <v>4700</v>
      </c>
      <c r="E1726">
        <v>4875</v>
      </c>
      <c r="F1726">
        <v>158</v>
      </c>
      <c r="G1726">
        <v>81</v>
      </c>
      <c r="H1726">
        <v>64</v>
      </c>
      <c r="J1726" s="1">
        <f t="shared" si="130"/>
        <v>24964</v>
      </c>
      <c r="K1726" s="1">
        <f t="shared" si="131"/>
        <v>6561</v>
      </c>
      <c r="L1726" s="1">
        <f t="shared" si="132"/>
        <v>31525</v>
      </c>
      <c r="M1726" s="1">
        <f t="shared" si="133"/>
        <v>177.55280904564702</v>
      </c>
      <c r="N1726" s="7">
        <f t="shared" si="134"/>
        <v>177.55280904564702</v>
      </c>
    </row>
    <row r="1727" spans="1:14" x14ac:dyDescent="0.25">
      <c r="A1727" t="str">
        <f>"14:19:09.039"</f>
        <v>14:19:09.039</v>
      </c>
      <c r="B1727">
        <v>39.735038000000003</v>
      </c>
      <c r="C1727">
        <v>-76.127615000000006</v>
      </c>
      <c r="D1727">
        <v>4700</v>
      </c>
      <c r="E1727">
        <v>4875</v>
      </c>
      <c r="F1727">
        <v>158</v>
      </c>
      <c r="G1727">
        <v>81</v>
      </c>
      <c r="H1727">
        <v>64</v>
      </c>
      <c r="J1727" s="1">
        <f t="shared" si="130"/>
        <v>24964</v>
      </c>
      <c r="K1727" s="1">
        <f t="shared" si="131"/>
        <v>6561</v>
      </c>
      <c r="L1727" s="1">
        <f t="shared" si="132"/>
        <v>31525</v>
      </c>
      <c r="M1727" s="1">
        <f t="shared" si="133"/>
        <v>177.55280904564702</v>
      </c>
      <c r="N1727" s="7">
        <f t="shared" si="134"/>
        <v>177.55280904564702</v>
      </c>
    </row>
    <row r="1728" spans="1:14" x14ac:dyDescent="0.25">
      <c r="A1728" t="str">
        <f>"14:19:10.047"</f>
        <v>14:19:10.047</v>
      </c>
      <c r="B1728">
        <v>39.735402999999998</v>
      </c>
      <c r="C1728">
        <v>-76.126714000000007</v>
      </c>
      <c r="D1728">
        <v>4700</v>
      </c>
      <c r="E1728">
        <v>4900</v>
      </c>
      <c r="F1728">
        <v>158</v>
      </c>
      <c r="G1728">
        <v>80</v>
      </c>
      <c r="H1728">
        <v>128</v>
      </c>
      <c r="J1728" s="1">
        <f t="shared" si="130"/>
        <v>24964</v>
      </c>
      <c r="K1728" s="1">
        <f t="shared" si="131"/>
        <v>6400</v>
      </c>
      <c r="L1728" s="1">
        <f t="shared" si="132"/>
        <v>31364</v>
      </c>
      <c r="M1728" s="1">
        <f t="shared" si="133"/>
        <v>177.09884245810304</v>
      </c>
      <c r="N1728" s="7">
        <f t="shared" si="134"/>
        <v>177.09884245810304</v>
      </c>
    </row>
    <row r="1729" spans="1:14" x14ac:dyDescent="0.25">
      <c r="A1729" t="str">
        <f>"14:19:11.055"</f>
        <v>14:19:11.055</v>
      </c>
      <c r="B1729">
        <v>39.735788999999997</v>
      </c>
      <c r="C1729">
        <v>-76.125791000000007</v>
      </c>
      <c r="D1729">
        <v>4700</v>
      </c>
      <c r="E1729">
        <v>4900</v>
      </c>
      <c r="F1729">
        <v>157</v>
      </c>
      <c r="G1729">
        <v>80</v>
      </c>
      <c r="H1729">
        <v>128</v>
      </c>
      <c r="J1729" s="1">
        <f t="shared" si="130"/>
        <v>24649</v>
      </c>
      <c r="K1729" s="1">
        <f t="shared" si="131"/>
        <v>6400</v>
      </c>
      <c r="L1729" s="1">
        <f t="shared" si="132"/>
        <v>31049</v>
      </c>
      <c r="M1729" s="1">
        <f t="shared" si="133"/>
        <v>176.20726432244501</v>
      </c>
      <c r="N1729" s="7">
        <f t="shared" si="134"/>
        <v>176.20726432244501</v>
      </c>
    </row>
    <row r="1730" spans="1:14" x14ac:dyDescent="0.25">
      <c r="A1730" t="str">
        <f>"14:19:12.063"</f>
        <v>14:19:12.063</v>
      </c>
      <c r="B1730">
        <v>39.736153999999999</v>
      </c>
      <c r="C1730">
        <v>-76.124825000000001</v>
      </c>
      <c r="D1730">
        <v>4700</v>
      </c>
      <c r="E1730">
        <v>4900</v>
      </c>
      <c r="F1730">
        <v>157</v>
      </c>
      <c r="G1730">
        <v>80</v>
      </c>
      <c r="H1730">
        <v>128</v>
      </c>
      <c r="J1730" s="1">
        <f t="shared" si="130"/>
        <v>24649</v>
      </c>
      <c r="K1730" s="1">
        <f t="shared" si="131"/>
        <v>6400</v>
      </c>
      <c r="L1730" s="1">
        <f t="shared" si="132"/>
        <v>31049</v>
      </c>
      <c r="M1730" s="1">
        <f t="shared" si="133"/>
        <v>176.20726432244501</v>
      </c>
      <c r="N1730" s="7">
        <f t="shared" si="134"/>
        <v>176.20726432244501</v>
      </c>
    </row>
    <row r="1731" spans="1:14" x14ac:dyDescent="0.25">
      <c r="A1731" t="str">
        <f>"14:19:13.125"</f>
        <v>14:19:13.125</v>
      </c>
      <c r="B1731">
        <v>39.736583000000003</v>
      </c>
      <c r="C1731">
        <v>-76.123795999999999</v>
      </c>
      <c r="D1731">
        <v>4700</v>
      </c>
      <c r="E1731">
        <v>4900</v>
      </c>
      <c r="F1731">
        <v>157</v>
      </c>
      <c r="G1731">
        <v>80</v>
      </c>
      <c r="H1731">
        <v>128</v>
      </c>
      <c r="J1731" s="1">
        <f t="shared" ref="J1731:J1794" si="135">F1731^2</f>
        <v>24649</v>
      </c>
      <c r="K1731" s="1">
        <f t="shared" ref="K1731:K1794" si="136">G1731^2</f>
        <v>6400</v>
      </c>
      <c r="L1731" s="1">
        <f t="shared" ref="L1731:L1794" si="137">SUMSQ(F1731,G1731)</f>
        <v>31049</v>
      </c>
      <c r="M1731" s="1">
        <f t="shared" ref="M1731:M1794" si="138">SQRT(L1731)</f>
        <v>176.20726432244501</v>
      </c>
      <c r="N1731" s="7">
        <f t="shared" ref="N1731:N1794" si="139">M1731</f>
        <v>176.20726432244501</v>
      </c>
    </row>
    <row r="1732" spans="1:14" x14ac:dyDescent="0.25">
      <c r="A1732" t="str">
        <f>"14:19:14.234"</f>
        <v>14:19:14.234</v>
      </c>
      <c r="B1732">
        <v>39.736991000000003</v>
      </c>
      <c r="C1732">
        <v>-76.122743999999997</v>
      </c>
      <c r="D1732">
        <v>4700</v>
      </c>
      <c r="E1732">
        <v>4900</v>
      </c>
      <c r="F1732">
        <v>157</v>
      </c>
      <c r="G1732">
        <v>81</v>
      </c>
      <c r="H1732">
        <v>64</v>
      </c>
      <c r="J1732" s="1">
        <f t="shared" si="135"/>
        <v>24649</v>
      </c>
      <c r="K1732" s="1">
        <f t="shared" si="136"/>
        <v>6561</v>
      </c>
      <c r="L1732" s="1">
        <f t="shared" si="137"/>
        <v>31210</v>
      </c>
      <c r="M1732" s="1">
        <f t="shared" si="138"/>
        <v>176.6635219845908</v>
      </c>
      <c r="N1732" s="7">
        <f t="shared" si="139"/>
        <v>176.6635219845908</v>
      </c>
    </row>
    <row r="1733" spans="1:14" x14ac:dyDescent="0.25">
      <c r="A1733" t="str">
        <f>"14:19:15.141"</f>
        <v>14:19:15.141</v>
      </c>
      <c r="B1733">
        <v>39.737313</v>
      </c>
      <c r="C1733">
        <v>-76.121886000000003</v>
      </c>
      <c r="D1733">
        <v>4700</v>
      </c>
      <c r="E1733">
        <v>4900</v>
      </c>
      <c r="F1733">
        <v>157</v>
      </c>
      <c r="G1733">
        <v>81</v>
      </c>
      <c r="H1733">
        <v>64</v>
      </c>
      <c r="J1733" s="1">
        <f t="shared" si="135"/>
        <v>24649</v>
      </c>
      <c r="K1733" s="1">
        <f t="shared" si="136"/>
        <v>6561</v>
      </c>
      <c r="L1733" s="1">
        <f t="shared" si="137"/>
        <v>31210</v>
      </c>
      <c r="M1733" s="1">
        <f t="shared" si="138"/>
        <v>176.6635219845908</v>
      </c>
      <c r="N1733" s="7">
        <f t="shared" si="139"/>
        <v>176.6635219845908</v>
      </c>
    </row>
    <row r="1734" spans="1:14" x14ac:dyDescent="0.25">
      <c r="A1734" t="str">
        <f>"14:19:16.258"</f>
        <v>14:19:16.258</v>
      </c>
      <c r="B1734">
        <v>39.737741999999997</v>
      </c>
      <c r="C1734">
        <v>-76.120856000000003</v>
      </c>
      <c r="D1734">
        <v>4700</v>
      </c>
      <c r="E1734">
        <v>4900</v>
      </c>
      <c r="F1734">
        <v>157</v>
      </c>
      <c r="G1734">
        <v>81</v>
      </c>
      <c r="H1734">
        <v>0</v>
      </c>
      <c r="J1734" s="1">
        <f t="shared" si="135"/>
        <v>24649</v>
      </c>
      <c r="K1734" s="1">
        <f t="shared" si="136"/>
        <v>6561</v>
      </c>
      <c r="L1734" s="1">
        <f t="shared" si="137"/>
        <v>31210</v>
      </c>
      <c r="M1734" s="1">
        <f t="shared" si="138"/>
        <v>176.6635219845908</v>
      </c>
      <c r="N1734" s="7">
        <f t="shared" si="139"/>
        <v>176.6635219845908</v>
      </c>
    </row>
    <row r="1735" spans="1:14" x14ac:dyDescent="0.25">
      <c r="A1735" t="str">
        <f>"14:19:17.164"</f>
        <v>14:19:17.164</v>
      </c>
      <c r="B1735">
        <v>39.738106999999999</v>
      </c>
      <c r="C1735">
        <v>-76.120018999999999</v>
      </c>
      <c r="D1735">
        <v>4700</v>
      </c>
      <c r="E1735">
        <v>4900</v>
      </c>
      <c r="F1735">
        <v>157</v>
      </c>
      <c r="G1735">
        <v>81</v>
      </c>
      <c r="H1735">
        <v>0</v>
      </c>
      <c r="J1735" s="1">
        <f t="shared" si="135"/>
        <v>24649</v>
      </c>
      <c r="K1735" s="1">
        <f t="shared" si="136"/>
        <v>6561</v>
      </c>
      <c r="L1735" s="1">
        <f t="shared" si="137"/>
        <v>31210</v>
      </c>
      <c r="M1735" s="1">
        <f t="shared" si="138"/>
        <v>176.6635219845908</v>
      </c>
      <c r="N1735" s="7">
        <f t="shared" si="139"/>
        <v>176.6635219845908</v>
      </c>
    </row>
    <row r="1736" spans="1:14" x14ac:dyDescent="0.25">
      <c r="A1736" t="str">
        <f>"14:19:18.227"</f>
        <v>14:19:18.227</v>
      </c>
      <c r="B1736">
        <v>39.738472000000002</v>
      </c>
      <c r="C1736">
        <v>-76.119010000000003</v>
      </c>
      <c r="D1736">
        <v>4700</v>
      </c>
      <c r="E1736">
        <v>4900</v>
      </c>
      <c r="F1736">
        <v>157</v>
      </c>
      <c r="G1736">
        <v>81</v>
      </c>
      <c r="H1736">
        <v>0</v>
      </c>
      <c r="J1736" s="1">
        <f t="shared" si="135"/>
        <v>24649</v>
      </c>
      <c r="K1736" s="1">
        <f t="shared" si="136"/>
        <v>6561</v>
      </c>
      <c r="L1736" s="1">
        <f t="shared" si="137"/>
        <v>31210</v>
      </c>
      <c r="M1736" s="1">
        <f t="shared" si="138"/>
        <v>176.6635219845908</v>
      </c>
      <c r="N1736" s="7">
        <f t="shared" si="139"/>
        <v>176.6635219845908</v>
      </c>
    </row>
    <row r="1737" spans="1:14" x14ac:dyDescent="0.25">
      <c r="A1737" t="str">
        <f>"14:19:19.133"</f>
        <v>14:19:19.133</v>
      </c>
      <c r="B1737">
        <v>39.738835999999999</v>
      </c>
      <c r="C1737">
        <v>-76.118109000000004</v>
      </c>
      <c r="D1737">
        <v>4700</v>
      </c>
      <c r="E1737">
        <v>4900</v>
      </c>
      <c r="F1737">
        <v>157</v>
      </c>
      <c r="G1737">
        <v>81</v>
      </c>
      <c r="H1737">
        <v>-64</v>
      </c>
      <c r="J1737" s="1">
        <f t="shared" si="135"/>
        <v>24649</v>
      </c>
      <c r="K1737" s="1">
        <f t="shared" si="136"/>
        <v>6561</v>
      </c>
      <c r="L1737" s="1">
        <f t="shared" si="137"/>
        <v>31210</v>
      </c>
      <c r="M1737" s="1">
        <f t="shared" si="138"/>
        <v>176.6635219845908</v>
      </c>
      <c r="N1737" s="7">
        <f t="shared" si="139"/>
        <v>176.6635219845908</v>
      </c>
    </row>
    <row r="1738" spans="1:14" x14ac:dyDescent="0.25">
      <c r="A1738" t="str">
        <f>"14:19:20.094"</f>
        <v>14:19:20.094</v>
      </c>
      <c r="B1738">
        <v>39.739201000000001</v>
      </c>
      <c r="C1738">
        <v>-76.117228999999995</v>
      </c>
      <c r="D1738">
        <v>4700</v>
      </c>
      <c r="E1738">
        <v>4900</v>
      </c>
      <c r="F1738">
        <v>157</v>
      </c>
      <c r="G1738">
        <v>81</v>
      </c>
      <c r="H1738">
        <v>-64</v>
      </c>
      <c r="J1738" s="1">
        <f t="shared" si="135"/>
        <v>24649</v>
      </c>
      <c r="K1738" s="1">
        <f t="shared" si="136"/>
        <v>6561</v>
      </c>
      <c r="L1738" s="1">
        <f t="shared" si="137"/>
        <v>31210</v>
      </c>
      <c r="M1738" s="1">
        <f t="shared" si="138"/>
        <v>176.6635219845908</v>
      </c>
      <c r="N1738" s="7">
        <f t="shared" si="139"/>
        <v>176.6635219845908</v>
      </c>
    </row>
    <row r="1739" spans="1:14" x14ac:dyDescent="0.25">
      <c r="A1739" t="str">
        <f>"14:19:21.047"</f>
        <v>14:19:21.047</v>
      </c>
      <c r="B1739">
        <v>39.739544000000002</v>
      </c>
      <c r="C1739">
        <v>-76.116327999999996</v>
      </c>
      <c r="D1739">
        <v>4700</v>
      </c>
      <c r="E1739">
        <v>4900</v>
      </c>
      <c r="F1739">
        <v>157</v>
      </c>
      <c r="G1739">
        <v>81</v>
      </c>
      <c r="H1739">
        <v>-64</v>
      </c>
      <c r="J1739" s="1">
        <f t="shared" si="135"/>
        <v>24649</v>
      </c>
      <c r="K1739" s="1">
        <f t="shared" si="136"/>
        <v>6561</v>
      </c>
      <c r="L1739" s="1">
        <f t="shared" si="137"/>
        <v>31210</v>
      </c>
      <c r="M1739" s="1">
        <f t="shared" si="138"/>
        <v>176.6635219845908</v>
      </c>
      <c r="N1739" s="7">
        <f t="shared" si="139"/>
        <v>176.6635219845908</v>
      </c>
    </row>
    <row r="1740" spans="1:14" x14ac:dyDescent="0.25">
      <c r="A1740" t="str">
        <f>"14:19:22.008"</f>
        <v>14:19:22.008</v>
      </c>
      <c r="B1740">
        <v>39.739930999999999</v>
      </c>
      <c r="C1740">
        <v>-76.115426999999997</v>
      </c>
      <c r="D1740">
        <v>4700</v>
      </c>
      <c r="E1740">
        <v>4900</v>
      </c>
      <c r="F1740">
        <v>156</v>
      </c>
      <c r="G1740">
        <v>81</v>
      </c>
      <c r="H1740">
        <v>0</v>
      </c>
      <c r="J1740" s="1">
        <f t="shared" si="135"/>
        <v>24336</v>
      </c>
      <c r="K1740" s="1">
        <f t="shared" si="136"/>
        <v>6561</v>
      </c>
      <c r="L1740" s="1">
        <f t="shared" si="137"/>
        <v>30897</v>
      </c>
      <c r="M1740" s="1">
        <f t="shared" si="138"/>
        <v>175.77542490348301</v>
      </c>
      <c r="N1740" s="7">
        <f t="shared" si="139"/>
        <v>175.77542490348301</v>
      </c>
    </row>
    <row r="1741" spans="1:14" x14ac:dyDescent="0.25">
      <c r="A1741" t="str">
        <f>"14:19:22.914"</f>
        <v>14:19:22.914</v>
      </c>
      <c r="B1741">
        <v>39.740251999999998</v>
      </c>
      <c r="C1741">
        <v>-76.114590000000007</v>
      </c>
      <c r="D1741">
        <v>4700</v>
      </c>
      <c r="E1741">
        <v>4900</v>
      </c>
      <c r="F1741">
        <v>156</v>
      </c>
      <c r="G1741">
        <v>81</v>
      </c>
      <c r="H1741">
        <v>0</v>
      </c>
      <c r="J1741" s="1">
        <f t="shared" si="135"/>
        <v>24336</v>
      </c>
      <c r="K1741" s="1">
        <f t="shared" si="136"/>
        <v>6561</v>
      </c>
      <c r="L1741" s="1">
        <f t="shared" si="137"/>
        <v>30897</v>
      </c>
      <c r="M1741" s="1">
        <f t="shared" si="138"/>
        <v>175.77542490348301</v>
      </c>
      <c r="N1741" s="7">
        <f t="shared" si="139"/>
        <v>175.77542490348301</v>
      </c>
    </row>
    <row r="1742" spans="1:14" x14ac:dyDescent="0.25">
      <c r="A1742" t="str">
        <f>"14:19:24.023"</f>
        <v>14:19:24.023</v>
      </c>
      <c r="B1742">
        <v>39.740659999999998</v>
      </c>
      <c r="C1742">
        <v>-76.113517000000002</v>
      </c>
      <c r="D1742">
        <v>4700</v>
      </c>
      <c r="E1742">
        <v>4900</v>
      </c>
      <c r="F1742">
        <v>156</v>
      </c>
      <c r="G1742">
        <v>81</v>
      </c>
      <c r="H1742">
        <v>0</v>
      </c>
      <c r="J1742" s="1">
        <f t="shared" si="135"/>
        <v>24336</v>
      </c>
      <c r="K1742" s="1">
        <f t="shared" si="136"/>
        <v>6561</v>
      </c>
      <c r="L1742" s="1">
        <f t="shared" si="137"/>
        <v>30897</v>
      </c>
      <c r="M1742" s="1">
        <f t="shared" si="138"/>
        <v>175.77542490348301</v>
      </c>
      <c r="N1742" s="7">
        <f t="shared" si="139"/>
        <v>175.77542490348301</v>
      </c>
    </row>
    <row r="1743" spans="1:14" x14ac:dyDescent="0.25">
      <c r="A1743" t="str">
        <f>"14:19:24.938"</f>
        <v>14:19:24.938</v>
      </c>
      <c r="B1743">
        <v>39.741025</v>
      </c>
      <c r="C1743">
        <v>-76.112679999999997</v>
      </c>
      <c r="D1743">
        <v>4700</v>
      </c>
      <c r="E1743">
        <v>4900</v>
      </c>
      <c r="F1743">
        <v>156</v>
      </c>
      <c r="G1743">
        <v>81</v>
      </c>
      <c r="H1743">
        <v>0</v>
      </c>
      <c r="J1743" s="1">
        <f t="shared" si="135"/>
        <v>24336</v>
      </c>
      <c r="K1743" s="1">
        <f t="shared" si="136"/>
        <v>6561</v>
      </c>
      <c r="L1743" s="1">
        <f t="shared" si="137"/>
        <v>30897</v>
      </c>
      <c r="M1743" s="1">
        <f t="shared" si="138"/>
        <v>175.77542490348301</v>
      </c>
      <c r="N1743" s="7">
        <f t="shared" si="139"/>
        <v>175.77542490348301</v>
      </c>
    </row>
    <row r="1744" spans="1:14" x14ac:dyDescent="0.25">
      <c r="A1744" t="str">
        <f>"14:19:26.047"</f>
        <v>14:19:26.047</v>
      </c>
      <c r="B1744">
        <v>39.741410999999999</v>
      </c>
      <c r="C1744">
        <v>-76.111693000000002</v>
      </c>
      <c r="D1744">
        <v>4700</v>
      </c>
      <c r="E1744">
        <v>4900</v>
      </c>
      <c r="F1744">
        <v>156</v>
      </c>
      <c r="G1744">
        <v>81</v>
      </c>
      <c r="H1744">
        <v>0</v>
      </c>
      <c r="J1744" s="1">
        <f t="shared" si="135"/>
        <v>24336</v>
      </c>
      <c r="K1744" s="1">
        <f t="shared" si="136"/>
        <v>6561</v>
      </c>
      <c r="L1744" s="1">
        <f t="shared" si="137"/>
        <v>30897</v>
      </c>
      <c r="M1744" s="1">
        <f t="shared" si="138"/>
        <v>175.77542490348301</v>
      </c>
      <c r="N1744" s="7">
        <f t="shared" si="139"/>
        <v>175.77542490348301</v>
      </c>
    </row>
    <row r="1745" spans="1:14" x14ac:dyDescent="0.25">
      <c r="A1745" t="str">
        <f>"14:19:27.102"</f>
        <v>14:19:27.102</v>
      </c>
      <c r="B1745">
        <v>39.741861999999998</v>
      </c>
      <c r="C1745">
        <v>-76.110663000000002</v>
      </c>
      <c r="D1745">
        <v>4700</v>
      </c>
      <c r="E1745">
        <v>4900</v>
      </c>
      <c r="F1745">
        <v>156</v>
      </c>
      <c r="G1745">
        <v>81</v>
      </c>
      <c r="H1745">
        <v>0</v>
      </c>
      <c r="J1745" s="1">
        <f t="shared" si="135"/>
        <v>24336</v>
      </c>
      <c r="K1745" s="1">
        <f t="shared" si="136"/>
        <v>6561</v>
      </c>
      <c r="L1745" s="1">
        <f t="shared" si="137"/>
        <v>30897</v>
      </c>
      <c r="M1745" s="1">
        <f t="shared" si="138"/>
        <v>175.77542490348301</v>
      </c>
      <c r="N1745" s="7">
        <f t="shared" si="139"/>
        <v>175.77542490348301</v>
      </c>
    </row>
    <row r="1746" spans="1:14" x14ac:dyDescent="0.25">
      <c r="A1746" t="str">
        <f>"14:19:28.063"</f>
        <v>14:19:28.063</v>
      </c>
      <c r="B1746">
        <v>39.742227</v>
      </c>
      <c r="C1746">
        <v>-76.109697999999995</v>
      </c>
      <c r="D1746">
        <v>4700</v>
      </c>
      <c r="E1746">
        <v>4900</v>
      </c>
      <c r="F1746">
        <v>156</v>
      </c>
      <c r="G1746">
        <v>81</v>
      </c>
      <c r="H1746">
        <v>0</v>
      </c>
      <c r="J1746" s="1">
        <f t="shared" si="135"/>
        <v>24336</v>
      </c>
      <c r="K1746" s="1">
        <f t="shared" si="136"/>
        <v>6561</v>
      </c>
      <c r="L1746" s="1">
        <f t="shared" si="137"/>
        <v>30897</v>
      </c>
      <c r="M1746" s="1">
        <f t="shared" si="138"/>
        <v>175.77542490348301</v>
      </c>
      <c r="N1746" s="7">
        <f t="shared" si="139"/>
        <v>175.77542490348301</v>
      </c>
    </row>
    <row r="1747" spans="1:14" x14ac:dyDescent="0.25">
      <c r="A1747" t="str">
        <f>"14:19:29.023"</f>
        <v>14:19:29.023</v>
      </c>
      <c r="B1747">
        <v>39.742570000000001</v>
      </c>
      <c r="C1747">
        <v>-76.108881999999994</v>
      </c>
      <c r="D1747">
        <v>4700</v>
      </c>
      <c r="E1747">
        <v>4900</v>
      </c>
      <c r="F1747">
        <v>156</v>
      </c>
      <c r="G1747">
        <v>81</v>
      </c>
      <c r="H1747">
        <v>0</v>
      </c>
      <c r="J1747" s="1">
        <f t="shared" si="135"/>
        <v>24336</v>
      </c>
      <c r="K1747" s="1">
        <f t="shared" si="136"/>
        <v>6561</v>
      </c>
      <c r="L1747" s="1">
        <f t="shared" si="137"/>
        <v>30897</v>
      </c>
      <c r="M1747" s="1">
        <f t="shared" si="138"/>
        <v>175.77542490348301</v>
      </c>
      <c r="N1747" s="7">
        <f t="shared" si="139"/>
        <v>175.77542490348301</v>
      </c>
    </row>
    <row r="1748" spans="1:14" x14ac:dyDescent="0.25">
      <c r="A1748" t="str">
        <f>"14:19:30.031"</f>
        <v>14:19:30.031</v>
      </c>
      <c r="B1748">
        <v>39.742956</v>
      </c>
      <c r="C1748">
        <v>-76.107917</v>
      </c>
      <c r="D1748">
        <v>4700</v>
      </c>
      <c r="E1748">
        <v>4900</v>
      </c>
      <c r="F1748">
        <v>156</v>
      </c>
      <c r="G1748">
        <v>81</v>
      </c>
      <c r="H1748">
        <v>0</v>
      </c>
      <c r="J1748" s="1">
        <f t="shared" si="135"/>
        <v>24336</v>
      </c>
      <c r="K1748" s="1">
        <f t="shared" si="136"/>
        <v>6561</v>
      </c>
      <c r="L1748" s="1">
        <f t="shared" si="137"/>
        <v>30897</v>
      </c>
      <c r="M1748" s="1">
        <f t="shared" si="138"/>
        <v>175.77542490348301</v>
      </c>
      <c r="N1748" s="7">
        <f t="shared" si="139"/>
        <v>175.77542490348301</v>
      </c>
    </row>
    <row r="1749" spans="1:14" x14ac:dyDescent="0.25">
      <c r="A1749" t="str">
        <f>"14:19:31.094"</f>
        <v>14:19:31.094</v>
      </c>
      <c r="B1749">
        <v>39.743321000000002</v>
      </c>
      <c r="C1749">
        <v>-76.106994</v>
      </c>
      <c r="D1749">
        <v>4700</v>
      </c>
      <c r="E1749">
        <v>4900</v>
      </c>
      <c r="F1749">
        <v>156</v>
      </c>
      <c r="G1749">
        <v>81</v>
      </c>
      <c r="H1749">
        <v>0</v>
      </c>
      <c r="J1749" s="1">
        <f t="shared" si="135"/>
        <v>24336</v>
      </c>
      <c r="K1749" s="1">
        <f t="shared" si="136"/>
        <v>6561</v>
      </c>
      <c r="L1749" s="1">
        <f t="shared" si="137"/>
        <v>30897</v>
      </c>
      <c r="M1749" s="1">
        <f t="shared" si="138"/>
        <v>175.77542490348301</v>
      </c>
      <c r="N1749" s="7">
        <f t="shared" si="139"/>
        <v>175.77542490348301</v>
      </c>
    </row>
    <row r="1750" spans="1:14" x14ac:dyDescent="0.25">
      <c r="A1750" t="str">
        <f>"14:19:32.156"</f>
        <v>14:19:32.156</v>
      </c>
      <c r="B1750">
        <v>39.743729000000002</v>
      </c>
      <c r="C1750">
        <v>-76.105942999999996</v>
      </c>
      <c r="D1750">
        <v>4700</v>
      </c>
      <c r="E1750">
        <v>4900</v>
      </c>
      <c r="F1750">
        <v>156</v>
      </c>
      <c r="G1750">
        <v>81</v>
      </c>
      <c r="H1750">
        <v>0</v>
      </c>
      <c r="J1750" s="1">
        <f t="shared" si="135"/>
        <v>24336</v>
      </c>
      <c r="K1750" s="1">
        <f t="shared" si="136"/>
        <v>6561</v>
      </c>
      <c r="L1750" s="1">
        <f t="shared" si="137"/>
        <v>30897</v>
      </c>
      <c r="M1750" s="1">
        <f t="shared" si="138"/>
        <v>175.77542490348301</v>
      </c>
      <c r="N1750" s="7">
        <f t="shared" si="139"/>
        <v>175.77542490348301</v>
      </c>
    </row>
    <row r="1751" spans="1:14" x14ac:dyDescent="0.25">
      <c r="A1751" t="str">
        <f>"14:19:33.008"</f>
        <v>14:19:33.008</v>
      </c>
      <c r="B1751">
        <v>39.744072000000003</v>
      </c>
      <c r="C1751">
        <v>-76.105106000000006</v>
      </c>
      <c r="D1751">
        <v>4700</v>
      </c>
      <c r="E1751">
        <v>4900</v>
      </c>
      <c r="F1751">
        <v>156</v>
      </c>
      <c r="G1751">
        <v>81</v>
      </c>
      <c r="H1751">
        <v>64</v>
      </c>
      <c r="J1751" s="1">
        <f t="shared" si="135"/>
        <v>24336</v>
      </c>
      <c r="K1751" s="1">
        <f t="shared" si="136"/>
        <v>6561</v>
      </c>
      <c r="L1751" s="1">
        <f t="shared" si="137"/>
        <v>30897</v>
      </c>
      <c r="M1751" s="1">
        <f t="shared" si="138"/>
        <v>175.77542490348301</v>
      </c>
      <c r="N1751" s="7">
        <f t="shared" si="139"/>
        <v>175.77542490348301</v>
      </c>
    </row>
    <row r="1752" spans="1:14" x14ac:dyDescent="0.25">
      <c r="A1752" t="str">
        <f>"14:19:34.070"</f>
        <v>14:19:34.070</v>
      </c>
      <c r="B1752">
        <v>39.744458000000002</v>
      </c>
      <c r="C1752">
        <v>-76.104076000000006</v>
      </c>
      <c r="D1752">
        <v>4700</v>
      </c>
      <c r="E1752">
        <v>4900</v>
      </c>
      <c r="F1752">
        <v>156</v>
      </c>
      <c r="G1752">
        <v>81</v>
      </c>
      <c r="H1752">
        <v>64</v>
      </c>
      <c r="J1752" s="1">
        <f t="shared" si="135"/>
        <v>24336</v>
      </c>
      <c r="K1752" s="1">
        <f t="shared" si="136"/>
        <v>6561</v>
      </c>
      <c r="L1752" s="1">
        <f t="shared" si="137"/>
        <v>30897</v>
      </c>
      <c r="M1752" s="1">
        <f t="shared" si="138"/>
        <v>175.77542490348301</v>
      </c>
      <c r="N1752" s="7">
        <f t="shared" si="139"/>
        <v>175.77542490348301</v>
      </c>
    </row>
    <row r="1753" spans="1:14" x14ac:dyDescent="0.25">
      <c r="A1753" t="str">
        <f>"14:19:34.977"</f>
        <v>14:19:34.977</v>
      </c>
      <c r="B1753">
        <v>39.744802</v>
      </c>
      <c r="C1753">
        <v>-76.103217999999998</v>
      </c>
      <c r="D1753">
        <v>4700</v>
      </c>
      <c r="E1753">
        <v>4900</v>
      </c>
      <c r="F1753">
        <v>156</v>
      </c>
      <c r="G1753">
        <v>81</v>
      </c>
      <c r="H1753">
        <v>64</v>
      </c>
      <c r="J1753" s="1">
        <f t="shared" si="135"/>
        <v>24336</v>
      </c>
      <c r="K1753" s="1">
        <f t="shared" si="136"/>
        <v>6561</v>
      </c>
      <c r="L1753" s="1">
        <f t="shared" si="137"/>
        <v>30897</v>
      </c>
      <c r="M1753" s="1">
        <f t="shared" si="138"/>
        <v>175.77542490348301</v>
      </c>
      <c r="N1753" s="7">
        <f t="shared" si="139"/>
        <v>175.77542490348301</v>
      </c>
    </row>
    <row r="1754" spans="1:14" x14ac:dyDescent="0.25">
      <c r="A1754" t="str">
        <f>"14:19:35.992"</f>
        <v>14:19:35.992</v>
      </c>
      <c r="B1754">
        <v>39.745187999999999</v>
      </c>
      <c r="C1754">
        <v>-76.102294999999998</v>
      </c>
      <c r="D1754">
        <v>4700</v>
      </c>
      <c r="E1754">
        <v>4900</v>
      </c>
      <c r="F1754">
        <v>156</v>
      </c>
      <c r="G1754">
        <v>81</v>
      </c>
      <c r="H1754">
        <v>64</v>
      </c>
      <c r="J1754" s="1">
        <f t="shared" si="135"/>
        <v>24336</v>
      </c>
      <c r="K1754" s="1">
        <f t="shared" si="136"/>
        <v>6561</v>
      </c>
      <c r="L1754" s="1">
        <f t="shared" si="137"/>
        <v>30897</v>
      </c>
      <c r="M1754" s="1">
        <f t="shared" si="138"/>
        <v>175.77542490348301</v>
      </c>
      <c r="N1754" s="7">
        <f t="shared" si="139"/>
        <v>175.77542490348301</v>
      </c>
    </row>
    <row r="1755" spans="1:14" x14ac:dyDescent="0.25">
      <c r="A1755" t="str">
        <f>"14:19:36.945"</f>
        <v>14:19:36.945</v>
      </c>
      <c r="B1755">
        <v>39.745510000000003</v>
      </c>
      <c r="C1755">
        <v>-76.101457999999994</v>
      </c>
      <c r="D1755">
        <v>4700</v>
      </c>
      <c r="E1755">
        <v>4900</v>
      </c>
      <c r="F1755">
        <v>156</v>
      </c>
      <c r="G1755">
        <v>81</v>
      </c>
      <c r="H1755">
        <v>64</v>
      </c>
      <c r="J1755" s="1">
        <f t="shared" si="135"/>
        <v>24336</v>
      </c>
      <c r="K1755" s="1">
        <f t="shared" si="136"/>
        <v>6561</v>
      </c>
      <c r="L1755" s="1">
        <f t="shared" si="137"/>
        <v>30897</v>
      </c>
      <c r="M1755" s="1">
        <f t="shared" si="138"/>
        <v>175.77542490348301</v>
      </c>
      <c r="N1755" s="7">
        <f t="shared" si="139"/>
        <v>175.77542490348301</v>
      </c>
    </row>
    <row r="1756" spans="1:14" x14ac:dyDescent="0.25">
      <c r="A1756" t="str">
        <f>"14:19:38.063"</f>
        <v>14:19:38.063</v>
      </c>
      <c r="B1756">
        <v>39.745939</v>
      </c>
      <c r="C1756">
        <v>-76.100407000000004</v>
      </c>
      <c r="D1756">
        <v>4700</v>
      </c>
      <c r="E1756">
        <v>4900</v>
      </c>
      <c r="F1756">
        <v>156</v>
      </c>
      <c r="G1756">
        <v>81</v>
      </c>
      <c r="H1756">
        <v>0</v>
      </c>
      <c r="J1756" s="1">
        <f t="shared" si="135"/>
        <v>24336</v>
      </c>
      <c r="K1756" s="1">
        <f t="shared" si="136"/>
        <v>6561</v>
      </c>
      <c r="L1756" s="1">
        <f t="shared" si="137"/>
        <v>30897</v>
      </c>
      <c r="M1756" s="1">
        <f t="shared" si="138"/>
        <v>175.77542490348301</v>
      </c>
      <c r="N1756" s="7">
        <f t="shared" si="139"/>
        <v>175.77542490348301</v>
      </c>
    </row>
    <row r="1757" spans="1:14" x14ac:dyDescent="0.25">
      <c r="A1757" t="str">
        <f>"14:19:38.969"</f>
        <v>14:19:38.969</v>
      </c>
      <c r="B1757">
        <v>39.746239000000003</v>
      </c>
      <c r="C1757">
        <v>-76.099547999999999</v>
      </c>
      <c r="D1757">
        <v>4700</v>
      </c>
      <c r="E1757">
        <v>4900</v>
      </c>
      <c r="F1757">
        <v>156</v>
      </c>
      <c r="G1757">
        <v>81</v>
      </c>
      <c r="H1757">
        <v>0</v>
      </c>
      <c r="J1757" s="1">
        <f t="shared" si="135"/>
        <v>24336</v>
      </c>
      <c r="K1757" s="1">
        <f t="shared" si="136"/>
        <v>6561</v>
      </c>
      <c r="L1757" s="1">
        <f t="shared" si="137"/>
        <v>30897</v>
      </c>
      <c r="M1757" s="1">
        <f t="shared" si="138"/>
        <v>175.77542490348301</v>
      </c>
      <c r="N1757" s="7">
        <f t="shared" si="139"/>
        <v>175.77542490348301</v>
      </c>
    </row>
    <row r="1758" spans="1:14" x14ac:dyDescent="0.25">
      <c r="A1758" t="str">
        <f>"14:19:39.922"</f>
        <v>14:19:39.922</v>
      </c>
      <c r="B1758">
        <v>39.746668</v>
      </c>
      <c r="C1758">
        <v>-76.098647</v>
      </c>
      <c r="D1758">
        <v>4700</v>
      </c>
      <c r="E1758">
        <v>4900</v>
      </c>
      <c r="F1758">
        <v>156</v>
      </c>
      <c r="G1758">
        <v>81</v>
      </c>
      <c r="H1758">
        <v>0</v>
      </c>
      <c r="J1758" s="1">
        <f t="shared" si="135"/>
        <v>24336</v>
      </c>
      <c r="K1758" s="1">
        <f t="shared" si="136"/>
        <v>6561</v>
      </c>
      <c r="L1758" s="1">
        <f t="shared" si="137"/>
        <v>30897</v>
      </c>
      <c r="M1758" s="1">
        <f t="shared" si="138"/>
        <v>175.77542490348301</v>
      </c>
      <c r="N1758" s="7">
        <f t="shared" si="139"/>
        <v>175.77542490348301</v>
      </c>
    </row>
    <row r="1759" spans="1:14" x14ac:dyDescent="0.25">
      <c r="A1759" t="str">
        <f>"14:19:40.836"</f>
        <v>14:19:40.836</v>
      </c>
      <c r="B1759">
        <v>39.746989999999997</v>
      </c>
      <c r="C1759">
        <v>-76.097789000000006</v>
      </c>
      <c r="D1759">
        <v>4700</v>
      </c>
      <c r="E1759">
        <v>4900</v>
      </c>
      <c r="F1759">
        <v>156</v>
      </c>
      <c r="G1759">
        <v>81</v>
      </c>
      <c r="H1759">
        <v>0</v>
      </c>
      <c r="J1759" s="1">
        <f t="shared" si="135"/>
        <v>24336</v>
      </c>
      <c r="K1759" s="1">
        <f t="shared" si="136"/>
        <v>6561</v>
      </c>
      <c r="L1759" s="1">
        <f t="shared" si="137"/>
        <v>30897</v>
      </c>
      <c r="M1759" s="1">
        <f t="shared" si="138"/>
        <v>175.77542490348301</v>
      </c>
      <c r="N1759" s="7">
        <f t="shared" si="139"/>
        <v>175.77542490348301</v>
      </c>
    </row>
    <row r="1760" spans="1:14" x14ac:dyDescent="0.25">
      <c r="A1760" t="str">
        <f>"14:19:41.789"</f>
        <v>14:19:41.789</v>
      </c>
      <c r="B1760">
        <v>39.747376000000003</v>
      </c>
      <c r="C1760">
        <v>-76.096866000000006</v>
      </c>
      <c r="D1760">
        <v>4700</v>
      </c>
      <c r="E1760">
        <v>4900</v>
      </c>
      <c r="F1760">
        <v>156</v>
      </c>
      <c r="G1760">
        <v>81</v>
      </c>
      <c r="H1760">
        <v>0</v>
      </c>
      <c r="J1760" s="1">
        <f t="shared" si="135"/>
        <v>24336</v>
      </c>
      <c r="K1760" s="1">
        <f t="shared" si="136"/>
        <v>6561</v>
      </c>
      <c r="L1760" s="1">
        <f t="shared" si="137"/>
        <v>30897</v>
      </c>
      <c r="M1760" s="1">
        <f t="shared" si="138"/>
        <v>175.77542490348301</v>
      </c>
      <c r="N1760" s="7">
        <f t="shared" si="139"/>
        <v>175.77542490348301</v>
      </c>
    </row>
    <row r="1761" spans="1:14" x14ac:dyDescent="0.25">
      <c r="A1761" t="str">
        <f>"14:19:42.805"</f>
        <v>14:19:42.805</v>
      </c>
      <c r="B1761">
        <v>39.747740999999998</v>
      </c>
      <c r="C1761">
        <v>-76.095878999999996</v>
      </c>
      <c r="D1761">
        <v>4700</v>
      </c>
      <c r="E1761">
        <v>4900</v>
      </c>
      <c r="F1761">
        <v>156</v>
      </c>
      <c r="G1761">
        <v>81</v>
      </c>
      <c r="H1761">
        <v>0</v>
      </c>
      <c r="J1761" s="1">
        <f t="shared" si="135"/>
        <v>24336</v>
      </c>
      <c r="K1761" s="1">
        <f t="shared" si="136"/>
        <v>6561</v>
      </c>
      <c r="L1761" s="1">
        <f t="shared" si="137"/>
        <v>30897</v>
      </c>
      <c r="M1761" s="1">
        <f t="shared" si="138"/>
        <v>175.77542490348301</v>
      </c>
      <c r="N1761" s="7">
        <f t="shared" si="139"/>
        <v>175.77542490348301</v>
      </c>
    </row>
    <row r="1762" spans="1:14" x14ac:dyDescent="0.25">
      <c r="A1762" t="str">
        <f>"14:19:43.758"</f>
        <v>14:19:43.758</v>
      </c>
      <c r="B1762">
        <v>39.748085000000003</v>
      </c>
      <c r="C1762">
        <v>-76.095063999999994</v>
      </c>
      <c r="D1762">
        <v>4700</v>
      </c>
      <c r="E1762">
        <v>4900</v>
      </c>
      <c r="F1762">
        <v>157</v>
      </c>
      <c r="G1762">
        <v>80</v>
      </c>
      <c r="H1762">
        <v>0</v>
      </c>
      <c r="J1762" s="1">
        <f t="shared" si="135"/>
        <v>24649</v>
      </c>
      <c r="K1762" s="1">
        <f t="shared" si="136"/>
        <v>6400</v>
      </c>
      <c r="L1762" s="1">
        <f t="shared" si="137"/>
        <v>31049</v>
      </c>
      <c r="M1762" s="1">
        <f t="shared" si="138"/>
        <v>176.20726432244501</v>
      </c>
      <c r="N1762" s="7">
        <f t="shared" si="139"/>
        <v>176.20726432244501</v>
      </c>
    </row>
    <row r="1763" spans="1:14" x14ac:dyDescent="0.25">
      <c r="A1763" t="str">
        <f>"14:19:44.570"</f>
        <v>14:19:44.570</v>
      </c>
      <c r="B1763">
        <v>39.748384999999999</v>
      </c>
      <c r="C1763">
        <v>-76.094247999999993</v>
      </c>
      <c r="D1763">
        <v>4700</v>
      </c>
      <c r="E1763">
        <v>4900</v>
      </c>
      <c r="F1763">
        <v>157</v>
      </c>
      <c r="G1763">
        <v>80</v>
      </c>
      <c r="H1763">
        <v>0</v>
      </c>
      <c r="J1763" s="1">
        <f t="shared" si="135"/>
        <v>24649</v>
      </c>
      <c r="K1763" s="1">
        <f t="shared" si="136"/>
        <v>6400</v>
      </c>
      <c r="L1763" s="1">
        <f t="shared" si="137"/>
        <v>31049</v>
      </c>
      <c r="M1763" s="1">
        <f t="shared" si="138"/>
        <v>176.20726432244501</v>
      </c>
      <c r="N1763" s="7">
        <f t="shared" si="139"/>
        <v>176.20726432244501</v>
      </c>
    </row>
    <row r="1764" spans="1:14" x14ac:dyDescent="0.25">
      <c r="A1764" t="str">
        <f>"14:19:45.430"</f>
        <v>14:19:45.430</v>
      </c>
      <c r="B1764">
        <v>39.748685000000002</v>
      </c>
      <c r="C1764">
        <v>-76.093453999999994</v>
      </c>
      <c r="D1764">
        <v>4700</v>
      </c>
      <c r="E1764">
        <v>4900</v>
      </c>
      <c r="F1764">
        <v>157</v>
      </c>
      <c r="G1764">
        <v>80</v>
      </c>
      <c r="H1764">
        <v>0</v>
      </c>
      <c r="J1764" s="1">
        <f t="shared" si="135"/>
        <v>24649</v>
      </c>
      <c r="K1764" s="1">
        <f t="shared" si="136"/>
        <v>6400</v>
      </c>
      <c r="L1764" s="1">
        <f t="shared" si="137"/>
        <v>31049</v>
      </c>
      <c r="M1764" s="1">
        <f t="shared" si="138"/>
        <v>176.20726432244501</v>
      </c>
      <c r="N1764" s="7">
        <f t="shared" si="139"/>
        <v>176.20726432244501</v>
      </c>
    </row>
    <row r="1765" spans="1:14" x14ac:dyDescent="0.25">
      <c r="A1765" t="str">
        <f>"14:19:46.484"</f>
        <v>14:19:46.484</v>
      </c>
      <c r="B1765">
        <v>39.749093000000002</v>
      </c>
      <c r="C1765">
        <v>-76.092445999999995</v>
      </c>
      <c r="D1765">
        <v>4700</v>
      </c>
      <c r="E1765">
        <v>4900</v>
      </c>
      <c r="F1765">
        <v>157</v>
      </c>
      <c r="G1765">
        <v>80</v>
      </c>
      <c r="H1765">
        <v>0</v>
      </c>
      <c r="J1765" s="1">
        <f t="shared" si="135"/>
        <v>24649</v>
      </c>
      <c r="K1765" s="1">
        <f t="shared" si="136"/>
        <v>6400</v>
      </c>
      <c r="L1765" s="1">
        <f t="shared" si="137"/>
        <v>31049</v>
      </c>
      <c r="M1765" s="1">
        <f t="shared" si="138"/>
        <v>176.20726432244501</v>
      </c>
      <c r="N1765" s="7">
        <f t="shared" si="139"/>
        <v>176.20726432244501</v>
      </c>
    </row>
    <row r="1766" spans="1:14" x14ac:dyDescent="0.25">
      <c r="A1766" t="str">
        <f>"14:19:47.500"</f>
        <v>14:19:47.500</v>
      </c>
      <c r="B1766">
        <v>39.749501000000002</v>
      </c>
      <c r="C1766">
        <v>-76.091480000000004</v>
      </c>
      <c r="D1766">
        <v>4700</v>
      </c>
      <c r="E1766">
        <v>4900</v>
      </c>
      <c r="F1766">
        <v>157</v>
      </c>
      <c r="G1766">
        <v>80</v>
      </c>
      <c r="H1766">
        <v>0</v>
      </c>
      <c r="J1766" s="1">
        <f t="shared" si="135"/>
        <v>24649</v>
      </c>
      <c r="K1766" s="1">
        <f t="shared" si="136"/>
        <v>6400</v>
      </c>
      <c r="L1766" s="1">
        <f t="shared" si="137"/>
        <v>31049</v>
      </c>
      <c r="M1766" s="1">
        <f t="shared" si="138"/>
        <v>176.20726432244501</v>
      </c>
      <c r="N1766" s="7">
        <f t="shared" si="139"/>
        <v>176.20726432244501</v>
      </c>
    </row>
    <row r="1767" spans="1:14" x14ac:dyDescent="0.25">
      <c r="A1767" t="str">
        <f>"14:19:48.352"</f>
        <v>14:19:48.352</v>
      </c>
      <c r="B1767">
        <v>39.749800999999998</v>
      </c>
      <c r="C1767">
        <v>-76.090643</v>
      </c>
      <c r="D1767">
        <v>4700</v>
      </c>
      <c r="E1767">
        <v>4900</v>
      </c>
      <c r="F1767">
        <v>157</v>
      </c>
      <c r="G1767">
        <v>80</v>
      </c>
      <c r="H1767">
        <v>0</v>
      </c>
      <c r="J1767" s="1">
        <f t="shared" si="135"/>
        <v>24649</v>
      </c>
      <c r="K1767" s="1">
        <f t="shared" si="136"/>
        <v>6400</v>
      </c>
      <c r="L1767" s="1">
        <f t="shared" si="137"/>
        <v>31049</v>
      </c>
      <c r="M1767" s="1">
        <f t="shared" si="138"/>
        <v>176.20726432244501</v>
      </c>
      <c r="N1767" s="7">
        <f t="shared" si="139"/>
        <v>176.20726432244501</v>
      </c>
    </row>
    <row r="1768" spans="1:14" x14ac:dyDescent="0.25">
      <c r="A1768" t="str">
        <f>"14:19:49.359"</f>
        <v>14:19:49.359</v>
      </c>
      <c r="B1768">
        <v>39.750143999999999</v>
      </c>
      <c r="C1768">
        <v>-76.089806999999993</v>
      </c>
      <c r="D1768">
        <v>4700</v>
      </c>
      <c r="E1768">
        <v>4900</v>
      </c>
      <c r="F1768">
        <v>157</v>
      </c>
      <c r="G1768">
        <v>80</v>
      </c>
      <c r="H1768">
        <v>0</v>
      </c>
      <c r="J1768" s="1">
        <f t="shared" si="135"/>
        <v>24649</v>
      </c>
      <c r="K1768" s="1">
        <f t="shared" si="136"/>
        <v>6400</v>
      </c>
      <c r="L1768" s="1">
        <f t="shared" si="137"/>
        <v>31049</v>
      </c>
      <c r="M1768" s="1">
        <f t="shared" si="138"/>
        <v>176.20726432244501</v>
      </c>
      <c r="N1768" s="7">
        <f t="shared" si="139"/>
        <v>176.20726432244501</v>
      </c>
    </row>
    <row r="1769" spans="1:14" x14ac:dyDescent="0.25">
      <c r="A1769" t="str">
        <f>"14:19:50.375"</f>
        <v>14:19:50.375</v>
      </c>
      <c r="B1769">
        <v>39.750509000000001</v>
      </c>
      <c r="C1769">
        <v>-76.088862000000006</v>
      </c>
      <c r="D1769">
        <v>4700</v>
      </c>
      <c r="E1769">
        <v>4900</v>
      </c>
      <c r="F1769">
        <v>157</v>
      </c>
      <c r="G1769">
        <v>80</v>
      </c>
      <c r="H1769">
        <v>0</v>
      </c>
      <c r="J1769" s="1">
        <f t="shared" si="135"/>
        <v>24649</v>
      </c>
      <c r="K1769" s="1">
        <f t="shared" si="136"/>
        <v>6400</v>
      </c>
      <c r="L1769" s="1">
        <f t="shared" si="137"/>
        <v>31049</v>
      </c>
      <c r="M1769" s="1">
        <f t="shared" si="138"/>
        <v>176.20726432244501</v>
      </c>
      <c r="N1769" s="7">
        <f t="shared" si="139"/>
        <v>176.20726432244501</v>
      </c>
    </row>
    <row r="1770" spans="1:14" x14ac:dyDescent="0.25">
      <c r="A1770" t="str">
        <f>"14:19:51.234"</f>
        <v>14:19:51.234</v>
      </c>
      <c r="B1770">
        <v>39.750852999999999</v>
      </c>
      <c r="C1770">
        <v>-76.088003999999998</v>
      </c>
      <c r="D1770">
        <v>4700</v>
      </c>
      <c r="E1770">
        <v>4900</v>
      </c>
      <c r="F1770">
        <v>157</v>
      </c>
      <c r="G1770">
        <v>80</v>
      </c>
      <c r="H1770">
        <v>0</v>
      </c>
      <c r="J1770" s="1">
        <f t="shared" si="135"/>
        <v>24649</v>
      </c>
      <c r="K1770" s="1">
        <f t="shared" si="136"/>
        <v>6400</v>
      </c>
      <c r="L1770" s="1">
        <f t="shared" si="137"/>
        <v>31049</v>
      </c>
      <c r="M1770" s="1">
        <f t="shared" si="138"/>
        <v>176.20726432244501</v>
      </c>
      <c r="N1770" s="7">
        <f t="shared" si="139"/>
        <v>176.20726432244501</v>
      </c>
    </row>
    <row r="1771" spans="1:14" x14ac:dyDescent="0.25">
      <c r="A1771" t="str">
        <f>"14:19:52.141"</f>
        <v>14:19:52.141</v>
      </c>
      <c r="B1771">
        <v>39.751196</v>
      </c>
      <c r="C1771">
        <v>-76.087188999999995</v>
      </c>
      <c r="D1771">
        <v>4700</v>
      </c>
      <c r="E1771">
        <v>4900</v>
      </c>
      <c r="F1771">
        <v>157</v>
      </c>
      <c r="G1771">
        <v>80</v>
      </c>
      <c r="H1771">
        <v>0</v>
      </c>
      <c r="J1771" s="1">
        <f t="shared" si="135"/>
        <v>24649</v>
      </c>
      <c r="K1771" s="1">
        <f t="shared" si="136"/>
        <v>6400</v>
      </c>
      <c r="L1771" s="1">
        <f t="shared" si="137"/>
        <v>31049</v>
      </c>
      <c r="M1771" s="1">
        <f t="shared" si="138"/>
        <v>176.20726432244501</v>
      </c>
      <c r="N1771" s="7">
        <f t="shared" si="139"/>
        <v>176.20726432244501</v>
      </c>
    </row>
    <row r="1772" spans="1:14" x14ac:dyDescent="0.25">
      <c r="A1772" t="str">
        <f>"14:19:53.102"</f>
        <v>14:19:53.102</v>
      </c>
      <c r="B1772">
        <v>39.751561000000002</v>
      </c>
      <c r="C1772">
        <v>-76.086223000000004</v>
      </c>
      <c r="D1772">
        <v>4700</v>
      </c>
      <c r="E1772">
        <v>4900</v>
      </c>
      <c r="F1772">
        <v>157</v>
      </c>
      <c r="G1772">
        <v>80</v>
      </c>
      <c r="H1772">
        <v>0</v>
      </c>
      <c r="J1772" s="1">
        <f t="shared" si="135"/>
        <v>24649</v>
      </c>
      <c r="K1772" s="1">
        <f t="shared" si="136"/>
        <v>6400</v>
      </c>
      <c r="L1772" s="1">
        <f t="shared" si="137"/>
        <v>31049</v>
      </c>
      <c r="M1772" s="1">
        <f t="shared" si="138"/>
        <v>176.20726432244501</v>
      </c>
      <c r="N1772" s="7">
        <f t="shared" si="139"/>
        <v>176.20726432244501</v>
      </c>
    </row>
    <row r="1773" spans="1:14" x14ac:dyDescent="0.25">
      <c r="A1773" t="str">
        <f>"14:19:54.211"</f>
        <v>14:19:54.211</v>
      </c>
      <c r="B1773">
        <v>39.751989999999999</v>
      </c>
      <c r="C1773">
        <v>-76.085215000000005</v>
      </c>
      <c r="D1773">
        <v>4700</v>
      </c>
      <c r="E1773">
        <v>4900</v>
      </c>
      <c r="F1773">
        <v>157</v>
      </c>
      <c r="G1773">
        <v>80</v>
      </c>
      <c r="H1773">
        <v>0</v>
      </c>
      <c r="J1773" s="1">
        <f t="shared" si="135"/>
        <v>24649</v>
      </c>
      <c r="K1773" s="1">
        <f t="shared" si="136"/>
        <v>6400</v>
      </c>
      <c r="L1773" s="1">
        <f t="shared" si="137"/>
        <v>31049</v>
      </c>
      <c r="M1773" s="1">
        <f t="shared" si="138"/>
        <v>176.20726432244501</v>
      </c>
      <c r="N1773" s="7">
        <f t="shared" si="139"/>
        <v>176.20726432244501</v>
      </c>
    </row>
    <row r="1774" spans="1:14" x14ac:dyDescent="0.25">
      <c r="A1774" t="str">
        <f>"14:19:55.266"</f>
        <v>14:19:55.266</v>
      </c>
      <c r="B1774">
        <v>39.752355000000001</v>
      </c>
      <c r="C1774">
        <v>-76.084227999999996</v>
      </c>
      <c r="D1774">
        <v>4700</v>
      </c>
      <c r="E1774">
        <v>4900</v>
      </c>
      <c r="F1774">
        <v>157</v>
      </c>
      <c r="G1774">
        <v>80</v>
      </c>
      <c r="H1774">
        <v>0</v>
      </c>
      <c r="J1774" s="1">
        <f t="shared" si="135"/>
        <v>24649</v>
      </c>
      <c r="K1774" s="1">
        <f t="shared" si="136"/>
        <v>6400</v>
      </c>
      <c r="L1774" s="1">
        <f t="shared" si="137"/>
        <v>31049</v>
      </c>
      <c r="M1774" s="1">
        <f t="shared" si="138"/>
        <v>176.20726432244501</v>
      </c>
      <c r="N1774" s="7">
        <f t="shared" si="139"/>
        <v>176.20726432244501</v>
      </c>
    </row>
    <row r="1775" spans="1:14" x14ac:dyDescent="0.25">
      <c r="A1775" t="str">
        <f>"14:19:56.281"</f>
        <v>14:19:56.281</v>
      </c>
      <c r="B1775">
        <v>39.752718999999999</v>
      </c>
      <c r="C1775">
        <v>-76.083304999999996</v>
      </c>
      <c r="D1775">
        <v>4700</v>
      </c>
      <c r="E1775">
        <v>4900</v>
      </c>
      <c r="F1775">
        <v>157</v>
      </c>
      <c r="G1775">
        <v>80</v>
      </c>
      <c r="H1775">
        <v>0</v>
      </c>
      <c r="J1775" s="1">
        <f t="shared" si="135"/>
        <v>24649</v>
      </c>
      <c r="K1775" s="1">
        <f t="shared" si="136"/>
        <v>6400</v>
      </c>
      <c r="L1775" s="1">
        <f t="shared" si="137"/>
        <v>31049</v>
      </c>
      <c r="M1775" s="1">
        <f t="shared" si="138"/>
        <v>176.20726432244501</v>
      </c>
      <c r="N1775" s="7">
        <f t="shared" si="139"/>
        <v>176.20726432244501</v>
      </c>
    </row>
    <row r="1776" spans="1:14" x14ac:dyDescent="0.25">
      <c r="A1776" t="str">
        <f>"14:19:57.336"</f>
        <v>14:19:57.336</v>
      </c>
      <c r="B1776">
        <v>39.753106000000002</v>
      </c>
      <c r="C1776">
        <v>-76.082295999999999</v>
      </c>
      <c r="D1776">
        <v>4700</v>
      </c>
      <c r="E1776">
        <v>4900</v>
      </c>
      <c r="F1776">
        <v>156</v>
      </c>
      <c r="G1776">
        <v>80</v>
      </c>
      <c r="H1776">
        <v>0</v>
      </c>
      <c r="J1776" s="1">
        <f t="shared" si="135"/>
        <v>24336</v>
      </c>
      <c r="K1776" s="1">
        <f t="shared" si="136"/>
        <v>6400</v>
      </c>
      <c r="L1776" s="1">
        <f t="shared" si="137"/>
        <v>30736</v>
      </c>
      <c r="M1776" s="1">
        <f t="shared" si="138"/>
        <v>175.31685600648902</v>
      </c>
      <c r="N1776" s="7">
        <f t="shared" si="139"/>
        <v>175.31685600648902</v>
      </c>
    </row>
    <row r="1777" spans="1:14" x14ac:dyDescent="0.25">
      <c r="A1777" t="str">
        <f>"14:19:58.250"</f>
        <v>14:19:58.250</v>
      </c>
      <c r="B1777">
        <v>39.75347</v>
      </c>
      <c r="C1777">
        <v>-76.081417000000002</v>
      </c>
      <c r="D1777">
        <v>4700</v>
      </c>
      <c r="E1777">
        <v>4900</v>
      </c>
      <c r="F1777">
        <v>156</v>
      </c>
      <c r="G1777">
        <v>81</v>
      </c>
      <c r="H1777">
        <v>0</v>
      </c>
      <c r="J1777" s="1">
        <f t="shared" si="135"/>
        <v>24336</v>
      </c>
      <c r="K1777" s="1">
        <f t="shared" si="136"/>
        <v>6561</v>
      </c>
      <c r="L1777" s="1">
        <f t="shared" si="137"/>
        <v>30897</v>
      </c>
      <c r="M1777" s="1">
        <f t="shared" si="138"/>
        <v>175.77542490348301</v>
      </c>
      <c r="N1777" s="7">
        <f t="shared" si="139"/>
        <v>175.77542490348301</v>
      </c>
    </row>
    <row r="1778" spans="1:14" x14ac:dyDescent="0.25">
      <c r="A1778" t="str">
        <f>"14:19:59.258"</f>
        <v>14:19:59.258</v>
      </c>
      <c r="B1778">
        <v>39.753835000000002</v>
      </c>
      <c r="C1778">
        <v>-76.080387000000002</v>
      </c>
      <c r="D1778">
        <v>4700</v>
      </c>
      <c r="E1778">
        <v>4900</v>
      </c>
      <c r="F1778">
        <v>156</v>
      </c>
      <c r="G1778">
        <v>81</v>
      </c>
      <c r="H1778">
        <v>0</v>
      </c>
      <c r="J1778" s="1">
        <f t="shared" si="135"/>
        <v>24336</v>
      </c>
      <c r="K1778" s="1">
        <f t="shared" si="136"/>
        <v>6561</v>
      </c>
      <c r="L1778" s="1">
        <f t="shared" si="137"/>
        <v>30897</v>
      </c>
      <c r="M1778" s="1">
        <f t="shared" si="138"/>
        <v>175.77542490348301</v>
      </c>
      <c r="N1778" s="7">
        <f t="shared" si="139"/>
        <v>175.77542490348301</v>
      </c>
    </row>
    <row r="1779" spans="1:14" x14ac:dyDescent="0.25">
      <c r="A1779" t="str">
        <f>"14:20:00.266"</f>
        <v>14:20:00.266</v>
      </c>
      <c r="B1779">
        <v>39.754221000000001</v>
      </c>
      <c r="C1779">
        <v>-76.079527999999996</v>
      </c>
      <c r="D1779">
        <v>4700</v>
      </c>
      <c r="E1779">
        <v>4900</v>
      </c>
      <c r="F1779">
        <v>156</v>
      </c>
      <c r="G1779">
        <v>81</v>
      </c>
      <c r="H1779">
        <v>0</v>
      </c>
      <c r="J1779" s="1">
        <f t="shared" si="135"/>
        <v>24336</v>
      </c>
      <c r="K1779" s="1">
        <f t="shared" si="136"/>
        <v>6561</v>
      </c>
      <c r="L1779" s="1">
        <f t="shared" si="137"/>
        <v>30897</v>
      </c>
      <c r="M1779" s="1">
        <f t="shared" si="138"/>
        <v>175.77542490348301</v>
      </c>
      <c r="N1779" s="7">
        <f t="shared" si="139"/>
        <v>175.77542490348301</v>
      </c>
    </row>
    <row r="1780" spans="1:14" x14ac:dyDescent="0.25">
      <c r="A1780" t="str">
        <f>"14:20:01.375"</f>
        <v>14:20:01.375</v>
      </c>
      <c r="B1780">
        <v>39.754629000000001</v>
      </c>
      <c r="C1780">
        <v>-76.078434000000001</v>
      </c>
      <c r="D1780">
        <v>4700</v>
      </c>
      <c r="E1780">
        <v>4900</v>
      </c>
      <c r="F1780">
        <v>156</v>
      </c>
      <c r="G1780">
        <v>81</v>
      </c>
      <c r="H1780">
        <v>0</v>
      </c>
      <c r="J1780" s="1">
        <f t="shared" si="135"/>
        <v>24336</v>
      </c>
      <c r="K1780" s="1">
        <f t="shared" si="136"/>
        <v>6561</v>
      </c>
      <c r="L1780" s="1">
        <f t="shared" si="137"/>
        <v>30897</v>
      </c>
      <c r="M1780" s="1">
        <f t="shared" si="138"/>
        <v>175.77542490348301</v>
      </c>
      <c r="N1780" s="7">
        <f t="shared" si="139"/>
        <v>175.77542490348301</v>
      </c>
    </row>
    <row r="1781" spans="1:14" x14ac:dyDescent="0.25">
      <c r="A1781" t="str">
        <f>"14:20:02.289"</f>
        <v>14:20:02.289</v>
      </c>
      <c r="B1781">
        <v>39.754950999999998</v>
      </c>
      <c r="C1781">
        <v>-76.077703999999997</v>
      </c>
      <c r="D1781">
        <v>4700</v>
      </c>
      <c r="E1781">
        <v>4900</v>
      </c>
      <c r="F1781">
        <v>156</v>
      </c>
      <c r="G1781">
        <v>81</v>
      </c>
      <c r="H1781">
        <v>0</v>
      </c>
      <c r="J1781" s="1">
        <f t="shared" si="135"/>
        <v>24336</v>
      </c>
      <c r="K1781" s="1">
        <f t="shared" si="136"/>
        <v>6561</v>
      </c>
      <c r="L1781" s="1">
        <f t="shared" si="137"/>
        <v>30897</v>
      </c>
      <c r="M1781" s="1">
        <f t="shared" si="138"/>
        <v>175.77542490348301</v>
      </c>
      <c r="N1781" s="7">
        <f t="shared" si="139"/>
        <v>175.77542490348301</v>
      </c>
    </row>
    <row r="1782" spans="1:14" x14ac:dyDescent="0.25">
      <c r="A1782" t="str">
        <f>"14:20:03.344"</f>
        <v>14:20:03.344</v>
      </c>
      <c r="B1782">
        <v>39.755358999999999</v>
      </c>
      <c r="C1782">
        <v>-76.076673999999997</v>
      </c>
      <c r="D1782">
        <v>4700</v>
      </c>
      <c r="E1782">
        <v>4900</v>
      </c>
      <c r="F1782">
        <v>156</v>
      </c>
      <c r="G1782">
        <v>81</v>
      </c>
      <c r="H1782">
        <v>0</v>
      </c>
      <c r="J1782" s="1">
        <f t="shared" si="135"/>
        <v>24336</v>
      </c>
      <c r="K1782" s="1">
        <f t="shared" si="136"/>
        <v>6561</v>
      </c>
      <c r="L1782" s="1">
        <f t="shared" si="137"/>
        <v>30897</v>
      </c>
      <c r="M1782" s="1">
        <f t="shared" si="138"/>
        <v>175.77542490348301</v>
      </c>
      <c r="N1782" s="7">
        <f t="shared" si="139"/>
        <v>175.77542490348301</v>
      </c>
    </row>
    <row r="1783" spans="1:14" x14ac:dyDescent="0.25">
      <c r="A1783" t="str">
        <f>"14:20:04.352"</f>
        <v>14:20:04.352</v>
      </c>
      <c r="B1783">
        <v>39.755723000000003</v>
      </c>
      <c r="C1783">
        <v>-76.075729999999993</v>
      </c>
      <c r="D1783">
        <v>4700</v>
      </c>
      <c r="E1783">
        <v>4900</v>
      </c>
      <c r="F1783">
        <v>156</v>
      </c>
      <c r="G1783">
        <v>81</v>
      </c>
      <c r="H1783">
        <v>0</v>
      </c>
      <c r="J1783" s="1">
        <f t="shared" si="135"/>
        <v>24336</v>
      </c>
      <c r="K1783" s="1">
        <f t="shared" si="136"/>
        <v>6561</v>
      </c>
      <c r="L1783" s="1">
        <f t="shared" si="137"/>
        <v>30897</v>
      </c>
      <c r="M1783" s="1">
        <f t="shared" si="138"/>
        <v>175.77542490348301</v>
      </c>
      <c r="N1783" s="7">
        <f t="shared" si="139"/>
        <v>175.77542490348301</v>
      </c>
    </row>
    <row r="1784" spans="1:14" x14ac:dyDescent="0.25">
      <c r="A1784" t="str">
        <f>"14:20:05.563"</f>
        <v>14:20:05.563</v>
      </c>
      <c r="B1784">
        <v>39.756174000000001</v>
      </c>
      <c r="C1784">
        <v>-76.074592999999993</v>
      </c>
      <c r="D1784">
        <v>4700</v>
      </c>
      <c r="E1784">
        <v>4900</v>
      </c>
      <c r="F1784">
        <v>156</v>
      </c>
      <c r="G1784">
        <v>81</v>
      </c>
      <c r="H1784">
        <v>0</v>
      </c>
      <c r="J1784" s="1">
        <f t="shared" si="135"/>
        <v>24336</v>
      </c>
      <c r="K1784" s="1">
        <f t="shared" si="136"/>
        <v>6561</v>
      </c>
      <c r="L1784" s="1">
        <f t="shared" si="137"/>
        <v>30897</v>
      </c>
      <c r="M1784" s="1">
        <f t="shared" si="138"/>
        <v>175.77542490348301</v>
      </c>
      <c r="N1784" s="7">
        <f t="shared" si="139"/>
        <v>175.77542490348301</v>
      </c>
    </row>
    <row r="1785" spans="1:14" x14ac:dyDescent="0.25">
      <c r="A1785" t="str">
        <f>"14:20:06.578"</f>
        <v>14:20:06.578</v>
      </c>
      <c r="B1785">
        <v>39.756582000000002</v>
      </c>
      <c r="C1785">
        <v>-76.073627000000002</v>
      </c>
      <c r="D1785">
        <v>4700</v>
      </c>
      <c r="E1785">
        <v>4900</v>
      </c>
      <c r="F1785">
        <v>156</v>
      </c>
      <c r="G1785">
        <v>81</v>
      </c>
      <c r="H1785">
        <v>0</v>
      </c>
      <c r="J1785" s="1">
        <f t="shared" si="135"/>
        <v>24336</v>
      </c>
      <c r="K1785" s="1">
        <f t="shared" si="136"/>
        <v>6561</v>
      </c>
      <c r="L1785" s="1">
        <f t="shared" si="137"/>
        <v>30897</v>
      </c>
      <c r="M1785" s="1">
        <f t="shared" si="138"/>
        <v>175.77542490348301</v>
      </c>
      <c r="N1785" s="7">
        <f t="shared" si="139"/>
        <v>175.77542490348301</v>
      </c>
    </row>
    <row r="1786" spans="1:14" x14ac:dyDescent="0.25">
      <c r="A1786" t="str">
        <f>"14:20:07.688"</f>
        <v>14:20:07.688</v>
      </c>
      <c r="B1786">
        <v>39.757010999999999</v>
      </c>
      <c r="C1786">
        <v>-76.072554999999994</v>
      </c>
      <c r="D1786">
        <v>4700</v>
      </c>
      <c r="E1786">
        <v>4900</v>
      </c>
      <c r="F1786">
        <v>156</v>
      </c>
      <c r="G1786">
        <v>82</v>
      </c>
      <c r="H1786">
        <v>0</v>
      </c>
      <c r="J1786" s="1">
        <f t="shared" si="135"/>
        <v>24336</v>
      </c>
      <c r="K1786" s="1">
        <f t="shared" si="136"/>
        <v>6724</v>
      </c>
      <c r="L1786" s="1">
        <f t="shared" si="137"/>
        <v>31060</v>
      </c>
      <c r="M1786" s="1">
        <f t="shared" si="138"/>
        <v>176.23847480048164</v>
      </c>
      <c r="N1786" s="7">
        <f t="shared" si="139"/>
        <v>176.23847480048164</v>
      </c>
    </row>
    <row r="1787" spans="1:14" x14ac:dyDescent="0.25">
      <c r="A1787" t="str">
        <f>"14:20:08.852"</f>
        <v>14:20:08.852</v>
      </c>
      <c r="B1787">
        <v>39.757418999999999</v>
      </c>
      <c r="C1787">
        <v>-76.071524999999994</v>
      </c>
      <c r="D1787">
        <v>4700</v>
      </c>
      <c r="E1787">
        <v>4900</v>
      </c>
      <c r="F1787">
        <v>156</v>
      </c>
      <c r="G1787">
        <v>82</v>
      </c>
      <c r="H1787">
        <v>0</v>
      </c>
      <c r="J1787" s="1">
        <f t="shared" si="135"/>
        <v>24336</v>
      </c>
      <c r="K1787" s="1">
        <f t="shared" si="136"/>
        <v>6724</v>
      </c>
      <c r="L1787" s="1">
        <f t="shared" si="137"/>
        <v>31060</v>
      </c>
      <c r="M1787" s="1">
        <f t="shared" si="138"/>
        <v>176.23847480048164</v>
      </c>
      <c r="N1787" s="7">
        <f t="shared" si="139"/>
        <v>176.23847480048164</v>
      </c>
    </row>
    <row r="1788" spans="1:14" x14ac:dyDescent="0.25">
      <c r="A1788" t="str">
        <f>"14:20:09.703"</f>
        <v>14:20:09.703</v>
      </c>
      <c r="B1788">
        <v>39.757783000000003</v>
      </c>
      <c r="C1788">
        <v>-76.070644999999999</v>
      </c>
      <c r="D1788">
        <v>4700</v>
      </c>
      <c r="E1788">
        <v>4900</v>
      </c>
      <c r="F1788">
        <v>156</v>
      </c>
      <c r="G1788">
        <v>82</v>
      </c>
      <c r="H1788">
        <v>0</v>
      </c>
      <c r="J1788" s="1">
        <f t="shared" si="135"/>
        <v>24336</v>
      </c>
      <c r="K1788" s="1">
        <f t="shared" si="136"/>
        <v>6724</v>
      </c>
      <c r="L1788" s="1">
        <f t="shared" si="137"/>
        <v>31060</v>
      </c>
      <c r="M1788" s="1">
        <f t="shared" si="138"/>
        <v>176.23847480048164</v>
      </c>
      <c r="N1788" s="7">
        <f t="shared" si="139"/>
        <v>176.23847480048164</v>
      </c>
    </row>
    <row r="1789" spans="1:14" x14ac:dyDescent="0.25">
      <c r="A1789" t="str">
        <f>"14:20:10.719"</f>
        <v>14:20:10.719</v>
      </c>
      <c r="B1789">
        <v>39.758147999999998</v>
      </c>
      <c r="C1789">
        <v>-76.069744</v>
      </c>
      <c r="D1789">
        <v>4700</v>
      </c>
      <c r="E1789">
        <v>4900</v>
      </c>
      <c r="F1789">
        <v>156</v>
      </c>
      <c r="G1789">
        <v>82</v>
      </c>
      <c r="H1789">
        <v>0</v>
      </c>
      <c r="J1789" s="1">
        <f t="shared" si="135"/>
        <v>24336</v>
      </c>
      <c r="K1789" s="1">
        <f t="shared" si="136"/>
        <v>6724</v>
      </c>
      <c r="L1789" s="1">
        <f t="shared" si="137"/>
        <v>31060</v>
      </c>
      <c r="M1789" s="1">
        <f t="shared" si="138"/>
        <v>176.23847480048164</v>
      </c>
      <c r="N1789" s="7">
        <f t="shared" si="139"/>
        <v>176.23847480048164</v>
      </c>
    </row>
    <row r="1790" spans="1:14" x14ac:dyDescent="0.25">
      <c r="A1790" t="str">
        <f>"14:20:11.570"</f>
        <v>14:20:11.570</v>
      </c>
      <c r="B1790">
        <v>39.758470000000003</v>
      </c>
      <c r="C1790">
        <v>-76.068971000000005</v>
      </c>
      <c r="D1790">
        <v>4700</v>
      </c>
      <c r="E1790">
        <v>4900</v>
      </c>
      <c r="F1790">
        <v>156</v>
      </c>
      <c r="G1790">
        <v>82</v>
      </c>
      <c r="H1790">
        <v>0</v>
      </c>
      <c r="J1790" s="1">
        <f t="shared" si="135"/>
        <v>24336</v>
      </c>
      <c r="K1790" s="1">
        <f t="shared" si="136"/>
        <v>6724</v>
      </c>
      <c r="L1790" s="1">
        <f t="shared" si="137"/>
        <v>31060</v>
      </c>
      <c r="M1790" s="1">
        <f t="shared" si="138"/>
        <v>176.23847480048164</v>
      </c>
      <c r="N1790" s="7">
        <f t="shared" si="139"/>
        <v>176.23847480048164</v>
      </c>
    </row>
    <row r="1791" spans="1:14" x14ac:dyDescent="0.25">
      <c r="A1791" t="str">
        <f>"14:20:12.586"</f>
        <v>14:20:12.586</v>
      </c>
      <c r="B1791">
        <v>39.758878000000003</v>
      </c>
      <c r="C1791">
        <v>-76.067941000000005</v>
      </c>
      <c r="D1791">
        <v>4700</v>
      </c>
      <c r="E1791">
        <v>4900</v>
      </c>
      <c r="F1791">
        <v>156</v>
      </c>
      <c r="G1791">
        <v>82</v>
      </c>
      <c r="H1791">
        <v>0</v>
      </c>
      <c r="J1791" s="1">
        <f t="shared" si="135"/>
        <v>24336</v>
      </c>
      <c r="K1791" s="1">
        <f t="shared" si="136"/>
        <v>6724</v>
      </c>
      <c r="L1791" s="1">
        <f t="shared" si="137"/>
        <v>31060</v>
      </c>
      <c r="M1791" s="1">
        <f t="shared" si="138"/>
        <v>176.23847480048164</v>
      </c>
      <c r="N1791" s="7">
        <f t="shared" si="139"/>
        <v>176.23847480048164</v>
      </c>
    </row>
    <row r="1792" spans="1:14" x14ac:dyDescent="0.25">
      <c r="A1792" t="str">
        <f>"14:20:13.539"</f>
        <v>14:20:13.539</v>
      </c>
      <c r="B1792">
        <v>39.759242999999998</v>
      </c>
      <c r="C1792">
        <v>-76.067126000000002</v>
      </c>
      <c r="D1792">
        <v>4700</v>
      </c>
      <c r="E1792">
        <v>4900</v>
      </c>
      <c r="F1792">
        <v>155</v>
      </c>
      <c r="G1792">
        <v>82</v>
      </c>
      <c r="H1792">
        <v>0</v>
      </c>
      <c r="J1792" s="1">
        <f t="shared" si="135"/>
        <v>24025</v>
      </c>
      <c r="K1792" s="1">
        <f t="shared" si="136"/>
        <v>6724</v>
      </c>
      <c r="L1792" s="1">
        <f t="shared" si="137"/>
        <v>30749</v>
      </c>
      <c r="M1792" s="1">
        <f t="shared" si="138"/>
        <v>175.35392781457733</v>
      </c>
      <c r="N1792" s="7">
        <f t="shared" si="139"/>
        <v>175.35392781457733</v>
      </c>
    </row>
    <row r="1793" spans="1:14" x14ac:dyDescent="0.25">
      <c r="A1793" t="str">
        <f>"14:20:14.602"</f>
        <v>14:20:14.602</v>
      </c>
      <c r="B1793">
        <v>39.759672000000002</v>
      </c>
      <c r="C1793">
        <v>-76.066096000000002</v>
      </c>
      <c r="D1793">
        <v>4700</v>
      </c>
      <c r="E1793">
        <v>4900</v>
      </c>
      <c r="F1793">
        <v>155</v>
      </c>
      <c r="G1793">
        <v>83</v>
      </c>
      <c r="H1793">
        <v>0</v>
      </c>
      <c r="J1793" s="1">
        <f t="shared" si="135"/>
        <v>24025</v>
      </c>
      <c r="K1793" s="1">
        <f t="shared" si="136"/>
        <v>6889</v>
      </c>
      <c r="L1793" s="1">
        <f t="shared" si="137"/>
        <v>30914</v>
      </c>
      <c r="M1793" s="1">
        <f t="shared" si="138"/>
        <v>175.82377541163197</v>
      </c>
      <c r="N1793" s="7">
        <f t="shared" si="139"/>
        <v>175.82377541163197</v>
      </c>
    </row>
    <row r="1794" spans="1:14" x14ac:dyDescent="0.25">
      <c r="A1794" t="str">
        <f>"14:20:15.664"</f>
        <v>14:20:15.664</v>
      </c>
      <c r="B1794">
        <v>39.760035999999999</v>
      </c>
      <c r="C1794">
        <v>-76.065195000000003</v>
      </c>
      <c r="D1794">
        <v>4700</v>
      </c>
      <c r="E1794">
        <v>4900</v>
      </c>
      <c r="F1794">
        <v>155</v>
      </c>
      <c r="G1794">
        <v>83</v>
      </c>
      <c r="H1794">
        <v>0</v>
      </c>
      <c r="J1794" s="1">
        <f t="shared" si="135"/>
        <v>24025</v>
      </c>
      <c r="K1794" s="1">
        <f t="shared" si="136"/>
        <v>6889</v>
      </c>
      <c r="L1794" s="1">
        <f t="shared" si="137"/>
        <v>30914</v>
      </c>
      <c r="M1794" s="1">
        <f t="shared" si="138"/>
        <v>175.82377541163197</v>
      </c>
      <c r="N1794" s="7">
        <f t="shared" si="139"/>
        <v>175.82377541163197</v>
      </c>
    </row>
    <row r="1795" spans="1:14" x14ac:dyDescent="0.25">
      <c r="A1795" t="str">
        <f>"14:20:16.672"</f>
        <v>14:20:16.672</v>
      </c>
      <c r="B1795">
        <v>39.760444</v>
      </c>
      <c r="C1795">
        <v>-76.064143000000001</v>
      </c>
      <c r="D1795">
        <v>4700</v>
      </c>
      <c r="E1795">
        <v>4900</v>
      </c>
      <c r="F1795">
        <v>155</v>
      </c>
      <c r="G1795">
        <v>83</v>
      </c>
      <c r="H1795">
        <v>0</v>
      </c>
      <c r="J1795" s="1">
        <f t="shared" ref="J1795:J1858" si="140">F1795^2</f>
        <v>24025</v>
      </c>
      <c r="K1795" s="1">
        <f t="shared" ref="K1795:K1858" si="141">G1795^2</f>
        <v>6889</v>
      </c>
      <c r="L1795" s="1">
        <f t="shared" ref="L1795:L1858" si="142">SUMSQ(F1795,G1795)</f>
        <v>30914</v>
      </c>
      <c r="M1795" s="1">
        <f t="shared" ref="M1795:M1858" si="143">SQRT(L1795)</f>
        <v>175.82377541163197</v>
      </c>
      <c r="N1795" s="7">
        <f t="shared" ref="N1795:N1858" si="144">M1795</f>
        <v>175.82377541163197</v>
      </c>
    </row>
    <row r="1796" spans="1:14" x14ac:dyDescent="0.25">
      <c r="A1796" t="str">
        <f>"14:20:17.633"</f>
        <v>14:20:17.633</v>
      </c>
      <c r="B1796">
        <v>39.760787000000001</v>
      </c>
      <c r="C1796">
        <v>-76.063284999999993</v>
      </c>
      <c r="D1796">
        <v>4700</v>
      </c>
      <c r="E1796">
        <v>4900</v>
      </c>
      <c r="F1796">
        <v>155</v>
      </c>
      <c r="G1796">
        <v>83</v>
      </c>
      <c r="H1796">
        <v>0</v>
      </c>
      <c r="J1796" s="1">
        <f t="shared" si="140"/>
        <v>24025</v>
      </c>
      <c r="K1796" s="1">
        <f t="shared" si="141"/>
        <v>6889</v>
      </c>
      <c r="L1796" s="1">
        <f t="shared" si="142"/>
        <v>30914</v>
      </c>
      <c r="M1796" s="1">
        <f t="shared" si="143"/>
        <v>175.82377541163197</v>
      </c>
      <c r="N1796" s="7">
        <f t="shared" si="144"/>
        <v>175.82377541163197</v>
      </c>
    </row>
    <row r="1797" spans="1:14" x14ac:dyDescent="0.25">
      <c r="A1797" t="str">
        <f>"14:20:18.688"</f>
        <v>14:20:18.688</v>
      </c>
      <c r="B1797">
        <v>39.761217000000002</v>
      </c>
      <c r="C1797">
        <v>-76.062297999999998</v>
      </c>
      <c r="D1797">
        <v>4700</v>
      </c>
      <c r="E1797">
        <v>4900</v>
      </c>
      <c r="F1797">
        <v>155</v>
      </c>
      <c r="G1797">
        <v>83</v>
      </c>
      <c r="H1797">
        <v>0</v>
      </c>
      <c r="J1797" s="1">
        <f t="shared" si="140"/>
        <v>24025</v>
      </c>
      <c r="K1797" s="1">
        <f t="shared" si="141"/>
        <v>6889</v>
      </c>
      <c r="L1797" s="1">
        <f t="shared" si="142"/>
        <v>30914</v>
      </c>
      <c r="M1797" s="1">
        <f t="shared" si="143"/>
        <v>175.82377541163197</v>
      </c>
      <c r="N1797" s="7">
        <f t="shared" si="144"/>
        <v>175.82377541163197</v>
      </c>
    </row>
    <row r="1798" spans="1:14" x14ac:dyDescent="0.25">
      <c r="A1798" t="str">
        <f>"14:20:19.805"</f>
        <v>14:20:19.805</v>
      </c>
      <c r="B1798">
        <v>39.761623999999998</v>
      </c>
      <c r="C1798">
        <v>-76.061224999999993</v>
      </c>
      <c r="D1798">
        <v>4700</v>
      </c>
      <c r="E1798">
        <v>4900</v>
      </c>
      <c r="F1798">
        <v>155</v>
      </c>
      <c r="G1798">
        <v>83</v>
      </c>
      <c r="H1798">
        <v>0</v>
      </c>
      <c r="J1798" s="1">
        <f t="shared" si="140"/>
        <v>24025</v>
      </c>
      <c r="K1798" s="1">
        <f t="shared" si="141"/>
        <v>6889</v>
      </c>
      <c r="L1798" s="1">
        <f t="shared" si="142"/>
        <v>30914</v>
      </c>
      <c r="M1798" s="1">
        <f t="shared" si="143"/>
        <v>175.82377541163197</v>
      </c>
      <c r="N1798" s="7">
        <f t="shared" si="144"/>
        <v>175.82377541163197</v>
      </c>
    </row>
    <row r="1799" spans="1:14" x14ac:dyDescent="0.25">
      <c r="A1799" t="str">
        <f>"14:20:20.813"</f>
        <v>14:20:20.813</v>
      </c>
      <c r="B1799">
        <v>39.762031999999998</v>
      </c>
      <c r="C1799">
        <v>-76.060301999999993</v>
      </c>
      <c r="D1799">
        <v>4700</v>
      </c>
      <c r="E1799">
        <v>4900</v>
      </c>
      <c r="F1799">
        <v>155</v>
      </c>
      <c r="G1799">
        <v>82</v>
      </c>
      <c r="H1799">
        <v>0</v>
      </c>
      <c r="J1799" s="1">
        <f t="shared" si="140"/>
        <v>24025</v>
      </c>
      <c r="K1799" s="1">
        <f t="shared" si="141"/>
        <v>6724</v>
      </c>
      <c r="L1799" s="1">
        <f t="shared" si="142"/>
        <v>30749</v>
      </c>
      <c r="M1799" s="1">
        <f t="shared" si="143"/>
        <v>175.35392781457733</v>
      </c>
      <c r="N1799" s="7">
        <f t="shared" si="144"/>
        <v>175.35392781457733</v>
      </c>
    </row>
    <row r="1800" spans="1:14" x14ac:dyDescent="0.25">
      <c r="A1800" t="str">
        <f>"14:20:21.969"</f>
        <v>14:20:21.969</v>
      </c>
      <c r="B1800">
        <v>39.762461000000002</v>
      </c>
      <c r="C1800">
        <v>-76.059314999999998</v>
      </c>
      <c r="D1800">
        <v>4700</v>
      </c>
      <c r="E1800">
        <v>4900</v>
      </c>
      <c r="F1800">
        <v>155</v>
      </c>
      <c r="G1800">
        <v>82</v>
      </c>
      <c r="H1800">
        <v>0</v>
      </c>
      <c r="J1800" s="1">
        <f t="shared" si="140"/>
        <v>24025</v>
      </c>
      <c r="K1800" s="1">
        <f t="shared" si="141"/>
        <v>6724</v>
      </c>
      <c r="L1800" s="1">
        <f t="shared" si="142"/>
        <v>30749</v>
      </c>
      <c r="M1800" s="1">
        <f t="shared" si="143"/>
        <v>175.35392781457733</v>
      </c>
      <c r="N1800" s="7">
        <f t="shared" si="144"/>
        <v>175.35392781457733</v>
      </c>
    </row>
    <row r="1801" spans="1:14" x14ac:dyDescent="0.25">
      <c r="A1801" t="str">
        <f>"14:20:22.930"</f>
        <v>14:20:22.930</v>
      </c>
      <c r="B1801">
        <v>39.762825999999997</v>
      </c>
      <c r="C1801">
        <v>-76.058350000000004</v>
      </c>
      <c r="D1801">
        <v>4700</v>
      </c>
      <c r="E1801">
        <v>4900</v>
      </c>
      <c r="F1801">
        <v>156</v>
      </c>
      <c r="G1801">
        <v>82</v>
      </c>
      <c r="H1801">
        <v>0</v>
      </c>
      <c r="J1801" s="1">
        <f t="shared" si="140"/>
        <v>24336</v>
      </c>
      <c r="K1801" s="1">
        <f t="shared" si="141"/>
        <v>6724</v>
      </c>
      <c r="L1801" s="1">
        <f t="shared" si="142"/>
        <v>31060</v>
      </c>
      <c r="M1801" s="1">
        <f t="shared" si="143"/>
        <v>176.23847480048164</v>
      </c>
      <c r="N1801" s="7">
        <f t="shared" si="144"/>
        <v>176.23847480048164</v>
      </c>
    </row>
    <row r="1802" spans="1:14" x14ac:dyDescent="0.25">
      <c r="A1802" t="str">
        <f>"14:20:23.789"</f>
        <v>14:20:23.789</v>
      </c>
      <c r="B1802">
        <v>39.763148000000001</v>
      </c>
      <c r="C1802">
        <v>-76.057490999999999</v>
      </c>
      <c r="D1802">
        <v>4700</v>
      </c>
      <c r="E1802">
        <v>4900</v>
      </c>
      <c r="F1802">
        <v>156</v>
      </c>
      <c r="G1802">
        <v>82</v>
      </c>
      <c r="H1802">
        <v>0</v>
      </c>
      <c r="J1802" s="1">
        <f t="shared" si="140"/>
        <v>24336</v>
      </c>
      <c r="K1802" s="1">
        <f t="shared" si="141"/>
        <v>6724</v>
      </c>
      <c r="L1802" s="1">
        <f t="shared" si="142"/>
        <v>31060</v>
      </c>
      <c r="M1802" s="1">
        <f t="shared" si="143"/>
        <v>176.23847480048164</v>
      </c>
      <c r="N1802" s="7">
        <f t="shared" si="144"/>
        <v>176.23847480048164</v>
      </c>
    </row>
    <row r="1803" spans="1:14" x14ac:dyDescent="0.25">
      <c r="A1803" t="str">
        <f>"14:20:24.797"</f>
        <v>14:20:24.797</v>
      </c>
      <c r="B1803">
        <v>39.763513000000003</v>
      </c>
      <c r="C1803">
        <v>-76.056675999999996</v>
      </c>
      <c r="D1803">
        <v>4700</v>
      </c>
      <c r="E1803">
        <v>4900</v>
      </c>
      <c r="F1803">
        <v>156</v>
      </c>
      <c r="G1803">
        <v>82</v>
      </c>
      <c r="H1803">
        <v>0</v>
      </c>
      <c r="J1803" s="1">
        <f t="shared" si="140"/>
        <v>24336</v>
      </c>
      <c r="K1803" s="1">
        <f t="shared" si="141"/>
        <v>6724</v>
      </c>
      <c r="L1803" s="1">
        <f t="shared" si="142"/>
        <v>31060</v>
      </c>
      <c r="M1803" s="1">
        <f t="shared" si="143"/>
        <v>176.23847480048164</v>
      </c>
      <c r="N1803" s="7">
        <f t="shared" si="144"/>
        <v>176.23847480048164</v>
      </c>
    </row>
    <row r="1804" spans="1:14" x14ac:dyDescent="0.25">
      <c r="A1804" t="str">
        <f>"14:20:25.813"</f>
        <v>14:20:25.813</v>
      </c>
      <c r="B1804">
        <v>39.763877000000001</v>
      </c>
      <c r="C1804">
        <v>-76.055732000000006</v>
      </c>
      <c r="D1804">
        <v>4700</v>
      </c>
      <c r="E1804">
        <v>4900</v>
      </c>
      <c r="F1804">
        <v>156</v>
      </c>
      <c r="G1804">
        <v>81</v>
      </c>
      <c r="H1804">
        <v>0</v>
      </c>
      <c r="J1804" s="1">
        <f t="shared" si="140"/>
        <v>24336</v>
      </c>
      <c r="K1804" s="1">
        <f t="shared" si="141"/>
        <v>6561</v>
      </c>
      <c r="L1804" s="1">
        <f t="shared" si="142"/>
        <v>30897</v>
      </c>
      <c r="M1804" s="1">
        <f t="shared" si="143"/>
        <v>175.77542490348301</v>
      </c>
      <c r="N1804" s="7">
        <f t="shared" si="144"/>
        <v>175.77542490348301</v>
      </c>
    </row>
    <row r="1805" spans="1:14" x14ac:dyDescent="0.25">
      <c r="A1805" t="str">
        <f>"14:20:26.820"</f>
        <v>14:20:26.820</v>
      </c>
      <c r="B1805">
        <v>39.764242000000003</v>
      </c>
      <c r="C1805">
        <v>-76.054766000000001</v>
      </c>
      <c r="D1805">
        <v>4700</v>
      </c>
      <c r="E1805">
        <v>4900</v>
      </c>
      <c r="F1805">
        <v>156</v>
      </c>
      <c r="G1805">
        <v>81</v>
      </c>
      <c r="H1805">
        <v>0</v>
      </c>
      <c r="J1805" s="1">
        <f t="shared" si="140"/>
        <v>24336</v>
      </c>
      <c r="K1805" s="1">
        <f t="shared" si="141"/>
        <v>6561</v>
      </c>
      <c r="L1805" s="1">
        <f t="shared" si="142"/>
        <v>30897</v>
      </c>
      <c r="M1805" s="1">
        <f t="shared" si="143"/>
        <v>175.77542490348301</v>
      </c>
      <c r="N1805" s="7">
        <f t="shared" si="144"/>
        <v>175.77542490348301</v>
      </c>
    </row>
    <row r="1806" spans="1:14" x14ac:dyDescent="0.25">
      <c r="A1806" t="str">
        <f>"14:20:27.781"</f>
        <v>14:20:27.781</v>
      </c>
      <c r="B1806">
        <v>39.764606999999998</v>
      </c>
      <c r="C1806">
        <v>-76.053865000000002</v>
      </c>
      <c r="D1806">
        <v>4700</v>
      </c>
      <c r="E1806">
        <v>4900</v>
      </c>
      <c r="F1806">
        <v>156</v>
      </c>
      <c r="G1806">
        <v>81</v>
      </c>
      <c r="H1806">
        <v>0</v>
      </c>
      <c r="J1806" s="1">
        <f t="shared" si="140"/>
        <v>24336</v>
      </c>
      <c r="K1806" s="1">
        <f t="shared" si="141"/>
        <v>6561</v>
      </c>
      <c r="L1806" s="1">
        <f t="shared" si="142"/>
        <v>30897</v>
      </c>
      <c r="M1806" s="1">
        <f t="shared" si="143"/>
        <v>175.77542490348301</v>
      </c>
      <c r="N1806" s="7">
        <f t="shared" si="144"/>
        <v>175.77542490348301</v>
      </c>
    </row>
    <row r="1807" spans="1:14" x14ac:dyDescent="0.25">
      <c r="A1807" t="str">
        <f>"14:20:28.734"</f>
        <v>14:20:28.734</v>
      </c>
      <c r="B1807">
        <v>39.765014999999998</v>
      </c>
      <c r="C1807">
        <v>-76.052920999999998</v>
      </c>
      <c r="D1807">
        <v>4700</v>
      </c>
      <c r="E1807">
        <v>4900</v>
      </c>
      <c r="F1807">
        <v>156</v>
      </c>
      <c r="G1807">
        <v>81</v>
      </c>
      <c r="H1807">
        <v>0</v>
      </c>
      <c r="J1807" s="1">
        <f t="shared" si="140"/>
        <v>24336</v>
      </c>
      <c r="K1807" s="1">
        <f t="shared" si="141"/>
        <v>6561</v>
      </c>
      <c r="L1807" s="1">
        <f t="shared" si="142"/>
        <v>30897</v>
      </c>
      <c r="M1807" s="1">
        <f t="shared" si="143"/>
        <v>175.77542490348301</v>
      </c>
      <c r="N1807" s="7">
        <f t="shared" si="144"/>
        <v>175.77542490348301</v>
      </c>
    </row>
    <row r="1808" spans="1:14" x14ac:dyDescent="0.25">
      <c r="A1808" t="str">
        <f>"14:20:29.852"</f>
        <v>14:20:29.852</v>
      </c>
      <c r="B1808">
        <v>39.765379000000003</v>
      </c>
      <c r="C1808">
        <v>-76.051868999999996</v>
      </c>
      <c r="D1808">
        <v>4700</v>
      </c>
      <c r="E1808">
        <v>4900</v>
      </c>
      <c r="F1808">
        <v>156</v>
      </c>
      <c r="G1808">
        <v>80</v>
      </c>
      <c r="H1808">
        <v>0</v>
      </c>
      <c r="J1808" s="1">
        <f t="shared" si="140"/>
        <v>24336</v>
      </c>
      <c r="K1808" s="1">
        <f t="shared" si="141"/>
        <v>6400</v>
      </c>
      <c r="L1808" s="1">
        <f t="shared" si="142"/>
        <v>30736</v>
      </c>
      <c r="M1808" s="1">
        <f t="shared" si="143"/>
        <v>175.31685600648902</v>
      </c>
      <c r="N1808" s="7">
        <f t="shared" si="144"/>
        <v>175.31685600648902</v>
      </c>
    </row>
    <row r="1809" spans="1:14" x14ac:dyDescent="0.25">
      <c r="A1809" t="str">
        <f>"14:20:30.703"</f>
        <v>14:20:30.703</v>
      </c>
      <c r="B1809">
        <v>39.765743999999998</v>
      </c>
      <c r="C1809">
        <v>-76.051074999999997</v>
      </c>
      <c r="D1809">
        <v>4700</v>
      </c>
      <c r="E1809">
        <v>4900</v>
      </c>
      <c r="F1809">
        <v>157</v>
      </c>
      <c r="G1809">
        <v>80</v>
      </c>
      <c r="H1809">
        <v>0</v>
      </c>
      <c r="J1809" s="1">
        <f t="shared" si="140"/>
        <v>24649</v>
      </c>
      <c r="K1809" s="1">
        <f t="shared" si="141"/>
        <v>6400</v>
      </c>
      <c r="L1809" s="1">
        <f t="shared" si="142"/>
        <v>31049</v>
      </c>
      <c r="M1809" s="1">
        <f t="shared" si="143"/>
        <v>176.20726432244501</v>
      </c>
      <c r="N1809" s="7">
        <f t="shared" si="144"/>
        <v>176.20726432244501</v>
      </c>
    </row>
    <row r="1810" spans="1:14" x14ac:dyDescent="0.25">
      <c r="A1810" t="str">
        <f>"14:20:31.617"</f>
        <v>14:20:31.617</v>
      </c>
      <c r="B1810">
        <v>39.766088000000003</v>
      </c>
      <c r="C1810">
        <v>-76.050173999999998</v>
      </c>
      <c r="D1810">
        <v>4700</v>
      </c>
      <c r="E1810">
        <v>4900</v>
      </c>
      <c r="F1810">
        <v>157</v>
      </c>
      <c r="G1810">
        <v>80</v>
      </c>
      <c r="H1810">
        <v>0</v>
      </c>
      <c r="J1810" s="1">
        <f t="shared" si="140"/>
        <v>24649</v>
      </c>
      <c r="K1810" s="1">
        <f t="shared" si="141"/>
        <v>6400</v>
      </c>
      <c r="L1810" s="1">
        <f t="shared" si="142"/>
        <v>31049</v>
      </c>
      <c r="M1810" s="1">
        <f t="shared" si="143"/>
        <v>176.20726432244501</v>
      </c>
      <c r="N1810" s="7">
        <f t="shared" si="144"/>
        <v>176.20726432244501</v>
      </c>
    </row>
    <row r="1811" spans="1:14" x14ac:dyDescent="0.25">
      <c r="A1811" t="str">
        <f>"14:20:32.727"</f>
        <v>14:20:32.727</v>
      </c>
      <c r="B1811">
        <v>39.766474000000002</v>
      </c>
      <c r="C1811">
        <v>-76.049143999999998</v>
      </c>
      <c r="D1811">
        <v>4700</v>
      </c>
      <c r="E1811">
        <v>4900</v>
      </c>
      <c r="F1811">
        <v>157</v>
      </c>
      <c r="G1811">
        <v>80</v>
      </c>
      <c r="H1811">
        <v>-64</v>
      </c>
      <c r="J1811" s="1">
        <f t="shared" si="140"/>
        <v>24649</v>
      </c>
      <c r="K1811" s="1">
        <f t="shared" si="141"/>
        <v>6400</v>
      </c>
      <c r="L1811" s="1">
        <f t="shared" si="142"/>
        <v>31049</v>
      </c>
      <c r="M1811" s="1">
        <f t="shared" si="143"/>
        <v>176.20726432244501</v>
      </c>
      <c r="N1811" s="7">
        <f t="shared" si="144"/>
        <v>176.20726432244501</v>
      </c>
    </row>
    <row r="1812" spans="1:14" x14ac:dyDescent="0.25">
      <c r="A1812" t="str">
        <f>"14:20:33.836"</f>
        <v>14:20:33.836</v>
      </c>
      <c r="B1812">
        <v>39.766880999999998</v>
      </c>
      <c r="C1812">
        <v>-76.048157000000003</v>
      </c>
      <c r="D1812">
        <v>4700</v>
      </c>
      <c r="E1812">
        <v>4900</v>
      </c>
      <c r="F1812">
        <v>157</v>
      </c>
      <c r="G1812">
        <v>80</v>
      </c>
      <c r="H1812">
        <v>-64</v>
      </c>
      <c r="J1812" s="1">
        <f t="shared" si="140"/>
        <v>24649</v>
      </c>
      <c r="K1812" s="1">
        <f t="shared" si="141"/>
        <v>6400</v>
      </c>
      <c r="L1812" s="1">
        <f t="shared" si="142"/>
        <v>31049</v>
      </c>
      <c r="M1812" s="1">
        <f t="shared" si="143"/>
        <v>176.20726432244501</v>
      </c>
      <c r="N1812" s="7">
        <f t="shared" si="144"/>
        <v>176.20726432244501</v>
      </c>
    </row>
    <row r="1813" spans="1:14" x14ac:dyDescent="0.25">
      <c r="A1813" t="str">
        <f>"14:20:35.000"</f>
        <v>14:20:35.000</v>
      </c>
      <c r="B1813">
        <v>39.767332000000003</v>
      </c>
      <c r="C1813">
        <v>-76.046999</v>
      </c>
      <c r="D1813">
        <v>4700</v>
      </c>
      <c r="E1813">
        <v>4900</v>
      </c>
      <c r="F1813">
        <v>157</v>
      </c>
      <c r="G1813">
        <v>80</v>
      </c>
      <c r="H1813">
        <v>-64</v>
      </c>
      <c r="J1813" s="1">
        <f t="shared" si="140"/>
        <v>24649</v>
      </c>
      <c r="K1813" s="1">
        <f t="shared" si="141"/>
        <v>6400</v>
      </c>
      <c r="L1813" s="1">
        <f t="shared" si="142"/>
        <v>31049</v>
      </c>
      <c r="M1813" s="1">
        <f t="shared" si="143"/>
        <v>176.20726432244501</v>
      </c>
      <c r="N1813" s="7">
        <f t="shared" si="144"/>
        <v>176.20726432244501</v>
      </c>
    </row>
    <row r="1814" spans="1:14" x14ac:dyDescent="0.25">
      <c r="A1814" t="str">
        <f>"14:20:36.008"</f>
        <v>14:20:36.008</v>
      </c>
      <c r="B1814">
        <v>39.767718000000002</v>
      </c>
      <c r="C1814">
        <v>-76.046075999999999</v>
      </c>
      <c r="D1814">
        <v>4700</v>
      </c>
      <c r="E1814">
        <v>4900</v>
      </c>
      <c r="F1814">
        <v>157</v>
      </c>
      <c r="G1814">
        <v>80</v>
      </c>
      <c r="H1814">
        <v>0</v>
      </c>
      <c r="J1814" s="1">
        <f t="shared" si="140"/>
        <v>24649</v>
      </c>
      <c r="K1814" s="1">
        <f t="shared" si="141"/>
        <v>6400</v>
      </c>
      <c r="L1814" s="1">
        <f t="shared" si="142"/>
        <v>31049</v>
      </c>
      <c r="M1814" s="1">
        <f t="shared" si="143"/>
        <v>176.20726432244501</v>
      </c>
      <c r="N1814" s="7">
        <f t="shared" si="144"/>
        <v>176.20726432244501</v>
      </c>
    </row>
    <row r="1815" spans="1:14" x14ac:dyDescent="0.25">
      <c r="A1815" t="str">
        <f>"14:20:37.063"</f>
        <v>14:20:37.063</v>
      </c>
      <c r="B1815">
        <v>39.768126000000002</v>
      </c>
      <c r="C1815">
        <v>-76.045023999999998</v>
      </c>
      <c r="D1815">
        <v>4700</v>
      </c>
      <c r="E1815">
        <v>4900</v>
      </c>
      <c r="F1815">
        <v>157</v>
      </c>
      <c r="G1815">
        <v>80</v>
      </c>
      <c r="H1815">
        <v>0</v>
      </c>
      <c r="J1815" s="1">
        <f t="shared" si="140"/>
        <v>24649</v>
      </c>
      <c r="K1815" s="1">
        <f t="shared" si="141"/>
        <v>6400</v>
      </c>
      <c r="L1815" s="1">
        <f t="shared" si="142"/>
        <v>31049</v>
      </c>
      <c r="M1815" s="1">
        <f t="shared" si="143"/>
        <v>176.20726432244501</v>
      </c>
      <c r="N1815" s="7">
        <f t="shared" si="144"/>
        <v>176.20726432244501</v>
      </c>
    </row>
    <row r="1816" spans="1:14" x14ac:dyDescent="0.25">
      <c r="A1816" t="str">
        <f>"14:20:38.023"</f>
        <v>14:20:38.023</v>
      </c>
      <c r="B1816">
        <v>39.768405000000001</v>
      </c>
      <c r="C1816">
        <v>-76.044188000000005</v>
      </c>
      <c r="D1816">
        <v>4700</v>
      </c>
      <c r="E1816">
        <v>4900</v>
      </c>
      <c r="F1816">
        <v>157</v>
      </c>
      <c r="G1816">
        <v>80</v>
      </c>
      <c r="H1816">
        <v>0</v>
      </c>
      <c r="J1816" s="1">
        <f t="shared" si="140"/>
        <v>24649</v>
      </c>
      <c r="K1816" s="1">
        <f t="shared" si="141"/>
        <v>6400</v>
      </c>
      <c r="L1816" s="1">
        <f t="shared" si="142"/>
        <v>31049</v>
      </c>
      <c r="M1816" s="1">
        <f t="shared" si="143"/>
        <v>176.20726432244501</v>
      </c>
      <c r="N1816" s="7">
        <f t="shared" si="144"/>
        <v>176.20726432244501</v>
      </c>
    </row>
    <row r="1817" spans="1:14" x14ac:dyDescent="0.25">
      <c r="A1817" t="str">
        <f>"14:20:38.836"</f>
        <v>14:20:38.836</v>
      </c>
      <c r="B1817">
        <v>39.768748000000002</v>
      </c>
      <c r="C1817">
        <v>-76.043394000000006</v>
      </c>
      <c r="D1817">
        <v>4700</v>
      </c>
      <c r="E1817">
        <v>4900</v>
      </c>
      <c r="F1817">
        <v>157</v>
      </c>
      <c r="G1817">
        <v>80</v>
      </c>
      <c r="H1817">
        <v>0</v>
      </c>
      <c r="J1817" s="1">
        <f t="shared" si="140"/>
        <v>24649</v>
      </c>
      <c r="K1817" s="1">
        <f t="shared" si="141"/>
        <v>6400</v>
      </c>
      <c r="L1817" s="1">
        <f t="shared" si="142"/>
        <v>31049</v>
      </c>
      <c r="M1817" s="1">
        <f t="shared" si="143"/>
        <v>176.20726432244501</v>
      </c>
      <c r="N1817" s="7">
        <f t="shared" si="144"/>
        <v>176.20726432244501</v>
      </c>
    </row>
    <row r="1818" spans="1:14" x14ac:dyDescent="0.25">
      <c r="A1818" t="str">
        <f>"14:20:39.789"</f>
        <v>14:20:39.789</v>
      </c>
      <c r="B1818">
        <v>39.769112999999997</v>
      </c>
      <c r="C1818">
        <v>-76.042471000000006</v>
      </c>
      <c r="D1818">
        <v>4700</v>
      </c>
      <c r="E1818">
        <v>4900</v>
      </c>
      <c r="F1818">
        <v>157</v>
      </c>
      <c r="G1818">
        <v>79</v>
      </c>
      <c r="H1818">
        <v>0</v>
      </c>
      <c r="J1818" s="1">
        <f t="shared" si="140"/>
        <v>24649</v>
      </c>
      <c r="K1818" s="1">
        <f t="shared" si="141"/>
        <v>6241</v>
      </c>
      <c r="L1818" s="1">
        <f t="shared" si="142"/>
        <v>30890</v>
      </c>
      <c r="M1818" s="1">
        <f t="shared" si="143"/>
        <v>175.75551200460256</v>
      </c>
      <c r="N1818" s="7">
        <f t="shared" si="144"/>
        <v>175.75551200460256</v>
      </c>
    </row>
    <row r="1819" spans="1:14" x14ac:dyDescent="0.25">
      <c r="A1819" t="str">
        <f>"14:20:40.906"</f>
        <v>14:20:40.906</v>
      </c>
      <c r="B1819">
        <v>39.769499000000003</v>
      </c>
      <c r="C1819">
        <v>-76.041461999999996</v>
      </c>
      <c r="D1819">
        <v>4700</v>
      </c>
      <c r="E1819">
        <v>4900</v>
      </c>
      <c r="F1819">
        <v>157</v>
      </c>
      <c r="G1819">
        <v>79</v>
      </c>
      <c r="H1819">
        <v>0</v>
      </c>
      <c r="J1819" s="1">
        <f t="shared" si="140"/>
        <v>24649</v>
      </c>
      <c r="K1819" s="1">
        <f t="shared" si="141"/>
        <v>6241</v>
      </c>
      <c r="L1819" s="1">
        <f t="shared" si="142"/>
        <v>30890</v>
      </c>
      <c r="M1819" s="1">
        <f t="shared" si="143"/>
        <v>175.75551200460256</v>
      </c>
      <c r="N1819" s="7">
        <f t="shared" si="144"/>
        <v>175.75551200460256</v>
      </c>
    </row>
    <row r="1820" spans="1:14" x14ac:dyDescent="0.25">
      <c r="A1820" t="str">
        <f>"14:20:42.016"</f>
        <v>14:20:42.016</v>
      </c>
      <c r="B1820">
        <v>39.769907000000003</v>
      </c>
      <c r="C1820">
        <v>-76.040411000000006</v>
      </c>
      <c r="D1820">
        <v>4700</v>
      </c>
      <c r="E1820">
        <v>4900</v>
      </c>
      <c r="F1820">
        <v>157</v>
      </c>
      <c r="G1820">
        <v>79</v>
      </c>
      <c r="H1820">
        <v>0</v>
      </c>
      <c r="J1820" s="1">
        <f t="shared" si="140"/>
        <v>24649</v>
      </c>
      <c r="K1820" s="1">
        <f t="shared" si="141"/>
        <v>6241</v>
      </c>
      <c r="L1820" s="1">
        <f t="shared" si="142"/>
        <v>30890</v>
      </c>
      <c r="M1820" s="1">
        <f t="shared" si="143"/>
        <v>175.75551200460256</v>
      </c>
      <c r="N1820" s="7">
        <f t="shared" si="144"/>
        <v>175.75551200460256</v>
      </c>
    </row>
    <row r="1821" spans="1:14" x14ac:dyDescent="0.25">
      <c r="A1821" t="str">
        <f>"14:20:42.977"</f>
        <v>14:20:42.977</v>
      </c>
      <c r="B1821">
        <v>39.770229</v>
      </c>
      <c r="C1821">
        <v>-76.039530999999997</v>
      </c>
      <c r="D1821">
        <v>4700</v>
      </c>
      <c r="E1821">
        <v>4900</v>
      </c>
      <c r="F1821">
        <v>157</v>
      </c>
      <c r="G1821">
        <v>79</v>
      </c>
      <c r="H1821">
        <v>0</v>
      </c>
      <c r="J1821" s="1">
        <f t="shared" si="140"/>
        <v>24649</v>
      </c>
      <c r="K1821" s="1">
        <f t="shared" si="141"/>
        <v>6241</v>
      </c>
      <c r="L1821" s="1">
        <f t="shared" si="142"/>
        <v>30890</v>
      </c>
      <c r="M1821" s="1">
        <f t="shared" si="143"/>
        <v>175.75551200460256</v>
      </c>
      <c r="N1821" s="7">
        <f t="shared" si="144"/>
        <v>175.75551200460256</v>
      </c>
    </row>
    <row r="1822" spans="1:14" x14ac:dyDescent="0.25">
      <c r="A1822" t="str">
        <f>"14:20:44.031"</f>
        <v>14:20:44.031</v>
      </c>
      <c r="B1822">
        <v>39.770657999999997</v>
      </c>
      <c r="C1822">
        <v>-76.038522999999998</v>
      </c>
      <c r="D1822">
        <v>4700</v>
      </c>
      <c r="E1822">
        <v>4900</v>
      </c>
      <c r="F1822">
        <v>157</v>
      </c>
      <c r="G1822">
        <v>79</v>
      </c>
      <c r="H1822">
        <v>0</v>
      </c>
      <c r="J1822" s="1">
        <f t="shared" si="140"/>
        <v>24649</v>
      </c>
      <c r="K1822" s="1">
        <f t="shared" si="141"/>
        <v>6241</v>
      </c>
      <c r="L1822" s="1">
        <f t="shared" si="142"/>
        <v>30890</v>
      </c>
      <c r="M1822" s="1">
        <f t="shared" si="143"/>
        <v>175.75551200460256</v>
      </c>
      <c r="N1822" s="7">
        <f t="shared" si="144"/>
        <v>175.75551200460256</v>
      </c>
    </row>
    <row r="1823" spans="1:14" x14ac:dyDescent="0.25">
      <c r="A1823" t="str">
        <f>"14:20:44.992"</f>
        <v>14:20:44.992</v>
      </c>
      <c r="B1823">
        <v>39.771023</v>
      </c>
      <c r="C1823">
        <v>-76.037599999999998</v>
      </c>
      <c r="D1823">
        <v>4700</v>
      </c>
      <c r="E1823">
        <v>4900</v>
      </c>
      <c r="F1823">
        <v>157</v>
      </c>
      <c r="G1823">
        <v>79</v>
      </c>
      <c r="H1823">
        <v>0</v>
      </c>
      <c r="J1823" s="1">
        <f t="shared" si="140"/>
        <v>24649</v>
      </c>
      <c r="K1823" s="1">
        <f t="shared" si="141"/>
        <v>6241</v>
      </c>
      <c r="L1823" s="1">
        <f t="shared" si="142"/>
        <v>30890</v>
      </c>
      <c r="M1823" s="1">
        <f t="shared" si="143"/>
        <v>175.75551200460256</v>
      </c>
      <c r="N1823" s="7">
        <f t="shared" si="144"/>
        <v>175.75551200460256</v>
      </c>
    </row>
    <row r="1824" spans="1:14" x14ac:dyDescent="0.25">
      <c r="A1824" t="str">
        <f>"14:20:45.898"</f>
        <v>14:20:45.898</v>
      </c>
      <c r="B1824">
        <v>39.771323000000002</v>
      </c>
      <c r="C1824">
        <v>-76.036742000000004</v>
      </c>
      <c r="D1824">
        <v>4700</v>
      </c>
      <c r="E1824">
        <v>4900</v>
      </c>
      <c r="F1824">
        <v>157</v>
      </c>
      <c r="G1824">
        <v>79</v>
      </c>
      <c r="H1824">
        <v>0</v>
      </c>
      <c r="J1824" s="1">
        <f t="shared" si="140"/>
        <v>24649</v>
      </c>
      <c r="K1824" s="1">
        <f t="shared" si="141"/>
        <v>6241</v>
      </c>
      <c r="L1824" s="1">
        <f t="shared" si="142"/>
        <v>30890</v>
      </c>
      <c r="M1824" s="1">
        <f t="shared" si="143"/>
        <v>175.75551200460256</v>
      </c>
      <c r="N1824" s="7">
        <f t="shared" si="144"/>
        <v>175.75551200460256</v>
      </c>
    </row>
    <row r="1825" spans="1:14" x14ac:dyDescent="0.25">
      <c r="A1825" t="str">
        <f>"14:20:47.063"</f>
        <v>14:20:47.063</v>
      </c>
      <c r="B1825">
        <v>39.771774000000001</v>
      </c>
      <c r="C1825">
        <v>-76.035646999999997</v>
      </c>
      <c r="D1825">
        <v>4700</v>
      </c>
      <c r="E1825">
        <v>4900</v>
      </c>
      <c r="F1825">
        <v>157</v>
      </c>
      <c r="G1825">
        <v>79</v>
      </c>
      <c r="H1825">
        <v>0</v>
      </c>
      <c r="J1825" s="1">
        <f t="shared" si="140"/>
        <v>24649</v>
      </c>
      <c r="K1825" s="1">
        <f t="shared" si="141"/>
        <v>6241</v>
      </c>
      <c r="L1825" s="1">
        <f t="shared" si="142"/>
        <v>30890</v>
      </c>
      <c r="M1825" s="1">
        <f t="shared" si="143"/>
        <v>175.75551200460256</v>
      </c>
      <c r="N1825" s="7">
        <f t="shared" si="144"/>
        <v>175.75551200460256</v>
      </c>
    </row>
    <row r="1826" spans="1:14" x14ac:dyDescent="0.25">
      <c r="A1826" t="str">
        <f>"14:20:47.969"</f>
        <v>14:20:47.969</v>
      </c>
      <c r="B1826">
        <v>39.772095999999998</v>
      </c>
      <c r="C1826">
        <v>-76.034724999999995</v>
      </c>
      <c r="D1826">
        <v>4700</v>
      </c>
      <c r="E1826">
        <v>4900</v>
      </c>
      <c r="F1826">
        <v>157</v>
      </c>
      <c r="G1826">
        <v>79</v>
      </c>
      <c r="H1826">
        <v>0</v>
      </c>
      <c r="J1826" s="1">
        <f t="shared" si="140"/>
        <v>24649</v>
      </c>
      <c r="K1826" s="1">
        <f t="shared" si="141"/>
        <v>6241</v>
      </c>
      <c r="L1826" s="1">
        <f t="shared" si="142"/>
        <v>30890</v>
      </c>
      <c r="M1826" s="1">
        <f t="shared" si="143"/>
        <v>175.75551200460256</v>
      </c>
      <c r="N1826" s="7">
        <f t="shared" si="144"/>
        <v>175.75551200460256</v>
      </c>
    </row>
    <row r="1827" spans="1:14" x14ac:dyDescent="0.25">
      <c r="A1827" t="str">
        <f>"14:20:48.828"</f>
        <v>14:20:48.828</v>
      </c>
      <c r="B1827">
        <v>39.772418000000002</v>
      </c>
      <c r="C1827">
        <v>-76.033995000000004</v>
      </c>
      <c r="D1827">
        <v>4700</v>
      </c>
      <c r="E1827">
        <v>4900</v>
      </c>
      <c r="F1827">
        <v>157</v>
      </c>
      <c r="G1827">
        <v>79</v>
      </c>
      <c r="H1827">
        <v>0</v>
      </c>
      <c r="J1827" s="1">
        <f t="shared" si="140"/>
        <v>24649</v>
      </c>
      <c r="K1827" s="1">
        <f t="shared" si="141"/>
        <v>6241</v>
      </c>
      <c r="L1827" s="1">
        <f t="shared" si="142"/>
        <v>30890</v>
      </c>
      <c r="M1827" s="1">
        <f t="shared" si="143"/>
        <v>175.75551200460256</v>
      </c>
      <c r="N1827" s="7">
        <f t="shared" si="144"/>
        <v>175.75551200460256</v>
      </c>
    </row>
    <row r="1828" spans="1:14" x14ac:dyDescent="0.25">
      <c r="A1828" t="str">
        <f>"14:20:49.789"</f>
        <v>14:20:49.789</v>
      </c>
      <c r="B1828">
        <v>39.772781999999999</v>
      </c>
      <c r="C1828">
        <v>-76.033072000000004</v>
      </c>
      <c r="D1828">
        <v>4700</v>
      </c>
      <c r="E1828">
        <v>4900</v>
      </c>
      <c r="F1828">
        <v>157</v>
      </c>
      <c r="G1828">
        <v>80</v>
      </c>
      <c r="H1828">
        <v>0</v>
      </c>
      <c r="J1828" s="1">
        <f t="shared" si="140"/>
        <v>24649</v>
      </c>
      <c r="K1828" s="1">
        <f t="shared" si="141"/>
        <v>6400</v>
      </c>
      <c r="L1828" s="1">
        <f t="shared" si="142"/>
        <v>31049</v>
      </c>
      <c r="M1828" s="1">
        <f t="shared" si="143"/>
        <v>176.20726432244501</v>
      </c>
      <c r="N1828" s="7">
        <f t="shared" si="144"/>
        <v>176.20726432244501</v>
      </c>
    </row>
    <row r="1829" spans="1:14" x14ac:dyDescent="0.25">
      <c r="A1829" t="str">
        <f>"14:20:50.852"</f>
        <v>14:20:50.852</v>
      </c>
      <c r="B1829">
        <v>39.773169000000003</v>
      </c>
      <c r="C1829">
        <v>-76.032106999999996</v>
      </c>
      <c r="D1829">
        <v>4700</v>
      </c>
      <c r="E1829">
        <v>4900</v>
      </c>
      <c r="F1829">
        <v>157</v>
      </c>
      <c r="G1829">
        <v>80</v>
      </c>
      <c r="H1829">
        <v>0</v>
      </c>
      <c r="J1829" s="1">
        <f t="shared" si="140"/>
        <v>24649</v>
      </c>
      <c r="K1829" s="1">
        <f t="shared" si="141"/>
        <v>6400</v>
      </c>
      <c r="L1829" s="1">
        <f t="shared" si="142"/>
        <v>31049</v>
      </c>
      <c r="M1829" s="1">
        <f t="shared" si="143"/>
        <v>176.20726432244501</v>
      </c>
      <c r="N1829" s="7">
        <f t="shared" si="144"/>
        <v>176.20726432244501</v>
      </c>
    </row>
    <row r="1830" spans="1:14" x14ac:dyDescent="0.25">
      <c r="A1830" t="str">
        <f>"14:20:51.758"</f>
        <v>14:20:51.758</v>
      </c>
      <c r="B1830">
        <v>39.773490000000002</v>
      </c>
      <c r="C1830">
        <v>-76.031249000000003</v>
      </c>
      <c r="D1830">
        <v>4700</v>
      </c>
      <c r="E1830">
        <v>4900</v>
      </c>
      <c r="F1830">
        <v>157</v>
      </c>
      <c r="G1830">
        <v>80</v>
      </c>
      <c r="H1830">
        <v>0</v>
      </c>
      <c r="J1830" s="1">
        <f t="shared" si="140"/>
        <v>24649</v>
      </c>
      <c r="K1830" s="1">
        <f t="shared" si="141"/>
        <v>6400</v>
      </c>
      <c r="L1830" s="1">
        <f t="shared" si="142"/>
        <v>31049</v>
      </c>
      <c r="M1830" s="1">
        <f t="shared" si="143"/>
        <v>176.20726432244501</v>
      </c>
      <c r="N1830" s="7">
        <f t="shared" si="144"/>
        <v>176.20726432244501</v>
      </c>
    </row>
    <row r="1831" spans="1:14" x14ac:dyDescent="0.25">
      <c r="A1831" t="str">
        <f>"14:20:52.766"</f>
        <v>14:20:52.766</v>
      </c>
      <c r="B1831">
        <v>39.773854999999998</v>
      </c>
      <c r="C1831">
        <v>-76.030282999999997</v>
      </c>
      <c r="D1831">
        <v>4700</v>
      </c>
      <c r="E1831">
        <v>4900</v>
      </c>
      <c r="F1831">
        <v>157</v>
      </c>
      <c r="G1831">
        <v>80</v>
      </c>
      <c r="H1831">
        <v>0</v>
      </c>
      <c r="J1831" s="1">
        <f t="shared" si="140"/>
        <v>24649</v>
      </c>
      <c r="K1831" s="1">
        <f t="shared" si="141"/>
        <v>6400</v>
      </c>
      <c r="L1831" s="1">
        <f t="shared" si="142"/>
        <v>31049</v>
      </c>
      <c r="M1831" s="1">
        <f t="shared" si="143"/>
        <v>176.20726432244501</v>
      </c>
      <c r="N1831" s="7">
        <f t="shared" si="144"/>
        <v>176.20726432244501</v>
      </c>
    </row>
    <row r="1832" spans="1:14" x14ac:dyDescent="0.25">
      <c r="A1832" t="str">
        <f>"14:20:53.828"</f>
        <v>14:20:53.828</v>
      </c>
      <c r="B1832">
        <v>39.774241000000004</v>
      </c>
      <c r="C1832">
        <v>-76.029296000000002</v>
      </c>
      <c r="D1832">
        <v>4700</v>
      </c>
      <c r="E1832">
        <v>4900</v>
      </c>
      <c r="F1832">
        <v>157</v>
      </c>
      <c r="G1832">
        <v>80</v>
      </c>
      <c r="H1832">
        <v>0</v>
      </c>
      <c r="J1832" s="1">
        <f t="shared" si="140"/>
        <v>24649</v>
      </c>
      <c r="K1832" s="1">
        <f t="shared" si="141"/>
        <v>6400</v>
      </c>
      <c r="L1832" s="1">
        <f t="shared" si="142"/>
        <v>31049</v>
      </c>
      <c r="M1832" s="1">
        <f t="shared" si="143"/>
        <v>176.20726432244501</v>
      </c>
      <c r="N1832" s="7">
        <f t="shared" si="144"/>
        <v>176.20726432244501</v>
      </c>
    </row>
    <row r="1833" spans="1:14" x14ac:dyDescent="0.25">
      <c r="A1833" t="str">
        <f>"14:20:54.688"</f>
        <v>14:20:54.688</v>
      </c>
      <c r="B1833">
        <v>39.774585000000002</v>
      </c>
      <c r="C1833">
        <v>-76.028437999999994</v>
      </c>
      <c r="D1833">
        <v>4700</v>
      </c>
      <c r="E1833">
        <v>4900</v>
      </c>
      <c r="F1833">
        <v>156</v>
      </c>
      <c r="G1833">
        <v>80</v>
      </c>
      <c r="H1833">
        <v>0</v>
      </c>
      <c r="J1833" s="1">
        <f t="shared" si="140"/>
        <v>24336</v>
      </c>
      <c r="K1833" s="1">
        <f t="shared" si="141"/>
        <v>6400</v>
      </c>
      <c r="L1833" s="1">
        <f t="shared" si="142"/>
        <v>30736</v>
      </c>
      <c r="M1833" s="1">
        <f t="shared" si="143"/>
        <v>175.31685600648902</v>
      </c>
      <c r="N1833" s="7">
        <f t="shared" si="144"/>
        <v>175.31685600648902</v>
      </c>
    </row>
    <row r="1834" spans="1:14" x14ac:dyDescent="0.25">
      <c r="A1834" t="str">
        <f>"14:20:55.742"</f>
        <v>14:20:55.742</v>
      </c>
      <c r="B1834">
        <v>39.774949999999997</v>
      </c>
      <c r="C1834">
        <v>-76.027472000000003</v>
      </c>
      <c r="D1834">
        <v>4700</v>
      </c>
      <c r="E1834">
        <v>4900</v>
      </c>
      <c r="F1834">
        <v>156</v>
      </c>
      <c r="G1834">
        <v>80</v>
      </c>
      <c r="H1834">
        <v>0</v>
      </c>
      <c r="J1834" s="1">
        <f t="shared" si="140"/>
        <v>24336</v>
      </c>
      <c r="K1834" s="1">
        <f t="shared" si="141"/>
        <v>6400</v>
      </c>
      <c r="L1834" s="1">
        <f t="shared" si="142"/>
        <v>30736</v>
      </c>
      <c r="M1834" s="1">
        <f t="shared" si="143"/>
        <v>175.31685600648902</v>
      </c>
      <c r="N1834" s="7">
        <f t="shared" si="144"/>
        <v>175.31685600648902</v>
      </c>
    </row>
    <row r="1835" spans="1:14" x14ac:dyDescent="0.25">
      <c r="A1835" t="str">
        <f>"14:20:56.750"</f>
        <v>14:20:56.750</v>
      </c>
      <c r="B1835">
        <v>39.775314000000002</v>
      </c>
      <c r="C1835">
        <v>-76.026527999999999</v>
      </c>
      <c r="D1835">
        <v>4700</v>
      </c>
      <c r="E1835">
        <v>4900</v>
      </c>
      <c r="F1835">
        <v>156</v>
      </c>
      <c r="G1835">
        <v>80</v>
      </c>
      <c r="H1835">
        <v>0</v>
      </c>
      <c r="J1835" s="1">
        <f t="shared" si="140"/>
        <v>24336</v>
      </c>
      <c r="K1835" s="1">
        <f t="shared" si="141"/>
        <v>6400</v>
      </c>
      <c r="L1835" s="1">
        <f t="shared" si="142"/>
        <v>30736</v>
      </c>
      <c r="M1835" s="1">
        <f t="shared" si="143"/>
        <v>175.31685600648902</v>
      </c>
      <c r="N1835" s="7">
        <f t="shared" si="144"/>
        <v>175.31685600648902</v>
      </c>
    </row>
    <row r="1836" spans="1:14" x14ac:dyDescent="0.25">
      <c r="A1836" t="str">
        <f>"14:20:57.867"</f>
        <v>14:20:57.867</v>
      </c>
      <c r="B1836">
        <v>39.775722000000002</v>
      </c>
      <c r="C1836">
        <v>-76.025519000000003</v>
      </c>
      <c r="D1836">
        <v>4700</v>
      </c>
      <c r="E1836">
        <v>4900</v>
      </c>
      <c r="F1836">
        <v>156</v>
      </c>
      <c r="G1836">
        <v>80</v>
      </c>
      <c r="H1836">
        <v>0</v>
      </c>
      <c r="J1836" s="1">
        <f t="shared" si="140"/>
        <v>24336</v>
      </c>
      <c r="K1836" s="1">
        <f t="shared" si="141"/>
        <v>6400</v>
      </c>
      <c r="L1836" s="1">
        <f t="shared" si="142"/>
        <v>30736</v>
      </c>
      <c r="M1836" s="1">
        <f t="shared" si="143"/>
        <v>175.31685600648902</v>
      </c>
      <c r="N1836" s="7">
        <f t="shared" si="144"/>
        <v>175.31685600648902</v>
      </c>
    </row>
    <row r="1837" spans="1:14" x14ac:dyDescent="0.25">
      <c r="A1837" t="str">
        <f>"14:20:58.820"</f>
        <v>14:20:58.820</v>
      </c>
      <c r="B1837">
        <v>39.776086999999997</v>
      </c>
      <c r="C1837">
        <v>-76.024597</v>
      </c>
      <c r="D1837">
        <v>4700</v>
      </c>
      <c r="E1837">
        <v>4900</v>
      </c>
      <c r="F1837">
        <v>156</v>
      </c>
      <c r="G1837">
        <v>80</v>
      </c>
      <c r="H1837">
        <v>0</v>
      </c>
      <c r="J1837" s="1">
        <f t="shared" si="140"/>
        <v>24336</v>
      </c>
      <c r="K1837" s="1">
        <f t="shared" si="141"/>
        <v>6400</v>
      </c>
      <c r="L1837" s="1">
        <f t="shared" si="142"/>
        <v>30736</v>
      </c>
      <c r="M1837" s="1">
        <f t="shared" si="143"/>
        <v>175.31685600648902</v>
      </c>
      <c r="N1837" s="7">
        <f t="shared" si="144"/>
        <v>175.31685600648902</v>
      </c>
    </row>
    <row r="1838" spans="1:14" x14ac:dyDescent="0.25">
      <c r="A1838" t="str">
        <f>"14:20:59.930"</f>
        <v>14:20:59.930</v>
      </c>
      <c r="B1838">
        <v>39.776494999999997</v>
      </c>
      <c r="C1838">
        <v>-76.023610000000005</v>
      </c>
      <c r="D1838">
        <v>4700</v>
      </c>
      <c r="E1838">
        <v>4900</v>
      </c>
      <c r="F1838">
        <v>156</v>
      </c>
      <c r="G1838">
        <v>80</v>
      </c>
      <c r="H1838">
        <v>0</v>
      </c>
      <c r="J1838" s="1">
        <f t="shared" si="140"/>
        <v>24336</v>
      </c>
      <c r="K1838" s="1">
        <f t="shared" si="141"/>
        <v>6400</v>
      </c>
      <c r="L1838" s="1">
        <f t="shared" si="142"/>
        <v>30736</v>
      </c>
      <c r="M1838" s="1">
        <f t="shared" si="143"/>
        <v>175.31685600648902</v>
      </c>
      <c r="N1838" s="7">
        <f t="shared" si="144"/>
        <v>175.31685600648902</v>
      </c>
    </row>
    <row r="1839" spans="1:14" x14ac:dyDescent="0.25">
      <c r="A1839" t="str">
        <f>"14:21:00.945"</f>
        <v>14:21:00.945</v>
      </c>
      <c r="B1839">
        <v>39.776881000000003</v>
      </c>
      <c r="C1839">
        <v>-76.022644</v>
      </c>
      <c r="D1839">
        <v>4700</v>
      </c>
      <c r="E1839">
        <v>4900</v>
      </c>
      <c r="F1839">
        <v>156</v>
      </c>
      <c r="G1839">
        <v>80</v>
      </c>
      <c r="H1839">
        <v>0</v>
      </c>
      <c r="J1839" s="1">
        <f t="shared" si="140"/>
        <v>24336</v>
      </c>
      <c r="K1839" s="1">
        <f t="shared" si="141"/>
        <v>6400</v>
      </c>
      <c r="L1839" s="1">
        <f t="shared" si="142"/>
        <v>30736</v>
      </c>
      <c r="M1839" s="1">
        <f t="shared" si="143"/>
        <v>175.31685600648902</v>
      </c>
      <c r="N1839" s="7">
        <f t="shared" si="144"/>
        <v>175.31685600648902</v>
      </c>
    </row>
    <row r="1840" spans="1:14" x14ac:dyDescent="0.25">
      <c r="A1840" t="str">
        <f>"14:21:01.898"</f>
        <v>14:21:01.898</v>
      </c>
      <c r="B1840">
        <v>39.777245999999998</v>
      </c>
      <c r="C1840">
        <v>-76.021677999999994</v>
      </c>
      <c r="D1840">
        <v>4700</v>
      </c>
      <c r="E1840">
        <v>4900</v>
      </c>
      <c r="F1840">
        <v>156</v>
      </c>
      <c r="G1840">
        <v>80</v>
      </c>
      <c r="H1840">
        <v>0</v>
      </c>
      <c r="J1840" s="1">
        <f t="shared" si="140"/>
        <v>24336</v>
      </c>
      <c r="K1840" s="1">
        <f t="shared" si="141"/>
        <v>6400</v>
      </c>
      <c r="L1840" s="1">
        <f t="shared" si="142"/>
        <v>30736</v>
      </c>
      <c r="M1840" s="1">
        <f t="shared" si="143"/>
        <v>175.31685600648902</v>
      </c>
      <c r="N1840" s="7">
        <f t="shared" si="144"/>
        <v>175.31685600648902</v>
      </c>
    </row>
    <row r="1841" spans="1:14" x14ac:dyDescent="0.25">
      <c r="A1841" t="str">
        <f>"14:21:02.859"</f>
        <v>14:21:02.859</v>
      </c>
      <c r="B1841">
        <v>39.777610000000003</v>
      </c>
      <c r="C1841">
        <v>-76.020734000000004</v>
      </c>
      <c r="D1841">
        <v>4700</v>
      </c>
      <c r="E1841">
        <v>4900</v>
      </c>
      <c r="F1841">
        <v>156</v>
      </c>
      <c r="G1841">
        <v>80</v>
      </c>
      <c r="H1841">
        <v>0</v>
      </c>
      <c r="J1841" s="1">
        <f t="shared" si="140"/>
        <v>24336</v>
      </c>
      <c r="K1841" s="1">
        <f t="shared" si="141"/>
        <v>6400</v>
      </c>
      <c r="L1841" s="1">
        <f t="shared" si="142"/>
        <v>30736</v>
      </c>
      <c r="M1841" s="1">
        <f t="shared" si="143"/>
        <v>175.31685600648902</v>
      </c>
      <c r="N1841" s="7">
        <f t="shared" si="144"/>
        <v>175.31685600648902</v>
      </c>
    </row>
    <row r="1842" spans="1:14" x14ac:dyDescent="0.25">
      <c r="A1842" t="str">
        <f>"14:21:03.867"</f>
        <v>14:21:03.867</v>
      </c>
      <c r="B1842">
        <v>39.777954000000001</v>
      </c>
      <c r="C1842">
        <v>-76.019897</v>
      </c>
      <c r="D1842">
        <v>4700</v>
      </c>
      <c r="E1842">
        <v>4900</v>
      </c>
      <c r="F1842">
        <v>156</v>
      </c>
      <c r="G1842">
        <v>80</v>
      </c>
      <c r="H1842">
        <v>0</v>
      </c>
      <c r="J1842" s="1">
        <f t="shared" si="140"/>
        <v>24336</v>
      </c>
      <c r="K1842" s="1">
        <f t="shared" si="141"/>
        <v>6400</v>
      </c>
      <c r="L1842" s="1">
        <f t="shared" si="142"/>
        <v>30736</v>
      </c>
      <c r="M1842" s="1">
        <f t="shared" si="143"/>
        <v>175.31685600648902</v>
      </c>
      <c r="N1842" s="7">
        <f t="shared" si="144"/>
        <v>175.31685600648902</v>
      </c>
    </row>
    <row r="1843" spans="1:14" x14ac:dyDescent="0.25">
      <c r="A1843" t="str">
        <f>"14:21:04.828"</f>
        <v>14:21:04.828</v>
      </c>
      <c r="B1843">
        <v>39.778317999999999</v>
      </c>
      <c r="C1843">
        <v>-76.018974999999998</v>
      </c>
      <c r="D1843">
        <v>4700</v>
      </c>
      <c r="E1843">
        <v>4900</v>
      </c>
      <c r="F1843">
        <v>156</v>
      </c>
      <c r="G1843">
        <v>80</v>
      </c>
      <c r="H1843">
        <v>0</v>
      </c>
      <c r="J1843" s="1">
        <f t="shared" si="140"/>
        <v>24336</v>
      </c>
      <c r="K1843" s="1">
        <f t="shared" si="141"/>
        <v>6400</v>
      </c>
      <c r="L1843" s="1">
        <f t="shared" si="142"/>
        <v>30736</v>
      </c>
      <c r="M1843" s="1">
        <f t="shared" si="143"/>
        <v>175.31685600648902</v>
      </c>
      <c r="N1843" s="7">
        <f t="shared" si="144"/>
        <v>175.31685600648902</v>
      </c>
    </row>
    <row r="1844" spans="1:14" x14ac:dyDescent="0.25">
      <c r="A1844" t="str">
        <f>"14:21:05.992"</f>
        <v>14:21:05.992</v>
      </c>
      <c r="B1844">
        <v>39.778748</v>
      </c>
      <c r="C1844">
        <v>-76.017880000000005</v>
      </c>
      <c r="D1844">
        <v>4700</v>
      </c>
      <c r="E1844">
        <v>4900</v>
      </c>
      <c r="F1844">
        <v>156</v>
      </c>
      <c r="G1844">
        <v>80</v>
      </c>
      <c r="H1844">
        <v>0</v>
      </c>
      <c r="J1844" s="1">
        <f t="shared" si="140"/>
        <v>24336</v>
      </c>
      <c r="K1844" s="1">
        <f t="shared" si="141"/>
        <v>6400</v>
      </c>
      <c r="L1844" s="1">
        <f t="shared" si="142"/>
        <v>30736</v>
      </c>
      <c r="M1844" s="1">
        <f t="shared" si="143"/>
        <v>175.31685600648902</v>
      </c>
      <c r="N1844" s="7">
        <f t="shared" si="144"/>
        <v>175.31685600648902</v>
      </c>
    </row>
    <row r="1845" spans="1:14" x14ac:dyDescent="0.25">
      <c r="A1845" t="str">
        <f>"14:21:07.000"</f>
        <v>14:21:07.000</v>
      </c>
      <c r="B1845">
        <v>39.779111999999998</v>
      </c>
      <c r="C1845">
        <v>-76.016914999999997</v>
      </c>
      <c r="D1845">
        <v>4700</v>
      </c>
      <c r="E1845">
        <v>4900</v>
      </c>
      <c r="F1845">
        <v>156</v>
      </c>
      <c r="G1845">
        <v>80</v>
      </c>
      <c r="H1845">
        <v>0</v>
      </c>
      <c r="J1845" s="1">
        <f t="shared" si="140"/>
        <v>24336</v>
      </c>
      <c r="K1845" s="1">
        <f t="shared" si="141"/>
        <v>6400</v>
      </c>
      <c r="L1845" s="1">
        <f t="shared" si="142"/>
        <v>30736</v>
      </c>
      <c r="M1845" s="1">
        <f t="shared" si="143"/>
        <v>175.31685600648902</v>
      </c>
      <c r="N1845" s="7">
        <f t="shared" si="144"/>
        <v>175.31685600648902</v>
      </c>
    </row>
    <row r="1846" spans="1:14" x14ac:dyDescent="0.25">
      <c r="A1846" t="str">
        <f>"14:21:07.961"</f>
        <v>14:21:07.961</v>
      </c>
      <c r="B1846">
        <v>39.779477</v>
      </c>
      <c r="C1846">
        <v>-76.016077999999993</v>
      </c>
      <c r="D1846">
        <v>4700</v>
      </c>
      <c r="E1846">
        <v>4900</v>
      </c>
      <c r="F1846">
        <v>156</v>
      </c>
      <c r="G1846">
        <v>80</v>
      </c>
      <c r="H1846">
        <v>0</v>
      </c>
      <c r="J1846" s="1">
        <f t="shared" si="140"/>
        <v>24336</v>
      </c>
      <c r="K1846" s="1">
        <f t="shared" si="141"/>
        <v>6400</v>
      </c>
      <c r="L1846" s="1">
        <f t="shared" si="142"/>
        <v>30736</v>
      </c>
      <c r="M1846" s="1">
        <f t="shared" si="143"/>
        <v>175.31685600648902</v>
      </c>
      <c r="N1846" s="7">
        <f t="shared" si="144"/>
        <v>175.31685600648902</v>
      </c>
    </row>
    <row r="1847" spans="1:14" x14ac:dyDescent="0.25">
      <c r="A1847" t="str">
        <f>"14:21:08.969"</f>
        <v>14:21:08.969</v>
      </c>
      <c r="B1847">
        <v>39.779842000000002</v>
      </c>
      <c r="C1847">
        <v>-76.015112000000002</v>
      </c>
      <c r="D1847">
        <v>4700</v>
      </c>
      <c r="E1847">
        <v>4900</v>
      </c>
      <c r="F1847">
        <v>156</v>
      </c>
      <c r="G1847">
        <v>81</v>
      </c>
      <c r="H1847">
        <v>0</v>
      </c>
      <c r="J1847" s="1">
        <f t="shared" si="140"/>
        <v>24336</v>
      </c>
      <c r="K1847" s="1">
        <f t="shared" si="141"/>
        <v>6561</v>
      </c>
      <c r="L1847" s="1">
        <f t="shared" si="142"/>
        <v>30897</v>
      </c>
      <c r="M1847" s="1">
        <f t="shared" si="143"/>
        <v>175.77542490348301</v>
      </c>
      <c r="N1847" s="7">
        <f t="shared" si="144"/>
        <v>175.77542490348301</v>
      </c>
    </row>
    <row r="1848" spans="1:14" x14ac:dyDescent="0.25">
      <c r="A1848" t="str">
        <f>"14:21:09.828"</f>
        <v>14:21:09.828</v>
      </c>
      <c r="B1848">
        <v>39.780185000000003</v>
      </c>
      <c r="C1848">
        <v>-76.014275999999995</v>
      </c>
      <c r="D1848">
        <v>4700</v>
      </c>
      <c r="E1848">
        <v>4900</v>
      </c>
      <c r="F1848">
        <v>156</v>
      </c>
      <c r="G1848">
        <v>81</v>
      </c>
      <c r="H1848">
        <v>0</v>
      </c>
      <c r="J1848" s="1">
        <f t="shared" si="140"/>
        <v>24336</v>
      </c>
      <c r="K1848" s="1">
        <f t="shared" si="141"/>
        <v>6561</v>
      </c>
      <c r="L1848" s="1">
        <f t="shared" si="142"/>
        <v>30897</v>
      </c>
      <c r="M1848" s="1">
        <f t="shared" si="143"/>
        <v>175.77542490348301</v>
      </c>
      <c r="N1848" s="7">
        <f t="shared" si="144"/>
        <v>175.77542490348301</v>
      </c>
    </row>
    <row r="1849" spans="1:14" x14ac:dyDescent="0.25">
      <c r="A1849" t="str">
        <f>"14:21:10.891"</f>
        <v>14:21:10.891</v>
      </c>
      <c r="B1849">
        <v>39.780571000000002</v>
      </c>
      <c r="C1849">
        <v>-76.013373999999999</v>
      </c>
      <c r="D1849">
        <v>4700</v>
      </c>
      <c r="E1849">
        <v>4900</v>
      </c>
      <c r="F1849">
        <v>156</v>
      </c>
      <c r="G1849">
        <v>81</v>
      </c>
      <c r="H1849">
        <v>0</v>
      </c>
      <c r="J1849" s="1">
        <f t="shared" si="140"/>
        <v>24336</v>
      </c>
      <c r="K1849" s="1">
        <f t="shared" si="141"/>
        <v>6561</v>
      </c>
      <c r="L1849" s="1">
        <f t="shared" si="142"/>
        <v>30897</v>
      </c>
      <c r="M1849" s="1">
        <f t="shared" si="143"/>
        <v>175.77542490348301</v>
      </c>
      <c r="N1849" s="7">
        <f t="shared" si="144"/>
        <v>175.77542490348301</v>
      </c>
    </row>
    <row r="1850" spans="1:14" x14ac:dyDescent="0.25">
      <c r="A1850" t="str">
        <f>"14:21:11.844"</f>
        <v>14:21:11.844</v>
      </c>
      <c r="B1850">
        <v>39.780935999999997</v>
      </c>
      <c r="C1850">
        <v>-76.012451999999996</v>
      </c>
      <c r="D1850">
        <v>4700</v>
      </c>
      <c r="E1850">
        <v>4900</v>
      </c>
      <c r="F1850">
        <v>156</v>
      </c>
      <c r="G1850">
        <v>81</v>
      </c>
      <c r="H1850">
        <v>0</v>
      </c>
      <c r="J1850" s="1">
        <f t="shared" si="140"/>
        <v>24336</v>
      </c>
      <c r="K1850" s="1">
        <f t="shared" si="141"/>
        <v>6561</v>
      </c>
      <c r="L1850" s="1">
        <f t="shared" si="142"/>
        <v>30897</v>
      </c>
      <c r="M1850" s="1">
        <f t="shared" si="143"/>
        <v>175.77542490348301</v>
      </c>
      <c r="N1850" s="7">
        <f t="shared" si="144"/>
        <v>175.77542490348301</v>
      </c>
    </row>
    <row r="1851" spans="1:14" x14ac:dyDescent="0.25">
      <c r="A1851" t="str">
        <f>"14:21:13.008"</f>
        <v>14:21:13.008</v>
      </c>
      <c r="B1851">
        <v>39.781407999999999</v>
      </c>
      <c r="C1851">
        <v>-76.011292999999995</v>
      </c>
      <c r="D1851">
        <v>4700</v>
      </c>
      <c r="E1851">
        <v>4900</v>
      </c>
      <c r="F1851">
        <v>156</v>
      </c>
      <c r="G1851">
        <v>81</v>
      </c>
      <c r="H1851">
        <v>0</v>
      </c>
      <c r="J1851" s="1">
        <f t="shared" si="140"/>
        <v>24336</v>
      </c>
      <c r="K1851" s="1">
        <f t="shared" si="141"/>
        <v>6561</v>
      </c>
      <c r="L1851" s="1">
        <f t="shared" si="142"/>
        <v>30897</v>
      </c>
      <c r="M1851" s="1">
        <f t="shared" si="143"/>
        <v>175.77542490348301</v>
      </c>
      <c r="N1851" s="7">
        <f t="shared" si="144"/>
        <v>175.77542490348301</v>
      </c>
    </row>
    <row r="1852" spans="1:14" x14ac:dyDescent="0.25">
      <c r="A1852" t="str">
        <f>"14:21:14.016"</f>
        <v>14:21:14.016</v>
      </c>
      <c r="B1852">
        <v>39.781773000000001</v>
      </c>
      <c r="C1852">
        <v>-76.010369999999995</v>
      </c>
      <c r="D1852">
        <v>4700</v>
      </c>
      <c r="E1852">
        <v>4900</v>
      </c>
      <c r="F1852">
        <v>156</v>
      </c>
      <c r="G1852">
        <v>81</v>
      </c>
      <c r="H1852">
        <v>0</v>
      </c>
      <c r="J1852" s="1">
        <f t="shared" si="140"/>
        <v>24336</v>
      </c>
      <c r="K1852" s="1">
        <f t="shared" si="141"/>
        <v>6561</v>
      </c>
      <c r="L1852" s="1">
        <f t="shared" si="142"/>
        <v>30897</v>
      </c>
      <c r="M1852" s="1">
        <f t="shared" si="143"/>
        <v>175.77542490348301</v>
      </c>
      <c r="N1852" s="7">
        <f t="shared" si="144"/>
        <v>175.77542490348301</v>
      </c>
    </row>
    <row r="1853" spans="1:14" x14ac:dyDescent="0.25">
      <c r="A1853" t="str">
        <f>"14:21:14.875"</f>
        <v>14:21:14.875</v>
      </c>
      <c r="B1853">
        <v>39.782094999999998</v>
      </c>
      <c r="C1853">
        <v>-76.009512000000001</v>
      </c>
      <c r="D1853">
        <v>4700</v>
      </c>
      <c r="E1853">
        <v>4900</v>
      </c>
      <c r="F1853">
        <v>155</v>
      </c>
      <c r="G1853">
        <v>81</v>
      </c>
      <c r="H1853">
        <v>0</v>
      </c>
      <c r="J1853" s="1">
        <f t="shared" si="140"/>
        <v>24025</v>
      </c>
      <c r="K1853" s="1">
        <f t="shared" si="141"/>
        <v>6561</v>
      </c>
      <c r="L1853" s="1">
        <f t="shared" si="142"/>
        <v>30586</v>
      </c>
      <c r="M1853" s="1">
        <f t="shared" si="143"/>
        <v>174.88853593074649</v>
      </c>
      <c r="N1853" s="7">
        <f t="shared" si="144"/>
        <v>174.88853593074649</v>
      </c>
    </row>
    <row r="1854" spans="1:14" x14ac:dyDescent="0.25">
      <c r="A1854" t="str">
        <f>"14:21:15.836"</f>
        <v>14:21:15.836</v>
      </c>
      <c r="B1854">
        <v>39.782417000000002</v>
      </c>
      <c r="C1854">
        <v>-76.008674999999997</v>
      </c>
      <c r="D1854">
        <v>4700</v>
      </c>
      <c r="E1854">
        <v>4900</v>
      </c>
      <c r="F1854">
        <v>155</v>
      </c>
      <c r="G1854">
        <v>81</v>
      </c>
      <c r="H1854">
        <v>0</v>
      </c>
      <c r="J1854" s="1">
        <f t="shared" si="140"/>
        <v>24025</v>
      </c>
      <c r="K1854" s="1">
        <f t="shared" si="141"/>
        <v>6561</v>
      </c>
      <c r="L1854" s="1">
        <f t="shared" si="142"/>
        <v>30586</v>
      </c>
      <c r="M1854" s="1">
        <f t="shared" si="143"/>
        <v>174.88853593074649</v>
      </c>
      <c r="N1854" s="7">
        <f t="shared" si="144"/>
        <v>174.88853593074649</v>
      </c>
    </row>
    <row r="1855" spans="1:14" x14ac:dyDescent="0.25">
      <c r="A1855" t="str">
        <f>"14:21:17.000"</f>
        <v>14:21:17.000</v>
      </c>
      <c r="B1855">
        <v>39.782888999999997</v>
      </c>
      <c r="C1855">
        <v>-76.007559000000001</v>
      </c>
      <c r="D1855">
        <v>4700</v>
      </c>
      <c r="E1855">
        <v>4900</v>
      </c>
      <c r="F1855">
        <v>155</v>
      </c>
      <c r="G1855">
        <v>81</v>
      </c>
      <c r="H1855">
        <v>0</v>
      </c>
      <c r="J1855" s="1">
        <f t="shared" si="140"/>
        <v>24025</v>
      </c>
      <c r="K1855" s="1">
        <f t="shared" si="141"/>
        <v>6561</v>
      </c>
      <c r="L1855" s="1">
        <f t="shared" si="142"/>
        <v>30586</v>
      </c>
      <c r="M1855" s="1">
        <f t="shared" si="143"/>
        <v>174.88853593074649</v>
      </c>
      <c r="N1855" s="7">
        <f t="shared" si="144"/>
        <v>174.88853593074649</v>
      </c>
    </row>
    <row r="1856" spans="1:14" x14ac:dyDescent="0.25">
      <c r="A1856" t="str">
        <f>"14:21:18.109"</f>
        <v>14:21:18.109</v>
      </c>
      <c r="B1856">
        <v>39.783275000000003</v>
      </c>
      <c r="C1856">
        <v>-76.006529</v>
      </c>
      <c r="D1856">
        <v>4700</v>
      </c>
      <c r="E1856">
        <v>4900</v>
      </c>
      <c r="F1856">
        <v>155</v>
      </c>
      <c r="G1856">
        <v>81</v>
      </c>
      <c r="H1856">
        <v>0</v>
      </c>
      <c r="J1856" s="1">
        <f t="shared" si="140"/>
        <v>24025</v>
      </c>
      <c r="K1856" s="1">
        <f t="shared" si="141"/>
        <v>6561</v>
      </c>
      <c r="L1856" s="1">
        <f t="shared" si="142"/>
        <v>30586</v>
      </c>
      <c r="M1856" s="1">
        <f t="shared" si="143"/>
        <v>174.88853593074649</v>
      </c>
      <c r="N1856" s="7">
        <f t="shared" si="144"/>
        <v>174.88853593074649</v>
      </c>
    </row>
    <row r="1857" spans="1:14" x14ac:dyDescent="0.25">
      <c r="A1857" t="str">
        <f>"14:21:19.117"</f>
        <v>14:21:19.117</v>
      </c>
      <c r="B1857">
        <v>39.783683000000003</v>
      </c>
      <c r="C1857">
        <v>-76.005628000000002</v>
      </c>
      <c r="D1857">
        <v>4700</v>
      </c>
      <c r="E1857">
        <v>4900</v>
      </c>
      <c r="F1857">
        <v>155</v>
      </c>
      <c r="G1857">
        <v>81</v>
      </c>
      <c r="H1857">
        <v>0</v>
      </c>
      <c r="J1857" s="1">
        <f t="shared" si="140"/>
        <v>24025</v>
      </c>
      <c r="K1857" s="1">
        <f t="shared" si="141"/>
        <v>6561</v>
      </c>
      <c r="L1857" s="1">
        <f t="shared" si="142"/>
        <v>30586</v>
      </c>
      <c r="M1857" s="1">
        <f t="shared" si="143"/>
        <v>174.88853593074649</v>
      </c>
      <c r="N1857" s="7">
        <f t="shared" si="144"/>
        <v>174.88853593074649</v>
      </c>
    </row>
    <row r="1858" spans="1:14" x14ac:dyDescent="0.25">
      <c r="A1858" t="str">
        <f>"14:21:20.125"</f>
        <v>14:21:20.125</v>
      </c>
      <c r="B1858">
        <v>39.784047999999999</v>
      </c>
      <c r="C1858">
        <v>-76.004662999999994</v>
      </c>
      <c r="D1858">
        <v>4700</v>
      </c>
      <c r="E1858">
        <v>4900</v>
      </c>
      <c r="F1858">
        <v>155</v>
      </c>
      <c r="G1858">
        <v>81</v>
      </c>
      <c r="H1858">
        <v>0</v>
      </c>
      <c r="J1858" s="1">
        <f t="shared" si="140"/>
        <v>24025</v>
      </c>
      <c r="K1858" s="1">
        <f t="shared" si="141"/>
        <v>6561</v>
      </c>
      <c r="L1858" s="1">
        <f t="shared" si="142"/>
        <v>30586</v>
      </c>
      <c r="M1858" s="1">
        <f t="shared" si="143"/>
        <v>174.88853593074649</v>
      </c>
      <c r="N1858" s="7">
        <f t="shared" si="144"/>
        <v>174.88853593074649</v>
      </c>
    </row>
    <row r="1859" spans="1:14" x14ac:dyDescent="0.25">
      <c r="A1859" t="str">
        <f>"14:21:21.234"</f>
        <v>14:21:21.234</v>
      </c>
      <c r="B1859">
        <v>39.784477000000003</v>
      </c>
      <c r="C1859">
        <v>-76.003653999999997</v>
      </c>
      <c r="D1859">
        <v>4700</v>
      </c>
      <c r="E1859">
        <v>4900</v>
      </c>
      <c r="F1859">
        <v>155</v>
      </c>
      <c r="G1859">
        <v>81</v>
      </c>
      <c r="H1859">
        <v>0</v>
      </c>
      <c r="J1859" s="1">
        <f t="shared" ref="J1859:J1922" si="145">F1859^2</f>
        <v>24025</v>
      </c>
      <c r="K1859" s="1">
        <f t="shared" ref="K1859:K1922" si="146">G1859^2</f>
        <v>6561</v>
      </c>
      <c r="L1859" s="1">
        <f t="shared" ref="L1859:L1922" si="147">SUMSQ(F1859,G1859)</f>
        <v>30586</v>
      </c>
      <c r="M1859" s="1">
        <f t="shared" ref="M1859:M1922" si="148">SQRT(L1859)</f>
        <v>174.88853593074649</v>
      </c>
      <c r="N1859" s="7">
        <f t="shared" ref="N1859:N1922" si="149">M1859</f>
        <v>174.88853593074649</v>
      </c>
    </row>
    <row r="1860" spans="1:14" x14ac:dyDescent="0.25">
      <c r="A1860" t="str">
        <f>"14:21:22.344"</f>
        <v>14:21:22.344</v>
      </c>
      <c r="B1860">
        <v>39.784883999999998</v>
      </c>
      <c r="C1860">
        <v>-76.002645000000001</v>
      </c>
      <c r="D1860">
        <v>4700</v>
      </c>
      <c r="E1860">
        <v>4900</v>
      </c>
      <c r="F1860">
        <v>155</v>
      </c>
      <c r="G1860">
        <v>81</v>
      </c>
      <c r="H1860">
        <v>0</v>
      </c>
      <c r="J1860" s="1">
        <f t="shared" si="145"/>
        <v>24025</v>
      </c>
      <c r="K1860" s="1">
        <f t="shared" si="146"/>
        <v>6561</v>
      </c>
      <c r="L1860" s="1">
        <f t="shared" si="147"/>
        <v>30586</v>
      </c>
      <c r="M1860" s="1">
        <f t="shared" si="148"/>
        <v>174.88853593074649</v>
      </c>
      <c r="N1860" s="7">
        <f t="shared" si="149"/>
        <v>174.88853593074649</v>
      </c>
    </row>
    <row r="1861" spans="1:14" x14ac:dyDescent="0.25">
      <c r="A1861" t="str">
        <f>"14:21:23.406"</f>
        <v>14:21:23.406</v>
      </c>
      <c r="B1861">
        <v>39.785314</v>
      </c>
      <c r="C1861">
        <v>-76.001593999999997</v>
      </c>
      <c r="D1861">
        <v>4700</v>
      </c>
      <c r="E1861">
        <v>4900</v>
      </c>
      <c r="F1861">
        <v>155</v>
      </c>
      <c r="G1861">
        <v>81</v>
      </c>
      <c r="H1861">
        <v>0</v>
      </c>
      <c r="J1861" s="1">
        <f t="shared" si="145"/>
        <v>24025</v>
      </c>
      <c r="K1861" s="1">
        <f t="shared" si="146"/>
        <v>6561</v>
      </c>
      <c r="L1861" s="1">
        <f t="shared" si="147"/>
        <v>30586</v>
      </c>
      <c r="M1861" s="1">
        <f t="shared" si="148"/>
        <v>174.88853593074649</v>
      </c>
      <c r="N1861" s="7">
        <f t="shared" si="149"/>
        <v>174.88853593074649</v>
      </c>
    </row>
    <row r="1862" spans="1:14" x14ac:dyDescent="0.25">
      <c r="A1862" t="str">
        <f>"14:21:24.367"</f>
        <v>14:21:24.367</v>
      </c>
      <c r="B1862">
        <v>39.785677999999997</v>
      </c>
      <c r="C1862">
        <v>-76.000670999999997</v>
      </c>
      <c r="D1862">
        <v>4700</v>
      </c>
      <c r="E1862">
        <v>4900</v>
      </c>
      <c r="F1862">
        <v>155</v>
      </c>
      <c r="G1862">
        <v>81</v>
      </c>
      <c r="H1862">
        <v>0</v>
      </c>
      <c r="J1862" s="1">
        <f t="shared" si="145"/>
        <v>24025</v>
      </c>
      <c r="K1862" s="1">
        <f t="shared" si="146"/>
        <v>6561</v>
      </c>
      <c r="L1862" s="1">
        <f t="shared" si="147"/>
        <v>30586</v>
      </c>
      <c r="M1862" s="1">
        <f t="shared" si="148"/>
        <v>174.88853593074649</v>
      </c>
      <c r="N1862" s="7">
        <f t="shared" si="149"/>
        <v>174.88853593074649</v>
      </c>
    </row>
    <row r="1863" spans="1:14" x14ac:dyDescent="0.25">
      <c r="A1863" t="str">
        <f>"14:21:25.430"</f>
        <v>14:21:25.430</v>
      </c>
      <c r="B1863">
        <v>39.786065000000001</v>
      </c>
      <c r="C1863">
        <v>-75.999748999999994</v>
      </c>
      <c r="D1863">
        <v>4700</v>
      </c>
      <c r="E1863">
        <v>4900</v>
      </c>
      <c r="F1863">
        <v>155</v>
      </c>
      <c r="G1863">
        <v>81</v>
      </c>
      <c r="H1863">
        <v>0</v>
      </c>
      <c r="J1863" s="1">
        <f t="shared" si="145"/>
        <v>24025</v>
      </c>
      <c r="K1863" s="1">
        <f t="shared" si="146"/>
        <v>6561</v>
      </c>
      <c r="L1863" s="1">
        <f t="shared" si="147"/>
        <v>30586</v>
      </c>
      <c r="M1863" s="1">
        <f t="shared" si="148"/>
        <v>174.88853593074649</v>
      </c>
      <c r="N1863" s="7">
        <f t="shared" si="149"/>
        <v>174.88853593074649</v>
      </c>
    </row>
    <row r="1864" spans="1:14" x14ac:dyDescent="0.25">
      <c r="A1864" t="str">
        <f>"14:21:26.438"</f>
        <v>14:21:26.438</v>
      </c>
      <c r="B1864">
        <v>39.786428999999998</v>
      </c>
      <c r="C1864">
        <v>-75.998783000000003</v>
      </c>
      <c r="D1864">
        <v>4700</v>
      </c>
      <c r="E1864">
        <v>4900</v>
      </c>
      <c r="F1864">
        <v>155</v>
      </c>
      <c r="G1864">
        <v>81</v>
      </c>
      <c r="H1864">
        <v>0</v>
      </c>
      <c r="J1864" s="1">
        <f t="shared" si="145"/>
        <v>24025</v>
      </c>
      <c r="K1864" s="1">
        <f t="shared" si="146"/>
        <v>6561</v>
      </c>
      <c r="L1864" s="1">
        <f t="shared" si="147"/>
        <v>30586</v>
      </c>
      <c r="M1864" s="1">
        <f t="shared" si="148"/>
        <v>174.88853593074649</v>
      </c>
      <c r="N1864" s="7">
        <f t="shared" si="149"/>
        <v>174.88853593074649</v>
      </c>
    </row>
    <row r="1865" spans="1:14" x14ac:dyDescent="0.25">
      <c r="A1865" t="str">
        <f>"14:21:27.398"</f>
        <v>14:21:27.398</v>
      </c>
      <c r="B1865">
        <v>39.786794</v>
      </c>
      <c r="C1865">
        <v>-75.997860000000003</v>
      </c>
      <c r="D1865">
        <v>4700</v>
      </c>
      <c r="E1865">
        <v>4900</v>
      </c>
      <c r="F1865">
        <v>155</v>
      </c>
      <c r="G1865">
        <v>81</v>
      </c>
      <c r="H1865">
        <v>0</v>
      </c>
      <c r="J1865" s="1">
        <f t="shared" si="145"/>
        <v>24025</v>
      </c>
      <c r="K1865" s="1">
        <f t="shared" si="146"/>
        <v>6561</v>
      </c>
      <c r="L1865" s="1">
        <f t="shared" si="147"/>
        <v>30586</v>
      </c>
      <c r="M1865" s="1">
        <f t="shared" si="148"/>
        <v>174.88853593074649</v>
      </c>
      <c r="N1865" s="7">
        <f t="shared" si="149"/>
        <v>174.88853593074649</v>
      </c>
    </row>
    <row r="1866" spans="1:14" x14ac:dyDescent="0.25">
      <c r="A1866" t="str">
        <f>"14:21:28.406"</f>
        <v>14:21:28.406</v>
      </c>
      <c r="B1866">
        <v>39.787179999999999</v>
      </c>
      <c r="C1866">
        <v>-75.996938</v>
      </c>
      <c r="D1866">
        <v>4700</v>
      </c>
      <c r="E1866">
        <v>4900</v>
      </c>
      <c r="F1866">
        <v>155</v>
      </c>
      <c r="G1866">
        <v>81</v>
      </c>
      <c r="H1866">
        <v>0</v>
      </c>
      <c r="J1866" s="1">
        <f t="shared" si="145"/>
        <v>24025</v>
      </c>
      <c r="K1866" s="1">
        <f t="shared" si="146"/>
        <v>6561</v>
      </c>
      <c r="L1866" s="1">
        <f t="shared" si="147"/>
        <v>30586</v>
      </c>
      <c r="M1866" s="1">
        <f t="shared" si="148"/>
        <v>174.88853593074649</v>
      </c>
      <c r="N1866" s="7">
        <f t="shared" si="149"/>
        <v>174.88853593074649</v>
      </c>
    </row>
    <row r="1867" spans="1:14" x14ac:dyDescent="0.25">
      <c r="A1867" t="str">
        <f>"14:21:29.469"</f>
        <v>14:21:29.469</v>
      </c>
      <c r="B1867">
        <v>39.787545000000001</v>
      </c>
      <c r="C1867">
        <v>-75.996037000000001</v>
      </c>
      <c r="D1867">
        <v>4700</v>
      </c>
      <c r="E1867">
        <v>4900</v>
      </c>
      <c r="F1867">
        <v>155</v>
      </c>
      <c r="G1867">
        <v>81</v>
      </c>
      <c r="H1867">
        <v>0</v>
      </c>
      <c r="J1867" s="1">
        <f t="shared" si="145"/>
        <v>24025</v>
      </c>
      <c r="K1867" s="1">
        <f t="shared" si="146"/>
        <v>6561</v>
      </c>
      <c r="L1867" s="1">
        <f t="shared" si="147"/>
        <v>30586</v>
      </c>
      <c r="M1867" s="1">
        <f t="shared" si="148"/>
        <v>174.88853593074649</v>
      </c>
      <c r="N1867" s="7">
        <f t="shared" si="149"/>
        <v>174.88853593074649</v>
      </c>
    </row>
    <row r="1868" spans="1:14" x14ac:dyDescent="0.25">
      <c r="A1868" t="str">
        <f>"14:21:30.477"</f>
        <v>14:21:30.477</v>
      </c>
      <c r="B1868">
        <v>39.787909999999997</v>
      </c>
      <c r="C1868">
        <v>-75.995048999999995</v>
      </c>
      <c r="D1868">
        <v>4700</v>
      </c>
      <c r="E1868">
        <v>4900</v>
      </c>
      <c r="F1868">
        <v>155</v>
      </c>
      <c r="G1868">
        <v>81</v>
      </c>
      <c r="H1868">
        <v>0</v>
      </c>
      <c r="J1868" s="1">
        <f t="shared" si="145"/>
        <v>24025</v>
      </c>
      <c r="K1868" s="1">
        <f t="shared" si="146"/>
        <v>6561</v>
      </c>
      <c r="L1868" s="1">
        <f t="shared" si="147"/>
        <v>30586</v>
      </c>
      <c r="M1868" s="1">
        <f t="shared" si="148"/>
        <v>174.88853593074649</v>
      </c>
      <c r="N1868" s="7">
        <f t="shared" si="149"/>
        <v>174.88853593074649</v>
      </c>
    </row>
    <row r="1869" spans="1:14" x14ac:dyDescent="0.25">
      <c r="A1869" t="str">
        <f>"14:21:31.484"</f>
        <v>14:21:31.484</v>
      </c>
      <c r="B1869">
        <v>39.788339000000001</v>
      </c>
      <c r="C1869">
        <v>-75.994147999999996</v>
      </c>
      <c r="D1869">
        <v>4700</v>
      </c>
      <c r="E1869">
        <v>4900</v>
      </c>
      <c r="F1869">
        <v>155</v>
      </c>
      <c r="G1869">
        <v>81</v>
      </c>
      <c r="H1869">
        <v>0</v>
      </c>
      <c r="J1869" s="1">
        <f t="shared" si="145"/>
        <v>24025</v>
      </c>
      <c r="K1869" s="1">
        <f t="shared" si="146"/>
        <v>6561</v>
      </c>
      <c r="L1869" s="1">
        <f t="shared" si="147"/>
        <v>30586</v>
      </c>
      <c r="M1869" s="1">
        <f t="shared" si="148"/>
        <v>174.88853593074649</v>
      </c>
      <c r="N1869" s="7">
        <f t="shared" si="149"/>
        <v>174.88853593074649</v>
      </c>
    </row>
    <row r="1870" spans="1:14" x14ac:dyDescent="0.25">
      <c r="A1870" t="str">
        <f>"14:21:32.594"</f>
        <v>14:21:32.594</v>
      </c>
      <c r="B1870">
        <v>39.788747000000001</v>
      </c>
      <c r="C1870">
        <v>-75.993031999999999</v>
      </c>
      <c r="D1870">
        <v>4700</v>
      </c>
      <c r="E1870">
        <v>4900</v>
      </c>
      <c r="F1870">
        <v>155</v>
      </c>
      <c r="G1870">
        <v>81</v>
      </c>
      <c r="H1870">
        <v>0</v>
      </c>
      <c r="J1870" s="1">
        <f t="shared" si="145"/>
        <v>24025</v>
      </c>
      <c r="K1870" s="1">
        <f t="shared" si="146"/>
        <v>6561</v>
      </c>
      <c r="L1870" s="1">
        <f t="shared" si="147"/>
        <v>30586</v>
      </c>
      <c r="M1870" s="1">
        <f t="shared" si="148"/>
        <v>174.88853593074649</v>
      </c>
      <c r="N1870" s="7">
        <f t="shared" si="149"/>
        <v>174.88853593074649</v>
      </c>
    </row>
    <row r="1871" spans="1:14" x14ac:dyDescent="0.25">
      <c r="A1871" t="str">
        <f>"14:21:33.602"</f>
        <v>14:21:33.602</v>
      </c>
      <c r="B1871">
        <v>39.789133</v>
      </c>
      <c r="C1871">
        <v>-75.992131000000001</v>
      </c>
      <c r="D1871">
        <v>4700</v>
      </c>
      <c r="E1871">
        <v>4900</v>
      </c>
      <c r="F1871">
        <v>155</v>
      </c>
      <c r="G1871">
        <v>81</v>
      </c>
      <c r="H1871">
        <v>0</v>
      </c>
      <c r="J1871" s="1">
        <f t="shared" si="145"/>
        <v>24025</v>
      </c>
      <c r="K1871" s="1">
        <f t="shared" si="146"/>
        <v>6561</v>
      </c>
      <c r="L1871" s="1">
        <f t="shared" si="147"/>
        <v>30586</v>
      </c>
      <c r="M1871" s="1">
        <f t="shared" si="148"/>
        <v>174.88853593074649</v>
      </c>
      <c r="N1871" s="7">
        <f t="shared" si="149"/>
        <v>174.88853593074649</v>
      </c>
    </row>
    <row r="1872" spans="1:14" x14ac:dyDescent="0.25">
      <c r="A1872" t="str">
        <f>"14:21:34.516"</f>
        <v>14:21:34.516</v>
      </c>
      <c r="B1872">
        <v>39.789454999999997</v>
      </c>
      <c r="C1872">
        <v>-75.991293999999996</v>
      </c>
      <c r="D1872">
        <v>4700</v>
      </c>
      <c r="E1872">
        <v>4900</v>
      </c>
      <c r="F1872">
        <v>155</v>
      </c>
      <c r="G1872">
        <v>81</v>
      </c>
      <c r="H1872">
        <v>0</v>
      </c>
      <c r="J1872" s="1">
        <f t="shared" si="145"/>
        <v>24025</v>
      </c>
      <c r="K1872" s="1">
        <f t="shared" si="146"/>
        <v>6561</v>
      </c>
      <c r="L1872" s="1">
        <f t="shared" si="147"/>
        <v>30586</v>
      </c>
      <c r="M1872" s="1">
        <f t="shared" si="148"/>
        <v>174.88853593074649</v>
      </c>
      <c r="N1872" s="7">
        <f t="shared" si="149"/>
        <v>174.88853593074649</v>
      </c>
    </row>
    <row r="1873" spans="1:14" x14ac:dyDescent="0.25">
      <c r="A1873" t="str">
        <f>"14:21:35.422"</f>
        <v>14:21:35.422</v>
      </c>
      <c r="B1873">
        <v>39.789819999999999</v>
      </c>
      <c r="C1873">
        <v>-75.990414999999999</v>
      </c>
      <c r="D1873">
        <v>4700</v>
      </c>
      <c r="E1873">
        <v>4900</v>
      </c>
      <c r="F1873">
        <v>155</v>
      </c>
      <c r="G1873">
        <v>81</v>
      </c>
      <c r="H1873">
        <v>0</v>
      </c>
      <c r="J1873" s="1">
        <f t="shared" si="145"/>
        <v>24025</v>
      </c>
      <c r="K1873" s="1">
        <f t="shared" si="146"/>
        <v>6561</v>
      </c>
      <c r="L1873" s="1">
        <f t="shared" si="147"/>
        <v>30586</v>
      </c>
      <c r="M1873" s="1">
        <f t="shared" si="148"/>
        <v>174.88853593074649</v>
      </c>
      <c r="N1873" s="7">
        <f t="shared" si="149"/>
        <v>174.88853593074649</v>
      </c>
    </row>
    <row r="1874" spans="1:14" x14ac:dyDescent="0.25">
      <c r="A1874" t="str">
        <f>"14:21:36.430"</f>
        <v>14:21:36.430</v>
      </c>
      <c r="B1874">
        <v>39.790205999999998</v>
      </c>
      <c r="C1874">
        <v>-75.989491999999998</v>
      </c>
      <c r="D1874">
        <v>4700</v>
      </c>
      <c r="E1874">
        <v>4900</v>
      </c>
      <c r="F1874">
        <v>155</v>
      </c>
      <c r="G1874">
        <v>81</v>
      </c>
      <c r="H1874">
        <v>0</v>
      </c>
      <c r="J1874" s="1">
        <f t="shared" si="145"/>
        <v>24025</v>
      </c>
      <c r="K1874" s="1">
        <f t="shared" si="146"/>
        <v>6561</v>
      </c>
      <c r="L1874" s="1">
        <f t="shared" si="147"/>
        <v>30586</v>
      </c>
      <c r="M1874" s="1">
        <f t="shared" si="148"/>
        <v>174.88853593074649</v>
      </c>
      <c r="N1874" s="7">
        <f t="shared" si="149"/>
        <v>174.88853593074649</v>
      </c>
    </row>
    <row r="1875" spans="1:14" x14ac:dyDescent="0.25">
      <c r="A1875" t="str">
        <f>"14:21:37.438"</f>
        <v>14:21:37.438</v>
      </c>
      <c r="B1875">
        <v>39.790571</v>
      </c>
      <c r="C1875">
        <v>-75.988591</v>
      </c>
      <c r="D1875">
        <v>4700</v>
      </c>
      <c r="E1875">
        <v>4900</v>
      </c>
      <c r="F1875">
        <v>155</v>
      </c>
      <c r="G1875">
        <v>81</v>
      </c>
      <c r="H1875">
        <v>64</v>
      </c>
      <c r="J1875" s="1">
        <f t="shared" si="145"/>
        <v>24025</v>
      </c>
      <c r="K1875" s="1">
        <f t="shared" si="146"/>
        <v>6561</v>
      </c>
      <c r="L1875" s="1">
        <f t="shared" si="147"/>
        <v>30586</v>
      </c>
      <c r="M1875" s="1">
        <f t="shared" si="148"/>
        <v>174.88853593074649</v>
      </c>
      <c r="N1875" s="7">
        <f t="shared" si="149"/>
        <v>174.88853593074649</v>
      </c>
    </row>
    <row r="1876" spans="1:14" x14ac:dyDescent="0.25">
      <c r="A1876" t="str">
        <f>"14:21:38.500"</f>
        <v>14:21:38.500</v>
      </c>
      <c r="B1876">
        <v>39.790978000000003</v>
      </c>
      <c r="C1876">
        <v>-75.987538999999998</v>
      </c>
      <c r="D1876">
        <v>4700</v>
      </c>
      <c r="E1876">
        <v>4900</v>
      </c>
      <c r="F1876">
        <v>155</v>
      </c>
      <c r="G1876">
        <v>81</v>
      </c>
      <c r="H1876">
        <v>0</v>
      </c>
      <c r="J1876" s="1">
        <f t="shared" si="145"/>
        <v>24025</v>
      </c>
      <c r="K1876" s="1">
        <f t="shared" si="146"/>
        <v>6561</v>
      </c>
      <c r="L1876" s="1">
        <f t="shared" si="147"/>
        <v>30586</v>
      </c>
      <c r="M1876" s="1">
        <f t="shared" si="148"/>
        <v>174.88853593074649</v>
      </c>
      <c r="N1876" s="7">
        <f t="shared" si="149"/>
        <v>174.88853593074649</v>
      </c>
    </row>
    <row r="1877" spans="1:14" x14ac:dyDescent="0.25">
      <c r="A1877" t="str">
        <f>"14:21:39.461"</f>
        <v>14:21:39.461</v>
      </c>
      <c r="B1877">
        <v>39.791322000000001</v>
      </c>
      <c r="C1877">
        <v>-75.986701999999994</v>
      </c>
      <c r="D1877">
        <v>4700</v>
      </c>
      <c r="E1877">
        <v>4900</v>
      </c>
      <c r="F1877">
        <v>155</v>
      </c>
      <c r="G1877">
        <v>81</v>
      </c>
      <c r="H1877">
        <v>0</v>
      </c>
      <c r="J1877" s="1">
        <f t="shared" si="145"/>
        <v>24025</v>
      </c>
      <c r="K1877" s="1">
        <f t="shared" si="146"/>
        <v>6561</v>
      </c>
      <c r="L1877" s="1">
        <f t="shared" si="147"/>
        <v>30586</v>
      </c>
      <c r="M1877" s="1">
        <f t="shared" si="148"/>
        <v>174.88853593074649</v>
      </c>
      <c r="N1877" s="7">
        <f t="shared" si="149"/>
        <v>174.88853593074649</v>
      </c>
    </row>
    <row r="1878" spans="1:14" x14ac:dyDescent="0.25">
      <c r="A1878" t="str">
        <f>"14:21:40.523"</f>
        <v>14:21:40.523</v>
      </c>
      <c r="B1878">
        <v>39.791750999999998</v>
      </c>
      <c r="C1878">
        <v>-75.985693999999995</v>
      </c>
      <c r="D1878">
        <v>4700</v>
      </c>
      <c r="E1878">
        <v>4900</v>
      </c>
      <c r="F1878">
        <v>155</v>
      </c>
      <c r="G1878">
        <v>81</v>
      </c>
      <c r="H1878">
        <v>0</v>
      </c>
      <c r="J1878" s="1">
        <f t="shared" si="145"/>
        <v>24025</v>
      </c>
      <c r="K1878" s="1">
        <f t="shared" si="146"/>
        <v>6561</v>
      </c>
      <c r="L1878" s="1">
        <f t="shared" si="147"/>
        <v>30586</v>
      </c>
      <c r="M1878" s="1">
        <f t="shared" si="148"/>
        <v>174.88853593074649</v>
      </c>
      <c r="N1878" s="7">
        <f t="shared" si="149"/>
        <v>174.88853593074649</v>
      </c>
    </row>
    <row r="1879" spans="1:14" x14ac:dyDescent="0.25">
      <c r="A1879" t="str">
        <f>"14:21:41.531"</f>
        <v>14:21:41.531</v>
      </c>
      <c r="B1879">
        <v>39.792116</v>
      </c>
      <c r="C1879">
        <v>-75.984728000000004</v>
      </c>
      <c r="D1879">
        <v>4700</v>
      </c>
      <c r="E1879">
        <v>4900</v>
      </c>
      <c r="F1879">
        <v>155</v>
      </c>
      <c r="G1879">
        <v>81</v>
      </c>
      <c r="H1879">
        <v>0</v>
      </c>
      <c r="J1879" s="1">
        <f t="shared" si="145"/>
        <v>24025</v>
      </c>
      <c r="K1879" s="1">
        <f t="shared" si="146"/>
        <v>6561</v>
      </c>
      <c r="L1879" s="1">
        <f t="shared" si="147"/>
        <v>30586</v>
      </c>
      <c r="M1879" s="1">
        <f t="shared" si="148"/>
        <v>174.88853593074649</v>
      </c>
      <c r="N1879" s="7">
        <f t="shared" si="149"/>
        <v>174.88853593074649</v>
      </c>
    </row>
    <row r="1880" spans="1:14" x14ac:dyDescent="0.25">
      <c r="A1880" t="str">
        <f>"14:21:42.492"</f>
        <v>14:21:42.492</v>
      </c>
      <c r="B1880">
        <v>39.792437999999997</v>
      </c>
      <c r="C1880">
        <v>-75.983891</v>
      </c>
      <c r="D1880">
        <v>4700</v>
      </c>
      <c r="E1880">
        <v>4900</v>
      </c>
      <c r="F1880">
        <v>155</v>
      </c>
      <c r="G1880">
        <v>80</v>
      </c>
      <c r="H1880">
        <v>0</v>
      </c>
      <c r="J1880" s="1">
        <f t="shared" si="145"/>
        <v>24025</v>
      </c>
      <c r="K1880" s="1">
        <f t="shared" si="146"/>
        <v>6400</v>
      </c>
      <c r="L1880" s="1">
        <f t="shared" si="147"/>
        <v>30425</v>
      </c>
      <c r="M1880" s="1">
        <f t="shared" si="148"/>
        <v>174.42763542512407</v>
      </c>
      <c r="N1880" s="7">
        <f t="shared" si="149"/>
        <v>174.42763542512407</v>
      </c>
    </row>
    <row r="1881" spans="1:14" x14ac:dyDescent="0.25">
      <c r="A1881" t="str">
        <f>"14:21:43.344"</f>
        <v>14:21:43.344</v>
      </c>
      <c r="B1881">
        <v>39.792758999999997</v>
      </c>
      <c r="C1881">
        <v>-75.983119000000002</v>
      </c>
      <c r="D1881">
        <v>4700</v>
      </c>
      <c r="E1881">
        <v>4900</v>
      </c>
      <c r="F1881">
        <v>155</v>
      </c>
      <c r="G1881">
        <v>80</v>
      </c>
      <c r="H1881">
        <v>0</v>
      </c>
      <c r="J1881" s="1">
        <f t="shared" si="145"/>
        <v>24025</v>
      </c>
      <c r="K1881" s="1">
        <f t="shared" si="146"/>
        <v>6400</v>
      </c>
      <c r="L1881" s="1">
        <f t="shared" si="147"/>
        <v>30425</v>
      </c>
      <c r="M1881" s="1">
        <f t="shared" si="148"/>
        <v>174.42763542512407</v>
      </c>
      <c r="N1881" s="7">
        <f t="shared" si="149"/>
        <v>174.42763542512407</v>
      </c>
    </row>
    <row r="1882" spans="1:14" x14ac:dyDescent="0.25">
      <c r="A1882" t="str">
        <f>"14:21:44.406"</f>
        <v>14:21:44.406</v>
      </c>
      <c r="B1882">
        <v>39.793188999999998</v>
      </c>
      <c r="C1882">
        <v>-75.982045999999997</v>
      </c>
      <c r="D1882">
        <v>4700</v>
      </c>
      <c r="E1882">
        <v>4900</v>
      </c>
      <c r="F1882">
        <v>155</v>
      </c>
      <c r="G1882">
        <v>80</v>
      </c>
      <c r="H1882">
        <v>0</v>
      </c>
      <c r="J1882" s="1">
        <f t="shared" si="145"/>
        <v>24025</v>
      </c>
      <c r="K1882" s="1">
        <f t="shared" si="146"/>
        <v>6400</v>
      </c>
      <c r="L1882" s="1">
        <f t="shared" si="147"/>
        <v>30425</v>
      </c>
      <c r="M1882" s="1">
        <f t="shared" si="148"/>
        <v>174.42763542512407</v>
      </c>
      <c r="N1882" s="7">
        <f t="shared" si="149"/>
        <v>174.42763542512407</v>
      </c>
    </row>
    <row r="1883" spans="1:14" x14ac:dyDescent="0.25">
      <c r="A1883" t="str">
        <f>"14:21:45.266"</f>
        <v>14:21:45.266</v>
      </c>
      <c r="B1883">
        <v>39.793467999999997</v>
      </c>
      <c r="C1883">
        <v>-75.981317000000004</v>
      </c>
      <c r="D1883">
        <v>4700</v>
      </c>
      <c r="E1883">
        <v>4900</v>
      </c>
      <c r="F1883">
        <v>155</v>
      </c>
      <c r="G1883">
        <v>80</v>
      </c>
      <c r="H1883">
        <v>0</v>
      </c>
      <c r="J1883" s="1">
        <f t="shared" si="145"/>
        <v>24025</v>
      </c>
      <c r="K1883" s="1">
        <f t="shared" si="146"/>
        <v>6400</v>
      </c>
      <c r="L1883" s="1">
        <f t="shared" si="147"/>
        <v>30425</v>
      </c>
      <c r="M1883" s="1">
        <f t="shared" si="148"/>
        <v>174.42763542512407</v>
      </c>
      <c r="N1883" s="7">
        <f t="shared" si="149"/>
        <v>174.42763542512407</v>
      </c>
    </row>
    <row r="1884" spans="1:14" x14ac:dyDescent="0.25">
      <c r="A1884" t="str">
        <f>"14:21:46.227"</f>
        <v>14:21:46.227</v>
      </c>
      <c r="B1884">
        <v>39.793832000000002</v>
      </c>
      <c r="C1884">
        <v>-75.980414999999994</v>
      </c>
      <c r="D1884">
        <v>4700</v>
      </c>
      <c r="E1884">
        <v>4900</v>
      </c>
      <c r="F1884">
        <v>155</v>
      </c>
      <c r="G1884">
        <v>80</v>
      </c>
      <c r="H1884">
        <v>0</v>
      </c>
      <c r="J1884" s="1">
        <f t="shared" si="145"/>
        <v>24025</v>
      </c>
      <c r="K1884" s="1">
        <f t="shared" si="146"/>
        <v>6400</v>
      </c>
      <c r="L1884" s="1">
        <f t="shared" si="147"/>
        <v>30425</v>
      </c>
      <c r="M1884" s="1">
        <f t="shared" si="148"/>
        <v>174.42763542512407</v>
      </c>
      <c r="N1884" s="7">
        <f t="shared" si="149"/>
        <v>174.42763542512407</v>
      </c>
    </row>
    <row r="1885" spans="1:14" x14ac:dyDescent="0.25">
      <c r="A1885" t="str">
        <f>"14:21:47.133"</f>
        <v>14:21:47.133</v>
      </c>
      <c r="B1885">
        <v>39.794176</v>
      </c>
      <c r="C1885">
        <v>-75.979535999999996</v>
      </c>
      <c r="D1885">
        <v>4700</v>
      </c>
      <c r="E1885">
        <v>4900</v>
      </c>
      <c r="F1885">
        <v>155</v>
      </c>
      <c r="G1885">
        <v>80</v>
      </c>
      <c r="H1885">
        <v>0</v>
      </c>
      <c r="J1885" s="1">
        <f t="shared" si="145"/>
        <v>24025</v>
      </c>
      <c r="K1885" s="1">
        <f t="shared" si="146"/>
        <v>6400</v>
      </c>
      <c r="L1885" s="1">
        <f t="shared" si="147"/>
        <v>30425</v>
      </c>
      <c r="M1885" s="1">
        <f t="shared" si="148"/>
        <v>174.42763542512407</v>
      </c>
      <c r="N1885" s="7">
        <f t="shared" si="149"/>
        <v>174.42763542512407</v>
      </c>
    </row>
    <row r="1886" spans="1:14" x14ac:dyDescent="0.25">
      <c r="A1886" t="str">
        <f>"14:21:48.141"</f>
        <v>14:21:48.141</v>
      </c>
      <c r="B1886">
        <v>39.794539999999998</v>
      </c>
      <c r="C1886">
        <v>-75.978634</v>
      </c>
      <c r="D1886">
        <v>4700</v>
      </c>
      <c r="E1886">
        <v>4900</v>
      </c>
      <c r="F1886">
        <v>156</v>
      </c>
      <c r="G1886">
        <v>80</v>
      </c>
      <c r="H1886">
        <v>0</v>
      </c>
      <c r="J1886" s="1">
        <f t="shared" si="145"/>
        <v>24336</v>
      </c>
      <c r="K1886" s="1">
        <f t="shared" si="146"/>
        <v>6400</v>
      </c>
      <c r="L1886" s="1">
        <f t="shared" si="147"/>
        <v>30736</v>
      </c>
      <c r="M1886" s="1">
        <f t="shared" si="148"/>
        <v>175.31685600648902</v>
      </c>
      <c r="N1886" s="7">
        <f t="shared" si="149"/>
        <v>175.31685600648902</v>
      </c>
    </row>
    <row r="1887" spans="1:14" x14ac:dyDescent="0.25">
      <c r="A1887" t="str">
        <f>"14:21:49.203"</f>
        <v>14:21:49.203</v>
      </c>
      <c r="B1887">
        <v>39.794947999999998</v>
      </c>
      <c r="C1887">
        <v>-75.977603999999999</v>
      </c>
      <c r="D1887">
        <v>4700</v>
      </c>
      <c r="E1887">
        <v>4900</v>
      </c>
      <c r="F1887">
        <v>156</v>
      </c>
      <c r="G1887">
        <v>80</v>
      </c>
      <c r="H1887">
        <v>0</v>
      </c>
      <c r="J1887" s="1">
        <f t="shared" si="145"/>
        <v>24336</v>
      </c>
      <c r="K1887" s="1">
        <f t="shared" si="146"/>
        <v>6400</v>
      </c>
      <c r="L1887" s="1">
        <f t="shared" si="147"/>
        <v>30736</v>
      </c>
      <c r="M1887" s="1">
        <f t="shared" si="148"/>
        <v>175.31685600648902</v>
      </c>
      <c r="N1887" s="7">
        <f t="shared" si="149"/>
        <v>175.31685600648902</v>
      </c>
    </row>
    <row r="1888" spans="1:14" x14ac:dyDescent="0.25">
      <c r="A1888" t="str">
        <f>"14:21:50.313"</f>
        <v>14:21:50.313</v>
      </c>
      <c r="B1888">
        <v>39.795355999999998</v>
      </c>
      <c r="C1888">
        <v>-75.976552999999996</v>
      </c>
      <c r="D1888">
        <v>4700</v>
      </c>
      <c r="E1888">
        <v>4900</v>
      </c>
      <c r="F1888">
        <v>156</v>
      </c>
      <c r="G1888">
        <v>80</v>
      </c>
      <c r="H1888">
        <v>0</v>
      </c>
      <c r="J1888" s="1">
        <f t="shared" si="145"/>
        <v>24336</v>
      </c>
      <c r="K1888" s="1">
        <f t="shared" si="146"/>
        <v>6400</v>
      </c>
      <c r="L1888" s="1">
        <f t="shared" si="147"/>
        <v>30736</v>
      </c>
      <c r="M1888" s="1">
        <f t="shared" si="148"/>
        <v>175.31685600648902</v>
      </c>
      <c r="N1888" s="7">
        <f t="shared" si="149"/>
        <v>175.31685600648902</v>
      </c>
    </row>
    <row r="1889" spans="1:14" x14ac:dyDescent="0.25">
      <c r="A1889" t="str">
        <f>"14:21:51.375"</f>
        <v>14:21:51.375</v>
      </c>
      <c r="B1889">
        <v>39.795721</v>
      </c>
      <c r="C1889">
        <v>-75.975651999999997</v>
      </c>
      <c r="D1889">
        <v>4700</v>
      </c>
      <c r="E1889">
        <v>4900</v>
      </c>
      <c r="F1889">
        <v>156</v>
      </c>
      <c r="G1889">
        <v>80</v>
      </c>
      <c r="H1889">
        <v>0</v>
      </c>
      <c r="J1889" s="1">
        <f t="shared" si="145"/>
        <v>24336</v>
      </c>
      <c r="K1889" s="1">
        <f t="shared" si="146"/>
        <v>6400</v>
      </c>
      <c r="L1889" s="1">
        <f t="shared" si="147"/>
        <v>30736</v>
      </c>
      <c r="M1889" s="1">
        <f t="shared" si="148"/>
        <v>175.31685600648902</v>
      </c>
      <c r="N1889" s="7">
        <f t="shared" si="149"/>
        <v>175.31685600648902</v>
      </c>
    </row>
    <row r="1890" spans="1:14" x14ac:dyDescent="0.25">
      <c r="A1890" t="str">
        <f>"14:21:52.336"</f>
        <v>14:21:52.336</v>
      </c>
      <c r="B1890">
        <v>39.796106999999999</v>
      </c>
      <c r="C1890">
        <v>-75.974708000000007</v>
      </c>
      <c r="D1890">
        <v>4700</v>
      </c>
      <c r="E1890">
        <v>4900</v>
      </c>
      <c r="F1890">
        <v>156</v>
      </c>
      <c r="G1890">
        <v>80</v>
      </c>
      <c r="H1890">
        <v>0</v>
      </c>
      <c r="J1890" s="1">
        <f t="shared" si="145"/>
        <v>24336</v>
      </c>
      <c r="K1890" s="1">
        <f t="shared" si="146"/>
        <v>6400</v>
      </c>
      <c r="L1890" s="1">
        <f t="shared" si="147"/>
        <v>30736</v>
      </c>
      <c r="M1890" s="1">
        <f t="shared" si="148"/>
        <v>175.31685600648902</v>
      </c>
      <c r="N1890" s="7">
        <f t="shared" si="149"/>
        <v>175.31685600648902</v>
      </c>
    </row>
    <row r="1891" spans="1:14" x14ac:dyDescent="0.25">
      <c r="A1891" t="str">
        <f>"14:21:53.391"</f>
        <v>14:21:53.391</v>
      </c>
      <c r="B1891">
        <v>39.796536000000003</v>
      </c>
      <c r="C1891">
        <v>-75.973635000000002</v>
      </c>
      <c r="D1891">
        <v>4700</v>
      </c>
      <c r="E1891">
        <v>4900</v>
      </c>
      <c r="F1891">
        <v>156</v>
      </c>
      <c r="G1891">
        <v>80</v>
      </c>
      <c r="H1891">
        <v>0</v>
      </c>
      <c r="J1891" s="1">
        <f t="shared" si="145"/>
        <v>24336</v>
      </c>
      <c r="K1891" s="1">
        <f t="shared" si="146"/>
        <v>6400</v>
      </c>
      <c r="L1891" s="1">
        <f t="shared" si="147"/>
        <v>30736</v>
      </c>
      <c r="M1891" s="1">
        <f t="shared" si="148"/>
        <v>175.31685600648902</v>
      </c>
      <c r="N1891" s="7">
        <f t="shared" si="149"/>
        <v>175.31685600648902</v>
      </c>
    </row>
    <row r="1892" spans="1:14" x14ac:dyDescent="0.25">
      <c r="A1892" t="str">
        <f>"14:21:54.352"</f>
        <v>14:21:54.352</v>
      </c>
      <c r="B1892">
        <v>39.796835999999999</v>
      </c>
      <c r="C1892">
        <v>-75.972841000000003</v>
      </c>
      <c r="D1892">
        <v>4700</v>
      </c>
      <c r="E1892">
        <v>4900</v>
      </c>
      <c r="F1892">
        <v>156</v>
      </c>
      <c r="G1892">
        <v>80</v>
      </c>
      <c r="H1892">
        <v>0</v>
      </c>
      <c r="J1892" s="1">
        <f t="shared" si="145"/>
        <v>24336</v>
      </c>
      <c r="K1892" s="1">
        <f t="shared" si="146"/>
        <v>6400</v>
      </c>
      <c r="L1892" s="1">
        <f t="shared" si="147"/>
        <v>30736</v>
      </c>
      <c r="M1892" s="1">
        <f t="shared" si="148"/>
        <v>175.31685600648902</v>
      </c>
      <c r="N1892" s="7">
        <f t="shared" si="149"/>
        <v>175.31685600648902</v>
      </c>
    </row>
    <row r="1893" spans="1:14" x14ac:dyDescent="0.25">
      <c r="A1893" t="str">
        <f>"14:21:55.258"</f>
        <v>14:21:55.258</v>
      </c>
      <c r="B1893">
        <v>39.797179999999997</v>
      </c>
      <c r="C1893">
        <v>-75.971981999999997</v>
      </c>
      <c r="D1893">
        <v>4700</v>
      </c>
      <c r="E1893">
        <v>4900</v>
      </c>
      <c r="F1893">
        <v>156</v>
      </c>
      <c r="G1893">
        <v>80</v>
      </c>
      <c r="H1893">
        <v>0</v>
      </c>
      <c r="J1893" s="1">
        <f t="shared" si="145"/>
        <v>24336</v>
      </c>
      <c r="K1893" s="1">
        <f t="shared" si="146"/>
        <v>6400</v>
      </c>
      <c r="L1893" s="1">
        <f t="shared" si="147"/>
        <v>30736</v>
      </c>
      <c r="M1893" s="1">
        <f t="shared" si="148"/>
        <v>175.31685600648902</v>
      </c>
      <c r="N1893" s="7">
        <f t="shared" si="149"/>
        <v>175.31685600648902</v>
      </c>
    </row>
    <row r="1894" spans="1:14" x14ac:dyDescent="0.25">
      <c r="A1894" t="str">
        <f>"14:21:56.273"</f>
        <v>14:21:56.273</v>
      </c>
      <c r="B1894">
        <v>39.797566000000003</v>
      </c>
      <c r="C1894">
        <v>-75.970930999999993</v>
      </c>
      <c r="D1894">
        <v>4700</v>
      </c>
      <c r="E1894">
        <v>4900</v>
      </c>
      <c r="F1894">
        <v>156</v>
      </c>
      <c r="G1894">
        <v>80</v>
      </c>
      <c r="H1894">
        <v>0</v>
      </c>
      <c r="J1894" s="1">
        <f t="shared" si="145"/>
        <v>24336</v>
      </c>
      <c r="K1894" s="1">
        <f t="shared" si="146"/>
        <v>6400</v>
      </c>
      <c r="L1894" s="1">
        <f t="shared" si="147"/>
        <v>30736</v>
      </c>
      <c r="M1894" s="1">
        <f t="shared" si="148"/>
        <v>175.31685600648902</v>
      </c>
      <c r="N1894" s="7">
        <f t="shared" si="149"/>
        <v>175.31685600648902</v>
      </c>
    </row>
    <row r="1895" spans="1:14" x14ac:dyDescent="0.25">
      <c r="A1895" t="str">
        <f>"14:21:57.281"</f>
        <v>14:21:57.281</v>
      </c>
      <c r="B1895">
        <v>39.797930999999998</v>
      </c>
      <c r="C1895">
        <v>-75.970050999999998</v>
      </c>
      <c r="D1895">
        <v>4700</v>
      </c>
      <c r="E1895">
        <v>4900</v>
      </c>
      <c r="F1895">
        <v>156</v>
      </c>
      <c r="G1895">
        <v>80</v>
      </c>
      <c r="H1895">
        <v>0</v>
      </c>
      <c r="J1895" s="1">
        <f t="shared" si="145"/>
        <v>24336</v>
      </c>
      <c r="K1895" s="1">
        <f t="shared" si="146"/>
        <v>6400</v>
      </c>
      <c r="L1895" s="1">
        <f t="shared" si="147"/>
        <v>30736</v>
      </c>
      <c r="M1895" s="1">
        <f t="shared" si="148"/>
        <v>175.31685600648902</v>
      </c>
      <c r="N1895" s="7">
        <f t="shared" si="149"/>
        <v>175.31685600648902</v>
      </c>
    </row>
    <row r="1896" spans="1:14" x14ac:dyDescent="0.25">
      <c r="A1896" t="str">
        <f>"14:21:58.188"</f>
        <v>14:21:58.188</v>
      </c>
      <c r="B1896">
        <v>39.798253000000003</v>
      </c>
      <c r="C1896">
        <v>-75.969172</v>
      </c>
      <c r="D1896">
        <v>4700</v>
      </c>
      <c r="E1896">
        <v>4900</v>
      </c>
      <c r="F1896">
        <v>156</v>
      </c>
      <c r="G1896">
        <v>80</v>
      </c>
      <c r="H1896">
        <v>0</v>
      </c>
      <c r="J1896" s="1">
        <f t="shared" si="145"/>
        <v>24336</v>
      </c>
      <c r="K1896" s="1">
        <f t="shared" si="146"/>
        <v>6400</v>
      </c>
      <c r="L1896" s="1">
        <f t="shared" si="147"/>
        <v>30736</v>
      </c>
      <c r="M1896" s="1">
        <f t="shared" si="148"/>
        <v>175.31685600648902</v>
      </c>
      <c r="N1896" s="7">
        <f t="shared" si="149"/>
        <v>175.31685600648902</v>
      </c>
    </row>
    <row r="1897" spans="1:14" x14ac:dyDescent="0.25">
      <c r="A1897" t="str">
        <f>"14:21:59.094"</f>
        <v>14:21:59.094</v>
      </c>
      <c r="B1897">
        <v>39.798617</v>
      </c>
      <c r="C1897">
        <v>-75.968378000000001</v>
      </c>
      <c r="D1897">
        <v>4700</v>
      </c>
      <c r="E1897">
        <v>4900</v>
      </c>
      <c r="F1897">
        <v>156</v>
      </c>
      <c r="G1897">
        <v>80</v>
      </c>
      <c r="H1897">
        <v>-64</v>
      </c>
      <c r="J1897" s="1">
        <f t="shared" si="145"/>
        <v>24336</v>
      </c>
      <c r="K1897" s="1">
        <f t="shared" si="146"/>
        <v>6400</v>
      </c>
      <c r="L1897" s="1">
        <f t="shared" si="147"/>
        <v>30736</v>
      </c>
      <c r="M1897" s="1">
        <f t="shared" si="148"/>
        <v>175.31685600648902</v>
      </c>
      <c r="N1897" s="7">
        <f t="shared" si="149"/>
        <v>175.31685600648902</v>
      </c>
    </row>
    <row r="1898" spans="1:14" x14ac:dyDescent="0.25">
      <c r="A1898" t="str">
        <f>"14:22:00.055"</f>
        <v>14:22:00.055</v>
      </c>
      <c r="B1898">
        <v>39.798960999999998</v>
      </c>
      <c r="C1898">
        <v>-75.967518999999996</v>
      </c>
      <c r="D1898">
        <v>4700</v>
      </c>
      <c r="E1898">
        <v>4900</v>
      </c>
      <c r="F1898">
        <v>156</v>
      </c>
      <c r="G1898">
        <v>80</v>
      </c>
      <c r="H1898">
        <v>-64</v>
      </c>
      <c r="J1898" s="1">
        <f t="shared" si="145"/>
        <v>24336</v>
      </c>
      <c r="K1898" s="1">
        <f t="shared" si="146"/>
        <v>6400</v>
      </c>
      <c r="L1898" s="1">
        <f t="shared" si="147"/>
        <v>30736</v>
      </c>
      <c r="M1898" s="1">
        <f t="shared" si="148"/>
        <v>175.31685600648902</v>
      </c>
      <c r="N1898" s="7">
        <f t="shared" si="149"/>
        <v>175.31685600648902</v>
      </c>
    </row>
    <row r="1899" spans="1:14" x14ac:dyDescent="0.25">
      <c r="A1899" t="str">
        <f>"14:22:01.117"</f>
        <v>14:22:01.117</v>
      </c>
      <c r="B1899">
        <v>39.799346999999997</v>
      </c>
      <c r="C1899">
        <v>-75.966468000000006</v>
      </c>
      <c r="D1899">
        <v>4700</v>
      </c>
      <c r="E1899">
        <v>4900</v>
      </c>
      <c r="F1899">
        <v>156</v>
      </c>
      <c r="G1899">
        <v>79</v>
      </c>
      <c r="H1899">
        <v>-64</v>
      </c>
      <c r="J1899" s="1">
        <f t="shared" si="145"/>
        <v>24336</v>
      </c>
      <c r="K1899" s="1">
        <f t="shared" si="146"/>
        <v>6241</v>
      </c>
      <c r="L1899" s="1">
        <f t="shared" si="147"/>
        <v>30577</v>
      </c>
      <c r="M1899" s="1">
        <f t="shared" si="148"/>
        <v>174.86280336309378</v>
      </c>
      <c r="N1899" s="7">
        <f t="shared" si="149"/>
        <v>174.86280336309378</v>
      </c>
    </row>
    <row r="1900" spans="1:14" x14ac:dyDescent="0.25">
      <c r="A1900" t="str">
        <f>"14:22:02.227"</f>
        <v>14:22:02.227</v>
      </c>
      <c r="B1900">
        <v>39.799733000000003</v>
      </c>
      <c r="C1900">
        <v>-75.965458999999996</v>
      </c>
      <c r="D1900">
        <v>4700</v>
      </c>
      <c r="E1900">
        <v>4900</v>
      </c>
      <c r="F1900">
        <v>156</v>
      </c>
      <c r="G1900">
        <v>80</v>
      </c>
      <c r="H1900">
        <v>-64</v>
      </c>
      <c r="J1900" s="1">
        <f t="shared" si="145"/>
        <v>24336</v>
      </c>
      <c r="K1900" s="1">
        <f t="shared" si="146"/>
        <v>6400</v>
      </c>
      <c r="L1900" s="1">
        <f t="shared" si="147"/>
        <v>30736</v>
      </c>
      <c r="M1900" s="1">
        <f t="shared" si="148"/>
        <v>175.31685600648902</v>
      </c>
      <c r="N1900" s="7">
        <f t="shared" si="149"/>
        <v>175.31685600648902</v>
      </c>
    </row>
    <row r="1901" spans="1:14" x14ac:dyDescent="0.25">
      <c r="A1901" t="str">
        <f>"14:22:03.234"</f>
        <v>14:22:03.234</v>
      </c>
      <c r="B1901">
        <v>39.800119000000002</v>
      </c>
      <c r="C1901">
        <v>-75.964472000000001</v>
      </c>
      <c r="D1901">
        <v>4700</v>
      </c>
      <c r="E1901">
        <v>4900</v>
      </c>
      <c r="F1901">
        <v>156</v>
      </c>
      <c r="G1901">
        <v>80</v>
      </c>
      <c r="H1901">
        <v>-128</v>
      </c>
      <c r="J1901" s="1">
        <f t="shared" si="145"/>
        <v>24336</v>
      </c>
      <c r="K1901" s="1">
        <f t="shared" si="146"/>
        <v>6400</v>
      </c>
      <c r="L1901" s="1">
        <f t="shared" si="147"/>
        <v>30736</v>
      </c>
      <c r="M1901" s="1">
        <f t="shared" si="148"/>
        <v>175.31685600648902</v>
      </c>
      <c r="N1901" s="7">
        <f t="shared" si="149"/>
        <v>175.31685600648902</v>
      </c>
    </row>
    <row r="1902" spans="1:14" x14ac:dyDescent="0.25">
      <c r="A1902" t="str">
        <f>"14:22:04.094"</f>
        <v>14:22:04.094</v>
      </c>
      <c r="B1902">
        <v>39.800440999999999</v>
      </c>
      <c r="C1902">
        <v>-75.963656999999998</v>
      </c>
      <c r="D1902">
        <v>4700</v>
      </c>
      <c r="E1902">
        <v>4900</v>
      </c>
      <c r="F1902">
        <v>156</v>
      </c>
      <c r="G1902">
        <v>80</v>
      </c>
      <c r="H1902">
        <v>-128</v>
      </c>
      <c r="J1902" s="1">
        <f t="shared" si="145"/>
        <v>24336</v>
      </c>
      <c r="K1902" s="1">
        <f t="shared" si="146"/>
        <v>6400</v>
      </c>
      <c r="L1902" s="1">
        <f t="shared" si="147"/>
        <v>30736</v>
      </c>
      <c r="M1902" s="1">
        <f t="shared" si="148"/>
        <v>175.31685600648902</v>
      </c>
      <c r="N1902" s="7">
        <f t="shared" si="149"/>
        <v>175.31685600648902</v>
      </c>
    </row>
    <row r="1903" spans="1:14" x14ac:dyDescent="0.25">
      <c r="A1903" t="str">
        <f>"14:22:05.156"</f>
        <v>14:22:05.156</v>
      </c>
      <c r="B1903">
        <v>39.800806000000001</v>
      </c>
      <c r="C1903">
        <v>-75.962691000000007</v>
      </c>
      <c r="D1903">
        <v>4700</v>
      </c>
      <c r="E1903">
        <v>4900</v>
      </c>
      <c r="F1903">
        <v>157</v>
      </c>
      <c r="G1903">
        <v>80</v>
      </c>
      <c r="H1903">
        <v>-192</v>
      </c>
      <c r="J1903" s="1">
        <f t="shared" si="145"/>
        <v>24649</v>
      </c>
      <c r="K1903" s="1">
        <f t="shared" si="146"/>
        <v>6400</v>
      </c>
      <c r="L1903" s="1">
        <f t="shared" si="147"/>
        <v>31049</v>
      </c>
      <c r="M1903" s="1">
        <f t="shared" si="148"/>
        <v>176.20726432244501</v>
      </c>
      <c r="N1903" s="7">
        <f t="shared" si="149"/>
        <v>176.20726432244501</v>
      </c>
    </row>
    <row r="1904" spans="1:14" x14ac:dyDescent="0.25">
      <c r="A1904" t="str">
        <f>"14:22:06.164"</f>
        <v>14:22:06.164</v>
      </c>
      <c r="B1904">
        <v>39.801170999999997</v>
      </c>
      <c r="C1904">
        <v>-75.961811999999995</v>
      </c>
      <c r="D1904">
        <v>4700</v>
      </c>
      <c r="E1904">
        <v>4875</v>
      </c>
      <c r="F1904">
        <v>157</v>
      </c>
      <c r="G1904">
        <v>80</v>
      </c>
      <c r="H1904">
        <v>-128</v>
      </c>
      <c r="J1904" s="1">
        <f t="shared" si="145"/>
        <v>24649</v>
      </c>
      <c r="K1904" s="1">
        <f t="shared" si="146"/>
        <v>6400</v>
      </c>
      <c r="L1904" s="1">
        <f t="shared" si="147"/>
        <v>31049</v>
      </c>
      <c r="M1904" s="1">
        <f t="shared" si="148"/>
        <v>176.20726432244501</v>
      </c>
      <c r="N1904" s="7">
        <f t="shared" si="149"/>
        <v>176.20726432244501</v>
      </c>
    </row>
    <row r="1905" spans="1:14" x14ac:dyDescent="0.25">
      <c r="A1905" t="str">
        <f>"14:22:07.227"</f>
        <v>14:22:07.227</v>
      </c>
      <c r="B1905">
        <v>39.801600000000001</v>
      </c>
      <c r="C1905">
        <v>-75.960759999999993</v>
      </c>
      <c r="D1905">
        <v>4700</v>
      </c>
      <c r="E1905">
        <v>4875</v>
      </c>
      <c r="F1905">
        <v>157</v>
      </c>
      <c r="G1905">
        <v>80</v>
      </c>
      <c r="H1905">
        <v>0</v>
      </c>
      <c r="J1905" s="1">
        <f t="shared" si="145"/>
        <v>24649</v>
      </c>
      <c r="K1905" s="1">
        <f t="shared" si="146"/>
        <v>6400</v>
      </c>
      <c r="L1905" s="1">
        <f t="shared" si="147"/>
        <v>31049</v>
      </c>
      <c r="M1905" s="1">
        <f t="shared" si="148"/>
        <v>176.20726432244501</v>
      </c>
      <c r="N1905" s="7">
        <f t="shared" si="149"/>
        <v>176.20726432244501</v>
      </c>
    </row>
    <row r="1906" spans="1:14" x14ac:dyDescent="0.25">
      <c r="A1906" t="str">
        <f>"14:22:08.234"</f>
        <v>14:22:08.234</v>
      </c>
      <c r="B1906">
        <v>39.801985999999999</v>
      </c>
      <c r="C1906">
        <v>-75.959772999999998</v>
      </c>
      <c r="D1906">
        <v>4700</v>
      </c>
      <c r="E1906">
        <v>4875</v>
      </c>
      <c r="F1906">
        <v>157</v>
      </c>
      <c r="G1906">
        <v>80</v>
      </c>
      <c r="H1906">
        <v>64</v>
      </c>
      <c r="J1906" s="1">
        <f t="shared" si="145"/>
        <v>24649</v>
      </c>
      <c r="K1906" s="1">
        <f t="shared" si="146"/>
        <v>6400</v>
      </c>
      <c r="L1906" s="1">
        <f t="shared" si="147"/>
        <v>31049</v>
      </c>
      <c r="M1906" s="1">
        <f t="shared" si="148"/>
        <v>176.20726432244501</v>
      </c>
      <c r="N1906" s="7">
        <f t="shared" si="149"/>
        <v>176.20726432244501</v>
      </c>
    </row>
    <row r="1907" spans="1:14" x14ac:dyDescent="0.25">
      <c r="A1907" t="str">
        <f>"14:22:09.195"</f>
        <v>14:22:09.195</v>
      </c>
      <c r="B1907">
        <v>39.802351000000002</v>
      </c>
      <c r="C1907">
        <v>-75.958872</v>
      </c>
      <c r="D1907">
        <v>4700</v>
      </c>
      <c r="E1907">
        <v>4900</v>
      </c>
      <c r="F1907">
        <v>157</v>
      </c>
      <c r="G1907">
        <v>80</v>
      </c>
      <c r="H1907">
        <v>192</v>
      </c>
      <c r="J1907" s="1">
        <f t="shared" si="145"/>
        <v>24649</v>
      </c>
      <c r="K1907" s="1">
        <f t="shared" si="146"/>
        <v>6400</v>
      </c>
      <c r="L1907" s="1">
        <f t="shared" si="147"/>
        <v>31049</v>
      </c>
      <c r="M1907" s="1">
        <f t="shared" si="148"/>
        <v>176.20726432244501</v>
      </c>
      <c r="N1907" s="7">
        <f t="shared" si="149"/>
        <v>176.20726432244501</v>
      </c>
    </row>
    <row r="1908" spans="1:14" x14ac:dyDescent="0.25">
      <c r="A1908" t="str">
        <f>"14:22:10.156"</f>
        <v>14:22:10.156</v>
      </c>
      <c r="B1908">
        <v>39.802694000000002</v>
      </c>
      <c r="C1908">
        <v>-75.958034999999995</v>
      </c>
      <c r="D1908">
        <v>4700</v>
      </c>
      <c r="E1908">
        <v>4900</v>
      </c>
      <c r="F1908">
        <v>156</v>
      </c>
      <c r="G1908">
        <v>80</v>
      </c>
      <c r="H1908">
        <v>256</v>
      </c>
      <c r="J1908" s="1">
        <f t="shared" si="145"/>
        <v>24336</v>
      </c>
      <c r="K1908" s="1">
        <f t="shared" si="146"/>
        <v>6400</v>
      </c>
      <c r="L1908" s="1">
        <f t="shared" si="147"/>
        <v>30736</v>
      </c>
      <c r="M1908" s="1">
        <f t="shared" si="148"/>
        <v>175.31685600648902</v>
      </c>
      <c r="N1908" s="7">
        <f t="shared" si="149"/>
        <v>175.31685600648902</v>
      </c>
    </row>
    <row r="1909" spans="1:14" x14ac:dyDescent="0.25">
      <c r="A1909" t="str">
        <f>"14:22:11.266"</f>
        <v>14:22:11.266</v>
      </c>
      <c r="B1909">
        <v>39.803102000000003</v>
      </c>
      <c r="C1909">
        <v>-75.956962000000004</v>
      </c>
      <c r="D1909">
        <v>4700</v>
      </c>
      <c r="E1909">
        <v>4900</v>
      </c>
      <c r="F1909">
        <v>156</v>
      </c>
      <c r="G1909">
        <v>80</v>
      </c>
      <c r="H1909">
        <v>320</v>
      </c>
      <c r="J1909" s="1">
        <f t="shared" si="145"/>
        <v>24336</v>
      </c>
      <c r="K1909" s="1">
        <f t="shared" si="146"/>
        <v>6400</v>
      </c>
      <c r="L1909" s="1">
        <f t="shared" si="147"/>
        <v>30736</v>
      </c>
      <c r="M1909" s="1">
        <f t="shared" si="148"/>
        <v>175.31685600648902</v>
      </c>
      <c r="N1909" s="7">
        <f t="shared" si="149"/>
        <v>175.31685600648902</v>
      </c>
    </row>
    <row r="1910" spans="1:14" x14ac:dyDescent="0.25">
      <c r="A1910" t="str">
        <f>"14:22:12.172"</f>
        <v>14:22:12.172</v>
      </c>
      <c r="B1910">
        <v>39.803466999999998</v>
      </c>
      <c r="C1910">
        <v>-75.956061000000005</v>
      </c>
      <c r="D1910">
        <v>4700</v>
      </c>
      <c r="E1910">
        <v>4900</v>
      </c>
      <c r="F1910">
        <v>156</v>
      </c>
      <c r="G1910">
        <v>80</v>
      </c>
      <c r="H1910">
        <v>320</v>
      </c>
      <c r="J1910" s="1">
        <f t="shared" si="145"/>
        <v>24336</v>
      </c>
      <c r="K1910" s="1">
        <f t="shared" si="146"/>
        <v>6400</v>
      </c>
      <c r="L1910" s="1">
        <f t="shared" si="147"/>
        <v>30736</v>
      </c>
      <c r="M1910" s="1">
        <f t="shared" si="148"/>
        <v>175.31685600648902</v>
      </c>
      <c r="N1910" s="7">
        <f t="shared" si="149"/>
        <v>175.31685600648902</v>
      </c>
    </row>
    <row r="1911" spans="1:14" x14ac:dyDescent="0.25">
      <c r="A1911" t="str">
        <f>"14:22:13.180"</f>
        <v>14:22:13.180</v>
      </c>
      <c r="B1911">
        <v>39.803832</v>
      </c>
      <c r="C1911">
        <v>-75.955138000000005</v>
      </c>
      <c r="D1911">
        <v>4700</v>
      </c>
      <c r="E1911">
        <v>4900</v>
      </c>
      <c r="F1911">
        <v>156</v>
      </c>
      <c r="G1911">
        <v>80</v>
      </c>
      <c r="H1911">
        <v>192</v>
      </c>
      <c r="J1911" s="1">
        <f t="shared" si="145"/>
        <v>24336</v>
      </c>
      <c r="K1911" s="1">
        <f t="shared" si="146"/>
        <v>6400</v>
      </c>
      <c r="L1911" s="1">
        <f t="shared" si="147"/>
        <v>30736</v>
      </c>
      <c r="M1911" s="1">
        <f t="shared" si="148"/>
        <v>175.31685600648902</v>
      </c>
      <c r="N1911" s="7">
        <f t="shared" si="149"/>
        <v>175.31685600648902</v>
      </c>
    </row>
    <row r="1912" spans="1:14" x14ac:dyDescent="0.25">
      <c r="A1912" t="str">
        <f>"14:22:14.039"</f>
        <v>14:22:14.039</v>
      </c>
      <c r="B1912">
        <v>39.804110999999999</v>
      </c>
      <c r="C1912">
        <v>-75.954344000000006</v>
      </c>
      <c r="D1912">
        <v>4700</v>
      </c>
      <c r="E1912">
        <v>4900</v>
      </c>
      <c r="F1912">
        <v>156</v>
      </c>
      <c r="G1912">
        <v>81</v>
      </c>
      <c r="H1912">
        <v>128</v>
      </c>
      <c r="J1912" s="1">
        <f t="shared" si="145"/>
        <v>24336</v>
      </c>
      <c r="K1912" s="1">
        <f t="shared" si="146"/>
        <v>6561</v>
      </c>
      <c r="L1912" s="1">
        <f t="shared" si="147"/>
        <v>30897</v>
      </c>
      <c r="M1912" s="1">
        <f t="shared" si="148"/>
        <v>175.77542490348301</v>
      </c>
      <c r="N1912" s="7">
        <f t="shared" si="149"/>
        <v>175.77542490348301</v>
      </c>
    </row>
    <row r="1913" spans="1:14" x14ac:dyDescent="0.25">
      <c r="A1913" t="str">
        <f>"14:22:14.898"</f>
        <v>14:22:14.898</v>
      </c>
      <c r="B1913">
        <v>39.804474999999996</v>
      </c>
      <c r="C1913">
        <v>-75.953507000000002</v>
      </c>
      <c r="D1913">
        <v>4700</v>
      </c>
      <c r="E1913">
        <v>4925</v>
      </c>
      <c r="F1913">
        <v>156</v>
      </c>
      <c r="G1913">
        <v>81</v>
      </c>
      <c r="H1913">
        <v>64</v>
      </c>
      <c r="J1913" s="1">
        <f t="shared" si="145"/>
        <v>24336</v>
      </c>
      <c r="K1913" s="1">
        <f t="shared" si="146"/>
        <v>6561</v>
      </c>
      <c r="L1913" s="1">
        <f t="shared" si="147"/>
        <v>30897</v>
      </c>
      <c r="M1913" s="1">
        <f t="shared" si="148"/>
        <v>175.77542490348301</v>
      </c>
      <c r="N1913" s="7">
        <f t="shared" si="149"/>
        <v>175.77542490348301</v>
      </c>
    </row>
    <row r="1914" spans="1:14" x14ac:dyDescent="0.25">
      <c r="A1914" t="str">
        <f>"14:22:15.805"</f>
        <v>14:22:15.805</v>
      </c>
      <c r="B1914">
        <v>39.804819000000002</v>
      </c>
      <c r="C1914">
        <v>-75.952691999999999</v>
      </c>
      <c r="D1914">
        <v>4700</v>
      </c>
      <c r="E1914">
        <v>4900</v>
      </c>
      <c r="F1914">
        <v>156</v>
      </c>
      <c r="G1914">
        <v>81</v>
      </c>
      <c r="H1914">
        <v>0</v>
      </c>
      <c r="J1914" s="1">
        <f t="shared" si="145"/>
        <v>24336</v>
      </c>
      <c r="K1914" s="1">
        <f t="shared" si="146"/>
        <v>6561</v>
      </c>
      <c r="L1914" s="1">
        <f t="shared" si="147"/>
        <v>30897</v>
      </c>
      <c r="M1914" s="1">
        <f t="shared" si="148"/>
        <v>175.77542490348301</v>
      </c>
      <c r="N1914" s="7">
        <f t="shared" si="149"/>
        <v>175.77542490348301</v>
      </c>
    </row>
    <row r="1915" spans="1:14" x14ac:dyDescent="0.25">
      <c r="A1915" t="str">
        <f>"14:22:16.719"</f>
        <v>14:22:16.719</v>
      </c>
      <c r="B1915">
        <v>39.805162000000003</v>
      </c>
      <c r="C1915">
        <v>-75.951834000000005</v>
      </c>
      <c r="D1915">
        <v>4700</v>
      </c>
      <c r="E1915">
        <v>4900</v>
      </c>
      <c r="F1915">
        <v>156</v>
      </c>
      <c r="G1915">
        <v>81</v>
      </c>
      <c r="H1915">
        <v>-64</v>
      </c>
      <c r="J1915" s="1">
        <f t="shared" si="145"/>
        <v>24336</v>
      </c>
      <c r="K1915" s="1">
        <f t="shared" si="146"/>
        <v>6561</v>
      </c>
      <c r="L1915" s="1">
        <f t="shared" si="147"/>
        <v>30897</v>
      </c>
      <c r="M1915" s="1">
        <f t="shared" si="148"/>
        <v>175.77542490348301</v>
      </c>
      <c r="N1915" s="7">
        <f t="shared" si="149"/>
        <v>175.77542490348301</v>
      </c>
    </row>
    <row r="1916" spans="1:14" x14ac:dyDescent="0.25">
      <c r="A1916" t="str">
        <f>"14:22:17.727"</f>
        <v>14:22:17.727</v>
      </c>
      <c r="B1916">
        <v>39.805526999999998</v>
      </c>
      <c r="C1916">
        <v>-75.950868</v>
      </c>
      <c r="D1916">
        <v>4700</v>
      </c>
      <c r="E1916">
        <v>4900</v>
      </c>
      <c r="F1916">
        <v>156</v>
      </c>
      <c r="G1916">
        <v>81</v>
      </c>
      <c r="H1916">
        <v>-128</v>
      </c>
      <c r="J1916" s="1">
        <f t="shared" si="145"/>
        <v>24336</v>
      </c>
      <c r="K1916" s="1">
        <f t="shared" si="146"/>
        <v>6561</v>
      </c>
      <c r="L1916" s="1">
        <f t="shared" si="147"/>
        <v>30897</v>
      </c>
      <c r="M1916" s="1">
        <f t="shared" si="148"/>
        <v>175.77542490348301</v>
      </c>
      <c r="N1916" s="7">
        <f t="shared" si="149"/>
        <v>175.77542490348301</v>
      </c>
    </row>
    <row r="1917" spans="1:14" x14ac:dyDescent="0.25">
      <c r="A1917" t="str">
        <f>"14:22:18.586"</f>
        <v>14:22:18.586</v>
      </c>
      <c r="B1917">
        <v>39.805849000000002</v>
      </c>
      <c r="C1917">
        <v>-75.950159999999997</v>
      </c>
      <c r="D1917">
        <v>4700</v>
      </c>
      <c r="E1917">
        <v>4900</v>
      </c>
      <c r="F1917">
        <v>156</v>
      </c>
      <c r="G1917">
        <v>81</v>
      </c>
      <c r="H1917">
        <v>-128</v>
      </c>
      <c r="J1917" s="1">
        <f t="shared" si="145"/>
        <v>24336</v>
      </c>
      <c r="K1917" s="1">
        <f t="shared" si="146"/>
        <v>6561</v>
      </c>
      <c r="L1917" s="1">
        <f t="shared" si="147"/>
        <v>30897</v>
      </c>
      <c r="M1917" s="1">
        <f t="shared" si="148"/>
        <v>175.77542490348301</v>
      </c>
      <c r="N1917" s="7">
        <f t="shared" si="149"/>
        <v>175.77542490348301</v>
      </c>
    </row>
    <row r="1918" spans="1:14" x14ac:dyDescent="0.25">
      <c r="A1918" t="str">
        <f>"14:22:19.594"</f>
        <v>14:22:19.594</v>
      </c>
      <c r="B1918">
        <v>39.806255999999998</v>
      </c>
      <c r="C1918">
        <v>-75.949087000000006</v>
      </c>
      <c r="D1918">
        <v>4700</v>
      </c>
      <c r="E1918">
        <v>4900</v>
      </c>
      <c r="F1918">
        <v>156</v>
      </c>
      <c r="G1918">
        <v>82</v>
      </c>
      <c r="H1918">
        <v>-192</v>
      </c>
      <c r="J1918" s="1">
        <f t="shared" si="145"/>
        <v>24336</v>
      </c>
      <c r="K1918" s="1">
        <f t="shared" si="146"/>
        <v>6724</v>
      </c>
      <c r="L1918" s="1">
        <f t="shared" si="147"/>
        <v>31060</v>
      </c>
      <c r="M1918" s="1">
        <f t="shared" si="148"/>
        <v>176.23847480048164</v>
      </c>
      <c r="N1918" s="7">
        <f t="shared" si="149"/>
        <v>176.23847480048164</v>
      </c>
    </row>
    <row r="1919" spans="1:14" x14ac:dyDescent="0.25">
      <c r="A1919" t="str">
        <f>"14:22:20.703"</f>
        <v>14:22:20.703</v>
      </c>
      <c r="B1919">
        <v>39.806663999999998</v>
      </c>
      <c r="C1919">
        <v>-75.948079000000007</v>
      </c>
      <c r="D1919">
        <v>4700</v>
      </c>
      <c r="E1919">
        <v>4900</v>
      </c>
      <c r="F1919">
        <v>156</v>
      </c>
      <c r="G1919">
        <v>82</v>
      </c>
      <c r="H1919">
        <v>-192</v>
      </c>
      <c r="J1919" s="1">
        <f t="shared" si="145"/>
        <v>24336</v>
      </c>
      <c r="K1919" s="1">
        <f t="shared" si="146"/>
        <v>6724</v>
      </c>
      <c r="L1919" s="1">
        <f t="shared" si="147"/>
        <v>31060</v>
      </c>
      <c r="M1919" s="1">
        <f t="shared" si="148"/>
        <v>176.23847480048164</v>
      </c>
      <c r="N1919" s="7">
        <f t="shared" si="149"/>
        <v>176.23847480048164</v>
      </c>
    </row>
    <row r="1920" spans="1:14" x14ac:dyDescent="0.25">
      <c r="A1920" t="str">
        <f>"14:22:21.766"</f>
        <v>14:22:21.766</v>
      </c>
      <c r="B1920">
        <v>39.807029</v>
      </c>
      <c r="C1920">
        <v>-75.947113000000002</v>
      </c>
      <c r="D1920">
        <v>4700</v>
      </c>
      <c r="E1920">
        <v>4900</v>
      </c>
      <c r="F1920">
        <v>157</v>
      </c>
      <c r="G1920">
        <v>82</v>
      </c>
      <c r="H1920">
        <v>-128</v>
      </c>
      <c r="J1920" s="1">
        <f t="shared" si="145"/>
        <v>24649</v>
      </c>
      <c r="K1920" s="1">
        <f t="shared" si="146"/>
        <v>6724</v>
      </c>
      <c r="L1920" s="1">
        <f t="shared" si="147"/>
        <v>31373</v>
      </c>
      <c r="M1920" s="1">
        <f t="shared" si="148"/>
        <v>177.12425017484196</v>
      </c>
      <c r="N1920" s="7">
        <f t="shared" si="149"/>
        <v>177.12425017484196</v>
      </c>
    </row>
    <row r="1921" spans="1:14" x14ac:dyDescent="0.25">
      <c r="A1921" t="str">
        <f>"14:22:22.625"</f>
        <v>14:22:22.625</v>
      </c>
      <c r="B1921">
        <v>39.807372000000001</v>
      </c>
      <c r="C1921">
        <v>-75.946297999999999</v>
      </c>
      <c r="D1921">
        <v>4700</v>
      </c>
      <c r="E1921">
        <v>4900</v>
      </c>
      <c r="F1921">
        <v>157</v>
      </c>
      <c r="G1921">
        <v>83</v>
      </c>
      <c r="H1921">
        <v>-64</v>
      </c>
      <c r="J1921" s="1">
        <f t="shared" si="145"/>
        <v>24649</v>
      </c>
      <c r="K1921" s="1">
        <f t="shared" si="146"/>
        <v>6889</v>
      </c>
      <c r="L1921" s="1">
        <f t="shared" si="147"/>
        <v>31538</v>
      </c>
      <c r="M1921" s="1">
        <f t="shared" si="148"/>
        <v>177.58941409892651</v>
      </c>
      <c r="N1921" s="7">
        <f t="shared" si="149"/>
        <v>177.58941409892651</v>
      </c>
    </row>
    <row r="1922" spans="1:14" x14ac:dyDescent="0.25">
      <c r="A1922" t="str">
        <f>"14:22:23.633"</f>
        <v>14:22:23.633</v>
      </c>
      <c r="B1922">
        <v>39.807800999999998</v>
      </c>
      <c r="C1922">
        <v>-75.945311000000004</v>
      </c>
      <c r="D1922">
        <v>4700</v>
      </c>
      <c r="E1922">
        <v>4900</v>
      </c>
      <c r="F1922">
        <v>157</v>
      </c>
      <c r="G1922">
        <v>83</v>
      </c>
      <c r="H1922">
        <v>0</v>
      </c>
      <c r="J1922" s="1">
        <f t="shared" si="145"/>
        <v>24649</v>
      </c>
      <c r="K1922" s="1">
        <f t="shared" si="146"/>
        <v>6889</v>
      </c>
      <c r="L1922" s="1">
        <f t="shared" si="147"/>
        <v>31538</v>
      </c>
      <c r="M1922" s="1">
        <f t="shared" si="148"/>
        <v>177.58941409892651</v>
      </c>
      <c r="N1922" s="7">
        <f t="shared" si="149"/>
        <v>177.58941409892651</v>
      </c>
    </row>
    <row r="1923" spans="1:14" x14ac:dyDescent="0.25">
      <c r="A1923" t="str">
        <f>"14:22:24.539"</f>
        <v>14:22:24.539</v>
      </c>
      <c r="B1923">
        <v>39.808145000000003</v>
      </c>
      <c r="C1923">
        <v>-75.944495000000003</v>
      </c>
      <c r="D1923">
        <v>4700</v>
      </c>
      <c r="E1923">
        <v>4900</v>
      </c>
      <c r="F1923">
        <v>157</v>
      </c>
      <c r="G1923">
        <v>83</v>
      </c>
      <c r="H1923">
        <v>0</v>
      </c>
      <c r="J1923" s="1">
        <f t="shared" ref="J1923:J1986" si="150">F1923^2</f>
        <v>24649</v>
      </c>
      <c r="K1923" s="1">
        <f t="shared" ref="K1923:K1986" si="151">G1923^2</f>
        <v>6889</v>
      </c>
      <c r="L1923" s="1">
        <f t="shared" ref="L1923:L1986" si="152">SUMSQ(F1923,G1923)</f>
        <v>31538</v>
      </c>
      <c r="M1923" s="1">
        <f t="shared" ref="M1923:M1986" si="153">SQRT(L1923)</f>
        <v>177.58941409892651</v>
      </c>
      <c r="N1923" s="7">
        <f t="shared" ref="N1923:N1986" si="154">M1923</f>
        <v>177.58941409892651</v>
      </c>
    </row>
    <row r="1924" spans="1:14" x14ac:dyDescent="0.25">
      <c r="A1924" t="str">
        <f>"14:22:25.500"</f>
        <v>14:22:25.500</v>
      </c>
      <c r="B1924">
        <v>39.808509000000001</v>
      </c>
      <c r="C1924">
        <v>-75.943529999999996</v>
      </c>
      <c r="D1924">
        <v>4700</v>
      </c>
      <c r="E1924">
        <v>4900</v>
      </c>
      <c r="F1924">
        <v>157</v>
      </c>
      <c r="G1924">
        <v>83</v>
      </c>
      <c r="H1924">
        <v>64</v>
      </c>
      <c r="J1924" s="1">
        <f t="shared" si="150"/>
        <v>24649</v>
      </c>
      <c r="K1924" s="1">
        <f t="shared" si="151"/>
        <v>6889</v>
      </c>
      <c r="L1924" s="1">
        <f t="shared" si="152"/>
        <v>31538</v>
      </c>
      <c r="M1924" s="1">
        <f t="shared" si="153"/>
        <v>177.58941409892651</v>
      </c>
      <c r="N1924" s="7">
        <f t="shared" si="154"/>
        <v>177.58941409892651</v>
      </c>
    </row>
    <row r="1925" spans="1:14" x14ac:dyDescent="0.25">
      <c r="A1925" t="str">
        <f>"14:22:26.508"</f>
        <v>14:22:26.508</v>
      </c>
      <c r="B1925">
        <v>39.808917000000001</v>
      </c>
      <c r="C1925">
        <v>-75.942627999999999</v>
      </c>
      <c r="D1925">
        <v>4700</v>
      </c>
      <c r="E1925">
        <v>4900</v>
      </c>
      <c r="F1925">
        <v>156</v>
      </c>
      <c r="G1925">
        <v>83</v>
      </c>
      <c r="H1925">
        <v>128</v>
      </c>
      <c r="J1925" s="1">
        <f t="shared" si="150"/>
        <v>24336</v>
      </c>
      <c r="K1925" s="1">
        <f t="shared" si="151"/>
        <v>6889</v>
      </c>
      <c r="L1925" s="1">
        <f t="shared" si="152"/>
        <v>31225</v>
      </c>
      <c r="M1925" s="1">
        <f t="shared" si="153"/>
        <v>176.70597047072292</v>
      </c>
      <c r="N1925" s="7">
        <f t="shared" si="154"/>
        <v>176.70597047072292</v>
      </c>
    </row>
    <row r="1926" spans="1:14" x14ac:dyDescent="0.25">
      <c r="A1926" t="str">
        <f>"14:22:27.523"</f>
        <v>14:22:27.523</v>
      </c>
      <c r="B1926">
        <v>39.809282000000003</v>
      </c>
      <c r="C1926">
        <v>-75.941683999999995</v>
      </c>
      <c r="D1926">
        <v>4700</v>
      </c>
      <c r="E1926">
        <v>4900</v>
      </c>
      <c r="F1926">
        <v>156</v>
      </c>
      <c r="G1926">
        <v>84</v>
      </c>
      <c r="H1926">
        <v>128</v>
      </c>
      <c r="J1926" s="1">
        <f t="shared" si="150"/>
        <v>24336</v>
      </c>
      <c r="K1926" s="1">
        <f t="shared" si="151"/>
        <v>7056</v>
      </c>
      <c r="L1926" s="1">
        <f t="shared" si="152"/>
        <v>31392</v>
      </c>
      <c r="M1926" s="1">
        <f t="shared" si="153"/>
        <v>177.17787672280082</v>
      </c>
      <c r="N1926" s="7">
        <f t="shared" si="154"/>
        <v>177.17787672280082</v>
      </c>
    </row>
    <row r="1927" spans="1:14" x14ac:dyDescent="0.25">
      <c r="A1927" t="str">
        <f>"14:22:28.680"</f>
        <v>14:22:28.680</v>
      </c>
      <c r="B1927">
        <v>39.809711</v>
      </c>
      <c r="C1927">
        <v>-75.940611000000004</v>
      </c>
      <c r="D1927">
        <v>4700</v>
      </c>
      <c r="E1927">
        <v>4900</v>
      </c>
      <c r="F1927">
        <v>156</v>
      </c>
      <c r="G1927">
        <v>83</v>
      </c>
      <c r="H1927">
        <v>128</v>
      </c>
      <c r="J1927" s="1">
        <f t="shared" si="150"/>
        <v>24336</v>
      </c>
      <c r="K1927" s="1">
        <f t="shared" si="151"/>
        <v>6889</v>
      </c>
      <c r="L1927" s="1">
        <f t="shared" si="152"/>
        <v>31225</v>
      </c>
      <c r="M1927" s="1">
        <f t="shared" si="153"/>
        <v>176.70597047072292</v>
      </c>
      <c r="N1927" s="7">
        <f t="shared" si="154"/>
        <v>176.70597047072292</v>
      </c>
    </row>
    <row r="1928" spans="1:14" x14ac:dyDescent="0.25">
      <c r="A1928" t="str">
        <f>"14:22:29.539"</f>
        <v>14:22:29.539</v>
      </c>
      <c r="B1928">
        <v>39.810054000000001</v>
      </c>
      <c r="C1928">
        <v>-75.939774999999997</v>
      </c>
      <c r="D1928">
        <v>4700</v>
      </c>
      <c r="E1928">
        <v>4900</v>
      </c>
      <c r="F1928">
        <v>156</v>
      </c>
      <c r="G1928">
        <v>83</v>
      </c>
      <c r="H1928">
        <v>64</v>
      </c>
      <c r="J1928" s="1">
        <f t="shared" si="150"/>
        <v>24336</v>
      </c>
      <c r="K1928" s="1">
        <f t="shared" si="151"/>
        <v>6889</v>
      </c>
      <c r="L1928" s="1">
        <f t="shared" si="152"/>
        <v>31225</v>
      </c>
      <c r="M1928" s="1">
        <f t="shared" si="153"/>
        <v>176.70597047072292</v>
      </c>
      <c r="N1928" s="7">
        <f t="shared" si="154"/>
        <v>176.70597047072292</v>
      </c>
    </row>
    <row r="1929" spans="1:14" x14ac:dyDescent="0.25">
      <c r="A1929" t="str">
        <f>"14:22:30.648"</f>
        <v>14:22:30.648</v>
      </c>
      <c r="B1929">
        <v>39.810504999999999</v>
      </c>
      <c r="C1929">
        <v>-75.938787000000005</v>
      </c>
      <c r="D1929">
        <v>4700</v>
      </c>
      <c r="E1929">
        <v>4900</v>
      </c>
      <c r="F1929">
        <v>156</v>
      </c>
      <c r="G1929">
        <v>83</v>
      </c>
      <c r="H1929">
        <v>0</v>
      </c>
      <c r="J1929" s="1">
        <f t="shared" si="150"/>
        <v>24336</v>
      </c>
      <c r="K1929" s="1">
        <f t="shared" si="151"/>
        <v>6889</v>
      </c>
      <c r="L1929" s="1">
        <f t="shared" si="152"/>
        <v>31225</v>
      </c>
      <c r="M1929" s="1">
        <f t="shared" si="153"/>
        <v>176.70597047072292</v>
      </c>
      <c r="N1929" s="7">
        <f t="shared" si="154"/>
        <v>176.70597047072292</v>
      </c>
    </row>
    <row r="1930" spans="1:14" x14ac:dyDescent="0.25">
      <c r="A1930" t="str">
        <f>"14:22:31.766"</f>
        <v>14:22:31.766</v>
      </c>
      <c r="B1930">
        <v>39.810890999999998</v>
      </c>
      <c r="C1930">
        <v>-75.937736000000001</v>
      </c>
      <c r="D1930">
        <v>4700</v>
      </c>
      <c r="E1930">
        <v>4900</v>
      </c>
      <c r="F1930">
        <v>157</v>
      </c>
      <c r="G1930">
        <v>83</v>
      </c>
      <c r="H1930">
        <v>0</v>
      </c>
      <c r="J1930" s="1">
        <f t="shared" si="150"/>
        <v>24649</v>
      </c>
      <c r="K1930" s="1">
        <f t="shared" si="151"/>
        <v>6889</v>
      </c>
      <c r="L1930" s="1">
        <f t="shared" si="152"/>
        <v>31538</v>
      </c>
      <c r="M1930" s="1">
        <f t="shared" si="153"/>
        <v>177.58941409892651</v>
      </c>
      <c r="N1930" s="7">
        <f t="shared" si="154"/>
        <v>177.58941409892651</v>
      </c>
    </row>
    <row r="1931" spans="1:14" x14ac:dyDescent="0.25">
      <c r="A1931" t="str">
        <f>"14:22:32.820"</f>
        <v>14:22:32.820</v>
      </c>
      <c r="B1931">
        <v>39.811342000000003</v>
      </c>
      <c r="C1931">
        <v>-75.936706000000001</v>
      </c>
      <c r="D1931">
        <v>4700</v>
      </c>
      <c r="E1931">
        <v>4900</v>
      </c>
      <c r="F1931">
        <v>157</v>
      </c>
      <c r="G1931">
        <v>83</v>
      </c>
      <c r="H1931">
        <v>-64</v>
      </c>
      <c r="J1931" s="1">
        <f t="shared" si="150"/>
        <v>24649</v>
      </c>
      <c r="K1931" s="1">
        <f t="shared" si="151"/>
        <v>6889</v>
      </c>
      <c r="L1931" s="1">
        <f t="shared" si="152"/>
        <v>31538</v>
      </c>
      <c r="M1931" s="1">
        <f t="shared" si="153"/>
        <v>177.58941409892651</v>
      </c>
      <c r="N1931" s="7">
        <f t="shared" si="154"/>
        <v>177.58941409892651</v>
      </c>
    </row>
    <row r="1932" spans="1:14" x14ac:dyDescent="0.25">
      <c r="A1932" t="str">
        <f>"14:22:33.781"</f>
        <v>14:22:33.781</v>
      </c>
      <c r="B1932">
        <v>39.811706999999998</v>
      </c>
      <c r="C1932">
        <v>-75.935783000000001</v>
      </c>
      <c r="D1932">
        <v>4700</v>
      </c>
      <c r="E1932">
        <v>4900</v>
      </c>
      <c r="F1932">
        <v>157</v>
      </c>
      <c r="G1932">
        <v>83</v>
      </c>
      <c r="H1932">
        <v>-64</v>
      </c>
      <c r="J1932" s="1">
        <f t="shared" si="150"/>
        <v>24649</v>
      </c>
      <c r="K1932" s="1">
        <f t="shared" si="151"/>
        <v>6889</v>
      </c>
      <c r="L1932" s="1">
        <f t="shared" si="152"/>
        <v>31538</v>
      </c>
      <c r="M1932" s="1">
        <f t="shared" si="153"/>
        <v>177.58941409892651</v>
      </c>
      <c r="N1932" s="7">
        <f t="shared" si="154"/>
        <v>177.58941409892651</v>
      </c>
    </row>
    <row r="1933" spans="1:14" x14ac:dyDescent="0.25">
      <c r="A1933" t="str">
        <f>"14:22:34.742"</f>
        <v>14:22:34.742</v>
      </c>
      <c r="B1933">
        <v>39.812071000000003</v>
      </c>
      <c r="C1933">
        <v>-75.934882000000002</v>
      </c>
      <c r="D1933">
        <v>4700</v>
      </c>
      <c r="E1933">
        <v>4900</v>
      </c>
      <c r="F1933">
        <v>158</v>
      </c>
      <c r="G1933">
        <v>83</v>
      </c>
      <c r="H1933">
        <v>-128</v>
      </c>
      <c r="J1933" s="1">
        <f t="shared" si="150"/>
        <v>24964</v>
      </c>
      <c r="K1933" s="1">
        <f t="shared" si="151"/>
        <v>6889</v>
      </c>
      <c r="L1933" s="1">
        <f t="shared" si="152"/>
        <v>31853</v>
      </c>
      <c r="M1933" s="1">
        <f t="shared" si="153"/>
        <v>178.47408775505761</v>
      </c>
      <c r="N1933" s="7">
        <f t="shared" si="154"/>
        <v>178.47408775505761</v>
      </c>
    </row>
    <row r="1934" spans="1:14" x14ac:dyDescent="0.25">
      <c r="A1934" t="str">
        <f>"14:22:35.703"</f>
        <v>14:22:35.703</v>
      </c>
      <c r="B1934">
        <v>39.812435999999998</v>
      </c>
      <c r="C1934">
        <v>-75.933916999999994</v>
      </c>
      <c r="D1934">
        <v>4700</v>
      </c>
      <c r="E1934">
        <v>4900</v>
      </c>
      <c r="F1934">
        <v>158</v>
      </c>
      <c r="G1934">
        <v>82</v>
      </c>
      <c r="H1934">
        <v>-128</v>
      </c>
      <c r="J1934" s="1">
        <f t="shared" si="150"/>
        <v>24964</v>
      </c>
      <c r="K1934" s="1">
        <f t="shared" si="151"/>
        <v>6724</v>
      </c>
      <c r="L1934" s="1">
        <f t="shared" si="152"/>
        <v>31688</v>
      </c>
      <c r="M1934" s="1">
        <f t="shared" si="153"/>
        <v>178.01123560045303</v>
      </c>
      <c r="N1934" s="7">
        <f t="shared" si="154"/>
        <v>178.01123560045303</v>
      </c>
    </row>
    <row r="1935" spans="1:14" x14ac:dyDescent="0.25">
      <c r="A1935" t="str">
        <f>"14:22:36.813"</f>
        <v>14:22:36.813</v>
      </c>
      <c r="B1935">
        <v>39.812821999999997</v>
      </c>
      <c r="C1935">
        <v>-75.932929999999999</v>
      </c>
      <c r="D1935">
        <v>4700</v>
      </c>
      <c r="E1935">
        <v>4900</v>
      </c>
      <c r="F1935">
        <v>158</v>
      </c>
      <c r="G1935">
        <v>82</v>
      </c>
      <c r="H1935">
        <v>-128</v>
      </c>
      <c r="J1935" s="1">
        <f t="shared" si="150"/>
        <v>24964</v>
      </c>
      <c r="K1935" s="1">
        <f t="shared" si="151"/>
        <v>6724</v>
      </c>
      <c r="L1935" s="1">
        <f t="shared" si="152"/>
        <v>31688</v>
      </c>
      <c r="M1935" s="1">
        <f t="shared" si="153"/>
        <v>178.01123560045303</v>
      </c>
      <c r="N1935" s="7">
        <f t="shared" si="154"/>
        <v>178.01123560045303</v>
      </c>
    </row>
    <row r="1936" spans="1:14" x14ac:dyDescent="0.25">
      <c r="A1936" t="str">
        <f>"14:22:37.773"</f>
        <v>14:22:37.773</v>
      </c>
      <c r="B1936">
        <v>39.813209000000001</v>
      </c>
      <c r="C1936">
        <v>-75.932006999999999</v>
      </c>
      <c r="D1936">
        <v>4700</v>
      </c>
      <c r="E1936">
        <v>4900</v>
      </c>
      <c r="F1936">
        <v>159</v>
      </c>
      <c r="G1936">
        <v>82</v>
      </c>
      <c r="H1936">
        <v>-64</v>
      </c>
      <c r="J1936" s="1">
        <f t="shared" si="150"/>
        <v>25281</v>
      </c>
      <c r="K1936" s="1">
        <f t="shared" si="151"/>
        <v>6724</v>
      </c>
      <c r="L1936" s="1">
        <f t="shared" si="152"/>
        <v>32005</v>
      </c>
      <c r="M1936" s="1">
        <f t="shared" si="153"/>
        <v>178.89941307897016</v>
      </c>
      <c r="N1936" s="7">
        <f t="shared" si="154"/>
        <v>178.89941307897016</v>
      </c>
    </row>
    <row r="1937" spans="1:14" x14ac:dyDescent="0.25">
      <c r="A1937" t="str">
        <f>"14:22:38.680"</f>
        <v>14:22:38.680</v>
      </c>
      <c r="B1937">
        <v>39.813572999999998</v>
      </c>
      <c r="C1937">
        <v>-75.931040999999993</v>
      </c>
      <c r="D1937">
        <v>4700</v>
      </c>
      <c r="E1937">
        <v>4900</v>
      </c>
      <c r="F1937">
        <v>159</v>
      </c>
      <c r="G1937">
        <v>82</v>
      </c>
      <c r="H1937">
        <v>-64</v>
      </c>
      <c r="J1937" s="1">
        <f t="shared" si="150"/>
        <v>25281</v>
      </c>
      <c r="K1937" s="1">
        <f t="shared" si="151"/>
        <v>6724</v>
      </c>
      <c r="L1937" s="1">
        <f t="shared" si="152"/>
        <v>32005</v>
      </c>
      <c r="M1937" s="1">
        <f t="shared" si="153"/>
        <v>178.89941307897016</v>
      </c>
      <c r="N1937" s="7">
        <f t="shared" si="154"/>
        <v>178.89941307897016</v>
      </c>
    </row>
    <row r="1938" spans="1:14" x14ac:dyDescent="0.25">
      <c r="A1938" t="str">
        <f>"14:22:39.586"</f>
        <v>14:22:39.586</v>
      </c>
      <c r="B1938">
        <v>39.813895000000002</v>
      </c>
      <c r="C1938">
        <v>-75.930246999999994</v>
      </c>
      <c r="D1938">
        <v>4700</v>
      </c>
      <c r="E1938">
        <v>4900</v>
      </c>
      <c r="F1938">
        <v>159</v>
      </c>
      <c r="G1938">
        <v>82</v>
      </c>
      <c r="H1938">
        <v>0</v>
      </c>
      <c r="J1938" s="1">
        <f t="shared" si="150"/>
        <v>25281</v>
      </c>
      <c r="K1938" s="1">
        <f t="shared" si="151"/>
        <v>6724</v>
      </c>
      <c r="L1938" s="1">
        <f t="shared" si="152"/>
        <v>32005</v>
      </c>
      <c r="M1938" s="1">
        <f t="shared" si="153"/>
        <v>178.89941307897016</v>
      </c>
      <c r="N1938" s="7">
        <f t="shared" si="154"/>
        <v>178.89941307897016</v>
      </c>
    </row>
    <row r="1939" spans="1:14" x14ac:dyDescent="0.25">
      <c r="A1939" t="str">
        <f>"14:22:40.602"</f>
        <v>14:22:40.602</v>
      </c>
      <c r="B1939">
        <v>39.814259999999997</v>
      </c>
      <c r="C1939">
        <v>-75.929259999999999</v>
      </c>
      <c r="D1939">
        <v>4700</v>
      </c>
      <c r="E1939">
        <v>4900</v>
      </c>
      <c r="F1939">
        <v>159</v>
      </c>
      <c r="G1939">
        <v>81</v>
      </c>
      <c r="H1939">
        <v>0</v>
      </c>
      <c r="J1939" s="1">
        <f t="shared" si="150"/>
        <v>25281</v>
      </c>
      <c r="K1939" s="1">
        <f t="shared" si="151"/>
        <v>6561</v>
      </c>
      <c r="L1939" s="1">
        <f t="shared" si="152"/>
        <v>31842</v>
      </c>
      <c r="M1939" s="1">
        <f t="shared" si="153"/>
        <v>178.44326829555661</v>
      </c>
      <c r="N1939" s="7">
        <f t="shared" si="154"/>
        <v>178.44326829555661</v>
      </c>
    </row>
    <row r="1940" spans="1:14" x14ac:dyDescent="0.25">
      <c r="A1940" t="str">
        <f>"14:22:41.555"</f>
        <v>14:22:41.555</v>
      </c>
      <c r="B1940">
        <v>39.814646000000003</v>
      </c>
      <c r="C1940">
        <v>-75.928422999999995</v>
      </c>
      <c r="D1940">
        <v>4700</v>
      </c>
      <c r="E1940">
        <v>4900</v>
      </c>
      <c r="F1940">
        <v>159</v>
      </c>
      <c r="G1940">
        <v>81</v>
      </c>
      <c r="H1940">
        <v>64</v>
      </c>
      <c r="J1940" s="1">
        <f t="shared" si="150"/>
        <v>25281</v>
      </c>
      <c r="K1940" s="1">
        <f t="shared" si="151"/>
        <v>6561</v>
      </c>
      <c r="L1940" s="1">
        <f t="shared" si="152"/>
        <v>31842</v>
      </c>
      <c r="M1940" s="1">
        <f t="shared" si="153"/>
        <v>178.44326829555661</v>
      </c>
      <c r="N1940" s="7">
        <f t="shared" si="154"/>
        <v>178.44326829555661</v>
      </c>
    </row>
    <row r="1941" spans="1:14" x14ac:dyDescent="0.25">
      <c r="A1941" t="str">
        <f>"14:22:42.570"</f>
        <v>14:22:42.570</v>
      </c>
      <c r="B1941">
        <v>39.815054000000003</v>
      </c>
      <c r="C1941">
        <v>-75.927372000000005</v>
      </c>
      <c r="D1941">
        <v>4700</v>
      </c>
      <c r="E1941">
        <v>4900</v>
      </c>
      <c r="F1941">
        <v>160</v>
      </c>
      <c r="G1941">
        <v>81</v>
      </c>
      <c r="H1941">
        <v>128</v>
      </c>
      <c r="J1941" s="1">
        <f t="shared" si="150"/>
        <v>25600</v>
      </c>
      <c r="K1941" s="1">
        <f t="shared" si="151"/>
        <v>6561</v>
      </c>
      <c r="L1941" s="1">
        <f t="shared" si="152"/>
        <v>32161</v>
      </c>
      <c r="M1941" s="1">
        <f t="shared" si="153"/>
        <v>179.33488227336031</v>
      </c>
      <c r="N1941" s="7">
        <f t="shared" si="154"/>
        <v>179.33488227336031</v>
      </c>
    </row>
    <row r="1942" spans="1:14" x14ac:dyDescent="0.25">
      <c r="A1942" t="str">
        <f>"14:22:43.523"</f>
        <v>14:22:43.523</v>
      </c>
      <c r="B1942">
        <v>39.815376000000001</v>
      </c>
      <c r="C1942">
        <v>-75.926513999999997</v>
      </c>
      <c r="D1942">
        <v>4700</v>
      </c>
      <c r="E1942">
        <v>4900</v>
      </c>
      <c r="F1942">
        <v>160</v>
      </c>
      <c r="G1942">
        <v>80</v>
      </c>
      <c r="H1942">
        <v>128</v>
      </c>
      <c r="J1942" s="1">
        <f t="shared" si="150"/>
        <v>25600</v>
      </c>
      <c r="K1942" s="1">
        <f t="shared" si="151"/>
        <v>6400</v>
      </c>
      <c r="L1942" s="1">
        <f t="shared" si="152"/>
        <v>32000</v>
      </c>
      <c r="M1942" s="1">
        <f t="shared" si="153"/>
        <v>178.88543819998318</v>
      </c>
      <c r="N1942" s="7">
        <f t="shared" si="154"/>
        <v>178.88543819998318</v>
      </c>
    </row>
    <row r="1943" spans="1:14" x14ac:dyDescent="0.25">
      <c r="A1943" t="str">
        <f>"14:22:44.633"</f>
        <v>14:22:44.633</v>
      </c>
      <c r="B1943">
        <v>39.815761999999999</v>
      </c>
      <c r="C1943">
        <v>-75.925419000000005</v>
      </c>
      <c r="D1943">
        <v>4700</v>
      </c>
      <c r="E1943">
        <v>4900</v>
      </c>
      <c r="F1943">
        <v>160</v>
      </c>
      <c r="G1943">
        <v>80</v>
      </c>
      <c r="H1943">
        <v>128</v>
      </c>
      <c r="J1943" s="1">
        <f t="shared" si="150"/>
        <v>25600</v>
      </c>
      <c r="K1943" s="1">
        <f t="shared" si="151"/>
        <v>6400</v>
      </c>
      <c r="L1943" s="1">
        <f t="shared" si="152"/>
        <v>32000</v>
      </c>
      <c r="M1943" s="1">
        <f t="shared" si="153"/>
        <v>178.88543819998318</v>
      </c>
      <c r="N1943" s="7">
        <f t="shared" si="154"/>
        <v>178.88543819998318</v>
      </c>
    </row>
    <row r="1944" spans="1:14" x14ac:dyDescent="0.25">
      <c r="A1944" t="str">
        <f>"14:22:45.750"</f>
        <v>14:22:45.750</v>
      </c>
      <c r="B1944">
        <v>39.816191000000003</v>
      </c>
      <c r="C1944">
        <v>-75.924368000000001</v>
      </c>
      <c r="D1944">
        <v>4700</v>
      </c>
      <c r="E1944">
        <v>4900</v>
      </c>
      <c r="F1944">
        <v>160</v>
      </c>
      <c r="G1944">
        <v>80</v>
      </c>
      <c r="H1944">
        <v>64</v>
      </c>
      <c r="J1944" s="1">
        <f t="shared" si="150"/>
        <v>25600</v>
      </c>
      <c r="K1944" s="1">
        <f t="shared" si="151"/>
        <v>6400</v>
      </c>
      <c r="L1944" s="1">
        <f t="shared" si="152"/>
        <v>32000</v>
      </c>
      <c r="M1944" s="1">
        <f t="shared" si="153"/>
        <v>178.88543819998318</v>
      </c>
      <c r="N1944" s="7">
        <f t="shared" si="154"/>
        <v>178.88543819998318</v>
      </c>
    </row>
    <row r="1945" spans="1:14" x14ac:dyDescent="0.25">
      <c r="A1945" t="str">
        <f>"14:22:46.555"</f>
        <v>14:22:46.555</v>
      </c>
      <c r="B1945">
        <v>39.816491999999997</v>
      </c>
      <c r="C1945">
        <v>-75.923530999999997</v>
      </c>
      <c r="D1945">
        <v>4700</v>
      </c>
      <c r="E1945">
        <v>4900</v>
      </c>
      <c r="F1945">
        <v>160</v>
      </c>
      <c r="G1945">
        <v>80</v>
      </c>
      <c r="H1945">
        <v>0</v>
      </c>
      <c r="J1945" s="1">
        <f t="shared" si="150"/>
        <v>25600</v>
      </c>
      <c r="K1945" s="1">
        <f t="shared" si="151"/>
        <v>6400</v>
      </c>
      <c r="L1945" s="1">
        <f t="shared" si="152"/>
        <v>32000</v>
      </c>
      <c r="M1945" s="1">
        <f t="shared" si="153"/>
        <v>178.88543819998318</v>
      </c>
      <c r="N1945" s="7">
        <f t="shared" si="154"/>
        <v>178.88543819998318</v>
      </c>
    </row>
    <row r="1946" spans="1:14" x14ac:dyDescent="0.25">
      <c r="A1946" t="str">
        <f>"14:22:47.563"</f>
        <v>14:22:47.563</v>
      </c>
      <c r="B1946">
        <v>39.816834999999998</v>
      </c>
      <c r="C1946">
        <v>-75.922629999999998</v>
      </c>
      <c r="D1946">
        <v>4700</v>
      </c>
      <c r="E1946">
        <v>4900</v>
      </c>
      <c r="F1946">
        <v>160</v>
      </c>
      <c r="G1946">
        <v>80</v>
      </c>
      <c r="H1946">
        <v>0</v>
      </c>
      <c r="J1946" s="1">
        <f t="shared" si="150"/>
        <v>25600</v>
      </c>
      <c r="K1946" s="1">
        <f t="shared" si="151"/>
        <v>6400</v>
      </c>
      <c r="L1946" s="1">
        <f t="shared" si="152"/>
        <v>32000</v>
      </c>
      <c r="M1946" s="1">
        <f t="shared" si="153"/>
        <v>178.88543819998318</v>
      </c>
      <c r="N1946" s="7">
        <f t="shared" si="154"/>
        <v>178.88543819998318</v>
      </c>
    </row>
    <row r="1947" spans="1:14" x14ac:dyDescent="0.25">
      <c r="A1947" t="str">
        <f>"14:22:48.727"</f>
        <v>14:22:48.727</v>
      </c>
      <c r="B1947">
        <v>39.817286000000003</v>
      </c>
      <c r="C1947">
        <v>-75.921492999999998</v>
      </c>
      <c r="D1947">
        <v>4700</v>
      </c>
      <c r="E1947">
        <v>4900</v>
      </c>
      <c r="F1947">
        <v>160</v>
      </c>
      <c r="G1947">
        <v>79</v>
      </c>
      <c r="H1947">
        <v>-64</v>
      </c>
      <c r="J1947" s="1">
        <f t="shared" si="150"/>
        <v>25600</v>
      </c>
      <c r="K1947" s="1">
        <f t="shared" si="151"/>
        <v>6241</v>
      </c>
      <c r="L1947" s="1">
        <f t="shared" si="152"/>
        <v>31841</v>
      </c>
      <c r="M1947" s="1">
        <f t="shared" si="153"/>
        <v>178.44046626256053</v>
      </c>
      <c r="N1947" s="7">
        <f t="shared" si="154"/>
        <v>178.44046626256053</v>
      </c>
    </row>
    <row r="1948" spans="1:14" x14ac:dyDescent="0.25">
      <c r="A1948" t="str">
        <f>"14:22:49.688"</f>
        <v>14:22:49.688</v>
      </c>
      <c r="B1948">
        <v>39.81765</v>
      </c>
      <c r="C1948">
        <v>-75.920547999999997</v>
      </c>
      <c r="D1948">
        <v>4700</v>
      </c>
      <c r="E1948">
        <v>4900</v>
      </c>
      <c r="F1948">
        <v>160</v>
      </c>
      <c r="G1948">
        <v>79</v>
      </c>
      <c r="H1948">
        <v>-64</v>
      </c>
      <c r="J1948" s="1">
        <f t="shared" si="150"/>
        <v>25600</v>
      </c>
      <c r="K1948" s="1">
        <f t="shared" si="151"/>
        <v>6241</v>
      </c>
      <c r="L1948" s="1">
        <f t="shared" si="152"/>
        <v>31841</v>
      </c>
      <c r="M1948" s="1">
        <f t="shared" si="153"/>
        <v>178.44046626256053</v>
      </c>
      <c r="N1948" s="7">
        <f t="shared" si="154"/>
        <v>178.44046626256053</v>
      </c>
    </row>
    <row r="1949" spans="1:14" x14ac:dyDescent="0.25">
      <c r="A1949" t="str">
        <f>"14:22:50.641"</f>
        <v>14:22:50.641</v>
      </c>
      <c r="B1949">
        <v>39.817993999999999</v>
      </c>
      <c r="C1949">
        <v>-75.919668999999999</v>
      </c>
      <c r="D1949">
        <v>4700</v>
      </c>
      <c r="E1949">
        <v>4900</v>
      </c>
      <c r="F1949">
        <v>161</v>
      </c>
      <c r="G1949">
        <v>79</v>
      </c>
      <c r="H1949">
        <v>-64</v>
      </c>
      <c r="J1949" s="1">
        <f t="shared" si="150"/>
        <v>25921</v>
      </c>
      <c r="K1949" s="1">
        <f t="shared" si="151"/>
        <v>6241</v>
      </c>
      <c r="L1949" s="1">
        <f t="shared" si="152"/>
        <v>32162</v>
      </c>
      <c r="M1949" s="1">
        <f t="shared" si="153"/>
        <v>179.33767033169579</v>
      </c>
      <c r="N1949" s="7">
        <f t="shared" si="154"/>
        <v>179.33767033169579</v>
      </c>
    </row>
    <row r="1950" spans="1:14" x14ac:dyDescent="0.25">
      <c r="A1950" t="str">
        <f>"14:22:51.656"</f>
        <v>14:22:51.656</v>
      </c>
      <c r="B1950">
        <v>39.818358000000003</v>
      </c>
      <c r="C1950">
        <v>-75.918702999999994</v>
      </c>
      <c r="D1950">
        <v>4700</v>
      </c>
      <c r="E1950">
        <v>4900</v>
      </c>
      <c r="F1950">
        <v>161</v>
      </c>
      <c r="G1950">
        <v>79</v>
      </c>
      <c r="H1950">
        <v>-64</v>
      </c>
      <c r="J1950" s="1">
        <f t="shared" si="150"/>
        <v>25921</v>
      </c>
      <c r="K1950" s="1">
        <f t="shared" si="151"/>
        <v>6241</v>
      </c>
      <c r="L1950" s="1">
        <f t="shared" si="152"/>
        <v>32162</v>
      </c>
      <c r="M1950" s="1">
        <f t="shared" si="153"/>
        <v>179.33767033169579</v>
      </c>
      <c r="N1950" s="7">
        <f t="shared" si="154"/>
        <v>179.33767033169579</v>
      </c>
    </row>
    <row r="1951" spans="1:14" x14ac:dyDescent="0.25">
      <c r="A1951" t="str">
        <f>"14:22:52.563"</f>
        <v>14:22:52.563</v>
      </c>
      <c r="B1951">
        <v>39.818745</v>
      </c>
      <c r="C1951">
        <v>-75.917715999999999</v>
      </c>
      <c r="D1951">
        <v>4700</v>
      </c>
      <c r="E1951">
        <v>4900</v>
      </c>
      <c r="F1951">
        <v>161</v>
      </c>
      <c r="G1951">
        <v>79</v>
      </c>
      <c r="H1951">
        <v>-64</v>
      </c>
      <c r="J1951" s="1">
        <f t="shared" si="150"/>
        <v>25921</v>
      </c>
      <c r="K1951" s="1">
        <f t="shared" si="151"/>
        <v>6241</v>
      </c>
      <c r="L1951" s="1">
        <f t="shared" si="152"/>
        <v>32162</v>
      </c>
      <c r="M1951" s="1">
        <f t="shared" si="153"/>
        <v>179.33767033169579</v>
      </c>
      <c r="N1951" s="7">
        <f t="shared" si="154"/>
        <v>179.33767033169579</v>
      </c>
    </row>
    <row r="1952" spans="1:14" x14ac:dyDescent="0.25">
      <c r="A1952" t="str">
        <f>"14:22:53.578"</f>
        <v>14:22:53.578</v>
      </c>
      <c r="B1952">
        <v>39.819108999999997</v>
      </c>
      <c r="C1952">
        <v>-75.916749999999993</v>
      </c>
      <c r="D1952">
        <v>4700</v>
      </c>
      <c r="E1952">
        <v>4900</v>
      </c>
      <c r="F1952">
        <v>161</v>
      </c>
      <c r="G1952">
        <v>79</v>
      </c>
      <c r="H1952">
        <v>-64</v>
      </c>
      <c r="J1952" s="1">
        <f t="shared" si="150"/>
        <v>25921</v>
      </c>
      <c r="K1952" s="1">
        <f t="shared" si="151"/>
        <v>6241</v>
      </c>
      <c r="L1952" s="1">
        <f t="shared" si="152"/>
        <v>32162</v>
      </c>
      <c r="M1952" s="1">
        <f t="shared" si="153"/>
        <v>179.33767033169579</v>
      </c>
      <c r="N1952" s="7">
        <f t="shared" si="154"/>
        <v>179.33767033169579</v>
      </c>
    </row>
    <row r="1953" spans="1:14" x14ac:dyDescent="0.25">
      <c r="A1953" t="str">
        <f>"14:22:54.477"</f>
        <v>14:22:54.477</v>
      </c>
      <c r="B1953">
        <v>39.819453000000003</v>
      </c>
      <c r="C1953">
        <v>-75.915891999999999</v>
      </c>
      <c r="D1953">
        <v>4700</v>
      </c>
      <c r="E1953">
        <v>4900</v>
      </c>
      <c r="F1953">
        <v>161</v>
      </c>
      <c r="G1953">
        <v>79</v>
      </c>
      <c r="H1953">
        <v>0</v>
      </c>
      <c r="J1953" s="1">
        <f t="shared" si="150"/>
        <v>25921</v>
      </c>
      <c r="K1953" s="1">
        <f t="shared" si="151"/>
        <v>6241</v>
      </c>
      <c r="L1953" s="1">
        <f t="shared" si="152"/>
        <v>32162</v>
      </c>
      <c r="M1953" s="1">
        <f t="shared" si="153"/>
        <v>179.33767033169579</v>
      </c>
      <c r="N1953" s="7">
        <f t="shared" si="154"/>
        <v>179.33767033169579</v>
      </c>
    </row>
    <row r="1954" spans="1:14" x14ac:dyDescent="0.25">
      <c r="A1954" t="str">
        <f>"14:22:55.641"</f>
        <v>14:22:55.641</v>
      </c>
      <c r="B1954">
        <v>39.819859999999998</v>
      </c>
      <c r="C1954">
        <v>-75.914798000000005</v>
      </c>
      <c r="D1954">
        <v>4700</v>
      </c>
      <c r="E1954">
        <v>4900</v>
      </c>
      <c r="F1954">
        <v>161</v>
      </c>
      <c r="G1954">
        <v>80</v>
      </c>
      <c r="H1954">
        <v>0</v>
      </c>
      <c r="J1954" s="1">
        <f t="shared" si="150"/>
        <v>25921</v>
      </c>
      <c r="K1954" s="1">
        <f t="shared" si="151"/>
        <v>6400</v>
      </c>
      <c r="L1954" s="1">
        <f t="shared" si="152"/>
        <v>32321</v>
      </c>
      <c r="M1954" s="1">
        <f t="shared" si="153"/>
        <v>179.78042162593789</v>
      </c>
      <c r="N1954" s="7">
        <f t="shared" si="154"/>
        <v>179.78042162593789</v>
      </c>
    </row>
    <row r="1955" spans="1:14" x14ac:dyDescent="0.25">
      <c r="A1955" t="str">
        <f>"14:22:56.547"</f>
        <v>14:22:56.547</v>
      </c>
      <c r="B1955">
        <v>39.820182000000003</v>
      </c>
      <c r="C1955">
        <v>-75.913917999999995</v>
      </c>
      <c r="D1955">
        <v>4700</v>
      </c>
      <c r="E1955">
        <v>4900</v>
      </c>
      <c r="F1955">
        <v>161</v>
      </c>
      <c r="G1955">
        <v>80</v>
      </c>
      <c r="H1955">
        <v>0</v>
      </c>
      <c r="J1955" s="1">
        <f t="shared" si="150"/>
        <v>25921</v>
      </c>
      <c r="K1955" s="1">
        <f t="shared" si="151"/>
        <v>6400</v>
      </c>
      <c r="L1955" s="1">
        <f t="shared" si="152"/>
        <v>32321</v>
      </c>
      <c r="M1955" s="1">
        <f t="shared" si="153"/>
        <v>179.78042162593789</v>
      </c>
      <c r="N1955" s="7">
        <f t="shared" si="154"/>
        <v>179.78042162593789</v>
      </c>
    </row>
    <row r="1956" spans="1:14" x14ac:dyDescent="0.25">
      <c r="A1956" t="str">
        <f>"14:22:57.563"</f>
        <v>14:22:57.563</v>
      </c>
      <c r="B1956">
        <v>39.820546999999998</v>
      </c>
      <c r="C1956">
        <v>-75.912952000000004</v>
      </c>
      <c r="D1956">
        <v>4700</v>
      </c>
      <c r="E1956">
        <v>4900</v>
      </c>
      <c r="F1956">
        <v>161</v>
      </c>
      <c r="G1956">
        <v>80</v>
      </c>
      <c r="H1956">
        <v>0</v>
      </c>
      <c r="J1956" s="1">
        <f t="shared" si="150"/>
        <v>25921</v>
      </c>
      <c r="K1956" s="1">
        <f t="shared" si="151"/>
        <v>6400</v>
      </c>
      <c r="L1956" s="1">
        <f t="shared" si="152"/>
        <v>32321</v>
      </c>
      <c r="M1956" s="1">
        <f t="shared" si="153"/>
        <v>179.78042162593789</v>
      </c>
      <c r="N1956" s="7">
        <f t="shared" si="154"/>
        <v>179.78042162593789</v>
      </c>
    </row>
    <row r="1957" spans="1:14" x14ac:dyDescent="0.25">
      <c r="A1957" t="str">
        <f>"14:22:58.469"</f>
        <v>14:22:58.469</v>
      </c>
      <c r="B1957">
        <v>39.820869000000002</v>
      </c>
      <c r="C1957">
        <v>-75.912115999999997</v>
      </c>
      <c r="D1957">
        <v>4700</v>
      </c>
      <c r="E1957">
        <v>4900</v>
      </c>
      <c r="F1957">
        <v>161</v>
      </c>
      <c r="G1957">
        <v>80</v>
      </c>
      <c r="H1957">
        <v>0</v>
      </c>
      <c r="J1957" s="1">
        <f t="shared" si="150"/>
        <v>25921</v>
      </c>
      <c r="K1957" s="1">
        <f t="shared" si="151"/>
        <v>6400</v>
      </c>
      <c r="L1957" s="1">
        <f t="shared" si="152"/>
        <v>32321</v>
      </c>
      <c r="M1957" s="1">
        <f t="shared" si="153"/>
        <v>179.78042162593789</v>
      </c>
      <c r="N1957" s="7">
        <f t="shared" si="154"/>
        <v>179.78042162593789</v>
      </c>
    </row>
    <row r="1958" spans="1:14" x14ac:dyDescent="0.25">
      <c r="A1958" t="str">
        <f>"14:22:59.328"</f>
        <v>14:22:59.328</v>
      </c>
      <c r="B1958">
        <v>39.821190999999999</v>
      </c>
      <c r="C1958">
        <v>-75.911236000000002</v>
      </c>
      <c r="D1958">
        <v>4700</v>
      </c>
      <c r="E1958">
        <v>4900</v>
      </c>
      <c r="F1958">
        <v>161</v>
      </c>
      <c r="G1958">
        <v>80</v>
      </c>
      <c r="H1958">
        <v>0</v>
      </c>
      <c r="J1958" s="1">
        <f t="shared" si="150"/>
        <v>25921</v>
      </c>
      <c r="K1958" s="1">
        <f t="shared" si="151"/>
        <v>6400</v>
      </c>
      <c r="L1958" s="1">
        <f t="shared" si="152"/>
        <v>32321</v>
      </c>
      <c r="M1958" s="1">
        <f t="shared" si="153"/>
        <v>179.78042162593789</v>
      </c>
      <c r="N1958" s="7">
        <f t="shared" si="154"/>
        <v>179.78042162593789</v>
      </c>
    </row>
    <row r="1959" spans="1:14" x14ac:dyDescent="0.25">
      <c r="A1959" t="str">
        <f>"14:23:00.383"</f>
        <v>14:23:00.383</v>
      </c>
      <c r="B1959">
        <v>39.821620000000003</v>
      </c>
      <c r="C1959">
        <v>-75.910162999999997</v>
      </c>
      <c r="D1959">
        <v>4700</v>
      </c>
      <c r="E1959">
        <v>4900</v>
      </c>
      <c r="F1959">
        <v>161</v>
      </c>
      <c r="G1959">
        <v>80</v>
      </c>
      <c r="H1959">
        <v>0</v>
      </c>
      <c r="J1959" s="1">
        <f t="shared" si="150"/>
        <v>25921</v>
      </c>
      <c r="K1959" s="1">
        <f t="shared" si="151"/>
        <v>6400</v>
      </c>
      <c r="L1959" s="1">
        <f t="shared" si="152"/>
        <v>32321</v>
      </c>
      <c r="M1959" s="1">
        <f t="shared" si="153"/>
        <v>179.78042162593789</v>
      </c>
      <c r="N1959" s="7">
        <f t="shared" si="154"/>
        <v>179.78042162593789</v>
      </c>
    </row>
    <row r="1960" spans="1:14" x14ac:dyDescent="0.25">
      <c r="A1960" t="str">
        <f>"14:23:01.344"</f>
        <v>14:23:01.344</v>
      </c>
      <c r="B1960">
        <v>39.821919999999999</v>
      </c>
      <c r="C1960">
        <v>-75.909325999999993</v>
      </c>
      <c r="D1960">
        <v>4700</v>
      </c>
      <c r="E1960">
        <v>4900</v>
      </c>
      <c r="F1960">
        <v>161</v>
      </c>
      <c r="G1960">
        <v>80</v>
      </c>
      <c r="H1960">
        <v>0</v>
      </c>
      <c r="J1960" s="1">
        <f t="shared" si="150"/>
        <v>25921</v>
      </c>
      <c r="K1960" s="1">
        <f t="shared" si="151"/>
        <v>6400</v>
      </c>
      <c r="L1960" s="1">
        <f t="shared" si="152"/>
        <v>32321</v>
      </c>
      <c r="M1960" s="1">
        <f t="shared" si="153"/>
        <v>179.78042162593789</v>
      </c>
      <c r="N1960" s="7">
        <f t="shared" si="154"/>
        <v>179.78042162593789</v>
      </c>
    </row>
    <row r="1961" spans="1:14" x14ac:dyDescent="0.25">
      <c r="A1961" t="str">
        <f>"14:23:02.203"</f>
        <v>14:23:02.203</v>
      </c>
      <c r="B1961">
        <v>39.822263999999997</v>
      </c>
      <c r="C1961">
        <v>-75.908445999999998</v>
      </c>
      <c r="D1961">
        <v>4700</v>
      </c>
      <c r="E1961">
        <v>4900</v>
      </c>
      <c r="F1961">
        <v>161</v>
      </c>
      <c r="G1961">
        <v>80</v>
      </c>
      <c r="H1961">
        <v>0</v>
      </c>
      <c r="J1961" s="1">
        <f t="shared" si="150"/>
        <v>25921</v>
      </c>
      <c r="K1961" s="1">
        <f t="shared" si="151"/>
        <v>6400</v>
      </c>
      <c r="L1961" s="1">
        <f t="shared" si="152"/>
        <v>32321</v>
      </c>
      <c r="M1961" s="1">
        <f t="shared" si="153"/>
        <v>179.78042162593789</v>
      </c>
      <c r="N1961" s="7">
        <f t="shared" si="154"/>
        <v>179.78042162593789</v>
      </c>
    </row>
    <row r="1962" spans="1:14" x14ac:dyDescent="0.25">
      <c r="A1962" t="str">
        <f>"14:23:03.063"</f>
        <v>14:23:03.063</v>
      </c>
      <c r="B1962">
        <v>39.822606999999998</v>
      </c>
      <c r="C1962">
        <v>-75.907588000000004</v>
      </c>
      <c r="D1962">
        <v>4700</v>
      </c>
      <c r="E1962">
        <v>4900</v>
      </c>
      <c r="F1962">
        <v>161</v>
      </c>
      <c r="G1962">
        <v>80</v>
      </c>
      <c r="H1962">
        <v>0</v>
      </c>
      <c r="J1962" s="1">
        <f t="shared" si="150"/>
        <v>25921</v>
      </c>
      <c r="K1962" s="1">
        <f t="shared" si="151"/>
        <v>6400</v>
      </c>
      <c r="L1962" s="1">
        <f t="shared" si="152"/>
        <v>32321</v>
      </c>
      <c r="M1962" s="1">
        <f t="shared" si="153"/>
        <v>179.78042162593789</v>
      </c>
      <c r="N1962" s="7">
        <f t="shared" si="154"/>
        <v>179.78042162593789</v>
      </c>
    </row>
    <row r="1963" spans="1:14" x14ac:dyDescent="0.25">
      <c r="A1963" t="str">
        <f>"14:23:03.969"</f>
        <v>14:23:03.969</v>
      </c>
      <c r="B1963">
        <v>39.822885999999997</v>
      </c>
      <c r="C1963">
        <v>-75.906816000000006</v>
      </c>
      <c r="D1963">
        <v>4700</v>
      </c>
      <c r="E1963">
        <v>4900</v>
      </c>
      <c r="F1963">
        <v>161</v>
      </c>
      <c r="G1963">
        <v>80</v>
      </c>
      <c r="H1963">
        <v>0</v>
      </c>
      <c r="J1963" s="1">
        <f t="shared" si="150"/>
        <v>25921</v>
      </c>
      <c r="K1963" s="1">
        <f t="shared" si="151"/>
        <v>6400</v>
      </c>
      <c r="L1963" s="1">
        <f t="shared" si="152"/>
        <v>32321</v>
      </c>
      <c r="M1963" s="1">
        <f t="shared" si="153"/>
        <v>179.78042162593789</v>
      </c>
      <c r="N1963" s="7">
        <f t="shared" si="154"/>
        <v>179.78042162593789</v>
      </c>
    </row>
    <row r="1964" spans="1:14" x14ac:dyDescent="0.25">
      <c r="A1964" t="str">
        <f>"14:23:04.977"</f>
        <v>14:23:04.977</v>
      </c>
      <c r="B1964">
        <v>39.823293999999997</v>
      </c>
      <c r="C1964">
        <v>-75.905850000000001</v>
      </c>
      <c r="D1964">
        <v>4700</v>
      </c>
      <c r="E1964">
        <v>4900</v>
      </c>
      <c r="F1964">
        <v>161</v>
      </c>
      <c r="G1964">
        <v>81</v>
      </c>
      <c r="H1964">
        <v>0</v>
      </c>
      <c r="J1964" s="1">
        <f t="shared" si="150"/>
        <v>25921</v>
      </c>
      <c r="K1964" s="1">
        <f t="shared" si="151"/>
        <v>6561</v>
      </c>
      <c r="L1964" s="1">
        <f t="shared" si="152"/>
        <v>32482</v>
      </c>
      <c r="M1964" s="1">
        <f t="shared" si="153"/>
        <v>180.22763384120648</v>
      </c>
      <c r="N1964" s="7">
        <f t="shared" si="154"/>
        <v>180.22763384120648</v>
      </c>
    </row>
    <row r="1965" spans="1:14" x14ac:dyDescent="0.25">
      <c r="A1965" t="str">
        <f>"14:23:05.992"</f>
        <v>14:23:05.992</v>
      </c>
      <c r="B1965">
        <v>39.823680000000003</v>
      </c>
      <c r="C1965">
        <v>-75.904776999999996</v>
      </c>
      <c r="D1965">
        <v>4700</v>
      </c>
      <c r="E1965">
        <v>4900</v>
      </c>
      <c r="F1965">
        <v>161</v>
      </c>
      <c r="G1965">
        <v>81</v>
      </c>
      <c r="H1965">
        <v>0</v>
      </c>
      <c r="J1965" s="1">
        <f t="shared" si="150"/>
        <v>25921</v>
      </c>
      <c r="K1965" s="1">
        <f t="shared" si="151"/>
        <v>6561</v>
      </c>
      <c r="L1965" s="1">
        <f t="shared" si="152"/>
        <v>32482</v>
      </c>
      <c r="M1965" s="1">
        <f t="shared" si="153"/>
        <v>180.22763384120648</v>
      </c>
      <c r="N1965" s="7">
        <f t="shared" si="154"/>
        <v>180.22763384120648</v>
      </c>
    </row>
    <row r="1966" spans="1:14" x14ac:dyDescent="0.25">
      <c r="A1966" t="str">
        <f>"14:23:06.945"</f>
        <v>14:23:06.945</v>
      </c>
      <c r="B1966">
        <v>39.824022999999997</v>
      </c>
      <c r="C1966">
        <v>-75.903875999999997</v>
      </c>
      <c r="D1966">
        <v>4700</v>
      </c>
      <c r="E1966">
        <v>4900</v>
      </c>
      <c r="F1966">
        <v>161</v>
      </c>
      <c r="G1966">
        <v>81</v>
      </c>
      <c r="H1966">
        <v>0</v>
      </c>
      <c r="J1966" s="1">
        <f t="shared" si="150"/>
        <v>25921</v>
      </c>
      <c r="K1966" s="1">
        <f t="shared" si="151"/>
        <v>6561</v>
      </c>
      <c r="L1966" s="1">
        <f t="shared" si="152"/>
        <v>32482</v>
      </c>
      <c r="M1966" s="1">
        <f t="shared" si="153"/>
        <v>180.22763384120648</v>
      </c>
      <c r="N1966" s="7">
        <f t="shared" si="154"/>
        <v>180.22763384120648</v>
      </c>
    </row>
    <row r="1967" spans="1:14" x14ac:dyDescent="0.25">
      <c r="A1967" t="str">
        <f>"14:23:07.859"</f>
        <v>14:23:07.859</v>
      </c>
      <c r="B1967">
        <v>39.824367000000002</v>
      </c>
      <c r="C1967">
        <v>-75.903018000000003</v>
      </c>
      <c r="D1967">
        <v>4700</v>
      </c>
      <c r="E1967">
        <v>4900</v>
      </c>
      <c r="F1967">
        <v>161</v>
      </c>
      <c r="G1967">
        <v>81</v>
      </c>
      <c r="H1967">
        <v>0</v>
      </c>
      <c r="J1967" s="1">
        <f t="shared" si="150"/>
        <v>25921</v>
      </c>
      <c r="K1967" s="1">
        <f t="shared" si="151"/>
        <v>6561</v>
      </c>
      <c r="L1967" s="1">
        <f t="shared" si="152"/>
        <v>32482</v>
      </c>
      <c r="M1967" s="1">
        <f t="shared" si="153"/>
        <v>180.22763384120648</v>
      </c>
      <c r="N1967" s="7">
        <f t="shared" si="154"/>
        <v>180.22763384120648</v>
      </c>
    </row>
    <row r="1968" spans="1:14" x14ac:dyDescent="0.25">
      <c r="A1968" t="str">
        <f>"14:23:08.914"</f>
        <v>14:23:08.914</v>
      </c>
      <c r="B1968">
        <v>39.824753000000001</v>
      </c>
      <c r="C1968">
        <v>-75.901966000000002</v>
      </c>
      <c r="D1968">
        <v>4700</v>
      </c>
      <c r="E1968">
        <v>4900</v>
      </c>
      <c r="F1968">
        <v>160</v>
      </c>
      <c r="G1968">
        <v>81</v>
      </c>
      <c r="H1968">
        <v>0</v>
      </c>
      <c r="J1968" s="1">
        <f t="shared" si="150"/>
        <v>25600</v>
      </c>
      <c r="K1968" s="1">
        <f t="shared" si="151"/>
        <v>6561</v>
      </c>
      <c r="L1968" s="1">
        <f t="shared" si="152"/>
        <v>32161</v>
      </c>
      <c r="M1968" s="1">
        <f t="shared" si="153"/>
        <v>179.33488227336031</v>
      </c>
      <c r="N1968" s="7">
        <f t="shared" si="154"/>
        <v>179.33488227336031</v>
      </c>
    </row>
    <row r="1969" spans="1:14" x14ac:dyDescent="0.25">
      <c r="A1969" t="str">
        <f>"14:23:09.773"</f>
        <v>14:23:09.773</v>
      </c>
      <c r="B1969">
        <v>39.825074999999998</v>
      </c>
      <c r="C1969">
        <v>-75.901194000000004</v>
      </c>
      <c r="D1969">
        <v>4700</v>
      </c>
      <c r="E1969">
        <v>4900</v>
      </c>
      <c r="F1969">
        <v>160</v>
      </c>
      <c r="G1969">
        <v>81</v>
      </c>
      <c r="H1969">
        <v>0</v>
      </c>
      <c r="J1969" s="1">
        <f t="shared" si="150"/>
        <v>25600</v>
      </c>
      <c r="K1969" s="1">
        <f t="shared" si="151"/>
        <v>6561</v>
      </c>
      <c r="L1969" s="1">
        <f t="shared" si="152"/>
        <v>32161</v>
      </c>
      <c r="M1969" s="1">
        <f t="shared" si="153"/>
        <v>179.33488227336031</v>
      </c>
      <c r="N1969" s="7">
        <f t="shared" si="154"/>
        <v>179.33488227336031</v>
      </c>
    </row>
    <row r="1970" spans="1:14" x14ac:dyDescent="0.25">
      <c r="A1970" t="str">
        <f>"14:23:10.633"</f>
        <v>14:23:10.633</v>
      </c>
      <c r="B1970">
        <v>39.825439000000003</v>
      </c>
      <c r="C1970">
        <v>-75.900334999999998</v>
      </c>
      <c r="D1970">
        <v>4700</v>
      </c>
      <c r="E1970">
        <v>4900</v>
      </c>
      <c r="F1970">
        <v>160</v>
      </c>
      <c r="G1970">
        <v>82</v>
      </c>
      <c r="H1970">
        <v>0</v>
      </c>
      <c r="J1970" s="1">
        <f t="shared" si="150"/>
        <v>25600</v>
      </c>
      <c r="K1970" s="1">
        <f t="shared" si="151"/>
        <v>6724</v>
      </c>
      <c r="L1970" s="1">
        <f t="shared" si="152"/>
        <v>32324</v>
      </c>
      <c r="M1970" s="1">
        <f t="shared" si="153"/>
        <v>179.78876494375282</v>
      </c>
      <c r="N1970" s="7">
        <f t="shared" si="154"/>
        <v>179.78876494375282</v>
      </c>
    </row>
    <row r="1971" spans="1:14" x14ac:dyDescent="0.25">
      <c r="A1971" t="str">
        <f>"14:23:11.742"</f>
        <v>14:23:11.742</v>
      </c>
      <c r="B1971">
        <v>39.825847000000003</v>
      </c>
      <c r="C1971">
        <v>-75.899283999999994</v>
      </c>
      <c r="D1971">
        <v>4700</v>
      </c>
      <c r="E1971">
        <v>4900</v>
      </c>
      <c r="F1971">
        <v>160</v>
      </c>
      <c r="G1971">
        <v>82</v>
      </c>
      <c r="H1971">
        <v>0</v>
      </c>
      <c r="J1971" s="1">
        <f t="shared" si="150"/>
        <v>25600</v>
      </c>
      <c r="K1971" s="1">
        <f t="shared" si="151"/>
        <v>6724</v>
      </c>
      <c r="L1971" s="1">
        <f t="shared" si="152"/>
        <v>32324</v>
      </c>
      <c r="M1971" s="1">
        <f t="shared" si="153"/>
        <v>179.78876494375282</v>
      </c>
      <c r="N1971" s="7">
        <f t="shared" si="154"/>
        <v>179.78876494375282</v>
      </c>
    </row>
    <row r="1972" spans="1:14" x14ac:dyDescent="0.25">
      <c r="A1972" t="str">
        <f>"14:23:12.805"</f>
        <v>14:23:12.805</v>
      </c>
      <c r="B1972">
        <v>39.826276</v>
      </c>
      <c r="C1972">
        <v>-75.89819</v>
      </c>
      <c r="D1972">
        <v>4700</v>
      </c>
      <c r="E1972">
        <v>4900</v>
      </c>
      <c r="F1972">
        <v>160</v>
      </c>
      <c r="G1972">
        <v>82</v>
      </c>
      <c r="H1972">
        <v>0</v>
      </c>
      <c r="J1972" s="1">
        <f t="shared" si="150"/>
        <v>25600</v>
      </c>
      <c r="K1972" s="1">
        <f t="shared" si="151"/>
        <v>6724</v>
      </c>
      <c r="L1972" s="1">
        <f t="shared" si="152"/>
        <v>32324</v>
      </c>
      <c r="M1972" s="1">
        <f t="shared" si="153"/>
        <v>179.78876494375282</v>
      </c>
      <c r="N1972" s="7">
        <f t="shared" si="154"/>
        <v>179.78876494375282</v>
      </c>
    </row>
    <row r="1973" spans="1:14" x14ac:dyDescent="0.25">
      <c r="A1973" t="str">
        <f>"14:23:13.867"</f>
        <v>14:23:13.867</v>
      </c>
      <c r="B1973">
        <v>39.826641000000002</v>
      </c>
      <c r="C1973">
        <v>-75.897223999999994</v>
      </c>
      <c r="D1973">
        <v>4700</v>
      </c>
      <c r="E1973">
        <v>4900</v>
      </c>
      <c r="F1973">
        <v>160</v>
      </c>
      <c r="G1973">
        <v>82</v>
      </c>
      <c r="H1973">
        <v>0</v>
      </c>
      <c r="J1973" s="1">
        <f t="shared" si="150"/>
        <v>25600</v>
      </c>
      <c r="K1973" s="1">
        <f t="shared" si="151"/>
        <v>6724</v>
      </c>
      <c r="L1973" s="1">
        <f t="shared" si="152"/>
        <v>32324</v>
      </c>
      <c r="M1973" s="1">
        <f t="shared" si="153"/>
        <v>179.78876494375282</v>
      </c>
      <c r="N1973" s="7">
        <f t="shared" si="154"/>
        <v>179.78876494375282</v>
      </c>
    </row>
    <row r="1974" spans="1:14" x14ac:dyDescent="0.25">
      <c r="A1974" t="str">
        <f>"14:23:14.922"</f>
        <v>14:23:14.922</v>
      </c>
      <c r="B1974">
        <v>39.827049000000002</v>
      </c>
      <c r="C1974">
        <v>-75.896173000000005</v>
      </c>
      <c r="D1974">
        <v>4700</v>
      </c>
      <c r="E1974">
        <v>4900</v>
      </c>
      <c r="F1974">
        <v>160</v>
      </c>
      <c r="G1974">
        <v>82</v>
      </c>
      <c r="H1974">
        <v>0</v>
      </c>
      <c r="J1974" s="1">
        <f t="shared" si="150"/>
        <v>25600</v>
      </c>
      <c r="K1974" s="1">
        <f t="shared" si="151"/>
        <v>6724</v>
      </c>
      <c r="L1974" s="1">
        <f t="shared" si="152"/>
        <v>32324</v>
      </c>
      <c r="M1974" s="1">
        <f t="shared" si="153"/>
        <v>179.78876494375282</v>
      </c>
      <c r="N1974" s="7">
        <f t="shared" si="154"/>
        <v>179.78876494375282</v>
      </c>
    </row>
    <row r="1975" spans="1:14" x14ac:dyDescent="0.25">
      <c r="A1975" t="str">
        <f>"14:23:15.828"</f>
        <v>14:23:15.828</v>
      </c>
      <c r="B1975">
        <v>39.827392000000003</v>
      </c>
      <c r="C1975">
        <v>-75.895313999999999</v>
      </c>
      <c r="D1975">
        <v>4700</v>
      </c>
      <c r="E1975">
        <v>4900</v>
      </c>
      <c r="F1975">
        <v>160</v>
      </c>
      <c r="G1975">
        <v>82</v>
      </c>
      <c r="H1975">
        <v>0</v>
      </c>
      <c r="J1975" s="1">
        <f t="shared" si="150"/>
        <v>25600</v>
      </c>
      <c r="K1975" s="1">
        <f t="shared" si="151"/>
        <v>6724</v>
      </c>
      <c r="L1975" s="1">
        <f t="shared" si="152"/>
        <v>32324</v>
      </c>
      <c r="M1975" s="1">
        <f t="shared" si="153"/>
        <v>179.78876494375282</v>
      </c>
      <c r="N1975" s="7">
        <f t="shared" si="154"/>
        <v>179.78876494375282</v>
      </c>
    </row>
    <row r="1976" spans="1:14" x14ac:dyDescent="0.25">
      <c r="A1976" t="str">
        <f>"14:23:16.844"</f>
        <v>14:23:16.844</v>
      </c>
      <c r="B1976">
        <v>39.827756999999998</v>
      </c>
      <c r="C1976">
        <v>-75.894349000000005</v>
      </c>
      <c r="D1976">
        <v>4700</v>
      </c>
      <c r="E1976">
        <v>4900</v>
      </c>
      <c r="F1976">
        <v>160</v>
      </c>
      <c r="G1976">
        <v>83</v>
      </c>
      <c r="H1976">
        <v>0</v>
      </c>
      <c r="J1976" s="1">
        <f t="shared" si="150"/>
        <v>25600</v>
      </c>
      <c r="K1976" s="1">
        <f t="shared" si="151"/>
        <v>6889</v>
      </c>
      <c r="L1976" s="1">
        <f t="shared" si="152"/>
        <v>32489</v>
      </c>
      <c r="M1976" s="1">
        <f t="shared" si="153"/>
        <v>180.24705268048075</v>
      </c>
      <c r="N1976" s="7">
        <f t="shared" si="154"/>
        <v>180.24705268048075</v>
      </c>
    </row>
    <row r="1977" spans="1:14" x14ac:dyDescent="0.25">
      <c r="A1977" t="str">
        <f>"14:23:17.750"</f>
        <v>14:23:17.750</v>
      </c>
      <c r="B1977">
        <v>39.828142999999997</v>
      </c>
      <c r="C1977">
        <v>-75.89349</v>
      </c>
      <c r="D1977">
        <v>4700</v>
      </c>
      <c r="E1977">
        <v>4900</v>
      </c>
      <c r="F1977">
        <v>160</v>
      </c>
      <c r="G1977">
        <v>83</v>
      </c>
      <c r="H1977">
        <v>0</v>
      </c>
      <c r="J1977" s="1">
        <f t="shared" si="150"/>
        <v>25600</v>
      </c>
      <c r="K1977" s="1">
        <f t="shared" si="151"/>
        <v>6889</v>
      </c>
      <c r="L1977" s="1">
        <f t="shared" si="152"/>
        <v>32489</v>
      </c>
      <c r="M1977" s="1">
        <f t="shared" si="153"/>
        <v>180.24705268048075</v>
      </c>
      <c r="N1977" s="7">
        <f t="shared" si="154"/>
        <v>180.24705268048075</v>
      </c>
    </row>
    <row r="1978" spans="1:14" x14ac:dyDescent="0.25">
      <c r="A1978" t="str">
        <f>"14:23:18.914"</f>
        <v>14:23:18.914</v>
      </c>
      <c r="B1978">
        <v>39.828594000000002</v>
      </c>
      <c r="C1978">
        <v>-75.892353</v>
      </c>
      <c r="D1978">
        <v>4700</v>
      </c>
      <c r="E1978">
        <v>4900</v>
      </c>
      <c r="F1978">
        <v>160</v>
      </c>
      <c r="G1978">
        <v>83</v>
      </c>
      <c r="H1978">
        <v>0</v>
      </c>
      <c r="J1978" s="1">
        <f t="shared" si="150"/>
        <v>25600</v>
      </c>
      <c r="K1978" s="1">
        <f t="shared" si="151"/>
        <v>6889</v>
      </c>
      <c r="L1978" s="1">
        <f t="shared" si="152"/>
        <v>32489</v>
      </c>
      <c r="M1978" s="1">
        <f t="shared" si="153"/>
        <v>180.24705268048075</v>
      </c>
      <c r="N1978" s="7">
        <f t="shared" si="154"/>
        <v>180.24705268048075</v>
      </c>
    </row>
    <row r="1979" spans="1:14" x14ac:dyDescent="0.25">
      <c r="A1979" t="str">
        <f>"14:23:19.922"</f>
        <v>14:23:19.922</v>
      </c>
      <c r="B1979">
        <v>39.828958999999998</v>
      </c>
      <c r="C1979">
        <v>-75.891345000000001</v>
      </c>
      <c r="D1979">
        <v>4700</v>
      </c>
      <c r="E1979">
        <v>4900</v>
      </c>
      <c r="F1979">
        <v>160</v>
      </c>
      <c r="G1979">
        <v>83</v>
      </c>
      <c r="H1979">
        <v>0</v>
      </c>
      <c r="J1979" s="1">
        <f t="shared" si="150"/>
        <v>25600</v>
      </c>
      <c r="K1979" s="1">
        <f t="shared" si="151"/>
        <v>6889</v>
      </c>
      <c r="L1979" s="1">
        <f t="shared" si="152"/>
        <v>32489</v>
      </c>
      <c r="M1979" s="1">
        <f t="shared" si="153"/>
        <v>180.24705268048075</v>
      </c>
      <c r="N1979" s="7">
        <f t="shared" si="154"/>
        <v>180.24705268048075</v>
      </c>
    </row>
    <row r="1980" spans="1:14" x14ac:dyDescent="0.25">
      <c r="A1980" t="str">
        <f>"14:23:20.883"</f>
        <v>14:23:20.883</v>
      </c>
      <c r="B1980">
        <v>39.829366</v>
      </c>
      <c r="C1980">
        <v>-75.8904</v>
      </c>
      <c r="D1980">
        <v>4700</v>
      </c>
      <c r="E1980">
        <v>4900</v>
      </c>
      <c r="F1980">
        <v>160</v>
      </c>
      <c r="G1980">
        <v>83</v>
      </c>
      <c r="H1980">
        <v>0</v>
      </c>
      <c r="J1980" s="1">
        <f t="shared" si="150"/>
        <v>25600</v>
      </c>
      <c r="K1980" s="1">
        <f t="shared" si="151"/>
        <v>6889</v>
      </c>
      <c r="L1980" s="1">
        <f t="shared" si="152"/>
        <v>32489</v>
      </c>
      <c r="M1980" s="1">
        <f t="shared" si="153"/>
        <v>180.24705268048075</v>
      </c>
      <c r="N1980" s="7">
        <f t="shared" si="154"/>
        <v>180.24705268048075</v>
      </c>
    </row>
    <row r="1981" spans="1:14" x14ac:dyDescent="0.25">
      <c r="A1981" t="str">
        <f>"14:23:21.938"</f>
        <v>14:23:21.938</v>
      </c>
      <c r="B1981">
        <v>39.829751999999999</v>
      </c>
      <c r="C1981">
        <v>-75.889435000000006</v>
      </c>
      <c r="D1981">
        <v>4700</v>
      </c>
      <c r="E1981">
        <v>4900</v>
      </c>
      <c r="F1981">
        <v>160</v>
      </c>
      <c r="G1981">
        <v>83</v>
      </c>
      <c r="H1981">
        <v>0</v>
      </c>
      <c r="J1981" s="1">
        <f t="shared" si="150"/>
        <v>25600</v>
      </c>
      <c r="K1981" s="1">
        <f t="shared" si="151"/>
        <v>6889</v>
      </c>
      <c r="L1981" s="1">
        <f t="shared" si="152"/>
        <v>32489</v>
      </c>
      <c r="M1981" s="1">
        <f t="shared" si="153"/>
        <v>180.24705268048075</v>
      </c>
      <c r="N1981" s="7">
        <f t="shared" si="154"/>
        <v>180.24705268048075</v>
      </c>
    </row>
    <row r="1982" spans="1:14" x14ac:dyDescent="0.25">
      <c r="A1982" t="str">
        <f>"14:23:23.055"</f>
        <v>14:23:23.055</v>
      </c>
      <c r="B1982">
        <v>39.830182000000001</v>
      </c>
      <c r="C1982">
        <v>-75.888362000000001</v>
      </c>
      <c r="D1982">
        <v>4700</v>
      </c>
      <c r="E1982">
        <v>4900</v>
      </c>
      <c r="F1982">
        <v>160</v>
      </c>
      <c r="G1982">
        <v>84</v>
      </c>
      <c r="H1982">
        <v>0</v>
      </c>
      <c r="J1982" s="1">
        <f t="shared" si="150"/>
        <v>25600</v>
      </c>
      <c r="K1982" s="1">
        <f t="shared" si="151"/>
        <v>7056</v>
      </c>
      <c r="L1982" s="1">
        <f t="shared" si="152"/>
        <v>32656</v>
      </c>
      <c r="M1982" s="1">
        <f t="shared" si="153"/>
        <v>180.70971196922429</v>
      </c>
      <c r="N1982" s="7">
        <f t="shared" si="154"/>
        <v>180.70971196922429</v>
      </c>
    </row>
    <row r="1983" spans="1:14" x14ac:dyDescent="0.25">
      <c r="A1983" t="str">
        <f>"14:23:24.063"</f>
        <v>14:23:24.063</v>
      </c>
      <c r="B1983">
        <v>39.830568</v>
      </c>
      <c r="C1983">
        <v>-75.887461000000002</v>
      </c>
      <c r="D1983">
        <v>4700</v>
      </c>
      <c r="E1983">
        <v>4900</v>
      </c>
      <c r="F1983">
        <v>160</v>
      </c>
      <c r="G1983">
        <v>84</v>
      </c>
      <c r="H1983">
        <v>0</v>
      </c>
      <c r="J1983" s="1">
        <f t="shared" si="150"/>
        <v>25600</v>
      </c>
      <c r="K1983" s="1">
        <f t="shared" si="151"/>
        <v>7056</v>
      </c>
      <c r="L1983" s="1">
        <f t="shared" si="152"/>
        <v>32656</v>
      </c>
      <c r="M1983" s="1">
        <f t="shared" si="153"/>
        <v>180.70971196922429</v>
      </c>
      <c r="N1983" s="7">
        <f t="shared" si="154"/>
        <v>180.70971196922429</v>
      </c>
    </row>
    <row r="1984" spans="1:14" x14ac:dyDescent="0.25">
      <c r="A1984" t="str">
        <f>"14:23:25.172"</f>
        <v>14:23:25.172</v>
      </c>
      <c r="B1984">
        <v>39.831018</v>
      </c>
      <c r="C1984">
        <v>-75.886302000000001</v>
      </c>
      <c r="D1984">
        <v>4700</v>
      </c>
      <c r="E1984">
        <v>4900</v>
      </c>
      <c r="F1984">
        <v>160</v>
      </c>
      <c r="G1984">
        <v>84</v>
      </c>
      <c r="H1984">
        <v>0</v>
      </c>
      <c r="J1984" s="1">
        <f t="shared" si="150"/>
        <v>25600</v>
      </c>
      <c r="K1984" s="1">
        <f t="shared" si="151"/>
        <v>7056</v>
      </c>
      <c r="L1984" s="1">
        <f t="shared" si="152"/>
        <v>32656</v>
      </c>
      <c r="M1984" s="1">
        <f t="shared" si="153"/>
        <v>180.70971196922429</v>
      </c>
      <c r="N1984" s="7">
        <f t="shared" si="154"/>
        <v>180.70971196922429</v>
      </c>
    </row>
    <row r="1985" spans="1:14" x14ac:dyDescent="0.25">
      <c r="A1985" t="str">
        <f>"14:23:26.336"</f>
        <v>14:23:26.336</v>
      </c>
      <c r="B1985">
        <v>39.831426</v>
      </c>
      <c r="C1985">
        <v>-75.885250999999997</v>
      </c>
      <c r="D1985">
        <v>4700</v>
      </c>
      <c r="E1985">
        <v>4900</v>
      </c>
      <c r="F1985">
        <v>160</v>
      </c>
      <c r="G1985">
        <v>84</v>
      </c>
      <c r="H1985">
        <v>0</v>
      </c>
      <c r="J1985" s="1">
        <f t="shared" si="150"/>
        <v>25600</v>
      </c>
      <c r="K1985" s="1">
        <f t="shared" si="151"/>
        <v>7056</v>
      </c>
      <c r="L1985" s="1">
        <f t="shared" si="152"/>
        <v>32656</v>
      </c>
      <c r="M1985" s="1">
        <f t="shared" si="153"/>
        <v>180.70971196922429</v>
      </c>
      <c r="N1985" s="7">
        <f t="shared" si="154"/>
        <v>180.70971196922429</v>
      </c>
    </row>
    <row r="1986" spans="1:14" x14ac:dyDescent="0.25">
      <c r="A1986" t="str">
        <f>"14:23:27.344"</f>
        <v>14:23:27.344</v>
      </c>
      <c r="B1986">
        <v>39.831854999999997</v>
      </c>
      <c r="C1986">
        <v>-75.884305999999995</v>
      </c>
      <c r="D1986">
        <v>4700</v>
      </c>
      <c r="E1986">
        <v>4900</v>
      </c>
      <c r="F1986">
        <v>160</v>
      </c>
      <c r="G1986">
        <v>84</v>
      </c>
      <c r="H1986">
        <v>0</v>
      </c>
      <c r="J1986" s="1">
        <f t="shared" si="150"/>
        <v>25600</v>
      </c>
      <c r="K1986" s="1">
        <f t="shared" si="151"/>
        <v>7056</v>
      </c>
      <c r="L1986" s="1">
        <f t="shared" si="152"/>
        <v>32656</v>
      </c>
      <c r="M1986" s="1">
        <f t="shared" si="153"/>
        <v>180.70971196922429</v>
      </c>
      <c r="N1986" s="7">
        <f t="shared" si="154"/>
        <v>180.70971196922429</v>
      </c>
    </row>
    <row r="1987" spans="1:14" x14ac:dyDescent="0.25">
      <c r="A1987" t="str">
        <f>"14:23:28.305"</f>
        <v>14:23:28.305</v>
      </c>
      <c r="B1987">
        <v>39.832199000000003</v>
      </c>
      <c r="C1987">
        <v>-75.883426999999998</v>
      </c>
      <c r="D1987">
        <v>4700</v>
      </c>
      <c r="E1987">
        <v>4900</v>
      </c>
      <c r="F1987">
        <v>160</v>
      </c>
      <c r="G1987">
        <v>84</v>
      </c>
      <c r="H1987">
        <v>0</v>
      </c>
      <c r="J1987" s="1">
        <f t="shared" ref="J1987:J2050" si="155">F1987^2</f>
        <v>25600</v>
      </c>
      <c r="K1987" s="1">
        <f t="shared" ref="K1987:K2050" si="156">G1987^2</f>
        <v>7056</v>
      </c>
      <c r="L1987" s="1">
        <f t="shared" ref="L1987:L2050" si="157">SUMSQ(F1987,G1987)</f>
        <v>32656</v>
      </c>
      <c r="M1987" s="1">
        <f t="shared" ref="M1987:M2050" si="158">SQRT(L1987)</f>
        <v>180.70971196922429</v>
      </c>
      <c r="N1987" s="7">
        <f t="shared" ref="N1987:N2050" si="159">M1987</f>
        <v>180.70971196922429</v>
      </c>
    </row>
    <row r="1988" spans="1:14" x14ac:dyDescent="0.25">
      <c r="A1988" t="str">
        <f>"14:23:29.211"</f>
        <v>14:23:29.211</v>
      </c>
      <c r="B1988">
        <v>39.832605999999998</v>
      </c>
      <c r="C1988">
        <v>-75.882440000000003</v>
      </c>
      <c r="D1988">
        <v>4700</v>
      </c>
      <c r="E1988">
        <v>4900</v>
      </c>
      <c r="F1988">
        <v>159</v>
      </c>
      <c r="G1988">
        <v>84</v>
      </c>
      <c r="H1988">
        <v>64</v>
      </c>
      <c r="J1988" s="1">
        <f t="shared" si="155"/>
        <v>25281</v>
      </c>
      <c r="K1988" s="1">
        <f t="shared" si="156"/>
        <v>7056</v>
      </c>
      <c r="L1988" s="1">
        <f t="shared" si="157"/>
        <v>32337</v>
      </c>
      <c r="M1988" s="1">
        <f t="shared" si="158"/>
        <v>179.82491484774852</v>
      </c>
      <c r="N1988" s="7">
        <f t="shared" si="159"/>
        <v>179.82491484774852</v>
      </c>
    </row>
    <row r="1989" spans="1:14" x14ac:dyDescent="0.25">
      <c r="A1989" t="str">
        <f>"14:23:30.117"</f>
        <v>14:23:30.117</v>
      </c>
      <c r="B1989">
        <v>39.832949999999997</v>
      </c>
      <c r="C1989">
        <v>-75.881602999999998</v>
      </c>
      <c r="D1989">
        <v>4700</v>
      </c>
      <c r="E1989">
        <v>4900</v>
      </c>
      <c r="F1989">
        <v>159</v>
      </c>
      <c r="G1989">
        <v>84</v>
      </c>
      <c r="H1989">
        <v>64</v>
      </c>
      <c r="J1989" s="1">
        <f t="shared" si="155"/>
        <v>25281</v>
      </c>
      <c r="K1989" s="1">
        <f t="shared" si="156"/>
        <v>7056</v>
      </c>
      <c r="L1989" s="1">
        <f t="shared" si="157"/>
        <v>32337</v>
      </c>
      <c r="M1989" s="1">
        <f t="shared" si="158"/>
        <v>179.82491484774852</v>
      </c>
      <c r="N1989" s="7">
        <f t="shared" si="159"/>
        <v>179.82491484774852</v>
      </c>
    </row>
    <row r="1990" spans="1:14" x14ac:dyDescent="0.25">
      <c r="A1990" t="str">
        <f>"14:23:31.180"</f>
        <v>14:23:31.180</v>
      </c>
      <c r="B1990">
        <v>39.833356999999999</v>
      </c>
      <c r="C1990">
        <v>-75.880550999999997</v>
      </c>
      <c r="D1990">
        <v>4700</v>
      </c>
      <c r="E1990">
        <v>4900</v>
      </c>
      <c r="F1990">
        <v>159</v>
      </c>
      <c r="G1990">
        <v>84</v>
      </c>
      <c r="H1990">
        <v>64</v>
      </c>
      <c r="J1990" s="1">
        <f t="shared" si="155"/>
        <v>25281</v>
      </c>
      <c r="K1990" s="1">
        <f t="shared" si="156"/>
        <v>7056</v>
      </c>
      <c r="L1990" s="1">
        <f t="shared" si="157"/>
        <v>32337</v>
      </c>
      <c r="M1990" s="1">
        <f t="shared" si="158"/>
        <v>179.82491484774852</v>
      </c>
      <c r="N1990" s="7">
        <f t="shared" si="159"/>
        <v>179.82491484774852</v>
      </c>
    </row>
    <row r="1991" spans="1:14" x14ac:dyDescent="0.25">
      <c r="A1991" t="str">
        <f>"14:23:32.242"</f>
        <v>14:23:32.242</v>
      </c>
      <c r="B1991">
        <v>39.833765</v>
      </c>
      <c r="C1991">
        <v>-75.879586000000003</v>
      </c>
      <c r="D1991">
        <v>4700</v>
      </c>
      <c r="E1991">
        <v>4900</v>
      </c>
      <c r="F1991">
        <v>159</v>
      </c>
      <c r="G1991">
        <v>84</v>
      </c>
      <c r="H1991">
        <v>64</v>
      </c>
      <c r="J1991" s="1">
        <f t="shared" si="155"/>
        <v>25281</v>
      </c>
      <c r="K1991" s="1">
        <f t="shared" si="156"/>
        <v>7056</v>
      </c>
      <c r="L1991" s="1">
        <f t="shared" si="157"/>
        <v>32337</v>
      </c>
      <c r="M1991" s="1">
        <f t="shared" si="158"/>
        <v>179.82491484774852</v>
      </c>
      <c r="N1991" s="7">
        <f t="shared" si="159"/>
        <v>179.82491484774852</v>
      </c>
    </row>
    <row r="1992" spans="1:14" x14ac:dyDescent="0.25">
      <c r="A1992" t="str">
        <f>"14:23:33.195"</f>
        <v>14:23:33.195</v>
      </c>
      <c r="B1992">
        <v>39.834150999999999</v>
      </c>
      <c r="C1992">
        <v>-75.878598999999994</v>
      </c>
      <c r="D1992">
        <v>4700</v>
      </c>
      <c r="E1992">
        <v>4900</v>
      </c>
      <c r="F1992">
        <v>160</v>
      </c>
      <c r="G1992">
        <v>84</v>
      </c>
      <c r="H1992">
        <v>0</v>
      </c>
      <c r="J1992" s="1">
        <f t="shared" si="155"/>
        <v>25600</v>
      </c>
      <c r="K1992" s="1">
        <f t="shared" si="156"/>
        <v>7056</v>
      </c>
      <c r="L1992" s="1">
        <f t="shared" si="157"/>
        <v>32656</v>
      </c>
      <c r="M1992" s="1">
        <f t="shared" si="158"/>
        <v>180.70971196922429</v>
      </c>
      <c r="N1992" s="7">
        <f t="shared" si="159"/>
        <v>180.70971196922429</v>
      </c>
    </row>
    <row r="1993" spans="1:14" x14ac:dyDescent="0.25">
      <c r="A1993" t="str">
        <f>"14:23:34.305"</f>
        <v>14:23:34.305</v>
      </c>
      <c r="B1993">
        <v>39.834601999999997</v>
      </c>
      <c r="C1993">
        <v>-75.877547000000007</v>
      </c>
      <c r="D1993">
        <v>4700</v>
      </c>
      <c r="E1993">
        <v>4900</v>
      </c>
      <c r="F1993">
        <v>160</v>
      </c>
      <c r="G1993">
        <v>84</v>
      </c>
      <c r="H1993">
        <v>0</v>
      </c>
      <c r="J1993" s="1">
        <f t="shared" si="155"/>
        <v>25600</v>
      </c>
      <c r="K1993" s="1">
        <f t="shared" si="156"/>
        <v>7056</v>
      </c>
      <c r="L1993" s="1">
        <f t="shared" si="157"/>
        <v>32656</v>
      </c>
      <c r="M1993" s="1">
        <f t="shared" si="158"/>
        <v>180.70971196922429</v>
      </c>
      <c r="N1993" s="7">
        <f t="shared" si="159"/>
        <v>180.70971196922429</v>
      </c>
    </row>
    <row r="1994" spans="1:14" x14ac:dyDescent="0.25">
      <c r="A1994" t="str">
        <f>"14:23:35.164"</f>
        <v>14:23:35.164</v>
      </c>
      <c r="B1994">
        <v>39.834924000000001</v>
      </c>
      <c r="C1994">
        <v>-75.876774999999995</v>
      </c>
      <c r="D1994">
        <v>4700</v>
      </c>
      <c r="E1994">
        <v>4900</v>
      </c>
      <c r="F1994">
        <v>160</v>
      </c>
      <c r="G1994">
        <v>84</v>
      </c>
      <c r="H1994">
        <v>0</v>
      </c>
      <c r="J1994" s="1">
        <f t="shared" si="155"/>
        <v>25600</v>
      </c>
      <c r="K1994" s="1">
        <f t="shared" si="156"/>
        <v>7056</v>
      </c>
      <c r="L1994" s="1">
        <f t="shared" si="157"/>
        <v>32656</v>
      </c>
      <c r="M1994" s="1">
        <f t="shared" si="158"/>
        <v>180.70971196922429</v>
      </c>
      <c r="N1994" s="7">
        <f t="shared" si="159"/>
        <v>180.70971196922429</v>
      </c>
    </row>
    <row r="1995" spans="1:14" x14ac:dyDescent="0.25">
      <c r="A1995" t="str">
        <f>"14:23:36.273"</f>
        <v>14:23:36.273</v>
      </c>
      <c r="B1995">
        <v>39.83531</v>
      </c>
      <c r="C1995">
        <v>-75.875722999999994</v>
      </c>
      <c r="D1995">
        <v>4700</v>
      </c>
      <c r="E1995">
        <v>4900</v>
      </c>
      <c r="F1995">
        <v>160</v>
      </c>
      <c r="G1995">
        <v>84</v>
      </c>
      <c r="H1995">
        <v>0</v>
      </c>
      <c r="J1995" s="1">
        <f t="shared" si="155"/>
        <v>25600</v>
      </c>
      <c r="K1995" s="1">
        <f t="shared" si="156"/>
        <v>7056</v>
      </c>
      <c r="L1995" s="1">
        <f t="shared" si="157"/>
        <v>32656</v>
      </c>
      <c r="M1995" s="1">
        <f t="shared" si="158"/>
        <v>180.70971196922429</v>
      </c>
      <c r="N1995" s="7">
        <f t="shared" si="159"/>
        <v>180.70971196922429</v>
      </c>
    </row>
    <row r="1996" spans="1:14" x14ac:dyDescent="0.25">
      <c r="A1996" t="str">
        <f>"14:23:37.336"</f>
        <v>14:23:37.336</v>
      </c>
      <c r="B1996">
        <v>39.835738999999997</v>
      </c>
      <c r="C1996">
        <v>-75.874692999999994</v>
      </c>
      <c r="D1996">
        <v>4700</v>
      </c>
      <c r="E1996">
        <v>4900</v>
      </c>
      <c r="F1996">
        <v>160</v>
      </c>
      <c r="G1996">
        <v>84</v>
      </c>
      <c r="H1996">
        <v>-64</v>
      </c>
      <c r="J1996" s="1">
        <f t="shared" si="155"/>
        <v>25600</v>
      </c>
      <c r="K1996" s="1">
        <f t="shared" si="156"/>
        <v>7056</v>
      </c>
      <c r="L1996" s="1">
        <f t="shared" si="157"/>
        <v>32656</v>
      </c>
      <c r="M1996" s="1">
        <f t="shared" si="158"/>
        <v>180.70971196922429</v>
      </c>
      <c r="N1996" s="7">
        <f t="shared" si="159"/>
        <v>180.70971196922429</v>
      </c>
    </row>
    <row r="1997" spans="1:14" x14ac:dyDescent="0.25">
      <c r="A1997" t="str">
        <f>"14:23:38.398"</f>
        <v>14:23:38.398</v>
      </c>
      <c r="B1997">
        <v>39.836190000000002</v>
      </c>
      <c r="C1997">
        <v>-75.873598999999999</v>
      </c>
      <c r="D1997">
        <v>4700</v>
      </c>
      <c r="E1997">
        <v>4900</v>
      </c>
      <c r="F1997">
        <v>160</v>
      </c>
      <c r="G1997">
        <v>84</v>
      </c>
      <c r="H1997">
        <v>-64</v>
      </c>
      <c r="J1997" s="1">
        <f t="shared" si="155"/>
        <v>25600</v>
      </c>
      <c r="K1997" s="1">
        <f t="shared" si="156"/>
        <v>7056</v>
      </c>
      <c r="L1997" s="1">
        <f t="shared" si="157"/>
        <v>32656</v>
      </c>
      <c r="M1997" s="1">
        <f t="shared" si="158"/>
        <v>180.70971196922429</v>
      </c>
      <c r="N1997" s="7">
        <f t="shared" si="159"/>
        <v>180.70971196922429</v>
      </c>
    </row>
    <row r="1998" spans="1:14" x14ac:dyDescent="0.25">
      <c r="A1998" t="str">
        <f>"14:23:39.453"</f>
        <v>14:23:39.453</v>
      </c>
      <c r="B1998">
        <v>39.836576000000001</v>
      </c>
      <c r="C1998">
        <v>-75.872612000000004</v>
      </c>
      <c r="D1998">
        <v>4700</v>
      </c>
      <c r="E1998">
        <v>4900</v>
      </c>
      <c r="F1998">
        <v>160</v>
      </c>
      <c r="G1998">
        <v>84</v>
      </c>
      <c r="H1998">
        <v>-64</v>
      </c>
      <c r="J1998" s="1">
        <f t="shared" si="155"/>
        <v>25600</v>
      </c>
      <c r="K1998" s="1">
        <f t="shared" si="156"/>
        <v>7056</v>
      </c>
      <c r="L1998" s="1">
        <f t="shared" si="157"/>
        <v>32656</v>
      </c>
      <c r="M1998" s="1">
        <f t="shared" si="158"/>
        <v>180.70971196922429</v>
      </c>
      <c r="N1998" s="7">
        <f t="shared" si="159"/>
        <v>180.70971196922429</v>
      </c>
    </row>
    <row r="1999" spans="1:14" x14ac:dyDescent="0.25">
      <c r="A1999" t="str">
        <f>"14:23:40.516"</f>
        <v>14:23:40.516</v>
      </c>
      <c r="B1999">
        <v>39.836984000000001</v>
      </c>
      <c r="C1999">
        <v>-75.871582000000004</v>
      </c>
      <c r="D1999">
        <v>4700</v>
      </c>
      <c r="E1999">
        <v>4900</v>
      </c>
      <c r="F1999">
        <v>160</v>
      </c>
      <c r="G1999">
        <v>84</v>
      </c>
      <c r="H1999">
        <v>-64</v>
      </c>
      <c r="J1999" s="1">
        <f t="shared" si="155"/>
        <v>25600</v>
      </c>
      <c r="K1999" s="1">
        <f t="shared" si="156"/>
        <v>7056</v>
      </c>
      <c r="L1999" s="1">
        <f t="shared" si="157"/>
        <v>32656</v>
      </c>
      <c r="M1999" s="1">
        <f t="shared" si="158"/>
        <v>180.70971196922429</v>
      </c>
      <c r="N1999" s="7">
        <f t="shared" si="159"/>
        <v>180.70971196922429</v>
      </c>
    </row>
    <row r="2000" spans="1:14" x14ac:dyDescent="0.25">
      <c r="A2000" t="str">
        <f>"14:23:41.375"</f>
        <v>14:23:41.375</v>
      </c>
      <c r="B2000">
        <v>39.837347999999999</v>
      </c>
      <c r="C2000">
        <v>-75.870723999999996</v>
      </c>
      <c r="D2000">
        <v>4700</v>
      </c>
      <c r="E2000">
        <v>4900</v>
      </c>
      <c r="F2000">
        <v>160</v>
      </c>
      <c r="G2000">
        <v>84</v>
      </c>
      <c r="H2000">
        <v>-64</v>
      </c>
      <c r="J2000" s="1">
        <f t="shared" si="155"/>
        <v>25600</v>
      </c>
      <c r="K2000" s="1">
        <f t="shared" si="156"/>
        <v>7056</v>
      </c>
      <c r="L2000" s="1">
        <f t="shared" si="157"/>
        <v>32656</v>
      </c>
      <c r="M2000" s="1">
        <f t="shared" si="158"/>
        <v>180.70971196922429</v>
      </c>
      <c r="N2000" s="7">
        <f t="shared" si="159"/>
        <v>180.70971196922429</v>
      </c>
    </row>
    <row r="2001" spans="1:14" x14ac:dyDescent="0.25">
      <c r="A2001" t="str">
        <f>"14:23:42.383"</f>
        <v>14:23:42.383</v>
      </c>
      <c r="B2001">
        <v>39.837735000000002</v>
      </c>
      <c r="C2001">
        <v>-75.869758000000004</v>
      </c>
      <c r="D2001">
        <v>4700</v>
      </c>
      <c r="E2001">
        <v>4900</v>
      </c>
      <c r="F2001">
        <v>161</v>
      </c>
      <c r="G2001">
        <v>84</v>
      </c>
      <c r="H2001">
        <v>-64</v>
      </c>
      <c r="J2001" s="1">
        <f t="shared" si="155"/>
        <v>25921</v>
      </c>
      <c r="K2001" s="1">
        <f t="shared" si="156"/>
        <v>7056</v>
      </c>
      <c r="L2001" s="1">
        <f t="shared" si="157"/>
        <v>32977</v>
      </c>
      <c r="M2001" s="1">
        <f t="shared" si="158"/>
        <v>181.59570479501986</v>
      </c>
      <c r="N2001" s="7">
        <f t="shared" si="159"/>
        <v>181.59570479501986</v>
      </c>
    </row>
    <row r="2002" spans="1:14" x14ac:dyDescent="0.25">
      <c r="A2002" t="str">
        <f>"14:23:43.344"</f>
        <v>14:23:43.344</v>
      </c>
      <c r="B2002">
        <v>39.838078000000003</v>
      </c>
      <c r="C2002">
        <v>-75.868899999999996</v>
      </c>
      <c r="D2002">
        <v>4700</v>
      </c>
      <c r="E2002">
        <v>4900</v>
      </c>
      <c r="F2002">
        <v>161</v>
      </c>
      <c r="G2002">
        <v>84</v>
      </c>
      <c r="H2002">
        <v>-64</v>
      </c>
      <c r="J2002" s="1">
        <f t="shared" si="155"/>
        <v>25921</v>
      </c>
      <c r="K2002" s="1">
        <f t="shared" si="156"/>
        <v>7056</v>
      </c>
      <c r="L2002" s="1">
        <f t="shared" si="157"/>
        <v>32977</v>
      </c>
      <c r="M2002" s="1">
        <f t="shared" si="158"/>
        <v>181.59570479501986</v>
      </c>
      <c r="N2002" s="7">
        <f t="shared" si="159"/>
        <v>181.59570479501986</v>
      </c>
    </row>
    <row r="2003" spans="1:14" x14ac:dyDescent="0.25">
      <c r="A2003" t="str">
        <f>"14:23:44.406"</f>
        <v>14:23:44.406</v>
      </c>
      <c r="B2003">
        <v>39.838529000000001</v>
      </c>
      <c r="C2003">
        <v>-75.867847999999995</v>
      </c>
      <c r="D2003">
        <v>4700</v>
      </c>
      <c r="E2003">
        <v>4900</v>
      </c>
      <c r="F2003">
        <v>161</v>
      </c>
      <c r="G2003">
        <v>84</v>
      </c>
      <c r="H2003">
        <v>-64</v>
      </c>
      <c r="J2003" s="1">
        <f t="shared" si="155"/>
        <v>25921</v>
      </c>
      <c r="K2003" s="1">
        <f t="shared" si="156"/>
        <v>7056</v>
      </c>
      <c r="L2003" s="1">
        <f t="shared" si="157"/>
        <v>32977</v>
      </c>
      <c r="M2003" s="1">
        <f t="shared" si="158"/>
        <v>181.59570479501986</v>
      </c>
      <c r="N2003" s="7">
        <f t="shared" si="159"/>
        <v>181.59570479501986</v>
      </c>
    </row>
    <row r="2004" spans="1:14" x14ac:dyDescent="0.25">
      <c r="A2004" t="str">
        <f>"14:23:45.359"</f>
        <v>14:23:45.359</v>
      </c>
      <c r="B2004">
        <v>39.838892999999999</v>
      </c>
      <c r="C2004">
        <v>-75.866817999999995</v>
      </c>
      <c r="D2004">
        <v>4700</v>
      </c>
      <c r="E2004">
        <v>4900</v>
      </c>
      <c r="F2004">
        <v>161</v>
      </c>
      <c r="G2004">
        <v>84</v>
      </c>
      <c r="H2004">
        <v>-64</v>
      </c>
      <c r="J2004" s="1">
        <f t="shared" si="155"/>
        <v>25921</v>
      </c>
      <c r="K2004" s="1">
        <f t="shared" si="156"/>
        <v>7056</v>
      </c>
      <c r="L2004" s="1">
        <f t="shared" si="157"/>
        <v>32977</v>
      </c>
      <c r="M2004" s="1">
        <f t="shared" si="158"/>
        <v>181.59570479501986</v>
      </c>
      <c r="N2004" s="7">
        <f t="shared" si="159"/>
        <v>181.59570479501986</v>
      </c>
    </row>
    <row r="2005" spans="1:14" x14ac:dyDescent="0.25">
      <c r="A2005" t="str">
        <f>"14:23:46.273"</f>
        <v>14:23:46.273</v>
      </c>
      <c r="B2005">
        <v>39.839215000000003</v>
      </c>
      <c r="C2005">
        <v>-75.866089000000002</v>
      </c>
      <c r="D2005">
        <v>4700</v>
      </c>
      <c r="E2005">
        <v>4900</v>
      </c>
      <c r="F2005">
        <v>161</v>
      </c>
      <c r="G2005">
        <v>84</v>
      </c>
      <c r="H2005">
        <v>0</v>
      </c>
      <c r="J2005" s="1">
        <f t="shared" si="155"/>
        <v>25921</v>
      </c>
      <c r="K2005" s="1">
        <f t="shared" si="156"/>
        <v>7056</v>
      </c>
      <c r="L2005" s="1">
        <f t="shared" si="157"/>
        <v>32977</v>
      </c>
      <c r="M2005" s="1">
        <f t="shared" si="158"/>
        <v>181.59570479501986</v>
      </c>
      <c r="N2005" s="7">
        <f t="shared" si="159"/>
        <v>181.59570479501986</v>
      </c>
    </row>
    <row r="2006" spans="1:14" x14ac:dyDescent="0.25">
      <c r="A2006" t="str">
        <f>"14:23:47.383"</f>
        <v>14:23:47.383</v>
      </c>
      <c r="B2006">
        <v>39.839623000000003</v>
      </c>
      <c r="C2006">
        <v>-75.865015999999997</v>
      </c>
      <c r="D2006">
        <v>4700</v>
      </c>
      <c r="E2006">
        <v>4900</v>
      </c>
      <c r="F2006">
        <v>161</v>
      </c>
      <c r="G2006">
        <v>83</v>
      </c>
      <c r="H2006">
        <v>0</v>
      </c>
      <c r="J2006" s="1">
        <f t="shared" si="155"/>
        <v>25921</v>
      </c>
      <c r="K2006" s="1">
        <f t="shared" si="156"/>
        <v>6889</v>
      </c>
      <c r="L2006" s="1">
        <f t="shared" si="157"/>
        <v>32810</v>
      </c>
      <c r="M2006" s="1">
        <f t="shared" si="158"/>
        <v>181.13530854032848</v>
      </c>
      <c r="N2006" s="7">
        <f t="shared" si="159"/>
        <v>181.13530854032848</v>
      </c>
    </row>
    <row r="2007" spans="1:14" x14ac:dyDescent="0.25">
      <c r="A2007" t="str">
        <f>"14:23:48.344"</f>
        <v>14:23:48.344</v>
      </c>
      <c r="B2007">
        <v>39.839987999999998</v>
      </c>
      <c r="C2007">
        <v>-75.864050000000006</v>
      </c>
      <c r="D2007">
        <v>4700</v>
      </c>
      <c r="E2007">
        <v>4900</v>
      </c>
      <c r="F2007">
        <v>161</v>
      </c>
      <c r="G2007">
        <v>83</v>
      </c>
      <c r="H2007">
        <v>0</v>
      </c>
      <c r="J2007" s="1">
        <f t="shared" si="155"/>
        <v>25921</v>
      </c>
      <c r="K2007" s="1">
        <f t="shared" si="156"/>
        <v>6889</v>
      </c>
      <c r="L2007" s="1">
        <f t="shared" si="157"/>
        <v>32810</v>
      </c>
      <c r="M2007" s="1">
        <f t="shared" si="158"/>
        <v>181.13530854032848</v>
      </c>
      <c r="N2007" s="7">
        <f t="shared" si="159"/>
        <v>181.13530854032848</v>
      </c>
    </row>
    <row r="2008" spans="1:14" x14ac:dyDescent="0.25">
      <c r="A2008" t="str">
        <f>"14:23:49.297"</f>
        <v>14:23:49.297</v>
      </c>
      <c r="B2008">
        <v>39.840417000000002</v>
      </c>
      <c r="C2008">
        <v>-75.863106000000002</v>
      </c>
      <c r="D2008">
        <v>4700</v>
      </c>
      <c r="E2008">
        <v>4900</v>
      </c>
      <c r="F2008">
        <v>161</v>
      </c>
      <c r="G2008">
        <v>83</v>
      </c>
      <c r="H2008">
        <v>0</v>
      </c>
      <c r="J2008" s="1">
        <f t="shared" si="155"/>
        <v>25921</v>
      </c>
      <c r="K2008" s="1">
        <f t="shared" si="156"/>
        <v>6889</v>
      </c>
      <c r="L2008" s="1">
        <f t="shared" si="157"/>
        <v>32810</v>
      </c>
      <c r="M2008" s="1">
        <f t="shared" si="158"/>
        <v>181.13530854032848</v>
      </c>
      <c r="N2008" s="7">
        <f t="shared" si="159"/>
        <v>181.13530854032848</v>
      </c>
    </row>
    <row r="2009" spans="1:14" x14ac:dyDescent="0.25">
      <c r="A2009" t="str">
        <f>"14:23:50.313"</f>
        <v>14:23:50.313</v>
      </c>
      <c r="B2009">
        <v>39.840760000000003</v>
      </c>
      <c r="C2009">
        <v>-75.862247999999994</v>
      </c>
      <c r="D2009">
        <v>4700</v>
      </c>
      <c r="E2009">
        <v>4900</v>
      </c>
      <c r="F2009">
        <v>161</v>
      </c>
      <c r="G2009">
        <v>83</v>
      </c>
      <c r="H2009">
        <v>0</v>
      </c>
      <c r="J2009" s="1">
        <f t="shared" si="155"/>
        <v>25921</v>
      </c>
      <c r="K2009" s="1">
        <f t="shared" si="156"/>
        <v>6889</v>
      </c>
      <c r="L2009" s="1">
        <f t="shared" si="157"/>
        <v>32810</v>
      </c>
      <c r="M2009" s="1">
        <f t="shared" si="158"/>
        <v>181.13530854032848</v>
      </c>
      <c r="N2009" s="7">
        <f t="shared" si="159"/>
        <v>181.13530854032848</v>
      </c>
    </row>
    <row r="2010" spans="1:14" x14ac:dyDescent="0.25">
      <c r="A2010" t="str">
        <f>"14:23:51.375"</f>
        <v>14:23:51.375</v>
      </c>
      <c r="B2010">
        <v>39.841211000000001</v>
      </c>
      <c r="C2010">
        <v>-75.861024999999998</v>
      </c>
      <c r="D2010">
        <v>4700</v>
      </c>
      <c r="E2010">
        <v>4900</v>
      </c>
      <c r="F2010">
        <v>161</v>
      </c>
      <c r="G2010">
        <v>83</v>
      </c>
      <c r="H2010">
        <v>0</v>
      </c>
      <c r="J2010" s="1">
        <f t="shared" si="155"/>
        <v>25921</v>
      </c>
      <c r="K2010" s="1">
        <f t="shared" si="156"/>
        <v>6889</v>
      </c>
      <c r="L2010" s="1">
        <f t="shared" si="157"/>
        <v>32810</v>
      </c>
      <c r="M2010" s="1">
        <f t="shared" si="158"/>
        <v>181.13530854032848</v>
      </c>
      <c r="N2010" s="7">
        <f t="shared" si="159"/>
        <v>181.13530854032848</v>
      </c>
    </row>
    <row r="2011" spans="1:14" x14ac:dyDescent="0.25">
      <c r="A2011" t="str">
        <f>"14:23:52.477"</f>
        <v>14:23:52.477</v>
      </c>
      <c r="B2011">
        <v>39.841639999999998</v>
      </c>
      <c r="C2011">
        <v>-75.859994999999998</v>
      </c>
      <c r="D2011">
        <v>4700</v>
      </c>
      <c r="E2011">
        <v>4900</v>
      </c>
      <c r="F2011">
        <v>161</v>
      </c>
      <c r="G2011">
        <v>83</v>
      </c>
      <c r="H2011">
        <v>0</v>
      </c>
      <c r="J2011" s="1">
        <f t="shared" si="155"/>
        <v>25921</v>
      </c>
      <c r="K2011" s="1">
        <f t="shared" si="156"/>
        <v>6889</v>
      </c>
      <c r="L2011" s="1">
        <f t="shared" si="157"/>
        <v>32810</v>
      </c>
      <c r="M2011" s="1">
        <f t="shared" si="158"/>
        <v>181.13530854032848</v>
      </c>
      <c r="N2011" s="7">
        <f t="shared" si="159"/>
        <v>181.13530854032848</v>
      </c>
    </row>
    <row r="2012" spans="1:14" x14ac:dyDescent="0.25">
      <c r="A2012" t="str">
        <f>"14:23:53.695"</f>
        <v>14:23:53.695</v>
      </c>
      <c r="B2012">
        <v>39.842069000000002</v>
      </c>
      <c r="C2012">
        <v>-75.858942999999996</v>
      </c>
      <c r="D2012">
        <v>4700</v>
      </c>
      <c r="E2012">
        <v>4900</v>
      </c>
      <c r="F2012">
        <v>161</v>
      </c>
      <c r="G2012">
        <v>83</v>
      </c>
      <c r="H2012">
        <v>0</v>
      </c>
      <c r="J2012" s="1">
        <f t="shared" si="155"/>
        <v>25921</v>
      </c>
      <c r="K2012" s="1">
        <f t="shared" si="156"/>
        <v>6889</v>
      </c>
      <c r="L2012" s="1">
        <f t="shared" si="157"/>
        <v>32810</v>
      </c>
      <c r="M2012" s="1">
        <f t="shared" si="158"/>
        <v>181.13530854032848</v>
      </c>
      <c r="N2012" s="7">
        <f t="shared" si="159"/>
        <v>181.13530854032848</v>
      </c>
    </row>
    <row r="2013" spans="1:14" x14ac:dyDescent="0.25">
      <c r="A2013" t="str">
        <f>"14:23:54.602"</f>
        <v>14:23:54.602</v>
      </c>
      <c r="B2013">
        <v>39.842433999999997</v>
      </c>
      <c r="C2013">
        <v>-75.857978000000003</v>
      </c>
      <c r="D2013">
        <v>4700</v>
      </c>
      <c r="E2013">
        <v>4900</v>
      </c>
      <c r="F2013">
        <v>161</v>
      </c>
      <c r="G2013">
        <v>82</v>
      </c>
      <c r="H2013">
        <v>0</v>
      </c>
      <c r="J2013" s="1">
        <f t="shared" si="155"/>
        <v>25921</v>
      </c>
      <c r="K2013" s="1">
        <f t="shared" si="156"/>
        <v>6724</v>
      </c>
      <c r="L2013" s="1">
        <f t="shared" si="157"/>
        <v>32645</v>
      </c>
      <c r="M2013" s="1">
        <f t="shared" si="158"/>
        <v>180.6792738528689</v>
      </c>
      <c r="N2013" s="7">
        <f t="shared" si="159"/>
        <v>180.6792738528689</v>
      </c>
    </row>
    <row r="2014" spans="1:14" x14ac:dyDescent="0.25">
      <c r="A2014" t="str">
        <f>"14:23:55.711"</f>
        <v>14:23:55.711</v>
      </c>
      <c r="B2014">
        <v>39.842841999999997</v>
      </c>
      <c r="C2014">
        <v>-75.856883999999994</v>
      </c>
      <c r="D2014">
        <v>4700</v>
      </c>
      <c r="E2014">
        <v>4900</v>
      </c>
      <c r="F2014">
        <v>162</v>
      </c>
      <c r="G2014">
        <v>82</v>
      </c>
      <c r="H2014">
        <v>0</v>
      </c>
      <c r="J2014" s="1">
        <f t="shared" si="155"/>
        <v>26244</v>
      </c>
      <c r="K2014" s="1">
        <f t="shared" si="156"/>
        <v>6724</v>
      </c>
      <c r="L2014" s="1">
        <f t="shared" si="157"/>
        <v>32968</v>
      </c>
      <c r="M2014" s="1">
        <f t="shared" si="158"/>
        <v>181.57092278225608</v>
      </c>
      <c r="N2014" s="7">
        <f t="shared" si="159"/>
        <v>181.57092278225608</v>
      </c>
    </row>
    <row r="2015" spans="1:14" x14ac:dyDescent="0.25">
      <c r="A2015" t="str">
        <f>"14:23:56.516"</f>
        <v>14:23:56.516</v>
      </c>
      <c r="B2015">
        <v>39.843162999999997</v>
      </c>
      <c r="C2015">
        <v>-75.856110999999999</v>
      </c>
      <c r="D2015">
        <v>4700</v>
      </c>
      <c r="E2015">
        <v>4900</v>
      </c>
      <c r="F2015">
        <v>162</v>
      </c>
      <c r="G2015">
        <v>82</v>
      </c>
      <c r="H2015">
        <v>0</v>
      </c>
      <c r="J2015" s="1">
        <f t="shared" si="155"/>
        <v>26244</v>
      </c>
      <c r="K2015" s="1">
        <f t="shared" si="156"/>
        <v>6724</v>
      </c>
      <c r="L2015" s="1">
        <f t="shared" si="157"/>
        <v>32968</v>
      </c>
      <c r="M2015" s="1">
        <f t="shared" si="158"/>
        <v>181.57092278225608</v>
      </c>
      <c r="N2015" s="7">
        <f t="shared" si="159"/>
        <v>181.57092278225608</v>
      </c>
    </row>
    <row r="2016" spans="1:14" x14ac:dyDescent="0.25">
      <c r="A2016" t="str">
        <f>"14:23:57.430"</f>
        <v>14:23:57.430</v>
      </c>
      <c r="B2016">
        <v>39.843507000000002</v>
      </c>
      <c r="C2016">
        <v>-75.855231000000003</v>
      </c>
      <c r="D2016">
        <v>4700</v>
      </c>
      <c r="E2016">
        <v>4900</v>
      </c>
      <c r="F2016">
        <v>162</v>
      </c>
      <c r="G2016">
        <v>82</v>
      </c>
      <c r="H2016">
        <v>0</v>
      </c>
      <c r="J2016" s="1">
        <f t="shared" si="155"/>
        <v>26244</v>
      </c>
      <c r="K2016" s="1">
        <f t="shared" si="156"/>
        <v>6724</v>
      </c>
      <c r="L2016" s="1">
        <f t="shared" si="157"/>
        <v>32968</v>
      </c>
      <c r="M2016" s="1">
        <f t="shared" si="158"/>
        <v>181.57092278225608</v>
      </c>
      <c r="N2016" s="7">
        <f t="shared" si="159"/>
        <v>181.57092278225608</v>
      </c>
    </row>
    <row r="2017" spans="1:14" x14ac:dyDescent="0.25">
      <c r="A2017" t="str">
        <f>"14:23:58.438"</f>
        <v>14:23:58.438</v>
      </c>
      <c r="B2017">
        <v>39.843871999999998</v>
      </c>
      <c r="C2017">
        <v>-75.854243999999994</v>
      </c>
      <c r="D2017">
        <v>4700</v>
      </c>
      <c r="E2017">
        <v>4900</v>
      </c>
      <c r="F2017">
        <v>162</v>
      </c>
      <c r="G2017">
        <v>82</v>
      </c>
      <c r="H2017">
        <v>0</v>
      </c>
      <c r="J2017" s="1">
        <f t="shared" si="155"/>
        <v>26244</v>
      </c>
      <c r="K2017" s="1">
        <f t="shared" si="156"/>
        <v>6724</v>
      </c>
      <c r="L2017" s="1">
        <f t="shared" si="157"/>
        <v>32968</v>
      </c>
      <c r="M2017" s="1">
        <f t="shared" si="158"/>
        <v>181.57092278225608</v>
      </c>
      <c r="N2017" s="7">
        <f t="shared" si="159"/>
        <v>181.57092278225608</v>
      </c>
    </row>
    <row r="2018" spans="1:14" x14ac:dyDescent="0.25">
      <c r="A2018" t="str">
        <f>"14:23:59.547"</f>
        <v>14:23:59.547</v>
      </c>
      <c r="B2018">
        <v>39.844301000000002</v>
      </c>
      <c r="C2018">
        <v>-75.853193000000005</v>
      </c>
      <c r="D2018">
        <v>4700</v>
      </c>
      <c r="E2018">
        <v>4900</v>
      </c>
      <c r="F2018">
        <v>162</v>
      </c>
      <c r="G2018">
        <v>82</v>
      </c>
      <c r="H2018">
        <v>0</v>
      </c>
      <c r="J2018" s="1">
        <f t="shared" si="155"/>
        <v>26244</v>
      </c>
      <c r="K2018" s="1">
        <f t="shared" si="156"/>
        <v>6724</v>
      </c>
      <c r="L2018" s="1">
        <f t="shared" si="157"/>
        <v>32968</v>
      </c>
      <c r="M2018" s="1">
        <f t="shared" si="158"/>
        <v>181.57092278225608</v>
      </c>
      <c r="N2018" s="7">
        <f t="shared" si="159"/>
        <v>181.57092278225608</v>
      </c>
    </row>
    <row r="2019" spans="1:14" x14ac:dyDescent="0.25">
      <c r="A2019" t="str">
        <f>"14:24:00.508"</f>
        <v>14:24:00.508</v>
      </c>
      <c r="B2019">
        <v>39.844665999999997</v>
      </c>
      <c r="C2019">
        <v>-75.852226999999999</v>
      </c>
      <c r="D2019">
        <v>4700</v>
      </c>
      <c r="E2019">
        <v>4900</v>
      </c>
      <c r="F2019">
        <v>162</v>
      </c>
      <c r="G2019">
        <v>82</v>
      </c>
      <c r="H2019">
        <v>0</v>
      </c>
      <c r="J2019" s="1">
        <f t="shared" si="155"/>
        <v>26244</v>
      </c>
      <c r="K2019" s="1">
        <f t="shared" si="156"/>
        <v>6724</v>
      </c>
      <c r="L2019" s="1">
        <f t="shared" si="157"/>
        <v>32968</v>
      </c>
      <c r="M2019" s="1">
        <f t="shared" si="158"/>
        <v>181.57092278225608</v>
      </c>
      <c r="N2019" s="7">
        <f t="shared" si="159"/>
        <v>181.57092278225608</v>
      </c>
    </row>
    <row r="2020" spans="1:14" x14ac:dyDescent="0.25">
      <c r="A2020" t="str">
        <f>"14:24:01.672"</f>
        <v>14:24:01.672</v>
      </c>
      <c r="B2020">
        <v>39.845095000000001</v>
      </c>
      <c r="C2020">
        <v>-75.851133000000004</v>
      </c>
      <c r="D2020">
        <v>4700</v>
      </c>
      <c r="E2020">
        <v>4900</v>
      </c>
      <c r="F2020">
        <v>162</v>
      </c>
      <c r="G2020">
        <v>81</v>
      </c>
      <c r="H2020">
        <v>0</v>
      </c>
      <c r="J2020" s="1">
        <f t="shared" si="155"/>
        <v>26244</v>
      </c>
      <c r="K2020" s="1">
        <f t="shared" si="156"/>
        <v>6561</v>
      </c>
      <c r="L2020" s="1">
        <f t="shared" si="157"/>
        <v>32805</v>
      </c>
      <c r="M2020" s="1">
        <f t="shared" si="158"/>
        <v>181.12150617748296</v>
      </c>
      <c r="N2020" s="7">
        <f t="shared" si="159"/>
        <v>181.12150617748296</v>
      </c>
    </row>
    <row r="2021" spans="1:14" x14ac:dyDescent="0.25">
      <c r="A2021" t="str">
        <f>"14:24:02.523"</f>
        <v>14:24:02.523</v>
      </c>
      <c r="B2021">
        <v>39.845438000000001</v>
      </c>
      <c r="C2021">
        <v>-75.850274999999996</v>
      </c>
      <c r="D2021">
        <v>4700</v>
      </c>
      <c r="E2021">
        <v>4900</v>
      </c>
      <c r="F2021">
        <v>162</v>
      </c>
      <c r="G2021">
        <v>81</v>
      </c>
      <c r="H2021">
        <v>0</v>
      </c>
      <c r="J2021" s="1">
        <f t="shared" si="155"/>
        <v>26244</v>
      </c>
      <c r="K2021" s="1">
        <f t="shared" si="156"/>
        <v>6561</v>
      </c>
      <c r="L2021" s="1">
        <f t="shared" si="157"/>
        <v>32805</v>
      </c>
      <c r="M2021" s="1">
        <f t="shared" si="158"/>
        <v>181.12150617748296</v>
      </c>
      <c r="N2021" s="7">
        <f t="shared" si="159"/>
        <v>181.12150617748296</v>
      </c>
    </row>
    <row r="2022" spans="1:14" x14ac:dyDescent="0.25">
      <c r="A2022" t="str">
        <f>"14:24:03.539"</f>
        <v>14:24:03.539</v>
      </c>
      <c r="B2022">
        <v>39.845802999999997</v>
      </c>
      <c r="C2022">
        <v>-75.849309000000005</v>
      </c>
      <c r="D2022">
        <v>4700</v>
      </c>
      <c r="E2022">
        <v>4900</v>
      </c>
      <c r="F2022">
        <v>162</v>
      </c>
      <c r="G2022">
        <v>81</v>
      </c>
      <c r="H2022">
        <v>0</v>
      </c>
      <c r="J2022" s="1">
        <f t="shared" si="155"/>
        <v>26244</v>
      </c>
      <c r="K2022" s="1">
        <f t="shared" si="156"/>
        <v>6561</v>
      </c>
      <c r="L2022" s="1">
        <f t="shared" si="157"/>
        <v>32805</v>
      </c>
      <c r="M2022" s="1">
        <f t="shared" si="158"/>
        <v>181.12150617748296</v>
      </c>
      <c r="N2022" s="7">
        <f t="shared" si="159"/>
        <v>181.12150617748296</v>
      </c>
    </row>
    <row r="2023" spans="1:14" x14ac:dyDescent="0.25">
      <c r="A2023" t="str">
        <f>"14:24:04.547"</f>
        <v>14:24:04.547</v>
      </c>
      <c r="B2023">
        <v>39.846167999999999</v>
      </c>
      <c r="C2023">
        <v>-75.848365000000001</v>
      </c>
      <c r="D2023">
        <v>4700</v>
      </c>
      <c r="E2023">
        <v>4900</v>
      </c>
      <c r="F2023">
        <v>162</v>
      </c>
      <c r="G2023">
        <v>81</v>
      </c>
      <c r="H2023">
        <v>0</v>
      </c>
      <c r="J2023" s="1">
        <f t="shared" si="155"/>
        <v>26244</v>
      </c>
      <c r="K2023" s="1">
        <f t="shared" si="156"/>
        <v>6561</v>
      </c>
      <c r="L2023" s="1">
        <f t="shared" si="157"/>
        <v>32805</v>
      </c>
      <c r="M2023" s="1">
        <f t="shared" si="158"/>
        <v>181.12150617748296</v>
      </c>
      <c r="N2023" s="7">
        <f t="shared" si="159"/>
        <v>181.12150617748296</v>
      </c>
    </row>
    <row r="2024" spans="1:14" x14ac:dyDescent="0.25">
      <c r="A2024" t="str">
        <f>"14:24:05.656"</f>
        <v>14:24:05.656</v>
      </c>
      <c r="B2024">
        <v>39.846575000000001</v>
      </c>
      <c r="C2024">
        <v>-75.847291999999996</v>
      </c>
      <c r="D2024">
        <v>4700</v>
      </c>
      <c r="E2024">
        <v>4900</v>
      </c>
      <c r="F2024">
        <v>162</v>
      </c>
      <c r="G2024">
        <v>81</v>
      </c>
      <c r="H2024">
        <v>0</v>
      </c>
      <c r="J2024" s="1">
        <f t="shared" si="155"/>
        <v>26244</v>
      </c>
      <c r="K2024" s="1">
        <f t="shared" si="156"/>
        <v>6561</v>
      </c>
      <c r="L2024" s="1">
        <f t="shared" si="157"/>
        <v>32805</v>
      </c>
      <c r="M2024" s="1">
        <f t="shared" si="158"/>
        <v>181.12150617748296</v>
      </c>
      <c r="N2024" s="7">
        <f t="shared" si="159"/>
        <v>181.12150617748296</v>
      </c>
    </row>
    <row r="2025" spans="1:14" x14ac:dyDescent="0.25">
      <c r="A2025" t="str">
        <f>"14:24:06.461"</f>
        <v>14:24:06.461</v>
      </c>
      <c r="B2025">
        <v>39.846896999999998</v>
      </c>
      <c r="C2025">
        <v>-75.846497999999997</v>
      </c>
      <c r="D2025">
        <v>4700</v>
      </c>
      <c r="E2025">
        <v>4900</v>
      </c>
      <c r="F2025">
        <v>162</v>
      </c>
      <c r="G2025">
        <v>81</v>
      </c>
      <c r="H2025">
        <v>0</v>
      </c>
      <c r="J2025" s="1">
        <f t="shared" si="155"/>
        <v>26244</v>
      </c>
      <c r="K2025" s="1">
        <f t="shared" si="156"/>
        <v>6561</v>
      </c>
      <c r="L2025" s="1">
        <f t="shared" si="157"/>
        <v>32805</v>
      </c>
      <c r="M2025" s="1">
        <f t="shared" si="158"/>
        <v>181.12150617748296</v>
      </c>
      <c r="N2025" s="7">
        <f t="shared" si="159"/>
        <v>181.12150617748296</v>
      </c>
    </row>
    <row r="2026" spans="1:14" x14ac:dyDescent="0.25">
      <c r="A2026" t="str">
        <f>"14:24:07.375"</f>
        <v>14:24:07.375</v>
      </c>
      <c r="B2026">
        <v>39.847219000000003</v>
      </c>
      <c r="C2026">
        <v>-75.845618000000002</v>
      </c>
      <c r="D2026">
        <v>4700</v>
      </c>
      <c r="E2026">
        <v>4900</v>
      </c>
      <c r="F2026">
        <v>162</v>
      </c>
      <c r="G2026">
        <v>81</v>
      </c>
      <c r="H2026">
        <v>0</v>
      </c>
      <c r="J2026" s="1">
        <f t="shared" si="155"/>
        <v>26244</v>
      </c>
      <c r="K2026" s="1">
        <f t="shared" si="156"/>
        <v>6561</v>
      </c>
      <c r="L2026" s="1">
        <f t="shared" si="157"/>
        <v>32805</v>
      </c>
      <c r="M2026" s="1">
        <f t="shared" si="158"/>
        <v>181.12150617748296</v>
      </c>
      <c r="N2026" s="7">
        <f t="shared" si="159"/>
        <v>181.12150617748296</v>
      </c>
    </row>
    <row r="2027" spans="1:14" x14ac:dyDescent="0.25">
      <c r="A2027" t="str">
        <f>"14:24:08.430"</f>
        <v>14:24:08.430</v>
      </c>
      <c r="B2027">
        <v>39.847648</v>
      </c>
      <c r="C2027">
        <v>-75.844544999999997</v>
      </c>
      <c r="D2027">
        <v>4700</v>
      </c>
      <c r="E2027">
        <v>4900</v>
      </c>
      <c r="F2027">
        <v>162</v>
      </c>
      <c r="G2027">
        <v>81</v>
      </c>
      <c r="H2027">
        <v>0</v>
      </c>
      <c r="J2027" s="1">
        <f t="shared" si="155"/>
        <v>26244</v>
      </c>
      <c r="K2027" s="1">
        <f t="shared" si="156"/>
        <v>6561</v>
      </c>
      <c r="L2027" s="1">
        <f t="shared" si="157"/>
        <v>32805</v>
      </c>
      <c r="M2027" s="1">
        <f t="shared" si="158"/>
        <v>181.12150617748296</v>
      </c>
      <c r="N2027" s="7">
        <f t="shared" si="159"/>
        <v>181.12150617748296</v>
      </c>
    </row>
    <row r="2028" spans="1:14" x14ac:dyDescent="0.25">
      <c r="A2028" t="str">
        <f>"14:24:09.391"</f>
        <v>14:24:09.391</v>
      </c>
      <c r="B2028">
        <v>39.848013000000002</v>
      </c>
      <c r="C2028">
        <v>-75.843558000000002</v>
      </c>
      <c r="D2028">
        <v>4700</v>
      </c>
      <c r="E2028">
        <v>4900</v>
      </c>
      <c r="F2028">
        <v>162</v>
      </c>
      <c r="G2028">
        <v>81</v>
      </c>
      <c r="H2028">
        <v>0</v>
      </c>
      <c r="J2028" s="1">
        <f t="shared" si="155"/>
        <v>26244</v>
      </c>
      <c r="K2028" s="1">
        <f t="shared" si="156"/>
        <v>6561</v>
      </c>
      <c r="L2028" s="1">
        <f t="shared" si="157"/>
        <v>32805</v>
      </c>
      <c r="M2028" s="1">
        <f t="shared" si="158"/>
        <v>181.12150617748296</v>
      </c>
      <c r="N2028" s="7">
        <f t="shared" si="159"/>
        <v>181.12150617748296</v>
      </c>
    </row>
    <row r="2029" spans="1:14" x14ac:dyDescent="0.25">
      <c r="A2029" t="str">
        <f>"14:24:10.352"</f>
        <v>14:24:10.352</v>
      </c>
      <c r="B2029">
        <v>39.848334999999999</v>
      </c>
      <c r="C2029">
        <v>-75.842679000000004</v>
      </c>
      <c r="D2029">
        <v>4700</v>
      </c>
      <c r="E2029">
        <v>4900</v>
      </c>
      <c r="F2029">
        <v>162</v>
      </c>
      <c r="G2029">
        <v>81</v>
      </c>
      <c r="H2029">
        <v>-64</v>
      </c>
      <c r="J2029" s="1">
        <f t="shared" si="155"/>
        <v>26244</v>
      </c>
      <c r="K2029" s="1">
        <f t="shared" si="156"/>
        <v>6561</v>
      </c>
      <c r="L2029" s="1">
        <f t="shared" si="157"/>
        <v>32805</v>
      </c>
      <c r="M2029" s="1">
        <f t="shared" si="158"/>
        <v>181.12150617748296</v>
      </c>
      <c r="N2029" s="7">
        <f t="shared" si="159"/>
        <v>181.12150617748296</v>
      </c>
    </row>
    <row r="2030" spans="1:14" x14ac:dyDescent="0.25">
      <c r="A2030" t="str">
        <f>"14:24:11.406"</f>
        <v>14:24:11.406</v>
      </c>
      <c r="B2030">
        <v>39.848764000000003</v>
      </c>
      <c r="C2030">
        <v>-75.841605999999999</v>
      </c>
      <c r="D2030">
        <v>4700</v>
      </c>
      <c r="E2030">
        <v>4900</v>
      </c>
      <c r="F2030">
        <v>163</v>
      </c>
      <c r="G2030">
        <v>81</v>
      </c>
      <c r="H2030">
        <v>-64</v>
      </c>
      <c r="J2030" s="1">
        <f t="shared" si="155"/>
        <v>26569</v>
      </c>
      <c r="K2030" s="1">
        <f t="shared" si="156"/>
        <v>6561</v>
      </c>
      <c r="L2030" s="1">
        <f t="shared" si="157"/>
        <v>33130</v>
      </c>
      <c r="M2030" s="1">
        <f t="shared" si="158"/>
        <v>182.0164827701052</v>
      </c>
      <c r="N2030" s="7">
        <f t="shared" si="159"/>
        <v>182.0164827701052</v>
      </c>
    </row>
    <row r="2031" spans="1:14" x14ac:dyDescent="0.25">
      <c r="A2031" t="str">
        <f>"14:24:12.367"</f>
        <v>14:24:12.367</v>
      </c>
      <c r="B2031">
        <v>39.849106999999997</v>
      </c>
      <c r="C2031">
        <v>-75.840704000000002</v>
      </c>
      <c r="D2031">
        <v>4700</v>
      </c>
      <c r="E2031">
        <v>4900</v>
      </c>
      <c r="F2031">
        <v>163</v>
      </c>
      <c r="G2031">
        <v>81</v>
      </c>
      <c r="H2031">
        <v>-64</v>
      </c>
      <c r="J2031" s="1">
        <f t="shared" si="155"/>
        <v>26569</v>
      </c>
      <c r="K2031" s="1">
        <f t="shared" si="156"/>
        <v>6561</v>
      </c>
      <c r="L2031" s="1">
        <f t="shared" si="157"/>
        <v>33130</v>
      </c>
      <c r="M2031" s="1">
        <f t="shared" si="158"/>
        <v>182.0164827701052</v>
      </c>
      <c r="N2031" s="7">
        <f t="shared" si="159"/>
        <v>182.0164827701052</v>
      </c>
    </row>
    <row r="2032" spans="1:14" x14ac:dyDescent="0.25">
      <c r="A2032" t="str">
        <f>"14:24:13.273"</f>
        <v>14:24:13.273</v>
      </c>
      <c r="B2032">
        <v>39.849471999999999</v>
      </c>
      <c r="C2032">
        <v>-75.839759999999998</v>
      </c>
      <c r="D2032">
        <v>4700</v>
      </c>
      <c r="E2032">
        <v>4900</v>
      </c>
      <c r="F2032">
        <v>162</v>
      </c>
      <c r="G2032">
        <v>81</v>
      </c>
      <c r="H2032">
        <v>-64</v>
      </c>
      <c r="J2032" s="1">
        <f t="shared" si="155"/>
        <v>26244</v>
      </c>
      <c r="K2032" s="1">
        <f t="shared" si="156"/>
        <v>6561</v>
      </c>
      <c r="L2032" s="1">
        <f t="shared" si="157"/>
        <v>32805</v>
      </c>
      <c r="M2032" s="1">
        <f t="shared" si="158"/>
        <v>181.12150617748296</v>
      </c>
      <c r="N2032" s="7">
        <f t="shared" si="159"/>
        <v>181.12150617748296</v>
      </c>
    </row>
    <row r="2033" spans="1:14" x14ac:dyDescent="0.25">
      <c r="A2033" t="str">
        <f>"14:24:14.336"</f>
        <v>14:24:14.336</v>
      </c>
      <c r="B2033">
        <v>39.849837000000001</v>
      </c>
      <c r="C2033">
        <v>-75.838795000000005</v>
      </c>
      <c r="D2033">
        <v>4700</v>
      </c>
      <c r="E2033">
        <v>4900</v>
      </c>
      <c r="F2033">
        <v>162</v>
      </c>
      <c r="G2033">
        <v>81</v>
      </c>
      <c r="H2033">
        <v>0</v>
      </c>
      <c r="J2033" s="1">
        <f t="shared" si="155"/>
        <v>26244</v>
      </c>
      <c r="K2033" s="1">
        <f t="shared" si="156"/>
        <v>6561</v>
      </c>
      <c r="L2033" s="1">
        <f t="shared" si="157"/>
        <v>32805</v>
      </c>
      <c r="M2033" s="1">
        <f t="shared" si="158"/>
        <v>181.12150617748296</v>
      </c>
      <c r="N2033" s="7">
        <f t="shared" si="159"/>
        <v>181.12150617748296</v>
      </c>
    </row>
    <row r="2034" spans="1:14" x14ac:dyDescent="0.25">
      <c r="A2034" t="str">
        <f>"14:24:15.344"</f>
        <v>14:24:15.344</v>
      </c>
      <c r="B2034">
        <v>39.850202000000003</v>
      </c>
      <c r="C2034">
        <v>-75.837785999999994</v>
      </c>
      <c r="D2034">
        <v>4700</v>
      </c>
      <c r="E2034">
        <v>4900</v>
      </c>
      <c r="F2034">
        <v>162</v>
      </c>
      <c r="G2034">
        <v>81</v>
      </c>
      <c r="H2034">
        <v>0</v>
      </c>
      <c r="J2034" s="1">
        <f t="shared" si="155"/>
        <v>26244</v>
      </c>
      <c r="K2034" s="1">
        <f t="shared" si="156"/>
        <v>6561</v>
      </c>
      <c r="L2034" s="1">
        <f t="shared" si="157"/>
        <v>32805</v>
      </c>
      <c r="M2034" s="1">
        <f t="shared" si="158"/>
        <v>181.12150617748296</v>
      </c>
      <c r="N2034" s="7">
        <f t="shared" si="159"/>
        <v>181.12150617748296</v>
      </c>
    </row>
    <row r="2035" spans="1:14" x14ac:dyDescent="0.25">
      <c r="A2035" t="str">
        <f>"14:24:16.406"</f>
        <v>14:24:16.406</v>
      </c>
      <c r="B2035">
        <v>39.850631</v>
      </c>
      <c r="C2035">
        <v>-75.836735000000004</v>
      </c>
      <c r="D2035">
        <v>4700</v>
      </c>
      <c r="E2035">
        <v>4900</v>
      </c>
      <c r="F2035">
        <v>162</v>
      </c>
      <c r="G2035">
        <v>81</v>
      </c>
      <c r="H2035">
        <v>0</v>
      </c>
      <c r="J2035" s="1">
        <f t="shared" si="155"/>
        <v>26244</v>
      </c>
      <c r="K2035" s="1">
        <f t="shared" si="156"/>
        <v>6561</v>
      </c>
      <c r="L2035" s="1">
        <f t="shared" si="157"/>
        <v>32805</v>
      </c>
      <c r="M2035" s="1">
        <f t="shared" si="158"/>
        <v>181.12150617748296</v>
      </c>
      <c r="N2035" s="7">
        <f t="shared" si="159"/>
        <v>181.12150617748296</v>
      </c>
    </row>
    <row r="2036" spans="1:14" x14ac:dyDescent="0.25">
      <c r="A2036" t="str">
        <f>"14:24:17.469"</f>
        <v>14:24:17.469</v>
      </c>
      <c r="B2036">
        <v>39.850996000000002</v>
      </c>
      <c r="C2036">
        <v>-75.835747999999995</v>
      </c>
      <c r="D2036">
        <v>4700</v>
      </c>
      <c r="E2036">
        <v>4900</v>
      </c>
      <c r="F2036">
        <v>162</v>
      </c>
      <c r="G2036">
        <v>81</v>
      </c>
      <c r="H2036">
        <v>0</v>
      </c>
      <c r="J2036" s="1">
        <f t="shared" si="155"/>
        <v>26244</v>
      </c>
      <c r="K2036" s="1">
        <f t="shared" si="156"/>
        <v>6561</v>
      </c>
      <c r="L2036" s="1">
        <f t="shared" si="157"/>
        <v>32805</v>
      </c>
      <c r="M2036" s="1">
        <f t="shared" si="158"/>
        <v>181.12150617748296</v>
      </c>
      <c r="N2036" s="7">
        <f t="shared" si="159"/>
        <v>181.12150617748296</v>
      </c>
    </row>
    <row r="2037" spans="1:14" x14ac:dyDescent="0.25">
      <c r="A2037" t="str">
        <f>"14:24:18.477"</f>
        <v>14:24:18.477</v>
      </c>
      <c r="B2037">
        <v>39.85136</v>
      </c>
      <c r="C2037">
        <v>-75.834782000000004</v>
      </c>
      <c r="D2037">
        <v>4700</v>
      </c>
      <c r="E2037">
        <v>4900</v>
      </c>
      <c r="F2037">
        <v>162</v>
      </c>
      <c r="G2037">
        <v>81</v>
      </c>
      <c r="H2037">
        <v>64</v>
      </c>
      <c r="J2037" s="1">
        <f t="shared" si="155"/>
        <v>26244</v>
      </c>
      <c r="K2037" s="1">
        <f t="shared" si="156"/>
        <v>6561</v>
      </c>
      <c r="L2037" s="1">
        <f t="shared" si="157"/>
        <v>32805</v>
      </c>
      <c r="M2037" s="1">
        <f t="shared" si="158"/>
        <v>181.12150617748296</v>
      </c>
      <c r="N2037" s="7">
        <f t="shared" si="159"/>
        <v>181.12150617748296</v>
      </c>
    </row>
    <row r="2038" spans="1:14" x14ac:dyDescent="0.25">
      <c r="A2038" t="str">
        <f>"14:24:19.438"</f>
        <v>14:24:19.438</v>
      </c>
      <c r="B2038">
        <v>39.851747000000003</v>
      </c>
      <c r="C2038">
        <v>-75.833794999999995</v>
      </c>
      <c r="D2038">
        <v>4700</v>
      </c>
      <c r="E2038">
        <v>4900</v>
      </c>
      <c r="F2038">
        <v>162</v>
      </c>
      <c r="G2038">
        <v>81</v>
      </c>
      <c r="H2038">
        <v>0</v>
      </c>
      <c r="J2038" s="1">
        <f t="shared" si="155"/>
        <v>26244</v>
      </c>
      <c r="K2038" s="1">
        <f t="shared" si="156"/>
        <v>6561</v>
      </c>
      <c r="L2038" s="1">
        <f t="shared" si="157"/>
        <v>32805</v>
      </c>
      <c r="M2038" s="1">
        <f t="shared" si="158"/>
        <v>181.12150617748296</v>
      </c>
      <c r="N2038" s="7">
        <f t="shared" si="159"/>
        <v>181.12150617748296</v>
      </c>
    </row>
    <row r="2039" spans="1:14" x14ac:dyDescent="0.25">
      <c r="A2039" t="str">
        <f>"14:24:20.492"</f>
        <v>14:24:20.492</v>
      </c>
      <c r="B2039">
        <v>39.852176</v>
      </c>
      <c r="C2039">
        <v>-75.832722000000004</v>
      </c>
      <c r="D2039">
        <v>4700</v>
      </c>
      <c r="E2039">
        <v>4900</v>
      </c>
      <c r="F2039">
        <v>162</v>
      </c>
      <c r="G2039">
        <v>81</v>
      </c>
      <c r="H2039">
        <v>0</v>
      </c>
      <c r="J2039" s="1">
        <f t="shared" si="155"/>
        <v>26244</v>
      </c>
      <c r="K2039" s="1">
        <f t="shared" si="156"/>
        <v>6561</v>
      </c>
      <c r="L2039" s="1">
        <f t="shared" si="157"/>
        <v>32805</v>
      </c>
      <c r="M2039" s="1">
        <f t="shared" si="158"/>
        <v>181.12150617748296</v>
      </c>
      <c r="N2039" s="7">
        <f t="shared" si="159"/>
        <v>181.12150617748296</v>
      </c>
    </row>
    <row r="2040" spans="1:14" x14ac:dyDescent="0.25">
      <c r="A2040" t="str">
        <f>"14:24:21.453"</f>
        <v>14:24:21.453</v>
      </c>
      <c r="B2040">
        <v>39.852476000000003</v>
      </c>
      <c r="C2040">
        <v>-75.831841999999995</v>
      </c>
      <c r="D2040">
        <v>4700</v>
      </c>
      <c r="E2040">
        <v>4900</v>
      </c>
      <c r="F2040">
        <v>162</v>
      </c>
      <c r="G2040">
        <v>81</v>
      </c>
      <c r="H2040">
        <v>0</v>
      </c>
      <c r="J2040" s="1">
        <f t="shared" si="155"/>
        <v>26244</v>
      </c>
      <c r="K2040" s="1">
        <f t="shared" si="156"/>
        <v>6561</v>
      </c>
      <c r="L2040" s="1">
        <f t="shared" si="157"/>
        <v>32805</v>
      </c>
      <c r="M2040" s="1">
        <f t="shared" si="158"/>
        <v>181.12150617748296</v>
      </c>
      <c r="N2040" s="7">
        <f t="shared" si="159"/>
        <v>181.12150617748296</v>
      </c>
    </row>
    <row r="2041" spans="1:14" x14ac:dyDescent="0.25">
      <c r="A2041" t="str">
        <f>"14:24:22.414"</f>
        <v>14:24:22.414</v>
      </c>
      <c r="B2041">
        <v>39.852862000000002</v>
      </c>
      <c r="C2041">
        <v>-75.830877000000001</v>
      </c>
      <c r="D2041">
        <v>4700</v>
      </c>
      <c r="E2041">
        <v>4900</v>
      </c>
      <c r="F2041">
        <v>162</v>
      </c>
      <c r="G2041">
        <v>81</v>
      </c>
      <c r="H2041">
        <v>0</v>
      </c>
      <c r="J2041" s="1">
        <f t="shared" si="155"/>
        <v>26244</v>
      </c>
      <c r="K2041" s="1">
        <f t="shared" si="156"/>
        <v>6561</v>
      </c>
      <c r="L2041" s="1">
        <f t="shared" si="157"/>
        <v>32805</v>
      </c>
      <c r="M2041" s="1">
        <f t="shared" si="158"/>
        <v>181.12150617748296</v>
      </c>
      <c r="N2041" s="7">
        <f t="shared" si="159"/>
        <v>181.12150617748296</v>
      </c>
    </row>
    <row r="2042" spans="1:14" x14ac:dyDescent="0.25">
      <c r="A2042" t="str">
        <f>"14:24:23.477"</f>
        <v>14:24:23.477</v>
      </c>
      <c r="B2042">
        <v>39.853270000000002</v>
      </c>
      <c r="C2042">
        <v>-75.829781999999994</v>
      </c>
      <c r="D2042">
        <v>4700</v>
      </c>
      <c r="E2042">
        <v>4900</v>
      </c>
      <c r="F2042">
        <v>162</v>
      </c>
      <c r="G2042">
        <v>81</v>
      </c>
      <c r="H2042">
        <v>0</v>
      </c>
      <c r="J2042" s="1">
        <f t="shared" si="155"/>
        <v>26244</v>
      </c>
      <c r="K2042" s="1">
        <f t="shared" si="156"/>
        <v>6561</v>
      </c>
      <c r="L2042" s="1">
        <f t="shared" si="157"/>
        <v>32805</v>
      </c>
      <c r="M2042" s="1">
        <f t="shared" si="158"/>
        <v>181.12150617748296</v>
      </c>
      <c r="N2042" s="7">
        <f t="shared" si="159"/>
        <v>181.12150617748296</v>
      </c>
    </row>
    <row r="2043" spans="1:14" x14ac:dyDescent="0.25">
      <c r="A2043" t="str">
        <f>"14:24:24.531"</f>
        <v>14:24:24.531</v>
      </c>
      <c r="B2043">
        <v>39.853678000000002</v>
      </c>
      <c r="C2043">
        <v>-75.828838000000005</v>
      </c>
      <c r="D2043">
        <v>4700</v>
      </c>
      <c r="E2043">
        <v>4900</v>
      </c>
      <c r="F2043">
        <v>162</v>
      </c>
      <c r="G2043">
        <v>81</v>
      </c>
      <c r="H2043">
        <v>0</v>
      </c>
      <c r="J2043" s="1">
        <f t="shared" si="155"/>
        <v>26244</v>
      </c>
      <c r="K2043" s="1">
        <f t="shared" si="156"/>
        <v>6561</v>
      </c>
      <c r="L2043" s="1">
        <f t="shared" si="157"/>
        <v>32805</v>
      </c>
      <c r="M2043" s="1">
        <f t="shared" si="158"/>
        <v>181.12150617748296</v>
      </c>
      <c r="N2043" s="7">
        <f t="shared" si="159"/>
        <v>181.12150617748296</v>
      </c>
    </row>
    <row r="2044" spans="1:14" x14ac:dyDescent="0.25">
      <c r="A2044" t="str">
        <f>"14:24:25.492"</f>
        <v>14:24:25.492</v>
      </c>
      <c r="B2044">
        <v>39.854042999999997</v>
      </c>
      <c r="C2044">
        <v>-75.827872999999997</v>
      </c>
      <c r="D2044">
        <v>4700</v>
      </c>
      <c r="E2044">
        <v>4900</v>
      </c>
      <c r="F2044">
        <v>162</v>
      </c>
      <c r="G2044">
        <v>81</v>
      </c>
      <c r="H2044">
        <v>0</v>
      </c>
      <c r="J2044" s="1">
        <f t="shared" si="155"/>
        <v>26244</v>
      </c>
      <c r="K2044" s="1">
        <f t="shared" si="156"/>
        <v>6561</v>
      </c>
      <c r="L2044" s="1">
        <f t="shared" si="157"/>
        <v>32805</v>
      </c>
      <c r="M2044" s="1">
        <f t="shared" si="158"/>
        <v>181.12150617748296</v>
      </c>
      <c r="N2044" s="7">
        <f t="shared" si="159"/>
        <v>181.12150617748296</v>
      </c>
    </row>
    <row r="2045" spans="1:14" x14ac:dyDescent="0.25">
      <c r="A2045" t="str">
        <f>"14:24:26.602"</f>
        <v>14:24:26.602</v>
      </c>
      <c r="B2045">
        <v>39.854407000000002</v>
      </c>
      <c r="C2045">
        <v>-75.826864</v>
      </c>
      <c r="D2045">
        <v>4700</v>
      </c>
      <c r="E2045">
        <v>4900</v>
      </c>
      <c r="F2045">
        <v>162</v>
      </c>
      <c r="G2045">
        <v>82</v>
      </c>
      <c r="H2045">
        <v>0</v>
      </c>
      <c r="J2045" s="1">
        <f t="shared" si="155"/>
        <v>26244</v>
      </c>
      <c r="K2045" s="1">
        <f t="shared" si="156"/>
        <v>6724</v>
      </c>
      <c r="L2045" s="1">
        <f t="shared" si="157"/>
        <v>32968</v>
      </c>
      <c r="M2045" s="1">
        <f t="shared" si="158"/>
        <v>181.57092278225608</v>
      </c>
      <c r="N2045" s="7">
        <f t="shared" si="159"/>
        <v>181.57092278225608</v>
      </c>
    </row>
    <row r="2046" spans="1:14" x14ac:dyDescent="0.25">
      <c r="A2046" t="str">
        <f>"14:24:27.461"</f>
        <v>14:24:27.461</v>
      </c>
      <c r="B2046">
        <v>39.854771999999997</v>
      </c>
      <c r="C2046">
        <v>-75.825984000000005</v>
      </c>
      <c r="D2046">
        <v>4700</v>
      </c>
      <c r="E2046">
        <v>4900</v>
      </c>
      <c r="F2046">
        <v>162</v>
      </c>
      <c r="G2046">
        <v>82</v>
      </c>
      <c r="H2046">
        <v>0</v>
      </c>
      <c r="J2046" s="1">
        <f t="shared" si="155"/>
        <v>26244</v>
      </c>
      <c r="K2046" s="1">
        <f t="shared" si="156"/>
        <v>6724</v>
      </c>
      <c r="L2046" s="1">
        <f t="shared" si="157"/>
        <v>32968</v>
      </c>
      <c r="M2046" s="1">
        <f t="shared" si="158"/>
        <v>181.57092278225608</v>
      </c>
      <c r="N2046" s="7">
        <f t="shared" si="159"/>
        <v>181.57092278225608</v>
      </c>
    </row>
    <row r="2047" spans="1:14" x14ac:dyDescent="0.25">
      <c r="A2047" t="str">
        <f>"14:24:28.422"</f>
        <v>14:24:28.422</v>
      </c>
      <c r="B2047">
        <v>39.855136999999999</v>
      </c>
      <c r="C2047">
        <v>-75.825083000000006</v>
      </c>
      <c r="D2047">
        <v>4700</v>
      </c>
      <c r="E2047">
        <v>4900</v>
      </c>
      <c r="F2047">
        <v>162</v>
      </c>
      <c r="G2047">
        <v>82</v>
      </c>
      <c r="H2047">
        <v>0</v>
      </c>
      <c r="J2047" s="1">
        <f t="shared" si="155"/>
        <v>26244</v>
      </c>
      <c r="K2047" s="1">
        <f t="shared" si="156"/>
        <v>6724</v>
      </c>
      <c r="L2047" s="1">
        <f t="shared" si="157"/>
        <v>32968</v>
      </c>
      <c r="M2047" s="1">
        <f t="shared" si="158"/>
        <v>181.57092278225608</v>
      </c>
      <c r="N2047" s="7">
        <f t="shared" si="159"/>
        <v>181.57092278225608</v>
      </c>
    </row>
    <row r="2048" spans="1:14" x14ac:dyDescent="0.25">
      <c r="A2048" t="str">
        <f>"14:24:29.484"</f>
        <v>14:24:29.484</v>
      </c>
      <c r="B2048">
        <v>39.855566000000003</v>
      </c>
      <c r="C2048">
        <v>-75.823988999999997</v>
      </c>
      <c r="D2048">
        <v>4700</v>
      </c>
      <c r="E2048">
        <v>4900</v>
      </c>
      <c r="F2048">
        <v>161</v>
      </c>
      <c r="G2048">
        <v>82</v>
      </c>
      <c r="H2048">
        <v>0</v>
      </c>
      <c r="J2048" s="1">
        <f t="shared" si="155"/>
        <v>25921</v>
      </c>
      <c r="K2048" s="1">
        <f t="shared" si="156"/>
        <v>6724</v>
      </c>
      <c r="L2048" s="1">
        <f t="shared" si="157"/>
        <v>32645</v>
      </c>
      <c r="M2048" s="1">
        <f t="shared" si="158"/>
        <v>180.6792738528689</v>
      </c>
      <c r="N2048" s="7">
        <f t="shared" si="159"/>
        <v>180.6792738528689</v>
      </c>
    </row>
    <row r="2049" spans="1:14" x14ac:dyDescent="0.25">
      <c r="A2049" t="str">
        <f>"14:24:30.438"</f>
        <v>14:24:30.438</v>
      </c>
      <c r="B2049">
        <v>39.855888</v>
      </c>
      <c r="C2049">
        <v>-75.823131000000004</v>
      </c>
      <c r="D2049">
        <v>4700</v>
      </c>
      <c r="E2049">
        <v>4900</v>
      </c>
      <c r="F2049">
        <v>161</v>
      </c>
      <c r="G2049">
        <v>82</v>
      </c>
      <c r="H2049">
        <v>0</v>
      </c>
      <c r="J2049" s="1">
        <f t="shared" si="155"/>
        <v>25921</v>
      </c>
      <c r="K2049" s="1">
        <f t="shared" si="156"/>
        <v>6724</v>
      </c>
      <c r="L2049" s="1">
        <f t="shared" si="157"/>
        <v>32645</v>
      </c>
      <c r="M2049" s="1">
        <f t="shared" si="158"/>
        <v>180.6792738528689</v>
      </c>
      <c r="N2049" s="7">
        <f t="shared" si="159"/>
        <v>180.6792738528689</v>
      </c>
    </row>
    <row r="2050" spans="1:14" x14ac:dyDescent="0.25">
      <c r="A2050" t="str">
        <f>"14:24:31.555"</f>
        <v>14:24:31.555</v>
      </c>
      <c r="B2050">
        <v>39.856338999999998</v>
      </c>
      <c r="C2050">
        <v>-75.822014999999993</v>
      </c>
      <c r="D2050">
        <v>4700</v>
      </c>
      <c r="E2050">
        <v>4900</v>
      </c>
      <c r="F2050">
        <v>161</v>
      </c>
      <c r="G2050">
        <v>82</v>
      </c>
      <c r="H2050">
        <v>0</v>
      </c>
      <c r="J2050" s="1">
        <f t="shared" si="155"/>
        <v>25921</v>
      </c>
      <c r="K2050" s="1">
        <f t="shared" si="156"/>
        <v>6724</v>
      </c>
      <c r="L2050" s="1">
        <f t="shared" si="157"/>
        <v>32645</v>
      </c>
      <c r="M2050" s="1">
        <f t="shared" si="158"/>
        <v>180.6792738528689</v>
      </c>
      <c r="N2050" s="7">
        <f t="shared" si="159"/>
        <v>180.6792738528689</v>
      </c>
    </row>
    <row r="2051" spans="1:14" x14ac:dyDescent="0.25">
      <c r="A2051" t="str">
        <f>"14:24:32.508"</f>
        <v>14:24:32.508</v>
      </c>
      <c r="B2051">
        <v>39.856703000000003</v>
      </c>
      <c r="C2051">
        <v>-75.821071000000003</v>
      </c>
      <c r="D2051">
        <v>4700</v>
      </c>
      <c r="E2051">
        <v>4900</v>
      </c>
      <c r="F2051">
        <v>161</v>
      </c>
      <c r="G2051">
        <v>82</v>
      </c>
      <c r="H2051">
        <v>0</v>
      </c>
      <c r="J2051" s="1">
        <f t="shared" ref="J2051:J2114" si="160">F2051^2</f>
        <v>25921</v>
      </c>
      <c r="K2051" s="1">
        <f t="shared" ref="K2051:K2114" si="161">G2051^2</f>
        <v>6724</v>
      </c>
      <c r="L2051" s="1">
        <f t="shared" ref="L2051:L2114" si="162">SUMSQ(F2051,G2051)</f>
        <v>32645</v>
      </c>
      <c r="M2051" s="1">
        <f t="shared" ref="M2051:M2114" si="163">SQRT(L2051)</f>
        <v>180.6792738528689</v>
      </c>
      <c r="N2051" s="7">
        <f t="shared" ref="N2051:N2114" si="164">M2051</f>
        <v>180.6792738528689</v>
      </c>
    </row>
    <row r="2052" spans="1:14" x14ac:dyDescent="0.25">
      <c r="A2052" t="str">
        <f>"14:24:33.422"</f>
        <v>14:24:33.422</v>
      </c>
      <c r="B2052">
        <v>39.857047000000001</v>
      </c>
      <c r="C2052">
        <v>-75.820190999999994</v>
      </c>
      <c r="D2052">
        <v>4700</v>
      </c>
      <c r="E2052">
        <v>4900</v>
      </c>
      <c r="F2052">
        <v>161</v>
      </c>
      <c r="G2052">
        <v>83</v>
      </c>
      <c r="H2052">
        <v>0</v>
      </c>
      <c r="J2052" s="1">
        <f t="shared" si="160"/>
        <v>25921</v>
      </c>
      <c r="K2052" s="1">
        <f t="shared" si="161"/>
        <v>6889</v>
      </c>
      <c r="L2052" s="1">
        <f t="shared" si="162"/>
        <v>32810</v>
      </c>
      <c r="M2052" s="1">
        <f t="shared" si="163"/>
        <v>181.13530854032848</v>
      </c>
      <c r="N2052" s="7">
        <f t="shared" si="164"/>
        <v>181.13530854032848</v>
      </c>
    </row>
    <row r="2053" spans="1:14" x14ac:dyDescent="0.25">
      <c r="A2053" t="str">
        <f>"14:24:34.477"</f>
        <v>14:24:34.477</v>
      </c>
      <c r="B2053">
        <v>39.857475999999998</v>
      </c>
      <c r="C2053">
        <v>-75.819160999999994</v>
      </c>
      <c r="D2053">
        <v>4700</v>
      </c>
      <c r="E2053">
        <v>4900</v>
      </c>
      <c r="F2053">
        <v>161</v>
      </c>
      <c r="G2053">
        <v>83</v>
      </c>
      <c r="H2053">
        <v>0</v>
      </c>
      <c r="J2053" s="1">
        <f t="shared" si="160"/>
        <v>25921</v>
      </c>
      <c r="K2053" s="1">
        <f t="shared" si="161"/>
        <v>6889</v>
      </c>
      <c r="L2053" s="1">
        <f t="shared" si="162"/>
        <v>32810</v>
      </c>
      <c r="M2053" s="1">
        <f t="shared" si="163"/>
        <v>181.13530854032848</v>
      </c>
      <c r="N2053" s="7">
        <f t="shared" si="164"/>
        <v>181.13530854032848</v>
      </c>
    </row>
    <row r="2054" spans="1:14" x14ac:dyDescent="0.25">
      <c r="A2054" t="str">
        <f>"14:24:35.641"</f>
        <v>14:24:35.641</v>
      </c>
      <c r="B2054">
        <v>39.857883000000001</v>
      </c>
      <c r="C2054">
        <v>-75.818044999999998</v>
      </c>
      <c r="D2054">
        <v>4700</v>
      </c>
      <c r="E2054">
        <v>4900</v>
      </c>
      <c r="F2054">
        <v>161</v>
      </c>
      <c r="G2054">
        <v>83</v>
      </c>
      <c r="H2054">
        <v>0</v>
      </c>
      <c r="J2054" s="1">
        <f t="shared" si="160"/>
        <v>25921</v>
      </c>
      <c r="K2054" s="1">
        <f t="shared" si="161"/>
        <v>6889</v>
      </c>
      <c r="L2054" s="1">
        <f t="shared" si="162"/>
        <v>32810</v>
      </c>
      <c r="M2054" s="1">
        <f t="shared" si="163"/>
        <v>181.13530854032848</v>
      </c>
      <c r="N2054" s="7">
        <f t="shared" si="164"/>
        <v>181.13530854032848</v>
      </c>
    </row>
    <row r="2055" spans="1:14" x14ac:dyDescent="0.25">
      <c r="A2055" t="str">
        <f>"14:24:36.750"</f>
        <v>14:24:36.750</v>
      </c>
      <c r="B2055">
        <v>39.858313000000003</v>
      </c>
      <c r="C2055">
        <v>-75.817014999999998</v>
      </c>
      <c r="D2055">
        <v>4700</v>
      </c>
      <c r="E2055">
        <v>4900</v>
      </c>
      <c r="F2055">
        <v>161</v>
      </c>
      <c r="G2055">
        <v>83</v>
      </c>
      <c r="H2055">
        <v>0</v>
      </c>
      <c r="J2055" s="1">
        <f t="shared" si="160"/>
        <v>25921</v>
      </c>
      <c r="K2055" s="1">
        <f t="shared" si="161"/>
        <v>6889</v>
      </c>
      <c r="L2055" s="1">
        <f t="shared" si="162"/>
        <v>32810</v>
      </c>
      <c r="M2055" s="1">
        <f t="shared" si="163"/>
        <v>181.13530854032848</v>
      </c>
      <c r="N2055" s="7">
        <f t="shared" si="164"/>
        <v>181.13530854032848</v>
      </c>
    </row>
    <row r="2056" spans="1:14" x14ac:dyDescent="0.25">
      <c r="A2056" t="str">
        <f>"14:24:37.711"</f>
        <v>14:24:37.711</v>
      </c>
      <c r="B2056">
        <v>39.858719999999998</v>
      </c>
      <c r="C2056">
        <v>-75.816050000000004</v>
      </c>
      <c r="D2056">
        <v>4700</v>
      </c>
      <c r="E2056">
        <v>4900</v>
      </c>
      <c r="F2056">
        <v>161</v>
      </c>
      <c r="G2056">
        <v>83</v>
      </c>
      <c r="H2056">
        <v>0</v>
      </c>
      <c r="J2056" s="1">
        <f t="shared" si="160"/>
        <v>25921</v>
      </c>
      <c r="K2056" s="1">
        <f t="shared" si="161"/>
        <v>6889</v>
      </c>
      <c r="L2056" s="1">
        <f t="shared" si="162"/>
        <v>32810</v>
      </c>
      <c r="M2056" s="1">
        <f t="shared" si="163"/>
        <v>181.13530854032848</v>
      </c>
      <c r="N2056" s="7">
        <f t="shared" si="164"/>
        <v>181.13530854032848</v>
      </c>
    </row>
    <row r="2057" spans="1:14" x14ac:dyDescent="0.25">
      <c r="A2057" t="str">
        <f>"14:24:38.773"</f>
        <v>14:24:38.773</v>
      </c>
      <c r="B2057">
        <v>39.859149000000002</v>
      </c>
      <c r="C2057">
        <v>-75.814998000000003</v>
      </c>
      <c r="D2057">
        <v>4700</v>
      </c>
      <c r="E2057">
        <v>4900</v>
      </c>
      <c r="F2057">
        <v>161</v>
      </c>
      <c r="G2057">
        <v>83</v>
      </c>
      <c r="H2057">
        <v>0</v>
      </c>
      <c r="J2057" s="1">
        <f t="shared" si="160"/>
        <v>25921</v>
      </c>
      <c r="K2057" s="1">
        <f t="shared" si="161"/>
        <v>6889</v>
      </c>
      <c r="L2057" s="1">
        <f t="shared" si="162"/>
        <v>32810</v>
      </c>
      <c r="M2057" s="1">
        <f t="shared" si="163"/>
        <v>181.13530854032848</v>
      </c>
      <c r="N2057" s="7">
        <f t="shared" si="164"/>
        <v>181.13530854032848</v>
      </c>
    </row>
    <row r="2058" spans="1:14" x14ac:dyDescent="0.25">
      <c r="A2058" t="str">
        <f>"14:24:39.883"</f>
        <v>14:24:39.883</v>
      </c>
      <c r="B2058">
        <v>39.859513999999997</v>
      </c>
      <c r="C2058">
        <v>-75.814032999999995</v>
      </c>
      <c r="D2058">
        <v>4700</v>
      </c>
      <c r="E2058">
        <v>4900</v>
      </c>
      <c r="F2058">
        <v>161</v>
      </c>
      <c r="G2058">
        <v>83</v>
      </c>
      <c r="H2058">
        <v>0</v>
      </c>
      <c r="J2058" s="1">
        <f t="shared" si="160"/>
        <v>25921</v>
      </c>
      <c r="K2058" s="1">
        <f t="shared" si="161"/>
        <v>6889</v>
      </c>
      <c r="L2058" s="1">
        <f t="shared" si="162"/>
        <v>32810</v>
      </c>
      <c r="M2058" s="1">
        <f t="shared" si="163"/>
        <v>181.13530854032848</v>
      </c>
      <c r="N2058" s="7">
        <f t="shared" si="164"/>
        <v>181.13530854032848</v>
      </c>
    </row>
    <row r="2059" spans="1:14" x14ac:dyDescent="0.25">
      <c r="A2059" t="str">
        <f>"14:24:40.992"</f>
        <v>14:24:40.992</v>
      </c>
      <c r="B2059">
        <v>39.859985999999999</v>
      </c>
      <c r="C2059">
        <v>-75.812873999999994</v>
      </c>
      <c r="D2059">
        <v>4700</v>
      </c>
      <c r="E2059">
        <v>4900</v>
      </c>
      <c r="F2059">
        <v>160</v>
      </c>
      <c r="G2059">
        <v>83</v>
      </c>
      <c r="H2059">
        <v>0</v>
      </c>
      <c r="J2059" s="1">
        <f t="shared" si="160"/>
        <v>25600</v>
      </c>
      <c r="K2059" s="1">
        <f t="shared" si="161"/>
        <v>6889</v>
      </c>
      <c r="L2059" s="1">
        <f t="shared" si="162"/>
        <v>32489</v>
      </c>
      <c r="M2059" s="1">
        <f t="shared" si="163"/>
        <v>180.24705268048075</v>
      </c>
      <c r="N2059" s="7">
        <f t="shared" si="164"/>
        <v>180.24705268048075</v>
      </c>
    </row>
    <row r="2060" spans="1:14" x14ac:dyDescent="0.25">
      <c r="A2060" t="str">
        <f>"14:24:41.953"</f>
        <v>14:24:41.953</v>
      </c>
      <c r="B2060">
        <v>39.860329999999998</v>
      </c>
      <c r="C2060">
        <v>-75.811993999999999</v>
      </c>
      <c r="D2060">
        <v>4700</v>
      </c>
      <c r="E2060">
        <v>4900</v>
      </c>
      <c r="F2060">
        <v>160</v>
      </c>
      <c r="G2060">
        <v>83</v>
      </c>
      <c r="H2060">
        <v>0</v>
      </c>
      <c r="J2060" s="1">
        <f t="shared" si="160"/>
        <v>25600</v>
      </c>
      <c r="K2060" s="1">
        <f t="shared" si="161"/>
        <v>6889</v>
      </c>
      <c r="L2060" s="1">
        <f t="shared" si="162"/>
        <v>32489</v>
      </c>
      <c r="M2060" s="1">
        <f t="shared" si="163"/>
        <v>180.24705268048075</v>
      </c>
      <c r="N2060" s="7">
        <f t="shared" si="164"/>
        <v>180.24705268048075</v>
      </c>
    </row>
    <row r="2061" spans="1:14" x14ac:dyDescent="0.25">
      <c r="A2061" t="str">
        <f>"14:24:42.961"</f>
        <v>14:24:42.961</v>
      </c>
      <c r="B2061">
        <v>39.860737</v>
      </c>
      <c r="C2061">
        <v>-75.811027999999993</v>
      </c>
      <c r="D2061">
        <v>4700</v>
      </c>
      <c r="E2061">
        <v>4900</v>
      </c>
      <c r="F2061">
        <v>160</v>
      </c>
      <c r="G2061">
        <v>84</v>
      </c>
      <c r="H2061">
        <v>64</v>
      </c>
      <c r="J2061" s="1">
        <f t="shared" si="160"/>
        <v>25600</v>
      </c>
      <c r="K2061" s="1">
        <f t="shared" si="161"/>
        <v>7056</v>
      </c>
      <c r="L2061" s="1">
        <f t="shared" si="162"/>
        <v>32656</v>
      </c>
      <c r="M2061" s="1">
        <f t="shared" si="163"/>
        <v>180.70971196922429</v>
      </c>
      <c r="N2061" s="7">
        <f t="shared" si="164"/>
        <v>180.70971196922429</v>
      </c>
    </row>
    <row r="2062" spans="1:14" x14ac:dyDescent="0.25">
      <c r="A2062" t="str">
        <f>"14:24:43.969"</f>
        <v>14:24:43.969</v>
      </c>
      <c r="B2062">
        <v>39.861145</v>
      </c>
      <c r="C2062">
        <v>-75.809933999999998</v>
      </c>
      <c r="D2062">
        <v>4700</v>
      </c>
      <c r="E2062">
        <v>4900</v>
      </c>
      <c r="F2062">
        <v>160</v>
      </c>
      <c r="G2062">
        <v>84</v>
      </c>
      <c r="H2062">
        <v>64</v>
      </c>
      <c r="J2062" s="1">
        <f t="shared" si="160"/>
        <v>25600</v>
      </c>
      <c r="K2062" s="1">
        <f t="shared" si="161"/>
        <v>7056</v>
      </c>
      <c r="L2062" s="1">
        <f t="shared" si="162"/>
        <v>32656</v>
      </c>
      <c r="M2062" s="1">
        <f t="shared" si="163"/>
        <v>180.70971196922429</v>
      </c>
      <c r="N2062" s="7">
        <f t="shared" si="164"/>
        <v>180.70971196922429</v>
      </c>
    </row>
    <row r="2063" spans="1:14" x14ac:dyDescent="0.25">
      <c r="A2063" t="str">
        <f>"14:24:45.031"</f>
        <v>14:24:45.031</v>
      </c>
      <c r="B2063">
        <v>39.861510000000003</v>
      </c>
      <c r="C2063">
        <v>-75.809010999999998</v>
      </c>
      <c r="D2063">
        <v>4700</v>
      </c>
      <c r="E2063">
        <v>4900</v>
      </c>
      <c r="F2063">
        <v>160</v>
      </c>
      <c r="G2063">
        <v>84</v>
      </c>
      <c r="H2063">
        <v>64</v>
      </c>
      <c r="J2063" s="1">
        <f t="shared" si="160"/>
        <v>25600</v>
      </c>
      <c r="K2063" s="1">
        <f t="shared" si="161"/>
        <v>7056</v>
      </c>
      <c r="L2063" s="1">
        <f t="shared" si="162"/>
        <v>32656</v>
      </c>
      <c r="M2063" s="1">
        <f t="shared" si="163"/>
        <v>180.70971196922429</v>
      </c>
      <c r="N2063" s="7">
        <f t="shared" si="164"/>
        <v>180.70971196922429</v>
      </c>
    </row>
    <row r="2064" spans="1:14" x14ac:dyDescent="0.25">
      <c r="A2064" t="str">
        <f>"14:24:46.039"</f>
        <v>14:24:46.039</v>
      </c>
      <c r="B2064">
        <v>39.861939</v>
      </c>
      <c r="C2064">
        <v>-75.808046000000004</v>
      </c>
      <c r="D2064">
        <v>4700</v>
      </c>
      <c r="E2064">
        <v>4900</v>
      </c>
      <c r="F2064">
        <v>160</v>
      </c>
      <c r="G2064">
        <v>84</v>
      </c>
      <c r="H2064">
        <v>64</v>
      </c>
      <c r="J2064" s="1">
        <f t="shared" si="160"/>
        <v>25600</v>
      </c>
      <c r="K2064" s="1">
        <f t="shared" si="161"/>
        <v>7056</v>
      </c>
      <c r="L2064" s="1">
        <f t="shared" si="162"/>
        <v>32656</v>
      </c>
      <c r="M2064" s="1">
        <f t="shared" si="163"/>
        <v>180.70971196922429</v>
      </c>
      <c r="N2064" s="7">
        <f t="shared" si="164"/>
        <v>180.70971196922429</v>
      </c>
    </row>
    <row r="2065" spans="1:14" x14ac:dyDescent="0.25">
      <c r="A2065" t="str">
        <f>"14:24:46.953"</f>
        <v>14:24:46.953</v>
      </c>
      <c r="B2065">
        <v>39.862304000000002</v>
      </c>
      <c r="C2065">
        <v>-75.807058999999995</v>
      </c>
      <c r="D2065">
        <v>4700</v>
      </c>
      <c r="E2065">
        <v>4900</v>
      </c>
      <c r="F2065">
        <v>160</v>
      </c>
      <c r="G2065">
        <v>84</v>
      </c>
      <c r="H2065">
        <v>0</v>
      </c>
      <c r="J2065" s="1">
        <f t="shared" si="160"/>
        <v>25600</v>
      </c>
      <c r="K2065" s="1">
        <f t="shared" si="161"/>
        <v>7056</v>
      </c>
      <c r="L2065" s="1">
        <f t="shared" si="162"/>
        <v>32656</v>
      </c>
      <c r="M2065" s="1">
        <f t="shared" si="163"/>
        <v>180.70971196922429</v>
      </c>
      <c r="N2065" s="7">
        <f t="shared" si="164"/>
        <v>180.70971196922429</v>
      </c>
    </row>
    <row r="2066" spans="1:14" x14ac:dyDescent="0.25">
      <c r="A2066" t="str">
        <f>"14:24:48.109"</f>
        <v>14:24:48.109</v>
      </c>
      <c r="B2066">
        <v>39.862754000000002</v>
      </c>
      <c r="C2066">
        <v>-75.806028999999995</v>
      </c>
      <c r="D2066">
        <v>4700</v>
      </c>
      <c r="E2066">
        <v>4900</v>
      </c>
      <c r="F2066">
        <v>160</v>
      </c>
      <c r="G2066">
        <v>84</v>
      </c>
      <c r="H2066">
        <v>0</v>
      </c>
      <c r="J2066" s="1">
        <f t="shared" si="160"/>
        <v>25600</v>
      </c>
      <c r="K2066" s="1">
        <f t="shared" si="161"/>
        <v>7056</v>
      </c>
      <c r="L2066" s="1">
        <f t="shared" si="162"/>
        <v>32656</v>
      </c>
      <c r="M2066" s="1">
        <f t="shared" si="163"/>
        <v>180.70971196922429</v>
      </c>
      <c r="N2066" s="7">
        <f t="shared" si="164"/>
        <v>180.70971196922429</v>
      </c>
    </row>
    <row r="2067" spans="1:14" x14ac:dyDescent="0.25">
      <c r="A2067" t="str">
        <f>"14:24:49.070"</f>
        <v>14:24:49.070</v>
      </c>
      <c r="B2067">
        <v>39.863098000000001</v>
      </c>
      <c r="C2067">
        <v>-75.805171000000001</v>
      </c>
      <c r="D2067">
        <v>4700</v>
      </c>
      <c r="E2067">
        <v>4900</v>
      </c>
      <c r="F2067">
        <v>160</v>
      </c>
      <c r="G2067">
        <v>84</v>
      </c>
      <c r="H2067">
        <v>0</v>
      </c>
      <c r="J2067" s="1">
        <f t="shared" si="160"/>
        <v>25600</v>
      </c>
      <c r="K2067" s="1">
        <f t="shared" si="161"/>
        <v>7056</v>
      </c>
      <c r="L2067" s="1">
        <f t="shared" si="162"/>
        <v>32656</v>
      </c>
      <c r="M2067" s="1">
        <f t="shared" si="163"/>
        <v>180.70971196922429</v>
      </c>
      <c r="N2067" s="7">
        <f t="shared" si="164"/>
        <v>180.70971196922429</v>
      </c>
    </row>
    <row r="2068" spans="1:14" x14ac:dyDescent="0.25">
      <c r="A2068" t="str">
        <f>"14:24:50.086"</f>
        <v>14:24:50.086</v>
      </c>
      <c r="B2068">
        <v>39.863526999999998</v>
      </c>
      <c r="C2068">
        <v>-75.804119</v>
      </c>
      <c r="D2068">
        <v>4700</v>
      </c>
      <c r="E2068">
        <v>4900</v>
      </c>
      <c r="F2068">
        <v>160</v>
      </c>
      <c r="G2068">
        <v>84</v>
      </c>
      <c r="H2068">
        <v>64</v>
      </c>
      <c r="J2068" s="1">
        <f t="shared" si="160"/>
        <v>25600</v>
      </c>
      <c r="K2068" s="1">
        <f t="shared" si="161"/>
        <v>7056</v>
      </c>
      <c r="L2068" s="1">
        <f t="shared" si="162"/>
        <v>32656</v>
      </c>
      <c r="M2068" s="1">
        <f t="shared" si="163"/>
        <v>180.70971196922429</v>
      </c>
      <c r="N2068" s="7">
        <f t="shared" si="164"/>
        <v>180.70971196922429</v>
      </c>
    </row>
    <row r="2069" spans="1:14" x14ac:dyDescent="0.25">
      <c r="A2069" t="str">
        <f>"14:24:51.141"</f>
        <v>14:24:51.141</v>
      </c>
      <c r="B2069">
        <v>39.863892</v>
      </c>
      <c r="C2069">
        <v>-75.803154000000006</v>
      </c>
      <c r="D2069">
        <v>4700</v>
      </c>
      <c r="E2069">
        <v>4900</v>
      </c>
      <c r="F2069">
        <v>160</v>
      </c>
      <c r="G2069">
        <v>84</v>
      </c>
      <c r="H2069">
        <v>64</v>
      </c>
      <c r="J2069" s="1">
        <f t="shared" si="160"/>
        <v>25600</v>
      </c>
      <c r="K2069" s="1">
        <f t="shared" si="161"/>
        <v>7056</v>
      </c>
      <c r="L2069" s="1">
        <f t="shared" si="162"/>
        <v>32656</v>
      </c>
      <c r="M2069" s="1">
        <f t="shared" si="163"/>
        <v>180.70971196922429</v>
      </c>
      <c r="N2069" s="7">
        <f t="shared" si="164"/>
        <v>180.70971196922429</v>
      </c>
    </row>
    <row r="2070" spans="1:14" x14ac:dyDescent="0.25">
      <c r="A2070" t="str">
        <f>"14:24:52.148"</f>
        <v>14:24:52.148</v>
      </c>
      <c r="B2070">
        <v>39.864299000000003</v>
      </c>
      <c r="C2070">
        <v>-75.802144999999996</v>
      </c>
      <c r="D2070">
        <v>4700</v>
      </c>
      <c r="E2070">
        <v>4900</v>
      </c>
      <c r="F2070">
        <v>160</v>
      </c>
      <c r="G2070">
        <v>84</v>
      </c>
      <c r="H2070">
        <v>64</v>
      </c>
      <c r="J2070" s="1">
        <f t="shared" si="160"/>
        <v>25600</v>
      </c>
      <c r="K2070" s="1">
        <f t="shared" si="161"/>
        <v>7056</v>
      </c>
      <c r="L2070" s="1">
        <f t="shared" si="162"/>
        <v>32656</v>
      </c>
      <c r="M2070" s="1">
        <f t="shared" si="163"/>
        <v>180.70971196922429</v>
      </c>
      <c r="N2070" s="7">
        <f t="shared" si="164"/>
        <v>180.70971196922429</v>
      </c>
    </row>
    <row r="2071" spans="1:14" x14ac:dyDescent="0.25">
      <c r="A2071" t="str">
        <f>"14:24:53.164"</f>
        <v>14:24:53.164</v>
      </c>
      <c r="B2071">
        <v>39.864663999999998</v>
      </c>
      <c r="C2071">
        <v>-75.801179000000005</v>
      </c>
      <c r="D2071">
        <v>4700</v>
      </c>
      <c r="E2071">
        <v>4900</v>
      </c>
      <c r="F2071">
        <v>160</v>
      </c>
      <c r="G2071">
        <v>84</v>
      </c>
      <c r="H2071">
        <v>64</v>
      </c>
      <c r="J2071" s="1">
        <f t="shared" si="160"/>
        <v>25600</v>
      </c>
      <c r="K2071" s="1">
        <f t="shared" si="161"/>
        <v>7056</v>
      </c>
      <c r="L2071" s="1">
        <f t="shared" si="162"/>
        <v>32656</v>
      </c>
      <c r="M2071" s="1">
        <f t="shared" si="163"/>
        <v>180.70971196922429</v>
      </c>
      <c r="N2071" s="7">
        <f t="shared" si="164"/>
        <v>180.70971196922429</v>
      </c>
    </row>
    <row r="2072" spans="1:14" x14ac:dyDescent="0.25">
      <c r="A2072" t="str">
        <f>"14:24:54.023"</f>
        <v>14:24:54.023</v>
      </c>
      <c r="B2072">
        <v>39.865006999999999</v>
      </c>
      <c r="C2072">
        <v>-75.800364000000002</v>
      </c>
      <c r="D2072">
        <v>4700</v>
      </c>
      <c r="E2072">
        <v>4900</v>
      </c>
      <c r="F2072">
        <v>160</v>
      </c>
      <c r="G2072">
        <v>83</v>
      </c>
      <c r="H2072">
        <v>0</v>
      </c>
      <c r="J2072" s="1">
        <f t="shared" si="160"/>
        <v>25600</v>
      </c>
      <c r="K2072" s="1">
        <f t="shared" si="161"/>
        <v>6889</v>
      </c>
      <c r="L2072" s="1">
        <f t="shared" si="162"/>
        <v>32489</v>
      </c>
      <c r="M2072" s="1">
        <f t="shared" si="163"/>
        <v>180.24705268048075</v>
      </c>
      <c r="N2072" s="7">
        <f t="shared" si="164"/>
        <v>180.24705268048075</v>
      </c>
    </row>
    <row r="2073" spans="1:14" x14ac:dyDescent="0.25">
      <c r="A2073" t="str">
        <f>"14:24:55.031"</f>
        <v>14:24:55.031</v>
      </c>
      <c r="B2073">
        <v>39.865437</v>
      </c>
      <c r="C2073">
        <v>-75.799377000000007</v>
      </c>
      <c r="D2073">
        <v>4700</v>
      </c>
      <c r="E2073">
        <v>4900</v>
      </c>
      <c r="F2073">
        <v>160</v>
      </c>
      <c r="G2073">
        <v>83</v>
      </c>
      <c r="H2073">
        <v>0</v>
      </c>
      <c r="J2073" s="1">
        <f t="shared" si="160"/>
        <v>25600</v>
      </c>
      <c r="K2073" s="1">
        <f t="shared" si="161"/>
        <v>6889</v>
      </c>
      <c r="L2073" s="1">
        <f t="shared" si="162"/>
        <v>32489</v>
      </c>
      <c r="M2073" s="1">
        <f t="shared" si="163"/>
        <v>180.24705268048075</v>
      </c>
      <c r="N2073" s="7">
        <f t="shared" si="164"/>
        <v>180.24705268048075</v>
      </c>
    </row>
    <row r="2074" spans="1:14" x14ac:dyDescent="0.25">
      <c r="A2074" t="str">
        <f>"14:24:56.039"</f>
        <v>14:24:56.039</v>
      </c>
      <c r="B2074">
        <v>39.865800999999998</v>
      </c>
      <c r="C2074">
        <v>-75.798411000000002</v>
      </c>
      <c r="D2074">
        <v>4700</v>
      </c>
      <c r="E2074">
        <v>4900</v>
      </c>
      <c r="F2074">
        <v>161</v>
      </c>
      <c r="G2074">
        <v>83</v>
      </c>
      <c r="H2074">
        <v>0</v>
      </c>
      <c r="J2074" s="1">
        <f t="shared" si="160"/>
        <v>25921</v>
      </c>
      <c r="K2074" s="1">
        <f t="shared" si="161"/>
        <v>6889</v>
      </c>
      <c r="L2074" s="1">
        <f t="shared" si="162"/>
        <v>32810</v>
      </c>
      <c r="M2074" s="1">
        <f t="shared" si="163"/>
        <v>181.13530854032848</v>
      </c>
      <c r="N2074" s="7">
        <f t="shared" si="164"/>
        <v>181.13530854032848</v>
      </c>
    </row>
    <row r="2075" spans="1:14" x14ac:dyDescent="0.25">
      <c r="A2075" t="str">
        <f>"14:24:57.047"</f>
        <v>14:24:57.047</v>
      </c>
      <c r="B2075">
        <v>39.866166</v>
      </c>
      <c r="C2075">
        <v>-75.797424000000007</v>
      </c>
      <c r="D2075">
        <v>4700</v>
      </c>
      <c r="E2075">
        <v>4900</v>
      </c>
      <c r="F2075">
        <v>161</v>
      </c>
      <c r="G2075">
        <v>83</v>
      </c>
      <c r="H2075">
        <v>0</v>
      </c>
      <c r="J2075" s="1">
        <f t="shared" si="160"/>
        <v>25921</v>
      </c>
      <c r="K2075" s="1">
        <f t="shared" si="161"/>
        <v>6889</v>
      </c>
      <c r="L2075" s="1">
        <f t="shared" si="162"/>
        <v>32810</v>
      </c>
      <c r="M2075" s="1">
        <f t="shared" si="163"/>
        <v>181.13530854032848</v>
      </c>
      <c r="N2075" s="7">
        <f t="shared" si="164"/>
        <v>181.13530854032848</v>
      </c>
    </row>
    <row r="2076" spans="1:14" x14ac:dyDescent="0.25">
      <c r="A2076" t="str">
        <f>"14:24:57.961"</f>
        <v>14:24:57.961</v>
      </c>
      <c r="B2076">
        <v>39.866551999999999</v>
      </c>
      <c r="C2076">
        <v>-75.796436999999997</v>
      </c>
      <c r="D2076">
        <v>4700</v>
      </c>
      <c r="E2076">
        <v>4900</v>
      </c>
      <c r="F2076">
        <v>161</v>
      </c>
      <c r="G2076">
        <v>83</v>
      </c>
      <c r="H2076">
        <v>-64</v>
      </c>
      <c r="J2076" s="1">
        <f t="shared" si="160"/>
        <v>25921</v>
      </c>
      <c r="K2076" s="1">
        <f t="shared" si="161"/>
        <v>6889</v>
      </c>
      <c r="L2076" s="1">
        <f t="shared" si="162"/>
        <v>32810</v>
      </c>
      <c r="M2076" s="1">
        <f t="shared" si="163"/>
        <v>181.13530854032848</v>
      </c>
      <c r="N2076" s="7">
        <f t="shared" si="164"/>
        <v>181.13530854032848</v>
      </c>
    </row>
    <row r="2077" spans="1:14" x14ac:dyDescent="0.25">
      <c r="A2077" t="str">
        <f>"14:24:59.070"</f>
        <v>14:24:59.070</v>
      </c>
      <c r="B2077">
        <v>39.866959999999999</v>
      </c>
      <c r="C2077">
        <v>-75.795535999999998</v>
      </c>
      <c r="D2077">
        <v>4700</v>
      </c>
      <c r="E2077">
        <v>4900</v>
      </c>
      <c r="F2077">
        <v>161</v>
      </c>
      <c r="G2077">
        <v>83</v>
      </c>
      <c r="H2077">
        <v>-64</v>
      </c>
      <c r="J2077" s="1">
        <f t="shared" si="160"/>
        <v>25921</v>
      </c>
      <c r="K2077" s="1">
        <f t="shared" si="161"/>
        <v>6889</v>
      </c>
      <c r="L2077" s="1">
        <f t="shared" si="162"/>
        <v>32810</v>
      </c>
      <c r="M2077" s="1">
        <f t="shared" si="163"/>
        <v>181.13530854032848</v>
      </c>
      <c r="N2077" s="7">
        <f t="shared" si="164"/>
        <v>181.13530854032848</v>
      </c>
    </row>
    <row r="2078" spans="1:14" x14ac:dyDescent="0.25">
      <c r="A2078" t="str">
        <f>"14:25:00.031"</f>
        <v>14:25:00.031</v>
      </c>
      <c r="B2078">
        <v>39.867345999999998</v>
      </c>
      <c r="C2078">
        <v>-75.794549000000004</v>
      </c>
      <c r="D2078">
        <v>4700</v>
      </c>
      <c r="E2078">
        <v>4900</v>
      </c>
      <c r="F2078">
        <v>161</v>
      </c>
      <c r="G2078">
        <v>83</v>
      </c>
      <c r="H2078">
        <v>-64</v>
      </c>
      <c r="J2078" s="1">
        <f t="shared" si="160"/>
        <v>25921</v>
      </c>
      <c r="K2078" s="1">
        <f t="shared" si="161"/>
        <v>6889</v>
      </c>
      <c r="L2078" s="1">
        <f t="shared" si="162"/>
        <v>32810</v>
      </c>
      <c r="M2078" s="1">
        <f t="shared" si="163"/>
        <v>181.13530854032848</v>
      </c>
      <c r="N2078" s="7">
        <f t="shared" si="164"/>
        <v>181.13530854032848</v>
      </c>
    </row>
    <row r="2079" spans="1:14" x14ac:dyDescent="0.25">
      <c r="A2079" t="str">
        <f>"14:25:00.938"</f>
        <v>14:25:00.938</v>
      </c>
      <c r="B2079">
        <v>39.867690000000003</v>
      </c>
      <c r="C2079">
        <v>-75.793668999999994</v>
      </c>
      <c r="D2079">
        <v>4700</v>
      </c>
      <c r="E2079">
        <v>4900</v>
      </c>
      <c r="F2079">
        <v>161</v>
      </c>
      <c r="G2079">
        <v>83</v>
      </c>
      <c r="H2079">
        <v>-64</v>
      </c>
      <c r="J2079" s="1">
        <f t="shared" si="160"/>
        <v>25921</v>
      </c>
      <c r="K2079" s="1">
        <f t="shared" si="161"/>
        <v>6889</v>
      </c>
      <c r="L2079" s="1">
        <f t="shared" si="162"/>
        <v>32810</v>
      </c>
      <c r="M2079" s="1">
        <f t="shared" si="163"/>
        <v>181.13530854032848</v>
      </c>
      <c r="N2079" s="7">
        <f t="shared" si="164"/>
        <v>181.13530854032848</v>
      </c>
    </row>
    <row r="2080" spans="1:14" x14ac:dyDescent="0.25">
      <c r="A2080" t="str">
        <f>"14:25:01.898"</f>
        <v>14:25:01.898</v>
      </c>
      <c r="B2080">
        <v>39.868054000000001</v>
      </c>
      <c r="C2080">
        <v>-75.792704000000001</v>
      </c>
      <c r="D2080">
        <v>4700</v>
      </c>
      <c r="E2080">
        <v>4900</v>
      </c>
      <c r="F2080">
        <v>161</v>
      </c>
      <c r="G2080">
        <v>83</v>
      </c>
      <c r="H2080">
        <v>-64</v>
      </c>
      <c r="J2080" s="1">
        <f t="shared" si="160"/>
        <v>25921</v>
      </c>
      <c r="K2080" s="1">
        <f t="shared" si="161"/>
        <v>6889</v>
      </c>
      <c r="L2080" s="1">
        <f t="shared" si="162"/>
        <v>32810</v>
      </c>
      <c r="M2080" s="1">
        <f t="shared" si="163"/>
        <v>181.13530854032848</v>
      </c>
      <c r="N2080" s="7">
        <f t="shared" si="164"/>
        <v>181.13530854032848</v>
      </c>
    </row>
    <row r="2081" spans="1:14" x14ac:dyDescent="0.25">
      <c r="A2081" t="str">
        <f>"14:25:02.906"</f>
        <v>14:25:02.906</v>
      </c>
      <c r="B2081">
        <v>39.868419000000003</v>
      </c>
      <c r="C2081">
        <v>-75.791758999999999</v>
      </c>
      <c r="D2081">
        <v>4700</v>
      </c>
      <c r="E2081">
        <v>4900</v>
      </c>
      <c r="F2081">
        <v>161</v>
      </c>
      <c r="G2081">
        <v>83</v>
      </c>
      <c r="H2081">
        <v>-64</v>
      </c>
      <c r="J2081" s="1">
        <f t="shared" si="160"/>
        <v>25921</v>
      </c>
      <c r="K2081" s="1">
        <f t="shared" si="161"/>
        <v>6889</v>
      </c>
      <c r="L2081" s="1">
        <f t="shared" si="162"/>
        <v>32810</v>
      </c>
      <c r="M2081" s="1">
        <f t="shared" si="163"/>
        <v>181.13530854032848</v>
      </c>
      <c r="N2081" s="7">
        <f t="shared" si="164"/>
        <v>181.13530854032848</v>
      </c>
    </row>
    <row r="2082" spans="1:14" x14ac:dyDescent="0.25">
      <c r="A2082" t="str">
        <f>"14:25:03.766"</f>
        <v>14:25:03.766</v>
      </c>
      <c r="B2082">
        <v>39.868783999999998</v>
      </c>
      <c r="C2082">
        <v>-75.790836999999996</v>
      </c>
      <c r="D2082">
        <v>4700</v>
      </c>
      <c r="E2082">
        <v>4900</v>
      </c>
      <c r="F2082">
        <v>161</v>
      </c>
      <c r="G2082">
        <v>83</v>
      </c>
      <c r="H2082">
        <v>-64</v>
      </c>
      <c r="J2082" s="1">
        <f t="shared" si="160"/>
        <v>25921</v>
      </c>
      <c r="K2082" s="1">
        <f t="shared" si="161"/>
        <v>6889</v>
      </c>
      <c r="L2082" s="1">
        <f t="shared" si="162"/>
        <v>32810</v>
      </c>
      <c r="M2082" s="1">
        <f t="shared" si="163"/>
        <v>181.13530854032848</v>
      </c>
      <c r="N2082" s="7">
        <f t="shared" si="164"/>
        <v>181.13530854032848</v>
      </c>
    </row>
    <row r="2083" spans="1:14" x14ac:dyDescent="0.25">
      <c r="A2083" t="str">
        <f>"14:25:04.727"</f>
        <v>14:25:04.727</v>
      </c>
      <c r="B2083">
        <v>39.869106000000002</v>
      </c>
      <c r="C2083">
        <v>-75.789957000000001</v>
      </c>
      <c r="D2083">
        <v>4700</v>
      </c>
      <c r="E2083">
        <v>4900</v>
      </c>
      <c r="F2083">
        <v>162</v>
      </c>
      <c r="G2083">
        <v>82</v>
      </c>
      <c r="H2083">
        <v>-64</v>
      </c>
      <c r="J2083" s="1">
        <f t="shared" si="160"/>
        <v>26244</v>
      </c>
      <c r="K2083" s="1">
        <f t="shared" si="161"/>
        <v>6724</v>
      </c>
      <c r="L2083" s="1">
        <f t="shared" si="162"/>
        <v>32968</v>
      </c>
      <c r="M2083" s="1">
        <f t="shared" si="163"/>
        <v>181.57092278225608</v>
      </c>
      <c r="N2083" s="7">
        <f t="shared" si="164"/>
        <v>181.57092278225608</v>
      </c>
    </row>
    <row r="2084" spans="1:14" x14ac:dyDescent="0.25">
      <c r="A2084" t="str">
        <f>"14:25:05.734"</f>
        <v>14:25:05.734</v>
      </c>
      <c r="B2084">
        <v>39.869514000000002</v>
      </c>
      <c r="C2084">
        <v>-75.789012999999997</v>
      </c>
      <c r="D2084">
        <v>4700</v>
      </c>
      <c r="E2084">
        <v>4900</v>
      </c>
      <c r="F2084">
        <v>162</v>
      </c>
      <c r="G2084">
        <v>82</v>
      </c>
      <c r="H2084">
        <v>-64</v>
      </c>
      <c r="J2084" s="1">
        <f t="shared" si="160"/>
        <v>26244</v>
      </c>
      <c r="K2084" s="1">
        <f t="shared" si="161"/>
        <v>6724</v>
      </c>
      <c r="L2084" s="1">
        <f t="shared" si="162"/>
        <v>32968</v>
      </c>
      <c r="M2084" s="1">
        <f t="shared" si="163"/>
        <v>181.57092278225608</v>
      </c>
      <c r="N2084" s="7">
        <f t="shared" si="164"/>
        <v>181.57092278225608</v>
      </c>
    </row>
    <row r="2085" spans="1:14" x14ac:dyDescent="0.25">
      <c r="A2085" t="str">
        <f>"14:25:06.797"</f>
        <v>14:25:06.797</v>
      </c>
      <c r="B2085">
        <v>39.869942999999999</v>
      </c>
      <c r="C2085">
        <v>-75.787960999999996</v>
      </c>
      <c r="D2085">
        <v>4700</v>
      </c>
      <c r="E2085">
        <v>4900</v>
      </c>
      <c r="F2085">
        <v>162</v>
      </c>
      <c r="G2085">
        <v>82</v>
      </c>
      <c r="H2085">
        <v>-64</v>
      </c>
      <c r="J2085" s="1">
        <f t="shared" si="160"/>
        <v>26244</v>
      </c>
      <c r="K2085" s="1">
        <f t="shared" si="161"/>
        <v>6724</v>
      </c>
      <c r="L2085" s="1">
        <f t="shared" si="162"/>
        <v>32968</v>
      </c>
      <c r="M2085" s="1">
        <f t="shared" si="163"/>
        <v>181.57092278225608</v>
      </c>
      <c r="N2085" s="7">
        <f t="shared" si="164"/>
        <v>181.57092278225608</v>
      </c>
    </row>
    <row r="2086" spans="1:14" x14ac:dyDescent="0.25">
      <c r="A2086" t="str">
        <f>"14:25:07.750"</f>
        <v>14:25:07.750</v>
      </c>
      <c r="B2086">
        <v>39.870265000000003</v>
      </c>
      <c r="C2086">
        <v>-75.787103000000002</v>
      </c>
      <c r="D2086">
        <v>4700</v>
      </c>
      <c r="E2086">
        <v>4900</v>
      </c>
      <c r="F2086">
        <v>162</v>
      </c>
      <c r="G2086">
        <v>82</v>
      </c>
      <c r="H2086">
        <v>0</v>
      </c>
      <c r="J2086" s="1">
        <f t="shared" si="160"/>
        <v>26244</v>
      </c>
      <c r="K2086" s="1">
        <f t="shared" si="161"/>
        <v>6724</v>
      </c>
      <c r="L2086" s="1">
        <f t="shared" si="162"/>
        <v>32968</v>
      </c>
      <c r="M2086" s="1">
        <f t="shared" si="163"/>
        <v>181.57092278225608</v>
      </c>
      <c r="N2086" s="7">
        <f t="shared" si="164"/>
        <v>181.57092278225608</v>
      </c>
    </row>
    <row r="2087" spans="1:14" x14ac:dyDescent="0.25">
      <c r="A2087" t="str">
        <f>"14:25:08.914"</f>
        <v>14:25:08.914</v>
      </c>
      <c r="B2087">
        <v>39.870714999999997</v>
      </c>
      <c r="C2087">
        <v>-75.785901999999993</v>
      </c>
      <c r="D2087">
        <v>4700</v>
      </c>
      <c r="E2087">
        <v>4900</v>
      </c>
      <c r="F2087">
        <v>162</v>
      </c>
      <c r="G2087">
        <v>82</v>
      </c>
      <c r="H2087">
        <v>0</v>
      </c>
      <c r="J2087" s="1">
        <f t="shared" si="160"/>
        <v>26244</v>
      </c>
      <c r="K2087" s="1">
        <f t="shared" si="161"/>
        <v>6724</v>
      </c>
      <c r="L2087" s="1">
        <f t="shared" si="162"/>
        <v>32968</v>
      </c>
      <c r="M2087" s="1">
        <f t="shared" si="163"/>
        <v>181.57092278225608</v>
      </c>
      <c r="N2087" s="7">
        <f t="shared" si="164"/>
        <v>181.57092278225608</v>
      </c>
    </row>
    <row r="2088" spans="1:14" x14ac:dyDescent="0.25">
      <c r="A2088" t="str">
        <f>"14:25:10.023"</f>
        <v>14:25:10.023</v>
      </c>
      <c r="B2088">
        <v>39.871144000000001</v>
      </c>
      <c r="C2088">
        <v>-75.784850000000006</v>
      </c>
      <c r="D2088">
        <v>4700</v>
      </c>
      <c r="E2088">
        <v>4900</v>
      </c>
      <c r="F2088">
        <v>162</v>
      </c>
      <c r="G2088">
        <v>82</v>
      </c>
      <c r="H2088">
        <v>0</v>
      </c>
      <c r="J2088" s="1">
        <f t="shared" si="160"/>
        <v>26244</v>
      </c>
      <c r="K2088" s="1">
        <f t="shared" si="161"/>
        <v>6724</v>
      </c>
      <c r="L2088" s="1">
        <f t="shared" si="162"/>
        <v>32968</v>
      </c>
      <c r="M2088" s="1">
        <f t="shared" si="163"/>
        <v>181.57092278225608</v>
      </c>
      <c r="N2088" s="7">
        <f t="shared" si="164"/>
        <v>181.57092278225608</v>
      </c>
    </row>
    <row r="2089" spans="1:14" x14ac:dyDescent="0.25">
      <c r="A2089" t="str">
        <f>"14:25:11.031"</f>
        <v>14:25:11.031</v>
      </c>
      <c r="B2089">
        <v>39.871530999999997</v>
      </c>
      <c r="C2089">
        <v>-75.783884999999998</v>
      </c>
      <c r="D2089">
        <v>4700</v>
      </c>
      <c r="E2089">
        <v>4900</v>
      </c>
      <c r="F2089">
        <v>162</v>
      </c>
      <c r="G2089">
        <v>82</v>
      </c>
      <c r="H2089">
        <v>64</v>
      </c>
      <c r="J2089" s="1">
        <f t="shared" si="160"/>
        <v>26244</v>
      </c>
      <c r="K2089" s="1">
        <f t="shared" si="161"/>
        <v>6724</v>
      </c>
      <c r="L2089" s="1">
        <f t="shared" si="162"/>
        <v>32968</v>
      </c>
      <c r="M2089" s="1">
        <f t="shared" si="163"/>
        <v>181.57092278225608</v>
      </c>
      <c r="N2089" s="7">
        <f t="shared" si="164"/>
        <v>181.57092278225608</v>
      </c>
    </row>
    <row r="2090" spans="1:14" x14ac:dyDescent="0.25">
      <c r="A2090" t="str">
        <f>"14:25:12.047"</f>
        <v>14:25:12.047</v>
      </c>
      <c r="B2090">
        <v>39.871895000000002</v>
      </c>
      <c r="C2090">
        <v>-75.782897000000006</v>
      </c>
      <c r="D2090">
        <v>4700</v>
      </c>
      <c r="E2090">
        <v>4900</v>
      </c>
      <c r="F2090">
        <v>162</v>
      </c>
      <c r="G2090">
        <v>82</v>
      </c>
      <c r="H2090">
        <v>64</v>
      </c>
      <c r="J2090" s="1">
        <f t="shared" si="160"/>
        <v>26244</v>
      </c>
      <c r="K2090" s="1">
        <f t="shared" si="161"/>
        <v>6724</v>
      </c>
      <c r="L2090" s="1">
        <f t="shared" si="162"/>
        <v>32968</v>
      </c>
      <c r="M2090" s="1">
        <f t="shared" si="163"/>
        <v>181.57092278225608</v>
      </c>
      <c r="N2090" s="7">
        <f t="shared" si="164"/>
        <v>181.57092278225608</v>
      </c>
    </row>
    <row r="2091" spans="1:14" x14ac:dyDescent="0.25">
      <c r="A2091" t="str">
        <f>"14:25:12.852"</f>
        <v>14:25:12.852</v>
      </c>
      <c r="B2091">
        <v>39.872216999999999</v>
      </c>
      <c r="C2091">
        <v>-75.782104000000004</v>
      </c>
      <c r="D2091">
        <v>4700</v>
      </c>
      <c r="E2091">
        <v>4900</v>
      </c>
      <c r="F2091">
        <v>162</v>
      </c>
      <c r="G2091">
        <v>82</v>
      </c>
      <c r="H2091">
        <v>64</v>
      </c>
      <c r="J2091" s="1">
        <f t="shared" si="160"/>
        <v>26244</v>
      </c>
      <c r="K2091" s="1">
        <f t="shared" si="161"/>
        <v>6724</v>
      </c>
      <c r="L2091" s="1">
        <f t="shared" si="162"/>
        <v>32968</v>
      </c>
      <c r="M2091" s="1">
        <f t="shared" si="163"/>
        <v>181.57092278225608</v>
      </c>
      <c r="N2091" s="7">
        <f t="shared" si="164"/>
        <v>181.57092278225608</v>
      </c>
    </row>
    <row r="2092" spans="1:14" x14ac:dyDescent="0.25">
      <c r="A2092" t="str">
        <f>"14:25:13.813"</f>
        <v>14:25:13.813</v>
      </c>
      <c r="B2092">
        <v>39.872602999999998</v>
      </c>
      <c r="C2092">
        <v>-75.781137999999999</v>
      </c>
      <c r="D2092">
        <v>4700</v>
      </c>
      <c r="E2092">
        <v>4900</v>
      </c>
      <c r="F2092">
        <v>162</v>
      </c>
      <c r="G2092">
        <v>82</v>
      </c>
      <c r="H2092">
        <v>64</v>
      </c>
      <c r="J2092" s="1">
        <f t="shared" si="160"/>
        <v>26244</v>
      </c>
      <c r="K2092" s="1">
        <f t="shared" si="161"/>
        <v>6724</v>
      </c>
      <c r="L2092" s="1">
        <f t="shared" si="162"/>
        <v>32968</v>
      </c>
      <c r="M2092" s="1">
        <f t="shared" si="163"/>
        <v>181.57092278225608</v>
      </c>
      <c r="N2092" s="7">
        <f t="shared" si="164"/>
        <v>181.57092278225608</v>
      </c>
    </row>
    <row r="2093" spans="1:14" x14ac:dyDescent="0.25">
      <c r="A2093" t="str">
        <f>"14:25:14.922"</f>
        <v>14:25:14.922</v>
      </c>
      <c r="B2093">
        <v>39.873010999999998</v>
      </c>
      <c r="C2093">
        <v>-75.780044000000004</v>
      </c>
      <c r="D2093">
        <v>4700</v>
      </c>
      <c r="E2093">
        <v>4900</v>
      </c>
      <c r="F2093">
        <v>162</v>
      </c>
      <c r="G2093">
        <v>82</v>
      </c>
      <c r="H2093">
        <v>64</v>
      </c>
      <c r="J2093" s="1">
        <f t="shared" si="160"/>
        <v>26244</v>
      </c>
      <c r="K2093" s="1">
        <f t="shared" si="161"/>
        <v>6724</v>
      </c>
      <c r="L2093" s="1">
        <f t="shared" si="162"/>
        <v>32968</v>
      </c>
      <c r="M2093" s="1">
        <f t="shared" si="163"/>
        <v>181.57092278225608</v>
      </c>
      <c r="N2093" s="7">
        <f t="shared" si="164"/>
        <v>181.57092278225608</v>
      </c>
    </row>
    <row r="2094" spans="1:14" x14ac:dyDescent="0.25">
      <c r="A2094" t="str">
        <f>"14:25:15.836"</f>
        <v>14:25:15.836</v>
      </c>
      <c r="B2094">
        <v>39.873333000000002</v>
      </c>
      <c r="C2094">
        <v>-75.779184999999998</v>
      </c>
      <c r="D2094">
        <v>4700</v>
      </c>
      <c r="E2094">
        <v>4900</v>
      </c>
      <c r="F2094">
        <v>162</v>
      </c>
      <c r="G2094">
        <v>82</v>
      </c>
      <c r="H2094">
        <v>64</v>
      </c>
      <c r="J2094" s="1">
        <f t="shared" si="160"/>
        <v>26244</v>
      </c>
      <c r="K2094" s="1">
        <f t="shared" si="161"/>
        <v>6724</v>
      </c>
      <c r="L2094" s="1">
        <f t="shared" si="162"/>
        <v>32968</v>
      </c>
      <c r="M2094" s="1">
        <f t="shared" si="163"/>
        <v>181.57092278225608</v>
      </c>
      <c r="N2094" s="7">
        <f t="shared" si="164"/>
        <v>181.57092278225608</v>
      </c>
    </row>
    <row r="2095" spans="1:14" x14ac:dyDescent="0.25">
      <c r="A2095" t="str">
        <f>"14:25:16.742"</f>
        <v>14:25:16.742</v>
      </c>
      <c r="B2095">
        <v>39.873697999999997</v>
      </c>
      <c r="C2095">
        <v>-75.778327000000004</v>
      </c>
      <c r="D2095">
        <v>4700</v>
      </c>
      <c r="E2095">
        <v>4900</v>
      </c>
      <c r="F2095">
        <v>162</v>
      </c>
      <c r="G2095">
        <v>82</v>
      </c>
      <c r="H2095">
        <v>64</v>
      </c>
      <c r="J2095" s="1">
        <f t="shared" si="160"/>
        <v>26244</v>
      </c>
      <c r="K2095" s="1">
        <f t="shared" si="161"/>
        <v>6724</v>
      </c>
      <c r="L2095" s="1">
        <f t="shared" si="162"/>
        <v>32968</v>
      </c>
      <c r="M2095" s="1">
        <f t="shared" si="163"/>
        <v>181.57092278225608</v>
      </c>
      <c r="N2095" s="7">
        <f t="shared" si="164"/>
        <v>181.57092278225608</v>
      </c>
    </row>
    <row r="2096" spans="1:14" x14ac:dyDescent="0.25">
      <c r="A2096" t="str">
        <f>"14:25:17.594"</f>
        <v>14:25:17.594</v>
      </c>
      <c r="B2096">
        <v>39.874040999999998</v>
      </c>
      <c r="C2096">
        <v>-75.777468999999996</v>
      </c>
      <c r="D2096">
        <v>4700</v>
      </c>
      <c r="E2096">
        <v>4900</v>
      </c>
      <c r="F2096">
        <v>162</v>
      </c>
      <c r="G2096">
        <v>81</v>
      </c>
      <c r="H2096">
        <v>64</v>
      </c>
      <c r="J2096" s="1">
        <f t="shared" si="160"/>
        <v>26244</v>
      </c>
      <c r="K2096" s="1">
        <f t="shared" si="161"/>
        <v>6561</v>
      </c>
      <c r="L2096" s="1">
        <f t="shared" si="162"/>
        <v>32805</v>
      </c>
      <c r="M2096" s="1">
        <f t="shared" si="163"/>
        <v>181.12150617748296</v>
      </c>
      <c r="N2096" s="7">
        <f t="shared" si="164"/>
        <v>181.12150617748296</v>
      </c>
    </row>
    <row r="2097" spans="1:14" x14ac:dyDescent="0.25">
      <c r="A2097" t="str">
        <f>"14:25:18.711"</f>
        <v>14:25:18.711</v>
      </c>
      <c r="B2097">
        <v>39.874426999999997</v>
      </c>
      <c r="C2097">
        <v>-75.776353</v>
      </c>
      <c r="D2097">
        <v>4700</v>
      </c>
      <c r="E2097">
        <v>4900</v>
      </c>
      <c r="F2097">
        <v>162</v>
      </c>
      <c r="G2097">
        <v>81</v>
      </c>
      <c r="H2097">
        <v>64</v>
      </c>
      <c r="J2097" s="1">
        <f t="shared" si="160"/>
        <v>26244</v>
      </c>
      <c r="K2097" s="1">
        <f t="shared" si="161"/>
        <v>6561</v>
      </c>
      <c r="L2097" s="1">
        <f t="shared" si="162"/>
        <v>32805</v>
      </c>
      <c r="M2097" s="1">
        <f t="shared" si="163"/>
        <v>181.12150617748296</v>
      </c>
      <c r="N2097" s="7">
        <f t="shared" si="164"/>
        <v>181.12150617748296</v>
      </c>
    </row>
    <row r="2098" spans="1:14" x14ac:dyDescent="0.25">
      <c r="A2098" t="str">
        <f>"14:25:19.719"</f>
        <v>14:25:19.719</v>
      </c>
      <c r="B2098">
        <v>39.874834999999997</v>
      </c>
      <c r="C2098">
        <v>-75.775386999999995</v>
      </c>
      <c r="D2098">
        <v>4700</v>
      </c>
      <c r="E2098">
        <v>4900</v>
      </c>
      <c r="F2098">
        <v>162</v>
      </c>
      <c r="G2098">
        <v>81</v>
      </c>
      <c r="H2098">
        <v>64</v>
      </c>
      <c r="J2098" s="1">
        <f t="shared" si="160"/>
        <v>26244</v>
      </c>
      <c r="K2098" s="1">
        <f t="shared" si="161"/>
        <v>6561</v>
      </c>
      <c r="L2098" s="1">
        <f t="shared" si="162"/>
        <v>32805</v>
      </c>
      <c r="M2098" s="1">
        <f t="shared" si="163"/>
        <v>181.12150617748296</v>
      </c>
      <c r="N2098" s="7">
        <f t="shared" si="164"/>
        <v>181.12150617748296</v>
      </c>
    </row>
    <row r="2099" spans="1:14" x14ac:dyDescent="0.25">
      <c r="A2099" t="str">
        <f>"14:25:20.727"</f>
        <v>14:25:20.727</v>
      </c>
      <c r="B2099">
        <v>39.8752</v>
      </c>
      <c r="C2099">
        <v>-75.774443000000005</v>
      </c>
      <c r="D2099">
        <v>4700</v>
      </c>
      <c r="E2099">
        <v>4900</v>
      </c>
      <c r="F2099">
        <v>162</v>
      </c>
      <c r="G2099">
        <v>81</v>
      </c>
      <c r="H2099">
        <v>0</v>
      </c>
      <c r="J2099" s="1">
        <f t="shared" si="160"/>
        <v>26244</v>
      </c>
      <c r="K2099" s="1">
        <f t="shared" si="161"/>
        <v>6561</v>
      </c>
      <c r="L2099" s="1">
        <f t="shared" si="162"/>
        <v>32805</v>
      </c>
      <c r="M2099" s="1">
        <f t="shared" si="163"/>
        <v>181.12150617748296</v>
      </c>
      <c r="N2099" s="7">
        <f t="shared" si="164"/>
        <v>181.12150617748296</v>
      </c>
    </row>
    <row r="2100" spans="1:14" x14ac:dyDescent="0.25">
      <c r="A2100" t="str">
        <f>"14:25:21.734"</f>
        <v>14:25:21.734</v>
      </c>
      <c r="B2100">
        <v>39.875565000000002</v>
      </c>
      <c r="C2100">
        <v>-75.773413000000005</v>
      </c>
      <c r="D2100">
        <v>4700</v>
      </c>
      <c r="E2100">
        <v>4900</v>
      </c>
      <c r="F2100">
        <v>162</v>
      </c>
      <c r="G2100">
        <v>81</v>
      </c>
      <c r="H2100">
        <v>0</v>
      </c>
      <c r="J2100" s="1">
        <f t="shared" si="160"/>
        <v>26244</v>
      </c>
      <c r="K2100" s="1">
        <f t="shared" si="161"/>
        <v>6561</v>
      </c>
      <c r="L2100" s="1">
        <f t="shared" si="162"/>
        <v>32805</v>
      </c>
      <c r="M2100" s="1">
        <f t="shared" si="163"/>
        <v>181.12150617748296</v>
      </c>
      <c r="N2100" s="7">
        <f t="shared" si="164"/>
        <v>181.12150617748296</v>
      </c>
    </row>
    <row r="2101" spans="1:14" x14ac:dyDescent="0.25">
      <c r="A2101" t="str">
        <f>"14:25:22.742"</f>
        <v>14:25:22.742</v>
      </c>
      <c r="B2101">
        <v>39.875928999999999</v>
      </c>
      <c r="C2101">
        <v>-75.772469000000001</v>
      </c>
      <c r="D2101">
        <v>4700</v>
      </c>
      <c r="E2101">
        <v>4900</v>
      </c>
      <c r="F2101">
        <v>162</v>
      </c>
      <c r="G2101">
        <v>81</v>
      </c>
      <c r="H2101">
        <v>0</v>
      </c>
      <c r="J2101" s="1">
        <f t="shared" si="160"/>
        <v>26244</v>
      </c>
      <c r="K2101" s="1">
        <f t="shared" si="161"/>
        <v>6561</v>
      </c>
      <c r="L2101" s="1">
        <f t="shared" si="162"/>
        <v>32805</v>
      </c>
      <c r="M2101" s="1">
        <f t="shared" si="163"/>
        <v>181.12150617748296</v>
      </c>
      <c r="N2101" s="7">
        <f t="shared" si="164"/>
        <v>181.12150617748296</v>
      </c>
    </row>
    <row r="2102" spans="1:14" x14ac:dyDescent="0.25">
      <c r="A2102" t="str">
        <f>"14:25:23.656"</f>
        <v>14:25:23.656</v>
      </c>
      <c r="B2102">
        <v>39.876272999999998</v>
      </c>
      <c r="C2102">
        <v>-75.771610999999993</v>
      </c>
      <c r="D2102">
        <v>4700</v>
      </c>
      <c r="E2102">
        <v>4900</v>
      </c>
      <c r="F2102">
        <v>162</v>
      </c>
      <c r="G2102">
        <v>81</v>
      </c>
      <c r="H2102">
        <v>0</v>
      </c>
      <c r="J2102" s="1">
        <f t="shared" si="160"/>
        <v>26244</v>
      </c>
      <c r="K2102" s="1">
        <f t="shared" si="161"/>
        <v>6561</v>
      </c>
      <c r="L2102" s="1">
        <f t="shared" si="162"/>
        <v>32805</v>
      </c>
      <c r="M2102" s="1">
        <f t="shared" si="163"/>
        <v>181.12150617748296</v>
      </c>
      <c r="N2102" s="7">
        <f t="shared" si="164"/>
        <v>181.12150617748296</v>
      </c>
    </row>
    <row r="2103" spans="1:14" x14ac:dyDescent="0.25">
      <c r="A2103" t="str">
        <f>"14:25:24.813"</f>
        <v>14:25:24.813</v>
      </c>
      <c r="B2103">
        <v>39.876745</v>
      </c>
      <c r="C2103">
        <v>-75.770452000000006</v>
      </c>
      <c r="D2103">
        <v>4700</v>
      </c>
      <c r="E2103">
        <v>4900</v>
      </c>
      <c r="F2103">
        <v>162</v>
      </c>
      <c r="G2103">
        <v>81</v>
      </c>
      <c r="H2103">
        <v>0</v>
      </c>
      <c r="J2103" s="1">
        <f t="shared" si="160"/>
        <v>26244</v>
      </c>
      <c r="K2103" s="1">
        <f t="shared" si="161"/>
        <v>6561</v>
      </c>
      <c r="L2103" s="1">
        <f t="shared" si="162"/>
        <v>32805</v>
      </c>
      <c r="M2103" s="1">
        <f t="shared" si="163"/>
        <v>181.12150617748296</v>
      </c>
      <c r="N2103" s="7">
        <f t="shared" si="164"/>
        <v>181.12150617748296</v>
      </c>
    </row>
    <row r="2104" spans="1:14" x14ac:dyDescent="0.25">
      <c r="A2104" t="str">
        <f>"14:25:25.828"</f>
        <v>14:25:25.828</v>
      </c>
      <c r="B2104">
        <v>39.877110000000002</v>
      </c>
      <c r="C2104">
        <v>-75.769464999999997</v>
      </c>
      <c r="D2104">
        <v>4700</v>
      </c>
      <c r="E2104">
        <v>4900</v>
      </c>
      <c r="F2104">
        <v>162</v>
      </c>
      <c r="G2104">
        <v>81</v>
      </c>
      <c r="H2104">
        <v>-64</v>
      </c>
      <c r="J2104" s="1">
        <f t="shared" si="160"/>
        <v>26244</v>
      </c>
      <c r="K2104" s="1">
        <f t="shared" si="161"/>
        <v>6561</v>
      </c>
      <c r="L2104" s="1">
        <f t="shared" si="162"/>
        <v>32805</v>
      </c>
      <c r="M2104" s="1">
        <f t="shared" si="163"/>
        <v>181.12150617748296</v>
      </c>
      <c r="N2104" s="7">
        <f t="shared" si="164"/>
        <v>181.12150617748296</v>
      </c>
    </row>
    <row r="2105" spans="1:14" x14ac:dyDescent="0.25">
      <c r="A2105" t="str">
        <f>"14:25:26.836"</f>
        <v>14:25:26.836</v>
      </c>
      <c r="B2105">
        <v>39.877473999999999</v>
      </c>
      <c r="C2105">
        <v>-75.768499000000006</v>
      </c>
      <c r="D2105">
        <v>4700</v>
      </c>
      <c r="E2105">
        <v>4900</v>
      </c>
      <c r="F2105">
        <v>163</v>
      </c>
      <c r="G2105">
        <v>81</v>
      </c>
      <c r="H2105">
        <v>-64</v>
      </c>
      <c r="J2105" s="1">
        <f t="shared" si="160"/>
        <v>26569</v>
      </c>
      <c r="K2105" s="1">
        <f t="shared" si="161"/>
        <v>6561</v>
      </c>
      <c r="L2105" s="1">
        <f t="shared" si="162"/>
        <v>33130</v>
      </c>
      <c r="M2105" s="1">
        <f t="shared" si="163"/>
        <v>182.0164827701052</v>
      </c>
      <c r="N2105" s="7">
        <f t="shared" si="164"/>
        <v>182.0164827701052</v>
      </c>
    </row>
    <row r="2106" spans="1:14" x14ac:dyDescent="0.25">
      <c r="A2106" t="str">
        <f>"14:25:27.695"</f>
        <v>14:25:27.695</v>
      </c>
      <c r="B2106">
        <v>39.877861000000003</v>
      </c>
      <c r="C2106">
        <v>-75.767577000000003</v>
      </c>
      <c r="D2106">
        <v>4700</v>
      </c>
      <c r="E2106">
        <v>4900</v>
      </c>
      <c r="F2106">
        <v>163</v>
      </c>
      <c r="G2106">
        <v>81</v>
      </c>
      <c r="H2106">
        <v>-64</v>
      </c>
      <c r="J2106" s="1">
        <f t="shared" si="160"/>
        <v>26569</v>
      </c>
      <c r="K2106" s="1">
        <f t="shared" si="161"/>
        <v>6561</v>
      </c>
      <c r="L2106" s="1">
        <f t="shared" si="162"/>
        <v>33130</v>
      </c>
      <c r="M2106" s="1">
        <f t="shared" si="163"/>
        <v>182.0164827701052</v>
      </c>
      <c r="N2106" s="7">
        <f t="shared" si="164"/>
        <v>182.0164827701052</v>
      </c>
    </row>
    <row r="2107" spans="1:14" x14ac:dyDescent="0.25">
      <c r="A2107" t="str">
        <f>"14:25:28.805"</f>
        <v>14:25:28.805</v>
      </c>
      <c r="B2107">
        <v>39.878225</v>
      </c>
      <c r="C2107">
        <v>-75.766547000000003</v>
      </c>
      <c r="D2107">
        <v>4700</v>
      </c>
      <c r="E2107">
        <v>4900</v>
      </c>
      <c r="F2107">
        <v>163</v>
      </c>
      <c r="G2107">
        <v>81</v>
      </c>
      <c r="H2107">
        <v>-64</v>
      </c>
      <c r="J2107" s="1">
        <f t="shared" si="160"/>
        <v>26569</v>
      </c>
      <c r="K2107" s="1">
        <f t="shared" si="161"/>
        <v>6561</v>
      </c>
      <c r="L2107" s="1">
        <f t="shared" si="162"/>
        <v>33130</v>
      </c>
      <c r="M2107" s="1">
        <f t="shared" si="163"/>
        <v>182.0164827701052</v>
      </c>
      <c r="N2107" s="7">
        <f t="shared" si="164"/>
        <v>182.0164827701052</v>
      </c>
    </row>
    <row r="2108" spans="1:14" x14ac:dyDescent="0.25">
      <c r="A2108" t="str">
        <f>"14:25:29.711"</f>
        <v>14:25:29.711</v>
      </c>
      <c r="B2108">
        <v>39.878590000000003</v>
      </c>
      <c r="C2108">
        <v>-75.765602999999999</v>
      </c>
      <c r="D2108">
        <v>4700</v>
      </c>
      <c r="E2108">
        <v>4900</v>
      </c>
      <c r="F2108">
        <v>163</v>
      </c>
      <c r="G2108">
        <v>81</v>
      </c>
      <c r="H2108">
        <v>-64</v>
      </c>
      <c r="J2108" s="1">
        <f t="shared" si="160"/>
        <v>26569</v>
      </c>
      <c r="K2108" s="1">
        <f t="shared" si="161"/>
        <v>6561</v>
      </c>
      <c r="L2108" s="1">
        <f t="shared" si="162"/>
        <v>33130</v>
      </c>
      <c r="M2108" s="1">
        <f t="shared" si="163"/>
        <v>182.0164827701052</v>
      </c>
      <c r="N2108" s="7">
        <f t="shared" si="164"/>
        <v>182.0164827701052</v>
      </c>
    </row>
    <row r="2109" spans="1:14" x14ac:dyDescent="0.25">
      <c r="A2109" t="str">
        <f>"14:25:30.719"</f>
        <v>14:25:30.719</v>
      </c>
      <c r="B2109">
        <v>39.878954999999998</v>
      </c>
      <c r="C2109">
        <v>-75.764636999999993</v>
      </c>
      <c r="D2109">
        <v>4700</v>
      </c>
      <c r="E2109">
        <v>4900</v>
      </c>
      <c r="F2109">
        <v>163</v>
      </c>
      <c r="G2109">
        <v>81</v>
      </c>
      <c r="H2109">
        <v>-128</v>
      </c>
      <c r="J2109" s="1">
        <f t="shared" si="160"/>
        <v>26569</v>
      </c>
      <c r="K2109" s="1">
        <f t="shared" si="161"/>
        <v>6561</v>
      </c>
      <c r="L2109" s="1">
        <f t="shared" si="162"/>
        <v>33130</v>
      </c>
      <c r="M2109" s="1">
        <f t="shared" si="163"/>
        <v>182.0164827701052</v>
      </c>
      <c r="N2109" s="7">
        <f t="shared" si="164"/>
        <v>182.0164827701052</v>
      </c>
    </row>
    <row r="2110" spans="1:14" x14ac:dyDescent="0.25">
      <c r="A2110" t="str">
        <f>"14:25:31.680"</f>
        <v>14:25:31.680</v>
      </c>
      <c r="B2110">
        <v>39.87932</v>
      </c>
      <c r="C2110">
        <v>-75.763693000000004</v>
      </c>
      <c r="D2110">
        <v>4700</v>
      </c>
      <c r="E2110">
        <v>4900</v>
      </c>
      <c r="F2110">
        <v>163</v>
      </c>
      <c r="G2110">
        <v>81</v>
      </c>
      <c r="H2110">
        <v>-128</v>
      </c>
      <c r="J2110" s="1">
        <f t="shared" si="160"/>
        <v>26569</v>
      </c>
      <c r="K2110" s="1">
        <f t="shared" si="161"/>
        <v>6561</v>
      </c>
      <c r="L2110" s="1">
        <f t="shared" si="162"/>
        <v>33130</v>
      </c>
      <c r="M2110" s="1">
        <f t="shared" si="163"/>
        <v>182.0164827701052</v>
      </c>
      <c r="N2110" s="7">
        <f t="shared" si="164"/>
        <v>182.0164827701052</v>
      </c>
    </row>
    <row r="2111" spans="1:14" x14ac:dyDescent="0.25">
      <c r="A2111" t="str">
        <f>"14:25:32.539"</f>
        <v>14:25:32.539</v>
      </c>
      <c r="B2111">
        <v>39.879641999999997</v>
      </c>
      <c r="C2111">
        <v>-75.762919999999994</v>
      </c>
      <c r="D2111">
        <v>4700</v>
      </c>
      <c r="E2111">
        <v>4900</v>
      </c>
      <c r="F2111">
        <v>163</v>
      </c>
      <c r="G2111">
        <v>82</v>
      </c>
      <c r="H2111">
        <v>-128</v>
      </c>
      <c r="J2111" s="1">
        <f t="shared" si="160"/>
        <v>26569</v>
      </c>
      <c r="K2111" s="1">
        <f t="shared" si="161"/>
        <v>6724</v>
      </c>
      <c r="L2111" s="1">
        <f t="shared" si="162"/>
        <v>33293</v>
      </c>
      <c r="M2111" s="1">
        <f t="shared" si="163"/>
        <v>182.46369501903661</v>
      </c>
      <c r="N2111" s="7">
        <f t="shared" si="164"/>
        <v>182.46369501903661</v>
      </c>
    </row>
    <row r="2112" spans="1:14" x14ac:dyDescent="0.25">
      <c r="A2112" t="str">
        <f>"14:25:33.453"</f>
        <v>14:25:33.453</v>
      </c>
      <c r="B2112">
        <v>39.880006000000002</v>
      </c>
      <c r="C2112">
        <v>-75.762018999999995</v>
      </c>
      <c r="D2112">
        <v>4700</v>
      </c>
      <c r="E2112">
        <v>4900</v>
      </c>
      <c r="F2112">
        <v>163</v>
      </c>
      <c r="G2112">
        <v>82</v>
      </c>
      <c r="H2112">
        <v>-128</v>
      </c>
      <c r="J2112" s="1">
        <f t="shared" si="160"/>
        <v>26569</v>
      </c>
      <c r="K2112" s="1">
        <f t="shared" si="161"/>
        <v>6724</v>
      </c>
      <c r="L2112" s="1">
        <f t="shared" si="162"/>
        <v>33293</v>
      </c>
      <c r="M2112" s="1">
        <f t="shared" si="163"/>
        <v>182.46369501903661</v>
      </c>
      <c r="N2112" s="7">
        <f t="shared" si="164"/>
        <v>182.46369501903661</v>
      </c>
    </row>
    <row r="2113" spans="1:14" x14ac:dyDescent="0.25">
      <c r="A2113" t="str">
        <f>"14:25:34.305"</f>
        <v>14:25:34.305</v>
      </c>
      <c r="B2113">
        <v>39.880327999999999</v>
      </c>
      <c r="C2113">
        <v>-75.761117999999996</v>
      </c>
      <c r="D2113">
        <v>4700</v>
      </c>
      <c r="E2113">
        <v>4900</v>
      </c>
      <c r="F2113">
        <v>163</v>
      </c>
      <c r="G2113">
        <v>82</v>
      </c>
      <c r="H2113">
        <v>-128</v>
      </c>
      <c r="J2113" s="1">
        <f t="shared" si="160"/>
        <v>26569</v>
      </c>
      <c r="K2113" s="1">
        <f t="shared" si="161"/>
        <v>6724</v>
      </c>
      <c r="L2113" s="1">
        <f t="shared" si="162"/>
        <v>33293</v>
      </c>
      <c r="M2113" s="1">
        <f t="shared" si="163"/>
        <v>182.46369501903661</v>
      </c>
      <c r="N2113" s="7">
        <f t="shared" si="164"/>
        <v>182.46369501903661</v>
      </c>
    </row>
    <row r="2114" spans="1:14" x14ac:dyDescent="0.25">
      <c r="A2114" t="str">
        <f>"14:25:35.367"</f>
        <v>14:25:35.367</v>
      </c>
      <c r="B2114">
        <v>39.880693000000001</v>
      </c>
      <c r="C2114">
        <v>-75.760174000000006</v>
      </c>
      <c r="D2114">
        <v>4700</v>
      </c>
      <c r="E2114">
        <v>4875</v>
      </c>
      <c r="F2114">
        <v>163</v>
      </c>
      <c r="G2114">
        <v>82</v>
      </c>
      <c r="H2114">
        <v>-64</v>
      </c>
      <c r="J2114" s="1">
        <f t="shared" si="160"/>
        <v>26569</v>
      </c>
      <c r="K2114" s="1">
        <f t="shared" si="161"/>
        <v>6724</v>
      </c>
      <c r="L2114" s="1">
        <f t="shared" si="162"/>
        <v>33293</v>
      </c>
      <c r="M2114" s="1">
        <f t="shared" si="163"/>
        <v>182.46369501903661</v>
      </c>
      <c r="N2114" s="7">
        <f t="shared" si="164"/>
        <v>182.46369501903661</v>
      </c>
    </row>
    <row r="2115" spans="1:14" x14ac:dyDescent="0.25">
      <c r="A2115" t="str">
        <f>"14:25:36.273"</f>
        <v>14:25:36.273</v>
      </c>
      <c r="B2115">
        <v>39.881014999999998</v>
      </c>
      <c r="C2115">
        <v>-75.759272999999993</v>
      </c>
      <c r="D2115">
        <v>4700</v>
      </c>
      <c r="E2115">
        <v>4875</v>
      </c>
      <c r="F2115">
        <v>163</v>
      </c>
      <c r="G2115">
        <v>82</v>
      </c>
      <c r="H2115">
        <v>-64</v>
      </c>
      <c r="J2115" s="1">
        <f t="shared" ref="J2115:J2178" si="165">F2115^2</f>
        <v>26569</v>
      </c>
      <c r="K2115" s="1">
        <f t="shared" ref="K2115:K2178" si="166">G2115^2</f>
        <v>6724</v>
      </c>
      <c r="L2115" s="1">
        <f t="shared" ref="L2115:L2178" si="167">SUMSQ(F2115,G2115)</f>
        <v>33293</v>
      </c>
      <c r="M2115" s="1">
        <f t="shared" ref="M2115:M2178" si="168">SQRT(L2115)</f>
        <v>182.46369501903661</v>
      </c>
      <c r="N2115" s="7">
        <f t="shared" ref="N2115:N2178" si="169">M2115</f>
        <v>182.46369501903661</v>
      </c>
    </row>
    <row r="2116" spans="1:14" x14ac:dyDescent="0.25">
      <c r="A2116" t="str">
        <f>"14:25:37.133"</f>
        <v>14:25:37.133</v>
      </c>
      <c r="B2116">
        <v>39.88138</v>
      </c>
      <c r="C2116">
        <v>-75.758370999999997</v>
      </c>
      <c r="D2116">
        <v>4700</v>
      </c>
      <c r="E2116">
        <v>4875</v>
      </c>
      <c r="F2116">
        <v>163</v>
      </c>
      <c r="G2116">
        <v>82</v>
      </c>
      <c r="H2116">
        <v>-64</v>
      </c>
      <c r="J2116" s="1">
        <f t="shared" si="165"/>
        <v>26569</v>
      </c>
      <c r="K2116" s="1">
        <f t="shared" si="166"/>
        <v>6724</v>
      </c>
      <c r="L2116" s="1">
        <f t="shared" si="167"/>
        <v>33293</v>
      </c>
      <c r="M2116" s="1">
        <f t="shared" si="168"/>
        <v>182.46369501903661</v>
      </c>
      <c r="N2116" s="7">
        <f t="shared" si="169"/>
        <v>182.46369501903661</v>
      </c>
    </row>
    <row r="2117" spans="1:14" x14ac:dyDescent="0.25">
      <c r="A2117" t="str">
        <f>"14:25:38.195"</f>
        <v>14:25:38.195</v>
      </c>
      <c r="B2117">
        <v>39.881808999999997</v>
      </c>
      <c r="C2117">
        <v>-75.757320000000007</v>
      </c>
      <c r="D2117">
        <v>4700</v>
      </c>
      <c r="E2117">
        <v>4875</v>
      </c>
      <c r="F2117">
        <v>163</v>
      </c>
      <c r="G2117">
        <v>82</v>
      </c>
      <c r="H2117">
        <v>0</v>
      </c>
      <c r="J2117" s="1">
        <f t="shared" si="165"/>
        <v>26569</v>
      </c>
      <c r="K2117" s="1">
        <f t="shared" si="166"/>
        <v>6724</v>
      </c>
      <c r="L2117" s="1">
        <f t="shared" si="167"/>
        <v>33293</v>
      </c>
      <c r="M2117" s="1">
        <f t="shared" si="168"/>
        <v>182.46369501903661</v>
      </c>
      <c r="N2117" s="7">
        <f t="shared" si="169"/>
        <v>182.46369501903661</v>
      </c>
    </row>
    <row r="2118" spans="1:14" x14ac:dyDescent="0.25">
      <c r="A2118" t="str">
        <f>"14:25:39.250"</f>
        <v>14:25:39.250</v>
      </c>
      <c r="B2118">
        <v>39.882195000000003</v>
      </c>
      <c r="C2118">
        <v>-75.756354000000002</v>
      </c>
      <c r="D2118">
        <v>4700</v>
      </c>
      <c r="E2118">
        <v>4875</v>
      </c>
      <c r="F2118">
        <v>163</v>
      </c>
      <c r="G2118">
        <v>82</v>
      </c>
      <c r="H2118">
        <v>0</v>
      </c>
      <c r="J2118" s="1">
        <f t="shared" si="165"/>
        <v>26569</v>
      </c>
      <c r="K2118" s="1">
        <f t="shared" si="166"/>
        <v>6724</v>
      </c>
      <c r="L2118" s="1">
        <f t="shared" si="167"/>
        <v>33293</v>
      </c>
      <c r="M2118" s="1">
        <f t="shared" si="168"/>
        <v>182.46369501903661</v>
      </c>
      <c r="N2118" s="7">
        <f t="shared" si="169"/>
        <v>182.46369501903661</v>
      </c>
    </row>
    <row r="2119" spans="1:14" x14ac:dyDescent="0.25">
      <c r="A2119" t="str">
        <f>"14:25:40.313"</f>
        <v>14:25:40.313</v>
      </c>
      <c r="B2119">
        <v>39.882559999999998</v>
      </c>
      <c r="C2119">
        <v>-75.755260000000007</v>
      </c>
      <c r="D2119">
        <v>4700</v>
      </c>
      <c r="E2119">
        <v>4875</v>
      </c>
      <c r="F2119">
        <v>163</v>
      </c>
      <c r="G2119">
        <v>81</v>
      </c>
      <c r="H2119">
        <v>64</v>
      </c>
      <c r="J2119" s="1">
        <f t="shared" si="165"/>
        <v>26569</v>
      </c>
      <c r="K2119" s="1">
        <f t="shared" si="166"/>
        <v>6561</v>
      </c>
      <c r="L2119" s="1">
        <f t="shared" si="167"/>
        <v>33130</v>
      </c>
      <c r="M2119" s="1">
        <f t="shared" si="168"/>
        <v>182.0164827701052</v>
      </c>
      <c r="N2119" s="7">
        <f t="shared" si="169"/>
        <v>182.0164827701052</v>
      </c>
    </row>
    <row r="2120" spans="1:14" x14ac:dyDescent="0.25">
      <c r="A2120" t="str">
        <f>"14:25:41.219"</f>
        <v>14:25:41.219</v>
      </c>
      <c r="B2120">
        <v>39.882925</v>
      </c>
      <c r="C2120">
        <v>-75.754337000000007</v>
      </c>
      <c r="D2120">
        <v>4700</v>
      </c>
      <c r="E2120">
        <v>4875</v>
      </c>
      <c r="F2120">
        <v>163</v>
      </c>
      <c r="G2120">
        <v>81</v>
      </c>
      <c r="H2120">
        <v>64</v>
      </c>
      <c r="J2120" s="1">
        <f t="shared" si="165"/>
        <v>26569</v>
      </c>
      <c r="K2120" s="1">
        <f t="shared" si="166"/>
        <v>6561</v>
      </c>
      <c r="L2120" s="1">
        <f t="shared" si="167"/>
        <v>33130</v>
      </c>
      <c r="M2120" s="1">
        <f t="shared" si="168"/>
        <v>182.0164827701052</v>
      </c>
      <c r="N2120" s="7">
        <f t="shared" si="169"/>
        <v>182.0164827701052</v>
      </c>
    </row>
    <row r="2121" spans="1:14" x14ac:dyDescent="0.25">
      <c r="A2121" t="str">
        <f>"14:25:42.133"</f>
        <v>14:25:42.133</v>
      </c>
      <c r="B2121">
        <v>39.883246</v>
      </c>
      <c r="C2121">
        <v>-75.753478999999999</v>
      </c>
      <c r="D2121">
        <v>4700</v>
      </c>
      <c r="E2121">
        <v>4875</v>
      </c>
      <c r="F2121">
        <v>162</v>
      </c>
      <c r="G2121">
        <v>81</v>
      </c>
      <c r="H2121">
        <v>64</v>
      </c>
      <c r="J2121" s="1">
        <f t="shared" si="165"/>
        <v>26244</v>
      </c>
      <c r="K2121" s="1">
        <f t="shared" si="166"/>
        <v>6561</v>
      </c>
      <c r="L2121" s="1">
        <f t="shared" si="167"/>
        <v>32805</v>
      </c>
      <c r="M2121" s="1">
        <f t="shared" si="168"/>
        <v>181.12150617748296</v>
      </c>
      <c r="N2121" s="7">
        <f t="shared" si="169"/>
        <v>181.12150617748296</v>
      </c>
    </row>
    <row r="2122" spans="1:14" x14ac:dyDescent="0.25">
      <c r="A2122" t="str">
        <f>"14:25:42.992"</f>
        <v>14:25:42.992</v>
      </c>
      <c r="B2122">
        <v>39.883589999999998</v>
      </c>
      <c r="C2122">
        <v>-75.752621000000005</v>
      </c>
      <c r="D2122">
        <v>4700</v>
      </c>
      <c r="E2122">
        <v>4900</v>
      </c>
      <c r="F2122">
        <v>162</v>
      </c>
      <c r="G2122">
        <v>81</v>
      </c>
      <c r="H2122">
        <v>64</v>
      </c>
      <c r="J2122" s="1">
        <f t="shared" si="165"/>
        <v>26244</v>
      </c>
      <c r="K2122" s="1">
        <f t="shared" si="166"/>
        <v>6561</v>
      </c>
      <c r="L2122" s="1">
        <f t="shared" si="167"/>
        <v>32805</v>
      </c>
      <c r="M2122" s="1">
        <f t="shared" si="168"/>
        <v>181.12150617748296</v>
      </c>
      <c r="N2122" s="7">
        <f t="shared" si="169"/>
        <v>181.12150617748296</v>
      </c>
    </row>
    <row r="2123" spans="1:14" x14ac:dyDescent="0.25">
      <c r="A2123" t="str">
        <f>"14:25:44.047"</f>
        <v>14:25:44.047</v>
      </c>
      <c r="B2123">
        <v>39.883997000000001</v>
      </c>
      <c r="C2123">
        <v>-75.751655</v>
      </c>
      <c r="D2123">
        <v>4700</v>
      </c>
      <c r="E2123">
        <v>4900</v>
      </c>
      <c r="F2123">
        <v>162</v>
      </c>
      <c r="G2123">
        <v>81</v>
      </c>
      <c r="H2123">
        <v>128</v>
      </c>
      <c r="J2123" s="1">
        <f t="shared" si="165"/>
        <v>26244</v>
      </c>
      <c r="K2123" s="1">
        <f t="shared" si="166"/>
        <v>6561</v>
      </c>
      <c r="L2123" s="1">
        <f t="shared" si="167"/>
        <v>32805</v>
      </c>
      <c r="M2123" s="1">
        <f t="shared" si="168"/>
        <v>181.12150617748296</v>
      </c>
      <c r="N2123" s="7">
        <f t="shared" si="169"/>
        <v>181.12150617748296</v>
      </c>
    </row>
    <row r="2124" spans="1:14" x14ac:dyDescent="0.25">
      <c r="A2124" t="str">
        <f>"14:25:45.211"</f>
        <v>14:25:45.211</v>
      </c>
      <c r="B2124">
        <v>39.884405000000001</v>
      </c>
      <c r="C2124">
        <v>-75.750561000000005</v>
      </c>
      <c r="D2124">
        <v>4700</v>
      </c>
      <c r="E2124">
        <v>4900</v>
      </c>
      <c r="F2124">
        <v>162</v>
      </c>
      <c r="G2124">
        <v>81</v>
      </c>
      <c r="H2124">
        <v>128</v>
      </c>
      <c r="J2124" s="1">
        <f t="shared" si="165"/>
        <v>26244</v>
      </c>
      <c r="K2124" s="1">
        <f t="shared" si="166"/>
        <v>6561</v>
      </c>
      <c r="L2124" s="1">
        <f t="shared" si="167"/>
        <v>32805</v>
      </c>
      <c r="M2124" s="1">
        <f t="shared" si="168"/>
        <v>181.12150617748296</v>
      </c>
      <c r="N2124" s="7">
        <f t="shared" si="169"/>
        <v>181.12150617748296</v>
      </c>
    </row>
    <row r="2125" spans="1:14" x14ac:dyDescent="0.25">
      <c r="A2125" t="str">
        <f>"14:25:46.172"</f>
        <v>14:25:46.172</v>
      </c>
      <c r="B2125">
        <v>39.884770000000003</v>
      </c>
      <c r="C2125">
        <v>-75.749594999999999</v>
      </c>
      <c r="D2125">
        <v>4700</v>
      </c>
      <c r="E2125">
        <v>4900</v>
      </c>
      <c r="F2125">
        <v>162</v>
      </c>
      <c r="G2125">
        <v>81</v>
      </c>
      <c r="H2125">
        <v>128</v>
      </c>
      <c r="J2125" s="1">
        <f t="shared" si="165"/>
        <v>26244</v>
      </c>
      <c r="K2125" s="1">
        <f t="shared" si="166"/>
        <v>6561</v>
      </c>
      <c r="L2125" s="1">
        <f t="shared" si="167"/>
        <v>32805</v>
      </c>
      <c r="M2125" s="1">
        <f t="shared" si="168"/>
        <v>181.12150617748296</v>
      </c>
      <c r="N2125" s="7">
        <f t="shared" si="169"/>
        <v>181.12150617748296</v>
      </c>
    </row>
    <row r="2126" spans="1:14" x14ac:dyDescent="0.25">
      <c r="A2126" t="str">
        <f>"14:25:47.227"</f>
        <v>14:25:47.227</v>
      </c>
      <c r="B2126">
        <v>39.885221000000001</v>
      </c>
      <c r="C2126">
        <v>-75.748543999999995</v>
      </c>
      <c r="D2126">
        <v>4700</v>
      </c>
      <c r="E2126">
        <v>4900</v>
      </c>
      <c r="F2126">
        <v>162</v>
      </c>
      <c r="G2126">
        <v>82</v>
      </c>
      <c r="H2126">
        <v>64</v>
      </c>
      <c r="J2126" s="1">
        <f t="shared" si="165"/>
        <v>26244</v>
      </c>
      <c r="K2126" s="1">
        <f t="shared" si="166"/>
        <v>6724</v>
      </c>
      <c r="L2126" s="1">
        <f t="shared" si="167"/>
        <v>32968</v>
      </c>
      <c r="M2126" s="1">
        <f t="shared" si="168"/>
        <v>181.57092278225608</v>
      </c>
      <c r="N2126" s="7">
        <f t="shared" si="169"/>
        <v>181.57092278225608</v>
      </c>
    </row>
    <row r="2127" spans="1:14" x14ac:dyDescent="0.25">
      <c r="A2127" t="str">
        <f>"14:25:48.188"</f>
        <v>14:25:48.188</v>
      </c>
      <c r="B2127">
        <v>39.885584999999999</v>
      </c>
      <c r="C2127">
        <v>-75.747557</v>
      </c>
      <c r="D2127">
        <v>4700</v>
      </c>
      <c r="E2127">
        <v>4900</v>
      </c>
      <c r="F2127">
        <v>162</v>
      </c>
      <c r="G2127">
        <v>82</v>
      </c>
      <c r="H2127">
        <v>64</v>
      </c>
      <c r="J2127" s="1">
        <f t="shared" si="165"/>
        <v>26244</v>
      </c>
      <c r="K2127" s="1">
        <f t="shared" si="166"/>
        <v>6724</v>
      </c>
      <c r="L2127" s="1">
        <f t="shared" si="167"/>
        <v>32968</v>
      </c>
      <c r="M2127" s="1">
        <f t="shared" si="168"/>
        <v>181.57092278225608</v>
      </c>
      <c r="N2127" s="7">
        <f t="shared" si="169"/>
        <v>181.57092278225608</v>
      </c>
    </row>
    <row r="2128" spans="1:14" x14ac:dyDescent="0.25">
      <c r="A2128" t="str">
        <f>"14:25:49.250"</f>
        <v>14:25:49.250</v>
      </c>
      <c r="B2128">
        <v>39.885950000000001</v>
      </c>
      <c r="C2128">
        <v>-75.746590999999995</v>
      </c>
      <c r="D2128">
        <v>4700</v>
      </c>
      <c r="E2128">
        <v>4900</v>
      </c>
      <c r="F2128">
        <v>162</v>
      </c>
      <c r="G2128">
        <v>82</v>
      </c>
      <c r="H2128">
        <v>0</v>
      </c>
      <c r="J2128" s="1">
        <f t="shared" si="165"/>
        <v>26244</v>
      </c>
      <c r="K2128" s="1">
        <f t="shared" si="166"/>
        <v>6724</v>
      </c>
      <c r="L2128" s="1">
        <f t="shared" si="167"/>
        <v>32968</v>
      </c>
      <c r="M2128" s="1">
        <f t="shared" si="168"/>
        <v>181.57092278225608</v>
      </c>
      <c r="N2128" s="7">
        <f t="shared" si="169"/>
        <v>181.57092278225608</v>
      </c>
    </row>
    <row r="2129" spans="1:14" x14ac:dyDescent="0.25">
      <c r="A2129" t="str">
        <f>"14:25:50.406"</f>
        <v>14:25:50.406</v>
      </c>
      <c r="B2129">
        <v>39.886422000000003</v>
      </c>
      <c r="C2129">
        <v>-75.745431999999994</v>
      </c>
      <c r="D2129">
        <v>4700</v>
      </c>
      <c r="E2129">
        <v>4900</v>
      </c>
      <c r="F2129">
        <v>162</v>
      </c>
      <c r="G2129">
        <v>82</v>
      </c>
      <c r="H2129">
        <v>-64</v>
      </c>
      <c r="J2129" s="1">
        <f t="shared" si="165"/>
        <v>26244</v>
      </c>
      <c r="K2129" s="1">
        <f t="shared" si="166"/>
        <v>6724</v>
      </c>
      <c r="L2129" s="1">
        <f t="shared" si="167"/>
        <v>32968</v>
      </c>
      <c r="M2129" s="1">
        <f t="shared" si="168"/>
        <v>181.57092278225608</v>
      </c>
      <c r="N2129" s="7">
        <f t="shared" si="169"/>
        <v>181.57092278225608</v>
      </c>
    </row>
    <row r="2130" spans="1:14" x14ac:dyDescent="0.25">
      <c r="A2130" t="str">
        <f>"14:25:51.266"</f>
        <v>14:25:51.266</v>
      </c>
      <c r="B2130">
        <v>39.886744</v>
      </c>
      <c r="C2130">
        <v>-75.744530999999995</v>
      </c>
      <c r="D2130">
        <v>4700</v>
      </c>
      <c r="E2130">
        <v>4900</v>
      </c>
      <c r="F2130">
        <v>162</v>
      </c>
      <c r="G2130">
        <v>82</v>
      </c>
      <c r="H2130">
        <v>-64</v>
      </c>
      <c r="J2130" s="1">
        <f t="shared" si="165"/>
        <v>26244</v>
      </c>
      <c r="K2130" s="1">
        <f t="shared" si="166"/>
        <v>6724</v>
      </c>
      <c r="L2130" s="1">
        <f t="shared" si="167"/>
        <v>32968</v>
      </c>
      <c r="M2130" s="1">
        <f t="shared" si="168"/>
        <v>181.57092278225608</v>
      </c>
      <c r="N2130" s="7">
        <f t="shared" si="169"/>
        <v>181.57092278225608</v>
      </c>
    </row>
    <row r="2131" spans="1:14" x14ac:dyDescent="0.25">
      <c r="A2131" t="str">
        <f>"14:25:52.430"</f>
        <v>14:25:52.430</v>
      </c>
      <c r="B2131">
        <v>39.887172999999997</v>
      </c>
      <c r="C2131">
        <v>-75.743480000000005</v>
      </c>
      <c r="D2131">
        <v>4700</v>
      </c>
      <c r="E2131">
        <v>4900</v>
      </c>
      <c r="F2131">
        <v>162</v>
      </c>
      <c r="G2131">
        <v>82</v>
      </c>
      <c r="H2131">
        <v>-64</v>
      </c>
      <c r="J2131" s="1">
        <f t="shared" si="165"/>
        <v>26244</v>
      </c>
      <c r="K2131" s="1">
        <f t="shared" si="166"/>
        <v>6724</v>
      </c>
      <c r="L2131" s="1">
        <f t="shared" si="167"/>
        <v>32968</v>
      </c>
      <c r="M2131" s="1">
        <f t="shared" si="168"/>
        <v>181.57092278225608</v>
      </c>
      <c r="N2131" s="7">
        <f t="shared" si="169"/>
        <v>181.57092278225608</v>
      </c>
    </row>
    <row r="2132" spans="1:14" x14ac:dyDescent="0.25">
      <c r="A2132" t="str">
        <f>"14:25:53.336"</f>
        <v>14:25:53.336</v>
      </c>
      <c r="B2132">
        <v>39.887515999999998</v>
      </c>
      <c r="C2132">
        <v>-75.742621</v>
      </c>
      <c r="D2132">
        <v>4700</v>
      </c>
      <c r="E2132">
        <v>4900</v>
      </c>
      <c r="F2132">
        <v>161</v>
      </c>
      <c r="G2132">
        <v>82</v>
      </c>
      <c r="H2132">
        <v>-64</v>
      </c>
      <c r="J2132" s="1">
        <f t="shared" si="165"/>
        <v>25921</v>
      </c>
      <c r="K2132" s="1">
        <f t="shared" si="166"/>
        <v>6724</v>
      </c>
      <c r="L2132" s="1">
        <f t="shared" si="167"/>
        <v>32645</v>
      </c>
      <c r="M2132" s="1">
        <f t="shared" si="168"/>
        <v>180.6792738528689</v>
      </c>
      <c r="N2132" s="7">
        <f t="shared" si="169"/>
        <v>180.6792738528689</v>
      </c>
    </row>
    <row r="2133" spans="1:14" x14ac:dyDescent="0.25">
      <c r="A2133" t="str">
        <f>"14:25:54.344"</f>
        <v>14:25:54.344</v>
      </c>
      <c r="B2133">
        <v>39.887881</v>
      </c>
      <c r="C2133">
        <v>-75.741591</v>
      </c>
      <c r="D2133">
        <v>4700</v>
      </c>
      <c r="E2133">
        <v>4900</v>
      </c>
      <c r="F2133">
        <v>161</v>
      </c>
      <c r="G2133">
        <v>82</v>
      </c>
      <c r="H2133">
        <v>-64</v>
      </c>
      <c r="J2133" s="1">
        <f t="shared" si="165"/>
        <v>25921</v>
      </c>
      <c r="K2133" s="1">
        <f t="shared" si="166"/>
        <v>6724</v>
      </c>
      <c r="L2133" s="1">
        <f t="shared" si="167"/>
        <v>32645</v>
      </c>
      <c r="M2133" s="1">
        <f t="shared" si="168"/>
        <v>180.6792738528689</v>
      </c>
      <c r="N2133" s="7">
        <f t="shared" si="169"/>
        <v>180.6792738528689</v>
      </c>
    </row>
    <row r="2134" spans="1:14" x14ac:dyDescent="0.25">
      <c r="A2134" t="str">
        <f>"14:25:55.305"</f>
        <v>14:25:55.305</v>
      </c>
      <c r="B2134">
        <v>39.888246000000002</v>
      </c>
      <c r="C2134">
        <v>-75.740646999999996</v>
      </c>
      <c r="D2134">
        <v>4700</v>
      </c>
      <c r="E2134">
        <v>4900</v>
      </c>
      <c r="F2134">
        <v>161</v>
      </c>
      <c r="G2134">
        <v>83</v>
      </c>
      <c r="H2134">
        <v>-64</v>
      </c>
      <c r="J2134" s="1">
        <f t="shared" si="165"/>
        <v>25921</v>
      </c>
      <c r="K2134" s="1">
        <f t="shared" si="166"/>
        <v>6889</v>
      </c>
      <c r="L2134" s="1">
        <f t="shared" si="167"/>
        <v>32810</v>
      </c>
      <c r="M2134" s="1">
        <f t="shared" si="168"/>
        <v>181.13530854032848</v>
      </c>
      <c r="N2134" s="7">
        <f t="shared" si="169"/>
        <v>181.13530854032848</v>
      </c>
    </row>
    <row r="2135" spans="1:14" x14ac:dyDescent="0.25">
      <c r="A2135" t="str">
        <f>"14:25:56.266"</f>
        <v>14:25:56.266</v>
      </c>
      <c r="B2135">
        <v>39.888610999999997</v>
      </c>
      <c r="C2135">
        <v>-75.739745999999997</v>
      </c>
      <c r="D2135">
        <v>4700</v>
      </c>
      <c r="E2135">
        <v>4900</v>
      </c>
      <c r="F2135">
        <v>161</v>
      </c>
      <c r="G2135">
        <v>83</v>
      </c>
      <c r="H2135">
        <v>-64</v>
      </c>
      <c r="J2135" s="1">
        <f t="shared" si="165"/>
        <v>25921</v>
      </c>
      <c r="K2135" s="1">
        <f t="shared" si="166"/>
        <v>6889</v>
      </c>
      <c r="L2135" s="1">
        <f t="shared" si="167"/>
        <v>32810</v>
      </c>
      <c r="M2135" s="1">
        <f t="shared" si="168"/>
        <v>181.13530854032848</v>
      </c>
      <c r="N2135" s="7">
        <f t="shared" si="169"/>
        <v>181.13530854032848</v>
      </c>
    </row>
    <row r="2136" spans="1:14" x14ac:dyDescent="0.25">
      <c r="A2136" t="str">
        <f>"14:25:57.172"</f>
        <v>14:25:57.172</v>
      </c>
      <c r="B2136">
        <v>39.888976</v>
      </c>
      <c r="C2136">
        <v>-75.738822999999996</v>
      </c>
      <c r="D2136">
        <v>4700</v>
      </c>
      <c r="E2136">
        <v>4900</v>
      </c>
      <c r="F2136">
        <v>161</v>
      </c>
      <c r="G2136">
        <v>83</v>
      </c>
      <c r="H2136">
        <v>0</v>
      </c>
      <c r="J2136" s="1">
        <f t="shared" si="165"/>
        <v>25921</v>
      </c>
      <c r="K2136" s="1">
        <f t="shared" si="166"/>
        <v>6889</v>
      </c>
      <c r="L2136" s="1">
        <f t="shared" si="167"/>
        <v>32810</v>
      </c>
      <c r="M2136" s="1">
        <f t="shared" si="168"/>
        <v>181.13530854032848</v>
      </c>
      <c r="N2136" s="7">
        <f t="shared" si="169"/>
        <v>181.13530854032848</v>
      </c>
    </row>
    <row r="2137" spans="1:14" x14ac:dyDescent="0.25">
      <c r="A2137" t="str">
        <f>"14:25:58.133"</f>
        <v>14:25:58.133</v>
      </c>
      <c r="B2137">
        <v>39.889339999999997</v>
      </c>
      <c r="C2137">
        <v>-75.737965000000003</v>
      </c>
      <c r="D2137">
        <v>4700</v>
      </c>
      <c r="E2137">
        <v>4900</v>
      </c>
      <c r="F2137">
        <v>161</v>
      </c>
      <c r="G2137">
        <v>83</v>
      </c>
      <c r="H2137">
        <v>0</v>
      </c>
      <c r="J2137" s="1">
        <f t="shared" si="165"/>
        <v>25921</v>
      </c>
      <c r="K2137" s="1">
        <f t="shared" si="166"/>
        <v>6889</v>
      </c>
      <c r="L2137" s="1">
        <f t="shared" si="167"/>
        <v>32810</v>
      </c>
      <c r="M2137" s="1">
        <f t="shared" si="168"/>
        <v>181.13530854032848</v>
      </c>
      <c r="N2137" s="7">
        <f t="shared" si="169"/>
        <v>181.13530854032848</v>
      </c>
    </row>
    <row r="2138" spans="1:14" x14ac:dyDescent="0.25">
      <c r="A2138" t="str">
        <f>"14:25:59.094"</f>
        <v>14:25:59.094</v>
      </c>
      <c r="B2138">
        <v>39.889747999999997</v>
      </c>
      <c r="C2138">
        <v>-75.736935000000003</v>
      </c>
      <c r="D2138">
        <v>4700</v>
      </c>
      <c r="E2138">
        <v>4900</v>
      </c>
      <c r="F2138">
        <v>161</v>
      </c>
      <c r="G2138">
        <v>83</v>
      </c>
      <c r="H2138">
        <v>0</v>
      </c>
      <c r="J2138" s="1">
        <f t="shared" si="165"/>
        <v>25921</v>
      </c>
      <c r="K2138" s="1">
        <f t="shared" si="166"/>
        <v>6889</v>
      </c>
      <c r="L2138" s="1">
        <f t="shared" si="167"/>
        <v>32810</v>
      </c>
      <c r="M2138" s="1">
        <f t="shared" si="168"/>
        <v>181.13530854032848</v>
      </c>
      <c r="N2138" s="7">
        <f t="shared" si="169"/>
        <v>181.13530854032848</v>
      </c>
    </row>
    <row r="2139" spans="1:14" x14ac:dyDescent="0.25">
      <c r="A2139" t="str">
        <f>"14:26:00.203"</f>
        <v>14:26:00.203</v>
      </c>
      <c r="B2139">
        <v>39.890112999999999</v>
      </c>
      <c r="C2139">
        <v>-75.735990999999999</v>
      </c>
      <c r="D2139">
        <v>4700</v>
      </c>
      <c r="E2139">
        <v>4900</v>
      </c>
      <c r="F2139">
        <v>161</v>
      </c>
      <c r="G2139">
        <v>84</v>
      </c>
      <c r="H2139">
        <v>0</v>
      </c>
      <c r="J2139" s="1">
        <f t="shared" si="165"/>
        <v>25921</v>
      </c>
      <c r="K2139" s="1">
        <f t="shared" si="166"/>
        <v>7056</v>
      </c>
      <c r="L2139" s="1">
        <f t="shared" si="167"/>
        <v>32977</v>
      </c>
      <c r="M2139" s="1">
        <f t="shared" si="168"/>
        <v>181.59570479501986</v>
      </c>
      <c r="N2139" s="7">
        <f t="shared" si="169"/>
        <v>181.59570479501986</v>
      </c>
    </row>
    <row r="2140" spans="1:14" x14ac:dyDescent="0.25">
      <c r="A2140" t="str">
        <f>"14:26:01.109"</f>
        <v>14:26:01.109</v>
      </c>
      <c r="B2140">
        <v>39.890478000000002</v>
      </c>
      <c r="C2140">
        <v>-75.735024999999993</v>
      </c>
      <c r="D2140">
        <v>4700</v>
      </c>
      <c r="E2140">
        <v>4900</v>
      </c>
      <c r="F2140">
        <v>161</v>
      </c>
      <c r="G2140">
        <v>84</v>
      </c>
      <c r="H2140">
        <v>0</v>
      </c>
      <c r="J2140" s="1">
        <f t="shared" si="165"/>
        <v>25921</v>
      </c>
      <c r="K2140" s="1">
        <f t="shared" si="166"/>
        <v>7056</v>
      </c>
      <c r="L2140" s="1">
        <f t="shared" si="167"/>
        <v>32977</v>
      </c>
      <c r="M2140" s="1">
        <f t="shared" si="168"/>
        <v>181.59570479501986</v>
      </c>
      <c r="N2140" s="7">
        <f t="shared" si="169"/>
        <v>181.59570479501986</v>
      </c>
    </row>
    <row r="2141" spans="1:14" x14ac:dyDescent="0.25">
      <c r="A2141" t="str">
        <f>"14:26:02.219"</f>
        <v>14:26:02.219</v>
      </c>
      <c r="B2141">
        <v>39.890928000000002</v>
      </c>
      <c r="C2141">
        <v>-75.733953</v>
      </c>
      <c r="D2141">
        <v>4700</v>
      </c>
      <c r="E2141">
        <v>4900</v>
      </c>
      <c r="F2141">
        <v>161</v>
      </c>
      <c r="G2141">
        <v>84</v>
      </c>
      <c r="H2141">
        <v>0</v>
      </c>
      <c r="J2141" s="1">
        <f t="shared" si="165"/>
        <v>25921</v>
      </c>
      <c r="K2141" s="1">
        <f t="shared" si="166"/>
        <v>7056</v>
      </c>
      <c r="L2141" s="1">
        <f t="shared" si="167"/>
        <v>32977</v>
      </c>
      <c r="M2141" s="1">
        <f t="shared" si="168"/>
        <v>181.59570479501986</v>
      </c>
      <c r="N2141" s="7">
        <f t="shared" si="169"/>
        <v>181.59570479501986</v>
      </c>
    </row>
    <row r="2142" spans="1:14" x14ac:dyDescent="0.25">
      <c r="A2142" t="str">
        <f>"14:26:03.234"</f>
        <v>14:26:03.234</v>
      </c>
      <c r="B2142">
        <v>39.891314999999999</v>
      </c>
      <c r="C2142">
        <v>-75.732964999999993</v>
      </c>
      <c r="D2142">
        <v>4700</v>
      </c>
      <c r="E2142">
        <v>4900</v>
      </c>
      <c r="F2142">
        <v>161</v>
      </c>
      <c r="G2142">
        <v>84</v>
      </c>
      <c r="H2142">
        <v>0</v>
      </c>
      <c r="J2142" s="1">
        <f t="shared" si="165"/>
        <v>25921</v>
      </c>
      <c r="K2142" s="1">
        <f t="shared" si="166"/>
        <v>7056</v>
      </c>
      <c r="L2142" s="1">
        <f t="shared" si="167"/>
        <v>32977</v>
      </c>
      <c r="M2142" s="1">
        <f t="shared" si="168"/>
        <v>181.59570479501986</v>
      </c>
      <c r="N2142" s="7">
        <f t="shared" si="169"/>
        <v>181.59570479501986</v>
      </c>
    </row>
    <row r="2143" spans="1:14" x14ac:dyDescent="0.25">
      <c r="A2143" t="str">
        <f>"14:26:04.242"</f>
        <v>14:26:04.242</v>
      </c>
      <c r="B2143">
        <v>39.891722000000001</v>
      </c>
      <c r="C2143">
        <v>-75.732063999999994</v>
      </c>
      <c r="D2143">
        <v>4700</v>
      </c>
      <c r="E2143">
        <v>4900</v>
      </c>
      <c r="F2143">
        <v>161</v>
      </c>
      <c r="G2143">
        <v>84</v>
      </c>
      <c r="H2143">
        <v>0</v>
      </c>
      <c r="J2143" s="1">
        <f t="shared" si="165"/>
        <v>25921</v>
      </c>
      <c r="K2143" s="1">
        <f t="shared" si="166"/>
        <v>7056</v>
      </c>
      <c r="L2143" s="1">
        <f t="shared" si="167"/>
        <v>32977</v>
      </c>
      <c r="M2143" s="1">
        <f t="shared" si="168"/>
        <v>181.59570479501986</v>
      </c>
      <c r="N2143" s="7">
        <f t="shared" si="169"/>
        <v>181.59570479501986</v>
      </c>
    </row>
    <row r="2144" spans="1:14" x14ac:dyDescent="0.25">
      <c r="A2144" t="str">
        <f>"14:26:05.203"</f>
        <v>14:26:05.203</v>
      </c>
      <c r="B2144">
        <v>39.892043999999999</v>
      </c>
      <c r="C2144">
        <v>-75.731142000000006</v>
      </c>
      <c r="D2144">
        <v>4700</v>
      </c>
      <c r="E2144">
        <v>4900</v>
      </c>
      <c r="F2144">
        <v>161</v>
      </c>
      <c r="G2144">
        <v>84</v>
      </c>
      <c r="H2144">
        <v>0</v>
      </c>
      <c r="J2144" s="1">
        <f t="shared" si="165"/>
        <v>25921</v>
      </c>
      <c r="K2144" s="1">
        <f t="shared" si="166"/>
        <v>7056</v>
      </c>
      <c r="L2144" s="1">
        <f t="shared" si="167"/>
        <v>32977</v>
      </c>
      <c r="M2144" s="1">
        <f t="shared" si="168"/>
        <v>181.59570479501986</v>
      </c>
      <c r="N2144" s="7">
        <f t="shared" si="169"/>
        <v>181.59570479501986</v>
      </c>
    </row>
    <row r="2145" spans="1:14" x14ac:dyDescent="0.25">
      <c r="A2145" t="str">
        <f>"14:26:06.211"</f>
        <v>14:26:06.211</v>
      </c>
      <c r="B2145">
        <v>39.892473000000003</v>
      </c>
      <c r="C2145">
        <v>-75.730112000000005</v>
      </c>
      <c r="D2145">
        <v>4700</v>
      </c>
      <c r="E2145">
        <v>4900</v>
      </c>
      <c r="F2145">
        <v>161</v>
      </c>
      <c r="G2145">
        <v>84</v>
      </c>
      <c r="H2145">
        <v>64</v>
      </c>
      <c r="J2145" s="1">
        <f t="shared" si="165"/>
        <v>25921</v>
      </c>
      <c r="K2145" s="1">
        <f t="shared" si="166"/>
        <v>7056</v>
      </c>
      <c r="L2145" s="1">
        <f t="shared" si="167"/>
        <v>32977</v>
      </c>
      <c r="M2145" s="1">
        <f t="shared" si="168"/>
        <v>181.59570479501986</v>
      </c>
      <c r="N2145" s="7">
        <f t="shared" si="169"/>
        <v>181.59570479501986</v>
      </c>
    </row>
    <row r="2146" spans="1:14" x14ac:dyDescent="0.25">
      <c r="A2146" t="str">
        <f>"14:26:07.219"</f>
        <v>14:26:07.219</v>
      </c>
      <c r="B2146">
        <v>39.892901999999999</v>
      </c>
      <c r="C2146">
        <v>-75.729124999999996</v>
      </c>
      <c r="D2146">
        <v>4700</v>
      </c>
      <c r="E2146">
        <v>4900</v>
      </c>
      <c r="F2146">
        <v>160</v>
      </c>
      <c r="G2146">
        <v>84</v>
      </c>
      <c r="H2146">
        <v>64</v>
      </c>
      <c r="J2146" s="1">
        <f t="shared" si="165"/>
        <v>25600</v>
      </c>
      <c r="K2146" s="1">
        <f t="shared" si="166"/>
        <v>7056</v>
      </c>
      <c r="L2146" s="1">
        <f t="shared" si="167"/>
        <v>32656</v>
      </c>
      <c r="M2146" s="1">
        <f t="shared" si="168"/>
        <v>180.70971196922429</v>
      </c>
      <c r="N2146" s="7">
        <f t="shared" si="169"/>
        <v>180.70971196922429</v>
      </c>
    </row>
    <row r="2147" spans="1:14" x14ac:dyDescent="0.25">
      <c r="A2147" t="str">
        <f>"14:26:08.328"</f>
        <v>14:26:08.328</v>
      </c>
      <c r="B2147">
        <v>39.893332000000001</v>
      </c>
      <c r="C2147">
        <v>-75.728052000000005</v>
      </c>
      <c r="D2147">
        <v>4700</v>
      </c>
      <c r="E2147">
        <v>4900</v>
      </c>
      <c r="F2147">
        <v>160</v>
      </c>
      <c r="G2147">
        <v>84</v>
      </c>
      <c r="H2147">
        <v>0</v>
      </c>
      <c r="J2147" s="1">
        <f t="shared" si="165"/>
        <v>25600</v>
      </c>
      <c r="K2147" s="1">
        <f t="shared" si="166"/>
        <v>7056</v>
      </c>
      <c r="L2147" s="1">
        <f t="shared" si="167"/>
        <v>32656</v>
      </c>
      <c r="M2147" s="1">
        <f t="shared" si="168"/>
        <v>180.70971196922429</v>
      </c>
      <c r="N2147" s="7">
        <f t="shared" si="169"/>
        <v>180.70971196922429</v>
      </c>
    </row>
    <row r="2148" spans="1:14" x14ac:dyDescent="0.25">
      <c r="A2148" t="str">
        <f>"14:26:09.141"</f>
        <v>14:26:09.141</v>
      </c>
      <c r="B2148">
        <v>39.893653</v>
      </c>
      <c r="C2148">
        <v>-75.727322000000001</v>
      </c>
      <c r="D2148">
        <v>4700</v>
      </c>
      <c r="E2148">
        <v>4900</v>
      </c>
      <c r="F2148">
        <v>160</v>
      </c>
      <c r="G2148">
        <v>84</v>
      </c>
      <c r="H2148">
        <v>64</v>
      </c>
      <c r="J2148" s="1">
        <f t="shared" si="165"/>
        <v>25600</v>
      </c>
      <c r="K2148" s="1">
        <f t="shared" si="166"/>
        <v>7056</v>
      </c>
      <c r="L2148" s="1">
        <f t="shared" si="167"/>
        <v>32656</v>
      </c>
      <c r="M2148" s="1">
        <f t="shared" si="168"/>
        <v>180.70971196922429</v>
      </c>
      <c r="N2148" s="7">
        <f t="shared" si="169"/>
        <v>180.70971196922429</v>
      </c>
    </row>
    <row r="2149" spans="1:14" x14ac:dyDescent="0.25">
      <c r="A2149" t="str">
        <f>"14:26:10.250"</f>
        <v>14:26:10.250</v>
      </c>
      <c r="B2149">
        <v>39.894061000000001</v>
      </c>
      <c r="C2149">
        <v>-75.726248999999996</v>
      </c>
      <c r="D2149">
        <v>4700</v>
      </c>
      <c r="E2149">
        <v>4900</v>
      </c>
      <c r="F2149">
        <v>160</v>
      </c>
      <c r="G2149">
        <v>84</v>
      </c>
      <c r="H2149">
        <v>0</v>
      </c>
      <c r="J2149" s="1">
        <f t="shared" si="165"/>
        <v>25600</v>
      </c>
      <c r="K2149" s="1">
        <f t="shared" si="166"/>
        <v>7056</v>
      </c>
      <c r="L2149" s="1">
        <f t="shared" si="167"/>
        <v>32656</v>
      </c>
      <c r="M2149" s="1">
        <f t="shared" si="168"/>
        <v>180.70971196922429</v>
      </c>
      <c r="N2149" s="7">
        <f t="shared" si="169"/>
        <v>180.70971196922429</v>
      </c>
    </row>
    <row r="2150" spans="1:14" x14ac:dyDescent="0.25">
      <c r="A2150" t="str">
        <f>"14:26:11.109"</f>
        <v>14:26:11.109</v>
      </c>
      <c r="B2150">
        <v>39.894426000000003</v>
      </c>
      <c r="C2150">
        <v>-75.725347999999997</v>
      </c>
      <c r="D2150">
        <v>4700</v>
      </c>
      <c r="E2150">
        <v>4900</v>
      </c>
      <c r="F2150">
        <v>160</v>
      </c>
      <c r="G2150">
        <v>84</v>
      </c>
      <c r="H2150">
        <v>0</v>
      </c>
      <c r="J2150" s="1">
        <f t="shared" si="165"/>
        <v>25600</v>
      </c>
      <c r="K2150" s="1">
        <f t="shared" si="166"/>
        <v>7056</v>
      </c>
      <c r="L2150" s="1">
        <f t="shared" si="167"/>
        <v>32656</v>
      </c>
      <c r="M2150" s="1">
        <f t="shared" si="168"/>
        <v>180.70971196922429</v>
      </c>
      <c r="N2150" s="7">
        <f t="shared" si="169"/>
        <v>180.70971196922429</v>
      </c>
    </row>
    <row r="2151" spans="1:14" x14ac:dyDescent="0.25">
      <c r="A2151" t="str">
        <f>"14:26:12.164"</f>
        <v>14:26:12.164</v>
      </c>
      <c r="B2151">
        <v>39.894790999999998</v>
      </c>
      <c r="C2151">
        <v>-75.724404000000007</v>
      </c>
      <c r="D2151">
        <v>4700</v>
      </c>
      <c r="E2151">
        <v>4900</v>
      </c>
      <c r="F2151">
        <v>160</v>
      </c>
      <c r="G2151">
        <v>84</v>
      </c>
      <c r="H2151">
        <v>64</v>
      </c>
      <c r="J2151" s="1">
        <f t="shared" si="165"/>
        <v>25600</v>
      </c>
      <c r="K2151" s="1">
        <f t="shared" si="166"/>
        <v>7056</v>
      </c>
      <c r="L2151" s="1">
        <f t="shared" si="167"/>
        <v>32656</v>
      </c>
      <c r="M2151" s="1">
        <f t="shared" si="168"/>
        <v>180.70971196922429</v>
      </c>
      <c r="N2151" s="7">
        <f t="shared" si="169"/>
        <v>180.70971196922429</v>
      </c>
    </row>
    <row r="2152" spans="1:14" x14ac:dyDescent="0.25">
      <c r="A2152" t="str">
        <f>"14:26:13.125"</f>
        <v>14:26:13.125</v>
      </c>
      <c r="B2152">
        <v>39.895198000000001</v>
      </c>
      <c r="C2152">
        <v>-75.723438000000002</v>
      </c>
      <c r="D2152">
        <v>4700</v>
      </c>
      <c r="E2152">
        <v>4900</v>
      </c>
      <c r="F2152">
        <v>160</v>
      </c>
      <c r="G2152">
        <v>84</v>
      </c>
      <c r="H2152">
        <v>64</v>
      </c>
      <c r="J2152" s="1">
        <f t="shared" si="165"/>
        <v>25600</v>
      </c>
      <c r="K2152" s="1">
        <f t="shared" si="166"/>
        <v>7056</v>
      </c>
      <c r="L2152" s="1">
        <f t="shared" si="167"/>
        <v>32656</v>
      </c>
      <c r="M2152" s="1">
        <f t="shared" si="168"/>
        <v>180.70971196922429</v>
      </c>
      <c r="N2152" s="7">
        <f t="shared" si="169"/>
        <v>180.70971196922429</v>
      </c>
    </row>
    <row r="2153" spans="1:14" x14ac:dyDescent="0.25">
      <c r="A2153" t="str">
        <f>"14:26:14.188"</f>
        <v>14:26:14.188</v>
      </c>
      <c r="B2153">
        <v>39.895648999999999</v>
      </c>
      <c r="C2153">
        <v>-75.722408000000001</v>
      </c>
      <c r="D2153">
        <v>4700</v>
      </c>
      <c r="E2153">
        <v>4900</v>
      </c>
      <c r="F2153">
        <v>160</v>
      </c>
      <c r="G2153">
        <v>84</v>
      </c>
      <c r="H2153">
        <v>0</v>
      </c>
      <c r="J2153" s="1">
        <f t="shared" si="165"/>
        <v>25600</v>
      </c>
      <c r="K2153" s="1">
        <f t="shared" si="166"/>
        <v>7056</v>
      </c>
      <c r="L2153" s="1">
        <f t="shared" si="167"/>
        <v>32656</v>
      </c>
      <c r="M2153" s="1">
        <f t="shared" si="168"/>
        <v>180.70971196922429</v>
      </c>
      <c r="N2153" s="7">
        <f t="shared" si="169"/>
        <v>180.70971196922429</v>
      </c>
    </row>
    <row r="2154" spans="1:14" x14ac:dyDescent="0.25">
      <c r="A2154" t="str">
        <f>"14:26:15.148"</f>
        <v>14:26:15.148</v>
      </c>
      <c r="B2154">
        <v>39.895971000000003</v>
      </c>
      <c r="C2154">
        <v>-75.721529000000004</v>
      </c>
      <c r="D2154">
        <v>4700</v>
      </c>
      <c r="E2154">
        <v>4900</v>
      </c>
      <c r="F2154">
        <v>160</v>
      </c>
      <c r="G2154">
        <v>84</v>
      </c>
      <c r="H2154">
        <v>0</v>
      </c>
      <c r="J2154" s="1">
        <f t="shared" si="165"/>
        <v>25600</v>
      </c>
      <c r="K2154" s="1">
        <f t="shared" si="166"/>
        <v>7056</v>
      </c>
      <c r="L2154" s="1">
        <f t="shared" si="167"/>
        <v>32656</v>
      </c>
      <c r="M2154" s="1">
        <f t="shared" si="168"/>
        <v>180.70971196922429</v>
      </c>
      <c r="N2154" s="7">
        <f t="shared" si="169"/>
        <v>180.70971196922429</v>
      </c>
    </row>
    <row r="2155" spans="1:14" x14ac:dyDescent="0.25">
      <c r="A2155" t="str">
        <f>"14:26:16.102"</f>
        <v>14:26:16.102</v>
      </c>
      <c r="B2155">
        <v>39.896357000000002</v>
      </c>
      <c r="C2155">
        <v>-75.720584000000002</v>
      </c>
      <c r="D2155">
        <v>4700</v>
      </c>
      <c r="E2155">
        <v>4900</v>
      </c>
      <c r="F2155">
        <v>160</v>
      </c>
      <c r="G2155">
        <v>84</v>
      </c>
      <c r="H2155">
        <v>0</v>
      </c>
      <c r="J2155" s="1">
        <f t="shared" si="165"/>
        <v>25600</v>
      </c>
      <c r="K2155" s="1">
        <f t="shared" si="166"/>
        <v>7056</v>
      </c>
      <c r="L2155" s="1">
        <f t="shared" si="167"/>
        <v>32656</v>
      </c>
      <c r="M2155" s="1">
        <f t="shared" si="168"/>
        <v>180.70971196922429</v>
      </c>
      <c r="N2155" s="7">
        <f t="shared" si="169"/>
        <v>180.70971196922429</v>
      </c>
    </row>
    <row r="2156" spans="1:14" x14ac:dyDescent="0.25">
      <c r="A2156" t="str">
        <f>"14:26:16.961"</f>
        <v>14:26:16.961</v>
      </c>
      <c r="B2156">
        <v>39.896656999999998</v>
      </c>
      <c r="C2156">
        <v>-75.719812000000005</v>
      </c>
      <c r="D2156">
        <v>4700</v>
      </c>
      <c r="E2156">
        <v>4900</v>
      </c>
      <c r="F2156">
        <v>160</v>
      </c>
      <c r="G2156">
        <v>84</v>
      </c>
      <c r="H2156">
        <v>0</v>
      </c>
      <c r="J2156" s="1">
        <f t="shared" si="165"/>
        <v>25600</v>
      </c>
      <c r="K2156" s="1">
        <f t="shared" si="166"/>
        <v>7056</v>
      </c>
      <c r="L2156" s="1">
        <f t="shared" si="167"/>
        <v>32656</v>
      </c>
      <c r="M2156" s="1">
        <f t="shared" si="168"/>
        <v>180.70971196922429</v>
      </c>
      <c r="N2156" s="7">
        <f t="shared" si="169"/>
        <v>180.70971196922429</v>
      </c>
    </row>
    <row r="2157" spans="1:14" x14ac:dyDescent="0.25">
      <c r="A2157" t="str">
        <f>"14:26:17.977"</f>
        <v>14:26:17.977</v>
      </c>
      <c r="B2157">
        <v>39.897044000000001</v>
      </c>
      <c r="C2157">
        <v>-75.718782000000004</v>
      </c>
      <c r="D2157">
        <v>4700</v>
      </c>
      <c r="E2157">
        <v>4900</v>
      </c>
      <c r="F2157">
        <v>160</v>
      </c>
      <c r="G2157">
        <v>84</v>
      </c>
      <c r="H2157">
        <v>-64</v>
      </c>
      <c r="J2157" s="1">
        <f t="shared" si="165"/>
        <v>25600</v>
      </c>
      <c r="K2157" s="1">
        <f t="shared" si="166"/>
        <v>7056</v>
      </c>
      <c r="L2157" s="1">
        <f t="shared" si="167"/>
        <v>32656</v>
      </c>
      <c r="M2157" s="1">
        <f t="shared" si="168"/>
        <v>180.70971196922429</v>
      </c>
      <c r="N2157" s="7">
        <f t="shared" si="169"/>
        <v>180.70971196922429</v>
      </c>
    </row>
    <row r="2158" spans="1:14" x14ac:dyDescent="0.25">
      <c r="A2158" t="str">
        <f>"14:26:18.984"</f>
        <v>14:26:18.984</v>
      </c>
      <c r="B2158">
        <v>39.897450999999997</v>
      </c>
      <c r="C2158">
        <v>-75.717838</v>
      </c>
      <c r="D2158">
        <v>4700</v>
      </c>
      <c r="E2158">
        <v>4900</v>
      </c>
      <c r="F2158">
        <v>161</v>
      </c>
      <c r="G2158">
        <v>84</v>
      </c>
      <c r="H2158">
        <v>-64</v>
      </c>
      <c r="J2158" s="1">
        <f t="shared" si="165"/>
        <v>25921</v>
      </c>
      <c r="K2158" s="1">
        <f t="shared" si="166"/>
        <v>7056</v>
      </c>
      <c r="L2158" s="1">
        <f t="shared" si="167"/>
        <v>32977</v>
      </c>
      <c r="M2158" s="1">
        <f t="shared" si="168"/>
        <v>181.59570479501986</v>
      </c>
      <c r="N2158" s="7">
        <f t="shared" si="169"/>
        <v>181.59570479501986</v>
      </c>
    </row>
    <row r="2159" spans="1:14" x14ac:dyDescent="0.25">
      <c r="A2159" t="str">
        <f>"14:26:19.891"</f>
        <v>14:26:19.891</v>
      </c>
      <c r="B2159">
        <v>39.897815999999999</v>
      </c>
      <c r="C2159">
        <v>-75.716871999999995</v>
      </c>
      <c r="D2159">
        <v>4700</v>
      </c>
      <c r="E2159">
        <v>4900</v>
      </c>
      <c r="F2159">
        <v>161</v>
      </c>
      <c r="G2159">
        <v>83</v>
      </c>
      <c r="H2159">
        <v>-64</v>
      </c>
      <c r="J2159" s="1">
        <f t="shared" si="165"/>
        <v>25921</v>
      </c>
      <c r="K2159" s="1">
        <f t="shared" si="166"/>
        <v>6889</v>
      </c>
      <c r="L2159" s="1">
        <f t="shared" si="167"/>
        <v>32810</v>
      </c>
      <c r="M2159" s="1">
        <f t="shared" si="168"/>
        <v>181.13530854032848</v>
      </c>
      <c r="N2159" s="7">
        <f t="shared" si="169"/>
        <v>181.13530854032848</v>
      </c>
    </row>
    <row r="2160" spans="1:14" x14ac:dyDescent="0.25">
      <c r="A2160" t="str">
        <f>"14:26:20.797"</f>
        <v>14:26:20.797</v>
      </c>
      <c r="B2160">
        <v>39.898138000000003</v>
      </c>
      <c r="C2160">
        <v>-75.716099999999997</v>
      </c>
      <c r="D2160">
        <v>4700</v>
      </c>
      <c r="E2160">
        <v>4900</v>
      </c>
      <c r="F2160">
        <v>161</v>
      </c>
      <c r="G2160">
        <v>83</v>
      </c>
      <c r="H2160">
        <v>-64</v>
      </c>
      <c r="J2160" s="1">
        <f t="shared" si="165"/>
        <v>25921</v>
      </c>
      <c r="K2160" s="1">
        <f t="shared" si="166"/>
        <v>6889</v>
      </c>
      <c r="L2160" s="1">
        <f t="shared" si="167"/>
        <v>32810</v>
      </c>
      <c r="M2160" s="1">
        <f t="shared" si="168"/>
        <v>181.13530854032848</v>
      </c>
      <c r="N2160" s="7">
        <f t="shared" si="169"/>
        <v>181.13530854032848</v>
      </c>
    </row>
    <row r="2161" spans="1:14" x14ac:dyDescent="0.25">
      <c r="A2161" t="str">
        <f>"14:26:21.555"</f>
        <v>14:26:21.555</v>
      </c>
      <c r="B2161">
        <v>39.89846</v>
      </c>
      <c r="C2161">
        <v>-75.715327000000002</v>
      </c>
      <c r="D2161">
        <v>4700</v>
      </c>
      <c r="E2161">
        <v>4900</v>
      </c>
      <c r="F2161">
        <v>161</v>
      </c>
      <c r="G2161">
        <v>83</v>
      </c>
      <c r="H2161">
        <v>-64</v>
      </c>
      <c r="J2161" s="1">
        <f t="shared" si="165"/>
        <v>25921</v>
      </c>
      <c r="K2161" s="1">
        <f t="shared" si="166"/>
        <v>6889</v>
      </c>
      <c r="L2161" s="1">
        <f t="shared" si="167"/>
        <v>32810</v>
      </c>
      <c r="M2161" s="1">
        <f t="shared" si="168"/>
        <v>181.13530854032848</v>
      </c>
      <c r="N2161" s="7">
        <f t="shared" si="169"/>
        <v>181.13530854032848</v>
      </c>
    </row>
    <row r="2162" spans="1:14" x14ac:dyDescent="0.25">
      <c r="A2162" t="str">
        <f>"14:26:22.617"</f>
        <v>14:26:22.617</v>
      </c>
      <c r="B2162">
        <v>39.898845999999999</v>
      </c>
      <c r="C2162">
        <v>-75.714297000000002</v>
      </c>
      <c r="D2162">
        <v>4700</v>
      </c>
      <c r="E2162">
        <v>4900</v>
      </c>
      <c r="F2162">
        <v>161</v>
      </c>
      <c r="G2162">
        <v>83</v>
      </c>
      <c r="H2162">
        <v>-64</v>
      </c>
      <c r="J2162" s="1">
        <f t="shared" si="165"/>
        <v>25921</v>
      </c>
      <c r="K2162" s="1">
        <f t="shared" si="166"/>
        <v>6889</v>
      </c>
      <c r="L2162" s="1">
        <f t="shared" si="167"/>
        <v>32810</v>
      </c>
      <c r="M2162" s="1">
        <f t="shared" si="168"/>
        <v>181.13530854032848</v>
      </c>
      <c r="N2162" s="7">
        <f t="shared" si="169"/>
        <v>181.13530854032848</v>
      </c>
    </row>
    <row r="2163" spans="1:14" x14ac:dyDescent="0.25">
      <c r="A2163" t="str">
        <f>"14:26:23.625"</f>
        <v>14:26:23.625</v>
      </c>
      <c r="B2163">
        <v>39.899275000000003</v>
      </c>
      <c r="C2163">
        <v>-75.713310000000007</v>
      </c>
      <c r="D2163">
        <v>4700</v>
      </c>
      <c r="E2163">
        <v>4900</v>
      </c>
      <c r="F2163">
        <v>161</v>
      </c>
      <c r="G2163">
        <v>83</v>
      </c>
      <c r="H2163">
        <v>-64</v>
      </c>
      <c r="J2163" s="1">
        <f t="shared" si="165"/>
        <v>25921</v>
      </c>
      <c r="K2163" s="1">
        <f t="shared" si="166"/>
        <v>6889</v>
      </c>
      <c r="L2163" s="1">
        <f t="shared" si="167"/>
        <v>32810</v>
      </c>
      <c r="M2163" s="1">
        <f t="shared" si="168"/>
        <v>181.13530854032848</v>
      </c>
      <c r="N2163" s="7">
        <f t="shared" si="169"/>
        <v>181.13530854032848</v>
      </c>
    </row>
    <row r="2164" spans="1:14" x14ac:dyDescent="0.25">
      <c r="A2164" t="str">
        <f>"14:26:24.586"</f>
        <v>14:26:24.586</v>
      </c>
      <c r="B2164">
        <v>39.899597</v>
      </c>
      <c r="C2164">
        <v>-75.712408999999994</v>
      </c>
      <c r="D2164">
        <v>4700</v>
      </c>
      <c r="E2164">
        <v>4900</v>
      </c>
      <c r="F2164">
        <v>161</v>
      </c>
      <c r="G2164">
        <v>83</v>
      </c>
      <c r="H2164">
        <v>0</v>
      </c>
      <c r="J2164" s="1">
        <f t="shared" si="165"/>
        <v>25921</v>
      </c>
      <c r="K2164" s="1">
        <f t="shared" si="166"/>
        <v>6889</v>
      </c>
      <c r="L2164" s="1">
        <f t="shared" si="167"/>
        <v>32810</v>
      </c>
      <c r="M2164" s="1">
        <f t="shared" si="168"/>
        <v>181.13530854032848</v>
      </c>
      <c r="N2164" s="7">
        <f t="shared" si="169"/>
        <v>181.13530854032848</v>
      </c>
    </row>
    <row r="2165" spans="1:14" x14ac:dyDescent="0.25">
      <c r="A2165" t="str">
        <f>"14:26:25.492"</f>
        <v>14:26:25.492</v>
      </c>
      <c r="B2165">
        <v>39.899962000000002</v>
      </c>
      <c r="C2165">
        <v>-75.711443000000003</v>
      </c>
      <c r="D2165">
        <v>4700</v>
      </c>
      <c r="E2165">
        <v>4900</v>
      </c>
      <c r="F2165">
        <v>161</v>
      </c>
      <c r="G2165">
        <v>83</v>
      </c>
      <c r="H2165">
        <v>0</v>
      </c>
      <c r="J2165" s="1">
        <f t="shared" si="165"/>
        <v>25921</v>
      </c>
      <c r="K2165" s="1">
        <f t="shared" si="166"/>
        <v>6889</v>
      </c>
      <c r="L2165" s="1">
        <f t="shared" si="167"/>
        <v>32810</v>
      </c>
      <c r="M2165" s="1">
        <f t="shared" si="168"/>
        <v>181.13530854032848</v>
      </c>
      <c r="N2165" s="7">
        <f t="shared" si="169"/>
        <v>181.13530854032848</v>
      </c>
    </row>
    <row r="2166" spans="1:14" x14ac:dyDescent="0.25">
      <c r="A2166" t="str">
        <f>"14:26:26.508"</f>
        <v>14:26:26.508</v>
      </c>
      <c r="B2166">
        <v>39.900370000000002</v>
      </c>
      <c r="C2166">
        <v>-75.710498999999999</v>
      </c>
      <c r="D2166">
        <v>4700</v>
      </c>
      <c r="E2166">
        <v>4900</v>
      </c>
      <c r="F2166">
        <v>161</v>
      </c>
      <c r="G2166">
        <v>83</v>
      </c>
      <c r="H2166">
        <v>0</v>
      </c>
      <c r="J2166" s="1">
        <f t="shared" si="165"/>
        <v>25921</v>
      </c>
      <c r="K2166" s="1">
        <f t="shared" si="166"/>
        <v>6889</v>
      </c>
      <c r="L2166" s="1">
        <f t="shared" si="167"/>
        <v>32810</v>
      </c>
      <c r="M2166" s="1">
        <f t="shared" si="168"/>
        <v>181.13530854032848</v>
      </c>
      <c r="N2166" s="7">
        <f t="shared" si="169"/>
        <v>181.13530854032848</v>
      </c>
    </row>
    <row r="2167" spans="1:14" x14ac:dyDescent="0.25">
      <c r="A2167" t="str">
        <f>"14:26:27.414"</f>
        <v>14:26:27.414</v>
      </c>
      <c r="B2167">
        <v>39.900713000000003</v>
      </c>
      <c r="C2167">
        <v>-75.709598</v>
      </c>
      <c r="D2167">
        <v>4700</v>
      </c>
      <c r="E2167">
        <v>4900</v>
      </c>
      <c r="F2167">
        <v>161</v>
      </c>
      <c r="G2167">
        <v>83</v>
      </c>
      <c r="H2167">
        <v>0</v>
      </c>
      <c r="J2167" s="1">
        <f t="shared" si="165"/>
        <v>25921</v>
      </c>
      <c r="K2167" s="1">
        <f t="shared" si="166"/>
        <v>6889</v>
      </c>
      <c r="L2167" s="1">
        <f t="shared" si="167"/>
        <v>32810</v>
      </c>
      <c r="M2167" s="1">
        <f t="shared" si="168"/>
        <v>181.13530854032848</v>
      </c>
      <c r="N2167" s="7">
        <f t="shared" si="169"/>
        <v>181.13530854032848</v>
      </c>
    </row>
    <row r="2168" spans="1:14" x14ac:dyDescent="0.25">
      <c r="A2168" t="str">
        <f>"14:26:28.273"</f>
        <v>14:26:28.273</v>
      </c>
      <c r="B2168">
        <v>39.900992000000002</v>
      </c>
      <c r="C2168">
        <v>-75.708869000000007</v>
      </c>
      <c r="D2168">
        <v>4700</v>
      </c>
      <c r="E2168">
        <v>4900</v>
      </c>
      <c r="F2168">
        <v>161</v>
      </c>
      <c r="G2168">
        <v>83</v>
      </c>
      <c r="H2168">
        <v>0</v>
      </c>
      <c r="J2168" s="1">
        <f t="shared" si="165"/>
        <v>25921</v>
      </c>
      <c r="K2168" s="1">
        <f t="shared" si="166"/>
        <v>6889</v>
      </c>
      <c r="L2168" s="1">
        <f t="shared" si="167"/>
        <v>32810</v>
      </c>
      <c r="M2168" s="1">
        <f t="shared" si="168"/>
        <v>181.13530854032848</v>
      </c>
      <c r="N2168" s="7">
        <f t="shared" si="169"/>
        <v>181.13530854032848</v>
      </c>
    </row>
    <row r="2169" spans="1:14" x14ac:dyDescent="0.25">
      <c r="A2169" t="str">
        <f>"14:26:29.281"</f>
        <v>14:26:29.281</v>
      </c>
      <c r="B2169">
        <v>39.901420999999999</v>
      </c>
      <c r="C2169">
        <v>-75.707881</v>
      </c>
      <c r="D2169">
        <v>4700</v>
      </c>
      <c r="E2169">
        <v>4900</v>
      </c>
      <c r="F2169">
        <v>161</v>
      </c>
      <c r="G2169">
        <v>83</v>
      </c>
      <c r="H2169">
        <v>0</v>
      </c>
      <c r="J2169" s="1">
        <f t="shared" si="165"/>
        <v>25921</v>
      </c>
      <c r="K2169" s="1">
        <f t="shared" si="166"/>
        <v>6889</v>
      </c>
      <c r="L2169" s="1">
        <f t="shared" si="167"/>
        <v>32810</v>
      </c>
      <c r="M2169" s="1">
        <f t="shared" si="168"/>
        <v>181.13530854032848</v>
      </c>
      <c r="N2169" s="7">
        <f t="shared" si="169"/>
        <v>181.13530854032848</v>
      </c>
    </row>
    <row r="2170" spans="1:14" x14ac:dyDescent="0.25">
      <c r="A2170" t="str">
        <f>"14:26:30.391"</f>
        <v>14:26:30.391</v>
      </c>
      <c r="B2170">
        <v>39.901786000000001</v>
      </c>
      <c r="C2170">
        <v>-75.706787000000006</v>
      </c>
      <c r="D2170">
        <v>4700</v>
      </c>
      <c r="E2170">
        <v>4900</v>
      </c>
      <c r="F2170">
        <v>161</v>
      </c>
      <c r="G2170">
        <v>83</v>
      </c>
      <c r="H2170">
        <v>0</v>
      </c>
      <c r="J2170" s="1">
        <f t="shared" si="165"/>
        <v>25921</v>
      </c>
      <c r="K2170" s="1">
        <f t="shared" si="166"/>
        <v>6889</v>
      </c>
      <c r="L2170" s="1">
        <f t="shared" si="167"/>
        <v>32810</v>
      </c>
      <c r="M2170" s="1">
        <f t="shared" si="168"/>
        <v>181.13530854032848</v>
      </c>
      <c r="N2170" s="7">
        <f t="shared" si="169"/>
        <v>181.13530854032848</v>
      </c>
    </row>
    <row r="2171" spans="1:14" x14ac:dyDescent="0.25">
      <c r="A2171" t="str">
        <f>"14:26:31.398"</f>
        <v>14:26:31.398</v>
      </c>
      <c r="B2171">
        <v>39.902258000000003</v>
      </c>
      <c r="C2171">
        <v>-75.705757000000006</v>
      </c>
      <c r="D2171">
        <v>4700</v>
      </c>
      <c r="E2171">
        <v>4900</v>
      </c>
      <c r="F2171">
        <v>161</v>
      </c>
      <c r="G2171">
        <v>83</v>
      </c>
      <c r="H2171">
        <v>0</v>
      </c>
      <c r="J2171" s="1">
        <f t="shared" si="165"/>
        <v>25921</v>
      </c>
      <c r="K2171" s="1">
        <f t="shared" si="166"/>
        <v>6889</v>
      </c>
      <c r="L2171" s="1">
        <f t="shared" si="167"/>
        <v>32810</v>
      </c>
      <c r="M2171" s="1">
        <f t="shared" si="168"/>
        <v>181.13530854032848</v>
      </c>
      <c r="N2171" s="7">
        <f t="shared" si="169"/>
        <v>181.13530854032848</v>
      </c>
    </row>
    <row r="2172" spans="1:14" x14ac:dyDescent="0.25">
      <c r="A2172" t="str">
        <f>"14:26:32.406"</f>
        <v>14:26:32.406</v>
      </c>
      <c r="B2172">
        <v>39.902622999999998</v>
      </c>
      <c r="C2172">
        <v>-75.704769999999996</v>
      </c>
      <c r="D2172">
        <v>4700</v>
      </c>
      <c r="E2172">
        <v>4900</v>
      </c>
      <c r="F2172">
        <v>161</v>
      </c>
      <c r="G2172">
        <v>83</v>
      </c>
      <c r="H2172">
        <v>0</v>
      </c>
      <c r="J2172" s="1">
        <f t="shared" si="165"/>
        <v>25921</v>
      </c>
      <c r="K2172" s="1">
        <f t="shared" si="166"/>
        <v>6889</v>
      </c>
      <c r="L2172" s="1">
        <f t="shared" si="167"/>
        <v>32810</v>
      </c>
      <c r="M2172" s="1">
        <f t="shared" si="168"/>
        <v>181.13530854032848</v>
      </c>
      <c r="N2172" s="7">
        <f t="shared" si="169"/>
        <v>181.13530854032848</v>
      </c>
    </row>
    <row r="2173" spans="1:14" x14ac:dyDescent="0.25">
      <c r="A2173" t="str">
        <f>"14:26:33.469"</f>
        <v>14:26:33.469</v>
      </c>
      <c r="B2173">
        <v>39.903030000000001</v>
      </c>
      <c r="C2173">
        <v>-75.703676000000002</v>
      </c>
      <c r="D2173">
        <v>4700</v>
      </c>
      <c r="E2173">
        <v>4900</v>
      </c>
      <c r="F2173">
        <v>161</v>
      </c>
      <c r="G2173">
        <v>83</v>
      </c>
      <c r="H2173">
        <v>0</v>
      </c>
      <c r="J2173" s="1">
        <f t="shared" si="165"/>
        <v>25921</v>
      </c>
      <c r="K2173" s="1">
        <f t="shared" si="166"/>
        <v>6889</v>
      </c>
      <c r="L2173" s="1">
        <f t="shared" si="167"/>
        <v>32810</v>
      </c>
      <c r="M2173" s="1">
        <f t="shared" si="168"/>
        <v>181.13530854032848</v>
      </c>
      <c r="N2173" s="7">
        <f t="shared" si="169"/>
        <v>181.13530854032848</v>
      </c>
    </row>
    <row r="2174" spans="1:14" x14ac:dyDescent="0.25">
      <c r="A2174" t="str">
        <f>"14:26:34.383"</f>
        <v>14:26:34.383</v>
      </c>
      <c r="B2174">
        <v>39.903373999999999</v>
      </c>
      <c r="C2174">
        <v>-75.702816999999996</v>
      </c>
      <c r="D2174">
        <v>4700</v>
      </c>
      <c r="E2174">
        <v>4900</v>
      </c>
      <c r="F2174">
        <v>161</v>
      </c>
      <c r="G2174">
        <v>82</v>
      </c>
      <c r="H2174">
        <v>64</v>
      </c>
      <c r="J2174" s="1">
        <f t="shared" si="165"/>
        <v>25921</v>
      </c>
      <c r="K2174" s="1">
        <f t="shared" si="166"/>
        <v>6724</v>
      </c>
      <c r="L2174" s="1">
        <f t="shared" si="167"/>
        <v>32645</v>
      </c>
      <c r="M2174" s="1">
        <f t="shared" si="168"/>
        <v>180.6792738528689</v>
      </c>
      <c r="N2174" s="7">
        <f t="shared" si="169"/>
        <v>180.6792738528689</v>
      </c>
    </row>
    <row r="2175" spans="1:14" x14ac:dyDescent="0.25">
      <c r="A2175" t="str">
        <f>"14:26:35.438"</f>
        <v>14:26:35.438</v>
      </c>
      <c r="B2175">
        <v>39.903781000000002</v>
      </c>
      <c r="C2175">
        <v>-75.701852000000002</v>
      </c>
      <c r="D2175">
        <v>4700</v>
      </c>
      <c r="E2175">
        <v>4900</v>
      </c>
      <c r="F2175">
        <v>161</v>
      </c>
      <c r="G2175">
        <v>83</v>
      </c>
      <c r="H2175">
        <v>0</v>
      </c>
      <c r="J2175" s="1">
        <f t="shared" si="165"/>
        <v>25921</v>
      </c>
      <c r="K2175" s="1">
        <f t="shared" si="166"/>
        <v>6889</v>
      </c>
      <c r="L2175" s="1">
        <f t="shared" si="167"/>
        <v>32810</v>
      </c>
      <c r="M2175" s="1">
        <f t="shared" si="168"/>
        <v>181.13530854032848</v>
      </c>
      <c r="N2175" s="7">
        <f t="shared" si="169"/>
        <v>181.13530854032848</v>
      </c>
    </row>
    <row r="2176" spans="1:14" x14ac:dyDescent="0.25">
      <c r="A2176" t="str">
        <f>"14:26:36.398"</f>
        <v>14:26:36.398</v>
      </c>
      <c r="B2176">
        <v>39.904167999999999</v>
      </c>
      <c r="C2176">
        <v>-75.700864999999993</v>
      </c>
      <c r="D2176">
        <v>4700</v>
      </c>
      <c r="E2176">
        <v>4900</v>
      </c>
      <c r="F2176">
        <v>161</v>
      </c>
      <c r="G2176">
        <v>82</v>
      </c>
      <c r="H2176">
        <v>0</v>
      </c>
      <c r="J2176" s="1">
        <f t="shared" si="165"/>
        <v>25921</v>
      </c>
      <c r="K2176" s="1">
        <f t="shared" si="166"/>
        <v>6724</v>
      </c>
      <c r="L2176" s="1">
        <f t="shared" si="167"/>
        <v>32645</v>
      </c>
      <c r="M2176" s="1">
        <f t="shared" si="168"/>
        <v>180.6792738528689</v>
      </c>
      <c r="N2176" s="7">
        <f t="shared" si="169"/>
        <v>180.6792738528689</v>
      </c>
    </row>
    <row r="2177" spans="1:14" x14ac:dyDescent="0.25">
      <c r="A2177" t="str">
        <f>"14:26:37.508"</f>
        <v>14:26:37.508</v>
      </c>
      <c r="B2177">
        <v>39.904597000000003</v>
      </c>
      <c r="C2177">
        <v>-75.699792000000002</v>
      </c>
      <c r="D2177">
        <v>4700</v>
      </c>
      <c r="E2177">
        <v>4900</v>
      </c>
      <c r="F2177">
        <v>161</v>
      </c>
      <c r="G2177">
        <v>82</v>
      </c>
      <c r="H2177">
        <v>0</v>
      </c>
      <c r="J2177" s="1">
        <f t="shared" si="165"/>
        <v>25921</v>
      </c>
      <c r="K2177" s="1">
        <f t="shared" si="166"/>
        <v>6724</v>
      </c>
      <c r="L2177" s="1">
        <f t="shared" si="167"/>
        <v>32645</v>
      </c>
      <c r="M2177" s="1">
        <f t="shared" si="168"/>
        <v>180.6792738528689</v>
      </c>
      <c r="N2177" s="7">
        <f t="shared" si="169"/>
        <v>180.6792738528689</v>
      </c>
    </row>
    <row r="2178" spans="1:14" x14ac:dyDescent="0.25">
      <c r="A2178" t="str">
        <f>"14:26:38.469"</f>
        <v>14:26:38.469</v>
      </c>
      <c r="B2178">
        <v>39.904896999999998</v>
      </c>
      <c r="C2178">
        <v>-75.698912000000007</v>
      </c>
      <c r="D2178">
        <v>4700</v>
      </c>
      <c r="E2178">
        <v>4900</v>
      </c>
      <c r="F2178">
        <v>161</v>
      </c>
      <c r="G2178">
        <v>82</v>
      </c>
      <c r="H2178">
        <v>0</v>
      </c>
      <c r="J2178" s="1">
        <f t="shared" si="165"/>
        <v>25921</v>
      </c>
      <c r="K2178" s="1">
        <f t="shared" si="166"/>
        <v>6724</v>
      </c>
      <c r="L2178" s="1">
        <f t="shared" si="167"/>
        <v>32645</v>
      </c>
      <c r="M2178" s="1">
        <f t="shared" si="168"/>
        <v>180.6792738528689</v>
      </c>
      <c r="N2178" s="7">
        <f t="shared" si="169"/>
        <v>180.6792738528689</v>
      </c>
    </row>
    <row r="2179" spans="1:14" x14ac:dyDescent="0.25">
      <c r="A2179" t="str">
        <f>"14:26:39.477"</f>
        <v>14:26:39.477</v>
      </c>
      <c r="B2179">
        <v>39.905326000000002</v>
      </c>
      <c r="C2179">
        <v>-75.697882000000007</v>
      </c>
      <c r="D2179">
        <v>4700</v>
      </c>
      <c r="E2179">
        <v>4900</v>
      </c>
      <c r="F2179">
        <v>161</v>
      </c>
      <c r="G2179">
        <v>82</v>
      </c>
      <c r="H2179">
        <v>0</v>
      </c>
      <c r="J2179" s="1">
        <f t="shared" ref="J2179:J2242" si="170">F2179^2</f>
        <v>25921</v>
      </c>
      <c r="K2179" s="1">
        <f t="shared" ref="K2179:K2242" si="171">G2179^2</f>
        <v>6724</v>
      </c>
      <c r="L2179" s="1">
        <f t="shared" ref="L2179:L2242" si="172">SUMSQ(F2179,G2179)</f>
        <v>32645</v>
      </c>
      <c r="M2179" s="1">
        <f t="shared" ref="M2179:M2242" si="173">SQRT(L2179)</f>
        <v>180.6792738528689</v>
      </c>
      <c r="N2179" s="7">
        <f t="shared" ref="N2179:N2242" si="174">M2179</f>
        <v>180.6792738528689</v>
      </c>
    </row>
    <row r="2180" spans="1:14" x14ac:dyDescent="0.25">
      <c r="A2180" t="str">
        <f>"14:26:40.539"</f>
        <v>14:26:40.539</v>
      </c>
      <c r="B2180">
        <v>39.905734000000002</v>
      </c>
      <c r="C2180">
        <v>-75.696873999999994</v>
      </c>
      <c r="D2180">
        <v>4700</v>
      </c>
      <c r="E2180">
        <v>4900</v>
      </c>
      <c r="F2180">
        <v>161</v>
      </c>
      <c r="G2180">
        <v>82</v>
      </c>
      <c r="H2180">
        <v>0</v>
      </c>
      <c r="J2180" s="1">
        <f t="shared" si="170"/>
        <v>25921</v>
      </c>
      <c r="K2180" s="1">
        <f t="shared" si="171"/>
        <v>6724</v>
      </c>
      <c r="L2180" s="1">
        <f t="shared" si="172"/>
        <v>32645</v>
      </c>
      <c r="M2180" s="1">
        <f t="shared" si="173"/>
        <v>180.6792738528689</v>
      </c>
      <c r="N2180" s="7">
        <f t="shared" si="174"/>
        <v>180.6792738528689</v>
      </c>
    </row>
    <row r="2181" spans="1:14" x14ac:dyDescent="0.25">
      <c r="A2181" t="str">
        <f>"14:26:41.750"</f>
        <v>14:26:41.750</v>
      </c>
      <c r="B2181">
        <v>39.906185000000001</v>
      </c>
      <c r="C2181">
        <v>-75.695735999999997</v>
      </c>
      <c r="D2181">
        <v>4700</v>
      </c>
      <c r="E2181">
        <v>4900</v>
      </c>
      <c r="F2181">
        <v>162</v>
      </c>
      <c r="G2181">
        <v>82</v>
      </c>
      <c r="H2181">
        <v>0</v>
      </c>
      <c r="J2181" s="1">
        <f t="shared" si="170"/>
        <v>26244</v>
      </c>
      <c r="K2181" s="1">
        <f t="shared" si="171"/>
        <v>6724</v>
      </c>
      <c r="L2181" s="1">
        <f t="shared" si="172"/>
        <v>32968</v>
      </c>
      <c r="M2181" s="1">
        <f t="shared" si="173"/>
        <v>181.57092278225608</v>
      </c>
      <c r="N2181" s="7">
        <f t="shared" si="174"/>
        <v>181.57092278225608</v>
      </c>
    </row>
    <row r="2182" spans="1:14" x14ac:dyDescent="0.25">
      <c r="A2182" t="str">
        <f>"14:26:42.711"</f>
        <v>14:26:42.711</v>
      </c>
      <c r="B2182">
        <v>39.906548999999998</v>
      </c>
      <c r="C2182">
        <v>-75.694792000000007</v>
      </c>
      <c r="D2182">
        <v>4700</v>
      </c>
      <c r="E2182">
        <v>4900</v>
      </c>
      <c r="F2182">
        <v>162</v>
      </c>
      <c r="G2182">
        <v>82</v>
      </c>
      <c r="H2182">
        <v>0</v>
      </c>
      <c r="J2182" s="1">
        <f t="shared" si="170"/>
        <v>26244</v>
      </c>
      <c r="K2182" s="1">
        <f t="shared" si="171"/>
        <v>6724</v>
      </c>
      <c r="L2182" s="1">
        <f t="shared" si="172"/>
        <v>32968</v>
      </c>
      <c r="M2182" s="1">
        <f t="shared" si="173"/>
        <v>181.57092278225608</v>
      </c>
      <c r="N2182" s="7">
        <f t="shared" si="174"/>
        <v>181.57092278225608</v>
      </c>
    </row>
    <row r="2183" spans="1:14" x14ac:dyDescent="0.25">
      <c r="A2183" t="str">
        <f>"14:26:43.820"</f>
        <v>14:26:43.820</v>
      </c>
      <c r="B2183">
        <v>39.906956999999998</v>
      </c>
      <c r="C2183">
        <v>-75.693719000000002</v>
      </c>
      <c r="D2183">
        <v>4700</v>
      </c>
      <c r="E2183">
        <v>4900</v>
      </c>
      <c r="F2183">
        <v>162</v>
      </c>
      <c r="G2183">
        <v>82</v>
      </c>
      <c r="H2183">
        <v>0</v>
      </c>
      <c r="J2183" s="1">
        <f t="shared" si="170"/>
        <v>26244</v>
      </c>
      <c r="K2183" s="1">
        <f t="shared" si="171"/>
        <v>6724</v>
      </c>
      <c r="L2183" s="1">
        <f t="shared" si="172"/>
        <v>32968</v>
      </c>
      <c r="M2183" s="1">
        <f t="shared" si="173"/>
        <v>181.57092278225608</v>
      </c>
      <c r="N2183" s="7">
        <f t="shared" si="174"/>
        <v>181.57092278225608</v>
      </c>
    </row>
    <row r="2184" spans="1:14" x14ac:dyDescent="0.25">
      <c r="A2184" t="str">
        <f>"14:26:44.977"</f>
        <v>14:26:44.977</v>
      </c>
      <c r="B2184">
        <v>39.907386000000002</v>
      </c>
      <c r="C2184">
        <v>-75.692646999999994</v>
      </c>
      <c r="D2184">
        <v>4700</v>
      </c>
      <c r="E2184">
        <v>4900</v>
      </c>
      <c r="F2184">
        <v>162</v>
      </c>
      <c r="G2184">
        <v>82</v>
      </c>
      <c r="H2184">
        <v>0</v>
      </c>
      <c r="J2184" s="1">
        <f t="shared" si="170"/>
        <v>26244</v>
      </c>
      <c r="K2184" s="1">
        <f t="shared" si="171"/>
        <v>6724</v>
      </c>
      <c r="L2184" s="1">
        <f t="shared" si="172"/>
        <v>32968</v>
      </c>
      <c r="M2184" s="1">
        <f t="shared" si="173"/>
        <v>181.57092278225608</v>
      </c>
      <c r="N2184" s="7">
        <f t="shared" si="174"/>
        <v>181.57092278225608</v>
      </c>
    </row>
    <row r="2185" spans="1:14" x14ac:dyDescent="0.25">
      <c r="A2185" t="str">
        <f>"14:26:45.891"</f>
        <v>14:26:45.891</v>
      </c>
      <c r="B2185">
        <v>39.907750999999998</v>
      </c>
      <c r="C2185">
        <v>-75.691766999999999</v>
      </c>
      <c r="D2185">
        <v>4700</v>
      </c>
      <c r="E2185">
        <v>4900</v>
      </c>
      <c r="F2185">
        <v>162</v>
      </c>
      <c r="G2185">
        <v>82</v>
      </c>
      <c r="H2185">
        <v>0</v>
      </c>
      <c r="J2185" s="1">
        <f t="shared" si="170"/>
        <v>26244</v>
      </c>
      <c r="K2185" s="1">
        <f t="shared" si="171"/>
        <v>6724</v>
      </c>
      <c r="L2185" s="1">
        <f t="shared" si="172"/>
        <v>32968</v>
      </c>
      <c r="M2185" s="1">
        <f t="shared" si="173"/>
        <v>181.57092278225608</v>
      </c>
      <c r="N2185" s="7">
        <f t="shared" si="174"/>
        <v>181.57092278225608</v>
      </c>
    </row>
    <row r="2186" spans="1:14" x14ac:dyDescent="0.25">
      <c r="A2186" t="str">
        <f>"14:26:46.852"</f>
        <v>14:26:46.852</v>
      </c>
      <c r="B2186">
        <v>39.908116</v>
      </c>
      <c r="C2186">
        <v>-75.690800999999993</v>
      </c>
      <c r="D2186">
        <v>4700</v>
      </c>
      <c r="E2186">
        <v>4900</v>
      </c>
      <c r="F2186">
        <v>162</v>
      </c>
      <c r="G2186">
        <v>82</v>
      </c>
      <c r="H2186">
        <v>0</v>
      </c>
      <c r="J2186" s="1">
        <f t="shared" si="170"/>
        <v>26244</v>
      </c>
      <c r="K2186" s="1">
        <f t="shared" si="171"/>
        <v>6724</v>
      </c>
      <c r="L2186" s="1">
        <f t="shared" si="172"/>
        <v>32968</v>
      </c>
      <c r="M2186" s="1">
        <f t="shared" si="173"/>
        <v>181.57092278225608</v>
      </c>
      <c r="N2186" s="7">
        <f t="shared" si="174"/>
        <v>181.57092278225608</v>
      </c>
    </row>
    <row r="2187" spans="1:14" x14ac:dyDescent="0.25">
      <c r="A2187" t="str">
        <f>"14:26:47.703"</f>
        <v>14:26:47.703</v>
      </c>
      <c r="B2187">
        <v>39.908481000000002</v>
      </c>
      <c r="C2187">
        <v>-75.689899999999994</v>
      </c>
      <c r="D2187">
        <v>4700</v>
      </c>
      <c r="E2187">
        <v>4900</v>
      </c>
      <c r="F2187">
        <v>162</v>
      </c>
      <c r="G2187">
        <v>82</v>
      </c>
      <c r="H2187">
        <v>0</v>
      </c>
      <c r="J2187" s="1">
        <f t="shared" si="170"/>
        <v>26244</v>
      </c>
      <c r="K2187" s="1">
        <f t="shared" si="171"/>
        <v>6724</v>
      </c>
      <c r="L2187" s="1">
        <f t="shared" si="172"/>
        <v>32968</v>
      </c>
      <c r="M2187" s="1">
        <f t="shared" si="173"/>
        <v>181.57092278225608</v>
      </c>
      <c r="N2187" s="7">
        <f t="shared" si="174"/>
        <v>181.57092278225608</v>
      </c>
    </row>
    <row r="2188" spans="1:14" x14ac:dyDescent="0.25">
      <c r="A2188" t="str">
        <f>"14:26:48.719"</f>
        <v>14:26:48.719</v>
      </c>
      <c r="B2188">
        <v>39.908844999999999</v>
      </c>
      <c r="C2188">
        <v>-75.688934000000003</v>
      </c>
      <c r="D2188">
        <v>4700</v>
      </c>
      <c r="E2188">
        <v>4900</v>
      </c>
      <c r="F2188">
        <v>162</v>
      </c>
      <c r="G2188">
        <v>82</v>
      </c>
      <c r="H2188">
        <v>0</v>
      </c>
      <c r="J2188" s="1">
        <f t="shared" si="170"/>
        <v>26244</v>
      </c>
      <c r="K2188" s="1">
        <f t="shared" si="171"/>
        <v>6724</v>
      </c>
      <c r="L2188" s="1">
        <f t="shared" si="172"/>
        <v>32968</v>
      </c>
      <c r="M2188" s="1">
        <f t="shared" si="173"/>
        <v>181.57092278225608</v>
      </c>
      <c r="N2188" s="7">
        <f t="shared" si="174"/>
        <v>181.57092278225608</v>
      </c>
    </row>
    <row r="2189" spans="1:14" x14ac:dyDescent="0.25">
      <c r="A2189" t="str">
        <f>"14:26:49.727"</f>
        <v>14:26:49.727</v>
      </c>
      <c r="B2189">
        <v>39.909210000000002</v>
      </c>
      <c r="C2189">
        <v>-75.687968999999995</v>
      </c>
      <c r="D2189">
        <v>4700</v>
      </c>
      <c r="E2189">
        <v>4900</v>
      </c>
      <c r="F2189">
        <v>162</v>
      </c>
      <c r="G2189">
        <v>83</v>
      </c>
      <c r="H2189">
        <v>0</v>
      </c>
      <c r="J2189" s="1">
        <f t="shared" si="170"/>
        <v>26244</v>
      </c>
      <c r="K2189" s="1">
        <f t="shared" si="171"/>
        <v>6889</v>
      </c>
      <c r="L2189" s="1">
        <f t="shared" si="172"/>
        <v>33133</v>
      </c>
      <c r="M2189" s="1">
        <f t="shared" si="173"/>
        <v>182.02472359545007</v>
      </c>
      <c r="N2189" s="7">
        <f t="shared" si="174"/>
        <v>182.02472359545007</v>
      </c>
    </row>
    <row r="2190" spans="1:14" x14ac:dyDescent="0.25">
      <c r="A2190" t="str">
        <f>"14:26:50.734"</f>
        <v>14:26:50.734</v>
      </c>
      <c r="B2190">
        <v>39.909618000000002</v>
      </c>
      <c r="C2190">
        <v>-75.686959999999999</v>
      </c>
      <c r="D2190">
        <v>4700</v>
      </c>
      <c r="E2190">
        <v>4900</v>
      </c>
      <c r="F2190">
        <v>162</v>
      </c>
      <c r="G2190">
        <v>83</v>
      </c>
      <c r="H2190">
        <v>0</v>
      </c>
      <c r="J2190" s="1">
        <f t="shared" si="170"/>
        <v>26244</v>
      </c>
      <c r="K2190" s="1">
        <f t="shared" si="171"/>
        <v>6889</v>
      </c>
      <c r="L2190" s="1">
        <f t="shared" si="172"/>
        <v>33133</v>
      </c>
      <c r="M2190" s="1">
        <f t="shared" si="173"/>
        <v>182.02472359545007</v>
      </c>
      <c r="N2190" s="7">
        <f t="shared" si="174"/>
        <v>182.02472359545007</v>
      </c>
    </row>
    <row r="2191" spans="1:14" x14ac:dyDescent="0.25">
      <c r="A2191" t="str">
        <f>"14:26:51.797"</f>
        <v>14:26:51.797</v>
      </c>
      <c r="B2191">
        <v>39.910026000000002</v>
      </c>
      <c r="C2191">
        <v>-75.685908999999995</v>
      </c>
      <c r="D2191">
        <v>4700</v>
      </c>
      <c r="E2191">
        <v>4900</v>
      </c>
      <c r="F2191">
        <v>161</v>
      </c>
      <c r="G2191">
        <v>83</v>
      </c>
      <c r="H2191">
        <v>0</v>
      </c>
      <c r="J2191" s="1">
        <f t="shared" si="170"/>
        <v>25921</v>
      </c>
      <c r="K2191" s="1">
        <f t="shared" si="171"/>
        <v>6889</v>
      </c>
      <c r="L2191" s="1">
        <f t="shared" si="172"/>
        <v>32810</v>
      </c>
      <c r="M2191" s="1">
        <f t="shared" si="173"/>
        <v>181.13530854032848</v>
      </c>
      <c r="N2191" s="7">
        <f t="shared" si="174"/>
        <v>181.13530854032848</v>
      </c>
    </row>
    <row r="2192" spans="1:14" x14ac:dyDescent="0.25">
      <c r="A2192" t="str">
        <f>"14:26:52.852"</f>
        <v>14:26:52.852</v>
      </c>
      <c r="B2192">
        <v>39.91039</v>
      </c>
      <c r="C2192">
        <v>-75.684943000000004</v>
      </c>
      <c r="D2192">
        <v>4700</v>
      </c>
      <c r="E2192">
        <v>4900</v>
      </c>
      <c r="F2192">
        <v>161</v>
      </c>
      <c r="G2192">
        <v>83</v>
      </c>
      <c r="H2192">
        <v>64</v>
      </c>
      <c r="J2192" s="1">
        <f t="shared" si="170"/>
        <v>25921</v>
      </c>
      <c r="K2192" s="1">
        <f t="shared" si="171"/>
        <v>6889</v>
      </c>
      <c r="L2192" s="1">
        <f t="shared" si="172"/>
        <v>32810</v>
      </c>
      <c r="M2192" s="1">
        <f t="shared" si="173"/>
        <v>181.13530854032848</v>
      </c>
      <c r="N2192" s="7">
        <f t="shared" si="174"/>
        <v>181.13530854032848</v>
      </c>
    </row>
    <row r="2193" spans="1:14" x14ac:dyDescent="0.25">
      <c r="A2193" t="str">
        <f>"14:26:53.766"</f>
        <v>14:26:53.766</v>
      </c>
      <c r="B2193">
        <v>39.910777000000003</v>
      </c>
      <c r="C2193">
        <v>-75.684106</v>
      </c>
      <c r="D2193">
        <v>4700</v>
      </c>
      <c r="E2193">
        <v>4900</v>
      </c>
      <c r="F2193">
        <v>161</v>
      </c>
      <c r="G2193">
        <v>83</v>
      </c>
      <c r="H2193">
        <v>0</v>
      </c>
      <c r="J2193" s="1">
        <f t="shared" si="170"/>
        <v>25921</v>
      </c>
      <c r="K2193" s="1">
        <f t="shared" si="171"/>
        <v>6889</v>
      </c>
      <c r="L2193" s="1">
        <f t="shared" si="172"/>
        <v>32810</v>
      </c>
      <c r="M2193" s="1">
        <f t="shared" si="173"/>
        <v>181.13530854032848</v>
      </c>
      <c r="N2193" s="7">
        <f t="shared" si="174"/>
        <v>181.13530854032848</v>
      </c>
    </row>
    <row r="2194" spans="1:14" x14ac:dyDescent="0.25">
      <c r="A2194" t="str">
        <f>"14:26:54.820"</f>
        <v>14:26:54.820</v>
      </c>
      <c r="B2194">
        <v>39.911183999999999</v>
      </c>
      <c r="C2194">
        <v>-75.682991000000001</v>
      </c>
      <c r="D2194">
        <v>4700</v>
      </c>
      <c r="E2194">
        <v>4900</v>
      </c>
      <c r="F2194">
        <v>161</v>
      </c>
      <c r="G2194">
        <v>83</v>
      </c>
      <c r="H2194">
        <v>64</v>
      </c>
      <c r="J2194" s="1">
        <f t="shared" si="170"/>
        <v>25921</v>
      </c>
      <c r="K2194" s="1">
        <f t="shared" si="171"/>
        <v>6889</v>
      </c>
      <c r="L2194" s="1">
        <f t="shared" si="172"/>
        <v>32810</v>
      </c>
      <c r="M2194" s="1">
        <f t="shared" si="173"/>
        <v>181.13530854032848</v>
      </c>
      <c r="N2194" s="7">
        <f t="shared" si="174"/>
        <v>181.13530854032848</v>
      </c>
    </row>
    <row r="2195" spans="1:14" x14ac:dyDescent="0.25">
      <c r="A2195" t="str">
        <f>"14:26:55.984"</f>
        <v>14:26:55.984</v>
      </c>
      <c r="B2195">
        <v>39.911591999999999</v>
      </c>
      <c r="C2195">
        <v>-75.681939</v>
      </c>
      <c r="D2195">
        <v>4700</v>
      </c>
      <c r="E2195">
        <v>4900</v>
      </c>
      <c r="F2195">
        <v>161</v>
      </c>
      <c r="G2195">
        <v>83</v>
      </c>
      <c r="H2195">
        <v>64</v>
      </c>
      <c r="J2195" s="1">
        <f t="shared" si="170"/>
        <v>25921</v>
      </c>
      <c r="K2195" s="1">
        <f t="shared" si="171"/>
        <v>6889</v>
      </c>
      <c r="L2195" s="1">
        <f t="shared" si="172"/>
        <v>32810</v>
      </c>
      <c r="M2195" s="1">
        <f t="shared" si="173"/>
        <v>181.13530854032848</v>
      </c>
      <c r="N2195" s="7">
        <f t="shared" si="174"/>
        <v>181.13530854032848</v>
      </c>
    </row>
    <row r="2196" spans="1:14" x14ac:dyDescent="0.25">
      <c r="A2196" t="str">
        <f>"14:26:56.945"</f>
        <v>14:26:56.945</v>
      </c>
      <c r="B2196">
        <v>39.911999999999999</v>
      </c>
      <c r="C2196">
        <v>-75.680994999999996</v>
      </c>
      <c r="D2196">
        <v>4700</v>
      </c>
      <c r="E2196">
        <v>4900</v>
      </c>
      <c r="F2196">
        <v>161</v>
      </c>
      <c r="G2196">
        <v>83</v>
      </c>
      <c r="H2196">
        <v>0</v>
      </c>
      <c r="J2196" s="1">
        <f t="shared" si="170"/>
        <v>25921</v>
      </c>
      <c r="K2196" s="1">
        <f t="shared" si="171"/>
        <v>6889</v>
      </c>
      <c r="L2196" s="1">
        <f t="shared" si="172"/>
        <v>32810</v>
      </c>
      <c r="M2196" s="1">
        <f t="shared" si="173"/>
        <v>181.13530854032848</v>
      </c>
      <c r="N2196" s="7">
        <f t="shared" si="174"/>
        <v>181.13530854032848</v>
      </c>
    </row>
    <row r="2197" spans="1:14" x14ac:dyDescent="0.25">
      <c r="A2197" t="str">
        <f>"14:26:58.109"</f>
        <v>14:26:58.109</v>
      </c>
      <c r="B2197">
        <v>39.91245</v>
      </c>
      <c r="C2197">
        <v>-75.679793000000004</v>
      </c>
      <c r="D2197">
        <v>4700</v>
      </c>
      <c r="E2197">
        <v>4900</v>
      </c>
      <c r="F2197">
        <v>161</v>
      </c>
      <c r="G2197">
        <v>83</v>
      </c>
      <c r="H2197">
        <v>0</v>
      </c>
      <c r="J2197" s="1">
        <f t="shared" si="170"/>
        <v>25921</v>
      </c>
      <c r="K2197" s="1">
        <f t="shared" si="171"/>
        <v>6889</v>
      </c>
      <c r="L2197" s="1">
        <f t="shared" si="172"/>
        <v>32810</v>
      </c>
      <c r="M2197" s="1">
        <f t="shared" si="173"/>
        <v>181.13530854032848</v>
      </c>
      <c r="N2197" s="7">
        <f t="shared" si="174"/>
        <v>181.13530854032848</v>
      </c>
    </row>
    <row r="2198" spans="1:14" x14ac:dyDescent="0.25">
      <c r="A2198" t="str">
        <f>"14:26:59.063"</f>
        <v>14:26:59.063</v>
      </c>
      <c r="B2198">
        <v>39.912771999999997</v>
      </c>
      <c r="C2198">
        <v>-75.678956999999997</v>
      </c>
      <c r="D2198">
        <v>4700</v>
      </c>
      <c r="E2198">
        <v>4900</v>
      </c>
      <c r="F2198">
        <v>161</v>
      </c>
      <c r="G2198">
        <v>83</v>
      </c>
      <c r="H2198">
        <v>0</v>
      </c>
      <c r="J2198" s="1">
        <f t="shared" si="170"/>
        <v>25921</v>
      </c>
      <c r="K2198" s="1">
        <f t="shared" si="171"/>
        <v>6889</v>
      </c>
      <c r="L2198" s="1">
        <f t="shared" si="172"/>
        <v>32810</v>
      </c>
      <c r="M2198" s="1">
        <f t="shared" si="173"/>
        <v>181.13530854032848</v>
      </c>
      <c r="N2198" s="7">
        <f t="shared" si="174"/>
        <v>181.13530854032848</v>
      </c>
    </row>
    <row r="2199" spans="1:14" x14ac:dyDescent="0.25">
      <c r="A2199" t="str">
        <f>"14:26:59.922"</f>
        <v>14:26:59.922</v>
      </c>
      <c r="B2199">
        <v>39.913136999999999</v>
      </c>
      <c r="C2199">
        <v>-75.678077000000002</v>
      </c>
      <c r="D2199">
        <v>4700</v>
      </c>
      <c r="E2199">
        <v>4900</v>
      </c>
      <c r="F2199">
        <v>161</v>
      </c>
      <c r="G2199">
        <v>83</v>
      </c>
      <c r="H2199">
        <v>0</v>
      </c>
      <c r="J2199" s="1">
        <f t="shared" si="170"/>
        <v>25921</v>
      </c>
      <c r="K2199" s="1">
        <f t="shared" si="171"/>
        <v>6889</v>
      </c>
      <c r="L2199" s="1">
        <f t="shared" si="172"/>
        <v>32810</v>
      </c>
      <c r="M2199" s="1">
        <f t="shared" si="173"/>
        <v>181.13530854032848</v>
      </c>
      <c r="N2199" s="7">
        <f t="shared" si="174"/>
        <v>181.13530854032848</v>
      </c>
    </row>
    <row r="2200" spans="1:14" x14ac:dyDescent="0.25">
      <c r="A2200" t="str">
        <f>"14:27:00.930"</f>
        <v>14:27:00.930</v>
      </c>
      <c r="B2200">
        <v>39.913522999999998</v>
      </c>
      <c r="C2200">
        <v>-75.677110999999996</v>
      </c>
      <c r="D2200">
        <v>4700</v>
      </c>
      <c r="E2200">
        <v>4900</v>
      </c>
      <c r="F2200">
        <v>161</v>
      </c>
      <c r="G2200">
        <v>83</v>
      </c>
      <c r="H2200">
        <v>0</v>
      </c>
      <c r="J2200" s="1">
        <f t="shared" si="170"/>
        <v>25921</v>
      </c>
      <c r="K2200" s="1">
        <f t="shared" si="171"/>
        <v>6889</v>
      </c>
      <c r="L2200" s="1">
        <f t="shared" si="172"/>
        <v>32810</v>
      </c>
      <c r="M2200" s="1">
        <f t="shared" si="173"/>
        <v>181.13530854032848</v>
      </c>
      <c r="N2200" s="7">
        <f t="shared" si="174"/>
        <v>181.13530854032848</v>
      </c>
    </row>
    <row r="2201" spans="1:14" x14ac:dyDescent="0.25">
      <c r="A2201" t="str">
        <f>"14:27:01.945"</f>
        <v>14:27:01.945</v>
      </c>
      <c r="B2201">
        <v>39.913930999999998</v>
      </c>
      <c r="C2201">
        <v>-75.676167000000007</v>
      </c>
      <c r="D2201">
        <v>4700</v>
      </c>
      <c r="E2201">
        <v>4900</v>
      </c>
      <c r="F2201">
        <v>161</v>
      </c>
      <c r="G2201">
        <v>83</v>
      </c>
      <c r="H2201">
        <v>0</v>
      </c>
      <c r="J2201" s="1">
        <f t="shared" si="170"/>
        <v>25921</v>
      </c>
      <c r="K2201" s="1">
        <f t="shared" si="171"/>
        <v>6889</v>
      </c>
      <c r="L2201" s="1">
        <f t="shared" si="172"/>
        <v>32810</v>
      </c>
      <c r="M2201" s="1">
        <f t="shared" si="173"/>
        <v>181.13530854032848</v>
      </c>
      <c r="N2201" s="7">
        <f t="shared" si="174"/>
        <v>181.13530854032848</v>
      </c>
    </row>
    <row r="2202" spans="1:14" x14ac:dyDescent="0.25">
      <c r="A2202" t="str">
        <f>"14:27:02.898"</f>
        <v>14:27:02.898</v>
      </c>
      <c r="B2202">
        <v>39.914296</v>
      </c>
      <c r="C2202">
        <v>-75.675137000000007</v>
      </c>
      <c r="D2202">
        <v>4700</v>
      </c>
      <c r="E2202">
        <v>4900</v>
      </c>
      <c r="F2202">
        <v>161</v>
      </c>
      <c r="G2202">
        <v>84</v>
      </c>
      <c r="H2202">
        <v>0</v>
      </c>
      <c r="J2202" s="1">
        <f t="shared" si="170"/>
        <v>25921</v>
      </c>
      <c r="K2202" s="1">
        <f t="shared" si="171"/>
        <v>7056</v>
      </c>
      <c r="L2202" s="1">
        <f t="shared" si="172"/>
        <v>32977</v>
      </c>
      <c r="M2202" s="1">
        <f t="shared" si="173"/>
        <v>181.59570479501986</v>
      </c>
      <c r="N2202" s="7">
        <f t="shared" si="174"/>
        <v>181.59570479501986</v>
      </c>
    </row>
    <row r="2203" spans="1:14" x14ac:dyDescent="0.25">
      <c r="A2203" t="str">
        <f>"14:27:03.914"</f>
        <v>14:27:03.914</v>
      </c>
      <c r="B2203">
        <v>39.914703000000003</v>
      </c>
      <c r="C2203">
        <v>-75.674193000000002</v>
      </c>
      <c r="D2203">
        <v>4700</v>
      </c>
      <c r="E2203">
        <v>4900</v>
      </c>
      <c r="F2203">
        <v>160</v>
      </c>
      <c r="G2203">
        <v>85</v>
      </c>
      <c r="H2203">
        <v>-64</v>
      </c>
      <c r="J2203" s="1">
        <f t="shared" si="170"/>
        <v>25600</v>
      </c>
      <c r="K2203" s="1">
        <f t="shared" si="171"/>
        <v>7225</v>
      </c>
      <c r="L2203" s="1">
        <f t="shared" si="172"/>
        <v>32825</v>
      </c>
      <c r="M2203" s="1">
        <f t="shared" si="173"/>
        <v>181.17670931993439</v>
      </c>
      <c r="N2203" s="7">
        <f t="shared" si="174"/>
        <v>181.17670931993439</v>
      </c>
    </row>
    <row r="2204" spans="1:14" x14ac:dyDescent="0.25">
      <c r="A2204" t="str">
        <f>"14:27:04.867"</f>
        <v>14:27:04.867</v>
      </c>
      <c r="B2204">
        <v>39.915047000000001</v>
      </c>
      <c r="C2204">
        <v>-75.673334999999994</v>
      </c>
      <c r="D2204">
        <v>4700</v>
      </c>
      <c r="E2204">
        <v>4900</v>
      </c>
      <c r="F2204">
        <v>159</v>
      </c>
      <c r="G2204">
        <v>86</v>
      </c>
      <c r="H2204">
        <v>-64</v>
      </c>
      <c r="J2204" s="1">
        <f t="shared" si="170"/>
        <v>25281</v>
      </c>
      <c r="K2204" s="1">
        <f t="shared" si="171"/>
        <v>7396</v>
      </c>
      <c r="L2204" s="1">
        <f t="shared" si="172"/>
        <v>32677</v>
      </c>
      <c r="M2204" s="1">
        <f t="shared" si="173"/>
        <v>180.76780686836912</v>
      </c>
      <c r="N2204" s="7">
        <f t="shared" si="174"/>
        <v>180.76780686836912</v>
      </c>
    </row>
    <row r="2205" spans="1:14" x14ac:dyDescent="0.25">
      <c r="A2205" t="str">
        <f>"14:27:05.984"</f>
        <v>14:27:05.984</v>
      </c>
      <c r="B2205">
        <v>39.915562000000001</v>
      </c>
      <c r="C2205">
        <v>-75.672240000000002</v>
      </c>
      <c r="D2205">
        <v>4700</v>
      </c>
      <c r="E2205">
        <v>4900</v>
      </c>
      <c r="F2205">
        <v>157</v>
      </c>
      <c r="G2205">
        <v>90</v>
      </c>
      <c r="H2205">
        <v>-128</v>
      </c>
      <c r="J2205" s="1">
        <f t="shared" si="170"/>
        <v>24649</v>
      </c>
      <c r="K2205" s="1">
        <f t="shared" si="171"/>
        <v>8100</v>
      </c>
      <c r="L2205" s="1">
        <f t="shared" si="172"/>
        <v>32749</v>
      </c>
      <c r="M2205" s="1">
        <f t="shared" si="173"/>
        <v>180.96684779262748</v>
      </c>
      <c r="N2205" s="7">
        <f t="shared" si="174"/>
        <v>180.96684779262748</v>
      </c>
    </row>
    <row r="2206" spans="1:14" x14ac:dyDescent="0.25">
      <c r="A2206" t="str">
        <f>"14:27:06.836"</f>
        <v>14:27:06.836</v>
      </c>
      <c r="B2206">
        <v>39.915883999999998</v>
      </c>
      <c r="C2206">
        <v>-75.671446000000003</v>
      </c>
      <c r="D2206">
        <v>4700</v>
      </c>
      <c r="E2206">
        <v>4900</v>
      </c>
      <c r="F2206">
        <v>155</v>
      </c>
      <c r="G2206">
        <v>94</v>
      </c>
      <c r="H2206">
        <v>-192</v>
      </c>
      <c r="J2206" s="1">
        <f t="shared" si="170"/>
        <v>24025</v>
      </c>
      <c r="K2206" s="1">
        <f t="shared" si="171"/>
        <v>8836</v>
      </c>
      <c r="L2206" s="1">
        <f t="shared" si="172"/>
        <v>32861</v>
      </c>
      <c r="M2206" s="1">
        <f t="shared" si="173"/>
        <v>181.27603261324978</v>
      </c>
      <c r="N2206" s="7">
        <f t="shared" si="174"/>
        <v>181.27603261324978</v>
      </c>
    </row>
    <row r="2207" spans="1:14" x14ac:dyDescent="0.25">
      <c r="A2207" t="str">
        <f>"14:27:07.797"</f>
        <v>14:27:07.797</v>
      </c>
      <c r="B2207">
        <v>39.916356</v>
      </c>
      <c r="C2207">
        <v>-75.670524</v>
      </c>
      <c r="D2207">
        <v>4700</v>
      </c>
      <c r="E2207">
        <v>4900</v>
      </c>
      <c r="F2207">
        <v>152</v>
      </c>
      <c r="G2207">
        <v>98</v>
      </c>
      <c r="H2207">
        <v>-192</v>
      </c>
      <c r="J2207" s="1">
        <f t="shared" si="170"/>
        <v>23104</v>
      </c>
      <c r="K2207" s="1">
        <f t="shared" si="171"/>
        <v>9604</v>
      </c>
      <c r="L2207" s="1">
        <f t="shared" si="172"/>
        <v>32708</v>
      </c>
      <c r="M2207" s="1">
        <f t="shared" si="173"/>
        <v>180.85353189805281</v>
      </c>
      <c r="N2207" s="7">
        <f t="shared" si="174"/>
        <v>180.85353189805281</v>
      </c>
    </row>
    <row r="2208" spans="1:14" x14ac:dyDescent="0.25">
      <c r="A2208" t="str">
        <f>"14:27:08.906"</f>
        <v>14:27:08.906</v>
      </c>
      <c r="B2208">
        <v>39.916891999999997</v>
      </c>
      <c r="C2208">
        <v>-75.669579999999996</v>
      </c>
      <c r="D2208">
        <v>4700</v>
      </c>
      <c r="E2208">
        <v>4875</v>
      </c>
      <c r="F2208">
        <v>150</v>
      </c>
      <c r="G2208">
        <v>102</v>
      </c>
      <c r="H2208">
        <v>-192</v>
      </c>
      <c r="J2208" s="1">
        <f t="shared" si="170"/>
        <v>22500</v>
      </c>
      <c r="K2208" s="1">
        <f t="shared" si="171"/>
        <v>10404</v>
      </c>
      <c r="L2208" s="1">
        <f t="shared" si="172"/>
        <v>32904</v>
      </c>
      <c r="M2208" s="1">
        <f t="shared" si="173"/>
        <v>181.3945974939717</v>
      </c>
      <c r="N2208" s="7">
        <f t="shared" si="174"/>
        <v>181.3945974939717</v>
      </c>
    </row>
    <row r="2209" spans="1:14" x14ac:dyDescent="0.25">
      <c r="A2209" t="str">
        <f>"14:27:10.023"</f>
        <v>14:27:10.023</v>
      </c>
      <c r="B2209">
        <v>39.917428000000001</v>
      </c>
      <c r="C2209">
        <v>-75.668634999999995</v>
      </c>
      <c r="D2209">
        <v>4700</v>
      </c>
      <c r="E2209">
        <v>4875</v>
      </c>
      <c r="F2209">
        <v>146</v>
      </c>
      <c r="G2209">
        <v>108</v>
      </c>
      <c r="H2209">
        <v>-128</v>
      </c>
      <c r="J2209" s="1">
        <f t="shared" si="170"/>
        <v>21316</v>
      </c>
      <c r="K2209" s="1">
        <f t="shared" si="171"/>
        <v>11664</v>
      </c>
      <c r="L2209" s="1">
        <f t="shared" si="172"/>
        <v>32980</v>
      </c>
      <c r="M2209" s="1">
        <f t="shared" si="173"/>
        <v>181.60396471443016</v>
      </c>
      <c r="N2209" s="7">
        <f t="shared" si="174"/>
        <v>181.60396471443016</v>
      </c>
    </row>
    <row r="2210" spans="1:14" x14ac:dyDescent="0.25">
      <c r="A2210" t="str">
        <f>"14:27:11.133"</f>
        <v>14:27:11.133</v>
      </c>
      <c r="B2210">
        <v>39.918050999999998</v>
      </c>
      <c r="C2210">
        <v>-75.667670000000001</v>
      </c>
      <c r="D2210">
        <v>4700</v>
      </c>
      <c r="E2210">
        <v>4875</v>
      </c>
      <c r="F2210">
        <v>142</v>
      </c>
      <c r="G2210">
        <v>112</v>
      </c>
      <c r="H2210">
        <v>-64</v>
      </c>
      <c r="J2210" s="1">
        <f t="shared" si="170"/>
        <v>20164</v>
      </c>
      <c r="K2210" s="1">
        <f t="shared" si="171"/>
        <v>12544</v>
      </c>
      <c r="L2210" s="1">
        <f t="shared" si="172"/>
        <v>32708</v>
      </c>
      <c r="M2210" s="1">
        <f t="shared" si="173"/>
        <v>180.85353189805281</v>
      </c>
      <c r="N2210" s="7">
        <f t="shared" si="174"/>
        <v>180.85353189805281</v>
      </c>
    </row>
    <row r="2211" spans="1:14" x14ac:dyDescent="0.25">
      <c r="A2211" t="str">
        <f>"14:27:12.188"</f>
        <v>14:27:12.188</v>
      </c>
      <c r="B2211">
        <v>39.918587000000002</v>
      </c>
      <c r="C2211">
        <v>-75.666897000000006</v>
      </c>
      <c r="D2211">
        <v>4700</v>
      </c>
      <c r="E2211">
        <v>4875</v>
      </c>
      <c r="F2211">
        <v>136</v>
      </c>
      <c r="G2211">
        <v>118</v>
      </c>
      <c r="H2211">
        <v>64</v>
      </c>
      <c r="J2211" s="1">
        <f t="shared" si="170"/>
        <v>18496</v>
      </c>
      <c r="K2211" s="1">
        <f t="shared" si="171"/>
        <v>13924</v>
      </c>
      <c r="L2211" s="1">
        <f t="shared" si="172"/>
        <v>32420</v>
      </c>
      <c r="M2211" s="1">
        <f t="shared" si="173"/>
        <v>180.05554698481245</v>
      </c>
      <c r="N2211" s="7">
        <f t="shared" si="174"/>
        <v>180.05554698481245</v>
      </c>
    </row>
    <row r="2212" spans="1:14" x14ac:dyDescent="0.25">
      <c r="A2212" t="str">
        <f>"14:27:13.250"</f>
        <v>14:27:13.250</v>
      </c>
      <c r="B2212">
        <v>39.919187999999998</v>
      </c>
      <c r="C2212">
        <v>-75.666017999999994</v>
      </c>
      <c r="D2212">
        <v>4700</v>
      </c>
      <c r="E2212">
        <v>4875</v>
      </c>
      <c r="F2212">
        <v>132</v>
      </c>
      <c r="G2212">
        <v>122</v>
      </c>
      <c r="H2212">
        <v>128</v>
      </c>
      <c r="J2212" s="1">
        <f t="shared" si="170"/>
        <v>17424</v>
      </c>
      <c r="K2212" s="1">
        <f t="shared" si="171"/>
        <v>14884</v>
      </c>
      <c r="L2212" s="1">
        <f t="shared" si="172"/>
        <v>32308</v>
      </c>
      <c r="M2212" s="1">
        <f t="shared" si="173"/>
        <v>179.74426277353055</v>
      </c>
      <c r="N2212" s="7">
        <f t="shared" si="174"/>
        <v>179.74426277353055</v>
      </c>
    </row>
    <row r="2213" spans="1:14" x14ac:dyDescent="0.25">
      <c r="A2213" t="str">
        <f>"14:27:14.156"</f>
        <v>14:27:14.156</v>
      </c>
      <c r="B2213">
        <v>39.919746000000004</v>
      </c>
      <c r="C2213">
        <v>-75.665351999999999</v>
      </c>
      <c r="D2213">
        <v>4700</v>
      </c>
      <c r="E2213">
        <v>4875</v>
      </c>
      <c r="F2213">
        <v>128</v>
      </c>
      <c r="G2213">
        <v>126</v>
      </c>
      <c r="H2213">
        <v>192</v>
      </c>
      <c r="J2213" s="1">
        <f t="shared" si="170"/>
        <v>16384</v>
      </c>
      <c r="K2213" s="1">
        <f t="shared" si="171"/>
        <v>15876</v>
      </c>
      <c r="L2213" s="1">
        <f t="shared" si="172"/>
        <v>32260</v>
      </c>
      <c r="M2213" s="1">
        <f t="shared" si="173"/>
        <v>179.61069010501575</v>
      </c>
      <c r="N2213" s="7">
        <f t="shared" si="174"/>
        <v>179.61069010501575</v>
      </c>
    </row>
    <row r="2214" spans="1:14" x14ac:dyDescent="0.25">
      <c r="A2214" t="str">
        <f>"14:27:15.016"</f>
        <v>14:27:15.016</v>
      </c>
      <c r="B2214">
        <v>39.920261000000004</v>
      </c>
      <c r="C2214">
        <v>-75.664665999999997</v>
      </c>
      <c r="D2214">
        <v>4700</v>
      </c>
      <c r="E2214">
        <v>4900</v>
      </c>
      <c r="F2214">
        <v>123</v>
      </c>
      <c r="G2214">
        <v>129</v>
      </c>
      <c r="H2214">
        <v>320</v>
      </c>
      <c r="J2214" s="1">
        <f t="shared" si="170"/>
        <v>15129</v>
      </c>
      <c r="K2214" s="1">
        <f t="shared" si="171"/>
        <v>16641</v>
      </c>
      <c r="L2214" s="1">
        <f t="shared" si="172"/>
        <v>31770</v>
      </c>
      <c r="M2214" s="1">
        <f t="shared" si="173"/>
        <v>178.24140933015536</v>
      </c>
      <c r="N2214" s="7">
        <f t="shared" si="174"/>
        <v>178.24140933015536</v>
      </c>
    </row>
    <row r="2215" spans="1:14" x14ac:dyDescent="0.25">
      <c r="A2215" t="str">
        <f>"14:27:15.977"</f>
        <v>14:27:15.977</v>
      </c>
      <c r="B2215">
        <v>39.920839999999998</v>
      </c>
      <c r="C2215">
        <v>-75.664043000000007</v>
      </c>
      <c r="D2215">
        <v>4700</v>
      </c>
      <c r="E2215">
        <v>4900</v>
      </c>
      <c r="F2215">
        <v>121</v>
      </c>
      <c r="G2215">
        <v>131</v>
      </c>
      <c r="H2215">
        <v>384</v>
      </c>
      <c r="J2215" s="1">
        <f t="shared" si="170"/>
        <v>14641</v>
      </c>
      <c r="K2215" s="1">
        <f t="shared" si="171"/>
        <v>17161</v>
      </c>
      <c r="L2215" s="1">
        <f t="shared" si="172"/>
        <v>31802</v>
      </c>
      <c r="M2215" s="1">
        <f t="shared" si="173"/>
        <v>178.33115263464205</v>
      </c>
      <c r="N2215" s="7">
        <f t="shared" si="174"/>
        <v>178.33115263464205</v>
      </c>
    </row>
    <row r="2216" spans="1:14" x14ac:dyDescent="0.25">
      <c r="A2216" t="str">
        <f>"14:27:17.086"</f>
        <v>14:27:17.086</v>
      </c>
      <c r="B2216">
        <v>39.921484</v>
      </c>
      <c r="C2216">
        <v>-75.663207</v>
      </c>
      <c r="D2216">
        <v>4700</v>
      </c>
      <c r="E2216">
        <v>4900</v>
      </c>
      <c r="F2216">
        <v>119</v>
      </c>
      <c r="G2216">
        <v>132</v>
      </c>
      <c r="H2216">
        <v>384</v>
      </c>
      <c r="J2216" s="1">
        <f t="shared" si="170"/>
        <v>14161</v>
      </c>
      <c r="K2216" s="1">
        <f t="shared" si="171"/>
        <v>17424</v>
      </c>
      <c r="L2216" s="1">
        <f t="shared" si="172"/>
        <v>31585</v>
      </c>
      <c r="M2216" s="1">
        <f t="shared" si="173"/>
        <v>177.72169254201918</v>
      </c>
      <c r="N2216" s="7">
        <f t="shared" si="174"/>
        <v>177.72169254201918</v>
      </c>
    </row>
    <row r="2217" spans="1:14" x14ac:dyDescent="0.25">
      <c r="A2217" t="str">
        <f>"14:27:18.148"</f>
        <v>14:27:18.148</v>
      </c>
      <c r="B2217">
        <v>39.922170999999999</v>
      </c>
      <c r="C2217">
        <v>-75.662476999999996</v>
      </c>
      <c r="D2217">
        <v>4700</v>
      </c>
      <c r="E2217">
        <v>4900</v>
      </c>
      <c r="F2217">
        <v>117</v>
      </c>
      <c r="G2217">
        <v>133</v>
      </c>
      <c r="H2217">
        <v>384</v>
      </c>
      <c r="J2217" s="1">
        <f t="shared" si="170"/>
        <v>13689</v>
      </c>
      <c r="K2217" s="1">
        <f t="shared" si="171"/>
        <v>17689</v>
      </c>
      <c r="L2217" s="1">
        <f t="shared" si="172"/>
        <v>31378</v>
      </c>
      <c r="M2217" s="1">
        <f t="shared" si="173"/>
        <v>177.13836399831629</v>
      </c>
      <c r="N2217" s="7">
        <f t="shared" si="174"/>
        <v>177.13836399831629</v>
      </c>
    </row>
    <row r="2218" spans="1:14" x14ac:dyDescent="0.25">
      <c r="A2218" t="str">
        <f>"14:27:19.156"</f>
        <v>14:27:19.156</v>
      </c>
      <c r="B2218">
        <v>39.922814000000002</v>
      </c>
      <c r="C2218">
        <v>-75.661747000000005</v>
      </c>
      <c r="D2218">
        <v>4700</v>
      </c>
      <c r="E2218">
        <v>4900</v>
      </c>
      <c r="F2218">
        <v>117</v>
      </c>
      <c r="G2218">
        <v>132</v>
      </c>
      <c r="H2218">
        <v>256</v>
      </c>
      <c r="J2218" s="1">
        <f t="shared" si="170"/>
        <v>13689</v>
      </c>
      <c r="K2218" s="1">
        <f t="shared" si="171"/>
        <v>17424</v>
      </c>
      <c r="L2218" s="1">
        <f t="shared" si="172"/>
        <v>31113</v>
      </c>
      <c r="M2218" s="1">
        <f t="shared" si="173"/>
        <v>176.38877515306919</v>
      </c>
      <c r="N2218" s="7">
        <f t="shared" si="174"/>
        <v>176.38877515306919</v>
      </c>
    </row>
    <row r="2219" spans="1:14" x14ac:dyDescent="0.25">
      <c r="A2219" t="str">
        <f>"14:27:20.164"</f>
        <v>14:27:20.164</v>
      </c>
      <c r="B2219">
        <v>39.923394000000002</v>
      </c>
      <c r="C2219">
        <v>-75.661081999999993</v>
      </c>
      <c r="D2219">
        <v>4700</v>
      </c>
      <c r="E2219">
        <v>4925</v>
      </c>
      <c r="F2219">
        <v>117</v>
      </c>
      <c r="G2219">
        <v>132</v>
      </c>
      <c r="H2219">
        <v>128</v>
      </c>
      <c r="J2219" s="1">
        <f t="shared" si="170"/>
        <v>13689</v>
      </c>
      <c r="K2219" s="1">
        <f t="shared" si="171"/>
        <v>17424</v>
      </c>
      <c r="L2219" s="1">
        <f t="shared" si="172"/>
        <v>31113</v>
      </c>
      <c r="M2219" s="1">
        <f t="shared" si="173"/>
        <v>176.38877515306919</v>
      </c>
      <c r="N2219" s="7">
        <f t="shared" si="174"/>
        <v>176.38877515306919</v>
      </c>
    </row>
    <row r="2220" spans="1:14" x14ac:dyDescent="0.25">
      <c r="A2220" t="str">
        <f>"14:27:21.125"</f>
        <v>14:27:21.125</v>
      </c>
      <c r="B2220">
        <v>39.923994999999998</v>
      </c>
      <c r="C2220">
        <v>-75.660330999999999</v>
      </c>
      <c r="D2220">
        <v>4700</v>
      </c>
      <c r="E2220">
        <v>4925</v>
      </c>
      <c r="F2220">
        <v>118</v>
      </c>
      <c r="G2220">
        <v>131</v>
      </c>
      <c r="H2220">
        <v>0</v>
      </c>
      <c r="J2220" s="1">
        <f t="shared" si="170"/>
        <v>13924</v>
      </c>
      <c r="K2220" s="1">
        <f t="shared" si="171"/>
        <v>17161</v>
      </c>
      <c r="L2220" s="1">
        <f t="shared" si="172"/>
        <v>31085</v>
      </c>
      <c r="M2220" s="1">
        <f t="shared" si="173"/>
        <v>176.30938715791623</v>
      </c>
      <c r="N2220" s="7">
        <f t="shared" si="174"/>
        <v>176.30938715791623</v>
      </c>
    </row>
    <row r="2221" spans="1:14" x14ac:dyDescent="0.25">
      <c r="A2221" t="str">
        <f>"14:27:22.031"</f>
        <v>14:27:22.031</v>
      </c>
      <c r="B2221">
        <v>39.924551999999998</v>
      </c>
      <c r="C2221">
        <v>-75.659666000000001</v>
      </c>
      <c r="D2221">
        <v>4700</v>
      </c>
      <c r="E2221">
        <v>4925</v>
      </c>
      <c r="F2221">
        <v>119</v>
      </c>
      <c r="G2221">
        <v>130</v>
      </c>
      <c r="H2221">
        <v>0</v>
      </c>
      <c r="J2221" s="1">
        <f t="shared" si="170"/>
        <v>14161</v>
      </c>
      <c r="K2221" s="1">
        <f t="shared" si="171"/>
        <v>16900</v>
      </c>
      <c r="L2221" s="1">
        <f t="shared" si="172"/>
        <v>31061</v>
      </c>
      <c r="M2221" s="1">
        <f t="shared" si="173"/>
        <v>176.24131184259835</v>
      </c>
      <c r="N2221" s="7">
        <f t="shared" si="174"/>
        <v>176.24131184259835</v>
      </c>
    </row>
    <row r="2222" spans="1:14" x14ac:dyDescent="0.25">
      <c r="A2222" t="str">
        <f>"14:27:23.195"</f>
        <v>14:27:23.195</v>
      </c>
      <c r="B2222">
        <v>39.925238999999998</v>
      </c>
      <c r="C2222">
        <v>-75.658786000000006</v>
      </c>
      <c r="D2222">
        <v>4700</v>
      </c>
      <c r="E2222">
        <v>4925</v>
      </c>
      <c r="F2222">
        <v>121</v>
      </c>
      <c r="G2222">
        <v>129</v>
      </c>
      <c r="H2222">
        <v>-128</v>
      </c>
      <c r="J2222" s="1">
        <f t="shared" si="170"/>
        <v>14641</v>
      </c>
      <c r="K2222" s="1">
        <f t="shared" si="171"/>
        <v>16641</v>
      </c>
      <c r="L2222" s="1">
        <f t="shared" si="172"/>
        <v>31282</v>
      </c>
      <c r="M2222" s="1">
        <f t="shared" si="173"/>
        <v>176.86718180600946</v>
      </c>
      <c r="N2222" s="7">
        <f t="shared" si="174"/>
        <v>176.86718180600946</v>
      </c>
    </row>
    <row r="2223" spans="1:14" x14ac:dyDescent="0.25">
      <c r="A2223" t="str">
        <f>"14:27:24.156"</f>
        <v>14:27:24.156</v>
      </c>
      <c r="B2223">
        <v>39.925775999999999</v>
      </c>
      <c r="C2223">
        <v>-75.658142999999995</v>
      </c>
      <c r="D2223">
        <v>4700</v>
      </c>
      <c r="E2223">
        <v>4900</v>
      </c>
      <c r="F2223">
        <v>122</v>
      </c>
      <c r="G2223">
        <v>129</v>
      </c>
      <c r="H2223">
        <v>-128</v>
      </c>
      <c r="J2223" s="1">
        <f t="shared" si="170"/>
        <v>14884</v>
      </c>
      <c r="K2223" s="1">
        <f t="shared" si="171"/>
        <v>16641</v>
      </c>
      <c r="L2223" s="1">
        <f t="shared" si="172"/>
        <v>31525</v>
      </c>
      <c r="M2223" s="1">
        <f t="shared" si="173"/>
        <v>177.55280904564702</v>
      </c>
      <c r="N2223" s="7">
        <f t="shared" si="174"/>
        <v>177.55280904564702</v>
      </c>
    </row>
    <row r="2224" spans="1:14" x14ac:dyDescent="0.25">
      <c r="A2224" t="str">
        <f>"14:27:24.961"</f>
        <v>14:27:24.961</v>
      </c>
      <c r="B2224">
        <v>39.926312000000003</v>
      </c>
      <c r="C2224">
        <v>-75.657477</v>
      </c>
      <c r="D2224">
        <v>4700</v>
      </c>
      <c r="E2224">
        <v>4900</v>
      </c>
      <c r="F2224">
        <v>123</v>
      </c>
      <c r="G2224">
        <v>128</v>
      </c>
      <c r="H2224">
        <v>-192</v>
      </c>
      <c r="J2224" s="1">
        <f t="shared" si="170"/>
        <v>15129</v>
      </c>
      <c r="K2224" s="1">
        <f t="shared" si="171"/>
        <v>16384</v>
      </c>
      <c r="L2224" s="1">
        <f t="shared" si="172"/>
        <v>31513</v>
      </c>
      <c r="M2224" s="1">
        <f t="shared" si="173"/>
        <v>177.51901306620653</v>
      </c>
      <c r="N2224" s="7">
        <f t="shared" si="174"/>
        <v>177.51901306620653</v>
      </c>
    </row>
    <row r="2225" spans="1:14" x14ac:dyDescent="0.25">
      <c r="A2225" t="str">
        <f>"14:27:25.969"</f>
        <v>14:27:25.969</v>
      </c>
      <c r="B2225">
        <v>39.926870000000001</v>
      </c>
      <c r="C2225">
        <v>-75.656790999999998</v>
      </c>
      <c r="D2225">
        <v>4700</v>
      </c>
      <c r="E2225">
        <v>4900</v>
      </c>
      <c r="F2225">
        <v>125</v>
      </c>
      <c r="G2225">
        <v>127</v>
      </c>
      <c r="H2225">
        <v>-192</v>
      </c>
      <c r="J2225" s="1">
        <f t="shared" si="170"/>
        <v>15625</v>
      </c>
      <c r="K2225" s="1">
        <f t="shared" si="171"/>
        <v>16129</v>
      </c>
      <c r="L2225" s="1">
        <f t="shared" si="172"/>
        <v>31754</v>
      </c>
      <c r="M2225" s="1">
        <f t="shared" si="173"/>
        <v>178.19652072922187</v>
      </c>
      <c r="N2225" s="7">
        <f t="shared" si="174"/>
        <v>178.19652072922187</v>
      </c>
    </row>
    <row r="2226" spans="1:14" x14ac:dyDescent="0.25">
      <c r="A2226" t="str">
        <f>"14:27:27.031"</f>
        <v>14:27:27.031</v>
      </c>
      <c r="B2226">
        <v>39.927492000000001</v>
      </c>
      <c r="C2226">
        <v>-75.655974999999998</v>
      </c>
      <c r="D2226">
        <v>4700</v>
      </c>
      <c r="E2226">
        <v>4900</v>
      </c>
      <c r="F2226">
        <v>126</v>
      </c>
      <c r="G2226">
        <v>126</v>
      </c>
      <c r="H2226">
        <v>-192</v>
      </c>
      <c r="J2226" s="1">
        <f t="shared" si="170"/>
        <v>15876</v>
      </c>
      <c r="K2226" s="1">
        <f t="shared" si="171"/>
        <v>15876</v>
      </c>
      <c r="L2226" s="1">
        <f t="shared" si="172"/>
        <v>31752</v>
      </c>
      <c r="M2226" s="1">
        <f t="shared" si="173"/>
        <v>178.19090885900997</v>
      </c>
      <c r="N2226" s="7">
        <f t="shared" si="174"/>
        <v>178.19090885900997</v>
      </c>
    </row>
    <row r="2227" spans="1:14" x14ac:dyDescent="0.25">
      <c r="A2227" t="str">
        <f>"14:27:27.891"</f>
        <v>14:27:27.891</v>
      </c>
      <c r="B2227">
        <v>39.928029000000002</v>
      </c>
      <c r="C2227">
        <v>-75.655266999999995</v>
      </c>
      <c r="D2227">
        <v>4700</v>
      </c>
      <c r="E2227">
        <v>4900</v>
      </c>
      <c r="F2227">
        <v>127</v>
      </c>
      <c r="G2227">
        <v>125</v>
      </c>
      <c r="H2227">
        <v>-192</v>
      </c>
      <c r="J2227" s="1">
        <f t="shared" si="170"/>
        <v>16129</v>
      </c>
      <c r="K2227" s="1">
        <f t="shared" si="171"/>
        <v>15625</v>
      </c>
      <c r="L2227" s="1">
        <f t="shared" si="172"/>
        <v>31754</v>
      </c>
      <c r="M2227" s="1">
        <f t="shared" si="173"/>
        <v>178.19652072922187</v>
      </c>
      <c r="N2227" s="7">
        <f t="shared" si="174"/>
        <v>178.19652072922187</v>
      </c>
    </row>
    <row r="2228" spans="1:14" x14ac:dyDescent="0.25">
      <c r="A2228" t="str">
        <f>"14:27:28.953"</f>
        <v>14:27:28.953</v>
      </c>
      <c r="B2228">
        <v>39.928564999999999</v>
      </c>
      <c r="C2228">
        <v>-75.654472999999996</v>
      </c>
      <c r="D2228">
        <v>4700</v>
      </c>
      <c r="E2228">
        <v>4900</v>
      </c>
      <c r="F2228">
        <v>128</v>
      </c>
      <c r="G2228">
        <v>124</v>
      </c>
      <c r="H2228">
        <v>-128</v>
      </c>
      <c r="J2228" s="1">
        <f t="shared" si="170"/>
        <v>16384</v>
      </c>
      <c r="K2228" s="1">
        <f t="shared" si="171"/>
        <v>15376</v>
      </c>
      <c r="L2228" s="1">
        <f t="shared" si="172"/>
        <v>31760</v>
      </c>
      <c r="M2228" s="1">
        <f t="shared" si="173"/>
        <v>178.2133552795637</v>
      </c>
      <c r="N2228" s="7">
        <f t="shared" si="174"/>
        <v>178.2133552795637</v>
      </c>
    </row>
    <row r="2229" spans="1:14" x14ac:dyDescent="0.25">
      <c r="A2229" t="str">
        <f>"14:27:29.961"</f>
        <v>14:27:29.961</v>
      </c>
      <c r="B2229">
        <v>39.929166000000002</v>
      </c>
      <c r="C2229">
        <v>-75.653744000000003</v>
      </c>
      <c r="D2229">
        <v>4700</v>
      </c>
      <c r="E2229">
        <v>4900</v>
      </c>
      <c r="F2229">
        <v>129</v>
      </c>
      <c r="G2229">
        <v>124</v>
      </c>
      <c r="H2229">
        <v>-64</v>
      </c>
      <c r="J2229" s="1">
        <f t="shared" si="170"/>
        <v>16641</v>
      </c>
      <c r="K2229" s="1">
        <f t="shared" si="171"/>
        <v>15376</v>
      </c>
      <c r="L2229" s="1">
        <f t="shared" si="172"/>
        <v>32017</v>
      </c>
      <c r="M2229" s="1">
        <f t="shared" si="173"/>
        <v>178.93294833540301</v>
      </c>
      <c r="N2229" s="7">
        <f t="shared" si="174"/>
        <v>178.93294833540301</v>
      </c>
    </row>
    <row r="2230" spans="1:14" x14ac:dyDescent="0.25">
      <c r="A2230" t="str">
        <f>"14:27:30.820"</f>
        <v>14:27:30.820</v>
      </c>
      <c r="B2230">
        <v>39.929659000000001</v>
      </c>
      <c r="C2230">
        <v>-75.653036</v>
      </c>
      <c r="D2230">
        <v>4700</v>
      </c>
      <c r="E2230">
        <v>4900</v>
      </c>
      <c r="F2230">
        <v>130</v>
      </c>
      <c r="G2230">
        <v>123</v>
      </c>
      <c r="H2230">
        <v>0</v>
      </c>
      <c r="J2230" s="1">
        <f t="shared" si="170"/>
        <v>16900</v>
      </c>
      <c r="K2230" s="1">
        <f t="shared" si="171"/>
        <v>15129</v>
      </c>
      <c r="L2230" s="1">
        <f t="shared" si="172"/>
        <v>32029</v>
      </c>
      <c r="M2230" s="1">
        <f t="shared" si="173"/>
        <v>178.96647730790255</v>
      </c>
      <c r="N2230" s="7">
        <f t="shared" si="174"/>
        <v>178.96647730790255</v>
      </c>
    </row>
    <row r="2231" spans="1:14" x14ac:dyDescent="0.25">
      <c r="A2231" t="str">
        <f>"14:27:31.875"</f>
        <v>14:27:31.875</v>
      </c>
      <c r="B2231">
        <v>39.930303000000002</v>
      </c>
      <c r="C2231">
        <v>-75.652156000000005</v>
      </c>
      <c r="D2231">
        <v>4700</v>
      </c>
      <c r="E2231">
        <v>4900</v>
      </c>
      <c r="F2231">
        <v>131</v>
      </c>
      <c r="G2231">
        <v>122</v>
      </c>
      <c r="H2231">
        <v>64</v>
      </c>
      <c r="J2231" s="1">
        <f t="shared" si="170"/>
        <v>17161</v>
      </c>
      <c r="K2231" s="1">
        <f t="shared" si="171"/>
        <v>14884</v>
      </c>
      <c r="L2231" s="1">
        <f t="shared" si="172"/>
        <v>32045</v>
      </c>
      <c r="M2231" s="1">
        <f t="shared" si="173"/>
        <v>179.0111728356641</v>
      </c>
      <c r="N2231" s="7">
        <f t="shared" si="174"/>
        <v>179.0111728356641</v>
      </c>
    </row>
    <row r="2232" spans="1:14" x14ac:dyDescent="0.25">
      <c r="A2232" t="str">
        <f>"14:27:32.891"</f>
        <v>14:27:32.891</v>
      </c>
      <c r="B2232">
        <v>39.930861</v>
      </c>
      <c r="C2232">
        <v>-75.651362000000006</v>
      </c>
      <c r="D2232">
        <v>4700</v>
      </c>
      <c r="E2232">
        <v>4900</v>
      </c>
      <c r="F2232">
        <v>131</v>
      </c>
      <c r="G2232">
        <v>122</v>
      </c>
      <c r="H2232">
        <v>64</v>
      </c>
      <c r="J2232" s="1">
        <f t="shared" si="170"/>
        <v>17161</v>
      </c>
      <c r="K2232" s="1">
        <f t="shared" si="171"/>
        <v>14884</v>
      </c>
      <c r="L2232" s="1">
        <f t="shared" si="172"/>
        <v>32045</v>
      </c>
      <c r="M2232" s="1">
        <f t="shared" si="173"/>
        <v>179.0111728356641</v>
      </c>
      <c r="N2232" s="7">
        <f t="shared" si="174"/>
        <v>179.0111728356641</v>
      </c>
    </row>
    <row r="2233" spans="1:14" x14ac:dyDescent="0.25">
      <c r="A2233" t="str">
        <f>"14:27:34.000"</f>
        <v>14:27:34.000</v>
      </c>
      <c r="B2233">
        <v>39.931483</v>
      </c>
      <c r="C2233">
        <v>-75.650481999999997</v>
      </c>
      <c r="D2233">
        <v>4700</v>
      </c>
      <c r="E2233">
        <v>4900</v>
      </c>
      <c r="F2233">
        <v>132</v>
      </c>
      <c r="G2233">
        <v>121</v>
      </c>
      <c r="H2233">
        <v>64</v>
      </c>
      <c r="J2233" s="1">
        <f t="shared" si="170"/>
        <v>17424</v>
      </c>
      <c r="K2233" s="1">
        <f t="shared" si="171"/>
        <v>14641</v>
      </c>
      <c r="L2233" s="1">
        <f t="shared" si="172"/>
        <v>32065</v>
      </c>
      <c r="M2233" s="1">
        <f t="shared" si="173"/>
        <v>179.06702655709677</v>
      </c>
      <c r="N2233" s="7">
        <f t="shared" si="174"/>
        <v>179.06702655709677</v>
      </c>
    </row>
    <row r="2234" spans="1:14" x14ac:dyDescent="0.25">
      <c r="A2234" t="str">
        <f>"14:27:35.008"</f>
        <v>14:27:35.008</v>
      </c>
      <c r="B2234">
        <v>39.932040999999998</v>
      </c>
      <c r="C2234">
        <v>-75.649666999999994</v>
      </c>
      <c r="D2234">
        <v>4700</v>
      </c>
      <c r="E2234">
        <v>4900</v>
      </c>
      <c r="F2234">
        <v>133</v>
      </c>
      <c r="G2234">
        <v>120</v>
      </c>
      <c r="H2234">
        <v>64</v>
      </c>
      <c r="J2234" s="1">
        <f t="shared" si="170"/>
        <v>17689</v>
      </c>
      <c r="K2234" s="1">
        <f t="shared" si="171"/>
        <v>14400</v>
      </c>
      <c r="L2234" s="1">
        <f t="shared" si="172"/>
        <v>32089</v>
      </c>
      <c r="M2234" s="1">
        <f t="shared" si="173"/>
        <v>179.13402803487674</v>
      </c>
      <c r="N2234" s="7">
        <f t="shared" si="174"/>
        <v>179.13402803487674</v>
      </c>
    </row>
    <row r="2235" spans="1:14" x14ac:dyDescent="0.25">
      <c r="A2235" t="str">
        <f>"14:27:36.117"</f>
        <v>14:27:36.117</v>
      </c>
      <c r="B2235">
        <v>39.932642000000001</v>
      </c>
      <c r="C2235">
        <v>-75.648808000000002</v>
      </c>
      <c r="D2235">
        <v>4700</v>
      </c>
      <c r="E2235">
        <v>4900</v>
      </c>
      <c r="F2235">
        <v>133</v>
      </c>
      <c r="G2235">
        <v>120</v>
      </c>
      <c r="H2235">
        <v>64</v>
      </c>
      <c r="J2235" s="1">
        <f t="shared" si="170"/>
        <v>17689</v>
      </c>
      <c r="K2235" s="1">
        <f t="shared" si="171"/>
        <v>14400</v>
      </c>
      <c r="L2235" s="1">
        <f t="shared" si="172"/>
        <v>32089</v>
      </c>
      <c r="M2235" s="1">
        <f t="shared" si="173"/>
        <v>179.13402803487674</v>
      </c>
      <c r="N2235" s="7">
        <f t="shared" si="174"/>
        <v>179.13402803487674</v>
      </c>
    </row>
    <row r="2236" spans="1:14" x14ac:dyDescent="0.25">
      <c r="A2236" t="str">
        <f>"14:27:37.078"</f>
        <v>14:27:37.078</v>
      </c>
      <c r="B2236">
        <v>39.933157000000001</v>
      </c>
      <c r="C2236">
        <v>-75.648099999999999</v>
      </c>
      <c r="D2236">
        <v>4700</v>
      </c>
      <c r="E2236">
        <v>4900</v>
      </c>
      <c r="F2236">
        <v>133</v>
      </c>
      <c r="G2236">
        <v>119</v>
      </c>
      <c r="H2236">
        <v>0</v>
      </c>
      <c r="J2236" s="1">
        <f t="shared" si="170"/>
        <v>17689</v>
      </c>
      <c r="K2236" s="1">
        <f t="shared" si="171"/>
        <v>14161</v>
      </c>
      <c r="L2236" s="1">
        <f t="shared" si="172"/>
        <v>31850</v>
      </c>
      <c r="M2236" s="1">
        <f t="shared" si="173"/>
        <v>178.46568297574746</v>
      </c>
      <c r="N2236" s="7">
        <f t="shared" si="174"/>
        <v>178.46568297574746</v>
      </c>
    </row>
    <row r="2237" spans="1:14" x14ac:dyDescent="0.25">
      <c r="A2237" t="str">
        <f>"14:27:38.039"</f>
        <v>14:27:38.039</v>
      </c>
      <c r="B2237">
        <v>39.933672000000001</v>
      </c>
      <c r="C2237">
        <v>-75.647306</v>
      </c>
      <c r="D2237">
        <v>4700</v>
      </c>
      <c r="E2237">
        <v>4900</v>
      </c>
      <c r="F2237">
        <v>134</v>
      </c>
      <c r="G2237">
        <v>119</v>
      </c>
      <c r="H2237">
        <v>0</v>
      </c>
      <c r="J2237" s="1">
        <f t="shared" si="170"/>
        <v>17956</v>
      </c>
      <c r="K2237" s="1">
        <f t="shared" si="171"/>
        <v>14161</v>
      </c>
      <c r="L2237" s="1">
        <f t="shared" si="172"/>
        <v>32117</v>
      </c>
      <c r="M2237" s="1">
        <f t="shared" si="173"/>
        <v>179.21216476567656</v>
      </c>
      <c r="N2237" s="7">
        <f t="shared" si="174"/>
        <v>179.21216476567656</v>
      </c>
    </row>
    <row r="2238" spans="1:14" x14ac:dyDescent="0.25">
      <c r="A2238" t="str">
        <f>"14:27:39.047"</f>
        <v>14:27:39.047</v>
      </c>
      <c r="B2238">
        <v>39.934229999999999</v>
      </c>
      <c r="C2238">
        <v>-75.646490999999997</v>
      </c>
      <c r="D2238">
        <v>4700</v>
      </c>
      <c r="E2238">
        <v>4900</v>
      </c>
      <c r="F2238">
        <v>134</v>
      </c>
      <c r="G2238">
        <v>119</v>
      </c>
      <c r="H2238">
        <v>-64</v>
      </c>
      <c r="J2238" s="1">
        <f t="shared" si="170"/>
        <v>17956</v>
      </c>
      <c r="K2238" s="1">
        <f t="shared" si="171"/>
        <v>14161</v>
      </c>
      <c r="L2238" s="1">
        <f t="shared" si="172"/>
        <v>32117</v>
      </c>
      <c r="M2238" s="1">
        <f t="shared" si="173"/>
        <v>179.21216476567656</v>
      </c>
      <c r="N2238" s="7">
        <f t="shared" si="174"/>
        <v>179.21216476567656</v>
      </c>
    </row>
    <row r="2239" spans="1:14" x14ac:dyDescent="0.25">
      <c r="A2239" t="str">
        <f>"14:27:40.055"</f>
        <v>14:27:40.055</v>
      </c>
      <c r="B2239">
        <v>39.934787999999998</v>
      </c>
      <c r="C2239">
        <v>-75.645675999999995</v>
      </c>
      <c r="D2239">
        <v>4700</v>
      </c>
      <c r="E2239">
        <v>4900</v>
      </c>
      <c r="F2239">
        <v>134</v>
      </c>
      <c r="G2239">
        <v>119</v>
      </c>
      <c r="H2239">
        <v>-64</v>
      </c>
      <c r="J2239" s="1">
        <f t="shared" si="170"/>
        <v>17956</v>
      </c>
      <c r="K2239" s="1">
        <f t="shared" si="171"/>
        <v>14161</v>
      </c>
      <c r="L2239" s="1">
        <f t="shared" si="172"/>
        <v>32117</v>
      </c>
      <c r="M2239" s="1">
        <f t="shared" si="173"/>
        <v>179.21216476567656</v>
      </c>
      <c r="N2239" s="7">
        <f t="shared" si="174"/>
        <v>179.21216476567656</v>
      </c>
    </row>
    <row r="2240" spans="1:14" x14ac:dyDescent="0.25">
      <c r="A2240" t="str">
        <f>"14:27:41.016"</f>
        <v>14:27:41.016</v>
      </c>
      <c r="B2240">
        <v>39.935346000000003</v>
      </c>
      <c r="C2240">
        <v>-75.644859999999994</v>
      </c>
      <c r="D2240">
        <v>4700</v>
      </c>
      <c r="E2240">
        <v>4900</v>
      </c>
      <c r="F2240">
        <v>134</v>
      </c>
      <c r="G2240">
        <v>118</v>
      </c>
      <c r="H2240">
        <v>-64</v>
      </c>
      <c r="J2240" s="1">
        <f t="shared" si="170"/>
        <v>17956</v>
      </c>
      <c r="K2240" s="1">
        <f t="shared" si="171"/>
        <v>13924</v>
      </c>
      <c r="L2240" s="1">
        <f t="shared" si="172"/>
        <v>31880</v>
      </c>
      <c r="M2240" s="1">
        <f t="shared" si="173"/>
        <v>178.54971296532514</v>
      </c>
      <c r="N2240" s="7">
        <f t="shared" si="174"/>
        <v>178.54971296532514</v>
      </c>
    </row>
    <row r="2241" spans="1:14" x14ac:dyDescent="0.25">
      <c r="A2241" t="str">
        <f>"14:27:42.172"</f>
        <v>14:27:42.172</v>
      </c>
      <c r="B2241">
        <v>39.935946000000001</v>
      </c>
      <c r="C2241">
        <v>-75.643980999999997</v>
      </c>
      <c r="D2241">
        <v>4700</v>
      </c>
      <c r="E2241">
        <v>4900</v>
      </c>
      <c r="F2241">
        <v>135</v>
      </c>
      <c r="G2241">
        <v>118</v>
      </c>
      <c r="H2241">
        <v>-64</v>
      </c>
      <c r="J2241" s="1">
        <f t="shared" si="170"/>
        <v>18225</v>
      </c>
      <c r="K2241" s="1">
        <f t="shared" si="171"/>
        <v>13924</v>
      </c>
      <c r="L2241" s="1">
        <f t="shared" si="172"/>
        <v>32149</v>
      </c>
      <c r="M2241" s="1">
        <f t="shared" si="173"/>
        <v>179.30142219179413</v>
      </c>
      <c r="N2241" s="7">
        <f t="shared" si="174"/>
        <v>179.30142219179413</v>
      </c>
    </row>
    <row r="2242" spans="1:14" x14ac:dyDescent="0.25">
      <c r="A2242" t="str">
        <f>"14:27:43.133"</f>
        <v>14:27:43.133</v>
      </c>
      <c r="B2242">
        <v>39.936483000000003</v>
      </c>
      <c r="C2242">
        <v>-75.643122000000005</v>
      </c>
      <c r="D2242">
        <v>4700</v>
      </c>
      <c r="E2242">
        <v>4900</v>
      </c>
      <c r="F2242">
        <v>135</v>
      </c>
      <c r="G2242">
        <v>118</v>
      </c>
      <c r="H2242">
        <v>0</v>
      </c>
      <c r="J2242" s="1">
        <f t="shared" si="170"/>
        <v>18225</v>
      </c>
      <c r="K2242" s="1">
        <f t="shared" si="171"/>
        <v>13924</v>
      </c>
      <c r="L2242" s="1">
        <f t="shared" si="172"/>
        <v>32149</v>
      </c>
      <c r="M2242" s="1">
        <f t="shared" si="173"/>
        <v>179.30142219179413</v>
      </c>
      <c r="N2242" s="7">
        <f t="shared" si="174"/>
        <v>179.30142219179413</v>
      </c>
    </row>
    <row r="2243" spans="1:14" x14ac:dyDescent="0.25">
      <c r="A2243" t="str">
        <f>"14:27:44.094"</f>
        <v>14:27:44.094</v>
      </c>
      <c r="B2243">
        <v>39.937041000000001</v>
      </c>
      <c r="C2243">
        <v>-75.642328000000006</v>
      </c>
      <c r="D2243">
        <v>4700</v>
      </c>
      <c r="E2243">
        <v>4900</v>
      </c>
      <c r="F2243">
        <v>135</v>
      </c>
      <c r="G2243">
        <v>118</v>
      </c>
      <c r="H2243">
        <v>0</v>
      </c>
      <c r="J2243" s="1">
        <f t="shared" ref="J2243:J2306" si="175">F2243^2</f>
        <v>18225</v>
      </c>
      <c r="K2243" s="1">
        <f t="shared" ref="K2243:K2306" si="176">G2243^2</f>
        <v>13924</v>
      </c>
      <c r="L2243" s="1">
        <f t="shared" ref="L2243:L2306" si="177">SUMSQ(F2243,G2243)</f>
        <v>32149</v>
      </c>
      <c r="M2243" s="1">
        <f t="shared" ref="M2243:M2306" si="178">SQRT(L2243)</f>
        <v>179.30142219179413</v>
      </c>
      <c r="N2243" s="7">
        <f t="shared" ref="N2243:N2306" si="179">M2243</f>
        <v>179.30142219179413</v>
      </c>
    </row>
    <row r="2244" spans="1:14" x14ac:dyDescent="0.25">
      <c r="A2244" t="str">
        <f>"14:27:45.102"</f>
        <v>14:27:45.102</v>
      </c>
      <c r="B2244">
        <v>39.937598999999999</v>
      </c>
      <c r="C2244">
        <v>-75.641533999999993</v>
      </c>
      <c r="D2244">
        <v>4700</v>
      </c>
      <c r="E2244">
        <v>4900</v>
      </c>
      <c r="F2244">
        <v>135</v>
      </c>
      <c r="G2244">
        <v>118</v>
      </c>
      <c r="H2244">
        <v>0</v>
      </c>
      <c r="J2244" s="1">
        <f t="shared" si="175"/>
        <v>18225</v>
      </c>
      <c r="K2244" s="1">
        <f t="shared" si="176"/>
        <v>13924</v>
      </c>
      <c r="L2244" s="1">
        <f t="shared" si="177"/>
        <v>32149</v>
      </c>
      <c r="M2244" s="1">
        <f t="shared" si="178"/>
        <v>179.30142219179413</v>
      </c>
      <c r="N2244" s="7">
        <f t="shared" si="179"/>
        <v>179.30142219179413</v>
      </c>
    </row>
    <row r="2245" spans="1:14" x14ac:dyDescent="0.25">
      <c r="A2245" t="str">
        <f>"14:27:46.016"</f>
        <v>14:27:46.016</v>
      </c>
      <c r="B2245">
        <v>39.938006000000001</v>
      </c>
      <c r="C2245">
        <v>-75.640868999999995</v>
      </c>
      <c r="D2245">
        <v>4700</v>
      </c>
      <c r="E2245">
        <v>4900</v>
      </c>
      <c r="F2245">
        <v>135</v>
      </c>
      <c r="G2245">
        <v>118</v>
      </c>
      <c r="H2245">
        <v>0</v>
      </c>
      <c r="J2245" s="1">
        <f t="shared" si="175"/>
        <v>18225</v>
      </c>
      <c r="K2245" s="1">
        <f t="shared" si="176"/>
        <v>13924</v>
      </c>
      <c r="L2245" s="1">
        <f t="shared" si="177"/>
        <v>32149</v>
      </c>
      <c r="M2245" s="1">
        <f t="shared" si="178"/>
        <v>179.30142219179413</v>
      </c>
      <c r="N2245" s="7">
        <f t="shared" si="179"/>
        <v>179.30142219179413</v>
      </c>
    </row>
    <row r="2246" spans="1:14" x14ac:dyDescent="0.25">
      <c r="A2246" t="str">
        <f>"14:27:47.023"</f>
        <v>14:27:47.023</v>
      </c>
      <c r="B2246">
        <v>39.938606999999998</v>
      </c>
      <c r="C2246">
        <v>-75.639989</v>
      </c>
      <c r="D2246">
        <v>4700</v>
      </c>
      <c r="E2246">
        <v>4900</v>
      </c>
      <c r="F2246">
        <v>135</v>
      </c>
      <c r="G2246">
        <v>118</v>
      </c>
      <c r="H2246">
        <v>0</v>
      </c>
      <c r="J2246" s="1">
        <f t="shared" si="175"/>
        <v>18225</v>
      </c>
      <c r="K2246" s="1">
        <f t="shared" si="176"/>
        <v>13924</v>
      </c>
      <c r="L2246" s="1">
        <f t="shared" si="177"/>
        <v>32149</v>
      </c>
      <c r="M2246" s="1">
        <f t="shared" si="178"/>
        <v>179.30142219179413</v>
      </c>
      <c r="N2246" s="7">
        <f t="shared" si="179"/>
        <v>179.30142219179413</v>
      </c>
    </row>
    <row r="2247" spans="1:14" x14ac:dyDescent="0.25">
      <c r="A2247" t="str">
        <f>"14:27:47.984"</f>
        <v>14:27:47.984</v>
      </c>
      <c r="B2247">
        <v>39.939165000000003</v>
      </c>
      <c r="C2247">
        <v>-75.639173999999997</v>
      </c>
      <c r="D2247">
        <v>4700</v>
      </c>
      <c r="E2247">
        <v>4900</v>
      </c>
      <c r="F2247">
        <v>135</v>
      </c>
      <c r="G2247">
        <v>118</v>
      </c>
      <c r="H2247">
        <v>0</v>
      </c>
      <c r="J2247" s="1">
        <f t="shared" si="175"/>
        <v>18225</v>
      </c>
      <c r="K2247" s="1">
        <f t="shared" si="176"/>
        <v>13924</v>
      </c>
      <c r="L2247" s="1">
        <f t="shared" si="177"/>
        <v>32149</v>
      </c>
      <c r="M2247" s="1">
        <f t="shared" si="178"/>
        <v>179.30142219179413</v>
      </c>
      <c r="N2247" s="7">
        <f t="shared" si="179"/>
        <v>179.30142219179413</v>
      </c>
    </row>
    <row r="2248" spans="1:14" x14ac:dyDescent="0.25">
      <c r="A2248" t="str">
        <f>"14:27:49.141"</f>
        <v>14:27:49.141</v>
      </c>
      <c r="B2248">
        <v>39.939787000000003</v>
      </c>
      <c r="C2248">
        <v>-75.638316000000003</v>
      </c>
      <c r="D2248">
        <v>4700</v>
      </c>
      <c r="E2248">
        <v>4900</v>
      </c>
      <c r="F2248">
        <v>135</v>
      </c>
      <c r="G2248">
        <v>118</v>
      </c>
      <c r="H2248">
        <v>64</v>
      </c>
      <c r="J2248" s="1">
        <f t="shared" si="175"/>
        <v>18225</v>
      </c>
      <c r="K2248" s="1">
        <f t="shared" si="176"/>
        <v>13924</v>
      </c>
      <c r="L2248" s="1">
        <f t="shared" si="177"/>
        <v>32149</v>
      </c>
      <c r="M2248" s="1">
        <f t="shared" si="178"/>
        <v>179.30142219179413</v>
      </c>
      <c r="N2248" s="7">
        <f t="shared" si="179"/>
        <v>179.30142219179413</v>
      </c>
    </row>
    <row r="2249" spans="1:14" x14ac:dyDescent="0.25">
      <c r="A2249" t="str">
        <f>"14:27:50.148"</f>
        <v>14:27:50.148</v>
      </c>
      <c r="B2249">
        <v>39.940345000000001</v>
      </c>
      <c r="C2249">
        <v>-75.637456999999998</v>
      </c>
      <c r="D2249">
        <v>4700</v>
      </c>
      <c r="E2249">
        <v>4900</v>
      </c>
      <c r="F2249">
        <v>135</v>
      </c>
      <c r="G2249">
        <v>118</v>
      </c>
      <c r="H2249">
        <v>64</v>
      </c>
      <c r="J2249" s="1">
        <f t="shared" si="175"/>
        <v>18225</v>
      </c>
      <c r="K2249" s="1">
        <f t="shared" si="176"/>
        <v>13924</v>
      </c>
      <c r="L2249" s="1">
        <f t="shared" si="177"/>
        <v>32149</v>
      </c>
      <c r="M2249" s="1">
        <f t="shared" si="178"/>
        <v>179.30142219179413</v>
      </c>
      <c r="N2249" s="7">
        <f t="shared" si="179"/>
        <v>179.30142219179413</v>
      </c>
    </row>
    <row r="2250" spans="1:14" x14ac:dyDescent="0.25">
      <c r="A2250" t="str">
        <f>"14:27:51.063"</f>
        <v>14:27:51.063</v>
      </c>
      <c r="B2250">
        <v>39.940795999999999</v>
      </c>
      <c r="C2250">
        <v>-75.636748999999995</v>
      </c>
      <c r="D2250">
        <v>4700</v>
      </c>
      <c r="E2250">
        <v>4900</v>
      </c>
      <c r="F2250">
        <v>134</v>
      </c>
      <c r="G2250">
        <v>118</v>
      </c>
      <c r="H2250">
        <v>0</v>
      </c>
      <c r="J2250" s="1">
        <f t="shared" si="175"/>
        <v>17956</v>
      </c>
      <c r="K2250" s="1">
        <f t="shared" si="176"/>
        <v>13924</v>
      </c>
      <c r="L2250" s="1">
        <f t="shared" si="177"/>
        <v>31880</v>
      </c>
      <c r="M2250" s="1">
        <f t="shared" si="178"/>
        <v>178.54971296532514</v>
      </c>
      <c r="N2250" s="7">
        <f t="shared" si="179"/>
        <v>178.54971296532514</v>
      </c>
    </row>
    <row r="2251" spans="1:14" x14ac:dyDescent="0.25">
      <c r="A2251" t="str">
        <f>"14:27:52.016"</f>
        <v>14:27:52.016</v>
      </c>
      <c r="B2251">
        <v>39.941353999999997</v>
      </c>
      <c r="C2251">
        <v>-75.635934000000006</v>
      </c>
      <c r="D2251">
        <v>4700</v>
      </c>
      <c r="E2251">
        <v>4900</v>
      </c>
      <c r="F2251">
        <v>134</v>
      </c>
      <c r="G2251">
        <v>119</v>
      </c>
      <c r="H2251">
        <v>64</v>
      </c>
      <c r="J2251" s="1">
        <f t="shared" si="175"/>
        <v>17956</v>
      </c>
      <c r="K2251" s="1">
        <f t="shared" si="176"/>
        <v>14161</v>
      </c>
      <c r="L2251" s="1">
        <f t="shared" si="177"/>
        <v>32117</v>
      </c>
      <c r="M2251" s="1">
        <f t="shared" si="178"/>
        <v>179.21216476567656</v>
      </c>
      <c r="N2251" s="7">
        <f t="shared" si="179"/>
        <v>179.21216476567656</v>
      </c>
    </row>
    <row r="2252" spans="1:14" x14ac:dyDescent="0.25">
      <c r="A2252" t="str">
        <f>"14:27:53.133"</f>
        <v>14:27:53.133</v>
      </c>
      <c r="B2252">
        <v>39.941975999999997</v>
      </c>
      <c r="C2252">
        <v>-75.635075999999998</v>
      </c>
      <c r="D2252">
        <v>4700</v>
      </c>
      <c r="E2252">
        <v>4900</v>
      </c>
      <c r="F2252">
        <v>134</v>
      </c>
      <c r="G2252">
        <v>119</v>
      </c>
      <c r="H2252">
        <v>0</v>
      </c>
      <c r="J2252" s="1">
        <f t="shared" si="175"/>
        <v>17956</v>
      </c>
      <c r="K2252" s="1">
        <f t="shared" si="176"/>
        <v>14161</v>
      </c>
      <c r="L2252" s="1">
        <f t="shared" si="177"/>
        <v>32117</v>
      </c>
      <c r="M2252" s="1">
        <f t="shared" si="178"/>
        <v>179.21216476567656</v>
      </c>
      <c r="N2252" s="7">
        <f t="shared" si="179"/>
        <v>179.21216476567656</v>
      </c>
    </row>
    <row r="2253" spans="1:14" x14ac:dyDescent="0.25">
      <c r="A2253" t="str">
        <f>"14:27:54.289"</f>
        <v>14:27:54.289</v>
      </c>
      <c r="B2253">
        <v>39.942554999999999</v>
      </c>
      <c r="C2253">
        <v>-75.634196000000003</v>
      </c>
      <c r="D2253">
        <v>4700</v>
      </c>
      <c r="E2253">
        <v>4900</v>
      </c>
      <c r="F2253">
        <v>134</v>
      </c>
      <c r="G2253">
        <v>119</v>
      </c>
      <c r="H2253">
        <v>0</v>
      </c>
      <c r="J2253" s="1">
        <f t="shared" si="175"/>
        <v>17956</v>
      </c>
      <c r="K2253" s="1">
        <f t="shared" si="176"/>
        <v>14161</v>
      </c>
      <c r="L2253" s="1">
        <f t="shared" si="177"/>
        <v>32117</v>
      </c>
      <c r="M2253" s="1">
        <f t="shared" si="178"/>
        <v>179.21216476567656</v>
      </c>
      <c r="N2253" s="7">
        <f t="shared" si="179"/>
        <v>179.21216476567656</v>
      </c>
    </row>
    <row r="2254" spans="1:14" x14ac:dyDescent="0.25">
      <c r="A2254" t="str">
        <f>"14:27:55.297"</f>
        <v>14:27:55.297</v>
      </c>
      <c r="B2254">
        <v>39.943112999999997</v>
      </c>
      <c r="C2254">
        <v>-75.633380000000002</v>
      </c>
      <c r="D2254">
        <v>4700</v>
      </c>
      <c r="E2254">
        <v>4900</v>
      </c>
      <c r="F2254">
        <v>134</v>
      </c>
      <c r="G2254">
        <v>120</v>
      </c>
      <c r="H2254">
        <v>-64</v>
      </c>
      <c r="J2254" s="1">
        <f t="shared" si="175"/>
        <v>17956</v>
      </c>
      <c r="K2254" s="1">
        <f t="shared" si="176"/>
        <v>14400</v>
      </c>
      <c r="L2254" s="1">
        <f t="shared" si="177"/>
        <v>32356</v>
      </c>
      <c r="M2254" s="1">
        <f t="shared" si="178"/>
        <v>179.87773625437919</v>
      </c>
      <c r="N2254" s="7">
        <f t="shared" si="179"/>
        <v>179.87773625437919</v>
      </c>
    </row>
    <row r="2255" spans="1:14" x14ac:dyDescent="0.25">
      <c r="A2255" t="str">
        <f>"14:27:56.258"</f>
        <v>14:27:56.258</v>
      </c>
      <c r="B2255">
        <v>39.943693000000003</v>
      </c>
      <c r="C2255">
        <v>-75.632565</v>
      </c>
      <c r="D2255">
        <v>4700</v>
      </c>
      <c r="E2255">
        <v>4900</v>
      </c>
      <c r="F2255">
        <v>133</v>
      </c>
      <c r="G2255">
        <v>120</v>
      </c>
      <c r="H2255">
        <v>-64</v>
      </c>
      <c r="J2255" s="1">
        <f t="shared" si="175"/>
        <v>17689</v>
      </c>
      <c r="K2255" s="1">
        <f t="shared" si="176"/>
        <v>14400</v>
      </c>
      <c r="L2255" s="1">
        <f t="shared" si="177"/>
        <v>32089</v>
      </c>
      <c r="M2255" s="1">
        <f t="shared" si="178"/>
        <v>179.13402803487674</v>
      </c>
      <c r="N2255" s="7">
        <f t="shared" si="179"/>
        <v>179.13402803487674</v>
      </c>
    </row>
    <row r="2256" spans="1:14" x14ac:dyDescent="0.25">
      <c r="A2256" t="str">
        <f>"14:27:57.320"</f>
        <v>14:27:57.320</v>
      </c>
      <c r="B2256">
        <v>39.944271999999998</v>
      </c>
      <c r="C2256">
        <v>-75.631641999999999</v>
      </c>
      <c r="D2256">
        <v>4700</v>
      </c>
      <c r="E2256">
        <v>4900</v>
      </c>
      <c r="F2256">
        <v>133</v>
      </c>
      <c r="G2256">
        <v>120</v>
      </c>
      <c r="H2256">
        <v>-64</v>
      </c>
      <c r="J2256" s="1">
        <f t="shared" si="175"/>
        <v>17689</v>
      </c>
      <c r="K2256" s="1">
        <f t="shared" si="176"/>
        <v>14400</v>
      </c>
      <c r="L2256" s="1">
        <f t="shared" si="177"/>
        <v>32089</v>
      </c>
      <c r="M2256" s="1">
        <f t="shared" si="178"/>
        <v>179.13402803487674</v>
      </c>
      <c r="N2256" s="7">
        <f t="shared" si="179"/>
        <v>179.13402803487674</v>
      </c>
    </row>
    <row r="2257" spans="1:14" x14ac:dyDescent="0.25">
      <c r="A2257" t="str">
        <f>"14:27:58.477"</f>
        <v>14:27:58.477</v>
      </c>
      <c r="B2257">
        <v>39.944958999999997</v>
      </c>
      <c r="C2257">
        <v>-75.630741</v>
      </c>
      <c r="D2257">
        <v>4700</v>
      </c>
      <c r="E2257">
        <v>4900</v>
      </c>
      <c r="F2257">
        <v>133</v>
      </c>
      <c r="G2257">
        <v>120</v>
      </c>
      <c r="H2257">
        <v>-64</v>
      </c>
      <c r="J2257" s="1">
        <f t="shared" si="175"/>
        <v>17689</v>
      </c>
      <c r="K2257" s="1">
        <f t="shared" si="176"/>
        <v>14400</v>
      </c>
      <c r="L2257" s="1">
        <f t="shared" si="177"/>
        <v>32089</v>
      </c>
      <c r="M2257" s="1">
        <f t="shared" si="178"/>
        <v>179.13402803487674</v>
      </c>
      <c r="N2257" s="7">
        <f t="shared" si="179"/>
        <v>179.13402803487674</v>
      </c>
    </row>
    <row r="2258" spans="1:14" x14ac:dyDescent="0.25">
      <c r="A2258" t="str">
        <f>"14:27:59.547"</f>
        <v>14:27:59.547</v>
      </c>
      <c r="B2258">
        <v>39.945517000000002</v>
      </c>
      <c r="C2258">
        <v>-75.629947000000001</v>
      </c>
      <c r="D2258">
        <v>4700</v>
      </c>
      <c r="E2258">
        <v>4900</v>
      </c>
      <c r="F2258">
        <v>133</v>
      </c>
      <c r="G2258">
        <v>121</v>
      </c>
      <c r="H2258">
        <v>-64</v>
      </c>
      <c r="J2258" s="1">
        <f t="shared" si="175"/>
        <v>17689</v>
      </c>
      <c r="K2258" s="1">
        <f t="shared" si="176"/>
        <v>14641</v>
      </c>
      <c r="L2258" s="1">
        <f t="shared" si="177"/>
        <v>32330</v>
      </c>
      <c r="M2258" s="1">
        <f t="shared" si="178"/>
        <v>179.8054504179448</v>
      </c>
      <c r="N2258" s="7">
        <f t="shared" si="179"/>
        <v>179.8054504179448</v>
      </c>
    </row>
    <row r="2259" spans="1:14" x14ac:dyDescent="0.25">
      <c r="A2259" t="str">
        <f>"14:28:00.547"</f>
        <v>14:28:00.547</v>
      </c>
      <c r="B2259">
        <v>39.946095999999997</v>
      </c>
      <c r="C2259">
        <v>-75.629153000000002</v>
      </c>
      <c r="D2259">
        <v>4700</v>
      </c>
      <c r="E2259">
        <v>4900</v>
      </c>
      <c r="F2259">
        <v>133</v>
      </c>
      <c r="G2259">
        <v>121</v>
      </c>
      <c r="H2259">
        <v>-64</v>
      </c>
      <c r="J2259" s="1">
        <f t="shared" si="175"/>
        <v>17689</v>
      </c>
      <c r="K2259" s="1">
        <f t="shared" si="176"/>
        <v>14641</v>
      </c>
      <c r="L2259" s="1">
        <f t="shared" si="177"/>
        <v>32330</v>
      </c>
      <c r="M2259" s="1">
        <f t="shared" si="178"/>
        <v>179.8054504179448</v>
      </c>
      <c r="N2259" s="7">
        <f t="shared" si="179"/>
        <v>179.8054504179448</v>
      </c>
    </row>
    <row r="2260" spans="1:14" x14ac:dyDescent="0.25">
      <c r="A2260" t="str">
        <f>"14:28:01.563"</f>
        <v>14:28:01.563</v>
      </c>
      <c r="B2260">
        <v>39.946654000000002</v>
      </c>
      <c r="C2260">
        <v>-75.628359000000003</v>
      </c>
      <c r="D2260">
        <v>4700</v>
      </c>
      <c r="E2260">
        <v>4900</v>
      </c>
      <c r="F2260">
        <v>132</v>
      </c>
      <c r="G2260">
        <v>121</v>
      </c>
      <c r="H2260">
        <v>-64</v>
      </c>
      <c r="J2260" s="1">
        <f t="shared" si="175"/>
        <v>17424</v>
      </c>
      <c r="K2260" s="1">
        <f t="shared" si="176"/>
        <v>14641</v>
      </c>
      <c r="L2260" s="1">
        <f t="shared" si="177"/>
        <v>32065</v>
      </c>
      <c r="M2260" s="1">
        <f t="shared" si="178"/>
        <v>179.06702655709677</v>
      </c>
      <c r="N2260" s="7">
        <f t="shared" si="179"/>
        <v>179.06702655709677</v>
      </c>
    </row>
    <row r="2261" spans="1:14" x14ac:dyDescent="0.25">
      <c r="A2261" t="str">
        <f>"14:28:02.570"</f>
        <v>14:28:02.570</v>
      </c>
      <c r="B2261">
        <v>39.947212</v>
      </c>
      <c r="C2261">
        <v>-75.627565000000004</v>
      </c>
      <c r="D2261">
        <v>4700</v>
      </c>
      <c r="E2261">
        <v>4900</v>
      </c>
      <c r="F2261">
        <v>132</v>
      </c>
      <c r="G2261">
        <v>121</v>
      </c>
      <c r="H2261">
        <v>-64</v>
      </c>
      <c r="J2261" s="1">
        <f t="shared" si="175"/>
        <v>17424</v>
      </c>
      <c r="K2261" s="1">
        <f t="shared" si="176"/>
        <v>14641</v>
      </c>
      <c r="L2261" s="1">
        <f t="shared" si="177"/>
        <v>32065</v>
      </c>
      <c r="M2261" s="1">
        <f t="shared" si="178"/>
        <v>179.06702655709677</v>
      </c>
      <c r="N2261" s="7">
        <f t="shared" si="179"/>
        <v>179.06702655709677</v>
      </c>
    </row>
    <row r="2262" spans="1:14" x14ac:dyDescent="0.25">
      <c r="A2262" t="str">
        <f>"14:28:03.578"</f>
        <v>14:28:03.578</v>
      </c>
      <c r="B2262">
        <v>39.947747999999997</v>
      </c>
      <c r="C2262">
        <v>-75.626706999999996</v>
      </c>
      <c r="D2262">
        <v>4700</v>
      </c>
      <c r="E2262">
        <v>4900</v>
      </c>
      <c r="F2262">
        <v>132</v>
      </c>
      <c r="G2262">
        <v>121</v>
      </c>
      <c r="H2262">
        <v>0</v>
      </c>
      <c r="J2262" s="1">
        <f t="shared" si="175"/>
        <v>17424</v>
      </c>
      <c r="K2262" s="1">
        <f t="shared" si="176"/>
        <v>14641</v>
      </c>
      <c r="L2262" s="1">
        <f t="shared" si="177"/>
        <v>32065</v>
      </c>
      <c r="M2262" s="1">
        <f t="shared" si="178"/>
        <v>179.06702655709677</v>
      </c>
      <c r="N2262" s="7">
        <f t="shared" si="179"/>
        <v>179.06702655709677</v>
      </c>
    </row>
    <row r="2263" spans="1:14" x14ac:dyDescent="0.25">
      <c r="A2263" t="str">
        <f>"14:28:04.586"</f>
        <v>14:28:04.586</v>
      </c>
      <c r="B2263">
        <v>39.948391999999998</v>
      </c>
      <c r="C2263">
        <v>-75.625891999999993</v>
      </c>
      <c r="D2263">
        <v>4700</v>
      </c>
      <c r="E2263">
        <v>4900</v>
      </c>
      <c r="F2263">
        <v>132</v>
      </c>
      <c r="G2263">
        <v>121</v>
      </c>
      <c r="H2263">
        <v>0</v>
      </c>
      <c r="J2263" s="1">
        <f t="shared" si="175"/>
        <v>17424</v>
      </c>
      <c r="K2263" s="1">
        <f t="shared" si="176"/>
        <v>14641</v>
      </c>
      <c r="L2263" s="1">
        <f t="shared" si="177"/>
        <v>32065</v>
      </c>
      <c r="M2263" s="1">
        <f t="shared" si="178"/>
        <v>179.06702655709677</v>
      </c>
      <c r="N2263" s="7">
        <f t="shared" si="179"/>
        <v>179.06702655709677</v>
      </c>
    </row>
    <row r="2264" spans="1:14" x14ac:dyDescent="0.25">
      <c r="A2264" t="str">
        <f>"14:28:05.602"</f>
        <v>14:28:05.602</v>
      </c>
      <c r="B2264">
        <v>39.948950000000004</v>
      </c>
      <c r="C2264">
        <v>-75.625076000000007</v>
      </c>
      <c r="D2264">
        <v>4700</v>
      </c>
      <c r="E2264">
        <v>4900</v>
      </c>
      <c r="F2264">
        <v>132</v>
      </c>
      <c r="G2264">
        <v>122</v>
      </c>
      <c r="H2264">
        <v>0</v>
      </c>
      <c r="J2264" s="1">
        <f t="shared" si="175"/>
        <v>17424</v>
      </c>
      <c r="K2264" s="1">
        <f t="shared" si="176"/>
        <v>14884</v>
      </c>
      <c r="L2264" s="1">
        <f t="shared" si="177"/>
        <v>32308</v>
      </c>
      <c r="M2264" s="1">
        <f t="shared" si="178"/>
        <v>179.74426277353055</v>
      </c>
      <c r="N2264" s="7">
        <f t="shared" si="179"/>
        <v>179.74426277353055</v>
      </c>
    </row>
    <row r="2265" spans="1:14" x14ac:dyDescent="0.25">
      <c r="A2265" t="str">
        <f>"14:28:06.609"</f>
        <v>14:28:06.609</v>
      </c>
      <c r="B2265">
        <v>39.949508000000002</v>
      </c>
      <c r="C2265">
        <v>-75.624261000000004</v>
      </c>
      <c r="D2265">
        <v>4700</v>
      </c>
      <c r="E2265">
        <v>4900</v>
      </c>
      <c r="F2265">
        <v>132</v>
      </c>
      <c r="G2265">
        <v>122</v>
      </c>
      <c r="H2265">
        <v>0</v>
      </c>
      <c r="J2265" s="1">
        <f t="shared" si="175"/>
        <v>17424</v>
      </c>
      <c r="K2265" s="1">
        <f t="shared" si="176"/>
        <v>14884</v>
      </c>
      <c r="L2265" s="1">
        <f t="shared" si="177"/>
        <v>32308</v>
      </c>
      <c r="M2265" s="1">
        <f t="shared" si="178"/>
        <v>179.74426277353055</v>
      </c>
      <c r="N2265" s="7">
        <f t="shared" si="179"/>
        <v>179.74426277353055</v>
      </c>
    </row>
    <row r="2266" spans="1:14" x14ac:dyDescent="0.25">
      <c r="A2266" t="str">
        <f>"14:28:07.617"</f>
        <v>14:28:07.617</v>
      </c>
      <c r="B2266">
        <v>39.950066</v>
      </c>
      <c r="C2266">
        <v>-75.623509999999996</v>
      </c>
      <c r="D2266">
        <v>4700</v>
      </c>
      <c r="E2266">
        <v>4900</v>
      </c>
      <c r="F2266">
        <v>132</v>
      </c>
      <c r="G2266">
        <v>122</v>
      </c>
      <c r="H2266">
        <v>0</v>
      </c>
      <c r="J2266" s="1">
        <f t="shared" si="175"/>
        <v>17424</v>
      </c>
      <c r="K2266" s="1">
        <f t="shared" si="176"/>
        <v>14884</v>
      </c>
      <c r="L2266" s="1">
        <f t="shared" si="177"/>
        <v>32308</v>
      </c>
      <c r="M2266" s="1">
        <f t="shared" si="178"/>
        <v>179.74426277353055</v>
      </c>
      <c r="N2266" s="7">
        <f t="shared" si="179"/>
        <v>179.74426277353055</v>
      </c>
    </row>
    <row r="2267" spans="1:14" x14ac:dyDescent="0.25">
      <c r="A2267" t="str">
        <f>"14:28:08.781"</f>
        <v>14:28:08.781</v>
      </c>
      <c r="B2267">
        <v>39.950688</v>
      </c>
      <c r="C2267">
        <v>-75.622630000000001</v>
      </c>
      <c r="D2267">
        <v>4700</v>
      </c>
      <c r="E2267">
        <v>4900</v>
      </c>
      <c r="F2267">
        <v>132</v>
      </c>
      <c r="G2267">
        <v>122</v>
      </c>
      <c r="H2267">
        <v>0</v>
      </c>
      <c r="J2267" s="1">
        <f t="shared" si="175"/>
        <v>17424</v>
      </c>
      <c r="K2267" s="1">
        <f t="shared" si="176"/>
        <v>14884</v>
      </c>
      <c r="L2267" s="1">
        <f t="shared" si="177"/>
        <v>32308</v>
      </c>
      <c r="M2267" s="1">
        <f t="shared" si="178"/>
        <v>179.74426277353055</v>
      </c>
      <c r="N2267" s="7">
        <f t="shared" si="179"/>
        <v>179.74426277353055</v>
      </c>
    </row>
    <row r="2268" spans="1:14" x14ac:dyDescent="0.25">
      <c r="A2268" t="str">
        <f>"14:28:09.789"</f>
        <v>14:28:09.789</v>
      </c>
      <c r="B2268">
        <v>39.951289000000003</v>
      </c>
      <c r="C2268">
        <v>-75.621836000000002</v>
      </c>
      <c r="D2268">
        <v>4700</v>
      </c>
      <c r="E2268">
        <v>4900</v>
      </c>
      <c r="F2268">
        <v>132</v>
      </c>
      <c r="G2268">
        <v>122</v>
      </c>
      <c r="H2268">
        <v>0</v>
      </c>
      <c r="J2268" s="1">
        <f t="shared" si="175"/>
        <v>17424</v>
      </c>
      <c r="K2268" s="1">
        <f t="shared" si="176"/>
        <v>14884</v>
      </c>
      <c r="L2268" s="1">
        <f t="shared" si="177"/>
        <v>32308</v>
      </c>
      <c r="M2268" s="1">
        <f t="shared" si="178"/>
        <v>179.74426277353055</v>
      </c>
      <c r="N2268" s="7">
        <f t="shared" si="179"/>
        <v>179.74426277353055</v>
      </c>
    </row>
    <row r="2269" spans="1:14" x14ac:dyDescent="0.25">
      <c r="A2269" t="str">
        <f>"14:28:10.703"</f>
        <v>14:28:10.703</v>
      </c>
      <c r="B2269">
        <v>39.951824999999999</v>
      </c>
      <c r="C2269">
        <v>-75.621042000000003</v>
      </c>
      <c r="D2269">
        <v>4700</v>
      </c>
      <c r="E2269">
        <v>4900</v>
      </c>
      <c r="F2269">
        <v>132</v>
      </c>
      <c r="G2269">
        <v>122</v>
      </c>
      <c r="H2269">
        <v>0</v>
      </c>
      <c r="J2269" s="1">
        <f t="shared" si="175"/>
        <v>17424</v>
      </c>
      <c r="K2269" s="1">
        <f t="shared" si="176"/>
        <v>14884</v>
      </c>
      <c r="L2269" s="1">
        <f t="shared" si="177"/>
        <v>32308</v>
      </c>
      <c r="M2269" s="1">
        <f t="shared" si="178"/>
        <v>179.74426277353055</v>
      </c>
      <c r="N2269" s="7">
        <f t="shared" si="179"/>
        <v>179.74426277353055</v>
      </c>
    </row>
    <row r="2270" spans="1:14" x14ac:dyDescent="0.25">
      <c r="A2270" t="str">
        <f>"14:28:11.609"</f>
        <v>14:28:11.609</v>
      </c>
      <c r="B2270">
        <v>39.95234</v>
      </c>
      <c r="C2270">
        <v>-75.620334</v>
      </c>
      <c r="D2270">
        <v>4700</v>
      </c>
      <c r="E2270">
        <v>4900</v>
      </c>
      <c r="F2270">
        <v>131</v>
      </c>
      <c r="G2270">
        <v>122</v>
      </c>
      <c r="H2270">
        <v>0</v>
      </c>
      <c r="J2270" s="1">
        <f t="shared" si="175"/>
        <v>17161</v>
      </c>
      <c r="K2270" s="1">
        <f t="shared" si="176"/>
        <v>14884</v>
      </c>
      <c r="L2270" s="1">
        <f t="shared" si="177"/>
        <v>32045</v>
      </c>
      <c r="M2270" s="1">
        <f t="shared" si="178"/>
        <v>179.0111728356641</v>
      </c>
      <c r="N2270" s="7">
        <f t="shared" si="179"/>
        <v>179.0111728356641</v>
      </c>
    </row>
    <row r="2271" spans="1:14" x14ac:dyDescent="0.25">
      <c r="A2271" t="str">
        <f>"14:28:12.617"</f>
        <v>14:28:12.617</v>
      </c>
      <c r="B2271">
        <v>39.952897999999998</v>
      </c>
      <c r="C2271">
        <v>-75.619518999999997</v>
      </c>
      <c r="D2271">
        <v>4700</v>
      </c>
      <c r="E2271">
        <v>4900</v>
      </c>
      <c r="F2271">
        <v>131</v>
      </c>
      <c r="G2271">
        <v>122</v>
      </c>
      <c r="H2271">
        <v>0</v>
      </c>
      <c r="J2271" s="1">
        <f t="shared" si="175"/>
        <v>17161</v>
      </c>
      <c r="K2271" s="1">
        <f t="shared" si="176"/>
        <v>14884</v>
      </c>
      <c r="L2271" s="1">
        <f t="shared" si="177"/>
        <v>32045</v>
      </c>
      <c r="M2271" s="1">
        <f t="shared" si="178"/>
        <v>179.0111728356641</v>
      </c>
      <c r="N2271" s="7">
        <f t="shared" si="179"/>
        <v>179.0111728356641</v>
      </c>
    </row>
    <row r="2272" spans="1:14" x14ac:dyDescent="0.25">
      <c r="A2272" t="str">
        <f>"14:28:13.578"</f>
        <v>14:28:13.578</v>
      </c>
      <c r="B2272">
        <v>39.953434000000001</v>
      </c>
      <c r="C2272">
        <v>-75.618831999999998</v>
      </c>
      <c r="D2272">
        <v>4700</v>
      </c>
      <c r="E2272">
        <v>4900</v>
      </c>
      <c r="F2272">
        <v>131</v>
      </c>
      <c r="G2272">
        <v>122</v>
      </c>
      <c r="H2272">
        <v>0</v>
      </c>
      <c r="J2272" s="1">
        <f t="shared" si="175"/>
        <v>17161</v>
      </c>
      <c r="K2272" s="1">
        <f t="shared" si="176"/>
        <v>14884</v>
      </c>
      <c r="L2272" s="1">
        <f t="shared" si="177"/>
        <v>32045</v>
      </c>
      <c r="M2272" s="1">
        <f t="shared" si="178"/>
        <v>179.0111728356641</v>
      </c>
      <c r="N2272" s="7">
        <f t="shared" si="179"/>
        <v>179.0111728356641</v>
      </c>
    </row>
    <row r="2273" spans="1:14" x14ac:dyDescent="0.25">
      <c r="A2273" t="str">
        <f>"14:28:14.688"</f>
        <v>14:28:14.688</v>
      </c>
      <c r="B2273">
        <v>39.954014000000001</v>
      </c>
      <c r="C2273">
        <v>-75.617952000000002</v>
      </c>
      <c r="D2273">
        <v>4700</v>
      </c>
      <c r="E2273">
        <v>4900</v>
      </c>
      <c r="F2273">
        <v>131</v>
      </c>
      <c r="G2273">
        <v>122</v>
      </c>
      <c r="H2273">
        <v>0</v>
      </c>
      <c r="J2273" s="1">
        <f t="shared" si="175"/>
        <v>17161</v>
      </c>
      <c r="K2273" s="1">
        <f t="shared" si="176"/>
        <v>14884</v>
      </c>
      <c r="L2273" s="1">
        <f t="shared" si="177"/>
        <v>32045</v>
      </c>
      <c r="M2273" s="1">
        <f t="shared" si="178"/>
        <v>179.0111728356641</v>
      </c>
      <c r="N2273" s="7">
        <f t="shared" si="179"/>
        <v>179.0111728356641</v>
      </c>
    </row>
    <row r="2274" spans="1:14" x14ac:dyDescent="0.25">
      <c r="A2274" t="str">
        <f>"14:28:15.594"</f>
        <v>14:28:15.594</v>
      </c>
      <c r="B2274">
        <v>39.954571999999999</v>
      </c>
      <c r="C2274">
        <v>-75.617158000000003</v>
      </c>
      <c r="D2274">
        <v>4700</v>
      </c>
      <c r="E2274">
        <v>4900</v>
      </c>
      <c r="F2274">
        <v>131</v>
      </c>
      <c r="G2274">
        <v>122</v>
      </c>
      <c r="H2274">
        <v>0</v>
      </c>
      <c r="J2274" s="1">
        <f t="shared" si="175"/>
        <v>17161</v>
      </c>
      <c r="K2274" s="1">
        <f t="shared" si="176"/>
        <v>14884</v>
      </c>
      <c r="L2274" s="1">
        <f t="shared" si="177"/>
        <v>32045</v>
      </c>
      <c r="M2274" s="1">
        <f t="shared" si="178"/>
        <v>179.0111728356641</v>
      </c>
      <c r="N2274" s="7">
        <f t="shared" si="179"/>
        <v>179.0111728356641</v>
      </c>
    </row>
    <row r="2275" spans="1:14" x14ac:dyDescent="0.25">
      <c r="A2275" t="str">
        <f>"14:28:16.656"</f>
        <v>14:28:16.656</v>
      </c>
      <c r="B2275">
        <v>39.955173000000002</v>
      </c>
      <c r="C2275">
        <v>-75.616343000000001</v>
      </c>
      <c r="D2275">
        <v>4700</v>
      </c>
      <c r="E2275">
        <v>4900</v>
      </c>
      <c r="F2275">
        <v>131</v>
      </c>
      <c r="G2275">
        <v>122</v>
      </c>
      <c r="H2275">
        <v>0</v>
      </c>
      <c r="J2275" s="1">
        <f t="shared" si="175"/>
        <v>17161</v>
      </c>
      <c r="K2275" s="1">
        <f t="shared" si="176"/>
        <v>14884</v>
      </c>
      <c r="L2275" s="1">
        <f t="shared" si="177"/>
        <v>32045</v>
      </c>
      <c r="M2275" s="1">
        <f t="shared" si="178"/>
        <v>179.0111728356641</v>
      </c>
      <c r="N2275" s="7">
        <f t="shared" si="179"/>
        <v>179.0111728356641</v>
      </c>
    </row>
    <row r="2276" spans="1:14" x14ac:dyDescent="0.25">
      <c r="A2276" t="str">
        <f>"14:28:17.664"</f>
        <v>14:28:17.664</v>
      </c>
      <c r="B2276">
        <v>39.955773000000001</v>
      </c>
      <c r="C2276">
        <v>-75.615485000000007</v>
      </c>
      <c r="D2276">
        <v>4700</v>
      </c>
      <c r="E2276">
        <v>4900</v>
      </c>
      <c r="F2276">
        <v>131</v>
      </c>
      <c r="G2276">
        <v>122</v>
      </c>
      <c r="H2276">
        <v>0</v>
      </c>
      <c r="J2276" s="1">
        <f t="shared" si="175"/>
        <v>17161</v>
      </c>
      <c r="K2276" s="1">
        <f t="shared" si="176"/>
        <v>14884</v>
      </c>
      <c r="L2276" s="1">
        <f t="shared" si="177"/>
        <v>32045</v>
      </c>
      <c r="M2276" s="1">
        <f t="shared" si="178"/>
        <v>179.0111728356641</v>
      </c>
      <c r="N2276" s="7">
        <f t="shared" si="179"/>
        <v>179.0111728356641</v>
      </c>
    </row>
    <row r="2277" spans="1:14" x14ac:dyDescent="0.25">
      <c r="A2277" t="str">
        <f>"14:28:18.625"</f>
        <v>14:28:18.625</v>
      </c>
      <c r="B2277">
        <v>39.956288000000001</v>
      </c>
      <c r="C2277">
        <v>-75.614777000000004</v>
      </c>
      <c r="D2277">
        <v>4700</v>
      </c>
      <c r="E2277">
        <v>4900</v>
      </c>
      <c r="F2277">
        <v>131</v>
      </c>
      <c r="G2277">
        <v>122</v>
      </c>
      <c r="H2277">
        <v>0</v>
      </c>
      <c r="J2277" s="1">
        <f t="shared" si="175"/>
        <v>17161</v>
      </c>
      <c r="K2277" s="1">
        <f t="shared" si="176"/>
        <v>14884</v>
      </c>
      <c r="L2277" s="1">
        <f t="shared" si="177"/>
        <v>32045</v>
      </c>
      <c r="M2277" s="1">
        <f t="shared" si="178"/>
        <v>179.0111728356641</v>
      </c>
      <c r="N2277" s="7">
        <f t="shared" si="179"/>
        <v>179.0111728356641</v>
      </c>
    </row>
    <row r="2278" spans="1:14" x14ac:dyDescent="0.25">
      <c r="A2278" t="str">
        <f>"14:28:19.531"</f>
        <v>14:28:19.531</v>
      </c>
      <c r="B2278">
        <v>39.956825000000002</v>
      </c>
      <c r="C2278">
        <v>-75.614069000000001</v>
      </c>
      <c r="D2278">
        <v>4700</v>
      </c>
      <c r="E2278">
        <v>4900</v>
      </c>
      <c r="F2278">
        <v>131</v>
      </c>
      <c r="G2278">
        <v>122</v>
      </c>
      <c r="H2278">
        <v>0</v>
      </c>
      <c r="J2278" s="1">
        <f t="shared" si="175"/>
        <v>17161</v>
      </c>
      <c r="K2278" s="1">
        <f t="shared" si="176"/>
        <v>14884</v>
      </c>
      <c r="L2278" s="1">
        <f t="shared" si="177"/>
        <v>32045</v>
      </c>
      <c r="M2278" s="1">
        <f t="shared" si="178"/>
        <v>179.0111728356641</v>
      </c>
      <c r="N2278" s="7">
        <f t="shared" si="179"/>
        <v>179.0111728356641</v>
      </c>
    </row>
    <row r="2279" spans="1:14" x14ac:dyDescent="0.25">
      <c r="A2279" t="str">
        <f>"14:28:20.539"</f>
        <v>14:28:20.539</v>
      </c>
      <c r="B2279">
        <v>39.957360999999999</v>
      </c>
      <c r="C2279">
        <v>-75.613275000000002</v>
      </c>
      <c r="D2279">
        <v>4700</v>
      </c>
      <c r="E2279">
        <v>4900</v>
      </c>
      <c r="F2279">
        <v>131</v>
      </c>
      <c r="G2279">
        <v>122</v>
      </c>
      <c r="H2279">
        <v>0</v>
      </c>
      <c r="J2279" s="1">
        <f t="shared" si="175"/>
        <v>17161</v>
      </c>
      <c r="K2279" s="1">
        <f t="shared" si="176"/>
        <v>14884</v>
      </c>
      <c r="L2279" s="1">
        <f t="shared" si="177"/>
        <v>32045</v>
      </c>
      <c r="M2279" s="1">
        <f t="shared" si="178"/>
        <v>179.0111728356641</v>
      </c>
      <c r="N2279" s="7">
        <f t="shared" si="179"/>
        <v>179.0111728356641</v>
      </c>
    </row>
    <row r="2280" spans="1:14" x14ac:dyDescent="0.25">
      <c r="A2280" t="str">
        <f>"14:28:21.398"</f>
        <v>14:28:21.398</v>
      </c>
      <c r="B2280">
        <v>39.957875999999999</v>
      </c>
      <c r="C2280">
        <v>-75.612588000000002</v>
      </c>
      <c r="D2280">
        <v>4700</v>
      </c>
      <c r="E2280">
        <v>4900</v>
      </c>
      <c r="F2280">
        <v>131</v>
      </c>
      <c r="G2280">
        <v>123</v>
      </c>
      <c r="H2280">
        <v>0</v>
      </c>
      <c r="J2280" s="1">
        <f t="shared" si="175"/>
        <v>17161</v>
      </c>
      <c r="K2280" s="1">
        <f t="shared" si="176"/>
        <v>15129</v>
      </c>
      <c r="L2280" s="1">
        <f t="shared" si="177"/>
        <v>32290</v>
      </c>
      <c r="M2280" s="1">
        <f t="shared" si="178"/>
        <v>179.6941846582688</v>
      </c>
      <c r="N2280" s="7">
        <f t="shared" si="179"/>
        <v>179.6941846582688</v>
      </c>
    </row>
    <row r="2281" spans="1:14" x14ac:dyDescent="0.25">
      <c r="A2281" t="str">
        <f>"14:28:22.359"</f>
        <v>14:28:22.359</v>
      </c>
      <c r="B2281">
        <v>39.958370000000002</v>
      </c>
      <c r="C2281">
        <v>-75.611879999999999</v>
      </c>
      <c r="D2281">
        <v>4700</v>
      </c>
      <c r="E2281">
        <v>4900</v>
      </c>
      <c r="F2281">
        <v>131</v>
      </c>
      <c r="G2281">
        <v>123</v>
      </c>
      <c r="H2281">
        <v>0</v>
      </c>
      <c r="J2281" s="1">
        <f t="shared" si="175"/>
        <v>17161</v>
      </c>
      <c r="K2281" s="1">
        <f t="shared" si="176"/>
        <v>15129</v>
      </c>
      <c r="L2281" s="1">
        <f t="shared" si="177"/>
        <v>32290</v>
      </c>
      <c r="M2281" s="1">
        <f t="shared" si="178"/>
        <v>179.6941846582688</v>
      </c>
      <c r="N2281" s="7">
        <f t="shared" si="179"/>
        <v>179.6941846582688</v>
      </c>
    </row>
    <row r="2282" spans="1:14" x14ac:dyDescent="0.25">
      <c r="A2282" t="str">
        <f>"14:28:23.266"</f>
        <v>14:28:23.266</v>
      </c>
      <c r="B2282">
        <v>39.958905999999999</v>
      </c>
      <c r="C2282">
        <v>-75.611149999999995</v>
      </c>
      <c r="D2282">
        <v>4700</v>
      </c>
      <c r="E2282">
        <v>4900</v>
      </c>
      <c r="F2282">
        <v>131</v>
      </c>
      <c r="G2282">
        <v>123</v>
      </c>
      <c r="H2282">
        <v>0</v>
      </c>
      <c r="J2282" s="1">
        <f t="shared" si="175"/>
        <v>17161</v>
      </c>
      <c r="K2282" s="1">
        <f t="shared" si="176"/>
        <v>15129</v>
      </c>
      <c r="L2282" s="1">
        <f t="shared" si="177"/>
        <v>32290</v>
      </c>
      <c r="M2282" s="1">
        <f t="shared" si="178"/>
        <v>179.6941846582688</v>
      </c>
      <c r="N2282" s="7">
        <f t="shared" si="179"/>
        <v>179.6941846582688</v>
      </c>
    </row>
    <row r="2283" spans="1:14" x14ac:dyDescent="0.25">
      <c r="A2283" t="str">
        <f>"14:28:24.281"</f>
        <v>14:28:24.281</v>
      </c>
      <c r="B2283">
        <v>39.959527999999999</v>
      </c>
      <c r="C2283">
        <v>-75.610292000000001</v>
      </c>
      <c r="D2283">
        <v>4700</v>
      </c>
      <c r="E2283">
        <v>4900</v>
      </c>
      <c r="F2283">
        <v>131</v>
      </c>
      <c r="G2283">
        <v>123</v>
      </c>
      <c r="H2283">
        <v>0</v>
      </c>
      <c r="J2283" s="1">
        <f t="shared" si="175"/>
        <v>17161</v>
      </c>
      <c r="K2283" s="1">
        <f t="shared" si="176"/>
        <v>15129</v>
      </c>
      <c r="L2283" s="1">
        <f t="shared" si="177"/>
        <v>32290</v>
      </c>
      <c r="M2283" s="1">
        <f t="shared" si="178"/>
        <v>179.6941846582688</v>
      </c>
      <c r="N2283" s="7">
        <f t="shared" si="179"/>
        <v>179.6941846582688</v>
      </c>
    </row>
    <row r="2284" spans="1:14" x14ac:dyDescent="0.25">
      <c r="A2284" t="str">
        <f>"14:28:25.391"</f>
        <v>14:28:25.391</v>
      </c>
      <c r="B2284">
        <v>39.960107999999998</v>
      </c>
      <c r="C2284">
        <v>-75.609498000000002</v>
      </c>
      <c r="D2284">
        <v>4700</v>
      </c>
      <c r="E2284">
        <v>4900</v>
      </c>
      <c r="F2284">
        <v>130</v>
      </c>
      <c r="G2284">
        <v>123</v>
      </c>
      <c r="H2284">
        <v>0</v>
      </c>
      <c r="J2284" s="1">
        <f t="shared" si="175"/>
        <v>16900</v>
      </c>
      <c r="K2284" s="1">
        <f t="shared" si="176"/>
        <v>15129</v>
      </c>
      <c r="L2284" s="1">
        <f t="shared" si="177"/>
        <v>32029</v>
      </c>
      <c r="M2284" s="1">
        <f t="shared" si="178"/>
        <v>178.96647730790255</v>
      </c>
      <c r="N2284" s="7">
        <f t="shared" si="179"/>
        <v>178.96647730790255</v>
      </c>
    </row>
    <row r="2285" spans="1:14" x14ac:dyDescent="0.25">
      <c r="A2285" t="str">
        <f>"14:28:26.453"</f>
        <v>14:28:26.453</v>
      </c>
      <c r="B2285">
        <v>39.960729999999998</v>
      </c>
      <c r="C2285">
        <v>-75.608660999999998</v>
      </c>
      <c r="D2285">
        <v>4700</v>
      </c>
      <c r="E2285">
        <v>4900</v>
      </c>
      <c r="F2285">
        <v>130</v>
      </c>
      <c r="G2285">
        <v>123</v>
      </c>
      <c r="H2285">
        <v>0</v>
      </c>
      <c r="J2285" s="1">
        <f t="shared" si="175"/>
        <v>16900</v>
      </c>
      <c r="K2285" s="1">
        <f t="shared" si="176"/>
        <v>15129</v>
      </c>
      <c r="L2285" s="1">
        <f t="shared" si="177"/>
        <v>32029</v>
      </c>
      <c r="M2285" s="1">
        <f t="shared" si="178"/>
        <v>178.96647730790255</v>
      </c>
      <c r="N2285" s="7">
        <f t="shared" si="179"/>
        <v>178.96647730790255</v>
      </c>
    </row>
    <row r="2286" spans="1:14" x14ac:dyDescent="0.25">
      <c r="A2286" t="str">
        <f>"14:28:27.508"</f>
        <v>14:28:27.508</v>
      </c>
      <c r="B2286">
        <v>39.961351999999998</v>
      </c>
      <c r="C2286">
        <v>-75.607781000000003</v>
      </c>
      <c r="D2286">
        <v>4700</v>
      </c>
      <c r="E2286">
        <v>4900</v>
      </c>
      <c r="F2286">
        <v>130</v>
      </c>
      <c r="G2286">
        <v>123</v>
      </c>
      <c r="H2286">
        <v>0</v>
      </c>
      <c r="J2286" s="1">
        <f t="shared" si="175"/>
        <v>16900</v>
      </c>
      <c r="K2286" s="1">
        <f t="shared" si="176"/>
        <v>15129</v>
      </c>
      <c r="L2286" s="1">
        <f t="shared" si="177"/>
        <v>32029</v>
      </c>
      <c r="M2286" s="1">
        <f t="shared" si="178"/>
        <v>178.96647730790255</v>
      </c>
      <c r="N2286" s="7">
        <f t="shared" si="179"/>
        <v>178.96647730790255</v>
      </c>
    </row>
    <row r="2287" spans="1:14" x14ac:dyDescent="0.25">
      <c r="A2287" t="str">
        <f>"14:28:28.516"</f>
        <v>14:28:28.516</v>
      </c>
      <c r="B2287">
        <v>39.961953000000001</v>
      </c>
      <c r="C2287">
        <v>-75.606987000000004</v>
      </c>
      <c r="D2287">
        <v>4700</v>
      </c>
      <c r="E2287">
        <v>4900</v>
      </c>
      <c r="F2287">
        <v>130</v>
      </c>
      <c r="G2287">
        <v>123</v>
      </c>
      <c r="H2287">
        <v>0</v>
      </c>
      <c r="J2287" s="1">
        <f t="shared" si="175"/>
        <v>16900</v>
      </c>
      <c r="K2287" s="1">
        <f t="shared" si="176"/>
        <v>15129</v>
      </c>
      <c r="L2287" s="1">
        <f t="shared" si="177"/>
        <v>32029</v>
      </c>
      <c r="M2287" s="1">
        <f t="shared" si="178"/>
        <v>178.96647730790255</v>
      </c>
      <c r="N2287" s="7">
        <f t="shared" si="179"/>
        <v>178.96647730790255</v>
      </c>
    </row>
    <row r="2288" spans="1:14" x14ac:dyDescent="0.25">
      <c r="A2288" t="str">
        <f>"14:28:29.531"</f>
        <v>14:28:29.531</v>
      </c>
      <c r="B2288">
        <v>39.962490000000003</v>
      </c>
      <c r="C2288">
        <v>-75.606194000000002</v>
      </c>
      <c r="D2288">
        <v>4700</v>
      </c>
      <c r="E2288">
        <v>4900</v>
      </c>
      <c r="F2288">
        <v>130</v>
      </c>
      <c r="G2288">
        <v>123</v>
      </c>
      <c r="H2288">
        <v>0</v>
      </c>
      <c r="J2288" s="1">
        <f t="shared" si="175"/>
        <v>16900</v>
      </c>
      <c r="K2288" s="1">
        <f t="shared" si="176"/>
        <v>15129</v>
      </c>
      <c r="L2288" s="1">
        <f t="shared" si="177"/>
        <v>32029</v>
      </c>
      <c r="M2288" s="1">
        <f t="shared" si="178"/>
        <v>178.96647730790255</v>
      </c>
      <c r="N2288" s="7">
        <f t="shared" si="179"/>
        <v>178.96647730790255</v>
      </c>
    </row>
    <row r="2289" spans="1:14" x14ac:dyDescent="0.25">
      <c r="A2289" t="str">
        <f>"14:28:30.539"</f>
        <v>14:28:30.539</v>
      </c>
      <c r="B2289">
        <v>39.963048000000001</v>
      </c>
      <c r="C2289">
        <v>-75.605463999999998</v>
      </c>
      <c r="D2289">
        <v>4700</v>
      </c>
      <c r="E2289">
        <v>4900</v>
      </c>
      <c r="F2289">
        <v>130</v>
      </c>
      <c r="G2289">
        <v>123</v>
      </c>
      <c r="H2289">
        <v>64</v>
      </c>
      <c r="J2289" s="1">
        <f t="shared" si="175"/>
        <v>16900</v>
      </c>
      <c r="K2289" s="1">
        <f t="shared" si="176"/>
        <v>15129</v>
      </c>
      <c r="L2289" s="1">
        <f t="shared" si="177"/>
        <v>32029</v>
      </c>
      <c r="M2289" s="1">
        <f t="shared" si="178"/>
        <v>178.96647730790255</v>
      </c>
      <c r="N2289" s="7">
        <f t="shared" si="179"/>
        <v>178.96647730790255</v>
      </c>
    </row>
    <row r="2290" spans="1:14" x14ac:dyDescent="0.25">
      <c r="A2290" t="str">
        <f>"14:28:31.398"</f>
        <v>14:28:31.398</v>
      </c>
      <c r="B2290">
        <v>39.963562000000003</v>
      </c>
      <c r="C2290">
        <v>-75.604733999999993</v>
      </c>
      <c r="D2290">
        <v>4700</v>
      </c>
      <c r="E2290">
        <v>4900</v>
      </c>
      <c r="F2290">
        <v>130</v>
      </c>
      <c r="G2290">
        <v>123</v>
      </c>
      <c r="H2290">
        <v>64</v>
      </c>
      <c r="J2290" s="1">
        <f t="shared" si="175"/>
        <v>16900</v>
      </c>
      <c r="K2290" s="1">
        <f t="shared" si="176"/>
        <v>15129</v>
      </c>
      <c r="L2290" s="1">
        <f t="shared" si="177"/>
        <v>32029</v>
      </c>
      <c r="M2290" s="1">
        <f t="shared" si="178"/>
        <v>178.96647730790255</v>
      </c>
      <c r="N2290" s="7">
        <f t="shared" si="179"/>
        <v>178.96647730790255</v>
      </c>
    </row>
    <row r="2291" spans="1:14" x14ac:dyDescent="0.25">
      <c r="A2291" t="str">
        <f>"14:28:32.461"</f>
        <v>14:28:32.461</v>
      </c>
      <c r="B2291">
        <v>39.964120000000001</v>
      </c>
      <c r="C2291">
        <v>-75.603982999999999</v>
      </c>
      <c r="D2291">
        <v>4700</v>
      </c>
      <c r="E2291">
        <v>4900</v>
      </c>
      <c r="F2291">
        <v>130</v>
      </c>
      <c r="G2291">
        <v>123</v>
      </c>
      <c r="H2291">
        <v>64</v>
      </c>
      <c r="J2291" s="1">
        <f t="shared" si="175"/>
        <v>16900</v>
      </c>
      <c r="K2291" s="1">
        <f t="shared" si="176"/>
        <v>15129</v>
      </c>
      <c r="L2291" s="1">
        <f t="shared" si="177"/>
        <v>32029</v>
      </c>
      <c r="M2291" s="1">
        <f t="shared" si="178"/>
        <v>178.96647730790255</v>
      </c>
      <c r="N2291" s="7">
        <f t="shared" si="179"/>
        <v>178.96647730790255</v>
      </c>
    </row>
    <row r="2292" spans="1:14" x14ac:dyDescent="0.25">
      <c r="A2292" t="str">
        <f>"14:28:33.414"</f>
        <v>14:28:33.414</v>
      </c>
      <c r="B2292">
        <v>39.964720999999997</v>
      </c>
      <c r="C2292">
        <v>-75.603167999999997</v>
      </c>
      <c r="D2292">
        <v>4700</v>
      </c>
      <c r="E2292">
        <v>4900</v>
      </c>
      <c r="F2292">
        <v>130</v>
      </c>
      <c r="G2292">
        <v>123</v>
      </c>
      <c r="H2292">
        <v>64</v>
      </c>
      <c r="J2292" s="1">
        <f t="shared" si="175"/>
        <v>16900</v>
      </c>
      <c r="K2292" s="1">
        <f t="shared" si="176"/>
        <v>15129</v>
      </c>
      <c r="L2292" s="1">
        <f t="shared" si="177"/>
        <v>32029</v>
      </c>
      <c r="M2292" s="1">
        <f t="shared" si="178"/>
        <v>178.96647730790255</v>
      </c>
      <c r="N2292" s="7">
        <f t="shared" si="179"/>
        <v>178.96647730790255</v>
      </c>
    </row>
    <row r="2293" spans="1:14" x14ac:dyDescent="0.25">
      <c r="A2293" t="str">
        <f>"14:28:34.328"</f>
        <v>14:28:34.328</v>
      </c>
      <c r="B2293">
        <v>39.965235999999997</v>
      </c>
      <c r="C2293">
        <v>-75.602480999999997</v>
      </c>
      <c r="D2293">
        <v>4700</v>
      </c>
      <c r="E2293">
        <v>4900</v>
      </c>
      <c r="F2293">
        <v>130</v>
      </c>
      <c r="G2293">
        <v>123</v>
      </c>
      <c r="H2293">
        <v>64</v>
      </c>
      <c r="J2293" s="1">
        <f t="shared" si="175"/>
        <v>16900</v>
      </c>
      <c r="K2293" s="1">
        <f t="shared" si="176"/>
        <v>15129</v>
      </c>
      <c r="L2293" s="1">
        <f t="shared" si="177"/>
        <v>32029</v>
      </c>
      <c r="M2293" s="1">
        <f t="shared" si="178"/>
        <v>178.96647730790255</v>
      </c>
      <c r="N2293" s="7">
        <f t="shared" si="179"/>
        <v>178.96647730790255</v>
      </c>
    </row>
    <row r="2294" spans="1:14" x14ac:dyDescent="0.25">
      <c r="A2294" t="str">
        <f>"14:28:35.234"</f>
        <v>14:28:35.234</v>
      </c>
      <c r="B2294">
        <v>39.965750999999997</v>
      </c>
      <c r="C2294">
        <v>-75.601730000000003</v>
      </c>
      <c r="D2294">
        <v>4700</v>
      </c>
      <c r="E2294">
        <v>4900</v>
      </c>
      <c r="F2294">
        <v>131</v>
      </c>
      <c r="G2294">
        <v>123</v>
      </c>
      <c r="H2294">
        <v>0</v>
      </c>
      <c r="J2294" s="1">
        <f t="shared" si="175"/>
        <v>17161</v>
      </c>
      <c r="K2294" s="1">
        <f t="shared" si="176"/>
        <v>15129</v>
      </c>
      <c r="L2294" s="1">
        <f t="shared" si="177"/>
        <v>32290</v>
      </c>
      <c r="M2294" s="1">
        <f t="shared" si="178"/>
        <v>179.6941846582688</v>
      </c>
      <c r="N2294" s="7">
        <f t="shared" si="179"/>
        <v>179.6941846582688</v>
      </c>
    </row>
    <row r="2295" spans="1:14" x14ac:dyDescent="0.25">
      <c r="A2295" t="str">
        <f>"14:28:36.195"</f>
        <v>14:28:36.195</v>
      </c>
      <c r="B2295">
        <v>39.966245000000001</v>
      </c>
      <c r="C2295">
        <v>-75.601022</v>
      </c>
      <c r="D2295">
        <v>4700</v>
      </c>
      <c r="E2295">
        <v>4900</v>
      </c>
      <c r="F2295">
        <v>130</v>
      </c>
      <c r="G2295">
        <v>123</v>
      </c>
      <c r="H2295">
        <v>0</v>
      </c>
      <c r="J2295" s="1">
        <f t="shared" si="175"/>
        <v>16900</v>
      </c>
      <c r="K2295" s="1">
        <f t="shared" si="176"/>
        <v>15129</v>
      </c>
      <c r="L2295" s="1">
        <f t="shared" si="177"/>
        <v>32029</v>
      </c>
      <c r="M2295" s="1">
        <f t="shared" si="178"/>
        <v>178.96647730790255</v>
      </c>
      <c r="N2295" s="7">
        <f t="shared" si="179"/>
        <v>178.96647730790255</v>
      </c>
    </row>
    <row r="2296" spans="1:14" x14ac:dyDescent="0.25">
      <c r="A2296" t="str">
        <f>"14:28:37.305"</f>
        <v>14:28:37.305</v>
      </c>
      <c r="B2296">
        <v>39.966867000000001</v>
      </c>
      <c r="C2296">
        <v>-75.600164000000007</v>
      </c>
      <c r="D2296">
        <v>4700</v>
      </c>
      <c r="E2296">
        <v>4900</v>
      </c>
      <c r="F2296">
        <v>130</v>
      </c>
      <c r="G2296">
        <v>124</v>
      </c>
      <c r="H2296">
        <v>-64</v>
      </c>
      <c r="J2296" s="1">
        <f t="shared" si="175"/>
        <v>16900</v>
      </c>
      <c r="K2296" s="1">
        <f t="shared" si="176"/>
        <v>15376</v>
      </c>
      <c r="L2296" s="1">
        <f t="shared" si="177"/>
        <v>32276</v>
      </c>
      <c r="M2296" s="1">
        <f t="shared" si="178"/>
        <v>179.655225362359</v>
      </c>
      <c r="N2296" s="7">
        <f t="shared" si="179"/>
        <v>179.655225362359</v>
      </c>
    </row>
    <row r="2297" spans="1:14" x14ac:dyDescent="0.25">
      <c r="A2297" t="str">
        <f>"14:28:38.367"</f>
        <v>14:28:38.367</v>
      </c>
      <c r="B2297">
        <v>39.967531999999999</v>
      </c>
      <c r="C2297">
        <v>-75.599305999999999</v>
      </c>
      <c r="D2297">
        <v>4700</v>
      </c>
      <c r="E2297">
        <v>4900</v>
      </c>
      <c r="F2297">
        <v>130</v>
      </c>
      <c r="G2297">
        <v>124</v>
      </c>
      <c r="H2297">
        <v>-128</v>
      </c>
      <c r="J2297" s="1">
        <f t="shared" si="175"/>
        <v>16900</v>
      </c>
      <c r="K2297" s="1">
        <f t="shared" si="176"/>
        <v>15376</v>
      </c>
      <c r="L2297" s="1">
        <f t="shared" si="177"/>
        <v>32276</v>
      </c>
      <c r="M2297" s="1">
        <f t="shared" si="178"/>
        <v>179.655225362359</v>
      </c>
      <c r="N2297" s="7">
        <f t="shared" si="179"/>
        <v>179.655225362359</v>
      </c>
    </row>
    <row r="2298" spans="1:14" x14ac:dyDescent="0.25">
      <c r="A2298" t="str">
        <f>"14:28:39.375"</f>
        <v>14:28:39.375</v>
      </c>
      <c r="B2298">
        <v>39.968069</v>
      </c>
      <c r="C2298">
        <v>-75.598511999999999</v>
      </c>
      <c r="D2298">
        <v>4700</v>
      </c>
      <c r="E2298">
        <v>4900</v>
      </c>
      <c r="F2298">
        <v>130</v>
      </c>
      <c r="G2298">
        <v>124</v>
      </c>
      <c r="H2298">
        <v>-128</v>
      </c>
      <c r="J2298" s="1">
        <f t="shared" si="175"/>
        <v>16900</v>
      </c>
      <c r="K2298" s="1">
        <f t="shared" si="176"/>
        <v>15376</v>
      </c>
      <c r="L2298" s="1">
        <f t="shared" si="177"/>
        <v>32276</v>
      </c>
      <c r="M2298" s="1">
        <f t="shared" si="178"/>
        <v>179.655225362359</v>
      </c>
      <c r="N2298" s="7">
        <f t="shared" si="179"/>
        <v>179.655225362359</v>
      </c>
    </row>
    <row r="2299" spans="1:14" x14ac:dyDescent="0.25">
      <c r="A2299" t="str">
        <f>"14:28:40.281"</f>
        <v>14:28:40.281</v>
      </c>
      <c r="B2299">
        <v>39.968584</v>
      </c>
      <c r="C2299">
        <v>-75.597803999999996</v>
      </c>
      <c r="D2299">
        <v>4700</v>
      </c>
      <c r="E2299">
        <v>4900</v>
      </c>
      <c r="F2299">
        <v>130</v>
      </c>
      <c r="G2299">
        <v>124</v>
      </c>
      <c r="H2299">
        <v>-128</v>
      </c>
      <c r="J2299" s="1">
        <f t="shared" si="175"/>
        <v>16900</v>
      </c>
      <c r="K2299" s="1">
        <f t="shared" si="176"/>
        <v>15376</v>
      </c>
      <c r="L2299" s="1">
        <f t="shared" si="177"/>
        <v>32276</v>
      </c>
      <c r="M2299" s="1">
        <f t="shared" si="178"/>
        <v>179.655225362359</v>
      </c>
      <c r="N2299" s="7">
        <f t="shared" si="179"/>
        <v>179.655225362359</v>
      </c>
    </row>
    <row r="2300" spans="1:14" x14ac:dyDescent="0.25">
      <c r="A2300" t="str">
        <f>"14:28:41.242"</f>
        <v>14:28:41.242</v>
      </c>
      <c r="B2300">
        <v>39.969183999999998</v>
      </c>
      <c r="C2300">
        <v>-75.597053000000002</v>
      </c>
      <c r="D2300">
        <v>4700</v>
      </c>
      <c r="E2300">
        <v>4900</v>
      </c>
      <c r="F2300">
        <v>130</v>
      </c>
      <c r="G2300">
        <v>124</v>
      </c>
      <c r="H2300">
        <v>-128</v>
      </c>
      <c r="J2300" s="1">
        <f t="shared" si="175"/>
        <v>16900</v>
      </c>
      <c r="K2300" s="1">
        <f t="shared" si="176"/>
        <v>15376</v>
      </c>
      <c r="L2300" s="1">
        <f t="shared" si="177"/>
        <v>32276</v>
      </c>
      <c r="M2300" s="1">
        <f t="shared" si="178"/>
        <v>179.655225362359</v>
      </c>
      <c r="N2300" s="7">
        <f t="shared" si="179"/>
        <v>179.655225362359</v>
      </c>
    </row>
    <row r="2301" spans="1:14" x14ac:dyDescent="0.25">
      <c r="A2301" t="str">
        <f>"14:28:42.305"</f>
        <v>14:28:42.305</v>
      </c>
      <c r="B2301">
        <v>39.969828</v>
      </c>
      <c r="C2301">
        <v>-75.596193999999997</v>
      </c>
      <c r="D2301">
        <v>4700</v>
      </c>
      <c r="E2301">
        <v>4900</v>
      </c>
      <c r="F2301">
        <v>130</v>
      </c>
      <c r="G2301">
        <v>124</v>
      </c>
      <c r="H2301">
        <v>-128</v>
      </c>
      <c r="J2301" s="1">
        <f t="shared" si="175"/>
        <v>16900</v>
      </c>
      <c r="K2301" s="1">
        <f t="shared" si="176"/>
        <v>15376</v>
      </c>
      <c r="L2301" s="1">
        <f t="shared" si="177"/>
        <v>32276</v>
      </c>
      <c r="M2301" s="1">
        <f t="shared" si="178"/>
        <v>179.655225362359</v>
      </c>
      <c r="N2301" s="7">
        <f t="shared" si="179"/>
        <v>179.655225362359</v>
      </c>
    </row>
    <row r="2302" spans="1:14" x14ac:dyDescent="0.25">
      <c r="A2302" t="str">
        <f>"14:28:43.414"</f>
        <v>14:28:43.414</v>
      </c>
      <c r="B2302">
        <v>39.97045</v>
      </c>
      <c r="C2302">
        <v>-75.595292999999998</v>
      </c>
      <c r="D2302">
        <v>4700</v>
      </c>
      <c r="E2302">
        <v>4900</v>
      </c>
      <c r="F2302">
        <v>130</v>
      </c>
      <c r="G2302">
        <v>125</v>
      </c>
      <c r="H2302">
        <v>-128</v>
      </c>
      <c r="J2302" s="1">
        <f t="shared" si="175"/>
        <v>16900</v>
      </c>
      <c r="K2302" s="1">
        <f t="shared" si="176"/>
        <v>15625</v>
      </c>
      <c r="L2302" s="1">
        <f t="shared" si="177"/>
        <v>32525</v>
      </c>
      <c r="M2302" s="1">
        <f t="shared" si="178"/>
        <v>180.34688796871433</v>
      </c>
      <c r="N2302" s="7">
        <f t="shared" si="179"/>
        <v>180.34688796871433</v>
      </c>
    </row>
    <row r="2303" spans="1:14" x14ac:dyDescent="0.25">
      <c r="A2303" t="str">
        <f>"14:28:44.422"</f>
        <v>14:28:44.422</v>
      </c>
      <c r="B2303">
        <v>39.971007999999998</v>
      </c>
      <c r="C2303">
        <v>-75.594542000000004</v>
      </c>
      <c r="D2303">
        <v>4700</v>
      </c>
      <c r="E2303">
        <v>4875</v>
      </c>
      <c r="F2303">
        <v>130</v>
      </c>
      <c r="G2303">
        <v>124</v>
      </c>
      <c r="H2303">
        <v>-128</v>
      </c>
      <c r="J2303" s="1">
        <f t="shared" si="175"/>
        <v>16900</v>
      </c>
      <c r="K2303" s="1">
        <f t="shared" si="176"/>
        <v>15376</v>
      </c>
      <c r="L2303" s="1">
        <f t="shared" si="177"/>
        <v>32276</v>
      </c>
      <c r="M2303" s="1">
        <f t="shared" si="178"/>
        <v>179.655225362359</v>
      </c>
      <c r="N2303" s="7">
        <f t="shared" si="179"/>
        <v>179.655225362359</v>
      </c>
    </row>
    <row r="2304" spans="1:14" x14ac:dyDescent="0.25">
      <c r="A2304" t="str">
        <f>"14:28:45.328"</f>
        <v>14:28:45.328</v>
      </c>
      <c r="B2304">
        <v>39.971566000000003</v>
      </c>
      <c r="C2304">
        <v>-75.593812</v>
      </c>
      <c r="D2304">
        <v>4700</v>
      </c>
      <c r="E2304">
        <v>4875</v>
      </c>
      <c r="F2304">
        <v>130</v>
      </c>
      <c r="G2304">
        <v>124</v>
      </c>
      <c r="H2304">
        <v>-128</v>
      </c>
      <c r="J2304" s="1">
        <f t="shared" si="175"/>
        <v>16900</v>
      </c>
      <c r="K2304" s="1">
        <f t="shared" si="176"/>
        <v>15376</v>
      </c>
      <c r="L2304" s="1">
        <f t="shared" si="177"/>
        <v>32276</v>
      </c>
      <c r="M2304" s="1">
        <f t="shared" si="178"/>
        <v>179.655225362359</v>
      </c>
      <c r="N2304" s="7">
        <f t="shared" si="179"/>
        <v>179.655225362359</v>
      </c>
    </row>
    <row r="2305" spans="1:14" x14ac:dyDescent="0.25">
      <c r="A2305" t="str">
        <f>"14:28:46.289"</f>
        <v>14:28:46.289</v>
      </c>
      <c r="B2305">
        <v>39.972102999999997</v>
      </c>
      <c r="C2305">
        <v>-75.593018999999998</v>
      </c>
      <c r="D2305">
        <v>4700</v>
      </c>
      <c r="E2305">
        <v>4875</v>
      </c>
      <c r="F2305">
        <v>130</v>
      </c>
      <c r="G2305">
        <v>124</v>
      </c>
      <c r="H2305">
        <v>-128</v>
      </c>
      <c r="J2305" s="1">
        <f t="shared" si="175"/>
        <v>16900</v>
      </c>
      <c r="K2305" s="1">
        <f t="shared" si="176"/>
        <v>15376</v>
      </c>
      <c r="L2305" s="1">
        <f t="shared" si="177"/>
        <v>32276</v>
      </c>
      <c r="M2305" s="1">
        <f t="shared" si="178"/>
        <v>179.655225362359</v>
      </c>
      <c r="N2305" s="7">
        <f t="shared" si="179"/>
        <v>179.655225362359</v>
      </c>
    </row>
    <row r="2306" spans="1:14" x14ac:dyDescent="0.25">
      <c r="A2306" t="str">
        <f>"14:28:47.398"</f>
        <v>14:28:47.398</v>
      </c>
      <c r="B2306">
        <v>39.972768000000002</v>
      </c>
      <c r="C2306">
        <v>-75.592181999999994</v>
      </c>
      <c r="D2306">
        <v>4700</v>
      </c>
      <c r="E2306">
        <v>4875</v>
      </c>
      <c r="F2306">
        <v>130</v>
      </c>
      <c r="G2306">
        <v>124</v>
      </c>
      <c r="H2306">
        <v>64</v>
      </c>
      <c r="J2306" s="1">
        <f t="shared" si="175"/>
        <v>16900</v>
      </c>
      <c r="K2306" s="1">
        <f t="shared" si="176"/>
        <v>15376</v>
      </c>
      <c r="L2306" s="1">
        <f t="shared" si="177"/>
        <v>32276</v>
      </c>
      <c r="M2306" s="1">
        <f t="shared" si="178"/>
        <v>179.655225362359</v>
      </c>
      <c r="N2306" s="7">
        <f t="shared" si="179"/>
        <v>179.655225362359</v>
      </c>
    </row>
    <row r="2307" spans="1:14" x14ac:dyDescent="0.25">
      <c r="A2307" t="str">
        <f>"14:28:48.359"</f>
        <v>14:28:48.359</v>
      </c>
      <c r="B2307">
        <v>39.973261000000001</v>
      </c>
      <c r="C2307">
        <v>-75.591494999999995</v>
      </c>
      <c r="D2307">
        <v>4700</v>
      </c>
      <c r="E2307">
        <v>4875</v>
      </c>
      <c r="F2307">
        <v>130</v>
      </c>
      <c r="G2307">
        <v>124</v>
      </c>
      <c r="H2307">
        <v>64</v>
      </c>
      <c r="J2307" s="1">
        <f t="shared" ref="J2307:J2370" si="180">F2307^2</f>
        <v>16900</v>
      </c>
      <c r="K2307" s="1">
        <f t="shared" ref="K2307:K2370" si="181">G2307^2</f>
        <v>15376</v>
      </c>
      <c r="L2307" s="1">
        <f t="shared" ref="L2307:L2370" si="182">SUMSQ(F2307,G2307)</f>
        <v>32276</v>
      </c>
      <c r="M2307" s="1">
        <f t="shared" ref="M2307:M2370" si="183">SQRT(L2307)</f>
        <v>179.655225362359</v>
      </c>
      <c r="N2307" s="7">
        <f t="shared" ref="N2307:N2370" si="184">M2307</f>
        <v>179.655225362359</v>
      </c>
    </row>
    <row r="2308" spans="1:14" x14ac:dyDescent="0.25">
      <c r="A2308" t="str">
        <f>"14:28:49.367"</f>
        <v>14:28:49.367</v>
      </c>
      <c r="B2308">
        <v>39.973841</v>
      </c>
      <c r="C2308">
        <v>-75.590700999999996</v>
      </c>
      <c r="D2308">
        <v>4700</v>
      </c>
      <c r="E2308">
        <v>4875</v>
      </c>
      <c r="F2308">
        <v>131</v>
      </c>
      <c r="G2308">
        <v>124</v>
      </c>
      <c r="H2308">
        <v>0</v>
      </c>
      <c r="J2308" s="1">
        <f t="shared" si="180"/>
        <v>17161</v>
      </c>
      <c r="K2308" s="1">
        <f t="shared" si="181"/>
        <v>15376</v>
      </c>
      <c r="L2308" s="1">
        <f t="shared" si="182"/>
        <v>32537</v>
      </c>
      <c r="M2308" s="1">
        <f t="shared" si="183"/>
        <v>180.38015411901608</v>
      </c>
      <c r="N2308" s="7">
        <f t="shared" si="184"/>
        <v>180.38015411901608</v>
      </c>
    </row>
    <row r="2309" spans="1:14" x14ac:dyDescent="0.25">
      <c r="A2309" t="str">
        <f>"14:28:50.180"</f>
        <v>14:28:50.180</v>
      </c>
      <c r="B2309">
        <v>39.974356</v>
      </c>
      <c r="C2309">
        <v>-75.589993000000007</v>
      </c>
      <c r="D2309">
        <v>4700</v>
      </c>
      <c r="E2309">
        <v>4875</v>
      </c>
      <c r="F2309">
        <v>130</v>
      </c>
      <c r="G2309">
        <v>124</v>
      </c>
      <c r="H2309">
        <v>0</v>
      </c>
      <c r="J2309" s="1">
        <f t="shared" si="180"/>
        <v>16900</v>
      </c>
      <c r="K2309" s="1">
        <f t="shared" si="181"/>
        <v>15376</v>
      </c>
      <c r="L2309" s="1">
        <f t="shared" si="182"/>
        <v>32276</v>
      </c>
      <c r="M2309" s="1">
        <f t="shared" si="183"/>
        <v>179.655225362359</v>
      </c>
      <c r="N2309" s="7">
        <f t="shared" si="184"/>
        <v>179.655225362359</v>
      </c>
    </row>
    <row r="2310" spans="1:14" x14ac:dyDescent="0.25">
      <c r="A2310" t="str">
        <f>"14:28:51.039"</f>
        <v>14:28:51.039</v>
      </c>
      <c r="B2310">
        <v>39.974828000000002</v>
      </c>
      <c r="C2310">
        <v>-75.589371</v>
      </c>
      <c r="D2310">
        <v>4700</v>
      </c>
      <c r="E2310">
        <v>4875</v>
      </c>
      <c r="F2310">
        <v>130</v>
      </c>
      <c r="G2310">
        <v>124</v>
      </c>
      <c r="H2310">
        <v>0</v>
      </c>
      <c r="J2310" s="1">
        <f t="shared" si="180"/>
        <v>16900</v>
      </c>
      <c r="K2310" s="1">
        <f t="shared" si="181"/>
        <v>15376</v>
      </c>
      <c r="L2310" s="1">
        <f t="shared" si="182"/>
        <v>32276</v>
      </c>
      <c r="M2310" s="1">
        <f t="shared" si="183"/>
        <v>179.655225362359</v>
      </c>
      <c r="N2310" s="7">
        <f t="shared" si="184"/>
        <v>179.655225362359</v>
      </c>
    </row>
    <row r="2311" spans="1:14" x14ac:dyDescent="0.25">
      <c r="A2311" t="str">
        <f>"14:28:51.992"</f>
        <v>14:28:51.992</v>
      </c>
      <c r="B2311">
        <v>39.975363999999999</v>
      </c>
      <c r="C2311">
        <v>-75.588620000000006</v>
      </c>
      <c r="D2311">
        <v>4700</v>
      </c>
      <c r="E2311">
        <v>4875</v>
      </c>
      <c r="F2311">
        <v>130</v>
      </c>
      <c r="G2311">
        <v>124</v>
      </c>
      <c r="H2311">
        <v>-64</v>
      </c>
      <c r="J2311" s="1">
        <f t="shared" si="180"/>
        <v>16900</v>
      </c>
      <c r="K2311" s="1">
        <f t="shared" si="181"/>
        <v>15376</v>
      </c>
      <c r="L2311" s="1">
        <f t="shared" si="182"/>
        <v>32276</v>
      </c>
      <c r="M2311" s="1">
        <f t="shared" si="183"/>
        <v>179.655225362359</v>
      </c>
      <c r="N2311" s="7">
        <f t="shared" si="184"/>
        <v>179.655225362359</v>
      </c>
    </row>
    <row r="2312" spans="1:14" x14ac:dyDescent="0.25">
      <c r="A2312" t="str">
        <f>"14:28:52.906"</f>
        <v>14:28:52.906</v>
      </c>
      <c r="B2312">
        <v>39.975858000000002</v>
      </c>
      <c r="C2312">
        <v>-75.587933000000007</v>
      </c>
      <c r="D2312">
        <v>4700</v>
      </c>
      <c r="E2312">
        <v>4875</v>
      </c>
      <c r="F2312">
        <v>131</v>
      </c>
      <c r="G2312">
        <v>123</v>
      </c>
      <c r="H2312">
        <v>0</v>
      </c>
      <c r="J2312" s="1">
        <f t="shared" si="180"/>
        <v>17161</v>
      </c>
      <c r="K2312" s="1">
        <f t="shared" si="181"/>
        <v>15129</v>
      </c>
      <c r="L2312" s="1">
        <f t="shared" si="182"/>
        <v>32290</v>
      </c>
      <c r="M2312" s="1">
        <f t="shared" si="183"/>
        <v>179.6941846582688</v>
      </c>
      <c r="N2312" s="7">
        <f t="shared" si="184"/>
        <v>179.6941846582688</v>
      </c>
    </row>
    <row r="2313" spans="1:14" x14ac:dyDescent="0.25">
      <c r="A2313" t="str">
        <f>"14:28:53.914"</f>
        <v>14:28:53.914</v>
      </c>
      <c r="B2313">
        <v>39.976500999999999</v>
      </c>
      <c r="C2313">
        <v>-75.587096000000003</v>
      </c>
      <c r="D2313">
        <v>4700</v>
      </c>
      <c r="E2313">
        <v>4875</v>
      </c>
      <c r="F2313">
        <v>130</v>
      </c>
      <c r="G2313">
        <v>124</v>
      </c>
      <c r="H2313">
        <v>0</v>
      </c>
      <c r="J2313" s="1">
        <f t="shared" si="180"/>
        <v>16900</v>
      </c>
      <c r="K2313" s="1">
        <f t="shared" si="181"/>
        <v>15376</v>
      </c>
      <c r="L2313" s="1">
        <f t="shared" si="182"/>
        <v>32276</v>
      </c>
      <c r="M2313" s="1">
        <f t="shared" si="183"/>
        <v>179.655225362359</v>
      </c>
      <c r="N2313" s="7">
        <f t="shared" si="184"/>
        <v>179.655225362359</v>
      </c>
    </row>
    <row r="2314" spans="1:14" x14ac:dyDescent="0.25">
      <c r="A2314" t="str">
        <f>"14:28:54.719"</f>
        <v>14:28:54.719</v>
      </c>
      <c r="B2314">
        <v>39.976951999999997</v>
      </c>
      <c r="C2314">
        <v>-75.586431000000005</v>
      </c>
      <c r="D2314">
        <v>4700</v>
      </c>
      <c r="E2314">
        <v>4875</v>
      </c>
      <c r="F2314">
        <v>130</v>
      </c>
      <c r="G2314">
        <v>124</v>
      </c>
      <c r="H2314">
        <v>64</v>
      </c>
      <c r="J2314" s="1">
        <f t="shared" si="180"/>
        <v>16900</v>
      </c>
      <c r="K2314" s="1">
        <f t="shared" si="181"/>
        <v>15376</v>
      </c>
      <c r="L2314" s="1">
        <f t="shared" si="182"/>
        <v>32276</v>
      </c>
      <c r="M2314" s="1">
        <f t="shared" si="183"/>
        <v>179.655225362359</v>
      </c>
      <c r="N2314" s="7">
        <f t="shared" si="184"/>
        <v>179.655225362359</v>
      </c>
    </row>
    <row r="2315" spans="1:14" x14ac:dyDescent="0.25">
      <c r="A2315" t="str">
        <f>"14:28:55.734"</f>
        <v>14:28:55.734</v>
      </c>
      <c r="B2315">
        <v>39.977510000000002</v>
      </c>
      <c r="C2315">
        <v>-75.585701</v>
      </c>
      <c r="D2315">
        <v>4700</v>
      </c>
      <c r="E2315">
        <v>4875</v>
      </c>
      <c r="F2315">
        <v>130</v>
      </c>
      <c r="G2315">
        <v>124</v>
      </c>
      <c r="H2315">
        <v>192</v>
      </c>
      <c r="J2315" s="1">
        <f t="shared" si="180"/>
        <v>16900</v>
      </c>
      <c r="K2315" s="1">
        <f t="shared" si="181"/>
        <v>15376</v>
      </c>
      <c r="L2315" s="1">
        <f t="shared" si="182"/>
        <v>32276</v>
      </c>
      <c r="M2315" s="1">
        <f t="shared" si="183"/>
        <v>179.655225362359</v>
      </c>
      <c r="N2315" s="7">
        <f t="shared" si="184"/>
        <v>179.655225362359</v>
      </c>
    </row>
    <row r="2316" spans="1:14" x14ac:dyDescent="0.25">
      <c r="A2316" t="str">
        <f>"14:28:56.844"</f>
        <v>14:28:56.844</v>
      </c>
      <c r="B2316">
        <v>39.978132000000002</v>
      </c>
      <c r="C2316">
        <v>-75.584822000000003</v>
      </c>
      <c r="D2316">
        <v>4700</v>
      </c>
      <c r="E2316">
        <v>4875</v>
      </c>
      <c r="F2316">
        <v>131</v>
      </c>
      <c r="G2316">
        <v>124</v>
      </c>
      <c r="H2316">
        <v>64</v>
      </c>
      <c r="J2316" s="1">
        <f t="shared" si="180"/>
        <v>17161</v>
      </c>
      <c r="K2316" s="1">
        <f t="shared" si="181"/>
        <v>15376</v>
      </c>
      <c r="L2316" s="1">
        <f t="shared" si="182"/>
        <v>32537</v>
      </c>
      <c r="M2316" s="1">
        <f t="shared" si="183"/>
        <v>180.38015411901608</v>
      </c>
      <c r="N2316" s="7">
        <f t="shared" si="184"/>
        <v>180.38015411901608</v>
      </c>
    </row>
    <row r="2317" spans="1:14" x14ac:dyDescent="0.25">
      <c r="A2317" t="str">
        <f>"14:28:57.906"</f>
        <v>14:28:57.906</v>
      </c>
      <c r="B2317">
        <v>39.978797</v>
      </c>
      <c r="C2317">
        <v>-75.583920000000006</v>
      </c>
      <c r="D2317">
        <v>4700</v>
      </c>
      <c r="E2317">
        <v>4875</v>
      </c>
      <c r="F2317">
        <v>131</v>
      </c>
      <c r="G2317">
        <v>123</v>
      </c>
      <c r="H2317">
        <v>128</v>
      </c>
      <c r="J2317" s="1">
        <f t="shared" si="180"/>
        <v>17161</v>
      </c>
      <c r="K2317" s="1">
        <f t="shared" si="181"/>
        <v>15129</v>
      </c>
      <c r="L2317" s="1">
        <f t="shared" si="182"/>
        <v>32290</v>
      </c>
      <c r="M2317" s="1">
        <f t="shared" si="183"/>
        <v>179.6941846582688</v>
      </c>
      <c r="N2317" s="7">
        <f t="shared" si="184"/>
        <v>179.6941846582688</v>
      </c>
    </row>
    <row r="2318" spans="1:14" x14ac:dyDescent="0.25">
      <c r="A2318" t="str">
        <f>"14:28:58.758"</f>
        <v>14:28:58.758</v>
      </c>
      <c r="B2318">
        <v>39.979291000000003</v>
      </c>
      <c r="C2318">
        <v>-75.583254999999994</v>
      </c>
      <c r="D2318">
        <v>4700</v>
      </c>
      <c r="E2318">
        <v>4900</v>
      </c>
      <c r="F2318">
        <v>131</v>
      </c>
      <c r="G2318">
        <v>123</v>
      </c>
      <c r="H2318">
        <v>64</v>
      </c>
      <c r="J2318" s="1">
        <f t="shared" si="180"/>
        <v>17161</v>
      </c>
      <c r="K2318" s="1">
        <f t="shared" si="181"/>
        <v>15129</v>
      </c>
      <c r="L2318" s="1">
        <f t="shared" si="182"/>
        <v>32290</v>
      </c>
      <c r="M2318" s="1">
        <f t="shared" si="183"/>
        <v>179.6941846582688</v>
      </c>
      <c r="N2318" s="7">
        <f t="shared" si="184"/>
        <v>179.6941846582688</v>
      </c>
    </row>
    <row r="2319" spans="1:14" x14ac:dyDescent="0.25">
      <c r="A2319" t="str">
        <f>"14:28:59.773"</f>
        <v>14:28:59.773</v>
      </c>
      <c r="B2319">
        <v>39.979806000000004</v>
      </c>
      <c r="C2319">
        <v>-75.582526000000001</v>
      </c>
      <c r="D2319">
        <v>4700</v>
      </c>
      <c r="E2319">
        <v>4900</v>
      </c>
      <c r="F2319">
        <v>131</v>
      </c>
      <c r="G2319">
        <v>123</v>
      </c>
      <c r="H2319">
        <v>192</v>
      </c>
      <c r="J2319" s="1">
        <f t="shared" si="180"/>
        <v>17161</v>
      </c>
      <c r="K2319" s="1">
        <f t="shared" si="181"/>
        <v>15129</v>
      </c>
      <c r="L2319" s="1">
        <f t="shared" si="182"/>
        <v>32290</v>
      </c>
      <c r="M2319" s="1">
        <f t="shared" si="183"/>
        <v>179.6941846582688</v>
      </c>
      <c r="N2319" s="7">
        <f t="shared" si="184"/>
        <v>179.6941846582688</v>
      </c>
    </row>
    <row r="2320" spans="1:14" x14ac:dyDescent="0.25">
      <c r="A2320" t="str">
        <f>"14:29:00.680"</f>
        <v>14:29:00.680</v>
      </c>
      <c r="B2320">
        <v>39.980321000000004</v>
      </c>
      <c r="C2320">
        <v>-75.581817999999998</v>
      </c>
      <c r="D2320">
        <v>4700</v>
      </c>
      <c r="E2320">
        <v>4900</v>
      </c>
      <c r="F2320">
        <v>131</v>
      </c>
      <c r="G2320">
        <v>123</v>
      </c>
      <c r="H2320">
        <v>64</v>
      </c>
      <c r="J2320" s="1">
        <f t="shared" si="180"/>
        <v>17161</v>
      </c>
      <c r="K2320" s="1">
        <f t="shared" si="181"/>
        <v>15129</v>
      </c>
      <c r="L2320" s="1">
        <f t="shared" si="182"/>
        <v>32290</v>
      </c>
      <c r="M2320" s="1">
        <f t="shared" si="183"/>
        <v>179.6941846582688</v>
      </c>
      <c r="N2320" s="7">
        <f t="shared" si="184"/>
        <v>179.6941846582688</v>
      </c>
    </row>
    <row r="2321" spans="1:14" x14ac:dyDescent="0.25">
      <c r="A2321" t="str">
        <f>"14:29:01.641"</f>
        <v>14:29:01.641</v>
      </c>
      <c r="B2321">
        <v>39.980879000000002</v>
      </c>
      <c r="C2321">
        <v>-75.581001999999998</v>
      </c>
      <c r="D2321">
        <v>4700</v>
      </c>
      <c r="E2321">
        <v>4900</v>
      </c>
      <c r="F2321">
        <v>131</v>
      </c>
      <c r="G2321">
        <v>122</v>
      </c>
      <c r="H2321">
        <v>-64</v>
      </c>
      <c r="J2321" s="1">
        <f t="shared" si="180"/>
        <v>17161</v>
      </c>
      <c r="K2321" s="1">
        <f t="shared" si="181"/>
        <v>14884</v>
      </c>
      <c r="L2321" s="1">
        <f t="shared" si="182"/>
        <v>32045</v>
      </c>
      <c r="M2321" s="1">
        <f t="shared" si="183"/>
        <v>179.0111728356641</v>
      </c>
      <c r="N2321" s="7">
        <f t="shared" si="184"/>
        <v>179.0111728356641</v>
      </c>
    </row>
    <row r="2322" spans="1:14" x14ac:dyDescent="0.25">
      <c r="A2322" t="str">
        <f>"14:29:02.703"</f>
        <v>14:29:02.703</v>
      </c>
      <c r="B2322">
        <v>39.981501000000002</v>
      </c>
      <c r="C2322">
        <v>-75.580144000000004</v>
      </c>
      <c r="D2322">
        <v>4700</v>
      </c>
      <c r="E2322">
        <v>4900</v>
      </c>
      <c r="F2322">
        <v>132</v>
      </c>
      <c r="G2322">
        <v>122</v>
      </c>
      <c r="H2322">
        <v>64</v>
      </c>
      <c r="J2322" s="1">
        <f t="shared" si="180"/>
        <v>17424</v>
      </c>
      <c r="K2322" s="1">
        <f t="shared" si="181"/>
        <v>14884</v>
      </c>
      <c r="L2322" s="1">
        <f t="shared" si="182"/>
        <v>32308</v>
      </c>
      <c r="M2322" s="1">
        <f t="shared" si="183"/>
        <v>179.74426277353055</v>
      </c>
      <c r="N2322" s="7">
        <f t="shared" si="184"/>
        <v>179.74426277353055</v>
      </c>
    </row>
    <row r="2323" spans="1:14" x14ac:dyDescent="0.25">
      <c r="A2323" t="str">
        <f>"14:29:03.656"</f>
        <v>14:29:03.656</v>
      </c>
      <c r="B2323">
        <v>39.981994999999998</v>
      </c>
      <c r="C2323">
        <v>-75.579436000000001</v>
      </c>
      <c r="D2323">
        <v>4700</v>
      </c>
      <c r="E2323">
        <v>4900</v>
      </c>
      <c r="F2323">
        <v>132</v>
      </c>
      <c r="G2323">
        <v>122</v>
      </c>
      <c r="H2323">
        <v>64</v>
      </c>
      <c r="J2323" s="1">
        <f t="shared" si="180"/>
        <v>17424</v>
      </c>
      <c r="K2323" s="1">
        <f t="shared" si="181"/>
        <v>14884</v>
      </c>
      <c r="L2323" s="1">
        <f t="shared" si="182"/>
        <v>32308</v>
      </c>
      <c r="M2323" s="1">
        <f t="shared" si="183"/>
        <v>179.74426277353055</v>
      </c>
      <c r="N2323" s="7">
        <f t="shared" si="184"/>
        <v>179.74426277353055</v>
      </c>
    </row>
    <row r="2324" spans="1:14" x14ac:dyDescent="0.25">
      <c r="A2324" t="str">
        <f>"14:29:04.820"</f>
        <v>14:29:04.820</v>
      </c>
      <c r="B2324">
        <v>39.982703000000001</v>
      </c>
      <c r="C2324">
        <v>-75.578513000000001</v>
      </c>
      <c r="D2324">
        <v>4700</v>
      </c>
      <c r="E2324">
        <v>4900</v>
      </c>
      <c r="F2324">
        <v>131</v>
      </c>
      <c r="G2324">
        <v>123</v>
      </c>
      <c r="H2324">
        <v>64</v>
      </c>
      <c r="J2324" s="1">
        <f t="shared" si="180"/>
        <v>17161</v>
      </c>
      <c r="K2324" s="1">
        <f t="shared" si="181"/>
        <v>15129</v>
      </c>
      <c r="L2324" s="1">
        <f t="shared" si="182"/>
        <v>32290</v>
      </c>
      <c r="M2324" s="1">
        <f t="shared" si="183"/>
        <v>179.6941846582688</v>
      </c>
      <c r="N2324" s="7">
        <f t="shared" si="184"/>
        <v>179.6941846582688</v>
      </c>
    </row>
    <row r="2325" spans="1:14" x14ac:dyDescent="0.25">
      <c r="A2325" t="str">
        <f>"14:29:05.727"</f>
        <v>14:29:05.727</v>
      </c>
      <c r="B2325">
        <v>39.983175000000003</v>
      </c>
      <c r="C2325">
        <v>-75.577762000000007</v>
      </c>
      <c r="D2325">
        <v>4700</v>
      </c>
      <c r="E2325">
        <v>4900</v>
      </c>
      <c r="F2325">
        <v>131</v>
      </c>
      <c r="G2325">
        <v>123</v>
      </c>
      <c r="H2325">
        <v>-64</v>
      </c>
      <c r="J2325" s="1">
        <f t="shared" si="180"/>
        <v>17161</v>
      </c>
      <c r="K2325" s="1">
        <f t="shared" si="181"/>
        <v>15129</v>
      </c>
      <c r="L2325" s="1">
        <f t="shared" si="182"/>
        <v>32290</v>
      </c>
      <c r="M2325" s="1">
        <f t="shared" si="183"/>
        <v>179.6941846582688</v>
      </c>
      <c r="N2325" s="7">
        <f t="shared" si="184"/>
        <v>179.6941846582688</v>
      </c>
    </row>
    <row r="2326" spans="1:14" x14ac:dyDescent="0.25">
      <c r="A2326" t="str">
        <f>"14:29:06.789"</f>
        <v>14:29:06.789</v>
      </c>
      <c r="B2326">
        <v>39.983818999999997</v>
      </c>
      <c r="C2326">
        <v>-75.576881999999998</v>
      </c>
      <c r="D2326">
        <v>4700</v>
      </c>
      <c r="E2326">
        <v>4900</v>
      </c>
      <c r="F2326">
        <v>131</v>
      </c>
      <c r="G2326">
        <v>124</v>
      </c>
      <c r="H2326">
        <v>0</v>
      </c>
      <c r="J2326" s="1">
        <f t="shared" si="180"/>
        <v>17161</v>
      </c>
      <c r="K2326" s="1">
        <f t="shared" si="181"/>
        <v>15376</v>
      </c>
      <c r="L2326" s="1">
        <f t="shared" si="182"/>
        <v>32537</v>
      </c>
      <c r="M2326" s="1">
        <f t="shared" si="183"/>
        <v>180.38015411901608</v>
      </c>
      <c r="N2326" s="7">
        <f t="shared" si="184"/>
        <v>180.38015411901608</v>
      </c>
    </row>
    <row r="2327" spans="1:14" x14ac:dyDescent="0.25">
      <c r="A2327" t="str">
        <f>"14:29:07.898"</f>
        <v>14:29:07.898</v>
      </c>
      <c r="B2327">
        <v>39.984462000000001</v>
      </c>
      <c r="C2327">
        <v>-75.576046000000005</v>
      </c>
      <c r="D2327">
        <v>4700</v>
      </c>
      <c r="E2327">
        <v>4900</v>
      </c>
      <c r="F2327">
        <v>131</v>
      </c>
      <c r="G2327">
        <v>124</v>
      </c>
      <c r="H2327">
        <v>-64</v>
      </c>
      <c r="J2327" s="1">
        <f t="shared" si="180"/>
        <v>17161</v>
      </c>
      <c r="K2327" s="1">
        <f t="shared" si="181"/>
        <v>15376</v>
      </c>
      <c r="L2327" s="1">
        <f t="shared" si="182"/>
        <v>32537</v>
      </c>
      <c r="M2327" s="1">
        <f t="shared" si="183"/>
        <v>180.38015411901608</v>
      </c>
      <c r="N2327" s="7">
        <f t="shared" si="184"/>
        <v>180.38015411901608</v>
      </c>
    </row>
    <row r="2328" spans="1:14" x14ac:dyDescent="0.25">
      <c r="A2328" t="str">
        <f>"14:29:08.961"</f>
        <v>14:29:08.961</v>
      </c>
      <c r="B2328">
        <v>39.985019999999999</v>
      </c>
      <c r="C2328">
        <v>-75.575252000000006</v>
      </c>
      <c r="D2328">
        <v>4700</v>
      </c>
      <c r="E2328">
        <v>4900</v>
      </c>
      <c r="F2328">
        <v>131</v>
      </c>
      <c r="G2328">
        <v>123</v>
      </c>
      <c r="H2328">
        <v>0</v>
      </c>
      <c r="J2328" s="1">
        <f t="shared" si="180"/>
        <v>17161</v>
      </c>
      <c r="K2328" s="1">
        <f t="shared" si="181"/>
        <v>15129</v>
      </c>
      <c r="L2328" s="1">
        <f t="shared" si="182"/>
        <v>32290</v>
      </c>
      <c r="M2328" s="1">
        <f t="shared" si="183"/>
        <v>179.6941846582688</v>
      </c>
      <c r="N2328" s="7">
        <f t="shared" si="184"/>
        <v>179.6941846582688</v>
      </c>
    </row>
    <row r="2329" spans="1:14" x14ac:dyDescent="0.25">
      <c r="A2329" t="str">
        <f>"14:29:09.969"</f>
        <v>14:29:09.969</v>
      </c>
      <c r="B2329">
        <v>39.985621000000002</v>
      </c>
      <c r="C2329">
        <v>-75.574458000000007</v>
      </c>
      <c r="D2329">
        <v>4700</v>
      </c>
      <c r="E2329">
        <v>4900</v>
      </c>
      <c r="F2329">
        <v>131</v>
      </c>
      <c r="G2329">
        <v>124</v>
      </c>
      <c r="H2329">
        <v>0</v>
      </c>
      <c r="J2329" s="1">
        <f t="shared" si="180"/>
        <v>17161</v>
      </c>
      <c r="K2329" s="1">
        <f t="shared" si="181"/>
        <v>15376</v>
      </c>
      <c r="L2329" s="1">
        <f t="shared" si="182"/>
        <v>32537</v>
      </c>
      <c r="M2329" s="1">
        <f t="shared" si="183"/>
        <v>180.38015411901608</v>
      </c>
      <c r="N2329" s="7">
        <f t="shared" si="184"/>
        <v>180.38015411901608</v>
      </c>
    </row>
    <row r="2330" spans="1:14" x14ac:dyDescent="0.25">
      <c r="A2330" t="str">
        <f>"14:29:10.930"</f>
        <v>14:29:10.930</v>
      </c>
      <c r="B2330">
        <v>39.986156999999999</v>
      </c>
      <c r="C2330">
        <v>-75.573663999999994</v>
      </c>
      <c r="D2330">
        <v>4700</v>
      </c>
      <c r="E2330">
        <v>4900</v>
      </c>
      <c r="F2330">
        <v>131</v>
      </c>
      <c r="G2330">
        <v>124</v>
      </c>
      <c r="H2330">
        <v>-128</v>
      </c>
      <c r="J2330" s="1">
        <f t="shared" si="180"/>
        <v>17161</v>
      </c>
      <c r="K2330" s="1">
        <f t="shared" si="181"/>
        <v>15376</v>
      </c>
      <c r="L2330" s="1">
        <f t="shared" si="182"/>
        <v>32537</v>
      </c>
      <c r="M2330" s="1">
        <f t="shared" si="183"/>
        <v>180.38015411901608</v>
      </c>
      <c r="N2330" s="7">
        <f t="shared" si="184"/>
        <v>180.38015411901608</v>
      </c>
    </row>
    <row r="2331" spans="1:14" x14ac:dyDescent="0.25">
      <c r="A2331" t="str">
        <f>"14:29:11.836"</f>
        <v>14:29:11.836</v>
      </c>
      <c r="B2331">
        <v>39.986694</v>
      </c>
      <c r="C2331">
        <v>-75.572956000000005</v>
      </c>
      <c r="D2331">
        <v>4700</v>
      </c>
      <c r="E2331">
        <v>4900</v>
      </c>
      <c r="F2331">
        <v>131</v>
      </c>
      <c r="G2331">
        <v>124</v>
      </c>
      <c r="H2331">
        <v>-128</v>
      </c>
      <c r="J2331" s="1">
        <f t="shared" si="180"/>
        <v>17161</v>
      </c>
      <c r="K2331" s="1">
        <f t="shared" si="181"/>
        <v>15376</v>
      </c>
      <c r="L2331" s="1">
        <f t="shared" si="182"/>
        <v>32537</v>
      </c>
      <c r="M2331" s="1">
        <f t="shared" si="183"/>
        <v>180.38015411901608</v>
      </c>
      <c r="N2331" s="7">
        <f t="shared" si="184"/>
        <v>180.38015411901608</v>
      </c>
    </row>
    <row r="2332" spans="1:14" x14ac:dyDescent="0.25">
      <c r="A2332" t="str">
        <f>"14:29:12.945"</f>
        <v>14:29:12.945</v>
      </c>
      <c r="B2332">
        <v>39.987295000000003</v>
      </c>
      <c r="C2332">
        <v>-75.572075999999996</v>
      </c>
      <c r="D2332">
        <v>4700</v>
      </c>
      <c r="E2332">
        <v>4900</v>
      </c>
      <c r="F2332">
        <v>131</v>
      </c>
      <c r="G2332">
        <v>124</v>
      </c>
      <c r="H2332">
        <v>0</v>
      </c>
      <c r="J2332" s="1">
        <f t="shared" si="180"/>
        <v>17161</v>
      </c>
      <c r="K2332" s="1">
        <f t="shared" si="181"/>
        <v>15376</v>
      </c>
      <c r="L2332" s="1">
        <f t="shared" si="182"/>
        <v>32537</v>
      </c>
      <c r="M2332" s="1">
        <f t="shared" si="183"/>
        <v>180.38015411901608</v>
      </c>
      <c r="N2332" s="7">
        <f t="shared" si="184"/>
        <v>180.38015411901608</v>
      </c>
    </row>
    <row r="2333" spans="1:14" x14ac:dyDescent="0.25">
      <c r="A2333" t="str">
        <f>"14:29:13.906"</f>
        <v>14:29:13.906</v>
      </c>
      <c r="B2333">
        <v>39.987895000000002</v>
      </c>
      <c r="C2333">
        <v>-75.571281999999997</v>
      </c>
      <c r="D2333">
        <v>4700</v>
      </c>
      <c r="E2333">
        <v>4900</v>
      </c>
      <c r="F2333">
        <v>131</v>
      </c>
      <c r="G2333">
        <v>124</v>
      </c>
      <c r="H2333">
        <v>64</v>
      </c>
      <c r="J2333" s="1">
        <f t="shared" si="180"/>
        <v>17161</v>
      </c>
      <c r="K2333" s="1">
        <f t="shared" si="181"/>
        <v>15376</v>
      </c>
      <c r="L2333" s="1">
        <f t="shared" si="182"/>
        <v>32537</v>
      </c>
      <c r="M2333" s="1">
        <f t="shared" si="183"/>
        <v>180.38015411901608</v>
      </c>
      <c r="N2333" s="7">
        <f t="shared" si="184"/>
        <v>180.38015411901608</v>
      </c>
    </row>
    <row r="2334" spans="1:14" x14ac:dyDescent="0.25">
      <c r="A2334" t="str">
        <f>"14:29:14.813"</f>
        <v>14:29:14.813</v>
      </c>
      <c r="B2334">
        <v>39.988410000000002</v>
      </c>
      <c r="C2334">
        <v>-75.570573999999993</v>
      </c>
      <c r="D2334">
        <v>4700</v>
      </c>
      <c r="E2334">
        <v>4900</v>
      </c>
      <c r="F2334">
        <v>131</v>
      </c>
      <c r="G2334">
        <v>124</v>
      </c>
      <c r="H2334">
        <v>0</v>
      </c>
      <c r="J2334" s="1">
        <f t="shared" si="180"/>
        <v>17161</v>
      </c>
      <c r="K2334" s="1">
        <f t="shared" si="181"/>
        <v>15376</v>
      </c>
      <c r="L2334" s="1">
        <f t="shared" si="182"/>
        <v>32537</v>
      </c>
      <c r="M2334" s="1">
        <f t="shared" si="183"/>
        <v>180.38015411901608</v>
      </c>
      <c r="N2334" s="7">
        <f t="shared" si="184"/>
        <v>180.38015411901608</v>
      </c>
    </row>
    <row r="2335" spans="1:14" x14ac:dyDescent="0.25">
      <c r="A2335" t="str">
        <f>"14:29:15.773"</f>
        <v>14:29:15.773</v>
      </c>
      <c r="B2335">
        <v>39.988903999999998</v>
      </c>
      <c r="C2335">
        <v>-75.569886999999994</v>
      </c>
      <c r="D2335">
        <v>4700</v>
      </c>
      <c r="E2335">
        <v>4900</v>
      </c>
      <c r="F2335">
        <v>131</v>
      </c>
      <c r="G2335">
        <v>124</v>
      </c>
      <c r="H2335">
        <v>0</v>
      </c>
      <c r="J2335" s="1">
        <f t="shared" si="180"/>
        <v>17161</v>
      </c>
      <c r="K2335" s="1">
        <f t="shared" si="181"/>
        <v>15376</v>
      </c>
      <c r="L2335" s="1">
        <f t="shared" si="182"/>
        <v>32537</v>
      </c>
      <c r="M2335" s="1">
        <f t="shared" si="183"/>
        <v>180.38015411901608</v>
      </c>
      <c r="N2335" s="7">
        <f t="shared" si="184"/>
        <v>180.38015411901608</v>
      </c>
    </row>
    <row r="2336" spans="1:14" x14ac:dyDescent="0.25">
      <c r="A2336" t="str">
        <f>"14:29:16.734"</f>
        <v>14:29:16.734</v>
      </c>
      <c r="B2336">
        <v>39.989505000000001</v>
      </c>
      <c r="C2336">
        <v>-75.569092999999995</v>
      </c>
      <c r="D2336">
        <v>4700</v>
      </c>
      <c r="E2336">
        <v>4900</v>
      </c>
      <c r="F2336">
        <v>131</v>
      </c>
      <c r="G2336">
        <v>124</v>
      </c>
      <c r="H2336">
        <v>0</v>
      </c>
      <c r="J2336" s="1">
        <f t="shared" si="180"/>
        <v>17161</v>
      </c>
      <c r="K2336" s="1">
        <f t="shared" si="181"/>
        <v>15376</v>
      </c>
      <c r="L2336" s="1">
        <f t="shared" si="182"/>
        <v>32537</v>
      </c>
      <c r="M2336" s="1">
        <f t="shared" si="183"/>
        <v>180.38015411901608</v>
      </c>
      <c r="N2336" s="7">
        <f t="shared" si="184"/>
        <v>180.38015411901608</v>
      </c>
    </row>
    <row r="2337" spans="1:14" x14ac:dyDescent="0.25">
      <c r="A2337" t="str">
        <f>"14:29:17.742"</f>
        <v>14:29:17.742</v>
      </c>
      <c r="B2337">
        <v>39.990105999999997</v>
      </c>
      <c r="C2337">
        <v>-75.568298999999996</v>
      </c>
      <c r="D2337">
        <v>4700</v>
      </c>
      <c r="E2337">
        <v>4900</v>
      </c>
      <c r="F2337">
        <v>131</v>
      </c>
      <c r="G2337">
        <v>124</v>
      </c>
      <c r="H2337">
        <v>-64</v>
      </c>
      <c r="J2337" s="1">
        <f t="shared" si="180"/>
        <v>17161</v>
      </c>
      <c r="K2337" s="1">
        <f t="shared" si="181"/>
        <v>15376</v>
      </c>
      <c r="L2337" s="1">
        <f t="shared" si="182"/>
        <v>32537</v>
      </c>
      <c r="M2337" s="1">
        <f t="shared" si="183"/>
        <v>180.38015411901608</v>
      </c>
      <c r="N2337" s="7">
        <f t="shared" si="184"/>
        <v>180.38015411901608</v>
      </c>
    </row>
    <row r="2338" spans="1:14" x14ac:dyDescent="0.25">
      <c r="A2338" t="str">
        <f>"14:29:18.750"</f>
        <v>14:29:18.750</v>
      </c>
      <c r="B2338">
        <v>39.990642000000001</v>
      </c>
      <c r="C2338">
        <v>-75.567504999999997</v>
      </c>
      <c r="D2338">
        <v>4700</v>
      </c>
      <c r="E2338">
        <v>4900</v>
      </c>
      <c r="F2338">
        <v>131</v>
      </c>
      <c r="G2338">
        <v>124</v>
      </c>
      <c r="H2338">
        <v>-64</v>
      </c>
      <c r="J2338" s="1">
        <f t="shared" si="180"/>
        <v>17161</v>
      </c>
      <c r="K2338" s="1">
        <f t="shared" si="181"/>
        <v>15376</v>
      </c>
      <c r="L2338" s="1">
        <f t="shared" si="182"/>
        <v>32537</v>
      </c>
      <c r="M2338" s="1">
        <f t="shared" si="183"/>
        <v>180.38015411901608</v>
      </c>
      <c r="N2338" s="7">
        <f t="shared" si="184"/>
        <v>180.38015411901608</v>
      </c>
    </row>
    <row r="2339" spans="1:14" x14ac:dyDescent="0.25">
      <c r="A2339" t="str">
        <f>"14:29:19.711"</f>
        <v>14:29:19.711</v>
      </c>
      <c r="B2339">
        <v>39.991242999999997</v>
      </c>
      <c r="C2339">
        <v>-75.566710999999998</v>
      </c>
      <c r="D2339">
        <v>4700</v>
      </c>
      <c r="E2339">
        <v>4875</v>
      </c>
      <c r="F2339">
        <v>132</v>
      </c>
      <c r="G2339">
        <v>124</v>
      </c>
      <c r="H2339">
        <v>0</v>
      </c>
      <c r="J2339" s="1">
        <f t="shared" si="180"/>
        <v>17424</v>
      </c>
      <c r="K2339" s="1">
        <f t="shared" si="181"/>
        <v>15376</v>
      </c>
      <c r="L2339" s="1">
        <f t="shared" si="182"/>
        <v>32800</v>
      </c>
      <c r="M2339" s="1">
        <f t="shared" si="183"/>
        <v>181.10770276274835</v>
      </c>
      <c r="N2339" s="7">
        <f t="shared" si="184"/>
        <v>181.10770276274835</v>
      </c>
    </row>
    <row r="2340" spans="1:14" x14ac:dyDescent="0.25">
      <c r="A2340" t="str">
        <f>"14:29:20.773"</f>
        <v>14:29:20.773</v>
      </c>
      <c r="B2340">
        <v>39.991864999999997</v>
      </c>
      <c r="C2340">
        <v>-75.565832</v>
      </c>
      <c r="D2340">
        <v>4700</v>
      </c>
      <c r="E2340">
        <v>4900</v>
      </c>
      <c r="F2340">
        <v>132</v>
      </c>
      <c r="G2340">
        <v>124</v>
      </c>
      <c r="H2340">
        <v>64</v>
      </c>
      <c r="J2340" s="1">
        <f t="shared" si="180"/>
        <v>17424</v>
      </c>
      <c r="K2340" s="1">
        <f t="shared" si="181"/>
        <v>15376</v>
      </c>
      <c r="L2340" s="1">
        <f t="shared" si="182"/>
        <v>32800</v>
      </c>
      <c r="M2340" s="1">
        <f t="shared" si="183"/>
        <v>181.10770276274835</v>
      </c>
      <c r="N2340" s="7">
        <f t="shared" si="184"/>
        <v>181.10770276274835</v>
      </c>
    </row>
    <row r="2341" spans="1:14" x14ac:dyDescent="0.25">
      <c r="A2341" t="str">
        <f>"14:29:21.883"</f>
        <v>14:29:21.883</v>
      </c>
      <c r="B2341">
        <v>39.992486999999997</v>
      </c>
      <c r="C2341">
        <v>-75.564994999999996</v>
      </c>
      <c r="D2341">
        <v>4700</v>
      </c>
      <c r="E2341">
        <v>4900</v>
      </c>
      <c r="F2341">
        <v>132</v>
      </c>
      <c r="G2341">
        <v>124</v>
      </c>
      <c r="H2341">
        <v>64</v>
      </c>
      <c r="J2341" s="1">
        <f t="shared" si="180"/>
        <v>17424</v>
      </c>
      <c r="K2341" s="1">
        <f t="shared" si="181"/>
        <v>15376</v>
      </c>
      <c r="L2341" s="1">
        <f t="shared" si="182"/>
        <v>32800</v>
      </c>
      <c r="M2341" s="1">
        <f t="shared" si="183"/>
        <v>181.10770276274835</v>
      </c>
      <c r="N2341" s="7">
        <f t="shared" si="184"/>
        <v>181.10770276274835</v>
      </c>
    </row>
    <row r="2342" spans="1:14" x14ac:dyDescent="0.25">
      <c r="A2342" t="str">
        <f>"14:29:22.742"</f>
        <v>14:29:22.742</v>
      </c>
      <c r="B2342">
        <v>39.992938000000002</v>
      </c>
      <c r="C2342">
        <v>-75.564329999999998</v>
      </c>
      <c r="D2342">
        <v>4700</v>
      </c>
      <c r="E2342">
        <v>4900</v>
      </c>
      <c r="F2342">
        <v>132</v>
      </c>
      <c r="G2342">
        <v>124</v>
      </c>
      <c r="H2342">
        <v>128</v>
      </c>
      <c r="J2342" s="1">
        <f t="shared" si="180"/>
        <v>17424</v>
      </c>
      <c r="K2342" s="1">
        <f t="shared" si="181"/>
        <v>15376</v>
      </c>
      <c r="L2342" s="1">
        <f t="shared" si="182"/>
        <v>32800</v>
      </c>
      <c r="M2342" s="1">
        <f t="shared" si="183"/>
        <v>181.10770276274835</v>
      </c>
      <c r="N2342" s="7">
        <f t="shared" si="184"/>
        <v>181.10770276274835</v>
      </c>
    </row>
    <row r="2343" spans="1:14" x14ac:dyDescent="0.25">
      <c r="A2343" t="str">
        <f>"14:29:23.703"</f>
        <v>14:29:23.703</v>
      </c>
      <c r="B2343">
        <v>39.993538999999998</v>
      </c>
      <c r="C2343">
        <v>-75.563535999999999</v>
      </c>
      <c r="D2343">
        <v>4700</v>
      </c>
      <c r="E2343">
        <v>4900</v>
      </c>
      <c r="F2343">
        <v>132</v>
      </c>
      <c r="G2343">
        <v>124</v>
      </c>
      <c r="H2343">
        <v>128</v>
      </c>
      <c r="J2343" s="1">
        <f t="shared" si="180"/>
        <v>17424</v>
      </c>
      <c r="K2343" s="1">
        <f t="shared" si="181"/>
        <v>15376</v>
      </c>
      <c r="L2343" s="1">
        <f t="shared" si="182"/>
        <v>32800</v>
      </c>
      <c r="M2343" s="1">
        <f t="shared" si="183"/>
        <v>181.10770276274835</v>
      </c>
      <c r="N2343" s="7">
        <f t="shared" si="184"/>
        <v>181.10770276274835</v>
      </c>
    </row>
    <row r="2344" spans="1:14" x14ac:dyDescent="0.25">
      <c r="A2344" t="str">
        <f>"14:29:24.914"</f>
        <v>14:29:24.914</v>
      </c>
      <c r="B2344">
        <v>39.994140000000002</v>
      </c>
      <c r="C2344">
        <v>-75.562719999999999</v>
      </c>
      <c r="D2344">
        <v>4700</v>
      </c>
      <c r="E2344">
        <v>4900</v>
      </c>
      <c r="F2344">
        <v>132</v>
      </c>
      <c r="G2344">
        <v>124</v>
      </c>
      <c r="H2344">
        <v>128</v>
      </c>
      <c r="J2344" s="1">
        <f t="shared" si="180"/>
        <v>17424</v>
      </c>
      <c r="K2344" s="1">
        <f t="shared" si="181"/>
        <v>15376</v>
      </c>
      <c r="L2344" s="1">
        <f t="shared" si="182"/>
        <v>32800</v>
      </c>
      <c r="M2344" s="1">
        <f t="shared" si="183"/>
        <v>181.10770276274835</v>
      </c>
      <c r="N2344" s="7">
        <f t="shared" si="184"/>
        <v>181.10770276274835</v>
      </c>
    </row>
    <row r="2345" spans="1:14" x14ac:dyDescent="0.25">
      <c r="A2345" t="str">
        <f>"14:29:25.820"</f>
        <v>14:29:25.820</v>
      </c>
      <c r="B2345">
        <v>39.994698</v>
      </c>
      <c r="C2345">
        <v>-75.561904999999996</v>
      </c>
      <c r="D2345">
        <v>4700</v>
      </c>
      <c r="E2345">
        <v>4900</v>
      </c>
      <c r="F2345">
        <v>132</v>
      </c>
      <c r="G2345">
        <v>124</v>
      </c>
      <c r="H2345">
        <v>64</v>
      </c>
      <c r="J2345" s="1">
        <f t="shared" si="180"/>
        <v>17424</v>
      </c>
      <c r="K2345" s="1">
        <f t="shared" si="181"/>
        <v>15376</v>
      </c>
      <c r="L2345" s="1">
        <f t="shared" si="182"/>
        <v>32800</v>
      </c>
      <c r="M2345" s="1">
        <f t="shared" si="183"/>
        <v>181.10770276274835</v>
      </c>
      <c r="N2345" s="7">
        <f t="shared" si="184"/>
        <v>181.10770276274835</v>
      </c>
    </row>
    <row r="2346" spans="1:14" x14ac:dyDescent="0.25">
      <c r="A2346" t="str">
        <f>"14:29:26.781"</f>
        <v>14:29:26.781</v>
      </c>
      <c r="B2346">
        <v>39.995297999999998</v>
      </c>
      <c r="C2346">
        <v>-75.561089999999993</v>
      </c>
      <c r="D2346">
        <v>4700</v>
      </c>
      <c r="E2346">
        <v>4900</v>
      </c>
      <c r="F2346">
        <v>132</v>
      </c>
      <c r="G2346">
        <v>123</v>
      </c>
      <c r="H2346">
        <v>-64</v>
      </c>
      <c r="J2346" s="1">
        <f t="shared" si="180"/>
        <v>17424</v>
      </c>
      <c r="K2346" s="1">
        <f t="shared" si="181"/>
        <v>15129</v>
      </c>
      <c r="L2346" s="1">
        <f t="shared" si="182"/>
        <v>32553</v>
      </c>
      <c r="M2346" s="1">
        <f t="shared" si="183"/>
        <v>180.42449944505873</v>
      </c>
      <c r="N2346" s="7">
        <f t="shared" si="184"/>
        <v>180.42449944505873</v>
      </c>
    </row>
    <row r="2347" spans="1:14" x14ac:dyDescent="0.25">
      <c r="A2347" t="str">
        <f>"14:29:27.742"</f>
        <v>14:29:27.742</v>
      </c>
      <c r="B2347">
        <v>39.995812999999998</v>
      </c>
      <c r="C2347">
        <v>-75.560360000000003</v>
      </c>
      <c r="D2347">
        <v>4700</v>
      </c>
      <c r="E2347">
        <v>4900</v>
      </c>
      <c r="F2347">
        <v>132</v>
      </c>
      <c r="G2347">
        <v>123</v>
      </c>
      <c r="H2347">
        <v>-64</v>
      </c>
      <c r="J2347" s="1">
        <f t="shared" si="180"/>
        <v>17424</v>
      </c>
      <c r="K2347" s="1">
        <f t="shared" si="181"/>
        <v>15129</v>
      </c>
      <c r="L2347" s="1">
        <f t="shared" si="182"/>
        <v>32553</v>
      </c>
      <c r="M2347" s="1">
        <f t="shared" si="183"/>
        <v>180.42449944505873</v>
      </c>
      <c r="N2347" s="7">
        <f t="shared" si="184"/>
        <v>180.42449944505873</v>
      </c>
    </row>
    <row r="2348" spans="1:14" x14ac:dyDescent="0.25">
      <c r="A2348" t="str">
        <f>"14:29:28.750"</f>
        <v>14:29:28.750</v>
      </c>
      <c r="B2348">
        <v>39.996371000000003</v>
      </c>
      <c r="C2348">
        <v>-75.559566000000004</v>
      </c>
      <c r="D2348">
        <v>4700</v>
      </c>
      <c r="E2348">
        <v>4900</v>
      </c>
      <c r="F2348">
        <v>133</v>
      </c>
      <c r="G2348">
        <v>123</v>
      </c>
      <c r="H2348">
        <v>0</v>
      </c>
      <c r="J2348" s="1">
        <f t="shared" si="180"/>
        <v>17689</v>
      </c>
      <c r="K2348" s="1">
        <f t="shared" si="181"/>
        <v>15129</v>
      </c>
      <c r="L2348" s="1">
        <f t="shared" si="182"/>
        <v>32818</v>
      </c>
      <c r="M2348" s="1">
        <f t="shared" si="183"/>
        <v>181.1573901335521</v>
      </c>
      <c r="N2348" s="7">
        <f t="shared" si="184"/>
        <v>181.1573901335521</v>
      </c>
    </row>
    <row r="2349" spans="1:14" x14ac:dyDescent="0.25">
      <c r="A2349" t="str">
        <f>"14:29:29.711"</f>
        <v>14:29:29.711</v>
      </c>
      <c r="B2349">
        <v>39.996972</v>
      </c>
      <c r="C2349">
        <v>-75.558772000000005</v>
      </c>
      <c r="D2349">
        <v>4700</v>
      </c>
      <c r="E2349">
        <v>4900</v>
      </c>
      <c r="F2349">
        <v>133</v>
      </c>
      <c r="G2349">
        <v>123</v>
      </c>
      <c r="H2349">
        <v>0</v>
      </c>
      <c r="J2349" s="1">
        <f t="shared" si="180"/>
        <v>17689</v>
      </c>
      <c r="K2349" s="1">
        <f t="shared" si="181"/>
        <v>15129</v>
      </c>
      <c r="L2349" s="1">
        <f t="shared" si="182"/>
        <v>32818</v>
      </c>
      <c r="M2349" s="1">
        <f t="shared" si="183"/>
        <v>181.1573901335521</v>
      </c>
      <c r="N2349" s="7">
        <f t="shared" si="184"/>
        <v>181.1573901335521</v>
      </c>
    </row>
    <row r="2350" spans="1:14" x14ac:dyDescent="0.25">
      <c r="A2350" t="str">
        <f>"14:29:30.617"</f>
        <v>14:29:30.617</v>
      </c>
      <c r="B2350">
        <v>39.997444000000002</v>
      </c>
      <c r="C2350">
        <v>-75.558107000000007</v>
      </c>
      <c r="D2350">
        <v>4700</v>
      </c>
      <c r="E2350">
        <v>4900</v>
      </c>
      <c r="F2350">
        <v>132</v>
      </c>
      <c r="G2350">
        <v>123</v>
      </c>
      <c r="H2350">
        <v>0</v>
      </c>
      <c r="J2350" s="1">
        <f t="shared" si="180"/>
        <v>17424</v>
      </c>
      <c r="K2350" s="1">
        <f t="shared" si="181"/>
        <v>15129</v>
      </c>
      <c r="L2350" s="1">
        <f t="shared" si="182"/>
        <v>32553</v>
      </c>
      <c r="M2350" s="1">
        <f t="shared" si="183"/>
        <v>180.42449944505873</v>
      </c>
      <c r="N2350" s="7">
        <f t="shared" si="184"/>
        <v>180.42449944505873</v>
      </c>
    </row>
    <row r="2351" spans="1:14" x14ac:dyDescent="0.25">
      <c r="A2351" t="str">
        <f>"14:29:31.781"</f>
        <v>14:29:31.781</v>
      </c>
      <c r="B2351">
        <v>39.998108999999999</v>
      </c>
      <c r="C2351">
        <v>-75.557184000000007</v>
      </c>
      <c r="D2351">
        <v>4700</v>
      </c>
      <c r="E2351">
        <v>4900</v>
      </c>
      <c r="F2351">
        <v>133</v>
      </c>
      <c r="G2351">
        <v>123</v>
      </c>
      <c r="H2351">
        <v>-64</v>
      </c>
      <c r="J2351" s="1">
        <f t="shared" si="180"/>
        <v>17689</v>
      </c>
      <c r="K2351" s="1">
        <f t="shared" si="181"/>
        <v>15129</v>
      </c>
      <c r="L2351" s="1">
        <f t="shared" si="182"/>
        <v>32818</v>
      </c>
      <c r="M2351" s="1">
        <f t="shared" si="183"/>
        <v>181.1573901335521</v>
      </c>
      <c r="N2351" s="7">
        <f t="shared" si="184"/>
        <v>181.1573901335521</v>
      </c>
    </row>
    <row r="2352" spans="1:14" x14ac:dyDescent="0.25">
      <c r="A2352" t="str">
        <f>"14:29:32.695"</f>
        <v>14:29:32.695</v>
      </c>
      <c r="B2352">
        <v>39.998666999999998</v>
      </c>
      <c r="C2352">
        <v>-75.556389999999993</v>
      </c>
      <c r="D2352">
        <v>4700</v>
      </c>
      <c r="E2352">
        <v>4900</v>
      </c>
      <c r="F2352">
        <v>133</v>
      </c>
      <c r="G2352">
        <v>123</v>
      </c>
      <c r="H2352">
        <v>0</v>
      </c>
      <c r="J2352" s="1">
        <f t="shared" si="180"/>
        <v>17689</v>
      </c>
      <c r="K2352" s="1">
        <f t="shared" si="181"/>
        <v>15129</v>
      </c>
      <c r="L2352" s="1">
        <f t="shared" si="182"/>
        <v>32818</v>
      </c>
      <c r="M2352" s="1">
        <f t="shared" si="183"/>
        <v>181.1573901335521</v>
      </c>
      <c r="N2352" s="7">
        <f t="shared" si="184"/>
        <v>181.1573901335521</v>
      </c>
    </row>
    <row r="2353" spans="1:14" x14ac:dyDescent="0.25">
      <c r="A2353" t="str">
        <f>"14:29:33.695"</f>
        <v>14:29:33.695</v>
      </c>
      <c r="B2353">
        <v>39.999203999999999</v>
      </c>
      <c r="C2353">
        <v>-75.555595999999994</v>
      </c>
      <c r="D2353">
        <v>4700</v>
      </c>
      <c r="E2353">
        <v>4900</v>
      </c>
      <c r="F2353">
        <v>133</v>
      </c>
      <c r="G2353">
        <v>123</v>
      </c>
      <c r="H2353">
        <v>0</v>
      </c>
      <c r="J2353" s="1">
        <f t="shared" si="180"/>
        <v>17689</v>
      </c>
      <c r="K2353" s="1">
        <f t="shared" si="181"/>
        <v>15129</v>
      </c>
      <c r="L2353" s="1">
        <f t="shared" si="182"/>
        <v>32818</v>
      </c>
      <c r="M2353" s="1">
        <f t="shared" si="183"/>
        <v>181.1573901335521</v>
      </c>
      <c r="N2353" s="7">
        <f t="shared" si="184"/>
        <v>181.1573901335521</v>
      </c>
    </row>
    <row r="2354" spans="1:14" x14ac:dyDescent="0.25">
      <c r="A2354" t="str">
        <f>"14:29:34.609"</f>
        <v>14:29:34.609</v>
      </c>
      <c r="B2354">
        <v>39.999740000000003</v>
      </c>
      <c r="C2354">
        <v>-75.554845</v>
      </c>
      <c r="D2354">
        <v>4700</v>
      </c>
      <c r="E2354">
        <v>4900</v>
      </c>
      <c r="F2354">
        <v>133</v>
      </c>
      <c r="G2354">
        <v>123</v>
      </c>
      <c r="H2354">
        <v>0</v>
      </c>
      <c r="J2354" s="1">
        <f t="shared" si="180"/>
        <v>17689</v>
      </c>
      <c r="K2354" s="1">
        <f t="shared" si="181"/>
        <v>15129</v>
      </c>
      <c r="L2354" s="1">
        <f t="shared" si="182"/>
        <v>32818</v>
      </c>
      <c r="M2354" s="1">
        <f t="shared" si="183"/>
        <v>181.1573901335521</v>
      </c>
      <c r="N2354" s="7">
        <f t="shared" si="184"/>
        <v>181.1573901335521</v>
      </c>
    </row>
    <row r="2355" spans="1:14" x14ac:dyDescent="0.25">
      <c r="A2355" t="str">
        <f>"14:29:35.461"</f>
        <v>14:29:35.461</v>
      </c>
      <c r="B2355">
        <v>40.000191000000001</v>
      </c>
      <c r="C2355">
        <v>-75.554222999999993</v>
      </c>
      <c r="D2355">
        <v>4700</v>
      </c>
      <c r="E2355">
        <v>4900</v>
      </c>
      <c r="F2355">
        <v>133</v>
      </c>
      <c r="G2355">
        <v>123</v>
      </c>
      <c r="H2355">
        <v>-64</v>
      </c>
      <c r="J2355" s="1">
        <f t="shared" si="180"/>
        <v>17689</v>
      </c>
      <c r="K2355" s="1">
        <f t="shared" si="181"/>
        <v>15129</v>
      </c>
      <c r="L2355" s="1">
        <f t="shared" si="182"/>
        <v>32818</v>
      </c>
      <c r="M2355" s="1">
        <f t="shared" si="183"/>
        <v>181.1573901335521</v>
      </c>
      <c r="N2355" s="7">
        <f t="shared" si="184"/>
        <v>181.1573901335521</v>
      </c>
    </row>
    <row r="2356" spans="1:14" x14ac:dyDescent="0.25">
      <c r="A2356" t="str">
        <f>"14:29:36.523"</f>
        <v>14:29:36.523</v>
      </c>
      <c r="B2356">
        <v>40.000813000000001</v>
      </c>
      <c r="C2356">
        <v>-75.553342999999998</v>
      </c>
      <c r="D2356">
        <v>4700</v>
      </c>
      <c r="E2356">
        <v>4900</v>
      </c>
      <c r="F2356">
        <v>133</v>
      </c>
      <c r="G2356">
        <v>123</v>
      </c>
      <c r="H2356">
        <v>64</v>
      </c>
      <c r="J2356" s="1">
        <f t="shared" si="180"/>
        <v>17689</v>
      </c>
      <c r="K2356" s="1">
        <f t="shared" si="181"/>
        <v>15129</v>
      </c>
      <c r="L2356" s="1">
        <f t="shared" si="182"/>
        <v>32818</v>
      </c>
      <c r="M2356" s="1">
        <f t="shared" si="183"/>
        <v>181.1573901335521</v>
      </c>
      <c r="N2356" s="7">
        <f t="shared" si="184"/>
        <v>181.1573901335521</v>
      </c>
    </row>
    <row r="2357" spans="1:14" x14ac:dyDescent="0.25">
      <c r="A2357" t="str">
        <f>"14:29:37.484"</f>
        <v>14:29:37.484</v>
      </c>
      <c r="B2357">
        <v>40.001413999999997</v>
      </c>
      <c r="C2357">
        <v>-75.552548999999999</v>
      </c>
      <c r="D2357">
        <v>4700</v>
      </c>
      <c r="E2357">
        <v>4900</v>
      </c>
      <c r="F2357">
        <v>133</v>
      </c>
      <c r="G2357">
        <v>123</v>
      </c>
      <c r="H2357">
        <v>64</v>
      </c>
      <c r="J2357" s="1">
        <f t="shared" si="180"/>
        <v>17689</v>
      </c>
      <c r="K2357" s="1">
        <f t="shared" si="181"/>
        <v>15129</v>
      </c>
      <c r="L2357" s="1">
        <f t="shared" si="182"/>
        <v>32818</v>
      </c>
      <c r="M2357" s="1">
        <f t="shared" si="183"/>
        <v>181.1573901335521</v>
      </c>
      <c r="N2357" s="7">
        <f t="shared" si="184"/>
        <v>181.1573901335521</v>
      </c>
    </row>
    <row r="2358" spans="1:14" x14ac:dyDescent="0.25">
      <c r="A2358" t="str">
        <f>"14:29:38.391"</f>
        <v>14:29:38.391</v>
      </c>
      <c r="B2358">
        <v>40.001863999999998</v>
      </c>
      <c r="C2358">
        <v>-75.551884000000001</v>
      </c>
      <c r="D2358">
        <v>4700</v>
      </c>
      <c r="E2358">
        <v>4900</v>
      </c>
      <c r="F2358">
        <v>133</v>
      </c>
      <c r="G2358">
        <v>123</v>
      </c>
      <c r="H2358">
        <v>0</v>
      </c>
      <c r="J2358" s="1">
        <f t="shared" si="180"/>
        <v>17689</v>
      </c>
      <c r="K2358" s="1">
        <f t="shared" si="181"/>
        <v>15129</v>
      </c>
      <c r="L2358" s="1">
        <f t="shared" si="182"/>
        <v>32818</v>
      </c>
      <c r="M2358" s="1">
        <f t="shared" si="183"/>
        <v>181.1573901335521</v>
      </c>
      <c r="N2358" s="7">
        <f t="shared" si="184"/>
        <v>181.1573901335521</v>
      </c>
    </row>
    <row r="2359" spans="1:14" x14ac:dyDescent="0.25">
      <c r="A2359" t="str">
        <f>"14:29:39.250"</f>
        <v>14:29:39.250</v>
      </c>
      <c r="B2359">
        <v>40.002336999999997</v>
      </c>
      <c r="C2359">
        <v>-75.551175999999998</v>
      </c>
      <c r="D2359">
        <v>4700</v>
      </c>
      <c r="E2359">
        <v>4900</v>
      </c>
      <c r="F2359">
        <v>132</v>
      </c>
      <c r="G2359">
        <v>123</v>
      </c>
      <c r="H2359">
        <v>64</v>
      </c>
      <c r="J2359" s="1">
        <f t="shared" si="180"/>
        <v>17424</v>
      </c>
      <c r="K2359" s="1">
        <f t="shared" si="181"/>
        <v>15129</v>
      </c>
      <c r="L2359" s="1">
        <f t="shared" si="182"/>
        <v>32553</v>
      </c>
      <c r="M2359" s="1">
        <f t="shared" si="183"/>
        <v>180.42449944505873</v>
      </c>
      <c r="N2359" s="7">
        <f t="shared" si="184"/>
        <v>180.42449944505873</v>
      </c>
    </row>
    <row r="2360" spans="1:14" x14ac:dyDescent="0.25">
      <c r="A2360" t="str">
        <f>"14:29:40.109"</f>
        <v>14:29:40.109</v>
      </c>
      <c r="B2360">
        <v>40.002873000000001</v>
      </c>
      <c r="C2360">
        <v>-75.550467999999995</v>
      </c>
      <c r="D2360">
        <v>4700</v>
      </c>
      <c r="E2360">
        <v>4900</v>
      </c>
      <c r="F2360">
        <v>132</v>
      </c>
      <c r="G2360">
        <v>123</v>
      </c>
      <c r="H2360">
        <v>64</v>
      </c>
      <c r="J2360" s="1">
        <f t="shared" si="180"/>
        <v>17424</v>
      </c>
      <c r="K2360" s="1">
        <f t="shared" si="181"/>
        <v>15129</v>
      </c>
      <c r="L2360" s="1">
        <f t="shared" si="182"/>
        <v>32553</v>
      </c>
      <c r="M2360" s="1">
        <f t="shared" si="183"/>
        <v>180.42449944505873</v>
      </c>
      <c r="N2360" s="7">
        <f t="shared" si="184"/>
        <v>180.42449944505873</v>
      </c>
    </row>
    <row r="2361" spans="1:14" x14ac:dyDescent="0.25">
      <c r="A2361" t="str">
        <f>"14:29:41.117"</f>
        <v>14:29:41.117</v>
      </c>
      <c r="B2361">
        <v>40.003408999999998</v>
      </c>
      <c r="C2361">
        <v>-75.549673999999996</v>
      </c>
      <c r="D2361">
        <v>4700</v>
      </c>
      <c r="E2361">
        <v>4900</v>
      </c>
      <c r="F2361">
        <v>132</v>
      </c>
      <c r="G2361">
        <v>123</v>
      </c>
      <c r="H2361">
        <v>64</v>
      </c>
      <c r="J2361" s="1">
        <f t="shared" si="180"/>
        <v>17424</v>
      </c>
      <c r="K2361" s="1">
        <f t="shared" si="181"/>
        <v>15129</v>
      </c>
      <c r="L2361" s="1">
        <f t="shared" si="182"/>
        <v>32553</v>
      </c>
      <c r="M2361" s="1">
        <f t="shared" si="183"/>
        <v>180.42449944505873</v>
      </c>
      <c r="N2361" s="7">
        <f t="shared" si="184"/>
        <v>180.42449944505873</v>
      </c>
    </row>
    <row r="2362" spans="1:14" x14ac:dyDescent="0.25">
      <c r="A2362" t="str">
        <f>"14:29:42.125"</f>
        <v>14:29:42.125</v>
      </c>
      <c r="B2362">
        <v>40.004010000000001</v>
      </c>
      <c r="C2362">
        <v>-75.548879999999997</v>
      </c>
      <c r="D2362">
        <v>4700</v>
      </c>
      <c r="E2362">
        <v>4900</v>
      </c>
      <c r="F2362">
        <v>132</v>
      </c>
      <c r="G2362">
        <v>123</v>
      </c>
      <c r="H2362">
        <v>0</v>
      </c>
      <c r="J2362" s="1">
        <f t="shared" si="180"/>
        <v>17424</v>
      </c>
      <c r="K2362" s="1">
        <f t="shared" si="181"/>
        <v>15129</v>
      </c>
      <c r="L2362" s="1">
        <f t="shared" si="182"/>
        <v>32553</v>
      </c>
      <c r="M2362" s="1">
        <f t="shared" si="183"/>
        <v>180.42449944505873</v>
      </c>
      <c r="N2362" s="7">
        <f t="shared" si="184"/>
        <v>180.42449944505873</v>
      </c>
    </row>
    <row r="2363" spans="1:14" x14ac:dyDescent="0.25">
      <c r="A2363" t="str">
        <f>"14:29:43.141"</f>
        <v>14:29:43.141</v>
      </c>
      <c r="B2363">
        <v>40.004567999999999</v>
      </c>
      <c r="C2363">
        <v>-75.548085999999998</v>
      </c>
      <c r="D2363">
        <v>4700</v>
      </c>
      <c r="E2363">
        <v>4900</v>
      </c>
      <c r="F2363">
        <v>132</v>
      </c>
      <c r="G2363">
        <v>123</v>
      </c>
      <c r="H2363">
        <v>0</v>
      </c>
      <c r="J2363" s="1">
        <f t="shared" si="180"/>
        <v>17424</v>
      </c>
      <c r="K2363" s="1">
        <f t="shared" si="181"/>
        <v>15129</v>
      </c>
      <c r="L2363" s="1">
        <f t="shared" si="182"/>
        <v>32553</v>
      </c>
      <c r="M2363" s="1">
        <f t="shared" si="183"/>
        <v>180.42449944505873</v>
      </c>
      <c r="N2363" s="7">
        <f t="shared" si="184"/>
        <v>180.42449944505873</v>
      </c>
    </row>
    <row r="2364" spans="1:14" x14ac:dyDescent="0.25">
      <c r="A2364" t="str">
        <f>"14:29:43.992"</f>
        <v>14:29:43.992</v>
      </c>
      <c r="B2364">
        <v>40.005082999999999</v>
      </c>
      <c r="C2364">
        <v>-75.547357000000005</v>
      </c>
      <c r="D2364">
        <v>4700</v>
      </c>
      <c r="E2364">
        <v>4900</v>
      </c>
      <c r="F2364">
        <v>131</v>
      </c>
      <c r="G2364">
        <v>123</v>
      </c>
      <c r="H2364">
        <v>0</v>
      </c>
      <c r="J2364" s="1">
        <f t="shared" si="180"/>
        <v>17161</v>
      </c>
      <c r="K2364" s="1">
        <f t="shared" si="181"/>
        <v>15129</v>
      </c>
      <c r="L2364" s="1">
        <f t="shared" si="182"/>
        <v>32290</v>
      </c>
      <c r="M2364" s="1">
        <f t="shared" si="183"/>
        <v>179.6941846582688</v>
      </c>
      <c r="N2364" s="7">
        <f t="shared" si="184"/>
        <v>179.6941846582688</v>
      </c>
    </row>
    <row r="2365" spans="1:14" x14ac:dyDescent="0.25">
      <c r="A2365" t="str">
        <f>"14:29:45.109"</f>
        <v>14:29:45.109</v>
      </c>
      <c r="B2365">
        <v>40.005640999999997</v>
      </c>
      <c r="C2365">
        <v>-75.546605999999997</v>
      </c>
      <c r="D2365">
        <v>4700</v>
      </c>
      <c r="E2365">
        <v>4900</v>
      </c>
      <c r="F2365">
        <v>131</v>
      </c>
      <c r="G2365">
        <v>123</v>
      </c>
      <c r="H2365">
        <v>-64</v>
      </c>
      <c r="J2365" s="1">
        <f t="shared" si="180"/>
        <v>17161</v>
      </c>
      <c r="K2365" s="1">
        <f t="shared" si="181"/>
        <v>15129</v>
      </c>
      <c r="L2365" s="1">
        <f t="shared" si="182"/>
        <v>32290</v>
      </c>
      <c r="M2365" s="1">
        <f t="shared" si="183"/>
        <v>179.6941846582688</v>
      </c>
      <c r="N2365" s="7">
        <f t="shared" si="184"/>
        <v>179.6941846582688</v>
      </c>
    </row>
    <row r="2366" spans="1:14" x14ac:dyDescent="0.25">
      <c r="A2366" t="str">
        <f>"14:29:45.914"</f>
        <v>14:29:45.914</v>
      </c>
      <c r="B2366">
        <v>40.006155999999997</v>
      </c>
      <c r="C2366">
        <v>-75.545896999999997</v>
      </c>
      <c r="D2366">
        <v>4700</v>
      </c>
      <c r="E2366">
        <v>4900</v>
      </c>
      <c r="F2366">
        <v>131</v>
      </c>
      <c r="G2366">
        <v>124</v>
      </c>
      <c r="H2366">
        <v>0</v>
      </c>
      <c r="J2366" s="1">
        <f t="shared" si="180"/>
        <v>17161</v>
      </c>
      <c r="K2366" s="1">
        <f t="shared" si="181"/>
        <v>15376</v>
      </c>
      <c r="L2366" s="1">
        <f t="shared" si="182"/>
        <v>32537</v>
      </c>
      <c r="M2366" s="1">
        <f t="shared" si="183"/>
        <v>180.38015411901608</v>
      </c>
      <c r="N2366" s="7">
        <f t="shared" si="184"/>
        <v>180.38015411901608</v>
      </c>
    </row>
    <row r="2367" spans="1:14" x14ac:dyDescent="0.25">
      <c r="A2367" t="str">
        <f>"14:29:46.773"</f>
        <v>14:29:46.773</v>
      </c>
      <c r="B2367">
        <v>40.006627999999999</v>
      </c>
      <c r="C2367">
        <v>-75.545231999999999</v>
      </c>
      <c r="D2367">
        <v>4700</v>
      </c>
      <c r="E2367">
        <v>4900</v>
      </c>
      <c r="F2367">
        <v>131</v>
      </c>
      <c r="G2367">
        <v>124</v>
      </c>
      <c r="H2367">
        <v>-64</v>
      </c>
      <c r="J2367" s="1">
        <f t="shared" si="180"/>
        <v>17161</v>
      </c>
      <c r="K2367" s="1">
        <f t="shared" si="181"/>
        <v>15376</v>
      </c>
      <c r="L2367" s="1">
        <f t="shared" si="182"/>
        <v>32537</v>
      </c>
      <c r="M2367" s="1">
        <f t="shared" si="183"/>
        <v>180.38015411901608</v>
      </c>
      <c r="N2367" s="7">
        <f t="shared" si="184"/>
        <v>180.38015411901608</v>
      </c>
    </row>
    <row r="2368" spans="1:14" x14ac:dyDescent="0.25">
      <c r="A2368" t="str">
        <f>"14:29:47.883"</f>
        <v>14:29:47.883</v>
      </c>
      <c r="B2368">
        <v>40.007272</v>
      </c>
      <c r="C2368">
        <v>-75.544374000000005</v>
      </c>
      <c r="D2368">
        <v>4700</v>
      </c>
      <c r="E2368">
        <v>4900</v>
      </c>
      <c r="F2368">
        <v>132</v>
      </c>
      <c r="G2368">
        <v>124</v>
      </c>
      <c r="H2368">
        <v>-128</v>
      </c>
      <c r="J2368" s="1">
        <f t="shared" si="180"/>
        <v>17424</v>
      </c>
      <c r="K2368" s="1">
        <f t="shared" si="181"/>
        <v>15376</v>
      </c>
      <c r="L2368" s="1">
        <f t="shared" si="182"/>
        <v>32800</v>
      </c>
      <c r="M2368" s="1">
        <f t="shared" si="183"/>
        <v>181.10770276274835</v>
      </c>
      <c r="N2368" s="7">
        <f t="shared" si="184"/>
        <v>181.10770276274835</v>
      </c>
    </row>
    <row r="2369" spans="1:14" x14ac:dyDescent="0.25">
      <c r="A2369" t="str">
        <f>"14:29:48.992"</f>
        <v>14:29:48.992</v>
      </c>
      <c r="B2369">
        <v>40.007980000000003</v>
      </c>
      <c r="C2369">
        <v>-75.543430000000001</v>
      </c>
      <c r="D2369">
        <v>4700</v>
      </c>
      <c r="E2369">
        <v>4900</v>
      </c>
      <c r="F2369">
        <v>132</v>
      </c>
      <c r="G2369">
        <v>124</v>
      </c>
      <c r="H2369">
        <v>-64</v>
      </c>
      <c r="J2369" s="1">
        <f t="shared" si="180"/>
        <v>17424</v>
      </c>
      <c r="K2369" s="1">
        <f t="shared" si="181"/>
        <v>15376</v>
      </c>
      <c r="L2369" s="1">
        <f t="shared" si="182"/>
        <v>32800</v>
      </c>
      <c r="M2369" s="1">
        <f t="shared" si="183"/>
        <v>181.10770276274835</v>
      </c>
      <c r="N2369" s="7">
        <f t="shared" si="184"/>
        <v>181.10770276274835</v>
      </c>
    </row>
    <row r="2370" spans="1:14" x14ac:dyDescent="0.25">
      <c r="A2370" t="str">
        <f>"14:29:50.000"</f>
        <v>14:29:50.000</v>
      </c>
      <c r="B2370">
        <v>40.008538000000001</v>
      </c>
      <c r="C2370">
        <v>-75.542614</v>
      </c>
      <c r="D2370">
        <v>4700</v>
      </c>
      <c r="E2370">
        <v>4900</v>
      </c>
      <c r="F2370">
        <v>131</v>
      </c>
      <c r="G2370">
        <v>124</v>
      </c>
      <c r="H2370">
        <v>-64</v>
      </c>
      <c r="J2370" s="1">
        <f t="shared" si="180"/>
        <v>17161</v>
      </c>
      <c r="K2370" s="1">
        <f t="shared" si="181"/>
        <v>15376</v>
      </c>
      <c r="L2370" s="1">
        <f t="shared" si="182"/>
        <v>32537</v>
      </c>
      <c r="M2370" s="1">
        <f t="shared" si="183"/>
        <v>180.38015411901608</v>
      </c>
      <c r="N2370" s="7">
        <f t="shared" si="184"/>
        <v>180.38015411901608</v>
      </c>
    </row>
    <row r="2371" spans="1:14" x14ac:dyDescent="0.25">
      <c r="A2371" t="str">
        <f>"14:29:51.063"</f>
        <v>14:29:51.063</v>
      </c>
      <c r="B2371">
        <v>40.009096</v>
      </c>
      <c r="C2371">
        <v>-75.541863000000006</v>
      </c>
      <c r="D2371">
        <v>4700</v>
      </c>
      <c r="E2371">
        <v>4900</v>
      </c>
      <c r="F2371">
        <v>131</v>
      </c>
      <c r="G2371">
        <v>124</v>
      </c>
      <c r="H2371">
        <v>-64</v>
      </c>
      <c r="J2371" s="1">
        <f t="shared" ref="J2371:J2434" si="185">F2371^2</f>
        <v>17161</v>
      </c>
      <c r="K2371" s="1">
        <f t="shared" ref="K2371:K2434" si="186">G2371^2</f>
        <v>15376</v>
      </c>
      <c r="L2371" s="1">
        <f t="shared" ref="L2371:L2434" si="187">SUMSQ(F2371,G2371)</f>
        <v>32537</v>
      </c>
      <c r="M2371" s="1">
        <f t="shared" ref="M2371:M2434" si="188">SQRT(L2371)</f>
        <v>180.38015411901608</v>
      </c>
      <c r="N2371" s="7">
        <f t="shared" ref="N2371:N2434" si="189">M2371</f>
        <v>180.38015411901608</v>
      </c>
    </row>
    <row r="2372" spans="1:14" x14ac:dyDescent="0.25">
      <c r="A2372" t="str">
        <f>"14:29:52.023"</f>
        <v>14:29:52.023</v>
      </c>
      <c r="B2372">
        <v>40.009695999999998</v>
      </c>
      <c r="C2372">
        <v>-75.541048000000004</v>
      </c>
      <c r="D2372">
        <v>4700</v>
      </c>
      <c r="E2372">
        <v>4900</v>
      </c>
      <c r="F2372">
        <v>132</v>
      </c>
      <c r="G2372">
        <v>124</v>
      </c>
      <c r="H2372">
        <v>-64</v>
      </c>
      <c r="J2372" s="1">
        <f t="shared" si="185"/>
        <v>17424</v>
      </c>
      <c r="K2372" s="1">
        <f t="shared" si="186"/>
        <v>15376</v>
      </c>
      <c r="L2372" s="1">
        <f t="shared" si="187"/>
        <v>32800</v>
      </c>
      <c r="M2372" s="1">
        <f t="shared" si="188"/>
        <v>181.10770276274835</v>
      </c>
      <c r="N2372" s="7">
        <f t="shared" si="189"/>
        <v>181.10770276274835</v>
      </c>
    </row>
    <row r="2373" spans="1:14" x14ac:dyDescent="0.25">
      <c r="A2373" t="str">
        <f>"14:29:52.984"</f>
        <v>14:29:52.984</v>
      </c>
      <c r="B2373">
        <v>40.010254000000003</v>
      </c>
      <c r="C2373">
        <v>-75.540254000000004</v>
      </c>
      <c r="D2373">
        <v>4700</v>
      </c>
      <c r="E2373">
        <v>4875</v>
      </c>
      <c r="F2373">
        <v>132</v>
      </c>
      <c r="G2373">
        <v>124</v>
      </c>
      <c r="H2373">
        <v>-64</v>
      </c>
      <c r="J2373" s="1">
        <f t="shared" si="185"/>
        <v>17424</v>
      </c>
      <c r="K2373" s="1">
        <f t="shared" si="186"/>
        <v>15376</v>
      </c>
      <c r="L2373" s="1">
        <f t="shared" si="187"/>
        <v>32800</v>
      </c>
      <c r="M2373" s="1">
        <f t="shared" si="188"/>
        <v>181.10770276274835</v>
      </c>
      <c r="N2373" s="7">
        <f t="shared" si="189"/>
        <v>181.10770276274835</v>
      </c>
    </row>
    <row r="2374" spans="1:14" x14ac:dyDescent="0.25">
      <c r="A2374" t="str">
        <f>"14:29:53.938"</f>
        <v>14:29:53.938</v>
      </c>
      <c r="B2374">
        <v>40.010748</v>
      </c>
      <c r="C2374">
        <v>-75.539546000000001</v>
      </c>
      <c r="D2374">
        <v>4700</v>
      </c>
      <c r="E2374">
        <v>4875</v>
      </c>
      <c r="F2374">
        <v>132</v>
      </c>
      <c r="G2374">
        <v>123</v>
      </c>
      <c r="H2374">
        <v>64</v>
      </c>
      <c r="J2374" s="1">
        <f t="shared" si="185"/>
        <v>17424</v>
      </c>
      <c r="K2374" s="1">
        <f t="shared" si="186"/>
        <v>15129</v>
      </c>
      <c r="L2374" s="1">
        <f t="shared" si="187"/>
        <v>32553</v>
      </c>
      <c r="M2374" s="1">
        <f t="shared" si="188"/>
        <v>180.42449944505873</v>
      </c>
      <c r="N2374" s="7">
        <f t="shared" si="189"/>
        <v>180.42449944505873</v>
      </c>
    </row>
    <row r="2375" spans="1:14" x14ac:dyDescent="0.25">
      <c r="A2375" t="str">
        <f>"14:29:55.102"</f>
        <v>14:29:55.102</v>
      </c>
      <c r="B2375">
        <v>40.011369999999999</v>
      </c>
      <c r="C2375">
        <v>-75.538687999999993</v>
      </c>
      <c r="D2375">
        <v>4700</v>
      </c>
      <c r="E2375">
        <v>4900</v>
      </c>
      <c r="F2375">
        <v>132</v>
      </c>
      <c r="G2375">
        <v>123</v>
      </c>
      <c r="H2375">
        <v>64</v>
      </c>
      <c r="J2375" s="1">
        <f t="shared" si="185"/>
        <v>17424</v>
      </c>
      <c r="K2375" s="1">
        <f t="shared" si="186"/>
        <v>15129</v>
      </c>
      <c r="L2375" s="1">
        <f t="shared" si="187"/>
        <v>32553</v>
      </c>
      <c r="M2375" s="1">
        <f t="shared" si="188"/>
        <v>180.42449944505873</v>
      </c>
      <c r="N2375" s="7">
        <f t="shared" si="189"/>
        <v>180.42449944505873</v>
      </c>
    </row>
    <row r="2376" spans="1:14" x14ac:dyDescent="0.25">
      <c r="A2376" t="str">
        <f>"14:29:56.063"</f>
        <v>14:29:56.063</v>
      </c>
      <c r="B2376">
        <v>40.011971000000003</v>
      </c>
      <c r="C2376">
        <v>-75.537871999999993</v>
      </c>
      <c r="D2376">
        <v>4700</v>
      </c>
      <c r="E2376">
        <v>4900</v>
      </c>
      <c r="F2376">
        <v>132</v>
      </c>
      <c r="G2376">
        <v>123</v>
      </c>
      <c r="H2376">
        <v>64</v>
      </c>
      <c r="J2376" s="1">
        <f t="shared" si="185"/>
        <v>17424</v>
      </c>
      <c r="K2376" s="1">
        <f t="shared" si="186"/>
        <v>15129</v>
      </c>
      <c r="L2376" s="1">
        <f t="shared" si="187"/>
        <v>32553</v>
      </c>
      <c r="M2376" s="1">
        <f t="shared" si="188"/>
        <v>180.42449944505873</v>
      </c>
      <c r="N2376" s="7">
        <f t="shared" si="189"/>
        <v>180.42449944505873</v>
      </c>
    </row>
    <row r="2377" spans="1:14" x14ac:dyDescent="0.25">
      <c r="A2377" t="str">
        <f>"14:29:57.070"</f>
        <v>14:29:57.070</v>
      </c>
      <c r="B2377">
        <v>40.012529000000001</v>
      </c>
      <c r="C2377">
        <v>-75.537057000000004</v>
      </c>
      <c r="D2377">
        <v>4700</v>
      </c>
      <c r="E2377">
        <v>4900</v>
      </c>
      <c r="F2377">
        <v>131</v>
      </c>
      <c r="G2377">
        <v>123</v>
      </c>
      <c r="H2377">
        <v>128</v>
      </c>
      <c r="J2377" s="1">
        <f t="shared" si="185"/>
        <v>17161</v>
      </c>
      <c r="K2377" s="1">
        <f t="shared" si="186"/>
        <v>15129</v>
      </c>
      <c r="L2377" s="1">
        <f t="shared" si="187"/>
        <v>32290</v>
      </c>
      <c r="M2377" s="1">
        <f t="shared" si="188"/>
        <v>179.6941846582688</v>
      </c>
      <c r="N2377" s="7">
        <f t="shared" si="189"/>
        <v>179.6941846582688</v>
      </c>
    </row>
    <row r="2378" spans="1:14" x14ac:dyDescent="0.25">
      <c r="A2378" t="str">
        <f>"14:29:58.133"</f>
        <v>14:29:58.133</v>
      </c>
      <c r="B2378">
        <v>40.013173000000002</v>
      </c>
      <c r="C2378">
        <v>-75.536198999999996</v>
      </c>
      <c r="D2378">
        <v>4700</v>
      </c>
      <c r="E2378">
        <v>4900</v>
      </c>
      <c r="F2378">
        <v>131</v>
      </c>
      <c r="G2378">
        <v>123</v>
      </c>
      <c r="H2378">
        <v>64</v>
      </c>
      <c r="J2378" s="1">
        <f t="shared" si="185"/>
        <v>17161</v>
      </c>
      <c r="K2378" s="1">
        <f t="shared" si="186"/>
        <v>15129</v>
      </c>
      <c r="L2378" s="1">
        <f t="shared" si="187"/>
        <v>32290</v>
      </c>
      <c r="M2378" s="1">
        <f t="shared" si="188"/>
        <v>179.6941846582688</v>
      </c>
      <c r="N2378" s="7">
        <f t="shared" si="189"/>
        <v>179.6941846582688</v>
      </c>
    </row>
    <row r="2379" spans="1:14" x14ac:dyDescent="0.25">
      <c r="A2379" t="str">
        <f>"14:29:59.195"</f>
        <v>14:29:59.195</v>
      </c>
      <c r="B2379">
        <v>40.013708999999999</v>
      </c>
      <c r="C2379">
        <v>-75.535404999999997</v>
      </c>
      <c r="D2379">
        <v>4700</v>
      </c>
      <c r="E2379">
        <v>4900</v>
      </c>
      <c r="F2379">
        <v>131</v>
      </c>
      <c r="G2379">
        <v>124</v>
      </c>
      <c r="H2379">
        <v>64</v>
      </c>
      <c r="J2379" s="1">
        <f t="shared" si="185"/>
        <v>17161</v>
      </c>
      <c r="K2379" s="1">
        <f t="shared" si="186"/>
        <v>15376</v>
      </c>
      <c r="L2379" s="1">
        <f t="shared" si="187"/>
        <v>32537</v>
      </c>
      <c r="M2379" s="1">
        <f t="shared" si="188"/>
        <v>180.38015411901608</v>
      </c>
      <c r="N2379" s="7">
        <f t="shared" si="189"/>
        <v>180.38015411901608</v>
      </c>
    </row>
    <row r="2380" spans="1:14" x14ac:dyDescent="0.25">
      <c r="A2380" t="str">
        <f>"14:30:00.203"</f>
        <v>14:30:00.203</v>
      </c>
      <c r="B2380">
        <v>40.014353</v>
      </c>
      <c r="C2380">
        <v>-75.534567999999993</v>
      </c>
      <c r="D2380">
        <v>4700</v>
      </c>
      <c r="E2380">
        <v>4900</v>
      </c>
      <c r="F2380">
        <v>131</v>
      </c>
      <c r="G2380">
        <v>123</v>
      </c>
      <c r="H2380">
        <v>64</v>
      </c>
      <c r="J2380" s="1">
        <f t="shared" si="185"/>
        <v>17161</v>
      </c>
      <c r="K2380" s="1">
        <f t="shared" si="186"/>
        <v>15129</v>
      </c>
      <c r="L2380" s="1">
        <f t="shared" si="187"/>
        <v>32290</v>
      </c>
      <c r="M2380" s="1">
        <f t="shared" si="188"/>
        <v>179.6941846582688</v>
      </c>
      <c r="N2380" s="7">
        <f t="shared" si="189"/>
        <v>179.6941846582688</v>
      </c>
    </row>
    <row r="2381" spans="1:14" x14ac:dyDescent="0.25">
      <c r="A2381" t="str">
        <f>"14:30:01.367"</f>
        <v>14:30:01.367</v>
      </c>
      <c r="B2381">
        <v>40.014997000000001</v>
      </c>
      <c r="C2381">
        <v>-75.533687999999998</v>
      </c>
      <c r="D2381">
        <v>4700</v>
      </c>
      <c r="E2381">
        <v>4900</v>
      </c>
      <c r="F2381">
        <v>131</v>
      </c>
      <c r="G2381">
        <v>124</v>
      </c>
      <c r="H2381">
        <v>64</v>
      </c>
      <c r="J2381" s="1">
        <f t="shared" si="185"/>
        <v>17161</v>
      </c>
      <c r="K2381" s="1">
        <f t="shared" si="186"/>
        <v>15376</v>
      </c>
      <c r="L2381" s="1">
        <f t="shared" si="187"/>
        <v>32537</v>
      </c>
      <c r="M2381" s="1">
        <f t="shared" si="188"/>
        <v>180.38015411901608</v>
      </c>
      <c r="N2381" s="7">
        <f t="shared" si="189"/>
        <v>180.38015411901608</v>
      </c>
    </row>
    <row r="2382" spans="1:14" x14ac:dyDescent="0.25">
      <c r="A2382" t="str">
        <f>"14:30:02.477"</f>
        <v>14:30:02.477</v>
      </c>
      <c r="B2382">
        <v>40.015597</v>
      </c>
      <c r="C2382">
        <v>-75.532808000000003</v>
      </c>
      <c r="D2382">
        <v>4700</v>
      </c>
      <c r="E2382">
        <v>4900</v>
      </c>
      <c r="F2382">
        <v>130</v>
      </c>
      <c r="G2382">
        <v>124</v>
      </c>
      <c r="H2382">
        <v>64</v>
      </c>
      <c r="J2382" s="1">
        <f t="shared" si="185"/>
        <v>16900</v>
      </c>
      <c r="K2382" s="1">
        <f t="shared" si="186"/>
        <v>15376</v>
      </c>
      <c r="L2382" s="1">
        <f t="shared" si="187"/>
        <v>32276</v>
      </c>
      <c r="M2382" s="1">
        <f t="shared" si="188"/>
        <v>179.655225362359</v>
      </c>
      <c r="N2382" s="7">
        <f t="shared" si="189"/>
        <v>179.655225362359</v>
      </c>
    </row>
    <row r="2383" spans="1:14" x14ac:dyDescent="0.25">
      <c r="A2383" t="str">
        <f>"14:30:03.484"</f>
        <v>14:30:03.484</v>
      </c>
      <c r="B2383">
        <v>40.016283999999999</v>
      </c>
      <c r="C2383">
        <v>-75.531993</v>
      </c>
      <c r="D2383">
        <v>4700</v>
      </c>
      <c r="E2383">
        <v>4900</v>
      </c>
      <c r="F2383">
        <v>130</v>
      </c>
      <c r="G2383">
        <v>124</v>
      </c>
      <c r="H2383">
        <v>64</v>
      </c>
      <c r="J2383" s="1">
        <f t="shared" si="185"/>
        <v>16900</v>
      </c>
      <c r="K2383" s="1">
        <f t="shared" si="186"/>
        <v>15376</v>
      </c>
      <c r="L2383" s="1">
        <f t="shared" si="187"/>
        <v>32276</v>
      </c>
      <c r="M2383" s="1">
        <f t="shared" si="188"/>
        <v>179.655225362359</v>
      </c>
      <c r="N2383" s="7">
        <f t="shared" si="189"/>
        <v>179.655225362359</v>
      </c>
    </row>
    <row r="2384" spans="1:14" x14ac:dyDescent="0.25">
      <c r="A2384" t="str">
        <f>"14:30:04.445"</f>
        <v>14:30:04.445</v>
      </c>
      <c r="B2384">
        <v>40.016778000000002</v>
      </c>
      <c r="C2384">
        <v>-75.531262999999996</v>
      </c>
      <c r="D2384">
        <v>4700</v>
      </c>
      <c r="E2384">
        <v>4900</v>
      </c>
      <c r="F2384">
        <v>130</v>
      </c>
      <c r="G2384">
        <v>124</v>
      </c>
      <c r="H2384">
        <v>0</v>
      </c>
      <c r="J2384" s="1">
        <f t="shared" si="185"/>
        <v>16900</v>
      </c>
      <c r="K2384" s="1">
        <f t="shared" si="186"/>
        <v>15376</v>
      </c>
      <c r="L2384" s="1">
        <f t="shared" si="187"/>
        <v>32276</v>
      </c>
      <c r="M2384" s="1">
        <f t="shared" si="188"/>
        <v>179.655225362359</v>
      </c>
      <c r="N2384" s="7">
        <f t="shared" si="189"/>
        <v>179.655225362359</v>
      </c>
    </row>
    <row r="2385" spans="1:14" x14ac:dyDescent="0.25">
      <c r="A2385" t="str">
        <f>"14:30:05.352"</f>
        <v>14:30:05.352</v>
      </c>
      <c r="B2385">
        <v>40.017291999999998</v>
      </c>
      <c r="C2385">
        <v>-75.530576999999994</v>
      </c>
      <c r="D2385">
        <v>4700</v>
      </c>
      <c r="E2385">
        <v>4900</v>
      </c>
      <c r="F2385">
        <v>130</v>
      </c>
      <c r="G2385">
        <v>124</v>
      </c>
      <c r="H2385">
        <v>0</v>
      </c>
      <c r="J2385" s="1">
        <f t="shared" si="185"/>
        <v>16900</v>
      </c>
      <c r="K2385" s="1">
        <f t="shared" si="186"/>
        <v>15376</v>
      </c>
      <c r="L2385" s="1">
        <f t="shared" si="187"/>
        <v>32276</v>
      </c>
      <c r="M2385" s="1">
        <f t="shared" si="188"/>
        <v>179.655225362359</v>
      </c>
      <c r="N2385" s="7">
        <f t="shared" si="189"/>
        <v>179.655225362359</v>
      </c>
    </row>
    <row r="2386" spans="1:14" x14ac:dyDescent="0.25">
      <c r="A2386" t="str">
        <f>"14:30:06.258"</f>
        <v>14:30:06.258</v>
      </c>
      <c r="B2386">
        <v>40.017786000000001</v>
      </c>
      <c r="C2386">
        <v>-75.529826</v>
      </c>
      <c r="D2386">
        <v>4700</v>
      </c>
      <c r="E2386">
        <v>4900</v>
      </c>
      <c r="F2386">
        <v>130</v>
      </c>
      <c r="G2386">
        <v>124</v>
      </c>
      <c r="H2386">
        <v>0</v>
      </c>
      <c r="J2386" s="1">
        <f t="shared" si="185"/>
        <v>16900</v>
      </c>
      <c r="K2386" s="1">
        <f t="shared" si="186"/>
        <v>15376</v>
      </c>
      <c r="L2386" s="1">
        <f t="shared" si="187"/>
        <v>32276</v>
      </c>
      <c r="M2386" s="1">
        <f t="shared" si="188"/>
        <v>179.655225362359</v>
      </c>
      <c r="N2386" s="7">
        <f t="shared" si="189"/>
        <v>179.655225362359</v>
      </c>
    </row>
    <row r="2387" spans="1:14" x14ac:dyDescent="0.25">
      <c r="A2387" t="str">
        <f>"14:30:07.320"</f>
        <v>14:30:07.320</v>
      </c>
      <c r="B2387">
        <v>40.018430000000002</v>
      </c>
      <c r="C2387">
        <v>-75.528988999999996</v>
      </c>
      <c r="D2387">
        <v>4700</v>
      </c>
      <c r="E2387">
        <v>4900</v>
      </c>
      <c r="F2387">
        <v>130</v>
      </c>
      <c r="G2387">
        <v>124</v>
      </c>
      <c r="H2387">
        <v>-64</v>
      </c>
      <c r="J2387" s="1">
        <f t="shared" si="185"/>
        <v>16900</v>
      </c>
      <c r="K2387" s="1">
        <f t="shared" si="186"/>
        <v>15376</v>
      </c>
      <c r="L2387" s="1">
        <f t="shared" si="187"/>
        <v>32276</v>
      </c>
      <c r="M2387" s="1">
        <f t="shared" si="188"/>
        <v>179.655225362359</v>
      </c>
      <c r="N2387" s="7">
        <f t="shared" si="189"/>
        <v>179.655225362359</v>
      </c>
    </row>
    <row r="2388" spans="1:14" x14ac:dyDescent="0.25">
      <c r="A2388" t="str">
        <f>"14:30:08.328"</f>
        <v>14:30:08.328</v>
      </c>
      <c r="B2388">
        <v>40.019030999999998</v>
      </c>
      <c r="C2388">
        <v>-75.528194999999997</v>
      </c>
      <c r="D2388">
        <v>4700</v>
      </c>
      <c r="E2388">
        <v>4900</v>
      </c>
      <c r="F2388">
        <v>131</v>
      </c>
      <c r="G2388">
        <v>124</v>
      </c>
      <c r="H2388">
        <v>-64</v>
      </c>
      <c r="J2388" s="1">
        <f t="shared" si="185"/>
        <v>17161</v>
      </c>
      <c r="K2388" s="1">
        <f t="shared" si="186"/>
        <v>15376</v>
      </c>
      <c r="L2388" s="1">
        <f t="shared" si="187"/>
        <v>32537</v>
      </c>
      <c r="M2388" s="1">
        <f t="shared" si="188"/>
        <v>180.38015411901608</v>
      </c>
      <c r="N2388" s="7">
        <f t="shared" si="189"/>
        <v>180.38015411901608</v>
      </c>
    </row>
    <row r="2389" spans="1:14" x14ac:dyDescent="0.25">
      <c r="A2389" t="str">
        <f>"14:30:09.336"</f>
        <v>14:30:09.336</v>
      </c>
      <c r="B2389">
        <v>40.019567000000002</v>
      </c>
      <c r="C2389">
        <v>-75.527400999999998</v>
      </c>
      <c r="D2389">
        <v>4700</v>
      </c>
      <c r="E2389">
        <v>4900</v>
      </c>
      <c r="F2389">
        <v>131</v>
      </c>
      <c r="G2389">
        <v>124</v>
      </c>
      <c r="H2389">
        <v>-64</v>
      </c>
      <c r="J2389" s="1">
        <f t="shared" si="185"/>
        <v>17161</v>
      </c>
      <c r="K2389" s="1">
        <f t="shared" si="186"/>
        <v>15376</v>
      </c>
      <c r="L2389" s="1">
        <f t="shared" si="187"/>
        <v>32537</v>
      </c>
      <c r="M2389" s="1">
        <f t="shared" si="188"/>
        <v>180.38015411901608</v>
      </c>
      <c r="N2389" s="7">
        <f t="shared" si="189"/>
        <v>180.38015411901608</v>
      </c>
    </row>
    <row r="2390" spans="1:14" x14ac:dyDescent="0.25">
      <c r="A2390" t="str">
        <f>"14:30:10.500"</f>
        <v>14:30:10.500</v>
      </c>
      <c r="B2390">
        <v>40.020211000000003</v>
      </c>
      <c r="C2390">
        <v>-75.526521000000002</v>
      </c>
      <c r="D2390">
        <v>4700</v>
      </c>
      <c r="E2390">
        <v>4900</v>
      </c>
      <c r="F2390">
        <v>131</v>
      </c>
      <c r="G2390">
        <v>124</v>
      </c>
      <c r="H2390">
        <v>0</v>
      </c>
      <c r="J2390" s="1">
        <f t="shared" si="185"/>
        <v>17161</v>
      </c>
      <c r="K2390" s="1">
        <f t="shared" si="186"/>
        <v>15376</v>
      </c>
      <c r="L2390" s="1">
        <f t="shared" si="187"/>
        <v>32537</v>
      </c>
      <c r="M2390" s="1">
        <f t="shared" si="188"/>
        <v>180.38015411901608</v>
      </c>
      <c r="N2390" s="7">
        <f t="shared" si="189"/>
        <v>180.38015411901608</v>
      </c>
    </row>
    <row r="2391" spans="1:14" x14ac:dyDescent="0.25">
      <c r="A2391" t="str">
        <f>"14:30:11.305"</f>
        <v>14:30:11.305</v>
      </c>
      <c r="B2391">
        <v>40.020726000000003</v>
      </c>
      <c r="C2391">
        <v>-75.525812999999999</v>
      </c>
      <c r="D2391">
        <v>4700</v>
      </c>
      <c r="E2391">
        <v>4900</v>
      </c>
      <c r="F2391">
        <v>131</v>
      </c>
      <c r="G2391">
        <v>124</v>
      </c>
      <c r="H2391">
        <v>-64</v>
      </c>
      <c r="J2391" s="1">
        <f t="shared" si="185"/>
        <v>17161</v>
      </c>
      <c r="K2391" s="1">
        <f t="shared" si="186"/>
        <v>15376</v>
      </c>
      <c r="L2391" s="1">
        <f t="shared" si="187"/>
        <v>32537</v>
      </c>
      <c r="M2391" s="1">
        <f t="shared" si="188"/>
        <v>180.38015411901608</v>
      </c>
      <c r="N2391" s="7">
        <f t="shared" si="189"/>
        <v>180.38015411901608</v>
      </c>
    </row>
    <row r="2392" spans="1:14" x14ac:dyDescent="0.25">
      <c r="A2392" t="str">
        <f>"14:30:12.414"</f>
        <v>14:30:12.414</v>
      </c>
      <c r="B2392">
        <v>40.021369</v>
      </c>
      <c r="C2392">
        <v>-75.524955000000006</v>
      </c>
      <c r="D2392">
        <v>4700</v>
      </c>
      <c r="E2392">
        <v>4900</v>
      </c>
      <c r="F2392">
        <v>131</v>
      </c>
      <c r="G2392">
        <v>124</v>
      </c>
      <c r="H2392">
        <v>0</v>
      </c>
      <c r="J2392" s="1">
        <f t="shared" si="185"/>
        <v>17161</v>
      </c>
      <c r="K2392" s="1">
        <f t="shared" si="186"/>
        <v>15376</v>
      </c>
      <c r="L2392" s="1">
        <f t="shared" si="187"/>
        <v>32537</v>
      </c>
      <c r="M2392" s="1">
        <f t="shared" si="188"/>
        <v>180.38015411901608</v>
      </c>
      <c r="N2392" s="7">
        <f t="shared" si="189"/>
        <v>180.38015411901608</v>
      </c>
    </row>
    <row r="2393" spans="1:14" x14ac:dyDescent="0.25">
      <c r="A2393" t="str">
        <f>"14:30:13.477"</f>
        <v>14:30:13.477</v>
      </c>
      <c r="B2393">
        <v>40.022013000000001</v>
      </c>
      <c r="C2393">
        <v>-75.524118000000001</v>
      </c>
      <c r="D2393">
        <v>4700</v>
      </c>
      <c r="E2393">
        <v>4900</v>
      </c>
      <c r="F2393">
        <v>131</v>
      </c>
      <c r="G2393">
        <v>124</v>
      </c>
      <c r="H2393">
        <v>0</v>
      </c>
      <c r="J2393" s="1">
        <f t="shared" si="185"/>
        <v>17161</v>
      </c>
      <c r="K2393" s="1">
        <f t="shared" si="186"/>
        <v>15376</v>
      </c>
      <c r="L2393" s="1">
        <f t="shared" si="187"/>
        <v>32537</v>
      </c>
      <c r="M2393" s="1">
        <f t="shared" si="188"/>
        <v>180.38015411901608</v>
      </c>
      <c r="N2393" s="7">
        <f t="shared" si="189"/>
        <v>180.38015411901608</v>
      </c>
    </row>
    <row r="2394" spans="1:14" x14ac:dyDescent="0.25">
      <c r="A2394" t="str">
        <f>"14:30:14.539"</f>
        <v>14:30:14.539</v>
      </c>
      <c r="B2394">
        <v>40.022593000000001</v>
      </c>
      <c r="C2394">
        <v>-75.523324000000002</v>
      </c>
      <c r="D2394">
        <v>4700</v>
      </c>
      <c r="E2394">
        <v>4900</v>
      </c>
      <c r="F2394">
        <v>131</v>
      </c>
      <c r="G2394">
        <v>124</v>
      </c>
      <c r="H2394">
        <v>0</v>
      </c>
      <c r="J2394" s="1">
        <f t="shared" si="185"/>
        <v>17161</v>
      </c>
      <c r="K2394" s="1">
        <f t="shared" si="186"/>
        <v>15376</v>
      </c>
      <c r="L2394" s="1">
        <f t="shared" si="187"/>
        <v>32537</v>
      </c>
      <c r="M2394" s="1">
        <f t="shared" si="188"/>
        <v>180.38015411901608</v>
      </c>
      <c r="N2394" s="7">
        <f t="shared" si="189"/>
        <v>180.38015411901608</v>
      </c>
    </row>
    <row r="2395" spans="1:14" x14ac:dyDescent="0.25">
      <c r="A2395" t="str">
        <f>"14:30:15.648"</f>
        <v>14:30:15.648</v>
      </c>
      <c r="B2395">
        <v>40.023192999999999</v>
      </c>
      <c r="C2395">
        <v>-75.522443999999993</v>
      </c>
      <c r="D2395">
        <v>4700</v>
      </c>
      <c r="E2395">
        <v>4900</v>
      </c>
      <c r="F2395">
        <v>131</v>
      </c>
      <c r="G2395">
        <v>124</v>
      </c>
      <c r="H2395">
        <v>0</v>
      </c>
      <c r="J2395" s="1">
        <f t="shared" si="185"/>
        <v>17161</v>
      </c>
      <c r="K2395" s="1">
        <f t="shared" si="186"/>
        <v>15376</v>
      </c>
      <c r="L2395" s="1">
        <f t="shared" si="187"/>
        <v>32537</v>
      </c>
      <c r="M2395" s="1">
        <f t="shared" si="188"/>
        <v>180.38015411901608</v>
      </c>
      <c r="N2395" s="7">
        <f t="shared" si="189"/>
        <v>180.38015411901608</v>
      </c>
    </row>
    <row r="2396" spans="1:14" x14ac:dyDescent="0.25">
      <c r="A2396" t="str">
        <f>"14:30:16.656"</f>
        <v>14:30:16.656</v>
      </c>
      <c r="B2396">
        <v>40.023794000000002</v>
      </c>
      <c r="C2396">
        <v>-75.521649999999994</v>
      </c>
      <c r="D2396">
        <v>4700</v>
      </c>
      <c r="E2396">
        <v>4900</v>
      </c>
      <c r="F2396">
        <v>131</v>
      </c>
      <c r="G2396">
        <v>124</v>
      </c>
      <c r="H2396">
        <v>0</v>
      </c>
      <c r="J2396" s="1">
        <f t="shared" si="185"/>
        <v>17161</v>
      </c>
      <c r="K2396" s="1">
        <f t="shared" si="186"/>
        <v>15376</v>
      </c>
      <c r="L2396" s="1">
        <f t="shared" si="187"/>
        <v>32537</v>
      </c>
      <c r="M2396" s="1">
        <f t="shared" si="188"/>
        <v>180.38015411901608</v>
      </c>
      <c r="N2396" s="7">
        <f t="shared" si="189"/>
        <v>180.38015411901608</v>
      </c>
    </row>
    <row r="2397" spans="1:14" x14ac:dyDescent="0.25">
      <c r="A2397" t="str">
        <f>"14:30:17.570"</f>
        <v>14:30:17.570</v>
      </c>
      <c r="B2397">
        <v>40.024287999999999</v>
      </c>
      <c r="C2397">
        <v>-75.520942000000005</v>
      </c>
      <c r="D2397">
        <v>4700</v>
      </c>
      <c r="E2397">
        <v>4900</v>
      </c>
      <c r="F2397">
        <v>131</v>
      </c>
      <c r="G2397">
        <v>124</v>
      </c>
      <c r="H2397">
        <v>64</v>
      </c>
      <c r="J2397" s="1">
        <f t="shared" si="185"/>
        <v>17161</v>
      </c>
      <c r="K2397" s="1">
        <f t="shared" si="186"/>
        <v>15376</v>
      </c>
      <c r="L2397" s="1">
        <f t="shared" si="187"/>
        <v>32537</v>
      </c>
      <c r="M2397" s="1">
        <f t="shared" si="188"/>
        <v>180.38015411901608</v>
      </c>
      <c r="N2397" s="7">
        <f t="shared" si="189"/>
        <v>180.38015411901608</v>
      </c>
    </row>
    <row r="2398" spans="1:14" x14ac:dyDescent="0.25">
      <c r="A2398" t="str">
        <f>"14:30:18.523"</f>
        <v>14:30:18.523</v>
      </c>
      <c r="B2398">
        <v>40.024889000000002</v>
      </c>
      <c r="C2398">
        <v>-75.520148000000006</v>
      </c>
      <c r="D2398">
        <v>4700</v>
      </c>
      <c r="E2398">
        <v>4900</v>
      </c>
      <c r="F2398">
        <v>131</v>
      </c>
      <c r="G2398">
        <v>124</v>
      </c>
      <c r="H2398">
        <v>64</v>
      </c>
      <c r="J2398" s="1">
        <f t="shared" si="185"/>
        <v>17161</v>
      </c>
      <c r="K2398" s="1">
        <f t="shared" si="186"/>
        <v>15376</v>
      </c>
      <c r="L2398" s="1">
        <f t="shared" si="187"/>
        <v>32537</v>
      </c>
      <c r="M2398" s="1">
        <f t="shared" si="188"/>
        <v>180.38015411901608</v>
      </c>
      <c r="N2398" s="7">
        <f t="shared" si="189"/>
        <v>180.38015411901608</v>
      </c>
    </row>
    <row r="2399" spans="1:14" x14ac:dyDescent="0.25">
      <c r="A2399" t="str">
        <f>"14:30:19.484"</f>
        <v>14:30:19.484</v>
      </c>
      <c r="B2399">
        <v>40.025446000000002</v>
      </c>
      <c r="C2399">
        <v>-75.519354000000007</v>
      </c>
      <c r="D2399">
        <v>4700</v>
      </c>
      <c r="E2399">
        <v>4900</v>
      </c>
      <c r="F2399">
        <v>131</v>
      </c>
      <c r="G2399">
        <v>125</v>
      </c>
      <c r="H2399">
        <v>64</v>
      </c>
      <c r="J2399" s="1">
        <f t="shared" si="185"/>
        <v>17161</v>
      </c>
      <c r="K2399" s="1">
        <f t="shared" si="186"/>
        <v>15625</v>
      </c>
      <c r="L2399" s="1">
        <f t="shared" si="187"/>
        <v>32786</v>
      </c>
      <c r="M2399" s="1">
        <f t="shared" si="188"/>
        <v>181.06904760339356</v>
      </c>
      <c r="N2399" s="7">
        <f t="shared" si="189"/>
        <v>181.06904760339356</v>
      </c>
    </row>
    <row r="2400" spans="1:14" x14ac:dyDescent="0.25">
      <c r="A2400" t="str">
        <f>"14:30:20.547"</f>
        <v>14:30:20.547</v>
      </c>
      <c r="B2400">
        <v>40.026026000000002</v>
      </c>
      <c r="C2400">
        <v>-75.518559999999994</v>
      </c>
      <c r="D2400">
        <v>4700</v>
      </c>
      <c r="E2400">
        <v>4900</v>
      </c>
      <c r="F2400">
        <v>131</v>
      </c>
      <c r="G2400">
        <v>125</v>
      </c>
      <c r="H2400">
        <v>64</v>
      </c>
      <c r="J2400" s="1">
        <f t="shared" si="185"/>
        <v>17161</v>
      </c>
      <c r="K2400" s="1">
        <f t="shared" si="186"/>
        <v>15625</v>
      </c>
      <c r="L2400" s="1">
        <f t="shared" si="187"/>
        <v>32786</v>
      </c>
      <c r="M2400" s="1">
        <f t="shared" si="188"/>
        <v>181.06904760339356</v>
      </c>
      <c r="N2400" s="7">
        <f t="shared" si="189"/>
        <v>181.06904760339356</v>
      </c>
    </row>
    <row r="2401" spans="1:14" x14ac:dyDescent="0.25">
      <c r="A2401" t="str">
        <f>"14:30:21.555"</f>
        <v>14:30:21.555</v>
      </c>
      <c r="B2401">
        <v>40.026626999999998</v>
      </c>
      <c r="C2401">
        <v>-75.517831000000001</v>
      </c>
      <c r="D2401">
        <v>4700</v>
      </c>
      <c r="E2401">
        <v>4900</v>
      </c>
      <c r="F2401">
        <v>131</v>
      </c>
      <c r="G2401">
        <v>125</v>
      </c>
      <c r="H2401">
        <v>64</v>
      </c>
      <c r="J2401" s="1">
        <f t="shared" si="185"/>
        <v>17161</v>
      </c>
      <c r="K2401" s="1">
        <f t="shared" si="186"/>
        <v>15625</v>
      </c>
      <c r="L2401" s="1">
        <f t="shared" si="187"/>
        <v>32786</v>
      </c>
      <c r="M2401" s="1">
        <f t="shared" si="188"/>
        <v>181.06904760339356</v>
      </c>
      <c r="N2401" s="7">
        <f t="shared" si="189"/>
        <v>181.06904760339356</v>
      </c>
    </row>
    <row r="2402" spans="1:14" x14ac:dyDescent="0.25">
      <c r="A2402" t="str">
        <f>"14:30:22.414"</f>
        <v>14:30:22.414</v>
      </c>
      <c r="B2402">
        <v>40.027141999999998</v>
      </c>
      <c r="C2402">
        <v>-75.517080000000007</v>
      </c>
      <c r="D2402">
        <v>4700</v>
      </c>
      <c r="E2402">
        <v>4900</v>
      </c>
      <c r="F2402">
        <v>131</v>
      </c>
      <c r="G2402">
        <v>124</v>
      </c>
      <c r="H2402">
        <v>0</v>
      </c>
      <c r="J2402" s="1">
        <f t="shared" si="185"/>
        <v>17161</v>
      </c>
      <c r="K2402" s="1">
        <f t="shared" si="186"/>
        <v>15376</v>
      </c>
      <c r="L2402" s="1">
        <f t="shared" si="187"/>
        <v>32537</v>
      </c>
      <c r="M2402" s="1">
        <f t="shared" si="188"/>
        <v>180.38015411901608</v>
      </c>
      <c r="N2402" s="7">
        <f t="shared" si="189"/>
        <v>180.38015411901608</v>
      </c>
    </row>
    <row r="2403" spans="1:14" x14ac:dyDescent="0.25">
      <c r="A2403" t="str">
        <f>"14:30:24.078"</f>
        <v>14:30:24.078</v>
      </c>
      <c r="B2403">
        <v>40.028042999999997</v>
      </c>
      <c r="C2403">
        <v>-75.515834999999996</v>
      </c>
      <c r="D2403">
        <v>4700</v>
      </c>
      <c r="E2403">
        <v>4900</v>
      </c>
      <c r="F2403">
        <v>131</v>
      </c>
      <c r="G2403">
        <v>124</v>
      </c>
      <c r="H2403">
        <v>0</v>
      </c>
      <c r="J2403" s="1">
        <f t="shared" si="185"/>
        <v>17161</v>
      </c>
      <c r="K2403" s="1">
        <f t="shared" si="186"/>
        <v>15376</v>
      </c>
      <c r="L2403" s="1">
        <f t="shared" si="187"/>
        <v>32537</v>
      </c>
      <c r="M2403" s="1">
        <f t="shared" si="188"/>
        <v>180.38015411901608</v>
      </c>
      <c r="N2403" s="7">
        <f t="shared" si="189"/>
        <v>180.38015411901608</v>
      </c>
    </row>
    <row r="2404" spans="1:14" x14ac:dyDescent="0.25">
      <c r="A2404" t="str">
        <f>"14:30:24.938"</f>
        <v>14:30:24.938</v>
      </c>
      <c r="B2404">
        <v>40.028557999999997</v>
      </c>
      <c r="C2404">
        <v>-75.515127000000007</v>
      </c>
      <c r="D2404">
        <v>4700</v>
      </c>
      <c r="E2404">
        <v>4900</v>
      </c>
      <c r="F2404">
        <v>131</v>
      </c>
      <c r="G2404">
        <v>124</v>
      </c>
      <c r="H2404">
        <v>0</v>
      </c>
      <c r="J2404" s="1">
        <f t="shared" si="185"/>
        <v>17161</v>
      </c>
      <c r="K2404" s="1">
        <f t="shared" si="186"/>
        <v>15376</v>
      </c>
      <c r="L2404" s="1">
        <f t="shared" si="187"/>
        <v>32537</v>
      </c>
      <c r="M2404" s="1">
        <f t="shared" si="188"/>
        <v>180.38015411901608</v>
      </c>
      <c r="N2404" s="7">
        <f t="shared" si="189"/>
        <v>180.38015411901608</v>
      </c>
    </row>
    <row r="2405" spans="1:14" x14ac:dyDescent="0.25">
      <c r="A2405" t="str">
        <f>"14:30:25.844"</f>
        <v>14:30:25.844</v>
      </c>
      <c r="B2405">
        <v>40.029051000000003</v>
      </c>
      <c r="C2405">
        <v>-75.514398</v>
      </c>
      <c r="D2405">
        <v>4700</v>
      </c>
      <c r="E2405">
        <v>4900</v>
      </c>
      <c r="F2405">
        <v>131</v>
      </c>
      <c r="G2405">
        <v>124</v>
      </c>
      <c r="H2405">
        <v>0</v>
      </c>
      <c r="J2405" s="1">
        <f t="shared" si="185"/>
        <v>17161</v>
      </c>
      <c r="K2405" s="1">
        <f t="shared" si="186"/>
        <v>15376</v>
      </c>
      <c r="L2405" s="1">
        <f t="shared" si="187"/>
        <v>32537</v>
      </c>
      <c r="M2405" s="1">
        <f t="shared" si="188"/>
        <v>180.38015411901608</v>
      </c>
      <c r="N2405" s="7">
        <f t="shared" si="189"/>
        <v>180.38015411901608</v>
      </c>
    </row>
    <row r="2406" spans="1:14" x14ac:dyDescent="0.25">
      <c r="A2406" t="str">
        <f>"14:30:26.953"</f>
        <v>14:30:26.953</v>
      </c>
      <c r="B2406">
        <v>40.029694999999997</v>
      </c>
      <c r="C2406">
        <v>-75.513538999999994</v>
      </c>
      <c r="D2406">
        <v>4700</v>
      </c>
      <c r="E2406">
        <v>4900</v>
      </c>
      <c r="F2406">
        <v>132</v>
      </c>
      <c r="G2406">
        <v>124</v>
      </c>
      <c r="H2406">
        <v>0</v>
      </c>
      <c r="J2406" s="1">
        <f t="shared" si="185"/>
        <v>17424</v>
      </c>
      <c r="K2406" s="1">
        <f t="shared" si="186"/>
        <v>15376</v>
      </c>
      <c r="L2406" s="1">
        <f t="shared" si="187"/>
        <v>32800</v>
      </c>
      <c r="M2406" s="1">
        <f t="shared" si="188"/>
        <v>181.10770276274835</v>
      </c>
      <c r="N2406" s="7">
        <f t="shared" si="189"/>
        <v>181.10770276274835</v>
      </c>
    </row>
    <row r="2407" spans="1:14" x14ac:dyDescent="0.25">
      <c r="A2407" t="str">
        <f>"14:30:28.070"</f>
        <v>14:30:28.070</v>
      </c>
      <c r="B2407">
        <v>40.030360000000002</v>
      </c>
      <c r="C2407">
        <v>-75.512659999999997</v>
      </c>
      <c r="D2407">
        <v>4700</v>
      </c>
      <c r="E2407">
        <v>4900</v>
      </c>
      <c r="F2407">
        <v>132</v>
      </c>
      <c r="G2407">
        <v>124</v>
      </c>
      <c r="H2407">
        <v>0</v>
      </c>
      <c r="J2407" s="1">
        <f t="shared" si="185"/>
        <v>17424</v>
      </c>
      <c r="K2407" s="1">
        <f t="shared" si="186"/>
        <v>15376</v>
      </c>
      <c r="L2407" s="1">
        <f t="shared" si="187"/>
        <v>32800</v>
      </c>
      <c r="M2407" s="1">
        <f t="shared" si="188"/>
        <v>181.10770276274835</v>
      </c>
      <c r="N2407" s="7">
        <f t="shared" si="189"/>
        <v>181.10770276274835</v>
      </c>
    </row>
    <row r="2408" spans="1:14" x14ac:dyDescent="0.25">
      <c r="A2408" t="str">
        <f>"14:30:29.227"</f>
        <v>14:30:29.227</v>
      </c>
      <c r="B2408">
        <v>40.031004000000003</v>
      </c>
      <c r="C2408">
        <v>-75.511714999999995</v>
      </c>
      <c r="D2408">
        <v>4700</v>
      </c>
      <c r="E2408">
        <v>4900</v>
      </c>
      <c r="F2408">
        <v>132</v>
      </c>
      <c r="G2408">
        <v>124</v>
      </c>
      <c r="H2408">
        <v>0</v>
      </c>
      <c r="J2408" s="1">
        <f t="shared" si="185"/>
        <v>17424</v>
      </c>
      <c r="K2408" s="1">
        <f t="shared" si="186"/>
        <v>15376</v>
      </c>
      <c r="L2408" s="1">
        <f t="shared" si="187"/>
        <v>32800</v>
      </c>
      <c r="M2408" s="1">
        <f t="shared" si="188"/>
        <v>181.10770276274835</v>
      </c>
      <c r="N2408" s="7">
        <f t="shared" si="189"/>
        <v>181.10770276274835</v>
      </c>
    </row>
    <row r="2409" spans="1:14" x14ac:dyDescent="0.25">
      <c r="A2409" t="str">
        <f>"14:30:30.234"</f>
        <v>14:30:30.234</v>
      </c>
      <c r="B2409">
        <v>40.031626000000003</v>
      </c>
      <c r="C2409">
        <v>-75.510900000000007</v>
      </c>
      <c r="D2409">
        <v>4700</v>
      </c>
      <c r="E2409">
        <v>4900</v>
      </c>
      <c r="F2409">
        <v>132</v>
      </c>
      <c r="G2409">
        <v>124</v>
      </c>
      <c r="H2409">
        <v>-64</v>
      </c>
      <c r="J2409" s="1">
        <f t="shared" si="185"/>
        <v>17424</v>
      </c>
      <c r="K2409" s="1">
        <f t="shared" si="186"/>
        <v>15376</v>
      </c>
      <c r="L2409" s="1">
        <f t="shared" si="187"/>
        <v>32800</v>
      </c>
      <c r="M2409" s="1">
        <f t="shared" si="188"/>
        <v>181.10770276274835</v>
      </c>
      <c r="N2409" s="7">
        <f t="shared" si="189"/>
        <v>181.10770276274835</v>
      </c>
    </row>
    <row r="2410" spans="1:14" x14ac:dyDescent="0.25">
      <c r="A2410" t="str">
        <f>"14:30:31.352"</f>
        <v>14:30:31.352</v>
      </c>
      <c r="B2410">
        <v>40.032248000000003</v>
      </c>
      <c r="C2410">
        <v>-75.510019999999997</v>
      </c>
      <c r="D2410">
        <v>4700</v>
      </c>
      <c r="E2410">
        <v>4900</v>
      </c>
      <c r="F2410">
        <v>132</v>
      </c>
      <c r="G2410">
        <v>124</v>
      </c>
      <c r="H2410">
        <v>0</v>
      </c>
      <c r="J2410" s="1">
        <f t="shared" si="185"/>
        <v>17424</v>
      </c>
      <c r="K2410" s="1">
        <f t="shared" si="186"/>
        <v>15376</v>
      </c>
      <c r="L2410" s="1">
        <f t="shared" si="187"/>
        <v>32800</v>
      </c>
      <c r="M2410" s="1">
        <f t="shared" si="188"/>
        <v>181.10770276274835</v>
      </c>
      <c r="N2410" s="7">
        <f t="shared" si="189"/>
        <v>181.10770276274835</v>
      </c>
    </row>
    <row r="2411" spans="1:14" x14ac:dyDescent="0.25">
      <c r="A2411" t="str">
        <f>"14:30:32.258"</f>
        <v>14:30:32.258</v>
      </c>
      <c r="B2411">
        <v>40.032741999999999</v>
      </c>
      <c r="C2411">
        <v>-75.509354999999999</v>
      </c>
      <c r="D2411">
        <v>4700</v>
      </c>
      <c r="E2411">
        <v>4900</v>
      </c>
      <c r="F2411">
        <v>131</v>
      </c>
      <c r="G2411">
        <v>124</v>
      </c>
      <c r="H2411">
        <v>0</v>
      </c>
      <c r="J2411" s="1">
        <f t="shared" si="185"/>
        <v>17161</v>
      </c>
      <c r="K2411" s="1">
        <f t="shared" si="186"/>
        <v>15376</v>
      </c>
      <c r="L2411" s="1">
        <f t="shared" si="187"/>
        <v>32537</v>
      </c>
      <c r="M2411" s="1">
        <f t="shared" si="188"/>
        <v>180.38015411901608</v>
      </c>
      <c r="N2411" s="7">
        <f t="shared" si="189"/>
        <v>180.38015411901608</v>
      </c>
    </row>
    <row r="2412" spans="1:14" x14ac:dyDescent="0.25">
      <c r="A2412" t="str">
        <f>"14:30:33.063"</f>
        <v>14:30:33.063</v>
      </c>
      <c r="B2412">
        <v>40.033256999999999</v>
      </c>
      <c r="C2412">
        <v>-75.508604000000005</v>
      </c>
      <c r="D2412">
        <v>4700</v>
      </c>
      <c r="E2412">
        <v>4900</v>
      </c>
      <c r="F2412">
        <v>131</v>
      </c>
      <c r="G2412">
        <v>124</v>
      </c>
      <c r="H2412">
        <v>0</v>
      </c>
      <c r="J2412" s="1">
        <f t="shared" si="185"/>
        <v>17161</v>
      </c>
      <c r="K2412" s="1">
        <f t="shared" si="186"/>
        <v>15376</v>
      </c>
      <c r="L2412" s="1">
        <f t="shared" si="187"/>
        <v>32537</v>
      </c>
      <c r="M2412" s="1">
        <f t="shared" si="188"/>
        <v>180.38015411901608</v>
      </c>
      <c r="N2412" s="7">
        <f t="shared" si="189"/>
        <v>180.38015411901608</v>
      </c>
    </row>
    <row r="2413" spans="1:14" x14ac:dyDescent="0.25">
      <c r="A2413" t="str">
        <f>"14:30:34.023"</f>
        <v>14:30:34.023</v>
      </c>
      <c r="B2413">
        <v>40.033814999999997</v>
      </c>
      <c r="C2413">
        <v>-75.507917000000006</v>
      </c>
      <c r="D2413">
        <v>4700</v>
      </c>
      <c r="E2413">
        <v>4900</v>
      </c>
      <c r="F2413">
        <v>131</v>
      </c>
      <c r="G2413">
        <v>124</v>
      </c>
      <c r="H2413">
        <v>0</v>
      </c>
      <c r="J2413" s="1">
        <f t="shared" si="185"/>
        <v>17161</v>
      </c>
      <c r="K2413" s="1">
        <f t="shared" si="186"/>
        <v>15376</v>
      </c>
      <c r="L2413" s="1">
        <f t="shared" si="187"/>
        <v>32537</v>
      </c>
      <c r="M2413" s="1">
        <f t="shared" si="188"/>
        <v>180.38015411901608</v>
      </c>
      <c r="N2413" s="7">
        <f t="shared" si="189"/>
        <v>180.38015411901608</v>
      </c>
    </row>
    <row r="2414" spans="1:14" x14ac:dyDescent="0.25">
      <c r="A2414" t="str">
        <f>"14:30:35.133"</f>
        <v>14:30:35.133</v>
      </c>
      <c r="B2414">
        <v>40.034416</v>
      </c>
      <c r="C2414">
        <v>-75.507015999999993</v>
      </c>
      <c r="D2414">
        <v>4700</v>
      </c>
      <c r="E2414">
        <v>4900</v>
      </c>
      <c r="F2414">
        <v>131</v>
      </c>
      <c r="G2414">
        <v>124</v>
      </c>
      <c r="H2414">
        <v>0</v>
      </c>
      <c r="J2414" s="1">
        <f t="shared" si="185"/>
        <v>17161</v>
      </c>
      <c r="K2414" s="1">
        <f t="shared" si="186"/>
        <v>15376</v>
      </c>
      <c r="L2414" s="1">
        <f t="shared" si="187"/>
        <v>32537</v>
      </c>
      <c r="M2414" s="1">
        <f t="shared" si="188"/>
        <v>180.38015411901608</v>
      </c>
      <c r="N2414" s="7">
        <f t="shared" si="189"/>
        <v>180.38015411901608</v>
      </c>
    </row>
    <row r="2415" spans="1:14" x14ac:dyDescent="0.25">
      <c r="A2415" t="str">
        <f>"14:30:36.242"</f>
        <v>14:30:36.242</v>
      </c>
      <c r="B2415">
        <v>40.035058999999997</v>
      </c>
      <c r="C2415">
        <v>-75.506157999999999</v>
      </c>
      <c r="D2415">
        <v>4700</v>
      </c>
      <c r="E2415">
        <v>4900</v>
      </c>
      <c r="F2415">
        <v>131</v>
      </c>
      <c r="G2415">
        <v>124</v>
      </c>
      <c r="H2415">
        <v>0</v>
      </c>
      <c r="J2415" s="1">
        <f t="shared" si="185"/>
        <v>17161</v>
      </c>
      <c r="K2415" s="1">
        <f t="shared" si="186"/>
        <v>15376</v>
      </c>
      <c r="L2415" s="1">
        <f t="shared" si="187"/>
        <v>32537</v>
      </c>
      <c r="M2415" s="1">
        <f t="shared" si="188"/>
        <v>180.38015411901608</v>
      </c>
      <c r="N2415" s="7">
        <f t="shared" si="189"/>
        <v>180.38015411901608</v>
      </c>
    </row>
    <row r="2416" spans="1:14" x14ac:dyDescent="0.25">
      <c r="A2416" t="str">
        <f>"14:30:37.203"</f>
        <v>14:30:37.203</v>
      </c>
      <c r="B2416">
        <v>40.035617000000002</v>
      </c>
      <c r="C2416">
        <v>-75.505341999999999</v>
      </c>
      <c r="D2416">
        <v>4700</v>
      </c>
      <c r="E2416">
        <v>4900</v>
      </c>
      <c r="F2416">
        <v>131</v>
      </c>
      <c r="G2416">
        <v>124</v>
      </c>
      <c r="H2416">
        <v>0</v>
      </c>
      <c r="J2416" s="1">
        <f t="shared" si="185"/>
        <v>17161</v>
      </c>
      <c r="K2416" s="1">
        <f t="shared" si="186"/>
        <v>15376</v>
      </c>
      <c r="L2416" s="1">
        <f t="shared" si="187"/>
        <v>32537</v>
      </c>
      <c r="M2416" s="1">
        <f t="shared" si="188"/>
        <v>180.38015411901608</v>
      </c>
      <c r="N2416" s="7">
        <f t="shared" si="189"/>
        <v>180.38015411901608</v>
      </c>
    </row>
    <row r="2417" spans="1:14" x14ac:dyDescent="0.25">
      <c r="A2417" t="str">
        <f>"14:30:38.266"</f>
        <v>14:30:38.266</v>
      </c>
      <c r="B2417">
        <v>40.036217999999998</v>
      </c>
      <c r="C2417">
        <v>-75.504548999999997</v>
      </c>
      <c r="D2417">
        <v>4700</v>
      </c>
      <c r="E2417">
        <v>4900</v>
      </c>
      <c r="F2417">
        <v>131</v>
      </c>
      <c r="G2417">
        <v>124</v>
      </c>
      <c r="H2417">
        <v>0</v>
      </c>
      <c r="J2417" s="1">
        <f t="shared" si="185"/>
        <v>17161</v>
      </c>
      <c r="K2417" s="1">
        <f t="shared" si="186"/>
        <v>15376</v>
      </c>
      <c r="L2417" s="1">
        <f t="shared" si="187"/>
        <v>32537</v>
      </c>
      <c r="M2417" s="1">
        <f t="shared" si="188"/>
        <v>180.38015411901608</v>
      </c>
      <c r="N2417" s="7">
        <f t="shared" si="189"/>
        <v>180.38015411901608</v>
      </c>
    </row>
    <row r="2418" spans="1:14" x14ac:dyDescent="0.25">
      <c r="A2418" t="str">
        <f>"14:30:39.227"</f>
        <v>14:30:39.227</v>
      </c>
      <c r="B2418">
        <v>40.036776000000003</v>
      </c>
      <c r="C2418">
        <v>-75.503798000000003</v>
      </c>
      <c r="D2418">
        <v>4700</v>
      </c>
      <c r="E2418">
        <v>4900</v>
      </c>
      <c r="F2418">
        <v>131</v>
      </c>
      <c r="G2418">
        <v>124</v>
      </c>
      <c r="H2418">
        <v>0</v>
      </c>
      <c r="J2418" s="1">
        <f t="shared" si="185"/>
        <v>17161</v>
      </c>
      <c r="K2418" s="1">
        <f t="shared" si="186"/>
        <v>15376</v>
      </c>
      <c r="L2418" s="1">
        <f t="shared" si="187"/>
        <v>32537</v>
      </c>
      <c r="M2418" s="1">
        <f t="shared" si="188"/>
        <v>180.38015411901608</v>
      </c>
      <c r="N2418" s="7">
        <f t="shared" si="189"/>
        <v>180.38015411901608</v>
      </c>
    </row>
    <row r="2419" spans="1:14" x14ac:dyDescent="0.25">
      <c r="A2419" t="str">
        <f>"14:30:40.078"</f>
        <v>14:30:40.078</v>
      </c>
      <c r="B2419">
        <v>40.037291000000003</v>
      </c>
      <c r="C2419">
        <v>-75.503046999999995</v>
      </c>
      <c r="D2419">
        <v>4700</v>
      </c>
      <c r="E2419">
        <v>4900</v>
      </c>
      <c r="F2419">
        <v>131</v>
      </c>
      <c r="G2419">
        <v>124</v>
      </c>
      <c r="H2419">
        <v>0</v>
      </c>
      <c r="J2419" s="1">
        <f t="shared" si="185"/>
        <v>17161</v>
      </c>
      <c r="K2419" s="1">
        <f t="shared" si="186"/>
        <v>15376</v>
      </c>
      <c r="L2419" s="1">
        <f t="shared" si="187"/>
        <v>32537</v>
      </c>
      <c r="M2419" s="1">
        <f t="shared" si="188"/>
        <v>180.38015411901608</v>
      </c>
      <c r="N2419" s="7">
        <f t="shared" si="189"/>
        <v>180.38015411901608</v>
      </c>
    </row>
    <row r="2420" spans="1:14" x14ac:dyDescent="0.25">
      <c r="A2420" t="str">
        <f>"14:30:41.289"</f>
        <v>14:30:41.289</v>
      </c>
      <c r="B2420">
        <v>40.037978000000003</v>
      </c>
      <c r="C2420">
        <v>-75.502144999999999</v>
      </c>
      <c r="D2420">
        <v>4700</v>
      </c>
      <c r="E2420">
        <v>4900</v>
      </c>
      <c r="F2420">
        <v>132</v>
      </c>
      <c r="G2420">
        <v>124</v>
      </c>
      <c r="H2420">
        <v>0</v>
      </c>
      <c r="J2420" s="1">
        <f t="shared" si="185"/>
        <v>17424</v>
      </c>
      <c r="K2420" s="1">
        <f t="shared" si="186"/>
        <v>15376</v>
      </c>
      <c r="L2420" s="1">
        <f t="shared" si="187"/>
        <v>32800</v>
      </c>
      <c r="M2420" s="1">
        <f t="shared" si="188"/>
        <v>181.10770276274835</v>
      </c>
      <c r="N2420" s="7">
        <f t="shared" si="189"/>
        <v>181.10770276274835</v>
      </c>
    </row>
    <row r="2421" spans="1:14" x14ac:dyDescent="0.25">
      <c r="A2421" t="str">
        <f>"14:30:42.250"</f>
        <v>14:30:42.250</v>
      </c>
      <c r="B2421">
        <v>40.038513999999999</v>
      </c>
      <c r="C2421">
        <v>-75.501416000000006</v>
      </c>
      <c r="D2421">
        <v>4700</v>
      </c>
      <c r="E2421">
        <v>4900</v>
      </c>
      <c r="F2421">
        <v>132</v>
      </c>
      <c r="G2421">
        <v>124</v>
      </c>
      <c r="H2421">
        <v>0</v>
      </c>
      <c r="J2421" s="1">
        <f t="shared" si="185"/>
        <v>17424</v>
      </c>
      <c r="K2421" s="1">
        <f t="shared" si="186"/>
        <v>15376</v>
      </c>
      <c r="L2421" s="1">
        <f t="shared" si="187"/>
        <v>32800</v>
      </c>
      <c r="M2421" s="1">
        <f t="shared" si="188"/>
        <v>181.10770276274835</v>
      </c>
      <c r="N2421" s="7">
        <f t="shared" si="189"/>
        <v>181.10770276274835</v>
      </c>
    </row>
    <row r="2422" spans="1:14" x14ac:dyDescent="0.25">
      <c r="A2422" t="str">
        <f>"14:30:43.063"</f>
        <v>14:30:43.063</v>
      </c>
      <c r="B2422">
        <v>40.038964999999997</v>
      </c>
      <c r="C2422">
        <v>-75.500793000000002</v>
      </c>
      <c r="D2422">
        <v>4700</v>
      </c>
      <c r="E2422">
        <v>4900</v>
      </c>
      <c r="F2422">
        <v>132</v>
      </c>
      <c r="G2422">
        <v>124</v>
      </c>
      <c r="H2422">
        <v>0</v>
      </c>
      <c r="J2422" s="1">
        <f t="shared" si="185"/>
        <v>17424</v>
      </c>
      <c r="K2422" s="1">
        <f t="shared" si="186"/>
        <v>15376</v>
      </c>
      <c r="L2422" s="1">
        <f t="shared" si="187"/>
        <v>32800</v>
      </c>
      <c r="M2422" s="1">
        <f t="shared" si="188"/>
        <v>181.10770276274835</v>
      </c>
      <c r="N2422" s="7">
        <f t="shared" si="189"/>
        <v>181.10770276274835</v>
      </c>
    </row>
    <row r="2423" spans="1:14" x14ac:dyDescent="0.25">
      <c r="A2423" t="str">
        <f>"14:30:44.016"</f>
        <v>14:30:44.016</v>
      </c>
      <c r="B2423">
        <v>40.039523000000003</v>
      </c>
      <c r="C2423">
        <v>-75.499977999999999</v>
      </c>
      <c r="D2423">
        <v>4700</v>
      </c>
      <c r="E2423">
        <v>4900</v>
      </c>
      <c r="F2423">
        <v>132</v>
      </c>
      <c r="G2423">
        <v>124</v>
      </c>
      <c r="H2423">
        <v>0</v>
      </c>
      <c r="J2423" s="1">
        <f t="shared" si="185"/>
        <v>17424</v>
      </c>
      <c r="K2423" s="1">
        <f t="shared" si="186"/>
        <v>15376</v>
      </c>
      <c r="L2423" s="1">
        <f t="shared" si="187"/>
        <v>32800</v>
      </c>
      <c r="M2423" s="1">
        <f t="shared" si="188"/>
        <v>181.10770276274835</v>
      </c>
      <c r="N2423" s="7">
        <f t="shared" si="189"/>
        <v>181.10770276274835</v>
      </c>
    </row>
    <row r="2424" spans="1:14" x14ac:dyDescent="0.25">
      <c r="A2424" t="str">
        <f>"14:30:45.078"</f>
        <v>14:30:45.078</v>
      </c>
      <c r="B2424">
        <v>40.040165999999999</v>
      </c>
      <c r="C2424">
        <v>-75.499077</v>
      </c>
      <c r="D2424">
        <v>4700</v>
      </c>
      <c r="E2424">
        <v>4900</v>
      </c>
      <c r="F2424">
        <v>132</v>
      </c>
      <c r="G2424">
        <v>124</v>
      </c>
      <c r="H2424">
        <v>0</v>
      </c>
      <c r="J2424" s="1">
        <f t="shared" si="185"/>
        <v>17424</v>
      </c>
      <c r="K2424" s="1">
        <f t="shared" si="186"/>
        <v>15376</v>
      </c>
      <c r="L2424" s="1">
        <f t="shared" si="187"/>
        <v>32800</v>
      </c>
      <c r="M2424" s="1">
        <f t="shared" si="188"/>
        <v>181.10770276274835</v>
      </c>
      <c r="N2424" s="7">
        <f t="shared" si="189"/>
        <v>181.10770276274835</v>
      </c>
    </row>
    <row r="2425" spans="1:14" x14ac:dyDescent="0.25">
      <c r="A2425" t="str">
        <f>"14:30:45.938"</f>
        <v>14:30:45.938</v>
      </c>
      <c r="B2425">
        <v>40.040638000000001</v>
      </c>
      <c r="C2425">
        <v>-75.498475999999997</v>
      </c>
      <c r="D2425">
        <v>4700</v>
      </c>
      <c r="E2425">
        <v>4900</v>
      </c>
      <c r="F2425">
        <v>132</v>
      </c>
      <c r="G2425">
        <v>123</v>
      </c>
      <c r="H2425">
        <v>0</v>
      </c>
      <c r="J2425" s="1">
        <f t="shared" si="185"/>
        <v>17424</v>
      </c>
      <c r="K2425" s="1">
        <f t="shared" si="186"/>
        <v>15129</v>
      </c>
      <c r="L2425" s="1">
        <f t="shared" si="187"/>
        <v>32553</v>
      </c>
      <c r="M2425" s="1">
        <f t="shared" si="188"/>
        <v>180.42449944505873</v>
      </c>
      <c r="N2425" s="7">
        <f t="shared" si="189"/>
        <v>180.42449944505873</v>
      </c>
    </row>
    <row r="2426" spans="1:14" x14ac:dyDescent="0.25">
      <c r="A2426" t="str">
        <f>"14:30:47.000"</f>
        <v>14:30:47.000</v>
      </c>
      <c r="B2426">
        <v>40.041260999999999</v>
      </c>
      <c r="C2426">
        <v>-75.497618000000003</v>
      </c>
      <c r="D2426">
        <v>4700</v>
      </c>
      <c r="E2426">
        <v>4900</v>
      </c>
      <c r="F2426">
        <v>132</v>
      </c>
      <c r="G2426">
        <v>123</v>
      </c>
      <c r="H2426">
        <v>64</v>
      </c>
      <c r="J2426" s="1">
        <f t="shared" si="185"/>
        <v>17424</v>
      </c>
      <c r="K2426" s="1">
        <f t="shared" si="186"/>
        <v>15129</v>
      </c>
      <c r="L2426" s="1">
        <f t="shared" si="187"/>
        <v>32553</v>
      </c>
      <c r="M2426" s="1">
        <f t="shared" si="188"/>
        <v>180.42449944505873</v>
      </c>
      <c r="N2426" s="7">
        <f t="shared" si="189"/>
        <v>180.42449944505873</v>
      </c>
    </row>
    <row r="2427" spans="1:14" x14ac:dyDescent="0.25">
      <c r="A2427" t="str">
        <f>"14:30:48.008"</f>
        <v>14:30:48.008</v>
      </c>
      <c r="B2427">
        <v>40.041818999999997</v>
      </c>
      <c r="C2427">
        <v>-75.496802000000002</v>
      </c>
      <c r="D2427">
        <v>4700</v>
      </c>
      <c r="E2427">
        <v>4900</v>
      </c>
      <c r="F2427">
        <v>132</v>
      </c>
      <c r="G2427">
        <v>123</v>
      </c>
      <c r="H2427">
        <v>0</v>
      </c>
      <c r="J2427" s="1">
        <f t="shared" si="185"/>
        <v>17424</v>
      </c>
      <c r="K2427" s="1">
        <f t="shared" si="186"/>
        <v>15129</v>
      </c>
      <c r="L2427" s="1">
        <f t="shared" si="187"/>
        <v>32553</v>
      </c>
      <c r="M2427" s="1">
        <f t="shared" si="188"/>
        <v>180.42449944505873</v>
      </c>
      <c r="N2427" s="7">
        <f t="shared" si="189"/>
        <v>180.42449944505873</v>
      </c>
    </row>
    <row r="2428" spans="1:14" x14ac:dyDescent="0.25">
      <c r="A2428" t="str">
        <f>"14:30:48.914"</f>
        <v>14:30:48.914</v>
      </c>
      <c r="B2428">
        <v>40.042333999999997</v>
      </c>
      <c r="C2428">
        <v>-75.496093999999999</v>
      </c>
      <c r="D2428">
        <v>4700</v>
      </c>
      <c r="E2428">
        <v>4900</v>
      </c>
      <c r="F2428">
        <v>133</v>
      </c>
      <c r="G2428">
        <v>123</v>
      </c>
      <c r="H2428">
        <v>0</v>
      </c>
      <c r="J2428" s="1">
        <f t="shared" si="185"/>
        <v>17689</v>
      </c>
      <c r="K2428" s="1">
        <f t="shared" si="186"/>
        <v>15129</v>
      </c>
      <c r="L2428" s="1">
        <f t="shared" si="187"/>
        <v>32818</v>
      </c>
      <c r="M2428" s="1">
        <f t="shared" si="188"/>
        <v>181.1573901335521</v>
      </c>
      <c r="N2428" s="7">
        <f t="shared" si="189"/>
        <v>181.1573901335521</v>
      </c>
    </row>
    <row r="2429" spans="1:14" x14ac:dyDescent="0.25">
      <c r="A2429" t="str">
        <f>"14:30:49.977"</f>
        <v>14:30:49.977</v>
      </c>
      <c r="B2429">
        <v>40.042912999999999</v>
      </c>
      <c r="C2429">
        <v>-75.495236000000006</v>
      </c>
      <c r="D2429">
        <v>4700</v>
      </c>
      <c r="E2429">
        <v>4900</v>
      </c>
      <c r="F2429">
        <v>133</v>
      </c>
      <c r="G2429">
        <v>123</v>
      </c>
      <c r="H2429">
        <v>0</v>
      </c>
      <c r="J2429" s="1">
        <f t="shared" si="185"/>
        <v>17689</v>
      </c>
      <c r="K2429" s="1">
        <f t="shared" si="186"/>
        <v>15129</v>
      </c>
      <c r="L2429" s="1">
        <f t="shared" si="187"/>
        <v>32818</v>
      </c>
      <c r="M2429" s="1">
        <f t="shared" si="188"/>
        <v>181.1573901335521</v>
      </c>
      <c r="N2429" s="7">
        <f t="shared" si="189"/>
        <v>181.1573901335521</v>
      </c>
    </row>
    <row r="2430" spans="1:14" x14ac:dyDescent="0.25">
      <c r="A2430" t="str">
        <f>"14:30:50.984"</f>
        <v>14:30:50.984</v>
      </c>
      <c r="B2430">
        <v>40.043534999999999</v>
      </c>
      <c r="C2430">
        <v>-75.494355999999996</v>
      </c>
      <c r="D2430">
        <v>4700</v>
      </c>
      <c r="E2430">
        <v>4900</v>
      </c>
      <c r="F2430">
        <v>133</v>
      </c>
      <c r="G2430">
        <v>123</v>
      </c>
      <c r="H2430">
        <v>0</v>
      </c>
      <c r="J2430" s="1">
        <f t="shared" si="185"/>
        <v>17689</v>
      </c>
      <c r="K2430" s="1">
        <f t="shared" si="186"/>
        <v>15129</v>
      </c>
      <c r="L2430" s="1">
        <f t="shared" si="187"/>
        <v>32818</v>
      </c>
      <c r="M2430" s="1">
        <f t="shared" si="188"/>
        <v>181.1573901335521</v>
      </c>
      <c r="N2430" s="7">
        <f t="shared" si="189"/>
        <v>181.1573901335521</v>
      </c>
    </row>
    <row r="2431" spans="1:14" x14ac:dyDescent="0.25">
      <c r="A2431" t="str">
        <f>"14:30:52.047"</f>
        <v>14:30:52.047</v>
      </c>
      <c r="B2431">
        <v>40.044092999999997</v>
      </c>
      <c r="C2431">
        <v>-75.493605000000002</v>
      </c>
      <c r="D2431">
        <v>4700</v>
      </c>
      <c r="E2431">
        <v>4900</v>
      </c>
      <c r="F2431">
        <v>132</v>
      </c>
      <c r="G2431">
        <v>123</v>
      </c>
      <c r="H2431">
        <v>0</v>
      </c>
      <c r="J2431" s="1">
        <f t="shared" si="185"/>
        <v>17424</v>
      </c>
      <c r="K2431" s="1">
        <f t="shared" si="186"/>
        <v>15129</v>
      </c>
      <c r="L2431" s="1">
        <f t="shared" si="187"/>
        <v>32553</v>
      </c>
      <c r="M2431" s="1">
        <f t="shared" si="188"/>
        <v>180.42449944505873</v>
      </c>
      <c r="N2431" s="7">
        <f t="shared" si="189"/>
        <v>180.42449944505873</v>
      </c>
    </row>
    <row r="2432" spans="1:14" x14ac:dyDescent="0.25">
      <c r="A2432" t="str">
        <f>"14:30:53.055"</f>
        <v>14:30:53.055</v>
      </c>
      <c r="B2432">
        <v>40.044651000000002</v>
      </c>
      <c r="C2432">
        <v>-75.492811000000003</v>
      </c>
      <c r="D2432">
        <v>4700</v>
      </c>
      <c r="E2432">
        <v>4900</v>
      </c>
      <c r="F2432">
        <v>132</v>
      </c>
      <c r="G2432">
        <v>123</v>
      </c>
      <c r="H2432">
        <v>0</v>
      </c>
      <c r="J2432" s="1">
        <f t="shared" si="185"/>
        <v>17424</v>
      </c>
      <c r="K2432" s="1">
        <f t="shared" si="186"/>
        <v>15129</v>
      </c>
      <c r="L2432" s="1">
        <f t="shared" si="187"/>
        <v>32553</v>
      </c>
      <c r="M2432" s="1">
        <f t="shared" si="188"/>
        <v>180.42449944505873</v>
      </c>
      <c r="N2432" s="7">
        <f t="shared" si="189"/>
        <v>180.42449944505873</v>
      </c>
    </row>
    <row r="2433" spans="1:14" x14ac:dyDescent="0.25">
      <c r="A2433" t="str">
        <f>"14:30:54.164"</f>
        <v>14:30:54.164</v>
      </c>
      <c r="B2433">
        <v>40.045358999999998</v>
      </c>
      <c r="C2433">
        <v>-75.491866999999999</v>
      </c>
      <c r="D2433">
        <v>4700</v>
      </c>
      <c r="E2433">
        <v>4900</v>
      </c>
      <c r="F2433">
        <v>132</v>
      </c>
      <c r="G2433">
        <v>124</v>
      </c>
      <c r="H2433">
        <v>0</v>
      </c>
      <c r="J2433" s="1">
        <f t="shared" si="185"/>
        <v>17424</v>
      </c>
      <c r="K2433" s="1">
        <f t="shared" si="186"/>
        <v>15376</v>
      </c>
      <c r="L2433" s="1">
        <f t="shared" si="187"/>
        <v>32800</v>
      </c>
      <c r="M2433" s="1">
        <f t="shared" si="188"/>
        <v>181.10770276274835</v>
      </c>
      <c r="N2433" s="7">
        <f t="shared" si="189"/>
        <v>181.10770276274835</v>
      </c>
    </row>
    <row r="2434" spans="1:14" x14ac:dyDescent="0.25">
      <c r="A2434" t="str">
        <f>"14:30:55.125"</f>
        <v>14:30:55.125</v>
      </c>
      <c r="B2434">
        <v>40.045853000000001</v>
      </c>
      <c r="C2434">
        <v>-75.491158999999996</v>
      </c>
      <c r="D2434">
        <v>4700</v>
      </c>
      <c r="E2434">
        <v>4900</v>
      </c>
      <c r="F2434">
        <v>132</v>
      </c>
      <c r="G2434">
        <v>124</v>
      </c>
      <c r="H2434">
        <v>0</v>
      </c>
      <c r="J2434" s="1">
        <f t="shared" si="185"/>
        <v>17424</v>
      </c>
      <c r="K2434" s="1">
        <f t="shared" si="186"/>
        <v>15376</v>
      </c>
      <c r="L2434" s="1">
        <f t="shared" si="187"/>
        <v>32800</v>
      </c>
      <c r="M2434" s="1">
        <f t="shared" si="188"/>
        <v>181.10770276274835</v>
      </c>
      <c r="N2434" s="7">
        <f t="shared" si="189"/>
        <v>181.10770276274835</v>
      </c>
    </row>
    <row r="2435" spans="1:14" x14ac:dyDescent="0.25">
      <c r="A2435" t="str">
        <f>"14:30:56.133"</f>
        <v>14:30:56.133</v>
      </c>
      <c r="B2435">
        <v>40.046453</v>
      </c>
      <c r="C2435">
        <v>-75.490364999999997</v>
      </c>
      <c r="D2435">
        <v>4700</v>
      </c>
      <c r="E2435">
        <v>4900</v>
      </c>
      <c r="F2435">
        <v>132</v>
      </c>
      <c r="G2435">
        <v>124</v>
      </c>
      <c r="H2435">
        <v>0</v>
      </c>
      <c r="J2435" s="1">
        <f t="shared" ref="J2435:J2498" si="190">F2435^2</f>
        <v>17424</v>
      </c>
      <c r="K2435" s="1">
        <f t="shared" ref="K2435:K2498" si="191">G2435^2</f>
        <v>15376</v>
      </c>
      <c r="L2435" s="1">
        <f t="shared" ref="L2435:L2498" si="192">SUMSQ(F2435,G2435)</f>
        <v>32800</v>
      </c>
      <c r="M2435" s="1">
        <f t="shared" ref="M2435:M2498" si="193">SQRT(L2435)</f>
        <v>181.10770276274835</v>
      </c>
      <c r="N2435" s="7">
        <f t="shared" ref="N2435:N2498" si="194">M2435</f>
        <v>181.10770276274835</v>
      </c>
    </row>
    <row r="2436" spans="1:14" x14ac:dyDescent="0.25">
      <c r="A2436" t="str">
        <f>"14:30:57.094"</f>
        <v>14:30:57.094</v>
      </c>
      <c r="B2436">
        <v>40.047032999999999</v>
      </c>
      <c r="C2436">
        <v>-75.489570999999998</v>
      </c>
      <c r="D2436">
        <v>4700</v>
      </c>
      <c r="E2436">
        <v>4900</v>
      </c>
      <c r="F2436">
        <v>132</v>
      </c>
      <c r="G2436">
        <v>124</v>
      </c>
      <c r="H2436">
        <v>0</v>
      </c>
      <c r="J2436" s="1">
        <f t="shared" si="190"/>
        <v>17424</v>
      </c>
      <c r="K2436" s="1">
        <f t="shared" si="191"/>
        <v>15376</v>
      </c>
      <c r="L2436" s="1">
        <f t="shared" si="192"/>
        <v>32800</v>
      </c>
      <c r="M2436" s="1">
        <f t="shared" si="193"/>
        <v>181.10770276274835</v>
      </c>
      <c r="N2436" s="7">
        <f t="shared" si="194"/>
        <v>181.10770276274835</v>
      </c>
    </row>
    <row r="2437" spans="1:14" x14ac:dyDescent="0.25">
      <c r="A2437" t="str">
        <f>"14:30:58.102"</f>
        <v>14:30:58.102</v>
      </c>
      <c r="B2437">
        <v>40.047590999999997</v>
      </c>
      <c r="C2437">
        <v>-75.488776999999999</v>
      </c>
      <c r="D2437">
        <v>4700</v>
      </c>
      <c r="E2437">
        <v>4900</v>
      </c>
      <c r="F2437">
        <v>132</v>
      </c>
      <c r="G2437">
        <v>124</v>
      </c>
      <c r="H2437">
        <v>0</v>
      </c>
      <c r="J2437" s="1">
        <f t="shared" si="190"/>
        <v>17424</v>
      </c>
      <c r="K2437" s="1">
        <f t="shared" si="191"/>
        <v>15376</v>
      </c>
      <c r="L2437" s="1">
        <f t="shared" si="192"/>
        <v>32800</v>
      </c>
      <c r="M2437" s="1">
        <f t="shared" si="193"/>
        <v>181.10770276274835</v>
      </c>
      <c r="N2437" s="7">
        <f t="shared" si="194"/>
        <v>181.10770276274835</v>
      </c>
    </row>
    <row r="2438" spans="1:14" x14ac:dyDescent="0.25">
      <c r="A2438" t="str">
        <f>"14:30:59.063"</f>
        <v>14:30:59.063</v>
      </c>
      <c r="B2438">
        <v>40.048192</v>
      </c>
      <c r="C2438">
        <v>-75.487983</v>
      </c>
      <c r="D2438">
        <v>4700</v>
      </c>
      <c r="E2438">
        <v>4900</v>
      </c>
      <c r="F2438">
        <v>131</v>
      </c>
      <c r="G2438">
        <v>125</v>
      </c>
      <c r="H2438">
        <v>0</v>
      </c>
      <c r="J2438" s="1">
        <f t="shared" si="190"/>
        <v>17161</v>
      </c>
      <c r="K2438" s="1">
        <f t="shared" si="191"/>
        <v>15625</v>
      </c>
      <c r="L2438" s="1">
        <f t="shared" si="192"/>
        <v>32786</v>
      </c>
      <c r="M2438" s="1">
        <f t="shared" si="193"/>
        <v>181.06904760339356</v>
      </c>
      <c r="N2438" s="7">
        <f t="shared" si="194"/>
        <v>181.06904760339356</v>
      </c>
    </row>
    <row r="2439" spans="1:14" x14ac:dyDescent="0.25">
      <c r="A2439" t="str">
        <f>"14:31:00.281"</f>
        <v>14:31:00.281</v>
      </c>
      <c r="B2439">
        <v>40.048791999999999</v>
      </c>
      <c r="C2439">
        <v>-75.487060999999997</v>
      </c>
      <c r="D2439">
        <v>4700</v>
      </c>
      <c r="E2439">
        <v>4900</v>
      </c>
      <c r="F2439">
        <v>132</v>
      </c>
      <c r="G2439">
        <v>125</v>
      </c>
      <c r="H2439">
        <v>-64</v>
      </c>
      <c r="J2439" s="1">
        <f t="shared" si="190"/>
        <v>17424</v>
      </c>
      <c r="K2439" s="1">
        <f t="shared" si="191"/>
        <v>15625</v>
      </c>
      <c r="L2439" s="1">
        <f t="shared" si="192"/>
        <v>33049</v>
      </c>
      <c r="M2439" s="1">
        <f t="shared" si="193"/>
        <v>181.79383927955314</v>
      </c>
      <c r="N2439" s="7">
        <f t="shared" si="194"/>
        <v>181.79383927955314</v>
      </c>
    </row>
    <row r="2440" spans="1:14" x14ac:dyDescent="0.25">
      <c r="A2440" t="str">
        <f>"14:31:01.234"</f>
        <v>14:31:01.234</v>
      </c>
      <c r="B2440">
        <v>40.049393000000002</v>
      </c>
      <c r="C2440">
        <v>-75.486310000000003</v>
      </c>
      <c r="D2440">
        <v>4700</v>
      </c>
      <c r="E2440">
        <v>4900</v>
      </c>
      <c r="F2440">
        <v>132</v>
      </c>
      <c r="G2440">
        <v>124</v>
      </c>
      <c r="H2440">
        <v>0</v>
      </c>
      <c r="J2440" s="1">
        <f t="shared" si="190"/>
        <v>17424</v>
      </c>
      <c r="K2440" s="1">
        <f t="shared" si="191"/>
        <v>15376</v>
      </c>
      <c r="L2440" s="1">
        <f t="shared" si="192"/>
        <v>32800</v>
      </c>
      <c r="M2440" s="1">
        <f t="shared" si="193"/>
        <v>181.10770276274835</v>
      </c>
      <c r="N2440" s="7">
        <f t="shared" si="194"/>
        <v>181.10770276274835</v>
      </c>
    </row>
    <row r="2441" spans="1:14" x14ac:dyDescent="0.25">
      <c r="A2441" t="str">
        <f>"14:31:02.141"</f>
        <v>14:31:02.141</v>
      </c>
      <c r="B2441">
        <v>40.049930000000003</v>
      </c>
      <c r="C2441">
        <v>-75.485601000000003</v>
      </c>
      <c r="D2441">
        <v>4700</v>
      </c>
      <c r="E2441">
        <v>4900</v>
      </c>
      <c r="F2441">
        <v>132</v>
      </c>
      <c r="G2441">
        <v>124</v>
      </c>
      <c r="H2441">
        <v>0</v>
      </c>
      <c r="J2441" s="1">
        <f t="shared" si="190"/>
        <v>17424</v>
      </c>
      <c r="K2441" s="1">
        <f t="shared" si="191"/>
        <v>15376</v>
      </c>
      <c r="L2441" s="1">
        <f t="shared" si="192"/>
        <v>32800</v>
      </c>
      <c r="M2441" s="1">
        <f t="shared" si="193"/>
        <v>181.10770276274835</v>
      </c>
      <c r="N2441" s="7">
        <f t="shared" si="194"/>
        <v>181.10770276274835</v>
      </c>
    </row>
    <row r="2442" spans="1:14" x14ac:dyDescent="0.25">
      <c r="A2442" t="str">
        <f>"14:31:03.203"</f>
        <v>14:31:03.203</v>
      </c>
      <c r="B2442">
        <v>40.050508999999998</v>
      </c>
      <c r="C2442">
        <v>-75.484679</v>
      </c>
      <c r="D2442">
        <v>4700</v>
      </c>
      <c r="E2442">
        <v>4900</v>
      </c>
      <c r="F2442">
        <v>132</v>
      </c>
      <c r="G2442">
        <v>124</v>
      </c>
      <c r="H2442">
        <v>0</v>
      </c>
      <c r="J2442" s="1">
        <f t="shared" si="190"/>
        <v>17424</v>
      </c>
      <c r="K2442" s="1">
        <f t="shared" si="191"/>
        <v>15376</v>
      </c>
      <c r="L2442" s="1">
        <f t="shared" si="192"/>
        <v>32800</v>
      </c>
      <c r="M2442" s="1">
        <f t="shared" si="193"/>
        <v>181.10770276274835</v>
      </c>
      <c r="N2442" s="7">
        <f t="shared" si="194"/>
        <v>181.10770276274835</v>
      </c>
    </row>
    <row r="2443" spans="1:14" x14ac:dyDescent="0.25">
      <c r="A2443" t="str">
        <f>"14:31:04.063"</f>
        <v>14:31:04.063</v>
      </c>
      <c r="B2443">
        <v>40.050981</v>
      </c>
      <c r="C2443">
        <v>-75.484055999999995</v>
      </c>
      <c r="D2443">
        <v>4700</v>
      </c>
      <c r="E2443">
        <v>4900</v>
      </c>
      <c r="F2443">
        <v>132</v>
      </c>
      <c r="G2443">
        <v>124</v>
      </c>
      <c r="H2443">
        <v>0</v>
      </c>
      <c r="J2443" s="1">
        <f t="shared" si="190"/>
        <v>17424</v>
      </c>
      <c r="K2443" s="1">
        <f t="shared" si="191"/>
        <v>15376</v>
      </c>
      <c r="L2443" s="1">
        <f t="shared" si="192"/>
        <v>32800</v>
      </c>
      <c r="M2443" s="1">
        <f t="shared" si="193"/>
        <v>181.10770276274835</v>
      </c>
      <c r="N2443" s="7">
        <f t="shared" si="194"/>
        <v>181.10770276274835</v>
      </c>
    </row>
    <row r="2444" spans="1:14" x14ac:dyDescent="0.25">
      <c r="A2444" t="str">
        <f>"14:31:05.070"</f>
        <v>14:31:05.070</v>
      </c>
      <c r="B2444">
        <v>40.051625000000001</v>
      </c>
      <c r="C2444">
        <v>-75.483154999999996</v>
      </c>
      <c r="D2444">
        <v>4700</v>
      </c>
      <c r="E2444">
        <v>4900</v>
      </c>
      <c r="F2444">
        <v>132</v>
      </c>
      <c r="G2444">
        <v>124</v>
      </c>
      <c r="H2444">
        <v>0</v>
      </c>
      <c r="J2444" s="1">
        <f t="shared" si="190"/>
        <v>17424</v>
      </c>
      <c r="K2444" s="1">
        <f t="shared" si="191"/>
        <v>15376</v>
      </c>
      <c r="L2444" s="1">
        <f t="shared" si="192"/>
        <v>32800</v>
      </c>
      <c r="M2444" s="1">
        <f t="shared" si="193"/>
        <v>181.10770276274835</v>
      </c>
      <c r="N2444" s="7">
        <f t="shared" si="194"/>
        <v>181.10770276274835</v>
      </c>
    </row>
    <row r="2445" spans="1:14" x14ac:dyDescent="0.25">
      <c r="A2445" t="str">
        <f>"14:31:06.078"</f>
        <v>14:31:06.078</v>
      </c>
      <c r="B2445">
        <v>40.052140000000001</v>
      </c>
      <c r="C2445">
        <v>-75.482446999999993</v>
      </c>
      <c r="D2445">
        <v>4700</v>
      </c>
      <c r="E2445">
        <v>4900</v>
      </c>
      <c r="F2445">
        <v>132</v>
      </c>
      <c r="G2445">
        <v>124</v>
      </c>
      <c r="H2445">
        <v>0</v>
      </c>
      <c r="J2445" s="1">
        <f t="shared" si="190"/>
        <v>17424</v>
      </c>
      <c r="K2445" s="1">
        <f t="shared" si="191"/>
        <v>15376</v>
      </c>
      <c r="L2445" s="1">
        <f t="shared" si="192"/>
        <v>32800</v>
      </c>
      <c r="M2445" s="1">
        <f t="shared" si="193"/>
        <v>181.10770276274835</v>
      </c>
      <c r="N2445" s="7">
        <f t="shared" si="194"/>
        <v>181.10770276274835</v>
      </c>
    </row>
    <row r="2446" spans="1:14" x14ac:dyDescent="0.25">
      <c r="A2446" t="str">
        <f>"14:31:07.242"</f>
        <v>14:31:07.242</v>
      </c>
      <c r="B2446">
        <v>40.052847999999997</v>
      </c>
      <c r="C2446">
        <v>-75.481503000000004</v>
      </c>
      <c r="D2446">
        <v>4700</v>
      </c>
      <c r="E2446">
        <v>4900</v>
      </c>
      <c r="F2446">
        <v>133</v>
      </c>
      <c r="G2446">
        <v>124</v>
      </c>
      <c r="H2446">
        <v>0</v>
      </c>
      <c r="J2446" s="1">
        <f t="shared" si="190"/>
        <v>17689</v>
      </c>
      <c r="K2446" s="1">
        <f t="shared" si="191"/>
        <v>15376</v>
      </c>
      <c r="L2446" s="1">
        <f t="shared" si="192"/>
        <v>33065</v>
      </c>
      <c r="M2446" s="1">
        <f t="shared" si="193"/>
        <v>181.8378398463862</v>
      </c>
      <c r="N2446" s="7">
        <f t="shared" si="194"/>
        <v>181.8378398463862</v>
      </c>
    </row>
    <row r="2447" spans="1:14" x14ac:dyDescent="0.25">
      <c r="A2447" t="str">
        <f>"14:31:08.250"</f>
        <v>14:31:08.250</v>
      </c>
      <c r="B2447">
        <v>40.053406000000003</v>
      </c>
      <c r="C2447">
        <v>-75.480688000000001</v>
      </c>
      <c r="D2447">
        <v>4700</v>
      </c>
      <c r="E2447">
        <v>4900</v>
      </c>
      <c r="F2447">
        <v>133</v>
      </c>
      <c r="G2447">
        <v>124</v>
      </c>
      <c r="H2447">
        <v>0</v>
      </c>
      <c r="J2447" s="1">
        <f t="shared" si="190"/>
        <v>17689</v>
      </c>
      <c r="K2447" s="1">
        <f t="shared" si="191"/>
        <v>15376</v>
      </c>
      <c r="L2447" s="1">
        <f t="shared" si="192"/>
        <v>33065</v>
      </c>
      <c r="M2447" s="1">
        <f t="shared" si="193"/>
        <v>181.8378398463862</v>
      </c>
      <c r="N2447" s="7">
        <f t="shared" si="194"/>
        <v>181.8378398463862</v>
      </c>
    </row>
    <row r="2448" spans="1:14" x14ac:dyDescent="0.25">
      <c r="A2448" t="str">
        <f>"14:31:09.109"</f>
        <v>14:31:09.109</v>
      </c>
      <c r="B2448">
        <v>40.053899000000001</v>
      </c>
      <c r="C2448">
        <v>-75.479979999999998</v>
      </c>
      <c r="D2448">
        <v>4700</v>
      </c>
      <c r="E2448">
        <v>4900</v>
      </c>
      <c r="F2448">
        <v>133</v>
      </c>
      <c r="G2448">
        <v>124</v>
      </c>
      <c r="H2448">
        <v>0</v>
      </c>
      <c r="J2448" s="1">
        <f t="shared" si="190"/>
        <v>17689</v>
      </c>
      <c r="K2448" s="1">
        <f t="shared" si="191"/>
        <v>15376</v>
      </c>
      <c r="L2448" s="1">
        <f t="shared" si="192"/>
        <v>33065</v>
      </c>
      <c r="M2448" s="1">
        <f t="shared" si="193"/>
        <v>181.8378398463862</v>
      </c>
      <c r="N2448" s="7">
        <f t="shared" si="194"/>
        <v>181.8378398463862</v>
      </c>
    </row>
    <row r="2449" spans="1:14" x14ac:dyDescent="0.25">
      <c r="A2449" t="str">
        <f>"14:31:10.070"</f>
        <v>14:31:10.070</v>
      </c>
      <c r="B2449">
        <v>40.054436000000003</v>
      </c>
      <c r="C2449">
        <v>-75.479249999999993</v>
      </c>
      <c r="D2449">
        <v>4700</v>
      </c>
      <c r="E2449">
        <v>4900</v>
      </c>
      <c r="F2449">
        <v>133</v>
      </c>
      <c r="G2449">
        <v>123</v>
      </c>
      <c r="H2449">
        <v>0</v>
      </c>
      <c r="J2449" s="1">
        <f t="shared" si="190"/>
        <v>17689</v>
      </c>
      <c r="K2449" s="1">
        <f t="shared" si="191"/>
        <v>15129</v>
      </c>
      <c r="L2449" s="1">
        <f t="shared" si="192"/>
        <v>32818</v>
      </c>
      <c r="M2449" s="1">
        <f t="shared" si="193"/>
        <v>181.1573901335521</v>
      </c>
      <c r="N2449" s="7">
        <f t="shared" si="194"/>
        <v>181.1573901335521</v>
      </c>
    </row>
    <row r="2450" spans="1:14" x14ac:dyDescent="0.25">
      <c r="A2450" t="str">
        <f>"14:31:11.227"</f>
        <v>14:31:11.227</v>
      </c>
      <c r="B2450">
        <v>40.055121999999997</v>
      </c>
      <c r="C2450">
        <v>-75.478326999999993</v>
      </c>
      <c r="D2450">
        <v>4700</v>
      </c>
      <c r="E2450">
        <v>4900</v>
      </c>
      <c r="F2450">
        <v>133</v>
      </c>
      <c r="G2450">
        <v>123</v>
      </c>
      <c r="H2450">
        <v>64</v>
      </c>
      <c r="J2450" s="1">
        <f t="shared" si="190"/>
        <v>17689</v>
      </c>
      <c r="K2450" s="1">
        <f t="shared" si="191"/>
        <v>15129</v>
      </c>
      <c r="L2450" s="1">
        <f t="shared" si="192"/>
        <v>32818</v>
      </c>
      <c r="M2450" s="1">
        <f t="shared" si="193"/>
        <v>181.1573901335521</v>
      </c>
      <c r="N2450" s="7">
        <f t="shared" si="194"/>
        <v>181.1573901335521</v>
      </c>
    </row>
    <row r="2451" spans="1:14" x14ac:dyDescent="0.25">
      <c r="A2451" t="str">
        <f>"14:31:12.344"</f>
        <v>14:31:12.344</v>
      </c>
      <c r="B2451">
        <v>40.055745000000002</v>
      </c>
      <c r="C2451">
        <v>-75.477425999999994</v>
      </c>
      <c r="D2451">
        <v>4700</v>
      </c>
      <c r="E2451">
        <v>4900</v>
      </c>
      <c r="F2451">
        <v>133</v>
      </c>
      <c r="G2451">
        <v>123</v>
      </c>
      <c r="H2451">
        <v>0</v>
      </c>
      <c r="J2451" s="1">
        <f t="shared" si="190"/>
        <v>17689</v>
      </c>
      <c r="K2451" s="1">
        <f t="shared" si="191"/>
        <v>15129</v>
      </c>
      <c r="L2451" s="1">
        <f t="shared" si="192"/>
        <v>32818</v>
      </c>
      <c r="M2451" s="1">
        <f t="shared" si="193"/>
        <v>181.1573901335521</v>
      </c>
      <c r="N2451" s="7">
        <f t="shared" si="194"/>
        <v>181.1573901335521</v>
      </c>
    </row>
    <row r="2452" spans="1:14" x14ac:dyDescent="0.25">
      <c r="A2452" t="str">
        <f>"14:31:13.344"</f>
        <v>14:31:13.344</v>
      </c>
      <c r="B2452">
        <v>40.056345</v>
      </c>
      <c r="C2452">
        <v>-75.476631999999995</v>
      </c>
      <c r="D2452">
        <v>4700</v>
      </c>
      <c r="E2452">
        <v>4900</v>
      </c>
      <c r="F2452">
        <v>133</v>
      </c>
      <c r="G2452">
        <v>123</v>
      </c>
      <c r="H2452">
        <v>0</v>
      </c>
      <c r="J2452" s="1">
        <f t="shared" si="190"/>
        <v>17689</v>
      </c>
      <c r="K2452" s="1">
        <f t="shared" si="191"/>
        <v>15129</v>
      </c>
      <c r="L2452" s="1">
        <f t="shared" si="192"/>
        <v>32818</v>
      </c>
      <c r="M2452" s="1">
        <f t="shared" si="193"/>
        <v>181.1573901335521</v>
      </c>
      <c r="N2452" s="7">
        <f t="shared" si="194"/>
        <v>181.1573901335521</v>
      </c>
    </row>
    <row r="2453" spans="1:14" x14ac:dyDescent="0.25">
      <c r="A2453" t="str">
        <f>"14:31:14.359"</f>
        <v>14:31:14.359</v>
      </c>
      <c r="B2453">
        <v>40.056882000000002</v>
      </c>
      <c r="C2453">
        <v>-75.475837999999996</v>
      </c>
      <c r="D2453">
        <v>4700</v>
      </c>
      <c r="E2453">
        <v>4900</v>
      </c>
      <c r="F2453">
        <v>133</v>
      </c>
      <c r="G2453">
        <v>124</v>
      </c>
      <c r="H2453">
        <v>0</v>
      </c>
      <c r="J2453" s="1">
        <f t="shared" si="190"/>
        <v>17689</v>
      </c>
      <c r="K2453" s="1">
        <f t="shared" si="191"/>
        <v>15376</v>
      </c>
      <c r="L2453" s="1">
        <f t="shared" si="192"/>
        <v>33065</v>
      </c>
      <c r="M2453" s="1">
        <f t="shared" si="193"/>
        <v>181.8378398463862</v>
      </c>
      <c r="N2453" s="7">
        <f t="shared" si="194"/>
        <v>181.8378398463862</v>
      </c>
    </row>
    <row r="2454" spans="1:14" x14ac:dyDescent="0.25">
      <c r="A2454" t="str">
        <f>"14:31:15.414"</f>
        <v>14:31:15.414</v>
      </c>
      <c r="B2454">
        <v>40.057504000000002</v>
      </c>
      <c r="C2454">
        <v>-75.474958000000001</v>
      </c>
      <c r="D2454">
        <v>4700</v>
      </c>
      <c r="E2454">
        <v>4900</v>
      </c>
      <c r="F2454">
        <v>133</v>
      </c>
      <c r="G2454">
        <v>124</v>
      </c>
      <c r="H2454">
        <v>0</v>
      </c>
      <c r="J2454" s="1">
        <f t="shared" si="190"/>
        <v>17689</v>
      </c>
      <c r="K2454" s="1">
        <f t="shared" si="191"/>
        <v>15376</v>
      </c>
      <c r="L2454" s="1">
        <f t="shared" si="192"/>
        <v>33065</v>
      </c>
      <c r="M2454" s="1">
        <f t="shared" si="193"/>
        <v>181.8378398463862</v>
      </c>
      <c r="N2454" s="7">
        <f t="shared" si="194"/>
        <v>181.8378398463862</v>
      </c>
    </row>
    <row r="2455" spans="1:14" x14ac:dyDescent="0.25">
      <c r="A2455" t="str">
        <f>"14:31:16.578"</f>
        <v>14:31:16.578</v>
      </c>
      <c r="B2455">
        <v>40.058168999999999</v>
      </c>
      <c r="C2455">
        <v>-75.474057000000002</v>
      </c>
      <c r="D2455">
        <v>4700</v>
      </c>
      <c r="E2455">
        <v>4900</v>
      </c>
      <c r="F2455">
        <v>133</v>
      </c>
      <c r="G2455">
        <v>124</v>
      </c>
      <c r="H2455">
        <v>0</v>
      </c>
      <c r="J2455" s="1">
        <f t="shared" si="190"/>
        <v>17689</v>
      </c>
      <c r="K2455" s="1">
        <f t="shared" si="191"/>
        <v>15376</v>
      </c>
      <c r="L2455" s="1">
        <f t="shared" si="192"/>
        <v>33065</v>
      </c>
      <c r="M2455" s="1">
        <f t="shared" si="193"/>
        <v>181.8378398463862</v>
      </c>
      <c r="N2455" s="7">
        <f t="shared" si="194"/>
        <v>181.8378398463862</v>
      </c>
    </row>
    <row r="2456" spans="1:14" x14ac:dyDescent="0.25">
      <c r="A2456" t="str">
        <f>"14:31:17.641"</f>
        <v>14:31:17.641</v>
      </c>
      <c r="B2456">
        <v>40.058813000000001</v>
      </c>
      <c r="C2456">
        <v>-75.473198999999994</v>
      </c>
      <c r="D2456">
        <v>4700</v>
      </c>
      <c r="E2456">
        <v>4900</v>
      </c>
      <c r="F2456">
        <v>132</v>
      </c>
      <c r="G2456">
        <v>124</v>
      </c>
      <c r="H2456">
        <v>0</v>
      </c>
      <c r="J2456" s="1">
        <f t="shared" si="190"/>
        <v>17424</v>
      </c>
      <c r="K2456" s="1">
        <f t="shared" si="191"/>
        <v>15376</v>
      </c>
      <c r="L2456" s="1">
        <f t="shared" si="192"/>
        <v>32800</v>
      </c>
      <c r="M2456" s="1">
        <f t="shared" si="193"/>
        <v>181.10770276274835</v>
      </c>
      <c r="N2456" s="7">
        <f t="shared" si="194"/>
        <v>181.10770276274835</v>
      </c>
    </row>
    <row r="2457" spans="1:14" x14ac:dyDescent="0.25">
      <c r="A2457" t="str">
        <f>"14:31:18.648"</f>
        <v>14:31:18.648</v>
      </c>
      <c r="B2457">
        <v>40.059370999999999</v>
      </c>
      <c r="C2457">
        <v>-75.472382999999994</v>
      </c>
      <c r="D2457">
        <v>4700</v>
      </c>
      <c r="E2457">
        <v>4900</v>
      </c>
      <c r="F2457">
        <v>132</v>
      </c>
      <c r="G2457">
        <v>124</v>
      </c>
      <c r="H2457">
        <v>0</v>
      </c>
      <c r="J2457" s="1">
        <f t="shared" si="190"/>
        <v>17424</v>
      </c>
      <c r="K2457" s="1">
        <f t="shared" si="191"/>
        <v>15376</v>
      </c>
      <c r="L2457" s="1">
        <f t="shared" si="192"/>
        <v>32800</v>
      </c>
      <c r="M2457" s="1">
        <f t="shared" si="193"/>
        <v>181.10770276274835</v>
      </c>
      <c r="N2457" s="7">
        <f t="shared" si="194"/>
        <v>181.10770276274835</v>
      </c>
    </row>
    <row r="2458" spans="1:14" x14ac:dyDescent="0.25">
      <c r="A2458" t="str">
        <f>"14:31:19.656"</f>
        <v>14:31:19.656</v>
      </c>
      <c r="B2458">
        <v>40.059928999999997</v>
      </c>
      <c r="C2458">
        <v>-75.471590000000006</v>
      </c>
      <c r="D2458">
        <v>4700</v>
      </c>
      <c r="E2458">
        <v>4900</v>
      </c>
      <c r="F2458">
        <v>132</v>
      </c>
      <c r="G2458">
        <v>124</v>
      </c>
      <c r="H2458">
        <v>0</v>
      </c>
      <c r="J2458" s="1">
        <f t="shared" si="190"/>
        <v>17424</v>
      </c>
      <c r="K2458" s="1">
        <f t="shared" si="191"/>
        <v>15376</v>
      </c>
      <c r="L2458" s="1">
        <f t="shared" si="192"/>
        <v>32800</v>
      </c>
      <c r="M2458" s="1">
        <f t="shared" si="193"/>
        <v>181.10770276274835</v>
      </c>
      <c r="N2458" s="7">
        <f t="shared" si="194"/>
        <v>181.10770276274835</v>
      </c>
    </row>
    <row r="2459" spans="1:14" x14ac:dyDescent="0.25">
      <c r="A2459" t="str">
        <f>"14:31:20.664"</f>
        <v>14:31:20.664</v>
      </c>
      <c r="B2459">
        <v>40.06053</v>
      </c>
      <c r="C2459">
        <v>-75.470774000000006</v>
      </c>
      <c r="D2459">
        <v>4700</v>
      </c>
      <c r="E2459">
        <v>4900</v>
      </c>
      <c r="F2459">
        <v>132</v>
      </c>
      <c r="G2459">
        <v>124</v>
      </c>
      <c r="H2459">
        <v>0</v>
      </c>
      <c r="J2459" s="1">
        <f t="shared" si="190"/>
        <v>17424</v>
      </c>
      <c r="K2459" s="1">
        <f t="shared" si="191"/>
        <v>15376</v>
      </c>
      <c r="L2459" s="1">
        <f t="shared" si="192"/>
        <v>32800</v>
      </c>
      <c r="M2459" s="1">
        <f t="shared" si="193"/>
        <v>181.10770276274835</v>
      </c>
      <c r="N2459" s="7">
        <f t="shared" si="194"/>
        <v>181.10770276274835</v>
      </c>
    </row>
    <row r="2460" spans="1:14" x14ac:dyDescent="0.25">
      <c r="A2460" t="str">
        <f>"14:31:21.625"</f>
        <v>14:31:21.625</v>
      </c>
      <c r="B2460">
        <v>40.061087999999998</v>
      </c>
      <c r="C2460">
        <v>-75.470022999999998</v>
      </c>
      <c r="D2460">
        <v>4700</v>
      </c>
      <c r="E2460">
        <v>4900</v>
      </c>
      <c r="F2460">
        <v>132</v>
      </c>
      <c r="G2460">
        <v>125</v>
      </c>
      <c r="H2460">
        <v>0</v>
      </c>
      <c r="J2460" s="1">
        <f t="shared" si="190"/>
        <v>17424</v>
      </c>
      <c r="K2460" s="1">
        <f t="shared" si="191"/>
        <v>15625</v>
      </c>
      <c r="L2460" s="1">
        <f t="shared" si="192"/>
        <v>33049</v>
      </c>
      <c r="M2460" s="1">
        <f t="shared" si="193"/>
        <v>181.79383927955314</v>
      </c>
      <c r="N2460" s="7">
        <f t="shared" si="194"/>
        <v>181.79383927955314</v>
      </c>
    </row>
    <row r="2461" spans="1:14" x14ac:dyDescent="0.25">
      <c r="A2461" t="str">
        <f>"14:31:22.633"</f>
        <v>14:31:22.633</v>
      </c>
      <c r="B2461">
        <v>40.061687999999997</v>
      </c>
      <c r="C2461">
        <v>-75.469207999999995</v>
      </c>
      <c r="D2461">
        <v>4700</v>
      </c>
      <c r="E2461">
        <v>4900</v>
      </c>
      <c r="F2461">
        <v>132</v>
      </c>
      <c r="G2461">
        <v>125</v>
      </c>
      <c r="H2461">
        <v>0</v>
      </c>
      <c r="J2461" s="1">
        <f t="shared" si="190"/>
        <v>17424</v>
      </c>
      <c r="K2461" s="1">
        <f t="shared" si="191"/>
        <v>15625</v>
      </c>
      <c r="L2461" s="1">
        <f t="shared" si="192"/>
        <v>33049</v>
      </c>
      <c r="M2461" s="1">
        <f t="shared" si="193"/>
        <v>181.79383927955314</v>
      </c>
      <c r="N2461" s="7">
        <f t="shared" si="194"/>
        <v>181.79383927955314</v>
      </c>
    </row>
    <row r="2462" spans="1:14" x14ac:dyDescent="0.25">
      <c r="A2462" t="str">
        <f>"14:31:23.695"</f>
        <v>14:31:23.695</v>
      </c>
      <c r="B2462">
        <v>40.062289</v>
      </c>
      <c r="C2462">
        <v>-75.468328</v>
      </c>
      <c r="D2462">
        <v>4700</v>
      </c>
      <c r="E2462">
        <v>4900</v>
      </c>
      <c r="F2462">
        <v>132</v>
      </c>
      <c r="G2462">
        <v>125</v>
      </c>
      <c r="H2462">
        <v>0</v>
      </c>
      <c r="J2462" s="1">
        <f t="shared" si="190"/>
        <v>17424</v>
      </c>
      <c r="K2462" s="1">
        <f t="shared" si="191"/>
        <v>15625</v>
      </c>
      <c r="L2462" s="1">
        <f t="shared" si="192"/>
        <v>33049</v>
      </c>
      <c r="M2462" s="1">
        <f t="shared" si="193"/>
        <v>181.79383927955314</v>
      </c>
      <c r="N2462" s="7">
        <f t="shared" si="194"/>
        <v>181.79383927955314</v>
      </c>
    </row>
    <row r="2463" spans="1:14" x14ac:dyDescent="0.25">
      <c r="A2463" t="str">
        <f>"14:31:24.703"</f>
        <v>14:31:24.703</v>
      </c>
      <c r="B2463">
        <v>40.062890000000003</v>
      </c>
      <c r="C2463">
        <v>-75.467534000000001</v>
      </c>
      <c r="D2463">
        <v>4700</v>
      </c>
      <c r="E2463">
        <v>4900</v>
      </c>
      <c r="F2463">
        <v>132</v>
      </c>
      <c r="G2463">
        <v>125</v>
      </c>
      <c r="H2463">
        <v>64</v>
      </c>
      <c r="J2463" s="1">
        <f t="shared" si="190"/>
        <v>17424</v>
      </c>
      <c r="K2463" s="1">
        <f t="shared" si="191"/>
        <v>15625</v>
      </c>
      <c r="L2463" s="1">
        <f t="shared" si="192"/>
        <v>33049</v>
      </c>
      <c r="M2463" s="1">
        <f t="shared" si="193"/>
        <v>181.79383927955314</v>
      </c>
      <c r="N2463" s="7">
        <f t="shared" si="194"/>
        <v>181.79383927955314</v>
      </c>
    </row>
    <row r="2464" spans="1:14" x14ac:dyDescent="0.25">
      <c r="A2464" t="str">
        <f>"14:31:25.711"</f>
        <v>14:31:25.711</v>
      </c>
      <c r="B2464">
        <v>40.063468999999998</v>
      </c>
      <c r="C2464">
        <v>-75.466740000000001</v>
      </c>
      <c r="D2464">
        <v>4700</v>
      </c>
      <c r="E2464">
        <v>4900</v>
      </c>
      <c r="F2464">
        <v>132</v>
      </c>
      <c r="G2464">
        <v>125</v>
      </c>
      <c r="H2464">
        <v>64</v>
      </c>
      <c r="J2464" s="1">
        <f t="shared" si="190"/>
        <v>17424</v>
      </c>
      <c r="K2464" s="1">
        <f t="shared" si="191"/>
        <v>15625</v>
      </c>
      <c r="L2464" s="1">
        <f t="shared" si="192"/>
        <v>33049</v>
      </c>
      <c r="M2464" s="1">
        <f t="shared" si="193"/>
        <v>181.79383927955314</v>
      </c>
      <c r="N2464" s="7">
        <f t="shared" si="194"/>
        <v>181.79383927955314</v>
      </c>
    </row>
    <row r="2465" spans="1:14" x14ac:dyDescent="0.25">
      <c r="A2465" t="str">
        <f>"14:31:26.828"</f>
        <v>14:31:26.828</v>
      </c>
      <c r="B2465">
        <v>40.064112999999999</v>
      </c>
      <c r="C2465">
        <v>-75.465902999999997</v>
      </c>
      <c r="D2465">
        <v>4700</v>
      </c>
      <c r="E2465">
        <v>4900</v>
      </c>
      <c r="F2465">
        <v>131</v>
      </c>
      <c r="G2465">
        <v>125</v>
      </c>
      <c r="H2465">
        <v>0</v>
      </c>
      <c r="J2465" s="1">
        <f t="shared" si="190"/>
        <v>17161</v>
      </c>
      <c r="K2465" s="1">
        <f t="shared" si="191"/>
        <v>15625</v>
      </c>
      <c r="L2465" s="1">
        <f t="shared" si="192"/>
        <v>32786</v>
      </c>
      <c r="M2465" s="1">
        <f t="shared" si="193"/>
        <v>181.06904760339356</v>
      </c>
      <c r="N2465" s="7">
        <f t="shared" si="194"/>
        <v>181.06904760339356</v>
      </c>
    </row>
    <row r="2466" spans="1:14" x14ac:dyDescent="0.25">
      <c r="A2466" t="str">
        <f>"14:31:27.836"</f>
        <v>14:31:27.836</v>
      </c>
      <c r="B2466">
        <v>40.064670999999997</v>
      </c>
      <c r="C2466">
        <v>-75.465087999999994</v>
      </c>
      <c r="D2466">
        <v>4700</v>
      </c>
      <c r="E2466">
        <v>4900</v>
      </c>
      <c r="F2466">
        <v>131</v>
      </c>
      <c r="G2466">
        <v>125</v>
      </c>
      <c r="H2466">
        <v>0</v>
      </c>
      <c r="J2466" s="1">
        <f t="shared" si="190"/>
        <v>17161</v>
      </c>
      <c r="K2466" s="1">
        <f t="shared" si="191"/>
        <v>15625</v>
      </c>
      <c r="L2466" s="1">
        <f t="shared" si="192"/>
        <v>32786</v>
      </c>
      <c r="M2466" s="1">
        <f t="shared" si="193"/>
        <v>181.06904760339356</v>
      </c>
      <c r="N2466" s="7">
        <f t="shared" si="194"/>
        <v>181.06904760339356</v>
      </c>
    </row>
    <row r="2467" spans="1:14" x14ac:dyDescent="0.25">
      <c r="A2467" t="str">
        <f>"14:31:28.742"</f>
        <v>14:31:28.742</v>
      </c>
      <c r="B2467">
        <v>40.065207000000001</v>
      </c>
      <c r="C2467">
        <v>-75.464358000000004</v>
      </c>
      <c r="D2467">
        <v>4700</v>
      </c>
      <c r="E2467">
        <v>4900</v>
      </c>
      <c r="F2467">
        <v>131</v>
      </c>
      <c r="G2467">
        <v>125</v>
      </c>
      <c r="H2467">
        <v>0</v>
      </c>
      <c r="J2467" s="1">
        <f t="shared" si="190"/>
        <v>17161</v>
      </c>
      <c r="K2467" s="1">
        <f t="shared" si="191"/>
        <v>15625</v>
      </c>
      <c r="L2467" s="1">
        <f t="shared" si="192"/>
        <v>32786</v>
      </c>
      <c r="M2467" s="1">
        <f t="shared" si="193"/>
        <v>181.06904760339356</v>
      </c>
      <c r="N2467" s="7">
        <f t="shared" si="194"/>
        <v>181.06904760339356</v>
      </c>
    </row>
    <row r="2468" spans="1:14" x14ac:dyDescent="0.25">
      <c r="A2468" t="str">
        <f>"14:31:29.703"</f>
        <v>14:31:29.703</v>
      </c>
      <c r="B2468">
        <v>40.065744000000002</v>
      </c>
      <c r="C2468">
        <v>-75.463650000000001</v>
      </c>
      <c r="D2468">
        <v>4700</v>
      </c>
      <c r="E2468">
        <v>4900</v>
      </c>
      <c r="F2468">
        <v>132</v>
      </c>
      <c r="G2468">
        <v>125</v>
      </c>
      <c r="H2468">
        <v>-64</v>
      </c>
      <c r="J2468" s="1">
        <f t="shared" si="190"/>
        <v>17424</v>
      </c>
      <c r="K2468" s="1">
        <f t="shared" si="191"/>
        <v>15625</v>
      </c>
      <c r="L2468" s="1">
        <f t="shared" si="192"/>
        <v>33049</v>
      </c>
      <c r="M2468" s="1">
        <f t="shared" si="193"/>
        <v>181.79383927955314</v>
      </c>
      <c r="N2468" s="7">
        <f t="shared" si="194"/>
        <v>181.79383927955314</v>
      </c>
    </row>
    <row r="2469" spans="1:14" x14ac:dyDescent="0.25">
      <c r="A2469" t="str">
        <f>"14:31:30.664"</f>
        <v>14:31:30.664</v>
      </c>
      <c r="B2469">
        <v>40.066302</v>
      </c>
      <c r="C2469">
        <v>-75.462834999999998</v>
      </c>
      <c r="D2469">
        <v>4700</v>
      </c>
      <c r="E2469">
        <v>4900</v>
      </c>
      <c r="F2469">
        <v>132</v>
      </c>
      <c r="G2469">
        <v>125</v>
      </c>
      <c r="H2469">
        <v>0</v>
      </c>
      <c r="J2469" s="1">
        <f t="shared" si="190"/>
        <v>17424</v>
      </c>
      <c r="K2469" s="1">
        <f t="shared" si="191"/>
        <v>15625</v>
      </c>
      <c r="L2469" s="1">
        <f t="shared" si="192"/>
        <v>33049</v>
      </c>
      <c r="M2469" s="1">
        <f t="shared" si="193"/>
        <v>181.79383927955314</v>
      </c>
      <c r="N2469" s="7">
        <f t="shared" si="194"/>
        <v>181.79383927955314</v>
      </c>
    </row>
    <row r="2470" spans="1:14" x14ac:dyDescent="0.25">
      <c r="A2470" t="str">
        <f>"14:31:31.625"</f>
        <v>14:31:31.625</v>
      </c>
      <c r="B2470">
        <v>40.066903000000003</v>
      </c>
      <c r="C2470">
        <v>-75.462084000000004</v>
      </c>
      <c r="D2470">
        <v>4700</v>
      </c>
      <c r="E2470">
        <v>4900</v>
      </c>
      <c r="F2470">
        <v>132</v>
      </c>
      <c r="G2470">
        <v>125</v>
      </c>
      <c r="H2470">
        <v>-64</v>
      </c>
      <c r="J2470" s="1">
        <f t="shared" si="190"/>
        <v>17424</v>
      </c>
      <c r="K2470" s="1">
        <f t="shared" si="191"/>
        <v>15625</v>
      </c>
      <c r="L2470" s="1">
        <f t="shared" si="192"/>
        <v>33049</v>
      </c>
      <c r="M2470" s="1">
        <f t="shared" si="193"/>
        <v>181.79383927955314</v>
      </c>
      <c r="N2470" s="7">
        <f t="shared" si="194"/>
        <v>181.79383927955314</v>
      </c>
    </row>
    <row r="2471" spans="1:14" x14ac:dyDescent="0.25">
      <c r="A2471" t="str">
        <f>"14:31:32.734"</f>
        <v>14:31:32.734</v>
      </c>
      <c r="B2471">
        <v>40.067546</v>
      </c>
      <c r="C2471">
        <v>-75.461183000000005</v>
      </c>
      <c r="D2471">
        <v>4700</v>
      </c>
      <c r="E2471">
        <v>4900</v>
      </c>
      <c r="F2471">
        <v>132</v>
      </c>
      <c r="G2471">
        <v>125</v>
      </c>
      <c r="H2471">
        <v>-64</v>
      </c>
      <c r="J2471" s="1">
        <f t="shared" si="190"/>
        <v>17424</v>
      </c>
      <c r="K2471" s="1">
        <f t="shared" si="191"/>
        <v>15625</v>
      </c>
      <c r="L2471" s="1">
        <f t="shared" si="192"/>
        <v>33049</v>
      </c>
      <c r="M2471" s="1">
        <f t="shared" si="193"/>
        <v>181.79383927955314</v>
      </c>
      <c r="N2471" s="7">
        <f t="shared" si="194"/>
        <v>181.79383927955314</v>
      </c>
    </row>
    <row r="2472" spans="1:14" x14ac:dyDescent="0.25">
      <c r="A2472" t="str">
        <f>"14:31:33.695"</f>
        <v>14:31:33.695</v>
      </c>
      <c r="B2472">
        <v>40.068061</v>
      </c>
      <c r="C2472">
        <v>-75.460474000000005</v>
      </c>
      <c r="D2472">
        <v>4700</v>
      </c>
      <c r="E2472">
        <v>4900</v>
      </c>
      <c r="F2472">
        <v>132</v>
      </c>
      <c r="G2472">
        <v>125</v>
      </c>
      <c r="H2472">
        <v>-64</v>
      </c>
      <c r="J2472" s="1">
        <f t="shared" si="190"/>
        <v>17424</v>
      </c>
      <c r="K2472" s="1">
        <f t="shared" si="191"/>
        <v>15625</v>
      </c>
      <c r="L2472" s="1">
        <f t="shared" si="192"/>
        <v>33049</v>
      </c>
      <c r="M2472" s="1">
        <f t="shared" si="193"/>
        <v>181.79383927955314</v>
      </c>
      <c r="N2472" s="7">
        <f t="shared" si="194"/>
        <v>181.79383927955314</v>
      </c>
    </row>
    <row r="2473" spans="1:14" x14ac:dyDescent="0.25">
      <c r="A2473" t="str">
        <f>"14:31:34.758"</f>
        <v>14:31:34.758</v>
      </c>
      <c r="B2473">
        <v>40.068705000000001</v>
      </c>
      <c r="C2473">
        <v>-75.459594999999993</v>
      </c>
      <c r="D2473">
        <v>4700</v>
      </c>
      <c r="E2473">
        <v>4900</v>
      </c>
      <c r="F2473">
        <v>132</v>
      </c>
      <c r="G2473">
        <v>125</v>
      </c>
      <c r="H2473">
        <v>-64</v>
      </c>
      <c r="J2473" s="1">
        <f t="shared" si="190"/>
        <v>17424</v>
      </c>
      <c r="K2473" s="1">
        <f t="shared" si="191"/>
        <v>15625</v>
      </c>
      <c r="L2473" s="1">
        <f t="shared" si="192"/>
        <v>33049</v>
      </c>
      <c r="M2473" s="1">
        <f t="shared" si="193"/>
        <v>181.79383927955314</v>
      </c>
      <c r="N2473" s="7">
        <f t="shared" si="194"/>
        <v>181.79383927955314</v>
      </c>
    </row>
    <row r="2474" spans="1:14" x14ac:dyDescent="0.25">
      <c r="A2474" t="str">
        <f>"14:31:35.766"</f>
        <v>14:31:35.766</v>
      </c>
      <c r="B2474">
        <v>40.069242000000003</v>
      </c>
      <c r="C2474">
        <v>-75.458800999999994</v>
      </c>
      <c r="D2474">
        <v>4700</v>
      </c>
      <c r="E2474">
        <v>4900</v>
      </c>
      <c r="F2474">
        <v>132</v>
      </c>
      <c r="G2474">
        <v>125</v>
      </c>
      <c r="H2474">
        <v>-64</v>
      </c>
      <c r="J2474" s="1">
        <f t="shared" si="190"/>
        <v>17424</v>
      </c>
      <c r="K2474" s="1">
        <f t="shared" si="191"/>
        <v>15625</v>
      </c>
      <c r="L2474" s="1">
        <f t="shared" si="192"/>
        <v>33049</v>
      </c>
      <c r="M2474" s="1">
        <f t="shared" si="193"/>
        <v>181.79383927955314</v>
      </c>
      <c r="N2474" s="7">
        <f t="shared" si="194"/>
        <v>181.79383927955314</v>
      </c>
    </row>
    <row r="2475" spans="1:14" x14ac:dyDescent="0.25">
      <c r="A2475" t="str">
        <f>"14:31:36.719"</f>
        <v>14:31:36.719</v>
      </c>
      <c r="B2475">
        <v>40.069842000000001</v>
      </c>
      <c r="C2475">
        <v>-75.458006999999995</v>
      </c>
      <c r="D2475">
        <v>4700</v>
      </c>
      <c r="E2475">
        <v>4900</v>
      </c>
      <c r="F2475">
        <v>133</v>
      </c>
      <c r="G2475">
        <v>125</v>
      </c>
      <c r="H2475">
        <v>0</v>
      </c>
      <c r="J2475" s="1">
        <f t="shared" si="190"/>
        <v>17689</v>
      </c>
      <c r="K2475" s="1">
        <f t="shared" si="191"/>
        <v>15625</v>
      </c>
      <c r="L2475" s="1">
        <f t="shared" si="192"/>
        <v>33314</v>
      </c>
      <c r="M2475" s="1">
        <f t="shared" si="193"/>
        <v>182.52123164169149</v>
      </c>
      <c r="N2475" s="7">
        <f t="shared" si="194"/>
        <v>182.52123164169149</v>
      </c>
    </row>
    <row r="2476" spans="1:14" x14ac:dyDescent="0.25">
      <c r="A2476" t="str">
        <f>"14:31:37.578"</f>
        <v>14:31:37.578</v>
      </c>
      <c r="B2476">
        <v>40.070292999999999</v>
      </c>
      <c r="C2476">
        <v>-75.457341999999997</v>
      </c>
      <c r="D2476">
        <v>4700</v>
      </c>
      <c r="E2476">
        <v>4900</v>
      </c>
      <c r="F2476">
        <v>133</v>
      </c>
      <c r="G2476">
        <v>124</v>
      </c>
      <c r="H2476">
        <v>0</v>
      </c>
      <c r="J2476" s="1">
        <f t="shared" si="190"/>
        <v>17689</v>
      </c>
      <c r="K2476" s="1">
        <f t="shared" si="191"/>
        <v>15376</v>
      </c>
      <c r="L2476" s="1">
        <f t="shared" si="192"/>
        <v>33065</v>
      </c>
      <c r="M2476" s="1">
        <f t="shared" si="193"/>
        <v>181.8378398463862</v>
      </c>
      <c r="N2476" s="7">
        <f t="shared" si="194"/>
        <v>181.8378398463862</v>
      </c>
    </row>
    <row r="2477" spans="1:14" x14ac:dyDescent="0.25">
      <c r="A2477" t="str">
        <f>"14:31:38.641"</f>
        <v>14:31:38.641</v>
      </c>
      <c r="B2477">
        <v>40.070957999999997</v>
      </c>
      <c r="C2477">
        <v>-75.456483000000006</v>
      </c>
      <c r="D2477">
        <v>4700</v>
      </c>
      <c r="E2477">
        <v>4900</v>
      </c>
      <c r="F2477">
        <v>133</v>
      </c>
      <c r="G2477">
        <v>124</v>
      </c>
      <c r="H2477">
        <v>0</v>
      </c>
      <c r="J2477" s="1">
        <f t="shared" si="190"/>
        <v>17689</v>
      </c>
      <c r="K2477" s="1">
        <f t="shared" si="191"/>
        <v>15376</v>
      </c>
      <c r="L2477" s="1">
        <f t="shared" si="192"/>
        <v>33065</v>
      </c>
      <c r="M2477" s="1">
        <f t="shared" si="193"/>
        <v>181.8378398463862</v>
      </c>
      <c r="N2477" s="7">
        <f t="shared" si="194"/>
        <v>181.8378398463862</v>
      </c>
    </row>
    <row r="2478" spans="1:14" x14ac:dyDescent="0.25">
      <c r="A2478" t="str">
        <f>"14:31:39.500"</f>
        <v>14:31:39.500</v>
      </c>
      <c r="B2478">
        <v>40.071452000000001</v>
      </c>
      <c r="C2478">
        <v>-75.455753999999999</v>
      </c>
      <c r="D2478">
        <v>4700</v>
      </c>
      <c r="E2478">
        <v>4900</v>
      </c>
      <c r="F2478">
        <v>133</v>
      </c>
      <c r="G2478">
        <v>124</v>
      </c>
      <c r="H2478">
        <v>0</v>
      </c>
      <c r="J2478" s="1">
        <f t="shared" si="190"/>
        <v>17689</v>
      </c>
      <c r="K2478" s="1">
        <f t="shared" si="191"/>
        <v>15376</v>
      </c>
      <c r="L2478" s="1">
        <f t="shared" si="192"/>
        <v>33065</v>
      </c>
      <c r="M2478" s="1">
        <f t="shared" si="193"/>
        <v>181.8378398463862</v>
      </c>
      <c r="N2478" s="7">
        <f t="shared" si="194"/>
        <v>181.8378398463862</v>
      </c>
    </row>
    <row r="2479" spans="1:14" x14ac:dyDescent="0.25">
      <c r="A2479" t="str">
        <f>"14:31:40.461"</f>
        <v>14:31:40.461</v>
      </c>
      <c r="B2479">
        <v>40.071987999999997</v>
      </c>
      <c r="C2479">
        <v>-75.455045999999996</v>
      </c>
      <c r="D2479">
        <v>4700</v>
      </c>
      <c r="E2479">
        <v>4900</v>
      </c>
      <c r="F2479">
        <v>133</v>
      </c>
      <c r="G2479">
        <v>124</v>
      </c>
      <c r="H2479">
        <v>0</v>
      </c>
      <c r="J2479" s="1">
        <f t="shared" si="190"/>
        <v>17689</v>
      </c>
      <c r="K2479" s="1">
        <f t="shared" si="191"/>
        <v>15376</v>
      </c>
      <c r="L2479" s="1">
        <f t="shared" si="192"/>
        <v>33065</v>
      </c>
      <c r="M2479" s="1">
        <f t="shared" si="193"/>
        <v>181.8378398463862</v>
      </c>
      <c r="N2479" s="7">
        <f t="shared" si="194"/>
        <v>181.8378398463862</v>
      </c>
    </row>
    <row r="2480" spans="1:14" x14ac:dyDescent="0.25">
      <c r="A2480" t="str">
        <f>"14:31:41.313"</f>
        <v>14:31:41.313</v>
      </c>
      <c r="B2480">
        <v>40.072502999999998</v>
      </c>
      <c r="C2480">
        <v>-75.454295000000002</v>
      </c>
      <c r="D2480">
        <v>4700</v>
      </c>
      <c r="E2480">
        <v>4900</v>
      </c>
      <c r="F2480">
        <v>134</v>
      </c>
      <c r="G2480">
        <v>124</v>
      </c>
      <c r="H2480">
        <v>64</v>
      </c>
      <c r="J2480" s="1">
        <f t="shared" si="190"/>
        <v>17956</v>
      </c>
      <c r="K2480" s="1">
        <f t="shared" si="191"/>
        <v>15376</v>
      </c>
      <c r="L2480" s="1">
        <f t="shared" si="192"/>
        <v>33332</v>
      </c>
      <c r="M2480" s="1">
        <f t="shared" si="193"/>
        <v>182.57053431482311</v>
      </c>
      <c r="N2480" s="7">
        <f t="shared" si="194"/>
        <v>182.57053431482311</v>
      </c>
    </row>
    <row r="2481" spans="1:14" x14ac:dyDescent="0.25">
      <c r="A2481" t="str">
        <f>"14:31:42.375"</f>
        <v>14:31:42.375</v>
      </c>
      <c r="B2481">
        <v>40.073039999999999</v>
      </c>
      <c r="C2481">
        <v>-75.453501000000003</v>
      </c>
      <c r="D2481">
        <v>4700</v>
      </c>
      <c r="E2481">
        <v>4900</v>
      </c>
      <c r="F2481">
        <v>134</v>
      </c>
      <c r="G2481">
        <v>124</v>
      </c>
      <c r="H2481">
        <v>0</v>
      </c>
      <c r="J2481" s="1">
        <f t="shared" si="190"/>
        <v>17956</v>
      </c>
      <c r="K2481" s="1">
        <f t="shared" si="191"/>
        <v>15376</v>
      </c>
      <c r="L2481" s="1">
        <f t="shared" si="192"/>
        <v>33332</v>
      </c>
      <c r="M2481" s="1">
        <f t="shared" si="193"/>
        <v>182.57053431482311</v>
      </c>
      <c r="N2481" s="7">
        <f t="shared" si="194"/>
        <v>182.57053431482311</v>
      </c>
    </row>
    <row r="2482" spans="1:14" x14ac:dyDescent="0.25">
      <c r="A2482" t="str">
        <f>"14:31:43.438"</f>
        <v>14:31:43.438</v>
      </c>
      <c r="B2482">
        <v>40.073704999999997</v>
      </c>
      <c r="C2482">
        <v>-75.452600000000004</v>
      </c>
      <c r="D2482">
        <v>4700</v>
      </c>
      <c r="E2482">
        <v>4900</v>
      </c>
      <c r="F2482">
        <v>133</v>
      </c>
      <c r="G2482">
        <v>124</v>
      </c>
      <c r="H2482">
        <v>64</v>
      </c>
      <c r="J2482" s="1">
        <f t="shared" si="190"/>
        <v>17689</v>
      </c>
      <c r="K2482" s="1">
        <f t="shared" si="191"/>
        <v>15376</v>
      </c>
      <c r="L2482" s="1">
        <f t="shared" si="192"/>
        <v>33065</v>
      </c>
      <c r="M2482" s="1">
        <f t="shared" si="193"/>
        <v>181.8378398463862</v>
      </c>
      <c r="N2482" s="7">
        <f t="shared" si="194"/>
        <v>181.8378398463862</v>
      </c>
    </row>
    <row r="2483" spans="1:14" x14ac:dyDescent="0.25">
      <c r="A2483" t="str">
        <f>"14:31:44.500"</f>
        <v>14:31:44.500</v>
      </c>
      <c r="B2483">
        <v>40.074326999999997</v>
      </c>
      <c r="C2483">
        <v>-75.451719999999995</v>
      </c>
      <c r="D2483">
        <v>4700</v>
      </c>
      <c r="E2483">
        <v>4900</v>
      </c>
      <c r="F2483">
        <v>133</v>
      </c>
      <c r="G2483">
        <v>124</v>
      </c>
      <c r="H2483">
        <v>64</v>
      </c>
      <c r="J2483" s="1">
        <f t="shared" si="190"/>
        <v>17689</v>
      </c>
      <c r="K2483" s="1">
        <f t="shared" si="191"/>
        <v>15376</v>
      </c>
      <c r="L2483" s="1">
        <f t="shared" si="192"/>
        <v>33065</v>
      </c>
      <c r="M2483" s="1">
        <f t="shared" si="193"/>
        <v>181.8378398463862</v>
      </c>
      <c r="N2483" s="7">
        <f t="shared" si="194"/>
        <v>181.8378398463862</v>
      </c>
    </row>
    <row r="2484" spans="1:14" x14ac:dyDescent="0.25">
      <c r="A2484" t="str">
        <f>"14:31:45.555"</f>
        <v>14:31:45.555</v>
      </c>
      <c r="B2484">
        <v>40.074885000000002</v>
      </c>
      <c r="C2484">
        <v>-75.450925999999995</v>
      </c>
      <c r="D2484">
        <v>4700</v>
      </c>
      <c r="E2484">
        <v>4900</v>
      </c>
      <c r="F2484">
        <v>133</v>
      </c>
      <c r="G2484">
        <v>124</v>
      </c>
      <c r="H2484">
        <v>64</v>
      </c>
      <c r="J2484" s="1">
        <f t="shared" si="190"/>
        <v>17689</v>
      </c>
      <c r="K2484" s="1">
        <f t="shared" si="191"/>
        <v>15376</v>
      </c>
      <c r="L2484" s="1">
        <f t="shared" si="192"/>
        <v>33065</v>
      </c>
      <c r="M2484" s="1">
        <f t="shared" si="193"/>
        <v>181.8378398463862</v>
      </c>
      <c r="N2484" s="7">
        <f t="shared" si="194"/>
        <v>181.8378398463862</v>
      </c>
    </row>
    <row r="2485" spans="1:14" x14ac:dyDescent="0.25">
      <c r="A2485" t="str">
        <f>"14:31:46.570"</f>
        <v>14:31:46.570</v>
      </c>
      <c r="B2485">
        <v>40.075529000000003</v>
      </c>
      <c r="C2485">
        <v>-75.450046</v>
      </c>
      <c r="D2485">
        <v>4700</v>
      </c>
      <c r="E2485">
        <v>4900</v>
      </c>
      <c r="F2485">
        <v>133</v>
      </c>
      <c r="G2485">
        <v>124</v>
      </c>
      <c r="H2485">
        <v>64</v>
      </c>
      <c r="J2485" s="1">
        <f t="shared" si="190"/>
        <v>17689</v>
      </c>
      <c r="K2485" s="1">
        <f t="shared" si="191"/>
        <v>15376</v>
      </c>
      <c r="L2485" s="1">
        <f t="shared" si="192"/>
        <v>33065</v>
      </c>
      <c r="M2485" s="1">
        <f t="shared" si="193"/>
        <v>181.8378398463862</v>
      </c>
      <c r="N2485" s="7">
        <f t="shared" si="194"/>
        <v>181.8378398463862</v>
      </c>
    </row>
    <row r="2486" spans="1:14" x14ac:dyDescent="0.25">
      <c r="A2486" t="str">
        <f>"14:31:47.625"</f>
        <v>14:31:47.625</v>
      </c>
      <c r="B2486">
        <v>40.076087000000001</v>
      </c>
      <c r="C2486">
        <v>-75.449230999999997</v>
      </c>
      <c r="D2486">
        <v>4700</v>
      </c>
      <c r="E2486">
        <v>4900</v>
      </c>
      <c r="F2486">
        <v>133</v>
      </c>
      <c r="G2486">
        <v>123</v>
      </c>
      <c r="H2486">
        <v>64</v>
      </c>
      <c r="J2486" s="1">
        <f t="shared" si="190"/>
        <v>17689</v>
      </c>
      <c r="K2486" s="1">
        <f t="shared" si="191"/>
        <v>15129</v>
      </c>
      <c r="L2486" s="1">
        <f t="shared" si="192"/>
        <v>32818</v>
      </c>
      <c r="M2486" s="1">
        <f t="shared" si="193"/>
        <v>181.1573901335521</v>
      </c>
      <c r="N2486" s="7">
        <f t="shared" si="194"/>
        <v>181.1573901335521</v>
      </c>
    </row>
    <row r="2487" spans="1:14" x14ac:dyDescent="0.25">
      <c r="A2487" t="str">
        <f>"14:31:48.586"</f>
        <v>14:31:48.586</v>
      </c>
      <c r="B2487">
        <v>40.076687</v>
      </c>
      <c r="C2487">
        <v>-75.448414999999997</v>
      </c>
      <c r="D2487">
        <v>4700</v>
      </c>
      <c r="E2487">
        <v>4900</v>
      </c>
      <c r="F2487">
        <v>133</v>
      </c>
      <c r="G2487">
        <v>123</v>
      </c>
      <c r="H2487">
        <v>64</v>
      </c>
      <c r="J2487" s="1">
        <f t="shared" si="190"/>
        <v>17689</v>
      </c>
      <c r="K2487" s="1">
        <f t="shared" si="191"/>
        <v>15129</v>
      </c>
      <c r="L2487" s="1">
        <f t="shared" si="192"/>
        <v>32818</v>
      </c>
      <c r="M2487" s="1">
        <f t="shared" si="193"/>
        <v>181.1573901335521</v>
      </c>
      <c r="N2487" s="7">
        <f t="shared" si="194"/>
        <v>181.1573901335521</v>
      </c>
    </row>
    <row r="2488" spans="1:14" x14ac:dyDescent="0.25">
      <c r="A2488" t="str">
        <f>"14:31:49.492"</f>
        <v>14:31:49.492</v>
      </c>
      <c r="B2488">
        <v>40.077095</v>
      </c>
      <c r="C2488">
        <v>-75.447793000000004</v>
      </c>
      <c r="D2488">
        <v>4700</v>
      </c>
      <c r="E2488">
        <v>4900</v>
      </c>
      <c r="F2488">
        <v>133</v>
      </c>
      <c r="G2488">
        <v>124</v>
      </c>
      <c r="H2488">
        <v>128</v>
      </c>
      <c r="J2488" s="1">
        <f t="shared" si="190"/>
        <v>17689</v>
      </c>
      <c r="K2488" s="1">
        <f t="shared" si="191"/>
        <v>15376</v>
      </c>
      <c r="L2488" s="1">
        <f t="shared" si="192"/>
        <v>33065</v>
      </c>
      <c r="M2488" s="1">
        <f t="shared" si="193"/>
        <v>181.8378398463862</v>
      </c>
      <c r="N2488" s="7">
        <f t="shared" si="194"/>
        <v>181.8378398463862</v>
      </c>
    </row>
    <row r="2489" spans="1:14" x14ac:dyDescent="0.25">
      <c r="A2489" t="str">
        <f>"14:31:50.508"</f>
        <v>14:31:50.508</v>
      </c>
      <c r="B2489">
        <v>40.077759999999998</v>
      </c>
      <c r="C2489">
        <v>-75.446892000000005</v>
      </c>
      <c r="D2489">
        <v>4700</v>
      </c>
      <c r="E2489">
        <v>4900</v>
      </c>
      <c r="F2489">
        <v>133</v>
      </c>
      <c r="G2489">
        <v>123</v>
      </c>
      <c r="H2489">
        <v>64</v>
      </c>
      <c r="J2489" s="1">
        <f t="shared" si="190"/>
        <v>17689</v>
      </c>
      <c r="K2489" s="1">
        <f t="shared" si="191"/>
        <v>15129</v>
      </c>
      <c r="L2489" s="1">
        <f t="shared" si="192"/>
        <v>32818</v>
      </c>
      <c r="M2489" s="1">
        <f t="shared" si="193"/>
        <v>181.1573901335521</v>
      </c>
      <c r="N2489" s="7">
        <f t="shared" si="194"/>
        <v>181.1573901335521</v>
      </c>
    </row>
    <row r="2490" spans="1:14" x14ac:dyDescent="0.25">
      <c r="A2490" t="str">
        <f>"14:31:51.516"</f>
        <v>14:31:51.516</v>
      </c>
      <c r="B2490">
        <v>40.078318000000003</v>
      </c>
      <c r="C2490">
        <v>-75.446098000000006</v>
      </c>
      <c r="D2490">
        <v>4700</v>
      </c>
      <c r="E2490">
        <v>4900</v>
      </c>
      <c r="F2490">
        <v>133</v>
      </c>
      <c r="G2490">
        <v>124</v>
      </c>
      <c r="H2490">
        <v>64</v>
      </c>
      <c r="J2490" s="1">
        <f t="shared" si="190"/>
        <v>17689</v>
      </c>
      <c r="K2490" s="1">
        <f t="shared" si="191"/>
        <v>15376</v>
      </c>
      <c r="L2490" s="1">
        <f t="shared" si="192"/>
        <v>33065</v>
      </c>
      <c r="M2490" s="1">
        <f t="shared" si="193"/>
        <v>181.8378398463862</v>
      </c>
      <c r="N2490" s="7">
        <f t="shared" si="194"/>
        <v>181.8378398463862</v>
      </c>
    </row>
    <row r="2491" spans="1:14" x14ac:dyDescent="0.25">
      <c r="A2491" t="str">
        <f>"14:31:52.422"</f>
        <v>14:31:52.422</v>
      </c>
      <c r="B2491">
        <v>40.078833000000003</v>
      </c>
      <c r="C2491">
        <v>-75.445368000000002</v>
      </c>
      <c r="D2491">
        <v>4700</v>
      </c>
      <c r="E2491">
        <v>4900</v>
      </c>
      <c r="F2491">
        <v>133</v>
      </c>
      <c r="G2491">
        <v>124</v>
      </c>
      <c r="H2491">
        <v>64</v>
      </c>
      <c r="J2491" s="1">
        <f t="shared" si="190"/>
        <v>17689</v>
      </c>
      <c r="K2491" s="1">
        <f t="shared" si="191"/>
        <v>15376</v>
      </c>
      <c r="L2491" s="1">
        <f t="shared" si="192"/>
        <v>33065</v>
      </c>
      <c r="M2491" s="1">
        <f t="shared" si="193"/>
        <v>181.8378398463862</v>
      </c>
      <c r="N2491" s="7">
        <f t="shared" si="194"/>
        <v>181.8378398463862</v>
      </c>
    </row>
    <row r="2492" spans="1:14" x14ac:dyDescent="0.25">
      <c r="A2492" t="str">
        <f>"14:31:53.328"</f>
        <v>14:31:53.328</v>
      </c>
      <c r="B2492">
        <v>40.079369999999997</v>
      </c>
      <c r="C2492">
        <v>-75.444638999999995</v>
      </c>
      <c r="D2492">
        <v>4700</v>
      </c>
      <c r="E2492">
        <v>4900</v>
      </c>
      <c r="F2492">
        <v>133</v>
      </c>
      <c r="G2492">
        <v>124</v>
      </c>
      <c r="H2492">
        <v>64</v>
      </c>
      <c r="J2492" s="1">
        <f t="shared" si="190"/>
        <v>17689</v>
      </c>
      <c r="K2492" s="1">
        <f t="shared" si="191"/>
        <v>15376</v>
      </c>
      <c r="L2492" s="1">
        <f t="shared" si="192"/>
        <v>33065</v>
      </c>
      <c r="M2492" s="1">
        <f t="shared" si="193"/>
        <v>181.8378398463862</v>
      </c>
      <c r="N2492" s="7">
        <f t="shared" si="194"/>
        <v>181.8378398463862</v>
      </c>
    </row>
    <row r="2493" spans="1:14" x14ac:dyDescent="0.25">
      <c r="A2493" t="str">
        <f>"14:31:54.242"</f>
        <v>14:31:54.242</v>
      </c>
      <c r="B2493">
        <v>40.079841999999999</v>
      </c>
      <c r="C2493">
        <v>-75.443931000000006</v>
      </c>
      <c r="D2493">
        <v>4700</v>
      </c>
      <c r="E2493">
        <v>4900</v>
      </c>
      <c r="F2493">
        <v>133</v>
      </c>
      <c r="G2493">
        <v>124</v>
      </c>
      <c r="H2493">
        <v>0</v>
      </c>
      <c r="J2493" s="1">
        <f t="shared" si="190"/>
        <v>17689</v>
      </c>
      <c r="K2493" s="1">
        <f t="shared" si="191"/>
        <v>15376</v>
      </c>
      <c r="L2493" s="1">
        <f t="shared" si="192"/>
        <v>33065</v>
      </c>
      <c r="M2493" s="1">
        <f t="shared" si="193"/>
        <v>181.8378398463862</v>
      </c>
      <c r="N2493" s="7">
        <f t="shared" si="194"/>
        <v>181.8378398463862</v>
      </c>
    </row>
    <row r="2494" spans="1:14" x14ac:dyDescent="0.25">
      <c r="A2494" t="str">
        <f>"14:31:55.352"</f>
        <v>14:31:55.352</v>
      </c>
      <c r="B2494">
        <v>40.080506999999997</v>
      </c>
      <c r="C2494">
        <v>-75.443050999999997</v>
      </c>
      <c r="D2494">
        <v>4700</v>
      </c>
      <c r="E2494">
        <v>4900</v>
      </c>
      <c r="F2494">
        <v>133</v>
      </c>
      <c r="G2494">
        <v>124</v>
      </c>
      <c r="H2494">
        <v>0</v>
      </c>
      <c r="J2494" s="1">
        <f t="shared" si="190"/>
        <v>17689</v>
      </c>
      <c r="K2494" s="1">
        <f t="shared" si="191"/>
        <v>15376</v>
      </c>
      <c r="L2494" s="1">
        <f t="shared" si="192"/>
        <v>33065</v>
      </c>
      <c r="M2494" s="1">
        <f t="shared" si="193"/>
        <v>181.8378398463862</v>
      </c>
      <c r="N2494" s="7">
        <f t="shared" si="194"/>
        <v>181.8378398463862</v>
      </c>
    </row>
    <row r="2495" spans="1:14" x14ac:dyDescent="0.25">
      <c r="A2495" t="str">
        <f>"14:31:56.461"</f>
        <v>14:31:56.461</v>
      </c>
      <c r="B2495">
        <v>40.081150999999998</v>
      </c>
      <c r="C2495">
        <v>-75.442171000000002</v>
      </c>
      <c r="D2495">
        <v>4700</v>
      </c>
      <c r="E2495">
        <v>4900</v>
      </c>
      <c r="F2495">
        <v>133</v>
      </c>
      <c r="G2495">
        <v>124</v>
      </c>
      <c r="H2495">
        <v>0</v>
      </c>
      <c r="J2495" s="1">
        <f t="shared" si="190"/>
        <v>17689</v>
      </c>
      <c r="K2495" s="1">
        <f t="shared" si="191"/>
        <v>15376</v>
      </c>
      <c r="L2495" s="1">
        <f t="shared" si="192"/>
        <v>33065</v>
      </c>
      <c r="M2495" s="1">
        <f t="shared" si="193"/>
        <v>181.8378398463862</v>
      </c>
      <c r="N2495" s="7">
        <f t="shared" si="194"/>
        <v>181.8378398463862</v>
      </c>
    </row>
    <row r="2496" spans="1:14" x14ac:dyDescent="0.25">
      <c r="A2496" t="str">
        <f>"14:31:57.469"</f>
        <v>14:31:57.469</v>
      </c>
      <c r="B2496">
        <v>40.081707999999999</v>
      </c>
      <c r="C2496">
        <v>-75.441377000000003</v>
      </c>
      <c r="D2496">
        <v>4700</v>
      </c>
      <c r="E2496">
        <v>4900</v>
      </c>
      <c r="F2496">
        <v>133</v>
      </c>
      <c r="G2496">
        <v>124</v>
      </c>
      <c r="H2496">
        <v>-64</v>
      </c>
      <c r="J2496" s="1">
        <f t="shared" si="190"/>
        <v>17689</v>
      </c>
      <c r="K2496" s="1">
        <f t="shared" si="191"/>
        <v>15376</v>
      </c>
      <c r="L2496" s="1">
        <f t="shared" si="192"/>
        <v>33065</v>
      </c>
      <c r="M2496" s="1">
        <f t="shared" si="193"/>
        <v>181.8378398463862</v>
      </c>
      <c r="N2496" s="7">
        <f t="shared" si="194"/>
        <v>181.8378398463862</v>
      </c>
    </row>
    <row r="2497" spans="1:14" x14ac:dyDescent="0.25">
      <c r="A2497" t="str">
        <f>"14:31:58.328"</f>
        <v>14:31:58.328</v>
      </c>
      <c r="B2497">
        <v>40.082202000000002</v>
      </c>
      <c r="C2497">
        <v>-75.440669</v>
      </c>
      <c r="D2497">
        <v>4700</v>
      </c>
      <c r="E2497">
        <v>4900</v>
      </c>
      <c r="F2497">
        <v>133</v>
      </c>
      <c r="G2497">
        <v>124</v>
      </c>
      <c r="H2497">
        <v>-64</v>
      </c>
      <c r="J2497" s="1">
        <f t="shared" si="190"/>
        <v>17689</v>
      </c>
      <c r="K2497" s="1">
        <f t="shared" si="191"/>
        <v>15376</v>
      </c>
      <c r="L2497" s="1">
        <f t="shared" si="192"/>
        <v>33065</v>
      </c>
      <c r="M2497" s="1">
        <f t="shared" si="193"/>
        <v>181.8378398463862</v>
      </c>
      <c r="N2497" s="7">
        <f t="shared" si="194"/>
        <v>181.8378398463862</v>
      </c>
    </row>
    <row r="2498" spans="1:14" x14ac:dyDescent="0.25">
      <c r="A2498" t="str">
        <f>"14:31:59.344"</f>
        <v>14:31:59.344</v>
      </c>
      <c r="B2498">
        <v>40.082802999999998</v>
      </c>
      <c r="C2498">
        <v>-75.439875000000001</v>
      </c>
      <c r="D2498">
        <v>4700</v>
      </c>
      <c r="E2498">
        <v>4900</v>
      </c>
      <c r="F2498">
        <v>133</v>
      </c>
      <c r="G2498">
        <v>124</v>
      </c>
      <c r="H2498">
        <v>-64</v>
      </c>
      <c r="J2498" s="1">
        <f t="shared" si="190"/>
        <v>17689</v>
      </c>
      <c r="K2498" s="1">
        <f t="shared" si="191"/>
        <v>15376</v>
      </c>
      <c r="L2498" s="1">
        <f t="shared" si="192"/>
        <v>33065</v>
      </c>
      <c r="M2498" s="1">
        <f t="shared" si="193"/>
        <v>181.8378398463862</v>
      </c>
      <c r="N2498" s="7">
        <f t="shared" si="194"/>
        <v>181.8378398463862</v>
      </c>
    </row>
    <row r="2499" spans="1:14" x14ac:dyDescent="0.25">
      <c r="A2499" t="str">
        <f>"14:32:00.398"</f>
        <v>14:32:00.398</v>
      </c>
      <c r="B2499">
        <v>40.083424999999998</v>
      </c>
      <c r="C2499">
        <v>-75.438995000000006</v>
      </c>
      <c r="D2499">
        <v>4700</v>
      </c>
      <c r="E2499">
        <v>4900</v>
      </c>
      <c r="F2499">
        <v>133</v>
      </c>
      <c r="G2499">
        <v>124</v>
      </c>
      <c r="H2499">
        <v>-64</v>
      </c>
      <c r="J2499" s="1">
        <f t="shared" ref="J2499:J2562" si="195">F2499^2</f>
        <v>17689</v>
      </c>
      <c r="K2499" s="1">
        <f t="shared" ref="K2499:K2562" si="196">G2499^2</f>
        <v>15376</v>
      </c>
      <c r="L2499" s="1">
        <f t="shared" ref="L2499:L2562" si="197">SUMSQ(F2499,G2499)</f>
        <v>33065</v>
      </c>
      <c r="M2499" s="1">
        <f t="shared" ref="M2499:M2562" si="198">SQRT(L2499)</f>
        <v>181.8378398463862</v>
      </c>
      <c r="N2499" s="7">
        <f t="shared" ref="N2499:N2562" si="199">M2499</f>
        <v>181.8378398463862</v>
      </c>
    </row>
    <row r="2500" spans="1:14" x14ac:dyDescent="0.25">
      <c r="A2500" t="str">
        <f>"14:32:01.508"</f>
        <v>14:32:01.508</v>
      </c>
      <c r="B2500">
        <v>40.084069</v>
      </c>
      <c r="C2500">
        <v>-75.438115999999994</v>
      </c>
      <c r="D2500">
        <v>4700</v>
      </c>
      <c r="E2500">
        <v>4900</v>
      </c>
      <c r="F2500">
        <v>133</v>
      </c>
      <c r="G2500">
        <v>124</v>
      </c>
      <c r="H2500">
        <v>-64</v>
      </c>
      <c r="J2500" s="1">
        <f t="shared" si="195"/>
        <v>17689</v>
      </c>
      <c r="K2500" s="1">
        <f t="shared" si="196"/>
        <v>15376</v>
      </c>
      <c r="L2500" s="1">
        <f t="shared" si="197"/>
        <v>33065</v>
      </c>
      <c r="M2500" s="1">
        <f t="shared" si="198"/>
        <v>181.8378398463862</v>
      </c>
      <c r="N2500" s="7">
        <f t="shared" si="199"/>
        <v>181.8378398463862</v>
      </c>
    </row>
    <row r="2501" spans="1:14" x14ac:dyDescent="0.25">
      <c r="A2501" t="str">
        <f>"14:32:02.469"</f>
        <v>14:32:02.469</v>
      </c>
      <c r="B2501">
        <v>40.084541000000002</v>
      </c>
      <c r="C2501">
        <v>-75.437365</v>
      </c>
      <c r="D2501">
        <v>4700</v>
      </c>
      <c r="E2501">
        <v>4900</v>
      </c>
      <c r="F2501">
        <v>133</v>
      </c>
      <c r="G2501">
        <v>124</v>
      </c>
      <c r="H2501">
        <v>-64</v>
      </c>
      <c r="J2501" s="1">
        <f t="shared" si="195"/>
        <v>17689</v>
      </c>
      <c r="K2501" s="1">
        <f t="shared" si="196"/>
        <v>15376</v>
      </c>
      <c r="L2501" s="1">
        <f t="shared" si="197"/>
        <v>33065</v>
      </c>
      <c r="M2501" s="1">
        <f t="shared" si="198"/>
        <v>181.8378398463862</v>
      </c>
      <c r="N2501" s="7">
        <f t="shared" si="199"/>
        <v>181.8378398463862</v>
      </c>
    </row>
    <row r="2502" spans="1:14" x14ac:dyDescent="0.25">
      <c r="A2502" t="str">
        <f>"14:32:03.430"</f>
        <v>14:32:03.430</v>
      </c>
      <c r="B2502">
        <v>40.085163000000001</v>
      </c>
      <c r="C2502">
        <v>-75.436571000000001</v>
      </c>
      <c r="D2502">
        <v>4700</v>
      </c>
      <c r="E2502">
        <v>4900</v>
      </c>
      <c r="F2502">
        <v>133</v>
      </c>
      <c r="G2502">
        <v>124</v>
      </c>
      <c r="H2502">
        <v>-64</v>
      </c>
      <c r="J2502" s="1">
        <f t="shared" si="195"/>
        <v>17689</v>
      </c>
      <c r="K2502" s="1">
        <f t="shared" si="196"/>
        <v>15376</v>
      </c>
      <c r="L2502" s="1">
        <f t="shared" si="197"/>
        <v>33065</v>
      </c>
      <c r="M2502" s="1">
        <f t="shared" si="198"/>
        <v>181.8378398463862</v>
      </c>
      <c r="N2502" s="7">
        <f t="shared" si="199"/>
        <v>181.8378398463862</v>
      </c>
    </row>
    <row r="2503" spans="1:14" x14ac:dyDescent="0.25">
      <c r="A2503" t="str">
        <f>"14:32:04.391"</f>
        <v>14:32:04.391</v>
      </c>
      <c r="B2503">
        <v>40.085720999999999</v>
      </c>
      <c r="C2503">
        <v>-75.435820000000007</v>
      </c>
      <c r="D2503">
        <v>4700</v>
      </c>
      <c r="E2503">
        <v>4900</v>
      </c>
      <c r="F2503">
        <v>133</v>
      </c>
      <c r="G2503">
        <v>124</v>
      </c>
      <c r="H2503">
        <v>0</v>
      </c>
      <c r="J2503" s="1">
        <f t="shared" si="195"/>
        <v>17689</v>
      </c>
      <c r="K2503" s="1">
        <f t="shared" si="196"/>
        <v>15376</v>
      </c>
      <c r="L2503" s="1">
        <f t="shared" si="197"/>
        <v>33065</v>
      </c>
      <c r="M2503" s="1">
        <f t="shared" si="198"/>
        <v>181.8378398463862</v>
      </c>
      <c r="N2503" s="7">
        <f t="shared" si="199"/>
        <v>181.8378398463862</v>
      </c>
    </row>
    <row r="2504" spans="1:14" x14ac:dyDescent="0.25">
      <c r="A2504" t="str">
        <f>"14:32:05.500"</f>
        <v>14:32:05.500</v>
      </c>
      <c r="B2504">
        <v>40.086322000000003</v>
      </c>
      <c r="C2504">
        <v>-75.435004000000006</v>
      </c>
      <c r="D2504">
        <v>4700</v>
      </c>
      <c r="E2504">
        <v>4900</v>
      </c>
      <c r="F2504">
        <v>133</v>
      </c>
      <c r="G2504">
        <v>124</v>
      </c>
      <c r="H2504">
        <v>0</v>
      </c>
      <c r="J2504" s="1">
        <f t="shared" si="195"/>
        <v>17689</v>
      </c>
      <c r="K2504" s="1">
        <f t="shared" si="196"/>
        <v>15376</v>
      </c>
      <c r="L2504" s="1">
        <f t="shared" si="197"/>
        <v>33065</v>
      </c>
      <c r="M2504" s="1">
        <f t="shared" si="198"/>
        <v>181.8378398463862</v>
      </c>
      <c r="N2504" s="7">
        <f t="shared" si="199"/>
        <v>181.8378398463862</v>
      </c>
    </row>
    <row r="2505" spans="1:14" x14ac:dyDescent="0.25">
      <c r="A2505" t="str">
        <f>"14:32:06.406"</f>
        <v>14:32:06.406</v>
      </c>
      <c r="B2505">
        <v>40.086880000000001</v>
      </c>
      <c r="C2505">
        <v>-75.434189000000003</v>
      </c>
      <c r="D2505">
        <v>4700</v>
      </c>
      <c r="E2505">
        <v>4900</v>
      </c>
      <c r="F2505">
        <v>133</v>
      </c>
      <c r="G2505">
        <v>124</v>
      </c>
      <c r="H2505">
        <v>0</v>
      </c>
      <c r="J2505" s="1">
        <f t="shared" si="195"/>
        <v>17689</v>
      </c>
      <c r="K2505" s="1">
        <f t="shared" si="196"/>
        <v>15376</v>
      </c>
      <c r="L2505" s="1">
        <f t="shared" si="197"/>
        <v>33065</v>
      </c>
      <c r="M2505" s="1">
        <f t="shared" si="198"/>
        <v>181.8378398463862</v>
      </c>
      <c r="N2505" s="7">
        <f t="shared" si="199"/>
        <v>181.8378398463862</v>
      </c>
    </row>
    <row r="2506" spans="1:14" x14ac:dyDescent="0.25">
      <c r="A2506" t="str">
        <f>"14:32:07.422"</f>
        <v>14:32:07.422</v>
      </c>
      <c r="B2506">
        <v>40.087437999999999</v>
      </c>
      <c r="C2506">
        <v>-75.433373000000003</v>
      </c>
      <c r="D2506">
        <v>4700</v>
      </c>
      <c r="E2506">
        <v>4900</v>
      </c>
      <c r="F2506">
        <v>133</v>
      </c>
      <c r="G2506">
        <v>124</v>
      </c>
      <c r="H2506">
        <v>0</v>
      </c>
      <c r="J2506" s="1">
        <f t="shared" si="195"/>
        <v>17689</v>
      </c>
      <c r="K2506" s="1">
        <f t="shared" si="196"/>
        <v>15376</v>
      </c>
      <c r="L2506" s="1">
        <f t="shared" si="197"/>
        <v>33065</v>
      </c>
      <c r="M2506" s="1">
        <f t="shared" si="198"/>
        <v>181.8378398463862</v>
      </c>
      <c r="N2506" s="7">
        <f t="shared" si="199"/>
        <v>181.8378398463862</v>
      </c>
    </row>
    <row r="2507" spans="1:14" x14ac:dyDescent="0.25">
      <c r="A2507" t="str">
        <f>"14:32:08.273"</f>
        <v>14:32:08.273</v>
      </c>
      <c r="B2507">
        <v>40.087910000000001</v>
      </c>
      <c r="C2507">
        <v>-75.432750999999996</v>
      </c>
      <c r="D2507">
        <v>4700</v>
      </c>
      <c r="E2507">
        <v>4900</v>
      </c>
      <c r="F2507">
        <v>133</v>
      </c>
      <c r="G2507">
        <v>124</v>
      </c>
      <c r="H2507">
        <v>0</v>
      </c>
      <c r="J2507" s="1">
        <f t="shared" si="195"/>
        <v>17689</v>
      </c>
      <c r="K2507" s="1">
        <f t="shared" si="196"/>
        <v>15376</v>
      </c>
      <c r="L2507" s="1">
        <f t="shared" si="197"/>
        <v>33065</v>
      </c>
      <c r="M2507" s="1">
        <f t="shared" si="198"/>
        <v>181.8378398463862</v>
      </c>
      <c r="N2507" s="7">
        <f t="shared" si="199"/>
        <v>181.8378398463862</v>
      </c>
    </row>
    <row r="2508" spans="1:14" x14ac:dyDescent="0.25">
      <c r="A2508" t="str">
        <f>"14:32:09.141"</f>
        <v>14:32:09.141</v>
      </c>
      <c r="B2508">
        <v>40.088425000000001</v>
      </c>
      <c r="C2508">
        <v>-75.432000000000002</v>
      </c>
      <c r="D2508">
        <v>4700</v>
      </c>
      <c r="E2508">
        <v>4900</v>
      </c>
      <c r="F2508">
        <v>133</v>
      </c>
      <c r="G2508">
        <v>124</v>
      </c>
      <c r="H2508">
        <v>0</v>
      </c>
      <c r="J2508" s="1">
        <f t="shared" si="195"/>
        <v>17689</v>
      </c>
      <c r="K2508" s="1">
        <f t="shared" si="196"/>
        <v>15376</v>
      </c>
      <c r="L2508" s="1">
        <f t="shared" si="197"/>
        <v>33065</v>
      </c>
      <c r="M2508" s="1">
        <f t="shared" si="198"/>
        <v>181.8378398463862</v>
      </c>
      <c r="N2508" s="7">
        <f t="shared" si="199"/>
        <v>181.8378398463862</v>
      </c>
    </row>
    <row r="2509" spans="1:14" x14ac:dyDescent="0.25">
      <c r="A2509" t="str">
        <f>"14:32:10.047"</f>
        <v>14:32:10.047</v>
      </c>
      <c r="B2509">
        <v>40.088918</v>
      </c>
      <c r="C2509">
        <v>-75.431314</v>
      </c>
      <c r="D2509">
        <v>4700</v>
      </c>
      <c r="E2509">
        <v>4900</v>
      </c>
      <c r="F2509">
        <v>133</v>
      </c>
      <c r="G2509">
        <v>124</v>
      </c>
      <c r="H2509">
        <v>-64</v>
      </c>
      <c r="J2509" s="1">
        <f t="shared" si="195"/>
        <v>17689</v>
      </c>
      <c r="K2509" s="1">
        <f t="shared" si="196"/>
        <v>15376</v>
      </c>
      <c r="L2509" s="1">
        <f t="shared" si="197"/>
        <v>33065</v>
      </c>
      <c r="M2509" s="1">
        <f t="shared" si="198"/>
        <v>181.8378398463862</v>
      </c>
      <c r="N2509" s="7">
        <f t="shared" si="199"/>
        <v>181.8378398463862</v>
      </c>
    </row>
    <row r="2510" spans="1:14" x14ac:dyDescent="0.25">
      <c r="A2510" t="str">
        <f>"14:32:10.953"</f>
        <v>14:32:10.953</v>
      </c>
      <c r="B2510">
        <v>40.089433</v>
      </c>
      <c r="C2510">
        <v>-75.430541000000005</v>
      </c>
      <c r="D2510">
        <v>4700</v>
      </c>
      <c r="E2510">
        <v>4900</v>
      </c>
      <c r="F2510">
        <v>134</v>
      </c>
      <c r="G2510">
        <v>124</v>
      </c>
      <c r="H2510">
        <v>0</v>
      </c>
      <c r="J2510" s="1">
        <f t="shared" si="195"/>
        <v>17956</v>
      </c>
      <c r="K2510" s="1">
        <f t="shared" si="196"/>
        <v>15376</v>
      </c>
      <c r="L2510" s="1">
        <f t="shared" si="197"/>
        <v>33332</v>
      </c>
      <c r="M2510" s="1">
        <f t="shared" si="198"/>
        <v>182.57053431482311</v>
      </c>
      <c r="N2510" s="7">
        <f t="shared" si="199"/>
        <v>182.57053431482311</v>
      </c>
    </row>
    <row r="2511" spans="1:14" x14ac:dyDescent="0.25">
      <c r="A2511" t="str">
        <f>"14:32:11.961"</f>
        <v>14:32:11.961</v>
      </c>
      <c r="B2511">
        <v>40.090034000000003</v>
      </c>
      <c r="C2511">
        <v>-75.429747000000006</v>
      </c>
      <c r="D2511">
        <v>4700</v>
      </c>
      <c r="E2511">
        <v>4900</v>
      </c>
      <c r="F2511">
        <v>134</v>
      </c>
      <c r="G2511">
        <v>124</v>
      </c>
      <c r="H2511">
        <v>0</v>
      </c>
      <c r="J2511" s="1">
        <f t="shared" si="195"/>
        <v>17956</v>
      </c>
      <c r="K2511" s="1">
        <f t="shared" si="196"/>
        <v>15376</v>
      </c>
      <c r="L2511" s="1">
        <f t="shared" si="197"/>
        <v>33332</v>
      </c>
      <c r="M2511" s="1">
        <f t="shared" si="198"/>
        <v>182.57053431482311</v>
      </c>
      <c r="N2511" s="7">
        <f t="shared" si="199"/>
        <v>182.57053431482311</v>
      </c>
    </row>
    <row r="2512" spans="1:14" x14ac:dyDescent="0.25">
      <c r="A2512" t="str">
        <f>"14:32:12.820"</f>
        <v>14:32:12.820</v>
      </c>
      <c r="B2512">
        <v>40.090549000000003</v>
      </c>
      <c r="C2512">
        <v>-75.429017999999999</v>
      </c>
      <c r="D2512">
        <v>4700</v>
      </c>
      <c r="E2512">
        <v>4900</v>
      </c>
      <c r="F2512">
        <v>134</v>
      </c>
      <c r="G2512">
        <v>124</v>
      </c>
      <c r="H2512">
        <v>-64</v>
      </c>
      <c r="J2512" s="1">
        <f t="shared" si="195"/>
        <v>17956</v>
      </c>
      <c r="K2512" s="1">
        <f t="shared" si="196"/>
        <v>15376</v>
      </c>
      <c r="L2512" s="1">
        <f t="shared" si="197"/>
        <v>33332</v>
      </c>
      <c r="M2512" s="1">
        <f t="shared" si="198"/>
        <v>182.57053431482311</v>
      </c>
      <c r="N2512" s="7">
        <f t="shared" si="199"/>
        <v>182.57053431482311</v>
      </c>
    </row>
    <row r="2513" spans="1:14" x14ac:dyDescent="0.25">
      <c r="A2513" t="str">
        <f>"14:32:13.828"</f>
        <v>14:32:13.828</v>
      </c>
      <c r="B2513">
        <v>40.091107000000001</v>
      </c>
      <c r="C2513">
        <v>-75.428201999999999</v>
      </c>
      <c r="D2513">
        <v>4700</v>
      </c>
      <c r="E2513">
        <v>4900</v>
      </c>
      <c r="F2513">
        <v>134</v>
      </c>
      <c r="G2513">
        <v>123</v>
      </c>
      <c r="H2513">
        <v>0</v>
      </c>
      <c r="J2513" s="1">
        <f t="shared" si="195"/>
        <v>17956</v>
      </c>
      <c r="K2513" s="1">
        <f t="shared" si="196"/>
        <v>15129</v>
      </c>
      <c r="L2513" s="1">
        <f t="shared" si="197"/>
        <v>33085</v>
      </c>
      <c r="M2513" s="1">
        <f t="shared" si="198"/>
        <v>181.89282558693733</v>
      </c>
      <c r="N2513" s="7">
        <f t="shared" si="199"/>
        <v>181.89282558693733</v>
      </c>
    </row>
    <row r="2514" spans="1:14" x14ac:dyDescent="0.25">
      <c r="A2514" t="str">
        <f>"14:32:14.945"</f>
        <v>14:32:14.945</v>
      </c>
      <c r="B2514">
        <v>40.091729000000001</v>
      </c>
      <c r="C2514">
        <v>-75.427301</v>
      </c>
      <c r="D2514">
        <v>4700</v>
      </c>
      <c r="E2514">
        <v>4900</v>
      </c>
      <c r="F2514">
        <v>134</v>
      </c>
      <c r="G2514">
        <v>123</v>
      </c>
      <c r="H2514">
        <v>0</v>
      </c>
      <c r="J2514" s="1">
        <f t="shared" si="195"/>
        <v>17956</v>
      </c>
      <c r="K2514" s="1">
        <f t="shared" si="196"/>
        <v>15129</v>
      </c>
      <c r="L2514" s="1">
        <f t="shared" si="197"/>
        <v>33085</v>
      </c>
      <c r="M2514" s="1">
        <f t="shared" si="198"/>
        <v>181.89282558693733</v>
      </c>
      <c r="N2514" s="7">
        <f t="shared" si="199"/>
        <v>181.89282558693733</v>
      </c>
    </row>
    <row r="2515" spans="1:14" x14ac:dyDescent="0.25">
      <c r="A2515" t="str">
        <f>"14:32:16.000"</f>
        <v>14:32:16.000</v>
      </c>
      <c r="B2515">
        <v>40.092373000000002</v>
      </c>
      <c r="C2515">
        <v>-75.426443000000006</v>
      </c>
      <c r="D2515">
        <v>4700</v>
      </c>
      <c r="E2515">
        <v>4900</v>
      </c>
      <c r="F2515">
        <v>134</v>
      </c>
      <c r="G2515">
        <v>123</v>
      </c>
      <c r="H2515">
        <v>0</v>
      </c>
      <c r="J2515" s="1">
        <f t="shared" si="195"/>
        <v>17956</v>
      </c>
      <c r="K2515" s="1">
        <f t="shared" si="196"/>
        <v>15129</v>
      </c>
      <c r="L2515" s="1">
        <f t="shared" si="197"/>
        <v>33085</v>
      </c>
      <c r="M2515" s="1">
        <f t="shared" si="198"/>
        <v>181.89282558693733</v>
      </c>
      <c r="N2515" s="7">
        <f t="shared" si="199"/>
        <v>181.89282558693733</v>
      </c>
    </row>
    <row r="2516" spans="1:14" x14ac:dyDescent="0.25">
      <c r="A2516" t="str">
        <f>"14:32:16.859"</f>
        <v>14:32:16.859</v>
      </c>
      <c r="B2516">
        <v>40.092844999999997</v>
      </c>
      <c r="C2516">
        <v>-75.425820000000002</v>
      </c>
      <c r="D2516">
        <v>4700</v>
      </c>
      <c r="E2516">
        <v>4900</v>
      </c>
      <c r="F2516">
        <v>134</v>
      </c>
      <c r="G2516">
        <v>123</v>
      </c>
      <c r="H2516">
        <v>0</v>
      </c>
      <c r="J2516" s="1">
        <f t="shared" si="195"/>
        <v>17956</v>
      </c>
      <c r="K2516" s="1">
        <f t="shared" si="196"/>
        <v>15129</v>
      </c>
      <c r="L2516" s="1">
        <f t="shared" si="197"/>
        <v>33085</v>
      </c>
      <c r="M2516" s="1">
        <f t="shared" si="198"/>
        <v>181.89282558693733</v>
      </c>
      <c r="N2516" s="7">
        <f t="shared" si="199"/>
        <v>181.89282558693733</v>
      </c>
    </row>
    <row r="2517" spans="1:14" x14ac:dyDescent="0.25">
      <c r="A2517" t="str">
        <f>"14:32:17.867"</f>
        <v>14:32:17.867</v>
      </c>
      <c r="B2517">
        <v>40.093403000000002</v>
      </c>
      <c r="C2517">
        <v>-75.425004999999999</v>
      </c>
      <c r="D2517">
        <v>4700</v>
      </c>
      <c r="E2517">
        <v>4900</v>
      </c>
      <c r="F2517">
        <v>134</v>
      </c>
      <c r="G2517">
        <v>123</v>
      </c>
      <c r="H2517">
        <v>0</v>
      </c>
      <c r="J2517" s="1">
        <f t="shared" si="195"/>
        <v>17956</v>
      </c>
      <c r="K2517" s="1">
        <f t="shared" si="196"/>
        <v>15129</v>
      </c>
      <c r="L2517" s="1">
        <f t="shared" si="197"/>
        <v>33085</v>
      </c>
      <c r="M2517" s="1">
        <f t="shared" si="198"/>
        <v>181.89282558693733</v>
      </c>
      <c r="N2517" s="7">
        <f t="shared" si="199"/>
        <v>181.89282558693733</v>
      </c>
    </row>
    <row r="2518" spans="1:14" x14ac:dyDescent="0.25">
      <c r="A2518" t="str">
        <f>"14:32:18.727"</f>
        <v>14:32:18.727</v>
      </c>
      <c r="B2518">
        <v>40.093918000000002</v>
      </c>
      <c r="C2518">
        <v>-75.424254000000005</v>
      </c>
      <c r="D2518">
        <v>4700</v>
      </c>
      <c r="E2518">
        <v>4900</v>
      </c>
      <c r="F2518">
        <v>134</v>
      </c>
      <c r="G2518">
        <v>123</v>
      </c>
      <c r="H2518">
        <v>0</v>
      </c>
      <c r="J2518" s="1">
        <f t="shared" si="195"/>
        <v>17956</v>
      </c>
      <c r="K2518" s="1">
        <f t="shared" si="196"/>
        <v>15129</v>
      </c>
      <c r="L2518" s="1">
        <f t="shared" si="197"/>
        <v>33085</v>
      </c>
      <c r="M2518" s="1">
        <f t="shared" si="198"/>
        <v>181.89282558693733</v>
      </c>
      <c r="N2518" s="7">
        <f t="shared" si="199"/>
        <v>181.89282558693733</v>
      </c>
    </row>
    <row r="2519" spans="1:14" x14ac:dyDescent="0.25">
      <c r="A2519" t="str">
        <f>"14:32:19.734"</f>
        <v>14:32:19.734</v>
      </c>
      <c r="B2519">
        <v>40.094476</v>
      </c>
      <c r="C2519">
        <v>-75.423460000000006</v>
      </c>
      <c r="D2519">
        <v>4700</v>
      </c>
      <c r="E2519">
        <v>4900</v>
      </c>
      <c r="F2519">
        <v>134</v>
      </c>
      <c r="G2519">
        <v>123</v>
      </c>
      <c r="H2519">
        <v>0</v>
      </c>
      <c r="J2519" s="1">
        <f t="shared" si="195"/>
        <v>17956</v>
      </c>
      <c r="K2519" s="1">
        <f t="shared" si="196"/>
        <v>15129</v>
      </c>
      <c r="L2519" s="1">
        <f t="shared" si="197"/>
        <v>33085</v>
      </c>
      <c r="M2519" s="1">
        <f t="shared" si="198"/>
        <v>181.89282558693733</v>
      </c>
      <c r="N2519" s="7">
        <f t="shared" si="199"/>
        <v>181.89282558693733</v>
      </c>
    </row>
    <row r="2520" spans="1:14" x14ac:dyDescent="0.25">
      <c r="A2520" t="str">
        <f>"14:32:20.750"</f>
        <v>14:32:20.750</v>
      </c>
      <c r="B2520">
        <v>40.095055000000002</v>
      </c>
      <c r="C2520">
        <v>-75.422666000000007</v>
      </c>
      <c r="D2520">
        <v>4700</v>
      </c>
      <c r="E2520">
        <v>4900</v>
      </c>
      <c r="F2520">
        <v>134</v>
      </c>
      <c r="G2520">
        <v>123</v>
      </c>
      <c r="H2520">
        <v>0</v>
      </c>
      <c r="J2520" s="1">
        <f t="shared" si="195"/>
        <v>17956</v>
      </c>
      <c r="K2520" s="1">
        <f t="shared" si="196"/>
        <v>15129</v>
      </c>
      <c r="L2520" s="1">
        <f t="shared" si="197"/>
        <v>33085</v>
      </c>
      <c r="M2520" s="1">
        <f t="shared" si="198"/>
        <v>181.89282558693733</v>
      </c>
      <c r="N2520" s="7">
        <f t="shared" si="199"/>
        <v>181.89282558693733</v>
      </c>
    </row>
    <row r="2521" spans="1:14" x14ac:dyDescent="0.25">
      <c r="A2521" t="str">
        <f>"14:32:21.758"</f>
        <v>14:32:21.758</v>
      </c>
      <c r="B2521">
        <v>40.095613</v>
      </c>
      <c r="C2521">
        <v>-75.421807999999999</v>
      </c>
      <c r="D2521">
        <v>4700</v>
      </c>
      <c r="E2521">
        <v>4900</v>
      </c>
      <c r="F2521">
        <v>134</v>
      </c>
      <c r="G2521">
        <v>123</v>
      </c>
      <c r="H2521">
        <v>0</v>
      </c>
      <c r="J2521" s="1">
        <f t="shared" si="195"/>
        <v>17956</v>
      </c>
      <c r="K2521" s="1">
        <f t="shared" si="196"/>
        <v>15129</v>
      </c>
      <c r="L2521" s="1">
        <f t="shared" si="197"/>
        <v>33085</v>
      </c>
      <c r="M2521" s="1">
        <f t="shared" si="198"/>
        <v>181.89282558693733</v>
      </c>
      <c r="N2521" s="7">
        <f t="shared" si="199"/>
        <v>181.89282558693733</v>
      </c>
    </row>
    <row r="2522" spans="1:14" x14ac:dyDescent="0.25">
      <c r="A2522" t="str">
        <f>"14:32:22.867"</f>
        <v>14:32:22.867</v>
      </c>
      <c r="B2522">
        <v>40.096299999999999</v>
      </c>
      <c r="C2522">
        <v>-75.420841999999993</v>
      </c>
      <c r="D2522">
        <v>4700</v>
      </c>
      <c r="E2522">
        <v>4900</v>
      </c>
      <c r="F2522">
        <v>134</v>
      </c>
      <c r="G2522">
        <v>123</v>
      </c>
      <c r="H2522">
        <v>0</v>
      </c>
      <c r="J2522" s="1">
        <f t="shared" si="195"/>
        <v>17956</v>
      </c>
      <c r="K2522" s="1">
        <f t="shared" si="196"/>
        <v>15129</v>
      </c>
      <c r="L2522" s="1">
        <f t="shared" si="197"/>
        <v>33085</v>
      </c>
      <c r="M2522" s="1">
        <f t="shared" si="198"/>
        <v>181.89282558693733</v>
      </c>
      <c r="N2522" s="7">
        <f t="shared" si="199"/>
        <v>181.89282558693733</v>
      </c>
    </row>
    <row r="2523" spans="1:14" x14ac:dyDescent="0.25">
      <c r="A2523" t="str">
        <f>"14:32:23.828"</f>
        <v>14:32:23.828</v>
      </c>
      <c r="B2523">
        <v>40.096836000000003</v>
      </c>
      <c r="C2523">
        <v>-75.420134000000004</v>
      </c>
      <c r="D2523">
        <v>4700</v>
      </c>
      <c r="E2523">
        <v>4900</v>
      </c>
      <c r="F2523">
        <v>134</v>
      </c>
      <c r="G2523">
        <v>123</v>
      </c>
      <c r="H2523">
        <v>0</v>
      </c>
      <c r="J2523" s="1">
        <f t="shared" si="195"/>
        <v>17956</v>
      </c>
      <c r="K2523" s="1">
        <f t="shared" si="196"/>
        <v>15129</v>
      </c>
      <c r="L2523" s="1">
        <f t="shared" si="197"/>
        <v>33085</v>
      </c>
      <c r="M2523" s="1">
        <f t="shared" si="198"/>
        <v>181.89282558693733</v>
      </c>
      <c r="N2523" s="7">
        <f t="shared" si="199"/>
        <v>181.89282558693733</v>
      </c>
    </row>
    <row r="2524" spans="1:14" x14ac:dyDescent="0.25">
      <c r="A2524" t="str">
        <f>"14:32:24.891"</f>
        <v>14:32:24.891</v>
      </c>
      <c r="B2524">
        <v>40.097394000000001</v>
      </c>
      <c r="C2524">
        <v>-75.419340000000005</v>
      </c>
      <c r="D2524">
        <v>4700</v>
      </c>
      <c r="E2524">
        <v>4900</v>
      </c>
      <c r="F2524">
        <v>134</v>
      </c>
      <c r="G2524">
        <v>123</v>
      </c>
      <c r="H2524">
        <v>0</v>
      </c>
      <c r="J2524" s="1">
        <f t="shared" si="195"/>
        <v>17956</v>
      </c>
      <c r="K2524" s="1">
        <f t="shared" si="196"/>
        <v>15129</v>
      </c>
      <c r="L2524" s="1">
        <f t="shared" si="197"/>
        <v>33085</v>
      </c>
      <c r="M2524" s="1">
        <f t="shared" si="198"/>
        <v>181.89282558693733</v>
      </c>
      <c r="N2524" s="7">
        <f t="shared" si="199"/>
        <v>181.89282558693733</v>
      </c>
    </row>
    <row r="2525" spans="1:14" x14ac:dyDescent="0.25">
      <c r="A2525" t="str">
        <f>"14:32:25.945"</f>
        <v>14:32:25.945</v>
      </c>
      <c r="B2525">
        <v>40.098038000000003</v>
      </c>
      <c r="C2525">
        <v>-75.418459999999996</v>
      </c>
      <c r="D2525">
        <v>4700</v>
      </c>
      <c r="E2525">
        <v>4900</v>
      </c>
      <c r="F2525">
        <v>134</v>
      </c>
      <c r="G2525">
        <v>123</v>
      </c>
      <c r="H2525">
        <v>0</v>
      </c>
      <c r="J2525" s="1">
        <f t="shared" si="195"/>
        <v>17956</v>
      </c>
      <c r="K2525" s="1">
        <f t="shared" si="196"/>
        <v>15129</v>
      </c>
      <c r="L2525" s="1">
        <f t="shared" si="197"/>
        <v>33085</v>
      </c>
      <c r="M2525" s="1">
        <f t="shared" si="198"/>
        <v>181.89282558693733</v>
      </c>
      <c r="N2525" s="7">
        <f t="shared" si="199"/>
        <v>181.89282558693733</v>
      </c>
    </row>
    <row r="2526" spans="1:14" x14ac:dyDescent="0.25">
      <c r="A2526" t="str">
        <f>"14:32:27.008"</f>
        <v>14:32:27.008</v>
      </c>
      <c r="B2526">
        <v>40.098660000000002</v>
      </c>
      <c r="C2526">
        <v>-75.417516000000006</v>
      </c>
      <c r="D2526">
        <v>4700</v>
      </c>
      <c r="E2526">
        <v>4900</v>
      </c>
      <c r="F2526">
        <v>134</v>
      </c>
      <c r="G2526">
        <v>124</v>
      </c>
      <c r="H2526">
        <v>0</v>
      </c>
      <c r="J2526" s="1">
        <f t="shared" si="195"/>
        <v>17956</v>
      </c>
      <c r="K2526" s="1">
        <f t="shared" si="196"/>
        <v>15376</v>
      </c>
      <c r="L2526" s="1">
        <f t="shared" si="197"/>
        <v>33332</v>
      </c>
      <c r="M2526" s="1">
        <f t="shared" si="198"/>
        <v>182.57053431482311</v>
      </c>
      <c r="N2526" s="7">
        <f t="shared" si="199"/>
        <v>182.57053431482311</v>
      </c>
    </row>
    <row r="2527" spans="1:14" x14ac:dyDescent="0.25">
      <c r="A2527" t="str">
        <f>"14:32:28.070"</f>
        <v>14:32:28.070</v>
      </c>
      <c r="B2527">
        <v>40.099218</v>
      </c>
      <c r="C2527">
        <v>-75.416701000000003</v>
      </c>
      <c r="D2527">
        <v>4700</v>
      </c>
      <c r="E2527">
        <v>4900</v>
      </c>
      <c r="F2527">
        <v>134</v>
      </c>
      <c r="G2527">
        <v>124</v>
      </c>
      <c r="H2527">
        <v>0</v>
      </c>
      <c r="J2527" s="1">
        <f t="shared" si="195"/>
        <v>17956</v>
      </c>
      <c r="K2527" s="1">
        <f t="shared" si="196"/>
        <v>15376</v>
      </c>
      <c r="L2527" s="1">
        <f t="shared" si="197"/>
        <v>33332</v>
      </c>
      <c r="M2527" s="1">
        <f t="shared" si="198"/>
        <v>182.57053431482311</v>
      </c>
      <c r="N2527" s="7">
        <f t="shared" si="199"/>
        <v>182.57053431482311</v>
      </c>
    </row>
    <row r="2528" spans="1:14" x14ac:dyDescent="0.25">
      <c r="A2528" t="str">
        <f>"14:32:28.977"</f>
        <v>14:32:28.977</v>
      </c>
      <c r="B2528">
        <v>40.099818999999997</v>
      </c>
      <c r="C2528">
        <v>-75.415907000000004</v>
      </c>
      <c r="D2528">
        <v>4700</v>
      </c>
      <c r="E2528">
        <v>4900</v>
      </c>
      <c r="F2528">
        <v>134</v>
      </c>
      <c r="G2528">
        <v>124</v>
      </c>
      <c r="H2528">
        <v>0</v>
      </c>
      <c r="J2528" s="1">
        <f t="shared" si="195"/>
        <v>17956</v>
      </c>
      <c r="K2528" s="1">
        <f t="shared" si="196"/>
        <v>15376</v>
      </c>
      <c r="L2528" s="1">
        <f t="shared" si="197"/>
        <v>33332</v>
      </c>
      <c r="M2528" s="1">
        <f t="shared" si="198"/>
        <v>182.57053431482311</v>
      </c>
      <c r="N2528" s="7">
        <f t="shared" si="199"/>
        <v>182.57053431482311</v>
      </c>
    </row>
    <row r="2529" spans="1:14" x14ac:dyDescent="0.25">
      <c r="A2529" t="str">
        <f>"14:32:29.938"</f>
        <v>14:32:29.938</v>
      </c>
      <c r="B2529">
        <v>40.100333999999997</v>
      </c>
      <c r="C2529">
        <v>-75.415220000000005</v>
      </c>
      <c r="D2529">
        <v>4700</v>
      </c>
      <c r="E2529">
        <v>4900</v>
      </c>
      <c r="F2529">
        <v>134</v>
      </c>
      <c r="G2529">
        <v>124</v>
      </c>
      <c r="H2529">
        <v>0</v>
      </c>
      <c r="J2529" s="1">
        <f t="shared" si="195"/>
        <v>17956</v>
      </c>
      <c r="K2529" s="1">
        <f t="shared" si="196"/>
        <v>15376</v>
      </c>
      <c r="L2529" s="1">
        <f t="shared" si="197"/>
        <v>33332</v>
      </c>
      <c r="M2529" s="1">
        <f t="shared" si="198"/>
        <v>182.57053431482311</v>
      </c>
      <c r="N2529" s="7">
        <f t="shared" si="199"/>
        <v>182.57053431482311</v>
      </c>
    </row>
    <row r="2530" spans="1:14" x14ac:dyDescent="0.25">
      <c r="A2530" t="str">
        <f>"14:32:31.453"</f>
        <v>14:32:31.453</v>
      </c>
      <c r="B2530">
        <v>40.101171000000001</v>
      </c>
      <c r="C2530">
        <v>-75.413954000000004</v>
      </c>
      <c r="D2530">
        <v>4700</v>
      </c>
      <c r="E2530">
        <v>4900</v>
      </c>
      <c r="F2530">
        <v>134</v>
      </c>
      <c r="G2530">
        <v>124</v>
      </c>
      <c r="H2530">
        <v>0</v>
      </c>
      <c r="J2530" s="1">
        <f t="shared" si="195"/>
        <v>17956</v>
      </c>
      <c r="K2530" s="1">
        <f t="shared" si="196"/>
        <v>15376</v>
      </c>
      <c r="L2530" s="1">
        <f t="shared" si="197"/>
        <v>33332</v>
      </c>
      <c r="M2530" s="1">
        <f t="shared" si="198"/>
        <v>182.57053431482311</v>
      </c>
      <c r="N2530" s="7">
        <f t="shared" si="199"/>
        <v>182.57053431482311</v>
      </c>
    </row>
    <row r="2531" spans="1:14" x14ac:dyDescent="0.25">
      <c r="A2531" t="str">
        <f>"14:32:32.414"</f>
        <v>14:32:32.414</v>
      </c>
      <c r="B2531">
        <v>40.101770999999999</v>
      </c>
      <c r="C2531">
        <v>-75.413224999999997</v>
      </c>
      <c r="D2531">
        <v>4700</v>
      </c>
      <c r="E2531">
        <v>4900</v>
      </c>
      <c r="F2531">
        <v>134</v>
      </c>
      <c r="G2531">
        <v>124</v>
      </c>
      <c r="H2531">
        <v>0</v>
      </c>
      <c r="J2531" s="1">
        <f t="shared" si="195"/>
        <v>17956</v>
      </c>
      <c r="K2531" s="1">
        <f t="shared" si="196"/>
        <v>15376</v>
      </c>
      <c r="L2531" s="1">
        <f t="shared" si="197"/>
        <v>33332</v>
      </c>
      <c r="M2531" s="1">
        <f t="shared" si="198"/>
        <v>182.57053431482311</v>
      </c>
      <c r="N2531" s="7">
        <f t="shared" si="199"/>
        <v>182.57053431482311</v>
      </c>
    </row>
    <row r="2532" spans="1:14" x14ac:dyDescent="0.25">
      <c r="A2532" t="str">
        <f>"14:32:33.320"</f>
        <v>14:32:33.320</v>
      </c>
      <c r="B2532">
        <v>40.102243000000001</v>
      </c>
      <c r="C2532">
        <v>-75.412474000000003</v>
      </c>
      <c r="D2532">
        <v>4700</v>
      </c>
      <c r="E2532">
        <v>4900</v>
      </c>
      <c r="F2532">
        <v>134</v>
      </c>
      <c r="G2532">
        <v>124</v>
      </c>
      <c r="H2532">
        <v>0</v>
      </c>
      <c r="J2532" s="1">
        <f t="shared" si="195"/>
        <v>17956</v>
      </c>
      <c r="K2532" s="1">
        <f t="shared" si="196"/>
        <v>15376</v>
      </c>
      <c r="L2532" s="1">
        <f t="shared" si="197"/>
        <v>33332</v>
      </c>
      <c r="M2532" s="1">
        <f t="shared" si="198"/>
        <v>182.57053431482311</v>
      </c>
      <c r="N2532" s="7">
        <f t="shared" si="199"/>
        <v>182.57053431482311</v>
      </c>
    </row>
    <row r="2533" spans="1:14" x14ac:dyDescent="0.25">
      <c r="A2533" t="str">
        <f>"14:32:34.281"</f>
        <v>14:32:34.281</v>
      </c>
      <c r="B2533">
        <v>40.102800999999999</v>
      </c>
      <c r="C2533">
        <v>-75.411722999999995</v>
      </c>
      <c r="D2533">
        <v>4700</v>
      </c>
      <c r="E2533">
        <v>4900</v>
      </c>
      <c r="F2533">
        <v>134</v>
      </c>
      <c r="G2533">
        <v>124</v>
      </c>
      <c r="H2533">
        <v>64</v>
      </c>
      <c r="J2533" s="1">
        <f t="shared" si="195"/>
        <v>17956</v>
      </c>
      <c r="K2533" s="1">
        <f t="shared" si="196"/>
        <v>15376</v>
      </c>
      <c r="L2533" s="1">
        <f t="shared" si="197"/>
        <v>33332</v>
      </c>
      <c r="M2533" s="1">
        <f t="shared" si="198"/>
        <v>182.57053431482311</v>
      </c>
      <c r="N2533" s="7">
        <f t="shared" si="199"/>
        <v>182.57053431482311</v>
      </c>
    </row>
    <row r="2534" spans="1:14" x14ac:dyDescent="0.25">
      <c r="A2534" t="str">
        <f>"14:32:35.242"</f>
        <v>14:32:35.242</v>
      </c>
      <c r="B2534">
        <v>40.103358999999998</v>
      </c>
      <c r="C2534">
        <v>-75.410906999999995</v>
      </c>
      <c r="D2534">
        <v>4700</v>
      </c>
      <c r="E2534">
        <v>4900</v>
      </c>
      <c r="F2534">
        <v>133</v>
      </c>
      <c r="G2534">
        <v>124</v>
      </c>
      <c r="H2534">
        <v>64</v>
      </c>
      <c r="J2534" s="1">
        <f t="shared" si="195"/>
        <v>17689</v>
      </c>
      <c r="K2534" s="1">
        <f t="shared" si="196"/>
        <v>15376</v>
      </c>
      <c r="L2534" s="1">
        <f t="shared" si="197"/>
        <v>33065</v>
      </c>
      <c r="M2534" s="1">
        <f t="shared" si="198"/>
        <v>181.8378398463862</v>
      </c>
      <c r="N2534" s="7">
        <f t="shared" si="199"/>
        <v>181.8378398463862</v>
      </c>
    </row>
    <row r="2535" spans="1:14" x14ac:dyDescent="0.25">
      <c r="A2535" t="str">
        <f>"14:32:36.297"</f>
        <v>14:32:36.297</v>
      </c>
      <c r="B2535">
        <v>40.103980999999997</v>
      </c>
      <c r="C2535">
        <v>-75.410027999999997</v>
      </c>
      <c r="D2535">
        <v>4700</v>
      </c>
      <c r="E2535">
        <v>4900</v>
      </c>
      <c r="F2535">
        <v>133</v>
      </c>
      <c r="G2535">
        <v>125</v>
      </c>
      <c r="H2535">
        <v>64</v>
      </c>
      <c r="J2535" s="1">
        <f t="shared" si="195"/>
        <v>17689</v>
      </c>
      <c r="K2535" s="1">
        <f t="shared" si="196"/>
        <v>15625</v>
      </c>
      <c r="L2535" s="1">
        <f t="shared" si="197"/>
        <v>33314</v>
      </c>
      <c r="M2535" s="1">
        <f t="shared" si="198"/>
        <v>182.52123164169149</v>
      </c>
      <c r="N2535" s="7">
        <f t="shared" si="199"/>
        <v>182.52123164169149</v>
      </c>
    </row>
    <row r="2536" spans="1:14" x14ac:dyDescent="0.25">
      <c r="A2536" t="str">
        <f>"14:32:37.258"</f>
        <v>14:32:37.258</v>
      </c>
      <c r="B2536">
        <v>40.104517999999999</v>
      </c>
      <c r="C2536">
        <v>-75.409340999999998</v>
      </c>
      <c r="D2536">
        <v>4700</v>
      </c>
      <c r="E2536">
        <v>4900</v>
      </c>
      <c r="F2536">
        <v>133</v>
      </c>
      <c r="G2536">
        <v>125</v>
      </c>
      <c r="H2536">
        <v>64</v>
      </c>
      <c r="J2536" s="1">
        <f t="shared" si="195"/>
        <v>17689</v>
      </c>
      <c r="K2536" s="1">
        <f t="shared" si="196"/>
        <v>15625</v>
      </c>
      <c r="L2536" s="1">
        <f t="shared" si="197"/>
        <v>33314</v>
      </c>
      <c r="M2536" s="1">
        <f t="shared" si="198"/>
        <v>182.52123164169149</v>
      </c>
      <c r="N2536" s="7">
        <f t="shared" si="199"/>
        <v>182.52123164169149</v>
      </c>
    </row>
    <row r="2537" spans="1:14" x14ac:dyDescent="0.25">
      <c r="A2537" t="str">
        <f>"14:32:38.367"</f>
        <v>14:32:38.367</v>
      </c>
      <c r="B2537">
        <v>40.105139999999999</v>
      </c>
      <c r="C2537">
        <v>-75.408439999999999</v>
      </c>
      <c r="D2537">
        <v>4700</v>
      </c>
      <c r="E2537">
        <v>4900</v>
      </c>
      <c r="F2537">
        <v>133</v>
      </c>
      <c r="G2537">
        <v>125</v>
      </c>
      <c r="H2537">
        <v>64</v>
      </c>
      <c r="J2537" s="1">
        <f t="shared" si="195"/>
        <v>17689</v>
      </c>
      <c r="K2537" s="1">
        <f t="shared" si="196"/>
        <v>15625</v>
      </c>
      <c r="L2537" s="1">
        <f t="shared" si="197"/>
        <v>33314</v>
      </c>
      <c r="M2537" s="1">
        <f t="shared" si="198"/>
        <v>182.52123164169149</v>
      </c>
      <c r="N2537" s="7">
        <f t="shared" si="199"/>
        <v>182.52123164169149</v>
      </c>
    </row>
    <row r="2538" spans="1:14" x14ac:dyDescent="0.25">
      <c r="A2538" t="str">
        <f>"14:32:39.383"</f>
        <v>14:32:39.383</v>
      </c>
      <c r="B2538">
        <v>40.105719999999998</v>
      </c>
      <c r="C2538">
        <v>-75.407646</v>
      </c>
      <c r="D2538">
        <v>4700</v>
      </c>
      <c r="E2538">
        <v>4900</v>
      </c>
      <c r="F2538">
        <v>133</v>
      </c>
      <c r="G2538">
        <v>125</v>
      </c>
      <c r="H2538">
        <v>0</v>
      </c>
      <c r="J2538" s="1">
        <f t="shared" si="195"/>
        <v>17689</v>
      </c>
      <c r="K2538" s="1">
        <f t="shared" si="196"/>
        <v>15625</v>
      </c>
      <c r="L2538" s="1">
        <f t="shared" si="197"/>
        <v>33314</v>
      </c>
      <c r="M2538" s="1">
        <f t="shared" si="198"/>
        <v>182.52123164169149</v>
      </c>
      <c r="N2538" s="7">
        <f t="shared" si="199"/>
        <v>182.52123164169149</v>
      </c>
    </row>
    <row r="2539" spans="1:14" x14ac:dyDescent="0.25">
      <c r="A2539" t="str">
        <f>"14:32:40.391"</f>
        <v>14:32:40.391</v>
      </c>
      <c r="B2539">
        <v>40.106319999999997</v>
      </c>
      <c r="C2539">
        <v>-75.406852000000001</v>
      </c>
      <c r="D2539">
        <v>4700</v>
      </c>
      <c r="E2539">
        <v>4900</v>
      </c>
      <c r="F2539">
        <v>133</v>
      </c>
      <c r="G2539">
        <v>125</v>
      </c>
      <c r="H2539">
        <v>0</v>
      </c>
      <c r="J2539" s="1">
        <f t="shared" si="195"/>
        <v>17689</v>
      </c>
      <c r="K2539" s="1">
        <f t="shared" si="196"/>
        <v>15625</v>
      </c>
      <c r="L2539" s="1">
        <f t="shared" si="197"/>
        <v>33314</v>
      </c>
      <c r="M2539" s="1">
        <f t="shared" si="198"/>
        <v>182.52123164169149</v>
      </c>
      <c r="N2539" s="7">
        <f t="shared" si="199"/>
        <v>182.52123164169149</v>
      </c>
    </row>
    <row r="2540" spans="1:14" x14ac:dyDescent="0.25">
      <c r="A2540" t="str">
        <f>"14:32:41.297"</f>
        <v>14:32:41.297</v>
      </c>
      <c r="B2540">
        <v>40.106921</v>
      </c>
      <c r="C2540">
        <v>-75.406014999999996</v>
      </c>
      <c r="D2540">
        <v>4700</v>
      </c>
      <c r="E2540">
        <v>4900</v>
      </c>
      <c r="F2540">
        <v>133</v>
      </c>
      <c r="G2540">
        <v>125</v>
      </c>
      <c r="H2540">
        <v>0</v>
      </c>
      <c r="J2540" s="1">
        <f t="shared" si="195"/>
        <v>17689</v>
      </c>
      <c r="K2540" s="1">
        <f t="shared" si="196"/>
        <v>15625</v>
      </c>
      <c r="L2540" s="1">
        <f t="shared" si="197"/>
        <v>33314</v>
      </c>
      <c r="M2540" s="1">
        <f t="shared" si="198"/>
        <v>182.52123164169149</v>
      </c>
      <c r="N2540" s="7">
        <f t="shared" si="199"/>
        <v>182.52123164169149</v>
      </c>
    </row>
    <row r="2541" spans="1:14" x14ac:dyDescent="0.25">
      <c r="A2541" t="str">
        <f>"14:32:42.359"</f>
        <v>14:32:42.359</v>
      </c>
      <c r="B2541">
        <v>40.107458000000001</v>
      </c>
      <c r="C2541">
        <v>-75.405220999999997</v>
      </c>
      <c r="D2541">
        <v>4700</v>
      </c>
      <c r="E2541">
        <v>4900</v>
      </c>
      <c r="F2541">
        <v>133</v>
      </c>
      <c r="G2541">
        <v>125</v>
      </c>
      <c r="H2541">
        <v>0</v>
      </c>
      <c r="J2541" s="1">
        <f t="shared" si="195"/>
        <v>17689</v>
      </c>
      <c r="K2541" s="1">
        <f t="shared" si="196"/>
        <v>15625</v>
      </c>
      <c r="L2541" s="1">
        <f t="shared" si="197"/>
        <v>33314</v>
      </c>
      <c r="M2541" s="1">
        <f t="shared" si="198"/>
        <v>182.52123164169149</v>
      </c>
      <c r="N2541" s="7">
        <f t="shared" si="199"/>
        <v>182.52123164169149</v>
      </c>
    </row>
    <row r="2542" spans="1:14" x14ac:dyDescent="0.25">
      <c r="A2542" t="str">
        <f>"14:32:43.367"</f>
        <v>14:32:43.367</v>
      </c>
      <c r="B2542">
        <v>40.108058</v>
      </c>
      <c r="C2542">
        <v>-75.404426999999998</v>
      </c>
      <c r="D2542">
        <v>4700</v>
      </c>
      <c r="E2542">
        <v>4900</v>
      </c>
      <c r="F2542">
        <v>133</v>
      </c>
      <c r="G2542">
        <v>125</v>
      </c>
      <c r="H2542">
        <v>0</v>
      </c>
      <c r="J2542" s="1">
        <f t="shared" si="195"/>
        <v>17689</v>
      </c>
      <c r="K2542" s="1">
        <f t="shared" si="196"/>
        <v>15625</v>
      </c>
      <c r="L2542" s="1">
        <f t="shared" si="197"/>
        <v>33314</v>
      </c>
      <c r="M2542" s="1">
        <f t="shared" si="198"/>
        <v>182.52123164169149</v>
      </c>
      <c r="N2542" s="7">
        <f t="shared" si="199"/>
        <v>182.52123164169149</v>
      </c>
    </row>
    <row r="2543" spans="1:14" x14ac:dyDescent="0.25">
      <c r="A2543" t="str">
        <f>"14:32:44.484"</f>
        <v>14:32:44.484</v>
      </c>
      <c r="B2543">
        <v>40.108702000000001</v>
      </c>
      <c r="C2543">
        <v>-75.403547000000003</v>
      </c>
      <c r="D2543">
        <v>4700</v>
      </c>
      <c r="E2543">
        <v>4900</v>
      </c>
      <c r="F2543">
        <v>133</v>
      </c>
      <c r="G2543">
        <v>126</v>
      </c>
      <c r="H2543">
        <v>0</v>
      </c>
      <c r="J2543" s="1">
        <f t="shared" si="195"/>
        <v>17689</v>
      </c>
      <c r="K2543" s="1">
        <f t="shared" si="196"/>
        <v>15876</v>
      </c>
      <c r="L2543" s="1">
        <f t="shared" si="197"/>
        <v>33565</v>
      </c>
      <c r="M2543" s="1">
        <f t="shared" si="198"/>
        <v>183.20753259623362</v>
      </c>
      <c r="N2543" s="7">
        <f t="shared" si="199"/>
        <v>183.20753259623362</v>
      </c>
    </row>
    <row r="2544" spans="1:14" x14ac:dyDescent="0.25">
      <c r="A2544" t="str">
        <f>"14:32:45.289"</f>
        <v>14:32:45.289</v>
      </c>
      <c r="B2544">
        <v>40.109217000000001</v>
      </c>
      <c r="C2544">
        <v>-75.402839</v>
      </c>
      <c r="D2544">
        <v>4700</v>
      </c>
      <c r="E2544">
        <v>4900</v>
      </c>
      <c r="F2544">
        <v>133</v>
      </c>
      <c r="G2544">
        <v>126</v>
      </c>
      <c r="H2544">
        <v>0</v>
      </c>
      <c r="J2544" s="1">
        <f t="shared" si="195"/>
        <v>17689</v>
      </c>
      <c r="K2544" s="1">
        <f t="shared" si="196"/>
        <v>15876</v>
      </c>
      <c r="L2544" s="1">
        <f t="shared" si="197"/>
        <v>33565</v>
      </c>
      <c r="M2544" s="1">
        <f t="shared" si="198"/>
        <v>183.20753259623362</v>
      </c>
      <c r="N2544" s="7">
        <f t="shared" si="199"/>
        <v>183.20753259623362</v>
      </c>
    </row>
    <row r="2545" spans="1:14" x14ac:dyDescent="0.25">
      <c r="A2545" t="str">
        <f>"14:32:46.453"</f>
        <v>14:32:46.453</v>
      </c>
      <c r="B2545">
        <v>40.109881999999999</v>
      </c>
      <c r="C2545">
        <v>-75.401981000000006</v>
      </c>
      <c r="D2545">
        <v>4700</v>
      </c>
      <c r="E2545">
        <v>4900</v>
      </c>
      <c r="F2545">
        <v>133</v>
      </c>
      <c r="G2545">
        <v>126</v>
      </c>
      <c r="H2545">
        <v>0</v>
      </c>
      <c r="J2545" s="1">
        <f t="shared" si="195"/>
        <v>17689</v>
      </c>
      <c r="K2545" s="1">
        <f t="shared" si="196"/>
        <v>15876</v>
      </c>
      <c r="L2545" s="1">
        <f t="shared" si="197"/>
        <v>33565</v>
      </c>
      <c r="M2545" s="1">
        <f t="shared" si="198"/>
        <v>183.20753259623362</v>
      </c>
      <c r="N2545" s="7">
        <f t="shared" si="199"/>
        <v>183.20753259623362</v>
      </c>
    </row>
    <row r="2546" spans="1:14" x14ac:dyDescent="0.25">
      <c r="A2546" t="str">
        <f>"14:32:47.258"</f>
        <v>14:32:47.258</v>
      </c>
      <c r="B2546">
        <v>40.110332999999997</v>
      </c>
      <c r="C2546">
        <v>-75.401293999999993</v>
      </c>
      <c r="D2546">
        <v>4700</v>
      </c>
      <c r="E2546">
        <v>4900</v>
      </c>
      <c r="F2546">
        <v>133</v>
      </c>
      <c r="G2546">
        <v>126</v>
      </c>
      <c r="H2546">
        <v>0</v>
      </c>
      <c r="J2546" s="1">
        <f t="shared" si="195"/>
        <v>17689</v>
      </c>
      <c r="K2546" s="1">
        <f t="shared" si="196"/>
        <v>15876</v>
      </c>
      <c r="L2546" s="1">
        <f t="shared" si="197"/>
        <v>33565</v>
      </c>
      <c r="M2546" s="1">
        <f t="shared" si="198"/>
        <v>183.20753259623362</v>
      </c>
      <c r="N2546" s="7">
        <f t="shared" si="199"/>
        <v>183.20753259623362</v>
      </c>
    </row>
    <row r="2547" spans="1:14" x14ac:dyDescent="0.25">
      <c r="A2547" t="str">
        <f>"14:32:48.320"</f>
        <v>14:32:48.320</v>
      </c>
      <c r="B2547">
        <v>40.110998000000002</v>
      </c>
      <c r="C2547">
        <v>-75.400457000000003</v>
      </c>
      <c r="D2547">
        <v>4700</v>
      </c>
      <c r="E2547">
        <v>4900</v>
      </c>
      <c r="F2547">
        <v>132</v>
      </c>
      <c r="G2547">
        <v>126</v>
      </c>
      <c r="H2547">
        <v>0</v>
      </c>
      <c r="J2547" s="1">
        <f t="shared" si="195"/>
        <v>17424</v>
      </c>
      <c r="K2547" s="1">
        <f t="shared" si="196"/>
        <v>15876</v>
      </c>
      <c r="L2547" s="1">
        <f t="shared" si="197"/>
        <v>33300</v>
      </c>
      <c r="M2547" s="1">
        <f t="shared" si="198"/>
        <v>182.4828759089466</v>
      </c>
      <c r="N2547" s="7">
        <f t="shared" si="199"/>
        <v>182.4828759089466</v>
      </c>
    </row>
    <row r="2548" spans="1:14" x14ac:dyDescent="0.25">
      <c r="A2548" t="str">
        <f>"14:32:49.273"</f>
        <v>14:32:49.273</v>
      </c>
      <c r="B2548">
        <v>40.111513000000002</v>
      </c>
      <c r="C2548">
        <v>-75.399727999999996</v>
      </c>
      <c r="D2548">
        <v>4700</v>
      </c>
      <c r="E2548">
        <v>4900</v>
      </c>
      <c r="F2548">
        <v>132</v>
      </c>
      <c r="G2548">
        <v>126</v>
      </c>
      <c r="H2548">
        <v>0</v>
      </c>
      <c r="J2548" s="1">
        <f t="shared" si="195"/>
        <v>17424</v>
      </c>
      <c r="K2548" s="1">
        <f t="shared" si="196"/>
        <v>15876</v>
      </c>
      <c r="L2548" s="1">
        <f t="shared" si="197"/>
        <v>33300</v>
      </c>
      <c r="M2548" s="1">
        <f t="shared" si="198"/>
        <v>182.4828759089466</v>
      </c>
      <c r="N2548" s="7">
        <f t="shared" si="199"/>
        <v>182.4828759089466</v>
      </c>
    </row>
    <row r="2549" spans="1:14" x14ac:dyDescent="0.25">
      <c r="A2549" t="str">
        <f>"14:32:50.336"</f>
        <v>14:32:50.336</v>
      </c>
      <c r="B2549">
        <v>40.112135000000002</v>
      </c>
      <c r="C2549">
        <v>-75.398870000000002</v>
      </c>
      <c r="D2549">
        <v>4700</v>
      </c>
      <c r="E2549">
        <v>4900</v>
      </c>
      <c r="F2549">
        <v>132</v>
      </c>
      <c r="G2549">
        <v>126</v>
      </c>
      <c r="H2549">
        <v>0</v>
      </c>
      <c r="J2549" s="1">
        <f t="shared" si="195"/>
        <v>17424</v>
      </c>
      <c r="K2549" s="1">
        <f t="shared" si="196"/>
        <v>15876</v>
      </c>
      <c r="L2549" s="1">
        <f t="shared" si="197"/>
        <v>33300</v>
      </c>
      <c r="M2549" s="1">
        <f t="shared" si="198"/>
        <v>182.4828759089466</v>
      </c>
      <c r="N2549" s="7">
        <f t="shared" si="199"/>
        <v>182.4828759089466</v>
      </c>
    </row>
    <row r="2550" spans="1:14" x14ac:dyDescent="0.25">
      <c r="A2550" t="str">
        <f>"14:32:51.297"</f>
        <v>14:32:51.297</v>
      </c>
      <c r="B2550">
        <v>40.112672000000003</v>
      </c>
      <c r="C2550">
        <v>-75.398117999999997</v>
      </c>
      <c r="D2550">
        <v>4700</v>
      </c>
      <c r="E2550">
        <v>4900</v>
      </c>
      <c r="F2550">
        <v>132</v>
      </c>
      <c r="G2550">
        <v>126</v>
      </c>
      <c r="H2550">
        <v>0</v>
      </c>
      <c r="J2550" s="1">
        <f t="shared" si="195"/>
        <v>17424</v>
      </c>
      <c r="K2550" s="1">
        <f t="shared" si="196"/>
        <v>15876</v>
      </c>
      <c r="L2550" s="1">
        <f t="shared" si="197"/>
        <v>33300</v>
      </c>
      <c r="M2550" s="1">
        <f t="shared" si="198"/>
        <v>182.4828759089466</v>
      </c>
      <c r="N2550" s="7">
        <f t="shared" si="199"/>
        <v>182.4828759089466</v>
      </c>
    </row>
    <row r="2551" spans="1:14" x14ac:dyDescent="0.25">
      <c r="A2551" t="str">
        <f>"14:32:52.258"</f>
        <v>14:32:52.258</v>
      </c>
      <c r="B2551">
        <v>40.113273</v>
      </c>
      <c r="C2551">
        <v>-75.397302999999994</v>
      </c>
      <c r="D2551">
        <v>4700</v>
      </c>
      <c r="E2551">
        <v>4900</v>
      </c>
      <c r="F2551">
        <v>132</v>
      </c>
      <c r="G2551">
        <v>127</v>
      </c>
      <c r="H2551">
        <v>0</v>
      </c>
      <c r="J2551" s="1">
        <f t="shared" si="195"/>
        <v>17424</v>
      </c>
      <c r="K2551" s="1">
        <f t="shared" si="196"/>
        <v>16129</v>
      </c>
      <c r="L2551" s="1">
        <f t="shared" si="197"/>
        <v>33553</v>
      </c>
      <c r="M2551" s="1">
        <f t="shared" si="198"/>
        <v>183.17477992343814</v>
      </c>
      <c r="N2551" s="7">
        <f t="shared" si="199"/>
        <v>183.17477992343814</v>
      </c>
    </row>
    <row r="2552" spans="1:14" x14ac:dyDescent="0.25">
      <c r="A2552" t="str">
        <f>"14:32:53.117"</f>
        <v>14:32:53.117</v>
      </c>
      <c r="B2552">
        <v>40.113788</v>
      </c>
      <c r="C2552">
        <v>-75.396615999999995</v>
      </c>
      <c r="D2552">
        <v>4700</v>
      </c>
      <c r="E2552">
        <v>4900</v>
      </c>
      <c r="F2552">
        <v>132</v>
      </c>
      <c r="G2552">
        <v>127</v>
      </c>
      <c r="H2552">
        <v>0</v>
      </c>
      <c r="J2552" s="1">
        <f t="shared" si="195"/>
        <v>17424</v>
      </c>
      <c r="K2552" s="1">
        <f t="shared" si="196"/>
        <v>16129</v>
      </c>
      <c r="L2552" s="1">
        <f t="shared" si="197"/>
        <v>33553</v>
      </c>
      <c r="M2552" s="1">
        <f t="shared" si="198"/>
        <v>183.17477992343814</v>
      </c>
      <c r="N2552" s="7">
        <f t="shared" si="199"/>
        <v>183.17477992343814</v>
      </c>
    </row>
    <row r="2553" spans="1:14" x14ac:dyDescent="0.25">
      <c r="A2553" t="str">
        <f>"14:32:54.125"</f>
        <v>14:32:54.125</v>
      </c>
      <c r="B2553">
        <v>40.114387999999998</v>
      </c>
      <c r="C2553">
        <v>-75.395822999999993</v>
      </c>
      <c r="D2553">
        <v>4700</v>
      </c>
      <c r="E2553">
        <v>4900</v>
      </c>
      <c r="F2553">
        <v>132</v>
      </c>
      <c r="G2553">
        <v>127</v>
      </c>
      <c r="H2553">
        <v>0</v>
      </c>
      <c r="J2553" s="1">
        <f t="shared" si="195"/>
        <v>17424</v>
      </c>
      <c r="K2553" s="1">
        <f t="shared" si="196"/>
        <v>16129</v>
      </c>
      <c r="L2553" s="1">
        <f t="shared" si="197"/>
        <v>33553</v>
      </c>
      <c r="M2553" s="1">
        <f t="shared" si="198"/>
        <v>183.17477992343814</v>
      </c>
      <c r="N2553" s="7">
        <f t="shared" si="199"/>
        <v>183.17477992343814</v>
      </c>
    </row>
    <row r="2554" spans="1:14" x14ac:dyDescent="0.25">
      <c r="A2554" t="str">
        <f>"14:32:55.086"</f>
        <v>14:32:55.086</v>
      </c>
      <c r="B2554">
        <v>40.114967999999998</v>
      </c>
      <c r="C2554">
        <v>-75.395028999999994</v>
      </c>
      <c r="D2554">
        <v>4700</v>
      </c>
      <c r="E2554">
        <v>4900</v>
      </c>
      <c r="F2554">
        <v>132</v>
      </c>
      <c r="G2554">
        <v>127</v>
      </c>
      <c r="H2554">
        <v>0</v>
      </c>
      <c r="J2554" s="1">
        <f t="shared" si="195"/>
        <v>17424</v>
      </c>
      <c r="K2554" s="1">
        <f t="shared" si="196"/>
        <v>16129</v>
      </c>
      <c r="L2554" s="1">
        <f t="shared" si="197"/>
        <v>33553</v>
      </c>
      <c r="M2554" s="1">
        <f t="shared" si="198"/>
        <v>183.17477992343814</v>
      </c>
      <c r="N2554" s="7">
        <f t="shared" si="199"/>
        <v>183.17477992343814</v>
      </c>
    </row>
    <row r="2555" spans="1:14" x14ac:dyDescent="0.25">
      <c r="A2555" t="str">
        <f>"14:32:56.039"</f>
        <v>14:32:56.039</v>
      </c>
      <c r="B2555">
        <v>40.115504000000001</v>
      </c>
      <c r="C2555">
        <v>-75.394299000000004</v>
      </c>
      <c r="D2555">
        <v>4700</v>
      </c>
      <c r="E2555">
        <v>4900</v>
      </c>
      <c r="F2555">
        <v>132</v>
      </c>
      <c r="G2555">
        <v>127</v>
      </c>
      <c r="H2555">
        <v>0</v>
      </c>
      <c r="J2555" s="1">
        <f t="shared" si="195"/>
        <v>17424</v>
      </c>
      <c r="K2555" s="1">
        <f t="shared" si="196"/>
        <v>16129</v>
      </c>
      <c r="L2555" s="1">
        <f t="shared" si="197"/>
        <v>33553</v>
      </c>
      <c r="M2555" s="1">
        <f t="shared" si="198"/>
        <v>183.17477992343814</v>
      </c>
      <c r="N2555" s="7">
        <f t="shared" si="199"/>
        <v>183.17477992343814</v>
      </c>
    </row>
    <row r="2556" spans="1:14" x14ac:dyDescent="0.25">
      <c r="A2556" t="str">
        <f>"14:32:56.898"</f>
        <v>14:32:56.898</v>
      </c>
      <c r="B2556">
        <v>40.116019000000001</v>
      </c>
      <c r="C2556">
        <v>-75.393547999999996</v>
      </c>
      <c r="D2556">
        <v>4700</v>
      </c>
      <c r="E2556">
        <v>4900</v>
      </c>
      <c r="F2556">
        <v>132</v>
      </c>
      <c r="G2556">
        <v>127</v>
      </c>
      <c r="H2556">
        <v>0</v>
      </c>
      <c r="J2556" s="1">
        <f t="shared" si="195"/>
        <v>17424</v>
      </c>
      <c r="K2556" s="1">
        <f t="shared" si="196"/>
        <v>16129</v>
      </c>
      <c r="L2556" s="1">
        <f t="shared" si="197"/>
        <v>33553</v>
      </c>
      <c r="M2556" s="1">
        <f t="shared" si="198"/>
        <v>183.17477992343814</v>
      </c>
      <c r="N2556" s="7">
        <f t="shared" si="199"/>
        <v>183.17477992343814</v>
      </c>
    </row>
    <row r="2557" spans="1:14" x14ac:dyDescent="0.25">
      <c r="A2557" t="str">
        <f>"14:32:57.711"</f>
        <v>14:32:57.711</v>
      </c>
      <c r="B2557">
        <v>40.116491000000003</v>
      </c>
      <c r="C2557">
        <v>-75.392947000000007</v>
      </c>
      <c r="D2557">
        <v>4700</v>
      </c>
      <c r="E2557">
        <v>4900</v>
      </c>
      <c r="F2557">
        <v>132</v>
      </c>
      <c r="G2557">
        <v>127</v>
      </c>
      <c r="H2557">
        <v>-64</v>
      </c>
      <c r="J2557" s="1">
        <f t="shared" si="195"/>
        <v>17424</v>
      </c>
      <c r="K2557" s="1">
        <f t="shared" si="196"/>
        <v>16129</v>
      </c>
      <c r="L2557" s="1">
        <f t="shared" si="197"/>
        <v>33553</v>
      </c>
      <c r="M2557" s="1">
        <f t="shared" si="198"/>
        <v>183.17477992343814</v>
      </c>
      <c r="N2557" s="7">
        <f t="shared" si="199"/>
        <v>183.17477992343814</v>
      </c>
    </row>
    <row r="2558" spans="1:14" x14ac:dyDescent="0.25">
      <c r="A2558" t="str">
        <f>"14:32:58.773"</f>
        <v>14:32:58.773</v>
      </c>
      <c r="B2558">
        <v>40.117134999999998</v>
      </c>
      <c r="C2558">
        <v>-75.392045999999993</v>
      </c>
      <c r="D2558">
        <v>4700</v>
      </c>
      <c r="E2558">
        <v>4900</v>
      </c>
      <c r="F2558">
        <v>132</v>
      </c>
      <c r="G2558">
        <v>127</v>
      </c>
      <c r="H2558">
        <v>-64</v>
      </c>
      <c r="J2558" s="1">
        <f t="shared" si="195"/>
        <v>17424</v>
      </c>
      <c r="K2558" s="1">
        <f t="shared" si="196"/>
        <v>16129</v>
      </c>
      <c r="L2558" s="1">
        <f t="shared" si="197"/>
        <v>33553</v>
      </c>
      <c r="M2558" s="1">
        <f t="shared" si="198"/>
        <v>183.17477992343814</v>
      </c>
      <c r="N2558" s="7">
        <f t="shared" si="199"/>
        <v>183.17477992343814</v>
      </c>
    </row>
    <row r="2559" spans="1:14" x14ac:dyDescent="0.25">
      <c r="A2559" t="str">
        <f>"14:32:59.781"</f>
        <v>14:32:59.781</v>
      </c>
      <c r="B2559">
        <v>40.117736000000001</v>
      </c>
      <c r="C2559">
        <v>-75.391251999999994</v>
      </c>
      <c r="D2559">
        <v>4700</v>
      </c>
      <c r="E2559">
        <v>4900</v>
      </c>
      <c r="F2559">
        <v>132</v>
      </c>
      <c r="G2559">
        <v>127</v>
      </c>
      <c r="H2559">
        <v>-128</v>
      </c>
      <c r="J2559" s="1">
        <f t="shared" si="195"/>
        <v>17424</v>
      </c>
      <c r="K2559" s="1">
        <f t="shared" si="196"/>
        <v>16129</v>
      </c>
      <c r="L2559" s="1">
        <f t="shared" si="197"/>
        <v>33553</v>
      </c>
      <c r="M2559" s="1">
        <f t="shared" si="198"/>
        <v>183.17477992343814</v>
      </c>
      <c r="N2559" s="7">
        <f t="shared" si="199"/>
        <v>183.17477992343814</v>
      </c>
    </row>
    <row r="2560" spans="1:14" x14ac:dyDescent="0.25">
      <c r="A2560" t="str">
        <f>"14:33:00.688"</f>
        <v>14:33:00.688</v>
      </c>
      <c r="B2560">
        <v>40.118271999999997</v>
      </c>
      <c r="C2560">
        <v>-75.390564999999995</v>
      </c>
      <c r="D2560">
        <v>4700</v>
      </c>
      <c r="E2560">
        <v>4900</v>
      </c>
      <c r="F2560">
        <v>132</v>
      </c>
      <c r="G2560">
        <v>127</v>
      </c>
      <c r="H2560">
        <v>-192</v>
      </c>
      <c r="J2560" s="1">
        <f t="shared" si="195"/>
        <v>17424</v>
      </c>
      <c r="K2560" s="1">
        <f t="shared" si="196"/>
        <v>16129</v>
      </c>
      <c r="L2560" s="1">
        <f t="shared" si="197"/>
        <v>33553</v>
      </c>
      <c r="M2560" s="1">
        <f t="shared" si="198"/>
        <v>183.17477992343814</v>
      </c>
      <c r="N2560" s="7">
        <f t="shared" si="199"/>
        <v>183.17477992343814</v>
      </c>
    </row>
    <row r="2561" spans="1:14" x14ac:dyDescent="0.25">
      <c r="A2561" t="str">
        <f>"14:33:01.648"</f>
        <v>14:33:01.648</v>
      </c>
      <c r="B2561">
        <v>40.118766000000001</v>
      </c>
      <c r="C2561">
        <v>-75.389814000000001</v>
      </c>
      <c r="D2561">
        <v>4700</v>
      </c>
      <c r="E2561">
        <v>4875</v>
      </c>
      <c r="F2561">
        <v>133</v>
      </c>
      <c r="G2561">
        <v>127</v>
      </c>
      <c r="H2561">
        <v>-192</v>
      </c>
      <c r="J2561" s="1">
        <f t="shared" si="195"/>
        <v>17689</v>
      </c>
      <c r="K2561" s="1">
        <f t="shared" si="196"/>
        <v>16129</v>
      </c>
      <c r="L2561" s="1">
        <f t="shared" si="197"/>
        <v>33818</v>
      </c>
      <c r="M2561" s="1">
        <f t="shared" si="198"/>
        <v>183.89671013914307</v>
      </c>
      <c r="N2561" s="7">
        <f t="shared" si="199"/>
        <v>183.89671013914307</v>
      </c>
    </row>
    <row r="2562" spans="1:14" x14ac:dyDescent="0.25">
      <c r="A2562" t="str">
        <f>"14:33:02.656"</f>
        <v>14:33:02.656</v>
      </c>
      <c r="B2562">
        <v>40.119366999999997</v>
      </c>
      <c r="C2562">
        <v>-75.388998999999998</v>
      </c>
      <c r="D2562">
        <v>4700</v>
      </c>
      <c r="E2562">
        <v>4875</v>
      </c>
      <c r="F2562">
        <v>133</v>
      </c>
      <c r="G2562">
        <v>127</v>
      </c>
      <c r="H2562">
        <v>-256</v>
      </c>
      <c r="J2562" s="1">
        <f t="shared" si="195"/>
        <v>17689</v>
      </c>
      <c r="K2562" s="1">
        <f t="shared" si="196"/>
        <v>16129</v>
      </c>
      <c r="L2562" s="1">
        <f t="shared" si="197"/>
        <v>33818</v>
      </c>
      <c r="M2562" s="1">
        <f t="shared" si="198"/>
        <v>183.89671013914307</v>
      </c>
      <c r="N2562" s="7">
        <f t="shared" si="199"/>
        <v>183.89671013914307</v>
      </c>
    </row>
    <row r="2563" spans="1:14" x14ac:dyDescent="0.25">
      <c r="A2563" t="str">
        <f>"14:33:03.570"</f>
        <v>14:33:03.570</v>
      </c>
      <c r="B2563">
        <v>40.119925000000002</v>
      </c>
      <c r="C2563">
        <v>-75.388311999999999</v>
      </c>
      <c r="D2563">
        <v>4700</v>
      </c>
      <c r="E2563">
        <v>4875</v>
      </c>
      <c r="F2563">
        <v>133</v>
      </c>
      <c r="G2563">
        <v>127</v>
      </c>
      <c r="H2563">
        <v>-320</v>
      </c>
      <c r="J2563" s="1">
        <f t="shared" ref="J2563:J2626" si="200">F2563^2</f>
        <v>17689</v>
      </c>
      <c r="K2563" s="1">
        <f t="shared" ref="K2563:K2626" si="201">G2563^2</f>
        <v>16129</v>
      </c>
      <c r="L2563" s="1">
        <f t="shared" ref="L2563:L2626" si="202">SUMSQ(F2563,G2563)</f>
        <v>33818</v>
      </c>
      <c r="M2563" s="1">
        <f t="shared" ref="M2563:M2626" si="203">SQRT(L2563)</f>
        <v>183.89671013914307</v>
      </c>
      <c r="N2563" s="7">
        <f t="shared" ref="N2563:N2626" si="204">M2563</f>
        <v>183.89671013914307</v>
      </c>
    </row>
    <row r="2564" spans="1:14" x14ac:dyDescent="0.25">
      <c r="A2564" t="str">
        <f>"14:33:04.430"</f>
        <v>14:33:04.430</v>
      </c>
      <c r="B2564">
        <v>40.120440000000002</v>
      </c>
      <c r="C2564">
        <v>-75.387561000000005</v>
      </c>
      <c r="D2564">
        <v>4700</v>
      </c>
      <c r="E2564">
        <v>4875</v>
      </c>
      <c r="F2564">
        <v>133</v>
      </c>
      <c r="G2564">
        <v>128</v>
      </c>
      <c r="H2564">
        <v>-384</v>
      </c>
      <c r="J2564" s="1">
        <f t="shared" si="200"/>
        <v>17689</v>
      </c>
      <c r="K2564" s="1">
        <f t="shared" si="201"/>
        <v>16384</v>
      </c>
      <c r="L2564" s="1">
        <f t="shared" si="202"/>
        <v>34073</v>
      </c>
      <c r="M2564" s="1">
        <f t="shared" si="203"/>
        <v>184.58873205046942</v>
      </c>
      <c r="N2564" s="7">
        <f t="shared" si="204"/>
        <v>184.58873205046942</v>
      </c>
    </row>
    <row r="2565" spans="1:14" x14ac:dyDescent="0.25">
      <c r="A2565" t="str">
        <f>"14:33:05.438"</f>
        <v>14:33:05.438</v>
      </c>
      <c r="B2565">
        <v>40.121040000000001</v>
      </c>
      <c r="C2565">
        <v>-75.386746000000002</v>
      </c>
      <c r="D2565">
        <v>4700</v>
      </c>
      <c r="E2565">
        <v>4875</v>
      </c>
      <c r="F2565">
        <v>134</v>
      </c>
      <c r="G2565">
        <v>128</v>
      </c>
      <c r="H2565">
        <v>-384</v>
      </c>
      <c r="J2565" s="1">
        <f t="shared" si="200"/>
        <v>17956</v>
      </c>
      <c r="K2565" s="1">
        <f t="shared" si="201"/>
        <v>16384</v>
      </c>
      <c r="L2565" s="1">
        <f t="shared" si="202"/>
        <v>34340</v>
      </c>
      <c r="M2565" s="1">
        <f t="shared" si="203"/>
        <v>185.31055015837603</v>
      </c>
      <c r="N2565" s="7">
        <f t="shared" si="204"/>
        <v>185.31055015837603</v>
      </c>
    </row>
    <row r="2566" spans="1:14" x14ac:dyDescent="0.25">
      <c r="A2566" t="str">
        <f>"14:33:06.547"</f>
        <v>14:33:06.547</v>
      </c>
      <c r="B2566">
        <v>40.121662999999998</v>
      </c>
      <c r="C2566">
        <v>-75.385865999999993</v>
      </c>
      <c r="D2566">
        <v>4700</v>
      </c>
      <c r="E2566">
        <v>4850</v>
      </c>
      <c r="F2566">
        <v>134</v>
      </c>
      <c r="G2566">
        <v>128</v>
      </c>
      <c r="H2566">
        <v>-384</v>
      </c>
      <c r="J2566" s="1">
        <f t="shared" si="200"/>
        <v>17956</v>
      </c>
      <c r="K2566" s="1">
        <f t="shared" si="201"/>
        <v>16384</v>
      </c>
      <c r="L2566" s="1">
        <f t="shared" si="202"/>
        <v>34340</v>
      </c>
      <c r="M2566" s="1">
        <f t="shared" si="203"/>
        <v>185.31055015837603</v>
      </c>
      <c r="N2566" s="7">
        <f t="shared" si="204"/>
        <v>185.31055015837603</v>
      </c>
    </row>
    <row r="2567" spans="1:14" x14ac:dyDescent="0.25">
      <c r="A2567" t="str">
        <f>"14:33:07.555"</f>
        <v>14:33:07.555</v>
      </c>
      <c r="B2567">
        <v>40.122262999999997</v>
      </c>
      <c r="C2567">
        <v>-75.385071999999994</v>
      </c>
      <c r="D2567">
        <v>4700</v>
      </c>
      <c r="E2567">
        <v>4850</v>
      </c>
      <c r="F2567">
        <v>135</v>
      </c>
      <c r="G2567">
        <v>128</v>
      </c>
      <c r="H2567">
        <v>-448</v>
      </c>
      <c r="J2567" s="1">
        <f t="shared" si="200"/>
        <v>18225</v>
      </c>
      <c r="K2567" s="1">
        <f t="shared" si="201"/>
        <v>16384</v>
      </c>
      <c r="L2567" s="1">
        <f t="shared" si="202"/>
        <v>34609</v>
      </c>
      <c r="M2567" s="1">
        <f t="shared" si="203"/>
        <v>186.03494295427404</v>
      </c>
      <c r="N2567" s="7">
        <f t="shared" si="204"/>
        <v>186.03494295427404</v>
      </c>
    </row>
    <row r="2568" spans="1:14" x14ac:dyDescent="0.25">
      <c r="A2568" t="str">
        <f>"14:33:08.617"</f>
        <v>14:33:08.617</v>
      </c>
      <c r="B2568">
        <v>40.122843000000003</v>
      </c>
      <c r="C2568">
        <v>-75.384214</v>
      </c>
      <c r="D2568">
        <v>4600</v>
      </c>
      <c r="E2568">
        <v>4950</v>
      </c>
      <c r="F2568">
        <v>135</v>
      </c>
      <c r="G2568">
        <v>128</v>
      </c>
      <c r="H2568">
        <v>-512</v>
      </c>
      <c r="J2568" s="1">
        <f t="shared" si="200"/>
        <v>18225</v>
      </c>
      <c r="K2568" s="1">
        <f t="shared" si="201"/>
        <v>16384</v>
      </c>
      <c r="L2568" s="1">
        <f t="shared" si="202"/>
        <v>34609</v>
      </c>
      <c r="M2568" s="1">
        <f t="shared" si="203"/>
        <v>186.03494295427404</v>
      </c>
      <c r="N2568" s="7">
        <f t="shared" si="204"/>
        <v>186.03494295427404</v>
      </c>
    </row>
    <row r="2569" spans="1:14" x14ac:dyDescent="0.25">
      <c r="A2569" t="str">
        <f>"14:33:09.625"</f>
        <v>14:33:09.625</v>
      </c>
      <c r="B2569">
        <v>40.123508000000001</v>
      </c>
      <c r="C2569">
        <v>-75.383313000000001</v>
      </c>
      <c r="D2569">
        <v>4600</v>
      </c>
      <c r="E2569">
        <v>4825</v>
      </c>
      <c r="F2569">
        <v>136</v>
      </c>
      <c r="G2569">
        <v>128</v>
      </c>
      <c r="H2569">
        <v>-576</v>
      </c>
      <c r="J2569" s="1">
        <f t="shared" si="200"/>
        <v>18496</v>
      </c>
      <c r="K2569" s="1">
        <f t="shared" si="201"/>
        <v>16384</v>
      </c>
      <c r="L2569" s="1">
        <f t="shared" si="202"/>
        <v>34880</v>
      </c>
      <c r="M2569" s="1">
        <f t="shared" si="203"/>
        <v>186.76188047886004</v>
      </c>
      <c r="N2569" s="7">
        <f t="shared" si="204"/>
        <v>186.76188047886004</v>
      </c>
    </row>
    <row r="2570" spans="1:14" x14ac:dyDescent="0.25">
      <c r="A2570" t="str">
        <f>"14:33:10.531"</f>
        <v>14:33:10.531</v>
      </c>
      <c r="B2570">
        <v>40.124043999999998</v>
      </c>
      <c r="C2570">
        <v>-75.382561999999993</v>
      </c>
      <c r="D2570">
        <v>4600</v>
      </c>
      <c r="E2570">
        <v>4825</v>
      </c>
      <c r="F2570">
        <v>136</v>
      </c>
      <c r="G2570">
        <v>128</v>
      </c>
      <c r="H2570">
        <v>-640</v>
      </c>
      <c r="J2570" s="1">
        <f t="shared" si="200"/>
        <v>18496</v>
      </c>
      <c r="K2570" s="1">
        <f t="shared" si="201"/>
        <v>16384</v>
      </c>
      <c r="L2570" s="1">
        <f t="shared" si="202"/>
        <v>34880</v>
      </c>
      <c r="M2570" s="1">
        <f t="shared" si="203"/>
        <v>186.76188047886004</v>
      </c>
      <c r="N2570" s="7">
        <f t="shared" si="204"/>
        <v>186.76188047886004</v>
      </c>
    </row>
    <row r="2571" spans="1:14" x14ac:dyDescent="0.25">
      <c r="A2571" t="str">
        <f>"14:33:11.594"</f>
        <v>14:33:11.594</v>
      </c>
      <c r="B2571">
        <v>40.124623999999997</v>
      </c>
      <c r="C2571">
        <v>-75.381767999999994</v>
      </c>
      <c r="D2571">
        <v>4600</v>
      </c>
      <c r="E2571">
        <v>4800</v>
      </c>
      <c r="F2571">
        <v>137</v>
      </c>
      <c r="G2571">
        <v>129</v>
      </c>
      <c r="H2571">
        <v>-640</v>
      </c>
      <c r="J2571" s="1">
        <f t="shared" si="200"/>
        <v>18769</v>
      </c>
      <c r="K2571" s="1">
        <f t="shared" si="201"/>
        <v>16641</v>
      </c>
      <c r="L2571" s="1">
        <f t="shared" si="202"/>
        <v>35410</v>
      </c>
      <c r="M2571" s="1">
        <f t="shared" si="203"/>
        <v>188.1754500459611</v>
      </c>
      <c r="N2571" s="7">
        <f t="shared" si="204"/>
        <v>188.1754500459611</v>
      </c>
    </row>
    <row r="2572" spans="1:14" x14ac:dyDescent="0.25">
      <c r="A2572" t="str">
        <f>"14:33:12.555"</f>
        <v>14:33:12.555</v>
      </c>
      <c r="B2572">
        <v>40.125225</v>
      </c>
      <c r="C2572">
        <v>-75.380931000000004</v>
      </c>
      <c r="D2572">
        <v>4600</v>
      </c>
      <c r="E2572">
        <v>4800</v>
      </c>
      <c r="F2572">
        <v>138</v>
      </c>
      <c r="G2572">
        <v>129</v>
      </c>
      <c r="H2572">
        <v>-640</v>
      </c>
      <c r="J2572" s="1">
        <f t="shared" si="200"/>
        <v>19044</v>
      </c>
      <c r="K2572" s="1">
        <f t="shared" si="201"/>
        <v>16641</v>
      </c>
      <c r="L2572" s="1">
        <f t="shared" si="202"/>
        <v>35685</v>
      </c>
      <c r="M2572" s="1">
        <f t="shared" si="203"/>
        <v>188.90473789717399</v>
      </c>
      <c r="N2572" s="7">
        <f t="shared" si="204"/>
        <v>188.90473789717399</v>
      </c>
    </row>
    <row r="2573" spans="1:14" x14ac:dyDescent="0.25">
      <c r="A2573" t="str">
        <f>"14:33:13.664"</f>
        <v>14:33:13.664</v>
      </c>
      <c r="B2573">
        <v>40.125889999999998</v>
      </c>
      <c r="C2573">
        <v>-75.380008000000004</v>
      </c>
      <c r="D2573">
        <v>4600</v>
      </c>
      <c r="E2573">
        <v>4800</v>
      </c>
      <c r="F2573">
        <v>138</v>
      </c>
      <c r="G2573">
        <v>129</v>
      </c>
      <c r="H2573">
        <v>-640</v>
      </c>
      <c r="J2573" s="1">
        <f t="shared" si="200"/>
        <v>19044</v>
      </c>
      <c r="K2573" s="1">
        <f t="shared" si="201"/>
        <v>16641</v>
      </c>
      <c r="L2573" s="1">
        <f t="shared" si="202"/>
        <v>35685</v>
      </c>
      <c r="M2573" s="1">
        <f t="shared" si="203"/>
        <v>188.90473789717399</v>
      </c>
      <c r="N2573" s="7">
        <f t="shared" si="204"/>
        <v>188.90473789717399</v>
      </c>
    </row>
    <row r="2574" spans="1:14" x14ac:dyDescent="0.25">
      <c r="A2574" t="str">
        <f>"14:33:14.570"</f>
        <v>14:33:14.570</v>
      </c>
      <c r="B2574">
        <v>40.126426000000002</v>
      </c>
      <c r="C2574">
        <v>-75.379278999999997</v>
      </c>
      <c r="D2574">
        <v>4600</v>
      </c>
      <c r="E2574">
        <v>4775</v>
      </c>
      <c r="F2574">
        <v>139</v>
      </c>
      <c r="G2574">
        <v>129</v>
      </c>
      <c r="H2574">
        <v>-640</v>
      </c>
      <c r="J2574" s="1">
        <f t="shared" si="200"/>
        <v>19321</v>
      </c>
      <c r="K2574" s="1">
        <f t="shared" si="201"/>
        <v>16641</v>
      </c>
      <c r="L2574" s="1">
        <f t="shared" si="202"/>
        <v>35962</v>
      </c>
      <c r="M2574" s="1">
        <f t="shared" si="203"/>
        <v>189.63649437806004</v>
      </c>
      <c r="N2574" s="7">
        <f t="shared" si="204"/>
        <v>189.63649437806004</v>
      </c>
    </row>
    <row r="2575" spans="1:14" x14ac:dyDescent="0.25">
      <c r="A2575" t="str">
        <f>"14:33:15.633"</f>
        <v>14:33:15.633</v>
      </c>
      <c r="B2575">
        <v>40.127091</v>
      </c>
      <c r="C2575">
        <v>-75.378313000000006</v>
      </c>
      <c r="D2575">
        <v>4500</v>
      </c>
      <c r="E2575">
        <v>4775</v>
      </c>
      <c r="F2575">
        <v>139</v>
      </c>
      <c r="G2575">
        <v>129</v>
      </c>
      <c r="H2575">
        <v>-640</v>
      </c>
      <c r="J2575" s="1">
        <f t="shared" si="200"/>
        <v>19321</v>
      </c>
      <c r="K2575" s="1">
        <f t="shared" si="201"/>
        <v>16641</v>
      </c>
      <c r="L2575" s="1">
        <f t="shared" si="202"/>
        <v>35962</v>
      </c>
      <c r="M2575" s="1">
        <f t="shared" si="203"/>
        <v>189.63649437806004</v>
      </c>
      <c r="N2575" s="7">
        <f t="shared" si="204"/>
        <v>189.63649437806004</v>
      </c>
    </row>
    <row r="2576" spans="1:14" x14ac:dyDescent="0.25">
      <c r="A2576" t="str">
        <f>"14:33:16.648"</f>
        <v>14:33:16.648</v>
      </c>
      <c r="B2576">
        <v>40.127713999999997</v>
      </c>
      <c r="C2576">
        <v>-75.377519000000007</v>
      </c>
      <c r="D2576">
        <v>4500</v>
      </c>
      <c r="E2576">
        <v>4750</v>
      </c>
      <c r="F2576">
        <v>140</v>
      </c>
      <c r="G2576">
        <v>130</v>
      </c>
      <c r="H2576">
        <v>-576</v>
      </c>
      <c r="J2576" s="1">
        <f t="shared" si="200"/>
        <v>19600</v>
      </c>
      <c r="K2576" s="1">
        <f t="shared" si="201"/>
        <v>16900</v>
      </c>
      <c r="L2576" s="1">
        <f t="shared" si="202"/>
        <v>36500</v>
      </c>
      <c r="M2576" s="1">
        <f t="shared" si="203"/>
        <v>191.04973174542801</v>
      </c>
      <c r="N2576" s="7">
        <f t="shared" si="204"/>
        <v>191.04973174542801</v>
      </c>
    </row>
    <row r="2577" spans="1:14" x14ac:dyDescent="0.25">
      <c r="A2577" t="str">
        <f>"14:33:17.859"</f>
        <v>14:33:17.859</v>
      </c>
      <c r="B2577">
        <v>40.128399999999999</v>
      </c>
      <c r="C2577">
        <v>-75.376510999999994</v>
      </c>
      <c r="D2577">
        <v>4500</v>
      </c>
      <c r="E2577">
        <v>4750</v>
      </c>
      <c r="F2577">
        <v>140</v>
      </c>
      <c r="G2577">
        <v>130</v>
      </c>
      <c r="H2577">
        <v>-640</v>
      </c>
      <c r="J2577" s="1">
        <f t="shared" si="200"/>
        <v>19600</v>
      </c>
      <c r="K2577" s="1">
        <f t="shared" si="201"/>
        <v>16900</v>
      </c>
      <c r="L2577" s="1">
        <f t="shared" si="202"/>
        <v>36500</v>
      </c>
      <c r="M2577" s="1">
        <f t="shared" si="203"/>
        <v>191.04973174542801</v>
      </c>
      <c r="N2577" s="7">
        <f t="shared" si="204"/>
        <v>191.04973174542801</v>
      </c>
    </row>
    <row r="2578" spans="1:14" x14ac:dyDescent="0.25">
      <c r="A2578" t="str">
        <f>"14:33:18.867"</f>
        <v>14:33:18.867</v>
      </c>
      <c r="B2578">
        <v>40.129001000000002</v>
      </c>
      <c r="C2578">
        <v>-75.375630999999998</v>
      </c>
      <c r="D2578">
        <v>4500</v>
      </c>
      <c r="E2578">
        <v>4725</v>
      </c>
      <c r="F2578">
        <v>141</v>
      </c>
      <c r="G2578">
        <v>130</v>
      </c>
      <c r="H2578">
        <v>-704</v>
      </c>
      <c r="J2578" s="1">
        <f t="shared" si="200"/>
        <v>19881</v>
      </c>
      <c r="K2578" s="1">
        <f t="shared" si="201"/>
        <v>16900</v>
      </c>
      <c r="L2578" s="1">
        <f t="shared" si="202"/>
        <v>36781</v>
      </c>
      <c r="M2578" s="1">
        <f t="shared" si="203"/>
        <v>191.78373236539119</v>
      </c>
      <c r="N2578" s="7">
        <f t="shared" si="204"/>
        <v>191.78373236539119</v>
      </c>
    </row>
    <row r="2579" spans="1:14" x14ac:dyDescent="0.25">
      <c r="A2579" t="str">
        <f>"14:33:20.023"</f>
        <v>14:33:20.023</v>
      </c>
      <c r="B2579">
        <v>40.129752000000003</v>
      </c>
      <c r="C2579">
        <v>-75.374644000000004</v>
      </c>
      <c r="D2579">
        <v>4500</v>
      </c>
      <c r="E2579">
        <v>4725</v>
      </c>
      <c r="F2579">
        <v>141</v>
      </c>
      <c r="G2579">
        <v>130</v>
      </c>
      <c r="H2579">
        <v>-768</v>
      </c>
      <c r="J2579" s="1">
        <f t="shared" si="200"/>
        <v>19881</v>
      </c>
      <c r="K2579" s="1">
        <f t="shared" si="201"/>
        <v>16900</v>
      </c>
      <c r="L2579" s="1">
        <f t="shared" si="202"/>
        <v>36781</v>
      </c>
      <c r="M2579" s="1">
        <f t="shared" si="203"/>
        <v>191.78373236539119</v>
      </c>
      <c r="N2579" s="7">
        <f t="shared" si="204"/>
        <v>191.78373236539119</v>
      </c>
    </row>
    <row r="2580" spans="1:14" x14ac:dyDescent="0.25">
      <c r="A2580" t="str">
        <f>"14:33:21.141"</f>
        <v>14:33:21.141</v>
      </c>
      <c r="B2580">
        <v>40.130395999999998</v>
      </c>
      <c r="C2580">
        <v>-75.373656999999994</v>
      </c>
      <c r="D2580">
        <v>4500</v>
      </c>
      <c r="E2580">
        <v>4700</v>
      </c>
      <c r="F2580">
        <v>142</v>
      </c>
      <c r="G2580">
        <v>131</v>
      </c>
      <c r="H2580">
        <v>-768</v>
      </c>
      <c r="J2580" s="1">
        <f t="shared" si="200"/>
        <v>20164</v>
      </c>
      <c r="K2580" s="1">
        <f t="shared" si="201"/>
        <v>17161</v>
      </c>
      <c r="L2580" s="1">
        <f t="shared" si="202"/>
        <v>37325</v>
      </c>
      <c r="M2580" s="1">
        <f t="shared" si="203"/>
        <v>193.19679086361657</v>
      </c>
      <c r="N2580" s="7">
        <f t="shared" si="204"/>
        <v>193.19679086361657</v>
      </c>
    </row>
    <row r="2581" spans="1:14" x14ac:dyDescent="0.25">
      <c r="A2581" t="str">
        <f>"14:33:22.000"</f>
        <v>14:33:22.000</v>
      </c>
      <c r="B2581">
        <v>40.130954000000003</v>
      </c>
      <c r="C2581">
        <v>-75.372883999999999</v>
      </c>
      <c r="D2581">
        <v>4500</v>
      </c>
      <c r="E2581">
        <v>4700</v>
      </c>
      <c r="F2581">
        <v>142</v>
      </c>
      <c r="G2581">
        <v>131</v>
      </c>
      <c r="H2581">
        <v>-768</v>
      </c>
      <c r="J2581" s="1">
        <f t="shared" si="200"/>
        <v>20164</v>
      </c>
      <c r="K2581" s="1">
        <f t="shared" si="201"/>
        <v>17161</v>
      </c>
      <c r="L2581" s="1">
        <f t="shared" si="202"/>
        <v>37325</v>
      </c>
      <c r="M2581" s="1">
        <f t="shared" si="203"/>
        <v>193.19679086361657</v>
      </c>
      <c r="N2581" s="7">
        <f t="shared" si="204"/>
        <v>193.19679086361657</v>
      </c>
    </row>
    <row r="2582" spans="1:14" x14ac:dyDescent="0.25">
      <c r="A2582" t="str">
        <f>"14:33:23.008"</f>
        <v>14:33:23.008</v>
      </c>
      <c r="B2582">
        <v>40.131576000000003</v>
      </c>
      <c r="C2582">
        <v>-75.372026000000005</v>
      </c>
      <c r="D2582">
        <v>4500</v>
      </c>
      <c r="E2582">
        <v>4675</v>
      </c>
      <c r="F2582">
        <v>143</v>
      </c>
      <c r="G2582">
        <v>131</v>
      </c>
      <c r="H2582">
        <v>-832</v>
      </c>
      <c r="J2582" s="1">
        <f t="shared" si="200"/>
        <v>20449</v>
      </c>
      <c r="K2582" s="1">
        <f t="shared" si="201"/>
        <v>17161</v>
      </c>
      <c r="L2582" s="1">
        <f t="shared" si="202"/>
        <v>37610</v>
      </c>
      <c r="M2582" s="1">
        <f t="shared" si="203"/>
        <v>193.93297811357408</v>
      </c>
      <c r="N2582" s="7">
        <f t="shared" si="204"/>
        <v>193.93297811357408</v>
      </c>
    </row>
    <row r="2583" spans="1:14" x14ac:dyDescent="0.25">
      <c r="A2583" t="str">
        <f>"14:33:23.867"</f>
        <v>14:33:23.867</v>
      </c>
      <c r="B2583">
        <v>40.132027000000001</v>
      </c>
      <c r="C2583">
        <v>-75.371339000000006</v>
      </c>
      <c r="D2583">
        <v>4500</v>
      </c>
      <c r="E2583">
        <v>4675</v>
      </c>
      <c r="F2583">
        <v>143</v>
      </c>
      <c r="G2583">
        <v>131</v>
      </c>
      <c r="H2583">
        <v>-832</v>
      </c>
      <c r="J2583" s="1">
        <f t="shared" si="200"/>
        <v>20449</v>
      </c>
      <c r="K2583" s="1">
        <f t="shared" si="201"/>
        <v>17161</v>
      </c>
      <c r="L2583" s="1">
        <f t="shared" si="202"/>
        <v>37610</v>
      </c>
      <c r="M2583" s="1">
        <f t="shared" si="203"/>
        <v>193.93297811357408</v>
      </c>
      <c r="N2583" s="7">
        <f t="shared" si="204"/>
        <v>193.93297811357408</v>
      </c>
    </row>
    <row r="2584" spans="1:14" x14ac:dyDescent="0.25">
      <c r="A2584" t="str">
        <f>"14:33:24.875"</f>
        <v>14:33:24.875</v>
      </c>
      <c r="B2584">
        <v>40.132734999999997</v>
      </c>
      <c r="C2584">
        <v>-75.370351999999997</v>
      </c>
      <c r="D2584">
        <v>4500</v>
      </c>
      <c r="E2584">
        <v>4650</v>
      </c>
      <c r="F2584">
        <v>144</v>
      </c>
      <c r="G2584">
        <v>131</v>
      </c>
      <c r="H2584">
        <v>-832</v>
      </c>
      <c r="J2584" s="1">
        <f t="shared" si="200"/>
        <v>20736</v>
      </c>
      <c r="K2584" s="1">
        <f t="shared" si="201"/>
        <v>17161</v>
      </c>
      <c r="L2584" s="1">
        <f t="shared" si="202"/>
        <v>37897</v>
      </c>
      <c r="M2584" s="1">
        <f t="shared" si="203"/>
        <v>194.67151820438448</v>
      </c>
      <c r="N2584" s="7">
        <f t="shared" si="204"/>
        <v>194.67151820438448</v>
      </c>
    </row>
    <row r="2585" spans="1:14" x14ac:dyDescent="0.25">
      <c r="A2585" t="str">
        <f>"14:33:25.883"</f>
        <v>14:33:25.883</v>
      </c>
      <c r="B2585">
        <v>40.133293000000002</v>
      </c>
      <c r="C2585">
        <v>-75.369579999999999</v>
      </c>
      <c r="D2585">
        <v>4400</v>
      </c>
      <c r="E2585">
        <v>4650</v>
      </c>
      <c r="F2585">
        <v>145</v>
      </c>
      <c r="G2585">
        <v>132</v>
      </c>
      <c r="H2585">
        <v>-832</v>
      </c>
      <c r="J2585" s="1">
        <f t="shared" si="200"/>
        <v>21025</v>
      </c>
      <c r="K2585" s="1">
        <f t="shared" si="201"/>
        <v>17424</v>
      </c>
      <c r="L2585" s="1">
        <f t="shared" si="202"/>
        <v>38449</v>
      </c>
      <c r="M2585" s="1">
        <f t="shared" si="203"/>
        <v>196.08416560242696</v>
      </c>
      <c r="N2585" s="7">
        <f t="shared" si="204"/>
        <v>196.08416560242696</v>
      </c>
    </row>
    <row r="2586" spans="1:14" x14ac:dyDescent="0.25">
      <c r="A2586" t="str">
        <f>"14:33:26.945"</f>
        <v>14:33:26.945</v>
      </c>
      <c r="B2586">
        <v>40.133935999999999</v>
      </c>
      <c r="C2586">
        <v>-75.368656999999999</v>
      </c>
      <c r="D2586">
        <v>4400</v>
      </c>
      <c r="E2586">
        <v>4625</v>
      </c>
      <c r="F2586">
        <v>145</v>
      </c>
      <c r="G2586">
        <v>132</v>
      </c>
      <c r="H2586">
        <v>-768</v>
      </c>
      <c r="J2586" s="1">
        <f t="shared" si="200"/>
        <v>21025</v>
      </c>
      <c r="K2586" s="1">
        <f t="shared" si="201"/>
        <v>17424</v>
      </c>
      <c r="L2586" s="1">
        <f t="shared" si="202"/>
        <v>38449</v>
      </c>
      <c r="M2586" s="1">
        <f t="shared" si="203"/>
        <v>196.08416560242696</v>
      </c>
      <c r="N2586" s="7">
        <f t="shared" si="204"/>
        <v>196.08416560242696</v>
      </c>
    </row>
    <row r="2587" spans="1:14" x14ac:dyDescent="0.25">
      <c r="A2587" t="str">
        <f>"14:33:27.953"</f>
        <v>14:33:27.953</v>
      </c>
      <c r="B2587">
        <v>40.134559000000003</v>
      </c>
      <c r="C2587">
        <v>-75.367733999999999</v>
      </c>
      <c r="D2587">
        <v>4400</v>
      </c>
      <c r="E2587">
        <v>4625</v>
      </c>
      <c r="F2587">
        <v>146</v>
      </c>
      <c r="G2587">
        <v>132</v>
      </c>
      <c r="H2587">
        <v>-768</v>
      </c>
      <c r="J2587" s="1">
        <f t="shared" si="200"/>
        <v>21316</v>
      </c>
      <c r="K2587" s="1">
        <f t="shared" si="201"/>
        <v>17424</v>
      </c>
      <c r="L2587" s="1">
        <f t="shared" si="202"/>
        <v>38740</v>
      </c>
      <c r="M2587" s="1">
        <f t="shared" si="203"/>
        <v>196.82479518597245</v>
      </c>
      <c r="N2587" s="7">
        <f t="shared" si="204"/>
        <v>196.82479518597245</v>
      </c>
    </row>
    <row r="2588" spans="1:14" x14ac:dyDescent="0.25">
      <c r="A2588" t="str">
        <f>"14:33:28.961"</f>
        <v>14:33:28.961</v>
      </c>
      <c r="B2588">
        <v>40.135244999999998</v>
      </c>
      <c r="C2588">
        <v>-75.366769000000005</v>
      </c>
      <c r="D2588">
        <v>4400</v>
      </c>
      <c r="E2588">
        <v>4600</v>
      </c>
      <c r="F2588">
        <v>146</v>
      </c>
      <c r="G2588">
        <v>132</v>
      </c>
      <c r="H2588">
        <v>-768</v>
      </c>
      <c r="J2588" s="1">
        <f t="shared" si="200"/>
        <v>21316</v>
      </c>
      <c r="K2588" s="1">
        <f t="shared" si="201"/>
        <v>17424</v>
      </c>
      <c r="L2588" s="1">
        <f t="shared" si="202"/>
        <v>38740</v>
      </c>
      <c r="M2588" s="1">
        <f t="shared" si="203"/>
        <v>196.82479518597245</v>
      </c>
      <c r="N2588" s="7">
        <f t="shared" si="204"/>
        <v>196.82479518597245</v>
      </c>
    </row>
    <row r="2589" spans="1:14" x14ac:dyDescent="0.25">
      <c r="A2589" t="str">
        <f>"14:33:29.922"</f>
        <v>14:33:29.922</v>
      </c>
      <c r="B2589">
        <v>40.135759999999998</v>
      </c>
      <c r="C2589">
        <v>-75.365975000000006</v>
      </c>
      <c r="D2589">
        <v>4400</v>
      </c>
      <c r="E2589">
        <v>4600</v>
      </c>
      <c r="F2589">
        <v>146</v>
      </c>
      <c r="G2589">
        <v>132</v>
      </c>
      <c r="H2589">
        <v>-768</v>
      </c>
      <c r="J2589" s="1">
        <f t="shared" si="200"/>
        <v>21316</v>
      </c>
      <c r="K2589" s="1">
        <f t="shared" si="201"/>
        <v>17424</v>
      </c>
      <c r="L2589" s="1">
        <f t="shared" si="202"/>
        <v>38740</v>
      </c>
      <c r="M2589" s="1">
        <f t="shared" si="203"/>
        <v>196.82479518597245</v>
      </c>
      <c r="N2589" s="7">
        <f t="shared" si="204"/>
        <v>196.82479518597245</v>
      </c>
    </row>
    <row r="2590" spans="1:14" x14ac:dyDescent="0.25">
      <c r="A2590" t="str">
        <f>"14:33:30.984"</f>
        <v>14:33:30.984</v>
      </c>
      <c r="B2590">
        <v>40.136446999999997</v>
      </c>
      <c r="C2590">
        <v>-75.365031000000002</v>
      </c>
      <c r="D2590">
        <v>4400</v>
      </c>
      <c r="E2590">
        <v>4575</v>
      </c>
      <c r="F2590">
        <v>147</v>
      </c>
      <c r="G2590">
        <v>132</v>
      </c>
      <c r="H2590">
        <v>-704</v>
      </c>
      <c r="J2590" s="1">
        <f t="shared" si="200"/>
        <v>21609</v>
      </c>
      <c r="K2590" s="1">
        <f t="shared" si="201"/>
        <v>17424</v>
      </c>
      <c r="L2590" s="1">
        <f t="shared" si="202"/>
        <v>39033</v>
      </c>
      <c r="M2590" s="1">
        <f t="shared" si="203"/>
        <v>197.56770991232347</v>
      </c>
      <c r="N2590" s="7">
        <f t="shared" si="204"/>
        <v>197.56770991232347</v>
      </c>
    </row>
    <row r="2591" spans="1:14" x14ac:dyDescent="0.25">
      <c r="A2591" t="str">
        <f>"14:33:32.148"</f>
        <v>14:33:32.148</v>
      </c>
      <c r="B2591">
        <v>40.137134000000003</v>
      </c>
      <c r="C2591">
        <v>-75.364022000000006</v>
      </c>
      <c r="D2591">
        <v>4300</v>
      </c>
      <c r="E2591">
        <v>4575</v>
      </c>
      <c r="F2591">
        <v>147</v>
      </c>
      <c r="G2591">
        <v>133</v>
      </c>
      <c r="H2591">
        <v>-704</v>
      </c>
      <c r="J2591" s="1">
        <f t="shared" si="200"/>
        <v>21609</v>
      </c>
      <c r="K2591" s="1">
        <f t="shared" si="201"/>
        <v>17689</v>
      </c>
      <c r="L2591" s="1">
        <f t="shared" si="202"/>
        <v>39298</v>
      </c>
      <c r="M2591" s="1">
        <f t="shared" si="203"/>
        <v>198.23723161908813</v>
      </c>
      <c r="N2591" s="7">
        <f t="shared" si="204"/>
        <v>198.23723161908813</v>
      </c>
    </row>
    <row r="2592" spans="1:14" x14ac:dyDescent="0.25">
      <c r="A2592" t="str">
        <f>"14:33:33.102"</f>
        <v>14:33:33.102</v>
      </c>
      <c r="B2592">
        <v>40.137734000000002</v>
      </c>
      <c r="C2592">
        <v>-75.363163999999998</v>
      </c>
      <c r="D2592">
        <v>4300</v>
      </c>
      <c r="E2592">
        <v>4550</v>
      </c>
      <c r="F2592">
        <v>147</v>
      </c>
      <c r="G2592">
        <v>133</v>
      </c>
      <c r="H2592">
        <v>-704</v>
      </c>
      <c r="J2592" s="1">
        <f t="shared" si="200"/>
        <v>21609</v>
      </c>
      <c r="K2592" s="1">
        <f t="shared" si="201"/>
        <v>17689</v>
      </c>
      <c r="L2592" s="1">
        <f t="shared" si="202"/>
        <v>39298</v>
      </c>
      <c r="M2592" s="1">
        <f t="shared" si="203"/>
        <v>198.23723161908813</v>
      </c>
      <c r="N2592" s="7">
        <f t="shared" si="204"/>
        <v>198.23723161908813</v>
      </c>
    </row>
    <row r="2593" spans="1:14" x14ac:dyDescent="0.25">
      <c r="A2593" t="str">
        <f>"14:33:34.266"</f>
        <v>14:33:34.266</v>
      </c>
      <c r="B2593">
        <v>40.138399999999997</v>
      </c>
      <c r="C2593">
        <v>-75.362155000000001</v>
      </c>
      <c r="D2593">
        <v>4300</v>
      </c>
      <c r="E2593">
        <v>4550</v>
      </c>
      <c r="F2593">
        <v>148</v>
      </c>
      <c r="G2593">
        <v>133</v>
      </c>
      <c r="H2593">
        <v>-704</v>
      </c>
      <c r="J2593" s="1">
        <f t="shared" si="200"/>
        <v>21904</v>
      </c>
      <c r="K2593" s="1">
        <f t="shared" si="201"/>
        <v>17689</v>
      </c>
      <c r="L2593" s="1">
        <f t="shared" si="202"/>
        <v>39593</v>
      </c>
      <c r="M2593" s="1">
        <f t="shared" si="203"/>
        <v>198.97989848223364</v>
      </c>
      <c r="N2593" s="7">
        <f t="shared" si="204"/>
        <v>198.97989848223364</v>
      </c>
    </row>
    <row r="2594" spans="1:14" x14ac:dyDescent="0.25">
      <c r="A2594" t="str">
        <f>"14:33:35.227"</f>
        <v>14:33:35.227</v>
      </c>
      <c r="B2594">
        <v>40.139065000000002</v>
      </c>
      <c r="C2594">
        <v>-75.361276000000004</v>
      </c>
      <c r="D2594">
        <v>4300</v>
      </c>
      <c r="E2594">
        <v>4525</v>
      </c>
      <c r="F2594">
        <v>148</v>
      </c>
      <c r="G2594">
        <v>134</v>
      </c>
      <c r="H2594">
        <v>-704</v>
      </c>
      <c r="J2594" s="1">
        <f t="shared" si="200"/>
        <v>21904</v>
      </c>
      <c r="K2594" s="1">
        <f t="shared" si="201"/>
        <v>17956</v>
      </c>
      <c r="L2594" s="1">
        <f t="shared" si="202"/>
        <v>39860</v>
      </c>
      <c r="M2594" s="1">
        <f t="shared" si="203"/>
        <v>199.64969321288726</v>
      </c>
      <c r="N2594" s="7">
        <f t="shared" si="204"/>
        <v>199.64969321288726</v>
      </c>
    </row>
    <row r="2595" spans="1:14" x14ac:dyDescent="0.25">
      <c r="A2595" t="str">
        <f>"14:33:36.086"</f>
        <v>14:33:36.086</v>
      </c>
      <c r="B2595">
        <v>40.139600999999999</v>
      </c>
      <c r="C2595">
        <v>-75.360482000000005</v>
      </c>
      <c r="D2595">
        <v>4300</v>
      </c>
      <c r="E2595">
        <v>4525</v>
      </c>
      <c r="F2595">
        <v>148</v>
      </c>
      <c r="G2595">
        <v>134</v>
      </c>
      <c r="H2595">
        <v>-704</v>
      </c>
      <c r="J2595" s="1">
        <f t="shared" si="200"/>
        <v>21904</v>
      </c>
      <c r="K2595" s="1">
        <f t="shared" si="201"/>
        <v>17956</v>
      </c>
      <c r="L2595" s="1">
        <f t="shared" si="202"/>
        <v>39860</v>
      </c>
      <c r="M2595" s="1">
        <f t="shared" si="203"/>
        <v>199.64969321288726</v>
      </c>
      <c r="N2595" s="7">
        <f t="shared" si="204"/>
        <v>199.64969321288726</v>
      </c>
    </row>
    <row r="2596" spans="1:14" x14ac:dyDescent="0.25">
      <c r="A2596" t="str">
        <f>"14:33:37.094"</f>
        <v>14:33:37.094</v>
      </c>
      <c r="B2596">
        <v>40.140180999999998</v>
      </c>
      <c r="C2596">
        <v>-75.359666000000004</v>
      </c>
      <c r="D2596">
        <v>4300</v>
      </c>
      <c r="E2596">
        <v>4500</v>
      </c>
      <c r="F2596">
        <v>148</v>
      </c>
      <c r="G2596">
        <v>134</v>
      </c>
      <c r="H2596">
        <v>-640</v>
      </c>
      <c r="J2596" s="1">
        <f t="shared" si="200"/>
        <v>21904</v>
      </c>
      <c r="K2596" s="1">
        <f t="shared" si="201"/>
        <v>17956</v>
      </c>
      <c r="L2596" s="1">
        <f t="shared" si="202"/>
        <v>39860</v>
      </c>
      <c r="M2596" s="1">
        <f t="shared" si="203"/>
        <v>199.64969321288726</v>
      </c>
      <c r="N2596" s="7">
        <f t="shared" si="204"/>
        <v>199.64969321288726</v>
      </c>
    </row>
    <row r="2597" spans="1:14" x14ac:dyDescent="0.25">
      <c r="A2597" t="str">
        <f>"14:33:38.055"</f>
        <v>14:33:38.055</v>
      </c>
      <c r="B2597">
        <v>40.140780999999997</v>
      </c>
      <c r="C2597">
        <v>-75.358787000000007</v>
      </c>
      <c r="D2597">
        <v>4300</v>
      </c>
      <c r="E2597">
        <v>4500</v>
      </c>
      <c r="F2597">
        <v>148</v>
      </c>
      <c r="G2597">
        <v>134</v>
      </c>
      <c r="H2597">
        <v>-640</v>
      </c>
      <c r="J2597" s="1">
        <f t="shared" si="200"/>
        <v>21904</v>
      </c>
      <c r="K2597" s="1">
        <f t="shared" si="201"/>
        <v>17956</v>
      </c>
      <c r="L2597" s="1">
        <f t="shared" si="202"/>
        <v>39860</v>
      </c>
      <c r="M2597" s="1">
        <f t="shared" si="203"/>
        <v>199.64969321288726</v>
      </c>
      <c r="N2597" s="7">
        <f t="shared" si="204"/>
        <v>199.64969321288726</v>
      </c>
    </row>
    <row r="2598" spans="1:14" x14ac:dyDescent="0.25">
      <c r="A2598" t="str">
        <f>"14:33:39.063"</f>
        <v>14:33:39.063</v>
      </c>
      <c r="B2598">
        <v>40.141382</v>
      </c>
      <c r="C2598">
        <v>-75.357906999999997</v>
      </c>
      <c r="D2598">
        <v>4300</v>
      </c>
      <c r="E2598">
        <v>4475</v>
      </c>
      <c r="F2598">
        <v>148</v>
      </c>
      <c r="G2598">
        <v>134</v>
      </c>
      <c r="H2598">
        <v>-640</v>
      </c>
      <c r="J2598" s="1">
        <f t="shared" si="200"/>
        <v>21904</v>
      </c>
      <c r="K2598" s="1">
        <f t="shared" si="201"/>
        <v>17956</v>
      </c>
      <c r="L2598" s="1">
        <f t="shared" si="202"/>
        <v>39860</v>
      </c>
      <c r="M2598" s="1">
        <f t="shared" si="203"/>
        <v>199.64969321288726</v>
      </c>
      <c r="N2598" s="7">
        <f t="shared" si="204"/>
        <v>199.64969321288726</v>
      </c>
    </row>
    <row r="2599" spans="1:14" x14ac:dyDescent="0.25">
      <c r="A2599" t="str">
        <f>"14:33:40.070"</f>
        <v>14:33:40.070</v>
      </c>
      <c r="B2599">
        <v>40.142046999999998</v>
      </c>
      <c r="C2599">
        <v>-75.356962999999993</v>
      </c>
      <c r="D2599">
        <v>4300</v>
      </c>
      <c r="E2599">
        <v>4475</v>
      </c>
      <c r="F2599">
        <v>148</v>
      </c>
      <c r="G2599">
        <v>135</v>
      </c>
      <c r="H2599">
        <v>-640</v>
      </c>
      <c r="J2599" s="1">
        <f t="shared" si="200"/>
        <v>21904</v>
      </c>
      <c r="K2599" s="1">
        <f t="shared" si="201"/>
        <v>18225</v>
      </c>
      <c r="L2599" s="1">
        <f t="shared" si="202"/>
        <v>40129</v>
      </c>
      <c r="M2599" s="1">
        <f t="shared" si="203"/>
        <v>200.32224040280698</v>
      </c>
      <c r="N2599" s="7">
        <f t="shared" si="204"/>
        <v>200.32224040280698</v>
      </c>
    </row>
    <row r="2600" spans="1:14" x14ac:dyDescent="0.25">
      <c r="A2600" t="str">
        <f>"14:33:41.031"</f>
        <v>14:33:41.031</v>
      </c>
      <c r="B2600">
        <v>40.142648000000001</v>
      </c>
      <c r="C2600">
        <v>-75.356104000000002</v>
      </c>
      <c r="D2600">
        <v>4300</v>
      </c>
      <c r="E2600">
        <v>4475</v>
      </c>
      <c r="F2600">
        <v>148</v>
      </c>
      <c r="G2600">
        <v>135</v>
      </c>
      <c r="H2600">
        <v>-576</v>
      </c>
      <c r="J2600" s="1">
        <f t="shared" si="200"/>
        <v>21904</v>
      </c>
      <c r="K2600" s="1">
        <f t="shared" si="201"/>
        <v>18225</v>
      </c>
      <c r="L2600" s="1">
        <f t="shared" si="202"/>
        <v>40129</v>
      </c>
      <c r="M2600" s="1">
        <f t="shared" si="203"/>
        <v>200.32224040280698</v>
      </c>
      <c r="N2600" s="7">
        <f t="shared" si="204"/>
        <v>200.32224040280698</v>
      </c>
    </row>
    <row r="2601" spans="1:14" x14ac:dyDescent="0.25">
      <c r="A2601" t="str">
        <f>"14:33:42.141"</f>
        <v>14:33:42.141</v>
      </c>
      <c r="B2601">
        <v>40.143355999999997</v>
      </c>
      <c r="C2601">
        <v>-75.355096000000003</v>
      </c>
      <c r="D2601">
        <v>4300</v>
      </c>
      <c r="E2601">
        <v>4450</v>
      </c>
      <c r="F2601">
        <v>149</v>
      </c>
      <c r="G2601">
        <v>135</v>
      </c>
      <c r="H2601">
        <v>-576</v>
      </c>
      <c r="J2601" s="1">
        <f t="shared" si="200"/>
        <v>22201</v>
      </c>
      <c r="K2601" s="1">
        <f t="shared" si="201"/>
        <v>18225</v>
      </c>
      <c r="L2601" s="1">
        <f t="shared" si="202"/>
        <v>40426</v>
      </c>
      <c r="M2601" s="1">
        <f t="shared" si="203"/>
        <v>201.06217943710845</v>
      </c>
      <c r="N2601" s="7">
        <f t="shared" si="204"/>
        <v>201.06217943710845</v>
      </c>
    </row>
    <row r="2602" spans="1:14" x14ac:dyDescent="0.25">
      <c r="A2602" t="str">
        <f>"14:33:43.000"</f>
        <v>14:33:43.000</v>
      </c>
      <c r="B2602">
        <v>40.143892999999998</v>
      </c>
      <c r="C2602">
        <v>-75.354280000000003</v>
      </c>
      <c r="D2602">
        <v>4300</v>
      </c>
      <c r="E2602">
        <v>4450</v>
      </c>
      <c r="F2602">
        <v>149</v>
      </c>
      <c r="G2602">
        <v>135</v>
      </c>
      <c r="H2602">
        <v>-576</v>
      </c>
      <c r="J2602" s="1">
        <f t="shared" si="200"/>
        <v>22201</v>
      </c>
      <c r="K2602" s="1">
        <f t="shared" si="201"/>
        <v>18225</v>
      </c>
      <c r="L2602" s="1">
        <f t="shared" si="202"/>
        <v>40426</v>
      </c>
      <c r="M2602" s="1">
        <f t="shared" si="203"/>
        <v>201.06217943710845</v>
      </c>
      <c r="N2602" s="7">
        <f t="shared" si="204"/>
        <v>201.06217943710845</v>
      </c>
    </row>
    <row r="2603" spans="1:14" x14ac:dyDescent="0.25">
      <c r="A2603" t="str">
        <f>"14:33:43.961"</f>
        <v>14:33:43.961</v>
      </c>
      <c r="B2603">
        <v>40.144450999999997</v>
      </c>
      <c r="C2603">
        <v>-75.353508000000005</v>
      </c>
      <c r="D2603">
        <v>4200</v>
      </c>
      <c r="E2603">
        <v>4425</v>
      </c>
      <c r="F2603">
        <v>149</v>
      </c>
      <c r="G2603">
        <v>135</v>
      </c>
      <c r="H2603">
        <v>-576</v>
      </c>
      <c r="J2603" s="1">
        <f t="shared" si="200"/>
        <v>22201</v>
      </c>
      <c r="K2603" s="1">
        <f t="shared" si="201"/>
        <v>18225</v>
      </c>
      <c r="L2603" s="1">
        <f t="shared" si="202"/>
        <v>40426</v>
      </c>
      <c r="M2603" s="1">
        <f t="shared" si="203"/>
        <v>201.06217943710845</v>
      </c>
      <c r="N2603" s="7">
        <f t="shared" si="204"/>
        <v>201.06217943710845</v>
      </c>
    </row>
    <row r="2604" spans="1:14" x14ac:dyDescent="0.25">
      <c r="A2604" t="str">
        <f>"14:33:45.023"</f>
        <v>14:33:45.023</v>
      </c>
      <c r="B2604">
        <v>40.145159</v>
      </c>
      <c r="C2604">
        <v>-75.352478000000005</v>
      </c>
      <c r="D2604">
        <v>4200</v>
      </c>
      <c r="E2604">
        <v>4425</v>
      </c>
      <c r="F2604">
        <v>149</v>
      </c>
      <c r="G2604">
        <v>135</v>
      </c>
      <c r="H2604">
        <v>-576</v>
      </c>
      <c r="J2604" s="1">
        <f t="shared" si="200"/>
        <v>22201</v>
      </c>
      <c r="K2604" s="1">
        <f t="shared" si="201"/>
        <v>18225</v>
      </c>
      <c r="L2604" s="1">
        <f t="shared" si="202"/>
        <v>40426</v>
      </c>
      <c r="M2604" s="1">
        <f t="shared" si="203"/>
        <v>201.06217943710845</v>
      </c>
      <c r="N2604" s="7">
        <f t="shared" si="204"/>
        <v>201.06217943710845</v>
      </c>
    </row>
    <row r="2605" spans="1:14" x14ac:dyDescent="0.25">
      <c r="A2605" t="str">
        <f>"14:33:46.180"</f>
        <v>14:33:46.180</v>
      </c>
      <c r="B2605">
        <v>40.145823999999998</v>
      </c>
      <c r="C2605">
        <v>-75.351490999999996</v>
      </c>
      <c r="D2605">
        <v>4200</v>
      </c>
      <c r="E2605">
        <v>4400</v>
      </c>
      <c r="F2605">
        <v>149</v>
      </c>
      <c r="G2605">
        <v>136</v>
      </c>
      <c r="H2605">
        <v>-576</v>
      </c>
      <c r="J2605" s="1">
        <f t="shared" si="200"/>
        <v>22201</v>
      </c>
      <c r="K2605" s="1">
        <f t="shared" si="201"/>
        <v>18496</v>
      </c>
      <c r="L2605" s="1">
        <f t="shared" si="202"/>
        <v>40697</v>
      </c>
      <c r="M2605" s="1">
        <f t="shared" si="203"/>
        <v>201.73497465734593</v>
      </c>
      <c r="N2605" s="7">
        <f t="shared" si="204"/>
        <v>201.73497465734593</v>
      </c>
    </row>
    <row r="2606" spans="1:14" x14ac:dyDescent="0.25">
      <c r="A2606" t="str">
        <f>"14:33:47.344"</f>
        <v>14:33:47.344</v>
      </c>
      <c r="B2606">
        <v>40.146596000000002</v>
      </c>
      <c r="C2606">
        <v>-75.350460999999996</v>
      </c>
      <c r="D2606">
        <v>4200</v>
      </c>
      <c r="E2606">
        <v>4400</v>
      </c>
      <c r="F2606">
        <v>149</v>
      </c>
      <c r="G2606">
        <v>136</v>
      </c>
      <c r="H2606">
        <v>-640</v>
      </c>
      <c r="J2606" s="1">
        <f t="shared" si="200"/>
        <v>22201</v>
      </c>
      <c r="K2606" s="1">
        <f t="shared" si="201"/>
        <v>18496</v>
      </c>
      <c r="L2606" s="1">
        <f t="shared" si="202"/>
        <v>40697</v>
      </c>
      <c r="M2606" s="1">
        <f t="shared" si="203"/>
        <v>201.73497465734593</v>
      </c>
      <c r="N2606" s="7">
        <f t="shared" si="204"/>
        <v>201.73497465734593</v>
      </c>
    </row>
    <row r="2607" spans="1:14" x14ac:dyDescent="0.25">
      <c r="A2607" t="str">
        <f>"14:33:48.305"</f>
        <v>14:33:48.305</v>
      </c>
      <c r="B2607">
        <v>40.147239999999996</v>
      </c>
      <c r="C2607">
        <v>-75.349537999999995</v>
      </c>
      <c r="D2607">
        <v>4200</v>
      </c>
      <c r="E2607">
        <v>4400</v>
      </c>
      <c r="F2607">
        <v>149</v>
      </c>
      <c r="G2607">
        <v>136</v>
      </c>
      <c r="H2607">
        <v>-704</v>
      </c>
      <c r="J2607" s="1">
        <f t="shared" si="200"/>
        <v>22201</v>
      </c>
      <c r="K2607" s="1">
        <f t="shared" si="201"/>
        <v>18496</v>
      </c>
      <c r="L2607" s="1">
        <f t="shared" si="202"/>
        <v>40697</v>
      </c>
      <c r="M2607" s="1">
        <f t="shared" si="203"/>
        <v>201.73497465734593</v>
      </c>
      <c r="N2607" s="7">
        <f t="shared" si="204"/>
        <v>201.73497465734593</v>
      </c>
    </row>
    <row r="2608" spans="1:14" x14ac:dyDescent="0.25">
      <c r="A2608" t="str">
        <f>"14:33:49.367"</f>
        <v>14:33:49.367</v>
      </c>
      <c r="B2608">
        <v>40.147948</v>
      </c>
      <c r="C2608">
        <v>-75.348551</v>
      </c>
      <c r="D2608">
        <v>4200</v>
      </c>
      <c r="E2608">
        <v>4375</v>
      </c>
      <c r="F2608">
        <v>149</v>
      </c>
      <c r="G2608">
        <v>136</v>
      </c>
      <c r="H2608">
        <v>-704</v>
      </c>
      <c r="J2608" s="1">
        <f t="shared" si="200"/>
        <v>22201</v>
      </c>
      <c r="K2608" s="1">
        <f t="shared" si="201"/>
        <v>18496</v>
      </c>
      <c r="L2608" s="1">
        <f t="shared" si="202"/>
        <v>40697</v>
      </c>
      <c r="M2608" s="1">
        <f t="shared" si="203"/>
        <v>201.73497465734593</v>
      </c>
      <c r="N2608" s="7">
        <f t="shared" si="204"/>
        <v>201.73497465734593</v>
      </c>
    </row>
    <row r="2609" spans="1:14" x14ac:dyDescent="0.25">
      <c r="A2609" t="str">
        <f>"14:33:50.320"</f>
        <v>14:33:50.320</v>
      </c>
      <c r="B2609">
        <v>40.148485000000001</v>
      </c>
      <c r="C2609">
        <v>-75.347713999999996</v>
      </c>
      <c r="D2609">
        <v>4200</v>
      </c>
      <c r="E2609">
        <v>4375</v>
      </c>
      <c r="F2609">
        <v>149</v>
      </c>
      <c r="G2609">
        <v>137</v>
      </c>
      <c r="H2609">
        <v>-768</v>
      </c>
      <c r="J2609" s="1">
        <f t="shared" si="200"/>
        <v>22201</v>
      </c>
      <c r="K2609" s="1">
        <f t="shared" si="201"/>
        <v>18769</v>
      </c>
      <c r="L2609" s="1">
        <f t="shared" si="202"/>
        <v>40970</v>
      </c>
      <c r="M2609" s="1">
        <f t="shared" si="203"/>
        <v>202.41047403728888</v>
      </c>
      <c r="N2609" s="7">
        <f t="shared" si="204"/>
        <v>202.41047403728888</v>
      </c>
    </row>
    <row r="2610" spans="1:14" x14ac:dyDescent="0.25">
      <c r="A2610" t="str">
        <f>"14:33:51.180"</f>
        <v>14:33:51.180</v>
      </c>
      <c r="B2610">
        <v>40.148978</v>
      </c>
      <c r="C2610">
        <v>-75.347048999999998</v>
      </c>
      <c r="D2610">
        <v>4200</v>
      </c>
      <c r="E2610">
        <v>4350</v>
      </c>
      <c r="F2610">
        <v>149</v>
      </c>
      <c r="G2610">
        <v>137</v>
      </c>
      <c r="H2610">
        <v>-768</v>
      </c>
      <c r="J2610" s="1">
        <f t="shared" si="200"/>
        <v>22201</v>
      </c>
      <c r="K2610" s="1">
        <f t="shared" si="201"/>
        <v>18769</v>
      </c>
      <c r="L2610" s="1">
        <f t="shared" si="202"/>
        <v>40970</v>
      </c>
      <c r="M2610" s="1">
        <f t="shared" si="203"/>
        <v>202.41047403728888</v>
      </c>
      <c r="N2610" s="7">
        <f t="shared" si="204"/>
        <v>202.41047403728888</v>
      </c>
    </row>
    <row r="2611" spans="1:14" x14ac:dyDescent="0.25">
      <c r="A2611" t="str">
        <f>"14:33:52.086"</f>
        <v>14:33:52.086</v>
      </c>
      <c r="B2611">
        <v>40.149622000000001</v>
      </c>
      <c r="C2611">
        <v>-75.346126999999996</v>
      </c>
      <c r="D2611">
        <v>4200</v>
      </c>
      <c r="E2611">
        <v>4350</v>
      </c>
      <c r="F2611">
        <v>149</v>
      </c>
      <c r="G2611">
        <v>137</v>
      </c>
      <c r="H2611">
        <v>-832</v>
      </c>
      <c r="J2611" s="1">
        <f t="shared" si="200"/>
        <v>22201</v>
      </c>
      <c r="K2611" s="1">
        <f t="shared" si="201"/>
        <v>18769</v>
      </c>
      <c r="L2611" s="1">
        <f t="shared" si="202"/>
        <v>40970</v>
      </c>
      <c r="M2611" s="1">
        <f t="shared" si="203"/>
        <v>202.41047403728888</v>
      </c>
      <c r="N2611" s="7">
        <f t="shared" si="204"/>
        <v>202.41047403728888</v>
      </c>
    </row>
    <row r="2612" spans="1:14" x14ac:dyDescent="0.25">
      <c r="A2612" t="str">
        <f>"14:33:53.250"</f>
        <v>14:33:53.250</v>
      </c>
      <c r="B2612">
        <v>40.150329999999997</v>
      </c>
      <c r="C2612">
        <v>-75.345117999999999</v>
      </c>
      <c r="D2612">
        <v>4100</v>
      </c>
      <c r="E2612">
        <v>4325</v>
      </c>
      <c r="F2612">
        <v>149</v>
      </c>
      <c r="G2612">
        <v>137</v>
      </c>
      <c r="H2612">
        <v>-832</v>
      </c>
      <c r="J2612" s="1">
        <f t="shared" si="200"/>
        <v>22201</v>
      </c>
      <c r="K2612" s="1">
        <f t="shared" si="201"/>
        <v>18769</v>
      </c>
      <c r="L2612" s="1">
        <f t="shared" si="202"/>
        <v>40970</v>
      </c>
      <c r="M2612" s="1">
        <f t="shared" si="203"/>
        <v>202.41047403728888</v>
      </c>
      <c r="N2612" s="7">
        <f t="shared" si="204"/>
        <v>202.41047403728888</v>
      </c>
    </row>
    <row r="2613" spans="1:14" x14ac:dyDescent="0.25">
      <c r="A2613" t="str">
        <f>"14:33:54.313"</f>
        <v>14:33:54.313</v>
      </c>
      <c r="B2613">
        <v>40.151038</v>
      </c>
      <c r="C2613">
        <v>-75.344110000000001</v>
      </c>
      <c r="D2613">
        <v>4100</v>
      </c>
      <c r="E2613">
        <v>4325</v>
      </c>
      <c r="F2613">
        <v>149</v>
      </c>
      <c r="G2613">
        <v>138</v>
      </c>
      <c r="H2613">
        <v>-768</v>
      </c>
      <c r="J2613" s="1">
        <f t="shared" si="200"/>
        <v>22201</v>
      </c>
      <c r="K2613" s="1">
        <f t="shared" si="201"/>
        <v>19044</v>
      </c>
      <c r="L2613" s="1">
        <f t="shared" si="202"/>
        <v>41245</v>
      </c>
      <c r="M2613" s="1">
        <f t="shared" si="203"/>
        <v>203.08865059377396</v>
      </c>
      <c r="N2613" s="7">
        <f t="shared" si="204"/>
        <v>203.08865059377396</v>
      </c>
    </row>
    <row r="2614" spans="1:14" x14ac:dyDescent="0.25">
      <c r="A2614" t="str">
        <f>"14:33:55.273"</f>
        <v>14:33:55.273</v>
      </c>
      <c r="B2614">
        <v>40.151575000000001</v>
      </c>
      <c r="C2614">
        <v>-75.343359000000007</v>
      </c>
      <c r="D2614">
        <v>4100</v>
      </c>
      <c r="E2614">
        <v>4300</v>
      </c>
      <c r="F2614">
        <v>149</v>
      </c>
      <c r="G2614">
        <v>138</v>
      </c>
      <c r="H2614">
        <v>-768</v>
      </c>
      <c r="J2614" s="1">
        <f t="shared" si="200"/>
        <v>22201</v>
      </c>
      <c r="K2614" s="1">
        <f t="shared" si="201"/>
        <v>19044</v>
      </c>
      <c r="L2614" s="1">
        <f t="shared" si="202"/>
        <v>41245</v>
      </c>
      <c r="M2614" s="1">
        <f t="shared" si="203"/>
        <v>203.08865059377396</v>
      </c>
      <c r="N2614" s="7">
        <f t="shared" si="204"/>
        <v>203.08865059377396</v>
      </c>
    </row>
    <row r="2615" spans="1:14" x14ac:dyDescent="0.25">
      <c r="A2615" t="str">
        <f>"14:33:56.328"</f>
        <v>14:33:56.328</v>
      </c>
      <c r="B2615">
        <v>40.152326000000002</v>
      </c>
      <c r="C2615">
        <v>-75.342349999999996</v>
      </c>
      <c r="D2615">
        <v>4100</v>
      </c>
      <c r="E2615">
        <v>4275</v>
      </c>
      <c r="F2615">
        <v>149</v>
      </c>
      <c r="G2615">
        <v>138</v>
      </c>
      <c r="H2615">
        <v>-704</v>
      </c>
      <c r="J2615" s="1">
        <f t="shared" si="200"/>
        <v>22201</v>
      </c>
      <c r="K2615" s="1">
        <f t="shared" si="201"/>
        <v>19044</v>
      </c>
      <c r="L2615" s="1">
        <f t="shared" si="202"/>
        <v>41245</v>
      </c>
      <c r="M2615" s="1">
        <f t="shared" si="203"/>
        <v>203.08865059377396</v>
      </c>
      <c r="N2615" s="7">
        <f t="shared" si="204"/>
        <v>203.08865059377396</v>
      </c>
    </row>
    <row r="2616" spans="1:14" x14ac:dyDescent="0.25">
      <c r="A2616" t="str">
        <f>"14:33:57.344"</f>
        <v>14:33:57.344</v>
      </c>
      <c r="B2616">
        <v>40.152968999999999</v>
      </c>
      <c r="C2616">
        <v>-75.341426999999996</v>
      </c>
      <c r="D2616">
        <v>4100</v>
      </c>
      <c r="E2616">
        <v>4275</v>
      </c>
      <c r="F2616">
        <v>149</v>
      </c>
      <c r="G2616">
        <v>138</v>
      </c>
      <c r="H2616">
        <v>-640</v>
      </c>
      <c r="J2616" s="1">
        <f t="shared" si="200"/>
        <v>22201</v>
      </c>
      <c r="K2616" s="1">
        <f t="shared" si="201"/>
        <v>19044</v>
      </c>
      <c r="L2616" s="1">
        <f t="shared" si="202"/>
        <v>41245</v>
      </c>
      <c r="M2616" s="1">
        <f t="shared" si="203"/>
        <v>203.08865059377396</v>
      </c>
      <c r="N2616" s="7">
        <f t="shared" si="204"/>
        <v>203.08865059377396</v>
      </c>
    </row>
    <row r="2617" spans="1:14" x14ac:dyDescent="0.25">
      <c r="A2617" t="str">
        <f>"14:33:58.195"</f>
        <v>14:33:58.195</v>
      </c>
      <c r="B2617">
        <v>40.153548999999998</v>
      </c>
      <c r="C2617">
        <v>-75.340611999999993</v>
      </c>
      <c r="D2617">
        <v>4100</v>
      </c>
      <c r="E2617">
        <v>4275</v>
      </c>
      <c r="F2617">
        <v>149</v>
      </c>
      <c r="G2617">
        <v>138</v>
      </c>
      <c r="H2617">
        <v>-576</v>
      </c>
      <c r="J2617" s="1">
        <f t="shared" si="200"/>
        <v>22201</v>
      </c>
      <c r="K2617" s="1">
        <f t="shared" si="201"/>
        <v>19044</v>
      </c>
      <c r="L2617" s="1">
        <f t="shared" si="202"/>
        <v>41245</v>
      </c>
      <c r="M2617" s="1">
        <f t="shared" si="203"/>
        <v>203.08865059377396</v>
      </c>
      <c r="N2617" s="7">
        <f t="shared" si="204"/>
        <v>203.08865059377396</v>
      </c>
    </row>
    <row r="2618" spans="1:14" x14ac:dyDescent="0.25">
      <c r="A2618" t="str">
        <f>"14:33:59.414"</f>
        <v>14:33:59.414</v>
      </c>
      <c r="B2618">
        <v>40.154257000000001</v>
      </c>
      <c r="C2618">
        <v>-75.339668000000003</v>
      </c>
      <c r="D2618">
        <v>4100</v>
      </c>
      <c r="E2618">
        <v>4250</v>
      </c>
      <c r="F2618">
        <v>149</v>
      </c>
      <c r="G2618">
        <v>138</v>
      </c>
      <c r="H2618">
        <v>-512</v>
      </c>
      <c r="J2618" s="1">
        <f t="shared" si="200"/>
        <v>22201</v>
      </c>
      <c r="K2618" s="1">
        <f t="shared" si="201"/>
        <v>19044</v>
      </c>
      <c r="L2618" s="1">
        <f t="shared" si="202"/>
        <v>41245</v>
      </c>
      <c r="M2618" s="1">
        <f t="shared" si="203"/>
        <v>203.08865059377396</v>
      </c>
      <c r="N2618" s="7">
        <f t="shared" si="204"/>
        <v>203.08865059377396</v>
      </c>
    </row>
    <row r="2619" spans="1:14" x14ac:dyDescent="0.25">
      <c r="A2619" t="str">
        <f>"14:34:00.273"</f>
        <v>14:34:00.273</v>
      </c>
      <c r="B2619">
        <v>40.154901000000002</v>
      </c>
      <c r="C2619">
        <v>-75.338745000000003</v>
      </c>
      <c r="D2619">
        <v>4000</v>
      </c>
      <c r="E2619">
        <v>4250</v>
      </c>
      <c r="F2619">
        <v>149</v>
      </c>
      <c r="G2619">
        <v>138</v>
      </c>
      <c r="H2619">
        <v>-512</v>
      </c>
      <c r="J2619" s="1">
        <f t="shared" si="200"/>
        <v>22201</v>
      </c>
      <c r="K2619" s="1">
        <f t="shared" si="201"/>
        <v>19044</v>
      </c>
      <c r="L2619" s="1">
        <f t="shared" si="202"/>
        <v>41245</v>
      </c>
      <c r="M2619" s="1">
        <f t="shared" si="203"/>
        <v>203.08865059377396</v>
      </c>
      <c r="N2619" s="7">
        <f t="shared" si="204"/>
        <v>203.08865059377396</v>
      </c>
    </row>
    <row r="2620" spans="1:14" x14ac:dyDescent="0.25">
      <c r="A2620" t="str">
        <f>"14:34:01.133"</f>
        <v>14:34:01.133</v>
      </c>
      <c r="B2620">
        <v>40.155394000000001</v>
      </c>
      <c r="C2620">
        <v>-75.338015999999996</v>
      </c>
      <c r="D2620">
        <v>4000</v>
      </c>
      <c r="E2620">
        <v>4250</v>
      </c>
      <c r="F2620">
        <v>149</v>
      </c>
      <c r="G2620">
        <v>137</v>
      </c>
      <c r="H2620">
        <v>-512</v>
      </c>
      <c r="J2620" s="1">
        <f t="shared" si="200"/>
        <v>22201</v>
      </c>
      <c r="K2620" s="1">
        <f t="shared" si="201"/>
        <v>18769</v>
      </c>
      <c r="L2620" s="1">
        <f t="shared" si="202"/>
        <v>40970</v>
      </c>
      <c r="M2620" s="1">
        <f t="shared" si="203"/>
        <v>202.41047403728888</v>
      </c>
      <c r="N2620" s="7">
        <f t="shared" si="204"/>
        <v>202.41047403728888</v>
      </c>
    </row>
    <row r="2621" spans="1:14" x14ac:dyDescent="0.25">
      <c r="A2621" t="str">
        <f>"14:34:02.086"</f>
        <v>14:34:02.086</v>
      </c>
      <c r="B2621">
        <v>40.155994999999997</v>
      </c>
      <c r="C2621">
        <v>-75.337157000000005</v>
      </c>
      <c r="D2621">
        <v>4000</v>
      </c>
      <c r="E2621">
        <v>4225</v>
      </c>
      <c r="F2621">
        <v>149</v>
      </c>
      <c r="G2621">
        <v>137</v>
      </c>
      <c r="H2621">
        <v>-512</v>
      </c>
      <c r="J2621" s="1">
        <f t="shared" si="200"/>
        <v>22201</v>
      </c>
      <c r="K2621" s="1">
        <f t="shared" si="201"/>
        <v>18769</v>
      </c>
      <c r="L2621" s="1">
        <f t="shared" si="202"/>
        <v>40970</v>
      </c>
      <c r="M2621" s="1">
        <f t="shared" si="203"/>
        <v>202.41047403728888</v>
      </c>
      <c r="N2621" s="7">
        <f t="shared" si="204"/>
        <v>202.41047403728888</v>
      </c>
    </row>
    <row r="2622" spans="1:14" x14ac:dyDescent="0.25">
      <c r="A2622" t="str">
        <f>"14:34:03.148"</f>
        <v>14:34:03.148</v>
      </c>
      <c r="B2622">
        <v>40.156682000000004</v>
      </c>
      <c r="C2622">
        <v>-75.336235000000002</v>
      </c>
      <c r="D2622">
        <v>4000</v>
      </c>
      <c r="E2622">
        <v>4225</v>
      </c>
      <c r="F2622">
        <v>149</v>
      </c>
      <c r="G2622">
        <v>137</v>
      </c>
      <c r="H2622">
        <v>-512</v>
      </c>
      <c r="J2622" s="1">
        <f t="shared" si="200"/>
        <v>22201</v>
      </c>
      <c r="K2622" s="1">
        <f t="shared" si="201"/>
        <v>18769</v>
      </c>
      <c r="L2622" s="1">
        <f t="shared" si="202"/>
        <v>40970</v>
      </c>
      <c r="M2622" s="1">
        <f t="shared" si="203"/>
        <v>202.41047403728888</v>
      </c>
      <c r="N2622" s="7">
        <f t="shared" si="204"/>
        <v>202.41047403728888</v>
      </c>
    </row>
    <row r="2623" spans="1:14" x14ac:dyDescent="0.25">
      <c r="A2623" t="str">
        <f>"14:34:04.055"</f>
        <v>14:34:04.055</v>
      </c>
      <c r="B2623">
        <v>40.157218</v>
      </c>
      <c r="C2623">
        <v>-75.335441000000003</v>
      </c>
      <c r="D2623">
        <v>4000</v>
      </c>
      <c r="E2623">
        <v>4225</v>
      </c>
      <c r="F2623">
        <v>149</v>
      </c>
      <c r="G2623">
        <v>137</v>
      </c>
      <c r="H2623">
        <v>-448</v>
      </c>
      <c r="J2623" s="1">
        <f t="shared" si="200"/>
        <v>22201</v>
      </c>
      <c r="K2623" s="1">
        <f t="shared" si="201"/>
        <v>18769</v>
      </c>
      <c r="L2623" s="1">
        <f t="shared" si="202"/>
        <v>40970</v>
      </c>
      <c r="M2623" s="1">
        <f t="shared" si="203"/>
        <v>202.41047403728888</v>
      </c>
      <c r="N2623" s="7">
        <f t="shared" si="204"/>
        <v>202.41047403728888</v>
      </c>
    </row>
    <row r="2624" spans="1:14" x14ac:dyDescent="0.25">
      <c r="A2624" t="str">
        <f>"14:34:05.070"</f>
        <v>14:34:05.070</v>
      </c>
      <c r="B2624">
        <v>40.157862000000002</v>
      </c>
      <c r="C2624">
        <v>-75.334496000000001</v>
      </c>
      <c r="D2624">
        <v>4000</v>
      </c>
      <c r="E2624">
        <v>4200</v>
      </c>
      <c r="F2624">
        <v>149</v>
      </c>
      <c r="G2624">
        <v>136</v>
      </c>
      <c r="H2624">
        <v>-448</v>
      </c>
      <c r="J2624" s="1">
        <f t="shared" si="200"/>
        <v>22201</v>
      </c>
      <c r="K2624" s="1">
        <f t="shared" si="201"/>
        <v>18496</v>
      </c>
      <c r="L2624" s="1">
        <f t="shared" si="202"/>
        <v>40697</v>
      </c>
      <c r="M2624" s="1">
        <f t="shared" si="203"/>
        <v>201.73497465734593</v>
      </c>
      <c r="N2624" s="7">
        <f t="shared" si="204"/>
        <v>201.73497465734593</v>
      </c>
    </row>
    <row r="2625" spans="1:14" x14ac:dyDescent="0.25">
      <c r="A2625" t="str">
        <f>"14:34:06.125"</f>
        <v>14:34:06.125</v>
      </c>
      <c r="B2625">
        <v>40.158504999999998</v>
      </c>
      <c r="C2625">
        <v>-75.333551999999997</v>
      </c>
      <c r="D2625">
        <v>4000</v>
      </c>
      <c r="E2625">
        <v>4200</v>
      </c>
      <c r="F2625">
        <v>149</v>
      </c>
      <c r="G2625">
        <v>136</v>
      </c>
      <c r="H2625">
        <v>-448</v>
      </c>
      <c r="J2625" s="1">
        <f t="shared" si="200"/>
        <v>22201</v>
      </c>
      <c r="K2625" s="1">
        <f t="shared" si="201"/>
        <v>18496</v>
      </c>
      <c r="L2625" s="1">
        <f t="shared" si="202"/>
        <v>40697</v>
      </c>
      <c r="M2625" s="1">
        <f t="shared" si="203"/>
        <v>201.73497465734593</v>
      </c>
      <c r="N2625" s="7">
        <f t="shared" si="204"/>
        <v>201.73497465734593</v>
      </c>
    </row>
    <row r="2626" spans="1:14" x14ac:dyDescent="0.25">
      <c r="A2626" t="str">
        <f>"14:34:06.984"</f>
        <v>14:34:06.984</v>
      </c>
      <c r="B2626">
        <v>40.159128000000003</v>
      </c>
      <c r="C2626">
        <v>-75.332757999999998</v>
      </c>
      <c r="D2626">
        <v>4000</v>
      </c>
      <c r="E2626">
        <v>4200</v>
      </c>
      <c r="F2626">
        <v>149</v>
      </c>
      <c r="G2626">
        <v>135</v>
      </c>
      <c r="H2626">
        <v>-448</v>
      </c>
      <c r="J2626" s="1">
        <f t="shared" si="200"/>
        <v>22201</v>
      </c>
      <c r="K2626" s="1">
        <f t="shared" si="201"/>
        <v>18225</v>
      </c>
      <c r="L2626" s="1">
        <f t="shared" si="202"/>
        <v>40426</v>
      </c>
      <c r="M2626" s="1">
        <f t="shared" si="203"/>
        <v>201.06217943710845</v>
      </c>
      <c r="N2626" s="7">
        <f t="shared" si="204"/>
        <v>201.06217943710845</v>
      </c>
    </row>
    <row r="2627" spans="1:14" x14ac:dyDescent="0.25">
      <c r="A2627" t="str">
        <f>"14:34:08.047"</f>
        <v>14:34:08.047</v>
      </c>
      <c r="B2627">
        <v>40.159728999999999</v>
      </c>
      <c r="C2627">
        <v>-75.331813999999994</v>
      </c>
      <c r="D2627">
        <v>4000</v>
      </c>
      <c r="E2627">
        <v>4175</v>
      </c>
      <c r="F2627">
        <v>148</v>
      </c>
      <c r="G2627">
        <v>135</v>
      </c>
      <c r="H2627">
        <v>-448</v>
      </c>
      <c r="J2627" s="1">
        <f t="shared" ref="J2627:J2690" si="205">F2627^2</f>
        <v>21904</v>
      </c>
      <c r="K2627" s="1">
        <f t="shared" ref="K2627:K2690" si="206">G2627^2</f>
        <v>18225</v>
      </c>
      <c r="L2627" s="1">
        <f t="shared" ref="L2627:L2690" si="207">SUMSQ(F2627,G2627)</f>
        <v>40129</v>
      </c>
      <c r="M2627" s="1">
        <f t="shared" ref="M2627:M2690" si="208">SQRT(L2627)</f>
        <v>200.32224040280698</v>
      </c>
      <c r="N2627" s="7">
        <f t="shared" ref="N2627:N2690" si="209">M2627</f>
        <v>200.32224040280698</v>
      </c>
    </row>
    <row r="2628" spans="1:14" x14ac:dyDescent="0.25">
      <c r="A2628" t="str">
        <f>"14:34:09.055"</f>
        <v>14:34:09.055</v>
      </c>
      <c r="B2628">
        <v>40.160372000000002</v>
      </c>
      <c r="C2628">
        <v>-75.330934999999997</v>
      </c>
      <c r="D2628">
        <v>4000</v>
      </c>
      <c r="E2628">
        <v>4175</v>
      </c>
      <c r="F2628">
        <v>148</v>
      </c>
      <c r="G2628">
        <v>135</v>
      </c>
      <c r="H2628">
        <v>-448</v>
      </c>
      <c r="J2628" s="1">
        <f t="shared" si="205"/>
        <v>21904</v>
      </c>
      <c r="K2628" s="1">
        <f t="shared" si="206"/>
        <v>18225</v>
      </c>
      <c r="L2628" s="1">
        <f t="shared" si="207"/>
        <v>40129</v>
      </c>
      <c r="M2628" s="1">
        <f t="shared" si="208"/>
        <v>200.32224040280698</v>
      </c>
      <c r="N2628" s="7">
        <f t="shared" si="209"/>
        <v>200.32224040280698</v>
      </c>
    </row>
    <row r="2629" spans="1:14" x14ac:dyDescent="0.25">
      <c r="A2629" t="str">
        <f>"14:34:10.164"</f>
        <v>14:34:10.164</v>
      </c>
      <c r="B2629">
        <v>40.161079999999998</v>
      </c>
      <c r="C2629">
        <v>-75.329947000000004</v>
      </c>
      <c r="D2629">
        <v>4000</v>
      </c>
      <c r="E2629">
        <v>4175</v>
      </c>
      <c r="F2629">
        <v>148</v>
      </c>
      <c r="G2629">
        <v>135</v>
      </c>
      <c r="H2629">
        <v>-448</v>
      </c>
      <c r="J2629" s="1">
        <f t="shared" si="205"/>
        <v>21904</v>
      </c>
      <c r="K2629" s="1">
        <f t="shared" si="206"/>
        <v>18225</v>
      </c>
      <c r="L2629" s="1">
        <f t="shared" si="207"/>
        <v>40129</v>
      </c>
      <c r="M2629" s="1">
        <f t="shared" si="208"/>
        <v>200.32224040280698</v>
      </c>
      <c r="N2629" s="7">
        <f t="shared" si="209"/>
        <v>200.32224040280698</v>
      </c>
    </row>
    <row r="2630" spans="1:14" x14ac:dyDescent="0.25">
      <c r="A2630" t="str">
        <f>"14:34:11.172"</f>
        <v>14:34:11.172</v>
      </c>
      <c r="B2630">
        <v>40.161659999999998</v>
      </c>
      <c r="C2630">
        <v>-75.329046000000005</v>
      </c>
      <c r="D2630">
        <v>4000</v>
      </c>
      <c r="E2630">
        <v>4150</v>
      </c>
      <c r="F2630">
        <v>147</v>
      </c>
      <c r="G2630">
        <v>135</v>
      </c>
      <c r="H2630">
        <v>-448</v>
      </c>
      <c r="J2630" s="1">
        <f t="shared" si="205"/>
        <v>21609</v>
      </c>
      <c r="K2630" s="1">
        <f t="shared" si="206"/>
        <v>18225</v>
      </c>
      <c r="L2630" s="1">
        <f t="shared" si="207"/>
        <v>39834</v>
      </c>
      <c r="M2630" s="1">
        <f t="shared" si="208"/>
        <v>199.58456854175876</v>
      </c>
      <c r="N2630" s="7">
        <f t="shared" si="209"/>
        <v>199.58456854175876</v>
      </c>
    </row>
    <row r="2631" spans="1:14" x14ac:dyDescent="0.25">
      <c r="A2631" t="str">
        <f>"14:34:12.289"</f>
        <v>14:34:12.289</v>
      </c>
      <c r="B2631">
        <v>40.162388999999997</v>
      </c>
      <c r="C2631">
        <v>-75.328080999999997</v>
      </c>
      <c r="D2631">
        <v>4000</v>
      </c>
      <c r="E2631">
        <v>4150</v>
      </c>
      <c r="F2631">
        <v>147</v>
      </c>
      <c r="G2631">
        <v>135</v>
      </c>
      <c r="H2631">
        <v>-384</v>
      </c>
      <c r="J2631" s="1">
        <f t="shared" si="205"/>
        <v>21609</v>
      </c>
      <c r="K2631" s="1">
        <f t="shared" si="206"/>
        <v>18225</v>
      </c>
      <c r="L2631" s="1">
        <f t="shared" si="207"/>
        <v>39834</v>
      </c>
      <c r="M2631" s="1">
        <f t="shared" si="208"/>
        <v>199.58456854175876</v>
      </c>
      <c r="N2631" s="7">
        <f t="shared" si="209"/>
        <v>199.58456854175876</v>
      </c>
    </row>
    <row r="2632" spans="1:14" x14ac:dyDescent="0.25">
      <c r="A2632" t="str">
        <f>"14:34:13.242"</f>
        <v>14:34:13.242</v>
      </c>
      <c r="B2632">
        <v>40.162990000000001</v>
      </c>
      <c r="C2632">
        <v>-75.327264999999997</v>
      </c>
      <c r="D2632">
        <v>4000</v>
      </c>
      <c r="E2632">
        <v>4150</v>
      </c>
      <c r="F2632">
        <v>147</v>
      </c>
      <c r="G2632">
        <v>135</v>
      </c>
      <c r="H2632">
        <v>-384</v>
      </c>
      <c r="J2632" s="1">
        <f t="shared" si="205"/>
        <v>21609</v>
      </c>
      <c r="K2632" s="1">
        <f t="shared" si="206"/>
        <v>18225</v>
      </c>
      <c r="L2632" s="1">
        <f t="shared" si="207"/>
        <v>39834</v>
      </c>
      <c r="M2632" s="1">
        <f t="shared" si="208"/>
        <v>199.58456854175876</v>
      </c>
      <c r="N2632" s="7">
        <f t="shared" si="209"/>
        <v>199.58456854175876</v>
      </c>
    </row>
    <row r="2633" spans="1:14" x14ac:dyDescent="0.25">
      <c r="A2633" t="str">
        <f>"14:34:14.211"</f>
        <v>14:34:14.211</v>
      </c>
      <c r="B2633">
        <v>40.163590999999997</v>
      </c>
      <c r="C2633">
        <v>-75.326320999999993</v>
      </c>
      <c r="D2633">
        <v>4000</v>
      </c>
      <c r="E2633">
        <v>4150</v>
      </c>
      <c r="F2633">
        <v>146</v>
      </c>
      <c r="G2633">
        <v>135</v>
      </c>
      <c r="H2633">
        <v>-384</v>
      </c>
      <c r="J2633" s="1">
        <f t="shared" si="205"/>
        <v>21316</v>
      </c>
      <c r="K2633" s="1">
        <f t="shared" si="206"/>
        <v>18225</v>
      </c>
      <c r="L2633" s="1">
        <f t="shared" si="207"/>
        <v>39541</v>
      </c>
      <c r="M2633" s="1">
        <f t="shared" si="208"/>
        <v>198.84918908559823</v>
      </c>
      <c r="N2633" s="7">
        <f t="shared" si="209"/>
        <v>198.84918908559823</v>
      </c>
    </row>
    <row r="2634" spans="1:14" x14ac:dyDescent="0.25">
      <c r="A2634" t="str">
        <f>"14:34:15.211"</f>
        <v>14:34:15.211</v>
      </c>
      <c r="B2634">
        <v>40.164192</v>
      </c>
      <c r="C2634">
        <v>-75.325506000000004</v>
      </c>
      <c r="D2634">
        <v>4000</v>
      </c>
      <c r="E2634">
        <v>4125</v>
      </c>
      <c r="F2634">
        <v>146</v>
      </c>
      <c r="G2634">
        <v>135</v>
      </c>
      <c r="H2634">
        <v>-384</v>
      </c>
      <c r="J2634" s="1">
        <f t="shared" si="205"/>
        <v>21316</v>
      </c>
      <c r="K2634" s="1">
        <f t="shared" si="206"/>
        <v>18225</v>
      </c>
      <c r="L2634" s="1">
        <f t="shared" si="207"/>
        <v>39541</v>
      </c>
      <c r="M2634" s="1">
        <f t="shared" si="208"/>
        <v>198.84918908559823</v>
      </c>
      <c r="N2634" s="7">
        <f t="shared" si="209"/>
        <v>198.84918908559823</v>
      </c>
    </row>
    <row r="2635" spans="1:14" x14ac:dyDescent="0.25">
      <c r="A2635" t="str">
        <f>"14:34:16.172"</f>
        <v>14:34:16.172</v>
      </c>
      <c r="B2635">
        <v>40.164771000000002</v>
      </c>
      <c r="C2635">
        <v>-75.324646999999999</v>
      </c>
      <c r="D2635">
        <v>3900</v>
      </c>
      <c r="E2635">
        <v>4125</v>
      </c>
      <c r="F2635">
        <v>146</v>
      </c>
      <c r="G2635">
        <v>135</v>
      </c>
      <c r="H2635">
        <v>-384</v>
      </c>
      <c r="J2635" s="1">
        <f t="shared" si="205"/>
        <v>21316</v>
      </c>
      <c r="K2635" s="1">
        <f t="shared" si="206"/>
        <v>18225</v>
      </c>
      <c r="L2635" s="1">
        <f t="shared" si="207"/>
        <v>39541</v>
      </c>
      <c r="M2635" s="1">
        <f t="shared" si="208"/>
        <v>198.84918908559823</v>
      </c>
      <c r="N2635" s="7">
        <f t="shared" si="209"/>
        <v>198.84918908559823</v>
      </c>
    </row>
    <row r="2636" spans="1:14" x14ac:dyDescent="0.25">
      <c r="A2636" t="str">
        <f>"14:34:17.188"</f>
        <v>14:34:17.188</v>
      </c>
      <c r="B2636">
        <v>40.165415000000003</v>
      </c>
      <c r="C2636">
        <v>-75.323789000000005</v>
      </c>
      <c r="D2636">
        <v>3900</v>
      </c>
      <c r="E2636">
        <v>4125</v>
      </c>
      <c r="F2636">
        <v>146</v>
      </c>
      <c r="G2636">
        <v>134</v>
      </c>
      <c r="H2636">
        <v>-384</v>
      </c>
      <c r="J2636" s="1">
        <f t="shared" si="205"/>
        <v>21316</v>
      </c>
      <c r="K2636" s="1">
        <f t="shared" si="206"/>
        <v>17956</v>
      </c>
      <c r="L2636" s="1">
        <f t="shared" si="207"/>
        <v>39272</v>
      </c>
      <c r="M2636" s="1">
        <f t="shared" si="208"/>
        <v>198.17164277464119</v>
      </c>
      <c r="N2636" s="7">
        <f t="shared" si="209"/>
        <v>198.17164277464119</v>
      </c>
    </row>
    <row r="2637" spans="1:14" x14ac:dyDescent="0.25">
      <c r="A2637" t="str">
        <f>"14:34:18.344"</f>
        <v>14:34:18.344</v>
      </c>
      <c r="B2637">
        <v>40.166144000000003</v>
      </c>
      <c r="C2637">
        <v>-75.322759000000005</v>
      </c>
      <c r="D2637">
        <v>3900</v>
      </c>
      <c r="E2637">
        <v>4125</v>
      </c>
      <c r="F2637">
        <v>145</v>
      </c>
      <c r="G2637">
        <v>134</v>
      </c>
      <c r="H2637">
        <v>-384</v>
      </c>
      <c r="J2637" s="1">
        <f t="shared" si="205"/>
        <v>21025</v>
      </c>
      <c r="K2637" s="1">
        <f t="shared" si="206"/>
        <v>17956</v>
      </c>
      <c r="L2637" s="1">
        <f t="shared" si="207"/>
        <v>38981</v>
      </c>
      <c r="M2637" s="1">
        <f t="shared" si="208"/>
        <v>197.43606560099397</v>
      </c>
      <c r="N2637" s="7">
        <f t="shared" si="209"/>
        <v>197.43606560099397</v>
      </c>
    </row>
    <row r="2638" spans="1:14" x14ac:dyDescent="0.25">
      <c r="A2638" t="str">
        <f>"14:34:19.305"</f>
        <v>14:34:19.305</v>
      </c>
      <c r="B2638">
        <v>40.166787999999997</v>
      </c>
      <c r="C2638">
        <v>-75.321900999999997</v>
      </c>
      <c r="D2638">
        <v>3900</v>
      </c>
      <c r="E2638">
        <v>4100</v>
      </c>
      <c r="F2638">
        <v>145</v>
      </c>
      <c r="G2638">
        <v>134</v>
      </c>
      <c r="H2638">
        <v>-320</v>
      </c>
      <c r="J2638" s="1">
        <f t="shared" si="205"/>
        <v>21025</v>
      </c>
      <c r="K2638" s="1">
        <f t="shared" si="206"/>
        <v>17956</v>
      </c>
      <c r="L2638" s="1">
        <f t="shared" si="207"/>
        <v>38981</v>
      </c>
      <c r="M2638" s="1">
        <f t="shared" si="208"/>
        <v>197.43606560099397</v>
      </c>
      <c r="N2638" s="7">
        <f t="shared" si="209"/>
        <v>197.43606560099397</v>
      </c>
    </row>
    <row r="2639" spans="1:14" x14ac:dyDescent="0.25">
      <c r="A2639" t="str">
        <f>"14:34:20.266"</f>
        <v>14:34:20.266</v>
      </c>
      <c r="B2639">
        <v>40.167366999999999</v>
      </c>
      <c r="C2639">
        <v>-75.321084999999997</v>
      </c>
      <c r="D2639">
        <v>3900</v>
      </c>
      <c r="E2639">
        <v>4100</v>
      </c>
      <c r="F2639">
        <v>145</v>
      </c>
      <c r="G2639">
        <v>134</v>
      </c>
      <c r="H2639">
        <v>-256</v>
      </c>
      <c r="J2639" s="1">
        <f t="shared" si="205"/>
        <v>21025</v>
      </c>
      <c r="K2639" s="1">
        <f t="shared" si="206"/>
        <v>17956</v>
      </c>
      <c r="L2639" s="1">
        <f t="shared" si="207"/>
        <v>38981</v>
      </c>
      <c r="M2639" s="1">
        <f t="shared" si="208"/>
        <v>197.43606560099397</v>
      </c>
      <c r="N2639" s="7">
        <f t="shared" si="209"/>
        <v>197.43606560099397</v>
      </c>
    </row>
    <row r="2640" spans="1:14" x14ac:dyDescent="0.25">
      <c r="A2640" t="str">
        <f>"14:34:21.273"</f>
        <v>14:34:21.273</v>
      </c>
      <c r="B2640">
        <v>40.167968000000002</v>
      </c>
      <c r="C2640">
        <v>-75.320205999999999</v>
      </c>
      <c r="D2640">
        <v>3900</v>
      </c>
      <c r="E2640">
        <v>4100</v>
      </c>
      <c r="F2640">
        <v>144</v>
      </c>
      <c r="G2640">
        <v>134</v>
      </c>
      <c r="H2640">
        <v>-320</v>
      </c>
      <c r="J2640" s="1">
        <f t="shared" si="205"/>
        <v>20736</v>
      </c>
      <c r="K2640" s="1">
        <f t="shared" si="206"/>
        <v>17956</v>
      </c>
      <c r="L2640" s="1">
        <f t="shared" si="207"/>
        <v>38692</v>
      </c>
      <c r="M2640" s="1">
        <f t="shared" si="208"/>
        <v>196.70282153543198</v>
      </c>
      <c r="N2640" s="7">
        <f t="shared" si="209"/>
        <v>196.70282153543198</v>
      </c>
    </row>
    <row r="2641" spans="1:14" x14ac:dyDescent="0.25">
      <c r="A2641" t="str">
        <f>"14:34:22.133"</f>
        <v>14:34:22.133</v>
      </c>
      <c r="B2641">
        <v>40.168526</v>
      </c>
      <c r="C2641">
        <v>-75.319389999999999</v>
      </c>
      <c r="D2641">
        <v>3900</v>
      </c>
      <c r="E2641">
        <v>4100</v>
      </c>
      <c r="F2641">
        <v>144</v>
      </c>
      <c r="G2641">
        <v>133</v>
      </c>
      <c r="H2641">
        <v>-320</v>
      </c>
      <c r="J2641" s="1">
        <f t="shared" si="205"/>
        <v>20736</v>
      </c>
      <c r="K2641" s="1">
        <f t="shared" si="206"/>
        <v>17689</v>
      </c>
      <c r="L2641" s="1">
        <f t="shared" si="207"/>
        <v>38425</v>
      </c>
      <c r="M2641" s="1">
        <f t="shared" si="208"/>
        <v>196.02295783912658</v>
      </c>
      <c r="N2641" s="7">
        <f t="shared" si="209"/>
        <v>196.02295783912658</v>
      </c>
    </row>
    <row r="2642" spans="1:14" x14ac:dyDescent="0.25">
      <c r="A2642" t="str">
        <f>"14:34:23.195"</f>
        <v>14:34:23.195</v>
      </c>
      <c r="B2642">
        <v>40.169127000000003</v>
      </c>
      <c r="C2642">
        <v>-75.318532000000005</v>
      </c>
      <c r="D2642">
        <v>3900</v>
      </c>
      <c r="E2642">
        <v>4100</v>
      </c>
      <c r="F2642">
        <v>144</v>
      </c>
      <c r="G2642">
        <v>133</v>
      </c>
      <c r="H2642">
        <v>-384</v>
      </c>
      <c r="J2642" s="1">
        <f t="shared" si="205"/>
        <v>20736</v>
      </c>
      <c r="K2642" s="1">
        <f t="shared" si="206"/>
        <v>17689</v>
      </c>
      <c r="L2642" s="1">
        <f t="shared" si="207"/>
        <v>38425</v>
      </c>
      <c r="M2642" s="1">
        <f t="shared" si="208"/>
        <v>196.02295783912658</v>
      </c>
      <c r="N2642" s="7">
        <f t="shared" si="209"/>
        <v>196.02295783912658</v>
      </c>
    </row>
    <row r="2643" spans="1:14" x14ac:dyDescent="0.25">
      <c r="A2643" t="str">
        <f>"14:34:24.148"</f>
        <v>14:34:24.148</v>
      </c>
      <c r="B2643">
        <v>40.169727999999999</v>
      </c>
      <c r="C2643">
        <v>-75.317695000000001</v>
      </c>
      <c r="D2643">
        <v>3900</v>
      </c>
      <c r="E2643">
        <v>4075</v>
      </c>
      <c r="F2643">
        <v>144</v>
      </c>
      <c r="G2643">
        <v>133</v>
      </c>
      <c r="H2643">
        <v>-320</v>
      </c>
      <c r="J2643" s="1">
        <f t="shared" si="205"/>
        <v>20736</v>
      </c>
      <c r="K2643" s="1">
        <f t="shared" si="206"/>
        <v>17689</v>
      </c>
      <c r="L2643" s="1">
        <f t="shared" si="207"/>
        <v>38425</v>
      </c>
      <c r="M2643" s="1">
        <f t="shared" si="208"/>
        <v>196.02295783912658</v>
      </c>
      <c r="N2643" s="7">
        <f t="shared" si="209"/>
        <v>196.02295783912658</v>
      </c>
    </row>
    <row r="2644" spans="1:14" x14ac:dyDescent="0.25">
      <c r="A2644" t="str">
        <f>"14:34:25.313"</f>
        <v>14:34:25.313</v>
      </c>
      <c r="B2644">
        <v>40.170456999999999</v>
      </c>
      <c r="C2644">
        <v>-75.316643999999997</v>
      </c>
      <c r="D2644">
        <v>3900</v>
      </c>
      <c r="E2644">
        <v>4075</v>
      </c>
      <c r="F2644">
        <v>143</v>
      </c>
      <c r="G2644">
        <v>133</v>
      </c>
      <c r="H2644">
        <v>-320</v>
      </c>
      <c r="J2644" s="1">
        <f t="shared" si="205"/>
        <v>20449</v>
      </c>
      <c r="K2644" s="1">
        <f t="shared" si="206"/>
        <v>17689</v>
      </c>
      <c r="L2644" s="1">
        <f t="shared" si="207"/>
        <v>38138</v>
      </c>
      <c r="M2644" s="1">
        <f t="shared" si="208"/>
        <v>195.28952864913163</v>
      </c>
      <c r="N2644" s="7">
        <f t="shared" si="209"/>
        <v>195.28952864913163</v>
      </c>
    </row>
    <row r="2645" spans="1:14" x14ac:dyDescent="0.25">
      <c r="A2645" t="str">
        <f>"14:34:26.328"</f>
        <v>14:34:26.328</v>
      </c>
      <c r="B2645">
        <v>40.171101</v>
      </c>
      <c r="C2645">
        <v>-75.315785000000005</v>
      </c>
      <c r="D2645">
        <v>3900</v>
      </c>
      <c r="E2645">
        <v>4075</v>
      </c>
      <c r="F2645">
        <v>143</v>
      </c>
      <c r="G2645">
        <v>133</v>
      </c>
      <c r="H2645">
        <v>-320</v>
      </c>
      <c r="J2645" s="1">
        <f t="shared" si="205"/>
        <v>20449</v>
      </c>
      <c r="K2645" s="1">
        <f t="shared" si="206"/>
        <v>17689</v>
      </c>
      <c r="L2645" s="1">
        <f t="shared" si="207"/>
        <v>38138</v>
      </c>
      <c r="M2645" s="1">
        <f t="shared" si="208"/>
        <v>195.28952864913163</v>
      </c>
      <c r="N2645" s="7">
        <f t="shared" si="209"/>
        <v>195.28952864913163</v>
      </c>
    </row>
    <row r="2646" spans="1:14" x14ac:dyDescent="0.25">
      <c r="A2646" t="str">
        <f>"14:34:27.180"</f>
        <v>14:34:27.180</v>
      </c>
      <c r="B2646">
        <v>40.171595000000003</v>
      </c>
      <c r="C2646">
        <v>-75.315055999999998</v>
      </c>
      <c r="D2646">
        <v>3900</v>
      </c>
      <c r="E2646">
        <v>4075</v>
      </c>
      <c r="F2646">
        <v>143</v>
      </c>
      <c r="G2646">
        <v>132</v>
      </c>
      <c r="H2646">
        <v>-320</v>
      </c>
      <c r="J2646" s="1">
        <f t="shared" si="205"/>
        <v>20449</v>
      </c>
      <c r="K2646" s="1">
        <f t="shared" si="206"/>
        <v>17424</v>
      </c>
      <c r="L2646" s="1">
        <f t="shared" si="207"/>
        <v>37873</v>
      </c>
      <c r="M2646" s="1">
        <f t="shared" si="208"/>
        <v>194.60986614249546</v>
      </c>
      <c r="N2646" s="7">
        <f t="shared" si="209"/>
        <v>194.60986614249546</v>
      </c>
    </row>
    <row r="2647" spans="1:14" x14ac:dyDescent="0.25">
      <c r="A2647" t="str">
        <f>"14:34:28.188"</f>
        <v>14:34:28.188</v>
      </c>
      <c r="B2647">
        <v>40.172195000000002</v>
      </c>
      <c r="C2647">
        <v>-75.314218999999994</v>
      </c>
      <c r="D2647">
        <v>3900</v>
      </c>
      <c r="E2647">
        <v>4075</v>
      </c>
      <c r="F2647">
        <v>143</v>
      </c>
      <c r="G2647">
        <v>132</v>
      </c>
      <c r="H2647">
        <v>-320</v>
      </c>
      <c r="J2647" s="1">
        <f t="shared" si="205"/>
        <v>20449</v>
      </c>
      <c r="K2647" s="1">
        <f t="shared" si="206"/>
        <v>17424</v>
      </c>
      <c r="L2647" s="1">
        <f t="shared" si="207"/>
        <v>37873</v>
      </c>
      <c r="M2647" s="1">
        <f t="shared" si="208"/>
        <v>194.60986614249546</v>
      </c>
      <c r="N2647" s="7">
        <f t="shared" si="209"/>
        <v>194.60986614249546</v>
      </c>
    </row>
    <row r="2648" spans="1:14" x14ac:dyDescent="0.25">
      <c r="A2648" t="str">
        <f>"14:34:29.297"</f>
        <v>14:34:29.297</v>
      </c>
      <c r="B2648">
        <v>40.172924999999999</v>
      </c>
      <c r="C2648">
        <v>-75.313231999999999</v>
      </c>
      <c r="D2648">
        <v>3800</v>
      </c>
      <c r="E2648">
        <v>4050</v>
      </c>
      <c r="F2648">
        <v>142</v>
      </c>
      <c r="G2648">
        <v>132</v>
      </c>
      <c r="H2648">
        <v>-320</v>
      </c>
      <c r="J2648" s="1">
        <f t="shared" si="205"/>
        <v>20164</v>
      </c>
      <c r="K2648" s="1">
        <f t="shared" si="206"/>
        <v>17424</v>
      </c>
      <c r="L2648" s="1">
        <f t="shared" si="207"/>
        <v>37588</v>
      </c>
      <c r="M2648" s="1">
        <f t="shared" si="208"/>
        <v>193.87624919004389</v>
      </c>
      <c r="N2648" s="7">
        <f t="shared" si="209"/>
        <v>193.87624919004389</v>
      </c>
    </row>
    <row r="2649" spans="1:14" x14ac:dyDescent="0.25">
      <c r="A2649" t="str">
        <f>"14:34:30.414"</f>
        <v>14:34:30.414</v>
      </c>
      <c r="B2649">
        <v>40.173611999999999</v>
      </c>
      <c r="C2649">
        <v>-75.312223000000003</v>
      </c>
      <c r="D2649">
        <v>3800</v>
      </c>
      <c r="E2649">
        <v>4050</v>
      </c>
      <c r="F2649">
        <v>142</v>
      </c>
      <c r="G2649">
        <v>132</v>
      </c>
      <c r="H2649">
        <v>-320</v>
      </c>
      <c r="J2649" s="1">
        <f t="shared" si="205"/>
        <v>20164</v>
      </c>
      <c r="K2649" s="1">
        <f t="shared" si="206"/>
        <v>17424</v>
      </c>
      <c r="L2649" s="1">
        <f t="shared" si="207"/>
        <v>37588</v>
      </c>
      <c r="M2649" s="1">
        <f t="shared" si="208"/>
        <v>193.87624919004389</v>
      </c>
      <c r="N2649" s="7">
        <f t="shared" si="209"/>
        <v>193.87624919004389</v>
      </c>
    </row>
    <row r="2650" spans="1:14" x14ac:dyDescent="0.25">
      <c r="A2650" t="str">
        <f>"14:34:31.422"</f>
        <v>14:34:31.422</v>
      </c>
      <c r="B2650">
        <v>40.174211999999997</v>
      </c>
      <c r="C2650">
        <v>-75.311408</v>
      </c>
      <c r="D2650">
        <v>3800</v>
      </c>
      <c r="E2650">
        <v>4050</v>
      </c>
      <c r="F2650">
        <v>142</v>
      </c>
      <c r="G2650">
        <v>132</v>
      </c>
      <c r="H2650">
        <v>-320</v>
      </c>
      <c r="J2650" s="1">
        <f t="shared" si="205"/>
        <v>20164</v>
      </c>
      <c r="K2650" s="1">
        <f t="shared" si="206"/>
        <v>17424</v>
      </c>
      <c r="L2650" s="1">
        <f t="shared" si="207"/>
        <v>37588</v>
      </c>
      <c r="M2650" s="1">
        <f t="shared" si="208"/>
        <v>193.87624919004389</v>
      </c>
      <c r="N2650" s="7">
        <f t="shared" si="209"/>
        <v>193.87624919004389</v>
      </c>
    </row>
    <row r="2651" spans="1:14" x14ac:dyDescent="0.25">
      <c r="A2651" t="str">
        <f>"14:34:32.430"</f>
        <v>14:34:32.430</v>
      </c>
      <c r="B2651">
        <v>40.174813</v>
      </c>
      <c r="C2651">
        <v>-75.310528000000005</v>
      </c>
      <c r="D2651">
        <v>3800</v>
      </c>
      <c r="E2651">
        <v>4050</v>
      </c>
      <c r="F2651">
        <v>141</v>
      </c>
      <c r="G2651">
        <v>132</v>
      </c>
      <c r="H2651">
        <v>-384</v>
      </c>
      <c r="J2651" s="1">
        <f t="shared" si="205"/>
        <v>19881</v>
      </c>
      <c r="K2651" s="1">
        <f t="shared" si="206"/>
        <v>17424</v>
      </c>
      <c r="L2651" s="1">
        <f t="shared" si="207"/>
        <v>37305</v>
      </c>
      <c r="M2651" s="1">
        <f t="shared" si="208"/>
        <v>193.14502323383846</v>
      </c>
      <c r="N2651" s="7">
        <f t="shared" si="209"/>
        <v>193.14502323383846</v>
      </c>
    </row>
    <row r="2652" spans="1:14" x14ac:dyDescent="0.25">
      <c r="A2652" t="str">
        <f>"14:34:33.492"</f>
        <v>14:34:33.492</v>
      </c>
      <c r="B2652">
        <v>40.1755</v>
      </c>
      <c r="C2652">
        <v>-75.309562999999997</v>
      </c>
      <c r="D2652">
        <v>3800</v>
      </c>
      <c r="E2652">
        <v>4025</v>
      </c>
      <c r="F2652">
        <v>141</v>
      </c>
      <c r="G2652">
        <v>131</v>
      </c>
      <c r="H2652">
        <v>-384</v>
      </c>
      <c r="J2652" s="1">
        <f t="shared" si="205"/>
        <v>19881</v>
      </c>
      <c r="K2652" s="1">
        <f t="shared" si="206"/>
        <v>17161</v>
      </c>
      <c r="L2652" s="1">
        <f t="shared" si="207"/>
        <v>37042</v>
      </c>
      <c r="M2652" s="1">
        <f t="shared" si="208"/>
        <v>192.46298345396187</v>
      </c>
      <c r="N2652" s="7">
        <f t="shared" si="209"/>
        <v>192.46298345396187</v>
      </c>
    </row>
    <row r="2653" spans="1:14" x14ac:dyDescent="0.25">
      <c r="A2653" t="str">
        <f>"14:34:34.656"</f>
        <v>14:34:34.656</v>
      </c>
      <c r="B2653">
        <v>40.176164999999997</v>
      </c>
      <c r="C2653">
        <v>-75.308661000000001</v>
      </c>
      <c r="D2653">
        <v>3800</v>
      </c>
      <c r="E2653">
        <v>4025</v>
      </c>
      <c r="F2653">
        <v>141</v>
      </c>
      <c r="G2653">
        <v>131</v>
      </c>
      <c r="H2653">
        <v>-320</v>
      </c>
      <c r="J2653" s="1">
        <f t="shared" si="205"/>
        <v>19881</v>
      </c>
      <c r="K2653" s="1">
        <f t="shared" si="206"/>
        <v>17161</v>
      </c>
      <c r="L2653" s="1">
        <f t="shared" si="207"/>
        <v>37042</v>
      </c>
      <c r="M2653" s="1">
        <f t="shared" si="208"/>
        <v>192.46298345396187</v>
      </c>
      <c r="N2653" s="7">
        <f t="shared" si="209"/>
        <v>192.46298345396187</v>
      </c>
    </row>
    <row r="2654" spans="1:14" x14ac:dyDescent="0.25">
      <c r="A2654" t="str">
        <f>"14:34:35.711"</f>
        <v>14:34:35.711</v>
      </c>
      <c r="B2654">
        <v>40.176808999999999</v>
      </c>
      <c r="C2654">
        <v>-75.307738999999998</v>
      </c>
      <c r="D2654">
        <v>3800</v>
      </c>
      <c r="E2654">
        <v>4025</v>
      </c>
      <c r="F2654">
        <v>140</v>
      </c>
      <c r="G2654">
        <v>131</v>
      </c>
      <c r="H2654">
        <v>-384</v>
      </c>
      <c r="J2654" s="1">
        <f t="shared" si="205"/>
        <v>19600</v>
      </c>
      <c r="K2654" s="1">
        <f t="shared" si="206"/>
        <v>17161</v>
      </c>
      <c r="L2654" s="1">
        <f t="shared" si="207"/>
        <v>36761</v>
      </c>
      <c r="M2654" s="1">
        <f t="shared" si="208"/>
        <v>191.73158320944412</v>
      </c>
      <c r="N2654" s="7">
        <f t="shared" si="209"/>
        <v>191.73158320944412</v>
      </c>
    </row>
    <row r="2655" spans="1:14" x14ac:dyDescent="0.25">
      <c r="A2655" t="str">
        <f>"14:34:36.672"</f>
        <v>14:34:36.672</v>
      </c>
      <c r="B2655">
        <v>40.177410000000002</v>
      </c>
      <c r="C2655">
        <v>-75.306880000000007</v>
      </c>
      <c r="D2655">
        <v>3800</v>
      </c>
      <c r="E2655">
        <v>4025</v>
      </c>
      <c r="F2655">
        <v>140</v>
      </c>
      <c r="G2655">
        <v>131</v>
      </c>
      <c r="H2655">
        <v>-384</v>
      </c>
      <c r="J2655" s="1">
        <f t="shared" si="205"/>
        <v>19600</v>
      </c>
      <c r="K2655" s="1">
        <f t="shared" si="206"/>
        <v>17161</v>
      </c>
      <c r="L2655" s="1">
        <f t="shared" si="207"/>
        <v>36761</v>
      </c>
      <c r="M2655" s="1">
        <f t="shared" si="208"/>
        <v>191.73158320944412</v>
      </c>
      <c r="N2655" s="7">
        <f t="shared" si="209"/>
        <v>191.73158320944412</v>
      </c>
    </row>
    <row r="2656" spans="1:14" x14ac:dyDescent="0.25">
      <c r="A2656" t="str">
        <f>"14:34:37.734"</f>
        <v>14:34:37.734</v>
      </c>
      <c r="B2656">
        <v>40.178052999999998</v>
      </c>
      <c r="C2656">
        <v>-75.306021999999999</v>
      </c>
      <c r="D2656">
        <v>3800</v>
      </c>
      <c r="E2656">
        <v>4000</v>
      </c>
      <c r="F2656">
        <v>140</v>
      </c>
      <c r="G2656">
        <v>131</v>
      </c>
      <c r="H2656">
        <v>-384</v>
      </c>
      <c r="J2656" s="1">
        <f t="shared" si="205"/>
        <v>19600</v>
      </c>
      <c r="K2656" s="1">
        <f t="shared" si="206"/>
        <v>17161</v>
      </c>
      <c r="L2656" s="1">
        <f t="shared" si="207"/>
        <v>36761</v>
      </c>
      <c r="M2656" s="1">
        <f t="shared" si="208"/>
        <v>191.73158320944412</v>
      </c>
      <c r="N2656" s="7">
        <f t="shared" si="209"/>
        <v>191.73158320944412</v>
      </c>
    </row>
    <row r="2657" spans="1:14" x14ac:dyDescent="0.25">
      <c r="A2657" t="str">
        <f>"14:34:38.742"</f>
        <v>14:34:38.742</v>
      </c>
      <c r="B2657">
        <v>40.178654000000002</v>
      </c>
      <c r="C2657">
        <v>-75.305184999999994</v>
      </c>
      <c r="D2657">
        <v>3800</v>
      </c>
      <c r="E2657">
        <v>4000</v>
      </c>
      <c r="F2657">
        <v>140</v>
      </c>
      <c r="G2657">
        <v>130</v>
      </c>
      <c r="H2657">
        <v>-384</v>
      </c>
      <c r="J2657" s="1">
        <f t="shared" si="205"/>
        <v>19600</v>
      </c>
      <c r="K2657" s="1">
        <f t="shared" si="206"/>
        <v>16900</v>
      </c>
      <c r="L2657" s="1">
        <f t="shared" si="207"/>
        <v>36500</v>
      </c>
      <c r="M2657" s="1">
        <f t="shared" si="208"/>
        <v>191.04973174542801</v>
      </c>
      <c r="N2657" s="7">
        <f t="shared" si="209"/>
        <v>191.04973174542801</v>
      </c>
    </row>
    <row r="2658" spans="1:14" x14ac:dyDescent="0.25">
      <c r="A2658" t="str">
        <f>"14:34:39.703"</f>
        <v>14:34:39.703</v>
      </c>
      <c r="B2658">
        <v>40.179254999999998</v>
      </c>
      <c r="C2658">
        <v>-75.304327000000001</v>
      </c>
      <c r="D2658">
        <v>3800</v>
      </c>
      <c r="E2658">
        <v>4000</v>
      </c>
      <c r="F2658">
        <v>140</v>
      </c>
      <c r="G2658">
        <v>130</v>
      </c>
      <c r="H2658">
        <v>-384</v>
      </c>
      <c r="J2658" s="1">
        <f t="shared" si="205"/>
        <v>19600</v>
      </c>
      <c r="K2658" s="1">
        <f t="shared" si="206"/>
        <v>16900</v>
      </c>
      <c r="L2658" s="1">
        <f t="shared" si="207"/>
        <v>36500</v>
      </c>
      <c r="M2658" s="1">
        <f t="shared" si="208"/>
        <v>191.04973174542801</v>
      </c>
      <c r="N2658" s="7">
        <f t="shared" si="209"/>
        <v>191.04973174542801</v>
      </c>
    </row>
    <row r="2659" spans="1:14" x14ac:dyDescent="0.25">
      <c r="A2659" t="str">
        <f>"14:34:40.711"</f>
        <v>14:34:40.711</v>
      </c>
      <c r="B2659">
        <v>40.179834</v>
      </c>
      <c r="C2659">
        <v>-75.303533000000002</v>
      </c>
      <c r="D2659">
        <v>3800</v>
      </c>
      <c r="E2659">
        <v>3975</v>
      </c>
      <c r="F2659">
        <v>140</v>
      </c>
      <c r="G2659">
        <v>130</v>
      </c>
      <c r="H2659">
        <v>-384</v>
      </c>
      <c r="J2659" s="1">
        <f t="shared" si="205"/>
        <v>19600</v>
      </c>
      <c r="K2659" s="1">
        <f t="shared" si="206"/>
        <v>16900</v>
      </c>
      <c r="L2659" s="1">
        <f t="shared" si="207"/>
        <v>36500</v>
      </c>
      <c r="M2659" s="1">
        <f t="shared" si="208"/>
        <v>191.04973174542801</v>
      </c>
      <c r="N2659" s="7">
        <f t="shared" si="209"/>
        <v>191.04973174542801</v>
      </c>
    </row>
    <row r="2660" spans="1:14" x14ac:dyDescent="0.25">
      <c r="A2660" t="str">
        <f>"14:34:41.773"</f>
        <v>14:34:41.773</v>
      </c>
      <c r="B2660">
        <v>40.180435000000003</v>
      </c>
      <c r="C2660">
        <v>-75.302674999999994</v>
      </c>
      <c r="D2660">
        <v>3800</v>
      </c>
      <c r="E2660">
        <v>3975</v>
      </c>
      <c r="F2660">
        <v>139</v>
      </c>
      <c r="G2660">
        <v>130</v>
      </c>
      <c r="H2660">
        <v>-384</v>
      </c>
      <c r="J2660" s="1">
        <f t="shared" si="205"/>
        <v>19321</v>
      </c>
      <c r="K2660" s="1">
        <f t="shared" si="206"/>
        <v>16900</v>
      </c>
      <c r="L2660" s="1">
        <f t="shared" si="207"/>
        <v>36221</v>
      </c>
      <c r="M2660" s="1">
        <f t="shared" si="208"/>
        <v>190.31815467789718</v>
      </c>
      <c r="N2660" s="7">
        <f t="shared" si="209"/>
        <v>190.31815467789718</v>
      </c>
    </row>
    <row r="2661" spans="1:14" x14ac:dyDescent="0.25">
      <c r="A2661" t="str">
        <f>"14:34:42.781"</f>
        <v>14:34:42.781</v>
      </c>
      <c r="B2661">
        <v>40.181078999999997</v>
      </c>
      <c r="C2661">
        <v>-75.301816000000002</v>
      </c>
      <c r="D2661">
        <v>3800</v>
      </c>
      <c r="E2661">
        <v>3975</v>
      </c>
      <c r="F2661">
        <v>139</v>
      </c>
      <c r="G2661">
        <v>130</v>
      </c>
      <c r="H2661">
        <v>-320</v>
      </c>
      <c r="J2661" s="1">
        <f t="shared" si="205"/>
        <v>19321</v>
      </c>
      <c r="K2661" s="1">
        <f t="shared" si="206"/>
        <v>16900</v>
      </c>
      <c r="L2661" s="1">
        <f t="shared" si="207"/>
        <v>36221</v>
      </c>
      <c r="M2661" s="1">
        <f t="shared" si="208"/>
        <v>190.31815467789718</v>
      </c>
      <c r="N2661" s="7">
        <f t="shared" si="209"/>
        <v>190.31815467789718</v>
      </c>
    </row>
    <row r="2662" spans="1:14" x14ac:dyDescent="0.25">
      <c r="A2662" t="str">
        <f>"14:34:43.789"</f>
        <v>14:34:43.789</v>
      </c>
      <c r="B2662">
        <v>40.18168</v>
      </c>
      <c r="C2662">
        <v>-75.300957999999994</v>
      </c>
      <c r="D2662">
        <v>3800</v>
      </c>
      <c r="E2662">
        <v>3975</v>
      </c>
      <c r="F2662">
        <v>139</v>
      </c>
      <c r="G2662">
        <v>130</v>
      </c>
      <c r="H2662">
        <v>-320</v>
      </c>
      <c r="J2662" s="1">
        <f t="shared" si="205"/>
        <v>19321</v>
      </c>
      <c r="K2662" s="1">
        <f t="shared" si="206"/>
        <v>16900</v>
      </c>
      <c r="L2662" s="1">
        <f t="shared" si="207"/>
        <v>36221</v>
      </c>
      <c r="M2662" s="1">
        <f t="shared" si="208"/>
        <v>190.31815467789718</v>
      </c>
      <c r="N2662" s="7">
        <f t="shared" si="209"/>
        <v>190.31815467789718</v>
      </c>
    </row>
    <row r="2663" spans="1:14" x14ac:dyDescent="0.25">
      <c r="A2663" t="str">
        <f>"14:34:44.898"</f>
        <v>14:34:44.898</v>
      </c>
      <c r="B2663">
        <v>40.182366000000002</v>
      </c>
      <c r="C2663">
        <v>-75.299993000000001</v>
      </c>
      <c r="D2663">
        <v>3800</v>
      </c>
      <c r="E2663">
        <v>3975</v>
      </c>
      <c r="F2663">
        <v>139</v>
      </c>
      <c r="G2663">
        <v>130</v>
      </c>
      <c r="H2663">
        <v>-320</v>
      </c>
      <c r="J2663" s="1">
        <f t="shared" si="205"/>
        <v>19321</v>
      </c>
      <c r="K2663" s="1">
        <f t="shared" si="206"/>
        <v>16900</v>
      </c>
      <c r="L2663" s="1">
        <f t="shared" si="207"/>
        <v>36221</v>
      </c>
      <c r="M2663" s="1">
        <f t="shared" si="208"/>
        <v>190.31815467789718</v>
      </c>
      <c r="N2663" s="7">
        <f t="shared" si="209"/>
        <v>190.31815467789718</v>
      </c>
    </row>
    <row r="2664" spans="1:14" x14ac:dyDescent="0.25">
      <c r="A2664" t="str">
        <f>"14:34:45.914"</f>
        <v>14:34:45.914</v>
      </c>
      <c r="B2664">
        <v>40.182946000000001</v>
      </c>
      <c r="C2664">
        <v>-75.299133999999995</v>
      </c>
      <c r="D2664">
        <v>3700</v>
      </c>
      <c r="E2664">
        <v>3950</v>
      </c>
      <c r="F2664">
        <v>139</v>
      </c>
      <c r="G2664">
        <v>130</v>
      </c>
      <c r="H2664">
        <v>-320</v>
      </c>
      <c r="J2664" s="1">
        <f t="shared" si="205"/>
        <v>19321</v>
      </c>
      <c r="K2664" s="1">
        <f t="shared" si="206"/>
        <v>16900</v>
      </c>
      <c r="L2664" s="1">
        <f t="shared" si="207"/>
        <v>36221</v>
      </c>
      <c r="M2664" s="1">
        <f t="shared" si="208"/>
        <v>190.31815467789718</v>
      </c>
      <c r="N2664" s="7">
        <f t="shared" si="209"/>
        <v>190.31815467789718</v>
      </c>
    </row>
    <row r="2665" spans="1:14" x14ac:dyDescent="0.25">
      <c r="A2665" t="str">
        <f>"14:34:46.820"</f>
        <v>14:34:46.820</v>
      </c>
      <c r="B2665">
        <v>40.183525000000003</v>
      </c>
      <c r="C2665">
        <v>-75.298426000000006</v>
      </c>
      <c r="D2665">
        <v>3700</v>
      </c>
      <c r="E2665">
        <v>3950</v>
      </c>
      <c r="F2665">
        <v>139</v>
      </c>
      <c r="G2665">
        <v>130</v>
      </c>
      <c r="H2665">
        <v>-384</v>
      </c>
      <c r="J2665" s="1">
        <f t="shared" si="205"/>
        <v>19321</v>
      </c>
      <c r="K2665" s="1">
        <f t="shared" si="206"/>
        <v>16900</v>
      </c>
      <c r="L2665" s="1">
        <f t="shared" si="207"/>
        <v>36221</v>
      </c>
      <c r="M2665" s="1">
        <f t="shared" si="208"/>
        <v>190.31815467789718</v>
      </c>
      <c r="N2665" s="7">
        <f t="shared" si="209"/>
        <v>190.31815467789718</v>
      </c>
    </row>
    <row r="2666" spans="1:14" x14ac:dyDescent="0.25">
      <c r="A2666" t="str">
        <f>"14:34:47.781"</f>
        <v>14:34:47.781</v>
      </c>
      <c r="B2666">
        <v>40.184061999999997</v>
      </c>
      <c r="C2666">
        <v>-75.297611000000003</v>
      </c>
      <c r="D2666">
        <v>3700</v>
      </c>
      <c r="E2666">
        <v>3950</v>
      </c>
      <c r="F2666">
        <v>138</v>
      </c>
      <c r="G2666">
        <v>130</v>
      </c>
      <c r="H2666">
        <v>-384</v>
      </c>
      <c r="J2666" s="1">
        <f t="shared" si="205"/>
        <v>19044</v>
      </c>
      <c r="K2666" s="1">
        <f t="shared" si="206"/>
        <v>16900</v>
      </c>
      <c r="L2666" s="1">
        <f t="shared" si="207"/>
        <v>35944</v>
      </c>
      <c r="M2666" s="1">
        <f t="shared" si="208"/>
        <v>189.58902921846507</v>
      </c>
      <c r="N2666" s="7">
        <f t="shared" si="209"/>
        <v>189.58902921846507</v>
      </c>
    </row>
    <row r="2667" spans="1:14" x14ac:dyDescent="0.25">
      <c r="A2667" t="str">
        <f>"14:34:48.734"</f>
        <v>14:34:48.734</v>
      </c>
      <c r="B2667">
        <v>40.184640999999999</v>
      </c>
      <c r="C2667">
        <v>-75.296817000000004</v>
      </c>
      <c r="D2667">
        <v>3700</v>
      </c>
      <c r="E2667">
        <v>3950</v>
      </c>
      <c r="F2667">
        <v>138</v>
      </c>
      <c r="G2667">
        <v>130</v>
      </c>
      <c r="H2667">
        <v>-384</v>
      </c>
      <c r="J2667" s="1">
        <f t="shared" si="205"/>
        <v>19044</v>
      </c>
      <c r="K2667" s="1">
        <f t="shared" si="206"/>
        <v>16900</v>
      </c>
      <c r="L2667" s="1">
        <f t="shared" si="207"/>
        <v>35944</v>
      </c>
      <c r="M2667" s="1">
        <f t="shared" si="208"/>
        <v>189.58902921846507</v>
      </c>
      <c r="N2667" s="7">
        <f t="shared" si="209"/>
        <v>189.58902921846507</v>
      </c>
    </row>
    <row r="2668" spans="1:14" x14ac:dyDescent="0.25">
      <c r="A2668" t="str">
        <f>"14:34:49.695"</f>
        <v>14:34:49.695</v>
      </c>
      <c r="B2668">
        <v>40.185242000000002</v>
      </c>
      <c r="C2668">
        <v>-75.295958999999996</v>
      </c>
      <c r="D2668">
        <v>3700</v>
      </c>
      <c r="E2668">
        <v>3925</v>
      </c>
      <c r="F2668">
        <v>138</v>
      </c>
      <c r="G2668">
        <v>129</v>
      </c>
      <c r="H2668">
        <v>-384</v>
      </c>
      <c r="J2668" s="1">
        <f t="shared" si="205"/>
        <v>19044</v>
      </c>
      <c r="K2668" s="1">
        <f t="shared" si="206"/>
        <v>16641</v>
      </c>
      <c r="L2668" s="1">
        <f t="shared" si="207"/>
        <v>35685</v>
      </c>
      <c r="M2668" s="1">
        <f t="shared" si="208"/>
        <v>188.90473789717399</v>
      </c>
      <c r="N2668" s="7">
        <f t="shared" si="209"/>
        <v>188.90473789717399</v>
      </c>
    </row>
    <row r="2669" spans="1:14" x14ac:dyDescent="0.25">
      <c r="A2669" t="str">
        <f>"14:34:50.813"</f>
        <v>14:34:50.813</v>
      </c>
      <c r="B2669">
        <v>40.185884999999999</v>
      </c>
      <c r="C2669">
        <v>-75.295057</v>
      </c>
      <c r="D2669">
        <v>3700</v>
      </c>
      <c r="E2669">
        <v>3925</v>
      </c>
      <c r="F2669">
        <v>138</v>
      </c>
      <c r="G2669">
        <v>129</v>
      </c>
      <c r="H2669">
        <v>-320</v>
      </c>
      <c r="J2669" s="1">
        <f t="shared" si="205"/>
        <v>19044</v>
      </c>
      <c r="K2669" s="1">
        <f t="shared" si="206"/>
        <v>16641</v>
      </c>
      <c r="L2669" s="1">
        <f t="shared" si="207"/>
        <v>35685</v>
      </c>
      <c r="M2669" s="1">
        <f t="shared" si="208"/>
        <v>188.90473789717399</v>
      </c>
      <c r="N2669" s="7">
        <f t="shared" si="209"/>
        <v>188.90473789717399</v>
      </c>
    </row>
    <row r="2670" spans="1:14" x14ac:dyDescent="0.25">
      <c r="A2670" t="str">
        <f>"14:34:51.766"</f>
        <v>14:34:51.766</v>
      </c>
      <c r="B2670">
        <v>40.186486000000002</v>
      </c>
      <c r="C2670">
        <v>-75.294306000000006</v>
      </c>
      <c r="D2670">
        <v>3700</v>
      </c>
      <c r="E2670">
        <v>3925</v>
      </c>
      <c r="F2670">
        <v>138</v>
      </c>
      <c r="G2670">
        <v>129</v>
      </c>
      <c r="H2670">
        <v>-384</v>
      </c>
      <c r="J2670" s="1">
        <f t="shared" si="205"/>
        <v>19044</v>
      </c>
      <c r="K2670" s="1">
        <f t="shared" si="206"/>
        <v>16641</v>
      </c>
      <c r="L2670" s="1">
        <f t="shared" si="207"/>
        <v>35685</v>
      </c>
      <c r="M2670" s="1">
        <f t="shared" si="208"/>
        <v>188.90473789717399</v>
      </c>
      <c r="N2670" s="7">
        <f t="shared" si="209"/>
        <v>188.90473789717399</v>
      </c>
    </row>
    <row r="2671" spans="1:14" x14ac:dyDescent="0.25">
      <c r="A2671" t="str">
        <f>"14:34:52.836"</f>
        <v>14:34:52.836</v>
      </c>
      <c r="B2671">
        <v>40.187109</v>
      </c>
      <c r="C2671">
        <v>-75.293362000000002</v>
      </c>
      <c r="D2671">
        <v>3700</v>
      </c>
      <c r="E2671">
        <v>3925</v>
      </c>
      <c r="F2671">
        <v>138</v>
      </c>
      <c r="G2671">
        <v>129</v>
      </c>
      <c r="H2671">
        <v>-448</v>
      </c>
      <c r="J2671" s="1">
        <f t="shared" si="205"/>
        <v>19044</v>
      </c>
      <c r="K2671" s="1">
        <f t="shared" si="206"/>
        <v>16641</v>
      </c>
      <c r="L2671" s="1">
        <f t="shared" si="207"/>
        <v>35685</v>
      </c>
      <c r="M2671" s="1">
        <f t="shared" si="208"/>
        <v>188.90473789717399</v>
      </c>
      <c r="N2671" s="7">
        <f t="shared" si="209"/>
        <v>188.90473789717399</v>
      </c>
    </row>
    <row r="2672" spans="1:14" x14ac:dyDescent="0.25">
      <c r="A2672" t="str">
        <f>"14:34:53.836"</f>
        <v>14:34:53.836</v>
      </c>
      <c r="B2672">
        <v>40.187708999999998</v>
      </c>
      <c r="C2672">
        <v>-75.292546999999999</v>
      </c>
      <c r="D2672">
        <v>3700</v>
      </c>
      <c r="E2672">
        <v>3900</v>
      </c>
      <c r="F2672">
        <v>138</v>
      </c>
      <c r="G2672">
        <v>129</v>
      </c>
      <c r="H2672">
        <v>-384</v>
      </c>
      <c r="J2672" s="1">
        <f t="shared" si="205"/>
        <v>19044</v>
      </c>
      <c r="K2672" s="1">
        <f t="shared" si="206"/>
        <v>16641</v>
      </c>
      <c r="L2672" s="1">
        <f t="shared" si="207"/>
        <v>35685</v>
      </c>
      <c r="M2672" s="1">
        <f t="shared" si="208"/>
        <v>188.90473789717399</v>
      </c>
      <c r="N2672" s="7">
        <f t="shared" si="209"/>
        <v>188.90473789717399</v>
      </c>
    </row>
    <row r="2673" spans="1:14" x14ac:dyDescent="0.25">
      <c r="A2673" t="str">
        <f>"14:34:54.750"</f>
        <v>14:34:54.750</v>
      </c>
      <c r="B2673">
        <v>40.188267000000003</v>
      </c>
      <c r="C2673">
        <v>-75.291816999999995</v>
      </c>
      <c r="D2673">
        <v>3700</v>
      </c>
      <c r="E2673">
        <v>3900</v>
      </c>
      <c r="F2673">
        <v>138</v>
      </c>
      <c r="G2673">
        <v>129</v>
      </c>
      <c r="H2673">
        <v>-384</v>
      </c>
      <c r="J2673" s="1">
        <f t="shared" si="205"/>
        <v>19044</v>
      </c>
      <c r="K2673" s="1">
        <f t="shared" si="206"/>
        <v>16641</v>
      </c>
      <c r="L2673" s="1">
        <f t="shared" si="207"/>
        <v>35685</v>
      </c>
      <c r="M2673" s="1">
        <f t="shared" si="208"/>
        <v>188.90473789717399</v>
      </c>
      <c r="N2673" s="7">
        <f t="shared" si="209"/>
        <v>188.90473789717399</v>
      </c>
    </row>
    <row r="2674" spans="1:14" x14ac:dyDescent="0.25">
      <c r="A2674" t="str">
        <f>"14:34:55.656"</f>
        <v>14:34:55.656</v>
      </c>
      <c r="B2674">
        <v>40.188782000000003</v>
      </c>
      <c r="C2674">
        <v>-75.291044999999997</v>
      </c>
      <c r="D2674">
        <v>3700</v>
      </c>
      <c r="E2674">
        <v>3900</v>
      </c>
      <c r="F2674">
        <v>138</v>
      </c>
      <c r="G2674">
        <v>129</v>
      </c>
      <c r="H2674">
        <v>-384</v>
      </c>
      <c r="J2674" s="1">
        <f t="shared" si="205"/>
        <v>19044</v>
      </c>
      <c r="K2674" s="1">
        <f t="shared" si="206"/>
        <v>16641</v>
      </c>
      <c r="L2674" s="1">
        <f t="shared" si="207"/>
        <v>35685</v>
      </c>
      <c r="M2674" s="1">
        <f t="shared" si="208"/>
        <v>188.90473789717399</v>
      </c>
      <c r="N2674" s="7">
        <f t="shared" si="209"/>
        <v>188.90473789717399</v>
      </c>
    </row>
    <row r="2675" spans="1:14" x14ac:dyDescent="0.25">
      <c r="A2675" t="str">
        <f>"14:34:56.711"</f>
        <v>14:34:56.711</v>
      </c>
      <c r="B2675">
        <v>40.189447000000001</v>
      </c>
      <c r="C2675">
        <v>-75.290101000000007</v>
      </c>
      <c r="D2675">
        <v>3700</v>
      </c>
      <c r="E2675">
        <v>3875</v>
      </c>
      <c r="F2675">
        <v>138</v>
      </c>
      <c r="G2675">
        <v>129</v>
      </c>
      <c r="H2675">
        <v>-384</v>
      </c>
      <c r="J2675" s="1">
        <f t="shared" si="205"/>
        <v>19044</v>
      </c>
      <c r="K2675" s="1">
        <f t="shared" si="206"/>
        <v>16641</v>
      </c>
      <c r="L2675" s="1">
        <f t="shared" si="207"/>
        <v>35685</v>
      </c>
      <c r="M2675" s="1">
        <f t="shared" si="208"/>
        <v>188.90473789717399</v>
      </c>
      <c r="N2675" s="7">
        <f t="shared" si="209"/>
        <v>188.90473789717399</v>
      </c>
    </row>
    <row r="2676" spans="1:14" x14ac:dyDescent="0.25">
      <c r="A2676" t="str">
        <f>"14:34:57.570"</f>
        <v>14:34:57.570</v>
      </c>
      <c r="B2676">
        <v>40.189919000000003</v>
      </c>
      <c r="C2676">
        <v>-75.289434999999997</v>
      </c>
      <c r="D2676">
        <v>3700</v>
      </c>
      <c r="E2676">
        <v>3875</v>
      </c>
      <c r="F2676">
        <v>138</v>
      </c>
      <c r="G2676">
        <v>129</v>
      </c>
      <c r="H2676">
        <v>-384</v>
      </c>
      <c r="J2676" s="1">
        <f t="shared" si="205"/>
        <v>19044</v>
      </c>
      <c r="K2676" s="1">
        <f t="shared" si="206"/>
        <v>16641</v>
      </c>
      <c r="L2676" s="1">
        <f t="shared" si="207"/>
        <v>35685</v>
      </c>
      <c r="M2676" s="1">
        <f t="shared" si="208"/>
        <v>188.90473789717399</v>
      </c>
      <c r="N2676" s="7">
        <f t="shared" si="209"/>
        <v>188.90473789717399</v>
      </c>
    </row>
    <row r="2677" spans="1:14" x14ac:dyDescent="0.25">
      <c r="A2677" t="str">
        <f>"14:34:58.531"</f>
        <v>14:34:58.531</v>
      </c>
      <c r="B2677">
        <v>40.190499000000003</v>
      </c>
      <c r="C2677">
        <v>-75.288640999999998</v>
      </c>
      <c r="D2677">
        <v>3700</v>
      </c>
      <c r="E2677">
        <v>3875</v>
      </c>
      <c r="F2677">
        <v>138</v>
      </c>
      <c r="G2677">
        <v>129</v>
      </c>
      <c r="H2677">
        <v>-384</v>
      </c>
      <c r="J2677" s="1">
        <f t="shared" si="205"/>
        <v>19044</v>
      </c>
      <c r="K2677" s="1">
        <f t="shared" si="206"/>
        <v>16641</v>
      </c>
      <c r="L2677" s="1">
        <f t="shared" si="207"/>
        <v>35685</v>
      </c>
      <c r="M2677" s="1">
        <f t="shared" si="208"/>
        <v>188.90473789717399</v>
      </c>
      <c r="N2677" s="7">
        <f t="shared" si="209"/>
        <v>188.90473789717399</v>
      </c>
    </row>
    <row r="2678" spans="1:14" x14ac:dyDescent="0.25">
      <c r="A2678" t="str">
        <f>"14:34:59.391"</f>
        <v>14:34:59.391</v>
      </c>
      <c r="B2678">
        <v>40.191057000000001</v>
      </c>
      <c r="C2678">
        <v>-75.287869000000001</v>
      </c>
      <c r="D2678">
        <v>3700</v>
      </c>
      <c r="E2678">
        <v>3875</v>
      </c>
      <c r="F2678">
        <v>138</v>
      </c>
      <c r="G2678">
        <v>129</v>
      </c>
      <c r="H2678">
        <v>-384</v>
      </c>
      <c r="J2678" s="1">
        <f t="shared" si="205"/>
        <v>19044</v>
      </c>
      <c r="K2678" s="1">
        <f t="shared" si="206"/>
        <v>16641</v>
      </c>
      <c r="L2678" s="1">
        <f t="shared" si="207"/>
        <v>35685</v>
      </c>
      <c r="M2678" s="1">
        <f t="shared" si="208"/>
        <v>188.90473789717399</v>
      </c>
      <c r="N2678" s="7">
        <f t="shared" si="209"/>
        <v>188.90473789717399</v>
      </c>
    </row>
    <row r="2679" spans="1:14" x14ac:dyDescent="0.25">
      <c r="A2679" t="str">
        <f>"14:35:00.453"</f>
        <v>14:35:00.453</v>
      </c>
      <c r="B2679">
        <v>40.191657999999997</v>
      </c>
      <c r="C2679">
        <v>-75.287053999999998</v>
      </c>
      <c r="D2679">
        <v>3700</v>
      </c>
      <c r="E2679">
        <v>3875</v>
      </c>
      <c r="F2679">
        <v>138</v>
      </c>
      <c r="G2679">
        <v>129</v>
      </c>
      <c r="H2679">
        <v>-384</v>
      </c>
      <c r="J2679" s="1">
        <f t="shared" si="205"/>
        <v>19044</v>
      </c>
      <c r="K2679" s="1">
        <f t="shared" si="206"/>
        <v>16641</v>
      </c>
      <c r="L2679" s="1">
        <f t="shared" si="207"/>
        <v>35685</v>
      </c>
      <c r="M2679" s="1">
        <f t="shared" si="208"/>
        <v>188.90473789717399</v>
      </c>
      <c r="N2679" s="7">
        <f t="shared" si="209"/>
        <v>188.90473789717399</v>
      </c>
    </row>
    <row r="2680" spans="1:14" x14ac:dyDescent="0.25">
      <c r="A2680" t="str">
        <f>"14:35:01.516"</f>
        <v>14:35:01.516</v>
      </c>
      <c r="B2680">
        <v>40.192301</v>
      </c>
      <c r="C2680">
        <v>-75.286130999999997</v>
      </c>
      <c r="D2680">
        <v>3700</v>
      </c>
      <c r="E2680">
        <v>3850</v>
      </c>
      <c r="F2680">
        <v>138</v>
      </c>
      <c r="G2680">
        <v>128</v>
      </c>
      <c r="H2680">
        <v>-448</v>
      </c>
      <c r="J2680" s="1">
        <f t="shared" si="205"/>
        <v>19044</v>
      </c>
      <c r="K2680" s="1">
        <f t="shared" si="206"/>
        <v>16384</v>
      </c>
      <c r="L2680" s="1">
        <f t="shared" si="207"/>
        <v>35428</v>
      </c>
      <c r="M2680" s="1">
        <f t="shared" si="208"/>
        <v>188.22327167489146</v>
      </c>
      <c r="N2680" s="7">
        <f t="shared" si="209"/>
        <v>188.22327167489146</v>
      </c>
    </row>
    <row r="2681" spans="1:14" x14ac:dyDescent="0.25">
      <c r="A2681" t="str">
        <f>"14:35:02.570"</f>
        <v>14:35:02.570</v>
      </c>
      <c r="B2681">
        <v>40.192965999999998</v>
      </c>
      <c r="C2681">
        <v>-75.285186999999993</v>
      </c>
      <c r="D2681">
        <v>3700</v>
      </c>
      <c r="E2681">
        <v>3850</v>
      </c>
      <c r="F2681">
        <v>138</v>
      </c>
      <c r="G2681">
        <v>128</v>
      </c>
      <c r="H2681">
        <v>-448</v>
      </c>
      <c r="J2681" s="1">
        <f t="shared" si="205"/>
        <v>19044</v>
      </c>
      <c r="K2681" s="1">
        <f t="shared" si="206"/>
        <v>16384</v>
      </c>
      <c r="L2681" s="1">
        <f t="shared" si="207"/>
        <v>35428</v>
      </c>
      <c r="M2681" s="1">
        <f t="shared" si="208"/>
        <v>188.22327167489146</v>
      </c>
      <c r="N2681" s="7">
        <f t="shared" si="209"/>
        <v>188.22327167489146</v>
      </c>
    </row>
    <row r="2682" spans="1:14" x14ac:dyDescent="0.25">
      <c r="A2682" t="str">
        <f>"14:35:03.633"</f>
        <v>14:35:03.633</v>
      </c>
      <c r="B2682">
        <v>40.193523999999996</v>
      </c>
      <c r="C2682">
        <v>-75.284370999999993</v>
      </c>
      <c r="D2682">
        <v>3700</v>
      </c>
      <c r="E2682">
        <v>3850</v>
      </c>
      <c r="F2682">
        <v>138</v>
      </c>
      <c r="G2682">
        <v>128</v>
      </c>
      <c r="H2682">
        <v>-384</v>
      </c>
      <c r="J2682" s="1">
        <f t="shared" si="205"/>
        <v>19044</v>
      </c>
      <c r="K2682" s="1">
        <f t="shared" si="206"/>
        <v>16384</v>
      </c>
      <c r="L2682" s="1">
        <f t="shared" si="207"/>
        <v>35428</v>
      </c>
      <c r="M2682" s="1">
        <f t="shared" si="208"/>
        <v>188.22327167489146</v>
      </c>
      <c r="N2682" s="7">
        <f t="shared" si="209"/>
        <v>188.22327167489146</v>
      </c>
    </row>
    <row r="2683" spans="1:14" x14ac:dyDescent="0.25">
      <c r="A2683" t="str">
        <f>"14:35:04.648"</f>
        <v>14:35:04.648</v>
      </c>
      <c r="B2683">
        <v>40.194125</v>
      </c>
      <c r="C2683">
        <v>-75.283556000000004</v>
      </c>
      <c r="D2683">
        <v>3600</v>
      </c>
      <c r="E2683">
        <v>3825</v>
      </c>
      <c r="F2683">
        <v>138</v>
      </c>
      <c r="G2683">
        <v>128</v>
      </c>
      <c r="H2683">
        <v>-320</v>
      </c>
      <c r="J2683" s="1">
        <f t="shared" si="205"/>
        <v>19044</v>
      </c>
      <c r="K2683" s="1">
        <f t="shared" si="206"/>
        <v>16384</v>
      </c>
      <c r="L2683" s="1">
        <f t="shared" si="207"/>
        <v>35428</v>
      </c>
      <c r="M2683" s="1">
        <f t="shared" si="208"/>
        <v>188.22327167489146</v>
      </c>
      <c r="N2683" s="7">
        <f t="shared" si="209"/>
        <v>188.22327167489146</v>
      </c>
    </row>
    <row r="2684" spans="1:14" x14ac:dyDescent="0.25">
      <c r="A2684" t="str">
        <f>"14:35:05.703"</f>
        <v>14:35:05.703</v>
      </c>
      <c r="B2684">
        <v>40.194747</v>
      </c>
      <c r="C2684">
        <v>-75.282697999999996</v>
      </c>
      <c r="D2684">
        <v>3600</v>
      </c>
      <c r="E2684">
        <v>3825</v>
      </c>
      <c r="F2684">
        <v>138</v>
      </c>
      <c r="G2684">
        <v>128</v>
      </c>
      <c r="H2684">
        <v>-192</v>
      </c>
      <c r="J2684" s="1">
        <f t="shared" si="205"/>
        <v>19044</v>
      </c>
      <c r="K2684" s="1">
        <f t="shared" si="206"/>
        <v>16384</v>
      </c>
      <c r="L2684" s="1">
        <f t="shared" si="207"/>
        <v>35428</v>
      </c>
      <c r="M2684" s="1">
        <f t="shared" si="208"/>
        <v>188.22327167489146</v>
      </c>
      <c r="N2684" s="7">
        <f t="shared" si="209"/>
        <v>188.22327167489146</v>
      </c>
    </row>
    <row r="2685" spans="1:14" x14ac:dyDescent="0.25">
      <c r="A2685" t="str">
        <f>"14:35:06.664"</f>
        <v>14:35:06.664</v>
      </c>
      <c r="B2685">
        <v>40.195348000000003</v>
      </c>
      <c r="C2685">
        <v>-75.281881999999996</v>
      </c>
      <c r="D2685">
        <v>3600</v>
      </c>
      <c r="E2685">
        <v>3825</v>
      </c>
      <c r="F2685">
        <v>138</v>
      </c>
      <c r="G2685">
        <v>128</v>
      </c>
      <c r="H2685">
        <v>-128</v>
      </c>
      <c r="J2685" s="1">
        <f t="shared" si="205"/>
        <v>19044</v>
      </c>
      <c r="K2685" s="1">
        <f t="shared" si="206"/>
        <v>16384</v>
      </c>
      <c r="L2685" s="1">
        <f t="shared" si="207"/>
        <v>35428</v>
      </c>
      <c r="M2685" s="1">
        <f t="shared" si="208"/>
        <v>188.22327167489146</v>
      </c>
      <c r="N2685" s="7">
        <f t="shared" si="209"/>
        <v>188.22327167489146</v>
      </c>
    </row>
    <row r="2686" spans="1:14" x14ac:dyDescent="0.25">
      <c r="A2686" t="str">
        <f>"14:35:07.570"</f>
        <v>14:35:07.570</v>
      </c>
      <c r="B2686">
        <v>40.195863000000003</v>
      </c>
      <c r="C2686">
        <v>-75.281131000000002</v>
      </c>
      <c r="D2686">
        <v>3600</v>
      </c>
      <c r="E2686">
        <v>3825</v>
      </c>
      <c r="F2686">
        <v>137</v>
      </c>
      <c r="G2686">
        <v>128</v>
      </c>
      <c r="H2686">
        <v>0</v>
      </c>
      <c r="J2686" s="1">
        <f t="shared" si="205"/>
        <v>18769</v>
      </c>
      <c r="K2686" s="1">
        <f t="shared" si="206"/>
        <v>16384</v>
      </c>
      <c r="L2686" s="1">
        <f t="shared" si="207"/>
        <v>35153</v>
      </c>
      <c r="M2686" s="1">
        <f t="shared" si="208"/>
        <v>187.49133313302778</v>
      </c>
      <c r="N2686" s="7">
        <f t="shared" si="209"/>
        <v>187.49133313302778</v>
      </c>
    </row>
    <row r="2687" spans="1:14" x14ac:dyDescent="0.25">
      <c r="A2687" t="str">
        <f>"14:35:08.633"</f>
        <v>14:35:08.633</v>
      </c>
      <c r="B2687">
        <v>40.196506999999997</v>
      </c>
      <c r="C2687">
        <v>-75.280186999999998</v>
      </c>
      <c r="D2687">
        <v>3600</v>
      </c>
      <c r="E2687">
        <v>3825</v>
      </c>
      <c r="F2687">
        <v>137</v>
      </c>
      <c r="G2687">
        <v>128</v>
      </c>
      <c r="H2687">
        <v>64</v>
      </c>
      <c r="J2687" s="1">
        <f t="shared" si="205"/>
        <v>18769</v>
      </c>
      <c r="K2687" s="1">
        <f t="shared" si="206"/>
        <v>16384</v>
      </c>
      <c r="L2687" s="1">
        <f t="shared" si="207"/>
        <v>35153</v>
      </c>
      <c r="M2687" s="1">
        <f t="shared" si="208"/>
        <v>187.49133313302778</v>
      </c>
      <c r="N2687" s="7">
        <f t="shared" si="209"/>
        <v>187.49133313302778</v>
      </c>
    </row>
    <row r="2688" spans="1:14" x14ac:dyDescent="0.25">
      <c r="A2688" t="str">
        <f>"14:35:09.594"</f>
        <v>14:35:09.594</v>
      </c>
      <c r="B2688">
        <v>40.197108</v>
      </c>
      <c r="C2688">
        <v>-75.279371999999995</v>
      </c>
      <c r="D2688">
        <v>3600</v>
      </c>
      <c r="E2688">
        <v>3825</v>
      </c>
      <c r="F2688">
        <v>136</v>
      </c>
      <c r="G2688">
        <v>127</v>
      </c>
      <c r="H2688">
        <v>64</v>
      </c>
      <c r="J2688" s="1">
        <f t="shared" si="205"/>
        <v>18496</v>
      </c>
      <c r="K2688" s="1">
        <f t="shared" si="206"/>
        <v>16129</v>
      </c>
      <c r="L2688" s="1">
        <f t="shared" si="207"/>
        <v>34625</v>
      </c>
      <c r="M2688" s="1">
        <f t="shared" si="208"/>
        <v>186.07794065928394</v>
      </c>
      <c r="N2688" s="7">
        <f t="shared" si="209"/>
        <v>186.07794065928394</v>
      </c>
    </row>
    <row r="2689" spans="1:14" x14ac:dyDescent="0.25">
      <c r="A2689" t="str">
        <f>"14:35:10.500"</f>
        <v>14:35:10.500</v>
      </c>
      <c r="B2689">
        <v>40.197643999999997</v>
      </c>
      <c r="C2689">
        <v>-75.278621000000001</v>
      </c>
      <c r="D2689">
        <v>3600</v>
      </c>
      <c r="E2689">
        <v>3825</v>
      </c>
      <c r="F2689">
        <v>136</v>
      </c>
      <c r="G2689">
        <v>127</v>
      </c>
      <c r="H2689">
        <v>64</v>
      </c>
      <c r="J2689" s="1">
        <f t="shared" si="205"/>
        <v>18496</v>
      </c>
      <c r="K2689" s="1">
        <f t="shared" si="206"/>
        <v>16129</v>
      </c>
      <c r="L2689" s="1">
        <f t="shared" si="207"/>
        <v>34625</v>
      </c>
      <c r="M2689" s="1">
        <f t="shared" si="208"/>
        <v>186.07794065928394</v>
      </c>
      <c r="N2689" s="7">
        <f t="shared" si="209"/>
        <v>186.07794065928394</v>
      </c>
    </row>
    <row r="2690" spans="1:14" x14ac:dyDescent="0.25">
      <c r="A2690" t="str">
        <f>"14:35:11.406"</f>
        <v>14:35:11.406</v>
      </c>
      <c r="B2690">
        <v>40.198180999999998</v>
      </c>
      <c r="C2690">
        <v>-75.277956000000003</v>
      </c>
      <c r="D2690">
        <v>3600</v>
      </c>
      <c r="E2690">
        <v>3825</v>
      </c>
      <c r="F2690">
        <v>135</v>
      </c>
      <c r="G2690">
        <v>127</v>
      </c>
      <c r="H2690">
        <v>64</v>
      </c>
      <c r="J2690" s="1">
        <f t="shared" si="205"/>
        <v>18225</v>
      </c>
      <c r="K2690" s="1">
        <f t="shared" si="206"/>
        <v>16129</v>
      </c>
      <c r="L2690" s="1">
        <f t="shared" si="207"/>
        <v>34354</v>
      </c>
      <c r="M2690" s="1">
        <f t="shared" si="208"/>
        <v>185.34832073693033</v>
      </c>
      <c r="N2690" s="7">
        <f t="shared" si="209"/>
        <v>185.34832073693033</v>
      </c>
    </row>
    <row r="2691" spans="1:14" x14ac:dyDescent="0.25">
      <c r="A2691" t="str">
        <f>"14:35:12.313"</f>
        <v>14:35:12.313</v>
      </c>
      <c r="B2691">
        <v>40.198695999999998</v>
      </c>
      <c r="C2691">
        <v>-75.277225999999999</v>
      </c>
      <c r="D2691">
        <v>3600</v>
      </c>
      <c r="E2691">
        <v>3825</v>
      </c>
      <c r="F2691">
        <v>135</v>
      </c>
      <c r="G2691">
        <v>127</v>
      </c>
      <c r="H2691">
        <v>64</v>
      </c>
      <c r="J2691" s="1">
        <f t="shared" ref="J2691:J2754" si="210">F2691^2</f>
        <v>18225</v>
      </c>
      <c r="K2691" s="1">
        <f t="shared" ref="K2691:K2754" si="211">G2691^2</f>
        <v>16129</v>
      </c>
      <c r="L2691" s="1">
        <f t="shared" ref="L2691:L2754" si="212">SUMSQ(F2691,G2691)</f>
        <v>34354</v>
      </c>
      <c r="M2691" s="1">
        <f t="shared" ref="M2691:M2754" si="213">SQRT(L2691)</f>
        <v>185.34832073693033</v>
      </c>
      <c r="N2691" s="7">
        <f t="shared" ref="N2691:N2754" si="214">M2691</f>
        <v>185.34832073693033</v>
      </c>
    </row>
    <row r="2692" spans="1:14" x14ac:dyDescent="0.25">
      <c r="A2692" t="str">
        <f>"14:35:13.430"</f>
        <v>14:35:13.430</v>
      </c>
      <c r="B2692">
        <v>40.199339000000002</v>
      </c>
      <c r="C2692">
        <v>-75.276325</v>
      </c>
      <c r="D2692">
        <v>3600</v>
      </c>
      <c r="E2692">
        <v>3825</v>
      </c>
      <c r="F2692">
        <v>134</v>
      </c>
      <c r="G2692">
        <v>127</v>
      </c>
      <c r="H2692">
        <v>64</v>
      </c>
      <c r="J2692" s="1">
        <f t="shared" si="210"/>
        <v>17956</v>
      </c>
      <c r="K2692" s="1">
        <f t="shared" si="211"/>
        <v>16129</v>
      </c>
      <c r="L2692" s="1">
        <f t="shared" si="212"/>
        <v>34085</v>
      </c>
      <c r="M2692" s="1">
        <f t="shared" si="213"/>
        <v>184.6212338816963</v>
      </c>
      <c r="N2692" s="7">
        <f t="shared" si="214"/>
        <v>184.6212338816963</v>
      </c>
    </row>
    <row r="2693" spans="1:14" x14ac:dyDescent="0.25">
      <c r="A2693" t="str">
        <f>"14:35:14.539"</f>
        <v>14:35:14.539</v>
      </c>
      <c r="B2693">
        <v>40.199983000000003</v>
      </c>
      <c r="C2693">
        <v>-75.275380999999996</v>
      </c>
      <c r="D2693">
        <v>3600</v>
      </c>
      <c r="E2693">
        <v>3825</v>
      </c>
      <c r="F2693">
        <v>134</v>
      </c>
      <c r="G2693">
        <v>127</v>
      </c>
      <c r="H2693">
        <v>64</v>
      </c>
      <c r="J2693" s="1">
        <f t="shared" si="210"/>
        <v>17956</v>
      </c>
      <c r="K2693" s="1">
        <f t="shared" si="211"/>
        <v>16129</v>
      </c>
      <c r="L2693" s="1">
        <f t="shared" si="212"/>
        <v>34085</v>
      </c>
      <c r="M2693" s="1">
        <f t="shared" si="213"/>
        <v>184.6212338816963</v>
      </c>
      <c r="N2693" s="7">
        <f t="shared" si="214"/>
        <v>184.6212338816963</v>
      </c>
    </row>
    <row r="2694" spans="1:14" x14ac:dyDescent="0.25">
      <c r="A2694" t="str">
        <f>"14:35:15.492"</f>
        <v>14:35:15.492</v>
      </c>
      <c r="B2694">
        <v>40.200583999999999</v>
      </c>
      <c r="C2694">
        <v>-75.274586999999997</v>
      </c>
      <c r="D2694">
        <v>3600</v>
      </c>
      <c r="E2694">
        <v>3825</v>
      </c>
      <c r="F2694">
        <v>133</v>
      </c>
      <c r="G2694">
        <v>127</v>
      </c>
      <c r="H2694">
        <v>64</v>
      </c>
      <c r="J2694" s="1">
        <f t="shared" si="210"/>
        <v>17689</v>
      </c>
      <c r="K2694" s="1">
        <f t="shared" si="211"/>
        <v>16129</v>
      </c>
      <c r="L2694" s="1">
        <f t="shared" si="212"/>
        <v>33818</v>
      </c>
      <c r="M2694" s="1">
        <f t="shared" si="213"/>
        <v>183.89671013914307</v>
      </c>
      <c r="N2694" s="7">
        <f t="shared" si="214"/>
        <v>183.89671013914307</v>
      </c>
    </row>
    <row r="2695" spans="1:14" x14ac:dyDescent="0.25">
      <c r="A2695" t="str">
        <f>"14:35:16.406"</f>
        <v>14:35:16.406</v>
      </c>
      <c r="B2695">
        <v>40.201120000000003</v>
      </c>
      <c r="C2695">
        <v>-75.273878999999994</v>
      </c>
      <c r="D2695">
        <v>3600</v>
      </c>
      <c r="E2695">
        <v>3825</v>
      </c>
      <c r="F2695">
        <v>133</v>
      </c>
      <c r="G2695">
        <v>127</v>
      </c>
      <c r="H2695">
        <v>64</v>
      </c>
      <c r="J2695" s="1">
        <f t="shared" si="210"/>
        <v>17689</v>
      </c>
      <c r="K2695" s="1">
        <f t="shared" si="211"/>
        <v>16129</v>
      </c>
      <c r="L2695" s="1">
        <f t="shared" si="212"/>
        <v>33818</v>
      </c>
      <c r="M2695" s="1">
        <f t="shared" si="213"/>
        <v>183.89671013914307</v>
      </c>
      <c r="N2695" s="7">
        <f t="shared" si="214"/>
        <v>183.89671013914307</v>
      </c>
    </row>
    <row r="2696" spans="1:14" x14ac:dyDescent="0.25">
      <c r="A2696" t="str">
        <f>"14:35:17.414"</f>
        <v>14:35:17.414</v>
      </c>
      <c r="B2696">
        <v>40.201720999999999</v>
      </c>
      <c r="C2696">
        <v>-75.273084999999995</v>
      </c>
      <c r="D2696">
        <v>3600</v>
      </c>
      <c r="E2696">
        <v>3825</v>
      </c>
      <c r="F2696">
        <v>132</v>
      </c>
      <c r="G2696">
        <v>127</v>
      </c>
      <c r="H2696">
        <v>64</v>
      </c>
      <c r="J2696" s="1">
        <f t="shared" si="210"/>
        <v>17424</v>
      </c>
      <c r="K2696" s="1">
        <f t="shared" si="211"/>
        <v>16129</v>
      </c>
      <c r="L2696" s="1">
        <f t="shared" si="212"/>
        <v>33553</v>
      </c>
      <c r="M2696" s="1">
        <f t="shared" si="213"/>
        <v>183.17477992343814</v>
      </c>
      <c r="N2696" s="7">
        <f t="shared" si="214"/>
        <v>183.17477992343814</v>
      </c>
    </row>
    <row r="2697" spans="1:14" x14ac:dyDescent="0.25">
      <c r="A2697" t="str">
        <f>"14:35:18.477"</f>
        <v>14:35:18.477</v>
      </c>
      <c r="B2697">
        <v>40.202278999999997</v>
      </c>
      <c r="C2697">
        <v>-75.272268999999994</v>
      </c>
      <c r="D2697">
        <v>3600</v>
      </c>
      <c r="E2697">
        <v>3825</v>
      </c>
      <c r="F2697">
        <v>132</v>
      </c>
      <c r="G2697">
        <v>127</v>
      </c>
      <c r="H2697">
        <v>64</v>
      </c>
      <c r="J2697" s="1">
        <f t="shared" si="210"/>
        <v>17424</v>
      </c>
      <c r="K2697" s="1">
        <f t="shared" si="211"/>
        <v>16129</v>
      </c>
      <c r="L2697" s="1">
        <f t="shared" si="212"/>
        <v>33553</v>
      </c>
      <c r="M2697" s="1">
        <f t="shared" si="213"/>
        <v>183.17477992343814</v>
      </c>
      <c r="N2697" s="7">
        <f t="shared" si="214"/>
        <v>183.17477992343814</v>
      </c>
    </row>
    <row r="2698" spans="1:14" x14ac:dyDescent="0.25">
      <c r="A2698" t="str">
        <f>"14:35:19.586"</f>
        <v>14:35:19.586</v>
      </c>
      <c r="B2698">
        <v>40.202900999999997</v>
      </c>
      <c r="C2698">
        <v>-75.271432000000004</v>
      </c>
      <c r="D2698">
        <v>3600</v>
      </c>
      <c r="E2698">
        <v>3850</v>
      </c>
      <c r="F2698">
        <v>131</v>
      </c>
      <c r="G2698">
        <v>127</v>
      </c>
      <c r="H2698">
        <v>128</v>
      </c>
      <c r="J2698" s="1">
        <f t="shared" si="210"/>
        <v>17161</v>
      </c>
      <c r="K2698" s="1">
        <f t="shared" si="211"/>
        <v>16129</v>
      </c>
      <c r="L2698" s="1">
        <f t="shared" si="212"/>
        <v>33290</v>
      </c>
      <c r="M2698" s="1">
        <f t="shared" si="213"/>
        <v>182.45547402037573</v>
      </c>
      <c r="N2698" s="7">
        <f t="shared" si="214"/>
        <v>182.45547402037573</v>
      </c>
    </row>
    <row r="2699" spans="1:14" x14ac:dyDescent="0.25">
      <c r="A2699" t="str">
        <f>"14:35:20.547"</f>
        <v>14:35:20.547</v>
      </c>
      <c r="B2699">
        <v>40.203502</v>
      </c>
      <c r="C2699">
        <v>-75.270638000000005</v>
      </c>
      <c r="D2699">
        <v>3600</v>
      </c>
      <c r="E2699">
        <v>3850</v>
      </c>
      <c r="F2699">
        <v>131</v>
      </c>
      <c r="G2699">
        <v>127</v>
      </c>
      <c r="H2699">
        <v>64</v>
      </c>
      <c r="J2699" s="1">
        <f t="shared" si="210"/>
        <v>17161</v>
      </c>
      <c r="K2699" s="1">
        <f t="shared" si="211"/>
        <v>16129</v>
      </c>
      <c r="L2699" s="1">
        <f t="shared" si="212"/>
        <v>33290</v>
      </c>
      <c r="M2699" s="1">
        <f t="shared" si="213"/>
        <v>182.45547402037573</v>
      </c>
      <c r="N2699" s="7">
        <f t="shared" si="214"/>
        <v>182.45547402037573</v>
      </c>
    </row>
    <row r="2700" spans="1:14" x14ac:dyDescent="0.25">
      <c r="A2700" t="str">
        <f>"14:35:21.508"</f>
        <v>14:35:21.508</v>
      </c>
      <c r="B2700">
        <v>40.204103000000003</v>
      </c>
      <c r="C2700">
        <v>-75.269845000000004</v>
      </c>
      <c r="D2700">
        <v>3600</v>
      </c>
      <c r="E2700">
        <v>3850</v>
      </c>
      <c r="F2700">
        <v>131</v>
      </c>
      <c r="G2700">
        <v>126</v>
      </c>
      <c r="H2700">
        <v>64</v>
      </c>
      <c r="J2700" s="1">
        <f t="shared" si="210"/>
        <v>17161</v>
      </c>
      <c r="K2700" s="1">
        <f t="shared" si="211"/>
        <v>15876</v>
      </c>
      <c r="L2700" s="1">
        <f t="shared" si="212"/>
        <v>33037</v>
      </c>
      <c r="M2700" s="1">
        <f t="shared" si="213"/>
        <v>181.76083186429358</v>
      </c>
      <c r="N2700" s="7">
        <f t="shared" si="214"/>
        <v>181.76083186429358</v>
      </c>
    </row>
    <row r="2701" spans="1:14" x14ac:dyDescent="0.25">
      <c r="A2701" t="str">
        <f>"14:35:22.461"</f>
        <v>14:35:22.461</v>
      </c>
      <c r="B2701">
        <v>40.204618000000004</v>
      </c>
      <c r="C2701">
        <v>-75.269136000000003</v>
      </c>
      <c r="D2701">
        <v>3600</v>
      </c>
      <c r="E2701">
        <v>3850</v>
      </c>
      <c r="F2701">
        <v>130</v>
      </c>
      <c r="G2701">
        <v>126</v>
      </c>
      <c r="H2701">
        <v>128</v>
      </c>
      <c r="J2701" s="1">
        <f t="shared" si="210"/>
        <v>16900</v>
      </c>
      <c r="K2701" s="1">
        <f t="shared" si="211"/>
        <v>15876</v>
      </c>
      <c r="L2701" s="1">
        <f t="shared" si="212"/>
        <v>32776</v>
      </c>
      <c r="M2701" s="1">
        <f t="shared" si="213"/>
        <v>181.04143172213369</v>
      </c>
      <c r="N2701" s="7">
        <f t="shared" si="214"/>
        <v>181.04143172213369</v>
      </c>
    </row>
    <row r="2702" spans="1:14" x14ac:dyDescent="0.25">
      <c r="A2702" t="str">
        <f>"14:35:23.578"</f>
        <v>14:35:23.578</v>
      </c>
      <c r="B2702">
        <v>40.205283000000001</v>
      </c>
      <c r="C2702">
        <v>-75.268257000000006</v>
      </c>
      <c r="D2702">
        <v>3600</v>
      </c>
      <c r="E2702">
        <v>3850</v>
      </c>
      <c r="F2702">
        <v>130</v>
      </c>
      <c r="G2702">
        <v>126</v>
      </c>
      <c r="H2702">
        <v>128</v>
      </c>
      <c r="J2702" s="1">
        <f t="shared" si="210"/>
        <v>16900</v>
      </c>
      <c r="K2702" s="1">
        <f t="shared" si="211"/>
        <v>15876</v>
      </c>
      <c r="L2702" s="1">
        <f t="shared" si="212"/>
        <v>32776</v>
      </c>
      <c r="M2702" s="1">
        <f t="shared" si="213"/>
        <v>181.04143172213369</v>
      </c>
      <c r="N2702" s="7">
        <f t="shared" si="214"/>
        <v>181.04143172213369</v>
      </c>
    </row>
    <row r="2703" spans="1:14" x14ac:dyDescent="0.25">
      <c r="A2703" t="str">
        <f>"14:35:24.484"</f>
        <v>14:35:24.484</v>
      </c>
      <c r="B2703">
        <v>40.205840999999999</v>
      </c>
      <c r="C2703">
        <v>-75.267463000000006</v>
      </c>
      <c r="D2703">
        <v>3600</v>
      </c>
      <c r="E2703">
        <v>3850</v>
      </c>
      <c r="F2703">
        <v>130</v>
      </c>
      <c r="G2703">
        <v>126</v>
      </c>
      <c r="H2703">
        <v>128</v>
      </c>
      <c r="J2703" s="1">
        <f t="shared" si="210"/>
        <v>16900</v>
      </c>
      <c r="K2703" s="1">
        <f t="shared" si="211"/>
        <v>15876</v>
      </c>
      <c r="L2703" s="1">
        <f t="shared" si="212"/>
        <v>32776</v>
      </c>
      <c r="M2703" s="1">
        <f t="shared" si="213"/>
        <v>181.04143172213369</v>
      </c>
      <c r="N2703" s="7">
        <f t="shared" si="214"/>
        <v>181.04143172213369</v>
      </c>
    </row>
    <row r="2704" spans="1:14" x14ac:dyDescent="0.25">
      <c r="A2704" t="str">
        <f>"14:35:25.492"</f>
        <v>14:35:25.492</v>
      </c>
      <c r="B2704">
        <v>40.206442000000003</v>
      </c>
      <c r="C2704">
        <v>-75.266733000000002</v>
      </c>
      <c r="D2704">
        <v>3600</v>
      </c>
      <c r="E2704">
        <v>3850</v>
      </c>
      <c r="F2704">
        <v>130</v>
      </c>
      <c r="G2704">
        <v>125</v>
      </c>
      <c r="H2704">
        <v>64</v>
      </c>
      <c r="J2704" s="1">
        <f t="shared" si="210"/>
        <v>16900</v>
      </c>
      <c r="K2704" s="1">
        <f t="shared" si="211"/>
        <v>15625</v>
      </c>
      <c r="L2704" s="1">
        <f t="shared" si="212"/>
        <v>32525</v>
      </c>
      <c r="M2704" s="1">
        <f t="shared" si="213"/>
        <v>180.34688796871433</v>
      </c>
      <c r="N2704" s="7">
        <f t="shared" si="214"/>
        <v>180.34688796871433</v>
      </c>
    </row>
    <row r="2705" spans="1:14" x14ac:dyDescent="0.25">
      <c r="A2705" t="str">
        <f>"14:35:26.359"</f>
        <v>14:35:26.359</v>
      </c>
      <c r="B2705">
        <v>40.206892000000003</v>
      </c>
      <c r="C2705">
        <v>-75.266110999999995</v>
      </c>
      <c r="D2705">
        <v>3600</v>
      </c>
      <c r="E2705">
        <v>3850</v>
      </c>
      <c r="F2705">
        <v>130</v>
      </c>
      <c r="G2705">
        <v>125</v>
      </c>
      <c r="H2705">
        <v>128</v>
      </c>
      <c r="J2705" s="1">
        <f t="shared" si="210"/>
        <v>16900</v>
      </c>
      <c r="K2705" s="1">
        <f t="shared" si="211"/>
        <v>15625</v>
      </c>
      <c r="L2705" s="1">
        <f t="shared" si="212"/>
        <v>32525</v>
      </c>
      <c r="M2705" s="1">
        <f t="shared" si="213"/>
        <v>180.34688796871433</v>
      </c>
      <c r="N2705" s="7">
        <f t="shared" si="214"/>
        <v>180.34688796871433</v>
      </c>
    </row>
    <row r="2706" spans="1:14" x14ac:dyDescent="0.25">
      <c r="A2706" t="str">
        <f>"14:35:27.211"</f>
        <v>14:35:27.211</v>
      </c>
      <c r="B2706">
        <v>40.207407000000003</v>
      </c>
      <c r="C2706">
        <v>-75.265403000000006</v>
      </c>
      <c r="D2706">
        <v>3600</v>
      </c>
      <c r="E2706">
        <v>3850</v>
      </c>
      <c r="F2706">
        <v>129</v>
      </c>
      <c r="G2706">
        <v>125</v>
      </c>
      <c r="H2706">
        <v>128</v>
      </c>
      <c r="J2706" s="1">
        <f t="shared" si="210"/>
        <v>16641</v>
      </c>
      <c r="K2706" s="1">
        <f t="shared" si="211"/>
        <v>15625</v>
      </c>
      <c r="L2706" s="1">
        <f t="shared" si="212"/>
        <v>32266</v>
      </c>
      <c r="M2706" s="1">
        <f t="shared" si="213"/>
        <v>179.62739212046696</v>
      </c>
      <c r="N2706" s="7">
        <f t="shared" si="214"/>
        <v>179.62739212046696</v>
      </c>
    </row>
    <row r="2707" spans="1:14" x14ac:dyDescent="0.25">
      <c r="A2707" t="str">
        <f>"14:35:28.117"</f>
        <v>14:35:28.117</v>
      </c>
      <c r="B2707">
        <v>40.207901</v>
      </c>
      <c r="C2707">
        <v>-75.264716000000007</v>
      </c>
      <c r="D2707">
        <v>3600</v>
      </c>
      <c r="E2707">
        <v>3850</v>
      </c>
      <c r="F2707">
        <v>129</v>
      </c>
      <c r="G2707">
        <v>124</v>
      </c>
      <c r="H2707">
        <v>64</v>
      </c>
      <c r="J2707" s="1">
        <f t="shared" si="210"/>
        <v>16641</v>
      </c>
      <c r="K2707" s="1">
        <f t="shared" si="211"/>
        <v>15376</v>
      </c>
      <c r="L2707" s="1">
        <f t="shared" si="212"/>
        <v>32017</v>
      </c>
      <c r="M2707" s="1">
        <f t="shared" si="213"/>
        <v>178.93294833540301</v>
      </c>
      <c r="N2707" s="7">
        <f t="shared" si="214"/>
        <v>178.93294833540301</v>
      </c>
    </row>
    <row r="2708" spans="1:14" x14ac:dyDescent="0.25">
      <c r="A2708" t="str">
        <f>"14:35:29.023"</f>
        <v>14:35:29.023</v>
      </c>
      <c r="B2708">
        <v>40.208416</v>
      </c>
      <c r="C2708">
        <v>-75.263964999999999</v>
      </c>
      <c r="D2708">
        <v>3600</v>
      </c>
      <c r="E2708">
        <v>3850</v>
      </c>
      <c r="F2708">
        <v>129</v>
      </c>
      <c r="G2708">
        <v>124</v>
      </c>
      <c r="H2708">
        <v>0</v>
      </c>
      <c r="J2708" s="1">
        <f t="shared" si="210"/>
        <v>16641</v>
      </c>
      <c r="K2708" s="1">
        <f t="shared" si="211"/>
        <v>15376</v>
      </c>
      <c r="L2708" s="1">
        <f t="shared" si="212"/>
        <v>32017</v>
      </c>
      <c r="M2708" s="1">
        <f t="shared" si="213"/>
        <v>178.93294833540301</v>
      </c>
      <c r="N2708" s="7">
        <f t="shared" si="214"/>
        <v>178.93294833540301</v>
      </c>
    </row>
    <row r="2709" spans="1:14" x14ac:dyDescent="0.25">
      <c r="A2709" t="str">
        <f>"14:35:30.039"</f>
        <v>14:35:30.039</v>
      </c>
      <c r="B2709">
        <v>40.209038</v>
      </c>
      <c r="C2709">
        <v>-75.263214000000005</v>
      </c>
      <c r="D2709">
        <v>3600</v>
      </c>
      <c r="E2709">
        <v>3850</v>
      </c>
      <c r="F2709">
        <v>129</v>
      </c>
      <c r="G2709">
        <v>124</v>
      </c>
      <c r="H2709">
        <v>0</v>
      </c>
      <c r="J2709" s="1">
        <f t="shared" si="210"/>
        <v>16641</v>
      </c>
      <c r="K2709" s="1">
        <f t="shared" si="211"/>
        <v>15376</v>
      </c>
      <c r="L2709" s="1">
        <f t="shared" si="212"/>
        <v>32017</v>
      </c>
      <c r="M2709" s="1">
        <f t="shared" si="213"/>
        <v>178.93294833540301</v>
      </c>
      <c r="N2709" s="7">
        <f t="shared" si="214"/>
        <v>178.93294833540301</v>
      </c>
    </row>
    <row r="2710" spans="1:14" x14ac:dyDescent="0.25">
      <c r="A2710" t="str">
        <f>"14:35:30.891"</f>
        <v>14:35:30.891</v>
      </c>
      <c r="B2710">
        <v>40.209488999999998</v>
      </c>
      <c r="C2710">
        <v>-75.262591999999998</v>
      </c>
      <c r="D2710">
        <v>3600</v>
      </c>
      <c r="E2710">
        <v>3850</v>
      </c>
      <c r="F2710">
        <v>129</v>
      </c>
      <c r="G2710">
        <v>124</v>
      </c>
      <c r="H2710">
        <v>-64</v>
      </c>
      <c r="J2710" s="1">
        <f t="shared" si="210"/>
        <v>16641</v>
      </c>
      <c r="K2710" s="1">
        <f t="shared" si="211"/>
        <v>15376</v>
      </c>
      <c r="L2710" s="1">
        <f t="shared" si="212"/>
        <v>32017</v>
      </c>
      <c r="M2710" s="1">
        <f t="shared" si="213"/>
        <v>178.93294833540301</v>
      </c>
      <c r="N2710" s="7">
        <f t="shared" si="214"/>
        <v>178.93294833540301</v>
      </c>
    </row>
    <row r="2711" spans="1:14" x14ac:dyDescent="0.25">
      <c r="A2711" t="str">
        <f>"14:35:31.953"</f>
        <v>14:35:31.953</v>
      </c>
      <c r="B2711">
        <v>40.210090000000001</v>
      </c>
      <c r="C2711">
        <v>-75.261712000000003</v>
      </c>
      <c r="D2711">
        <v>3600</v>
      </c>
      <c r="E2711">
        <v>3850</v>
      </c>
      <c r="F2711">
        <v>129</v>
      </c>
      <c r="G2711">
        <v>124</v>
      </c>
      <c r="H2711">
        <v>0</v>
      </c>
      <c r="J2711" s="1">
        <f t="shared" si="210"/>
        <v>16641</v>
      </c>
      <c r="K2711" s="1">
        <f t="shared" si="211"/>
        <v>15376</v>
      </c>
      <c r="L2711" s="1">
        <f t="shared" si="212"/>
        <v>32017</v>
      </c>
      <c r="M2711" s="1">
        <f t="shared" si="213"/>
        <v>178.93294833540301</v>
      </c>
      <c r="N2711" s="7">
        <f t="shared" si="214"/>
        <v>178.93294833540301</v>
      </c>
    </row>
    <row r="2712" spans="1:14" x14ac:dyDescent="0.25">
      <c r="A2712" t="str">
        <f>"14:35:33.016"</f>
        <v>14:35:33.016</v>
      </c>
      <c r="B2712">
        <v>40.210754999999999</v>
      </c>
      <c r="C2712">
        <v>-75.260831999999994</v>
      </c>
      <c r="D2712">
        <v>3600</v>
      </c>
      <c r="E2712">
        <v>3850</v>
      </c>
      <c r="F2712">
        <v>129</v>
      </c>
      <c r="G2712">
        <v>124</v>
      </c>
      <c r="H2712">
        <v>-64</v>
      </c>
      <c r="J2712" s="1">
        <f t="shared" si="210"/>
        <v>16641</v>
      </c>
      <c r="K2712" s="1">
        <f t="shared" si="211"/>
        <v>15376</v>
      </c>
      <c r="L2712" s="1">
        <f t="shared" si="212"/>
        <v>32017</v>
      </c>
      <c r="M2712" s="1">
        <f t="shared" si="213"/>
        <v>178.93294833540301</v>
      </c>
      <c r="N2712" s="7">
        <f t="shared" si="214"/>
        <v>178.93294833540301</v>
      </c>
    </row>
    <row r="2713" spans="1:14" x14ac:dyDescent="0.25">
      <c r="A2713" t="str">
        <f>"14:35:34.078"</f>
        <v>14:35:34.078</v>
      </c>
      <c r="B2713">
        <v>40.211312999999997</v>
      </c>
      <c r="C2713">
        <v>-75.260103000000001</v>
      </c>
      <c r="D2713">
        <v>3600</v>
      </c>
      <c r="E2713">
        <v>3850</v>
      </c>
      <c r="F2713">
        <v>129</v>
      </c>
      <c r="G2713">
        <v>124</v>
      </c>
      <c r="H2713">
        <v>-64</v>
      </c>
      <c r="J2713" s="1">
        <f t="shared" si="210"/>
        <v>16641</v>
      </c>
      <c r="K2713" s="1">
        <f t="shared" si="211"/>
        <v>15376</v>
      </c>
      <c r="L2713" s="1">
        <f t="shared" si="212"/>
        <v>32017</v>
      </c>
      <c r="M2713" s="1">
        <f t="shared" si="213"/>
        <v>178.93294833540301</v>
      </c>
      <c r="N2713" s="7">
        <f t="shared" si="214"/>
        <v>178.93294833540301</v>
      </c>
    </row>
    <row r="2714" spans="1:14" x14ac:dyDescent="0.25">
      <c r="A2714" t="str">
        <f>"14:35:34.930"</f>
        <v>14:35:34.930</v>
      </c>
      <c r="B2714">
        <v>40.211827999999997</v>
      </c>
      <c r="C2714">
        <v>-75.259394999999998</v>
      </c>
      <c r="D2714">
        <v>3600</v>
      </c>
      <c r="E2714">
        <v>3850</v>
      </c>
      <c r="F2714">
        <v>129</v>
      </c>
      <c r="G2714">
        <v>124</v>
      </c>
      <c r="H2714">
        <v>0</v>
      </c>
      <c r="J2714" s="1">
        <f t="shared" si="210"/>
        <v>16641</v>
      </c>
      <c r="K2714" s="1">
        <f t="shared" si="211"/>
        <v>15376</v>
      </c>
      <c r="L2714" s="1">
        <f t="shared" si="212"/>
        <v>32017</v>
      </c>
      <c r="M2714" s="1">
        <f t="shared" si="213"/>
        <v>178.93294833540301</v>
      </c>
      <c r="N2714" s="7">
        <f t="shared" si="214"/>
        <v>178.93294833540301</v>
      </c>
    </row>
    <row r="2715" spans="1:14" x14ac:dyDescent="0.25">
      <c r="A2715" t="str">
        <f>"14:35:35.945"</f>
        <v>14:35:35.945</v>
      </c>
      <c r="B2715">
        <v>40.212386000000002</v>
      </c>
      <c r="C2715">
        <v>-75.258600999999999</v>
      </c>
      <c r="D2715">
        <v>3600</v>
      </c>
      <c r="E2715">
        <v>3850</v>
      </c>
      <c r="F2715">
        <v>129</v>
      </c>
      <c r="G2715">
        <v>123</v>
      </c>
      <c r="H2715">
        <v>0</v>
      </c>
      <c r="J2715" s="1">
        <f t="shared" si="210"/>
        <v>16641</v>
      </c>
      <c r="K2715" s="1">
        <f t="shared" si="211"/>
        <v>15129</v>
      </c>
      <c r="L2715" s="1">
        <f t="shared" si="212"/>
        <v>31770</v>
      </c>
      <c r="M2715" s="1">
        <f t="shared" si="213"/>
        <v>178.24140933015536</v>
      </c>
      <c r="N2715" s="7">
        <f t="shared" si="214"/>
        <v>178.24140933015536</v>
      </c>
    </row>
    <row r="2716" spans="1:14" x14ac:dyDescent="0.25">
      <c r="A2716" t="str">
        <f>"14:35:36.805"</f>
        <v>14:35:36.805</v>
      </c>
      <c r="B2716">
        <v>40.212901000000002</v>
      </c>
      <c r="C2716">
        <v>-75.257914</v>
      </c>
      <c r="D2716">
        <v>3600</v>
      </c>
      <c r="E2716">
        <v>3850</v>
      </c>
      <c r="F2716">
        <v>129</v>
      </c>
      <c r="G2716">
        <v>123</v>
      </c>
      <c r="H2716">
        <v>0</v>
      </c>
      <c r="J2716" s="1">
        <f t="shared" si="210"/>
        <v>16641</v>
      </c>
      <c r="K2716" s="1">
        <f t="shared" si="211"/>
        <v>15129</v>
      </c>
      <c r="L2716" s="1">
        <f t="shared" si="212"/>
        <v>31770</v>
      </c>
      <c r="M2716" s="1">
        <f t="shared" si="213"/>
        <v>178.24140933015536</v>
      </c>
      <c r="N2716" s="7">
        <f t="shared" si="214"/>
        <v>178.24140933015536</v>
      </c>
    </row>
    <row r="2717" spans="1:14" x14ac:dyDescent="0.25">
      <c r="A2717" t="str">
        <f>"14:35:37.813"</f>
        <v>14:35:37.813</v>
      </c>
      <c r="B2717">
        <v>40.213501000000001</v>
      </c>
      <c r="C2717">
        <v>-75.257098999999997</v>
      </c>
      <c r="D2717">
        <v>3600</v>
      </c>
      <c r="E2717">
        <v>3850</v>
      </c>
      <c r="F2717">
        <v>129</v>
      </c>
      <c r="G2717">
        <v>123</v>
      </c>
      <c r="H2717">
        <v>0</v>
      </c>
      <c r="J2717" s="1">
        <f t="shared" si="210"/>
        <v>16641</v>
      </c>
      <c r="K2717" s="1">
        <f t="shared" si="211"/>
        <v>15129</v>
      </c>
      <c r="L2717" s="1">
        <f t="shared" si="212"/>
        <v>31770</v>
      </c>
      <c r="M2717" s="1">
        <f t="shared" si="213"/>
        <v>178.24140933015536</v>
      </c>
      <c r="N2717" s="7">
        <f t="shared" si="214"/>
        <v>178.24140933015536</v>
      </c>
    </row>
    <row r="2718" spans="1:14" x14ac:dyDescent="0.25">
      <c r="A2718" t="str">
        <f>"14:35:38.820"</f>
        <v>14:35:38.820</v>
      </c>
      <c r="B2718">
        <v>40.214058999999999</v>
      </c>
      <c r="C2718">
        <v>-75.256348000000003</v>
      </c>
      <c r="D2718">
        <v>3600</v>
      </c>
      <c r="E2718">
        <v>3850</v>
      </c>
      <c r="F2718">
        <v>129</v>
      </c>
      <c r="G2718">
        <v>123</v>
      </c>
      <c r="H2718">
        <v>64</v>
      </c>
      <c r="J2718" s="1">
        <f t="shared" si="210"/>
        <v>16641</v>
      </c>
      <c r="K2718" s="1">
        <f t="shared" si="211"/>
        <v>15129</v>
      </c>
      <c r="L2718" s="1">
        <f t="shared" si="212"/>
        <v>31770</v>
      </c>
      <c r="M2718" s="1">
        <f t="shared" si="213"/>
        <v>178.24140933015536</v>
      </c>
      <c r="N2718" s="7">
        <f t="shared" si="214"/>
        <v>178.24140933015536</v>
      </c>
    </row>
    <row r="2719" spans="1:14" x14ac:dyDescent="0.25">
      <c r="A2719" t="str">
        <f>"14:35:39.828"</f>
        <v>14:35:39.828</v>
      </c>
      <c r="B2719">
        <v>40.214616999999997</v>
      </c>
      <c r="C2719">
        <v>-75.255532000000002</v>
      </c>
      <c r="D2719">
        <v>3600</v>
      </c>
      <c r="E2719">
        <v>3850</v>
      </c>
      <c r="F2719">
        <v>129</v>
      </c>
      <c r="G2719">
        <v>123</v>
      </c>
      <c r="H2719">
        <v>128</v>
      </c>
      <c r="J2719" s="1">
        <f t="shared" si="210"/>
        <v>16641</v>
      </c>
      <c r="K2719" s="1">
        <f t="shared" si="211"/>
        <v>15129</v>
      </c>
      <c r="L2719" s="1">
        <f t="shared" si="212"/>
        <v>31770</v>
      </c>
      <c r="M2719" s="1">
        <f t="shared" si="213"/>
        <v>178.24140933015536</v>
      </c>
      <c r="N2719" s="7">
        <f t="shared" si="214"/>
        <v>178.24140933015536</v>
      </c>
    </row>
    <row r="2720" spans="1:14" x14ac:dyDescent="0.25">
      <c r="A2720" t="str">
        <f>"14:35:40.992"</f>
        <v>14:35:40.992</v>
      </c>
      <c r="B2720">
        <v>40.215260999999998</v>
      </c>
      <c r="C2720">
        <v>-75.254694999999998</v>
      </c>
      <c r="D2720">
        <v>3600</v>
      </c>
      <c r="E2720">
        <v>3850</v>
      </c>
      <c r="F2720">
        <v>129</v>
      </c>
      <c r="G2720">
        <v>122</v>
      </c>
      <c r="H2720">
        <v>128</v>
      </c>
      <c r="J2720" s="1">
        <f t="shared" si="210"/>
        <v>16641</v>
      </c>
      <c r="K2720" s="1">
        <f t="shared" si="211"/>
        <v>14884</v>
      </c>
      <c r="L2720" s="1">
        <f t="shared" si="212"/>
        <v>31525</v>
      </c>
      <c r="M2720" s="1">
        <f t="shared" si="213"/>
        <v>177.55280904564702</v>
      </c>
      <c r="N2720" s="7">
        <f t="shared" si="214"/>
        <v>177.55280904564702</v>
      </c>
    </row>
    <row r="2721" spans="1:14" x14ac:dyDescent="0.25">
      <c r="A2721" t="str">
        <f>"14:35:41.898"</f>
        <v>14:35:41.898</v>
      </c>
      <c r="B2721">
        <v>40.215775999999998</v>
      </c>
      <c r="C2721">
        <v>-75.253966000000005</v>
      </c>
      <c r="D2721">
        <v>3600</v>
      </c>
      <c r="E2721">
        <v>3850</v>
      </c>
      <c r="F2721">
        <v>129</v>
      </c>
      <c r="G2721">
        <v>122</v>
      </c>
      <c r="H2721">
        <v>128</v>
      </c>
      <c r="J2721" s="1">
        <f t="shared" si="210"/>
        <v>16641</v>
      </c>
      <c r="K2721" s="1">
        <f t="shared" si="211"/>
        <v>14884</v>
      </c>
      <c r="L2721" s="1">
        <f t="shared" si="212"/>
        <v>31525</v>
      </c>
      <c r="M2721" s="1">
        <f t="shared" si="213"/>
        <v>177.55280904564702</v>
      </c>
      <c r="N2721" s="7">
        <f t="shared" si="214"/>
        <v>177.55280904564702</v>
      </c>
    </row>
    <row r="2722" spans="1:14" x14ac:dyDescent="0.25">
      <c r="A2722" t="str">
        <f>"14:35:42.961"</f>
        <v>14:35:42.961</v>
      </c>
      <c r="B2722">
        <v>40.216377000000001</v>
      </c>
      <c r="C2722">
        <v>-75.253172000000006</v>
      </c>
      <c r="D2722">
        <v>3700</v>
      </c>
      <c r="E2722">
        <v>3850</v>
      </c>
      <c r="F2722">
        <v>129</v>
      </c>
      <c r="G2722">
        <v>122</v>
      </c>
      <c r="H2722">
        <v>128</v>
      </c>
      <c r="J2722" s="1">
        <f t="shared" si="210"/>
        <v>16641</v>
      </c>
      <c r="K2722" s="1">
        <f t="shared" si="211"/>
        <v>14884</v>
      </c>
      <c r="L2722" s="1">
        <f t="shared" si="212"/>
        <v>31525</v>
      </c>
      <c r="M2722" s="1">
        <f t="shared" si="213"/>
        <v>177.55280904564702</v>
      </c>
      <c r="N2722" s="7">
        <f t="shared" si="214"/>
        <v>177.55280904564702</v>
      </c>
    </row>
    <row r="2723" spans="1:14" x14ac:dyDescent="0.25">
      <c r="A2723" t="str">
        <f>"14:35:44.070"</f>
        <v>14:35:44.070</v>
      </c>
      <c r="B2723">
        <v>40.216999000000001</v>
      </c>
      <c r="C2723">
        <v>-75.252291999999997</v>
      </c>
      <c r="D2723">
        <v>3700</v>
      </c>
      <c r="E2723">
        <v>3775</v>
      </c>
      <c r="F2723">
        <v>129</v>
      </c>
      <c r="G2723">
        <v>122</v>
      </c>
      <c r="H2723">
        <v>256</v>
      </c>
      <c r="J2723" s="1">
        <f t="shared" si="210"/>
        <v>16641</v>
      </c>
      <c r="K2723" s="1">
        <f t="shared" si="211"/>
        <v>14884</v>
      </c>
      <c r="L2723" s="1">
        <f t="shared" si="212"/>
        <v>31525</v>
      </c>
      <c r="M2723" s="1">
        <f t="shared" si="213"/>
        <v>177.55280904564702</v>
      </c>
      <c r="N2723" s="7">
        <f t="shared" si="214"/>
        <v>177.55280904564702</v>
      </c>
    </row>
    <row r="2724" spans="1:14" x14ac:dyDescent="0.25">
      <c r="A2724" t="str">
        <f>"14:35:45.133"</f>
        <v>14:35:45.133</v>
      </c>
      <c r="B2724">
        <v>40.217599999999997</v>
      </c>
      <c r="C2724">
        <v>-75.251455000000007</v>
      </c>
      <c r="D2724">
        <v>3700</v>
      </c>
      <c r="E2724">
        <v>3875</v>
      </c>
      <c r="F2724">
        <v>128</v>
      </c>
      <c r="G2724">
        <v>122</v>
      </c>
      <c r="H2724">
        <v>192</v>
      </c>
      <c r="J2724" s="1">
        <f t="shared" si="210"/>
        <v>16384</v>
      </c>
      <c r="K2724" s="1">
        <f t="shared" si="211"/>
        <v>14884</v>
      </c>
      <c r="L2724" s="1">
        <f t="shared" si="212"/>
        <v>31268</v>
      </c>
      <c r="M2724" s="1">
        <f t="shared" si="213"/>
        <v>176.82759965570986</v>
      </c>
      <c r="N2724" s="7">
        <f t="shared" si="214"/>
        <v>176.82759965570986</v>
      </c>
    </row>
    <row r="2725" spans="1:14" x14ac:dyDescent="0.25">
      <c r="A2725" t="str">
        <f>"14:35:46.094"</f>
        <v>14:35:46.094</v>
      </c>
      <c r="B2725">
        <v>40.218158000000003</v>
      </c>
      <c r="C2725">
        <v>-75.250660999999994</v>
      </c>
      <c r="D2725">
        <v>3700</v>
      </c>
      <c r="E2725">
        <v>3875</v>
      </c>
      <c r="F2725">
        <v>128</v>
      </c>
      <c r="G2725">
        <v>121</v>
      </c>
      <c r="H2725">
        <v>128</v>
      </c>
      <c r="J2725" s="1">
        <f t="shared" si="210"/>
        <v>16384</v>
      </c>
      <c r="K2725" s="1">
        <f t="shared" si="211"/>
        <v>14641</v>
      </c>
      <c r="L2725" s="1">
        <f t="shared" si="212"/>
        <v>31025</v>
      </c>
      <c r="M2725" s="1">
        <f t="shared" si="213"/>
        <v>176.13914953808538</v>
      </c>
      <c r="N2725" s="7">
        <f t="shared" si="214"/>
        <v>176.13914953808538</v>
      </c>
    </row>
    <row r="2726" spans="1:14" x14ac:dyDescent="0.25">
      <c r="A2726" t="str">
        <f>"14:35:47.102"</f>
        <v>14:35:47.102</v>
      </c>
      <c r="B2726">
        <v>40.218673000000003</v>
      </c>
      <c r="C2726">
        <v>-75.249975000000006</v>
      </c>
      <c r="D2726">
        <v>3700</v>
      </c>
      <c r="E2726">
        <v>3875</v>
      </c>
      <c r="F2726">
        <v>128</v>
      </c>
      <c r="G2726">
        <v>122</v>
      </c>
      <c r="H2726">
        <v>0</v>
      </c>
      <c r="J2726" s="1">
        <f t="shared" si="210"/>
        <v>16384</v>
      </c>
      <c r="K2726" s="1">
        <f t="shared" si="211"/>
        <v>14884</v>
      </c>
      <c r="L2726" s="1">
        <f t="shared" si="212"/>
        <v>31268</v>
      </c>
      <c r="M2726" s="1">
        <f t="shared" si="213"/>
        <v>176.82759965570986</v>
      </c>
      <c r="N2726" s="7">
        <f t="shared" si="214"/>
        <v>176.82759965570986</v>
      </c>
    </row>
    <row r="2727" spans="1:14" x14ac:dyDescent="0.25">
      <c r="A2727" t="str">
        <f>"14:35:48.008"</f>
        <v>14:35:48.008</v>
      </c>
      <c r="B2727">
        <v>40.219273999999999</v>
      </c>
      <c r="C2727">
        <v>-75.249159000000006</v>
      </c>
      <c r="D2727">
        <v>3700</v>
      </c>
      <c r="E2727">
        <v>3875</v>
      </c>
      <c r="F2727">
        <v>128</v>
      </c>
      <c r="G2727">
        <v>122</v>
      </c>
      <c r="H2727">
        <v>-64</v>
      </c>
      <c r="J2727" s="1">
        <f t="shared" si="210"/>
        <v>16384</v>
      </c>
      <c r="K2727" s="1">
        <f t="shared" si="211"/>
        <v>14884</v>
      </c>
      <c r="L2727" s="1">
        <f t="shared" si="212"/>
        <v>31268</v>
      </c>
      <c r="M2727" s="1">
        <f t="shared" si="213"/>
        <v>176.82759965570986</v>
      </c>
      <c r="N2727" s="7">
        <f t="shared" si="214"/>
        <v>176.82759965570986</v>
      </c>
    </row>
    <row r="2728" spans="1:14" x14ac:dyDescent="0.25">
      <c r="A2728" t="str">
        <f>"14:35:49.172"</f>
        <v>14:35:49.172</v>
      </c>
      <c r="B2728">
        <v>40.219853000000001</v>
      </c>
      <c r="C2728">
        <v>-75.248344000000003</v>
      </c>
      <c r="D2728">
        <v>3700</v>
      </c>
      <c r="E2728">
        <v>3875</v>
      </c>
      <c r="F2728">
        <v>128</v>
      </c>
      <c r="G2728">
        <v>122</v>
      </c>
      <c r="H2728">
        <v>-128</v>
      </c>
      <c r="J2728" s="1">
        <f t="shared" si="210"/>
        <v>16384</v>
      </c>
      <c r="K2728" s="1">
        <f t="shared" si="211"/>
        <v>14884</v>
      </c>
      <c r="L2728" s="1">
        <f t="shared" si="212"/>
        <v>31268</v>
      </c>
      <c r="M2728" s="1">
        <f t="shared" si="213"/>
        <v>176.82759965570986</v>
      </c>
      <c r="N2728" s="7">
        <f t="shared" si="214"/>
        <v>176.82759965570986</v>
      </c>
    </row>
    <row r="2729" spans="1:14" x14ac:dyDescent="0.25">
      <c r="A2729" t="str">
        <f>"14:35:50.031"</f>
        <v>14:35:50.031</v>
      </c>
      <c r="B2729">
        <v>40.220388999999997</v>
      </c>
      <c r="C2729">
        <v>-75.247679000000005</v>
      </c>
      <c r="D2729">
        <v>3700</v>
      </c>
      <c r="E2729">
        <v>3875</v>
      </c>
      <c r="F2729">
        <v>128</v>
      </c>
      <c r="G2729">
        <v>122</v>
      </c>
      <c r="H2729">
        <v>-192</v>
      </c>
      <c r="J2729" s="1">
        <f t="shared" si="210"/>
        <v>16384</v>
      </c>
      <c r="K2729" s="1">
        <f t="shared" si="211"/>
        <v>14884</v>
      </c>
      <c r="L2729" s="1">
        <f t="shared" si="212"/>
        <v>31268</v>
      </c>
      <c r="M2729" s="1">
        <f t="shared" si="213"/>
        <v>176.82759965570986</v>
      </c>
      <c r="N2729" s="7">
        <f t="shared" si="214"/>
        <v>176.82759965570986</v>
      </c>
    </row>
    <row r="2730" spans="1:14" x14ac:dyDescent="0.25">
      <c r="A2730" t="str">
        <f>"14:35:50.992"</f>
        <v>14:35:50.992</v>
      </c>
      <c r="B2730">
        <v>40.220947000000002</v>
      </c>
      <c r="C2730">
        <v>-75.246863000000005</v>
      </c>
      <c r="D2730">
        <v>3700</v>
      </c>
      <c r="E2730">
        <v>3875</v>
      </c>
      <c r="F2730">
        <v>128</v>
      </c>
      <c r="G2730">
        <v>122</v>
      </c>
      <c r="H2730">
        <v>-192</v>
      </c>
      <c r="J2730" s="1">
        <f t="shared" si="210"/>
        <v>16384</v>
      </c>
      <c r="K2730" s="1">
        <f t="shared" si="211"/>
        <v>14884</v>
      </c>
      <c r="L2730" s="1">
        <f t="shared" si="212"/>
        <v>31268</v>
      </c>
      <c r="M2730" s="1">
        <f t="shared" si="213"/>
        <v>176.82759965570986</v>
      </c>
      <c r="N2730" s="7">
        <f t="shared" si="214"/>
        <v>176.82759965570986</v>
      </c>
    </row>
    <row r="2731" spans="1:14" x14ac:dyDescent="0.25">
      <c r="A2731" t="str">
        <f>"14:35:51.945"</f>
        <v>14:35:51.945</v>
      </c>
      <c r="B2731">
        <v>40.221440999999999</v>
      </c>
      <c r="C2731">
        <v>-75.246155000000002</v>
      </c>
      <c r="D2731">
        <v>3700</v>
      </c>
      <c r="E2731">
        <v>3850</v>
      </c>
      <c r="F2731">
        <v>128</v>
      </c>
      <c r="G2731">
        <v>122</v>
      </c>
      <c r="H2731">
        <v>-192</v>
      </c>
      <c r="J2731" s="1">
        <f t="shared" si="210"/>
        <v>16384</v>
      </c>
      <c r="K2731" s="1">
        <f t="shared" si="211"/>
        <v>14884</v>
      </c>
      <c r="L2731" s="1">
        <f t="shared" si="212"/>
        <v>31268</v>
      </c>
      <c r="M2731" s="1">
        <f t="shared" si="213"/>
        <v>176.82759965570986</v>
      </c>
      <c r="N2731" s="7">
        <f t="shared" si="214"/>
        <v>176.82759965570986</v>
      </c>
    </row>
    <row r="2732" spans="1:14" x14ac:dyDescent="0.25">
      <c r="A2732" t="str">
        <f>"14:35:52.906"</f>
        <v>14:35:52.906</v>
      </c>
      <c r="B2732">
        <v>40.221998999999997</v>
      </c>
      <c r="C2732">
        <v>-75.245425999999995</v>
      </c>
      <c r="D2732">
        <v>3700</v>
      </c>
      <c r="E2732">
        <v>3850</v>
      </c>
      <c r="F2732">
        <v>128</v>
      </c>
      <c r="G2732">
        <v>122</v>
      </c>
      <c r="H2732">
        <v>-128</v>
      </c>
      <c r="J2732" s="1">
        <f t="shared" si="210"/>
        <v>16384</v>
      </c>
      <c r="K2732" s="1">
        <f t="shared" si="211"/>
        <v>14884</v>
      </c>
      <c r="L2732" s="1">
        <f t="shared" si="212"/>
        <v>31268</v>
      </c>
      <c r="M2732" s="1">
        <f t="shared" si="213"/>
        <v>176.82759965570986</v>
      </c>
      <c r="N2732" s="7">
        <f t="shared" si="214"/>
        <v>176.82759965570986</v>
      </c>
    </row>
    <row r="2733" spans="1:14" x14ac:dyDescent="0.25">
      <c r="A2733" t="str">
        <f>"14:35:53.914"</f>
        <v>14:35:53.914</v>
      </c>
      <c r="B2733">
        <v>40.222535000000001</v>
      </c>
      <c r="C2733">
        <v>-75.244738999999996</v>
      </c>
      <c r="D2733">
        <v>3700</v>
      </c>
      <c r="E2733">
        <v>3850</v>
      </c>
      <c r="F2733">
        <v>128</v>
      </c>
      <c r="G2733">
        <v>122</v>
      </c>
      <c r="H2733">
        <v>-64</v>
      </c>
      <c r="J2733" s="1">
        <f t="shared" si="210"/>
        <v>16384</v>
      </c>
      <c r="K2733" s="1">
        <f t="shared" si="211"/>
        <v>14884</v>
      </c>
      <c r="L2733" s="1">
        <f t="shared" si="212"/>
        <v>31268</v>
      </c>
      <c r="M2733" s="1">
        <f t="shared" si="213"/>
        <v>176.82759965570986</v>
      </c>
      <c r="N2733" s="7">
        <f t="shared" si="214"/>
        <v>176.82759965570986</v>
      </c>
    </row>
    <row r="2734" spans="1:14" x14ac:dyDescent="0.25">
      <c r="A2734" t="str">
        <f>"14:35:54.875"</f>
        <v>14:35:54.875</v>
      </c>
      <c r="B2734">
        <v>40.223135999999997</v>
      </c>
      <c r="C2734">
        <v>-75.243837999999997</v>
      </c>
      <c r="D2734">
        <v>3700</v>
      </c>
      <c r="E2734">
        <v>3850</v>
      </c>
      <c r="F2734">
        <v>128</v>
      </c>
      <c r="G2734">
        <v>122</v>
      </c>
      <c r="H2734">
        <v>-64</v>
      </c>
      <c r="J2734" s="1">
        <f t="shared" si="210"/>
        <v>16384</v>
      </c>
      <c r="K2734" s="1">
        <f t="shared" si="211"/>
        <v>14884</v>
      </c>
      <c r="L2734" s="1">
        <f t="shared" si="212"/>
        <v>31268</v>
      </c>
      <c r="M2734" s="1">
        <f t="shared" si="213"/>
        <v>176.82759965570986</v>
      </c>
      <c r="N2734" s="7">
        <f t="shared" si="214"/>
        <v>176.82759965570986</v>
      </c>
    </row>
    <row r="2735" spans="1:14" x14ac:dyDescent="0.25">
      <c r="A2735" t="str">
        <f>"14:35:55.836"</f>
        <v>14:35:55.836</v>
      </c>
      <c r="B2735">
        <v>40.223650999999997</v>
      </c>
      <c r="C2735">
        <v>-75.243172999999999</v>
      </c>
      <c r="D2735">
        <v>3700</v>
      </c>
      <c r="E2735">
        <v>3850</v>
      </c>
      <c r="F2735">
        <v>128</v>
      </c>
      <c r="G2735">
        <v>122</v>
      </c>
      <c r="H2735">
        <v>0</v>
      </c>
      <c r="J2735" s="1">
        <f t="shared" si="210"/>
        <v>16384</v>
      </c>
      <c r="K2735" s="1">
        <f t="shared" si="211"/>
        <v>14884</v>
      </c>
      <c r="L2735" s="1">
        <f t="shared" si="212"/>
        <v>31268</v>
      </c>
      <c r="M2735" s="1">
        <f t="shared" si="213"/>
        <v>176.82759965570986</v>
      </c>
      <c r="N2735" s="7">
        <f t="shared" si="214"/>
        <v>176.82759965570986</v>
      </c>
    </row>
    <row r="2736" spans="1:14" x14ac:dyDescent="0.25">
      <c r="A2736" t="str">
        <f>"14:35:56.945"</f>
        <v>14:35:56.945</v>
      </c>
      <c r="B2736">
        <v>40.224294999999998</v>
      </c>
      <c r="C2736">
        <v>-75.242313999999993</v>
      </c>
      <c r="D2736">
        <v>3700</v>
      </c>
      <c r="E2736">
        <v>3850</v>
      </c>
      <c r="F2736">
        <v>128</v>
      </c>
      <c r="G2736">
        <v>122</v>
      </c>
      <c r="H2736">
        <v>64</v>
      </c>
      <c r="J2736" s="1">
        <f t="shared" si="210"/>
        <v>16384</v>
      </c>
      <c r="K2736" s="1">
        <f t="shared" si="211"/>
        <v>14884</v>
      </c>
      <c r="L2736" s="1">
        <f t="shared" si="212"/>
        <v>31268</v>
      </c>
      <c r="M2736" s="1">
        <f t="shared" si="213"/>
        <v>176.82759965570986</v>
      </c>
      <c r="N2736" s="7">
        <f t="shared" si="214"/>
        <v>176.82759965570986</v>
      </c>
    </row>
    <row r="2737" spans="1:14" x14ac:dyDescent="0.25">
      <c r="A2737" t="str">
        <f>"14:35:58.055"</f>
        <v>14:35:58.055</v>
      </c>
      <c r="B2737">
        <v>40.224894999999997</v>
      </c>
      <c r="C2737">
        <v>-75.241434999999996</v>
      </c>
      <c r="D2737">
        <v>3700</v>
      </c>
      <c r="E2737">
        <v>3850</v>
      </c>
      <c r="F2737">
        <v>128</v>
      </c>
      <c r="G2737">
        <v>122</v>
      </c>
      <c r="H2737">
        <v>128</v>
      </c>
      <c r="J2737" s="1">
        <f t="shared" si="210"/>
        <v>16384</v>
      </c>
      <c r="K2737" s="1">
        <f t="shared" si="211"/>
        <v>14884</v>
      </c>
      <c r="L2737" s="1">
        <f t="shared" si="212"/>
        <v>31268</v>
      </c>
      <c r="M2737" s="1">
        <f t="shared" si="213"/>
        <v>176.82759965570986</v>
      </c>
      <c r="N2737" s="7">
        <f t="shared" si="214"/>
        <v>176.82759965570986</v>
      </c>
    </row>
    <row r="2738" spans="1:14" x14ac:dyDescent="0.25">
      <c r="A2738" t="str">
        <f>"14:35:58.914"</f>
        <v>14:35:58.914</v>
      </c>
      <c r="B2738">
        <v>40.225389</v>
      </c>
      <c r="C2738">
        <v>-75.240791000000002</v>
      </c>
      <c r="D2738">
        <v>3700</v>
      </c>
      <c r="E2738">
        <v>3850</v>
      </c>
      <c r="F2738">
        <v>128</v>
      </c>
      <c r="G2738">
        <v>122</v>
      </c>
      <c r="H2738">
        <v>128</v>
      </c>
      <c r="J2738" s="1">
        <f t="shared" si="210"/>
        <v>16384</v>
      </c>
      <c r="K2738" s="1">
        <f t="shared" si="211"/>
        <v>14884</v>
      </c>
      <c r="L2738" s="1">
        <f t="shared" si="212"/>
        <v>31268</v>
      </c>
      <c r="M2738" s="1">
        <f t="shared" si="213"/>
        <v>176.82759965570986</v>
      </c>
      <c r="N2738" s="7">
        <f t="shared" si="214"/>
        <v>176.82759965570986</v>
      </c>
    </row>
    <row r="2739" spans="1:14" x14ac:dyDescent="0.25">
      <c r="A2739" t="str">
        <f>"14:35:59.875"</f>
        <v>14:35:59.875</v>
      </c>
      <c r="B2739">
        <v>40.225924999999997</v>
      </c>
      <c r="C2739">
        <v>-75.240060999999997</v>
      </c>
      <c r="D2739">
        <v>3700</v>
      </c>
      <c r="E2739">
        <v>3850</v>
      </c>
      <c r="F2739">
        <v>128</v>
      </c>
      <c r="G2739">
        <v>121</v>
      </c>
      <c r="H2739">
        <v>128</v>
      </c>
      <c r="J2739" s="1">
        <f t="shared" si="210"/>
        <v>16384</v>
      </c>
      <c r="K2739" s="1">
        <f t="shared" si="211"/>
        <v>14641</v>
      </c>
      <c r="L2739" s="1">
        <f t="shared" si="212"/>
        <v>31025</v>
      </c>
      <c r="M2739" s="1">
        <f t="shared" si="213"/>
        <v>176.13914953808538</v>
      </c>
      <c r="N2739" s="7">
        <f t="shared" si="214"/>
        <v>176.13914953808538</v>
      </c>
    </row>
    <row r="2740" spans="1:14" x14ac:dyDescent="0.25">
      <c r="A2740" t="str">
        <f>"14:36:01.031"</f>
        <v>14:36:01.031</v>
      </c>
      <c r="B2740">
        <v>40.226590999999999</v>
      </c>
      <c r="C2740">
        <v>-75.239116999999993</v>
      </c>
      <c r="D2740">
        <v>3700</v>
      </c>
      <c r="E2740">
        <v>3875</v>
      </c>
      <c r="F2740">
        <v>128</v>
      </c>
      <c r="G2740">
        <v>121</v>
      </c>
      <c r="H2740">
        <v>128</v>
      </c>
      <c r="J2740" s="1">
        <f t="shared" si="210"/>
        <v>16384</v>
      </c>
      <c r="K2740" s="1">
        <f t="shared" si="211"/>
        <v>14641</v>
      </c>
      <c r="L2740" s="1">
        <f t="shared" si="212"/>
        <v>31025</v>
      </c>
      <c r="M2740" s="1">
        <f t="shared" si="213"/>
        <v>176.13914953808538</v>
      </c>
      <c r="N2740" s="7">
        <f t="shared" si="214"/>
        <v>176.13914953808538</v>
      </c>
    </row>
    <row r="2741" spans="1:14" x14ac:dyDescent="0.25">
      <c r="A2741" t="str">
        <f>"14:36:01.992"</f>
        <v>14:36:01.992</v>
      </c>
      <c r="B2741">
        <v>40.227148999999997</v>
      </c>
      <c r="C2741">
        <v>-75.238365999999999</v>
      </c>
      <c r="D2741">
        <v>3700</v>
      </c>
      <c r="E2741">
        <v>3875</v>
      </c>
      <c r="F2741">
        <v>128</v>
      </c>
      <c r="G2741">
        <v>121</v>
      </c>
      <c r="H2741">
        <v>128</v>
      </c>
      <c r="J2741" s="1">
        <f t="shared" si="210"/>
        <v>16384</v>
      </c>
      <c r="K2741" s="1">
        <f t="shared" si="211"/>
        <v>14641</v>
      </c>
      <c r="L2741" s="1">
        <f t="shared" si="212"/>
        <v>31025</v>
      </c>
      <c r="M2741" s="1">
        <f t="shared" si="213"/>
        <v>176.13914953808538</v>
      </c>
      <c r="N2741" s="7">
        <f t="shared" si="214"/>
        <v>176.13914953808538</v>
      </c>
    </row>
    <row r="2742" spans="1:14" x14ac:dyDescent="0.25">
      <c r="A2742" t="str">
        <f>"14:36:02.953"</f>
        <v>14:36:02.953</v>
      </c>
      <c r="B2742">
        <v>40.227620999999999</v>
      </c>
      <c r="C2742">
        <v>-75.237679</v>
      </c>
      <c r="D2742">
        <v>3700</v>
      </c>
      <c r="E2742">
        <v>3875</v>
      </c>
      <c r="F2742">
        <v>128</v>
      </c>
      <c r="G2742">
        <v>121</v>
      </c>
      <c r="H2742">
        <v>64</v>
      </c>
      <c r="J2742" s="1">
        <f t="shared" si="210"/>
        <v>16384</v>
      </c>
      <c r="K2742" s="1">
        <f t="shared" si="211"/>
        <v>14641</v>
      </c>
      <c r="L2742" s="1">
        <f t="shared" si="212"/>
        <v>31025</v>
      </c>
      <c r="M2742" s="1">
        <f t="shared" si="213"/>
        <v>176.13914953808538</v>
      </c>
      <c r="N2742" s="7">
        <f t="shared" si="214"/>
        <v>176.13914953808538</v>
      </c>
    </row>
    <row r="2743" spans="1:14" x14ac:dyDescent="0.25">
      <c r="A2743" t="str">
        <f>"14:36:03.914"</f>
        <v>14:36:03.914</v>
      </c>
      <c r="B2743">
        <v>40.228178999999997</v>
      </c>
      <c r="C2743">
        <v>-75.236885999999998</v>
      </c>
      <c r="D2743">
        <v>3700</v>
      </c>
      <c r="E2743">
        <v>3875</v>
      </c>
      <c r="F2743">
        <v>128</v>
      </c>
      <c r="G2743">
        <v>120</v>
      </c>
      <c r="H2743">
        <v>64</v>
      </c>
      <c r="J2743" s="1">
        <f t="shared" si="210"/>
        <v>16384</v>
      </c>
      <c r="K2743" s="1">
        <f t="shared" si="211"/>
        <v>14400</v>
      </c>
      <c r="L2743" s="1">
        <f t="shared" si="212"/>
        <v>30784</v>
      </c>
      <c r="M2743" s="1">
        <f t="shared" si="213"/>
        <v>175.45369759569047</v>
      </c>
      <c r="N2743" s="7">
        <f t="shared" si="214"/>
        <v>175.45369759569047</v>
      </c>
    </row>
    <row r="2744" spans="1:14" x14ac:dyDescent="0.25">
      <c r="A2744" t="str">
        <f>"14:36:04.875"</f>
        <v>14:36:04.875</v>
      </c>
      <c r="B2744">
        <v>40.228779000000003</v>
      </c>
      <c r="C2744">
        <v>-75.236135000000004</v>
      </c>
      <c r="D2744">
        <v>3700</v>
      </c>
      <c r="E2744">
        <v>3875</v>
      </c>
      <c r="F2744">
        <v>128</v>
      </c>
      <c r="G2744">
        <v>120</v>
      </c>
      <c r="H2744">
        <v>0</v>
      </c>
      <c r="J2744" s="1">
        <f t="shared" si="210"/>
        <v>16384</v>
      </c>
      <c r="K2744" s="1">
        <f t="shared" si="211"/>
        <v>14400</v>
      </c>
      <c r="L2744" s="1">
        <f t="shared" si="212"/>
        <v>30784</v>
      </c>
      <c r="M2744" s="1">
        <f t="shared" si="213"/>
        <v>175.45369759569047</v>
      </c>
      <c r="N2744" s="7">
        <f t="shared" si="214"/>
        <v>175.45369759569047</v>
      </c>
    </row>
    <row r="2745" spans="1:14" x14ac:dyDescent="0.25">
      <c r="A2745" t="str">
        <f>"14:36:05.883"</f>
        <v>14:36:05.883</v>
      </c>
      <c r="B2745">
        <v>40.229272999999999</v>
      </c>
      <c r="C2745">
        <v>-75.235426000000004</v>
      </c>
      <c r="D2745">
        <v>3700</v>
      </c>
      <c r="E2745">
        <v>3875</v>
      </c>
      <c r="F2745">
        <v>128</v>
      </c>
      <c r="G2745">
        <v>120</v>
      </c>
      <c r="H2745">
        <v>0</v>
      </c>
      <c r="J2745" s="1">
        <f t="shared" si="210"/>
        <v>16384</v>
      </c>
      <c r="K2745" s="1">
        <f t="shared" si="211"/>
        <v>14400</v>
      </c>
      <c r="L2745" s="1">
        <f t="shared" si="212"/>
        <v>30784</v>
      </c>
      <c r="M2745" s="1">
        <f t="shared" si="213"/>
        <v>175.45369759569047</v>
      </c>
      <c r="N2745" s="7">
        <f t="shared" si="214"/>
        <v>175.45369759569047</v>
      </c>
    </row>
    <row r="2746" spans="1:14" x14ac:dyDescent="0.25">
      <c r="A2746" t="str">
        <f>"14:36:06.789"</f>
        <v>14:36:06.789</v>
      </c>
      <c r="B2746">
        <v>40.229787999999999</v>
      </c>
      <c r="C2746">
        <v>-75.234632000000005</v>
      </c>
      <c r="D2746">
        <v>3700</v>
      </c>
      <c r="E2746">
        <v>3875</v>
      </c>
      <c r="F2746">
        <v>128</v>
      </c>
      <c r="G2746">
        <v>120</v>
      </c>
      <c r="H2746">
        <v>-128</v>
      </c>
      <c r="J2746" s="1">
        <f t="shared" si="210"/>
        <v>16384</v>
      </c>
      <c r="K2746" s="1">
        <f t="shared" si="211"/>
        <v>14400</v>
      </c>
      <c r="L2746" s="1">
        <f t="shared" si="212"/>
        <v>30784</v>
      </c>
      <c r="M2746" s="1">
        <f t="shared" si="213"/>
        <v>175.45369759569047</v>
      </c>
      <c r="N2746" s="7">
        <f t="shared" si="214"/>
        <v>175.45369759569047</v>
      </c>
    </row>
    <row r="2747" spans="1:14" x14ac:dyDescent="0.25">
      <c r="A2747" t="str">
        <f>"14:36:07.953"</f>
        <v>14:36:07.953</v>
      </c>
      <c r="B2747">
        <v>40.230432</v>
      </c>
      <c r="C2747">
        <v>-75.233817000000002</v>
      </c>
      <c r="D2747">
        <v>3700</v>
      </c>
      <c r="E2747">
        <v>3875</v>
      </c>
      <c r="F2747">
        <v>128</v>
      </c>
      <c r="G2747">
        <v>120</v>
      </c>
      <c r="H2747">
        <v>-128</v>
      </c>
      <c r="J2747" s="1">
        <f t="shared" si="210"/>
        <v>16384</v>
      </c>
      <c r="K2747" s="1">
        <f t="shared" si="211"/>
        <v>14400</v>
      </c>
      <c r="L2747" s="1">
        <f t="shared" si="212"/>
        <v>30784</v>
      </c>
      <c r="M2747" s="1">
        <f t="shared" si="213"/>
        <v>175.45369759569047</v>
      </c>
      <c r="N2747" s="7">
        <f t="shared" si="214"/>
        <v>175.45369759569047</v>
      </c>
    </row>
    <row r="2748" spans="1:14" x14ac:dyDescent="0.25">
      <c r="A2748" t="str">
        <f>"14:36:08.859"</f>
        <v>14:36:08.859</v>
      </c>
      <c r="B2748">
        <v>40.230904000000002</v>
      </c>
      <c r="C2748">
        <v>-75.233130000000003</v>
      </c>
      <c r="D2748">
        <v>3700</v>
      </c>
      <c r="E2748">
        <v>3850</v>
      </c>
      <c r="F2748">
        <v>128</v>
      </c>
      <c r="G2748">
        <v>120</v>
      </c>
      <c r="H2748">
        <v>-128</v>
      </c>
      <c r="J2748" s="1">
        <f t="shared" si="210"/>
        <v>16384</v>
      </c>
      <c r="K2748" s="1">
        <f t="shared" si="211"/>
        <v>14400</v>
      </c>
      <c r="L2748" s="1">
        <f t="shared" si="212"/>
        <v>30784</v>
      </c>
      <c r="M2748" s="1">
        <f t="shared" si="213"/>
        <v>175.45369759569047</v>
      </c>
      <c r="N2748" s="7">
        <f t="shared" si="214"/>
        <v>175.45369759569047</v>
      </c>
    </row>
    <row r="2749" spans="1:14" x14ac:dyDescent="0.25">
      <c r="A2749" t="str">
        <f>"14:36:09.922"</f>
        <v>14:36:09.922</v>
      </c>
      <c r="B2749">
        <v>40.231462000000001</v>
      </c>
      <c r="C2749">
        <v>-75.232315</v>
      </c>
      <c r="D2749">
        <v>3700</v>
      </c>
      <c r="E2749">
        <v>3850</v>
      </c>
      <c r="F2749">
        <v>128</v>
      </c>
      <c r="G2749">
        <v>120</v>
      </c>
      <c r="H2749">
        <v>-192</v>
      </c>
      <c r="J2749" s="1">
        <f t="shared" si="210"/>
        <v>16384</v>
      </c>
      <c r="K2749" s="1">
        <f t="shared" si="211"/>
        <v>14400</v>
      </c>
      <c r="L2749" s="1">
        <f t="shared" si="212"/>
        <v>30784</v>
      </c>
      <c r="M2749" s="1">
        <f t="shared" si="213"/>
        <v>175.45369759569047</v>
      </c>
      <c r="N2749" s="7">
        <f t="shared" si="214"/>
        <v>175.45369759569047</v>
      </c>
    </row>
    <row r="2750" spans="1:14" x14ac:dyDescent="0.25">
      <c r="A2750" t="str">
        <f>"14:36:10.781"</f>
        <v>14:36:10.781</v>
      </c>
      <c r="B2750">
        <v>40.231977000000001</v>
      </c>
      <c r="C2750">
        <v>-75.231628000000001</v>
      </c>
      <c r="D2750">
        <v>3700</v>
      </c>
      <c r="E2750">
        <v>3850</v>
      </c>
      <c r="F2750">
        <v>128</v>
      </c>
      <c r="G2750">
        <v>121</v>
      </c>
      <c r="H2750">
        <v>-192</v>
      </c>
      <c r="J2750" s="1">
        <f t="shared" si="210"/>
        <v>16384</v>
      </c>
      <c r="K2750" s="1">
        <f t="shared" si="211"/>
        <v>14641</v>
      </c>
      <c r="L2750" s="1">
        <f t="shared" si="212"/>
        <v>31025</v>
      </c>
      <c r="M2750" s="1">
        <f t="shared" si="213"/>
        <v>176.13914953808538</v>
      </c>
      <c r="N2750" s="7">
        <f t="shared" si="214"/>
        <v>176.13914953808538</v>
      </c>
    </row>
    <row r="2751" spans="1:14" x14ac:dyDescent="0.25">
      <c r="A2751" t="str">
        <f>"14:36:11.633"</f>
        <v>14:36:11.633</v>
      </c>
      <c r="B2751">
        <v>40.232491000000003</v>
      </c>
      <c r="C2751">
        <v>-75.230877000000007</v>
      </c>
      <c r="D2751">
        <v>3700</v>
      </c>
      <c r="E2751">
        <v>3850</v>
      </c>
      <c r="F2751">
        <v>128</v>
      </c>
      <c r="G2751">
        <v>120</v>
      </c>
      <c r="H2751">
        <v>-128</v>
      </c>
      <c r="J2751" s="1">
        <f t="shared" si="210"/>
        <v>16384</v>
      </c>
      <c r="K2751" s="1">
        <f t="shared" si="211"/>
        <v>14400</v>
      </c>
      <c r="L2751" s="1">
        <f t="shared" si="212"/>
        <v>30784</v>
      </c>
      <c r="M2751" s="1">
        <f t="shared" si="213"/>
        <v>175.45369759569047</v>
      </c>
      <c r="N2751" s="7">
        <f t="shared" si="214"/>
        <v>175.45369759569047</v>
      </c>
    </row>
    <row r="2752" spans="1:14" x14ac:dyDescent="0.25">
      <c r="A2752" t="str">
        <f>"14:36:12.703"</f>
        <v>14:36:12.703</v>
      </c>
      <c r="B2752">
        <v>40.233114</v>
      </c>
      <c r="C2752">
        <v>-75.230041</v>
      </c>
      <c r="D2752">
        <v>3700</v>
      </c>
      <c r="E2752">
        <v>3850</v>
      </c>
      <c r="F2752">
        <v>128</v>
      </c>
      <c r="G2752">
        <v>121</v>
      </c>
      <c r="H2752">
        <v>-128</v>
      </c>
      <c r="J2752" s="1">
        <f t="shared" si="210"/>
        <v>16384</v>
      </c>
      <c r="K2752" s="1">
        <f t="shared" si="211"/>
        <v>14641</v>
      </c>
      <c r="L2752" s="1">
        <f t="shared" si="212"/>
        <v>31025</v>
      </c>
      <c r="M2752" s="1">
        <f t="shared" si="213"/>
        <v>176.13914953808538</v>
      </c>
      <c r="N2752" s="7">
        <f t="shared" si="214"/>
        <v>176.13914953808538</v>
      </c>
    </row>
    <row r="2753" spans="1:14" x14ac:dyDescent="0.25">
      <c r="A2753" t="str">
        <f>"14:36:13.656"</f>
        <v>14:36:13.656</v>
      </c>
      <c r="B2753">
        <v>40.233606999999999</v>
      </c>
      <c r="C2753">
        <v>-75.229375000000005</v>
      </c>
      <c r="D2753">
        <v>3700</v>
      </c>
      <c r="E2753">
        <v>3850</v>
      </c>
      <c r="F2753">
        <v>128</v>
      </c>
      <c r="G2753">
        <v>121</v>
      </c>
      <c r="H2753">
        <v>0</v>
      </c>
      <c r="J2753" s="1">
        <f t="shared" si="210"/>
        <v>16384</v>
      </c>
      <c r="K2753" s="1">
        <f t="shared" si="211"/>
        <v>14641</v>
      </c>
      <c r="L2753" s="1">
        <f t="shared" si="212"/>
        <v>31025</v>
      </c>
      <c r="M2753" s="1">
        <f t="shared" si="213"/>
        <v>176.13914953808538</v>
      </c>
      <c r="N2753" s="7">
        <f t="shared" si="214"/>
        <v>176.13914953808538</v>
      </c>
    </row>
    <row r="2754" spans="1:14" x14ac:dyDescent="0.25">
      <c r="A2754" t="str">
        <f>"14:36:14.516"</f>
        <v>14:36:14.516</v>
      </c>
      <c r="B2754">
        <v>40.234121999999999</v>
      </c>
      <c r="C2754">
        <v>-75.228645999999998</v>
      </c>
      <c r="D2754">
        <v>3700</v>
      </c>
      <c r="E2754">
        <v>3850</v>
      </c>
      <c r="F2754">
        <v>128</v>
      </c>
      <c r="G2754">
        <v>121</v>
      </c>
      <c r="H2754">
        <v>0</v>
      </c>
      <c r="J2754" s="1">
        <f t="shared" si="210"/>
        <v>16384</v>
      </c>
      <c r="K2754" s="1">
        <f t="shared" si="211"/>
        <v>14641</v>
      </c>
      <c r="L2754" s="1">
        <f t="shared" si="212"/>
        <v>31025</v>
      </c>
      <c r="M2754" s="1">
        <f t="shared" si="213"/>
        <v>176.13914953808538</v>
      </c>
      <c r="N2754" s="7">
        <f t="shared" si="214"/>
        <v>176.13914953808538</v>
      </c>
    </row>
    <row r="2755" spans="1:14" x14ac:dyDescent="0.25">
      <c r="A2755" t="str">
        <f>"14:36:15.375"</f>
        <v>14:36:15.375</v>
      </c>
      <c r="B2755">
        <v>40.234636999999999</v>
      </c>
      <c r="C2755">
        <v>-75.227937999999995</v>
      </c>
      <c r="D2755">
        <v>3700</v>
      </c>
      <c r="E2755">
        <v>3850</v>
      </c>
      <c r="F2755">
        <v>128</v>
      </c>
      <c r="G2755">
        <v>121</v>
      </c>
      <c r="H2755">
        <v>64</v>
      </c>
      <c r="J2755" s="1">
        <f t="shared" ref="J2755:J2818" si="215">F2755^2</f>
        <v>16384</v>
      </c>
      <c r="K2755" s="1">
        <f t="shared" ref="K2755:K2818" si="216">G2755^2</f>
        <v>14641</v>
      </c>
      <c r="L2755" s="1">
        <f t="shared" ref="L2755:L2818" si="217">SUMSQ(F2755,G2755)</f>
        <v>31025</v>
      </c>
      <c r="M2755" s="1">
        <f t="shared" ref="M2755:M2818" si="218">SQRT(L2755)</f>
        <v>176.13914953808538</v>
      </c>
      <c r="N2755" s="7">
        <f t="shared" ref="N2755:N2818" si="219">M2755</f>
        <v>176.13914953808538</v>
      </c>
    </row>
    <row r="2756" spans="1:14" x14ac:dyDescent="0.25">
      <c r="A2756" t="str">
        <f>"14:36:16.281"</f>
        <v>14:36:16.281</v>
      </c>
      <c r="B2756">
        <v>40.235045</v>
      </c>
      <c r="C2756">
        <v>-75.227379999999997</v>
      </c>
      <c r="D2756">
        <v>3700</v>
      </c>
      <c r="E2756">
        <v>3850</v>
      </c>
      <c r="F2756">
        <v>128</v>
      </c>
      <c r="G2756">
        <v>121</v>
      </c>
      <c r="H2756">
        <v>64</v>
      </c>
      <c r="J2756" s="1">
        <f t="shared" si="215"/>
        <v>16384</v>
      </c>
      <c r="K2756" s="1">
        <f t="shared" si="216"/>
        <v>14641</v>
      </c>
      <c r="L2756" s="1">
        <f t="shared" si="217"/>
        <v>31025</v>
      </c>
      <c r="M2756" s="1">
        <f t="shared" si="218"/>
        <v>176.13914953808538</v>
      </c>
      <c r="N2756" s="7">
        <f t="shared" si="219"/>
        <v>176.13914953808538</v>
      </c>
    </row>
    <row r="2757" spans="1:14" x14ac:dyDescent="0.25">
      <c r="A2757" t="str">
        <f>"14:36:17.289"</f>
        <v>14:36:17.289</v>
      </c>
      <c r="B2757">
        <v>40.235602999999998</v>
      </c>
      <c r="C2757">
        <v>-75.226563999999996</v>
      </c>
      <c r="D2757">
        <v>3700</v>
      </c>
      <c r="E2757">
        <v>3850</v>
      </c>
      <c r="F2757">
        <v>128</v>
      </c>
      <c r="G2757">
        <v>121</v>
      </c>
      <c r="H2757">
        <v>64</v>
      </c>
      <c r="J2757" s="1">
        <f t="shared" si="215"/>
        <v>16384</v>
      </c>
      <c r="K2757" s="1">
        <f t="shared" si="216"/>
        <v>14641</v>
      </c>
      <c r="L2757" s="1">
        <f t="shared" si="217"/>
        <v>31025</v>
      </c>
      <c r="M2757" s="1">
        <f t="shared" si="218"/>
        <v>176.13914953808538</v>
      </c>
      <c r="N2757" s="7">
        <f t="shared" si="219"/>
        <v>176.13914953808538</v>
      </c>
    </row>
    <row r="2758" spans="1:14" x14ac:dyDescent="0.25">
      <c r="A2758" t="str">
        <f>"14:36:18.297"</f>
        <v>14:36:18.297</v>
      </c>
      <c r="B2758">
        <v>40.236246999999999</v>
      </c>
      <c r="C2758">
        <v>-75.225706000000002</v>
      </c>
      <c r="D2758">
        <v>3700</v>
      </c>
      <c r="E2758">
        <v>3850</v>
      </c>
      <c r="F2758">
        <v>128</v>
      </c>
      <c r="G2758">
        <v>121</v>
      </c>
      <c r="H2758">
        <v>64</v>
      </c>
      <c r="J2758" s="1">
        <f t="shared" si="215"/>
        <v>16384</v>
      </c>
      <c r="K2758" s="1">
        <f t="shared" si="216"/>
        <v>14641</v>
      </c>
      <c r="L2758" s="1">
        <f t="shared" si="217"/>
        <v>31025</v>
      </c>
      <c r="M2758" s="1">
        <f t="shared" si="218"/>
        <v>176.13914953808538</v>
      </c>
      <c r="N2758" s="7">
        <f t="shared" si="219"/>
        <v>176.13914953808538</v>
      </c>
    </row>
    <row r="2759" spans="1:14" x14ac:dyDescent="0.25">
      <c r="A2759" t="str">
        <f>"14:36:19.258"</f>
        <v>14:36:19.258</v>
      </c>
      <c r="B2759">
        <v>40.236719000000001</v>
      </c>
      <c r="C2759">
        <v>-75.225083999999995</v>
      </c>
      <c r="D2759">
        <v>3700</v>
      </c>
      <c r="E2759">
        <v>3850</v>
      </c>
      <c r="F2759">
        <v>128</v>
      </c>
      <c r="G2759">
        <v>121</v>
      </c>
      <c r="H2759">
        <v>64</v>
      </c>
      <c r="J2759" s="1">
        <f t="shared" si="215"/>
        <v>16384</v>
      </c>
      <c r="K2759" s="1">
        <f t="shared" si="216"/>
        <v>14641</v>
      </c>
      <c r="L2759" s="1">
        <f t="shared" si="217"/>
        <v>31025</v>
      </c>
      <c r="M2759" s="1">
        <f t="shared" si="218"/>
        <v>176.13914953808538</v>
      </c>
      <c r="N2759" s="7">
        <f t="shared" si="219"/>
        <v>176.13914953808538</v>
      </c>
    </row>
    <row r="2760" spans="1:14" x14ac:dyDescent="0.25">
      <c r="A2760" t="str">
        <f>"14:36:20.172"</f>
        <v>14:36:20.172</v>
      </c>
      <c r="B2760">
        <v>40.237234000000001</v>
      </c>
      <c r="C2760">
        <v>-75.224376000000007</v>
      </c>
      <c r="D2760">
        <v>3700</v>
      </c>
      <c r="E2760">
        <v>3850</v>
      </c>
      <c r="F2760">
        <v>128</v>
      </c>
      <c r="G2760">
        <v>121</v>
      </c>
      <c r="H2760">
        <v>64</v>
      </c>
      <c r="J2760" s="1">
        <f t="shared" si="215"/>
        <v>16384</v>
      </c>
      <c r="K2760" s="1">
        <f t="shared" si="216"/>
        <v>14641</v>
      </c>
      <c r="L2760" s="1">
        <f t="shared" si="217"/>
        <v>31025</v>
      </c>
      <c r="M2760" s="1">
        <f t="shared" si="218"/>
        <v>176.13914953808538</v>
      </c>
      <c r="N2760" s="7">
        <f t="shared" si="219"/>
        <v>176.13914953808538</v>
      </c>
    </row>
    <row r="2761" spans="1:14" x14ac:dyDescent="0.25">
      <c r="A2761" t="str">
        <f>"14:36:21.227"</f>
        <v>14:36:21.227</v>
      </c>
      <c r="B2761">
        <v>40.237856000000001</v>
      </c>
      <c r="C2761">
        <v>-75.223517000000001</v>
      </c>
      <c r="D2761">
        <v>3700</v>
      </c>
      <c r="E2761">
        <v>3850</v>
      </c>
      <c r="F2761">
        <v>128</v>
      </c>
      <c r="G2761">
        <v>121</v>
      </c>
      <c r="H2761">
        <v>64</v>
      </c>
      <c r="J2761" s="1">
        <f t="shared" si="215"/>
        <v>16384</v>
      </c>
      <c r="K2761" s="1">
        <f t="shared" si="216"/>
        <v>14641</v>
      </c>
      <c r="L2761" s="1">
        <f t="shared" si="217"/>
        <v>31025</v>
      </c>
      <c r="M2761" s="1">
        <f t="shared" si="218"/>
        <v>176.13914953808538</v>
      </c>
      <c r="N2761" s="7">
        <f t="shared" si="219"/>
        <v>176.13914953808538</v>
      </c>
    </row>
    <row r="2762" spans="1:14" x14ac:dyDescent="0.25">
      <c r="A2762" t="str">
        <f>"14:36:22.086"</f>
        <v>14:36:22.086</v>
      </c>
      <c r="B2762">
        <v>40.238306999999999</v>
      </c>
      <c r="C2762">
        <v>-75.222894999999994</v>
      </c>
      <c r="D2762">
        <v>3700</v>
      </c>
      <c r="E2762">
        <v>3850</v>
      </c>
      <c r="F2762">
        <v>128</v>
      </c>
      <c r="G2762">
        <v>121</v>
      </c>
      <c r="H2762">
        <v>64</v>
      </c>
      <c r="J2762" s="1">
        <f t="shared" si="215"/>
        <v>16384</v>
      </c>
      <c r="K2762" s="1">
        <f t="shared" si="216"/>
        <v>14641</v>
      </c>
      <c r="L2762" s="1">
        <f t="shared" si="217"/>
        <v>31025</v>
      </c>
      <c r="M2762" s="1">
        <f t="shared" si="218"/>
        <v>176.13914953808538</v>
      </c>
      <c r="N2762" s="7">
        <f t="shared" si="219"/>
        <v>176.13914953808538</v>
      </c>
    </row>
    <row r="2763" spans="1:14" x14ac:dyDescent="0.25">
      <c r="A2763" t="str">
        <f>"14:36:22.898"</f>
        <v>14:36:22.898</v>
      </c>
      <c r="B2763">
        <v>40.238799999999998</v>
      </c>
      <c r="C2763">
        <v>-75.222166000000001</v>
      </c>
      <c r="D2763">
        <v>3700</v>
      </c>
      <c r="E2763">
        <v>3850</v>
      </c>
      <c r="F2763">
        <v>127</v>
      </c>
      <c r="G2763">
        <v>121</v>
      </c>
      <c r="H2763">
        <v>64</v>
      </c>
      <c r="J2763" s="1">
        <f t="shared" si="215"/>
        <v>16129</v>
      </c>
      <c r="K2763" s="1">
        <f t="shared" si="216"/>
        <v>14641</v>
      </c>
      <c r="L2763" s="1">
        <f t="shared" si="217"/>
        <v>30770</v>
      </c>
      <c r="M2763" s="1">
        <f t="shared" si="218"/>
        <v>175.41379649275024</v>
      </c>
      <c r="N2763" s="7">
        <f t="shared" si="219"/>
        <v>175.41379649275024</v>
      </c>
    </row>
    <row r="2764" spans="1:14" x14ac:dyDescent="0.25">
      <c r="A2764" t="str">
        <f>"14:36:24.008"</f>
        <v>14:36:24.008</v>
      </c>
      <c r="B2764">
        <v>40.239421999999998</v>
      </c>
      <c r="C2764">
        <v>-75.221328999999997</v>
      </c>
      <c r="D2764">
        <v>3700</v>
      </c>
      <c r="E2764">
        <v>3875</v>
      </c>
      <c r="F2764">
        <v>127</v>
      </c>
      <c r="G2764">
        <v>121</v>
      </c>
      <c r="H2764">
        <v>64</v>
      </c>
      <c r="J2764" s="1">
        <f t="shared" si="215"/>
        <v>16129</v>
      </c>
      <c r="K2764" s="1">
        <f t="shared" si="216"/>
        <v>14641</v>
      </c>
      <c r="L2764" s="1">
        <f t="shared" si="217"/>
        <v>30770</v>
      </c>
      <c r="M2764" s="1">
        <f t="shared" si="218"/>
        <v>175.41379649275024</v>
      </c>
      <c r="N2764" s="7">
        <f t="shared" si="219"/>
        <v>175.41379649275024</v>
      </c>
    </row>
    <row r="2765" spans="1:14" x14ac:dyDescent="0.25">
      <c r="A2765" t="str">
        <f>"14:36:25.164"</f>
        <v>14:36:25.164</v>
      </c>
      <c r="B2765">
        <v>40.240045000000002</v>
      </c>
      <c r="C2765">
        <v>-75.220449000000002</v>
      </c>
      <c r="D2765">
        <v>3700</v>
      </c>
      <c r="E2765">
        <v>3875</v>
      </c>
      <c r="F2765">
        <v>127</v>
      </c>
      <c r="G2765">
        <v>121</v>
      </c>
      <c r="H2765">
        <v>0</v>
      </c>
      <c r="J2765" s="1">
        <f t="shared" si="215"/>
        <v>16129</v>
      </c>
      <c r="K2765" s="1">
        <f t="shared" si="216"/>
        <v>14641</v>
      </c>
      <c r="L2765" s="1">
        <f t="shared" si="217"/>
        <v>30770</v>
      </c>
      <c r="M2765" s="1">
        <f t="shared" si="218"/>
        <v>175.41379649275024</v>
      </c>
      <c r="N2765" s="7">
        <f t="shared" si="219"/>
        <v>175.41379649275024</v>
      </c>
    </row>
    <row r="2766" spans="1:14" x14ac:dyDescent="0.25">
      <c r="A2766" t="str">
        <f>"14:36:26.180"</f>
        <v>14:36:26.180</v>
      </c>
      <c r="B2766">
        <v>40.240623999999997</v>
      </c>
      <c r="C2766">
        <v>-75.219718999999998</v>
      </c>
      <c r="D2766">
        <v>3700</v>
      </c>
      <c r="E2766">
        <v>3875</v>
      </c>
      <c r="F2766">
        <v>127</v>
      </c>
      <c r="G2766">
        <v>121</v>
      </c>
      <c r="H2766">
        <v>64</v>
      </c>
      <c r="J2766" s="1">
        <f t="shared" si="215"/>
        <v>16129</v>
      </c>
      <c r="K2766" s="1">
        <f t="shared" si="216"/>
        <v>14641</v>
      </c>
      <c r="L2766" s="1">
        <f t="shared" si="217"/>
        <v>30770</v>
      </c>
      <c r="M2766" s="1">
        <f t="shared" si="218"/>
        <v>175.41379649275024</v>
      </c>
      <c r="N2766" s="7">
        <f t="shared" si="219"/>
        <v>175.41379649275024</v>
      </c>
    </row>
    <row r="2767" spans="1:14" x14ac:dyDescent="0.25">
      <c r="A2767" t="str">
        <f>"14:36:27.234"</f>
        <v>14:36:27.234</v>
      </c>
      <c r="B2767">
        <v>40.241245999999997</v>
      </c>
      <c r="C2767">
        <v>-75.218903999999995</v>
      </c>
      <c r="D2767">
        <v>3700</v>
      </c>
      <c r="E2767">
        <v>3875</v>
      </c>
      <c r="F2767">
        <v>127</v>
      </c>
      <c r="G2767">
        <v>121</v>
      </c>
      <c r="H2767">
        <v>64</v>
      </c>
      <c r="J2767" s="1">
        <f t="shared" si="215"/>
        <v>16129</v>
      </c>
      <c r="K2767" s="1">
        <f t="shared" si="216"/>
        <v>14641</v>
      </c>
      <c r="L2767" s="1">
        <f t="shared" si="217"/>
        <v>30770</v>
      </c>
      <c r="M2767" s="1">
        <f t="shared" si="218"/>
        <v>175.41379649275024</v>
      </c>
      <c r="N2767" s="7">
        <f t="shared" si="219"/>
        <v>175.41379649275024</v>
      </c>
    </row>
    <row r="2768" spans="1:14" x14ac:dyDescent="0.25">
      <c r="A2768" t="str">
        <f>"14:36:28.148"</f>
        <v>14:36:28.148</v>
      </c>
      <c r="B2768">
        <v>40.24174</v>
      </c>
      <c r="C2768">
        <v>-75.218196000000006</v>
      </c>
      <c r="D2768">
        <v>3700</v>
      </c>
      <c r="E2768">
        <v>3875</v>
      </c>
      <c r="F2768">
        <v>127</v>
      </c>
      <c r="G2768">
        <v>121</v>
      </c>
      <c r="H2768">
        <v>64</v>
      </c>
      <c r="J2768" s="1">
        <f t="shared" si="215"/>
        <v>16129</v>
      </c>
      <c r="K2768" s="1">
        <f t="shared" si="216"/>
        <v>14641</v>
      </c>
      <c r="L2768" s="1">
        <f t="shared" si="217"/>
        <v>30770</v>
      </c>
      <c r="M2768" s="1">
        <f t="shared" si="218"/>
        <v>175.41379649275024</v>
      </c>
      <c r="N2768" s="7">
        <f t="shared" si="219"/>
        <v>175.41379649275024</v>
      </c>
    </row>
    <row r="2769" spans="1:14" x14ac:dyDescent="0.25">
      <c r="A2769" t="str">
        <f>"14:36:29.156"</f>
        <v>14:36:29.156</v>
      </c>
      <c r="B2769">
        <v>40.242275999999997</v>
      </c>
      <c r="C2769">
        <v>-75.217402000000007</v>
      </c>
      <c r="D2769">
        <v>3700</v>
      </c>
      <c r="E2769">
        <v>3875</v>
      </c>
      <c r="F2769">
        <v>127</v>
      </c>
      <c r="G2769">
        <v>120</v>
      </c>
      <c r="H2769">
        <v>0</v>
      </c>
      <c r="J2769" s="1">
        <f t="shared" si="215"/>
        <v>16129</v>
      </c>
      <c r="K2769" s="1">
        <f t="shared" si="216"/>
        <v>14400</v>
      </c>
      <c r="L2769" s="1">
        <f t="shared" si="217"/>
        <v>30529</v>
      </c>
      <c r="M2769" s="1">
        <f t="shared" si="218"/>
        <v>174.72549899771354</v>
      </c>
      <c r="N2769" s="7">
        <f t="shared" si="219"/>
        <v>174.72549899771354</v>
      </c>
    </row>
    <row r="2770" spans="1:14" x14ac:dyDescent="0.25">
      <c r="A2770" t="str">
        <f>"14:36:30.117"</f>
        <v>14:36:30.117</v>
      </c>
      <c r="B2770">
        <v>40.24277</v>
      </c>
      <c r="C2770">
        <v>-75.216714999999994</v>
      </c>
      <c r="D2770">
        <v>3700</v>
      </c>
      <c r="E2770">
        <v>3875</v>
      </c>
      <c r="F2770">
        <v>127</v>
      </c>
      <c r="G2770">
        <v>120</v>
      </c>
      <c r="H2770">
        <v>-64</v>
      </c>
      <c r="J2770" s="1">
        <f t="shared" si="215"/>
        <v>16129</v>
      </c>
      <c r="K2770" s="1">
        <f t="shared" si="216"/>
        <v>14400</v>
      </c>
      <c r="L2770" s="1">
        <f t="shared" si="217"/>
        <v>30529</v>
      </c>
      <c r="M2770" s="1">
        <f t="shared" si="218"/>
        <v>174.72549899771354</v>
      </c>
      <c r="N2770" s="7">
        <f t="shared" si="219"/>
        <v>174.72549899771354</v>
      </c>
    </row>
    <row r="2771" spans="1:14" x14ac:dyDescent="0.25">
      <c r="A2771" t="str">
        <f>"14:36:31.227"</f>
        <v>14:36:31.227</v>
      </c>
      <c r="B2771">
        <v>40.243478000000003</v>
      </c>
      <c r="C2771">
        <v>-75.215771000000004</v>
      </c>
      <c r="D2771">
        <v>3700</v>
      </c>
      <c r="E2771">
        <v>3875</v>
      </c>
      <c r="F2771">
        <v>127</v>
      </c>
      <c r="G2771">
        <v>120</v>
      </c>
      <c r="H2771">
        <v>-64</v>
      </c>
      <c r="J2771" s="1">
        <f t="shared" si="215"/>
        <v>16129</v>
      </c>
      <c r="K2771" s="1">
        <f t="shared" si="216"/>
        <v>14400</v>
      </c>
      <c r="L2771" s="1">
        <f t="shared" si="217"/>
        <v>30529</v>
      </c>
      <c r="M2771" s="1">
        <f t="shared" si="218"/>
        <v>174.72549899771354</v>
      </c>
      <c r="N2771" s="7">
        <f t="shared" si="219"/>
        <v>174.72549899771354</v>
      </c>
    </row>
    <row r="2772" spans="1:14" x14ac:dyDescent="0.25">
      <c r="A2772" t="str">
        <f>"14:36:32.234"</f>
        <v>14:36:32.234</v>
      </c>
      <c r="B2772">
        <v>40.244036000000001</v>
      </c>
      <c r="C2772">
        <v>-75.215019999999996</v>
      </c>
      <c r="D2772">
        <v>3700</v>
      </c>
      <c r="E2772">
        <v>3850</v>
      </c>
      <c r="F2772">
        <v>128</v>
      </c>
      <c r="G2772">
        <v>120</v>
      </c>
      <c r="H2772">
        <v>-64</v>
      </c>
      <c r="J2772" s="1">
        <f t="shared" si="215"/>
        <v>16384</v>
      </c>
      <c r="K2772" s="1">
        <f t="shared" si="216"/>
        <v>14400</v>
      </c>
      <c r="L2772" s="1">
        <f t="shared" si="217"/>
        <v>30784</v>
      </c>
      <c r="M2772" s="1">
        <f t="shared" si="218"/>
        <v>175.45369759569047</v>
      </c>
      <c r="N2772" s="7">
        <f t="shared" si="219"/>
        <v>175.45369759569047</v>
      </c>
    </row>
    <row r="2773" spans="1:14" x14ac:dyDescent="0.25">
      <c r="A2773" t="str">
        <f>"14:36:33.195"</f>
        <v>14:36:33.195</v>
      </c>
      <c r="B2773">
        <v>40.244551000000001</v>
      </c>
      <c r="C2773">
        <v>-75.214269000000002</v>
      </c>
      <c r="D2773">
        <v>3700</v>
      </c>
      <c r="E2773">
        <v>3850</v>
      </c>
      <c r="F2773">
        <v>128</v>
      </c>
      <c r="G2773">
        <v>120</v>
      </c>
      <c r="H2773">
        <v>-64</v>
      </c>
      <c r="J2773" s="1">
        <f t="shared" si="215"/>
        <v>16384</v>
      </c>
      <c r="K2773" s="1">
        <f t="shared" si="216"/>
        <v>14400</v>
      </c>
      <c r="L2773" s="1">
        <f t="shared" si="217"/>
        <v>30784</v>
      </c>
      <c r="M2773" s="1">
        <f t="shared" si="218"/>
        <v>175.45369759569047</v>
      </c>
      <c r="N2773" s="7">
        <f t="shared" si="219"/>
        <v>175.45369759569047</v>
      </c>
    </row>
    <row r="2774" spans="1:14" x14ac:dyDescent="0.25">
      <c r="A2774" t="str">
        <f>"14:36:34.258"</f>
        <v>14:36:34.258</v>
      </c>
      <c r="B2774">
        <v>40.245108999999999</v>
      </c>
      <c r="C2774">
        <v>-75.213453999999999</v>
      </c>
      <c r="D2774">
        <v>3700</v>
      </c>
      <c r="E2774">
        <v>3850</v>
      </c>
      <c r="F2774">
        <v>128</v>
      </c>
      <c r="G2774">
        <v>120</v>
      </c>
      <c r="H2774">
        <v>-64</v>
      </c>
      <c r="J2774" s="1">
        <f t="shared" si="215"/>
        <v>16384</v>
      </c>
      <c r="K2774" s="1">
        <f t="shared" si="216"/>
        <v>14400</v>
      </c>
      <c r="L2774" s="1">
        <f t="shared" si="217"/>
        <v>30784</v>
      </c>
      <c r="M2774" s="1">
        <f t="shared" si="218"/>
        <v>175.45369759569047</v>
      </c>
      <c r="N2774" s="7">
        <f t="shared" si="219"/>
        <v>175.45369759569047</v>
      </c>
    </row>
    <row r="2775" spans="1:14" x14ac:dyDescent="0.25">
      <c r="A2775" t="str">
        <f>"14:36:35.313"</f>
        <v>14:36:35.313</v>
      </c>
      <c r="B2775">
        <v>40.245708999999998</v>
      </c>
      <c r="C2775">
        <v>-75.212637999999998</v>
      </c>
      <c r="D2775">
        <v>3700</v>
      </c>
      <c r="E2775">
        <v>3875</v>
      </c>
      <c r="F2775">
        <v>128</v>
      </c>
      <c r="G2775">
        <v>120</v>
      </c>
      <c r="H2775">
        <v>0</v>
      </c>
      <c r="J2775" s="1">
        <f t="shared" si="215"/>
        <v>16384</v>
      </c>
      <c r="K2775" s="1">
        <f t="shared" si="216"/>
        <v>14400</v>
      </c>
      <c r="L2775" s="1">
        <f t="shared" si="217"/>
        <v>30784</v>
      </c>
      <c r="M2775" s="1">
        <f t="shared" si="218"/>
        <v>175.45369759569047</v>
      </c>
      <c r="N2775" s="7">
        <f t="shared" si="219"/>
        <v>175.45369759569047</v>
      </c>
    </row>
    <row r="2776" spans="1:14" x14ac:dyDescent="0.25">
      <c r="A2776" t="str">
        <f>"14:36:36.375"</f>
        <v>14:36:36.375</v>
      </c>
      <c r="B2776">
        <v>40.246310000000001</v>
      </c>
      <c r="C2776">
        <v>-75.211843999999999</v>
      </c>
      <c r="D2776">
        <v>3700</v>
      </c>
      <c r="E2776">
        <v>3875</v>
      </c>
      <c r="F2776">
        <v>128</v>
      </c>
      <c r="G2776">
        <v>120</v>
      </c>
      <c r="H2776">
        <v>0</v>
      </c>
      <c r="J2776" s="1">
        <f t="shared" si="215"/>
        <v>16384</v>
      </c>
      <c r="K2776" s="1">
        <f t="shared" si="216"/>
        <v>14400</v>
      </c>
      <c r="L2776" s="1">
        <f t="shared" si="217"/>
        <v>30784</v>
      </c>
      <c r="M2776" s="1">
        <f t="shared" si="218"/>
        <v>175.45369759569047</v>
      </c>
      <c r="N2776" s="7">
        <f t="shared" si="219"/>
        <v>175.45369759569047</v>
      </c>
    </row>
    <row r="2777" spans="1:14" x14ac:dyDescent="0.25">
      <c r="A2777" t="str">
        <f>"14:36:37.484"</f>
        <v>14:36:37.484</v>
      </c>
      <c r="B2777">
        <v>40.246954000000002</v>
      </c>
      <c r="C2777">
        <v>-75.210879000000006</v>
      </c>
      <c r="D2777">
        <v>3700</v>
      </c>
      <c r="E2777">
        <v>3875</v>
      </c>
      <c r="F2777">
        <v>128</v>
      </c>
      <c r="G2777">
        <v>120</v>
      </c>
      <c r="H2777">
        <v>64</v>
      </c>
      <c r="J2777" s="1">
        <f t="shared" si="215"/>
        <v>16384</v>
      </c>
      <c r="K2777" s="1">
        <f t="shared" si="216"/>
        <v>14400</v>
      </c>
      <c r="L2777" s="1">
        <f t="shared" si="217"/>
        <v>30784</v>
      </c>
      <c r="M2777" s="1">
        <f t="shared" si="218"/>
        <v>175.45369759569047</v>
      </c>
      <c r="N2777" s="7">
        <f t="shared" si="219"/>
        <v>175.45369759569047</v>
      </c>
    </row>
    <row r="2778" spans="1:14" x14ac:dyDescent="0.25">
      <c r="A2778" t="str">
        <f>"14:36:38.648"</f>
        <v>14:36:38.648</v>
      </c>
      <c r="B2778">
        <v>40.247576000000002</v>
      </c>
      <c r="C2778">
        <v>-75.210020999999998</v>
      </c>
      <c r="D2778">
        <v>3700</v>
      </c>
      <c r="E2778">
        <v>3875</v>
      </c>
      <c r="F2778">
        <v>128</v>
      </c>
      <c r="G2778">
        <v>120</v>
      </c>
      <c r="H2778">
        <v>64</v>
      </c>
      <c r="J2778" s="1">
        <f t="shared" si="215"/>
        <v>16384</v>
      </c>
      <c r="K2778" s="1">
        <f t="shared" si="216"/>
        <v>14400</v>
      </c>
      <c r="L2778" s="1">
        <f t="shared" si="217"/>
        <v>30784</v>
      </c>
      <c r="M2778" s="1">
        <f t="shared" si="218"/>
        <v>175.45369759569047</v>
      </c>
      <c r="N2778" s="7">
        <f t="shared" si="219"/>
        <v>175.45369759569047</v>
      </c>
    </row>
    <row r="2779" spans="1:14" x14ac:dyDescent="0.25">
      <c r="A2779" t="str">
        <f>"14:36:39.656"</f>
        <v>14:36:39.656</v>
      </c>
      <c r="B2779">
        <v>40.248134</v>
      </c>
      <c r="C2779">
        <v>-75.209290999999993</v>
      </c>
      <c r="D2779">
        <v>3700</v>
      </c>
      <c r="E2779">
        <v>3875</v>
      </c>
      <c r="F2779">
        <v>128</v>
      </c>
      <c r="G2779">
        <v>120</v>
      </c>
      <c r="H2779">
        <v>128</v>
      </c>
      <c r="J2779" s="1">
        <f t="shared" si="215"/>
        <v>16384</v>
      </c>
      <c r="K2779" s="1">
        <f t="shared" si="216"/>
        <v>14400</v>
      </c>
      <c r="L2779" s="1">
        <f t="shared" si="217"/>
        <v>30784</v>
      </c>
      <c r="M2779" s="1">
        <f t="shared" si="218"/>
        <v>175.45369759569047</v>
      </c>
      <c r="N2779" s="7">
        <f t="shared" si="219"/>
        <v>175.45369759569047</v>
      </c>
    </row>
    <row r="2780" spans="1:14" x14ac:dyDescent="0.25">
      <c r="A2780" t="str">
        <f>"14:36:40.563"</f>
        <v>14:36:40.563</v>
      </c>
      <c r="B2780">
        <v>40.248649</v>
      </c>
      <c r="C2780">
        <v>-75.208625999999995</v>
      </c>
      <c r="D2780">
        <v>3700</v>
      </c>
      <c r="E2780">
        <v>3875</v>
      </c>
      <c r="F2780">
        <v>128</v>
      </c>
      <c r="G2780">
        <v>120</v>
      </c>
      <c r="H2780">
        <v>64</v>
      </c>
      <c r="J2780" s="1">
        <f t="shared" si="215"/>
        <v>16384</v>
      </c>
      <c r="K2780" s="1">
        <f t="shared" si="216"/>
        <v>14400</v>
      </c>
      <c r="L2780" s="1">
        <f t="shared" si="217"/>
        <v>30784</v>
      </c>
      <c r="M2780" s="1">
        <f t="shared" si="218"/>
        <v>175.45369759569047</v>
      </c>
      <c r="N2780" s="7">
        <f t="shared" si="219"/>
        <v>175.45369759569047</v>
      </c>
    </row>
    <row r="2781" spans="1:14" x14ac:dyDescent="0.25">
      <c r="A2781" t="str">
        <f>"14:36:41.523"</f>
        <v>14:36:41.523</v>
      </c>
      <c r="B2781">
        <v>40.249186000000002</v>
      </c>
      <c r="C2781">
        <v>-75.207831999999996</v>
      </c>
      <c r="D2781">
        <v>3700</v>
      </c>
      <c r="E2781">
        <v>3875</v>
      </c>
      <c r="F2781">
        <v>127</v>
      </c>
      <c r="G2781">
        <v>120</v>
      </c>
      <c r="H2781">
        <v>0</v>
      </c>
      <c r="J2781" s="1">
        <f t="shared" si="215"/>
        <v>16129</v>
      </c>
      <c r="K2781" s="1">
        <f t="shared" si="216"/>
        <v>14400</v>
      </c>
      <c r="L2781" s="1">
        <f t="shared" si="217"/>
        <v>30529</v>
      </c>
      <c r="M2781" s="1">
        <f t="shared" si="218"/>
        <v>174.72549899771354</v>
      </c>
      <c r="N2781" s="7">
        <f t="shared" si="219"/>
        <v>174.72549899771354</v>
      </c>
    </row>
    <row r="2782" spans="1:14" x14ac:dyDescent="0.25">
      <c r="A2782" t="str">
        <f>"14:36:42.430"</f>
        <v>14:36:42.430</v>
      </c>
      <c r="B2782">
        <v>40.249679</v>
      </c>
      <c r="C2782">
        <v>-75.207166999999998</v>
      </c>
      <c r="D2782">
        <v>3700</v>
      </c>
      <c r="E2782">
        <v>3875</v>
      </c>
      <c r="F2782">
        <v>127</v>
      </c>
      <c r="G2782">
        <v>120</v>
      </c>
      <c r="H2782">
        <v>-128</v>
      </c>
      <c r="J2782" s="1">
        <f t="shared" si="215"/>
        <v>16129</v>
      </c>
      <c r="K2782" s="1">
        <f t="shared" si="216"/>
        <v>14400</v>
      </c>
      <c r="L2782" s="1">
        <f t="shared" si="217"/>
        <v>30529</v>
      </c>
      <c r="M2782" s="1">
        <f t="shared" si="218"/>
        <v>174.72549899771354</v>
      </c>
      <c r="N2782" s="7">
        <f t="shared" si="219"/>
        <v>174.72549899771354</v>
      </c>
    </row>
    <row r="2783" spans="1:14" x14ac:dyDescent="0.25">
      <c r="A2783" t="str">
        <f>"14:36:43.492"</f>
        <v>14:36:43.492</v>
      </c>
      <c r="B2783">
        <v>40.250279999999997</v>
      </c>
      <c r="C2783">
        <v>-75.206308000000007</v>
      </c>
      <c r="D2783">
        <v>3700</v>
      </c>
      <c r="E2783">
        <v>3850</v>
      </c>
      <c r="F2783">
        <v>127</v>
      </c>
      <c r="G2783">
        <v>120</v>
      </c>
      <c r="H2783">
        <v>-128</v>
      </c>
      <c r="J2783" s="1">
        <f t="shared" si="215"/>
        <v>16129</v>
      </c>
      <c r="K2783" s="1">
        <f t="shared" si="216"/>
        <v>14400</v>
      </c>
      <c r="L2783" s="1">
        <f t="shared" si="217"/>
        <v>30529</v>
      </c>
      <c r="M2783" s="1">
        <f t="shared" si="218"/>
        <v>174.72549899771354</v>
      </c>
      <c r="N2783" s="7">
        <f t="shared" si="219"/>
        <v>174.72549899771354</v>
      </c>
    </row>
    <row r="2784" spans="1:14" x14ac:dyDescent="0.25">
      <c r="A2784" t="str">
        <f>"14:36:44.500"</f>
        <v>14:36:44.500</v>
      </c>
      <c r="B2784">
        <v>40.250881</v>
      </c>
      <c r="C2784">
        <v>-75.205513999999994</v>
      </c>
      <c r="D2784">
        <v>3700</v>
      </c>
      <c r="E2784">
        <v>3850</v>
      </c>
      <c r="F2784">
        <v>127</v>
      </c>
      <c r="G2784">
        <v>121</v>
      </c>
      <c r="H2784">
        <v>-128</v>
      </c>
      <c r="J2784" s="1">
        <f t="shared" si="215"/>
        <v>16129</v>
      </c>
      <c r="K2784" s="1">
        <f t="shared" si="216"/>
        <v>14641</v>
      </c>
      <c r="L2784" s="1">
        <f t="shared" si="217"/>
        <v>30770</v>
      </c>
      <c r="M2784" s="1">
        <f t="shared" si="218"/>
        <v>175.41379649275024</v>
      </c>
      <c r="N2784" s="7">
        <f t="shared" si="219"/>
        <v>175.41379649275024</v>
      </c>
    </row>
    <row r="2785" spans="1:14" x14ac:dyDescent="0.25">
      <c r="A2785" t="str">
        <f>"14:36:45.516"</f>
        <v>14:36:45.516</v>
      </c>
      <c r="B2785">
        <v>40.251438999999998</v>
      </c>
      <c r="C2785">
        <v>-75.204763</v>
      </c>
      <c r="D2785">
        <v>3700</v>
      </c>
      <c r="E2785">
        <v>3850</v>
      </c>
      <c r="F2785">
        <v>127</v>
      </c>
      <c r="G2785">
        <v>121</v>
      </c>
      <c r="H2785">
        <v>-256</v>
      </c>
      <c r="J2785" s="1">
        <f t="shared" si="215"/>
        <v>16129</v>
      </c>
      <c r="K2785" s="1">
        <f t="shared" si="216"/>
        <v>14641</v>
      </c>
      <c r="L2785" s="1">
        <f t="shared" si="217"/>
        <v>30770</v>
      </c>
      <c r="M2785" s="1">
        <f t="shared" si="218"/>
        <v>175.41379649275024</v>
      </c>
      <c r="N2785" s="7">
        <f t="shared" si="219"/>
        <v>175.41379649275024</v>
      </c>
    </row>
    <row r="2786" spans="1:14" x14ac:dyDescent="0.25">
      <c r="A2786" t="str">
        <f>"14:36:46.625"</f>
        <v>14:36:46.625</v>
      </c>
      <c r="B2786">
        <v>40.252039000000003</v>
      </c>
      <c r="C2786">
        <v>-75.203905000000006</v>
      </c>
      <c r="D2786">
        <v>3700</v>
      </c>
      <c r="E2786">
        <v>3850</v>
      </c>
      <c r="F2786">
        <v>127</v>
      </c>
      <c r="G2786">
        <v>121</v>
      </c>
      <c r="H2786">
        <v>-128</v>
      </c>
      <c r="J2786" s="1">
        <f t="shared" si="215"/>
        <v>16129</v>
      </c>
      <c r="K2786" s="1">
        <f t="shared" si="216"/>
        <v>14641</v>
      </c>
      <c r="L2786" s="1">
        <f t="shared" si="217"/>
        <v>30770</v>
      </c>
      <c r="M2786" s="1">
        <f t="shared" si="218"/>
        <v>175.41379649275024</v>
      </c>
      <c r="N2786" s="7">
        <f t="shared" si="219"/>
        <v>175.41379649275024</v>
      </c>
    </row>
    <row r="2787" spans="1:14" x14ac:dyDescent="0.25">
      <c r="A2787" t="str">
        <f>"14:36:47.484"</f>
        <v>14:36:47.484</v>
      </c>
      <c r="B2787">
        <v>40.252468999999998</v>
      </c>
      <c r="C2787">
        <v>-75.203282999999999</v>
      </c>
      <c r="D2787">
        <v>3700</v>
      </c>
      <c r="E2787">
        <v>3850</v>
      </c>
      <c r="F2787">
        <v>127</v>
      </c>
      <c r="G2787">
        <v>121</v>
      </c>
      <c r="H2787">
        <v>-128</v>
      </c>
      <c r="J2787" s="1">
        <f t="shared" si="215"/>
        <v>16129</v>
      </c>
      <c r="K2787" s="1">
        <f t="shared" si="216"/>
        <v>14641</v>
      </c>
      <c r="L2787" s="1">
        <f t="shared" si="217"/>
        <v>30770</v>
      </c>
      <c r="M2787" s="1">
        <f t="shared" si="218"/>
        <v>175.41379649275024</v>
      </c>
      <c r="N2787" s="7">
        <f t="shared" si="219"/>
        <v>175.41379649275024</v>
      </c>
    </row>
    <row r="2788" spans="1:14" x14ac:dyDescent="0.25">
      <c r="A2788" t="str">
        <f>"14:36:48.594"</f>
        <v>14:36:48.594</v>
      </c>
      <c r="B2788">
        <v>40.253090999999998</v>
      </c>
      <c r="C2788">
        <v>-75.202445999999995</v>
      </c>
      <c r="D2788">
        <v>3700</v>
      </c>
      <c r="E2788">
        <v>3850</v>
      </c>
      <c r="F2788">
        <v>127</v>
      </c>
      <c r="G2788">
        <v>121</v>
      </c>
      <c r="H2788">
        <v>-64</v>
      </c>
      <c r="J2788" s="1">
        <f t="shared" si="215"/>
        <v>16129</v>
      </c>
      <c r="K2788" s="1">
        <f t="shared" si="216"/>
        <v>14641</v>
      </c>
      <c r="L2788" s="1">
        <f t="shared" si="217"/>
        <v>30770</v>
      </c>
      <c r="M2788" s="1">
        <f t="shared" si="218"/>
        <v>175.41379649275024</v>
      </c>
      <c r="N2788" s="7">
        <f t="shared" si="219"/>
        <v>175.41379649275024</v>
      </c>
    </row>
    <row r="2789" spans="1:14" x14ac:dyDescent="0.25">
      <c r="A2789" t="str">
        <f>"14:36:49.648"</f>
        <v>14:36:49.648</v>
      </c>
      <c r="B2789">
        <v>40.25367</v>
      </c>
      <c r="C2789">
        <v>-75.201609000000005</v>
      </c>
      <c r="D2789">
        <v>3700</v>
      </c>
      <c r="E2789">
        <v>3850</v>
      </c>
      <c r="F2789">
        <v>127</v>
      </c>
      <c r="G2789">
        <v>121</v>
      </c>
      <c r="H2789">
        <v>0</v>
      </c>
      <c r="J2789" s="1">
        <f t="shared" si="215"/>
        <v>16129</v>
      </c>
      <c r="K2789" s="1">
        <f t="shared" si="216"/>
        <v>14641</v>
      </c>
      <c r="L2789" s="1">
        <f t="shared" si="217"/>
        <v>30770</v>
      </c>
      <c r="M2789" s="1">
        <f t="shared" si="218"/>
        <v>175.41379649275024</v>
      </c>
      <c r="N2789" s="7">
        <f t="shared" si="219"/>
        <v>175.41379649275024</v>
      </c>
    </row>
    <row r="2790" spans="1:14" x14ac:dyDescent="0.25">
      <c r="A2790" t="str">
        <f>"14:36:50.711"</f>
        <v>14:36:50.711</v>
      </c>
      <c r="B2790">
        <v>40.254314000000001</v>
      </c>
      <c r="C2790">
        <v>-75.200750999999997</v>
      </c>
      <c r="D2790">
        <v>3700</v>
      </c>
      <c r="E2790">
        <v>3850</v>
      </c>
      <c r="F2790">
        <v>127</v>
      </c>
      <c r="G2790">
        <v>121</v>
      </c>
      <c r="H2790">
        <v>64</v>
      </c>
      <c r="J2790" s="1">
        <f t="shared" si="215"/>
        <v>16129</v>
      </c>
      <c r="K2790" s="1">
        <f t="shared" si="216"/>
        <v>14641</v>
      </c>
      <c r="L2790" s="1">
        <f t="shared" si="217"/>
        <v>30770</v>
      </c>
      <c r="M2790" s="1">
        <f t="shared" si="218"/>
        <v>175.41379649275024</v>
      </c>
      <c r="N2790" s="7">
        <f t="shared" si="219"/>
        <v>175.41379649275024</v>
      </c>
    </row>
    <row r="2791" spans="1:14" x14ac:dyDescent="0.25">
      <c r="A2791" t="str">
        <f>"14:36:51.820"</f>
        <v>14:36:51.820</v>
      </c>
      <c r="B2791">
        <v>40.254871999999999</v>
      </c>
      <c r="C2791">
        <v>-75.200021000000007</v>
      </c>
      <c r="D2791">
        <v>3700</v>
      </c>
      <c r="E2791">
        <v>3850</v>
      </c>
      <c r="F2791">
        <v>127</v>
      </c>
      <c r="G2791">
        <v>120</v>
      </c>
      <c r="H2791">
        <v>64</v>
      </c>
      <c r="J2791" s="1">
        <f t="shared" si="215"/>
        <v>16129</v>
      </c>
      <c r="K2791" s="1">
        <f t="shared" si="216"/>
        <v>14400</v>
      </c>
      <c r="L2791" s="1">
        <f t="shared" si="217"/>
        <v>30529</v>
      </c>
      <c r="M2791" s="1">
        <f t="shared" si="218"/>
        <v>174.72549899771354</v>
      </c>
      <c r="N2791" s="7">
        <f t="shared" si="219"/>
        <v>174.72549899771354</v>
      </c>
    </row>
    <row r="2792" spans="1:14" x14ac:dyDescent="0.25">
      <c r="A2792" t="str">
        <f>"14:36:52.836"</f>
        <v>14:36:52.836</v>
      </c>
      <c r="B2792">
        <v>40.255493999999999</v>
      </c>
      <c r="C2792">
        <v>-75.199162999999999</v>
      </c>
      <c r="D2792">
        <v>3700</v>
      </c>
      <c r="E2792">
        <v>3850</v>
      </c>
      <c r="F2792">
        <v>127</v>
      </c>
      <c r="G2792">
        <v>120</v>
      </c>
      <c r="H2792">
        <v>128</v>
      </c>
      <c r="J2792" s="1">
        <f t="shared" si="215"/>
        <v>16129</v>
      </c>
      <c r="K2792" s="1">
        <f t="shared" si="216"/>
        <v>14400</v>
      </c>
      <c r="L2792" s="1">
        <f t="shared" si="217"/>
        <v>30529</v>
      </c>
      <c r="M2792" s="1">
        <f t="shared" si="218"/>
        <v>174.72549899771354</v>
      </c>
      <c r="N2792" s="7">
        <f t="shared" si="219"/>
        <v>174.72549899771354</v>
      </c>
    </row>
    <row r="2793" spans="1:14" x14ac:dyDescent="0.25">
      <c r="A2793" t="str">
        <f>"14:36:53.742"</f>
        <v>14:36:53.742</v>
      </c>
      <c r="B2793">
        <v>40.256008999999999</v>
      </c>
      <c r="C2793">
        <v>-75.198432999999994</v>
      </c>
      <c r="D2793">
        <v>3700</v>
      </c>
      <c r="E2793">
        <v>3850</v>
      </c>
      <c r="F2793">
        <v>127</v>
      </c>
      <c r="G2793">
        <v>120</v>
      </c>
      <c r="H2793">
        <v>128</v>
      </c>
      <c r="J2793" s="1">
        <f t="shared" si="215"/>
        <v>16129</v>
      </c>
      <c r="K2793" s="1">
        <f t="shared" si="216"/>
        <v>14400</v>
      </c>
      <c r="L2793" s="1">
        <f t="shared" si="217"/>
        <v>30529</v>
      </c>
      <c r="M2793" s="1">
        <f t="shared" si="218"/>
        <v>174.72549899771354</v>
      </c>
      <c r="N2793" s="7">
        <f t="shared" si="219"/>
        <v>174.72549899771354</v>
      </c>
    </row>
    <row r="2794" spans="1:14" x14ac:dyDescent="0.25">
      <c r="A2794" t="str">
        <f>"14:36:54.703"</f>
        <v>14:36:54.703</v>
      </c>
      <c r="B2794">
        <v>40.256566999999997</v>
      </c>
      <c r="C2794">
        <v>-75.197682</v>
      </c>
      <c r="D2794">
        <v>3700</v>
      </c>
      <c r="E2794">
        <v>3850</v>
      </c>
      <c r="F2794">
        <v>127</v>
      </c>
      <c r="G2794">
        <v>120</v>
      </c>
      <c r="H2794">
        <v>128</v>
      </c>
      <c r="J2794" s="1">
        <f t="shared" si="215"/>
        <v>16129</v>
      </c>
      <c r="K2794" s="1">
        <f t="shared" si="216"/>
        <v>14400</v>
      </c>
      <c r="L2794" s="1">
        <f t="shared" si="217"/>
        <v>30529</v>
      </c>
      <c r="M2794" s="1">
        <f t="shared" si="218"/>
        <v>174.72549899771354</v>
      </c>
      <c r="N2794" s="7">
        <f t="shared" si="219"/>
        <v>174.72549899771354</v>
      </c>
    </row>
    <row r="2795" spans="1:14" x14ac:dyDescent="0.25">
      <c r="A2795" t="str">
        <f>"14:36:55.656"</f>
        <v>14:36:55.656</v>
      </c>
      <c r="B2795">
        <v>40.257018000000002</v>
      </c>
      <c r="C2795">
        <v>-75.197039000000004</v>
      </c>
      <c r="D2795">
        <v>3700</v>
      </c>
      <c r="E2795">
        <v>3850</v>
      </c>
      <c r="F2795">
        <v>127</v>
      </c>
      <c r="G2795">
        <v>120</v>
      </c>
      <c r="H2795">
        <v>64</v>
      </c>
      <c r="J2795" s="1">
        <f t="shared" si="215"/>
        <v>16129</v>
      </c>
      <c r="K2795" s="1">
        <f t="shared" si="216"/>
        <v>14400</v>
      </c>
      <c r="L2795" s="1">
        <f t="shared" si="217"/>
        <v>30529</v>
      </c>
      <c r="M2795" s="1">
        <f t="shared" si="218"/>
        <v>174.72549899771354</v>
      </c>
      <c r="N2795" s="7">
        <f t="shared" si="219"/>
        <v>174.72549899771354</v>
      </c>
    </row>
    <row r="2796" spans="1:14" x14ac:dyDescent="0.25">
      <c r="A2796" t="str">
        <f>"14:36:56.719"</f>
        <v>14:36:56.719</v>
      </c>
      <c r="B2796">
        <v>40.257660999999999</v>
      </c>
      <c r="C2796">
        <v>-75.196158999999994</v>
      </c>
      <c r="D2796">
        <v>3700</v>
      </c>
      <c r="E2796">
        <v>3875</v>
      </c>
      <c r="F2796">
        <v>127</v>
      </c>
      <c r="G2796">
        <v>120</v>
      </c>
      <c r="H2796">
        <v>64</v>
      </c>
      <c r="J2796" s="1">
        <f t="shared" si="215"/>
        <v>16129</v>
      </c>
      <c r="K2796" s="1">
        <f t="shared" si="216"/>
        <v>14400</v>
      </c>
      <c r="L2796" s="1">
        <f t="shared" si="217"/>
        <v>30529</v>
      </c>
      <c r="M2796" s="1">
        <f t="shared" si="218"/>
        <v>174.72549899771354</v>
      </c>
      <c r="N2796" s="7">
        <f t="shared" si="219"/>
        <v>174.72549899771354</v>
      </c>
    </row>
    <row r="2797" spans="1:14" x14ac:dyDescent="0.25">
      <c r="A2797" t="str">
        <f>"14:36:57.680"</f>
        <v>14:36:57.680</v>
      </c>
      <c r="B2797">
        <v>40.258218999999997</v>
      </c>
      <c r="C2797">
        <v>-75.195429000000004</v>
      </c>
      <c r="D2797">
        <v>3700</v>
      </c>
      <c r="E2797">
        <v>3875</v>
      </c>
      <c r="F2797">
        <v>127</v>
      </c>
      <c r="G2797">
        <v>119</v>
      </c>
      <c r="H2797">
        <v>64</v>
      </c>
      <c r="J2797" s="1">
        <f t="shared" si="215"/>
        <v>16129</v>
      </c>
      <c r="K2797" s="1">
        <f t="shared" si="216"/>
        <v>14161</v>
      </c>
      <c r="L2797" s="1">
        <f t="shared" si="217"/>
        <v>30290</v>
      </c>
      <c r="M2797" s="1">
        <f t="shared" si="218"/>
        <v>174.04022523543227</v>
      </c>
      <c r="N2797" s="7">
        <f t="shared" si="219"/>
        <v>174.04022523543227</v>
      </c>
    </row>
    <row r="2798" spans="1:14" x14ac:dyDescent="0.25">
      <c r="A2798" t="str">
        <f>"14:36:58.586"</f>
        <v>14:36:58.586</v>
      </c>
      <c r="B2798">
        <v>40.258626999999997</v>
      </c>
      <c r="C2798">
        <v>-75.194764000000006</v>
      </c>
      <c r="D2798">
        <v>3700</v>
      </c>
      <c r="E2798">
        <v>3875</v>
      </c>
      <c r="F2798">
        <v>127</v>
      </c>
      <c r="G2798">
        <v>119</v>
      </c>
      <c r="H2798">
        <v>0</v>
      </c>
      <c r="J2798" s="1">
        <f t="shared" si="215"/>
        <v>16129</v>
      </c>
      <c r="K2798" s="1">
        <f t="shared" si="216"/>
        <v>14161</v>
      </c>
      <c r="L2798" s="1">
        <f t="shared" si="217"/>
        <v>30290</v>
      </c>
      <c r="M2798" s="1">
        <f t="shared" si="218"/>
        <v>174.04022523543227</v>
      </c>
      <c r="N2798" s="7">
        <f t="shared" si="219"/>
        <v>174.04022523543227</v>
      </c>
    </row>
    <row r="2799" spans="1:14" x14ac:dyDescent="0.25">
      <c r="A2799" t="str">
        <f>"14:36:59.695"</f>
        <v>14:36:59.695</v>
      </c>
      <c r="B2799">
        <v>40.259248999999997</v>
      </c>
      <c r="C2799">
        <v>-75.193927000000002</v>
      </c>
      <c r="D2799">
        <v>3700</v>
      </c>
      <c r="E2799">
        <v>3875</v>
      </c>
      <c r="F2799">
        <v>127</v>
      </c>
      <c r="G2799">
        <v>119</v>
      </c>
      <c r="H2799">
        <v>-64</v>
      </c>
      <c r="J2799" s="1">
        <f t="shared" si="215"/>
        <v>16129</v>
      </c>
      <c r="K2799" s="1">
        <f t="shared" si="216"/>
        <v>14161</v>
      </c>
      <c r="L2799" s="1">
        <f t="shared" si="217"/>
        <v>30290</v>
      </c>
      <c r="M2799" s="1">
        <f t="shared" si="218"/>
        <v>174.04022523543227</v>
      </c>
      <c r="N2799" s="7">
        <f t="shared" si="219"/>
        <v>174.04022523543227</v>
      </c>
    </row>
    <row r="2800" spans="1:14" x14ac:dyDescent="0.25">
      <c r="A2800" t="str">
        <f>"14:37:00.656"</f>
        <v>14:37:00.656</v>
      </c>
      <c r="B2800">
        <v>40.259763999999997</v>
      </c>
      <c r="C2800">
        <v>-75.193175999999994</v>
      </c>
      <c r="D2800">
        <v>3700</v>
      </c>
      <c r="E2800">
        <v>3875</v>
      </c>
      <c r="F2800">
        <v>127</v>
      </c>
      <c r="G2800">
        <v>119</v>
      </c>
      <c r="H2800">
        <v>0</v>
      </c>
      <c r="J2800" s="1">
        <f t="shared" si="215"/>
        <v>16129</v>
      </c>
      <c r="K2800" s="1">
        <f t="shared" si="216"/>
        <v>14161</v>
      </c>
      <c r="L2800" s="1">
        <f t="shared" si="217"/>
        <v>30290</v>
      </c>
      <c r="M2800" s="1">
        <f t="shared" si="218"/>
        <v>174.04022523543227</v>
      </c>
      <c r="N2800" s="7">
        <f t="shared" si="219"/>
        <v>174.04022523543227</v>
      </c>
    </row>
    <row r="2801" spans="1:14" x14ac:dyDescent="0.25">
      <c r="A2801" t="str">
        <f>"14:37:01.617"</f>
        <v>14:37:01.617</v>
      </c>
      <c r="B2801">
        <v>40.260322000000002</v>
      </c>
      <c r="C2801">
        <v>-75.192425</v>
      </c>
      <c r="D2801">
        <v>3700</v>
      </c>
      <c r="E2801">
        <v>3875</v>
      </c>
      <c r="F2801">
        <v>127</v>
      </c>
      <c r="G2801">
        <v>119</v>
      </c>
      <c r="H2801">
        <v>-64</v>
      </c>
      <c r="J2801" s="1">
        <f t="shared" si="215"/>
        <v>16129</v>
      </c>
      <c r="K2801" s="1">
        <f t="shared" si="216"/>
        <v>14161</v>
      </c>
      <c r="L2801" s="1">
        <f t="shared" si="217"/>
        <v>30290</v>
      </c>
      <c r="M2801" s="1">
        <f t="shared" si="218"/>
        <v>174.04022523543227</v>
      </c>
      <c r="N2801" s="7">
        <f t="shared" si="219"/>
        <v>174.04022523543227</v>
      </c>
    </row>
    <row r="2802" spans="1:14" x14ac:dyDescent="0.25">
      <c r="A2802" t="str">
        <f>"14:37:02.578"</f>
        <v>14:37:02.578</v>
      </c>
      <c r="B2802">
        <v>40.260815999999998</v>
      </c>
      <c r="C2802">
        <v>-75.191716999999997</v>
      </c>
      <c r="D2802">
        <v>3700</v>
      </c>
      <c r="E2802">
        <v>3875</v>
      </c>
      <c r="F2802">
        <v>127</v>
      </c>
      <c r="G2802">
        <v>119</v>
      </c>
      <c r="H2802">
        <v>-128</v>
      </c>
      <c r="J2802" s="1">
        <f t="shared" si="215"/>
        <v>16129</v>
      </c>
      <c r="K2802" s="1">
        <f t="shared" si="216"/>
        <v>14161</v>
      </c>
      <c r="L2802" s="1">
        <f t="shared" si="217"/>
        <v>30290</v>
      </c>
      <c r="M2802" s="1">
        <f t="shared" si="218"/>
        <v>174.04022523543227</v>
      </c>
      <c r="N2802" s="7">
        <f t="shared" si="219"/>
        <v>174.04022523543227</v>
      </c>
    </row>
    <row r="2803" spans="1:14" x14ac:dyDescent="0.25">
      <c r="A2803" t="str">
        <f>"14:37:03.688"</f>
        <v>14:37:03.688</v>
      </c>
      <c r="B2803">
        <v>40.261502</v>
      </c>
      <c r="C2803">
        <v>-75.190793999999997</v>
      </c>
      <c r="D2803">
        <v>3700</v>
      </c>
      <c r="E2803">
        <v>3850</v>
      </c>
      <c r="F2803">
        <v>128</v>
      </c>
      <c r="G2803">
        <v>119</v>
      </c>
      <c r="H2803">
        <v>-128</v>
      </c>
      <c r="J2803" s="1">
        <f t="shared" si="215"/>
        <v>16384</v>
      </c>
      <c r="K2803" s="1">
        <f t="shared" si="216"/>
        <v>14161</v>
      </c>
      <c r="L2803" s="1">
        <f t="shared" si="217"/>
        <v>30545</v>
      </c>
      <c r="M2803" s="1">
        <f t="shared" si="218"/>
        <v>174.77127910500627</v>
      </c>
      <c r="N2803" s="7">
        <f t="shared" si="219"/>
        <v>174.77127910500627</v>
      </c>
    </row>
    <row r="2804" spans="1:14" x14ac:dyDescent="0.25">
      <c r="A2804" t="str">
        <f>"14:37:04.797"</f>
        <v>14:37:04.797</v>
      </c>
      <c r="B2804">
        <v>40.262103000000003</v>
      </c>
      <c r="C2804">
        <v>-75.189936000000003</v>
      </c>
      <c r="D2804">
        <v>3700</v>
      </c>
      <c r="E2804">
        <v>3850</v>
      </c>
      <c r="F2804">
        <v>128</v>
      </c>
      <c r="G2804">
        <v>119</v>
      </c>
      <c r="H2804">
        <v>0</v>
      </c>
      <c r="J2804" s="1">
        <f t="shared" si="215"/>
        <v>16384</v>
      </c>
      <c r="K2804" s="1">
        <f t="shared" si="216"/>
        <v>14161</v>
      </c>
      <c r="L2804" s="1">
        <f t="shared" si="217"/>
        <v>30545</v>
      </c>
      <c r="M2804" s="1">
        <f t="shared" si="218"/>
        <v>174.77127910500627</v>
      </c>
      <c r="N2804" s="7">
        <f t="shared" si="219"/>
        <v>174.77127910500627</v>
      </c>
    </row>
    <row r="2805" spans="1:14" x14ac:dyDescent="0.25">
      <c r="A2805" t="str">
        <f>"14:37:06.008"</f>
        <v>14:37:06.008</v>
      </c>
      <c r="B2805">
        <v>40.262703999999999</v>
      </c>
      <c r="C2805">
        <v>-75.189077999999995</v>
      </c>
      <c r="D2805">
        <v>3700</v>
      </c>
      <c r="E2805">
        <v>3850</v>
      </c>
      <c r="F2805">
        <v>128</v>
      </c>
      <c r="G2805">
        <v>119</v>
      </c>
      <c r="H2805">
        <v>64</v>
      </c>
      <c r="J2805" s="1">
        <f t="shared" si="215"/>
        <v>16384</v>
      </c>
      <c r="K2805" s="1">
        <f t="shared" si="216"/>
        <v>14161</v>
      </c>
      <c r="L2805" s="1">
        <f t="shared" si="217"/>
        <v>30545</v>
      </c>
      <c r="M2805" s="1">
        <f t="shared" si="218"/>
        <v>174.77127910500627</v>
      </c>
      <c r="N2805" s="7">
        <f t="shared" si="219"/>
        <v>174.77127910500627</v>
      </c>
    </row>
    <row r="2806" spans="1:14" x14ac:dyDescent="0.25">
      <c r="A2806" t="str">
        <f>"14:37:06.914"</f>
        <v>14:37:06.914</v>
      </c>
      <c r="B2806">
        <v>40.263240000000003</v>
      </c>
      <c r="C2806">
        <v>-75.188283999999996</v>
      </c>
      <c r="D2806">
        <v>3700</v>
      </c>
      <c r="E2806">
        <v>3850</v>
      </c>
      <c r="F2806">
        <v>128</v>
      </c>
      <c r="G2806">
        <v>119</v>
      </c>
      <c r="H2806">
        <v>128</v>
      </c>
      <c r="J2806" s="1">
        <f t="shared" si="215"/>
        <v>16384</v>
      </c>
      <c r="K2806" s="1">
        <f t="shared" si="216"/>
        <v>14161</v>
      </c>
      <c r="L2806" s="1">
        <f t="shared" si="217"/>
        <v>30545</v>
      </c>
      <c r="M2806" s="1">
        <f t="shared" si="218"/>
        <v>174.77127910500627</v>
      </c>
      <c r="N2806" s="7">
        <f t="shared" si="219"/>
        <v>174.77127910500627</v>
      </c>
    </row>
    <row r="2807" spans="1:14" x14ac:dyDescent="0.25">
      <c r="A2807" t="str">
        <f>"14:37:07.977"</f>
        <v>14:37:07.977</v>
      </c>
      <c r="B2807">
        <v>40.263863000000001</v>
      </c>
      <c r="C2807">
        <v>-75.187489999999997</v>
      </c>
      <c r="D2807">
        <v>3700</v>
      </c>
      <c r="E2807">
        <v>3850</v>
      </c>
      <c r="F2807">
        <v>128</v>
      </c>
      <c r="G2807">
        <v>119</v>
      </c>
      <c r="H2807">
        <v>64</v>
      </c>
      <c r="J2807" s="1">
        <f t="shared" si="215"/>
        <v>16384</v>
      </c>
      <c r="K2807" s="1">
        <f t="shared" si="216"/>
        <v>14161</v>
      </c>
      <c r="L2807" s="1">
        <f t="shared" si="217"/>
        <v>30545</v>
      </c>
      <c r="M2807" s="1">
        <f t="shared" si="218"/>
        <v>174.77127910500627</v>
      </c>
      <c r="N2807" s="7">
        <f t="shared" si="219"/>
        <v>174.77127910500627</v>
      </c>
    </row>
    <row r="2808" spans="1:14" x14ac:dyDescent="0.25">
      <c r="A2808" t="str">
        <f>"14:37:08.836"</f>
        <v>14:37:08.836</v>
      </c>
      <c r="B2808">
        <v>40.264335000000003</v>
      </c>
      <c r="C2808">
        <v>-75.186868000000004</v>
      </c>
      <c r="D2808">
        <v>3700</v>
      </c>
      <c r="E2808">
        <v>3850</v>
      </c>
      <c r="F2808">
        <v>128</v>
      </c>
      <c r="G2808">
        <v>119</v>
      </c>
      <c r="H2808">
        <v>192</v>
      </c>
      <c r="J2808" s="1">
        <f t="shared" si="215"/>
        <v>16384</v>
      </c>
      <c r="K2808" s="1">
        <f t="shared" si="216"/>
        <v>14161</v>
      </c>
      <c r="L2808" s="1">
        <f t="shared" si="217"/>
        <v>30545</v>
      </c>
      <c r="M2808" s="1">
        <f t="shared" si="218"/>
        <v>174.77127910500627</v>
      </c>
      <c r="N2808" s="7">
        <f t="shared" si="219"/>
        <v>174.77127910500627</v>
      </c>
    </row>
    <row r="2809" spans="1:14" x14ac:dyDescent="0.25">
      <c r="A2809" t="str">
        <f>"14:37:09.742"</f>
        <v>14:37:09.742</v>
      </c>
      <c r="B2809">
        <v>40.264806999999998</v>
      </c>
      <c r="C2809">
        <v>-75.186160000000001</v>
      </c>
      <c r="D2809">
        <v>3700</v>
      </c>
      <c r="E2809">
        <v>3875</v>
      </c>
      <c r="F2809">
        <v>127</v>
      </c>
      <c r="G2809">
        <v>118</v>
      </c>
      <c r="H2809">
        <v>256</v>
      </c>
      <c r="J2809" s="1">
        <f t="shared" si="215"/>
        <v>16129</v>
      </c>
      <c r="K2809" s="1">
        <f t="shared" si="216"/>
        <v>13924</v>
      </c>
      <c r="L2809" s="1">
        <f t="shared" si="217"/>
        <v>30053</v>
      </c>
      <c r="M2809" s="1">
        <f t="shared" si="218"/>
        <v>173.35801106380978</v>
      </c>
      <c r="N2809" s="7">
        <f t="shared" si="219"/>
        <v>173.35801106380978</v>
      </c>
    </row>
    <row r="2810" spans="1:14" x14ac:dyDescent="0.25">
      <c r="A2810" t="str">
        <f>"14:37:10.750"</f>
        <v>14:37:10.750</v>
      </c>
      <c r="B2810">
        <v>40.265343000000001</v>
      </c>
      <c r="C2810">
        <v>-75.185366000000002</v>
      </c>
      <c r="D2810">
        <v>3700</v>
      </c>
      <c r="E2810">
        <v>3875</v>
      </c>
      <c r="F2810">
        <v>127</v>
      </c>
      <c r="G2810">
        <v>118</v>
      </c>
      <c r="H2810">
        <v>256</v>
      </c>
      <c r="J2810" s="1">
        <f t="shared" si="215"/>
        <v>16129</v>
      </c>
      <c r="K2810" s="1">
        <f t="shared" si="216"/>
        <v>13924</v>
      </c>
      <c r="L2810" s="1">
        <f t="shared" si="217"/>
        <v>30053</v>
      </c>
      <c r="M2810" s="1">
        <f t="shared" si="218"/>
        <v>173.35801106380978</v>
      </c>
      <c r="N2810" s="7">
        <f t="shared" si="219"/>
        <v>173.35801106380978</v>
      </c>
    </row>
    <row r="2811" spans="1:14" x14ac:dyDescent="0.25">
      <c r="A2811" t="str">
        <f>"14:37:11.867"</f>
        <v>14:37:11.867</v>
      </c>
      <c r="B2811">
        <v>40.265965000000001</v>
      </c>
      <c r="C2811">
        <v>-75.184572000000003</v>
      </c>
      <c r="D2811">
        <v>3700</v>
      </c>
      <c r="E2811">
        <v>3875</v>
      </c>
      <c r="F2811">
        <v>127</v>
      </c>
      <c r="G2811">
        <v>118</v>
      </c>
      <c r="H2811">
        <v>256</v>
      </c>
      <c r="J2811" s="1">
        <f t="shared" si="215"/>
        <v>16129</v>
      </c>
      <c r="K2811" s="1">
        <f t="shared" si="216"/>
        <v>13924</v>
      </c>
      <c r="L2811" s="1">
        <f t="shared" si="217"/>
        <v>30053</v>
      </c>
      <c r="M2811" s="1">
        <f t="shared" si="218"/>
        <v>173.35801106380978</v>
      </c>
      <c r="N2811" s="7">
        <f t="shared" si="219"/>
        <v>173.35801106380978</v>
      </c>
    </row>
    <row r="2812" spans="1:14" x14ac:dyDescent="0.25">
      <c r="A2812" t="str">
        <f>"14:37:12.820"</f>
        <v>14:37:12.820</v>
      </c>
      <c r="B2812">
        <v>40.266522999999999</v>
      </c>
      <c r="C2812">
        <v>-75.183756000000002</v>
      </c>
      <c r="D2812">
        <v>3700</v>
      </c>
      <c r="E2812">
        <v>3875</v>
      </c>
      <c r="F2812">
        <v>127</v>
      </c>
      <c r="G2812">
        <v>118</v>
      </c>
      <c r="H2812">
        <v>64</v>
      </c>
      <c r="J2812" s="1">
        <f t="shared" si="215"/>
        <v>16129</v>
      </c>
      <c r="K2812" s="1">
        <f t="shared" si="216"/>
        <v>13924</v>
      </c>
      <c r="L2812" s="1">
        <f t="shared" si="217"/>
        <v>30053</v>
      </c>
      <c r="M2812" s="1">
        <f t="shared" si="218"/>
        <v>173.35801106380978</v>
      </c>
      <c r="N2812" s="7">
        <f t="shared" si="219"/>
        <v>173.35801106380978</v>
      </c>
    </row>
    <row r="2813" spans="1:14" x14ac:dyDescent="0.25">
      <c r="A2813" t="str">
        <f>"14:37:13.930"</f>
        <v>14:37:13.930</v>
      </c>
      <c r="B2813">
        <v>40.267080999999997</v>
      </c>
      <c r="C2813">
        <v>-75.182919999999996</v>
      </c>
      <c r="D2813">
        <v>3700</v>
      </c>
      <c r="E2813">
        <v>3875</v>
      </c>
      <c r="F2813">
        <v>127</v>
      </c>
      <c r="G2813">
        <v>119</v>
      </c>
      <c r="H2813">
        <v>-64</v>
      </c>
      <c r="J2813" s="1">
        <f t="shared" si="215"/>
        <v>16129</v>
      </c>
      <c r="K2813" s="1">
        <f t="shared" si="216"/>
        <v>14161</v>
      </c>
      <c r="L2813" s="1">
        <f t="shared" si="217"/>
        <v>30290</v>
      </c>
      <c r="M2813" s="1">
        <f t="shared" si="218"/>
        <v>174.04022523543227</v>
      </c>
      <c r="N2813" s="7">
        <f t="shared" si="219"/>
        <v>174.04022523543227</v>
      </c>
    </row>
    <row r="2814" spans="1:14" x14ac:dyDescent="0.25">
      <c r="A2814" t="str">
        <f>"14:37:14.844"</f>
        <v>14:37:14.844</v>
      </c>
      <c r="B2814">
        <v>40.267595999999998</v>
      </c>
      <c r="C2814">
        <v>-75.182254</v>
      </c>
      <c r="D2814">
        <v>3700</v>
      </c>
      <c r="E2814">
        <v>3875</v>
      </c>
      <c r="F2814">
        <v>126</v>
      </c>
      <c r="G2814">
        <v>119</v>
      </c>
      <c r="H2814">
        <v>-128</v>
      </c>
      <c r="J2814" s="1">
        <f t="shared" si="215"/>
        <v>15876</v>
      </c>
      <c r="K2814" s="1">
        <f t="shared" si="216"/>
        <v>14161</v>
      </c>
      <c r="L2814" s="1">
        <f t="shared" si="217"/>
        <v>30037</v>
      </c>
      <c r="M2814" s="1">
        <f t="shared" si="218"/>
        <v>173.31185764395926</v>
      </c>
      <c r="N2814" s="7">
        <f t="shared" si="219"/>
        <v>173.31185764395926</v>
      </c>
    </row>
    <row r="2815" spans="1:14" x14ac:dyDescent="0.25">
      <c r="A2815" t="str">
        <f>"14:37:15.852"</f>
        <v>14:37:15.852</v>
      </c>
      <c r="B2815">
        <v>40.268154000000003</v>
      </c>
      <c r="C2815">
        <v>-75.181503000000006</v>
      </c>
      <c r="D2815">
        <v>3700</v>
      </c>
      <c r="E2815">
        <v>3875</v>
      </c>
      <c r="F2815">
        <v>126</v>
      </c>
      <c r="G2815">
        <v>119</v>
      </c>
      <c r="H2815">
        <v>-192</v>
      </c>
      <c r="J2815" s="1">
        <f t="shared" si="215"/>
        <v>15876</v>
      </c>
      <c r="K2815" s="1">
        <f t="shared" si="216"/>
        <v>14161</v>
      </c>
      <c r="L2815" s="1">
        <f t="shared" si="217"/>
        <v>30037</v>
      </c>
      <c r="M2815" s="1">
        <f t="shared" si="218"/>
        <v>173.31185764395926</v>
      </c>
      <c r="N2815" s="7">
        <f t="shared" si="219"/>
        <v>173.31185764395926</v>
      </c>
    </row>
    <row r="2816" spans="1:14" x14ac:dyDescent="0.25">
      <c r="A2816" t="str">
        <f>"14:37:16.859"</f>
        <v>14:37:16.859</v>
      </c>
      <c r="B2816">
        <v>40.268712000000001</v>
      </c>
      <c r="C2816">
        <v>-75.180688000000004</v>
      </c>
      <c r="D2816">
        <v>3700</v>
      </c>
      <c r="E2816">
        <v>3875</v>
      </c>
      <c r="F2816">
        <v>126</v>
      </c>
      <c r="G2816">
        <v>120</v>
      </c>
      <c r="H2816">
        <v>-256</v>
      </c>
      <c r="J2816" s="1">
        <f t="shared" si="215"/>
        <v>15876</v>
      </c>
      <c r="K2816" s="1">
        <f t="shared" si="216"/>
        <v>14400</v>
      </c>
      <c r="L2816" s="1">
        <f t="shared" si="217"/>
        <v>30276</v>
      </c>
      <c r="M2816" s="1">
        <f t="shared" si="218"/>
        <v>174</v>
      </c>
      <c r="N2816" s="7">
        <f t="shared" si="219"/>
        <v>174</v>
      </c>
    </row>
    <row r="2817" spans="1:14" x14ac:dyDescent="0.25">
      <c r="A2817" t="str">
        <f>"14:37:17.922"</f>
        <v>14:37:17.922</v>
      </c>
      <c r="B2817">
        <v>40.269334000000001</v>
      </c>
      <c r="C2817">
        <v>-75.179873000000001</v>
      </c>
      <c r="D2817">
        <v>3700</v>
      </c>
      <c r="E2817">
        <v>3850</v>
      </c>
      <c r="F2817">
        <v>127</v>
      </c>
      <c r="G2817">
        <v>120</v>
      </c>
      <c r="H2817">
        <v>-320</v>
      </c>
      <c r="J2817" s="1">
        <f t="shared" si="215"/>
        <v>16129</v>
      </c>
      <c r="K2817" s="1">
        <f t="shared" si="216"/>
        <v>14400</v>
      </c>
      <c r="L2817" s="1">
        <f t="shared" si="217"/>
        <v>30529</v>
      </c>
      <c r="M2817" s="1">
        <f t="shared" si="218"/>
        <v>174.72549899771354</v>
      </c>
      <c r="N2817" s="7">
        <f t="shared" si="219"/>
        <v>174.72549899771354</v>
      </c>
    </row>
    <row r="2818" spans="1:14" x14ac:dyDescent="0.25">
      <c r="A2818" t="str">
        <f>"14:37:18.781"</f>
        <v>14:37:18.781</v>
      </c>
      <c r="B2818">
        <v>40.269784999999999</v>
      </c>
      <c r="C2818">
        <v>-75.179249999999996</v>
      </c>
      <c r="D2818">
        <v>3700</v>
      </c>
      <c r="E2818">
        <v>3850</v>
      </c>
      <c r="F2818">
        <v>127</v>
      </c>
      <c r="G2818">
        <v>120</v>
      </c>
      <c r="H2818">
        <v>-256</v>
      </c>
      <c r="J2818" s="1">
        <f t="shared" si="215"/>
        <v>16129</v>
      </c>
      <c r="K2818" s="1">
        <f t="shared" si="216"/>
        <v>14400</v>
      </c>
      <c r="L2818" s="1">
        <f t="shared" si="217"/>
        <v>30529</v>
      </c>
      <c r="M2818" s="1">
        <f t="shared" si="218"/>
        <v>174.72549899771354</v>
      </c>
      <c r="N2818" s="7">
        <f t="shared" si="219"/>
        <v>174.72549899771354</v>
      </c>
    </row>
    <row r="2819" spans="1:14" x14ac:dyDescent="0.25">
      <c r="A2819" t="str">
        <f>"14:37:19.688"</f>
        <v>14:37:19.688</v>
      </c>
      <c r="B2819">
        <v>40.270299999999999</v>
      </c>
      <c r="C2819">
        <v>-75.178563999999994</v>
      </c>
      <c r="D2819">
        <v>3700</v>
      </c>
      <c r="E2819">
        <v>3850</v>
      </c>
      <c r="F2819">
        <v>127</v>
      </c>
      <c r="G2819">
        <v>120</v>
      </c>
      <c r="H2819">
        <v>-128</v>
      </c>
      <c r="J2819" s="1">
        <f t="shared" ref="J2819:J2882" si="220">F2819^2</f>
        <v>16129</v>
      </c>
      <c r="K2819" s="1">
        <f t="shared" ref="K2819:K2882" si="221">G2819^2</f>
        <v>14400</v>
      </c>
      <c r="L2819" s="1">
        <f t="shared" ref="L2819:L2882" si="222">SUMSQ(F2819,G2819)</f>
        <v>30529</v>
      </c>
      <c r="M2819" s="1">
        <f t="shared" ref="M2819:M2882" si="223">SQRT(L2819)</f>
        <v>174.72549899771354</v>
      </c>
      <c r="N2819" s="7">
        <f t="shared" ref="N2819:N2882" si="224">M2819</f>
        <v>174.72549899771354</v>
      </c>
    </row>
    <row r="2820" spans="1:14" x14ac:dyDescent="0.25">
      <c r="A2820" t="str">
        <f>"14:37:20.750"</f>
        <v>14:37:20.750</v>
      </c>
      <c r="B2820">
        <v>40.270879000000001</v>
      </c>
      <c r="C2820">
        <v>-75.177727000000004</v>
      </c>
      <c r="D2820">
        <v>3700</v>
      </c>
      <c r="E2820">
        <v>3850</v>
      </c>
      <c r="F2820">
        <v>127</v>
      </c>
      <c r="G2820">
        <v>121</v>
      </c>
      <c r="H2820">
        <v>-64</v>
      </c>
      <c r="J2820" s="1">
        <f t="shared" si="220"/>
        <v>16129</v>
      </c>
      <c r="K2820" s="1">
        <f t="shared" si="221"/>
        <v>14641</v>
      </c>
      <c r="L2820" s="1">
        <f t="shared" si="222"/>
        <v>30770</v>
      </c>
      <c r="M2820" s="1">
        <f t="shared" si="223"/>
        <v>175.41379649275024</v>
      </c>
      <c r="N2820" s="7">
        <f t="shared" si="224"/>
        <v>175.41379649275024</v>
      </c>
    </row>
    <row r="2821" spans="1:14" x14ac:dyDescent="0.25">
      <c r="A2821" t="str">
        <f>"14:37:21.711"</f>
        <v>14:37:21.711</v>
      </c>
      <c r="B2821">
        <v>40.271436999999999</v>
      </c>
      <c r="C2821">
        <v>-75.176933000000005</v>
      </c>
      <c r="D2821">
        <v>3700</v>
      </c>
      <c r="E2821">
        <v>3850</v>
      </c>
      <c r="F2821">
        <v>127</v>
      </c>
      <c r="G2821">
        <v>120</v>
      </c>
      <c r="H2821">
        <v>0</v>
      </c>
      <c r="J2821" s="1">
        <f t="shared" si="220"/>
        <v>16129</v>
      </c>
      <c r="K2821" s="1">
        <f t="shared" si="221"/>
        <v>14400</v>
      </c>
      <c r="L2821" s="1">
        <f t="shared" si="222"/>
        <v>30529</v>
      </c>
      <c r="M2821" s="1">
        <f t="shared" si="223"/>
        <v>174.72549899771354</v>
      </c>
      <c r="N2821" s="7">
        <f t="shared" si="224"/>
        <v>174.72549899771354</v>
      </c>
    </row>
    <row r="2822" spans="1:14" x14ac:dyDescent="0.25">
      <c r="A2822" t="str">
        <f>"14:37:22.664"</f>
        <v>14:37:22.664</v>
      </c>
      <c r="B2822">
        <v>40.271974</v>
      </c>
      <c r="C2822">
        <v>-75.176267999999993</v>
      </c>
      <c r="D2822">
        <v>3700</v>
      </c>
      <c r="E2822">
        <v>3850</v>
      </c>
      <c r="F2822">
        <v>127</v>
      </c>
      <c r="G2822">
        <v>120</v>
      </c>
      <c r="H2822">
        <v>64</v>
      </c>
      <c r="J2822" s="1">
        <f t="shared" si="220"/>
        <v>16129</v>
      </c>
      <c r="K2822" s="1">
        <f t="shared" si="221"/>
        <v>14400</v>
      </c>
      <c r="L2822" s="1">
        <f t="shared" si="222"/>
        <v>30529</v>
      </c>
      <c r="M2822" s="1">
        <f t="shared" si="223"/>
        <v>174.72549899771354</v>
      </c>
      <c r="N2822" s="7">
        <f t="shared" si="224"/>
        <v>174.72549899771354</v>
      </c>
    </row>
    <row r="2823" spans="1:14" x14ac:dyDescent="0.25">
      <c r="A2823" t="str">
        <f>"14:37:23.727"</f>
        <v>14:37:23.727</v>
      </c>
      <c r="B2823">
        <v>40.272531999999998</v>
      </c>
      <c r="C2823">
        <v>-75.175409000000002</v>
      </c>
      <c r="D2823">
        <v>3700</v>
      </c>
      <c r="E2823">
        <v>3850</v>
      </c>
      <c r="F2823">
        <v>127</v>
      </c>
      <c r="G2823">
        <v>120</v>
      </c>
      <c r="H2823">
        <v>64</v>
      </c>
      <c r="J2823" s="1">
        <f t="shared" si="220"/>
        <v>16129</v>
      </c>
      <c r="K2823" s="1">
        <f t="shared" si="221"/>
        <v>14400</v>
      </c>
      <c r="L2823" s="1">
        <f t="shared" si="222"/>
        <v>30529</v>
      </c>
      <c r="M2823" s="1">
        <f t="shared" si="223"/>
        <v>174.72549899771354</v>
      </c>
      <c r="N2823" s="7">
        <f t="shared" si="224"/>
        <v>174.72549899771354</v>
      </c>
    </row>
    <row r="2824" spans="1:14" x14ac:dyDescent="0.25">
      <c r="A2824" t="str">
        <f>"14:37:24.688"</f>
        <v>14:37:24.688</v>
      </c>
      <c r="B2824">
        <v>40.273046000000001</v>
      </c>
      <c r="C2824">
        <v>-75.174766000000005</v>
      </c>
      <c r="D2824">
        <v>3700</v>
      </c>
      <c r="E2824">
        <v>3850</v>
      </c>
      <c r="F2824">
        <v>127</v>
      </c>
      <c r="G2824">
        <v>120</v>
      </c>
      <c r="H2824">
        <v>64</v>
      </c>
      <c r="J2824" s="1">
        <f t="shared" si="220"/>
        <v>16129</v>
      </c>
      <c r="K2824" s="1">
        <f t="shared" si="221"/>
        <v>14400</v>
      </c>
      <c r="L2824" s="1">
        <f t="shared" si="222"/>
        <v>30529</v>
      </c>
      <c r="M2824" s="1">
        <f t="shared" si="223"/>
        <v>174.72549899771354</v>
      </c>
      <c r="N2824" s="7">
        <f t="shared" si="224"/>
        <v>174.72549899771354</v>
      </c>
    </row>
    <row r="2825" spans="1:14" x14ac:dyDescent="0.25">
      <c r="A2825" t="str">
        <f>"14:37:25.648"</f>
        <v>14:37:25.648</v>
      </c>
      <c r="B2825">
        <v>40.273603999999999</v>
      </c>
      <c r="C2825">
        <v>-75.173950000000005</v>
      </c>
      <c r="D2825">
        <v>3700</v>
      </c>
      <c r="E2825">
        <v>3850</v>
      </c>
      <c r="F2825">
        <v>127</v>
      </c>
      <c r="G2825">
        <v>120</v>
      </c>
      <c r="H2825">
        <v>64</v>
      </c>
      <c r="J2825" s="1">
        <f t="shared" si="220"/>
        <v>16129</v>
      </c>
      <c r="K2825" s="1">
        <f t="shared" si="221"/>
        <v>14400</v>
      </c>
      <c r="L2825" s="1">
        <f t="shared" si="222"/>
        <v>30529</v>
      </c>
      <c r="M2825" s="1">
        <f t="shared" si="223"/>
        <v>174.72549899771354</v>
      </c>
      <c r="N2825" s="7">
        <f t="shared" si="224"/>
        <v>174.72549899771354</v>
      </c>
    </row>
    <row r="2826" spans="1:14" x14ac:dyDescent="0.25">
      <c r="A2826" t="str">
        <f>"14:37:26.656"</f>
        <v>14:37:26.656</v>
      </c>
      <c r="B2826">
        <v>40.274161999999997</v>
      </c>
      <c r="C2826">
        <v>-75.173198999999997</v>
      </c>
      <c r="D2826">
        <v>3700</v>
      </c>
      <c r="E2826">
        <v>3850</v>
      </c>
      <c r="F2826">
        <v>127</v>
      </c>
      <c r="G2826">
        <v>120</v>
      </c>
      <c r="H2826">
        <v>64</v>
      </c>
      <c r="J2826" s="1">
        <f t="shared" si="220"/>
        <v>16129</v>
      </c>
      <c r="K2826" s="1">
        <f t="shared" si="221"/>
        <v>14400</v>
      </c>
      <c r="L2826" s="1">
        <f t="shared" si="222"/>
        <v>30529</v>
      </c>
      <c r="M2826" s="1">
        <f t="shared" si="223"/>
        <v>174.72549899771354</v>
      </c>
      <c r="N2826" s="7">
        <f t="shared" si="224"/>
        <v>174.72549899771354</v>
      </c>
    </row>
    <row r="2827" spans="1:14" x14ac:dyDescent="0.25">
      <c r="A2827" t="str">
        <f>"14:37:27.664"</f>
        <v>14:37:27.664</v>
      </c>
      <c r="B2827">
        <v>40.274720000000002</v>
      </c>
      <c r="C2827">
        <v>-75.172448000000003</v>
      </c>
      <c r="D2827">
        <v>3700</v>
      </c>
      <c r="E2827">
        <v>3875</v>
      </c>
      <c r="F2827">
        <v>127</v>
      </c>
      <c r="G2827">
        <v>120</v>
      </c>
      <c r="H2827">
        <v>64</v>
      </c>
      <c r="J2827" s="1">
        <f t="shared" si="220"/>
        <v>16129</v>
      </c>
      <c r="K2827" s="1">
        <f t="shared" si="221"/>
        <v>14400</v>
      </c>
      <c r="L2827" s="1">
        <f t="shared" si="222"/>
        <v>30529</v>
      </c>
      <c r="M2827" s="1">
        <f t="shared" si="223"/>
        <v>174.72549899771354</v>
      </c>
      <c r="N2827" s="7">
        <f t="shared" si="224"/>
        <v>174.72549899771354</v>
      </c>
    </row>
    <row r="2828" spans="1:14" x14ac:dyDescent="0.25">
      <c r="A2828" t="str">
        <f>"14:37:28.727"</f>
        <v>14:37:28.727</v>
      </c>
      <c r="B2828">
        <v>40.275320999999998</v>
      </c>
      <c r="C2828">
        <v>-75.171567999999994</v>
      </c>
      <c r="D2828">
        <v>3700</v>
      </c>
      <c r="E2828">
        <v>3875</v>
      </c>
      <c r="F2828">
        <v>127</v>
      </c>
      <c r="G2828">
        <v>119</v>
      </c>
      <c r="H2828">
        <v>64</v>
      </c>
      <c r="J2828" s="1">
        <f t="shared" si="220"/>
        <v>16129</v>
      </c>
      <c r="K2828" s="1">
        <f t="shared" si="221"/>
        <v>14161</v>
      </c>
      <c r="L2828" s="1">
        <f t="shared" si="222"/>
        <v>30290</v>
      </c>
      <c r="M2828" s="1">
        <f t="shared" si="223"/>
        <v>174.04022523543227</v>
      </c>
      <c r="N2828" s="7">
        <f t="shared" si="224"/>
        <v>174.04022523543227</v>
      </c>
    </row>
    <row r="2829" spans="1:14" x14ac:dyDescent="0.25">
      <c r="A2829" t="str">
        <f>"14:37:29.781"</f>
        <v>14:37:29.781</v>
      </c>
      <c r="B2829">
        <v>40.275879000000003</v>
      </c>
      <c r="C2829">
        <v>-75.170839000000001</v>
      </c>
      <c r="D2829">
        <v>3700</v>
      </c>
      <c r="E2829">
        <v>3875</v>
      </c>
      <c r="F2829">
        <v>127</v>
      </c>
      <c r="G2829">
        <v>119</v>
      </c>
      <c r="H2829">
        <v>0</v>
      </c>
      <c r="J2829" s="1">
        <f t="shared" si="220"/>
        <v>16129</v>
      </c>
      <c r="K2829" s="1">
        <f t="shared" si="221"/>
        <v>14161</v>
      </c>
      <c r="L2829" s="1">
        <f t="shared" si="222"/>
        <v>30290</v>
      </c>
      <c r="M2829" s="1">
        <f t="shared" si="223"/>
        <v>174.04022523543227</v>
      </c>
      <c r="N2829" s="7">
        <f t="shared" si="224"/>
        <v>174.04022523543227</v>
      </c>
    </row>
    <row r="2830" spans="1:14" x14ac:dyDescent="0.25">
      <c r="A2830" t="str">
        <f>"14:37:30.742"</f>
        <v>14:37:30.742</v>
      </c>
      <c r="B2830">
        <v>40.276437000000001</v>
      </c>
      <c r="C2830">
        <v>-75.170045000000002</v>
      </c>
      <c r="D2830">
        <v>3700</v>
      </c>
      <c r="E2830">
        <v>3875</v>
      </c>
      <c r="F2830">
        <v>128</v>
      </c>
      <c r="G2830">
        <v>119</v>
      </c>
      <c r="H2830">
        <v>-64</v>
      </c>
      <c r="J2830" s="1">
        <f t="shared" si="220"/>
        <v>16384</v>
      </c>
      <c r="K2830" s="1">
        <f t="shared" si="221"/>
        <v>14161</v>
      </c>
      <c r="L2830" s="1">
        <f t="shared" si="222"/>
        <v>30545</v>
      </c>
      <c r="M2830" s="1">
        <f t="shared" si="223"/>
        <v>174.77127910500627</v>
      </c>
      <c r="N2830" s="7">
        <f t="shared" si="224"/>
        <v>174.77127910500627</v>
      </c>
    </row>
    <row r="2831" spans="1:14" x14ac:dyDescent="0.25">
      <c r="A2831" t="str">
        <f>"14:37:31.703"</f>
        <v>14:37:31.703</v>
      </c>
      <c r="B2831">
        <v>40.276972999999998</v>
      </c>
      <c r="C2831">
        <v>-75.169251000000003</v>
      </c>
      <c r="D2831">
        <v>3700</v>
      </c>
      <c r="E2831">
        <v>3850</v>
      </c>
      <c r="F2831">
        <v>128</v>
      </c>
      <c r="G2831">
        <v>119</v>
      </c>
      <c r="H2831">
        <v>-64</v>
      </c>
      <c r="J2831" s="1">
        <f t="shared" si="220"/>
        <v>16384</v>
      </c>
      <c r="K2831" s="1">
        <f t="shared" si="221"/>
        <v>14161</v>
      </c>
      <c r="L2831" s="1">
        <f t="shared" si="222"/>
        <v>30545</v>
      </c>
      <c r="M2831" s="1">
        <f t="shared" si="223"/>
        <v>174.77127910500627</v>
      </c>
      <c r="N2831" s="7">
        <f t="shared" si="224"/>
        <v>174.77127910500627</v>
      </c>
    </row>
    <row r="2832" spans="1:14" x14ac:dyDescent="0.25">
      <c r="A2832" t="str">
        <f>"14:37:32.813"</f>
        <v>14:37:32.813</v>
      </c>
      <c r="B2832">
        <v>40.277596000000003</v>
      </c>
      <c r="C2832">
        <v>-75.168392999999995</v>
      </c>
      <c r="D2832">
        <v>3700</v>
      </c>
      <c r="E2832">
        <v>3850</v>
      </c>
      <c r="F2832">
        <v>128</v>
      </c>
      <c r="G2832">
        <v>119</v>
      </c>
      <c r="H2832">
        <v>0</v>
      </c>
      <c r="J2832" s="1">
        <f t="shared" si="220"/>
        <v>16384</v>
      </c>
      <c r="K2832" s="1">
        <f t="shared" si="221"/>
        <v>14161</v>
      </c>
      <c r="L2832" s="1">
        <f t="shared" si="222"/>
        <v>30545</v>
      </c>
      <c r="M2832" s="1">
        <f t="shared" si="223"/>
        <v>174.77127910500627</v>
      </c>
      <c r="N2832" s="7">
        <f t="shared" si="224"/>
        <v>174.77127910500627</v>
      </c>
    </row>
    <row r="2833" spans="1:14" x14ac:dyDescent="0.25">
      <c r="A2833" t="str">
        <f>"14:37:33.773"</f>
        <v>14:37:33.773</v>
      </c>
      <c r="B2833">
        <v>40.278067999999998</v>
      </c>
      <c r="C2833">
        <v>-75.167726999999999</v>
      </c>
      <c r="D2833">
        <v>3700</v>
      </c>
      <c r="E2833">
        <v>3875</v>
      </c>
      <c r="F2833">
        <v>128</v>
      </c>
      <c r="G2833">
        <v>119</v>
      </c>
      <c r="H2833">
        <v>0</v>
      </c>
      <c r="J2833" s="1">
        <f t="shared" si="220"/>
        <v>16384</v>
      </c>
      <c r="K2833" s="1">
        <f t="shared" si="221"/>
        <v>14161</v>
      </c>
      <c r="L2833" s="1">
        <f t="shared" si="222"/>
        <v>30545</v>
      </c>
      <c r="M2833" s="1">
        <f t="shared" si="223"/>
        <v>174.77127910500627</v>
      </c>
      <c r="N2833" s="7">
        <f t="shared" si="224"/>
        <v>174.77127910500627</v>
      </c>
    </row>
    <row r="2834" spans="1:14" x14ac:dyDescent="0.25">
      <c r="A2834" t="str">
        <f>"14:37:34.680"</f>
        <v>14:37:34.680</v>
      </c>
      <c r="B2834">
        <v>40.278624999999998</v>
      </c>
      <c r="C2834">
        <v>-75.166933999999998</v>
      </c>
      <c r="D2834">
        <v>3700</v>
      </c>
      <c r="E2834">
        <v>3875</v>
      </c>
      <c r="F2834">
        <v>128</v>
      </c>
      <c r="G2834">
        <v>118</v>
      </c>
      <c r="H2834">
        <v>-64</v>
      </c>
      <c r="J2834" s="1">
        <f t="shared" si="220"/>
        <v>16384</v>
      </c>
      <c r="K2834" s="1">
        <f t="shared" si="221"/>
        <v>13924</v>
      </c>
      <c r="L2834" s="1">
        <f t="shared" si="222"/>
        <v>30308</v>
      </c>
      <c r="M2834" s="1">
        <f t="shared" si="223"/>
        <v>174.0919297382851</v>
      </c>
      <c r="N2834" s="7">
        <f t="shared" si="224"/>
        <v>174.0919297382851</v>
      </c>
    </row>
    <row r="2835" spans="1:14" x14ac:dyDescent="0.25">
      <c r="A2835" t="str">
        <f>"14:37:35.789"</f>
        <v>14:37:35.789</v>
      </c>
      <c r="B2835">
        <v>40.279226000000001</v>
      </c>
      <c r="C2835">
        <v>-75.166075000000006</v>
      </c>
      <c r="D2835">
        <v>3700</v>
      </c>
      <c r="E2835">
        <v>3850</v>
      </c>
      <c r="F2835">
        <v>128</v>
      </c>
      <c r="G2835">
        <v>118</v>
      </c>
      <c r="H2835">
        <v>-128</v>
      </c>
      <c r="J2835" s="1">
        <f t="shared" si="220"/>
        <v>16384</v>
      </c>
      <c r="K2835" s="1">
        <f t="shared" si="221"/>
        <v>13924</v>
      </c>
      <c r="L2835" s="1">
        <f t="shared" si="222"/>
        <v>30308</v>
      </c>
      <c r="M2835" s="1">
        <f t="shared" si="223"/>
        <v>174.0919297382851</v>
      </c>
      <c r="N2835" s="7">
        <f t="shared" si="224"/>
        <v>174.0919297382851</v>
      </c>
    </row>
    <row r="2836" spans="1:14" x14ac:dyDescent="0.25">
      <c r="A2836" t="str">
        <f>"14:37:36.852"</f>
        <v>14:37:36.852</v>
      </c>
      <c r="B2836">
        <v>40.279783999999999</v>
      </c>
      <c r="C2836">
        <v>-75.165346</v>
      </c>
      <c r="D2836">
        <v>3700</v>
      </c>
      <c r="E2836">
        <v>3850</v>
      </c>
      <c r="F2836">
        <v>128</v>
      </c>
      <c r="G2836">
        <v>118</v>
      </c>
      <c r="H2836">
        <v>-128</v>
      </c>
      <c r="J2836" s="1">
        <f t="shared" si="220"/>
        <v>16384</v>
      </c>
      <c r="K2836" s="1">
        <f t="shared" si="221"/>
        <v>13924</v>
      </c>
      <c r="L2836" s="1">
        <f t="shared" si="222"/>
        <v>30308</v>
      </c>
      <c r="M2836" s="1">
        <f t="shared" si="223"/>
        <v>174.0919297382851</v>
      </c>
      <c r="N2836" s="7">
        <f t="shared" si="224"/>
        <v>174.0919297382851</v>
      </c>
    </row>
    <row r="2837" spans="1:14" x14ac:dyDescent="0.25">
      <c r="A2837" t="str">
        <f>"14:37:37.813"</f>
        <v>14:37:37.813</v>
      </c>
      <c r="B2837">
        <v>40.280341999999997</v>
      </c>
      <c r="C2837">
        <v>-75.164529999999999</v>
      </c>
      <c r="D2837">
        <v>3700</v>
      </c>
      <c r="E2837">
        <v>3850</v>
      </c>
      <c r="F2837">
        <v>129</v>
      </c>
      <c r="G2837">
        <v>118</v>
      </c>
      <c r="H2837">
        <v>-64</v>
      </c>
      <c r="J2837" s="1">
        <f t="shared" si="220"/>
        <v>16641</v>
      </c>
      <c r="K2837" s="1">
        <f t="shared" si="221"/>
        <v>13924</v>
      </c>
      <c r="L2837" s="1">
        <f t="shared" si="222"/>
        <v>30565</v>
      </c>
      <c r="M2837" s="1">
        <f t="shared" si="223"/>
        <v>174.82848738120455</v>
      </c>
      <c r="N2837" s="7">
        <f t="shared" si="224"/>
        <v>174.82848738120455</v>
      </c>
    </row>
    <row r="2838" spans="1:14" x14ac:dyDescent="0.25">
      <c r="A2838" t="str">
        <f>"14:37:38.875"</f>
        <v>14:37:38.875</v>
      </c>
      <c r="B2838">
        <v>40.280856999999997</v>
      </c>
      <c r="C2838">
        <v>-75.163779000000005</v>
      </c>
      <c r="D2838">
        <v>3700</v>
      </c>
      <c r="E2838">
        <v>3850</v>
      </c>
      <c r="F2838">
        <v>129</v>
      </c>
      <c r="G2838">
        <v>118</v>
      </c>
      <c r="H2838">
        <v>-64</v>
      </c>
      <c r="J2838" s="1">
        <f t="shared" si="220"/>
        <v>16641</v>
      </c>
      <c r="K2838" s="1">
        <f t="shared" si="221"/>
        <v>13924</v>
      </c>
      <c r="L2838" s="1">
        <f t="shared" si="222"/>
        <v>30565</v>
      </c>
      <c r="M2838" s="1">
        <f t="shared" si="223"/>
        <v>174.82848738120455</v>
      </c>
      <c r="N2838" s="7">
        <f t="shared" si="224"/>
        <v>174.82848738120455</v>
      </c>
    </row>
    <row r="2839" spans="1:14" x14ac:dyDescent="0.25">
      <c r="A2839" t="str">
        <f>"14:37:39.781"</f>
        <v>14:37:39.781</v>
      </c>
      <c r="B2839">
        <v>40.281371999999998</v>
      </c>
      <c r="C2839">
        <v>-75.163093000000003</v>
      </c>
      <c r="D2839">
        <v>3700</v>
      </c>
      <c r="E2839">
        <v>3850</v>
      </c>
      <c r="F2839">
        <v>128</v>
      </c>
      <c r="G2839">
        <v>119</v>
      </c>
      <c r="H2839">
        <v>0</v>
      </c>
      <c r="J2839" s="1">
        <f t="shared" si="220"/>
        <v>16384</v>
      </c>
      <c r="K2839" s="1">
        <f t="shared" si="221"/>
        <v>14161</v>
      </c>
      <c r="L2839" s="1">
        <f t="shared" si="222"/>
        <v>30545</v>
      </c>
      <c r="M2839" s="1">
        <f t="shared" si="223"/>
        <v>174.77127910500627</v>
      </c>
      <c r="N2839" s="7">
        <f t="shared" si="224"/>
        <v>174.77127910500627</v>
      </c>
    </row>
    <row r="2840" spans="1:14" x14ac:dyDescent="0.25">
      <c r="A2840" t="str">
        <f>"14:37:40.742"</f>
        <v>14:37:40.742</v>
      </c>
      <c r="B2840">
        <v>40.281930000000003</v>
      </c>
      <c r="C2840">
        <v>-75.162299000000004</v>
      </c>
      <c r="D2840">
        <v>3700</v>
      </c>
      <c r="E2840">
        <v>3850</v>
      </c>
      <c r="F2840">
        <v>128</v>
      </c>
      <c r="G2840">
        <v>119</v>
      </c>
      <c r="H2840">
        <v>256</v>
      </c>
      <c r="J2840" s="1">
        <f t="shared" si="220"/>
        <v>16384</v>
      </c>
      <c r="K2840" s="1">
        <f t="shared" si="221"/>
        <v>14161</v>
      </c>
      <c r="L2840" s="1">
        <f t="shared" si="222"/>
        <v>30545</v>
      </c>
      <c r="M2840" s="1">
        <f t="shared" si="223"/>
        <v>174.77127910500627</v>
      </c>
      <c r="N2840" s="7">
        <f t="shared" si="224"/>
        <v>174.77127910500627</v>
      </c>
    </row>
    <row r="2841" spans="1:14" x14ac:dyDescent="0.25">
      <c r="A2841" t="str">
        <f>"14:37:41.797"</f>
        <v>14:37:41.797</v>
      </c>
      <c r="B2841">
        <v>40.282530999999999</v>
      </c>
      <c r="C2841">
        <v>-75.161462</v>
      </c>
      <c r="D2841">
        <v>3700</v>
      </c>
      <c r="E2841">
        <v>3850</v>
      </c>
      <c r="F2841">
        <v>128</v>
      </c>
      <c r="G2841">
        <v>119</v>
      </c>
      <c r="H2841">
        <v>256</v>
      </c>
      <c r="J2841" s="1">
        <f t="shared" si="220"/>
        <v>16384</v>
      </c>
      <c r="K2841" s="1">
        <f t="shared" si="221"/>
        <v>14161</v>
      </c>
      <c r="L2841" s="1">
        <f t="shared" si="222"/>
        <v>30545</v>
      </c>
      <c r="M2841" s="1">
        <f t="shared" si="223"/>
        <v>174.77127910500627</v>
      </c>
      <c r="N2841" s="7">
        <f t="shared" si="224"/>
        <v>174.77127910500627</v>
      </c>
    </row>
    <row r="2842" spans="1:14" x14ac:dyDescent="0.25">
      <c r="A2842" t="str">
        <f>"14:37:42.758"</f>
        <v>14:37:42.758</v>
      </c>
      <c r="B2842">
        <v>40.283023999999997</v>
      </c>
      <c r="C2842">
        <v>-75.160775000000001</v>
      </c>
      <c r="D2842">
        <v>3700</v>
      </c>
      <c r="E2842">
        <v>3875</v>
      </c>
      <c r="F2842">
        <v>127</v>
      </c>
      <c r="G2842">
        <v>119</v>
      </c>
      <c r="H2842">
        <v>256</v>
      </c>
      <c r="J2842" s="1">
        <f t="shared" si="220"/>
        <v>16129</v>
      </c>
      <c r="K2842" s="1">
        <f t="shared" si="221"/>
        <v>14161</v>
      </c>
      <c r="L2842" s="1">
        <f t="shared" si="222"/>
        <v>30290</v>
      </c>
      <c r="M2842" s="1">
        <f t="shared" si="223"/>
        <v>174.04022523543227</v>
      </c>
      <c r="N2842" s="7">
        <f t="shared" si="224"/>
        <v>174.04022523543227</v>
      </c>
    </row>
    <row r="2843" spans="1:14" x14ac:dyDescent="0.25">
      <c r="A2843" t="str">
        <f>"14:37:43.922"</f>
        <v>14:37:43.922</v>
      </c>
      <c r="B2843">
        <v>40.283647000000002</v>
      </c>
      <c r="C2843">
        <v>-75.159895000000006</v>
      </c>
      <c r="D2843">
        <v>3700</v>
      </c>
      <c r="E2843">
        <v>3875</v>
      </c>
      <c r="F2843">
        <v>127</v>
      </c>
      <c r="G2843">
        <v>119</v>
      </c>
      <c r="H2843">
        <v>192</v>
      </c>
      <c r="J2843" s="1">
        <f t="shared" si="220"/>
        <v>16129</v>
      </c>
      <c r="K2843" s="1">
        <f t="shared" si="221"/>
        <v>14161</v>
      </c>
      <c r="L2843" s="1">
        <f t="shared" si="222"/>
        <v>30290</v>
      </c>
      <c r="M2843" s="1">
        <f t="shared" si="223"/>
        <v>174.04022523543227</v>
      </c>
      <c r="N2843" s="7">
        <f t="shared" si="224"/>
        <v>174.04022523543227</v>
      </c>
    </row>
    <row r="2844" spans="1:14" x14ac:dyDescent="0.25">
      <c r="A2844" t="str">
        <f>"14:37:44.828"</f>
        <v>14:37:44.828</v>
      </c>
      <c r="B2844">
        <v>40.284162000000002</v>
      </c>
      <c r="C2844">
        <v>-75.159165999999999</v>
      </c>
      <c r="D2844">
        <v>3700</v>
      </c>
      <c r="E2844">
        <v>3875</v>
      </c>
      <c r="F2844">
        <v>126</v>
      </c>
      <c r="G2844">
        <v>120</v>
      </c>
      <c r="H2844">
        <v>64</v>
      </c>
      <c r="J2844" s="1">
        <f t="shared" si="220"/>
        <v>15876</v>
      </c>
      <c r="K2844" s="1">
        <f t="shared" si="221"/>
        <v>14400</v>
      </c>
      <c r="L2844" s="1">
        <f t="shared" si="222"/>
        <v>30276</v>
      </c>
      <c r="M2844" s="1">
        <f t="shared" si="223"/>
        <v>174</v>
      </c>
      <c r="N2844" s="7">
        <f t="shared" si="224"/>
        <v>174</v>
      </c>
    </row>
    <row r="2845" spans="1:14" x14ac:dyDescent="0.25">
      <c r="A2845" t="str">
        <f>"14:37:45.742"</f>
        <v>14:37:45.742</v>
      </c>
      <c r="B2845">
        <v>40.284677000000002</v>
      </c>
      <c r="C2845">
        <v>-75.158457999999996</v>
      </c>
      <c r="D2845">
        <v>3700</v>
      </c>
      <c r="E2845">
        <v>3875</v>
      </c>
      <c r="F2845">
        <v>126</v>
      </c>
      <c r="G2845">
        <v>120</v>
      </c>
      <c r="H2845">
        <v>0</v>
      </c>
      <c r="J2845" s="1">
        <f t="shared" si="220"/>
        <v>15876</v>
      </c>
      <c r="K2845" s="1">
        <f t="shared" si="221"/>
        <v>14400</v>
      </c>
      <c r="L2845" s="1">
        <f t="shared" si="222"/>
        <v>30276</v>
      </c>
      <c r="M2845" s="1">
        <f t="shared" si="223"/>
        <v>174</v>
      </c>
      <c r="N2845" s="7">
        <f t="shared" si="224"/>
        <v>174</v>
      </c>
    </row>
    <row r="2846" spans="1:14" x14ac:dyDescent="0.25">
      <c r="A2846" t="str">
        <f>"14:37:46.797"</f>
        <v>14:37:46.797</v>
      </c>
      <c r="B2846">
        <v>40.285277000000001</v>
      </c>
      <c r="C2846">
        <v>-75.157599000000005</v>
      </c>
      <c r="D2846">
        <v>3700</v>
      </c>
      <c r="E2846">
        <v>3875</v>
      </c>
      <c r="F2846">
        <v>126</v>
      </c>
      <c r="G2846">
        <v>120</v>
      </c>
      <c r="H2846">
        <v>0</v>
      </c>
      <c r="J2846" s="1">
        <f t="shared" si="220"/>
        <v>15876</v>
      </c>
      <c r="K2846" s="1">
        <f t="shared" si="221"/>
        <v>14400</v>
      </c>
      <c r="L2846" s="1">
        <f t="shared" si="222"/>
        <v>30276</v>
      </c>
      <c r="M2846" s="1">
        <f t="shared" si="223"/>
        <v>174</v>
      </c>
      <c r="N2846" s="7">
        <f t="shared" si="224"/>
        <v>174</v>
      </c>
    </row>
    <row r="2847" spans="1:14" x14ac:dyDescent="0.25">
      <c r="A2847" t="str">
        <f>"14:37:47.961"</f>
        <v>14:37:47.961</v>
      </c>
      <c r="B2847">
        <v>40.285899999999998</v>
      </c>
      <c r="C2847">
        <v>-75.156740999999997</v>
      </c>
      <c r="D2847">
        <v>3700</v>
      </c>
      <c r="E2847">
        <v>3875</v>
      </c>
      <c r="F2847">
        <v>127</v>
      </c>
      <c r="G2847">
        <v>120</v>
      </c>
      <c r="H2847">
        <v>-128</v>
      </c>
      <c r="J2847" s="1">
        <f t="shared" si="220"/>
        <v>16129</v>
      </c>
      <c r="K2847" s="1">
        <f t="shared" si="221"/>
        <v>14400</v>
      </c>
      <c r="L2847" s="1">
        <f t="shared" si="222"/>
        <v>30529</v>
      </c>
      <c r="M2847" s="1">
        <f t="shared" si="223"/>
        <v>174.72549899771354</v>
      </c>
      <c r="N2847" s="7">
        <f t="shared" si="224"/>
        <v>174.72549899771354</v>
      </c>
    </row>
    <row r="2848" spans="1:14" x14ac:dyDescent="0.25">
      <c r="A2848" t="str">
        <f>"14:37:49.078"</f>
        <v>14:37:49.078</v>
      </c>
      <c r="B2848">
        <v>40.286499999999997</v>
      </c>
      <c r="C2848">
        <v>-75.155904000000007</v>
      </c>
      <c r="D2848">
        <v>3700</v>
      </c>
      <c r="E2848">
        <v>3875</v>
      </c>
      <c r="F2848">
        <v>127</v>
      </c>
      <c r="G2848">
        <v>119</v>
      </c>
      <c r="H2848">
        <v>-192</v>
      </c>
      <c r="J2848" s="1">
        <f t="shared" si="220"/>
        <v>16129</v>
      </c>
      <c r="K2848" s="1">
        <f t="shared" si="221"/>
        <v>14161</v>
      </c>
      <c r="L2848" s="1">
        <f t="shared" si="222"/>
        <v>30290</v>
      </c>
      <c r="M2848" s="1">
        <f t="shared" si="223"/>
        <v>174.04022523543227</v>
      </c>
      <c r="N2848" s="7">
        <f t="shared" si="224"/>
        <v>174.04022523543227</v>
      </c>
    </row>
    <row r="2849" spans="1:14" x14ac:dyDescent="0.25">
      <c r="A2849" t="str">
        <f>"14:37:50.031"</f>
        <v>14:37:50.031</v>
      </c>
      <c r="B2849">
        <v>40.287058000000002</v>
      </c>
      <c r="C2849">
        <v>-75.155152999999999</v>
      </c>
      <c r="D2849">
        <v>3700</v>
      </c>
      <c r="E2849">
        <v>3875</v>
      </c>
      <c r="F2849">
        <v>127</v>
      </c>
      <c r="G2849">
        <v>120</v>
      </c>
      <c r="H2849">
        <v>-192</v>
      </c>
      <c r="J2849" s="1">
        <f t="shared" si="220"/>
        <v>16129</v>
      </c>
      <c r="K2849" s="1">
        <f t="shared" si="221"/>
        <v>14400</v>
      </c>
      <c r="L2849" s="1">
        <f t="shared" si="222"/>
        <v>30529</v>
      </c>
      <c r="M2849" s="1">
        <f t="shared" si="223"/>
        <v>174.72549899771354</v>
      </c>
      <c r="N2849" s="7">
        <f t="shared" si="224"/>
        <v>174.72549899771354</v>
      </c>
    </row>
    <row r="2850" spans="1:14" x14ac:dyDescent="0.25">
      <c r="A2850" t="str">
        <f>"14:37:51.094"</f>
        <v>14:37:51.094</v>
      </c>
      <c r="B2850">
        <v>40.287680999999999</v>
      </c>
      <c r="C2850">
        <v>-75.154295000000005</v>
      </c>
      <c r="D2850">
        <v>3700</v>
      </c>
      <c r="E2850">
        <v>3875</v>
      </c>
      <c r="F2850">
        <v>127</v>
      </c>
      <c r="G2850">
        <v>120</v>
      </c>
      <c r="H2850">
        <v>-128</v>
      </c>
      <c r="J2850" s="1">
        <f t="shared" si="220"/>
        <v>16129</v>
      </c>
      <c r="K2850" s="1">
        <f t="shared" si="221"/>
        <v>14400</v>
      </c>
      <c r="L2850" s="1">
        <f t="shared" si="222"/>
        <v>30529</v>
      </c>
      <c r="M2850" s="1">
        <f t="shared" si="223"/>
        <v>174.72549899771354</v>
      </c>
      <c r="N2850" s="7">
        <f t="shared" si="224"/>
        <v>174.72549899771354</v>
      </c>
    </row>
    <row r="2851" spans="1:14" x14ac:dyDescent="0.25">
      <c r="A2851" t="str">
        <f>"14:37:52.203"</f>
        <v>14:37:52.203</v>
      </c>
      <c r="B2851">
        <v>40.288238999999997</v>
      </c>
      <c r="C2851">
        <v>-75.153565</v>
      </c>
      <c r="D2851">
        <v>3700</v>
      </c>
      <c r="E2851">
        <v>3850</v>
      </c>
      <c r="F2851">
        <v>127</v>
      </c>
      <c r="G2851">
        <v>120</v>
      </c>
      <c r="H2851">
        <v>-64</v>
      </c>
      <c r="J2851" s="1">
        <f t="shared" si="220"/>
        <v>16129</v>
      </c>
      <c r="K2851" s="1">
        <f t="shared" si="221"/>
        <v>14400</v>
      </c>
      <c r="L2851" s="1">
        <f t="shared" si="222"/>
        <v>30529</v>
      </c>
      <c r="M2851" s="1">
        <f t="shared" si="223"/>
        <v>174.72549899771354</v>
      </c>
      <c r="N2851" s="7">
        <f t="shared" si="224"/>
        <v>174.72549899771354</v>
      </c>
    </row>
    <row r="2852" spans="1:14" x14ac:dyDescent="0.25">
      <c r="A2852" t="str">
        <f>"14:37:53.313"</f>
        <v>14:37:53.313</v>
      </c>
      <c r="B2852">
        <v>40.288882000000001</v>
      </c>
      <c r="C2852">
        <v>-75.152578000000005</v>
      </c>
      <c r="D2852">
        <v>3700</v>
      </c>
      <c r="E2852">
        <v>3850</v>
      </c>
      <c r="F2852">
        <v>127</v>
      </c>
      <c r="G2852">
        <v>120</v>
      </c>
      <c r="H2852">
        <v>-64</v>
      </c>
      <c r="J2852" s="1">
        <f t="shared" si="220"/>
        <v>16129</v>
      </c>
      <c r="K2852" s="1">
        <f t="shared" si="221"/>
        <v>14400</v>
      </c>
      <c r="L2852" s="1">
        <f t="shared" si="222"/>
        <v>30529</v>
      </c>
      <c r="M2852" s="1">
        <f t="shared" si="223"/>
        <v>174.72549899771354</v>
      </c>
      <c r="N2852" s="7">
        <f t="shared" si="224"/>
        <v>174.72549899771354</v>
      </c>
    </row>
    <row r="2853" spans="1:14" x14ac:dyDescent="0.25">
      <c r="A2853" t="str">
        <f>"14:37:54.273"</f>
        <v>14:37:54.273</v>
      </c>
      <c r="B2853">
        <v>40.289375999999997</v>
      </c>
      <c r="C2853">
        <v>-75.151912999999993</v>
      </c>
      <c r="D2853">
        <v>3700</v>
      </c>
      <c r="E2853">
        <v>3850</v>
      </c>
      <c r="F2853">
        <v>127</v>
      </c>
      <c r="G2853">
        <v>120</v>
      </c>
      <c r="H2853">
        <v>64</v>
      </c>
      <c r="J2853" s="1">
        <f t="shared" si="220"/>
        <v>16129</v>
      </c>
      <c r="K2853" s="1">
        <f t="shared" si="221"/>
        <v>14400</v>
      </c>
      <c r="L2853" s="1">
        <f t="shared" si="222"/>
        <v>30529</v>
      </c>
      <c r="M2853" s="1">
        <f t="shared" si="223"/>
        <v>174.72549899771354</v>
      </c>
      <c r="N2853" s="7">
        <f t="shared" si="224"/>
        <v>174.72549899771354</v>
      </c>
    </row>
    <row r="2854" spans="1:14" x14ac:dyDescent="0.25">
      <c r="A2854" t="str">
        <f>"14:37:55.234"</f>
        <v>14:37:55.234</v>
      </c>
      <c r="B2854">
        <v>40.289934000000002</v>
      </c>
      <c r="C2854">
        <v>-75.151161999999999</v>
      </c>
      <c r="D2854">
        <v>3700</v>
      </c>
      <c r="E2854">
        <v>3850</v>
      </c>
      <c r="F2854">
        <v>127</v>
      </c>
      <c r="G2854">
        <v>120</v>
      </c>
      <c r="H2854">
        <v>128</v>
      </c>
      <c r="J2854" s="1">
        <f t="shared" si="220"/>
        <v>16129</v>
      </c>
      <c r="K2854" s="1">
        <f t="shared" si="221"/>
        <v>14400</v>
      </c>
      <c r="L2854" s="1">
        <f t="shared" si="222"/>
        <v>30529</v>
      </c>
      <c r="M2854" s="1">
        <f t="shared" si="223"/>
        <v>174.72549899771354</v>
      </c>
      <c r="N2854" s="7">
        <f t="shared" si="224"/>
        <v>174.72549899771354</v>
      </c>
    </row>
    <row r="2855" spans="1:14" x14ac:dyDescent="0.25">
      <c r="A2855" t="str">
        <f>"14:37:56.289"</f>
        <v>14:37:56.289</v>
      </c>
      <c r="B2855">
        <v>40.290576999999999</v>
      </c>
      <c r="C2855">
        <v>-75.150324999999995</v>
      </c>
      <c r="D2855">
        <v>3700</v>
      </c>
      <c r="E2855">
        <v>3850</v>
      </c>
      <c r="F2855">
        <v>127</v>
      </c>
      <c r="G2855">
        <v>120</v>
      </c>
      <c r="H2855">
        <v>0</v>
      </c>
      <c r="J2855" s="1">
        <f t="shared" si="220"/>
        <v>16129</v>
      </c>
      <c r="K2855" s="1">
        <f t="shared" si="221"/>
        <v>14400</v>
      </c>
      <c r="L2855" s="1">
        <f t="shared" si="222"/>
        <v>30529</v>
      </c>
      <c r="M2855" s="1">
        <f t="shared" si="223"/>
        <v>174.72549899771354</v>
      </c>
      <c r="N2855" s="7">
        <f t="shared" si="224"/>
        <v>174.72549899771354</v>
      </c>
    </row>
    <row r="2856" spans="1:14" x14ac:dyDescent="0.25">
      <c r="A2856" t="str">
        <f>"14:37:57.352"</f>
        <v>14:37:57.352</v>
      </c>
      <c r="B2856">
        <v>40.291114</v>
      </c>
      <c r="C2856">
        <v>-75.149530999999996</v>
      </c>
      <c r="D2856">
        <v>3700</v>
      </c>
      <c r="E2856">
        <v>3850</v>
      </c>
      <c r="F2856">
        <v>127</v>
      </c>
      <c r="G2856">
        <v>120</v>
      </c>
      <c r="H2856">
        <v>0</v>
      </c>
      <c r="J2856" s="1">
        <f t="shared" si="220"/>
        <v>16129</v>
      </c>
      <c r="K2856" s="1">
        <f t="shared" si="221"/>
        <v>14400</v>
      </c>
      <c r="L2856" s="1">
        <f t="shared" si="222"/>
        <v>30529</v>
      </c>
      <c r="M2856" s="1">
        <f t="shared" si="223"/>
        <v>174.72549899771354</v>
      </c>
      <c r="N2856" s="7">
        <f t="shared" si="224"/>
        <v>174.72549899771354</v>
      </c>
    </row>
    <row r="2857" spans="1:14" x14ac:dyDescent="0.25">
      <c r="A2857" t="str">
        <f>"14:37:58.313"</f>
        <v>14:37:58.313</v>
      </c>
      <c r="B2857">
        <v>40.291671999999998</v>
      </c>
      <c r="C2857">
        <v>-75.148736999999997</v>
      </c>
      <c r="D2857">
        <v>3700</v>
      </c>
      <c r="E2857">
        <v>3875</v>
      </c>
      <c r="F2857">
        <v>127</v>
      </c>
      <c r="G2857">
        <v>119</v>
      </c>
      <c r="H2857">
        <v>-64</v>
      </c>
      <c r="J2857" s="1">
        <f t="shared" si="220"/>
        <v>16129</v>
      </c>
      <c r="K2857" s="1">
        <f t="shared" si="221"/>
        <v>14161</v>
      </c>
      <c r="L2857" s="1">
        <f t="shared" si="222"/>
        <v>30290</v>
      </c>
      <c r="M2857" s="1">
        <f t="shared" si="223"/>
        <v>174.04022523543227</v>
      </c>
      <c r="N2857" s="7">
        <f t="shared" si="224"/>
        <v>174.04022523543227</v>
      </c>
    </row>
    <row r="2858" spans="1:14" x14ac:dyDescent="0.25">
      <c r="A2858" t="str">
        <f>"14:37:59.266"</f>
        <v>14:37:59.266</v>
      </c>
      <c r="B2858">
        <v>40.292164999999997</v>
      </c>
      <c r="C2858">
        <v>-75.148050999999995</v>
      </c>
      <c r="D2858">
        <v>3700</v>
      </c>
      <c r="E2858">
        <v>3850</v>
      </c>
      <c r="F2858">
        <v>128</v>
      </c>
      <c r="G2858">
        <v>119</v>
      </c>
      <c r="H2858">
        <v>-64</v>
      </c>
      <c r="J2858" s="1">
        <f t="shared" si="220"/>
        <v>16384</v>
      </c>
      <c r="K2858" s="1">
        <f t="shared" si="221"/>
        <v>14161</v>
      </c>
      <c r="L2858" s="1">
        <f t="shared" si="222"/>
        <v>30545</v>
      </c>
      <c r="M2858" s="1">
        <f t="shared" si="223"/>
        <v>174.77127910500627</v>
      </c>
      <c r="N2858" s="7">
        <f t="shared" si="224"/>
        <v>174.77127910500627</v>
      </c>
    </row>
    <row r="2859" spans="1:14" x14ac:dyDescent="0.25">
      <c r="A2859" t="str">
        <f>"14:38:00.430"</f>
        <v>14:38:00.430</v>
      </c>
      <c r="B2859">
        <v>40.292830000000002</v>
      </c>
      <c r="C2859">
        <v>-75.147171</v>
      </c>
      <c r="D2859">
        <v>3700</v>
      </c>
      <c r="E2859">
        <v>3875</v>
      </c>
      <c r="F2859">
        <v>128</v>
      </c>
      <c r="G2859">
        <v>119</v>
      </c>
      <c r="H2859">
        <v>0</v>
      </c>
      <c r="J2859" s="1">
        <f t="shared" si="220"/>
        <v>16384</v>
      </c>
      <c r="K2859" s="1">
        <f t="shared" si="221"/>
        <v>14161</v>
      </c>
      <c r="L2859" s="1">
        <f t="shared" si="222"/>
        <v>30545</v>
      </c>
      <c r="M2859" s="1">
        <f t="shared" si="223"/>
        <v>174.77127910500627</v>
      </c>
      <c r="N2859" s="7">
        <f t="shared" si="224"/>
        <v>174.77127910500627</v>
      </c>
    </row>
    <row r="2860" spans="1:14" x14ac:dyDescent="0.25">
      <c r="A2860" t="str">
        <f>"14:38:01.391"</f>
        <v>14:38:01.391</v>
      </c>
      <c r="B2860">
        <v>40.293323999999998</v>
      </c>
      <c r="C2860">
        <v>-75.146420000000006</v>
      </c>
      <c r="D2860">
        <v>3700</v>
      </c>
      <c r="E2860">
        <v>3875</v>
      </c>
      <c r="F2860">
        <v>128</v>
      </c>
      <c r="G2860">
        <v>119</v>
      </c>
      <c r="H2860">
        <v>0</v>
      </c>
      <c r="J2860" s="1">
        <f t="shared" si="220"/>
        <v>16384</v>
      </c>
      <c r="K2860" s="1">
        <f t="shared" si="221"/>
        <v>14161</v>
      </c>
      <c r="L2860" s="1">
        <f t="shared" si="222"/>
        <v>30545</v>
      </c>
      <c r="M2860" s="1">
        <f t="shared" si="223"/>
        <v>174.77127910500627</v>
      </c>
      <c r="N2860" s="7">
        <f t="shared" si="224"/>
        <v>174.77127910500627</v>
      </c>
    </row>
    <row r="2861" spans="1:14" x14ac:dyDescent="0.25">
      <c r="A2861" t="str">
        <f>"14:38:02.398"</f>
        <v>14:38:02.398</v>
      </c>
      <c r="B2861">
        <v>40.293945999999998</v>
      </c>
      <c r="C2861">
        <v>-75.145605000000003</v>
      </c>
      <c r="D2861">
        <v>3700</v>
      </c>
      <c r="E2861">
        <v>3850</v>
      </c>
      <c r="F2861">
        <v>128</v>
      </c>
      <c r="G2861">
        <v>119</v>
      </c>
      <c r="H2861">
        <v>-64</v>
      </c>
      <c r="J2861" s="1">
        <f t="shared" si="220"/>
        <v>16384</v>
      </c>
      <c r="K2861" s="1">
        <f t="shared" si="221"/>
        <v>14161</v>
      </c>
      <c r="L2861" s="1">
        <f t="shared" si="222"/>
        <v>30545</v>
      </c>
      <c r="M2861" s="1">
        <f t="shared" si="223"/>
        <v>174.77127910500627</v>
      </c>
      <c r="N2861" s="7">
        <f t="shared" si="224"/>
        <v>174.77127910500627</v>
      </c>
    </row>
    <row r="2862" spans="1:14" x14ac:dyDescent="0.25">
      <c r="A2862" t="str">
        <f>"14:38:03.461"</f>
        <v>14:38:03.461</v>
      </c>
      <c r="B2862">
        <v>40.294504000000003</v>
      </c>
      <c r="C2862">
        <v>-75.144789000000003</v>
      </c>
      <c r="D2862">
        <v>3700</v>
      </c>
      <c r="E2862">
        <v>3850</v>
      </c>
      <c r="F2862">
        <v>128</v>
      </c>
      <c r="G2862">
        <v>118</v>
      </c>
      <c r="H2862">
        <v>-64</v>
      </c>
      <c r="J2862" s="1">
        <f t="shared" si="220"/>
        <v>16384</v>
      </c>
      <c r="K2862" s="1">
        <f t="shared" si="221"/>
        <v>13924</v>
      </c>
      <c r="L2862" s="1">
        <f t="shared" si="222"/>
        <v>30308</v>
      </c>
      <c r="M2862" s="1">
        <f t="shared" si="223"/>
        <v>174.0919297382851</v>
      </c>
      <c r="N2862" s="7">
        <f t="shared" si="224"/>
        <v>174.0919297382851</v>
      </c>
    </row>
    <row r="2863" spans="1:14" x14ac:dyDescent="0.25">
      <c r="A2863" t="str">
        <f>"14:38:04.469"</f>
        <v>14:38:04.469</v>
      </c>
      <c r="B2863">
        <v>40.295019000000003</v>
      </c>
      <c r="C2863">
        <v>-75.144059999999996</v>
      </c>
      <c r="D2863">
        <v>3700</v>
      </c>
      <c r="E2863">
        <v>3850</v>
      </c>
      <c r="F2863">
        <v>128</v>
      </c>
      <c r="G2863">
        <v>118</v>
      </c>
      <c r="H2863">
        <v>0</v>
      </c>
      <c r="J2863" s="1">
        <f t="shared" si="220"/>
        <v>16384</v>
      </c>
      <c r="K2863" s="1">
        <f t="shared" si="221"/>
        <v>13924</v>
      </c>
      <c r="L2863" s="1">
        <f t="shared" si="222"/>
        <v>30308</v>
      </c>
      <c r="M2863" s="1">
        <f t="shared" si="223"/>
        <v>174.0919297382851</v>
      </c>
      <c r="N2863" s="7">
        <f t="shared" si="224"/>
        <v>174.0919297382851</v>
      </c>
    </row>
    <row r="2864" spans="1:14" x14ac:dyDescent="0.25">
      <c r="A2864" t="str">
        <f>"14:38:05.430"</f>
        <v>14:38:05.430</v>
      </c>
      <c r="B2864">
        <v>40.295577000000002</v>
      </c>
      <c r="C2864">
        <v>-75.143243999999996</v>
      </c>
      <c r="D2864">
        <v>3700</v>
      </c>
      <c r="E2864">
        <v>3850</v>
      </c>
      <c r="F2864">
        <v>128</v>
      </c>
      <c r="G2864">
        <v>118</v>
      </c>
      <c r="H2864">
        <v>0</v>
      </c>
      <c r="J2864" s="1">
        <f t="shared" si="220"/>
        <v>16384</v>
      </c>
      <c r="K2864" s="1">
        <f t="shared" si="221"/>
        <v>13924</v>
      </c>
      <c r="L2864" s="1">
        <f t="shared" si="222"/>
        <v>30308</v>
      </c>
      <c r="M2864" s="1">
        <f t="shared" si="223"/>
        <v>174.0919297382851</v>
      </c>
      <c r="N2864" s="7">
        <f t="shared" si="224"/>
        <v>174.0919297382851</v>
      </c>
    </row>
    <row r="2865" spans="1:14" x14ac:dyDescent="0.25">
      <c r="A2865" t="str">
        <f>"14:38:06.289"</f>
        <v>14:38:06.289</v>
      </c>
      <c r="B2865">
        <v>40.296070999999998</v>
      </c>
      <c r="C2865">
        <v>-75.142578999999998</v>
      </c>
      <c r="D2865">
        <v>3700</v>
      </c>
      <c r="E2865">
        <v>3850</v>
      </c>
      <c r="F2865">
        <v>128</v>
      </c>
      <c r="G2865">
        <v>118</v>
      </c>
      <c r="H2865">
        <v>0</v>
      </c>
      <c r="J2865" s="1">
        <f t="shared" si="220"/>
        <v>16384</v>
      </c>
      <c r="K2865" s="1">
        <f t="shared" si="221"/>
        <v>13924</v>
      </c>
      <c r="L2865" s="1">
        <f t="shared" si="222"/>
        <v>30308</v>
      </c>
      <c r="M2865" s="1">
        <f t="shared" si="223"/>
        <v>174.0919297382851</v>
      </c>
      <c r="N2865" s="7">
        <f t="shared" si="224"/>
        <v>174.0919297382851</v>
      </c>
    </row>
    <row r="2866" spans="1:14" x14ac:dyDescent="0.25">
      <c r="A2866" t="str">
        <f>"14:38:07.344"</f>
        <v>14:38:07.344</v>
      </c>
      <c r="B2866">
        <v>40.296607000000002</v>
      </c>
      <c r="C2866">
        <v>-75.141784999999999</v>
      </c>
      <c r="D2866">
        <v>3700</v>
      </c>
      <c r="E2866">
        <v>3850</v>
      </c>
      <c r="F2866">
        <v>128</v>
      </c>
      <c r="G2866">
        <v>119</v>
      </c>
      <c r="H2866">
        <v>0</v>
      </c>
      <c r="J2866" s="1">
        <f t="shared" si="220"/>
        <v>16384</v>
      </c>
      <c r="K2866" s="1">
        <f t="shared" si="221"/>
        <v>14161</v>
      </c>
      <c r="L2866" s="1">
        <f t="shared" si="222"/>
        <v>30545</v>
      </c>
      <c r="M2866" s="1">
        <f t="shared" si="223"/>
        <v>174.77127910500627</v>
      </c>
      <c r="N2866" s="7">
        <f t="shared" si="224"/>
        <v>174.77127910500627</v>
      </c>
    </row>
    <row r="2867" spans="1:14" x14ac:dyDescent="0.25">
      <c r="A2867" t="str">
        <f>"14:38:08.359"</f>
        <v>14:38:08.359</v>
      </c>
      <c r="B2867">
        <v>40.297165</v>
      </c>
      <c r="C2867">
        <v>-75.140991</v>
      </c>
      <c r="D2867">
        <v>3700</v>
      </c>
      <c r="E2867">
        <v>3850</v>
      </c>
      <c r="F2867">
        <v>128</v>
      </c>
      <c r="G2867">
        <v>119</v>
      </c>
      <c r="H2867">
        <v>64</v>
      </c>
      <c r="J2867" s="1">
        <f t="shared" si="220"/>
        <v>16384</v>
      </c>
      <c r="K2867" s="1">
        <f t="shared" si="221"/>
        <v>14161</v>
      </c>
      <c r="L2867" s="1">
        <f t="shared" si="222"/>
        <v>30545</v>
      </c>
      <c r="M2867" s="1">
        <f t="shared" si="223"/>
        <v>174.77127910500627</v>
      </c>
      <c r="N2867" s="7">
        <f t="shared" si="224"/>
        <v>174.77127910500627</v>
      </c>
    </row>
    <row r="2868" spans="1:14" x14ac:dyDescent="0.25">
      <c r="A2868" t="str">
        <f>"14:38:09.367"</f>
        <v>14:38:09.367</v>
      </c>
      <c r="B2868">
        <v>40.297722999999998</v>
      </c>
      <c r="C2868">
        <v>-75.140262000000007</v>
      </c>
      <c r="D2868">
        <v>3700</v>
      </c>
      <c r="E2868">
        <v>3850</v>
      </c>
      <c r="F2868">
        <v>128</v>
      </c>
      <c r="G2868">
        <v>119</v>
      </c>
      <c r="H2868">
        <v>128</v>
      </c>
      <c r="J2868" s="1">
        <f t="shared" si="220"/>
        <v>16384</v>
      </c>
      <c r="K2868" s="1">
        <f t="shared" si="221"/>
        <v>14161</v>
      </c>
      <c r="L2868" s="1">
        <f t="shared" si="222"/>
        <v>30545</v>
      </c>
      <c r="M2868" s="1">
        <f t="shared" si="223"/>
        <v>174.77127910500627</v>
      </c>
      <c r="N2868" s="7">
        <f t="shared" si="224"/>
        <v>174.77127910500627</v>
      </c>
    </row>
    <row r="2869" spans="1:14" x14ac:dyDescent="0.25">
      <c r="A2869" t="str">
        <f>"14:38:10.273"</f>
        <v>14:38:10.273</v>
      </c>
      <c r="B2869">
        <v>40.298215999999996</v>
      </c>
      <c r="C2869">
        <v>-75.139554000000004</v>
      </c>
      <c r="D2869">
        <v>3700</v>
      </c>
      <c r="E2869">
        <v>3850</v>
      </c>
      <c r="F2869">
        <v>128</v>
      </c>
      <c r="G2869">
        <v>119</v>
      </c>
      <c r="H2869">
        <v>128</v>
      </c>
      <c r="J2869" s="1">
        <f t="shared" si="220"/>
        <v>16384</v>
      </c>
      <c r="K2869" s="1">
        <f t="shared" si="221"/>
        <v>14161</v>
      </c>
      <c r="L2869" s="1">
        <f t="shared" si="222"/>
        <v>30545</v>
      </c>
      <c r="M2869" s="1">
        <f t="shared" si="223"/>
        <v>174.77127910500627</v>
      </c>
      <c r="N2869" s="7">
        <f t="shared" si="224"/>
        <v>174.77127910500627</v>
      </c>
    </row>
    <row r="2870" spans="1:14" x14ac:dyDescent="0.25">
      <c r="A2870" t="str">
        <f>"14:38:11.336"</f>
        <v>14:38:11.336</v>
      </c>
      <c r="B2870">
        <v>40.298817</v>
      </c>
      <c r="C2870">
        <v>-75.138673999999995</v>
      </c>
      <c r="D2870">
        <v>3700</v>
      </c>
      <c r="E2870">
        <v>3875</v>
      </c>
      <c r="F2870">
        <v>128</v>
      </c>
      <c r="G2870">
        <v>119</v>
      </c>
      <c r="H2870">
        <v>128</v>
      </c>
      <c r="J2870" s="1">
        <f t="shared" si="220"/>
        <v>16384</v>
      </c>
      <c r="K2870" s="1">
        <f t="shared" si="221"/>
        <v>14161</v>
      </c>
      <c r="L2870" s="1">
        <f t="shared" si="222"/>
        <v>30545</v>
      </c>
      <c r="M2870" s="1">
        <f t="shared" si="223"/>
        <v>174.77127910500627</v>
      </c>
      <c r="N2870" s="7">
        <f t="shared" si="224"/>
        <v>174.77127910500627</v>
      </c>
    </row>
    <row r="2871" spans="1:14" x14ac:dyDescent="0.25">
      <c r="A2871" t="str">
        <f>"14:38:12.344"</f>
        <v>14:38:12.344</v>
      </c>
      <c r="B2871">
        <v>40.299354000000001</v>
      </c>
      <c r="C2871">
        <v>-75.137944000000005</v>
      </c>
      <c r="D2871">
        <v>3700</v>
      </c>
      <c r="E2871">
        <v>3875</v>
      </c>
      <c r="F2871">
        <v>127</v>
      </c>
      <c r="G2871">
        <v>119</v>
      </c>
      <c r="H2871">
        <v>64</v>
      </c>
      <c r="J2871" s="1">
        <f t="shared" si="220"/>
        <v>16129</v>
      </c>
      <c r="K2871" s="1">
        <f t="shared" si="221"/>
        <v>14161</v>
      </c>
      <c r="L2871" s="1">
        <f t="shared" si="222"/>
        <v>30290</v>
      </c>
      <c r="M2871" s="1">
        <f t="shared" si="223"/>
        <v>174.04022523543227</v>
      </c>
      <c r="N2871" s="7">
        <f t="shared" si="224"/>
        <v>174.04022523543227</v>
      </c>
    </row>
    <row r="2872" spans="1:14" x14ac:dyDescent="0.25">
      <c r="A2872" t="str">
        <f>"14:38:13.250"</f>
        <v>14:38:13.250</v>
      </c>
      <c r="B2872">
        <v>40.299847</v>
      </c>
      <c r="C2872">
        <v>-75.137236000000001</v>
      </c>
      <c r="D2872">
        <v>3700</v>
      </c>
      <c r="E2872">
        <v>3875</v>
      </c>
      <c r="F2872">
        <v>127</v>
      </c>
      <c r="G2872">
        <v>120</v>
      </c>
      <c r="H2872">
        <v>0</v>
      </c>
      <c r="J2872" s="1">
        <f t="shared" si="220"/>
        <v>16129</v>
      </c>
      <c r="K2872" s="1">
        <f t="shared" si="221"/>
        <v>14400</v>
      </c>
      <c r="L2872" s="1">
        <f t="shared" si="222"/>
        <v>30529</v>
      </c>
      <c r="M2872" s="1">
        <f t="shared" si="223"/>
        <v>174.72549899771354</v>
      </c>
      <c r="N2872" s="7">
        <f t="shared" si="224"/>
        <v>174.72549899771354</v>
      </c>
    </row>
    <row r="2873" spans="1:14" x14ac:dyDescent="0.25">
      <c r="A2873" t="str">
        <f>"14:38:14.211"</f>
        <v>14:38:14.211</v>
      </c>
      <c r="B2873">
        <v>40.300404999999998</v>
      </c>
      <c r="C2873">
        <v>-75.136442000000002</v>
      </c>
      <c r="D2873">
        <v>3700</v>
      </c>
      <c r="E2873">
        <v>3875</v>
      </c>
      <c r="F2873">
        <v>127</v>
      </c>
      <c r="G2873">
        <v>120</v>
      </c>
      <c r="H2873">
        <v>0</v>
      </c>
      <c r="J2873" s="1">
        <f t="shared" si="220"/>
        <v>16129</v>
      </c>
      <c r="K2873" s="1">
        <f t="shared" si="221"/>
        <v>14400</v>
      </c>
      <c r="L2873" s="1">
        <f t="shared" si="222"/>
        <v>30529</v>
      </c>
      <c r="M2873" s="1">
        <f t="shared" si="223"/>
        <v>174.72549899771354</v>
      </c>
      <c r="N2873" s="7">
        <f t="shared" si="224"/>
        <v>174.72549899771354</v>
      </c>
    </row>
    <row r="2874" spans="1:14" x14ac:dyDescent="0.25">
      <c r="A2874" t="str">
        <f>"14:38:15.227"</f>
        <v>14:38:15.227</v>
      </c>
      <c r="B2874">
        <v>40.300963000000003</v>
      </c>
      <c r="C2874">
        <v>-75.135690999999994</v>
      </c>
      <c r="D2874">
        <v>3700</v>
      </c>
      <c r="E2874">
        <v>3875</v>
      </c>
      <c r="F2874">
        <v>127</v>
      </c>
      <c r="G2874">
        <v>120</v>
      </c>
      <c r="H2874">
        <v>-64</v>
      </c>
      <c r="J2874" s="1">
        <f t="shared" si="220"/>
        <v>16129</v>
      </c>
      <c r="K2874" s="1">
        <f t="shared" si="221"/>
        <v>14400</v>
      </c>
      <c r="L2874" s="1">
        <f t="shared" si="222"/>
        <v>30529</v>
      </c>
      <c r="M2874" s="1">
        <f t="shared" si="223"/>
        <v>174.72549899771354</v>
      </c>
      <c r="N2874" s="7">
        <f t="shared" si="224"/>
        <v>174.72549899771354</v>
      </c>
    </row>
    <row r="2875" spans="1:14" x14ac:dyDescent="0.25">
      <c r="A2875" t="str">
        <f>"14:38:16.086"</f>
        <v>14:38:16.086</v>
      </c>
      <c r="B2875">
        <v>40.301434999999998</v>
      </c>
      <c r="C2875">
        <v>-75.135069000000001</v>
      </c>
      <c r="D2875">
        <v>3700</v>
      </c>
      <c r="E2875">
        <v>3875</v>
      </c>
      <c r="F2875">
        <v>127</v>
      </c>
      <c r="G2875">
        <v>120</v>
      </c>
      <c r="H2875">
        <v>-64</v>
      </c>
      <c r="J2875" s="1">
        <f t="shared" si="220"/>
        <v>16129</v>
      </c>
      <c r="K2875" s="1">
        <f t="shared" si="221"/>
        <v>14400</v>
      </c>
      <c r="L2875" s="1">
        <f t="shared" si="222"/>
        <v>30529</v>
      </c>
      <c r="M2875" s="1">
        <f t="shared" si="223"/>
        <v>174.72549899771354</v>
      </c>
      <c r="N2875" s="7">
        <f t="shared" si="224"/>
        <v>174.72549899771354</v>
      </c>
    </row>
    <row r="2876" spans="1:14" x14ac:dyDescent="0.25">
      <c r="A2876" t="str">
        <f>"14:38:17.039"</f>
        <v>14:38:17.039</v>
      </c>
      <c r="B2876">
        <v>40.301993000000003</v>
      </c>
      <c r="C2876">
        <v>-75.134317999999993</v>
      </c>
      <c r="D2876">
        <v>3700</v>
      </c>
      <c r="E2876">
        <v>3850</v>
      </c>
      <c r="F2876">
        <v>127</v>
      </c>
      <c r="G2876">
        <v>121</v>
      </c>
      <c r="H2876">
        <v>-128</v>
      </c>
      <c r="J2876" s="1">
        <f t="shared" si="220"/>
        <v>16129</v>
      </c>
      <c r="K2876" s="1">
        <f t="shared" si="221"/>
        <v>14641</v>
      </c>
      <c r="L2876" s="1">
        <f t="shared" si="222"/>
        <v>30770</v>
      </c>
      <c r="M2876" s="1">
        <f t="shared" si="223"/>
        <v>175.41379649275024</v>
      </c>
      <c r="N2876" s="7">
        <f t="shared" si="224"/>
        <v>175.41379649275024</v>
      </c>
    </row>
    <row r="2877" spans="1:14" x14ac:dyDescent="0.25">
      <c r="A2877" t="str">
        <f>"14:38:18.047"</f>
        <v>14:38:18.047</v>
      </c>
      <c r="B2877">
        <v>40.302551000000001</v>
      </c>
      <c r="C2877">
        <v>-75.133566999999999</v>
      </c>
      <c r="D2877">
        <v>3700</v>
      </c>
      <c r="E2877">
        <v>3850</v>
      </c>
      <c r="F2877">
        <v>127</v>
      </c>
      <c r="G2877">
        <v>121</v>
      </c>
      <c r="H2877">
        <v>-64</v>
      </c>
      <c r="J2877" s="1">
        <f t="shared" si="220"/>
        <v>16129</v>
      </c>
      <c r="K2877" s="1">
        <f t="shared" si="221"/>
        <v>14641</v>
      </c>
      <c r="L2877" s="1">
        <f t="shared" si="222"/>
        <v>30770</v>
      </c>
      <c r="M2877" s="1">
        <f t="shared" si="223"/>
        <v>175.41379649275024</v>
      </c>
      <c r="N2877" s="7">
        <f t="shared" si="224"/>
        <v>175.41379649275024</v>
      </c>
    </row>
    <row r="2878" spans="1:14" x14ac:dyDescent="0.25">
      <c r="A2878" t="str">
        <f>"14:38:19.109"</f>
        <v>14:38:19.109</v>
      </c>
      <c r="B2878">
        <v>40.303151999999997</v>
      </c>
      <c r="C2878">
        <v>-75.132687000000004</v>
      </c>
      <c r="D2878">
        <v>3700</v>
      </c>
      <c r="E2878">
        <v>3850</v>
      </c>
      <c r="F2878">
        <v>127</v>
      </c>
      <c r="G2878">
        <v>121</v>
      </c>
      <c r="H2878">
        <v>-64</v>
      </c>
      <c r="J2878" s="1">
        <f t="shared" si="220"/>
        <v>16129</v>
      </c>
      <c r="K2878" s="1">
        <f t="shared" si="221"/>
        <v>14641</v>
      </c>
      <c r="L2878" s="1">
        <f t="shared" si="222"/>
        <v>30770</v>
      </c>
      <c r="M2878" s="1">
        <f t="shared" si="223"/>
        <v>175.41379649275024</v>
      </c>
      <c r="N2878" s="7">
        <f t="shared" si="224"/>
        <v>175.41379649275024</v>
      </c>
    </row>
    <row r="2879" spans="1:14" x14ac:dyDescent="0.25">
      <c r="A2879" t="str">
        <f>"14:38:20.117"</f>
        <v>14:38:20.117</v>
      </c>
      <c r="B2879">
        <v>40.303666999999997</v>
      </c>
      <c r="C2879">
        <v>-75.132000000000005</v>
      </c>
      <c r="D2879">
        <v>3700</v>
      </c>
      <c r="E2879">
        <v>3850</v>
      </c>
      <c r="F2879">
        <v>127</v>
      </c>
      <c r="G2879">
        <v>121</v>
      </c>
      <c r="H2879">
        <v>0</v>
      </c>
      <c r="J2879" s="1">
        <f t="shared" si="220"/>
        <v>16129</v>
      </c>
      <c r="K2879" s="1">
        <f t="shared" si="221"/>
        <v>14641</v>
      </c>
      <c r="L2879" s="1">
        <f t="shared" si="222"/>
        <v>30770</v>
      </c>
      <c r="M2879" s="1">
        <f t="shared" si="223"/>
        <v>175.41379649275024</v>
      </c>
      <c r="N2879" s="7">
        <f t="shared" si="224"/>
        <v>175.41379649275024</v>
      </c>
    </row>
    <row r="2880" spans="1:14" x14ac:dyDescent="0.25">
      <c r="A2880" t="str">
        <f>"14:38:21.234"</f>
        <v>14:38:21.234</v>
      </c>
      <c r="B2880">
        <v>40.304332000000002</v>
      </c>
      <c r="C2880">
        <v>-75.131056000000001</v>
      </c>
      <c r="D2880">
        <v>3700</v>
      </c>
      <c r="E2880">
        <v>3850</v>
      </c>
      <c r="F2880">
        <v>127</v>
      </c>
      <c r="G2880">
        <v>121</v>
      </c>
      <c r="H2880">
        <v>64</v>
      </c>
      <c r="J2880" s="1">
        <f t="shared" si="220"/>
        <v>16129</v>
      </c>
      <c r="K2880" s="1">
        <f t="shared" si="221"/>
        <v>14641</v>
      </c>
      <c r="L2880" s="1">
        <f t="shared" si="222"/>
        <v>30770</v>
      </c>
      <c r="M2880" s="1">
        <f t="shared" si="223"/>
        <v>175.41379649275024</v>
      </c>
      <c r="N2880" s="7">
        <f t="shared" si="224"/>
        <v>175.41379649275024</v>
      </c>
    </row>
    <row r="2881" spans="1:14" x14ac:dyDescent="0.25">
      <c r="A2881" t="str">
        <f>"14:38:22.289"</f>
        <v>14:38:22.289</v>
      </c>
      <c r="B2881">
        <v>40.304954000000002</v>
      </c>
      <c r="C2881">
        <v>-75.130240999999998</v>
      </c>
      <c r="D2881">
        <v>3700</v>
      </c>
      <c r="E2881">
        <v>3850</v>
      </c>
      <c r="F2881">
        <v>127</v>
      </c>
      <c r="G2881">
        <v>120</v>
      </c>
      <c r="H2881">
        <v>64</v>
      </c>
      <c r="J2881" s="1">
        <f t="shared" si="220"/>
        <v>16129</v>
      </c>
      <c r="K2881" s="1">
        <f t="shared" si="221"/>
        <v>14400</v>
      </c>
      <c r="L2881" s="1">
        <f t="shared" si="222"/>
        <v>30529</v>
      </c>
      <c r="M2881" s="1">
        <f t="shared" si="223"/>
        <v>174.72549899771354</v>
      </c>
      <c r="N2881" s="7">
        <f t="shared" si="224"/>
        <v>174.72549899771354</v>
      </c>
    </row>
    <row r="2882" spans="1:14" x14ac:dyDescent="0.25">
      <c r="A2882" t="str">
        <f>"14:38:23.305"</f>
        <v>14:38:23.305</v>
      </c>
      <c r="B2882">
        <v>40.305489999999999</v>
      </c>
      <c r="C2882">
        <v>-75.129446999999999</v>
      </c>
      <c r="D2882">
        <v>3700</v>
      </c>
      <c r="E2882">
        <v>3875</v>
      </c>
      <c r="F2882">
        <v>127</v>
      </c>
      <c r="G2882">
        <v>120</v>
      </c>
      <c r="H2882">
        <v>64</v>
      </c>
      <c r="J2882" s="1">
        <f t="shared" si="220"/>
        <v>16129</v>
      </c>
      <c r="K2882" s="1">
        <f t="shared" si="221"/>
        <v>14400</v>
      </c>
      <c r="L2882" s="1">
        <f t="shared" si="222"/>
        <v>30529</v>
      </c>
      <c r="M2882" s="1">
        <f t="shared" si="223"/>
        <v>174.72549899771354</v>
      </c>
      <c r="N2882" s="7">
        <f t="shared" si="224"/>
        <v>174.72549899771354</v>
      </c>
    </row>
    <row r="2883" spans="1:14" x14ac:dyDescent="0.25">
      <c r="A2883" t="str">
        <f>"14:38:24.359"</f>
        <v>14:38:24.359</v>
      </c>
      <c r="B2883">
        <v>40.306047999999997</v>
      </c>
      <c r="C2883">
        <v>-75.128716999999995</v>
      </c>
      <c r="D2883">
        <v>3700</v>
      </c>
      <c r="E2883">
        <v>3875</v>
      </c>
      <c r="F2883">
        <v>127</v>
      </c>
      <c r="G2883">
        <v>120</v>
      </c>
      <c r="H2883">
        <v>192</v>
      </c>
      <c r="J2883" s="1">
        <f t="shared" ref="J2883:J2946" si="225">F2883^2</f>
        <v>16129</v>
      </c>
      <c r="K2883" s="1">
        <f t="shared" ref="K2883:K2946" si="226">G2883^2</f>
        <v>14400</v>
      </c>
      <c r="L2883" s="1">
        <f t="shared" ref="L2883:L2946" si="227">SUMSQ(F2883,G2883)</f>
        <v>30529</v>
      </c>
      <c r="M2883" s="1">
        <f t="shared" ref="M2883:M2946" si="228">SQRT(L2883)</f>
        <v>174.72549899771354</v>
      </c>
      <c r="N2883" s="7">
        <f t="shared" ref="N2883:N2946" si="229">M2883</f>
        <v>174.72549899771354</v>
      </c>
    </row>
    <row r="2884" spans="1:14" x14ac:dyDescent="0.25">
      <c r="A2884" t="str">
        <f>"14:38:25.172"</f>
        <v>14:38:25.172</v>
      </c>
      <c r="B2884">
        <v>40.306499000000002</v>
      </c>
      <c r="C2884">
        <v>-75.128117000000003</v>
      </c>
      <c r="D2884">
        <v>3700</v>
      </c>
      <c r="E2884">
        <v>3875</v>
      </c>
      <c r="F2884">
        <v>127</v>
      </c>
      <c r="G2884">
        <v>121</v>
      </c>
      <c r="H2884">
        <v>128</v>
      </c>
      <c r="J2884" s="1">
        <f t="shared" si="225"/>
        <v>16129</v>
      </c>
      <c r="K2884" s="1">
        <f t="shared" si="226"/>
        <v>14641</v>
      </c>
      <c r="L2884" s="1">
        <f t="shared" si="227"/>
        <v>30770</v>
      </c>
      <c r="M2884" s="1">
        <f t="shared" si="228"/>
        <v>175.41379649275024</v>
      </c>
      <c r="N2884" s="7">
        <f t="shared" si="229"/>
        <v>175.41379649275024</v>
      </c>
    </row>
    <row r="2885" spans="1:14" x14ac:dyDescent="0.25">
      <c r="A2885" t="str">
        <f>"14:38:26.133"</f>
        <v>14:38:26.133</v>
      </c>
      <c r="B2885">
        <v>40.307099999999998</v>
      </c>
      <c r="C2885">
        <v>-75.127323000000004</v>
      </c>
      <c r="D2885">
        <v>3700</v>
      </c>
      <c r="E2885">
        <v>3875</v>
      </c>
      <c r="F2885">
        <v>126</v>
      </c>
      <c r="G2885">
        <v>121</v>
      </c>
      <c r="H2885">
        <v>0</v>
      </c>
      <c r="J2885" s="1">
        <f t="shared" si="225"/>
        <v>15876</v>
      </c>
      <c r="K2885" s="1">
        <f t="shared" si="226"/>
        <v>14641</v>
      </c>
      <c r="L2885" s="1">
        <f t="shared" si="227"/>
        <v>30517</v>
      </c>
      <c r="M2885" s="1">
        <f t="shared" si="228"/>
        <v>174.69115604403103</v>
      </c>
      <c r="N2885" s="7">
        <f t="shared" si="229"/>
        <v>174.69115604403103</v>
      </c>
    </row>
    <row r="2886" spans="1:14" x14ac:dyDescent="0.25">
      <c r="A2886" t="str">
        <f>"14:38:27.242"</f>
        <v>14:38:27.242</v>
      </c>
      <c r="B2886">
        <v>40.307679</v>
      </c>
      <c r="C2886">
        <v>-75.126507000000004</v>
      </c>
      <c r="D2886">
        <v>3700</v>
      </c>
      <c r="E2886">
        <v>3875</v>
      </c>
      <c r="F2886">
        <v>126</v>
      </c>
      <c r="G2886">
        <v>121</v>
      </c>
      <c r="H2886">
        <v>-64</v>
      </c>
      <c r="J2886" s="1">
        <f t="shared" si="225"/>
        <v>15876</v>
      </c>
      <c r="K2886" s="1">
        <f t="shared" si="226"/>
        <v>14641</v>
      </c>
      <c r="L2886" s="1">
        <f t="shared" si="227"/>
        <v>30517</v>
      </c>
      <c r="M2886" s="1">
        <f t="shared" si="228"/>
        <v>174.69115604403103</v>
      </c>
      <c r="N2886" s="7">
        <f t="shared" si="229"/>
        <v>174.69115604403103</v>
      </c>
    </row>
    <row r="2887" spans="1:14" x14ac:dyDescent="0.25">
      <c r="A2887" t="str">
        <f>"14:38:28.102"</f>
        <v>14:38:28.102</v>
      </c>
      <c r="B2887">
        <v>40.308194</v>
      </c>
      <c r="C2887">
        <v>-75.125799000000001</v>
      </c>
      <c r="D2887">
        <v>3700</v>
      </c>
      <c r="E2887">
        <v>3875</v>
      </c>
      <c r="F2887">
        <v>126</v>
      </c>
      <c r="G2887">
        <v>121</v>
      </c>
      <c r="H2887">
        <v>-128</v>
      </c>
      <c r="J2887" s="1">
        <f t="shared" si="225"/>
        <v>15876</v>
      </c>
      <c r="K2887" s="1">
        <f t="shared" si="226"/>
        <v>14641</v>
      </c>
      <c r="L2887" s="1">
        <f t="shared" si="227"/>
        <v>30517</v>
      </c>
      <c r="M2887" s="1">
        <f t="shared" si="228"/>
        <v>174.69115604403103</v>
      </c>
      <c r="N2887" s="7">
        <f t="shared" si="229"/>
        <v>174.69115604403103</v>
      </c>
    </row>
    <row r="2888" spans="1:14" x14ac:dyDescent="0.25">
      <c r="A2888" t="str">
        <f>"14:38:29.008"</f>
        <v>14:38:29.008</v>
      </c>
      <c r="B2888">
        <v>40.308687999999997</v>
      </c>
      <c r="C2888">
        <v>-75.125134000000003</v>
      </c>
      <c r="D2888">
        <v>3700</v>
      </c>
      <c r="E2888">
        <v>3875</v>
      </c>
      <c r="F2888">
        <v>126</v>
      </c>
      <c r="G2888">
        <v>121</v>
      </c>
      <c r="H2888">
        <v>-128</v>
      </c>
      <c r="J2888" s="1">
        <f t="shared" si="225"/>
        <v>15876</v>
      </c>
      <c r="K2888" s="1">
        <f t="shared" si="226"/>
        <v>14641</v>
      </c>
      <c r="L2888" s="1">
        <f t="shared" si="227"/>
        <v>30517</v>
      </c>
      <c r="M2888" s="1">
        <f t="shared" si="228"/>
        <v>174.69115604403103</v>
      </c>
      <c r="N2888" s="7">
        <f t="shared" si="229"/>
        <v>174.69115604403103</v>
      </c>
    </row>
    <row r="2889" spans="1:14" x14ac:dyDescent="0.25">
      <c r="A2889" t="str">
        <f>"14:38:29.914"</f>
        <v>14:38:29.914</v>
      </c>
      <c r="B2889">
        <v>40.309202999999997</v>
      </c>
      <c r="C2889">
        <v>-75.124447000000004</v>
      </c>
      <c r="D2889">
        <v>3700</v>
      </c>
      <c r="E2889">
        <v>3850</v>
      </c>
      <c r="F2889">
        <v>126</v>
      </c>
      <c r="G2889">
        <v>122</v>
      </c>
      <c r="H2889">
        <v>-128</v>
      </c>
      <c r="J2889" s="1">
        <f t="shared" si="225"/>
        <v>15876</v>
      </c>
      <c r="K2889" s="1">
        <f t="shared" si="226"/>
        <v>14884</v>
      </c>
      <c r="L2889" s="1">
        <f t="shared" si="227"/>
        <v>30760</v>
      </c>
      <c r="M2889" s="1">
        <f t="shared" si="228"/>
        <v>175.38529014715002</v>
      </c>
      <c r="N2889" s="7">
        <f t="shared" si="229"/>
        <v>175.38529014715002</v>
      </c>
    </row>
    <row r="2890" spans="1:14" x14ac:dyDescent="0.25">
      <c r="A2890" t="str">
        <f>"14:38:31.023"</f>
        <v>14:38:31.023</v>
      </c>
      <c r="B2890">
        <v>40.309824999999996</v>
      </c>
      <c r="C2890">
        <v>-75.123568000000006</v>
      </c>
      <c r="D2890">
        <v>3700</v>
      </c>
      <c r="E2890">
        <v>3850</v>
      </c>
      <c r="F2890">
        <v>126</v>
      </c>
      <c r="G2890">
        <v>122</v>
      </c>
      <c r="H2890">
        <v>-128</v>
      </c>
      <c r="J2890" s="1">
        <f t="shared" si="225"/>
        <v>15876</v>
      </c>
      <c r="K2890" s="1">
        <f t="shared" si="226"/>
        <v>14884</v>
      </c>
      <c r="L2890" s="1">
        <f t="shared" si="227"/>
        <v>30760</v>
      </c>
      <c r="M2890" s="1">
        <f t="shared" si="228"/>
        <v>175.38529014715002</v>
      </c>
      <c r="N2890" s="7">
        <f t="shared" si="229"/>
        <v>175.38529014715002</v>
      </c>
    </row>
    <row r="2891" spans="1:14" x14ac:dyDescent="0.25">
      <c r="A2891" t="str">
        <f>"14:38:32.039"</f>
        <v>14:38:32.039</v>
      </c>
      <c r="B2891">
        <v>40.310383000000002</v>
      </c>
      <c r="C2891">
        <v>-75.122816999999998</v>
      </c>
      <c r="D2891">
        <v>3700</v>
      </c>
      <c r="E2891">
        <v>3850</v>
      </c>
      <c r="F2891">
        <v>127</v>
      </c>
      <c r="G2891">
        <v>121</v>
      </c>
      <c r="H2891">
        <v>-128</v>
      </c>
      <c r="J2891" s="1">
        <f t="shared" si="225"/>
        <v>16129</v>
      </c>
      <c r="K2891" s="1">
        <f t="shared" si="226"/>
        <v>14641</v>
      </c>
      <c r="L2891" s="1">
        <f t="shared" si="227"/>
        <v>30770</v>
      </c>
      <c r="M2891" s="1">
        <f t="shared" si="228"/>
        <v>175.41379649275024</v>
      </c>
      <c r="N2891" s="7">
        <f t="shared" si="229"/>
        <v>175.41379649275024</v>
      </c>
    </row>
    <row r="2892" spans="1:14" x14ac:dyDescent="0.25">
      <c r="A2892" t="str">
        <f>"14:38:33.047"</f>
        <v>14:38:33.047</v>
      </c>
      <c r="B2892">
        <v>40.310941</v>
      </c>
      <c r="C2892">
        <v>-75.122086999999993</v>
      </c>
      <c r="D2892">
        <v>3700</v>
      </c>
      <c r="E2892">
        <v>3850</v>
      </c>
      <c r="F2892">
        <v>127</v>
      </c>
      <c r="G2892">
        <v>121</v>
      </c>
      <c r="H2892">
        <v>0</v>
      </c>
      <c r="J2892" s="1">
        <f t="shared" si="225"/>
        <v>16129</v>
      </c>
      <c r="K2892" s="1">
        <f t="shared" si="226"/>
        <v>14641</v>
      </c>
      <c r="L2892" s="1">
        <f t="shared" si="227"/>
        <v>30770</v>
      </c>
      <c r="M2892" s="1">
        <f t="shared" si="228"/>
        <v>175.41379649275024</v>
      </c>
      <c r="N2892" s="7">
        <f t="shared" si="229"/>
        <v>175.41379649275024</v>
      </c>
    </row>
    <row r="2893" spans="1:14" x14ac:dyDescent="0.25">
      <c r="A2893" t="str">
        <f>"14:38:34.063"</f>
        <v>14:38:34.063</v>
      </c>
      <c r="B2893">
        <v>40.311498999999998</v>
      </c>
      <c r="C2893">
        <v>-75.121272000000005</v>
      </c>
      <c r="D2893">
        <v>3700</v>
      </c>
      <c r="E2893">
        <v>3850</v>
      </c>
      <c r="F2893">
        <v>127</v>
      </c>
      <c r="G2893">
        <v>121</v>
      </c>
      <c r="H2893">
        <v>0</v>
      </c>
      <c r="J2893" s="1">
        <f t="shared" si="225"/>
        <v>16129</v>
      </c>
      <c r="K2893" s="1">
        <f t="shared" si="226"/>
        <v>14641</v>
      </c>
      <c r="L2893" s="1">
        <f t="shared" si="227"/>
        <v>30770</v>
      </c>
      <c r="M2893" s="1">
        <f t="shared" si="228"/>
        <v>175.41379649275024</v>
      </c>
      <c r="N2893" s="7">
        <f t="shared" si="229"/>
        <v>175.41379649275024</v>
      </c>
    </row>
    <row r="2894" spans="1:14" x14ac:dyDescent="0.25">
      <c r="A2894" t="str">
        <f>"14:38:35.063"</f>
        <v>14:38:35.063</v>
      </c>
      <c r="B2894">
        <v>40.312057000000003</v>
      </c>
      <c r="C2894">
        <v>-75.120520999999997</v>
      </c>
      <c r="D2894">
        <v>3700</v>
      </c>
      <c r="E2894">
        <v>3850</v>
      </c>
      <c r="F2894">
        <v>127</v>
      </c>
      <c r="G2894">
        <v>121</v>
      </c>
      <c r="H2894">
        <v>64</v>
      </c>
      <c r="J2894" s="1">
        <f t="shared" si="225"/>
        <v>16129</v>
      </c>
      <c r="K2894" s="1">
        <f t="shared" si="226"/>
        <v>14641</v>
      </c>
      <c r="L2894" s="1">
        <f t="shared" si="227"/>
        <v>30770</v>
      </c>
      <c r="M2894" s="1">
        <f t="shared" si="228"/>
        <v>175.41379649275024</v>
      </c>
      <c r="N2894" s="7">
        <f t="shared" si="229"/>
        <v>175.41379649275024</v>
      </c>
    </row>
    <row r="2895" spans="1:14" x14ac:dyDescent="0.25">
      <c r="A2895" t="str">
        <f>"14:38:35.977"</f>
        <v>14:38:35.977</v>
      </c>
      <c r="B2895">
        <v>40.312593</v>
      </c>
      <c r="C2895">
        <v>-75.119811999999996</v>
      </c>
      <c r="D2895">
        <v>3700</v>
      </c>
      <c r="E2895">
        <v>3850</v>
      </c>
      <c r="F2895">
        <v>127</v>
      </c>
      <c r="G2895">
        <v>120</v>
      </c>
      <c r="H2895">
        <v>128</v>
      </c>
      <c r="J2895" s="1">
        <f t="shared" si="225"/>
        <v>16129</v>
      </c>
      <c r="K2895" s="1">
        <f t="shared" si="226"/>
        <v>14400</v>
      </c>
      <c r="L2895" s="1">
        <f t="shared" si="227"/>
        <v>30529</v>
      </c>
      <c r="M2895" s="1">
        <f t="shared" si="228"/>
        <v>174.72549899771354</v>
      </c>
      <c r="N2895" s="7">
        <f t="shared" si="229"/>
        <v>174.72549899771354</v>
      </c>
    </row>
    <row r="2896" spans="1:14" x14ac:dyDescent="0.25">
      <c r="A2896" t="str">
        <f>"14:38:37.133"</f>
        <v>14:38:37.133</v>
      </c>
      <c r="B2896">
        <v>40.313237000000001</v>
      </c>
      <c r="C2896">
        <v>-75.118889999999993</v>
      </c>
      <c r="D2896">
        <v>3700</v>
      </c>
      <c r="E2896">
        <v>3875</v>
      </c>
      <c r="F2896">
        <v>127</v>
      </c>
      <c r="G2896">
        <v>120</v>
      </c>
      <c r="H2896">
        <v>128</v>
      </c>
      <c r="J2896" s="1">
        <f t="shared" si="225"/>
        <v>16129</v>
      </c>
      <c r="K2896" s="1">
        <f t="shared" si="226"/>
        <v>14400</v>
      </c>
      <c r="L2896" s="1">
        <f t="shared" si="227"/>
        <v>30529</v>
      </c>
      <c r="M2896" s="1">
        <f t="shared" si="228"/>
        <v>174.72549899771354</v>
      </c>
      <c r="N2896" s="7">
        <f t="shared" si="229"/>
        <v>174.72549899771354</v>
      </c>
    </row>
    <row r="2897" spans="1:14" x14ac:dyDescent="0.25">
      <c r="A2897" t="str">
        <f>"14:38:38.148"</f>
        <v>14:38:38.148</v>
      </c>
      <c r="B2897">
        <v>40.313772999999998</v>
      </c>
      <c r="C2897">
        <v>-75.118095999999994</v>
      </c>
      <c r="D2897">
        <v>3700</v>
      </c>
      <c r="E2897">
        <v>3875</v>
      </c>
      <c r="F2897">
        <v>127</v>
      </c>
      <c r="G2897">
        <v>120</v>
      </c>
      <c r="H2897">
        <v>128</v>
      </c>
      <c r="J2897" s="1">
        <f t="shared" si="225"/>
        <v>16129</v>
      </c>
      <c r="K2897" s="1">
        <f t="shared" si="226"/>
        <v>14400</v>
      </c>
      <c r="L2897" s="1">
        <f t="shared" si="227"/>
        <v>30529</v>
      </c>
      <c r="M2897" s="1">
        <f t="shared" si="228"/>
        <v>174.72549899771354</v>
      </c>
      <c r="N2897" s="7">
        <f t="shared" si="229"/>
        <v>174.72549899771354</v>
      </c>
    </row>
    <row r="2898" spans="1:14" x14ac:dyDescent="0.25">
      <c r="A2898" t="str">
        <f>"14:38:39.156"</f>
        <v>14:38:39.156</v>
      </c>
      <c r="B2898">
        <v>40.314331000000003</v>
      </c>
      <c r="C2898">
        <v>-75.117366000000004</v>
      </c>
      <c r="D2898">
        <v>3700</v>
      </c>
      <c r="E2898">
        <v>3875</v>
      </c>
      <c r="F2898">
        <v>127</v>
      </c>
      <c r="G2898">
        <v>120</v>
      </c>
      <c r="H2898">
        <v>0</v>
      </c>
      <c r="J2898" s="1">
        <f t="shared" si="225"/>
        <v>16129</v>
      </c>
      <c r="K2898" s="1">
        <f t="shared" si="226"/>
        <v>14400</v>
      </c>
      <c r="L2898" s="1">
        <f t="shared" si="227"/>
        <v>30529</v>
      </c>
      <c r="M2898" s="1">
        <f t="shared" si="228"/>
        <v>174.72549899771354</v>
      </c>
      <c r="N2898" s="7">
        <f t="shared" si="229"/>
        <v>174.72549899771354</v>
      </c>
    </row>
    <row r="2899" spans="1:14" x14ac:dyDescent="0.25">
      <c r="A2899" t="str">
        <f>"14:38:40.016"</f>
        <v>14:38:40.016</v>
      </c>
      <c r="B2899">
        <v>40.314846000000003</v>
      </c>
      <c r="C2899">
        <v>-75.116636999999997</v>
      </c>
      <c r="D2899">
        <v>3700</v>
      </c>
      <c r="E2899">
        <v>3875</v>
      </c>
      <c r="F2899">
        <v>127</v>
      </c>
      <c r="G2899">
        <v>120</v>
      </c>
      <c r="H2899">
        <v>64</v>
      </c>
      <c r="J2899" s="1">
        <f t="shared" si="225"/>
        <v>16129</v>
      </c>
      <c r="K2899" s="1">
        <f t="shared" si="226"/>
        <v>14400</v>
      </c>
      <c r="L2899" s="1">
        <f t="shared" si="227"/>
        <v>30529</v>
      </c>
      <c r="M2899" s="1">
        <f t="shared" si="228"/>
        <v>174.72549899771354</v>
      </c>
      <c r="N2899" s="7">
        <f t="shared" si="229"/>
        <v>174.72549899771354</v>
      </c>
    </row>
    <row r="2900" spans="1:14" x14ac:dyDescent="0.25">
      <c r="A2900" t="str">
        <f>"14:38:41.125"</f>
        <v>14:38:41.125</v>
      </c>
      <c r="B2900">
        <v>40.315468000000003</v>
      </c>
      <c r="C2900">
        <v>-75.115778000000006</v>
      </c>
      <c r="D2900">
        <v>3700</v>
      </c>
      <c r="E2900">
        <v>3875</v>
      </c>
      <c r="F2900">
        <v>127</v>
      </c>
      <c r="G2900">
        <v>120</v>
      </c>
      <c r="H2900">
        <v>0</v>
      </c>
      <c r="J2900" s="1">
        <f t="shared" si="225"/>
        <v>16129</v>
      </c>
      <c r="K2900" s="1">
        <f t="shared" si="226"/>
        <v>14400</v>
      </c>
      <c r="L2900" s="1">
        <f t="shared" si="227"/>
        <v>30529</v>
      </c>
      <c r="M2900" s="1">
        <f t="shared" si="228"/>
        <v>174.72549899771354</v>
      </c>
      <c r="N2900" s="7">
        <f t="shared" si="229"/>
        <v>174.72549899771354</v>
      </c>
    </row>
    <row r="2901" spans="1:14" x14ac:dyDescent="0.25">
      <c r="A2901" t="str">
        <f>"14:38:42.039"</f>
        <v>14:38:42.039</v>
      </c>
      <c r="B2901">
        <v>40.315961999999999</v>
      </c>
      <c r="C2901">
        <v>-75.115092000000004</v>
      </c>
      <c r="D2901">
        <v>3700</v>
      </c>
      <c r="E2901">
        <v>3875</v>
      </c>
      <c r="F2901">
        <v>128</v>
      </c>
      <c r="G2901">
        <v>119</v>
      </c>
      <c r="H2901">
        <v>0</v>
      </c>
      <c r="J2901" s="1">
        <f t="shared" si="225"/>
        <v>16384</v>
      </c>
      <c r="K2901" s="1">
        <f t="shared" si="226"/>
        <v>14161</v>
      </c>
      <c r="L2901" s="1">
        <f t="shared" si="227"/>
        <v>30545</v>
      </c>
      <c r="M2901" s="1">
        <f t="shared" si="228"/>
        <v>174.77127910500627</v>
      </c>
      <c r="N2901" s="7">
        <f t="shared" si="229"/>
        <v>174.77127910500627</v>
      </c>
    </row>
    <row r="2902" spans="1:14" x14ac:dyDescent="0.25">
      <c r="A2902" t="str">
        <f>"14:38:43.047"</f>
        <v>14:38:43.047</v>
      </c>
      <c r="B2902">
        <v>40.316519999999997</v>
      </c>
      <c r="C2902">
        <v>-75.114340999999996</v>
      </c>
      <c r="D2902">
        <v>3700</v>
      </c>
      <c r="E2902">
        <v>3875</v>
      </c>
      <c r="F2902">
        <v>128</v>
      </c>
      <c r="G2902">
        <v>119</v>
      </c>
      <c r="H2902">
        <v>64</v>
      </c>
      <c r="J2902" s="1">
        <f t="shared" si="225"/>
        <v>16384</v>
      </c>
      <c r="K2902" s="1">
        <f t="shared" si="226"/>
        <v>14161</v>
      </c>
      <c r="L2902" s="1">
        <f t="shared" si="227"/>
        <v>30545</v>
      </c>
      <c r="M2902" s="1">
        <f t="shared" si="228"/>
        <v>174.77127910500627</v>
      </c>
      <c r="N2902" s="7">
        <f t="shared" si="229"/>
        <v>174.77127910500627</v>
      </c>
    </row>
    <row r="2903" spans="1:14" x14ac:dyDescent="0.25">
      <c r="A2903" t="str">
        <f>"14:38:44.000"</f>
        <v>14:38:44.000</v>
      </c>
      <c r="B2903">
        <v>40.317078000000002</v>
      </c>
      <c r="C2903">
        <v>-75.113590000000002</v>
      </c>
      <c r="D2903">
        <v>3700</v>
      </c>
      <c r="E2903">
        <v>3875</v>
      </c>
      <c r="F2903">
        <v>128</v>
      </c>
      <c r="G2903">
        <v>119</v>
      </c>
      <c r="H2903">
        <v>64</v>
      </c>
      <c r="J2903" s="1">
        <f t="shared" si="225"/>
        <v>16384</v>
      </c>
      <c r="K2903" s="1">
        <f t="shared" si="226"/>
        <v>14161</v>
      </c>
      <c r="L2903" s="1">
        <f t="shared" si="227"/>
        <v>30545</v>
      </c>
      <c r="M2903" s="1">
        <f t="shared" si="228"/>
        <v>174.77127910500627</v>
      </c>
      <c r="N2903" s="7">
        <f t="shared" si="229"/>
        <v>174.77127910500627</v>
      </c>
    </row>
    <row r="2904" spans="1:14" x14ac:dyDescent="0.25">
      <c r="A2904" t="str">
        <f>"14:38:44.914"</f>
        <v>14:38:44.914</v>
      </c>
      <c r="B2904">
        <v>40.317506999999999</v>
      </c>
      <c r="C2904">
        <v>-75.112966999999998</v>
      </c>
      <c r="D2904">
        <v>3700</v>
      </c>
      <c r="E2904">
        <v>3875</v>
      </c>
      <c r="F2904">
        <v>128</v>
      </c>
      <c r="G2904">
        <v>119</v>
      </c>
      <c r="H2904">
        <v>64</v>
      </c>
      <c r="J2904" s="1">
        <f t="shared" si="225"/>
        <v>16384</v>
      </c>
      <c r="K2904" s="1">
        <f t="shared" si="226"/>
        <v>14161</v>
      </c>
      <c r="L2904" s="1">
        <f t="shared" si="227"/>
        <v>30545</v>
      </c>
      <c r="M2904" s="1">
        <f t="shared" si="228"/>
        <v>174.77127910500627</v>
      </c>
      <c r="N2904" s="7">
        <f t="shared" si="229"/>
        <v>174.77127910500627</v>
      </c>
    </row>
    <row r="2905" spans="1:14" x14ac:dyDescent="0.25">
      <c r="A2905" t="str">
        <f>"14:38:45.773"</f>
        <v>14:38:45.773</v>
      </c>
      <c r="B2905">
        <v>40.317999999999998</v>
      </c>
      <c r="C2905">
        <v>-75.112238000000005</v>
      </c>
      <c r="D2905">
        <v>3700</v>
      </c>
      <c r="E2905">
        <v>3875</v>
      </c>
      <c r="F2905">
        <v>128</v>
      </c>
      <c r="G2905">
        <v>119</v>
      </c>
      <c r="H2905">
        <v>0</v>
      </c>
      <c r="J2905" s="1">
        <f t="shared" si="225"/>
        <v>16384</v>
      </c>
      <c r="K2905" s="1">
        <f t="shared" si="226"/>
        <v>14161</v>
      </c>
      <c r="L2905" s="1">
        <f t="shared" si="227"/>
        <v>30545</v>
      </c>
      <c r="M2905" s="1">
        <f t="shared" si="228"/>
        <v>174.77127910500627</v>
      </c>
      <c r="N2905" s="7">
        <f t="shared" si="229"/>
        <v>174.77127910500627</v>
      </c>
    </row>
    <row r="2906" spans="1:14" x14ac:dyDescent="0.25">
      <c r="A2906" t="str">
        <f>"14:38:46.625"</f>
        <v>14:38:46.625</v>
      </c>
      <c r="B2906">
        <v>40.318472</v>
      </c>
      <c r="C2906">
        <v>-75.111530000000002</v>
      </c>
      <c r="D2906">
        <v>3700</v>
      </c>
      <c r="E2906">
        <v>3875</v>
      </c>
      <c r="F2906">
        <v>128</v>
      </c>
      <c r="G2906">
        <v>119</v>
      </c>
      <c r="H2906">
        <v>0</v>
      </c>
      <c r="J2906" s="1">
        <f t="shared" si="225"/>
        <v>16384</v>
      </c>
      <c r="K2906" s="1">
        <f t="shared" si="226"/>
        <v>14161</v>
      </c>
      <c r="L2906" s="1">
        <f t="shared" si="227"/>
        <v>30545</v>
      </c>
      <c r="M2906" s="1">
        <f t="shared" si="228"/>
        <v>174.77127910500627</v>
      </c>
      <c r="N2906" s="7">
        <f t="shared" si="229"/>
        <v>174.77127910500627</v>
      </c>
    </row>
    <row r="2907" spans="1:14" x14ac:dyDescent="0.25">
      <c r="A2907" t="str">
        <f>"14:38:47.688"</f>
        <v>14:38:47.688</v>
      </c>
      <c r="B2907">
        <v>40.319029999999998</v>
      </c>
      <c r="C2907">
        <v>-75.110778999999994</v>
      </c>
      <c r="D2907">
        <v>3700</v>
      </c>
      <c r="E2907">
        <v>3875</v>
      </c>
      <c r="F2907">
        <v>127</v>
      </c>
      <c r="G2907">
        <v>119</v>
      </c>
      <c r="H2907">
        <v>-64</v>
      </c>
      <c r="J2907" s="1">
        <f t="shared" si="225"/>
        <v>16129</v>
      </c>
      <c r="K2907" s="1">
        <f t="shared" si="226"/>
        <v>14161</v>
      </c>
      <c r="L2907" s="1">
        <f t="shared" si="227"/>
        <v>30290</v>
      </c>
      <c r="M2907" s="1">
        <f t="shared" si="228"/>
        <v>174.04022523543227</v>
      </c>
      <c r="N2907" s="7">
        <f t="shared" si="229"/>
        <v>174.04022523543227</v>
      </c>
    </row>
    <row r="2908" spans="1:14" x14ac:dyDescent="0.25">
      <c r="A2908" t="str">
        <f>"14:38:48.547"</f>
        <v>14:38:48.547</v>
      </c>
      <c r="B2908">
        <v>40.319544999999998</v>
      </c>
      <c r="C2908">
        <v>-75.110113999999996</v>
      </c>
      <c r="D2908">
        <v>3700</v>
      </c>
      <c r="E2908">
        <v>3875</v>
      </c>
      <c r="F2908">
        <v>127</v>
      </c>
      <c r="G2908">
        <v>119</v>
      </c>
      <c r="H2908">
        <v>-64</v>
      </c>
      <c r="J2908" s="1">
        <f t="shared" si="225"/>
        <v>16129</v>
      </c>
      <c r="K2908" s="1">
        <f t="shared" si="226"/>
        <v>14161</v>
      </c>
      <c r="L2908" s="1">
        <f t="shared" si="227"/>
        <v>30290</v>
      </c>
      <c r="M2908" s="1">
        <f t="shared" si="228"/>
        <v>174.04022523543227</v>
      </c>
      <c r="N2908" s="7">
        <f t="shared" si="229"/>
        <v>174.04022523543227</v>
      </c>
    </row>
    <row r="2909" spans="1:14" x14ac:dyDescent="0.25">
      <c r="A2909" t="str">
        <f>"14:38:49.461"</f>
        <v>14:38:49.461</v>
      </c>
      <c r="B2909">
        <v>40.320059999999998</v>
      </c>
      <c r="C2909">
        <v>-75.109406000000007</v>
      </c>
      <c r="D2909">
        <v>3700</v>
      </c>
      <c r="E2909">
        <v>3875</v>
      </c>
      <c r="F2909">
        <v>128</v>
      </c>
      <c r="G2909">
        <v>119</v>
      </c>
      <c r="H2909">
        <v>-128</v>
      </c>
      <c r="J2909" s="1">
        <f t="shared" si="225"/>
        <v>16384</v>
      </c>
      <c r="K2909" s="1">
        <f t="shared" si="226"/>
        <v>14161</v>
      </c>
      <c r="L2909" s="1">
        <f t="shared" si="227"/>
        <v>30545</v>
      </c>
      <c r="M2909" s="1">
        <f t="shared" si="228"/>
        <v>174.77127910500627</v>
      </c>
      <c r="N2909" s="7">
        <f t="shared" si="229"/>
        <v>174.77127910500627</v>
      </c>
    </row>
    <row r="2910" spans="1:14" x14ac:dyDescent="0.25">
      <c r="A2910" t="str">
        <f>"14:38:50.516"</f>
        <v>14:38:50.516</v>
      </c>
      <c r="B2910">
        <v>40.320639999999997</v>
      </c>
      <c r="C2910">
        <v>-75.108525999999998</v>
      </c>
      <c r="D2910">
        <v>3700</v>
      </c>
      <c r="E2910">
        <v>3875</v>
      </c>
      <c r="F2910">
        <v>128</v>
      </c>
      <c r="G2910">
        <v>119</v>
      </c>
      <c r="H2910">
        <v>-64</v>
      </c>
      <c r="J2910" s="1">
        <f t="shared" si="225"/>
        <v>16384</v>
      </c>
      <c r="K2910" s="1">
        <f t="shared" si="226"/>
        <v>14161</v>
      </c>
      <c r="L2910" s="1">
        <f t="shared" si="227"/>
        <v>30545</v>
      </c>
      <c r="M2910" s="1">
        <f t="shared" si="228"/>
        <v>174.77127910500627</v>
      </c>
      <c r="N2910" s="7">
        <f t="shared" si="229"/>
        <v>174.77127910500627</v>
      </c>
    </row>
    <row r="2911" spans="1:14" x14ac:dyDescent="0.25">
      <c r="A2911" t="str">
        <f>"14:38:51.578"</f>
        <v>14:38:51.578</v>
      </c>
      <c r="B2911">
        <v>40.321198000000003</v>
      </c>
      <c r="C2911">
        <v>-75.107795999999993</v>
      </c>
      <c r="D2911">
        <v>3700</v>
      </c>
      <c r="E2911">
        <v>3875</v>
      </c>
      <c r="F2911">
        <v>128</v>
      </c>
      <c r="G2911">
        <v>119</v>
      </c>
      <c r="H2911">
        <v>-64</v>
      </c>
      <c r="J2911" s="1">
        <f t="shared" si="225"/>
        <v>16384</v>
      </c>
      <c r="K2911" s="1">
        <f t="shared" si="226"/>
        <v>14161</v>
      </c>
      <c r="L2911" s="1">
        <f t="shared" si="227"/>
        <v>30545</v>
      </c>
      <c r="M2911" s="1">
        <f t="shared" si="228"/>
        <v>174.77127910500627</v>
      </c>
      <c r="N2911" s="7">
        <f t="shared" si="229"/>
        <v>174.77127910500627</v>
      </c>
    </row>
    <row r="2912" spans="1:14" x14ac:dyDescent="0.25">
      <c r="A2912" t="str">
        <f>"14:38:52.586"</f>
        <v>14:38:52.586</v>
      </c>
      <c r="B2912">
        <v>40.321820000000002</v>
      </c>
      <c r="C2912">
        <v>-75.106915999999998</v>
      </c>
      <c r="D2912">
        <v>3700</v>
      </c>
      <c r="E2912">
        <v>3850</v>
      </c>
      <c r="F2912">
        <v>128</v>
      </c>
      <c r="G2912">
        <v>119</v>
      </c>
      <c r="H2912">
        <v>-64</v>
      </c>
      <c r="J2912" s="1">
        <f t="shared" si="225"/>
        <v>16384</v>
      </c>
      <c r="K2912" s="1">
        <f t="shared" si="226"/>
        <v>14161</v>
      </c>
      <c r="L2912" s="1">
        <f t="shared" si="227"/>
        <v>30545</v>
      </c>
      <c r="M2912" s="1">
        <f t="shared" si="228"/>
        <v>174.77127910500627</v>
      </c>
      <c r="N2912" s="7">
        <f t="shared" si="229"/>
        <v>174.77127910500627</v>
      </c>
    </row>
    <row r="2913" spans="1:14" x14ac:dyDescent="0.25">
      <c r="A2913" t="str">
        <f>"14:38:53.547"</f>
        <v>14:38:53.547</v>
      </c>
      <c r="B2913">
        <v>40.322291999999997</v>
      </c>
      <c r="C2913">
        <v>-75.106207999999995</v>
      </c>
      <c r="D2913">
        <v>3700</v>
      </c>
      <c r="E2913">
        <v>3850</v>
      </c>
      <c r="F2913">
        <v>128</v>
      </c>
      <c r="G2913">
        <v>119</v>
      </c>
      <c r="H2913">
        <v>-64</v>
      </c>
      <c r="J2913" s="1">
        <f t="shared" si="225"/>
        <v>16384</v>
      </c>
      <c r="K2913" s="1">
        <f t="shared" si="226"/>
        <v>14161</v>
      </c>
      <c r="L2913" s="1">
        <f t="shared" si="227"/>
        <v>30545</v>
      </c>
      <c r="M2913" s="1">
        <f t="shared" si="228"/>
        <v>174.77127910500627</v>
      </c>
      <c r="N2913" s="7">
        <f t="shared" si="229"/>
        <v>174.77127910500627</v>
      </c>
    </row>
    <row r="2914" spans="1:14" x14ac:dyDescent="0.25">
      <c r="A2914" t="str">
        <f>"14:38:54.398"</f>
        <v>14:38:54.398</v>
      </c>
      <c r="B2914">
        <v>40.322806999999997</v>
      </c>
      <c r="C2914">
        <v>-75.105542999999997</v>
      </c>
      <c r="D2914">
        <v>3700</v>
      </c>
      <c r="E2914">
        <v>3850</v>
      </c>
      <c r="F2914">
        <v>128</v>
      </c>
      <c r="G2914">
        <v>119</v>
      </c>
      <c r="H2914">
        <v>0</v>
      </c>
      <c r="J2914" s="1">
        <f t="shared" si="225"/>
        <v>16384</v>
      </c>
      <c r="K2914" s="1">
        <f t="shared" si="226"/>
        <v>14161</v>
      </c>
      <c r="L2914" s="1">
        <f t="shared" si="227"/>
        <v>30545</v>
      </c>
      <c r="M2914" s="1">
        <f t="shared" si="228"/>
        <v>174.77127910500627</v>
      </c>
      <c r="N2914" s="7">
        <f t="shared" si="229"/>
        <v>174.77127910500627</v>
      </c>
    </row>
    <row r="2915" spans="1:14" x14ac:dyDescent="0.25">
      <c r="A2915" t="str">
        <f>"14:38:55.313"</f>
        <v>14:38:55.313</v>
      </c>
      <c r="B2915">
        <v>40.323300000000003</v>
      </c>
      <c r="C2915">
        <v>-75.104792000000003</v>
      </c>
      <c r="D2915">
        <v>3700</v>
      </c>
      <c r="E2915">
        <v>3850</v>
      </c>
      <c r="F2915">
        <v>128</v>
      </c>
      <c r="G2915">
        <v>119</v>
      </c>
      <c r="H2915">
        <v>0</v>
      </c>
      <c r="J2915" s="1">
        <f t="shared" si="225"/>
        <v>16384</v>
      </c>
      <c r="K2915" s="1">
        <f t="shared" si="226"/>
        <v>14161</v>
      </c>
      <c r="L2915" s="1">
        <f t="shared" si="227"/>
        <v>30545</v>
      </c>
      <c r="M2915" s="1">
        <f t="shared" si="228"/>
        <v>174.77127910500627</v>
      </c>
      <c r="N2915" s="7">
        <f t="shared" si="229"/>
        <v>174.77127910500627</v>
      </c>
    </row>
    <row r="2916" spans="1:14" x14ac:dyDescent="0.25">
      <c r="A2916" t="str">
        <f>"14:38:56.320"</f>
        <v>14:38:56.320</v>
      </c>
      <c r="B2916">
        <v>40.323858000000001</v>
      </c>
      <c r="C2916">
        <v>-75.104062999999996</v>
      </c>
      <c r="D2916">
        <v>3700</v>
      </c>
      <c r="E2916">
        <v>3850</v>
      </c>
      <c r="F2916">
        <v>128</v>
      </c>
      <c r="G2916">
        <v>119</v>
      </c>
      <c r="H2916">
        <v>-64</v>
      </c>
      <c r="J2916" s="1">
        <f t="shared" si="225"/>
        <v>16384</v>
      </c>
      <c r="K2916" s="1">
        <f t="shared" si="226"/>
        <v>14161</v>
      </c>
      <c r="L2916" s="1">
        <f t="shared" si="227"/>
        <v>30545</v>
      </c>
      <c r="M2916" s="1">
        <f t="shared" si="228"/>
        <v>174.77127910500627</v>
      </c>
      <c r="N2916" s="7">
        <f t="shared" si="229"/>
        <v>174.77127910500627</v>
      </c>
    </row>
    <row r="2917" spans="1:14" x14ac:dyDescent="0.25">
      <c r="A2917" t="str">
        <f>"14:38:57.531"</f>
        <v>14:38:57.531</v>
      </c>
      <c r="B2917">
        <v>40.324438000000001</v>
      </c>
      <c r="C2917">
        <v>-75.103161</v>
      </c>
      <c r="D2917">
        <v>3700</v>
      </c>
      <c r="E2917">
        <v>3850</v>
      </c>
      <c r="F2917">
        <v>128</v>
      </c>
      <c r="G2917">
        <v>119</v>
      </c>
      <c r="H2917">
        <v>0</v>
      </c>
      <c r="J2917" s="1">
        <f t="shared" si="225"/>
        <v>16384</v>
      </c>
      <c r="K2917" s="1">
        <f t="shared" si="226"/>
        <v>14161</v>
      </c>
      <c r="L2917" s="1">
        <f t="shared" si="227"/>
        <v>30545</v>
      </c>
      <c r="M2917" s="1">
        <f t="shared" si="228"/>
        <v>174.77127910500627</v>
      </c>
      <c r="N2917" s="7">
        <f t="shared" si="229"/>
        <v>174.77127910500627</v>
      </c>
    </row>
    <row r="2918" spans="1:14" x14ac:dyDescent="0.25">
      <c r="A2918" t="str">
        <f>"14:38:58.492"</f>
        <v>14:38:58.492</v>
      </c>
      <c r="B2918">
        <v>40.324995999999999</v>
      </c>
      <c r="C2918">
        <v>-75.102410000000006</v>
      </c>
      <c r="D2918">
        <v>3700</v>
      </c>
      <c r="E2918">
        <v>3850</v>
      </c>
      <c r="F2918">
        <v>128</v>
      </c>
      <c r="G2918">
        <v>119</v>
      </c>
      <c r="H2918">
        <v>0</v>
      </c>
      <c r="J2918" s="1">
        <f t="shared" si="225"/>
        <v>16384</v>
      </c>
      <c r="K2918" s="1">
        <f t="shared" si="226"/>
        <v>14161</v>
      </c>
      <c r="L2918" s="1">
        <f t="shared" si="227"/>
        <v>30545</v>
      </c>
      <c r="M2918" s="1">
        <f t="shared" si="228"/>
        <v>174.77127910500627</v>
      </c>
      <c r="N2918" s="7">
        <f t="shared" si="229"/>
        <v>174.77127910500627</v>
      </c>
    </row>
    <row r="2919" spans="1:14" x14ac:dyDescent="0.25">
      <c r="A2919" t="str">
        <f>"14:38:59.500"</f>
        <v>14:38:59.500</v>
      </c>
      <c r="B2919">
        <v>40.325595999999997</v>
      </c>
      <c r="C2919">
        <v>-75.101551999999998</v>
      </c>
      <c r="D2919">
        <v>3700</v>
      </c>
      <c r="E2919">
        <v>3850</v>
      </c>
      <c r="F2919">
        <v>128</v>
      </c>
      <c r="G2919">
        <v>119</v>
      </c>
      <c r="H2919">
        <v>0</v>
      </c>
      <c r="J2919" s="1">
        <f t="shared" si="225"/>
        <v>16384</v>
      </c>
      <c r="K2919" s="1">
        <f t="shared" si="226"/>
        <v>14161</v>
      </c>
      <c r="L2919" s="1">
        <f t="shared" si="227"/>
        <v>30545</v>
      </c>
      <c r="M2919" s="1">
        <f t="shared" si="228"/>
        <v>174.77127910500627</v>
      </c>
      <c r="N2919" s="7">
        <f t="shared" si="229"/>
        <v>174.77127910500627</v>
      </c>
    </row>
    <row r="2920" spans="1:14" x14ac:dyDescent="0.25">
      <c r="A2920" t="str">
        <f>"14:39:00.508"</f>
        <v>14:39:00.508</v>
      </c>
      <c r="B2920">
        <v>40.326197000000001</v>
      </c>
      <c r="C2920">
        <v>-75.10078</v>
      </c>
      <c r="D2920">
        <v>3700</v>
      </c>
      <c r="E2920">
        <v>3850</v>
      </c>
      <c r="F2920">
        <v>128</v>
      </c>
      <c r="G2920">
        <v>119</v>
      </c>
      <c r="H2920">
        <v>0</v>
      </c>
      <c r="J2920" s="1">
        <f t="shared" si="225"/>
        <v>16384</v>
      </c>
      <c r="K2920" s="1">
        <f t="shared" si="226"/>
        <v>14161</v>
      </c>
      <c r="L2920" s="1">
        <f t="shared" si="227"/>
        <v>30545</v>
      </c>
      <c r="M2920" s="1">
        <f t="shared" si="228"/>
        <v>174.77127910500627</v>
      </c>
      <c r="N2920" s="7">
        <f t="shared" si="229"/>
        <v>174.77127910500627</v>
      </c>
    </row>
    <row r="2921" spans="1:14" x14ac:dyDescent="0.25">
      <c r="A2921" t="str">
        <f>"14:39:01.570"</f>
        <v>14:39:01.570</v>
      </c>
      <c r="B2921">
        <v>40.326734000000002</v>
      </c>
      <c r="C2921">
        <v>-75.100029000000006</v>
      </c>
      <c r="D2921">
        <v>3700</v>
      </c>
      <c r="E2921">
        <v>3850</v>
      </c>
      <c r="F2921">
        <v>128</v>
      </c>
      <c r="G2921">
        <v>120</v>
      </c>
      <c r="H2921">
        <v>0</v>
      </c>
      <c r="J2921" s="1">
        <f t="shared" si="225"/>
        <v>16384</v>
      </c>
      <c r="K2921" s="1">
        <f t="shared" si="226"/>
        <v>14400</v>
      </c>
      <c r="L2921" s="1">
        <f t="shared" si="227"/>
        <v>30784</v>
      </c>
      <c r="M2921" s="1">
        <f t="shared" si="228"/>
        <v>175.45369759569047</v>
      </c>
      <c r="N2921" s="7">
        <f t="shared" si="229"/>
        <v>175.45369759569047</v>
      </c>
    </row>
    <row r="2922" spans="1:14" x14ac:dyDescent="0.25">
      <c r="A2922" t="str">
        <f>"14:39:02.734"</f>
        <v>14:39:02.734</v>
      </c>
      <c r="B2922">
        <v>40.327376999999998</v>
      </c>
      <c r="C2922">
        <v>-75.099063000000001</v>
      </c>
      <c r="D2922">
        <v>3700</v>
      </c>
      <c r="E2922">
        <v>3850</v>
      </c>
      <c r="F2922">
        <v>128</v>
      </c>
      <c r="G2922">
        <v>120</v>
      </c>
      <c r="H2922">
        <v>0</v>
      </c>
      <c r="J2922" s="1">
        <f t="shared" si="225"/>
        <v>16384</v>
      </c>
      <c r="K2922" s="1">
        <f t="shared" si="226"/>
        <v>14400</v>
      </c>
      <c r="L2922" s="1">
        <f t="shared" si="227"/>
        <v>30784</v>
      </c>
      <c r="M2922" s="1">
        <f t="shared" si="228"/>
        <v>175.45369759569047</v>
      </c>
      <c r="N2922" s="7">
        <f t="shared" si="229"/>
        <v>175.45369759569047</v>
      </c>
    </row>
    <row r="2923" spans="1:14" x14ac:dyDescent="0.25">
      <c r="A2923" t="str">
        <f>"14:39:03.594"</f>
        <v>14:39:03.594</v>
      </c>
      <c r="B2923">
        <v>40.327871000000002</v>
      </c>
      <c r="C2923">
        <v>-75.098354999999998</v>
      </c>
      <c r="D2923">
        <v>3700</v>
      </c>
      <c r="E2923">
        <v>3850</v>
      </c>
      <c r="F2923">
        <v>128</v>
      </c>
      <c r="G2923">
        <v>119</v>
      </c>
      <c r="H2923">
        <v>0</v>
      </c>
      <c r="J2923" s="1">
        <f t="shared" si="225"/>
        <v>16384</v>
      </c>
      <c r="K2923" s="1">
        <f t="shared" si="226"/>
        <v>14161</v>
      </c>
      <c r="L2923" s="1">
        <f t="shared" si="227"/>
        <v>30545</v>
      </c>
      <c r="M2923" s="1">
        <f t="shared" si="228"/>
        <v>174.77127910500627</v>
      </c>
      <c r="N2923" s="7">
        <f t="shared" si="229"/>
        <v>174.77127910500627</v>
      </c>
    </row>
    <row r="2924" spans="1:14" x14ac:dyDescent="0.25">
      <c r="A2924" t="str">
        <f>"14:39:04.703"</f>
        <v>14:39:04.703</v>
      </c>
      <c r="B2924">
        <v>40.328471999999998</v>
      </c>
      <c r="C2924">
        <v>-75.097538999999998</v>
      </c>
      <c r="D2924">
        <v>3700</v>
      </c>
      <c r="E2924">
        <v>3850</v>
      </c>
      <c r="F2924">
        <v>128</v>
      </c>
      <c r="G2924">
        <v>119</v>
      </c>
      <c r="H2924">
        <v>0</v>
      </c>
      <c r="J2924" s="1">
        <f t="shared" si="225"/>
        <v>16384</v>
      </c>
      <c r="K2924" s="1">
        <f t="shared" si="226"/>
        <v>14161</v>
      </c>
      <c r="L2924" s="1">
        <f t="shared" si="227"/>
        <v>30545</v>
      </c>
      <c r="M2924" s="1">
        <f t="shared" si="228"/>
        <v>174.77127910500627</v>
      </c>
      <c r="N2924" s="7">
        <f t="shared" si="229"/>
        <v>174.77127910500627</v>
      </c>
    </row>
    <row r="2925" spans="1:14" x14ac:dyDescent="0.25">
      <c r="A2925" t="str">
        <f>"14:39:05.609"</f>
        <v>14:39:05.609</v>
      </c>
      <c r="B2925">
        <v>40.328986999999998</v>
      </c>
      <c r="C2925">
        <v>-75.096788000000004</v>
      </c>
      <c r="D2925">
        <v>3700</v>
      </c>
      <c r="E2925">
        <v>3850</v>
      </c>
      <c r="F2925">
        <v>128</v>
      </c>
      <c r="G2925">
        <v>119</v>
      </c>
      <c r="H2925">
        <v>64</v>
      </c>
      <c r="J2925" s="1">
        <f t="shared" si="225"/>
        <v>16384</v>
      </c>
      <c r="K2925" s="1">
        <f t="shared" si="226"/>
        <v>14161</v>
      </c>
      <c r="L2925" s="1">
        <f t="shared" si="227"/>
        <v>30545</v>
      </c>
      <c r="M2925" s="1">
        <f t="shared" si="228"/>
        <v>174.77127910500627</v>
      </c>
      <c r="N2925" s="7">
        <f t="shared" si="229"/>
        <v>174.77127910500627</v>
      </c>
    </row>
    <row r="2926" spans="1:14" x14ac:dyDescent="0.25">
      <c r="A2926" t="str">
        <f>"14:39:06.672"</f>
        <v>14:39:06.672</v>
      </c>
      <c r="B2926">
        <v>40.329545000000003</v>
      </c>
      <c r="C2926">
        <v>-75.096036999999995</v>
      </c>
      <c r="D2926">
        <v>3700</v>
      </c>
      <c r="E2926">
        <v>3850</v>
      </c>
      <c r="F2926">
        <v>128</v>
      </c>
      <c r="G2926">
        <v>119</v>
      </c>
      <c r="H2926">
        <v>0</v>
      </c>
      <c r="J2926" s="1">
        <f t="shared" si="225"/>
        <v>16384</v>
      </c>
      <c r="K2926" s="1">
        <f t="shared" si="226"/>
        <v>14161</v>
      </c>
      <c r="L2926" s="1">
        <f t="shared" si="227"/>
        <v>30545</v>
      </c>
      <c r="M2926" s="1">
        <f t="shared" si="228"/>
        <v>174.77127910500627</v>
      </c>
      <c r="N2926" s="7">
        <f t="shared" si="229"/>
        <v>174.77127910500627</v>
      </c>
    </row>
    <row r="2927" spans="1:14" x14ac:dyDescent="0.25">
      <c r="A2927" t="str">
        <f>"14:39:07.625"</f>
        <v>14:39:07.625</v>
      </c>
      <c r="B2927">
        <v>40.330060000000003</v>
      </c>
      <c r="C2927">
        <v>-75.095308000000003</v>
      </c>
      <c r="D2927">
        <v>3700</v>
      </c>
      <c r="E2927">
        <v>3850</v>
      </c>
      <c r="F2927">
        <v>128</v>
      </c>
      <c r="G2927">
        <v>119</v>
      </c>
      <c r="H2927">
        <v>0</v>
      </c>
      <c r="J2927" s="1">
        <f t="shared" si="225"/>
        <v>16384</v>
      </c>
      <c r="K2927" s="1">
        <f t="shared" si="226"/>
        <v>14161</v>
      </c>
      <c r="L2927" s="1">
        <f t="shared" si="227"/>
        <v>30545</v>
      </c>
      <c r="M2927" s="1">
        <f t="shared" si="228"/>
        <v>174.77127910500627</v>
      </c>
      <c r="N2927" s="7">
        <f t="shared" si="229"/>
        <v>174.77127910500627</v>
      </c>
    </row>
    <row r="2928" spans="1:14" x14ac:dyDescent="0.25">
      <c r="A2928" t="str">
        <f>"14:39:08.586"</f>
        <v>14:39:08.586</v>
      </c>
      <c r="B2928">
        <v>40.330575000000003</v>
      </c>
      <c r="C2928">
        <v>-75.094534999999993</v>
      </c>
      <c r="D2928">
        <v>3700</v>
      </c>
      <c r="E2928">
        <v>3850</v>
      </c>
      <c r="F2928">
        <v>129</v>
      </c>
      <c r="G2928">
        <v>119</v>
      </c>
      <c r="H2928">
        <v>64</v>
      </c>
      <c r="J2928" s="1">
        <f t="shared" si="225"/>
        <v>16641</v>
      </c>
      <c r="K2928" s="1">
        <f t="shared" si="226"/>
        <v>14161</v>
      </c>
      <c r="L2928" s="1">
        <f t="shared" si="227"/>
        <v>30802</v>
      </c>
      <c r="M2928" s="1">
        <f t="shared" si="228"/>
        <v>175.50498568416796</v>
      </c>
      <c r="N2928" s="7">
        <f t="shared" si="229"/>
        <v>175.50498568416796</v>
      </c>
    </row>
    <row r="2929" spans="1:14" x14ac:dyDescent="0.25">
      <c r="A2929" t="str">
        <f>"14:39:09.500"</f>
        <v>14:39:09.500</v>
      </c>
      <c r="B2929">
        <v>40.331088999999999</v>
      </c>
      <c r="C2929">
        <v>-75.093869999999995</v>
      </c>
      <c r="D2929">
        <v>3700</v>
      </c>
      <c r="E2929">
        <v>3875</v>
      </c>
      <c r="F2929">
        <v>129</v>
      </c>
      <c r="G2929">
        <v>119</v>
      </c>
      <c r="H2929">
        <v>64</v>
      </c>
      <c r="J2929" s="1">
        <f t="shared" si="225"/>
        <v>16641</v>
      </c>
      <c r="K2929" s="1">
        <f t="shared" si="226"/>
        <v>14161</v>
      </c>
      <c r="L2929" s="1">
        <f t="shared" si="227"/>
        <v>30802</v>
      </c>
      <c r="M2929" s="1">
        <f t="shared" si="228"/>
        <v>175.50498568416796</v>
      </c>
      <c r="N2929" s="7">
        <f t="shared" si="229"/>
        <v>175.50498568416796</v>
      </c>
    </row>
    <row r="2930" spans="1:14" x14ac:dyDescent="0.25">
      <c r="A2930" t="str">
        <f>"14:39:10.461"</f>
        <v>14:39:10.461</v>
      </c>
      <c r="B2930">
        <v>40.331603999999999</v>
      </c>
      <c r="C2930">
        <v>-75.093119000000002</v>
      </c>
      <c r="D2930">
        <v>3700</v>
      </c>
      <c r="E2930">
        <v>3875</v>
      </c>
      <c r="F2930">
        <v>129</v>
      </c>
      <c r="G2930">
        <v>119</v>
      </c>
      <c r="H2930">
        <v>64</v>
      </c>
      <c r="J2930" s="1">
        <f t="shared" si="225"/>
        <v>16641</v>
      </c>
      <c r="K2930" s="1">
        <f t="shared" si="226"/>
        <v>14161</v>
      </c>
      <c r="L2930" s="1">
        <f t="shared" si="227"/>
        <v>30802</v>
      </c>
      <c r="M2930" s="1">
        <f t="shared" si="228"/>
        <v>175.50498568416796</v>
      </c>
      <c r="N2930" s="7">
        <f t="shared" si="229"/>
        <v>175.50498568416796</v>
      </c>
    </row>
    <row r="2931" spans="1:14" x14ac:dyDescent="0.25">
      <c r="A2931" t="str">
        <f>"14:39:11.414"</f>
        <v>14:39:11.414</v>
      </c>
      <c r="B2931">
        <v>40.332161999999997</v>
      </c>
      <c r="C2931">
        <v>-75.092303999999999</v>
      </c>
      <c r="D2931">
        <v>3700</v>
      </c>
      <c r="E2931">
        <v>3875</v>
      </c>
      <c r="F2931">
        <v>129</v>
      </c>
      <c r="G2931">
        <v>118</v>
      </c>
      <c r="H2931">
        <v>0</v>
      </c>
      <c r="J2931" s="1">
        <f t="shared" si="225"/>
        <v>16641</v>
      </c>
      <c r="K2931" s="1">
        <f t="shared" si="226"/>
        <v>13924</v>
      </c>
      <c r="L2931" s="1">
        <f t="shared" si="227"/>
        <v>30565</v>
      </c>
      <c r="M2931" s="1">
        <f t="shared" si="228"/>
        <v>174.82848738120455</v>
      </c>
      <c r="N2931" s="7">
        <f t="shared" si="229"/>
        <v>174.82848738120455</v>
      </c>
    </row>
    <row r="2932" spans="1:14" x14ac:dyDescent="0.25">
      <c r="A2932" t="str">
        <f>"14:39:12.477"</f>
        <v>14:39:12.477</v>
      </c>
      <c r="B2932">
        <v>40.332720000000002</v>
      </c>
      <c r="C2932">
        <v>-75.091553000000005</v>
      </c>
      <c r="D2932">
        <v>3700</v>
      </c>
      <c r="E2932">
        <v>3875</v>
      </c>
      <c r="F2932">
        <v>129</v>
      </c>
      <c r="G2932">
        <v>118</v>
      </c>
      <c r="H2932">
        <v>64</v>
      </c>
      <c r="J2932" s="1">
        <f t="shared" si="225"/>
        <v>16641</v>
      </c>
      <c r="K2932" s="1">
        <f t="shared" si="226"/>
        <v>13924</v>
      </c>
      <c r="L2932" s="1">
        <f t="shared" si="227"/>
        <v>30565</v>
      </c>
      <c r="M2932" s="1">
        <f t="shared" si="228"/>
        <v>174.82848738120455</v>
      </c>
      <c r="N2932" s="7">
        <f t="shared" si="229"/>
        <v>174.82848738120455</v>
      </c>
    </row>
    <row r="2933" spans="1:14" x14ac:dyDescent="0.25">
      <c r="A2933" t="str">
        <f>"14:39:13.438"</f>
        <v>14:39:13.438</v>
      </c>
      <c r="B2933">
        <v>40.333278</v>
      </c>
      <c r="C2933">
        <v>-75.090737000000004</v>
      </c>
      <c r="D2933">
        <v>3700</v>
      </c>
      <c r="E2933">
        <v>3875</v>
      </c>
      <c r="F2933">
        <v>129</v>
      </c>
      <c r="G2933">
        <v>118</v>
      </c>
      <c r="H2933">
        <v>0</v>
      </c>
      <c r="J2933" s="1">
        <f t="shared" si="225"/>
        <v>16641</v>
      </c>
      <c r="K2933" s="1">
        <f t="shared" si="226"/>
        <v>13924</v>
      </c>
      <c r="L2933" s="1">
        <f t="shared" si="227"/>
        <v>30565</v>
      </c>
      <c r="M2933" s="1">
        <f t="shared" si="228"/>
        <v>174.82848738120455</v>
      </c>
      <c r="N2933" s="7">
        <f t="shared" si="229"/>
        <v>174.82848738120455</v>
      </c>
    </row>
    <row r="2934" spans="1:14" x14ac:dyDescent="0.25">
      <c r="A2934" t="str">
        <f>"14:39:14.547"</f>
        <v>14:39:14.547</v>
      </c>
      <c r="B2934">
        <v>40.333879000000003</v>
      </c>
      <c r="C2934">
        <v>-75.0899</v>
      </c>
      <c r="D2934">
        <v>3700</v>
      </c>
      <c r="E2934">
        <v>3875</v>
      </c>
      <c r="F2934">
        <v>129</v>
      </c>
      <c r="G2934">
        <v>118</v>
      </c>
      <c r="H2934">
        <v>0</v>
      </c>
      <c r="J2934" s="1">
        <f t="shared" si="225"/>
        <v>16641</v>
      </c>
      <c r="K2934" s="1">
        <f t="shared" si="226"/>
        <v>13924</v>
      </c>
      <c r="L2934" s="1">
        <f t="shared" si="227"/>
        <v>30565</v>
      </c>
      <c r="M2934" s="1">
        <f t="shared" si="228"/>
        <v>174.82848738120455</v>
      </c>
      <c r="N2934" s="7">
        <f t="shared" si="229"/>
        <v>174.82848738120455</v>
      </c>
    </row>
    <row r="2935" spans="1:14" x14ac:dyDescent="0.25">
      <c r="A2935" t="str">
        <f>"14:39:15.555"</f>
        <v>14:39:15.555</v>
      </c>
      <c r="B2935">
        <v>40.334437000000001</v>
      </c>
      <c r="C2935">
        <v>-75.089106999999998</v>
      </c>
      <c r="D2935">
        <v>3700</v>
      </c>
      <c r="E2935">
        <v>3875</v>
      </c>
      <c r="F2935">
        <v>129</v>
      </c>
      <c r="G2935">
        <v>118</v>
      </c>
      <c r="H2935">
        <v>0</v>
      </c>
      <c r="J2935" s="1">
        <f t="shared" si="225"/>
        <v>16641</v>
      </c>
      <c r="K2935" s="1">
        <f t="shared" si="226"/>
        <v>13924</v>
      </c>
      <c r="L2935" s="1">
        <f t="shared" si="227"/>
        <v>30565</v>
      </c>
      <c r="M2935" s="1">
        <f t="shared" si="228"/>
        <v>174.82848738120455</v>
      </c>
      <c r="N2935" s="7">
        <f t="shared" si="229"/>
        <v>174.82848738120455</v>
      </c>
    </row>
    <row r="2936" spans="1:14" x14ac:dyDescent="0.25">
      <c r="A2936" t="str">
        <f>"14:39:16.563"</f>
        <v>14:39:16.563</v>
      </c>
      <c r="B2936">
        <v>40.334972999999998</v>
      </c>
      <c r="C2936">
        <v>-75.088312999999999</v>
      </c>
      <c r="D2936">
        <v>3700</v>
      </c>
      <c r="E2936">
        <v>3875</v>
      </c>
      <c r="F2936">
        <v>129</v>
      </c>
      <c r="G2936">
        <v>118</v>
      </c>
      <c r="H2936">
        <v>0</v>
      </c>
      <c r="J2936" s="1">
        <f t="shared" si="225"/>
        <v>16641</v>
      </c>
      <c r="K2936" s="1">
        <f t="shared" si="226"/>
        <v>13924</v>
      </c>
      <c r="L2936" s="1">
        <f t="shared" si="227"/>
        <v>30565</v>
      </c>
      <c r="M2936" s="1">
        <f t="shared" si="228"/>
        <v>174.82848738120455</v>
      </c>
      <c r="N2936" s="7">
        <f t="shared" si="229"/>
        <v>174.82848738120455</v>
      </c>
    </row>
    <row r="2937" spans="1:14" x14ac:dyDescent="0.25">
      <c r="A2937" t="str">
        <f>"14:39:17.469"</f>
        <v>14:39:17.469</v>
      </c>
      <c r="B2937">
        <v>40.335467000000001</v>
      </c>
      <c r="C2937">
        <v>-75.087626</v>
      </c>
      <c r="D2937">
        <v>3700</v>
      </c>
      <c r="E2937">
        <v>3875</v>
      </c>
      <c r="F2937">
        <v>129</v>
      </c>
      <c r="G2937">
        <v>119</v>
      </c>
      <c r="H2937">
        <v>-64</v>
      </c>
      <c r="J2937" s="1">
        <f t="shared" si="225"/>
        <v>16641</v>
      </c>
      <c r="K2937" s="1">
        <f t="shared" si="226"/>
        <v>14161</v>
      </c>
      <c r="L2937" s="1">
        <f t="shared" si="227"/>
        <v>30802</v>
      </c>
      <c r="M2937" s="1">
        <f t="shared" si="228"/>
        <v>175.50498568416796</v>
      </c>
      <c r="N2937" s="7">
        <f t="shared" si="229"/>
        <v>175.50498568416796</v>
      </c>
    </row>
    <row r="2938" spans="1:14" x14ac:dyDescent="0.25">
      <c r="A2938" t="str">
        <f>"14:39:18.531"</f>
        <v>14:39:18.531</v>
      </c>
      <c r="B2938">
        <v>40.336067999999997</v>
      </c>
      <c r="C2938">
        <v>-75.086788999999996</v>
      </c>
      <c r="D2938">
        <v>3700</v>
      </c>
      <c r="E2938">
        <v>3875</v>
      </c>
      <c r="F2938">
        <v>129</v>
      </c>
      <c r="G2938">
        <v>119</v>
      </c>
      <c r="H2938">
        <v>-64</v>
      </c>
      <c r="J2938" s="1">
        <f t="shared" si="225"/>
        <v>16641</v>
      </c>
      <c r="K2938" s="1">
        <f t="shared" si="226"/>
        <v>14161</v>
      </c>
      <c r="L2938" s="1">
        <f t="shared" si="227"/>
        <v>30802</v>
      </c>
      <c r="M2938" s="1">
        <f t="shared" si="228"/>
        <v>175.50498568416796</v>
      </c>
      <c r="N2938" s="7">
        <f t="shared" si="229"/>
        <v>175.50498568416796</v>
      </c>
    </row>
    <row r="2939" spans="1:14" x14ac:dyDescent="0.25">
      <c r="A2939" t="str">
        <f>"14:39:19.539"</f>
        <v>14:39:19.539</v>
      </c>
      <c r="B2939">
        <v>40.336626000000003</v>
      </c>
      <c r="C2939">
        <v>-75.085994999999997</v>
      </c>
      <c r="D2939">
        <v>3700</v>
      </c>
      <c r="E2939">
        <v>3850</v>
      </c>
      <c r="F2939">
        <v>129</v>
      </c>
      <c r="G2939">
        <v>119</v>
      </c>
      <c r="H2939">
        <v>0</v>
      </c>
      <c r="J2939" s="1">
        <f t="shared" si="225"/>
        <v>16641</v>
      </c>
      <c r="K2939" s="1">
        <f t="shared" si="226"/>
        <v>14161</v>
      </c>
      <c r="L2939" s="1">
        <f t="shared" si="227"/>
        <v>30802</v>
      </c>
      <c r="M2939" s="1">
        <f t="shared" si="228"/>
        <v>175.50498568416796</v>
      </c>
      <c r="N2939" s="7">
        <f t="shared" si="229"/>
        <v>175.50498568416796</v>
      </c>
    </row>
    <row r="2940" spans="1:14" x14ac:dyDescent="0.25">
      <c r="A2940" t="str">
        <f>"14:39:20.648"</f>
        <v>14:39:20.648</v>
      </c>
      <c r="B2940">
        <v>40.337226000000001</v>
      </c>
      <c r="C2940">
        <v>-75.085115000000002</v>
      </c>
      <c r="D2940">
        <v>3700</v>
      </c>
      <c r="E2940">
        <v>3850</v>
      </c>
      <c r="F2940">
        <v>129</v>
      </c>
      <c r="G2940">
        <v>119</v>
      </c>
      <c r="H2940">
        <v>0</v>
      </c>
      <c r="J2940" s="1">
        <f t="shared" si="225"/>
        <v>16641</v>
      </c>
      <c r="K2940" s="1">
        <f t="shared" si="226"/>
        <v>14161</v>
      </c>
      <c r="L2940" s="1">
        <f t="shared" si="227"/>
        <v>30802</v>
      </c>
      <c r="M2940" s="1">
        <f t="shared" si="228"/>
        <v>175.50498568416796</v>
      </c>
      <c r="N2940" s="7">
        <f t="shared" si="229"/>
        <v>175.50498568416796</v>
      </c>
    </row>
    <row r="2941" spans="1:14" x14ac:dyDescent="0.25">
      <c r="A2941" t="str">
        <f>"14:39:21.461"</f>
        <v>14:39:21.461</v>
      </c>
      <c r="B2941">
        <v>40.337656000000003</v>
      </c>
      <c r="C2941">
        <v>-75.084492999999995</v>
      </c>
      <c r="D2941">
        <v>3700</v>
      </c>
      <c r="E2941">
        <v>3850</v>
      </c>
      <c r="F2941">
        <v>128</v>
      </c>
      <c r="G2941">
        <v>120</v>
      </c>
      <c r="H2941">
        <v>0</v>
      </c>
      <c r="J2941" s="1">
        <f t="shared" si="225"/>
        <v>16384</v>
      </c>
      <c r="K2941" s="1">
        <f t="shared" si="226"/>
        <v>14400</v>
      </c>
      <c r="L2941" s="1">
        <f t="shared" si="227"/>
        <v>30784</v>
      </c>
      <c r="M2941" s="1">
        <f t="shared" si="228"/>
        <v>175.45369759569047</v>
      </c>
      <c r="N2941" s="7">
        <f t="shared" si="229"/>
        <v>175.45369759569047</v>
      </c>
    </row>
    <row r="2942" spans="1:14" x14ac:dyDescent="0.25">
      <c r="A2942" t="str">
        <f>"14:39:22.570"</f>
        <v>14:39:22.570</v>
      </c>
      <c r="B2942">
        <v>40.338278000000003</v>
      </c>
      <c r="C2942">
        <v>-75.083678000000006</v>
      </c>
      <c r="D2942">
        <v>3700</v>
      </c>
      <c r="E2942">
        <v>3850</v>
      </c>
      <c r="F2942">
        <v>128</v>
      </c>
      <c r="G2942">
        <v>120</v>
      </c>
      <c r="H2942">
        <v>0</v>
      </c>
      <c r="J2942" s="1">
        <f t="shared" si="225"/>
        <v>16384</v>
      </c>
      <c r="K2942" s="1">
        <f t="shared" si="226"/>
        <v>14400</v>
      </c>
      <c r="L2942" s="1">
        <f t="shared" si="227"/>
        <v>30784</v>
      </c>
      <c r="M2942" s="1">
        <f t="shared" si="228"/>
        <v>175.45369759569047</v>
      </c>
      <c r="N2942" s="7">
        <f t="shared" si="229"/>
        <v>175.45369759569047</v>
      </c>
    </row>
    <row r="2943" spans="1:14" x14ac:dyDescent="0.25">
      <c r="A2943" t="str">
        <f>"14:39:23.430"</f>
        <v>14:39:23.430</v>
      </c>
      <c r="B2943">
        <v>40.338771000000001</v>
      </c>
      <c r="C2943">
        <v>-75.082948000000002</v>
      </c>
      <c r="D2943">
        <v>3700</v>
      </c>
      <c r="E2943">
        <v>3850</v>
      </c>
      <c r="F2943">
        <v>128</v>
      </c>
      <c r="G2943">
        <v>120</v>
      </c>
      <c r="H2943">
        <v>0</v>
      </c>
      <c r="J2943" s="1">
        <f t="shared" si="225"/>
        <v>16384</v>
      </c>
      <c r="K2943" s="1">
        <f t="shared" si="226"/>
        <v>14400</v>
      </c>
      <c r="L2943" s="1">
        <f t="shared" si="227"/>
        <v>30784</v>
      </c>
      <c r="M2943" s="1">
        <f t="shared" si="228"/>
        <v>175.45369759569047</v>
      </c>
      <c r="N2943" s="7">
        <f t="shared" si="229"/>
        <v>175.45369759569047</v>
      </c>
    </row>
    <row r="2944" spans="1:14" x14ac:dyDescent="0.25">
      <c r="A2944" t="str">
        <f>"14:39:24.484"</f>
        <v>14:39:24.484</v>
      </c>
      <c r="B2944">
        <v>40.339328999999999</v>
      </c>
      <c r="C2944">
        <v>-75.082196999999994</v>
      </c>
      <c r="D2944">
        <v>3700</v>
      </c>
      <c r="E2944">
        <v>3875</v>
      </c>
      <c r="F2944">
        <v>128</v>
      </c>
      <c r="G2944">
        <v>120</v>
      </c>
      <c r="H2944">
        <v>64</v>
      </c>
      <c r="J2944" s="1">
        <f t="shared" si="225"/>
        <v>16384</v>
      </c>
      <c r="K2944" s="1">
        <f t="shared" si="226"/>
        <v>14400</v>
      </c>
      <c r="L2944" s="1">
        <f t="shared" si="227"/>
        <v>30784</v>
      </c>
      <c r="M2944" s="1">
        <f t="shared" si="228"/>
        <v>175.45369759569047</v>
      </c>
      <c r="N2944" s="7">
        <f t="shared" si="229"/>
        <v>175.45369759569047</v>
      </c>
    </row>
    <row r="2945" spans="1:14" x14ac:dyDescent="0.25">
      <c r="A2945" t="str">
        <f>"14:39:25.445"</f>
        <v>14:39:25.445</v>
      </c>
      <c r="B2945">
        <v>40.339886999999997</v>
      </c>
      <c r="C2945">
        <v>-75.081446</v>
      </c>
      <c r="D2945">
        <v>3700</v>
      </c>
      <c r="E2945">
        <v>3875</v>
      </c>
      <c r="F2945">
        <v>128</v>
      </c>
      <c r="G2945">
        <v>120</v>
      </c>
      <c r="H2945">
        <v>64</v>
      </c>
      <c r="J2945" s="1">
        <f t="shared" si="225"/>
        <v>16384</v>
      </c>
      <c r="K2945" s="1">
        <f t="shared" si="226"/>
        <v>14400</v>
      </c>
      <c r="L2945" s="1">
        <f t="shared" si="227"/>
        <v>30784</v>
      </c>
      <c r="M2945" s="1">
        <f t="shared" si="228"/>
        <v>175.45369759569047</v>
      </c>
      <c r="N2945" s="7">
        <f t="shared" si="229"/>
        <v>175.45369759569047</v>
      </c>
    </row>
    <row r="2946" spans="1:14" x14ac:dyDescent="0.25">
      <c r="A2946" t="str">
        <f>"14:39:26.508"</f>
        <v>14:39:26.508</v>
      </c>
      <c r="B2946">
        <v>40.340508999999997</v>
      </c>
      <c r="C2946">
        <v>-75.080566000000005</v>
      </c>
      <c r="D2946">
        <v>3700</v>
      </c>
      <c r="E2946">
        <v>3875</v>
      </c>
      <c r="F2946">
        <v>128</v>
      </c>
      <c r="G2946">
        <v>120</v>
      </c>
      <c r="H2946">
        <v>0</v>
      </c>
      <c r="J2946" s="1">
        <f t="shared" si="225"/>
        <v>16384</v>
      </c>
      <c r="K2946" s="1">
        <f t="shared" si="226"/>
        <v>14400</v>
      </c>
      <c r="L2946" s="1">
        <f t="shared" si="227"/>
        <v>30784</v>
      </c>
      <c r="M2946" s="1">
        <f t="shared" si="228"/>
        <v>175.45369759569047</v>
      </c>
      <c r="N2946" s="7">
        <f t="shared" si="229"/>
        <v>175.45369759569047</v>
      </c>
    </row>
    <row r="2947" spans="1:14" x14ac:dyDescent="0.25">
      <c r="A2947" t="str">
        <f>"14:39:27.469"</f>
        <v>14:39:27.469</v>
      </c>
      <c r="B2947">
        <v>40.341003000000001</v>
      </c>
      <c r="C2947">
        <v>-75.079880000000003</v>
      </c>
      <c r="D2947">
        <v>3700</v>
      </c>
      <c r="E2947">
        <v>3875</v>
      </c>
      <c r="F2947">
        <v>128</v>
      </c>
      <c r="G2947">
        <v>120</v>
      </c>
      <c r="H2947">
        <v>64</v>
      </c>
      <c r="J2947" s="1">
        <f t="shared" ref="J2947:J3010" si="230">F2947^2</f>
        <v>16384</v>
      </c>
      <c r="K2947" s="1">
        <f t="shared" ref="K2947:K3010" si="231">G2947^2</f>
        <v>14400</v>
      </c>
      <c r="L2947" s="1">
        <f t="shared" ref="L2947:L3010" si="232">SUMSQ(F2947,G2947)</f>
        <v>30784</v>
      </c>
      <c r="M2947" s="1">
        <f t="shared" ref="M2947:M3010" si="233">SQRT(L2947)</f>
        <v>175.45369759569047</v>
      </c>
      <c r="N2947" s="7">
        <f t="shared" ref="N2947:N3010" si="234">M2947</f>
        <v>175.45369759569047</v>
      </c>
    </row>
    <row r="2948" spans="1:14" x14ac:dyDescent="0.25">
      <c r="A2948" t="str">
        <f>"14:39:28.430"</f>
        <v>14:39:28.430</v>
      </c>
      <c r="B2948">
        <v>40.341560999999999</v>
      </c>
      <c r="C2948">
        <v>-75.079064000000002</v>
      </c>
      <c r="D2948">
        <v>3700</v>
      </c>
      <c r="E2948">
        <v>3875</v>
      </c>
      <c r="F2948">
        <v>128</v>
      </c>
      <c r="G2948">
        <v>120</v>
      </c>
      <c r="H2948">
        <v>64</v>
      </c>
      <c r="J2948" s="1">
        <f t="shared" si="230"/>
        <v>16384</v>
      </c>
      <c r="K2948" s="1">
        <f t="shared" si="231"/>
        <v>14400</v>
      </c>
      <c r="L2948" s="1">
        <f t="shared" si="232"/>
        <v>30784</v>
      </c>
      <c r="M2948" s="1">
        <f t="shared" si="233"/>
        <v>175.45369759569047</v>
      </c>
      <c r="N2948" s="7">
        <f t="shared" si="234"/>
        <v>175.45369759569047</v>
      </c>
    </row>
    <row r="2949" spans="1:14" x14ac:dyDescent="0.25">
      <c r="A2949" t="str">
        <f>"14:39:29.281"</f>
        <v>14:39:29.281</v>
      </c>
      <c r="B2949">
        <v>40.341990000000003</v>
      </c>
      <c r="C2949">
        <v>-75.078441999999995</v>
      </c>
      <c r="D2949">
        <v>3700</v>
      </c>
      <c r="E2949">
        <v>3875</v>
      </c>
      <c r="F2949">
        <v>128</v>
      </c>
      <c r="G2949">
        <v>120</v>
      </c>
      <c r="H2949">
        <v>0</v>
      </c>
      <c r="J2949" s="1">
        <f t="shared" si="230"/>
        <v>16384</v>
      </c>
      <c r="K2949" s="1">
        <f t="shared" si="231"/>
        <v>14400</v>
      </c>
      <c r="L2949" s="1">
        <f t="shared" si="232"/>
        <v>30784</v>
      </c>
      <c r="M2949" s="1">
        <f t="shared" si="233"/>
        <v>175.45369759569047</v>
      </c>
      <c r="N2949" s="7">
        <f t="shared" si="234"/>
        <v>175.45369759569047</v>
      </c>
    </row>
    <row r="2950" spans="1:14" x14ac:dyDescent="0.25">
      <c r="A2950" t="str">
        <f>"14:39:30.297"</f>
        <v>14:39:30.297</v>
      </c>
      <c r="B2950">
        <v>40.342548000000001</v>
      </c>
      <c r="C2950">
        <v>-75.077691000000002</v>
      </c>
      <c r="D2950">
        <v>3700</v>
      </c>
      <c r="E2950">
        <v>3875</v>
      </c>
      <c r="F2950">
        <v>128</v>
      </c>
      <c r="G2950">
        <v>120</v>
      </c>
      <c r="H2950">
        <v>0</v>
      </c>
      <c r="J2950" s="1">
        <f t="shared" si="230"/>
        <v>16384</v>
      </c>
      <c r="K2950" s="1">
        <f t="shared" si="231"/>
        <v>14400</v>
      </c>
      <c r="L2950" s="1">
        <f t="shared" si="232"/>
        <v>30784</v>
      </c>
      <c r="M2950" s="1">
        <f t="shared" si="233"/>
        <v>175.45369759569047</v>
      </c>
      <c r="N2950" s="7">
        <f t="shared" si="234"/>
        <v>175.45369759569047</v>
      </c>
    </row>
    <row r="2951" spans="1:14" x14ac:dyDescent="0.25">
      <c r="A2951" t="str">
        <f>"14:39:31.258"</f>
        <v>14:39:31.258</v>
      </c>
      <c r="B2951">
        <v>40.343105999999999</v>
      </c>
      <c r="C2951">
        <v>-75.076939999999993</v>
      </c>
      <c r="D2951">
        <v>3700</v>
      </c>
      <c r="E2951">
        <v>3875</v>
      </c>
      <c r="F2951">
        <v>128</v>
      </c>
      <c r="G2951">
        <v>120</v>
      </c>
      <c r="H2951">
        <v>0</v>
      </c>
      <c r="J2951" s="1">
        <f t="shared" si="230"/>
        <v>16384</v>
      </c>
      <c r="K2951" s="1">
        <f t="shared" si="231"/>
        <v>14400</v>
      </c>
      <c r="L2951" s="1">
        <f t="shared" si="232"/>
        <v>30784</v>
      </c>
      <c r="M2951" s="1">
        <f t="shared" si="233"/>
        <v>175.45369759569047</v>
      </c>
      <c r="N2951" s="7">
        <f t="shared" si="234"/>
        <v>175.45369759569047</v>
      </c>
    </row>
    <row r="2952" spans="1:14" x14ac:dyDescent="0.25">
      <c r="A2952" t="str">
        <f>"14:39:32.219"</f>
        <v>14:39:32.219</v>
      </c>
      <c r="B2952">
        <v>40.343620999999999</v>
      </c>
      <c r="C2952">
        <v>-75.076232000000005</v>
      </c>
      <c r="D2952">
        <v>3700</v>
      </c>
      <c r="E2952">
        <v>3875</v>
      </c>
      <c r="F2952">
        <v>128</v>
      </c>
      <c r="G2952">
        <v>120</v>
      </c>
      <c r="H2952">
        <v>-64</v>
      </c>
      <c r="J2952" s="1">
        <f t="shared" si="230"/>
        <v>16384</v>
      </c>
      <c r="K2952" s="1">
        <f t="shared" si="231"/>
        <v>14400</v>
      </c>
      <c r="L2952" s="1">
        <f t="shared" si="232"/>
        <v>30784</v>
      </c>
      <c r="M2952" s="1">
        <f t="shared" si="233"/>
        <v>175.45369759569047</v>
      </c>
      <c r="N2952" s="7">
        <f t="shared" si="234"/>
        <v>175.45369759569047</v>
      </c>
    </row>
    <row r="2953" spans="1:14" x14ac:dyDescent="0.25">
      <c r="A2953" t="str">
        <f>"14:39:33.070"</f>
        <v>14:39:33.070</v>
      </c>
      <c r="B2953">
        <v>40.344113999999998</v>
      </c>
      <c r="C2953">
        <v>-75.075502</v>
      </c>
      <c r="D2953">
        <v>3700</v>
      </c>
      <c r="E2953">
        <v>3875</v>
      </c>
      <c r="F2953">
        <v>128</v>
      </c>
      <c r="G2953">
        <v>121</v>
      </c>
      <c r="H2953">
        <v>-64</v>
      </c>
      <c r="J2953" s="1">
        <f t="shared" si="230"/>
        <v>16384</v>
      </c>
      <c r="K2953" s="1">
        <f t="shared" si="231"/>
        <v>14641</v>
      </c>
      <c r="L2953" s="1">
        <f t="shared" si="232"/>
        <v>31025</v>
      </c>
      <c r="M2953" s="1">
        <f t="shared" si="233"/>
        <v>176.13914953808538</v>
      </c>
      <c r="N2953" s="7">
        <f t="shared" si="234"/>
        <v>176.13914953808538</v>
      </c>
    </row>
    <row r="2954" spans="1:14" x14ac:dyDescent="0.25">
      <c r="A2954" t="str">
        <f>"14:39:33.875"</f>
        <v>14:39:33.875</v>
      </c>
      <c r="B2954">
        <v>40.344543000000002</v>
      </c>
      <c r="C2954">
        <v>-75.074944000000002</v>
      </c>
      <c r="D2954">
        <v>3700</v>
      </c>
      <c r="E2954">
        <v>3875</v>
      </c>
      <c r="F2954">
        <v>128</v>
      </c>
      <c r="G2954">
        <v>121</v>
      </c>
      <c r="H2954">
        <v>-64</v>
      </c>
      <c r="J2954" s="1">
        <f t="shared" si="230"/>
        <v>16384</v>
      </c>
      <c r="K2954" s="1">
        <f t="shared" si="231"/>
        <v>14641</v>
      </c>
      <c r="L2954" s="1">
        <f t="shared" si="232"/>
        <v>31025</v>
      </c>
      <c r="M2954" s="1">
        <f t="shared" si="233"/>
        <v>176.13914953808538</v>
      </c>
      <c r="N2954" s="7">
        <f t="shared" si="234"/>
        <v>176.13914953808538</v>
      </c>
    </row>
    <row r="2955" spans="1:14" x14ac:dyDescent="0.25">
      <c r="A2955" t="str">
        <f>"14:39:34.938"</f>
        <v>14:39:34.938</v>
      </c>
      <c r="B2955">
        <v>40.345187000000003</v>
      </c>
      <c r="C2955">
        <v>-75.074085999999994</v>
      </c>
      <c r="D2955">
        <v>3700</v>
      </c>
      <c r="E2955">
        <v>3875</v>
      </c>
      <c r="F2955">
        <v>128</v>
      </c>
      <c r="G2955">
        <v>121</v>
      </c>
      <c r="H2955">
        <v>-64</v>
      </c>
      <c r="J2955" s="1">
        <f t="shared" si="230"/>
        <v>16384</v>
      </c>
      <c r="K2955" s="1">
        <f t="shared" si="231"/>
        <v>14641</v>
      </c>
      <c r="L2955" s="1">
        <f t="shared" si="232"/>
        <v>31025</v>
      </c>
      <c r="M2955" s="1">
        <f t="shared" si="233"/>
        <v>176.13914953808538</v>
      </c>
      <c r="N2955" s="7">
        <f t="shared" si="234"/>
        <v>176.13914953808538</v>
      </c>
    </row>
    <row r="2956" spans="1:14" x14ac:dyDescent="0.25">
      <c r="A2956" t="str">
        <f>"14:39:35.945"</f>
        <v>14:39:35.945</v>
      </c>
      <c r="B2956">
        <v>40.345723999999997</v>
      </c>
      <c r="C2956">
        <v>-75.073313999999996</v>
      </c>
      <c r="D2956">
        <v>3700</v>
      </c>
      <c r="E2956">
        <v>3875</v>
      </c>
      <c r="F2956">
        <v>128</v>
      </c>
      <c r="G2956">
        <v>121</v>
      </c>
      <c r="H2956">
        <v>-64</v>
      </c>
      <c r="J2956" s="1">
        <f t="shared" si="230"/>
        <v>16384</v>
      </c>
      <c r="K2956" s="1">
        <f t="shared" si="231"/>
        <v>14641</v>
      </c>
      <c r="L2956" s="1">
        <f t="shared" si="232"/>
        <v>31025</v>
      </c>
      <c r="M2956" s="1">
        <f t="shared" si="233"/>
        <v>176.13914953808538</v>
      </c>
      <c r="N2956" s="7">
        <f t="shared" si="234"/>
        <v>176.13914953808538</v>
      </c>
    </row>
    <row r="2957" spans="1:14" x14ac:dyDescent="0.25">
      <c r="A2957" t="str">
        <f>"14:39:36.859"</f>
        <v>14:39:36.859</v>
      </c>
      <c r="B2957">
        <v>40.346260000000001</v>
      </c>
      <c r="C2957">
        <v>-75.072584000000006</v>
      </c>
      <c r="D2957">
        <v>3700</v>
      </c>
      <c r="E2957">
        <v>3850</v>
      </c>
      <c r="F2957">
        <v>128</v>
      </c>
      <c r="G2957">
        <v>121</v>
      </c>
      <c r="H2957">
        <v>-64</v>
      </c>
      <c r="J2957" s="1">
        <f t="shared" si="230"/>
        <v>16384</v>
      </c>
      <c r="K2957" s="1">
        <f t="shared" si="231"/>
        <v>14641</v>
      </c>
      <c r="L2957" s="1">
        <f t="shared" si="232"/>
        <v>31025</v>
      </c>
      <c r="M2957" s="1">
        <f t="shared" si="233"/>
        <v>176.13914953808538</v>
      </c>
      <c r="N2957" s="7">
        <f t="shared" si="234"/>
        <v>176.13914953808538</v>
      </c>
    </row>
    <row r="2958" spans="1:14" x14ac:dyDescent="0.25">
      <c r="A2958" t="str">
        <f>"14:39:37.813"</f>
        <v>14:39:37.813</v>
      </c>
      <c r="B2958">
        <v>40.346817999999999</v>
      </c>
      <c r="C2958">
        <v>-75.071832999999998</v>
      </c>
      <c r="D2958">
        <v>3700</v>
      </c>
      <c r="E2958">
        <v>3850</v>
      </c>
      <c r="F2958">
        <v>128</v>
      </c>
      <c r="G2958">
        <v>121</v>
      </c>
      <c r="H2958">
        <v>-64</v>
      </c>
      <c r="J2958" s="1">
        <f t="shared" si="230"/>
        <v>16384</v>
      </c>
      <c r="K2958" s="1">
        <f t="shared" si="231"/>
        <v>14641</v>
      </c>
      <c r="L2958" s="1">
        <f t="shared" si="232"/>
        <v>31025</v>
      </c>
      <c r="M2958" s="1">
        <f t="shared" si="233"/>
        <v>176.13914953808538</v>
      </c>
      <c r="N2958" s="7">
        <f t="shared" si="234"/>
        <v>176.13914953808538</v>
      </c>
    </row>
    <row r="2959" spans="1:14" x14ac:dyDescent="0.25">
      <c r="A2959" t="str">
        <f>"14:39:38.828"</f>
        <v>14:39:38.828</v>
      </c>
      <c r="B2959">
        <v>40.347375999999997</v>
      </c>
      <c r="C2959">
        <v>-75.071082000000004</v>
      </c>
      <c r="D2959">
        <v>3700</v>
      </c>
      <c r="E2959">
        <v>3850</v>
      </c>
      <c r="F2959">
        <v>128</v>
      </c>
      <c r="G2959">
        <v>121</v>
      </c>
      <c r="H2959">
        <v>-64</v>
      </c>
      <c r="J2959" s="1">
        <f t="shared" si="230"/>
        <v>16384</v>
      </c>
      <c r="K2959" s="1">
        <f t="shared" si="231"/>
        <v>14641</v>
      </c>
      <c r="L2959" s="1">
        <f t="shared" si="232"/>
        <v>31025</v>
      </c>
      <c r="M2959" s="1">
        <f t="shared" si="233"/>
        <v>176.13914953808538</v>
      </c>
      <c r="N2959" s="7">
        <f t="shared" si="234"/>
        <v>176.13914953808538</v>
      </c>
    </row>
    <row r="2960" spans="1:14" x14ac:dyDescent="0.25">
      <c r="A2960" t="str">
        <f>"14:39:39.734"</f>
        <v>14:39:39.734</v>
      </c>
      <c r="B2960">
        <v>40.347890999999997</v>
      </c>
      <c r="C2960">
        <v>-75.070374000000001</v>
      </c>
      <c r="D2960">
        <v>3700</v>
      </c>
      <c r="E2960">
        <v>3850</v>
      </c>
      <c r="F2960">
        <v>128</v>
      </c>
      <c r="G2960">
        <v>121</v>
      </c>
      <c r="H2960">
        <v>-64</v>
      </c>
      <c r="J2960" s="1">
        <f t="shared" si="230"/>
        <v>16384</v>
      </c>
      <c r="K2960" s="1">
        <f t="shared" si="231"/>
        <v>14641</v>
      </c>
      <c r="L2960" s="1">
        <f t="shared" si="232"/>
        <v>31025</v>
      </c>
      <c r="M2960" s="1">
        <f t="shared" si="233"/>
        <v>176.13914953808538</v>
      </c>
      <c r="N2960" s="7">
        <f t="shared" si="234"/>
        <v>176.13914953808538</v>
      </c>
    </row>
    <row r="2961" spans="1:14" x14ac:dyDescent="0.25">
      <c r="A2961" t="str">
        <f>"14:39:40.594"</f>
        <v>14:39:40.594</v>
      </c>
      <c r="B2961">
        <v>40.348340999999998</v>
      </c>
      <c r="C2961">
        <v>-75.069772999999998</v>
      </c>
      <c r="D2961">
        <v>3700</v>
      </c>
      <c r="E2961">
        <v>3850</v>
      </c>
      <c r="F2961">
        <v>128</v>
      </c>
      <c r="G2961">
        <v>121</v>
      </c>
      <c r="H2961">
        <v>0</v>
      </c>
      <c r="J2961" s="1">
        <f t="shared" si="230"/>
        <v>16384</v>
      </c>
      <c r="K2961" s="1">
        <f t="shared" si="231"/>
        <v>14641</v>
      </c>
      <c r="L2961" s="1">
        <f t="shared" si="232"/>
        <v>31025</v>
      </c>
      <c r="M2961" s="1">
        <f t="shared" si="233"/>
        <v>176.13914953808538</v>
      </c>
      <c r="N2961" s="7">
        <f t="shared" si="234"/>
        <v>176.13914953808538</v>
      </c>
    </row>
    <row r="2962" spans="1:14" x14ac:dyDescent="0.25">
      <c r="A2962" t="str">
        <f>"14:39:41.602"</f>
        <v>14:39:41.602</v>
      </c>
      <c r="B2962">
        <v>40.348899000000003</v>
      </c>
      <c r="C2962">
        <v>-75.068978999999999</v>
      </c>
      <c r="D2962">
        <v>3700</v>
      </c>
      <c r="E2962">
        <v>3850</v>
      </c>
      <c r="F2962">
        <v>128</v>
      </c>
      <c r="G2962">
        <v>121</v>
      </c>
      <c r="H2962">
        <v>0</v>
      </c>
      <c r="J2962" s="1">
        <f t="shared" si="230"/>
        <v>16384</v>
      </c>
      <c r="K2962" s="1">
        <f t="shared" si="231"/>
        <v>14641</v>
      </c>
      <c r="L2962" s="1">
        <f t="shared" si="232"/>
        <v>31025</v>
      </c>
      <c r="M2962" s="1">
        <f t="shared" si="233"/>
        <v>176.13914953808538</v>
      </c>
      <c r="N2962" s="7">
        <f t="shared" si="234"/>
        <v>176.13914953808538</v>
      </c>
    </row>
    <row r="2963" spans="1:14" x14ac:dyDescent="0.25">
      <c r="A2963" t="str">
        <f>"14:39:42.664"</f>
        <v>14:39:42.664</v>
      </c>
      <c r="B2963">
        <v>40.349479000000002</v>
      </c>
      <c r="C2963">
        <v>-75.068141999999995</v>
      </c>
      <c r="D2963">
        <v>3700</v>
      </c>
      <c r="E2963">
        <v>3850</v>
      </c>
      <c r="F2963">
        <v>128</v>
      </c>
      <c r="G2963">
        <v>121</v>
      </c>
      <c r="H2963">
        <v>64</v>
      </c>
      <c r="J2963" s="1">
        <f t="shared" si="230"/>
        <v>16384</v>
      </c>
      <c r="K2963" s="1">
        <f t="shared" si="231"/>
        <v>14641</v>
      </c>
      <c r="L2963" s="1">
        <f t="shared" si="232"/>
        <v>31025</v>
      </c>
      <c r="M2963" s="1">
        <f t="shared" si="233"/>
        <v>176.13914953808538</v>
      </c>
      <c r="N2963" s="7">
        <f t="shared" si="234"/>
        <v>176.13914953808538</v>
      </c>
    </row>
    <row r="2964" spans="1:14" x14ac:dyDescent="0.25">
      <c r="A2964" t="str">
        <f>"14:39:43.719"</f>
        <v>14:39:43.719</v>
      </c>
      <c r="B2964">
        <v>40.350121999999999</v>
      </c>
      <c r="C2964">
        <v>-75.067262999999997</v>
      </c>
      <c r="D2964">
        <v>3700</v>
      </c>
      <c r="E2964">
        <v>3850</v>
      </c>
      <c r="F2964">
        <v>128</v>
      </c>
      <c r="G2964">
        <v>121</v>
      </c>
      <c r="H2964">
        <v>64</v>
      </c>
      <c r="J2964" s="1">
        <f t="shared" si="230"/>
        <v>16384</v>
      </c>
      <c r="K2964" s="1">
        <f t="shared" si="231"/>
        <v>14641</v>
      </c>
      <c r="L2964" s="1">
        <f t="shared" si="232"/>
        <v>31025</v>
      </c>
      <c r="M2964" s="1">
        <f t="shared" si="233"/>
        <v>176.13914953808538</v>
      </c>
      <c r="N2964" s="7">
        <f t="shared" si="234"/>
        <v>176.13914953808538</v>
      </c>
    </row>
    <row r="2965" spans="1:14" x14ac:dyDescent="0.25">
      <c r="A2965" t="str">
        <f>"14:39:44.734"</f>
        <v>14:39:44.734</v>
      </c>
      <c r="B2965">
        <v>40.350679999999997</v>
      </c>
      <c r="C2965">
        <v>-75.066468999999998</v>
      </c>
      <c r="D2965">
        <v>3700</v>
      </c>
      <c r="E2965">
        <v>3875</v>
      </c>
      <c r="F2965">
        <v>128</v>
      </c>
      <c r="G2965">
        <v>121</v>
      </c>
      <c r="H2965">
        <v>64</v>
      </c>
      <c r="J2965" s="1">
        <f t="shared" si="230"/>
        <v>16384</v>
      </c>
      <c r="K2965" s="1">
        <f t="shared" si="231"/>
        <v>14641</v>
      </c>
      <c r="L2965" s="1">
        <f t="shared" si="232"/>
        <v>31025</v>
      </c>
      <c r="M2965" s="1">
        <f t="shared" si="233"/>
        <v>176.13914953808538</v>
      </c>
      <c r="N2965" s="7">
        <f t="shared" si="234"/>
        <v>176.13914953808538</v>
      </c>
    </row>
    <row r="2966" spans="1:14" x14ac:dyDescent="0.25">
      <c r="A2966" t="str">
        <f>"14:39:45.789"</f>
        <v>14:39:45.789</v>
      </c>
      <c r="B2966">
        <v>40.351216999999998</v>
      </c>
      <c r="C2966">
        <v>-75.065738999999994</v>
      </c>
      <c r="D2966">
        <v>3700</v>
      </c>
      <c r="E2966">
        <v>3875</v>
      </c>
      <c r="F2966">
        <v>128</v>
      </c>
      <c r="G2966">
        <v>121</v>
      </c>
      <c r="H2966">
        <v>64</v>
      </c>
      <c r="J2966" s="1">
        <f t="shared" si="230"/>
        <v>16384</v>
      </c>
      <c r="K2966" s="1">
        <f t="shared" si="231"/>
        <v>14641</v>
      </c>
      <c r="L2966" s="1">
        <f t="shared" si="232"/>
        <v>31025</v>
      </c>
      <c r="M2966" s="1">
        <f t="shared" si="233"/>
        <v>176.13914953808538</v>
      </c>
      <c r="N2966" s="7">
        <f t="shared" si="234"/>
        <v>176.13914953808538</v>
      </c>
    </row>
    <row r="2967" spans="1:14" x14ac:dyDescent="0.25">
      <c r="A2967" t="str">
        <f>"14:39:46.703"</f>
        <v>14:39:46.703</v>
      </c>
      <c r="B2967">
        <v>40.351775000000004</v>
      </c>
      <c r="C2967">
        <v>-75.064944999999994</v>
      </c>
      <c r="D2967">
        <v>3700</v>
      </c>
      <c r="E2967">
        <v>3875</v>
      </c>
      <c r="F2967">
        <v>128</v>
      </c>
      <c r="G2967">
        <v>120</v>
      </c>
      <c r="H2967">
        <v>64</v>
      </c>
      <c r="J2967" s="1">
        <f t="shared" si="230"/>
        <v>16384</v>
      </c>
      <c r="K2967" s="1">
        <f t="shared" si="231"/>
        <v>14400</v>
      </c>
      <c r="L2967" s="1">
        <f t="shared" si="232"/>
        <v>30784</v>
      </c>
      <c r="M2967" s="1">
        <f t="shared" si="233"/>
        <v>175.45369759569047</v>
      </c>
      <c r="N2967" s="7">
        <f t="shared" si="234"/>
        <v>175.45369759569047</v>
      </c>
    </row>
    <row r="2968" spans="1:14" x14ac:dyDescent="0.25">
      <c r="A2968" t="str">
        <f>"14:39:47.711"</f>
        <v>14:39:47.711</v>
      </c>
      <c r="B2968">
        <v>40.352333000000002</v>
      </c>
      <c r="C2968">
        <v>-75.064150999999995</v>
      </c>
      <c r="D2968">
        <v>3700</v>
      </c>
      <c r="E2968">
        <v>3875</v>
      </c>
      <c r="F2968">
        <v>128</v>
      </c>
      <c r="G2968">
        <v>120</v>
      </c>
      <c r="H2968">
        <v>64</v>
      </c>
      <c r="J2968" s="1">
        <f t="shared" si="230"/>
        <v>16384</v>
      </c>
      <c r="K2968" s="1">
        <f t="shared" si="231"/>
        <v>14400</v>
      </c>
      <c r="L2968" s="1">
        <f t="shared" si="232"/>
        <v>30784</v>
      </c>
      <c r="M2968" s="1">
        <f t="shared" si="233"/>
        <v>175.45369759569047</v>
      </c>
      <c r="N2968" s="7">
        <f t="shared" si="234"/>
        <v>175.45369759569047</v>
      </c>
    </row>
    <row r="2969" spans="1:14" x14ac:dyDescent="0.25">
      <c r="A2969" t="str">
        <f>"14:39:48.727"</f>
        <v>14:39:48.727</v>
      </c>
      <c r="B2969">
        <v>40.352912000000003</v>
      </c>
      <c r="C2969">
        <v>-75.063422000000003</v>
      </c>
      <c r="D2969">
        <v>3700</v>
      </c>
      <c r="E2969">
        <v>3875</v>
      </c>
      <c r="F2969">
        <v>128</v>
      </c>
      <c r="G2969">
        <v>120</v>
      </c>
      <c r="H2969">
        <v>64</v>
      </c>
      <c r="J2969" s="1">
        <f t="shared" si="230"/>
        <v>16384</v>
      </c>
      <c r="K2969" s="1">
        <f t="shared" si="231"/>
        <v>14400</v>
      </c>
      <c r="L2969" s="1">
        <f t="shared" si="232"/>
        <v>30784</v>
      </c>
      <c r="M2969" s="1">
        <f t="shared" si="233"/>
        <v>175.45369759569047</v>
      </c>
      <c r="N2969" s="7">
        <f t="shared" si="234"/>
        <v>175.45369759569047</v>
      </c>
    </row>
    <row r="2970" spans="1:14" x14ac:dyDescent="0.25">
      <c r="A2970" t="str">
        <f>"14:39:49.828"</f>
        <v>14:39:49.828</v>
      </c>
      <c r="B2970">
        <v>40.353534000000003</v>
      </c>
      <c r="C2970">
        <v>-75.062521000000004</v>
      </c>
      <c r="D2970">
        <v>3700</v>
      </c>
      <c r="E2970">
        <v>3875</v>
      </c>
      <c r="F2970">
        <v>128</v>
      </c>
      <c r="G2970">
        <v>120</v>
      </c>
      <c r="H2970">
        <v>64</v>
      </c>
      <c r="J2970" s="1">
        <f t="shared" si="230"/>
        <v>16384</v>
      </c>
      <c r="K2970" s="1">
        <f t="shared" si="231"/>
        <v>14400</v>
      </c>
      <c r="L2970" s="1">
        <f t="shared" si="232"/>
        <v>30784</v>
      </c>
      <c r="M2970" s="1">
        <f t="shared" si="233"/>
        <v>175.45369759569047</v>
      </c>
      <c r="N2970" s="7">
        <f t="shared" si="234"/>
        <v>175.45369759569047</v>
      </c>
    </row>
    <row r="2971" spans="1:14" x14ac:dyDescent="0.25">
      <c r="A2971" t="str">
        <f>"14:39:50.742"</f>
        <v>14:39:50.742</v>
      </c>
      <c r="B2971">
        <v>40.354028</v>
      </c>
      <c r="C2971">
        <v>-75.061834000000005</v>
      </c>
      <c r="D2971">
        <v>3700</v>
      </c>
      <c r="E2971">
        <v>3875</v>
      </c>
      <c r="F2971">
        <v>128</v>
      </c>
      <c r="G2971">
        <v>120</v>
      </c>
      <c r="H2971">
        <v>64</v>
      </c>
      <c r="J2971" s="1">
        <f t="shared" si="230"/>
        <v>16384</v>
      </c>
      <c r="K2971" s="1">
        <f t="shared" si="231"/>
        <v>14400</v>
      </c>
      <c r="L2971" s="1">
        <f t="shared" si="232"/>
        <v>30784</v>
      </c>
      <c r="M2971" s="1">
        <f t="shared" si="233"/>
        <v>175.45369759569047</v>
      </c>
      <c r="N2971" s="7">
        <f t="shared" si="234"/>
        <v>175.45369759569047</v>
      </c>
    </row>
    <row r="2972" spans="1:14" x14ac:dyDescent="0.25">
      <c r="A2972" t="str">
        <f>"14:39:51.797"</f>
        <v>14:39:51.797</v>
      </c>
      <c r="B2972">
        <v>40.354649999999999</v>
      </c>
      <c r="C2972">
        <v>-75.060975999999997</v>
      </c>
      <c r="D2972">
        <v>3700</v>
      </c>
      <c r="E2972">
        <v>3875</v>
      </c>
      <c r="F2972">
        <v>128</v>
      </c>
      <c r="G2972">
        <v>120</v>
      </c>
      <c r="H2972">
        <v>0</v>
      </c>
      <c r="J2972" s="1">
        <f t="shared" si="230"/>
        <v>16384</v>
      </c>
      <c r="K2972" s="1">
        <f t="shared" si="231"/>
        <v>14400</v>
      </c>
      <c r="L2972" s="1">
        <f t="shared" si="232"/>
        <v>30784</v>
      </c>
      <c r="M2972" s="1">
        <f t="shared" si="233"/>
        <v>175.45369759569047</v>
      </c>
      <c r="N2972" s="7">
        <f t="shared" si="234"/>
        <v>175.45369759569047</v>
      </c>
    </row>
    <row r="2973" spans="1:14" x14ac:dyDescent="0.25">
      <c r="A2973" t="str">
        <f>"14:39:52.813"</f>
        <v>14:39:52.813</v>
      </c>
      <c r="B2973">
        <v>40.355207999999998</v>
      </c>
      <c r="C2973">
        <v>-75.060225000000003</v>
      </c>
      <c r="D2973">
        <v>3700</v>
      </c>
      <c r="E2973">
        <v>3875</v>
      </c>
      <c r="F2973">
        <v>128</v>
      </c>
      <c r="G2973">
        <v>120</v>
      </c>
      <c r="H2973">
        <v>0</v>
      </c>
      <c r="J2973" s="1">
        <f t="shared" si="230"/>
        <v>16384</v>
      </c>
      <c r="K2973" s="1">
        <f t="shared" si="231"/>
        <v>14400</v>
      </c>
      <c r="L2973" s="1">
        <f t="shared" si="232"/>
        <v>30784</v>
      </c>
      <c r="M2973" s="1">
        <f t="shared" si="233"/>
        <v>175.45369759569047</v>
      </c>
      <c r="N2973" s="7">
        <f t="shared" si="234"/>
        <v>175.45369759569047</v>
      </c>
    </row>
    <row r="2974" spans="1:14" x14ac:dyDescent="0.25">
      <c r="A2974" t="str">
        <f>"14:39:54.023"</f>
        <v>14:39:54.023</v>
      </c>
      <c r="B2974">
        <v>40.355851999999999</v>
      </c>
      <c r="C2974">
        <v>-75.059280000000001</v>
      </c>
      <c r="D2974">
        <v>3700</v>
      </c>
      <c r="E2974">
        <v>3875</v>
      </c>
      <c r="F2974">
        <v>128</v>
      </c>
      <c r="G2974">
        <v>120</v>
      </c>
      <c r="H2974">
        <v>0</v>
      </c>
      <c r="J2974" s="1">
        <f t="shared" si="230"/>
        <v>16384</v>
      </c>
      <c r="K2974" s="1">
        <f t="shared" si="231"/>
        <v>14400</v>
      </c>
      <c r="L2974" s="1">
        <f t="shared" si="232"/>
        <v>30784</v>
      </c>
      <c r="M2974" s="1">
        <f t="shared" si="233"/>
        <v>175.45369759569047</v>
      </c>
      <c r="N2974" s="7">
        <f t="shared" si="234"/>
        <v>175.45369759569047</v>
      </c>
    </row>
    <row r="2975" spans="1:14" x14ac:dyDescent="0.25">
      <c r="A2975" t="str">
        <f>"14:39:55.031"</f>
        <v>14:39:55.031</v>
      </c>
      <c r="B2975">
        <v>40.356409999999997</v>
      </c>
      <c r="C2975">
        <v>-75.058528999999993</v>
      </c>
      <c r="D2975">
        <v>3700</v>
      </c>
      <c r="E2975">
        <v>3875</v>
      </c>
      <c r="F2975">
        <v>128</v>
      </c>
      <c r="G2975">
        <v>120</v>
      </c>
      <c r="H2975">
        <v>0</v>
      </c>
      <c r="J2975" s="1">
        <f t="shared" si="230"/>
        <v>16384</v>
      </c>
      <c r="K2975" s="1">
        <f t="shared" si="231"/>
        <v>14400</v>
      </c>
      <c r="L2975" s="1">
        <f t="shared" si="232"/>
        <v>30784</v>
      </c>
      <c r="M2975" s="1">
        <f t="shared" si="233"/>
        <v>175.45369759569047</v>
      </c>
      <c r="N2975" s="7">
        <f t="shared" si="234"/>
        <v>175.45369759569047</v>
      </c>
    </row>
    <row r="2976" spans="1:14" x14ac:dyDescent="0.25">
      <c r="A2976" t="str">
        <f>"14:39:56.141"</f>
        <v>14:39:56.141</v>
      </c>
      <c r="B2976">
        <v>40.357031999999997</v>
      </c>
      <c r="C2976">
        <v>-75.057670999999999</v>
      </c>
      <c r="D2976">
        <v>3700</v>
      </c>
      <c r="E2976">
        <v>3875</v>
      </c>
      <c r="F2976">
        <v>128</v>
      </c>
      <c r="G2976">
        <v>120</v>
      </c>
      <c r="H2976">
        <v>0</v>
      </c>
      <c r="J2976" s="1">
        <f t="shared" si="230"/>
        <v>16384</v>
      </c>
      <c r="K2976" s="1">
        <f t="shared" si="231"/>
        <v>14400</v>
      </c>
      <c r="L2976" s="1">
        <f t="shared" si="232"/>
        <v>30784</v>
      </c>
      <c r="M2976" s="1">
        <f t="shared" si="233"/>
        <v>175.45369759569047</v>
      </c>
      <c r="N2976" s="7">
        <f t="shared" si="234"/>
        <v>175.45369759569047</v>
      </c>
    </row>
    <row r="2977" spans="1:14" x14ac:dyDescent="0.25">
      <c r="A2977" t="str">
        <f>"14:39:57.305"</f>
        <v>14:39:57.305</v>
      </c>
      <c r="B2977">
        <v>40.357633</v>
      </c>
      <c r="C2977">
        <v>-75.056791000000004</v>
      </c>
      <c r="D2977">
        <v>3700</v>
      </c>
      <c r="E2977">
        <v>3875</v>
      </c>
      <c r="F2977">
        <v>129</v>
      </c>
      <c r="G2977">
        <v>120</v>
      </c>
      <c r="H2977">
        <v>0</v>
      </c>
      <c r="J2977" s="1">
        <f t="shared" si="230"/>
        <v>16641</v>
      </c>
      <c r="K2977" s="1">
        <f t="shared" si="231"/>
        <v>14400</v>
      </c>
      <c r="L2977" s="1">
        <f t="shared" si="232"/>
        <v>31041</v>
      </c>
      <c r="M2977" s="1">
        <f t="shared" si="233"/>
        <v>176.18456232031227</v>
      </c>
      <c r="N2977" s="7">
        <f t="shared" si="234"/>
        <v>176.18456232031227</v>
      </c>
    </row>
    <row r="2978" spans="1:14" x14ac:dyDescent="0.25">
      <c r="A2978" t="str">
        <f>"14:39:58.164"</f>
        <v>14:39:58.164</v>
      </c>
      <c r="B2978">
        <v>40.358148</v>
      </c>
      <c r="C2978">
        <v>-75.056083000000001</v>
      </c>
      <c r="D2978">
        <v>3700</v>
      </c>
      <c r="E2978">
        <v>3875</v>
      </c>
      <c r="F2978">
        <v>129</v>
      </c>
      <c r="G2978">
        <v>119</v>
      </c>
      <c r="H2978">
        <v>-64</v>
      </c>
      <c r="J2978" s="1">
        <f t="shared" si="230"/>
        <v>16641</v>
      </c>
      <c r="K2978" s="1">
        <f t="shared" si="231"/>
        <v>14161</v>
      </c>
      <c r="L2978" s="1">
        <f t="shared" si="232"/>
        <v>30802</v>
      </c>
      <c r="M2978" s="1">
        <f t="shared" si="233"/>
        <v>175.50498568416796</v>
      </c>
      <c r="N2978" s="7">
        <f t="shared" si="234"/>
        <v>175.50498568416796</v>
      </c>
    </row>
    <row r="2979" spans="1:14" x14ac:dyDescent="0.25">
      <c r="A2979" t="str">
        <f>"14:39:59.172"</f>
        <v>14:39:59.172</v>
      </c>
      <c r="B2979">
        <v>40.358683999999997</v>
      </c>
      <c r="C2979">
        <v>-75.055289000000002</v>
      </c>
      <c r="D2979">
        <v>3700</v>
      </c>
      <c r="E2979">
        <v>3875</v>
      </c>
      <c r="F2979">
        <v>129</v>
      </c>
      <c r="G2979">
        <v>119</v>
      </c>
      <c r="H2979">
        <v>-64</v>
      </c>
      <c r="J2979" s="1">
        <f t="shared" si="230"/>
        <v>16641</v>
      </c>
      <c r="K2979" s="1">
        <f t="shared" si="231"/>
        <v>14161</v>
      </c>
      <c r="L2979" s="1">
        <f t="shared" si="232"/>
        <v>30802</v>
      </c>
      <c r="M2979" s="1">
        <f t="shared" si="233"/>
        <v>175.50498568416796</v>
      </c>
      <c r="N2979" s="7">
        <f t="shared" si="234"/>
        <v>175.50498568416796</v>
      </c>
    </row>
    <row r="2980" spans="1:14" x14ac:dyDescent="0.25">
      <c r="A2980" t="str">
        <f>"14:40:00.031"</f>
        <v>14:40:00.031</v>
      </c>
      <c r="B2980">
        <v>40.359155999999999</v>
      </c>
      <c r="C2980">
        <v>-75.054603</v>
      </c>
      <c r="D2980">
        <v>3700</v>
      </c>
      <c r="E2980">
        <v>3875</v>
      </c>
      <c r="F2980">
        <v>129</v>
      </c>
      <c r="G2980">
        <v>119</v>
      </c>
      <c r="H2980">
        <v>-64</v>
      </c>
      <c r="J2980" s="1">
        <f t="shared" si="230"/>
        <v>16641</v>
      </c>
      <c r="K2980" s="1">
        <f t="shared" si="231"/>
        <v>14161</v>
      </c>
      <c r="L2980" s="1">
        <f t="shared" si="232"/>
        <v>30802</v>
      </c>
      <c r="M2980" s="1">
        <f t="shared" si="233"/>
        <v>175.50498568416796</v>
      </c>
      <c r="N2980" s="7">
        <f t="shared" si="234"/>
        <v>175.50498568416796</v>
      </c>
    </row>
    <row r="2981" spans="1:14" x14ac:dyDescent="0.25">
      <c r="A2981" t="str">
        <f>"14:40:01.039"</f>
        <v>14:40:01.039</v>
      </c>
      <c r="B2981">
        <v>40.359713999999997</v>
      </c>
      <c r="C2981">
        <v>-75.053852000000006</v>
      </c>
      <c r="D2981">
        <v>3700</v>
      </c>
      <c r="E2981">
        <v>3875</v>
      </c>
      <c r="F2981">
        <v>129</v>
      </c>
      <c r="G2981">
        <v>119</v>
      </c>
      <c r="H2981">
        <v>-64</v>
      </c>
      <c r="J2981" s="1">
        <f t="shared" si="230"/>
        <v>16641</v>
      </c>
      <c r="K2981" s="1">
        <f t="shared" si="231"/>
        <v>14161</v>
      </c>
      <c r="L2981" s="1">
        <f t="shared" si="232"/>
        <v>30802</v>
      </c>
      <c r="M2981" s="1">
        <f t="shared" si="233"/>
        <v>175.50498568416796</v>
      </c>
      <c r="N2981" s="7">
        <f t="shared" si="234"/>
        <v>175.50498568416796</v>
      </c>
    </row>
    <row r="2982" spans="1:14" x14ac:dyDescent="0.25">
      <c r="A2982" t="str">
        <f>"14:40:02.000"</f>
        <v>14:40:02.000</v>
      </c>
      <c r="B2982">
        <v>40.360272000000002</v>
      </c>
      <c r="C2982">
        <v>-75.053036000000006</v>
      </c>
      <c r="D2982">
        <v>3700</v>
      </c>
      <c r="E2982">
        <v>3875</v>
      </c>
      <c r="F2982">
        <v>129</v>
      </c>
      <c r="G2982">
        <v>119</v>
      </c>
      <c r="H2982">
        <v>0</v>
      </c>
      <c r="J2982" s="1">
        <f t="shared" si="230"/>
        <v>16641</v>
      </c>
      <c r="K2982" s="1">
        <f t="shared" si="231"/>
        <v>14161</v>
      </c>
      <c r="L2982" s="1">
        <f t="shared" si="232"/>
        <v>30802</v>
      </c>
      <c r="M2982" s="1">
        <f t="shared" si="233"/>
        <v>175.50498568416796</v>
      </c>
      <c r="N2982" s="7">
        <f t="shared" si="234"/>
        <v>175.50498568416796</v>
      </c>
    </row>
    <row r="2983" spans="1:14" x14ac:dyDescent="0.25">
      <c r="A2983" t="str">
        <f>"14:40:03.063"</f>
        <v>14:40:03.063</v>
      </c>
      <c r="B2983">
        <v>40.36083</v>
      </c>
      <c r="C2983">
        <v>-75.052284999999998</v>
      </c>
      <c r="D2983">
        <v>3700</v>
      </c>
      <c r="E2983">
        <v>3875</v>
      </c>
      <c r="F2983">
        <v>129</v>
      </c>
      <c r="G2983">
        <v>119</v>
      </c>
      <c r="H2983">
        <v>0</v>
      </c>
      <c r="J2983" s="1">
        <f t="shared" si="230"/>
        <v>16641</v>
      </c>
      <c r="K2983" s="1">
        <f t="shared" si="231"/>
        <v>14161</v>
      </c>
      <c r="L2983" s="1">
        <f t="shared" si="232"/>
        <v>30802</v>
      </c>
      <c r="M2983" s="1">
        <f t="shared" si="233"/>
        <v>175.50498568416796</v>
      </c>
      <c r="N2983" s="7">
        <f t="shared" si="234"/>
        <v>175.50498568416796</v>
      </c>
    </row>
    <row r="2984" spans="1:14" x14ac:dyDescent="0.25">
      <c r="A2984" t="str">
        <f>"14:40:04.117"</f>
        <v>14:40:04.117</v>
      </c>
      <c r="B2984">
        <v>40.361431000000003</v>
      </c>
      <c r="C2984">
        <v>-75.051383999999999</v>
      </c>
      <c r="D2984">
        <v>3700</v>
      </c>
      <c r="E2984">
        <v>3875</v>
      </c>
      <c r="F2984">
        <v>129</v>
      </c>
      <c r="G2984">
        <v>119</v>
      </c>
      <c r="H2984">
        <v>0</v>
      </c>
      <c r="J2984" s="1">
        <f t="shared" si="230"/>
        <v>16641</v>
      </c>
      <c r="K2984" s="1">
        <f t="shared" si="231"/>
        <v>14161</v>
      </c>
      <c r="L2984" s="1">
        <f t="shared" si="232"/>
        <v>30802</v>
      </c>
      <c r="M2984" s="1">
        <f t="shared" si="233"/>
        <v>175.50498568416796</v>
      </c>
      <c r="N2984" s="7">
        <f t="shared" si="234"/>
        <v>175.50498568416796</v>
      </c>
    </row>
    <row r="2985" spans="1:14" x14ac:dyDescent="0.25">
      <c r="A2985" t="str">
        <f>"14:40:05.133"</f>
        <v>14:40:05.133</v>
      </c>
      <c r="B2985">
        <v>40.361989000000001</v>
      </c>
      <c r="C2985">
        <v>-75.05059</v>
      </c>
      <c r="D2985">
        <v>3700</v>
      </c>
      <c r="E2985">
        <v>3875</v>
      </c>
      <c r="F2985">
        <v>129</v>
      </c>
      <c r="G2985">
        <v>119</v>
      </c>
      <c r="H2985">
        <v>0</v>
      </c>
      <c r="J2985" s="1">
        <f t="shared" si="230"/>
        <v>16641</v>
      </c>
      <c r="K2985" s="1">
        <f t="shared" si="231"/>
        <v>14161</v>
      </c>
      <c r="L2985" s="1">
        <f t="shared" si="232"/>
        <v>30802</v>
      </c>
      <c r="M2985" s="1">
        <f t="shared" si="233"/>
        <v>175.50498568416796</v>
      </c>
      <c r="N2985" s="7">
        <f t="shared" si="234"/>
        <v>175.50498568416796</v>
      </c>
    </row>
    <row r="2986" spans="1:14" x14ac:dyDescent="0.25">
      <c r="A2986" t="str">
        <f>"14:40:06.086"</f>
        <v>14:40:06.086</v>
      </c>
      <c r="B2986">
        <v>40.362504000000001</v>
      </c>
      <c r="C2986">
        <v>-75.049925000000002</v>
      </c>
      <c r="D2986">
        <v>3700</v>
      </c>
      <c r="E2986">
        <v>3875</v>
      </c>
      <c r="F2986">
        <v>129</v>
      </c>
      <c r="G2986">
        <v>120</v>
      </c>
      <c r="H2986">
        <v>-64</v>
      </c>
      <c r="J2986" s="1">
        <f t="shared" si="230"/>
        <v>16641</v>
      </c>
      <c r="K2986" s="1">
        <f t="shared" si="231"/>
        <v>14400</v>
      </c>
      <c r="L2986" s="1">
        <f t="shared" si="232"/>
        <v>31041</v>
      </c>
      <c r="M2986" s="1">
        <f t="shared" si="233"/>
        <v>176.18456232031227</v>
      </c>
      <c r="N2986" s="7">
        <f t="shared" si="234"/>
        <v>176.18456232031227</v>
      </c>
    </row>
    <row r="2987" spans="1:14" x14ac:dyDescent="0.25">
      <c r="A2987" t="str">
        <f>"14:40:07.148"</f>
        <v>14:40:07.148</v>
      </c>
      <c r="B2987">
        <v>40.363126000000001</v>
      </c>
      <c r="C2987">
        <v>-75.049066999999994</v>
      </c>
      <c r="D2987">
        <v>3700</v>
      </c>
      <c r="E2987">
        <v>3875</v>
      </c>
      <c r="F2987">
        <v>129</v>
      </c>
      <c r="G2987">
        <v>120</v>
      </c>
      <c r="H2987">
        <v>-64</v>
      </c>
      <c r="J2987" s="1">
        <f t="shared" si="230"/>
        <v>16641</v>
      </c>
      <c r="K2987" s="1">
        <f t="shared" si="231"/>
        <v>14400</v>
      </c>
      <c r="L2987" s="1">
        <f t="shared" si="232"/>
        <v>31041</v>
      </c>
      <c r="M2987" s="1">
        <f t="shared" si="233"/>
        <v>176.18456232031227</v>
      </c>
      <c r="N2987" s="7">
        <f t="shared" si="234"/>
        <v>176.18456232031227</v>
      </c>
    </row>
    <row r="2988" spans="1:14" x14ac:dyDescent="0.25">
      <c r="A2988" t="str">
        <f>"14:40:08.258"</f>
        <v>14:40:08.258</v>
      </c>
      <c r="B2988">
        <v>40.363726999999997</v>
      </c>
      <c r="C2988">
        <v>-75.048164999999997</v>
      </c>
      <c r="D2988">
        <v>3700</v>
      </c>
      <c r="E2988">
        <v>3850</v>
      </c>
      <c r="F2988">
        <v>129</v>
      </c>
      <c r="G2988">
        <v>120</v>
      </c>
      <c r="H2988">
        <v>0</v>
      </c>
      <c r="J2988" s="1">
        <f t="shared" si="230"/>
        <v>16641</v>
      </c>
      <c r="K2988" s="1">
        <f t="shared" si="231"/>
        <v>14400</v>
      </c>
      <c r="L2988" s="1">
        <f t="shared" si="232"/>
        <v>31041</v>
      </c>
      <c r="M2988" s="1">
        <f t="shared" si="233"/>
        <v>176.18456232031227</v>
      </c>
      <c r="N2988" s="7">
        <f t="shared" si="234"/>
        <v>176.18456232031227</v>
      </c>
    </row>
    <row r="2989" spans="1:14" x14ac:dyDescent="0.25">
      <c r="A2989" t="str">
        <f>"14:40:09.266"</f>
        <v>14:40:09.266</v>
      </c>
      <c r="B2989">
        <v>40.364285000000002</v>
      </c>
      <c r="C2989">
        <v>-75.047414000000003</v>
      </c>
      <c r="D2989">
        <v>3700</v>
      </c>
      <c r="E2989">
        <v>3850</v>
      </c>
      <c r="F2989">
        <v>129</v>
      </c>
      <c r="G2989">
        <v>120</v>
      </c>
      <c r="H2989">
        <v>0</v>
      </c>
      <c r="J2989" s="1">
        <f t="shared" si="230"/>
        <v>16641</v>
      </c>
      <c r="K2989" s="1">
        <f t="shared" si="231"/>
        <v>14400</v>
      </c>
      <c r="L2989" s="1">
        <f t="shared" si="232"/>
        <v>31041</v>
      </c>
      <c r="M2989" s="1">
        <f t="shared" si="233"/>
        <v>176.18456232031227</v>
      </c>
      <c r="N2989" s="7">
        <f t="shared" si="234"/>
        <v>176.18456232031227</v>
      </c>
    </row>
    <row r="2990" spans="1:14" x14ac:dyDescent="0.25">
      <c r="A2990" t="str">
        <f>"14:40:10.430"</f>
        <v>14:40:10.430</v>
      </c>
      <c r="B2990">
        <v>40.364927999999999</v>
      </c>
      <c r="C2990">
        <v>-75.046492000000001</v>
      </c>
      <c r="D2990">
        <v>3700</v>
      </c>
      <c r="E2990">
        <v>3850</v>
      </c>
      <c r="F2990">
        <v>129</v>
      </c>
      <c r="G2990">
        <v>120</v>
      </c>
      <c r="H2990">
        <v>0</v>
      </c>
      <c r="J2990" s="1">
        <f t="shared" si="230"/>
        <v>16641</v>
      </c>
      <c r="K2990" s="1">
        <f t="shared" si="231"/>
        <v>14400</v>
      </c>
      <c r="L2990" s="1">
        <f t="shared" si="232"/>
        <v>31041</v>
      </c>
      <c r="M2990" s="1">
        <f t="shared" si="233"/>
        <v>176.18456232031227</v>
      </c>
      <c r="N2990" s="7">
        <f t="shared" si="234"/>
        <v>176.18456232031227</v>
      </c>
    </row>
    <row r="2991" spans="1:14" x14ac:dyDescent="0.25">
      <c r="A2991" t="str">
        <f>"14:40:11.391"</f>
        <v>14:40:11.391</v>
      </c>
      <c r="B2991">
        <v>40.365465</v>
      </c>
      <c r="C2991">
        <v>-75.045783999999998</v>
      </c>
      <c r="D2991">
        <v>3700</v>
      </c>
      <c r="E2991">
        <v>3850</v>
      </c>
      <c r="F2991">
        <v>129</v>
      </c>
      <c r="G2991">
        <v>120</v>
      </c>
      <c r="H2991">
        <v>0</v>
      </c>
      <c r="J2991" s="1">
        <f t="shared" si="230"/>
        <v>16641</v>
      </c>
      <c r="K2991" s="1">
        <f t="shared" si="231"/>
        <v>14400</v>
      </c>
      <c r="L2991" s="1">
        <f t="shared" si="232"/>
        <v>31041</v>
      </c>
      <c r="M2991" s="1">
        <f t="shared" si="233"/>
        <v>176.18456232031227</v>
      </c>
      <c r="N2991" s="7">
        <f t="shared" si="234"/>
        <v>176.18456232031227</v>
      </c>
    </row>
    <row r="2992" spans="1:14" x14ac:dyDescent="0.25">
      <c r="A2992" t="str">
        <f>"14:40:12.250"</f>
        <v>14:40:12.250</v>
      </c>
      <c r="B2992">
        <v>40.365957999999999</v>
      </c>
      <c r="C2992">
        <v>-75.045053999999993</v>
      </c>
      <c r="D2992">
        <v>3700</v>
      </c>
      <c r="E2992">
        <v>3875</v>
      </c>
      <c r="F2992">
        <v>129</v>
      </c>
      <c r="G2992">
        <v>120</v>
      </c>
      <c r="H2992">
        <v>0</v>
      </c>
      <c r="J2992" s="1">
        <f t="shared" si="230"/>
        <v>16641</v>
      </c>
      <c r="K2992" s="1">
        <f t="shared" si="231"/>
        <v>14400</v>
      </c>
      <c r="L2992" s="1">
        <f t="shared" si="232"/>
        <v>31041</v>
      </c>
      <c r="M2992" s="1">
        <f t="shared" si="233"/>
        <v>176.18456232031227</v>
      </c>
      <c r="N2992" s="7">
        <f t="shared" si="234"/>
        <v>176.18456232031227</v>
      </c>
    </row>
    <row r="2993" spans="1:14" x14ac:dyDescent="0.25">
      <c r="A2993" t="str">
        <f>"14:40:13.258"</f>
        <v>14:40:13.258</v>
      </c>
      <c r="B2993">
        <v>40.366515999999997</v>
      </c>
      <c r="C2993">
        <v>-75.044302999999999</v>
      </c>
      <c r="D2993">
        <v>3700</v>
      </c>
      <c r="E2993">
        <v>3875</v>
      </c>
      <c r="F2993">
        <v>129</v>
      </c>
      <c r="G2993">
        <v>120</v>
      </c>
      <c r="H2993">
        <v>0</v>
      </c>
      <c r="J2993" s="1">
        <f t="shared" si="230"/>
        <v>16641</v>
      </c>
      <c r="K2993" s="1">
        <f t="shared" si="231"/>
        <v>14400</v>
      </c>
      <c r="L2993" s="1">
        <f t="shared" si="232"/>
        <v>31041</v>
      </c>
      <c r="M2993" s="1">
        <f t="shared" si="233"/>
        <v>176.18456232031227</v>
      </c>
      <c r="N2993" s="7">
        <f t="shared" si="234"/>
        <v>176.18456232031227</v>
      </c>
    </row>
    <row r="2994" spans="1:14" x14ac:dyDescent="0.25">
      <c r="A2994" t="str">
        <f>"14:40:14.219"</f>
        <v>14:40:14.219</v>
      </c>
      <c r="B2994">
        <v>40.367074000000002</v>
      </c>
      <c r="C2994">
        <v>-75.043487999999996</v>
      </c>
      <c r="D2994">
        <v>3700</v>
      </c>
      <c r="E2994">
        <v>3850</v>
      </c>
      <c r="F2994">
        <v>129</v>
      </c>
      <c r="G2994">
        <v>120</v>
      </c>
      <c r="H2994">
        <v>0</v>
      </c>
      <c r="J2994" s="1">
        <f t="shared" si="230"/>
        <v>16641</v>
      </c>
      <c r="K2994" s="1">
        <f t="shared" si="231"/>
        <v>14400</v>
      </c>
      <c r="L2994" s="1">
        <f t="shared" si="232"/>
        <v>31041</v>
      </c>
      <c r="M2994" s="1">
        <f t="shared" si="233"/>
        <v>176.18456232031227</v>
      </c>
      <c r="N2994" s="7">
        <f t="shared" si="234"/>
        <v>176.18456232031227</v>
      </c>
    </row>
    <row r="2995" spans="1:14" x14ac:dyDescent="0.25">
      <c r="A2995" t="str">
        <f>"14:40:15.227"</f>
        <v>14:40:15.227</v>
      </c>
      <c r="B2995">
        <v>40.367632</v>
      </c>
      <c r="C2995">
        <v>-75.042737000000002</v>
      </c>
      <c r="D2995">
        <v>3700</v>
      </c>
      <c r="E2995">
        <v>3875</v>
      </c>
      <c r="F2995">
        <v>129</v>
      </c>
      <c r="G2995">
        <v>120</v>
      </c>
      <c r="H2995">
        <v>0</v>
      </c>
      <c r="J2995" s="1">
        <f t="shared" si="230"/>
        <v>16641</v>
      </c>
      <c r="K2995" s="1">
        <f t="shared" si="231"/>
        <v>14400</v>
      </c>
      <c r="L2995" s="1">
        <f t="shared" si="232"/>
        <v>31041</v>
      </c>
      <c r="M2995" s="1">
        <f t="shared" si="233"/>
        <v>176.18456232031227</v>
      </c>
      <c r="N2995" s="7">
        <f t="shared" si="234"/>
        <v>176.18456232031227</v>
      </c>
    </row>
    <row r="2996" spans="1:14" x14ac:dyDescent="0.25">
      <c r="A2996" t="str">
        <f>"14:40:16.242"</f>
        <v>14:40:16.242</v>
      </c>
      <c r="B2996">
        <v>40.368147</v>
      </c>
      <c r="C2996">
        <v>-75.041921000000002</v>
      </c>
      <c r="D2996">
        <v>3700</v>
      </c>
      <c r="E2996">
        <v>3850</v>
      </c>
      <c r="F2996">
        <v>129</v>
      </c>
      <c r="G2996">
        <v>120</v>
      </c>
      <c r="H2996">
        <v>0</v>
      </c>
      <c r="J2996" s="1">
        <f t="shared" si="230"/>
        <v>16641</v>
      </c>
      <c r="K2996" s="1">
        <f t="shared" si="231"/>
        <v>14400</v>
      </c>
      <c r="L2996" s="1">
        <f t="shared" si="232"/>
        <v>31041</v>
      </c>
      <c r="M2996" s="1">
        <f t="shared" si="233"/>
        <v>176.18456232031227</v>
      </c>
      <c r="N2996" s="7">
        <f t="shared" si="234"/>
        <v>176.18456232031227</v>
      </c>
    </row>
    <row r="2997" spans="1:14" x14ac:dyDescent="0.25">
      <c r="A2997" t="str">
        <f>"14:40:17.195"</f>
        <v>14:40:17.195</v>
      </c>
      <c r="B2997">
        <v>40.368662</v>
      </c>
      <c r="C2997">
        <v>-75.041191999999995</v>
      </c>
      <c r="D2997">
        <v>3700</v>
      </c>
      <c r="E2997">
        <v>3850</v>
      </c>
      <c r="F2997">
        <v>129</v>
      </c>
      <c r="G2997">
        <v>120</v>
      </c>
      <c r="H2997">
        <v>-64</v>
      </c>
      <c r="J2997" s="1">
        <f t="shared" si="230"/>
        <v>16641</v>
      </c>
      <c r="K2997" s="1">
        <f t="shared" si="231"/>
        <v>14400</v>
      </c>
      <c r="L2997" s="1">
        <f t="shared" si="232"/>
        <v>31041</v>
      </c>
      <c r="M2997" s="1">
        <f t="shared" si="233"/>
        <v>176.18456232031227</v>
      </c>
      <c r="N2997" s="7">
        <f t="shared" si="234"/>
        <v>176.18456232031227</v>
      </c>
    </row>
    <row r="2998" spans="1:14" x14ac:dyDescent="0.25">
      <c r="A2998" t="str">
        <f>"14:40:18.305"</f>
        <v>14:40:18.305</v>
      </c>
      <c r="B2998">
        <v>40.369349</v>
      </c>
      <c r="C2998">
        <v>-75.040289999999999</v>
      </c>
      <c r="D2998">
        <v>3700</v>
      </c>
      <c r="E2998">
        <v>3850</v>
      </c>
      <c r="F2998">
        <v>129</v>
      </c>
      <c r="G2998">
        <v>120</v>
      </c>
      <c r="H2998">
        <v>0</v>
      </c>
      <c r="J2998" s="1">
        <f t="shared" si="230"/>
        <v>16641</v>
      </c>
      <c r="K2998" s="1">
        <f t="shared" si="231"/>
        <v>14400</v>
      </c>
      <c r="L2998" s="1">
        <f t="shared" si="232"/>
        <v>31041</v>
      </c>
      <c r="M2998" s="1">
        <f t="shared" si="233"/>
        <v>176.18456232031227</v>
      </c>
      <c r="N2998" s="7">
        <f t="shared" si="234"/>
        <v>176.18456232031227</v>
      </c>
    </row>
    <row r="2999" spans="1:14" x14ac:dyDescent="0.25">
      <c r="A2999" t="str">
        <f>"14:40:19.164"</f>
        <v>14:40:19.164</v>
      </c>
      <c r="B2999">
        <v>40.369756000000002</v>
      </c>
      <c r="C2999">
        <v>-75.039668000000006</v>
      </c>
      <c r="D2999">
        <v>3700</v>
      </c>
      <c r="E2999">
        <v>3850</v>
      </c>
      <c r="F2999">
        <v>130</v>
      </c>
      <c r="G2999">
        <v>120</v>
      </c>
      <c r="H2999">
        <v>0</v>
      </c>
      <c r="J2999" s="1">
        <f t="shared" si="230"/>
        <v>16900</v>
      </c>
      <c r="K2999" s="1">
        <f t="shared" si="231"/>
        <v>14400</v>
      </c>
      <c r="L2999" s="1">
        <f t="shared" si="232"/>
        <v>31300</v>
      </c>
      <c r="M2999" s="1">
        <f t="shared" si="233"/>
        <v>176.91806012954132</v>
      </c>
      <c r="N2999" s="7">
        <f t="shared" si="234"/>
        <v>176.91806012954132</v>
      </c>
    </row>
    <row r="3000" spans="1:14" x14ac:dyDescent="0.25">
      <c r="A3000" t="str">
        <f>"14:40:20.070"</f>
        <v>14:40:20.070</v>
      </c>
      <c r="B3000">
        <v>40.370314</v>
      </c>
      <c r="C3000">
        <v>-75.038874000000007</v>
      </c>
      <c r="D3000">
        <v>3700</v>
      </c>
      <c r="E3000">
        <v>3850</v>
      </c>
      <c r="F3000">
        <v>130</v>
      </c>
      <c r="G3000">
        <v>120</v>
      </c>
      <c r="H3000">
        <v>0</v>
      </c>
      <c r="J3000" s="1">
        <f t="shared" si="230"/>
        <v>16900</v>
      </c>
      <c r="K3000" s="1">
        <f t="shared" si="231"/>
        <v>14400</v>
      </c>
      <c r="L3000" s="1">
        <f t="shared" si="232"/>
        <v>31300</v>
      </c>
      <c r="M3000" s="1">
        <f t="shared" si="233"/>
        <v>176.91806012954132</v>
      </c>
      <c r="N3000" s="7">
        <f t="shared" si="234"/>
        <v>176.91806012954132</v>
      </c>
    </row>
    <row r="3001" spans="1:14" x14ac:dyDescent="0.25">
      <c r="A3001" t="str">
        <f>"14:40:21.188"</f>
        <v>14:40:21.188</v>
      </c>
      <c r="B3001">
        <v>40.370936</v>
      </c>
      <c r="C3001">
        <v>-75.037993999999998</v>
      </c>
      <c r="D3001">
        <v>3700</v>
      </c>
      <c r="E3001">
        <v>3850</v>
      </c>
      <c r="F3001">
        <v>130</v>
      </c>
      <c r="G3001">
        <v>120</v>
      </c>
      <c r="H3001">
        <v>0</v>
      </c>
      <c r="J3001" s="1">
        <f t="shared" si="230"/>
        <v>16900</v>
      </c>
      <c r="K3001" s="1">
        <f t="shared" si="231"/>
        <v>14400</v>
      </c>
      <c r="L3001" s="1">
        <f t="shared" si="232"/>
        <v>31300</v>
      </c>
      <c r="M3001" s="1">
        <f t="shared" si="233"/>
        <v>176.91806012954132</v>
      </c>
      <c r="N3001" s="7">
        <f t="shared" si="234"/>
        <v>176.91806012954132</v>
      </c>
    </row>
    <row r="3002" spans="1:14" x14ac:dyDescent="0.25">
      <c r="A3002" t="str">
        <f>"14:40:22.297"</f>
        <v>14:40:22.297</v>
      </c>
      <c r="B3002">
        <v>40.371558999999998</v>
      </c>
      <c r="C3002">
        <v>-75.037178999999995</v>
      </c>
      <c r="D3002">
        <v>3700</v>
      </c>
      <c r="E3002">
        <v>3850</v>
      </c>
      <c r="F3002">
        <v>130</v>
      </c>
      <c r="G3002">
        <v>120</v>
      </c>
      <c r="H3002">
        <v>0</v>
      </c>
      <c r="J3002" s="1">
        <f t="shared" si="230"/>
        <v>16900</v>
      </c>
      <c r="K3002" s="1">
        <f t="shared" si="231"/>
        <v>14400</v>
      </c>
      <c r="L3002" s="1">
        <f t="shared" si="232"/>
        <v>31300</v>
      </c>
      <c r="M3002" s="1">
        <f t="shared" si="233"/>
        <v>176.91806012954132</v>
      </c>
      <c r="N3002" s="7">
        <f t="shared" si="234"/>
        <v>176.91806012954132</v>
      </c>
    </row>
    <row r="3003" spans="1:14" x14ac:dyDescent="0.25">
      <c r="A3003" t="str">
        <f>"14:40:23.453"</f>
        <v>14:40:23.453</v>
      </c>
      <c r="B3003">
        <v>40.372159000000003</v>
      </c>
      <c r="C3003">
        <v>-75.036299</v>
      </c>
      <c r="D3003">
        <v>3700</v>
      </c>
      <c r="E3003">
        <v>3850</v>
      </c>
      <c r="F3003">
        <v>130</v>
      </c>
      <c r="G3003">
        <v>120</v>
      </c>
      <c r="H3003">
        <v>0</v>
      </c>
      <c r="J3003" s="1">
        <f t="shared" si="230"/>
        <v>16900</v>
      </c>
      <c r="K3003" s="1">
        <f t="shared" si="231"/>
        <v>14400</v>
      </c>
      <c r="L3003" s="1">
        <f t="shared" si="232"/>
        <v>31300</v>
      </c>
      <c r="M3003" s="1">
        <f t="shared" si="233"/>
        <v>176.91806012954132</v>
      </c>
      <c r="N3003" s="7">
        <f t="shared" si="234"/>
        <v>176.91806012954132</v>
      </c>
    </row>
    <row r="3004" spans="1:14" x14ac:dyDescent="0.25">
      <c r="A3004" t="str">
        <f>"14:40:24.469"</f>
        <v>14:40:24.469</v>
      </c>
      <c r="B3004">
        <v>40.372717000000002</v>
      </c>
      <c r="C3004">
        <v>-75.035505000000001</v>
      </c>
      <c r="D3004">
        <v>3700</v>
      </c>
      <c r="E3004">
        <v>3850</v>
      </c>
      <c r="F3004">
        <v>130</v>
      </c>
      <c r="G3004">
        <v>120</v>
      </c>
      <c r="H3004">
        <v>0</v>
      </c>
      <c r="J3004" s="1">
        <f t="shared" si="230"/>
        <v>16900</v>
      </c>
      <c r="K3004" s="1">
        <f t="shared" si="231"/>
        <v>14400</v>
      </c>
      <c r="L3004" s="1">
        <f t="shared" si="232"/>
        <v>31300</v>
      </c>
      <c r="M3004" s="1">
        <f t="shared" si="233"/>
        <v>176.91806012954132</v>
      </c>
      <c r="N3004" s="7">
        <f t="shared" si="234"/>
        <v>176.91806012954132</v>
      </c>
    </row>
    <row r="3005" spans="1:14" x14ac:dyDescent="0.25">
      <c r="A3005" t="str">
        <f>"14:40:25.523"</f>
        <v>14:40:25.523</v>
      </c>
      <c r="B3005">
        <v>40.373339999999999</v>
      </c>
      <c r="C3005">
        <v>-75.034604000000002</v>
      </c>
      <c r="D3005">
        <v>3700</v>
      </c>
      <c r="E3005">
        <v>3850</v>
      </c>
      <c r="F3005">
        <v>129</v>
      </c>
      <c r="G3005">
        <v>120</v>
      </c>
      <c r="H3005">
        <v>64</v>
      </c>
      <c r="J3005" s="1">
        <f t="shared" si="230"/>
        <v>16641</v>
      </c>
      <c r="K3005" s="1">
        <f t="shared" si="231"/>
        <v>14400</v>
      </c>
      <c r="L3005" s="1">
        <f t="shared" si="232"/>
        <v>31041</v>
      </c>
      <c r="M3005" s="1">
        <f t="shared" si="233"/>
        <v>176.18456232031227</v>
      </c>
      <c r="N3005" s="7">
        <f t="shared" si="234"/>
        <v>176.18456232031227</v>
      </c>
    </row>
    <row r="3006" spans="1:14" x14ac:dyDescent="0.25">
      <c r="A3006" t="str">
        <f>"14:40:26.484"</f>
        <v>14:40:26.484</v>
      </c>
      <c r="B3006">
        <v>40.373832999999998</v>
      </c>
      <c r="C3006">
        <v>-75.033939000000004</v>
      </c>
      <c r="D3006">
        <v>3700</v>
      </c>
      <c r="E3006">
        <v>3850</v>
      </c>
      <c r="F3006">
        <v>129</v>
      </c>
      <c r="G3006">
        <v>120</v>
      </c>
      <c r="H3006">
        <v>0</v>
      </c>
      <c r="J3006" s="1">
        <f t="shared" si="230"/>
        <v>16641</v>
      </c>
      <c r="K3006" s="1">
        <f t="shared" si="231"/>
        <v>14400</v>
      </c>
      <c r="L3006" s="1">
        <f t="shared" si="232"/>
        <v>31041</v>
      </c>
      <c r="M3006" s="1">
        <f t="shared" si="233"/>
        <v>176.18456232031227</v>
      </c>
      <c r="N3006" s="7">
        <f t="shared" si="234"/>
        <v>176.18456232031227</v>
      </c>
    </row>
    <row r="3007" spans="1:14" x14ac:dyDescent="0.25">
      <c r="A3007" t="str">
        <f>"14:40:27.344"</f>
        <v>14:40:27.344</v>
      </c>
      <c r="B3007">
        <v>40.374347999999998</v>
      </c>
      <c r="C3007">
        <v>-75.033208999999999</v>
      </c>
      <c r="D3007">
        <v>3700</v>
      </c>
      <c r="E3007">
        <v>3850</v>
      </c>
      <c r="F3007">
        <v>129</v>
      </c>
      <c r="G3007">
        <v>121</v>
      </c>
      <c r="H3007">
        <v>0</v>
      </c>
      <c r="J3007" s="1">
        <f t="shared" si="230"/>
        <v>16641</v>
      </c>
      <c r="K3007" s="1">
        <f t="shared" si="231"/>
        <v>14641</v>
      </c>
      <c r="L3007" s="1">
        <f t="shared" si="232"/>
        <v>31282</v>
      </c>
      <c r="M3007" s="1">
        <f t="shared" si="233"/>
        <v>176.86718180600946</v>
      </c>
      <c r="N3007" s="7">
        <f t="shared" si="234"/>
        <v>176.86718180600946</v>
      </c>
    </row>
    <row r="3008" spans="1:14" x14ac:dyDescent="0.25">
      <c r="A3008" t="str">
        <f>"14:40:28.250"</f>
        <v>14:40:28.250</v>
      </c>
      <c r="B3008">
        <v>40.374842000000001</v>
      </c>
      <c r="C3008">
        <v>-75.032500999999996</v>
      </c>
      <c r="D3008">
        <v>3700</v>
      </c>
      <c r="E3008">
        <v>3850</v>
      </c>
      <c r="F3008">
        <v>129</v>
      </c>
      <c r="G3008">
        <v>121</v>
      </c>
      <c r="H3008">
        <v>0</v>
      </c>
      <c r="J3008" s="1">
        <f t="shared" si="230"/>
        <v>16641</v>
      </c>
      <c r="K3008" s="1">
        <f t="shared" si="231"/>
        <v>14641</v>
      </c>
      <c r="L3008" s="1">
        <f t="shared" si="232"/>
        <v>31282</v>
      </c>
      <c r="M3008" s="1">
        <f t="shared" si="233"/>
        <v>176.86718180600946</v>
      </c>
      <c r="N3008" s="7">
        <f t="shared" si="234"/>
        <v>176.86718180600946</v>
      </c>
    </row>
    <row r="3009" spans="1:14" x14ac:dyDescent="0.25">
      <c r="A3009" t="str">
        <f>"14:40:29.414"</f>
        <v>14:40:29.414</v>
      </c>
      <c r="B3009">
        <v>40.375442999999997</v>
      </c>
      <c r="C3009">
        <v>-75.031685999999993</v>
      </c>
      <c r="D3009">
        <v>3700</v>
      </c>
      <c r="E3009">
        <v>3850</v>
      </c>
      <c r="F3009">
        <v>129</v>
      </c>
      <c r="G3009">
        <v>121</v>
      </c>
      <c r="H3009">
        <v>0</v>
      </c>
      <c r="J3009" s="1">
        <f t="shared" si="230"/>
        <v>16641</v>
      </c>
      <c r="K3009" s="1">
        <f t="shared" si="231"/>
        <v>14641</v>
      </c>
      <c r="L3009" s="1">
        <f t="shared" si="232"/>
        <v>31282</v>
      </c>
      <c r="M3009" s="1">
        <f t="shared" si="233"/>
        <v>176.86718180600946</v>
      </c>
      <c r="N3009" s="7">
        <f t="shared" si="234"/>
        <v>176.86718180600946</v>
      </c>
    </row>
    <row r="3010" spans="1:14" x14ac:dyDescent="0.25">
      <c r="A3010" t="str">
        <f>"14:40:30.477"</f>
        <v>14:40:30.477</v>
      </c>
      <c r="B3010">
        <v>40.376064999999997</v>
      </c>
      <c r="C3010">
        <v>-75.030805999999998</v>
      </c>
      <c r="D3010">
        <v>3700</v>
      </c>
      <c r="E3010">
        <v>3850</v>
      </c>
      <c r="F3010">
        <v>129</v>
      </c>
      <c r="G3010">
        <v>121</v>
      </c>
      <c r="H3010">
        <v>64</v>
      </c>
      <c r="J3010" s="1">
        <f t="shared" si="230"/>
        <v>16641</v>
      </c>
      <c r="K3010" s="1">
        <f t="shared" si="231"/>
        <v>14641</v>
      </c>
      <c r="L3010" s="1">
        <f t="shared" si="232"/>
        <v>31282</v>
      </c>
      <c r="M3010" s="1">
        <f t="shared" si="233"/>
        <v>176.86718180600946</v>
      </c>
      <c r="N3010" s="7">
        <f t="shared" si="234"/>
        <v>176.86718180600946</v>
      </c>
    </row>
    <row r="3011" spans="1:14" x14ac:dyDescent="0.25">
      <c r="A3011" t="str">
        <f>"14:40:31.430"</f>
        <v>14:40:31.430</v>
      </c>
      <c r="B3011">
        <v>40.376623000000002</v>
      </c>
      <c r="C3011">
        <v>-75.030011999999999</v>
      </c>
      <c r="D3011">
        <v>3700</v>
      </c>
      <c r="E3011">
        <v>3850</v>
      </c>
      <c r="F3011">
        <v>129</v>
      </c>
      <c r="G3011">
        <v>121</v>
      </c>
      <c r="H3011">
        <v>64</v>
      </c>
      <c r="J3011" s="1">
        <f t="shared" ref="J3011:J3074" si="235">F3011^2</f>
        <v>16641</v>
      </c>
      <c r="K3011" s="1">
        <f t="shared" ref="K3011:K3074" si="236">G3011^2</f>
        <v>14641</v>
      </c>
      <c r="L3011" s="1">
        <f t="shared" ref="L3011:L3074" si="237">SUMSQ(F3011,G3011)</f>
        <v>31282</v>
      </c>
      <c r="M3011" s="1">
        <f t="shared" ref="M3011:M3074" si="238">SQRT(L3011)</f>
        <v>176.86718180600946</v>
      </c>
      <c r="N3011" s="7">
        <f t="shared" ref="N3011:N3074" si="239">M3011</f>
        <v>176.86718180600946</v>
      </c>
    </row>
    <row r="3012" spans="1:14" x14ac:dyDescent="0.25">
      <c r="A3012" t="str">
        <f>"14:40:32.492"</f>
        <v>14:40:32.492</v>
      </c>
      <c r="B3012">
        <v>40.377181</v>
      </c>
      <c r="C3012">
        <v>-75.029261000000005</v>
      </c>
      <c r="D3012">
        <v>3700</v>
      </c>
      <c r="E3012">
        <v>3875</v>
      </c>
      <c r="F3012">
        <v>129</v>
      </c>
      <c r="G3012">
        <v>121</v>
      </c>
      <c r="H3012">
        <v>64</v>
      </c>
      <c r="J3012" s="1">
        <f t="shared" si="235"/>
        <v>16641</v>
      </c>
      <c r="K3012" s="1">
        <f t="shared" si="236"/>
        <v>14641</v>
      </c>
      <c r="L3012" s="1">
        <f t="shared" si="237"/>
        <v>31282</v>
      </c>
      <c r="M3012" s="1">
        <f t="shared" si="238"/>
        <v>176.86718180600946</v>
      </c>
      <c r="N3012" s="7">
        <f t="shared" si="239"/>
        <v>176.86718180600946</v>
      </c>
    </row>
    <row r="3013" spans="1:14" x14ac:dyDescent="0.25">
      <c r="A3013" t="str">
        <f>"14:40:33.453"</f>
        <v>14:40:33.453</v>
      </c>
      <c r="B3013">
        <v>40.377738000000001</v>
      </c>
      <c r="C3013">
        <v>-75.028446000000002</v>
      </c>
      <c r="D3013">
        <v>3700</v>
      </c>
      <c r="E3013">
        <v>3875</v>
      </c>
      <c r="F3013">
        <v>129</v>
      </c>
      <c r="G3013">
        <v>121</v>
      </c>
      <c r="H3013">
        <v>0</v>
      </c>
      <c r="J3013" s="1">
        <f t="shared" si="235"/>
        <v>16641</v>
      </c>
      <c r="K3013" s="1">
        <f t="shared" si="236"/>
        <v>14641</v>
      </c>
      <c r="L3013" s="1">
        <f t="shared" si="237"/>
        <v>31282</v>
      </c>
      <c r="M3013" s="1">
        <f t="shared" si="238"/>
        <v>176.86718180600946</v>
      </c>
      <c r="N3013" s="7">
        <f t="shared" si="239"/>
        <v>176.86718180600946</v>
      </c>
    </row>
    <row r="3014" spans="1:14" x14ac:dyDescent="0.25">
      <c r="A3014" t="str">
        <f>"14:40:34.359"</f>
        <v>14:40:34.359</v>
      </c>
      <c r="B3014">
        <v>40.378231999999997</v>
      </c>
      <c r="C3014">
        <v>-75.027781000000004</v>
      </c>
      <c r="D3014">
        <v>3700</v>
      </c>
      <c r="E3014">
        <v>3875</v>
      </c>
      <c r="F3014">
        <v>129</v>
      </c>
      <c r="G3014">
        <v>120</v>
      </c>
      <c r="H3014">
        <v>64</v>
      </c>
      <c r="J3014" s="1">
        <f t="shared" si="235"/>
        <v>16641</v>
      </c>
      <c r="K3014" s="1">
        <f t="shared" si="236"/>
        <v>14400</v>
      </c>
      <c r="L3014" s="1">
        <f t="shared" si="237"/>
        <v>31041</v>
      </c>
      <c r="M3014" s="1">
        <f t="shared" si="238"/>
        <v>176.18456232031227</v>
      </c>
      <c r="N3014" s="7">
        <f t="shared" si="239"/>
        <v>176.18456232031227</v>
      </c>
    </row>
    <row r="3015" spans="1:14" x14ac:dyDescent="0.25">
      <c r="A3015" t="str">
        <f>"14:40:35.523"</f>
        <v>14:40:35.523</v>
      </c>
      <c r="B3015">
        <v>40.378919000000003</v>
      </c>
      <c r="C3015">
        <v>-75.026792999999998</v>
      </c>
      <c r="D3015">
        <v>3700</v>
      </c>
      <c r="E3015">
        <v>3875</v>
      </c>
      <c r="F3015">
        <v>129</v>
      </c>
      <c r="G3015">
        <v>120</v>
      </c>
      <c r="H3015">
        <v>64</v>
      </c>
      <c r="J3015" s="1">
        <f t="shared" si="235"/>
        <v>16641</v>
      </c>
      <c r="K3015" s="1">
        <f t="shared" si="236"/>
        <v>14400</v>
      </c>
      <c r="L3015" s="1">
        <f t="shared" si="237"/>
        <v>31041</v>
      </c>
      <c r="M3015" s="1">
        <f t="shared" si="238"/>
        <v>176.18456232031227</v>
      </c>
      <c r="N3015" s="7">
        <f t="shared" si="239"/>
        <v>176.18456232031227</v>
      </c>
    </row>
    <row r="3016" spans="1:14" x14ac:dyDescent="0.25">
      <c r="A3016" t="str">
        <f>"14:40:36.477"</f>
        <v>14:40:36.477</v>
      </c>
      <c r="B3016">
        <v>40.379412000000002</v>
      </c>
      <c r="C3016">
        <v>-75.026128</v>
      </c>
      <c r="D3016">
        <v>3700</v>
      </c>
      <c r="E3016">
        <v>3875</v>
      </c>
      <c r="F3016">
        <v>130</v>
      </c>
      <c r="G3016">
        <v>120</v>
      </c>
      <c r="H3016">
        <v>0</v>
      </c>
      <c r="J3016" s="1">
        <f t="shared" si="235"/>
        <v>16900</v>
      </c>
      <c r="K3016" s="1">
        <f t="shared" si="236"/>
        <v>14400</v>
      </c>
      <c r="L3016" s="1">
        <f t="shared" si="237"/>
        <v>31300</v>
      </c>
      <c r="M3016" s="1">
        <f t="shared" si="238"/>
        <v>176.91806012954132</v>
      </c>
      <c r="N3016" s="7">
        <f t="shared" si="239"/>
        <v>176.91806012954132</v>
      </c>
    </row>
    <row r="3017" spans="1:14" x14ac:dyDescent="0.25">
      <c r="A3017" t="str">
        <f>"14:40:37.289"</f>
        <v>14:40:37.289</v>
      </c>
      <c r="B3017">
        <v>40.379927000000002</v>
      </c>
      <c r="C3017">
        <v>-75.025398999999993</v>
      </c>
      <c r="D3017">
        <v>3700</v>
      </c>
      <c r="E3017">
        <v>3875</v>
      </c>
      <c r="F3017">
        <v>130</v>
      </c>
      <c r="G3017">
        <v>120</v>
      </c>
      <c r="H3017">
        <v>64</v>
      </c>
      <c r="J3017" s="1">
        <f t="shared" si="235"/>
        <v>16900</v>
      </c>
      <c r="K3017" s="1">
        <f t="shared" si="236"/>
        <v>14400</v>
      </c>
      <c r="L3017" s="1">
        <f t="shared" si="237"/>
        <v>31300</v>
      </c>
      <c r="M3017" s="1">
        <f t="shared" si="238"/>
        <v>176.91806012954132</v>
      </c>
      <c r="N3017" s="7">
        <f t="shared" si="239"/>
        <v>176.91806012954132</v>
      </c>
    </row>
    <row r="3018" spans="1:14" x14ac:dyDescent="0.25">
      <c r="A3018" t="str">
        <f>"14:40:38.297"</f>
        <v>14:40:38.297</v>
      </c>
      <c r="B3018">
        <v>40.380442000000002</v>
      </c>
      <c r="C3018">
        <v>-75.024691000000004</v>
      </c>
      <c r="D3018">
        <v>3700</v>
      </c>
      <c r="E3018">
        <v>3875</v>
      </c>
      <c r="F3018">
        <v>130</v>
      </c>
      <c r="G3018">
        <v>120</v>
      </c>
      <c r="H3018">
        <v>0</v>
      </c>
      <c r="J3018" s="1">
        <f t="shared" si="235"/>
        <v>16900</v>
      </c>
      <c r="K3018" s="1">
        <f t="shared" si="236"/>
        <v>14400</v>
      </c>
      <c r="L3018" s="1">
        <f t="shared" si="237"/>
        <v>31300</v>
      </c>
      <c r="M3018" s="1">
        <f t="shared" si="238"/>
        <v>176.91806012954132</v>
      </c>
      <c r="N3018" s="7">
        <f t="shared" si="239"/>
        <v>176.91806012954132</v>
      </c>
    </row>
    <row r="3019" spans="1:14" x14ac:dyDescent="0.25">
      <c r="A3019" t="str">
        <f>"14:40:39.305"</f>
        <v>14:40:39.305</v>
      </c>
      <c r="B3019">
        <v>40.381020999999997</v>
      </c>
      <c r="C3019">
        <v>-75.023810999999995</v>
      </c>
      <c r="D3019">
        <v>3700</v>
      </c>
      <c r="E3019">
        <v>3875</v>
      </c>
      <c r="F3019">
        <v>130</v>
      </c>
      <c r="G3019">
        <v>119</v>
      </c>
      <c r="H3019">
        <v>0</v>
      </c>
      <c r="J3019" s="1">
        <f t="shared" si="235"/>
        <v>16900</v>
      </c>
      <c r="K3019" s="1">
        <f t="shared" si="236"/>
        <v>14161</v>
      </c>
      <c r="L3019" s="1">
        <f t="shared" si="237"/>
        <v>31061</v>
      </c>
      <c r="M3019" s="1">
        <f t="shared" si="238"/>
        <v>176.24131184259835</v>
      </c>
      <c r="N3019" s="7">
        <f t="shared" si="239"/>
        <v>176.24131184259835</v>
      </c>
    </row>
    <row r="3020" spans="1:14" x14ac:dyDescent="0.25">
      <c r="A3020" t="str">
        <f>"14:40:40.219"</f>
        <v>14:40:40.219</v>
      </c>
      <c r="B3020">
        <v>40.381515</v>
      </c>
      <c r="C3020">
        <v>-75.023145999999997</v>
      </c>
      <c r="D3020">
        <v>3700</v>
      </c>
      <c r="E3020">
        <v>3875</v>
      </c>
      <c r="F3020">
        <v>130</v>
      </c>
      <c r="G3020">
        <v>119</v>
      </c>
      <c r="H3020">
        <v>0</v>
      </c>
      <c r="J3020" s="1">
        <f t="shared" si="235"/>
        <v>16900</v>
      </c>
      <c r="K3020" s="1">
        <f t="shared" si="236"/>
        <v>14161</v>
      </c>
      <c r="L3020" s="1">
        <f t="shared" si="237"/>
        <v>31061</v>
      </c>
      <c r="M3020" s="1">
        <f t="shared" si="238"/>
        <v>176.24131184259835</v>
      </c>
      <c r="N3020" s="7">
        <f t="shared" si="239"/>
        <v>176.24131184259835</v>
      </c>
    </row>
    <row r="3021" spans="1:14" x14ac:dyDescent="0.25">
      <c r="A3021" t="str">
        <f>"14:40:41.227"</f>
        <v>14:40:41.227</v>
      </c>
      <c r="B3021">
        <v>40.382072999999998</v>
      </c>
      <c r="C3021">
        <v>-75.022329999999997</v>
      </c>
      <c r="D3021">
        <v>3700</v>
      </c>
      <c r="E3021">
        <v>3875</v>
      </c>
      <c r="F3021">
        <v>130</v>
      </c>
      <c r="G3021">
        <v>119</v>
      </c>
      <c r="H3021">
        <v>0</v>
      </c>
      <c r="J3021" s="1">
        <f t="shared" si="235"/>
        <v>16900</v>
      </c>
      <c r="K3021" s="1">
        <f t="shared" si="236"/>
        <v>14161</v>
      </c>
      <c r="L3021" s="1">
        <f t="shared" si="237"/>
        <v>31061</v>
      </c>
      <c r="M3021" s="1">
        <f t="shared" si="238"/>
        <v>176.24131184259835</v>
      </c>
      <c r="N3021" s="7">
        <f t="shared" si="239"/>
        <v>176.24131184259835</v>
      </c>
    </row>
    <row r="3022" spans="1:14" x14ac:dyDescent="0.25">
      <c r="A3022" t="str">
        <f>"14:40:42.289"</f>
        <v>14:40:42.289</v>
      </c>
      <c r="B3022">
        <v>40.382631000000003</v>
      </c>
      <c r="C3022">
        <v>-75.021514999999994</v>
      </c>
      <c r="D3022">
        <v>3700</v>
      </c>
      <c r="E3022">
        <v>3875</v>
      </c>
      <c r="F3022">
        <v>130</v>
      </c>
      <c r="G3022">
        <v>119</v>
      </c>
      <c r="H3022">
        <v>-64</v>
      </c>
      <c r="J3022" s="1">
        <f t="shared" si="235"/>
        <v>16900</v>
      </c>
      <c r="K3022" s="1">
        <f t="shared" si="236"/>
        <v>14161</v>
      </c>
      <c r="L3022" s="1">
        <f t="shared" si="237"/>
        <v>31061</v>
      </c>
      <c r="M3022" s="1">
        <f t="shared" si="238"/>
        <v>176.24131184259835</v>
      </c>
      <c r="N3022" s="7">
        <f t="shared" si="239"/>
        <v>176.24131184259835</v>
      </c>
    </row>
    <row r="3023" spans="1:14" x14ac:dyDescent="0.25">
      <c r="A3023" t="str">
        <f>"14:40:43.195"</f>
        <v>14:40:43.195</v>
      </c>
      <c r="B3023">
        <v>40.383124000000002</v>
      </c>
      <c r="C3023">
        <v>-75.020807000000005</v>
      </c>
      <c r="D3023">
        <v>3700</v>
      </c>
      <c r="E3023">
        <v>3875</v>
      </c>
      <c r="F3023">
        <v>130</v>
      </c>
      <c r="G3023">
        <v>120</v>
      </c>
      <c r="H3023">
        <v>0</v>
      </c>
      <c r="J3023" s="1">
        <f t="shared" si="235"/>
        <v>16900</v>
      </c>
      <c r="K3023" s="1">
        <f t="shared" si="236"/>
        <v>14400</v>
      </c>
      <c r="L3023" s="1">
        <f t="shared" si="237"/>
        <v>31300</v>
      </c>
      <c r="M3023" s="1">
        <f t="shared" si="238"/>
        <v>176.91806012954132</v>
      </c>
      <c r="N3023" s="7">
        <f t="shared" si="239"/>
        <v>176.91806012954132</v>
      </c>
    </row>
    <row r="3024" spans="1:14" x14ac:dyDescent="0.25">
      <c r="A3024" t="str">
        <f>"14:40:44.203"</f>
        <v>14:40:44.203</v>
      </c>
      <c r="B3024">
        <v>40.383747</v>
      </c>
      <c r="C3024">
        <v>-75.019947999999999</v>
      </c>
      <c r="D3024">
        <v>3700</v>
      </c>
      <c r="E3024">
        <v>3875</v>
      </c>
      <c r="F3024">
        <v>130</v>
      </c>
      <c r="G3024">
        <v>120</v>
      </c>
      <c r="H3024">
        <v>-64</v>
      </c>
      <c r="J3024" s="1">
        <f t="shared" si="235"/>
        <v>16900</v>
      </c>
      <c r="K3024" s="1">
        <f t="shared" si="236"/>
        <v>14400</v>
      </c>
      <c r="L3024" s="1">
        <f t="shared" si="237"/>
        <v>31300</v>
      </c>
      <c r="M3024" s="1">
        <f t="shared" si="238"/>
        <v>176.91806012954132</v>
      </c>
      <c r="N3024" s="7">
        <f t="shared" si="239"/>
        <v>176.91806012954132</v>
      </c>
    </row>
    <row r="3025" spans="1:14" x14ac:dyDescent="0.25">
      <c r="A3025" t="str">
        <f>"14:40:45.219"</f>
        <v>14:40:45.219</v>
      </c>
      <c r="B3025">
        <v>40.384304999999998</v>
      </c>
      <c r="C3025">
        <v>-75.019132999999997</v>
      </c>
      <c r="D3025">
        <v>3700</v>
      </c>
      <c r="E3025">
        <v>3875</v>
      </c>
      <c r="F3025">
        <v>130</v>
      </c>
      <c r="G3025">
        <v>120</v>
      </c>
      <c r="H3025">
        <v>-64</v>
      </c>
      <c r="J3025" s="1">
        <f t="shared" si="235"/>
        <v>16900</v>
      </c>
      <c r="K3025" s="1">
        <f t="shared" si="236"/>
        <v>14400</v>
      </c>
      <c r="L3025" s="1">
        <f t="shared" si="237"/>
        <v>31300</v>
      </c>
      <c r="M3025" s="1">
        <f t="shared" si="238"/>
        <v>176.91806012954132</v>
      </c>
      <c r="N3025" s="7">
        <f t="shared" si="239"/>
        <v>176.91806012954132</v>
      </c>
    </row>
    <row r="3026" spans="1:14" x14ac:dyDescent="0.25">
      <c r="A3026" t="str">
        <f>"14:40:46.273"</f>
        <v>14:40:46.273</v>
      </c>
      <c r="B3026">
        <v>40.384926999999998</v>
      </c>
      <c r="C3026">
        <v>-75.018317999999994</v>
      </c>
      <c r="D3026">
        <v>3700</v>
      </c>
      <c r="E3026">
        <v>3875</v>
      </c>
      <c r="F3026">
        <v>130</v>
      </c>
      <c r="G3026">
        <v>120</v>
      </c>
      <c r="H3026">
        <v>0</v>
      </c>
      <c r="J3026" s="1">
        <f t="shared" si="235"/>
        <v>16900</v>
      </c>
      <c r="K3026" s="1">
        <f t="shared" si="236"/>
        <v>14400</v>
      </c>
      <c r="L3026" s="1">
        <f t="shared" si="237"/>
        <v>31300</v>
      </c>
      <c r="M3026" s="1">
        <f t="shared" si="238"/>
        <v>176.91806012954132</v>
      </c>
      <c r="N3026" s="7">
        <f t="shared" si="239"/>
        <v>176.91806012954132</v>
      </c>
    </row>
    <row r="3027" spans="1:14" x14ac:dyDescent="0.25">
      <c r="A3027" t="str">
        <f>"14:40:47.336"</f>
        <v>14:40:47.336</v>
      </c>
      <c r="B3027">
        <v>40.385463000000001</v>
      </c>
      <c r="C3027">
        <v>-75.017523999999995</v>
      </c>
      <c r="D3027">
        <v>3700</v>
      </c>
      <c r="E3027">
        <v>3875</v>
      </c>
      <c r="F3027">
        <v>130</v>
      </c>
      <c r="G3027">
        <v>120</v>
      </c>
      <c r="H3027">
        <v>0</v>
      </c>
      <c r="J3027" s="1">
        <f t="shared" si="235"/>
        <v>16900</v>
      </c>
      <c r="K3027" s="1">
        <f t="shared" si="236"/>
        <v>14400</v>
      </c>
      <c r="L3027" s="1">
        <f t="shared" si="237"/>
        <v>31300</v>
      </c>
      <c r="M3027" s="1">
        <f t="shared" si="238"/>
        <v>176.91806012954132</v>
      </c>
      <c r="N3027" s="7">
        <f t="shared" si="239"/>
        <v>176.91806012954132</v>
      </c>
    </row>
    <row r="3028" spans="1:14" x14ac:dyDescent="0.25">
      <c r="A3028" t="str">
        <f>"14:40:48.445"</f>
        <v>14:40:48.445</v>
      </c>
      <c r="B3028">
        <v>40.386063999999998</v>
      </c>
      <c r="C3028">
        <v>-75.016643999999999</v>
      </c>
      <c r="D3028">
        <v>3700</v>
      </c>
      <c r="E3028">
        <v>3875</v>
      </c>
      <c r="F3028">
        <v>130</v>
      </c>
      <c r="G3028">
        <v>120</v>
      </c>
      <c r="H3028">
        <v>0</v>
      </c>
      <c r="J3028" s="1">
        <f t="shared" si="235"/>
        <v>16900</v>
      </c>
      <c r="K3028" s="1">
        <f t="shared" si="236"/>
        <v>14400</v>
      </c>
      <c r="L3028" s="1">
        <f t="shared" si="237"/>
        <v>31300</v>
      </c>
      <c r="M3028" s="1">
        <f t="shared" si="238"/>
        <v>176.91806012954132</v>
      </c>
      <c r="N3028" s="7">
        <f t="shared" si="239"/>
        <v>176.91806012954132</v>
      </c>
    </row>
    <row r="3029" spans="1:14" x14ac:dyDescent="0.25">
      <c r="A3029" t="str">
        <f>"14:40:49.352"</f>
        <v>14:40:49.352</v>
      </c>
      <c r="B3029">
        <v>40.386558000000001</v>
      </c>
      <c r="C3029">
        <v>-75.015935999999996</v>
      </c>
      <c r="D3029">
        <v>3700</v>
      </c>
      <c r="E3029">
        <v>3875</v>
      </c>
      <c r="F3029">
        <v>130</v>
      </c>
      <c r="G3029">
        <v>120</v>
      </c>
      <c r="H3029">
        <v>0</v>
      </c>
      <c r="J3029" s="1">
        <f t="shared" si="235"/>
        <v>16900</v>
      </c>
      <c r="K3029" s="1">
        <f t="shared" si="236"/>
        <v>14400</v>
      </c>
      <c r="L3029" s="1">
        <f t="shared" si="237"/>
        <v>31300</v>
      </c>
      <c r="M3029" s="1">
        <f t="shared" si="238"/>
        <v>176.91806012954132</v>
      </c>
      <c r="N3029" s="7">
        <f t="shared" si="239"/>
        <v>176.91806012954132</v>
      </c>
    </row>
    <row r="3030" spans="1:14" x14ac:dyDescent="0.25">
      <c r="A3030" t="str">
        <f>"14:40:50.367"</f>
        <v>14:40:50.367</v>
      </c>
      <c r="B3030">
        <v>40.387115000000001</v>
      </c>
      <c r="C3030">
        <v>-75.015141999999997</v>
      </c>
      <c r="D3030">
        <v>3700</v>
      </c>
      <c r="E3030">
        <v>3875</v>
      </c>
      <c r="F3030">
        <v>130</v>
      </c>
      <c r="G3030">
        <v>120</v>
      </c>
      <c r="H3030">
        <v>0</v>
      </c>
      <c r="J3030" s="1">
        <f t="shared" si="235"/>
        <v>16900</v>
      </c>
      <c r="K3030" s="1">
        <f t="shared" si="236"/>
        <v>14400</v>
      </c>
      <c r="L3030" s="1">
        <f t="shared" si="237"/>
        <v>31300</v>
      </c>
      <c r="M3030" s="1">
        <f t="shared" si="238"/>
        <v>176.91806012954132</v>
      </c>
      <c r="N3030" s="7">
        <f t="shared" si="239"/>
        <v>176.91806012954132</v>
      </c>
    </row>
    <row r="3031" spans="1:14" x14ac:dyDescent="0.25">
      <c r="A3031" t="str">
        <f>"14:40:51.375"</f>
        <v>14:40:51.375</v>
      </c>
      <c r="B3031">
        <v>40.387715999999998</v>
      </c>
      <c r="C3031">
        <v>-75.014347999999998</v>
      </c>
      <c r="D3031">
        <v>3700</v>
      </c>
      <c r="E3031">
        <v>3875</v>
      </c>
      <c r="F3031">
        <v>130</v>
      </c>
      <c r="G3031">
        <v>121</v>
      </c>
      <c r="H3031">
        <v>0</v>
      </c>
      <c r="J3031" s="1">
        <f t="shared" si="235"/>
        <v>16900</v>
      </c>
      <c r="K3031" s="1">
        <f t="shared" si="236"/>
        <v>14641</v>
      </c>
      <c r="L3031" s="1">
        <f t="shared" si="237"/>
        <v>31541</v>
      </c>
      <c r="M3031" s="1">
        <f t="shared" si="238"/>
        <v>177.59786034747154</v>
      </c>
      <c r="N3031" s="7">
        <f t="shared" si="239"/>
        <v>177.59786034747154</v>
      </c>
    </row>
    <row r="3032" spans="1:14" x14ac:dyDescent="0.25">
      <c r="A3032" t="str">
        <f>"14:40:52.336"</f>
        <v>14:40:52.336</v>
      </c>
      <c r="B3032">
        <v>40.388252999999999</v>
      </c>
      <c r="C3032">
        <v>-75.013553999999999</v>
      </c>
      <c r="D3032">
        <v>3700</v>
      </c>
      <c r="E3032">
        <v>3875</v>
      </c>
      <c r="F3032">
        <v>130</v>
      </c>
      <c r="G3032">
        <v>121</v>
      </c>
      <c r="H3032">
        <v>0</v>
      </c>
      <c r="J3032" s="1">
        <f t="shared" si="235"/>
        <v>16900</v>
      </c>
      <c r="K3032" s="1">
        <f t="shared" si="236"/>
        <v>14641</v>
      </c>
      <c r="L3032" s="1">
        <f t="shared" si="237"/>
        <v>31541</v>
      </c>
      <c r="M3032" s="1">
        <f t="shared" si="238"/>
        <v>177.59786034747154</v>
      </c>
      <c r="N3032" s="7">
        <f t="shared" si="239"/>
        <v>177.59786034747154</v>
      </c>
    </row>
    <row r="3033" spans="1:14" x14ac:dyDescent="0.25">
      <c r="A3033" t="str">
        <f>"14:40:53.344"</f>
        <v>14:40:53.344</v>
      </c>
      <c r="B3033">
        <v>40.388810999999997</v>
      </c>
      <c r="C3033">
        <v>-75.012825000000007</v>
      </c>
      <c r="D3033">
        <v>3700</v>
      </c>
      <c r="E3033">
        <v>3875</v>
      </c>
      <c r="F3033">
        <v>130</v>
      </c>
      <c r="G3033">
        <v>121</v>
      </c>
      <c r="H3033">
        <v>64</v>
      </c>
      <c r="J3033" s="1">
        <f t="shared" si="235"/>
        <v>16900</v>
      </c>
      <c r="K3033" s="1">
        <f t="shared" si="236"/>
        <v>14641</v>
      </c>
      <c r="L3033" s="1">
        <f t="shared" si="237"/>
        <v>31541</v>
      </c>
      <c r="M3033" s="1">
        <f t="shared" si="238"/>
        <v>177.59786034747154</v>
      </c>
      <c r="N3033" s="7">
        <f t="shared" si="239"/>
        <v>177.59786034747154</v>
      </c>
    </row>
    <row r="3034" spans="1:14" x14ac:dyDescent="0.25">
      <c r="A3034" t="str">
        <f>"14:40:54.508"</f>
        <v>14:40:54.508</v>
      </c>
      <c r="B3034">
        <v>40.389411000000003</v>
      </c>
      <c r="C3034">
        <v>-75.011902000000006</v>
      </c>
      <c r="D3034">
        <v>3700</v>
      </c>
      <c r="E3034">
        <v>3875</v>
      </c>
      <c r="F3034">
        <v>130</v>
      </c>
      <c r="G3034">
        <v>121</v>
      </c>
      <c r="H3034">
        <v>0</v>
      </c>
      <c r="J3034" s="1">
        <f t="shared" si="235"/>
        <v>16900</v>
      </c>
      <c r="K3034" s="1">
        <f t="shared" si="236"/>
        <v>14641</v>
      </c>
      <c r="L3034" s="1">
        <f t="shared" si="237"/>
        <v>31541</v>
      </c>
      <c r="M3034" s="1">
        <f t="shared" si="238"/>
        <v>177.59786034747154</v>
      </c>
      <c r="N3034" s="7">
        <f t="shared" si="239"/>
        <v>177.59786034747154</v>
      </c>
    </row>
    <row r="3035" spans="1:14" x14ac:dyDescent="0.25">
      <c r="A3035" t="str">
        <f>"14:40:55.461"</f>
        <v>14:40:55.461</v>
      </c>
      <c r="B3035">
        <v>40.389969000000001</v>
      </c>
      <c r="C3035">
        <v>-75.011150999999998</v>
      </c>
      <c r="D3035">
        <v>3700</v>
      </c>
      <c r="E3035">
        <v>3875</v>
      </c>
      <c r="F3035">
        <v>130</v>
      </c>
      <c r="G3035">
        <v>121</v>
      </c>
      <c r="H3035">
        <v>0</v>
      </c>
      <c r="J3035" s="1">
        <f t="shared" si="235"/>
        <v>16900</v>
      </c>
      <c r="K3035" s="1">
        <f t="shared" si="236"/>
        <v>14641</v>
      </c>
      <c r="L3035" s="1">
        <f t="shared" si="237"/>
        <v>31541</v>
      </c>
      <c r="M3035" s="1">
        <f t="shared" si="238"/>
        <v>177.59786034747154</v>
      </c>
      <c r="N3035" s="7">
        <f t="shared" si="239"/>
        <v>177.59786034747154</v>
      </c>
    </row>
    <row r="3036" spans="1:14" x14ac:dyDescent="0.25">
      <c r="A3036" t="str">
        <f>"14:40:56.375"</f>
        <v>14:40:56.375</v>
      </c>
      <c r="B3036">
        <v>40.390526999999999</v>
      </c>
      <c r="C3036">
        <v>-75.010334999999998</v>
      </c>
      <c r="D3036">
        <v>3700</v>
      </c>
      <c r="E3036">
        <v>3875</v>
      </c>
      <c r="F3036">
        <v>130</v>
      </c>
      <c r="G3036">
        <v>121</v>
      </c>
      <c r="H3036">
        <v>0</v>
      </c>
      <c r="J3036" s="1">
        <f t="shared" si="235"/>
        <v>16900</v>
      </c>
      <c r="K3036" s="1">
        <f t="shared" si="236"/>
        <v>14641</v>
      </c>
      <c r="L3036" s="1">
        <f t="shared" si="237"/>
        <v>31541</v>
      </c>
      <c r="M3036" s="1">
        <f t="shared" si="238"/>
        <v>177.59786034747154</v>
      </c>
      <c r="N3036" s="7">
        <f t="shared" si="239"/>
        <v>177.59786034747154</v>
      </c>
    </row>
    <row r="3037" spans="1:14" x14ac:dyDescent="0.25">
      <c r="A3037" t="str">
        <f>"14:40:57.430"</f>
        <v>14:40:57.430</v>
      </c>
      <c r="B3037">
        <v>40.391084999999997</v>
      </c>
      <c r="C3037">
        <v>-75.009519999999995</v>
      </c>
      <c r="D3037">
        <v>3700</v>
      </c>
      <c r="E3037">
        <v>3875</v>
      </c>
      <c r="F3037">
        <v>130</v>
      </c>
      <c r="G3037">
        <v>121</v>
      </c>
      <c r="H3037">
        <v>0</v>
      </c>
      <c r="J3037" s="1">
        <f t="shared" si="235"/>
        <v>16900</v>
      </c>
      <c r="K3037" s="1">
        <f t="shared" si="236"/>
        <v>14641</v>
      </c>
      <c r="L3037" s="1">
        <f t="shared" si="237"/>
        <v>31541</v>
      </c>
      <c r="M3037" s="1">
        <f t="shared" si="238"/>
        <v>177.59786034747154</v>
      </c>
      <c r="N3037" s="7">
        <f t="shared" si="239"/>
        <v>177.59786034747154</v>
      </c>
    </row>
    <row r="3038" spans="1:14" x14ac:dyDescent="0.25">
      <c r="A3038" t="str">
        <f>"14:40:58.289"</f>
        <v>14:40:58.289</v>
      </c>
      <c r="B3038">
        <v>40.391556999999999</v>
      </c>
      <c r="C3038">
        <v>-75.008898000000002</v>
      </c>
      <c r="D3038">
        <v>3700</v>
      </c>
      <c r="E3038">
        <v>3875</v>
      </c>
      <c r="F3038">
        <v>130</v>
      </c>
      <c r="G3038">
        <v>121</v>
      </c>
      <c r="H3038">
        <v>0</v>
      </c>
      <c r="J3038" s="1">
        <f t="shared" si="235"/>
        <v>16900</v>
      </c>
      <c r="K3038" s="1">
        <f t="shared" si="236"/>
        <v>14641</v>
      </c>
      <c r="L3038" s="1">
        <f t="shared" si="237"/>
        <v>31541</v>
      </c>
      <c r="M3038" s="1">
        <f t="shared" si="238"/>
        <v>177.59786034747154</v>
      </c>
      <c r="N3038" s="7">
        <f t="shared" si="239"/>
        <v>177.59786034747154</v>
      </c>
    </row>
    <row r="3039" spans="1:14" x14ac:dyDescent="0.25">
      <c r="A3039" t="str">
        <f>"14:40:59.352"</f>
        <v>14:40:59.352</v>
      </c>
      <c r="B3039">
        <v>40.392158000000002</v>
      </c>
      <c r="C3039">
        <v>-75.008060999999998</v>
      </c>
      <c r="D3039">
        <v>3700</v>
      </c>
      <c r="E3039">
        <v>3875</v>
      </c>
      <c r="F3039">
        <v>131</v>
      </c>
      <c r="G3039">
        <v>121</v>
      </c>
      <c r="H3039">
        <v>0</v>
      </c>
      <c r="J3039" s="1">
        <f t="shared" si="235"/>
        <v>17161</v>
      </c>
      <c r="K3039" s="1">
        <f t="shared" si="236"/>
        <v>14641</v>
      </c>
      <c r="L3039" s="1">
        <f t="shared" si="237"/>
        <v>31802</v>
      </c>
      <c r="M3039" s="1">
        <f t="shared" si="238"/>
        <v>178.33115263464205</v>
      </c>
      <c r="N3039" s="7">
        <f t="shared" si="239"/>
        <v>178.33115263464205</v>
      </c>
    </row>
    <row r="3040" spans="1:14" x14ac:dyDescent="0.25">
      <c r="A3040" t="str">
        <f>"14:41:00.313"</f>
        <v>14:41:00.313</v>
      </c>
      <c r="B3040">
        <v>40.392736999999997</v>
      </c>
      <c r="C3040">
        <v>-75.007266999999999</v>
      </c>
      <c r="D3040">
        <v>3700</v>
      </c>
      <c r="E3040">
        <v>3875</v>
      </c>
      <c r="F3040">
        <v>131</v>
      </c>
      <c r="G3040">
        <v>120</v>
      </c>
      <c r="H3040">
        <v>-64</v>
      </c>
      <c r="J3040" s="1">
        <f t="shared" si="235"/>
        <v>17161</v>
      </c>
      <c r="K3040" s="1">
        <f t="shared" si="236"/>
        <v>14400</v>
      </c>
      <c r="L3040" s="1">
        <f t="shared" si="237"/>
        <v>31561</v>
      </c>
      <c r="M3040" s="1">
        <f t="shared" si="238"/>
        <v>177.65415840897168</v>
      </c>
      <c r="N3040" s="7">
        <f t="shared" si="239"/>
        <v>177.65415840897168</v>
      </c>
    </row>
    <row r="3041" spans="1:14" x14ac:dyDescent="0.25">
      <c r="A3041" t="str">
        <f>"14:41:01.469"</f>
        <v>14:41:01.469</v>
      </c>
      <c r="B3041">
        <v>40.393338</v>
      </c>
      <c r="C3041">
        <v>-75.006409000000005</v>
      </c>
      <c r="D3041">
        <v>3700</v>
      </c>
      <c r="E3041">
        <v>3875</v>
      </c>
      <c r="F3041">
        <v>131</v>
      </c>
      <c r="G3041">
        <v>120</v>
      </c>
      <c r="H3041">
        <v>-64</v>
      </c>
      <c r="J3041" s="1">
        <f t="shared" si="235"/>
        <v>17161</v>
      </c>
      <c r="K3041" s="1">
        <f t="shared" si="236"/>
        <v>14400</v>
      </c>
      <c r="L3041" s="1">
        <f t="shared" si="237"/>
        <v>31561</v>
      </c>
      <c r="M3041" s="1">
        <f t="shared" si="238"/>
        <v>177.65415840897168</v>
      </c>
      <c r="N3041" s="7">
        <f t="shared" si="239"/>
        <v>177.65415840897168</v>
      </c>
    </row>
    <row r="3042" spans="1:14" x14ac:dyDescent="0.25">
      <c r="A3042" t="str">
        <f>"14:41:02.484"</f>
        <v>14:41:02.484</v>
      </c>
      <c r="B3042">
        <v>40.393895999999998</v>
      </c>
      <c r="C3042">
        <v>-75.005593000000005</v>
      </c>
      <c r="D3042">
        <v>3700</v>
      </c>
      <c r="E3042">
        <v>3850</v>
      </c>
      <c r="F3042">
        <v>131</v>
      </c>
      <c r="G3042">
        <v>120</v>
      </c>
      <c r="H3042">
        <v>-64</v>
      </c>
      <c r="J3042" s="1">
        <f t="shared" si="235"/>
        <v>17161</v>
      </c>
      <c r="K3042" s="1">
        <f t="shared" si="236"/>
        <v>14400</v>
      </c>
      <c r="L3042" s="1">
        <f t="shared" si="237"/>
        <v>31561</v>
      </c>
      <c r="M3042" s="1">
        <f t="shared" si="238"/>
        <v>177.65415840897168</v>
      </c>
      <c r="N3042" s="7">
        <f t="shared" si="239"/>
        <v>177.65415840897168</v>
      </c>
    </row>
    <row r="3043" spans="1:14" x14ac:dyDescent="0.25">
      <c r="A3043" t="str">
        <f>"14:41:03.336"</f>
        <v>14:41:03.336</v>
      </c>
      <c r="B3043">
        <v>40.394390000000001</v>
      </c>
      <c r="C3043">
        <v>-75.004885000000002</v>
      </c>
      <c r="D3043">
        <v>3700</v>
      </c>
      <c r="E3043">
        <v>3850</v>
      </c>
      <c r="F3043">
        <v>131</v>
      </c>
      <c r="G3043">
        <v>120</v>
      </c>
      <c r="H3043">
        <v>-64</v>
      </c>
      <c r="J3043" s="1">
        <f t="shared" si="235"/>
        <v>17161</v>
      </c>
      <c r="K3043" s="1">
        <f t="shared" si="236"/>
        <v>14400</v>
      </c>
      <c r="L3043" s="1">
        <f t="shared" si="237"/>
        <v>31561</v>
      </c>
      <c r="M3043" s="1">
        <f t="shared" si="238"/>
        <v>177.65415840897168</v>
      </c>
      <c r="N3043" s="7">
        <f t="shared" si="239"/>
        <v>177.65415840897168</v>
      </c>
    </row>
    <row r="3044" spans="1:14" x14ac:dyDescent="0.25">
      <c r="A3044" t="str">
        <f>"14:41:04.297"</f>
        <v>14:41:04.297</v>
      </c>
      <c r="B3044">
        <v>40.394947999999999</v>
      </c>
      <c r="C3044">
        <v>-75.004091000000003</v>
      </c>
      <c r="D3044">
        <v>3700</v>
      </c>
      <c r="E3044">
        <v>3850</v>
      </c>
      <c r="F3044">
        <v>131</v>
      </c>
      <c r="G3044">
        <v>120</v>
      </c>
      <c r="H3044">
        <v>0</v>
      </c>
      <c r="J3044" s="1">
        <f t="shared" si="235"/>
        <v>17161</v>
      </c>
      <c r="K3044" s="1">
        <f t="shared" si="236"/>
        <v>14400</v>
      </c>
      <c r="L3044" s="1">
        <f t="shared" si="237"/>
        <v>31561</v>
      </c>
      <c r="M3044" s="1">
        <f t="shared" si="238"/>
        <v>177.65415840897168</v>
      </c>
      <c r="N3044" s="7">
        <f t="shared" si="239"/>
        <v>177.65415840897168</v>
      </c>
    </row>
    <row r="3045" spans="1:14" x14ac:dyDescent="0.25">
      <c r="A3045" t="str">
        <f>"14:41:05.461"</f>
        <v>14:41:05.461</v>
      </c>
      <c r="B3045">
        <v>40.395569999999999</v>
      </c>
      <c r="C3045">
        <v>-75.003232999999994</v>
      </c>
      <c r="D3045">
        <v>3700</v>
      </c>
      <c r="E3045">
        <v>3850</v>
      </c>
      <c r="F3045">
        <v>131</v>
      </c>
      <c r="G3045">
        <v>120</v>
      </c>
      <c r="H3045">
        <v>0</v>
      </c>
      <c r="J3045" s="1">
        <f t="shared" si="235"/>
        <v>17161</v>
      </c>
      <c r="K3045" s="1">
        <f t="shared" si="236"/>
        <v>14400</v>
      </c>
      <c r="L3045" s="1">
        <f t="shared" si="237"/>
        <v>31561</v>
      </c>
      <c r="M3045" s="1">
        <f t="shared" si="238"/>
        <v>177.65415840897168</v>
      </c>
      <c r="N3045" s="7">
        <f t="shared" si="239"/>
        <v>177.65415840897168</v>
      </c>
    </row>
    <row r="3046" spans="1:14" x14ac:dyDescent="0.25">
      <c r="A3046" t="str">
        <f>"14:41:06.570"</f>
        <v>14:41:06.570</v>
      </c>
      <c r="B3046">
        <v>40.396171000000002</v>
      </c>
      <c r="C3046">
        <v>-75.002309999999994</v>
      </c>
      <c r="D3046">
        <v>3700</v>
      </c>
      <c r="E3046">
        <v>3850</v>
      </c>
      <c r="F3046">
        <v>131</v>
      </c>
      <c r="G3046">
        <v>120</v>
      </c>
      <c r="H3046">
        <v>0</v>
      </c>
      <c r="J3046" s="1">
        <f t="shared" si="235"/>
        <v>17161</v>
      </c>
      <c r="K3046" s="1">
        <f t="shared" si="236"/>
        <v>14400</v>
      </c>
      <c r="L3046" s="1">
        <f t="shared" si="237"/>
        <v>31561</v>
      </c>
      <c r="M3046" s="1">
        <f t="shared" si="238"/>
        <v>177.65415840897168</v>
      </c>
      <c r="N3046" s="7">
        <f t="shared" si="239"/>
        <v>177.65415840897168</v>
      </c>
    </row>
    <row r="3047" spans="1:14" x14ac:dyDescent="0.25">
      <c r="A3047" t="str">
        <f>"14:41:07.578"</f>
        <v>14:41:07.578</v>
      </c>
      <c r="B3047">
        <v>40.396729000000001</v>
      </c>
      <c r="C3047">
        <v>-75.001515999999995</v>
      </c>
      <c r="D3047">
        <v>3700</v>
      </c>
      <c r="E3047">
        <v>3850</v>
      </c>
      <c r="F3047">
        <v>131</v>
      </c>
      <c r="G3047">
        <v>120</v>
      </c>
      <c r="H3047">
        <v>0</v>
      </c>
      <c r="J3047" s="1">
        <f t="shared" si="235"/>
        <v>17161</v>
      </c>
      <c r="K3047" s="1">
        <f t="shared" si="236"/>
        <v>14400</v>
      </c>
      <c r="L3047" s="1">
        <f t="shared" si="237"/>
        <v>31561</v>
      </c>
      <c r="M3047" s="1">
        <f t="shared" si="238"/>
        <v>177.65415840897168</v>
      </c>
      <c r="N3047" s="7">
        <f t="shared" si="239"/>
        <v>177.65415840897168</v>
      </c>
    </row>
    <row r="3048" spans="1:14" x14ac:dyDescent="0.25">
      <c r="A3048" t="str">
        <f>"14:41:08.586"</f>
        <v>14:41:08.586</v>
      </c>
      <c r="B3048">
        <v>40.397286000000001</v>
      </c>
      <c r="C3048">
        <v>-75.000721999999996</v>
      </c>
      <c r="D3048">
        <v>3700</v>
      </c>
      <c r="E3048">
        <v>3850</v>
      </c>
      <c r="F3048">
        <v>131</v>
      </c>
      <c r="G3048">
        <v>120</v>
      </c>
      <c r="H3048">
        <v>0</v>
      </c>
      <c r="J3048" s="1">
        <f t="shared" si="235"/>
        <v>17161</v>
      </c>
      <c r="K3048" s="1">
        <f t="shared" si="236"/>
        <v>14400</v>
      </c>
      <c r="L3048" s="1">
        <f t="shared" si="237"/>
        <v>31561</v>
      </c>
      <c r="M3048" s="1">
        <f t="shared" si="238"/>
        <v>177.65415840897168</v>
      </c>
      <c r="N3048" s="7">
        <f t="shared" si="239"/>
        <v>177.65415840897168</v>
      </c>
    </row>
    <row r="3049" spans="1:14" x14ac:dyDescent="0.25">
      <c r="A3049" t="str">
        <f>"14:41:09.648"</f>
        <v>14:41:09.648</v>
      </c>
      <c r="B3049">
        <v>40.397886999999997</v>
      </c>
      <c r="C3049">
        <v>-74.999864000000002</v>
      </c>
      <c r="D3049">
        <v>3700</v>
      </c>
      <c r="E3049">
        <v>3850</v>
      </c>
      <c r="F3049">
        <v>131</v>
      </c>
      <c r="G3049">
        <v>120</v>
      </c>
      <c r="H3049">
        <v>0</v>
      </c>
      <c r="J3049" s="1">
        <f t="shared" si="235"/>
        <v>17161</v>
      </c>
      <c r="K3049" s="1">
        <f t="shared" si="236"/>
        <v>14400</v>
      </c>
      <c r="L3049" s="1">
        <f t="shared" si="237"/>
        <v>31561</v>
      </c>
      <c r="M3049" s="1">
        <f t="shared" si="238"/>
        <v>177.65415840897168</v>
      </c>
      <c r="N3049" s="7">
        <f t="shared" si="239"/>
        <v>177.65415840897168</v>
      </c>
    </row>
    <row r="3050" spans="1:14" x14ac:dyDescent="0.25">
      <c r="A3050" t="str">
        <f>"14:41:10.813"</f>
        <v>14:41:10.813</v>
      </c>
      <c r="B3050">
        <v>40.398595</v>
      </c>
      <c r="C3050">
        <v>-74.998919999999998</v>
      </c>
      <c r="D3050">
        <v>3700</v>
      </c>
      <c r="E3050">
        <v>3850</v>
      </c>
      <c r="F3050">
        <v>131</v>
      </c>
      <c r="G3050">
        <v>120</v>
      </c>
      <c r="H3050">
        <v>64</v>
      </c>
      <c r="J3050" s="1">
        <f t="shared" si="235"/>
        <v>17161</v>
      </c>
      <c r="K3050" s="1">
        <f t="shared" si="236"/>
        <v>14400</v>
      </c>
      <c r="L3050" s="1">
        <f t="shared" si="237"/>
        <v>31561</v>
      </c>
      <c r="M3050" s="1">
        <f t="shared" si="238"/>
        <v>177.65415840897168</v>
      </c>
      <c r="N3050" s="7">
        <f t="shared" si="239"/>
        <v>177.65415840897168</v>
      </c>
    </row>
    <row r="3051" spans="1:14" x14ac:dyDescent="0.25">
      <c r="A3051" t="str">
        <f>"14:41:11.867"</f>
        <v>14:41:11.867</v>
      </c>
      <c r="B3051">
        <v>40.399152999999998</v>
      </c>
      <c r="C3051">
        <v>-74.998104999999995</v>
      </c>
      <c r="D3051">
        <v>3700</v>
      </c>
      <c r="E3051">
        <v>3850</v>
      </c>
      <c r="F3051">
        <v>131</v>
      </c>
      <c r="G3051">
        <v>120</v>
      </c>
      <c r="H3051">
        <v>64</v>
      </c>
      <c r="J3051" s="1">
        <f t="shared" si="235"/>
        <v>17161</v>
      </c>
      <c r="K3051" s="1">
        <f t="shared" si="236"/>
        <v>14400</v>
      </c>
      <c r="L3051" s="1">
        <f t="shared" si="237"/>
        <v>31561</v>
      </c>
      <c r="M3051" s="1">
        <f t="shared" si="238"/>
        <v>177.65415840897168</v>
      </c>
      <c r="N3051" s="7">
        <f t="shared" si="239"/>
        <v>177.65415840897168</v>
      </c>
    </row>
    <row r="3052" spans="1:14" x14ac:dyDescent="0.25">
      <c r="A3052" t="str">
        <f>"14:41:12.875"</f>
        <v>14:41:12.875</v>
      </c>
      <c r="B3052">
        <v>40.399711000000003</v>
      </c>
      <c r="C3052">
        <v>-74.997354000000001</v>
      </c>
      <c r="D3052">
        <v>3700</v>
      </c>
      <c r="E3052">
        <v>3875</v>
      </c>
      <c r="F3052">
        <v>131</v>
      </c>
      <c r="G3052">
        <v>120</v>
      </c>
      <c r="H3052">
        <v>0</v>
      </c>
      <c r="J3052" s="1">
        <f t="shared" si="235"/>
        <v>17161</v>
      </c>
      <c r="K3052" s="1">
        <f t="shared" si="236"/>
        <v>14400</v>
      </c>
      <c r="L3052" s="1">
        <f t="shared" si="237"/>
        <v>31561</v>
      </c>
      <c r="M3052" s="1">
        <f t="shared" si="238"/>
        <v>177.65415840897168</v>
      </c>
      <c r="N3052" s="7">
        <f t="shared" si="239"/>
        <v>177.65415840897168</v>
      </c>
    </row>
    <row r="3053" spans="1:14" x14ac:dyDescent="0.25">
      <c r="A3053" t="str">
        <f>"14:41:13.891"</f>
        <v>14:41:13.891</v>
      </c>
      <c r="B3053">
        <v>40.400226000000004</v>
      </c>
      <c r="C3053">
        <v>-74.996538000000001</v>
      </c>
      <c r="D3053">
        <v>3700</v>
      </c>
      <c r="E3053">
        <v>3875</v>
      </c>
      <c r="F3053">
        <v>131</v>
      </c>
      <c r="G3053">
        <v>120</v>
      </c>
      <c r="H3053">
        <v>0</v>
      </c>
      <c r="J3053" s="1">
        <f t="shared" si="235"/>
        <v>17161</v>
      </c>
      <c r="K3053" s="1">
        <f t="shared" si="236"/>
        <v>14400</v>
      </c>
      <c r="L3053" s="1">
        <f t="shared" si="237"/>
        <v>31561</v>
      </c>
      <c r="M3053" s="1">
        <f t="shared" si="238"/>
        <v>177.65415840897168</v>
      </c>
      <c r="N3053" s="7">
        <f t="shared" si="239"/>
        <v>177.65415840897168</v>
      </c>
    </row>
    <row r="3054" spans="1:14" x14ac:dyDescent="0.25">
      <c r="A3054" t="str">
        <f>"14:41:14.898"</f>
        <v>14:41:14.898</v>
      </c>
      <c r="B3054">
        <v>40.400784000000002</v>
      </c>
      <c r="C3054">
        <v>-74.995744000000002</v>
      </c>
      <c r="D3054">
        <v>3700</v>
      </c>
      <c r="E3054">
        <v>3875</v>
      </c>
      <c r="F3054">
        <v>131</v>
      </c>
      <c r="G3054">
        <v>120</v>
      </c>
      <c r="H3054">
        <v>0</v>
      </c>
      <c r="J3054" s="1">
        <f t="shared" si="235"/>
        <v>17161</v>
      </c>
      <c r="K3054" s="1">
        <f t="shared" si="236"/>
        <v>14400</v>
      </c>
      <c r="L3054" s="1">
        <f t="shared" si="237"/>
        <v>31561</v>
      </c>
      <c r="M3054" s="1">
        <f t="shared" si="238"/>
        <v>177.65415840897168</v>
      </c>
      <c r="N3054" s="7">
        <f t="shared" si="239"/>
        <v>177.65415840897168</v>
      </c>
    </row>
    <row r="3055" spans="1:14" x14ac:dyDescent="0.25">
      <c r="A3055" t="str">
        <f>"14:41:15.859"</f>
        <v>14:41:15.859</v>
      </c>
      <c r="B3055">
        <v>40.401342</v>
      </c>
      <c r="C3055">
        <v>-74.994928999999999</v>
      </c>
      <c r="D3055">
        <v>3700</v>
      </c>
      <c r="E3055">
        <v>3875</v>
      </c>
      <c r="F3055">
        <v>131</v>
      </c>
      <c r="G3055">
        <v>120</v>
      </c>
      <c r="H3055">
        <v>0</v>
      </c>
      <c r="J3055" s="1">
        <f t="shared" si="235"/>
        <v>17161</v>
      </c>
      <c r="K3055" s="1">
        <f t="shared" si="236"/>
        <v>14400</v>
      </c>
      <c r="L3055" s="1">
        <f t="shared" si="237"/>
        <v>31561</v>
      </c>
      <c r="M3055" s="1">
        <f t="shared" si="238"/>
        <v>177.65415840897168</v>
      </c>
      <c r="N3055" s="7">
        <f t="shared" si="239"/>
        <v>177.65415840897168</v>
      </c>
    </row>
    <row r="3056" spans="1:14" x14ac:dyDescent="0.25">
      <c r="A3056" t="str">
        <f>"14:41:16.914"</f>
        <v>14:41:16.914</v>
      </c>
      <c r="B3056">
        <v>40.401943000000003</v>
      </c>
      <c r="C3056">
        <v>-74.994071000000005</v>
      </c>
      <c r="D3056">
        <v>3700</v>
      </c>
      <c r="E3056">
        <v>3875</v>
      </c>
      <c r="F3056">
        <v>132</v>
      </c>
      <c r="G3056">
        <v>119</v>
      </c>
      <c r="H3056">
        <v>0</v>
      </c>
      <c r="J3056" s="1">
        <f t="shared" si="235"/>
        <v>17424</v>
      </c>
      <c r="K3056" s="1">
        <f t="shared" si="236"/>
        <v>14161</v>
      </c>
      <c r="L3056" s="1">
        <f t="shared" si="237"/>
        <v>31585</v>
      </c>
      <c r="M3056" s="1">
        <f t="shared" si="238"/>
        <v>177.72169254201918</v>
      </c>
      <c r="N3056" s="7">
        <f t="shared" si="239"/>
        <v>177.72169254201918</v>
      </c>
    </row>
    <row r="3057" spans="1:14" x14ac:dyDescent="0.25">
      <c r="A3057" t="str">
        <f>"14:41:17.930"</f>
        <v>14:41:17.930</v>
      </c>
      <c r="B3057">
        <v>40.402501000000001</v>
      </c>
      <c r="C3057">
        <v>-74.993234000000001</v>
      </c>
      <c r="D3057">
        <v>3700</v>
      </c>
      <c r="E3057">
        <v>3875</v>
      </c>
      <c r="F3057">
        <v>133</v>
      </c>
      <c r="G3057">
        <v>118</v>
      </c>
      <c r="H3057">
        <v>0</v>
      </c>
      <c r="J3057" s="1">
        <f t="shared" si="235"/>
        <v>17689</v>
      </c>
      <c r="K3057" s="1">
        <f t="shared" si="236"/>
        <v>13924</v>
      </c>
      <c r="L3057" s="1">
        <f t="shared" si="237"/>
        <v>31613</v>
      </c>
      <c r="M3057" s="1">
        <f t="shared" si="238"/>
        <v>177.80044994318772</v>
      </c>
      <c r="N3057" s="7">
        <f t="shared" si="239"/>
        <v>177.80044994318772</v>
      </c>
    </row>
    <row r="3058" spans="1:14" x14ac:dyDescent="0.25">
      <c r="A3058" t="str">
        <f>"14:41:18.938"</f>
        <v>14:41:18.938</v>
      </c>
      <c r="B3058">
        <v>40.403036999999998</v>
      </c>
      <c r="C3058">
        <v>-74.992440000000002</v>
      </c>
      <c r="D3058">
        <v>3700</v>
      </c>
      <c r="E3058">
        <v>3875</v>
      </c>
      <c r="F3058">
        <v>135</v>
      </c>
      <c r="G3058">
        <v>115</v>
      </c>
      <c r="H3058">
        <v>0</v>
      </c>
      <c r="J3058" s="1">
        <f t="shared" si="235"/>
        <v>18225</v>
      </c>
      <c r="K3058" s="1">
        <f t="shared" si="236"/>
        <v>13225</v>
      </c>
      <c r="L3058" s="1">
        <f t="shared" si="237"/>
        <v>31450</v>
      </c>
      <c r="M3058" s="1">
        <f t="shared" si="238"/>
        <v>177.34147850968199</v>
      </c>
      <c r="N3058" s="7">
        <f t="shared" si="239"/>
        <v>177.34147850968199</v>
      </c>
    </row>
    <row r="3059" spans="1:14" x14ac:dyDescent="0.25">
      <c r="A3059" t="str">
        <f>"14:41:19.898"</f>
        <v>14:41:19.898</v>
      </c>
      <c r="B3059">
        <v>40.403551999999998</v>
      </c>
      <c r="C3059">
        <v>-74.991580999999996</v>
      </c>
      <c r="D3059">
        <v>3700</v>
      </c>
      <c r="E3059">
        <v>3875</v>
      </c>
      <c r="F3059">
        <v>138</v>
      </c>
      <c r="G3059">
        <v>111</v>
      </c>
      <c r="H3059">
        <v>-64</v>
      </c>
      <c r="J3059" s="1">
        <f t="shared" si="235"/>
        <v>19044</v>
      </c>
      <c r="K3059" s="1">
        <f t="shared" si="236"/>
        <v>12321</v>
      </c>
      <c r="L3059" s="1">
        <f t="shared" si="237"/>
        <v>31365</v>
      </c>
      <c r="M3059" s="1">
        <f t="shared" si="238"/>
        <v>177.10166571774531</v>
      </c>
      <c r="N3059" s="7">
        <f t="shared" si="239"/>
        <v>177.10166571774531</v>
      </c>
    </row>
    <row r="3060" spans="1:14" x14ac:dyDescent="0.25">
      <c r="A3060" t="str">
        <f>"14:41:21.055"</f>
        <v>14:41:21.055</v>
      </c>
      <c r="B3060">
        <v>40.404088000000002</v>
      </c>
      <c r="C3060">
        <v>-74.990679999999998</v>
      </c>
      <c r="D3060">
        <v>3700</v>
      </c>
      <c r="E3060">
        <v>3850</v>
      </c>
      <c r="F3060">
        <v>140</v>
      </c>
      <c r="G3060">
        <v>107</v>
      </c>
      <c r="H3060">
        <v>-192</v>
      </c>
      <c r="J3060" s="1">
        <f t="shared" si="235"/>
        <v>19600</v>
      </c>
      <c r="K3060" s="1">
        <f t="shared" si="236"/>
        <v>11449</v>
      </c>
      <c r="L3060" s="1">
        <f t="shared" si="237"/>
        <v>31049</v>
      </c>
      <c r="M3060" s="1">
        <f t="shared" si="238"/>
        <v>176.20726432244501</v>
      </c>
      <c r="N3060" s="7">
        <f t="shared" si="239"/>
        <v>176.20726432244501</v>
      </c>
    </row>
    <row r="3061" spans="1:14" x14ac:dyDescent="0.25">
      <c r="A3061" t="str">
        <f>"14:41:22.117"</f>
        <v>14:41:22.117</v>
      </c>
      <c r="B3061">
        <v>40.404539</v>
      </c>
      <c r="C3061">
        <v>-74.989735999999994</v>
      </c>
      <c r="D3061">
        <v>3700</v>
      </c>
      <c r="E3061">
        <v>3850</v>
      </c>
      <c r="F3061">
        <v>144</v>
      </c>
      <c r="G3061">
        <v>102</v>
      </c>
      <c r="H3061">
        <v>-256</v>
      </c>
      <c r="J3061" s="1">
        <f t="shared" si="235"/>
        <v>20736</v>
      </c>
      <c r="K3061" s="1">
        <f t="shared" si="236"/>
        <v>10404</v>
      </c>
      <c r="L3061" s="1">
        <f t="shared" si="237"/>
        <v>31140</v>
      </c>
      <c r="M3061" s="1">
        <f t="shared" si="238"/>
        <v>176.46529403823291</v>
      </c>
      <c r="N3061" s="7">
        <f t="shared" si="239"/>
        <v>176.46529403823291</v>
      </c>
    </row>
    <row r="3062" spans="1:14" x14ac:dyDescent="0.25">
      <c r="A3062" t="str">
        <f>"14:41:22.977"</f>
        <v>14:41:22.977</v>
      </c>
      <c r="B3062">
        <v>40.404967999999997</v>
      </c>
      <c r="C3062">
        <v>-74.988878</v>
      </c>
      <c r="D3062">
        <v>3700</v>
      </c>
      <c r="E3062">
        <v>3850</v>
      </c>
      <c r="F3062">
        <v>147</v>
      </c>
      <c r="G3062">
        <v>97</v>
      </c>
      <c r="H3062">
        <v>-320</v>
      </c>
      <c r="J3062" s="1">
        <f t="shared" si="235"/>
        <v>21609</v>
      </c>
      <c r="K3062" s="1">
        <f t="shared" si="236"/>
        <v>9409</v>
      </c>
      <c r="L3062" s="1">
        <f t="shared" si="237"/>
        <v>31018</v>
      </c>
      <c r="M3062" s="1">
        <f t="shared" si="238"/>
        <v>176.11927776367924</v>
      </c>
      <c r="N3062" s="7">
        <f t="shared" si="239"/>
        <v>176.11927776367924</v>
      </c>
    </row>
    <row r="3063" spans="1:14" x14ac:dyDescent="0.25">
      <c r="A3063" t="str">
        <f>"14:41:23.883"</f>
        <v>14:41:23.883</v>
      </c>
      <c r="B3063">
        <v>40.405332999999999</v>
      </c>
      <c r="C3063">
        <v>-74.988040999999996</v>
      </c>
      <c r="D3063">
        <v>3600</v>
      </c>
      <c r="E3063">
        <v>3850</v>
      </c>
      <c r="F3063">
        <v>150</v>
      </c>
      <c r="G3063">
        <v>91</v>
      </c>
      <c r="H3063">
        <v>-256</v>
      </c>
      <c r="J3063" s="1">
        <f t="shared" si="235"/>
        <v>22500</v>
      </c>
      <c r="K3063" s="1">
        <f t="shared" si="236"/>
        <v>8281</v>
      </c>
      <c r="L3063" s="1">
        <f t="shared" si="237"/>
        <v>30781</v>
      </c>
      <c r="M3063" s="1">
        <f t="shared" si="238"/>
        <v>175.44514812328097</v>
      </c>
      <c r="N3063" s="7">
        <f t="shared" si="239"/>
        <v>175.44514812328097</v>
      </c>
    </row>
    <row r="3064" spans="1:14" x14ac:dyDescent="0.25">
      <c r="A3064" t="str">
        <f>"14:41:24.898"</f>
        <v>14:41:24.898</v>
      </c>
      <c r="B3064">
        <v>40.405740999999999</v>
      </c>
      <c r="C3064">
        <v>-74.987117999999995</v>
      </c>
      <c r="D3064">
        <v>3600</v>
      </c>
      <c r="E3064">
        <v>3850</v>
      </c>
      <c r="F3064">
        <v>153</v>
      </c>
      <c r="G3064">
        <v>86</v>
      </c>
      <c r="H3064">
        <v>-192</v>
      </c>
      <c r="J3064" s="1">
        <f t="shared" si="235"/>
        <v>23409</v>
      </c>
      <c r="K3064" s="1">
        <f t="shared" si="236"/>
        <v>7396</v>
      </c>
      <c r="L3064" s="1">
        <f t="shared" si="237"/>
        <v>30805</v>
      </c>
      <c r="M3064" s="1">
        <f t="shared" si="238"/>
        <v>175.51353224181889</v>
      </c>
      <c r="N3064" s="7">
        <f t="shared" si="239"/>
        <v>175.51353224181889</v>
      </c>
    </row>
    <row r="3065" spans="1:14" x14ac:dyDescent="0.25">
      <c r="A3065" t="str">
        <f>"14:41:25.852"</f>
        <v>14:41:25.852</v>
      </c>
      <c r="B3065">
        <v>40.406041000000002</v>
      </c>
      <c r="C3065">
        <v>-74.986238</v>
      </c>
      <c r="D3065">
        <v>3600</v>
      </c>
      <c r="E3065">
        <v>3850</v>
      </c>
      <c r="F3065">
        <v>157</v>
      </c>
      <c r="G3065">
        <v>78</v>
      </c>
      <c r="H3065">
        <v>-128</v>
      </c>
      <c r="J3065" s="1">
        <f t="shared" si="235"/>
        <v>24649</v>
      </c>
      <c r="K3065" s="1">
        <f t="shared" si="236"/>
        <v>6084</v>
      </c>
      <c r="L3065" s="1">
        <f t="shared" si="237"/>
        <v>30733</v>
      </c>
      <c r="M3065" s="1">
        <f t="shared" si="238"/>
        <v>175.30829986055994</v>
      </c>
      <c r="N3065" s="7">
        <f t="shared" si="239"/>
        <v>175.30829986055994</v>
      </c>
    </row>
    <row r="3066" spans="1:14" x14ac:dyDescent="0.25">
      <c r="A3066" t="str">
        <f>"14:41:26.961"</f>
        <v>14:41:26.961</v>
      </c>
      <c r="B3066">
        <v>40.406427000000001</v>
      </c>
      <c r="C3066">
        <v>-74.985166000000007</v>
      </c>
      <c r="D3066">
        <v>3600</v>
      </c>
      <c r="E3066">
        <v>3850</v>
      </c>
      <c r="F3066">
        <v>159</v>
      </c>
      <c r="G3066">
        <v>71</v>
      </c>
      <c r="H3066">
        <v>0</v>
      </c>
      <c r="J3066" s="1">
        <f t="shared" si="235"/>
        <v>25281</v>
      </c>
      <c r="K3066" s="1">
        <f t="shared" si="236"/>
        <v>5041</v>
      </c>
      <c r="L3066" s="1">
        <f t="shared" si="237"/>
        <v>30322</v>
      </c>
      <c r="M3066" s="1">
        <f t="shared" si="238"/>
        <v>174.13213373757299</v>
      </c>
      <c r="N3066" s="7">
        <f t="shared" si="239"/>
        <v>174.13213373757299</v>
      </c>
    </row>
    <row r="3067" spans="1:14" x14ac:dyDescent="0.25">
      <c r="A3067" t="str">
        <f>"14:41:27.922"</f>
        <v>14:41:27.922</v>
      </c>
      <c r="B3067">
        <v>40.406706</v>
      </c>
      <c r="C3067">
        <v>-74.984200000000001</v>
      </c>
      <c r="D3067">
        <v>3600</v>
      </c>
      <c r="E3067">
        <v>3850</v>
      </c>
      <c r="F3067">
        <v>161</v>
      </c>
      <c r="G3067">
        <v>64</v>
      </c>
      <c r="H3067">
        <v>64</v>
      </c>
      <c r="J3067" s="1">
        <f t="shared" si="235"/>
        <v>25921</v>
      </c>
      <c r="K3067" s="1">
        <f t="shared" si="236"/>
        <v>4096</v>
      </c>
      <c r="L3067" s="1">
        <f t="shared" si="237"/>
        <v>30017</v>
      </c>
      <c r="M3067" s="1">
        <f t="shared" si="238"/>
        <v>173.25414857947845</v>
      </c>
      <c r="N3067" s="7">
        <f t="shared" si="239"/>
        <v>173.25414857947845</v>
      </c>
    </row>
    <row r="3068" spans="1:14" x14ac:dyDescent="0.25">
      <c r="A3068" t="str">
        <f>"14:41:28.984"</f>
        <v>14:41:28.984</v>
      </c>
      <c r="B3068">
        <v>40.406984999999999</v>
      </c>
      <c r="C3068">
        <v>-74.983213000000006</v>
      </c>
      <c r="D3068">
        <v>3600</v>
      </c>
      <c r="E3068">
        <v>3850</v>
      </c>
      <c r="F3068">
        <v>163</v>
      </c>
      <c r="G3068">
        <v>59</v>
      </c>
      <c r="H3068">
        <v>128</v>
      </c>
      <c r="J3068" s="1">
        <f t="shared" si="235"/>
        <v>26569</v>
      </c>
      <c r="K3068" s="1">
        <f t="shared" si="236"/>
        <v>3481</v>
      </c>
      <c r="L3068" s="1">
        <f t="shared" si="237"/>
        <v>30050</v>
      </c>
      <c r="M3068" s="1">
        <f t="shared" si="238"/>
        <v>173.34935823359717</v>
      </c>
      <c r="N3068" s="7">
        <f t="shared" si="239"/>
        <v>173.34935823359717</v>
      </c>
    </row>
    <row r="3069" spans="1:14" x14ac:dyDescent="0.25">
      <c r="A3069" t="str">
        <f>"14:41:29.992"</f>
        <v>14:41:29.992</v>
      </c>
      <c r="B3069">
        <v>40.407200000000003</v>
      </c>
      <c r="C3069">
        <v>-74.982118999999997</v>
      </c>
      <c r="D3069">
        <v>3600</v>
      </c>
      <c r="E3069">
        <v>3850</v>
      </c>
      <c r="F3069">
        <v>164</v>
      </c>
      <c r="G3069">
        <v>50</v>
      </c>
      <c r="H3069">
        <v>256</v>
      </c>
      <c r="J3069" s="1">
        <f t="shared" si="235"/>
        <v>26896</v>
      </c>
      <c r="K3069" s="1">
        <f t="shared" si="236"/>
        <v>2500</v>
      </c>
      <c r="L3069" s="1">
        <f t="shared" si="237"/>
        <v>29396</v>
      </c>
      <c r="M3069" s="1">
        <f t="shared" si="238"/>
        <v>171.45261736118232</v>
      </c>
      <c r="N3069" s="7">
        <f t="shared" si="239"/>
        <v>171.45261736118232</v>
      </c>
    </row>
    <row r="3070" spans="1:14" x14ac:dyDescent="0.25">
      <c r="A3070" t="str">
        <f>"14:41:30.953"</f>
        <v>14:41:30.953</v>
      </c>
      <c r="B3070">
        <v>40.407392999999999</v>
      </c>
      <c r="C3070">
        <v>-74.981195999999997</v>
      </c>
      <c r="D3070">
        <v>3600</v>
      </c>
      <c r="E3070">
        <v>3850</v>
      </c>
      <c r="F3070">
        <v>165</v>
      </c>
      <c r="G3070">
        <v>43</v>
      </c>
      <c r="H3070">
        <v>320</v>
      </c>
      <c r="J3070" s="1">
        <f t="shared" si="235"/>
        <v>27225</v>
      </c>
      <c r="K3070" s="1">
        <f t="shared" si="236"/>
        <v>1849</v>
      </c>
      <c r="L3070" s="1">
        <f t="shared" si="237"/>
        <v>29074</v>
      </c>
      <c r="M3070" s="1">
        <f t="shared" si="238"/>
        <v>170.51099671282202</v>
      </c>
      <c r="N3070" s="7">
        <f t="shared" si="239"/>
        <v>170.51099671282202</v>
      </c>
    </row>
    <row r="3071" spans="1:14" x14ac:dyDescent="0.25">
      <c r="A3071" t="str">
        <f>"14:41:31.813"</f>
        <v>14:41:31.813</v>
      </c>
      <c r="B3071">
        <v>40.407522</v>
      </c>
      <c r="C3071">
        <v>-74.980316000000002</v>
      </c>
      <c r="D3071">
        <v>3600</v>
      </c>
      <c r="E3071">
        <v>3850</v>
      </c>
      <c r="F3071">
        <v>166</v>
      </c>
      <c r="G3071">
        <v>37</v>
      </c>
      <c r="H3071">
        <v>384</v>
      </c>
      <c r="J3071" s="1">
        <f t="shared" si="235"/>
        <v>27556</v>
      </c>
      <c r="K3071" s="1">
        <f t="shared" si="236"/>
        <v>1369</v>
      </c>
      <c r="L3071" s="1">
        <f t="shared" si="237"/>
        <v>28925</v>
      </c>
      <c r="M3071" s="1">
        <f t="shared" si="238"/>
        <v>170.07351351694948</v>
      </c>
      <c r="N3071" s="7">
        <f t="shared" si="239"/>
        <v>170.07351351694948</v>
      </c>
    </row>
    <row r="3072" spans="1:14" x14ac:dyDescent="0.25">
      <c r="A3072" t="str">
        <f>"14:41:32.867"</f>
        <v>14:41:32.867</v>
      </c>
      <c r="B3072">
        <v>40.407671999999998</v>
      </c>
      <c r="C3072">
        <v>-74.979308000000003</v>
      </c>
      <c r="D3072">
        <v>3700</v>
      </c>
      <c r="E3072">
        <v>3850</v>
      </c>
      <c r="F3072">
        <v>166</v>
      </c>
      <c r="G3072">
        <v>31</v>
      </c>
      <c r="H3072">
        <v>320</v>
      </c>
      <c r="J3072" s="1">
        <f t="shared" si="235"/>
        <v>27556</v>
      </c>
      <c r="K3072" s="1">
        <f t="shared" si="236"/>
        <v>961</v>
      </c>
      <c r="L3072" s="1">
        <f t="shared" si="237"/>
        <v>28517</v>
      </c>
      <c r="M3072" s="1">
        <f t="shared" si="238"/>
        <v>168.86977230990749</v>
      </c>
      <c r="N3072" s="7">
        <f t="shared" si="239"/>
        <v>168.86977230990749</v>
      </c>
    </row>
    <row r="3073" spans="1:14" x14ac:dyDescent="0.25">
      <c r="A3073" t="str">
        <f>"14:41:33.727"</f>
        <v>14:41:33.727</v>
      </c>
      <c r="B3073">
        <v>40.407758000000001</v>
      </c>
      <c r="C3073">
        <v>-74.978385000000003</v>
      </c>
      <c r="D3073">
        <v>3700</v>
      </c>
      <c r="E3073">
        <v>3875</v>
      </c>
      <c r="F3073">
        <v>166</v>
      </c>
      <c r="G3073">
        <v>25</v>
      </c>
      <c r="H3073">
        <v>192</v>
      </c>
      <c r="J3073" s="1">
        <f t="shared" si="235"/>
        <v>27556</v>
      </c>
      <c r="K3073" s="1">
        <f t="shared" si="236"/>
        <v>625</v>
      </c>
      <c r="L3073" s="1">
        <f t="shared" si="237"/>
        <v>28181</v>
      </c>
      <c r="M3073" s="1">
        <f t="shared" si="238"/>
        <v>167.87197502859135</v>
      </c>
      <c r="N3073" s="7">
        <f t="shared" si="239"/>
        <v>167.87197502859135</v>
      </c>
    </row>
    <row r="3074" spans="1:14" x14ac:dyDescent="0.25">
      <c r="A3074" t="str">
        <f>"14:41:34.688"</f>
        <v>14:41:34.688</v>
      </c>
      <c r="B3074">
        <v>40.407800999999999</v>
      </c>
      <c r="C3074">
        <v>-74.977504999999994</v>
      </c>
      <c r="D3074">
        <v>3700</v>
      </c>
      <c r="E3074">
        <v>3875</v>
      </c>
      <c r="F3074">
        <v>167</v>
      </c>
      <c r="G3074">
        <v>20</v>
      </c>
      <c r="H3074">
        <v>128</v>
      </c>
      <c r="J3074" s="1">
        <f t="shared" si="235"/>
        <v>27889</v>
      </c>
      <c r="K3074" s="1">
        <f t="shared" si="236"/>
        <v>400</v>
      </c>
      <c r="L3074" s="1">
        <f t="shared" si="237"/>
        <v>28289</v>
      </c>
      <c r="M3074" s="1">
        <f t="shared" si="238"/>
        <v>168.19334112859522</v>
      </c>
      <c r="N3074" s="7">
        <f t="shared" si="239"/>
        <v>168.19334112859522</v>
      </c>
    </row>
    <row r="3075" spans="1:14" x14ac:dyDescent="0.25">
      <c r="A3075" t="str">
        <f>"14:41:35.547"</f>
        <v>14:41:35.547</v>
      </c>
      <c r="B3075">
        <v>40.407843999999997</v>
      </c>
      <c r="C3075">
        <v>-74.976561000000004</v>
      </c>
      <c r="D3075">
        <v>3700</v>
      </c>
      <c r="E3075">
        <v>3875</v>
      </c>
      <c r="F3075">
        <v>167</v>
      </c>
      <c r="G3075">
        <v>13</v>
      </c>
      <c r="H3075">
        <v>0</v>
      </c>
      <c r="J3075" s="1">
        <f t="shared" ref="J3075:J3138" si="240">F3075^2</f>
        <v>27889</v>
      </c>
      <c r="K3075" s="1">
        <f t="shared" ref="K3075:K3138" si="241">G3075^2</f>
        <v>169</v>
      </c>
      <c r="L3075" s="1">
        <f t="shared" ref="L3075:L3138" si="242">SUMSQ(F3075,G3075)</f>
        <v>28058</v>
      </c>
      <c r="M3075" s="1">
        <f t="shared" ref="M3075:M3138" si="243">SQRT(L3075)</f>
        <v>167.50522379914005</v>
      </c>
      <c r="N3075" s="7">
        <f t="shared" ref="N3075:N3138" si="244">M3075</f>
        <v>167.50522379914005</v>
      </c>
    </row>
    <row r="3076" spans="1:14" x14ac:dyDescent="0.25">
      <c r="A3076" t="str">
        <f>"14:41:36.656"</f>
        <v>14:41:36.656</v>
      </c>
      <c r="B3076">
        <v>40.407907999999999</v>
      </c>
      <c r="C3076">
        <v>-74.97551</v>
      </c>
      <c r="D3076">
        <v>3700</v>
      </c>
      <c r="E3076">
        <v>3875</v>
      </c>
      <c r="F3076">
        <v>166</v>
      </c>
      <c r="G3076">
        <v>7</v>
      </c>
      <c r="H3076">
        <v>0</v>
      </c>
      <c r="J3076" s="1">
        <f t="shared" si="240"/>
        <v>27556</v>
      </c>
      <c r="K3076" s="1">
        <f t="shared" si="241"/>
        <v>49</v>
      </c>
      <c r="L3076" s="1">
        <f t="shared" si="242"/>
        <v>27605</v>
      </c>
      <c r="M3076" s="1">
        <f t="shared" si="243"/>
        <v>166.14752480852673</v>
      </c>
      <c r="N3076" s="7">
        <f t="shared" si="244"/>
        <v>166.14752480852673</v>
      </c>
    </row>
    <row r="3077" spans="1:14" x14ac:dyDescent="0.25">
      <c r="A3077" t="str">
        <f>"14:41:37.664"</f>
        <v>14:41:37.664</v>
      </c>
      <c r="B3077">
        <v>40.407907999999999</v>
      </c>
      <c r="C3077">
        <v>-74.974457999999998</v>
      </c>
      <c r="D3077">
        <v>3700</v>
      </c>
      <c r="E3077">
        <v>3875</v>
      </c>
      <c r="F3077">
        <v>166</v>
      </c>
      <c r="G3077">
        <v>1</v>
      </c>
      <c r="H3077">
        <v>-64</v>
      </c>
      <c r="J3077" s="1">
        <f t="shared" si="240"/>
        <v>27556</v>
      </c>
      <c r="K3077" s="1">
        <f t="shared" si="241"/>
        <v>1</v>
      </c>
      <c r="L3077" s="1">
        <f t="shared" si="242"/>
        <v>27557</v>
      </c>
      <c r="M3077" s="1">
        <f t="shared" si="243"/>
        <v>166.00301202086666</v>
      </c>
      <c r="N3077" s="7">
        <f t="shared" si="244"/>
        <v>166.00301202086666</v>
      </c>
    </row>
    <row r="3078" spans="1:14" x14ac:dyDescent="0.25">
      <c r="A3078" t="str">
        <f>"14:41:38.773"</f>
        <v>14:41:38.773</v>
      </c>
      <c r="B3078">
        <v>40.407843999999997</v>
      </c>
      <c r="C3078">
        <v>-74.973384999999993</v>
      </c>
      <c r="D3078">
        <v>3700</v>
      </c>
      <c r="E3078">
        <v>3875</v>
      </c>
      <c r="F3078">
        <v>165</v>
      </c>
      <c r="G3078">
        <v>-5</v>
      </c>
      <c r="H3078">
        <v>-64</v>
      </c>
      <c r="J3078" s="1">
        <f t="shared" si="240"/>
        <v>27225</v>
      </c>
      <c r="K3078" s="1">
        <f t="shared" si="241"/>
        <v>25</v>
      </c>
      <c r="L3078" s="1">
        <f t="shared" si="242"/>
        <v>27250</v>
      </c>
      <c r="M3078" s="1">
        <f t="shared" si="243"/>
        <v>165.07574019219177</v>
      </c>
      <c r="N3078" s="7">
        <f t="shared" si="244"/>
        <v>165.07574019219177</v>
      </c>
    </row>
    <row r="3079" spans="1:14" x14ac:dyDescent="0.25">
      <c r="A3079" t="str">
        <f>"14:41:39.781"</f>
        <v>14:41:39.781</v>
      </c>
      <c r="B3079">
        <v>40.407800999999999</v>
      </c>
      <c r="C3079">
        <v>-74.972269999999995</v>
      </c>
      <c r="D3079">
        <v>3700</v>
      </c>
      <c r="E3079">
        <v>3875</v>
      </c>
      <c r="F3079">
        <v>164</v>
      </c>
      <c r="G3079">
        <v>-11</v>
      </c>
      <c r="H3079">
        <v>64</v>
      </c>
      <c r="J3079" s="1">
        <f t="shared" si="240"/>
        <v>26896</v>
      </c>
      <c r="K3079" s="1">
        <f t="shared" si="241"/>
        <v>121</v>
      </c>
      <c r="L3079" s="1">
        <f t="shared" si="242"/>
        <v>27017</v>
      </c>
      <c r="M3079" s="1">
        <f t="shared" si="243"/>
        <v>164.36848846418221</v>
      </c>
      <c r="N3079" s="7">
        <f t="shared" si="244"/>
        <v>164.36848846418221</v>
      </c>
    </row>
    <row r="3080" spans="1:14" x14ac:dyDescent="0.25">
      <c r="A3080" t="str">
        <f>"14:41:40.844"</f>
        <v>14:41:40.844</v>
      </c>
      <c r="B3080">
        <v>40.407715000000003</v>
      </c>
      <c r="C3080">
        <v>-74.971260999999998</v>
      </c>
      <c r="D3080">
        <v>3700</v>
      </c>
      <c r="E3080">
        <v>3875</v>
      </c>
      <c r="F3080">
        <v>164</v>
      </c>
      <c r="G3080">
        <v>-15</v>
      </c>
      <c r="H3080">
        <v>128</v>
      </c>
      <c r="J3080" s="1">
        <f t="shared" si="240"/>
        <v>26896</v>
      </c>
      <c r="K3080" s="1">
        <f t="shared" si="241"/>
        <v>225</v>
      </c>
      <c r="L3080" s="1">
        <f t="shared" si="242"/>
        <v>27121</v>
      </c>
      <c r="M3080" s="1">
        <f t="shared" si="243"/>
        <v>164.68454693747074</v>
      </c>
      <c r="N3080" s="7">
        <f t="shared" si="244"/>
        <v>164.68454693747074</v>
      </c>
    </row>
    <row r="3081" spans="1:14" x14ac:dyDescent="0.25">
      <c r="A3081" t="str">
        <f>"14:41:41.852"</f>
        <v>14:41:41.852</v>
      </c>
      <c r="B3081">
        <v>40.407629</v>
      </c>
      <c r="C3081">
        <v>-74.970337999999998</v>
      </c>
      <c r="D3081">
        <v>3700</v>
      </c>
      <c r="E3081">
        <v>3875</v>
      </c>
      <c r="F3081">
        <v>163</v>
      </c>
      <c r="G3081">
        <v>-19</v>
      </c>
      <c r="H3081">
        <v>192</v>
      </c>
      <c r="J3081" s="1">
        <f t="shared" si="240"/>
        <v>26569</v>
      </c>
      <c r="K3081" s="1">
        <f t="shared" si="241"/>
        <v>361</v>
      </c>
      <c r="L3081" s="1">
        <f t="shared" si="242"/>
        <v>26930</v>
      </c>
      <c r="M3081" s="1">
        <f t="shared" si="243"/>
        <v>164.10362579784763</v>
      </c>
      <c r="N3081" s="7">
        <f t="shared" si="244"/>
        <v>164.10362579784763</v>
      </c>
    </row>
    <row r="3082" spans="1:14" x14ac:dyDescent="0.25">
      <c r="A3082" t="str">
        <f>"14:41:42.820"</f>
        <v>14:41:42.820</v>
      </c>
      <c r="B3082">
        <v>40.407522</v>
      </c>
      <c r="C3082">
        <v>-74.969329999999999</v>
      </c>
      <c r="D3082">
        <v>3700</v>
      </c>
      <c r="E3082">
        <v>3875</v>
      </c>
      <c r="F3082">
        <v>162</v>
      </c>
      <c r="G3082">
        <v>-22</v>
      </c>
      <c r="H3082">
        <v>192</v>
      </c>
      <c r="J3082" s="1">
        <f t="shared" si="240"/>
        <v>26244</v>
      </c>
      <c r="K3082" s="1">
        <f t="shared" si="241"/>
        <v>484</v>
      </c>
      <c r="L3082" s="1">
        <f t="shared" si="242"/>
        <v>26728</v>
      </c>
      <c r="M3082" s="1">
        <f t="shared" si="243"/>
        <v>163.48700254148645</v>
      </c>
      <c r="N3082" s="7">
        <f t="shared" si="244"/>
        <v>163.48700254148645</v>
      </c>
    </row>
    <row r="3083" spans="1:14" x14ac:dyDescent="0.25">
      <c r="A3083" t="str">
        <f>"14:41:43.719"</f>
        <v>14:41:43.719</v>
      </c>
      <c r="B3083">
        <v>40.407435999999997</v>
      </c>
      <c r="C3083">
        <v>-74.968450000000004</v>
      </c>
      <c r="D3083">
        <v>3700</v>
      </c>
      <c r="E3083">
        <v>3875</v>
      </c>
      <c r="F3083">
        <v>162</v>
      </c>
      <c r="G3083">
        <v>-23</v>
      </c>
      <c r="H3083">
        <v>192</v>
      </c>
      <c r="J3083" s="1">
        <f t="shared" si="240"/>
        <v>26244</v>
      </c>
      <c r="K3083" s="1">
        <f t="shared" si="241"/>
        <v>529</v>
      </c>
      <c r="L3083" s="1">
        <f t="shared" si="242"/>
        <v>26773</v>
      </c>
      <c r="M3083" s="1">
        <f t="shared" si="243"/>
        <v>163.62457028209425</v>
      </c>
      <c r="N3083" s="7">
        <f t="shared" si="244"/>
        <v>163.62457028209425</v>
      </c>
    </row>
    <row r="3084" spans="1:14" x14ac:dyDescent="0.25">
      <c r="A3084" t="str">
        <f>"14:41:44.781"</f>
        <v>14:41:44.781</v>
      </c>
      <c r="B3084">
        <v>40.407307000000003</v>
      </c>
      <c r="C3084">
        <v>-74.967462999999995</v>
      </c>
      <c r="D3084">
        <v>3700</v>
      </c>
      <c r="E3084">
        <v>3875</v>
      </c>
      <c r="F3084">
        <v>161</v>
      </c>
      <c r="G3084">
        <v>-24</v>
      </c>
      <c r="H3084">
        <v>192</v>
      </c>
      <c r="J3084" s="1">
        <f t="shared" si="240"/>
        <v>25921</v>
      </c>
      <c r="K3084" s="1">
        <f t="shared" si="241"/>
        <v>576</v>
      </c>
      <c r="L3084" s="1">
        <f t="shared" si="242"/>
        <v>26497</v>
      </c>
      <c r="M3084" s="1">
        <f t="shared" si="243"/>
        <v>162.77899127344412</v>
      </c>
      <c r="N3084" s="7">
        <f t="shared" si="244"/>
        <v>162.77899127344412</v>
      </c>
    </row>
    <row r="3085" spans="1:14" x14ac:dyDescent="0.25">
      <c r="A3085" t="str">
        <f>"14:41:45.742"</f>
        <v>14:41:45.742</v>
      </c>
      <c r="B3085">
        <v>40.407221</v>
      </c>
      <c r="C3085">
        <v>-74.966497000000004</v>
      </c>
      <c r="D3085">
        <v>3700</v>
      </c>
      <c r="E3085">
        <v>3875</v>
      </c>
      <c r="F3085">
        <v>161</v>
      </c>
      <c r="G3085">
        <v>-26</v>
      </c>
      <c r="H3085">
        <v>128</v>
      </c>
      <c r="J3085" s="1">
        <f t="shared" si="240"/>
        <v>25921</v>
      </c>
      <c r="K3085" s="1">
        <f t="shared" si="241"/>
        <v>676</v>
      </c>
      <c r="L3085" s="1">
        <f t="shared" si="242"/>
        <v>26597</v>
      </c>
      <c r="M3085" s="1">
        <f t="shared" si="243"/>
        <v>163.08586695357755</v>
      </c>
      <c r="N3085" s="7">
        <f t="shared" si="244"/>
        <v>163.08586695357755</v>
      </c>
    </row>
    <row r="3086" spans="1:14" x14ac:dyDescent="0.25">
      <c r="A3086" t="str">
        <f>"14:41:46.648"</f>
        <v>14:41:46.648</v>
      </c>
      <c r="B3086">
        <v>40.407071000000002</v>
      </c>
      <c r="C3086">
        <v>-74.965638999999996</v>
      </c>
      <c r="D3086">
        <v>3700</v>
      </c>
      <c r="E3086">
        <v>3875</v>
      </c>
      <c r="F3086">
        <v>160</v>
      </c>
      <c r="G3086">
        <v>-27</v>
      </c>
      <c r="H3086">
        <v>64</v>
      </c>
      <c r="J3086" s="1">
        <f t="shared" si="240"/>
        <v>25600</v>
      </c>
      <c r="K3086" s="1">
        <f t="shared" si="241"/>
        <v>729</v>
      </c>
      <c r="L3086" s="1">
        <f t="shared" si="242"/>
        <v>26329</v>
      </c>
      <c r="M3086" s="1">
        <f t="shared" si="243"/>
        <v>162.26213359869271</v>
      </c>
      <c r="N3086" s="7">
        <f t="shared" si="244"/>
        <v>162.26213359869271</v>
      </c>
    </row>
    <row r="3087" spans="1:14" x14ac:dyDescent="0.25">
      <c r="A3087" t="str">
        <f>"14:41:47.555"</f>
        <v>14:41:47.555</v>
      </c>
      <c r="B3087">
        <v>40.406984999999999</v>
      </c>
      <c r="C3087">
        <v>-74.964715999999996</v>
      </c>
      <c r="D3087">
        <v>3700</v>
      </c>
      <c r="E3087">
        <v>3875</v>
      </c>
      <c r="F3087">
        <v>160</v>
      </c>
      <c r="G3087">
        <v>-28</v>
      </c>
      <c r="H3087">
        <v>64</v>
      </c>
      <c r="J3087" s="1">
        <f t="shared" si="240"/>
        <v>25600</v>
      </c>
      <c r="K3087" s="1">
        <f t="shared" si="241"/>
        <v>784</v>
      </c>
      <c r="L3087" s="1">
        <f t="shared" si="242"/>
        <v>26384</v>
      </c>
      <c r="M3087" s="1">
        <f t="shared" si="243"/>
        <v>162.43152403397562</v>
      </c>
      <c r="N3087" s="7">
        <f t="shared" si="244"/>
        <v>162.43152403397562</v>
      </c>
    </row>
    <row r="3088" spans="1:14" x14ac:dyDescent="0.25">
      <c r="A3088" t="str">
        <f>"14:41:48.469"</f>
        <v>14:41:48.469</v>
      </c>
      <c r="B3088">
        <v>40.406835000000001</v>
      </c>
      <c r="C3088">
        <v>-74.963901000000007</v>
      </c>
      <c r="D3088">
        <v>3700</v>
      </c>
      <c r="E3088">
        <v>3875</v>
      </c>
      <c r="F3088">
        <v>160</v>
      </c>
      <c r="G3088">
        <v>-28</v>
      </c>
      <c r="H3088">
        <v>-64</v>
      </c>
      <c r="J3088" s="1">
        <f t="shared" si="240"/>
        <v>25600</v>
      </c>
      <c r="K3088" s="1">
        <f t="shared" si="241"/>
        <v>784</v>
      </c>
      <c r="L3088" s="1">
        <f t="shared" si="242"/>
        <v>26384</v>
      </c>
      <c r="M3088" s="1">
        <f t="shared" si="243"/>
        <v>162.43152403397562</v>
      </c>
      <c r="N3088" s="7">
        <f t="shared" si="244"/>
        <v>162.43152403397562</v>
      </c>
    </row>
    <row r="3089" spans="1:14" x14ac:dyDescent="0.25">
      <c r="A3089" t="str">
        <f>"14:41:49.578"</f>
        <v>14:41:49.578</v>
      </c>
      <c r="B3089">
        <v>40.406706</v>
      </c>
      <c r="C3089">
        <v>-74.962828000000002</v>
      </c>
      <c r="D3089">
        <v>3700</v>
      </c>
      <c r="E3089">
        <v>3875</v>
      </c>
      <c r="F3089">
        <v>160</v>
      </c>
      <c r="G3089">
        <v>-29</v>
      </c>
      <c r="H3089">
        <v>-128</v>
      </c>
      <c r="J3089" s="1">
        <f t="shared" si="240"/>
        <v>25600</v>
      </c>
      <c r="K3089" s="1">
        <f t="shared" si="241"/>
        <v>841</v>
      </c>
      <c r="L3089" s="1">
        <f t="shared" si="242"/>
        <v>26441</v>
      </c>
      <c r="M3089" s="1">
        <f t="shared" si="243"/>
        <v>162.60688792299052</v>
      </c>
      <c r="N3089" s="7">
        <f t="shared" si="244"/>
        <v>162.60688792299052</v>
      </c>
    </row>
    <row r="3090" spans="1:14" x14ac:dyDescent="0.25">
      <c r="A3090" t="str">
        <f>"14:41:50.688"</f>
        <v>14:41:50.688</v>
      </c>
      <c r="B3090">
        <v>40.406556000000002</v>
      </c>
      <c r="C3090">
        <v>-74.961712000000006</v>
      </c>
      <c r="D3090">
        <v>3700</v>
      </c>
      <c r="E3090">
        <v>3875</v>
      </c>
      <c r="F3090">
        <v>160</v>
      </c>
      <c r="G3090">
        <v>-30</v>
      </c>
      <c r="H3090">
        <v>-192</v>
      </c>
      <c r="J3090" s="1">
        <f t="shared" si="240"/>
        <v>25600</v>
      </c>
      <c r="K3090" s="1">
        <f t="shared" si="241"/>
        <v>900</v>
      </c>
      <c r="L3090" s="1">
        <f t="shared" si="242"/>
        <v>26500</v>
      </c>
      <c r="M3090" s="1">
        <f t="shared" si="243"/>
        <v>162.78820596099706</v>
      </c>
      <c r="N3090" s="7">
        <f t="shared" si="244"/>
        <v>162.78820596099706</v>
      </c>
    </row>
    <row r="3091" spans="1:14" x14ac:dyDescent="0.25">
      <c r="A3091" t="str">
        <f>"14:41:51.703"</f>
        <v>14:41:51.703</v>
      </c>
      <c r="B3091">
        <v>40.406405999999997</v>
      </c>
      <c r="C3091">
        <v>-74.960768000000002</v>
      </c>
      <c r="D3091">
        <v>3700</v>
      </c>
      <c r="E3091">
        <v>3875</v>
      </c>
      <c r="F3091">
        <v>160</v>
      </c>
      <c r="G3091">
        <v>-30</v>
      </c>
      <c r="H3091">
        <v>-256</v>
      </c>
      <c r="J3091" s="1">
        <f t="shared" si="240"/>
        <v>25600</v>
      </c>
      <c r="K3091" s="1">
        <f t="shared" si="241"/>
        <v>900</v>
      </c>
      <c r="L3091" s="1">
        <f t="shared" si="242"/>
        <v>26500</v>
      </c>
      <c r="M3091" s="1">
        <f t="shared" si="243"/>
        <v>162.78820596099706</v>
      </c>
      <c r="N3091" s="7">
        <f t="shared" si="244"/>
        <v>162.78820596099706</v>
      </c>
    </row>
    <row r="3092" spans="1:14" x14ac:dyDescent="0.25">
      <c r="A3092" t="str">
        <f>"14:41:52.555"</f>
        <v>14:41:52.555</v>
      </c>
      <c r="B3092">
        <v>40.406255999999999</v>
      </c>
      <c r="C3092">
        <v>-74.959909999999994</v>
      </c>
      <c r="D3092">
        <v>3700</v>
      </c>
      <c r="E3092">
        <v>3875</v>
      </c>
      <c r="F3092">
        <v>160</v>
      </c>
      <c r="G3092">
        <v>-31</v>
      </c>
      <c r="H3092">
        <v>-256</v>
      </c>
      <c r="J3092" s="1">
        <f t="shared" si="240"/>
        <v>25600</v>
      </c>
      <c r="K3092" s="1">
        <f t="shared" si="241"/>
        <v>961</v>
      </c>
      <c r="L3092" s="1">
        <f t="shared" si="242"/>
        <v>26561</v>
      </c>
      <c r="M3092" s="1">
        <f t="shared" si="243"/>
        <v>162.97545827516484</v>
      </c>
      <c r="N3092" s="7">
        <f t="shared" si="244"/>
        <v>162.97545827516484</v>
      </c>
    </row>
    <row r="3093" spans="1:14" x14ac:dyDescent="0.25">
      <c r="A3093" t="str">
        <f>"14:41:53.617"</f>
        <v>14:41:53.617</v>
      </c>
      <c r="B3093">
        <v>40.406106000000001</v>
      </c>
      <c r="C3093">
        <v>-74.958922999999999</v>
      </c>
      <c r="D3093">
        <v>3700</v>
      </c>
      <c r="E3093">
        <v>3875</v>
      </c>
      <c r="F3093">
        <v>161</v>
      </c>
      <c r="G3093">
        <v>-32</v>
      </c>
      <c r="H3093">
        <v>-320</v>
      </c>
      <c r="J3093" s="1">
        <f t="shared" si="240"/>
        <v>25921</v>
      </c>
      <c r="K3093" s="1">
        <f t="shared" si="241"/>
        <v>1024</v>
      </c>
      <c r="L3093" s="1">
        <f t="shared" si="242"/>
        <v>26945</v>
      </c>
      <c r="M3093" s="1">
        <f t="shared" si="243"/>
        <v>164.14932226482082</v>
      </c>
      <c r="N3093" s="7">
        <f t="shared" si="244"/>
        <v>164.14932226482082</v>
      </c>
    </row>
    <row r="3094" spans="1:14" x14ac:dyDescent="0.25">
      <c r="A3094" t="str">
        <f>"14:41:54.625"</f>
        <v>14:41:54.625</v>
      </c>
      <c r="B3094">
        <v>40.405954999999999</v>
      </c>
      <c r="C3094">
        <v>-74.957849999999993</v>
      </c>
      <c r="D3094">
        <v>3700</v>
      </c>
      <c r="E3094">
        <v>3850</v>
      </c>
      <c r="F3094">
        <v>161</v>
      </c>
      <c r="G3094">
        <v>-32</v>
      </c>
      <c r="H3094">
        <v>-256</v>
      </c>
      <c r="J3094" s="1">
        <f t="shared" si="240"/>
        <v>25921</v>
      </c>
      <c r="K3094" s="1">
        <f t="shared" si="241"/>
        <v>1024</v>
      </c>
      <c r="L3094" s="1">
        <f t="shared" si="242"/>
        <v>26945</v>
      </c>
      <c r="M3094" s="1">
        <f t="shared" si="243"/>
        <v>164.14932226482082</v>
      </c>
      <c r="N3094" s="7">
        <f t="shared" si="244"/>
        <v>164.14932226482082</v>
      </c>
    </row>
    <row r="3095" spans="1:14" x14ac:dyDescent="0.25">
      <c r="A3095" t="str">
        <f>"14:41:55.734"</f>
        <v>14:41:55.734</v>
      </c>
      <c r="B3095">
        <v>40.405783999999997</v>
      </c>
      <c r="C3095">
        <v>-74.956777000000002</v>
      </c>
      <c r="D3095">
        <v>3700</v>
      </c>
      <c r="E3095">
        <v>3850</v>
      </c>
      <c r="F3095">
        <v>161</v>
      </c>
      <c r="G3095">
        <v>-32</v>
      </c>
      <c r="H3095">
        <v>-128</v>
      </c>
      <c r="J3095" s="1">
        <f t="shared" si="240"/>
        <v>25921</v>
      </c>
      <c r="K3095" s="1">
        <f t="shared" si="241"/>
        <v>1024</v>
      </c>
      <c r="L3095" s="1">
        <f t="shared" si="242"/>
        <v>26945</v>
      </c>
      <c r="M3095" s="1">
        <f t="shared" si="243"/>
        <v>164.14932226482082</v>
      </c>
      <c r="N3095" s="7">
        <f t="shared" si="244"/>
        <v>164.14932226482082</v>
      </c>
    </row>
    <row r="3096" spans="1:14" x14ac:dyDescent="0.25">
      <c r="A3096" t="str">
        <f>"14:41:56.695"</f>
        <v>14:41:56.695</v>
      </c>
      <c r="B3096">
        <v>40.405655000000003</v>
      </c>
      <c r="C3096">
        <v>-74.955811999999995</v>
      </c>
      <c r="D3096">
        <v>3700</v>
      </c>
      <c r="E3096">
        <v>3850</v>
      </c>
      <c r="F3096">
        <v>161</v>
      </c>
      <c r="G3096">
        <v>-32</v>
      </c>
      <c r="H3096">
        <v>0</v>
      </c>
      <c r="J3096" s="1">
        <f t="shared" si="240"/>
        <v>25921</v>
      </c>
      <c r="K3096" s="1">
        <f t="shared" si="241"/>
        <v>1024</v>
      </c>
      <c r="L3096" s="1">
        <f t="shared" si="242"/>
        <v>26945</v>
      </c>
      <c r="M3096" s="1">
        <f t="shared" si="243"/>
        <v>164.14932226482082</v>
      </c>
      <c r="N3096" s="7">
        <f t="shared" si="244"/>
        <v>164.14932226482082</v>
      </c>
    </row>
    <row r="3097" spans="1:14" x14ac:dyDescent="0.25">
      <c r="A3097" t="str">
        <f>"14:41:57.656"</f>
        <v>14:41:57.656</v>
      </c>
      <c r="B3097">
        <v>40.405526000000002</v>
      </c>
      <c r="C3097">
        <v>-74.954909999999998</v>
      </c>
      <c r="D3097">
        <v>3700</v>
      </c>
      <c r="E3097">
        <v>3850</v>
      </c>
      <c r="F3097">
        <v>161</v>
      </c>
      <c r="G3097">
        <v>-32</v>
      </c>
      <c r="H3097">
        <v>0</v>
      </c>
      <c r="J3097" s="1">
        <f t="shared" si="240"/>
        <v>25921</v>
      </c>
      <c r="K3097" s="1">
        <f t="shared" si="241"/>
        <v>1024</v>
      </c>
      <c r="L3097" s="1">
        <f t="shared" si="242"/>
        <v>26945</v>
      </c>
      <c r="M3097" s="1">
        <f t="shared" si="243"/>
        <v>164.14932226482082</v>
      </c>
      <c r="N3097" s="7">
        <f t="shared" si="244"/>
        <v>164.14932226482082</v>
      </c>
    </row>
    <row r="3098" spans="1:14" x14ac:dyDescent="0.25">
      <c r="A3098" t="str">
        <f>"14:41:58.664"</f>
        <v>14:41:58.664</v>
      </c>
      <c r="B3098">
        <v>40.405397000000001</v>
      </c>
      <c r="C3098">
        <v>-74.953901999999999</v>
      </c>
      <c r="D3098">
        <v>3700</v>
      </c>
      <c r="E3098">
        <v>3850</v>
      </c>
      <c r="F3098">
        <v>161</v>
      </c>
      <c r="G3098">
        <v>-31</v>
      </c>
      <c r="H3098">
        <v>0</v>
      </c>
      <c r="J3098" s="1">
        <f t="shared" si="240"/>
        <v>25921</v>
      </c>
      <c r="K3098" s="1">
        <f t="shared" si="241"/>
        <v>961</v>
      </c>
      <c r="L3098" s="1">
        <f t="shared" si="242"/>
        <v>26882</v>
      </c>
      <c r="M3098" s="1">
        <f t="shared" si="243"/>
        <v>163.95731151735808</v>
      </c>
      <c r="N3098" s="7">
        <f t="shared" si="244"/>
        <v>163.95731151735808</v>
      </c>
    </row>
    <row r="3099" spans="1:14" x14ac:dyDescent="0.25">
      <c r="A3099" t="str">
        <f>"14:41:59.727"</f>
        <v>14:41:59.727</v>
      </c>
      <c r="B3099">
        <v>40.405203999999998</v>
      </c>
      <c r="C3099">
        <v>-74.952871999999999</v>
      </c>
      <c r="D3099">
        <v>3700</v>
      </c>
      <c r="E3099">
        <v>3850</v>
      </c>
      <c r="F3099">
        <v>162</v>
      </c>
      <c r="G3099">
        <v>-31</v>
      </c>
      <c r="H3099">
        <v>0</v>
      </c>
      <c r="J3099" s="1">
        <f t="shared" si="240"/>
        <v>26244</v>
      </c>
      <c r="K3099" s="1">
        <f t="shared" si="241"/>
        <v>961</v>
      </c>
      <c r="L3099" s="1">
        <f t="shared" si="242"/>
        <v>27205</v>
      </c>
      <c r="M3099" s="1">
        <f t="shared" si="243"/>
        <v>164.93938280471406</v>
      </c>
      <c r="N3099" s="7">
        <f t="shared" si="244"/>
        <v>164.93938280471406</v>
      </c>
    </row>
    <row r="3100" spans="1:14" x14ac:dyDescent="0.25">
      <c r="A3100" t="str">
        <f>"14:42:00.633"</f>
        <v>14:42:00.633</v>
      </c>
      <c r="B3100">
        <v>40.405118000000002</v>
      </c>
      <c r="C3100">
        <v>-74.951971</v>
      </c>
      <c r="D3100">
        <v>3700</v>
      </c>
      <c r="E3100">
        <v>3850</v>
      </c>
      <c r="F3100">
        <v>162</v>
      </c>
      <c r="G3100">
        <v>-30</v>
      </c>
      <c r="H3100">
        <v>64</v>
      </c>
      <c r="J3100" s="1">
        <f t="shared" si="240"/>
        <v>26244</v>
      </c>
      <c r="K3100" s="1">
        <f t="shared" si="241"/>
        <v>900</v>
      </c>
      <c r="L3100" s="1">
        <f t="shared" si="242"/>
        <v>27144</v>
      </c>
      <c r="M3100" s="1">
        <f t="shared" si="243"/>
        <v>164.75436261295178</v>
      </c>
      <c r="N3100" s="7">
        <f t="shared" si="244"/>
        <v>164.75436261295178</v>
      </c>
    </row>
    <row r="3101" spans="1:14" x14ac:dyDescent="0.25">
      <c r="A3101" t="str">
        <f>"14:42:01.641"</f>
        <v>14:42:01.641</v>
      </c>
      <c r="B3101">
        <v>40.404967999999997</v>
      </c>
      <c r="C3101">
        <v>-74.950984000000005</v>
      </c>
      <c r="D3101">
        <v>3700</v>
      </c>
      <c r="E3101">
        <v>3850</v>
      </c>
      <c r="F3101">
        <v>162</v>
      </c>
      <c r="G3101">
        <v>-30</v>
      </c>
      <c r="H3101">
        <v>128</v>
      </c>
      <c r="J3101" s="1">
        <f t="shared" si="240"/>
        <v>26244</v>
      </c>
      <c r="K3101" s="1">
        <f t="shared" si="241"/>
        <v>900</v>
      </c>
      <c r="L3101" s="1">
        <f t="shared" si="242"/>
        <v>27144</v>
      </c>
      <c r="M3101" s="1">
        <f t="shared" si="243"/>
        <v>164.75436261295178</v>
      </c>
      <c r="N3101" s="7">
        <f t="shared" si="244"/>
        <v>164.75436261295178</v>
      </c>
    </row>
    <row r="3102" spans="1:14" x14ac:dyDescent="0.25">
      <c r="A3102" t="str">
        <f>"14:42:02.500"</f>
        <v>14:42:02.500</v>
      </c>
      <c r="B3102">
        <v>40.40484</v>
      </c>
      <c r="C3102">
        <v>-74.950125</v>
      </c>
      <c r="D3102">
        <v>3700</v>
      </c>
      <c r="E3102">
        <v>3875</v>
      </c>
      <c r="F3102">
        <v>162</v>
      </c>
      <c r="G3102">
        <v>-29</v>
      </c>
      <c r="H3102">
        <v>128</v>
      </c>
      <c r="J3102" s="1">
        <f t="shared" si="240"/>
        <v>26244</v>
      </c>
      <c r="K3102" s="1">
        <f t="shared" si="241"/>
        <v>841</v>
      </c>
      <c r="L3102" s="1">
        <f t="shared" si="242"/>
        <v>27085</v>
      </c>
      <c r="M3102" s="1">
        <f t="shared" si="243"/>
        <v>164.57521077003062</v>
      </c>
      <c r="N3102" s="7">
        <f t="shared" si="244"/>
        <v>164.57521077003062</v>
      </c>
    </row>
    <row r="3103" spans="1:14" x14ac:dyDescent="0.25">
      <c r="A3103" t="str">
        <f>"14:42:03.359"</f>
        <v>14:42:03.359</v>
      </c>
      <c r="B3103">
        <v>40.404732000000003</v>
      </c>
      <c r="C3103">
        <v>-74.949331000000001</v>
      </c>
      <c r="D3103">
        <v>3700</v>
      </c>
      <c r="E3103">
        <v>3875</v>
      </c>
      <c r="F3103">
        <v>162</v>
      </c>
      <c r="G3103">
        <v>-29</v>
      </c>
      <c r="H3103">
        <v>128</v>
      </c>
      <c r="J3103" s="1">
        <f t="shared" si="240"/>
        <v>26244</v>
      </c>
      <c r="K3103" s="1">
        <f t="shared" si="241"/>
        <v>841</v>
      </c>
      <c r="L3103" s="1">
        <f t="shared" si="242"/>
        <v>27085</v>
      </c>
      <c r="M3103" s="1">
        <f t="shared" si="243"/>
        <v>164.57521077003062</v>
      </c>
      <c r="N3103" s="7">
        <f t="shared" si="244"/>
        <v>164.57521077003062</v>
      </c>
    </row>
    <row r="3104" spans="1:14" x14ac:dyDescent="0.25">
      <c r="A3104" t="str">
        <f>"14:42:04.266"</f>
        <v>14:42:04.266</v>
      </c>
      <c r="B3104">
        <v>40.404603000000002</v>
      </c>
      <c r="C3104">
        <v>-74.948473000000007</v>
      </c>
      <c r="D3104">
        <v>3700</v>
      </c>
      <c r="E3104">
        <v>3875</v>
      </c>
      <c r="F3104">
        <v>162</v>
      </c>
      <c r="G3104">
        <v>-28</v>
      </c>
      <c r="H3104">
        <v>128</v>
      </c>
      <c r="J3104" s="1">
        <f t="shared" si="240"/>
        <v>26244</v>
      </c>
      <c r="K3104" s="1">
        <f t="shared" si="241"/>
        <v>784</v>
      </c>
      <c r="L3104" s="1">
        <f t="shared" si="242"/>
        <v>27028</v>
      </c>
      <c r="M3104" s="1">
        <f t="shared" si="243"/>
        <v>164.40194646049662</v>
      </c>
      <c r="N3104" s="7">
        <f t="shared" si="244"/>
        <v>164.40194646049662</v>
      </c>
    </row>
    <row r="3105" spans="1:14" x14ac:dyDescent="0.25">
      <c r="A3105" t="str">
        <f>"14:42:05.172"</f>
        <v>14:42:05.172</v>
      </c>
      <c r="B3105">
        <v>40.404518000000003</v>
      </c>
      <c r="C3105">
        <v>-74.947571999999994</v>
      </c>
      <c r="D3105">
        <v>3700</v>
      </c>
      <c r="E3105">
        <v>3875</v>
      </c>
      <c r="F3105">
        <v>162</v>
      </c>
      <c r="G3105">
        <v>-28</v>
      </c>
      <c r="H3105">
        <v>64</v>
      </c>
      <c r="J3105" s="1">
        <f t="shared" si="240"/>
        <v>26244</v>
      </c>
      <c r="K3105" s="1">
        <f t="shared" si="241"/>
        <v>784</v>
      </c>
      <c r="L3105" s="1">
        <f t="shared" si="242"/>
        <v>27028</v>
      </c>
      <c r="M3105" s="1">
        <f t="shared" si="243"/>
        <v>164.40194646049662</v>
      </c>
      <c r="N3105" s="7">
        <f t="shared" si="244"/>
        <v>164.40194646049662</v>
      </c>
    </row>
    <row r="3106" spans="1:14" x14ac:dyDescent="0.25">
      <c r="A3106" t="str">
        <f>"14:42:06.234"</f>
        <v>14:42:06.234</v>
      </c>
      <c r="B3106">
        <v>40.404367000000001</v>
      </c>
      <c r="C3106">
        <v>-74.946477000000002</v>
      </c>
      <c r="D3106">
        <v>3700</v>
      </c>
      <c r="E3106">
        <v>3875</v>
      </c>
      <c r="F3106">
        <v>162</v>
      </c>
      <c r="G3106">
        <v>-28</v>
      </c>
      <c r="H3106">
        <v>64</v>
      </c>
      <c r="J3106" s="1">
        <f t="shared" si="240"/>
        <v>26244</v>
      </c>
      <c r="K3106" s="1">
        <f t="shared" si="241"/>
        <v>784</v>
      </c>
      <c r="L3106" s="1">
        <f t="shared" si="242"/>
        <v>27028</v>
      </c>
      <c r="M3106" s="1">
        <f t="shared" si="243"/>
        <v>164.40194646049662</v>
      </c>
      <c r="N3106" s="7">
        <f t="shared" si="244"/>
        <v>164.40194646049662</v>
      </c>
    </row>
    <row r="3107" spans="1:14" x14ac:dyDescent="0.25">
      <c r="A3107" t="str">
        <f>"14:42:07.047"</f>
        <v>14:42:07.047</v>
      </c>
      <c r="B3107">
        <v>40.404260000000001</v>
      </c>
      <c r="C3107">
        <v>-74.945725999999993</v>
      </c>
      <c r="D3107">
        <v>3700</v>
      </c>
      <c r="E3107">
        <v>3875</v>
      </c>
      <c r="F3107">
        <v>162</v>
      </c>
      <c r="G3107">
        <v>-27</v>
      </c>
      <c r="H3107">
        <v>-64</v>
      </c>
      <c r="J3107" s="1">
        <f t="shared" si="240"/>
        <v>26244</v>
      </c>
      <c r="K3107" s="1">
        <f t="shared" si="241"/>
        <v>729</v>
      </c>
      <c r="L3107" s="1">
        <f t="shared" si="242"/>
        <v>26973</v>
      </c>
      <c r="M3107" s="1">
        <f t="shared" si="243"/>
        <v>164.23458831805192</v>
      </c>
      <c r="N3107" s="7">
        <f t="shared" si="244"/>
        <v>164.23458831805192</v>
      </c>
    </row>
    <row r="3108" spans="1:14" x14ac:dyDescent="0.25">
      <c r="A3108" t="str">
        <f>"14:42:08.055"</f>
        <v>14:42:08.055</v>
      </c>
      <c r="B3108">
        <v>40.404131</v>
      </c>
      <c r="C3108">
        <v>-74.944738999999998</v>
      </c>
      <c r="D3108">
        <v>3700</v>
      </c>
      <c r="E3108">
        <v>3875</v>
      </c>
      <c r="F3108">
        <v>162</v>
      </c>
      <c r="G3108">
        <v>-27</v>
      </c>
      <c r="H3108">
        <v>-64</v>
      </c>
      <c r="J3108" s="1">
        <f t="shared" si="240"/>
        <v>26244</v>
      </c>
      <c r="K3108" s="1">
        <f t="shared" si="241"/>
        <v>729</v>
      </c>
      <c r="L3108" s="1">
        <f t="shared" si="242"/>
        <v>26973</v>
      </c>
      <c r="M3108" s="1">
        <f t="shared" si="243"/>
        <v>164.23458831805192</v>
      </c>
      <c r="N3108" s="7">
        <f t="shared" si="244"/>
        <v>164.23458831805192</v>
      </c>
    </row>
    <row r="3109" spans="1:14" x14ac:dyDescent="0.25">
      <c r="A3109" t="str">
        <f>"14:42:09.164"</f>
        <v>14:42:09.164</v>
      </c>
      <c r="B3109">
        <v>40.404003000000003</v>
      </c>
      <c r="C3109">
        <v>-74.943665999999993</v>
      </c>
      <c r="D3109">
        <v>3700</v>
      </c>
      <c r="E3109">
        <v>3875</v>
      </c>
      <c r="F3109">
        <v>162</v>
      </c>
      <c r="G3109">
        <v>-27</v>
      </c>
      <c r="H3109">
        <v>-128</v>
      </c>
      <c r="J3109" s="1">
        <f t="shared" si="240"/>
        <v>26244</v>
      </c>
      <c r="K3109" s="1">
        <f t="shared" si="241"/>
        <v>729</v>
      </c>
      <c r="L3109" s="1">
        <f t="shared" si="242"/>
        <v>26973</v>
      </c>
      <c r="M3109" s="1">
        <f t="shared" si="243"/>
        <v>164.23458831805192</v>
      </c>
      <c r="N3109" s="7">
        <f t="shared" si="244"/>
        <v>164.23458831805192</v>
      </c>
    </row>
    <row r="3110" spans="1:14" x14ac:dyDescent="0.25">
      <c r="A3110" t="str">
        <f>"14:42:10.227"</f>
        <v>14:42:10.227</v>
      </c>
      <c r="B3110">
        <v>40.403852000000001</v>
      </c>
      <c r="C3110">
        <v>-74.942550999999995</v>
      </c>
      <c r="D3110">
        <v>3700</v>
      </c>
      <c r="E3110">
        <v>3875</v>
      </c>
      <c r="F3110">
        <v>162</v>
      </c>
      <c r="G3110">
        <v>-27</v>
      </c>
      <c r="H3110">
        <v>-64</v>
      </c>
      <c r="J3110" s="1">
        <f t="shared" si="240"/>
        <v>26244</v>
      </c>
      <c r="K3110" s="1">
        <f t="shared" si="241"/>
        <v>729</v>
      </c>
      <c r="L3110" s="1">
        <f t="shared" si="242"/>
        <v>26973</v>
      </c>
      <c r="M3110" s="1">
        <f t="shared" si="243"/>
        <v>164.23458831805192</v>
      </c>
      <c r="N3110" s="7">
        <f t="shared" si="244"/>
        <v>164.23458831805192</v>
      </c>
    </row>
    <row r="3111" spans="1:14" x14ac:dyDescent="0.25">
      <c r="A3111" t="str">
        <f>"14:42:11.086"</f>
        <v>14:42:11.086</v>
      </c>
      <c r="B3111">
        <v>40.403767000000002</v>
      </c>
      <c r="C3111">
        <v>-74.941800000000001</v>
      </c>
      <c r="D3111">
        <v>3700</v>
      </c>
      <c r="E3111">
        <v>3850</v>
      </c>
      <c r="F3111">
        <v>162</v>
      </c>
      <c r="G3111">
        <v>-27</v>
      </c>
      <c r="H3111">
        <v>-128</v>
      </c>
      <c r="J3111" s="1">
        <f t="shared" si="240"/>
        <v>26244</v>
      </c>
      <c r="K3111" s="1">
        <f t="shared" si="241"/>
        <v>729</v>
      </c>
      <c r="L3111" s="1">
        <f t="shared" si="242"/>
        <v>26973</v>
      </c>
      <c r="M3111" s="1">
        <f t="shared" si="243"/>
        <v>164.23458831805192</v>
      </c>
      <c r="N3111" s="7">
        <f t="shared" si="244"/>
        <v>164.23458831805192</v>
      </c>
    </row>
    <row r="3112" spans="1:14" x14ac:dyDescent="0.25">
      <c r="A3112" t="str">
        <f>"14:42:12.094"</f>
        <v>14:42:12.094</v>
      </c>
      <c r="B3112">
        <v>40.403616</v>
      </c>
      <c r="C3112">
        <v>-74.940813000000006</v>
      </c>
      <c r="D3112">
        <v>3700</v>
      </c>
      <c r="E3112">
        <v>3850</v>
      </c>
      <c r="F3112">
        <v>162</v>
      </c>
      <c r="G3112">
        <v>-27</v>
      </c>
      <c r="H3112">
        <v>-128</v>
      </c>
      <c r="J3112" s="1">
        <f t="shared" si="240"/>
        <v>26244</v>
      </c>
      <c r="K3112" s="1">
        <f t="shared" si="241"/>
        <v>729</v>
      </c>
      <c r="L3112" s="1">
        <f t="shared" si="242"/>
        <v>26973</v>
      </c>
      <c r="M3112" s="1">
        <f t="shared" si="243"/>
        <v>164.23458831805192</v>
      </c>
      <c r="N3112" s="7">
        <f t="shared" si="244"/>
        <v>164.23458831805192</v>
      </c>
    </row>
    <row r="3113" spans="1:14" x14ac:dyDescent="0.25">
      <c r="A3113" t="str">
        <f>"14:42:12.953"</f>
        <v>14:42:12.953</v>
      </c>
      <c r="B3113">
        <v>40.403509</v>
      </c>
      <c r="C3113">
        <v>-74.939932999999996</v>
      </c>
      <c r="D3113">
        <v>3700</v>
      </c>
      <c r="E3113">
        <v>3850</v>
      </c>
      <c r="F3113">
        <v>162</v>
      </c>
      <c r="G3113">
        <v>-27</v>
      </c>
      <c r="H3113">
        <v>-64</v>
      </c>
      <c r="J3113" s="1">
        <f t="shared" si="240"/>
        <v>26244</v>
      </c>
      <c r="K3113" s="1">
        <f t="shared" si="241"/>
        <v>729</v>
      </c>
      <c r="L3113" s="1">
        <f t="shared" si="242"/>
        <v>26973</v>
      </c>
      <c r="M3113" s="1">
        <f t="shared" si="243"/>
        <v>164.23458831805192</v>
      </c>
      <c r="N3113" s="7">
        <f t="shared" si="244"/>
        <v>164.23458831805192</v>
      </c>
    </row>
    <row r="3114" spans="1:14" x14ac:dyDescent="0.25">
      <c r="A3114" t="str">
        <f>"14:42:13.961"</f>
        <v>14:42:13.961</v>
      </c>
      <c r="B3114">
        <v>40.403402</v>
      </c>
      <c r="C3114">
        <v>-74.938902999999996</v>
      </c>
      <c r="D3114">
        <v>3700</v>
      </c>
      <c r="E3114">
        <v>3850</v>
      </c>
      <c r="F3114">
        <v>162</v>
      </c>
      <c r="G3114">
        <v>-27</v>
      </c>
      <c r="H3114">
        <v>0</v>
      </c>
      <c r="J3114" s="1">
        <f t="shared" si="240"/>
        <v>26244</v>
      </c>
      <c r="K3114" s="1">
        <f t="shared" si="241"/>
        <v>729</v>
      </c>
      <c r="L3114" s="1">
        <f t="shared" si="242"/>
        <v>26973</v>
      </c>
      <c r="M3114" s="1">
        <f t="shared" si="243"/>
        <v>164.23458831805192</v>
      </c>
      <c r="N3114" s="7">
        <f t="shared" si="244"/>
        <v>164.23458831805192</v>
      </c>
    </row>
    <row r="3115" spans="1:14" x14ac:dyDescent="0.25">
      <c r="A3115" t="str">
        <f>"14:42:15.016"</f>
        <v>14:42:15.016</v>
      </c>
      <c r="B3115">
        <v>40.403252000000002</v>
      </c>
      <c r="C3115">
        <v>-74.937872999999996</v>
      </c>
      <c r="D3115">
        <v>3700</v>
      </c>
      <c r="E3115">
        <v>3850</v>
      </c>
      <c r="F3115">
        <v>163</v>
      </c>
      <c r="G3115">
        <v>-26</v>
      </c>
      <c r="H3115">
        <v>0</v>
      </c>
      <c r="J3115" s="1">
        <f t="shared" si="240"/>
        <v>26569</v>
      </c>
      <c r="K3115" s="1">
        <f t="shared" si="241"/>
        <v>676</v>
      </c>
      <c r="L3115" s="1">
        <f t="shared" si="242"/>
        <v>27245</v>
      </c>
      <c r="M3115" s="1">
        <f t="shared" si="243"/>
        <v>165.06059493410291</v>
      </c>
      <c r="N3115" s="7">
        <f t="shared" si="244"/>
        <v>165.06059493410291</v>
      </c>
    </row>
    <row r="3116" spans="1:14" x14ac:dyDescent="0.25">
      <c r="A3116" t="str">
        <f>"14:42:15.977"</f>
        <v>14:42:15.977</v>
      </c>
      <c r="B3116">
        <v>40.403143999999998</v>
      </c>
      <c r="C3116">
        <v>-74.936949999999996</v>
      </c>
      <c r="D3116">
        <v>3700</v>
      </c>
      <c r="E3116">
        <v>3850</v>
      </c>
      <c r="F3116">
        <v>163</v>
      </c>
      <c r="G3116">
        <v>-26</v>
      </c>
      <c r="H3116">
        <v>64</v>
      </c>
      <c r="J3116" s="1">
        <f t="shared" si="240"/>
        <v>26569</v>
      </c>
      <c r="K3116" s="1">
        <f t="shared" si="241"/>
        <v>676</v>
      </c>
      <c r="L3116" s="1">
        <f t="shared" si="242"/>
        <v>27245</v>
      </c>
      <c r="M3116" s="1">
        <f t="shared" si="243"/>
        <v>165.06059493410291</v>
      </c>
      <c r="N3116" s="7">
        <f t="shared" si="244"/>
        <v>165.06059493410291</v>
      </c>
    </row>
    <row r="3117" spans="1:14" x14ac:dyDescent="0.25">
      <c r="A3117" t="str">
        <f>"14:42:17.141"</f>
        <v>14:42:17.141</v>
      </c>
      <c r="B3117">
        <v>40.402994</v>
      </c>
      <c r="C3117">
        <v>-74.935790999999995</v>
      </c>
      <c r="D3117">
        <v>3700</v>
      </c>
      <c r="E3117">
        <v>3850</v>
      </c>
      <c r="F3117">
        <v>163</v>
      </c>
      <c r="G3117">
        <v>-25</v>
      </c>
      <c r="H3117">
        <v>64</v>
      </c>
      <c r="J3117" s="1">
        <f t="shared" si="240"/>
        <v>26569</v>
      </c>
      <c r="K3117" s="1">
        <f t="shared" si="241"/>
        <v>625</v>
      </c>
      <c r="L3117" s="1">
        <f t="shared" si="242"/>
        <v>27194</v>
      </c>
      <c r="M3117" s="1">
        <f t="shared" si="243"/>
        <v>164.90603384958357</v>
      </c>
      <c r="N3117" s="7">
        <f t="shared" si="244"/>
        <v>164.90603384958357</v>
      </c>
    </row>
    <row r="3118" spans="1:14" x14ac:dyDescent="0.25">
      <c r="A3118" t="str">
        <f>"14:42:18.047"</f>
        <v>14:42:18.047</v>
      </c>
      <c r="B3118">
        <v>40.402929999999998</v>
      </c>
      <c r="C3118">
        <v>-74.934869000000006</v>
      </c>
      <c r="D3118">
        <v>3700</v>
      </c>
      <c r="E3118">
        <v>3850</v>
      </c>
      <c r="F3118">
        <v>163</v>
      </c>
      <c r="G3118">
        <v>-24</v>
      </c>
      <c r="H3118">
        <v>64</v>
      </c>
      <c r="J3118" s="1">
        <f t="shared" si="240"/>
        <v>26569</v>
      </c>
      <c r="K3118" s="1">
        <f t="shared" si="241"/>
        <v>576</v>
      </c>
      <c r="L3118" s="1">
        <f t="shared" si="242"/>
        <v>27145</v>
      </c>
      <c r="M3118" s="1">
        <f t="shared" si="243"/>
        <v>164.7573974060042</v>
      </c>
      <c r="N3118" s="7">
        <f t="shared" si="244"/>
        <v>164.7573974060042</v>
      </c>
    </row>
    <row r="3119" spans="1:14" x14ac:dyDescent="0.25">
      <c r="A3119" t="str">
        <f>"14:42:19.109"</f>
        <v>14:42:19.109</v>
      </c>
      <c r="B3119">
        <v>40.40278</v>
      </c>
      <c r="C3119">
        <v>-74.933839000000006</v>
      </c>
      <c r="D3119">
        <v>3700</v>
      </c>
      <c r="E3119">
        <v>3875</v>
      </c>
      <c r="F3119">
        <v>163</v>
      </c>
      <c r="G3119">
        <v>-24</v>
      </c>
      <c r="H3119">
        <v>64</v>
      </c>
      <c r="J3119" s="1">
        <f t="shared" si="240"/>
        <v>26569</v>
      </c>
      <c r="K3119" s="1">
        <f t="shared" si="241"/>
        <v>576</v>
      </c>
      <c r="L3119" s="1">
        <f t="shared" si="242"/>
        <v>27145</v>
      </c>
      <c r="M3119" s="1">
        <f t="shared" si="243"/>
        <v>164.7573974060042</v>
      </c>
      <c r="N3119" s="7">
        <f t="shared" si="244"/>
        <v>164.7573974060042</v>
      </c>
    </row>
    <row r="3120" spans="1:14" x14ac:dyDescent="0.25">
      <c r="A3120" t="str">
        <f>"14:42:20.219"</f>
        <v>14:42:20.219</v>
      </c>
      <c r="B3120">
        <v>40.402693999999997</v>
      </c>
      <c r="C3120">
        <v>-74.932744999999997</v>
      </c>
      <c r="D3120">
        <v>3700</v>
      </c>
      <c r="E3120">
        <v>3875</v>
      </c>
      <c r="F3120">
        <v>163</v>
      </c>
      <c r="G3120">
        <v>-24</v>
      </c>
      <c r="H3120">
        <v>64</v>
      </c>
      <c r="J3120" s="1">
        <f t="shared" si="240"/>
        <v>26569</v>
      </c>
      <c r="K3120" s="1">
        <f t="shared" si="241"/>
        <v>576</v>
      </c>
      <c r="L3120" s="1">
        <f t="shared" si="242"/>
        <v>27145</v>
      </c>
      <c r="M3120" s="1">
        <f t="shared" si="243"/>
        <v>164.7573974060042</v>
      </c>
      <c r="N3120" s="7">
        <f t="shared" si="244"/>
        <v>164.7573974060042</v>
      </c>
    </row>
    <row r="3121" spans="1:14" x14ac:dyDescent="0.25">
      <c r="A3121" t="str">
        <f>"14:42:21.281"</f>
        <v>14:42:21.281</v>
      </c>
      <c r="B3121">
        <v>40.402543999999999</v>
      </c>
      <c r="C3121">
        <v>-74.931757000000005</v>
      </c>
      <c r="D3121">
        <v>3700</v>
      </c>
      <c r="E3121">
        <v>3875</v>
      </c>
      <c r="F3121">
        <v>163</v>
      </c>
      <c r="G3121">
        <v>-24</v>
      </c>
      <c r="H3121">
        <v>64</v>
      </c>
      <c r="J3121" s="1">
        <f t="shared" si="240"/>
        <v>26569</v>
      </c>
      <c r="K3121" s="1">
        <f t="shared" si="241"/>
        <v>576</v>
      </c>
      <c r="L3121" s="1">
        <f t="shared" si="242"/>
        <v>27145</v>
      </c>
      <c r="M3121" s="1">
        <f t="shared" si="243"/>
        <v>164.7573974060042</v>
      </c>
      <c r="N3121" s="7">
        <f t="shared" si="244"/>
        <v>164.7573974060042</v>
      </c>
    </row>
    <row r="3122" spans="1:14" x14ac:dyDescent="0.25">
      <c r="A3122" t="str">
        <f>"14:42:22.289"</f>
        <v>14:42:22.289</v>
      </c>
      <c r="B3122">
        <v>40.402458000000003</v>
      </c>
      <c r="C3122">
        <v>-74.930749000000006</v>
      </c>
      <c r="D3122">
        <v>3700</v>
      </c>
      <c r="E3122">
        <v>3875</v>
      </c>
      <c r="F3122">
        <v>163</v>
      </c>
      <c r="G3122">
        <v>-24</v>
      </c>
      <c r="H3122">
        <v>0</v>
      </c>
      <c r="J3122" s="1">
        <f t="shared" si="240"/>
        <v>26569</v>
      </c>
      <c r="K3122" s="1">
        <f t="shared" si="241"/>
        <v>576</v>
      </c>
      <c r="L3122" s="1">
        <f t="shared" si="242"/>
        <v>27145</v>
      </c>
      <c r="M3122" s="1">
        <f t="shared" si="243"/>
        <v>164.7573974060042</v>
      </c>
      <c r="N3122" s="7">
        <f t="shared" si="244"/>
        <v>164.7573974060042</v>
      </c>
    </row>
    <row r="3123" spans="1:14" x14ac:dyDescent="0.25">
      <c r="A3123" t="str">
        <f>"14:42:23.250"</f>
        <v>14:42:23.250</v>
      </c>
      <c r="B3123">
        <v>40.402372</v>
      </c>
      <c r="C3123">
        <v>-74.929761999999997</v>
      </c>
      <c r="D3123">
        <v>3700</v>
      </c>
      <c r="E3123">
        <v>3875</v>
      </c>
      <c r="F3123">
        <v>163</v>
      </c>
      <c r="G3123">
        <v>-24</v>
      </c>
      <c r="H3123">
        <v>-64</v>
      </c>
      <c r="J3123" s="1">
        <f t="shared" si="240"/>
        <v>26569</v>
      </c>
      <c r="K3123" s="1">
        <f t="shared" si="241"/>
        <v>576</v>
      </c>
      <c r="L3123" s="1">
        <f t="shared" si="242"/>
        <v>27145</v>
      </c>
      <c r="M3123" s="1">
        <f t="shared" si="243"/>
        <v>164.7573974060042</v>
      </c>
      <c r="N3123" s="7">
        <f t="shared" si="244"/>
        <v>164.7573974060042</v>
      </c>
    </row>
    <row r="3124" spans="1:14" x14ac:dyDescent="0.25">
      <c r="A3124" t="str">
        <f>"14:42:24.156"</f>
        <v>14:42:24.156</v>
      </c>
      <c r="B3124">
        <v>40.402222000000002</v>
      </c>
      <c r="C3124">
        <v>-74.928904000000003</v>
      </c>
      <c r="D3124">
        <v>3700</v>
      </c>
      <c r="E3124">
        <v>3875</v>
      </c>
      <c r="F3124">
        <v>163</v>
      </c>
      <c r="G3124">
        <v>-24</v>
      </c>
      <c r="H3124">
        <v>-64</v>
      </c>
      <c r="J3124" s="1">
        <f t="shared" si="240"/>
        <v>26569</v>
      </c>
      <c r="K3124" s="1">
        <f t="shared" si="241"/>
        <v>576</v>
      </c>
      <c r="L3124" s="1">
        <f t="shared" si="242"/>
        <v>27145</v>
      </c>
      <c r="M3124" s="1">
        <f t="shared" si="243"/>
        <v>164.7573974060042</v>
      </c>
      <c r="N3124" s="7">
        <f t="shared" si="244"/>
        <v>164.7573974060042</v>
      </c>
    </row>
    <row r="3125" spans="1:14" x14ac:dyDescent="0.25">
      <c r="A3125" t="str">
        <f>"14:42:25.266"</f>
        <v>14:42:25.266</v>
      </c>
      <c r="B3125">
        <v>40.402135999999999</v>
      </c>
      <c r="C3125">
        <v>-74.927808999999996</v>
      </c>
      <c r="D3125">
        <v>3700</v>
      </c>
      <c r="E3125">
        <v>3875</v>
      </c>
      <c r="F3125">
        <v>163</v>
      </c>
      <c r="G3125">
        <v>-24</v>
      </c>
      <c r="H3125">
        <v>-128</v>
      </c>
      <c r="J3125" s="1">
        <f t="shared" si="240"/>
        <v>26569</v>
      </c>
      <c r="K3125" s="1">
        <f t="shared" si="241"/>
        <v>576</v>
      </c>
      <c r="L3125" s="1">
        <f t="shared" si="242"/>
        <v>27145</v>
      </c>
      <c r="M3125" s="1">
        <f t="shared" si="243"/>
        <v>164.7573974060042</v>
      </c>
      <c r="N3125" s="7">
        <f t="shared" si="244"/>
        <v>164.7573974060042</v>
      </c>
    </row>
    <row r="3126" spans="1:14" x14ac:dyDescent="0.25">
      <c r="A3126" t="str">
        <f>"14:42:26.172"</f>
        <v>14:42:26.172</v>
      </c>
      <c r="B3126">
        <v>40.402028999999999</v>
      </c>
      <c r="C3126">
        <v>-74.926822000000001</v>
      </c>
      <c r="D3126">
        <v>3700</v>
      </c>
      <c r="E3126">
        <v>3850</v>
      </c>
      <c r="F3126">
        <v>163</v>
      </c>
      <c r="G3126">
        <v>-24</v>
      </c>
      <c r="H3126">
        <v>-128</v>
      </c>
      <c r="J3126" s="1">
        <f t="shared" si="240"/>
        <v>26569</v>
      </c>
      <c r="K3126" s="1">
        <f t="shared" si="241"/>
        <v>576</v>
      </c>
      <c r="L3126" s="1">
        <f t="shared" si="242"/>
        <v>27145</v>
      </c>
      <c r="M3126" s="1">
        <f t="shared" si="243"/>
        <v>164.7573974060042</v>
      </c>
      <c r="N3126" s="7">
        <f t="shared" si="244"/>
        <v>164.7573974060042</v>
      </c>
    </row>
    <row r="3127" spans="1:14" x14ac:dyDescent="0.25">
      <c r="A3127" t="str">
        <f>"14:42:27.133"</f>
        <v>14:42:27.133</v>
      </c>
      <c r="B3127">
        <v>40.401899999999998</v>
      </c>
      <c r="C3127">
        <v>-74.925899999999999</v>
      </c>
      <c r="D3127">
        <v>3700</v>
      </c>
      <c r="E3127">
        <v>3850</v>
      </c>
      <c r="F3127">
        <v>163</v>
      </c>
      <c r="G3127">
        <v>-24</v>
      </c>
      <c r="H3127">
        <v>-128</v>
      </c>
      <c r="J3127" s="1">
        <f t="shared" si="240"/>
        <v>26569</v>
      </c>
      <c r="K3127" s="1">
        <f t="shared" si="241"/>
        <v>576</v>
      </c>
      <c r="L3127" s="1">
        <f t="shared" si="242"/>
        <v>27145</v>
      </c>
      <c r="M3127" s="1">
        <f t="shared" si="243"/>
        <v>164.7573974060042</v>
      </c>
      <c r="N3127" s="7">
        <f t="shared" si="244"/>
        <v>164.7573974060042</v>
      </c>
    </row>
    <row r="3128" spans="1:14" x14ac:dyDescent="0.25">
      <c r="A3128" t="str">
        <f>"14:42:28.094"</f>
        <v>14:42:28.094</v>
      </c>
      <c r="B3128">
        <v>40.401792999999998</v>
      </c>
      <c r="C3128">
        <v>-74.925020000000004</v>
      </c>
      <c r="D3128">
        <v>3700</v>
      </c>
      <c r="E3128">
        <v>3850</v>
      </c>
      <c r="F3128">
        <v>163</v>
      </c>
      <c r="G3128">
        <v>-23</v>
      </c>
      <c r="H3128">
        <v>-128</v>
      </c>
      <c r="J3128" s="1">
        <f t="shared" si="240"/>
        <v>26569</v>
      </c>
      <c r="K3128" s="1">
        <f t="shared" si="241"/>
        <v>529</v>
      </c>
      <c r="L3128" s="1">
        <f t="shared" si="242"/>
        <v>27098</v>
      </c>
      <c r="M3128" s="1">
        <f t="shared" si="243"/>
        <v>164.61470165206995</v>
      </c>
      <c r="N3128" s="7">
        <f t="shared" si="244"/>
        <v>164.61470165206995</v>
      </c>
    </row>
    <row r="3129" spans="1:14" x14ac:dyDescent="0.25">
      <c r="A3129" t="str">
        <f>"14:42:29.102"</f>
        <v>14:42:29.102</v>
      </c>
      <c r="B3129">
        <v>40.401707000000002</v>
      </c>
      <c r="C3129">
        <v>-74.924010999999993</v>
      </c>
      <c r="D3129">
        <v>3700</v>
      </c>
      <c r="E3129">
        <v>3850</v>
      </c>
      <c r="F3129">
        <v>163</v>
      </c>
      <c r="G3129">
        <v>-23</v>
      </c>
      <c r="H3129">
        <v>-128</v>
      </c>
      <c r="J3129" s="1">
        <f t="shared" si="240"/>
        <v>26569</v>
      </c>
      <c r="K3129" s="1">
        <f t="shared" si="241"/>
        <v>529</v>
      </c>
      <c r="L3129" s="1">
        <f t="shared" si="242"/>
        <v>27098</v>
      </c>
      <c r="M3129" s="1">
        <f t="shared" si="243"/>
        <v>164.61470165206995</v>
      </c>
      <c r="N3129" s="7">
        <f t="shared" si="244"/>
        <v>164.61470165206995</v>
      </c>
    </row>
    <row r="3130" spans="1:14" x14ac:dyDescent="0.25">
      <c r="A3130" t="str">
        <f>"14:42:30.063"</f>
        <v>14:42:30.063</v>
      </c>
      <c r="B3130">
        <v>40.401620999999999</v>
      </c>
      <c r="C3130">
        <v>-74.923067000000003</v>
      </c>
      <c r="D3130">
        <v>3700</v>
      </c>
      <c r="E3130">
        <v>3850</v>
      </c>
      <c r="F3130">
        <v>163</v>
      </c>
      <c r="G3130">
        <v>-23</v>
      </c>
      <c r="H3130">
        <v>-64</v>
      </c>
      <c r="J3130" s="1">
        <f t="shared" si="240"/>
        <v>26569</v>
      </c>
      <c r="K3130" s="1">
        <f t="shared" si="241"/>
        <v>529</v>
      </c>
      <c r="L3130" s="1">
        <f t="shared" si="242"/>
        <v>27098</v>
      </c>
      <c r="M3130" s="1">
        <f t="shared" si="243"/>
        <v>164.61470165206995</v>
      </c>
      <c r="N3130" s="7">
        <f t="shared" si="244"/>
        <v>164.61470165206995</v>
      </c>
    </row>
    <row r="3131" spans="1:14" x14ac:dyDescent="0.25">
      <c r="A3131" t="str">
        <f>"14:42:31.023"</f>
        <v>14:42:31.023</v>
      </c>
      <c r="B3131">
        <v>40.401513999999999</v>
      </c>
      <c r="C3131">
        <v>-74.922079999999994</v>
      </c>
      <c r="D3131">
        <v>3700</v>
      </c>
      <c r="E3131">
        <v>3850</v>
      </c>
      <c r="F3131">
        <v>164</v>
      </c>
      <c r="G3131">
        <v>-23</v>
      </c>
      <c r="H3131">
        <v>0</v>
      </c>
      <c r="J3131" s="1">
        <f t="shared" si="240"/>
        <v>26896</v>
      </c>
      <c r="K3131" s="1">
        <f t="shared" si="241"/>
        <v>529</v>
      </c>
      <c r="L3131" s="1">
        <f t="shared" si="242"/>
        <v>27425</v>
      </c>
      <c r="M3131" s="1">
        <f t="shared" si="243"/>
        <v>165.60495161679194</v>
      </c>
      <c r="N3131" s="7">
        <f t="shared" si="244"/>
        <v>165.60495161679194</v>
      </c>
    </row>
    <row r="3132" spans="1:14" x14ac:dyDescent="0.25">
      <c r="A3132" t="str">
        <f>"14:42:31.977"</f>
        <v>14:42:31.977</v>
      </c>
      <c r="B3132">
        <v>40.401384999999998</v>
      </c>
      <c r="C3132">
        <v>-74.921071999999995</v>
      </c>
      <c r="D3132">
        <v>3700</v>
      </c>
      <c r="E3132">
        <v>3850</v>
      </c>
      <c r="F3132">
        <v>164</v>
      </c>
      <c r="G3132">
        <v>-23</v>
      </c>
      <c r="H3132">
        <v>0</v>
      </c>
      <c r="J3132" s="1">
        <f t="shared" si="240"/>
        <v>26896</v>
      </c>
      <c r="K3132" s="1">
        <f t="shared" si="241"/>
        <v>529</v>
      </c>
      <c r="L3132" s="1">
        <f t="shared" si="242"/>
        <v>27425</v>
      </c>
      <c r="M3132" s="1">
        <f t="shared" si="243"/>
        <v>165.60495161679194</v>
      </c>
      <c r="N3132" s="7">
        <f t="shared" si="244"/>
        <v>165.60495161679194</v>
      </c>
    </row>
    <row r="3133" spans="1:14" x14ac:dyDescent="0.25">
      <c r="A3133" t="str">
        <f>"14:42:33.086"</f>
        <v>14:42:33.086</v>
      </c>
      <c r="B3133">
        <v>40.401255999999997</v>
      </c>
      <c r="C3133">
        <v>-74.919977000000003</v>
      </c>
      <c r="D3133">
        <v>3700</v>
      </c>
      <c r="E3133">
        <v>3850</v>
      </c>
      <c r="F3133">
        <v>164</v>
      </c>
      <c r="G3133">
        <v>-22</v>
      </c>
      <c r="H3133">
        <v>64</v>
      </c>
      <c r="J3133" s="1">
        <f t="shared" si="240"/>
        <v>26896</v>
      </c>
      <c r="K3133" s="1">
        <f t="shared" si="241"/>
        <v>484</v>
      </c>
      <c r="L3133" s="1">
        <f t="shared" si="242"/>
        <v>27380</v>
      </c>
      <c r="M3133" s="1">
        <f t="shared" si="243"/>
        <v>165.46903033498444</v>
      </c>
      <c r="N3133" s="7">
        <f t="shared" si="244"/>
        <v>165.46903033498444</v>
      </c>
    </row>
    <row r="3134" spans="1:14" x14ac:dyDescent="0.25">
      <c r="A3134" t="str">
        <f>"14:42:34.250"</f>
        <v>14:42:34.250</v>
      </c>
      <c r="B3134">
        <v>40.401148999999997</v>
      </c>
      <c r="C3134">
        <v>-74.918882999999994</v>
      </c>
      <c r="D3134">
        <v>3700</v>
      </c>
      <c r="E3134">
        <v>3850</v>
      </c>
      <c r="F3134">
        <v>164</v>
      </c>
      <c r="G3134">
        <v>-22</v>
      </c>
      <c r="H3134">
        <v>64</v>
      </c>
      <c r="J3134" s="1">
        <f t="shared" si="240"/>
        <v>26896</v>
      </c>
      <c r="K3134" s="1">
        <f t="shared" si="241"/>
        <v>484</v>
      </c>
      <c r="L3134" s="1">
        <f t="shared" si="242"/>
        <v>27380</v>
      </c>
      <c r="M3134" s="1">
        <f t="shared" si="243"/>
        <v>165.46903033498444</v>
      </c>
      <c r="N3134" s="7">
        <f t="shared" si="244"/>
        <v>165.46903033498444</v>
      </c>
    </row>
    <row r="3135" spans="1:14" x14ac:dyDescent="0.25">
      <c r="A3135" t="str">
        <f>"14:42:35.063"</f>
        <v>14:42:35.063</v>
      </c>
      <c r="B3135">
        <v>40.401105999999999</v>
      </c>
      <c r="C3135">
        <v>-74.918088999999995</v>
      </c>
      <c r="D3135">
        <v>3700</v>
      </c>
      <c r="E3135">
        <v>3850</v>
      </c>
      <c r="F3135">
        <v>164</v>
      </c>
      <c r="G3135">
        <v>-22</v>
      </c>
      <c r="H3135">
        <v>64</v>
      </c>
      <c r="J3135" s="1">
        <f t="shared" si="240"/>
        <v>26896</v>
      </c>
      <c r="K3135" s="1">
        <f t="shared" si="241"/>
        <v>484</v>
      </c>
      <c r="L3135" s="1">
        <f t="shared" si="242"/>
        <v>27380</v>
      </c>
      <c r="M3135" s="1">
        <f t="shared" si="243"/>
        <v>165.46903033498444</v>
      </c>
      <c r="N3135" s="7">
        <f t="shared" si="244"/>
        <v>165.46903033498444</v>
      </c>
    </row>
    <row r="3136" spans="1:14" x14ac:dyDescent="0.25">
      <c r="A3136" t="str">
        <f>"14:42:36.023"</f>
        <v>14:42:36.023</v>
      </c>
      <c r="B3136">
        <v>40.400956000000001</v>
      </c>
      <c r="C3136">
        <v>-74.917079999999999</v>
      </c>
      <c r="D3136">
        <v>3700</v>
      </c>
      <c r="E3136">
        <v>3850</v>
      </c>
      <c r="F3136">
        <v>164</v>
      </c>
      <c r="G3136">
        <v>-22</v>
      </c>
      <c r="H3136">
        <v>64</v>
      </c>
      <c r="J3136" s="1">
        <f t="shared" si="240"/>
        <v>26896</v>
      </c>
      <c r="K3136" s="1">
        <f t="shared" si="241"/>
        <v>484</v>
      </c>
      <c r="L3136" s="1">
        <f t="shared" si="242"/>
        <v>27380</v>
      </c>
      <c r="M3136" s="1">
        <f t="shared" si="243"/>
        <v>165.46903033498444</v>
      </c>
      <c r="N3136" s="7">
        <f t="shared" si="244"/>
        <v>165.46903033498444</v>
      </c>
    </row>
    <row r="3137" spans="1:14" x14ac:dyDescent="0.25">
      <c r="A3137" t="str">
        <f>"14:42:37.180"</f>
        <v>14:42:37.180</v>
      </c>
      <c r="B3137">
        <v>40.400891000000001</v>
      </c>
      <c r="C3137">
        <v>-74.916008000000005</v>
      </c>
      <c r="D3137">
        <v>3700</v>
      </c>
      <c r="E3137">
        <v>3850</v>
      </c>
      <c r="F3137">
        <v>164</v>
      </c>
      <c r="G3137">
        <v>-21</v>
      </c>
      <c r="H3137">
        <v>64</v>
      </c>
      <c r="J3137" s="1">
        <f t="shared" si="240"/>
        <v>26896</v>
      </c>
      <c r="K3137" s="1">
        <f t="shared" si="241"/>
        <v>441</v>
      </c>
      <c r="L3137" s="1">
        <f t="shared" si="242"/>
        <v>27337</v>
      </c>
      <c r="M3137" s="1">
        <f t="shared" si="243"/>
        <v>165.33904560024533</v>
      </c>
      <c r="N3137" s="7">
        <f t="shared" si="244"/>
        <v>165.33904560024533</v>
      </c>
    </row>
    <row r="3138" spans="1:14" x14ac:dyDescent="0.25">
      <c r="A3138" t="str">
        <f>"14:42:38.141"</f>
        <v>14:42:38.141</v>
      </c>
      <c r="B3138">
        <v>40.400762999999998</v>
      </c>
      <c r="C3138">
        <v>-74.915042</v>
      </c>
      <c r="D3138">
        <v>3700</v>
      </c>
      <c r="E3138">
        <v>3850</v>
      </c>
      <c r="F3138">
        <v>164</v>
      </c>
      <c r="G3138">
        <v>-21</v>
      </c>
      <c r="H3138">
        <v>64</v>
      </c>
      <c r="J3138" s="1">
        <f t="shared" si="240"/>
        <v>26896</v>
      </c>
      <c r="K3138" s="1">
        <f t="shared" si="241"/>
        <v>441</v>
      </c>
      <c r="L3138" s="1">
        <f t="shared" si="242"/>
        <v>27337</v>
      </c>
      <c r="M3138" s="1">
        <f t="shared" si="243"/>
        <v>165.33904560024533</v>
      </c>
      <c r="N3138" s="7">
        <f t="shared" si="244"/>
        <v>165.33904560024533</v>
      </c>
    </row>
    <row r="3139" spans="1:14" x14ac:dyDescent="0.25">
      <c r="A3139" t="str">
        <f>"14:42:39.148"</f>
        <v>14:42:39.148</v>
      </c>
      <c r="B3139">
        <v>40.400655</v>
      </c>
      <c r="C3139">
        <v>-74.914012</v>
      </c>
      <c r="D3139">
        <v>3700</v>
      </c>
      <c r="E3139">
        <v>3850</v>
      </c>
      <c r="F3139">
        <v>164</v>
      </c>
      <c r="G3139">
        <v>-21</v>
      </c>
      <c r="H3139">
        <v>64</v>
      </c>
      <c r="J3139" s="1">
        <f t="shared" ref="J3139:J3202" si="245">F3139^2</f>
        <v>26896</v>
      </c>
      <c r="K3139" s="1">
        <f t="shared" ref="K3139:K3202" si="246">G3139^2</f>
        <v>441</v>
      </c>
      <c r="L3139" s="1">
        <f t="shared" ref="L3139:L3202" si="247">SUMSQ(F3139,G3139)</f>
        <v>27337</v>
      </c>
      <c r="M3139" s="1">
        <f t="shared" ref="M3139:M3202" si="248">SQRT(L3139)</f>
        <v>165.33904560024533</v>
      </c>
      <c r="N3139" s="7">
        <f t="shared" ref="N3139:N3202" si="249">M3139</f>
        <v>165.33904560024533</v>
      </c>
    </row>
    <row r="3140" spans="1:14" x14ac:dyDescent="0.25">
      <c r="A3140" t="str">
        <f>"14:42:40.055"</f>
        <v>14:42:40.055</v>
      </c>
      <c r="B3140">
        <v>40.400590999999999</v>
      </c>
      <c r="C3140">
        <v>-74.913154000000006</v>
      </c>
      <c r="D3140">
        <v>3700</v>
      </c>
      <c r="E3140">
        <v>3850</v>
      </c>
      <c r="F3140">
        <v>164</v>
      </c>
      <c r="G3140">
        <v>-21</v>
      </c>
      <c r="H3140">
        <v>64</v>
      </c>
      <c r="J3140" s="1">
        <f t="shared" si="245"/>
        <v>26896</v>
      </c>
      <c r="K3140" s="1">
        <f t="shared" si="246"/>
        <v>441</v>
      </c>
      <c r="L3140" s="1">
        <f t="shared" si="247"/>
        <v>27337</v>
      </c>
      <c r="M3140" s="1">
        <f t="shared" si="248"/>
        <v>165.33904560024533</v>
      </c>
      <c r="N3140" s="7">
        <f t="shared" si="249"/>
        <v>165.33904560024533</v>
      </c>
    </row>
    <row r="3141" spans="1:14" x14ac:dyDescent="0.25">
      <c r="A3141" t="str">
        <f>"14:42:41.063"</f>
        <v>14:42:41.063</v>
      </c>
      <c r="B3141">
        <v>40.400505000000003</v>
      </c>
      <c r="C3141">
        <v>-74.912144999999995</v>
      </c>
      <c r="D3141">
        <v>3700</v>
      </c>
      <c r="E3141">
        <v>3850</v>
      </c>
      <c r="F3141">
        <v>164</v>
      </c>
      <c r="G3141">
        <v>-21</v>
      </c>
      <c r="H3141">
        <v>64</v>
      </c>
      <c r="J3141" s="1">
        <f t="shared" si="245"/>
        <v>26896</v>
      </c>
      <c r="K3141" s="1">
        <f t="shared" si="246"/>
        <v>441</v>
      </c>
      <c r="L3141" s="1">
        <f t="shared" si="247"/>
        <v>27337</v>
      </c>
      <c r="M3141" s="1">
        <f t="shared" si="248"/>
        <v>165.33904560024533</v>
      </c>
      <c r="N3141" s="7">
        <f t="shared" si="249"/>
        <v>165.33904560024533</v>
      </c>
    </row>
    <row r="3142" spans="1:14" x14ac:dyDescent="0.25">
      <c r="A3142" t="str">
        <f>"14:42:42.023"</f>
        <v>14:42:42.023</v>
      </c>
      <c r="B3142">
        <v>40.400398000000003</v>
      </c>
      <c r="C3142">
        <v>-74.911158</v>
      </c>
      <c r="D3142">
        <v>3700</v>
      </c>
      <c r="E3142">
        <v>3875</v>
      </c>
      <c r="F3142">
        <v>163</v>
      </c>
      <c r="G3142">
        <v>-21</v>
      </c>
      <c r="H3142">
        <v>64</v>
      </c>
      <c r="J3142" s="1">
        <f t="shared" si="245"/>
        <v>26569</v>
      </c>
      <c r="K3142" s="1">
        <f t="shared" si="246"/>
        <v>441</v>
      </c>
      <c r="L3142" s="1">
        <f t="shared" si="247"/>
        <v>27010</v>
      </c>
      <c r="M3142" s="1">
        <f t="shared" si="248"/>
        <v>164.34719346554112</v>
      </c>
      <c r="N3142" s="7">
        <f t="shared" si="249"/>
        <v>164.34719346554112</v>
      </c>
    </row>
    <row r="3143" spans="1:14" x14ac:dyDescent="0.25">
      <c r="A3143" t="str">
        <f>"14:42:42.930"</f>
        <v>14:42:42.930</v>
      </c>
      <c r="B3143">
        <v>40.400289999999998</v>
      </c>
      <c r="C3143">
        <v>-74.910278000000005</v>
      </c>
      <c r="D3143">
        <v>3700</v>
      </c>
      <c r="E3143">
        <v>3875</v>
      </c>
      <c r="F3143">
        <v>163</v>
      </c>
      <c r="G3143">
        <v>-21</v>
      </c>
      <c r="H3143">
        <v>64</v>
      </c>
      <c r="J3143" s="1">
        <f t="shared" si="245"/>
        <v>26569</v>
      </c>
      <c r="K3143" s="1">
        <f t="shared" si="246"/>
        <v>441</v>
      </c>
      <c r="L3143" s="1">
        <f t="shared" si="247"/>
        <v>27010</v>
      </c>
      <c r="M3143" s="1">
        <f t="shared" si="248"/>
        <v>164.34719346554112</v>
      </c>
      <c r="N3143" s="7">
        <f t="shared" si="249"/>
        <v>164.34719346554112</v>
      </c>
    </row>
    <row r="3144" spans="1:14" x14ac:dyDescent="0.25">
      <c r="A3144" t="str">
        <f>"14:42:44.094"</f>
        <v>14:42:44.094</v>
      </c>
      <c r="B3144">
        <v>40.400226000000004</v>
      </c>
      <c r="C3144">
        <v>-74.909163000000007</v>
      </c>
      <c r="D3144">
        <v>3700</v>
      </c>
      <c r="E3144">
        <v>3875</v>
      </c>
      <c r="F3144">
        <v>163</v>
      </c>
      <c r="G3144">
        <v>-21</v>
      </c>
      <c r="H3144">
        <v>64</v>
      </c>
      <c r="J3144" s="1">
        <f t="shared" si="245"/>
        <v>26569</v>
      </c>
      <c r="K3144" s="1">
        <f t="shared" si="246"/>
        <v>441</v>
      </c>
      <c r="L3144" s="1">
        <f t="shared" si="247"/>
        <v>27010</v>
      </c>
      <c r="M3144" s="1">
        <f t="shared" si="248"/>
        <v>164.34719346554112</v>
      </c>
      <c r="N3144" s="7">
        <f t="shared" si="249"/>
        <v>164.34719346554112</v>
      </c>
    </row>
    <row r="3145" spans="1:14" x14ac:dyDescent="0.25">
      <c r="A3145" t="str">
        <f>"14:42:45.055"</f>
        <v>14:42:45.055</v>
      </c>
      <c r="B3145">
        <v>40.400118999999997</v>
      </c>
      <c r="C3145">
        <v>-74.908153999999996</v>
      </c>
      <c r="D3145">
        <v>3700</v>
      </c>
      <c r="E3145">
        <v>3875</v>
      </c>
      <c r="F3145">
        <v>163</v>
      </c>
      <c r="G3145">
        <v>-21</v>
      </c>
      <c r="H3145">
        <v>64</v>
      </c>
      <c r="J3145" s="1">
        <f t="shared" si="245"/>
        <v>26569</v>
      </c>
      <c r="K3145" s="1">
        <f t="shared" si="246"/>
        <v>441</v>
      </c>
      <c r="L3145" s="1">
        <f t="shared" si="247"/>
        <v>27010</v>
      </c>
      <c r="M3145" s="1">
        <f t="shared" si="248"/>
        <v>164.34719346554112</v>
      </c>
      <c r="N3145" s="7">
        <f t="shared" si="249"/>
        <v>164.34719346554112</v>
      </c>
    </row>
    <row r="3146" spans="1:14" x14ac:dyDescent="0.25">
      <c r="A3146" t="str">
        <f>"14:42:46.016"</f>
        <v>14:42:46.016</v>
      </c>
      <c r="B3146">
        <v>40.400033000000001</v>
      </c>
      <c r="C3146">
        <v>-74.907210000000006</v>
      </c>
      <c r="D3146">
        <v>3700</v>
      </c>
      <c r="E3146">
        <v>3875</v>
      </c>
      <c r="F3146">
        <v>163</v>
      </c>
      <c r="G3146">
        <v>-21</v>
      </c>
      <c r="H3146">
        <v>0</v>
      </c>
      <c r="J3146" s="1">
        <f t="shared" si="245"/>
        <v>26569</v>
      </c>
      <c r="K3146" s="1">
        <f t="shared" si="246"/>
        <v>441</v>
      </c>
      <c r="L3146" s="1">
        <f t="shared" si="247"/>
        <v>27010</v>
      </c>
      <c r="M3146" s="1">
        <f t="shared" si="248"/>
        <v>164.34719346554112</v>
      </c>
      <c r="N3146" s="7">
        <f t="shared" si="249"/>
        <v>164.34719346554112</v>
      </c>
    </row>
    <row r="3147" spans="1:14" x14ac:dyDescent="0.25">
      <c r="A3147" t="str">
        <f>"14:42:46.922"</f>
        <v>14:42:46.922</v>
      </c>
      <c r="B3147">
        <v>40.399926000000001</v>
      </c>
      <c r="C3147">
        <v>-74.906308999999993</v>
      </c>
      <c r="D3147">
        <v>3700</v>
      </c>
      <c r="E3147">
        <v>3875</v>
      </c>
      <c r="F3147">
        <v>163</v>
      </c>
      <c r="G3147">
        <v>-21</v>
      </c>
      <c r="H3147">
        <v>0</v>
      </c>
      <c r="J3147" s="1">
        <f t="shared" si="245"/>
        <v>26569</v>
      </c>
      <c r="K3147" s="1">
        <f t="shared" si="246"/>
        <v>441</v>
      </c>
      <c r="L3147" s="1">
        <f t="shared" si="247"/>
        <v>27010</v>
      </c>
      <c r="M3147" s="1">
        <f t="shared" si="248"/>
        <v>164.34719346554112</v>
      </c>
      <c r="N3147" s="7">
        <f t="shared" si="249"/>
        <v>164.34719346554112</v>
      </c>
    </row>
    <row r="3148" spans="1:14" x14ac:dyDescent="0.25">
      <c r="A3148" t="str">
        <f>"14:42:47.781"</f>
        <v>14:42:47.781</v>
      </c>
      <c r="B3148">
        <v>40.399839999999998</v>
      </c>
      <c r="C3148">
        <v>-74.905514999999994</v>
      </c>
      <c r="D3148">
        <v>3700</v>
      </c>
      <c r="E3148">
        <v>3875</v>
      </c>
      <c r="F3148">
        <v>163</v>
      </c>
      <c r="G3148">
        <v>-21</v>
      </c>
      <c r="H3148">
        <v>0</v>
      </c>
      <c r="J3148" s="1">
        <f t="shared" si="245"/>
        <v>26569</v>
      </c>
      <c r="K3148" s="1">
        <f t="shared" si="246"/>
        <v>441</v>
      </c>
      <c r="L3148" s="1">
        <f t="shared" si="247"/>
        <v>27010</v>
      </c>
      <c r="M3148" s="1">
        <f t="shared" si="248"/>
        <v>164.34719346554112</v>
      </c>
      <c r="N3148" s="7">
        <f t="shared" si="249"/>
        <v>164.34719346554112</v>
      </c>
    </row>
    <row r="3149" spans="1:14" x14ac:dyDescent="0.25">
      <c r="A3149" t="str">
        <f>"14:42:48.836"</f>
        <v>14:42:48.836</v>
      </c>
      <c r="B3149">
        <v>40.399754000000001</v>
      </c>
      <c r="C3149">
        <v>-74.904420000000002</v>
      </c>
      <c r="D3149">
        <v>3700</v>
      </c>
      <c r="E3149">
        <v>3875</v>
      </c>
      <c r="F3149">
        <v>163</v>
      </c>
      <c r="G3149">
        <v>-20</v>
      </c>
      <c r="H3149">
        <v>0</v>
      </c>
      <c r="J3149" s="1">
        <f t="shared" si="245"/>
        <v>26569</v>
      </c>
      <c r="K3149" s="1">
        <f t="shared" si="246"/>
        <v>400</v>
      </c>
      <c r="L3149" s="1">
        <f t="shared" si="247"/>
        <v>26969</v>
      </c>
      <c r="M3149" s="1">
        <f t="shared" si="248"/>
        <v>164.2224101637776</v>
      </c>
      <c r="N3149" s="7">
        <f t="shared" si="249"/>
        <v>164.2224101637776</v>
      </c>
    </row>
    <row r="3150" spans="1:14" x14ac:dyDescent="0.25">
      <c r="A3150" t="str">
        <f>"14:42:49.797"</f>
        <v>14:42:49.797</v>
      </c>
      <c r="B3150">
        <v>40.399667999999998</v>
      </c>
      <c r="C3150">
        <v>-74.903412000000003</v>
      </c>
      <c r="D3150">
        <v>3700</v>
      </c>
      <c r="E3150">
        <v>3875</v>
      </c>
      <c r="F3150">
        <v>163</v>
      </c>
      <c r="G3150">
        <v>-21</v>
      </c>
      <c r="H3150">
        <v>0</v>
      </c>
      <c r="J3150" s="1">
        <f t="shared" si="245"/>
        <v>26569</v>
      </c>
      <c r="K3150" s="1">
        <f t="shared" si="246"/>
        <v>441</v>
      </c>
      <c r="L3150" s="1">
        <f t="shared" si="247"/>
        <v>27010</v>
      </c>
      <c r="M3150" s="1">
        <f t="shared" si="248"/>
        <v>164.34719346554112</v>
      </c>
      <c r="N3150" s="7">
        <f t="shared" si="249"/>
        <v>164.34719346554112</v>
      </c>
    </row>
    <row r="3151" spans="1:14" x14ac:dyDescent="0.25">
      <c r="A3151" t="str">
        <f>"14:42:50.703"</f>
        <v>14:42:50.703</v>
      </c>
      <c r="B3151">
        <v>40.399560999999999</v>
      </c>
      <c r="C3151">
        <v>-74.902660999999995</v>
      </c>
      <c r="D3151">
        <v>3700</v>
      </c>
      <c r="E3151">
        <v>3875</v>
      </c>
      <c r="F3151">
        <v>163</v>
      </c>
      <c r="G3151">
        <v>-21</v>
      </c>
      <c r="H3151">
        <v>0</v>
      </c>
      <c r="J3151" s="1">
        <f t="shared" si="245"/>
        <v>26569</v>
      </c>
      <c r="K3151" s="1">
        <f t="shared" si="246"/>
        <v>441</v>
      </c>
      <c r="L3151" s="1">
        <f t="shared" si="247"/>
        <v>27010</v>
      </c>
      <c r="M3151" s="1">
        <f t="shared" si="248"/>
        <v>164.34719346554112</v>
      </c>
      <c r="N3151" s="7">
        <f t="shared" si="249"/>
        <v>164.34719346554112</v>
      </c>
    </row>
    <row r="3152" spans="1:14" x14ac:dyDescent="0.25">
      <c r="A3152" t="str">
        <f>"14:42:51.563"</f>
        <v>14:42:51.563</v>
      </c>
      <c r="B3152">
        <v>40.399518</v>
      </c>
      <c r="C3152">
        <v>-74.901737999999995</v>
      </c>
      <c r="D3152">
        <v>3700</v>
      </c>
      <c r="E3152">
        <v>3875</v>
      </c>
      <c r="F3152">
        <v>163</v>
      </c>
      <c r="G3152">
        <v>-20</v>
      </c>
      <c r="H3152">
        <v>0</v>
      </c>
      <c r="J3152" s="1">
        <f t="shared" si="245"/>
        <v>26569</v>
      </c>
      <c r="K3152" s="1">
        <f t="shared" si="246"/>
        <v>400</v>
      </c>
      <c r="L3152" s="1">
        <f t="shared" si="247"/>
        <v>26969</v>
      </c>
      <c r="M3152" s="1">
        <f t="shared" si="248"/>
        <v>164.2224101637776</v>
      </c>
      <c r="N3152" s="7">
        <f t="shared" si="249"/>
        <v>164.2224101637776</v>
      </c>
    </row>
    <row r="3153" spans="1:14" x14ac:dyDescent="0.25">
      <c r="A3153" t="str">
        <f>"14:42:52.422"</f>
        <v>14:42:52.422</v>
      </c>
      <c r="B3153">
        <v>40.399431999999997</v>
      </c>
      <c r="C3153">
        <v>-74.900857999999999</v>
      </c>
      <c r="D3153">
        <v>3700</v>
      </c>
      <c r="E3153">
        <v>3875</v>
      </c>
      <c r="F3153">
        <v>163</v>
      </c>
      <c r="G3153">
        <v>-20</v>
      </c>
      <c r="H3153">
        <v>64</v>
      </c>
      <c r="J3153" s="1">
        <f t="shared" si="245"/>
        <v>26569</v>
      </c>
      <c r="K3153" s="1">
        <f t="shared" si="246"/>
        <v>400</v>
      </c>
      <c r="L3153" s="1">
        <f t="shared" si="247"/>
        <v>26969</v>
      </c>
      <c r="M3153" s="1">
        <f t="shared" si="248"/>
        <v>164.2224101637776</v>
      </c>
      <c r="N3153" s="7">
        <f t="shared" si="249"/>
        <v>164.2224101637776</v>
      </c>
    </row>
    <row r="3154" spans="1:14" x14ac:dyDescent="0.25">
      <c r="A3154" t="str">
        <f>"14:42:53.430"</f>
        <v>14:42:53.430</v>
      </c>
      <c r="B3154">
        <v>40.399324999999997</v>
      </c>
      <c r="C3154">
        <v>-74.899850000000001</v>
      </c>
      <c r="D3154">
        <v>3700</v>
      </c>
      <c r="E3154">
        <v>3875</v>
      </c>
      <c r="F3154">
        <v>163</v>
      </c>
      <c r="G3154">
        <v>-20</v>
      </c>
      <c r="H3154">
        <v>64</v>
      </c>
      <c r="J3154" s="1">
        <f t="shared" si="245"/>
        <v>26569</v>
      </c>
      <c r="K3154" s="1">
        <f t="shared" si="246"/>
        <v>400</v>
      </c>
      <c r="L3154" s="1">
        <f t="shared" si="247"/>
        <v>26969</v>
      </c>
      <c r="M3154" s="1">
        <f t="shared" si="248"/>
        <v>164.2224101637776</v>
      </c>
      <c r="N3154" s="7">
        <f t="shared" si="249"/>
        <v>164.2224101637776</v>
      </c>
    </row>
    <row r="3155" spans="1:14" x14ac:dyDescent="0.25">
      <c r="A3155" t="str">
        <f>"14:42:54.445"</f>
        <v>14:42:54.445</v>
      </c>
      <c r="B3155">
        <v>40.399239000000001</v>
      </c>
      <c r="C3155">
        <v>-74.898927</v>
      </c>
      <c r="D3155">
        <v>3700</v>
      </c>
      <c r="E3155">
        <v>3875</v>
      </c>
      <c r="F3155">
        <v>163</v>
      </c>
      <c r="G3155">
        <v>-21</v>
      </c>
      <c r="H3155">
        <v>64</v>
      </c>
      <c r="J3155" s="1">
        <f t="shared" si="245"/>
        <v>26569</v>
      </c>
      <c r="K3155" s="1">
        <f t="shared" si="246"/>
        <v>441</v>
      </c>
      <c r="L3155" s="1">
        <f t="shared" si="247"/>
        <v>27010</v>
      </c>
      <c r="M3155" s="1">
        <f t="shared" si="248"/>
        <v>164.34719346554112</v>
      </c>
      <c r="N3155" s="7">
        <f t="shared" si="249"/>
        <v>164.34719346554112</v>
      </c>
    </row>
    <row r="3156" spans="1:14" x14ac:dyDescent="0.25">
      <c r="A3156" t="str">
        <f>"14:42:55.398"</f>
        <v>14:42:55.398</v>
      </c>
      <c r="B3156">
        <v>40.399152999999998</v>
      </c>
      <c r="C3156">
        <v>-74.897919000000002</v>
      </c>
      <c r="D3156">
        <v>3700</v>
      </c>
      <c r="E3156">
        <v>3875</v>
      </c>
      <c r="F3156">
        <v>163</v>
      </c>
      <c r="G3156">
        <v>-21</v>
      </c>
      <c r="H3156">
        <v>64</v>
      </c>
      <c r="J3156" s="1">
        <f t="shared" si="245"/>
        <v>26569</v>
      </c>
      <c r="K3156" s="1">
        <f t="shared" si="246"/>
        <v>441</v>
      </c>
      <c r="L3156" s="1">
        <f t="shared" si="247"/>
        <v>27010</v>
      </c>
      <c r="M3156" s="1">
        <f t="shared" si="248"/>
        <v>164.34719346554112</v>
      </c>
      <c r="N3156" s="7">
        <f t="shared" si="249"/>
        <v>164.34719346554112</v>
      </c>
    </row>
    <row r="3157" spans="1:14" x14ac:dyDescent="0.25">
      <c r="A3157" t="str">
        <f>"14:42:56.359"</f>
        <v>14:42:56.359</v>
      </c>
      <c r="B3157">
        <v>40.399067000000002</v>
      </c>
      <c r="C3157">
        <v>-74.897039000000007</v>
      </c>
      <c r="D3157">
        <v>3700</v>
      </c>
      <c r="E3157">
        <v>3875</v>
      </c>
      <c r="F3157">
        <v>163</v>
      </c>
      <c r="G3157">
        <v>-21</v>
      </c>
      <c r="H3157">
        <v>64</v>
      </c>
      <c r="J3157" s="1">
        <f t="shared" si="245"/>
        <v>26569</v>
      </c>
      <c r="K3157" s="1">
        <f t="shared" si="246"/>
        <v>441</v>
      </c>
      <c r="L3157" s="1">
        <f t="shared" si="247"/>
        <v>27010</v>
      </c>
      <c r="M3157" s="1">
        <f t="shared" si="248"/>
        <v>164.34719346554112</v>
      </c>
      <c r="N3157" s="7">
        <f t="shared" si="249"/>
        <v>164.34719346554112</v>
      </c>
    </row>
    <row r="3158" spans="1:14" x14ac:dyDescent="0.25">
      <c r="A3158" t="str">
        <f>"14:42:57.422"</f>
        <v>14:42:57.422</v>
      </c>
      <c r="B3158">
        <v>40.398916999999997</v>
      </c>
      <c r="C3158">
        <v>-74.895988000000003</v>
      </c>
      <c r="D3158">
        <v>3700</v>
      </c>
      <c r="E3158">
        <v>3875</v>
      </c>
      <c r="F3158">
        <v>163</v>
      </c>
      <c r="G3158">
        <v>-21</v>
      </c>
      <c r="H3158">
        <v>0</v>
      </c>
      <c r="J3158" s="1">
        <f t="shared" si="245"/>
        <v>26569</v>
      </c>
      <c r="K3158" s="1">
        <f t="shared" si="246"/>
        <v>441</v>
      </c>
      <c r="L3158" s="1">
        <f t="shared" si="247"/>
        <v>27010</v>
      </c>
      <c r="M3158" s="1">
        <f t="shared" si="248"/>
        <v>164.34719346554112</v>
      </c>
      <c r="N3158" s="7">
        <f t="shared" si="249"/>
        <v>164.34719346554112</v>
      </c>
    </row>
    <row r="3159" spans="1:14" x14ac:dyDescent="0.25">
      <c r="A3159" t="str">
        <f>"14:42:58.227"</f>
        <v>14:42:58.227</v>
      </c>
      <c r="B3159">
        <v>40.398873999999999</v>
      </c>
      <c r="C3159">
        <v>-74.895107999999993</v>
      </c>
      <c r="D3159">
        <v>3700</v>
      </c>
      <c r="E3159">
        <v>3875</v>
      </c>
      <c r="F3159">
        <v>163</v>
      </c>
      <c r="G3159">
        <v>-21</v>
      </c>
      <c r="H3159">
        <v>0</v>
      </c>
      <c r="J3159" s="1">
        <f t="shared" si="245"/>
        <v>26569</v>
      </c>
      <c r="K3159" s="1">
        <f t="shared" si="246"/>
        <v>441</v>
      </c>
      <c r="L3159" s="1">
        <f t="shared" si="247"/>
        <v>27010</v>
      </c>
      <c r="M3159" s="1">
        <f t="shared" si="248"/>
        <v>164.34719346554112</v>
      </c>
      <c r="N3159" s="7">
        <f t="shared" si="249"/>
        <v>164.34719346554112</v>
      </c>
    </row>
    <row r="3160" spans="1:14" x14ac:dyDescent="0.25">
      <c r="A3160" t="str">
        <f>"14:42:59.086"</f>
        <v>14:42:59.086</v>
      </c>
      <c r="B3160">
        <v>40.398766999999999</v>
      </c>
      <c r="C3160">
        <v>-74.894356999999999</v>
      </c>
      <c r="D3160">
        <v>3700</v>
      </c>
      <c r="E3160">
        <v>3875</v>
      </c>
      <c r="F3160">
        <v>163</v>
      </c>
      <c r="G3160">
        <v>-21</v>
      </c>
      <c r="H3160">
        <v>-64</v>
      </c>
      <c r="J3160" s="1">
        <f t="shared" si="245"/>
        <v>26569</v>
      </c>
      <c r="K3160" s="1">
        <f t="shared" si="246"/>
        <v>441</v>
      </c>
      <c r="L3160" s="1">
        <f t="shared" si="247"/>
        <v>27010</v>
      </c>
      <c r="M3160" s="1">
        <f t="shared" si="248"/>
        <v>164.34719346554112</v>
      </c>
      <c r="N3160" s="7">
        <f t="shared" si="249"/>
        <v>164.34719346554112</v>
      </c>
    </row>
    <row r="3161" spans="1:14" x14ac:dyDescent="0.25">
      <c r="A3161" t="str">
        <f>"14:43:00.195"</f>
        <v>14:43:00.195</v>
      </c>
      <c r="B3161">
        <v>40.398702999999998</v>
      </c>
      <c r="C3161">
        <v>-74.893241000000003</v>
      </c>
      <c r="D3161">
        <v>3700</v>
      </c>
      <c r="E3161">
        <v>3875</v>
      </c>
      <c r="F3161">
        <v>163</v>
      </c>
      <c r="G3161">
        <v>-21</v>
      </c>
      <c r="H3161">
        <v>-64</v>
      </c>
      <c r="J3161" s="1">
        <f t="shared" si="245"/>
        <v>26569</v>
      </c>
      <c r="K3161" s="1">
        <f t="shared" si="246"/>
        <v>441</v>
      </c>
      <c r="L3161" s="1">
        <f t="shared" si="247"/>
        <v>27010</v>
      </c>
      <c r="M3161" s="1">
        <f t="shared" si="248"/>
        <v>164.34719346554112</v>
      </c>
      <c r="N3161" s="7">
        <f t="shared" si="249"/>
        <v>164.34719346554112</v>
      </c>
    </row>
    <row r="3162" spans="1:14" x14ac:dyDescent="0.25">
      <c r="A3162" t="str">
        <f>"14:43:01.305"</f>
        <v>14:43:01.305</v>
      </c>
      <c r="B3162">
        <v>40.398595</v>
      </c>
      <c r="C3162">
        <v>-74.892167999999998</v>
      </c>
      <c r="D3162">
        <v>3700</v>
      </c>
      <c r="E3162">
        <v>3875</v>
      </c>
      <c r="F3162">
        <v>163</v>
      </c>
      <c r="G3162">
        <v>-21</v>
      </c>
      <c r="H3162">
        <v>-64</v>
      </c>
      <c r="J3162" s="1">
        <f t="shared" si="245"/>
        <v>26569</v>
      </c>
      <c r="K3162" s="1">
        <f t="shared" si="246"/>
        <v>441</v>
      </c>
      <c r="L3162" s="1">
        <f t="shared" si="247"/>
        <v>27010</v>
      </c>
      <c r="M3162" s="1">
        <f t="shared" si="248"/>
        <v>164.34719346554112</v>
      </c>
      <c r="N3162" s="7">
        <f t="shared" si="249"/>
        <v>164.34719346554112</v>
      </c>
    </row>
    <row r="3163" spans="1:14" x14ac:dyDescent="0.25">
      <c r="A3163" t="str">
        <f>"14:43:02.313"</f>
        <v>14:43:02.313</v>
      </c>
      <c r="B3163">
        <v>40.398466999999997</v>
      </c>
      <c r="C3163">
        <v>-74.891116999999994</v>
      </c>
      <c r="D3163">
        <v>3700</v>
      </c>
      <c r="E3163">
        <v>3875</v>
      </c>
      <c r="F3163">
        <v>163</v>
      </c>
      <c r="G3163">
        <v>-21</v>
      </c>
      <c r="H3163">
        <v>-64</v>
      </c>
      <c r="J3163" s="1">
        <f t="shared" si="245"/>
        <v>26569</v>
      </c>
      <c r="K3163" s="1">
        <f t="shared" si="246"/>
        <v>441</v>
      </c>
      <c r="L3163" s="1">
        <f t="shared" si="247"/>
        <v>27010</v>
      </c>
      <c r="M3163" s="1">
        <f t="shared" si="248"/>
        <v>164.34719346554112</v>
      </c>
      <c r="N3163" s="7">
        <f t="shared" si="249"/>
        <v>164.34719346554112</v>
      </c>
    </row>
    <row r="3164" spans="1:14" x14ac:dyDescent="0.25">
      <c r="A3164" t="str">
        <f>"14:43:03.375"</f>
        <v>14:43:03.375</v>
      </c>
      <c r="B3164">
        <v>40.398381000000001</v>
      </c>
      <c r="C3164">
        <v>-74.890065000000007</v>
      </c>
      <c r="D3164">
        <v>3700</v>
      </c>
      <c r="E3164">
        <v>3875</v>
      </c>
      <c r="F3164">
        <v>163</v>
      </c>
      <c r="G3164">
        <v>-21</v>
      </c>
      <c r="H3164">
        <v>-64</v>
      </c>
      <c r="J3164" s="1">
        <f t="shared" si="245"/>
        <v>26569</v>
      </c>
      <c r="K3164" s="1">
        <f t="shared" si="246"/>
        <v>441</v>
      </c>
      <c r="L3164" s="1">
        <f t="shared" si="247"/>
        <v>27010</v>
      </c>
      <c r="M3164" s="1">
        <f t="shared" si="248"/>
        <v>164.34719346554112</v>
      </c>
      <c r="N3164" s="7">
        <f t="shared" si="249"/>
        <v>164.34719346554112</v>
      </c>
    </row>
    <row r="3165" spans="1:14" x14ac:dyDescent="0.25">
      <c r="A3165" t="str">
        <f>"14:43:04.336"</f>
        <v>14:43:04.336</v>
      </c>
      <c r="B3165">
        <v>40.398294999999997</v>
      </c>
      <c r="C3165">
        <v>-74.889099999999999</v>
      </c>
      <c r="D3165">
        <v>3700</v>
      </c>
      <c r="E3165">
        <v>3875</v>
      </c>
      <c r="F3165">
        <v>163</v>
      </c>
      <c r="G3165">
        <v>-21</v>
      </c>
      <c r="H3165">
        <v>-64</v>
      </c>
      <c r="J3165" s="1">
        <f t="shared" si="245"/>
        <v>26569</v>
      </c>
      <c r="K3165" s="1">
        <f t="shared" si="246"/>
        <v>441</v>
      </c>
      <c r="L3165" s="1">
        <f t="shared" si="247"/>
        <v>27010</v>
      </c>
      <c r="M3165" s="1">
        <f t="shared" si="248"/>
        <v>164.34719346554112</v>
      </c>
      <c r="N3165" s="7">
        <f t="shared" si="249"/>
        <v>164.34719346554112</v>
      </c>
    </row>
    <row r="3166" spans="1:14" x14ac:dyDescent="0.25">
      <c r="A3166" t="str">
        <f>"14:43:05.297"</f>
        <v>14:43:05.297</v>
      </c>
      <c r="B3166">
        <v>40.398166000000003</v>
      </c>
      <c r="C3166">
        <v>-74.888240999999994</v>
      </c>
      <c r="D3166">
        <v>3700</v>
      </c>
      <c r="E3166">
        <v>3875</v>
      </c>
      <c r="F3166">
        <v>163</v>
      </c>
      <c r="G3166">
        <v>-21</v>
      </c>
      <c r="H3166">
        <v>-64</v>
      </c>
      <c r="J3166" s="1">
        <f t="shared" si="245"/>
        <v>26569</v>
      </c>
      <c r="K3166" s="1">
        <f t="shared" si="246"/>
        <v>441</v>
      </c>
      <c r="L3166" s="1">
        <f t="shared" si="247"/>
        <v>27010</v>
      </c>
      <c r="M3166" s="1">
        <f t="shared" si="248"/>
        <v>164.34719346554112</v>
      </c>
      <c r="N3166" s="7">
        <f t="shared" si="249"/>
        <v>164.34719346554112</v>
      </c>
    </row>
    <row r="3167" spans="1:14" x14ac:dyDescent="0.25">
      <c r="A3167" t="str">
        <f>"14:43:06.203"</f>
        <v>14:43:06.203</v>
      </c>
      <c r="B3167">
        <v>40.39808</v>
      </c>
      <c r="C3167">
        <v>-74.887253999999999</v>
      </c>
      <c r="D3167">
        <v>3700</v>
      </c>
      <c r="E3167">
        <v>3850</v>
      </c>
      <c r="F3167">
        <v>163</v>
      </c>
      <c r="G3167">
        <v>-22</v>
      </c>
      <c r="H3167">
        <v>-64</v>
      </c>
      <c r="J3167" s="1">
        <f t="shared" si="245"/>
        <v>26569</v>
      </c>
      <c r="K3167" s="1">
        <f t="shared" si="246"/>
        <v>484</v>
      </c>
      <c r="L3167" s="1">
        <f t="shared" si="247"/>
        <v>27053</v>
      </c>
      <c r="M3167" s="1">
        <f t="shared" si="248"/>
        <v>164.47796204963143</v>
      </c>
      <c r="N3167" s="7">
        <f t="shared" si="249"/>
        <v>164.47796204963143</v>
      </c>
    </row>
    <row r="3168" spans="1:14" x14ac:dyDescent="0.25">
      <c r="A3168" t="str">
        <f>"14:43:07.414"</f>
        <v>14:43:07.414</v>
      </c>
      <c r="B3168">
        <v>40.397973</v>
      </c>
      <c r="C3168">
        <v>-74.886160000000004</v>
      </c>
      <c r="D3168">
        <v>3700</v>
      </c>
      <c r="E3168">
        <v>3850</v>
      </c>
      <c r="F3168">
        <v>163</v>
      </c>
      <c r="G3168">
        <v>-21</v>
      </c>
      <c r="H3168">
        <v>-64</v>
      </c>
      <c r="J3168" s="1">
        <f t="shared" si="245"/>
        <v>26569</v>
      </c>
      <c r="K3168" s="1">
        <f t="shared" si="246"/>
        <v>441</v>
      </c>
      <c r="L3168" s="1">
        <f t="shared" si="247"/>
        <v>27010</v>
      </c>
      <c r="M3168" s="1">
        <f t="shared" si="248"/>
        <v>164.34719346554112</v>
      </c>
      <c r="N3168" s="7">
        <f t="shared" si="249"/>
        <v>164.34719346554112</v>
      </c>
    </row>
    <row r="3169" spans="1:14" x14ac:dyDescent="0.25">
      <c r="A3169" t="str">
        <f>"14:43:08.422"</f>
        <v>14:43:08.422</v>
      </c>
      <c r="B3169">
        <v>40.397866</v>
      </c>
      <c r="C3169">
        <v>-74.885130000000004</v>
      </c>
      <c r="D3169">
        <v>3700</v>
      </c>
      <c r="E3169">
        <v>3850</v>
      </c>
      <c r="F3169">
        <v>163</v>
      </c>
      <c r="G3169">
        <v>-22</v>
      </c>
      <c r="H3169">
        <v>-64</v>
      </c>
      <c r="J3169" s="1">
        <f t="shared" si="245"/>
        <v>26569</v>
      </c>
      <c r="K3169" s="1">
        <f t="shared" si="246"/>
        <v>484</v>
      </c>
      <c r="L3169" s="1">
        <f t="shared" si="247"/>
        <v>27053</v>
      </c>
      <c r="M3169" s="1">
        <f t="shared" si="248"/>
        <v>164.47796204963143</v>
      </c>
      <c r="N3169" s="7">
        <f t="shared" si="249"/>
        <v>164.47796204963143</v>
      </c>
    </row>
    <row r="3170" spans="1:14" x14ac:dyDescent="0.25">
      <c r="A3170" t="str">
        <f>"14:43:09.383"</f>
        <v>14:43:09.383</v>
      </c>
      <c r="B3170">
        <v>40.397779999999997</v>
      </c>
      <c r="C3170">
        <v>-74.884163999999998</v>
      </c>
      <c r="D3170">
        <v>3700</v>
      </c>
      <c r="E3170">
        <v>3850</v>
      </c>
      <c r="F3170">
        <v>163</v>
      </c>
      <c r="G3170">
        <v>-21</v>
      </c>
      <c r="H3170">
        <v>-64</v>
      </c>
      <c r="J3170" s="1">
        <f t="shared" si="245"/>
        <v>26569</v>
      </c>
      <c r="K3170" s="1">
        <f t="shared" si="246"/>
        <v>441</v>
      </c>
      <c r="L3170" s="1">
        <f t="shared" si="247"/>
        <v>27010</v>
      </c>
      <c r="M3170" s="1">
        <f t="shared" si="248"/>
        <v>164.34719346554112</v>
      </c>
      <c r="N3170" s="7">
        <f t="shared" si="249"/>
        <v>164.34719346554112</v>
      </c>
    </row>
    <row r="3171" spans="1:14" x14ac:dyDescent="0.25">
      <c r="A3171" t="str">
        <f>"14:43:10.445"</f>
        <v>14:43:10.445</v>
      </c>
      <c r="B3171">
        <v>40.397651000000003</v>
      </c>
      <c r="C3171">
        <v>-74.883070000000004</v>
      </c>
      <c r="D3171">
        <v>3700</v>
      </c>
      <c r="E3171">
        <v>3850</v>
      </c>
      <c r="F3171">
        <v>163</v>
      </c>
      <c r="G3171">
        <v>-21</v>
      </c>
      <c r="H3171">
        <v>-64</v>
      </c>
      <c r="J3171" s="1">
        <f t="shared" si="245"/>
        <v>26569</v>
      </c>
      <c r="K3171" s="1">
        <f t="shared" si="246"/>
        <v>441</v>
      </c>
      <c r="L3171" s="1">
        <f t="shared" si="247"/>
        <v>27010</v>
      </c>
      <c r="M3171" s="1">
        <f t="shared" si="248"/>
        <v>164.34719346554112</v>
      </c>
      <c r="N3171" s="7">
        <f t="shared" si="249"/>
        <v>164.34719346554112</v>
      </c>
    </row>
    <row r="3172" spans="1:14" x14ac:dyDescent="0.25">
      <c r="A3172" t="str">
        <f>"14:43:11.500"</f>
        <v>14:43:11.500</v>
      </c>
      <c r="B3172">
        <v>40.397565</v>
      </c>
      <c r="C3172">
        <v>-74.882060999999993</v>
      </c>
      <c r="D3172">
        <v>3700</v>
      </c>
      <c r="E3172">
        <v>3850</v>
      </c>
      <c r="F3172">
        <v>163</v>
      </c>
      <c r="G3172">
        <v>-21</v>
      </c>
      <c r="H3172">
        <v>-64</v>
      </c>
      <c r="J3172" s="1">
        <f t="shared" si="245"/>
        <v>26569</v>
      </c>
      <c r="K3172" s="1">
        <f t="shared" si="246"/>
        <v>441</v>
      </c>
      <c r="L3172" s="1">
        <f t="shared" si="247"/>
        <v>27010</v>
      </c>
      <c r="M3172" s="1">
        <f t="shared" si="248"/>
        <v>164.34719346554112</v>
      </c>
      <c r="N3172" s="7">
        <f t="shared" si="249"/>
        <v>164.34719346554112</v>
      </c>
    </row>
    <row r="3173" spans="1:14" x14ac:dyDescent="0.25">
      <c r="A3173" t="str">
        <f>"14:43:12.563"</f>
        <v>14:43:12.563</v>
      </c>
      <c r="B3173">
        <v>40.397458</v>
      </c>
      <c r="C3173">
        <v>-74.880989</v>
      </c>
      <c r="D3173">
        <v>3700</v>
      </c>
      <c r="E3173">
        <v>3850</v>
      </c>
      <c r="F3173">
        <v>163</v>
      </c>
      <c r="G3173">
        <v>-21</v>
      </c>
      <c r="H3173">
        <v>-192</v>
      </c>
      <c r="J3173" s="1">
        <f t="shared" si="245"/>
        <v>26569</v>
      </c>
      <c r="K3173" s="1">
        <f t="shared" si="246"/>
        <v>441</v>
      </c>
      <c r="L3173" s="1">
        <f t="shared" si="247"/>
        <v>27010</v>
      </c>
      <c r="M3173" s="1">
        <f t="shared" si="248"/>
        <v>164.34719346554112</v>
      </c>
      <c r="N3173" s="7">
        <f t="shared" si="249"/>
        <v>164.34719346554112</v>
      </c>
    </row>
    <row r="3174" spans="1:14" x14ac:dyDescent="0.25">
      <c r="A3174" t="str">
        <f>"14:43:13.672"</f>
        <v>14:43:13.672</v>
      </c>
      <c r="B3174">
        <v>40.397328999999999</v>
      </c>
      <c r="C3174">
        <v>-74.879873000000003</v>
      </c>
      <c r="D3174">
        <v>3700</v>
      </c>
      <c r="E3174">
        <v>3850</v>
      </c>
      <c r="F3174">
        <v>164</v>
      </c>
      <c r="G3174">
        <v>-21</v>
      </c>
      <c r="H3174">
        <v>-512</v>
      </c>
      <c r="J3174" s="1">
        <f t="shared" si="245"/>
        <v>26896</v>
      </c>
      <c r="K3174" s="1">
        <f t="shared" si="246"/>
        <v>441</v>
      </c>
      <c r="L3174" s="1">
        <f t="shared" si="247"/>
        <v>27337</v>
      </c>
      <c r="M3174" s="1">
        <f t="shared" si="248"/>
        <v>165.33904560024533</v>
      </c>
      <c r="N3174" s="7">
        <f t="shared" si="249"/>
        <v>165.33904560024533</v>
      </c>
    </row>
    <row r="3175" spans="1:14" x14ac:dyDescent="0.25">
      <c r="A3175" t="str">
        <f>"14:43:14.781"</f>
        <v>14:43:14.781</v>
      </c>
      <c r="B3175">
        <v>40.397221999999999</v>
      </c>
      <c r="C3175">
        <v>-74.878777999999997</v>
      </c>
      <c r="D3175">
        <v>3600</v>
      </c>
      <c r="E3175">
        <v>3825</v>
      </c>
      <c r="F3175">
        <v>164</v>
      </c>
      <c r="G3175">
        <v>-21</v>
      </c>
      <c r="H3175">
        <v>-704</v>
      </c>
      <c r="J3175" s="1">
        <f t="shared" si="245"/>
        <v>26896</v>
      </c>
      <c r="K3175" s="1">
        <f t="shared" si="246"/>
        <v>441</v>
      </c>
      <c r="L3175" s="1">
        <f t="shared" si="247"/>
        <v>27337</v>
      </c>
      <c r="M3175" s="1">
        <f t="shared" si="248"/>
        <v>165.33904560024533</v>
      </c>
      <c r="N3175" s="7">
        <f t="shared" si="249"/>
        <v>165.33904560024533</v>
      </c>
    </row>
    <row r="3176" spans="1:14" x14ac:dyDescent="0.25">
      <c r="A3176" t="str">
        <f>"14:43:15.789"</f>
        <v>14:43:15.789</v>
      </c>
      <c r="B3176">
        <v>40.397157999999997</v>
      </c>
      <c r="C3176">
        <v>-74.877684000000002</v>
      </c>
      <c r="D3176">
        <v>3600</v>
      </c>
      <c r="E3176">
        <v>3825</v>
      </c>
      <c r="F3176">
        <v>165</v>
      </c>
      <c r="G3176">
        <v>-21</v>
      </c>
      <c r="H3176">
        <v>-768</v>
      </c>
      <c r="J3176" s="1">
        <f t="shared" si="245"/>
        <v>27225</v>
      </c>
      <c r="K3176" s="1">
        <f t="shared" si="246"/>
        <v>441</v>
      </c>
      <c r="L3176" s="1">
        <f t="shared" si="247"/>
        <v>27666</v>
      </c>
      <c r="M3176" s="1">
        <f t="shared" si="248"/>
        <v>166.33099530754933</v>
      </c>
      <c r="N3176" s="7">
        <f t="shared" si="249"/>
        <v>166.33099530754933</v>
      </c>
    </row>
    <row r="3177" spans="1:14" x14ac:dyDescent="0.25">
      <c r="A3177" t="str">
        <f>"14:43:16.750"</f>
        <v>14:43:16.750</v>
      </c>
      <c r="B3177">
        <v>40.39705</v>
      </c>
      <c r="C3177">
        <v>-74.876825999999994</v>
      </c>
      <c r="D3177">
        <v>3600</v>
      </c>
      <c r="E3177">
        <v>3800</v>
      </c>
      <c r="F3177">
        <v>166</v>
      </c>
      <c r="G3177">
        <v>-21</v>
      </c>
      <c r="H3177">
        <v>-832</v>
      </c>
      <c r="J3177" s="1">
        <f t="shared" si="245"/>
        <v>27556</v>
      </c>
      <c r="K3177" s="1">
        <f t="shared" si="246"/>
        <v>441</v>
      </c>
      <c r="L3177" s="1">
        <f t="shared" si="247"/>
        <v>27997</v>
      </c>
      <c r="M3177" s="1">
        <f t="shared" si="248"/>
        <v>167.32304085211933</v>
      </c>
      <c r="N3177" s="7">
        <f t="shared" si="249"/>
        <v>167.32304085211933</v>
      </c>
    </row>
    <row r="3178" spans="1:14" x14ac:dyDescent="0.25">
      <c r="A3178" t="str">
        <f>"14:43:17.664"</f>
        <v>14:43:17.664</v>
      </c>
      <c r="B3178">
        <v>40.396965000000002</v>
      </c>
      <c r="C3178">
        <v>-74.875882000000004</v>
      </c>
      <c r="D3178">
        <v>3600</v>
      </c>
      <c r="E3178">
        <v>3800</v>
      </c>
      <c r="F3178">
        <v>167</v>
      </c>
      <c r="G3178">
        <v>-20</v>
      </c>
      <c r="H3178">
        <v>-768</v>
      </c>
      <c r="J3178" s="1">
        <f t="shared" si="245"/>
        <v>27889</v>
      </c>
      <c r="K3178" s="1">
        <f t="shared" si="246"/>
        <v>400</v>
      </c>
      <c r="L3178" s="1">
        <f t="shared" si="247"/>
        <v>28289</v>
      </c>
      <c r="M3178" s="1">
        <f t="shared" si="248"/>
        <v>168.19334112859522</v>
      </c>
      <c r="N3178" s="7">
        <f t="shared" si="249"/>
        <v>168.19334112859522</v>
      </c>
    </row>
    <row r="3179" spans="1:14" x14ac:dyDescent="0.25">
      <c r="A3179" t="str">
        <f>"14:43:18.570"</f>
        <v>14:43:18.570</v>
      </c>
      <c r="B3179">
        <v>40.396856999999997</v>
      </c>
      <c r="C3179">
        <v>-74.875001999999995</v>
      </c>
      <c r="D3179">
        <v>3600</v>
      </c>
      <c r="E3179">
        <v>3775</v>
      </c>
      <c r="F3179">
        <v>168</v>
      </c>
      <c r="G3179">
        <v>-20</v>
      </c>
      <c r="H3179">
        <v>-768</v>
      </c>
      <c r="J3179" s="1">
        <f t="shared" si="245"/>
        <v>28224</v>
      </c>
      <c r="K3179" s="1">
        <f t="shared" si="246"/>
        <v>400</v>
      </c>
      <c r="L3179" s="1">
        <f t="shared" si="247"/>
        <v>28624</v>
      </c>
      <c r="M3179" s="1">
        <f t="shared" si="248"/>
        <v>169.18628786045281</v>
      </c>
      <c r="N3179" s="7">
        <f t="shared" si="249"/>
        <v>169.18628786045281</v>
      </c>
    </row>
    <row r="3180" spans="1:14" x14ac:dyDescent="0.25">
      <c r="A3180" t="str">
        <f>"14:43:19.680"</f>
        <v>14:43:19.680</v>
      </c>
      <c r="B3180">
        <v>40.396771000000001</v>
      </c>
      <c r="C3180">
        <v>-74.873822000000004</v>
      </c>
      <c r="D3180">
        <v>3500</v>
      </c>
      <c r="E3180">
        <v>3775</v>
      </c>
      <c r="F3180">
        <v>168</v>
      </c>
      <c r="G3180">
        <v>-19</v>
      </c>
      <c r="H3180">
        <v>-768</v>
      </c>
      <c r="J3180" s="1">
        <f t="shared" si="245"/>
        <v>28224</v>
      </c>
      <c r="K3180" s="1">
        <f t="shared" si="246"/>
        <v>361</v>
      </c>
      <c r="L3180" s="1">
        <f t="shared" si="247"/>
        <v>28585</v>
      </c>
      <c r="M3180" s="1">
        <f t="shared" si="248"/>
        <v>169.07099100673656</v>
      </c>
      <c r="N3180" s="7">
        <f t="shared" si="249"/>
        <v>169.07099100673656</v>
      </c>
    </row>
    <row r="3181" spans="1:14" x14ac:dyDescent="0.25">
      <c r="A3181" t="str">
        <f>"14:43:20.688"</f>
        <v>14:43:20.688</v>
      </c>
      <c r="B3181">
        <v>40.396686000000003</v>
      </c>
      <c r="C3181">
        <v>-74.872834999999995</v>
      </c>
      <c r="D3181">
        <v>3500</v>
      </c>
      <c r="E3181">
        <v>3850</v>
      </c>
      <c r="F3181">
        <v>169</v>
      </c>
      <c r="G3181">
        <v>-19</v>
      </c>
      <c r="H3181">
        <v>-832</v>
      </c>
      <c r="J3181" s="1">
        <f t="shared" si="245"/>
        <v>28561</v>
      </c>
      <c r="K3181" s="1">
        <f t="shared" si="246"/>
        <v>361</v>
      </c>
      <c r="L3181" s="1">
        <f t="shared" si="247"/>
        <v>28922</v>
      </c>
      <c r="M3181" s="1">
        <f t="shared" si="248"/>
        <v>170.06469357276953</v>
      </c>
      <c r="N3181" s="7">
        <f t="shared" si="249"/>
        <v>170.06469357276953</v>
      </c>
    </row>
    <row r="3182" spans="1:14" x14ac:dyDescent="0.25">
      <c r="A3182" t="str">
        <f>"14:43:21.648"</f>
        <v>14:43:21.648</v>
      </c>
      <c r="B3182">
        <v>40.396577999999998</v>
      </c>
      <c r="C3182">
        <v>-74.871762000000004</v>
      </c>
      <c r="D3182">
        <v>3500</v>
      </c>
      <c r="E3182">
        <v>3750</v>
      </c>
      <c r="F3182">
        <v>170</v>
      </c>
      <c r="G3182">
        <v>-18</v>
      </c>
      <c r="H3182">
        <v>-832</v>
      </c>
      <c r="J3182" s="1">
        <f t="shared" si="245"/>
        <v>28900</v>
      </c>
      <c r="K3182" s="1">
        <f t="shared" si="246"/>
        <v>324</v>
      </c>
      <c r="L3182" s="1">
        <f t="shared" si="247"/>
        <v>29224</v>
      </c>
      <c r="M3182" s="1">
        <f t="shared" si="248"/>
        <v>170.95028517086482</v>
      </c>
      <c r="N3182" s="7">
        <f t="shared" si="249"/>
        <v>170.95028517086482</v>
      </c>
    </row>
    <row r="3183" spans="1:14" x14ac:dyDescent="0.25">
      <c r="A3183" t="str">
        <f>"14:43:22.813"</f>
        <v>14:43:22.813</v>
      </c>
      <c r="B3183">
        <v>40.396492000000002</v>
      </c>
      <c r="C3183">
        <v>-74.870666999999997</v>
      </c>
      <c r="D3183">
        <v>3500</v>
      </c>
      <c r="E3183">
        <v>3725</v>
      </c>
      <c r="F3183">
        <v>171</v>
      </c>
      <c r="G3183">
        <v>-18</v>
      </c>
      <c r="H3183">
        <v>-832</v>
      </c>
      <c r="J3183" s="1">
        <f t="shared" si="245"/>
        <v>29241</v>
      </c>
      <c r="K3183" s="1">
        <f t="shared" si="246"/>
        <v>324</v>
      </c>
      <c r="L3183" s="1">
        <f t="shared" si="247"/>
        <v>29565</v>
      </c>
      <c r="M3183" s="1">
        <f t="shared" si="248"/>
        <v>171.9447585708852</v>
      </c>
      <c r="N3183" s="7">
        <f t="shared" si="249"/>
        <v>171.9447585708852</v>
      </c>
    </row>
    <row r="3184" spans="1:14" x14ac:dyDescent="0.25">
      <c r="A3184" t="str">
        <f>"14:43:23.617"</f>
        <v>14:43:23.617</v>
      </c>
      <c r="B3184">
        <v>40.396450000000002</v>
      </c>
      <c r="C3184">
        <v>-74.869702000000004</v>
      </c>
      <c r="D3184">
        <v>3500</v>
      </c>
      <c r="E3184">
        <v>3725</v>
      </c>
      <c r="F3184">
        <v>172</v>
      </c>
      <c r="G3184">
        <v>-17</v>
      </c>
      <c r="H3184">
        <v>-832</v>
      </c>
      <c r="J3184" s="1">
        <f t="shared" si="245"/>
        <v>29584</v>
      </c>
      <c r="K3184" s="1">
        <f t="shared" si="246"/>
        <v>289</v>
      </c>
      <c r="L3184" s="1">
        <f t="shared" si="247"/>
        <v>29873</v>
      </c>
      <c r="M3184" s="1">
        <f t="shared" si="248"/>
        <v>172.83807450906181</v>
      </c>
      <c r="N3184" s="7">
        <f t="shared" si="249"/>
        <v>172.83807450906181</v>
      </c>
    </row>
    <row r="3185" spans="1:14" x14ac:dyDescent="0.25">
      <c r="A3185" t="str">
        <f>"14:43:24.727"</f>
        <v>14:43:24.727</v>
      </c>
      <c r="B3185">
        <v>40.396363999999998</v>
      </c>
      <c r="C3185">
        <v>-74.868585999999993</v>
      </c>
      <c r="D3185">
        <v>3500</v>
      </c>
      <c r="E3185">
        <v>3700</v>
      </c>
      <c r="F3185">
        <v>172</v>
      </c>
      <c r="G3185">
        <v>-17</v>
      </c>
      <c r="H3185">
        <v>-768</v>
      </c>
      <c r="J3185" s="1">
        <f t="shared" si="245"/>
        <v>29584</v>
      </c>
      <c r="K3185" s="1">
        <f t="shared" si="246"/>
        <v>289</v>
      </c>
      <c r="L3185" s="1">
        <f t="shared" si="247"/>
        <v>29873</v>
      </c>
      <c r="M3185" s="1">
        <f t="shared" si="248"/>
        <v>172.83807450906181</v>
      </c>
      <c r="N3185" s="7">
        <f t="shared" si="249"/>
        <v>172.83807450906181</v>
      </c>
    </row>
    <row r="3186" spans="1:14" x14ac:dyDescent="0.25">
      <c r="A3186" t="str">
        <f>"14:43:25.789"</f>
        <v>14:43:25.789</v>
      </c>
      <c r="B3186">
        <v>40.396256000000001</v>
      </c>
      <c r="C3186">
        <v>-74.867384000000001</v>
      </c>
      <c r="D3186">
        <v>3500</v>
      </c>
      <c r="E3186">
        <v>3700</v>
      </c>
      <c r="F3186">
        <v>173</v>
      </c>
      <c r="G3186">
        <v>-17</v>
      </c>
      <c r="H3186">
        <v>-704</v>
      </c>
      <c r="J3186" s="1">
        <f t="shared" si="245"/>
        <v>29929</v>
      </c>
      <c r="K3186" s="1">
        <f t="shared" si="246"/>
        <v>289</v>
      </c>
      <c r="L3186" s="1">
        <f t="shared" si="247"/>
        <v>30218</v>
      </c>
      <c r="M3186" s="1">
        <f t="shared" si="248"/>
        <v>173.83325343558406</v>
      </c>
      <c r="N3186" s="7">
        <f t="shared" si="249"/>
        <v>173.83325343558406</v>
      </c>
    </row>
    <row r="3187" spans="1:14" x14ac:dyDescent="0.25">
      <c r="A3187" t="str">
        <f>"14:43:26.852"</f>
        <v>14:43:26.852</v>
      </c>
      <c r="B3187">
        <v>40.396214000000001</v>
      </c>
      <c r="C3187">
        <v>-74.866332999999997</v>
      </c>
      <c r="D3187">
        <v>3500</v>
      </c>
      <c r="E3187">
        <v>3675</v>
      </c>
      <c r="F3187">
        <v>173</v>
      </c>
      <c r="G3187">
        <v>-16</v>
      </c>
      <c r="H3187">
        <v>-768</v>
      </c>
      <c r="J3187" s="1">
        <f t="shared" si="245"/>
        <v>29929</v>
      </c>
      <c r="K3187" s="1">
        <f t="shared" si="246"/>
        <v>256</v>
      </c>
      <c r="L3187" s="1">
        <f t="shared" si="247"/>
        <v>30185</v>
      </c>
      <c r="M3187" s="1">
        <f t="shared" si="248"/>
        <v>173.73830895919301</v>
      </c>
      <c r="N3187" s="7">
        <f t="shared" si="249"/>
        <v>173.73830895919301</v>
      </c>
    </row>
    <row r="3188" spans="1:14" x14ac:dyDescent="0.25">
      <c r="A3188" t="str">
        <f>"14:43:27.961"</f>
        <v>14:43:27.961</v>
      </c>
      <c r="B3188">
        <v>40.396127999999997</v>
      </c>
      <c r="C3188">
        <v>-74.865173999999996</v>
      </c>
      <c r="D3188">
        <v>3500</v>
      </c>
      <c r="E3188">
        <v>3675</v>
      </c>
      <c r="F3188">
        <v>174</v>
      </c>
      <c r="G3188">
        <v>-16</v>
      </c>
      <c r="H3188">
        <v>-768</v>
      </c>
      <c r="J3188" s="1">
        <f t="shared" si="245"/>
        <v>30276</v>
      </c>
      <c r="K3188" s="1">
        <f t="shared" si="246"/>
        <v>256</v>
      </c>
      <c r="L3188" s="1">
        <f t="shared" si="247"/>
        <v>30532</v>
      </c>
      <c r="M3188" s="1">
        <f t="shared" si="248"/>
        <v>174.73408368146153</v>
      </c>
      <c r="N3188" s="7">
        <f t="shared" si="249"/>
        <v>174.73408368146153</v>
      </c>
    </row>
    <row r="3189" spans="1:14" x14ac:dyDescent="0.25">
      <c r="A3189" t="str">
        <f>"14:43:28.969"</f>
        <v>14:43:28.969</v>
      </c>
      <c r="B3189">
        <v>40.396042000000001</v>
      </c>
      <c r="C3189">
        <v>-74.864143999999996</v>
      </c>
      <c r="D3189">
        <v>3500</v>
      </c>
      <c r="E3189">
        <v>3650</v>
      </c>
      <c r="F3189">
        <v>174</v>
      </c>
      <c r="G3189">
        <v>-16</v>
      </c>
      <c r="H3189">
        <v>-832</v>
      </c>
      <c r="J3189" s="1">
        <f t="shared" si="245"/>
        <v>30276</v>
      </c>
      <c r="K3189" s="1">
        <f t="shared" si="246"/>
        <v>256</v>
      </c>
      <c r="L3189" s="1">
        <f t="shared" si="247"/>
        <v>30532</v>
      </c>
      <c r="M3189" s="1">
        <f t="shared" si="248"/>
        <v>174.73408368146153</v>
      </c>
      <c r="N3189" s="7">
        <f t="shared" si="249"/>
        <v>174.73408368146153</v>
      </c>
    </row>
    <row r="3190" spans="1:14" x14ac:dyDescent="0.25">
      <c r="A3190" t="str">
        <f>"14:43:29.875"</f>
        <v>14:43:29.875</v>
      </c>
      <c r="B3190">
        <v>40.395977000000002</v>
      </c>
      <c r="C3190">
        <v>-74.863221999999993</v>
      </c>
      <c r="D3190">
        <v>3400</v>
      </c>
      <c r="E3190">
        <v>3625</v>
      </c>
      <c r="F3190">
        <v>175</v>
      </c>
      <c r="G3190">
        <v>-16</v>
      </c>
      <c r="H3190">
        <v>-832</v>
      </c>
      <c r="J3190" s="1">
        <f t="shared" si="245"/>
        <v>30625</v>
      </c>
      <c r="K3190" s="1">
        <f t="shared" si="246"/>
        <v>256</v>
      </c>
      <c r="L3190" s="1">
        <f t="shared" si="247"/>
        <v>30881</v>
      </c>
      <c r="M3190" s="1">
        <f t="shared" si="248"/>
        <v>175.72990639046048</v>
      </c>
      <c r="N3190" s="7">
        <f t="shared" si="249"/>
        <v>175.72990639046048</v>
      </c>
    </row>
    <row r="3191" spans="1:14" x14ac:dyDescent="0.25">
      <c r="A3191" t="str">
        <f>"14:43:30.891"</f>
        <v>14:43:30.891</v>
      </c>
      <c r="B3191">
        <v>40.395892000000003</v>
      </c>
      <c r="C3191">
        <v>-74.862149000000002</v>
      </c>
      <c r="D3191">
        <v>3400</v>
      </c>
      <c r="E3191">
        <v>3625</v>
      </c>
      <c r="F3191">
        <v>175</v>
      </c>
      <c r="G3191">
        <v>-16</v>
      </c>
      <c r="H3191">
        <v>-832</v>
      </c>
      <c r="J3191" s="1">
        <f t="shared" si="245"/>
        <v>30625</v>
      </c>
      <c r="K3191" s="1">
        <f t="shared" si="246"/>
        <v>256</v>
      </c>
      <c r="L3191" s="1">
        <f t="shared" si="247"/>
        <v>30881</v>
      </c>
      <c r="M3191" s="1">
        <f t="shared" si="248"/>
        <v>175.72990639046048</v>
      </c>
      <c r="N3191" s="7">
        <f t="shared" si="249"/>
        <v>175.72990639046048</v>
      </c>
    </row>
    <row r="3192" spans="1:14" x14ac:dyDescent="0.25">
      <c r="A3192" t="str">
        <f>"14:43:31.797"</f>
        <v>14:43:31.797</v>
      </c>
      <c r="B3192">
        <v>40.395848999999998</v>
      </c>
      <c r="C3192">
        <v>-74.861097000000001</v>
      </c>
      <c r="D3192">
        <v>3400</v>
      </c>
      <c r="E3192">
        <v>3600</v>
      </c>
      <c r="F3192">
        <v>176</v>
      </c>
      <c r="G3192">
        <v>-17</v>
      </c>
      <c r="H3192">
        <v>-832</v>
      </c>
      <c r="J3192" s="1">
        <f t="shared" si="245"/>
        <v>30976</v>
      </c>
      <c r="K3192" s="1">
        <f t="shared" si="246"/>
        <v>289</v>
      </c>
      <c r="L3192" s="1">
        <f t="shared" si="247"/>
        <v>31265</v>
      </c>
      <c r="M3192" s="1">
        <f t="shared" si="248"/>
        <v>176.81911661356077</v>
      </c>
      <c r="N3192" s="7">
        <f t="shared" si="249"/>
        <v>176.81911661356077</v>
      </c>
    </row>
    <row r="3193" spans="1:14" x14ac:dyDescent="0.25">
      <c r="A3193" t="str">
        <f>"14:43:32.906"</f>
        <v>14:43:32.906</v>
      </c>
      <c r="B3193">
        <v>40.395741000000001</v>
      </c>
      <c r="C3193">
        <v>-74.859960000000001</v>
      </c>
      <c r="D3193">
        <v>3400</v>
      </c>
      <c r="E3193">
        <v>3600</v>
      </c>
      <c r="F3193">
        <v>176</v>
      </c>
      <c r="G3193">
        <v>-17</v>
      </c>
      <c r="H3193">
        <v>-896</v>
      </c>
      <c r="J3193" s="1">
        <f t="shared" si="245"/>
        <v>30976</v>
      </c>
      <c r="K3193" s="1">
        <f t="shared" si="246"/>
        <v>289</v>
      </c>
      <c r="L3193" s="1">
        <f t="shared" si="247"/>
        <v>31265</v>
      </c>
      <c r="M3193" s="1">
        <f t="shared" si="248"/>
        <v>176.81911661356077</v>
      </c>
      <c r="N3193" s="7">
        <f t="shared" si="249"/>
        <v>176.81911661356077</v>
      </c>
    </row>
    <row r="3194" spans="1:14" x14ac:dyDescent="0.25">
      <c r="A3194" t="str">
        <f>"14:43:33.867"</f>
        <v>14:43:33.867</v>
      </c>
      <c r="B3194">
        <v>40.395656000000002</v>
      </c>
      <c r="C3194">
        <v>-74.858908999999997</v>
      </c>
      <c r="D3194">
        <v>3400</v>
      </c>
      <c r="E3194">
        <v>3575</v>
      </c>
      <c r="F3194">
        <v>177</v>
      </c>
      <c r="G3194">
        <v>-18</v>
      </c>
      <c r="H3194">
        <v>-960</v>
      </c>
      <c r="J3194" s="1">
        <f t="shared" si="245"/>
        <v>31329</v>
      </c>
      <c r="K3194" s="1">
        <f t="shared" si="246"/>
        <v>324</v>
      </c>
      <c r="L3194" s="1">
        <f t="shared" si="247"/>
        <v>31653</v>
      </c>
      <c r="M3194" s="1">
        <f t="shared" si="248"/>
        <v>177.91290003819284</v>
      </c>
      <c r="N3194" s="7">
        <f t="shared" si="249"/>
        <v>177.91290003819284</v>
      </c>
    </row>
    <row r="3195" spans="1:14" x14ac:dyDescent="0.25">
      <c r="A3195" t="str">
        <f>"14:43:34.727"</f>
        <v>14:43:34.727</v>
      </c>
      <c r="B3195">
        <v>40.395591000000003</v>
      </c>
      <c r="C3195">
        <v>-74.857964999999993</v>
      </c>
      <c r="D3195">
        <v>3300</v>
      </c>
      <c r="E3195">
        <v>3575</v>
      </c>
      <c r="F3195">
        <v>177</v>
      </c>
      <c r="G3195">
        <v>-18</v>
      </c>
      <c r="H3195">
        <v>-960</v>
      </c>
      <c r="J3195" s="1">
        <f t="shared" si="245"/>
        <v>31329</v>
      </c>
      <c r="K3195" s="1">
        <f t="shared" si="246"/>
        <v>324</v>
      </c>
      <c r="L3195" s="1">
        <f t="shared" si="247"/>
        <v>31653</v>
      </c>
      <c r="M3195" s="1">
        <f t="shared" si="248"/>
        <v>177.91290003819284</v>
      </c>
      <c r="N3195" s="7">
        <f t="shared" si="249"/>
        <v>177.91290003819284</v>
      </c>
    </row>
    <row r="3196" spans="1:14" x14ac:dyDescent="0.25">
      <c r="A3196" t="str">
        <f>"14:43:35.836"</f>
        <v>14:43:35.836</v>
      </c>
      <c r="B3196">
        <v>40.395462999999999</v>
      </c>
      <c r="C3196">
        <v>-74.856784000000005</v>
      </c>
      <c r="D3196">
        <v>3300</v>
      </c>
      <c r="E3196">
        <v>3550</v>
      </c>
      <c r="F3196">
        <v>178</v>
      </c>
      <c r="G3196">
        <v>-18</v>
      </c>
      <c r="H3196">
        <v>-960</v>
      </c>
      <c r="J3196" s="1">
        <f t="shared" si="245"/>
        <v>31684</v>
      </c>
      <c r="K3196" s="1">
        <f t="shared" si="246"/>
        <v>324</v>
      </c>
      <c r="L3196" s="1">
        <f t="shared" si="247"/>
        <v>32008</v>
      </c>
      <c r="M3196" s="1">
        <f t="shared" si="248"/>
        <v>178.90779748239035</v>
      </c>
      <c r="N3196" s="7">
        <f t="shared" si="249"/>
        <v>178.90779748239035</v>
      </c>
    </row>
    <row r="3197" spans="1:14" x14ac:dyDescent="0.25">
      <c r="A3197" t="str">
        <f>"14:43:36.844"</f>
        <v>14:43:36.844</v>
      </c>
      <c r="B3197">
        <v>40.395377000000003</v>
      </c>
      <c r="C3197">
        <v>-74.855669000000006</v>
      </c>
      <c r="D3197">
        <v>3300</v>
      </c>
      <c r="E3197">
        <v>3525</v>
      </c>
      <c r="F3197">
        <v>178</v>
      </c>
      <c r="G3197">
        <v>-19</v>
      </c>
      <c r="H3197">
        <v>-896</v>
      </c>
      <c r="J3197" s="1">
        <f t="shared" si="245"/>
        <v>31684</v>
      </c>
      <c r="K3197" s="1">
        <f t="shared" si="246"/>
        <v>361</v>
      </c>
      <c r="L3197" s="1">
        <f t="shared" si="247"/>
        <v>32045</v>
      </c>
      <c r="M3197" s="1">
        <f t="shared" si="248"/>
        <v>179.0111728356641</v>
      </c>
      <c r="N3197" s="7">
        <f t="shared" si="249"/>
        <v>179.0111728356641</v>
      </c>
    </row>
    <row r="3198" spans="1:14" x14ac:dyDescent="0.25">
      <c r="A3198" t="str">
        <f>"14:43:37.750"</f>
        <v>14:43:37.750</v>
      </c>
      <c r="B3198">
        <v>40.395311999999997</v>
      </c>
      <c r="C3198">
        <v>-74.854746000000006</v>
      </c>
      <c r="D3198">
        <v>3300</v>
      </c>
      <c r="E3198">
        <v>3525</v>
      </c>
      <c r="F3198">
        <v>178</v>
      </c>
      <c r="G3198">
        <v>-20</v>
      </c>
      <c r="H3198">
        <v>-896</v>
      </c>
      <c r="J3198" s="1">
        <f t="shared" si="245"/>
        <v>31684</v>
      </c>
      <c r="K3198" s="1">
        <f t="shared" si="246"/>
        <v>400</v>
      </c>
      <c r="L3198" s="1">
        <f t="shared" si="247"/>
        <v>32084</v>
      </c>
      <c r="M3198" s="1">
        <f t="shared" si="248"/>
        <v>179.12007146045917</v>
      </c>
      <c r="N3198" s="7">
        <f t="shared" si="249"/>
        <v>179.12007146045917</v>
      </c>
    </row>
    <row r="3199" spans="1:14" x14ac:dyDescent="0.25">
      <c r="A3199" t="str">
        <f>"14:43:38.711"</f>
        <v>14:43:38.711</v>
      </c>
      <c r="B3199">
        <v>40.395226000000001</v>
      </c>
      <c r="C3199">
        <v>-74.853629999999995</v>
      </c>
      <c r="D3199">
        <v>3300</v>
      </c>
      <c r="E3199">
        <v>3500</v>
      </c>
      <c r="F3199">
        <v>179</v>
      </c>
      <c r="G3199">
        <v>-20</v>
      </c>
      <c r="H3199">
        <v>-896</v>
      </c>
      <c r="J3199" s="1">
        <f t="shared" si="245"/>
        <v>32041</v>
      </c>
      <c r="K3199" s="1">
        <f t="shared" si="246"/>
        <v>400</v>
      </c>
      <c r="L3199" s="1">
        <f t="shared" si="247"/>
        <v>32441</v>
      </c>
      <c r="M3199" s="1">
        <f t="shared" si="248"/>
        <v>180.1138528820035</v>
      </c>
      <c r="N3199" s="7">
        <f t="shared" si="249"/>
        <v>180.1138528820035</v>
      </c>
    </row>
    <row r="3200" spans="1:14" x14ac:dyDescent="0.25">
      <c r="A3200" t="str">
        <f>"14:43:39.875"</f>
        <v>14:43:39.875</v>
      </c>
      <c r="B3200">
        <v>40.395097999999997</v>
      </c>
      <c r="C3200">
        <v>-74.852406999999999</v>
      </c>
      <c r="D3200">
        <v>3300</v>
      </c>
      <c r="E3200">
        <v>3500</v>
      </c>
      <c r="F3200">
        <v>179</v>
      </c>
      <c r="G3200">
        <v>-20</v>
      </c>
      <c r="H3200">
        <v>-896</v>
      </c>
      <c r="J3200" s="1">
        <f t="shared" si="245"/>
        <v>32041</v>
      </c>
      <c r="K3200" s="1">
        <f t="shared" si="246"/>
        <v>400</v>
      </c>
      <c r="L3200" s="1">
        <f t="shared" si="247"/>
        <v>32441</v>
      </c>
      <c r="M3200" s="1">
        <f t="shared" si="248"/>
        <v>180.1138528820035</v>
      </c>
      <c r="N3200" s="7">
        <f t="shared" si="249"/>
        <v>180.1138528820035</v>
      </c>
    </row>
    <row r="3201" spans="1:14" x14ac:dyDescent="0.25">
      <c r="A3201" t="str">
        <f>"14:43:40.984"</f>
        <v>14:43:40.984</v>
      </c>
      <c r="B3201">
        <v>40.395032999999998</v>
      </c>
      <c r="C3201">
        <v>-74.851247999999998</v>
      </c>
      <c r="D3201">
        <v>3300</v>
      </c>
      <c r="E3201">
        <v>3475</v>
      </c>
      <c r="F3201">
        <v>180</v>
      </c>
      <c r="G3201">
        <v>-21</v>
      </c>
      <c r="H3201">
        <v>-832</v>
      </c>
      <c r="J3201" s="1">
        <f t="shared" si="245"/>
        <v>32400</v>
      </c>
      <c r="K3201" s="1">
        <f t="shared" si="246"/>
        <v>441</v>
      </c>
      <c r="L3201" s="1">
        <f t="shared" si="247"/>
        <v>32841</v>
      </c>
      <c r="M3201" s="1">
        <f t="shared" si="248"/>
        <v>181.22085972646747</v>
      </c>
      <c r="N3201" s="7">
        <f t="shared" si="249"/>
        <v>181.22085972646747</v>
      </c>
    </row>
    <row r="3202" spans="1:14" x14ac:dyDescent="0.25">
      <c r="A3202" t="str">
        <f>"14:43:42.141"</f>
        <v>14:43:42.141</v>
      </c>
      <c r="B3202">
        <v>40.394905000000001</v>
      </c>
      <c r="C3202">
        <v>-74.849918000000002</v>
      </c>
      <c r="D3202">
        <v>3200</v>
      </c>
      <c r="E3202">
        <v>3450</v>
      </c>
      <c r="F3202">
        <v>180</v>
      </c>
      <c r="G3202">
        <v>-21</v>
      </c>
      <c r="H3202">
        <v>-832</v>
      </c>
      <c r="J3202" s="1">
        <f t="shared" si="245"/>
        <v>32400</v>
      </c>
      <c r="K3202" s="1">
        <f t="shared" si="246"/>
        <v>441</v>
      </c>
      <c r="L3202" s="1">
        <f t="shared" si="247"/>
        <v>32841</v>
      </c>
      <c r="M3202" s="1">
        <f t="shared" si="248"/>
        <v>181.22085972646747</v>
      </c>
      <c r="N3202" s="7">
        <f t="shared" si="249"/>
        <v>181.22085972646747</v>
      </c>
    </row>
    <row r="3203" spans="1:14" x14ac:dyDescent="0.25">
      <c r="A3203" t="str">
        <f>"14:43:43.055"</f>
        <v>14:43:43.055</v>
      </c>
      <c r="B3203">
        <v>40.394818999999998</v>
      </c>
      <c r="C3203">
        <v>-74.848909000000006</v>
      </c>
      <c r="D3203">
        <v>3200</v>
      </c>
      <c r="E3203">
        <v>3450</v>
      </c>
      <c r="F3203">
        <v>180</v>
      </c>
      <c r="G3203">
        <v>-20</v>
      </c>
      <c r="H3203">
        <v>-832</v>
      </c>
      <c r="J3203" s="1">
        <f t="shared" ref="J3203:J3266" si="250">F3203^2</f>
        <v>32400</v>
      </c>
      <c r="K3203" s="1">
        <f t="shared" ref="K3203:K3266" si="251">G3203^2</f>
        <v>400</v>
      </c>
      <c r="L3203" s="1">
        <f t="shared" ref="L3203:L3266" si="252">SUMSQ(F3203,G3203)</f>
        <v>32800</v>
      </c>
      <c r="M3203" s="1">
        <f t="shared" ref="M3203:M3266" si="253">SQRT(L3203)</f>
        <v>181.10770276274835</v>
      </c>
      <c r="N3203" s="7">
        <f t="shared" ref="N3203:N3266" si="254">M3203</f>
        <v>181.10770276274835</v>
      </c>
    </row>
    <row r="3204" spans="1:14" x14ac:dyDescent="0.25">
      <c r="A3204" t="str">
        <f>"14:43:44.164"</f>
        <v>14:43:44.164</v>
      </c>
      <c r="B3204">
        <v>40.394711000000001</v>
      </c>
      <c r="C3204">
        <v>-74.847707999999997</v>
      </c>
      <c r="D3204">
        <v>3200</v>
      </c>
      <c r="E3204">
        <v>3425</v>
      </c>
      <c r="F3204">
        <v>181</v>
      </c>
      <c r="G3204">
        <v>-20</v>
      </c>
      <c r="H3204">
        <v>-832</v>
      </c>
      <c r="J3204" s="1">
        <f t="shared" si="250"/>
        <v>32761</v>
      </c>
      <c r="K3204" s="1">
        <f t="shared" si="251"/>
        <v>400</v>
      </c>
      <c r="L3204" s="1">
        <f t="shared" si="252"/>
        <v>33161</v>
      </c>
      <c r="M3204" s="1">
        <f t="shared" si="253"/>
        <v>182.10161998181127</v>
      </c>
      <c r="N3204" s="7">
        <f t="shared" si="254"/>
        <v>182.10161998181127</v>
      </c>
    </row>
    <row r="3205" spans="1:14" x14ac:dyDescent="0.25">
      <c r="A3205" t="str">
        <f>"14:43:44.969"</f>
        <v>14:43:44.969</v>
      </c>
      <c r="B3205">
        <v>40.394626000000002</v>
      </c>
      <c r="C3205">
        <v>-74.846870999999993</v>
      </c>
      <c r="D3205">
        <v>3200</v>
      </c>
      <c r="E3205">
        <v>3425</v>
      </c>
      <c r="F3205">
        <v>181</v>
      </c>
      <c r="G3205">
        <v>-20</v>
      </c>
      <c r="H3205">
        <v>-832</v>
      </c>
      <c r="J3205" s="1">
        <f t="shared" si="250"/>
        <v>32761</v>
      </c>
      <c r="K3205" s="1">
        <f t="shared" si="251"/>
        <v>400</v>
      </c>
      <c r="L3205" s="1">
        <f t="shared" si="252"/>
        <v>33161</v>
      </c>
      <c r="M3205" s="1">
        <f t="shared" si="253"/>
        <v>182.10161998181127</v>
      </c>
      <c r="N3205" s="7">
        <f t="shared" si="254"/>
        <v>182.10161998181127</v>
      </c>
    </row>
    <row r="3206" spans="1:14" x14ac:dyDescent="0.25">
      <c r="A3206" t="str">
        <f>"14:43:45.930"</f>
        <v>14:43:45.930</v>
      </c>
      <c r="B3206">
        <v>40.394539999999999</v>
      </c>
      <c r="C3206">
        <v>-74.845754999999997</v>
      </c>
      <c r="D3206">
        <v>3200</v>
      </c>
      <c r="E3206">
        <v>3400</v>
      </c>
      <c r="F3206">
        <v>181</v>
      </c>
      <c r="G3206">
        <v>-20</v>
      </c>
      <c r="H3206">
        <v>-832</v>
      </c>
      <c r="J3206" s="1">
        <f t="shared" si="250"/>
        <v>32761</v>
      </c>
      <c r="K3206" s="1">
        <f t="shared" si="251"/>
        <v>400</v>
      </c>
      <c r="L3206" s="1">
        <f t="shared" si="252"/>
        <v>33161</v>
      </c>
      <c r="M3206" s="1">
        <f t="shared" si="253"/>
        <v>182.10161998181127</v>
      </c>
      <c r="N3206" s="7">
        <f t="shared" si="254"/>
        <v>182.10161998181127</v>
      </c>
    </row>
    <row r="3207" spans="1:14" x14ac:dyDescent="0.25">
      <c r="A3207" t="str">
        <f>"14:43:46.938"</f>
        <v>14:43:46.938</v>
      </c>
      <c r="B3207">
        <v>40.394432999999999</v>
      </c>
      <c r="C3207">
        <v>-74.844661000000002</v>
      </c>
      <c r="D3207">
        <v>3200</v>
      </c>
      <c r="E3207">
        <v>3400</v>
      </c>
      <c r="F3207">
        <v>181</v>
      </c>
      <c r="G3207">
        <v>-20</v>
      </c>
      <c r="H3207">
        <v>-768</v>
      </c>
      <c r="J3207" s="1">
        <f t="shared" si="250"/>
        <v>32761</v>
      </c>
      <c r="K3207" s="1">
        <f t="shared" si="251"/>
        <v>400</v>
      </c>
      <c r="L3207" s="1">
        <f t="shared" si="252"/>
        <v>33161</v>
      </c>
      <c r="M3207" s="1">
        <f t="shared" si="253"/>
        <v>182.10161998181127</v>
      </c>
      <c r="N3207" s="7">
        <f t="shared" si="254"/>
        <v>182.10161998181127</v>
      </c>
    </row>
    <row r="3208" spans="1:14" x14ac:dyDescent="0.25">
      <c r="A3208" t="str">
        <f>"14:43:48.000"</f>
        <v>14:43:48.000</v>
      </c>
      <c r="B3208">
        <v>40.394347000000003</v>
      </c>
      <c r="C3208">
        <v>-74.843480999999997</v>
      </c>
      <c r="D3208">
        <v>3200</v>
      </c>
      <c r="E3208">
        <v>3375</v>
      </c>
      <c r="F3208">
        <v>181</v>
      </c>
      <c r="G3208">
        <v>-20</v>
      </c>
      <c r="H3208">
        <v>-768</v>
      </c>
      <c r="J3208" s="1">
        <f t="shared" si="250"/>
        <v>32761</v>
      </c>
      <c r="K3208" s="1">
        <f t="shared" si="251"/>
        <v>400</v>
      </c>
      <c r="L3208" s="1">
        <f t="shared" si="252"/>
        <v>33161</v>
      </c>
      <c r="M3208" s="1">
        <f t="shared" si="253"/>
        <v>182.10161998181127</v>
      </c>
      <c r="N3208" s="7">
        <f t="shared" si="254"/>
        <v>182.10161998181127</v>
      </c>
    </row>
    <row r="3209" spans="1:14" x14ac:dyDescent="0.25">
      <c r="A3209" t="str">
        <f>"14:43:48.961"</f>
        <v>14:43:48.961</v>
      </c>
      <c r="B3209">
        <v>40.394261</v>
      </c>
      <c r="C3209">
        <v>-74.842472000000001</v>
      </c>
      <c r="D3209">
        <v>3200</v>
      </c>
      <c r="E3209">
        <v>3350</v>
      </c>
      <c r="F3209">
        <v>182</v>
      </c>
      <c r="G3209">
        <v>-19</v>
      </c>
      <c r="H3209">
        <v>-768</v>
      </c>
      <c r="J3209" s="1">
        <f t="shared" si="250"/>
        <v>33124</v>
      </c>
      <c r="K3209" s="1">
        <f t="shared" si="251"/>
        <v>361</v>
      </c>
      <c r="L3209" s="1">
        <f t="shared" si="252"/>
        <v>33485</v>
      </c>
      <c r="M3209" s="1">
        <f t="shared" si="253"/>
        <v>182.98907071188705</v>
      </c>
      <c r="N3209" s="7">
        <f t="shared" si="254"/>
        <v>182.98907071188705</v>
      </c>
    </row>
    <row r="3210" spans="1:14" x14ac:dyDescent="0.25">
      <c r="A3210" t="str">
        <f>"14:43:50.117"</f>
        <v>14:43:50.117</v>
      </c>
      <c r="B3210">
        <v>40.394174999999997</v>
      </c>
      <c r="C3210">
        <v>-74.841249000000005</v>
      </c>
      <c r="D3210">
        <v>3200</v>
      </c>
      <c r="E3210">
        <v>3350</v>
      </c>
      <c r="F3210">
        <v>182</v>
      </c>
      <c r="G3210">
        <v>-19</v>
      </c>
      <c r="H3210">
        <v>-768</v>
      </c>
      <c r="J3210" s="1">
        <f t="shared" si="250"/>
        <v>33124</v>
      </c>
      <c r="K3210" s="1">
        <f t="shared" si="251"/>
        <v>361</v>
      </c>
      <c r="L3210" s="1">
        <f t="shared" si="252"/>
        <v>33485</v>
      </c>
      <c r="M3210" s="1">
        <f t="shared" si="253"/>
        <v>182.98907071188705</v>
      </c>
      <c r="N3210" s="7">
        <f t="shared" si="254"/>
        <v>182.98907071188705</v>
      </c>
    </row>
    <row r="3211" spans="1:14" x14ac:dyDescent="0.25">
      <c r="A3211" t="str">
        <f>"14:43:51.031"</f>
        <v>14:43:51.031</v>
      </c>
      <c r="B3211">
        <v>40.394111000000002</v>
      </c>
      <c r="C3211">
        <v>-74.840261999999996</v>
      </c>
      <c r="D3211">
        <v>3100</v>
      </c>
      <c r="E3211">
        <v>3325</v>
      </c>
      <c r="F3211">
        <v>182</v>
      </c>
      <c r="G3211">
        <v>-19</v>
      </c>
      <c r="H3211">
        <v>-768</v>
      </c>
      <c r="J3211" s="1">
        <f t="shared" si="250"/>
        <v>33124</v>
      </c>
      <c r="K3211" s="1">
        <f t="shared" si="251"/>
        <v>361</v>
      </c>
      <c r="L3211" s="1">
        <f t="shared" si="252"/>
        <v>33485</v>
      </c>
      <c r="M3211" s="1">
        <f t="shared" si="253"/>
        <v>182.98907071188705</v>
      </c>
      <c r="N3211" s="7">
        <f t="shared" si="254"/>
        <v>182.98907071188705</v>
      </c>
    </row>
    <row r="3212" spans="1:14" x14ac:dyDescent="0.25">
      <c r="A3212" t="str">
        <f>"14:43:51.984"</f>
        <v>14:43:51.984</v>
      </c>
      <c r="B3212">
        <v>40.394024999999999</v>
      </c>
      <c r="C3212">
        <v>-74.839168000000001</v>
      </c>
      <c r="D3212">
        <v>3100</v>
      </c>
      <c r="E3212">
        <v>3325</v>
      </c>
      <c r="F3212">
        <v>182</v>
      </c>
      <c r="G3212">
        <v>-19</v>
      </c>
      <c r="H3212">
        <v>-832</v>
      </c>
      <c r="J3212" s="1">
        <f t="shared" si="250"/>
        <v>33124</v>
      </c>
      <c r="K3212" s="1">
        <f t="shared" si="251"/>
        <v>361</v>
      </c>
      <c r="L3212" s="1">
        <f t="shared" si="252"/>
        <v>33485</v>
      </c>
      <c r="M3212" s="1">
        <f t="shared" si="253"/>
        <v>182.98907071188705</v>
      </c>
      <c r="N3212" s="7">
        <f t="shared" si="254"/>
        <v>182.98907071188705</v>
      </c>
    </row>
    <row r="3213" spans="1:14" x14ac:dyDescent="0.25">
      <c r="A3213" t="str">
        <f>"14:43:53.000"</f>
        <v>14:43:53.000</v>
      </c>
      <c r="B3213">
        <v>40.393939000000003</v>
      </c>
      <c r="C3213">
        <v>-74.837923000000004</v>
      </c>
      <c r="D3213">
        <v>3100</v>
      </c>
      <c r="E3213">
        <v>3300</v>
      </c>
      <c r="F3213">
        <v>182</v>
      </c>
      <c r="G3213">
        <v>-19</v>
      </c>
      <c r="H3213">
        <v>-896</v>
      </c>
      <c r="J3213" s="1">
        <f t="shared" si="250"/>
        <v>33124</v>
      </c>
      <c r="K3213" s="1">
        <f t="shared" si="251"/>
        <v>361</v>
      </c>
      <c r="L3213" s="1">
        <f t="shared" si="252"/>
        <v>33485</v>
      </c>
      <c r="M3213" s="1">
        <f t="shared" si="253"/>
        <v>182.98907071188705</v>
      </c>
      <c r="N3213" s="7">
        <f t="shared" si="254"/>
        <v>182.98907071188705</v>
      </c>
    </row>
    <row r="3214" spans="1:14" x14ac:dyDescent="0.25">
      <c r="A3214" t="str">
        <f>"14:43:54.109"</f>
        <v>14:43:54.109</v>
      </c>
      <c r="B3214">
        <v>40.393832000000003</v>
      </c>
      <c r="C3214">
        <v>-74.836872</v>
      </c>
      <c r="D3214">
        <v>3100</v>
      </c>
      <c r="E3214">
        <v>3300</v>
      </c>
      <c r="F3214">
        <v>183</v>
      </c>
      <c r="G3214">
        <v>-19</v>
      </c>
      <c r="H3214">
        <v>-960</v>
      </c>
      <c r="J3214" s="1">
        <f t="shared" si="250"/>
        <v>33489</v>
      </c>
      <c r="K3214" s="1">
        <f t="shared" si="251"/>
        <v>361</v>
      </c>
      <c r="L3214" s="1">
        <f t="shared" si="252"/>
        <v>33850</v>
      </c>
      <c r="M3214" s="1">
        <f t="shared" si="253"/>
        <v>183.98369492974098</v>
      </c>
      <c r="N3214" s="7">
        <f t="shared" si="254"/>
        <v>183.98369492974098</v>
      </c>
    </row>
    <row r="3215" spans="1:14" x14ac:dyDescent="0.25">
      <c r="A3215" t="str">
        <f>"14:43:54.914"</f>
        <v>14:43:54.914</v>
      </c>
      <c r="B3215">
        <v>40.393746</v>
      </c>
      <c r="C3215">
        <v>-74.835819999999998</v>
      </c>
      <c r="D3215">
        <v>3100</v>
      </c>
      <c r="E3215">
        <v>3275</v>
      </c>
      <c r="F3215">
        <v>183</v>
      </c>
      <c r="G3215">
        <v>-19</v>
      </c>
      <c r="H3215">
        <v>-1024</v>
      </c>
      <c r="J3215" s="1">
        <f t="shared" si="250"/>
        <v>33489</v>
      </c>
      <c r="K3215" s="1">
        <f t="shared" si="251"/>
        <v>361</v>
      </c>
      <c r="L3215" s="1">
        <f t="shared" si="252"/>
        <v>33850</v>
      </c>
      <c r="M3215" s="1">
        <f t="shared" si="253"/>
        <v>183.98369492974098</v>
      </c>
      <c r="N3215" s="7">
        <f t="shared" si="254"/>
        <v>183.98369492974098</v>
      </c>
    </row>
    <row r="3216" spans="1:14" x14ac:dyDescent="0.25">
      <c r="A3216" t="str">
        <f>"14:43:55.820"</f>
        <v>14:43:55.820</v>
      </c>
      <c r="B3216">
        <v>40.393659999999997</v>
      </c>
      <c r="C3216">
        <v>-74.834875999999994</v>
      </c>
      <c r="D3216">
        <v>3000</v>
      </c>
      <c r="E3216">
        <v>3250</v>
      </c>
      <c r="F3216">
        <v>183</v>
      </c>
      <c r="G3216">
        <v>-19</v>
      </c>
      <c r="H3216">
        <v>-1088</v>
      </c>
      <c r="J3216" s="1">
        <f t="shared" si="250"/>
        <v>33489</v>
      </c>
      <c r="K3216" s="1">
        <f t="shared" si="251"/>
        <v>361</v>
      </c>
      <c r="L3216" s="1">
        <f t="shared" si="252"/>
        <v>33850</v>
      </c>
      <c r="M3216" s="1">
        <f t="shared" si="253"/>
        <v>183.98369492974098</v>
      </c>
      <c r="N3216" s="7">
        <f t="shared" si="254"/>
        <v>183.98369492974098</v>
      </c>
    </row>
    <row r="3217" spans="1:14" x14ac:dyDescent="0.25">
      <c r="A3217" t="str">
        <f>"14:43:56.938"</f>
        <v>14:43:56.938</v>
      </c>
      <c r="B3217">
        <v>40.393616999999999</v>
      </c>
      <c r="C3217">
        <v>-74.833738999999994</v>
      </c>
      <c r="D3217">
        <v>3000</v>
      </c>
      <c r="E3217">
        <v>3250</v>
      </c>
      <c r="F3217">
        <v>183</v>
      </c>
      <c r="G3217">
        <v>-19</v>
      </c>
      <c r="H3217">
        <v>-1088</v>
      </c>
      <c r="J3217" s="1">
        <f t="shared" si="250"/>
        <v>33489</v>
      </c>
      <c r="K3217" s="1">
        <f t="shared" si="251"/>
        <v>361</v>
      </c>
      <c r="L3217" s="1">
        <f t="shared" si="252"/>
        <v>33850</v>
      </c>
      <c r="M3217" s="1">
        <f t="shared" si="253"/>
        <v>183.98369492974098</v>
      </c>
      <c r="N3217" s="7">
        <f t="shared" si="254"/>
        <v>183.98369492974098</v>
      </c>
    </row>
    <row r="3218" spans="1:14" x14ac:dyDescent="0.25">
      <c r="A3218" t="str">
        <f>"14:43:57.844"</f>
        <v>14:43:57.844</v>
      </c>
      <c r="B3218">
        <v>40.393509999999999</v>
      </c>
      <c r="C3218">
        <v>-74.832622999999998</v>
      </c>
      <c r="D3218">
        <v>3000</v>
      </c>
      <c r="E3218">
        <v>3225</v>
      </c>
      <c r="F3218">
        <v>184</v>
      </c>
      <c r="G3218">
        <v>-19</v>
      </c>
      <c r="H3218">
        <v>-1088</v>
      </c>
      <c r="J3218" s="1">
        <f t="shared" si="250"/>
        <v>33856</v>
      </c>
      <c r="K3218" s="1">
        <f t="shared" si="251"/>
        <v>361</v>
      </c>
      <c r="L3218" s="1">
        <f t="shared" si="252"/>
        <v>34217</v>
      </c>
      <c r="M3218" s="1">
        <f t="shared" si="253"/>
        <v>184.97837711473198</v>
      </c>
      <c r="N3218" s="7">
        <f t="shared" si="254"/>
        <v>184.97837711473198</v>
      </c>
    </row>
    <row r="3219" spans="1:14" x14ac:dyDescent="0.25">
      <c r="A3219" t="str">
        <f>"14:43:58.805"</f>
        <v>14:43:58.805</v>
      </c>
      <c r="B3219">
        <v>40.393424000000003</v>
      </c>
      <c r="C3219">
        <v>-74.831507000000002</v>
      </c>
      <c r="D3219">
        <v>3000</v>
      </c>
      <c r="E3219">
        <v>3200</v>
      </c>
      <c r="F3219">
        <v>184</v>
      </c>
      <c r="G3219">
        <v>-19</v>
      </c>
      <c r="H3219">
        <v>-1024</v>
      </c>
      <c r="J3219" s="1">
        <f t="shared" si="250"/>
        <v>33856</v>
      </c>
      <c r="K3219" s="1">
        <f t="shared" si="251"/>
        <v>361</v>
      </c>
      <c r="L3219" s="1">
        <f t="shared" si="252"/>
        <v>34217</v>
      </c>
      <c r="M3219" s="1">
        <f t="shared" si="253"/>
        <v>184.97837711473198</v>
      </c>
      <c r="N3219" s="7">
        <f t="shared" si="254"/>
        <v>184.97837711473198</v>
      </c>
    </row>
    <row r="3220" spans="1:14" x14ac:dyDescent="0.25">
      <c r="A3220" t="str">
        <f>"14:43:59.859"</f>
        <v>14:43:59.859</v>
      </c>
      <c r="B3220">
        <v>40.393338</v>
      </c>
      <c r="C3220">
        <v>-74.830370000000002</v>
      </c>
      <c r="D3220">
        <v>3000</v>
      </c>
      <c r="E3220">
        <v>3200</v>
      </c>
      <c r="F3220">
        <v>184</v>
      </c>
      <c r="G3220">
        <v>-19</v>
      </c>
      <c r="H3220">
        <v>-1024</v>
      </c>
      <c r="J3220" s="1">
        <f t="shared" si="250"/>
        <v>33856</v>
      </c>
      <c r="K3220" s="1">
        <f t="shared" si="251"/>
        <v>361</v>
      </c>
      <c r="L3220" s="1">
        <f t="shared" si="252"/>
        <v>34217</v>
      </c>
      <c r="M3220" s="1">
        <f t="shared" si="253"/>
        <v>184.97837711473198</v>
      </c>
      <c r="N3220" s="7">
        <f t="shared" si="254"/>
        <v>184.97837711473198</v>
      </c>
    </row>
    <row r="3221" spans="1:14" x14ac:dyDescent="0.25">
      <c r="A3221" t="str">
        <f>"14:44:00.820"</f>
        <v>14:44:00.820</v>
      </c>
      <c r="B3221">
        <v>40.393231</v>
      </c>
      <c r="C3221">
        <v>-74.829254000000006</v>
      </c>
      <c r="D3221">
        <v>3000</v>
      </c>
      <c r="E3221">
        <v>3175</v>
      </c>
      <c r="F3221">
        <v>185</v>
      </c>
      <c r="G3221">
        <v>-20</v>
      </c>
      <c r="H3221">
        <v>-960</v>
      </c>
      <c r="J3221" s="1">
        <f t="shared" si="250"/>
        <v>34225</v>
      </c>
      <c r="K3221" s="1">
        <f t="shared" si="251"/>
        <v>400</v>
      </c>
      <c r="L3221" s="1">
        <f t="shared" si="252"/>
        <v>34625</v>
      </c>
      <c r="M3221" s="1">
        <f t="shared" si="253"/>
        <v>186.07794065928394</v>
      </c>
      <c r="N3221" s="7">
        <f t="shared" si="254"/>
        <v>186.07794065928394</v>
      </c>
    </row>
    <row r="3222" spans="1:14" x14ac:dyDescent="0.25">
      <c r="A3222" t="str">
        <f>"14:44:01.781"</f>
        <v>14:44:01.781</v>
      </c>
      <c r="B3222">
        <v>40.393166999999998</v>
      </c>
      <c r="C3222">
        <v>-74.828245999999993</v>
      </c>
      <c r="D3222">
        <v>3000</v>
      </c>
      <c r="E3222">
        <v>3150</v>
      </c>
      <c r="F3222">
        <v>185</v>
      </c>
      <c r="G3222">
        <v>-20</v>
      </c>
      <c r="H3222">
        <v>-960</v>
      </c>
      <c r="J3222" s="1">
        <f t="shared" si="250"/>
        <v>34225</v>
      </c>
      <c r="K3222" s="1">
        <f t="shared" si="251"/>
        <v>400</v>
      </c>
      <c r="L3222" s="1">
        <f t="shared" si="252"/>
        <v>34625</v>
      </c>
      <c r="M3222" s="1">
        <f t="shared" si="253"/>
        <v>186.07794065928394</v>
      </c>
      <c r="N3222" s="7">
        <f t="shared" si="254"/>
        <v>186.07794065928394</v>
      </c>
    </row>
    <row r="3223" spans="1:14" x14ac:dyDescent="0.25">
      <c r="A3223" t="str">
        <f>"14:44:02.789"</f>
        <v>14:44:02.789</v>
      </c>
      <c r="B3223">
        <v>40.393059000000001</v>
      </c>
      <c r="C3223">
        <v>-74.827151000000001</v>
      </c>
      <c r="D3223">
        <v>3000</v>
      </c>
      <c r="E3223">
        <v>3150</v>
      </c>
      <c r="F3223">
        <v>185</v>
      </c>
      <c r="G3223">
        <v>-20</v>
      </c>
      <c r="H3223">
        <v>-960</v>
      </c>
      <c r="J3223" s="1">
        <f t="shared" si="250"/>
        <v>34225</v>
      </c>
      <c r="K3223" s="1">
        <f t="shared" si="251"/>
        <v>400</v>
      </c>
      <c r="L3223" s="1">
        <f t="shared" si="252"/>
        <v>34625</v>
      </c>
      <c r="M3223" s="1">
        <f t="shared" si="253"/>
        <v>186.07794065928394</v>
      </c>
      <c r="N3223" s="7">
        <f t="shared" si="254"/>
        <v>186.07794065928394</v>
      </c>
    </row>
    <row r="3224" spans="1:14" x14ac:dyDescent="0.25">
      <c r="A3224" t="str">
        <f>"14:44:03.805"</f>
        <v>14:44:03.805</v>
      </c>
      <c r="B3224">
        <v>40.392952000000001</v>
      </c>
      <c r="C3224">
        <v>-74.825885</v>
      </c>
      <c r="D3224">
        <v>2900</v>
      </c>
      <c r="E3224">
        <v>3125</v>
      </c>
      <c r="F3224">
        <v>185</v>
      </c>
      <c r="G3224">
        <v>-20</v>
      </c>
      <c r="H3224">
        <v>-896</v>
      </c>
      <c r="J3224" s="1">
        <f t="shared" si="250"/>
        <v>34225</v>
      </c>
      <c r="K3224" s="1">
        <f t="shared" si="251"/>
        <v>400</v>
      </c>
      <c r="L3224" s="1">
        <f t="shared" si="252"/>
        <v>34625</v>
      </c>
      <c r="M3224" s="1">
        <f t="shared" si="253"/>
        <v>186.07794065928394</v>
      </c>
      <c r="N3224" s="7">
        <f t="shared" si="254"/>
        <v>186.07794065928394</v>
      </c>
    </row>
    <row r="3225" spans="1:14" x14ac:dyDescent="0.25">
      <c r="A3225" t="str">
        <f>"14:44:04.859"</f>
        <v>14:44:04.859</v>
      </c>
      <c r="B3225">
        <v>40.392865999999998</v>
      </c>
      <c r="C3225">
        <v>-74.824769000000003</v>
      </c>
      <c r="D3225">
        <v>2900</v>
      </c>
      <c r="E3225">
        <v>3100</v>
      </c>
      <c r="F3225">
        <v>185</v>
      </c>
      <c r="G3225">
        <v>-20</v>
      </c>
      <c r="H3225">
        <v>-896</v>
      </c>
      <c r="J3225" s="1">
        <f t="shared" si="250"/>
        <v>34225</v>
      </c>
      <c r="K3225" s="1">
        <f t="shared" si="251"/>
        <v>400</v>
      </c>
      <c r="L3225" s="1">
        <f t="shared" si="252"/>
        <v>34625</v>
      </c>
      <c r="M3225" s="1">
        <f t="shared" si="253"/>
        <v>186.07794065928394</v>
      </c>
      <c r="N3225" s="7">
        <f t="shared" si="254"/>
        <v>186.07794065928394</v>
      </c>
    </row>
    <row r="3226" spans="1:14" x14ac:dyDescent="0.25">
      <c r="A3226" t="str">
        <f>"14:44:05.922"</f>
        <v>14:44:05.922</v>
      </c>
      <c r="B3226">
        <v>40.392736999999997</v>
      </c>
      <c r="C3226">
        <v>-74.823545999999993</v>
      </c>
      <c r="D3226">
        <v>2900</v>
      </c>
      <c r="E3226">
        <v>3100</v>
      </c>
      <c r="F3226">
        <v>185</v>
      </c>
      <c r="G3226">
        <v>-21</v>
      </c>
      <c r="H3226">
        <v>-896</v>
      </c>
      <c r="J3226" s="1">
        <f t="shared" si="250"/>
        <v>34225</v>
      </c>
      <c r="K3226" s="1">
        <f t="shared" si="251"/>
        <v>441</v>
      </c>
      <c r="L3226" s="1">
        <f t="shared" si="252"/>
        <v>34666</v>
      </c>
      <c r="M3226" s="1">
        <f t="shared" si="253"/>
        <v>186.18807695446023</v>
      </c>
      <c r="N3226" s="7">
        <f t="shared" si="254"/>
        <v>186.18807695446023</v>
      </c>
    </row>
    <row r="3227" spans="1:14" x14ac:dyDescent="0.25">
      <c r="A3227" t="str">
        <f>"14:44:06.930"</f>
        <v>14:44:06.930</v>
      </c>
      <c r="B3227">
        <v>40.392651999999998</v>
      </c>
      <c r="C3227">
        <v>-74.822451999999998</v>
      </c>
      <c r="D3227">
        <v>2900</v>
      </c>
      <c r="E3227">
        <v>3075</v>
      </c>
      <c r="F3227">
        <v>185</v>
      </c>
      <c r="G3227">
        <v>-21</v>
      </c>
      <c r="H3227">
        <v>-896</v>
      </c>
      <c r="J3227" s="1">
        <f t="shared" si="250"/>
        <v>34225</v>
      </c>
      <c r="K3227" s="1">
        <f t="shared" si="251"/>
        <v>441</v>
      </c>
      <c r="L3227" s="1">
        <f t="shared" si="252"/>
        <v>34666</v>
      </c>
      <c r="M3227" s="1">
        <f t="shared" si="253"/>
        <v>186.18807695446023</v>
      </c>
      <c r="N3227" s="7">
        <f t="shared" si="254"/>
        <v>186.18807695446023</v>
      </c>
    </row>
    <row r="3228" spans="1:14" x14ac:dyDescent="0.25">
      <c r="A3228" t="str">
        <f>"14:44:07.891"</f>
        <v>14:44:07.891</v>
      </c>
      <c r="B3228">
        <v>40.392586999999999</v>
      </c>
      <c r="C3228">
        <v>-74.821378999999993</v>
      </c>
      <c r="D3228">
        <v>2900</v>
      </c>
      <c r="E3228">
        <v>3075</v>
      </c>
      <c r="F3228">
        <v>185</v>
      </c>
      <c r="G3228">
        <v>-21</v>
      </c>
      <c r="H3228">
        <v>-832</v>
      </c>
      <c r="J3228" s="1">
        <f t="shared" si="250"/>
        <v>34225</v>
      </c>
      <c r="K3228" s="1">
        <f t="shared" si="251"/>
        <v>441</v>
      </c>
      <c r="L3228" s="1">
        <f t="shared" si="252"/>
        <v>34666</v>
      </c>
      <c r="M3228" s="1">
        <f t="shared" si="253"/>
        <v>186.18807695446023</v>
      </c>
      <c r="N3228" s="7">
        <f t="shared" si="254"/>
        <v>186.18807695446023</v>
      </c>
    </row>
    <row r="3229" spans="1:14" x14ac:dyDescent="0.25">
      <c r="A3229" t="str">
        <f>"14:44:08.945"</f>
        <v>14:44:08.945</v>
      </c>
      <c r="B3229">
        <v>40.392479999999999</v>
      </c>
      <c r="C3229">
        <v>-74.820199000000002</v>
      </c>
      <c r="D3229">
        <v>2800</v>
      </c>
      <c r="E3229">
        <v>3050</v>
      </c>
      <c r="F3229">
        <v>185</v>
      </c>
      <c r="G3229">
        <v>-21</v>
      </c>
      <c r="H3229">
        <v>-832</v>
      </c>
      <c r="J3229" s="1">
        <f t="shared" si="250"/>
        <v>34225</v>
      </c>
      <c r="K3229" s="1">
        <f t="shared" si="251"/>
        <v>441</v>
      </c>
      <c r="L3229" s="1">
        <f t="shared" si="252"/>
        <v>34666</v>
      </c>
      <c r="M3229" s="1">
        <f t="shared" si="253"/>
        <v>186.18807695446023</v>
      </c>
      <c r="N3229" s="7">
        <f t="shared" si="254"/>
        <v>186.18807695446023</v>
      </c>
    </row>
    <row r="3230" spans="1:14" x14ac:dyDescent="0.25">
      <c r="A3230" t="str">
        <f>"14:44:09.961"</f>
        <v>14:44:09.961</v>
      </c>
      <c r="B3230">
        <v>40.392372999999999</v>
      </c>
      <c r="C3230">
        <v>-74.819040000000001</v>
      </c>
      <c r="D3230">
        <v>2800</v>
      </c>
      <c r="E3230">
        <v>3025</v>
      </c>
      <c r="F3230">
        <v>185</v>
      </c>
      <c r="G3230">
        <v>-21</v>
      </c>
      <c r="H3230">
        <v>-832</v>
      </c>
      <c r="J3230" s="1">
        <f t="shared" si="250"/>
        <v>34225</v>
      </c>
      <c r="K3230" s="1">
        <f t="shared" si="251"/>
        <v>441</v>
      </c>
      <c r="L3230" s="1">
        <f t="shared" si="252"/>
        <v>34666</v>
      </c>
      <c r="M3230" s="1">
        <f t="shared" si="253"/>
        <v>186.18807695446023</v>
      </c>
      <c r="N3230" s="7">
        <f t="shared" si="254"/>
        <v>186.18807695446023</v>
      </c>
    </row>
    <row r="3231" spans="1:14" x14ac:dyDescent="0.25">
      <c r="A3231" t="str">
        <f>"14:44:10.867"</f>
        <v>14:44:10.867</v>
      </c>
      <c r="B3231">
        <v>40.392265000000002</v>
      </c>
      <c r="C3231">
        <v>-74.818010000000001</v>
      </c>
      <c r="D3231">
        <v>2800</v>
      </c>
      <c r="E3231">
        <v>3025</v>
      </c>
      <c r="F3231">
        <v>185</v>
      </c>
      <c r="G3231">
        <v>-22</v>
      </c>
      <c r="H3231">
        <v>-832</v>
      </c>
      <c r="J3231" s="1">
        <f t="shared" si="250"/>
        <v>34225</v>
      </c>
      <c r="K3231" s="1">
        <f t="shared" si="251"/>
        <v>484</v>
      </c>
      <c r="L3231" s="1">
        <f t="shared" si="252"/>
        <v>34709</v>
      </c>
      <c r="M3231" s="1">
        <f t="shared" si="253"/>
        <v>186.30351580150065</v>
      </c>
      <c r="N3231" s="7">
        <f t="shared" si="254"/>
        <v>186.30351580150065</v>
      </c>
    </row>
    <row r="3232" spans="1:14" x14ac:dyDescent="0.25">
      <c r="A3232" t="str">
        <f>"14:44:11.930"</f>
        <v>14:44:11.930</v>
      </c>
      <c r="B3232">
        <v>40.392158000000002</v>
      </c>
      <c r="C3232">
        <v>-74.816829999999996</v>
      </c>
      <c r="D3232">
        <v>2800</v>
      </c>
      <c r="E3232">
        <v>3000</v>
      </c>
      <c r="F3232">
        <v>185</v>
      </c>
      <c r="G3232">
        <v>-22</v>
      </c>
      <c r="H3232">
        <v>-832</v>
      </c>
      <c r="J3232" s="1">
        <f t="shared" si="250"/>
        <v>34225</v>
      </c>
      <c r="K3232" s="1">
        <f t="shared" si="251"/>
        <v>484</v>
      </c>
      <c r="L3232" s="1">
        <f t="shared" si="252"/>
        <v>34709</v>
      </c>
      <c r="M3232" s="1">
        <f t="shared" si="253"/>
        <v>186.30351580150065</v>
      </c>
      <c r="N3232" s="7">
        <f t="shared" si="254"/>
        <v>186.30351580150065</v>
      </c>
    </row>
    <row r="3233" spans="1:14" x14ac:dyDescent="0.25">
      <c r="A3233" t="str">
        <f>"14:44:13.039"</f>
        <v>14:44:13.039</v>
      </c>
      <c r="B3233">
        <v>40.392029000000001</v>
      </c>
      <c r="C3233">
        <v>-74.815585999999996</v>
      </c>
      <c r="D3233">
        <v>2800</v>
      </c>
      <c r="E3233">
        <v>3000</v>
      </c>
      <c r="F3233">
        <v>185</v>
      </c>
      <c r="G3233">
        <v>-22</v>
      </c>
      <c r="H3233">
        <v>-832</v>
      </c>
      <c r="J3233" s="1">
        <f t="shared" si="250"/>
        <v>34225</v>
      </c>
      <c r="K3233" s="1">
        <f t="shared" si="251"/>
        <v>484</v>
      </c>
      <c r="L3233" s="1">
        <f t="shared" si="252"/>
        <v>34709</v>
      </c>
      <c r="M3233" s="1">
        <f t="shared" si="253"/>
        <v>186.30351580150065</v>
      </c>
      <c r="N3233" s="7">
        <f t="shared" si="254"/>
        <v>186.30351580150065</v>
      </c>
    </row>
    <row r="3234" spans="1:14" x14ac:dyDescent="0.25">
      <c r="A3234" t="str">
        <f>"14:44:14.000"</f>
        <v>14:44:14.000</v>
      </c>
      <c r="B3234">
        <v>40.391964999999999</v>
      </c>
      <c r="C3234">
        <v>-74.814577</v>
      </c>
      <c r="D3234">
        <v>2800</v>
      </c>
      <c r="E3234">
        <v>2975</v>
      </c>
      <c r="F3234">
        <v>185</v>
      </c>
      <c r="G3234">
        <v>-22</v>
      </c>
      <c r="H3234">
        <v>-832</v>
      </c>
      <c r="J3234" s="1">
        <f t="shared" si="250"/>
        <v>34225</v>
      </c>
      <c r="K3234" s="1">
        <f t="shared" si="251"/>
        <v>484</v>
      </c>
      <c r="L3234" s="1">
        <f t="shared" si="252"/>
        <v>34709</v>
      </c>
      <c r="M3234" s="1">
        <f t="shared" si="253"/>
        <v>186.30351580150065</v>
      </c>
      <c r="N3234" s="7">
        <f t="shared" si="254"/>
        <v>186.30351580150065</v>
      </c>
    </row>
    <row r="3235" spans="1:14" x14ac:dyDescent="0.25">
      <c r="A3235" t="str">
        <f>"14:44:15.008"</f>
        <v>14:44:15.008</v>
      </c>
      <c r="B3235">
        <v>40.391835999999998</v>
      </c>
      <c r="C3235">
        <v>-74.813333</v>
      </c>
      <c r="D3235">
        <v>2800</v>
      </c>
      <c r="E3235">
        <v>2975</v>
      </c>
      <c r="F3235">
        <v>185</v>
      </c>
      <c r="G3235">
        <v>-22</v>
      </c>
      <c r="H3235">
        <v>-832</v>
      </c>
      <c r="J3235" s="1">
        <f t="shared" si="250"/>
        <v>34225</v>
      </c>
      <c r="K3235" s="1">
        <f t="shared" si="251"/>
        <v>484</v>
      </c>
      <c r="L3235" s="1">
        <f t="shared" si="252"/>
        <v>34709</v>
      </c>
      <c r="M3235" s="1">
        <f t="shared" si="253"/>
        <v>186.30351580150065</v>
      </c>
      <c r="N3235" s="7">
        <f t="shared" si="254"/>
        <v>186.30351580150065</v>
      </c>
    </row>
    <row r="3236" spans="1:14" x14ac:dyDescent="0.25">
      <c r="A3236" t="str">
        <f>"14:44:15.914"</f>
        <v>14:44:15.914</v>
      </c>
      <c r="B3236">
        <v>40.391728999999998</v>
      </c>
      <c r="C3236">
        <v>-74.812324000000004</v>
      </c>
      <c r="D3236">
        <v>2700</v>
      </c>
      <c r="E3236">
        <v>2950</v>
      </c>
      <c r="F3236">
        <v>186</v>
      </c>
      <c r="G3236">
        <v>-22</v>
      </c>
      <c r="H3236">
        <v>-832</v>
      </c>
      <c r="J3236" s="1">
        <f t="shared" si="250"/>
        <v>34596</v>
      </c>
      <c r="K3236" s="1">
        <f t="shared" si="251"/>
        <v>484</v>
      </c>
      <c r="L3236" s="1">
        <f t="shared" si="252"/>
        <v>35080</v>
      </c>
      <c r="M3236" s="1">
        <f t="shared" si="253"/>
        <v>187.29655629509048</v>
      </c>
      <c r="N3236" s="7">
        <f t="shared" si="254"/>
        <v>187.29655629509048</v>
      </c>
    </row>
    <row r="3237" spans="1:14" x14ac:dyDescent="0.25">
      <c r="A3237" t="str">
        <f>"14:44:16.930"</f>
        <v>14:44:16.930</v>
      </c>
      <c r="B3237">
        <v>40.391665000000003</v>
      </c>
      <c r="C3237">
        <v>-74.811273</v>
      </c>
      <c r="D3237">
        <v>2700</v>
      </c>
      <c r="E3237">
        <v>2950</v>
      </c>
      <c r="F3237">
        <v>186</v>
      </c>
      <c r="G3237">
        <v>-22</v>
      </c>
      <c r="H3237">
        <v>-832</v>
      </c>
      <c r="J3237" s="1">
        <f t="shared" si="250"/>
        <v>34596</v>
      </c>
      <c r="K3237" s="1">
        <f t="shared" si="251"/>
        <v>484</v>
      </c>
      <c r="L3237" s="1">
        <f t="shared" si="252"/>
        <v>35080</v>
      </c>
      <c r="M3237" s="1">
        <f t="shared" si="253"/>
        <v>187.29655629509048</v>
      </c>
      <c r="N3237" s="7">
        <f t="shared" si="254"/>
        <v>187.29655629509048</v>
      </c>
    </row>
    <row r="3238" spans="1:14" x14ac:dyDescent="0.25">
      <c r="A3238" t="str">
        <f>"14:44:17.938"</f>
        <v>14:44:17.938</v>
      </c>
      <c r="B3238">
        <v>40.391556999999999</v>
      </c>
      <c r="C3238">
        <v>-74.810050000000004</v>
      </c>
      <c r="D3238">
        <v>2700</v>
      </c>
      <c r="E3238">
        <v>2925</v>
      </c>
      <c r="F3238">
        <v>186</v>
      </c>
      <c r="G3238">
        <v>-22</v>
      </c>
      <c r="H3238">
        <v>-832</v>
      </c>
      <c r="J3238" s="1">
        <f t="shared" si="250"/>
        <v>34596</v>
      </c>
      <c r="K3238" s="1">
        <f t="shared" si="251"/>
        <v>484</v>
      </c>
      <c r="L3238" s="1">
        <f t="shared" si="252"/>
        <v>35080</v>
      </c>
      <c r="M3238" s="1">
        <f t="shared" si="253"/>
        <v>187.29655629509048</v>
      </c>
      <c r="N3238" s="7">
        <f t="shared" si="254"/>
        <v>187.29655629509048</v>
      </c>
    </row>
    <row r="3239" spans="1:14" x14ac:dyDescent="0.25">
      <c r="A3239" t="str">
        <f>"14:44:18.945"</f>
        <v>14:44:18.945</v>
      </c>
      <c r="B3239">
        <v>40.391471000000003</v>
      </c>
      <c r="C3239">
        <v>-74.808954999999997</v>
      </c>
      <c r="D3239">
        <v>2700</v>
      </c>
      <c r="E3239">
        <v>2925</v>
      </c>
      <c r="F3239">
        <v>186</v>
      </c>
      <c r="G3239">
        <v>-22</v>
      </c>
      <c r="H3239">
        <v>-832</v>
      </c>
      <c r="J3239" s="1">
        <f t="shared" si="250"/>
        <v>34596</v>
      </c>
      <c r="K3239" s="1">
        <f t="shared" si="251"/>
        <v>484</v>
      </c>
      <c r="L3239" s="1">
        <f t="shared" si="252"/>
        <v>35080</v>
      </c>
      <c r="M3239" s="1">
        <f t="shared" si="253"/>
        <v>187.29655629509048</v>
      </c>
      <c r="N3239" s="7">
        <f t="shared" si="254"/>
        <v>187.29655629509048</v>
      </c>
    </row>
    <row r="3240" spans="1:14" x14ac:dyDescent="0.25">
      <c r="A3240" t="str">
        <f>"14:44:20.008"</f>
        <v>14:44:20.008</v>
      </c>
      <c r="B3240">
        <v>40.391320999999998</v>
      </c>
      <c r="C3240">
        <v>-74.807710999999998</v>
      </c>
      <c r="D3240">
        <v>2700</v>
      </c>
      <c r="E3240">
        <v>2900</v>
      </c>
      <c r="F3240">
        <v>186</v>
      </c>
      <c r="G3240">
        <v>-22</v>
      </c>
      <c r="H3240">
        <v>-832</v>
      </c>
      <c r="J3240" s="1">
        <f t="shared" si="250"/>
        <v>34596</v>
      </c>
      <c r="K3240" s="1">
        <f t="shared" si="251"/>
        <v>484</v>
      </c>
      <c r="L3240" s="1">
        <f t="shared" si="252"/>
        <v>35080</v>
      </c>
      <c r="M3240" s="1">
        <f t="shared" si="253"/>
        <v>187.29655629509048</v>
      </c>
      <c r="N3240" s="7">
        <f t="shared" si="254"/>
        <v>187.29655629509048</v>
      </c>
    </row>
    <row r="3241" spans="1:14" x14ac:dyDescent="0.25">
      <c r="A3241" t="str">
        <f>"14:44:21.016"</f>
        <v>14:44:21.016</v>
      </c>
      <c r="B3241">
        <v>40.391235000000002</v>
      </c>
      <c r="C3241">
        <v>-74.806702000000001</v>
      </c>
      <c r="D3241">
        <v>2700</v>
      </c>
      <c r="E3241">
        <v>2875</v>
      </c>
      <c r="F3241">
        <v>186</v>
      </c>
      <c r="G3241">
        <v>-22</v>
      </c>
      <c r="H3241">
        <v>-768</v>
      </c>
      <c r="J3241" s="1">
        <f t="shared" si="250"/>
        <v>34596</v>
      </c>
      <c r="K3241" s="1">
        <f t="shared" si="251"/>
        <v>484</v>
      </c>
      <c r="L3241" s="1">
        <f t="shared" si="252"/>
        <v>35080</v>
      </c>
      <c r="M3241" s="1">
        <f t="shared" si="253"/>
        <v>187.29655629509048</v>
      </c>
      <c r="N3241" s="7">
        <f t="shared" si="254"/>
        <v>187.29655629509048</v>
      </c>
    </row>
    <row r="3242" spans="1:14" x14ac:dyDescent="0.25">
      <c r="A3242" t="str">
        <f>"14:44:21.922"</f>
        <v>14:44:21.922</v>
      </c>
      <c r="B3242">
        <v>40.391150000000003</v>
      </c>
      <c r="C3242">
        <v>-74.805543</v>
      </c>
      <c r="D3242">
        <v>2700</v>
      </c>
      <c r="E3242">
        <v>2875</v>
      </c>
      <c r="F3242">
        <v>186</v>
      </c>
      <c r="G3242">
        <v>-22</v>
      </c>
      <c r="H3242">
        <v>-768</v>
      </c>
      <c r="J3242" s="1">
        <f t="shared" si="250"/>
        <v>34596</v>
      </c>
      <c r="K3242" s="1">
        <f t="shared" si="251"/>
        <v>484</v>
      </c>
      <c r="L3242" s="1">
        <f t="shared" si="252"/>
        <v>35080</v>
      </c>
      <c r="M3242" s="1">
        <f t="shared" si="253"/>
        <v>187.29655629509048</v>
      </c>
      <c r="N3242" s="7">
        <f t="shared" si="254"/>
        <v>187.29655629509048</v>
      </c>
    </row>
    <row r="3243" spans="1:14" x14ac:dyDescent="0.25">
      <c r="A3243" t="str">
        <f>"14:44:22.938"</f>
        <v>14:44:22.938</v>
      </c>
      <c r="B3243">
        <v>40.391041999999999</v>
      </c>
      <c r="C3243">
        <v>-74.804449000000005</v>
      </c>
      <c r="D3243">
        <v>2700</v>
      </c>
      <c r="E3243">
        <v>2850</v>
      </c>
      <c r="F3243">
        <v>186</v>
      </c>
      <c r="G3243">
        <v>-22</v>
      </c>
      <c r="H3243">
        <v>-768</v>
      </c>
      <c r="J3243" s="1">
        <f t="shared" si="250"/>
        <v>34596</v>
      </c>
      <c r="K3243" s="1">
        <f t="shared" si="251"/>
        <v>484</v>
      </c>
      <c r="L3243" s="1">
        <f t="shared" si="252"/>
        <v>35080</v>
      </c>
      <c r="M3243" s="1">
        <f t="shared" si="253"/>
        <v>187.29655629509048</v>
      </c>
      <c r="N3243" s="7">
        <f t="shared" si="254"/>
        <v>187.29655629509048</v>
      </c>
    </row>
    <row r="3244" spans="1:14" x14ac:dyDescent="0.25">
      <c r="A3244" t="str">
        <f>"14:44:24.094"</f>
        <v>14:44:24.094</v>
      </c>
      <c r="B3244">
        <v>40.390912999999998</v>
      </c>
      <c r="C3244">
        <v>-74.803096999999994</v>
      </c>
      <c r="D3244">
        <v>2700</v>
      </c>
      <c r="E3244">
        <v>2850</v>
      </c>
      <c r="F3244">
        <v>186</v>
      </c>
      <c r="G3244">
        <v>-21</v>
      </c>
      <c r="H3244">
        <v>-768</v>
      </c>
      <c r="J3244" s="1">
        <f t="shared" si="250"/>
        <v>34596</v>
      </c>
      <c r="K3244" s="1">
        <f t="shared" si="251"/>
        <v>441</v>
      </c>
      <c r="L3244" s="1">
        <f t="shared" si="252"/>
        <v>35037</v>
      </c>
      <c r="M3244" s="1">
        <f t="shared" si="253"/>
        <v>187.18172987767795</v>
      </c>
      <c r="N3244" s="7">
        <f t="shared" si="254"/>
        <v>187.18172987767795</v>
      </c>
    </row>
    <row r="3245" spans="1:14" x14ac:dyDescent="0.25">
      <c r="A3245" t="str">
        <f>"14:44:25.211"</f>
        <v>14:44:25.211</v>
      </c>
      <c r="B3245">
        <v>40.390805999999998</v>
      </c>
      <c r="C3245">
        <v>-74.801852999999994</v>
      </c>
      <c r="D3245">
        <v>2600</v>
      </c>
      <c r="E3245">
        <v>2825</v>
      </c>
      <c r="F3245">
        <v>185</v>
      </c>
      <c r="G3245">
        <v>-21</v>
      </c>
      <c r="H3245">
        <v>-768</v>
      </c>
      <c r="J3245" s="1">
        <f t="shared" si="250"/>
        <v>34225</v>
      </c>
      <c r="K3245" s="1">
        <f t="shared" si="251"/>
        <v>441</v>
      </c>
      <c r="L3245" s="1">
        <f t="shared" si="252"/>
        <v>34666</v>
      </c>
      <c r="M3245" s="1">
        <f t="shared" si="253"/>
        <v>186.18807695446023</v>
      </c>
      <c r="N3245" s="7">
        <f t="shared" si="254"/>
        <v>186.18807695446023</v>
      </c>
    </row>
    <row r="3246" spans="1:14" x14ac:dyDescent="0.25">
      <c r="A3246" t="str">
        <f>"14:44:26.172"</f>
        <v>14:44:26.172</v>
      </c>
      <c r="B3246">
        <v>40.390742000000003</v>
      </c>
      <c r="C3246">
        <v>-74.800843999999998</v>
      </c>
      <c r="D3246">
        <v>2600</v>
      </c>
      <c r="E3246">
        <v>2825</v>
      </c>
      <c r="F3246">
        <v>185</v>
      </c>
      <c r="G3246">
        <v>-21</v>
      </c>
      <c r="H3246">
        <v>-704</v>
      </c>
      <c r="J3246" s="1">
        <f t="shared" si="250"/>
        <v>34225</v>
      </c>
      <c r="K3246" s="1">
        <f t="shared" si="251"/>
        <v>441</v>
      </c>
      <c r="L3246" s="1">
        <f t="shared" si="252"/>
        <v>34666</v>
      </c>
      <c r="M3246" s="1">
        <f t="shared" si="253"/>
        <v>186.18807695446023</v>
      </c>
      <c r="N3246" s="7">
        <f t="shared" si="254"/>
        <v>186.18807695446023</v>
      </c>
    </row>
    <row r="3247" spans="1:14" x14ac:dyDescent="0.25">
      <c r="A3247" t="str">
        <f>"14:44:27.273"</f>
        <v>14:44:27.273</v>
      </c>
      <c r="B3247">
        <v>40.390635000000003</v>
      </c>
      <c r="C3247">
        <v>-74.799599999999998</v>
      </c>
      <c r="D3247">
        <v>2600</v>
      </c>
      <c r="E3247">
        <v>2800</v>
      </c>
      <c r="F3247">
        <v>185</v>
      </c>
      <c r="G3247">
        <v>-21</v>
      </c>
      <c r="H3247">
        <v>-704</v>
      </c>
      <c r="J3247" s="1">
        <f t="shared" si="250"/>
        <v>34225</v>
      </c>
      <c r="K3247" s="1">
        <f t="shared" si="251"/>
        <v>441</v>
      </c>
      <c r="L3247" s="1">
        <f t="shared" si="252"/>
        <v>34666</v>
      </c>
      <c r="M3247" s="1">
        <f t="shared" si="253"/>
        <v>186.18807695446023</v>
      </c>
      <c r="N3247" s="7">
        <f t="shared" si="254"/>
        <v>186.18807695446023</v>
      </c>
    </row>
    <row r="3248" spans="1:14" x14ac:dyDescent="0.25">
      <c r="A3248" t="str">
        <f>"14:44:28.336"</f>
        <v>14:44:28.336</v>
      </c>
      <c r="B3248">
        <v>40.390506000000002</v>
      </c>
      <c r="C3248">
        <v>-74.798398000000006</v>
      </c>
      <c r="D3248">
        <v>2600</v>
      </c>
      <c r="E3248">
        <v>2800</v>
      </c>
      <c r="F3248">
        <v>185</v>
      </c>
      <c r="G3248">
        <v>-21</v>
      </c>
      <c r="H3248">
        <v>-704</v>
      </c>
      <c r="J3248" s="1">
        <f t="shared" si="250"/>
        <v>34225</v>
      </c>
      <c r="K3248" s="1">
        <f t="shared" si="251"/>
        <v>441</v>
      </c>
      <c r="L3248" s="1">
        <f t="shared" si="252"/>
        <v>34666</v>
      </c>
      <c r="M3248" s="1">
        <f t="shared" si="253"/>
        <v>186.18807695446023</v>
      </c>
      <c r="N3248" s="7">
        <f t="shared" si="254"/>
        <v>186.18807695446023</v>
      </c>
    </row>
    <row r="3249" spans="1:14" x14ac:dyDescent="0.25">
      <c r="A3249" t="str">
        <f>"14:44:29.453"</f>
        <v>14:44:29.453</v>
      </c>
      <c r="B3249">
        <v>40.390399000000002</v>
      </c>
      <c r="C3249">
        <v>-74.797174999999996</v>
      </c>
      <c r="D3249">
        <v>2600</v>
      </c>
      <c r="E3249">
        <v>2775</v>
      </c>
      <c r="F3249">
        <v>185</v>
      </c>
      <c r="G3249">
        <v>-21</v>
      </c>
      <c r="H3249">
        <v>-704</v>
      </c>
      <c r="J3249" s="1">
        <f t="shared" si="250"/>
        <v>34225</v>
      </c>
      <c r="K3249" s="1">
        <f t="shared" si="251"/>
        <v>441</v>
      </c>
      <c r="L3249" s="1">
        <f t="shared" si="252"/>
        <v>34666</v>
      </c>
      <c r="M3249" s="1">
        <f t="shared" si="253"/>
        <v>186.18807695446023</v>
      </c>
      <c r="N3249" s="7">
        <f t="shared" si="254"/>
        <v>186.18807695446023</v>
      </c>
    </row>
    <row r="3250" spans="1:14" x14ac:dyDescent="0.25">
      <c r="A3250" t="str">
        <f>"14:44:30.414"</f>
        <v>14:44:30.414</v>
      </c>
      <c r="B3250">
        <v>40.390312999999999</v>
      </c>
      <c r="C3250">
        <v>-74.796037999999996</v>
      </c>
      <c r="D3250">
        <v>2600</v>
      </c>
      <c r="E3250">
        <v>2775</v>
      </c>
      <c r="F3250">
        <v>185</v>
      </c>
      <c r="G3250">
        <v>-21</v>
      </c>
      <c r="H3250">
        <v>-704</v>
      </c>
      <c r="J3250" s="1">
        <f t="shared" si="250"/>
        <v>34225</v>
      </c>
      <c r="K3250" s="1">
        <f t="shared" si="251"/>
        <v>441</v>
      </c>
      <c r="L3250" s="1">
        <f t="shared" si="252"/>
        <v>34666</v>
      </c>
      <c r="M3250" s="1">
        <f t="shared" si="253"/>
        <v>186.18807695446023</v>
      </c>
      <c r="N3250" s="7">
        <f t="shared" si="254"/>
        <v>186.18807695446023</v>
      </c>
    </row>
    <row r="3251" spans="1:14" x14ac:dyDescent="0.25">
      <c r="A3251" t="str">
        <f>"14:44:31.414"</f>
        <v>14:44:31.414</v>
      </c>
      <c r="B3251">
        <v>40.390205000000002</v>
      </c>
      <c r="C3251">
        <v>-74.794922</v>
      </c>
      <c r="D3251">
        <v>2500</v>
      </c>
      <c r="E3251">
        <v>2750</v>
      </c>
      <c r="F3251">
        <v>185</v>
      </c>
      <c r="G3251">
        <v>-21</v>
      </c>
      <c r="H3251">
        <v>-640</v>
      </c>
      <c r="J3251" s="1">
        <f t="shared" si="250"/>
        <v>34225</v>
      </c>
      <c r="K3251" s="1">
        <f t="shared" si="251"/>
        <v>441</v>
      </c>
      <c r="L3251" s="1">
        <f t="shared" si="252"/>
        <v>34666</v>
      </c>
      <c r="M3251" s="1">
        <f t="shared" si="253"/>
        <v>186.18807695446023</v>
      </c>
      <c r="N3251" s="7">
        <f t="shared" si="254"/>
        <v>186.18807695446023</v>
      </c>
    </row>
    <row r="3252" spans="1:14" x14ac:dyDescent="0.25">
      <c r="A3252" t="str">
        <f>"14:44:32.477"</f>
        <v>14:44:32.477</v>
      </c>
      <c r="B3252">
        <v>40.390120000000003</v>
      </c>
      <c r="C3252">
        <v>-74.793806000000004</v>
      </c>
      <c r="D3252">
        <v>2500</v>
      </c>
      <c r="E3252">
        <v>2750</v>
      </c>
      <c r="F3252">
        <v>184</v>
      </c>
      <c r="G3252">
        <v>-22</v>
      </c>
      <c r="H3252">
        <v>-704</v>
      </c>
      <c r="J3252" s="1">
        <f t="shared" si="250"/>
        <v>33856</v>
      </c>
      <c r="K3252" s="1">
        <f t="shared" si="251"/>
        <v>484</v>
      </c>
      <c r="L3252" s="1">
        <f t="shared" si="252"/>
        <v>34340</v>
      </c>
      <c r="M3252" s="1">
        <f t="shared" si="253"/>
        <v>185.31055015837603</v>
      </c>
      <c r="N3252" s="7">
        <f t="shared" si="254"/>
        <v>185.31055015837603</v>
      </c>
    </row>
    <row r="3253" spans="1:14" x14ac:dyDescent="0.25">
      <c r="A3253" t="str">
        <f>"14:44:33.484"</f>
        <v>14:44:33.484</v>
      </c>
      <c r="B3253">
        <v>40.390034</v>
      </c>
      <c r="C3253">
        <v>-74.792669000000004</v>
      </c>
      <c r="D3253">
        <v>2500</v>
      </c>
      <c r="E3253">
        <v>2725</v>
      </c>
      <c r="F3253">
        <v>184</v>
      </c>
      <c r="G3253">
        <v>-22</v>
      </c>
      <c r="H3253">
        <v>-640</v>
      </c>
      <c r="J3253" s="1">
        <f t="shared" si="250"/>
        <v>33856</v>
      </c>
      <c r="K3253" s="1">
        <f t="shared" si="251"/>
        <v>484</v>
      </c>
      <c r="L3253" s="1">
        <f t="shared" si="252"/>
        <v>34340</v>
      </c>
      <c r="M3253" s="1">
        <f t="shared" si="253"/>
        <v>185.31055015837603</v>
      </c>
      <c r="N3253" s="7">
        <f t="shared" si="254"/>
        <v>185.31055015837603</v>
      </c>
    </row>
    <row r="3254" spans="1:14" x14ac:dyDescent="0.25">
      <c r="A3254" t="str">
        <f>"14:44:34.500"</f>
        <v>14:44:34.500</v>
      </c>
      <c r="B3254">
        <v>40.389884000000002</v>
      </c>
      <c r="C3254">
        <v>-74.791552999999993</v>
      </c>
      <c r="D3254">
        <v>2500</v>
      </c>
      <c r="E3254">
        <v>2725</v>
      </c>
      <c r="F3254">
        <v>184</v>
      </c>
      <c r="G3254">
        <v>-22</v>
      </c>
      <c r="H3254">
        <v>-640</v>
      </c>
      <c r="J3254" s="1">
        <f t="shared" si="250"/>
        <v>33856</v>
      </c>
      <c r="K3254" s="1">
        <f t="shared" si="251"/>
        <v>484</v>
      </c>
      <c r="L3254" s="1">
        <f t="shared" si="252"/>
        <v>34340</v>
      </c>
      <c r="M3254" s="1">
        <f t="shared" si="253"/>
        <v>185.31055015837603</v>
      </c>
      <c r="N3254" s="7">
        <f t="shared" si="254"/>
        <v>185.31055015837603</v>
      </c>
    </row>
    <row r="3255" spans="1:14" x14ac:dyDescent="0.25">
      <c r="A3255" t="str">
        <f>"14:44:35.453"</f>
        <v>14:44:35.453</v>
      </c>
      <c r="B3255">
        <v>40.389797999999999</v>
      </c>
      <c r="C3255">
        <v>-74.790436999999997</v>
      </c>
      <c r="D3255">
        <v>2500</v>
      </c>
      <c r="E3255">
        <v>2725</v>
      </c>
      <c r="F3255">
        <v>184</v>
      </c>
      <c r="G3255">
        <v>-21</v>
      </c>
      <c r="H3255">
        <v>-640</v>
      </c>
      <c r="J3255" s="1">
        <f t="shared" si="250"/>
        <v>33856</v>
      </c>
      <c r="K3255" s="1">
        <f t="shared" si="251"/>
        <v>441</v>
      </c>
      <c r="L3255" s="1">
        <f t="shared" si="252"/>
        <v>34297</v>
      </c>
      <c r="M3255" s="1">
        <f t="shared" si="253"/>
        <v>185.1944923587092</v>
      </c>
      <c r="N3255" s="7">
        <f t="shared" si="254"/>
        <v>185.1944923587092</v>
      </c>
    </row>
    <row r="3256" spans="1:14" x14ac:dyDescent="0.25">
      <c r="A3256" t="str">
        <f>"14:44:36.563"</f>
        <v>14:44:36.563</v>
      </c>
      <c r="B3256">
        <v>40.389668999999998</v>
      </c>
      <c r="C3256">
        <v>-74.789236000000002</v>
      </c>
      <c r="D3256">
        <v>2500</v>
      </c>
      <c r="E3256">
        <v>2700</v>
      </c>
      <c r="F3256">
        <v>183</v>
      </c>
      <c r="G3256">
        <v>-21</v>
      </c>
      <c r="H3256">
        <v>-576</v>
      </c>
      <c r="J3256" s="1">
        <f t="shared" si="250"/>
        <v>33489</v>
      </c>
      <c r="K3256" s="1">
        <f t="shared" si="251"/>
        <v>441</v>
      </c>
      <c r="L3256" s="1">
        <f t="shared" si="252"/>
        <v>33930</v>
      </c>
      <c r="M3256" s="1">
        <f t="shared" si="253"/>
        <v>184.20097719610501</v>
      </c>
      <c r="N3256" s="7">
        <f t="shared" si="254"/>
        <v>184.20097719610501</v>
      </c>
    </row>
    <row r="3257" spans="1:14" x14ac:dyDescent="0.25">
      <c r="A3257" t="str">
        <f>"14:44:37.578"</f>
        <v>14:44:37.578</v>
      </c>
      <c r="B3257">
        <v>40.389583000000002</v>
      </c>
      <c r="C3257">
        <v>-74.788140999999996</v>
      </c>
      <c r="D3257">
        <v>2500</v>
      </c>
      <c r="E3257">
        <v>2700</v>
      </c>
      <c r="F3257">
        <v>183</v>
      </c>
      <c r="G3257">
        <v>-21</v>
      </c>
      <c r="H3257">
        <v>-576</v>
      </c>
      <c r="J3257" s="1">
        <f t="shared" si="250"/>
        <v>33489</v>
      </c>
      <c r="K3257" s="1">
        <f t="shared" si="251"/>
        <v>441</v>
      </c>
      <c r="L3257" s="1">
        <f t="shared" si="252"/>
        <v>33930</v>
      </c>
      <c r="M3257" s="1">
        <f t="shared" si="253"/>
        <v>184.20097719610501</v>
      </c>
      <c r="N3257" s="7">
        <f t="shared" si="254"/>
        <v>184.20097719610501</v>
      </c>
    </row>
    <row r="3258" spans="1:14" x14ac:dyDescent="0.25">
      <c r="A3258" t="str">
        <f>"14:44:38.586"</f>
        <v>14:44:38.586</v>
      </c>
      <c r="B3258">
        <v>40.389496999999999</v>
      </c>
      <c r="C3258">
        <v>-74.786983000000006</v>
      </c>
      <c r="D3258">
        <v>2500</v>
      </c>
      <c r="E3258">
        <v>2675</v>
      </c>
      <c r="F3258">
        <v>183</v>
      </c>
      <c r="G3258">
        <v>-21</v>
      </c>
      <c r="H3258">
        <v>-640</v>
      </c>
      <c r="J3258" s="1">
        <f t="shared" si="250"/>
        <v>33489</v>
      </c>
      <c r="K3258" s="1">
        <f t="shared" si="251"/>
        <v>441</v>
      </c>
      <c r="L3258" s="1">
        <f t="shared" si="252"/>
        <v>33930</v>
      </c>
      <c r="M3258" s="1">
        <f t="shared" si="253"/>
        <v>184.20097719610501</v>
      </c>
      <c r="N3258" s="7">
        <f t="shared" si="254"/>
        <v>184.20097719610501</v>
      </c>
    </row>
    <row r="3259" spans="1:14" x14ac:dyDescent="0.25">
      <c r="A3259" t="str">
        <f>"14:44:39.594"</f>
        <v>14:44:39.594</v>
      </c>
      <c r="B3259">
        <v>40.389411000000003</v>
      </c>
      <c r="C3259">
        <v>-74.785802000000004</v>
      </c>
      <c r="D3259">
        <v>2500</v>
      </c>
      <c r="E3259">
        <v>2675</v>
      </c>
      <c r="F3259">
        <v>183</v>
      </c>
      <c r="G3259">
        <v>-21</v>
      </c>
      <c r="H3259">
        <v>-640</v>
      </c>
      <c r="J3259" s="1">
        <f t="shared" si="250"/>
        <v>33489</v>
      </c>
      <c r="K3259" s="1">
        <f t="shared" si="251"/>
        <v>441</v>
      </c>
      <c r="L3259" s="1">
        <f t="shared" si="252"/>
        <v>33930</v>
      </c>
      <c r="M3259" s="1">
        <f t="shared" si="253"/>
        <v>184.20097719610501</v>
      </c>
      <c r="N3259" s="7">
        <f t="shared" si="254"/>
        <v>184.20097719610501</v>
      </c>
    </row>
    <row r="3260" spans="1:14" x14ac:dyDescent="0.25">
      <c r="A3260" t="str">
        <f>"14:44:40.602"</f>
        <v>14:44:40.602</v>
      </c>
      <c r="B3260">
        <v>40.389325999999997</v>
      </c>
      <c r="C3260">
        <v>-74.784687000000005</v>
      </c>
      <c r="D3260">
        <v>2500</v>
      </c>
      <c r="E3260">
        <v>2650</v>
      </c>
      <c r="F3260">
        <v>183</v>
      </c>
      <c r="G3260">
        <v>-21</v>
      </c>
      <c r="H3260">
        <v>-640</v>
      </c>
      <c r="J3260" s="1">
        <f t="shared" si="250"/>
        <v>33489</v>
      </c>
      <c r="K3260" s="1">
        <f t="shared" si="251"/>
        <v>441</v>
      </c>
      <c r="L3260" s="1">
        <f t="shared" si="252"/>
        <v>33930</v>
      </c>
      <c r="M3260" s="1">
        <f t="shared" si="253"/>
        <v>184.20097719610501</v>
      </c>
      <c r="N3260" s="7">
        <f t="shared" si="254"/>
        <v>184.20097719610501</v>
      </c>
    </row>
    <row r="3261" spans="1:14" x14ac:dyDescent="0.25">
      <c r="A3261" t="str">
        <f>"14:44:41.617"</f>
        <v>14:44:41.617</v>
      </c>
      <c r="B3261">
        <v>40.389218</v>
      </c>
      <c r="C3261">
        <v>-74.783699999999996</v>
      </c>
      <c r="D3261">
        <v>2500</v>
      </c>
      <c r="E3261">
        <v>2650</v>
      </c>
      <c r="F3261">
        <v>183</v>
      </c>
      <c r="G3261">
        <v>-20</v>
      </c>
      <c r="H3261">
        <v>-640</v>
      </c>
      <c r="J3261" s="1">
        <f t="shared" si="250"/>
        <v>33489</v>
      </c>
      <c r="K3261" s="1">
        <f t="shared" si="251"/>
        <v>400</v>
      </c>
      <c r="L3261" s="1">
        <f t="shared" si="252"/>
        <v>33889</v>
      </c>
      <c r="M3261" s="1">
        <f t="shared" si="253"/>
        <v>184.08965207202712</v>
      </c>
      <c r="N3261" s="7">
        <f t="shared" si="254"/>
        <v>184.08965207202712</v>
      </c>
    </row>
    <row r="3262" spans="1:14" x14ac:dyDescent="0.25">
      <c r="A3262" t="str">
        <f>"14:44:42.477"</f>
        <v>14:44:42.477</v>
      </c>
      <c r="B3262">
        <v>40.389131999999996</v>
      </c>
      <c r="C3262">
        <v>-74.782691</v>
      </c>
      <c r="D3262">
        <v>2500</v>
      </c>
      <c r="E3262">
        <v>2650</v>
      </c>
      <c r="F3262">
        <v>182</v>
      </c>
      <c r="G3262">
        <v>-20</v>
      </c>
      <c r="H3262">
        <v>-704</v>
      </c>
      <c r="J3262" s="1">
        <f t="shared" si="250"/>
        <v>33124</v>
      </c>
      <c r="K3262" s="1">
        <f t="shared" si="251"/>
        <v>400</v>
      </c>
      <c r="L3262" s="1">
        <f t="shared" si="252"/>
        <v>33524</v>
      </c>
      <c r="M3262" s="1">
        <f t="shared" si="253"/>
        <v>183.09560344257315</v>
      </c>
      <c r="N3262" s="7">
        <f t="shared" si="254"/>
        <v>183.09560344257315</v>
      </c>
    </row>
    <row r="3263" spans="1:14" x14ac:dyDescent="0.25">
      <c r="A3263" t="str">
        <f>"14:44:43.531"</f>
        <v>14:44:43.531</v>
      </c>
      <c r="B3263">
        <v>40.389046999999998</v>
      </c>
      <c r="C3263">
        <v>-74.781488999999993</v>
      </c>
      <c r="D3263">
        <v>2400</v>
      </c>
      <c r="E3263">
        <v>2625</v>
      </c>
      <c r="F3263">
        <v>182</v>
      </c>
      <c r="G3263">
        <v>-20</v>
      </c>
      <c r="H3263">
        <v>-640</v>
      </c>
      <c r="J3263" s="1">
        <f t="shared" si="250"/>
        <v>33124</v>
      </c>
      <c r="K3263" s="1">
        <f t="shared" si="251"/>
        <v>400</v>
      </c>
      <c r="L3263" s="1">
        <f t="shared" si="252"/>
        <v>33524</v>
      </c>
      <c r="M3263" s="1">
        <f t="shared" si="253"/>
        <v>183.09560344257315</v>
      </c>
      <c r="N3263" s="7">
        <f t="shared" si="254"/>
        <v>183.09560344257315</v>
      </c>
    </row>
    <row r="3264" spans="1:14" x14ac:dyDescent="0.25">
      <c r="A3264" t="str">
        <f>"14:44:44.539"</f>
        <v>14:44:44.539</v>
      </c>
      <c r="B3264">
        <v>40.388939000000001</v>
      </c>
      <c r="C3264">
        <v>-74.780394999999999</v>
      </c>
      <c r="D3264">
        <v>2400</v>
      </c>
      <c r="E3264">
        <v>2625</v>
      </c>
      <c r="F3264">
        <v>182</v>
      </c>
      <c r="G3264">
        <v>-20</v>
      </c>
      <c r="H3264">
        <v>-640</v>
      </c>
      <c r="J3264" s="1">
        <f t="shared" si="250"/>
        <v>33124</v>
      </c>
      <c r="K3264" s="1">
        <f t="shared" si="251"/>
        <v>400</v>
      </c>
      <c r="L3264" s="1">
        <f t="shared" si="252"/>
        <v>33524</v>
      </c>
      <c r="M3264" s="1">
        <f t="shared" si="253"/>
        <v>183.09560344257315</v>
      </c>
      <c r="N3264" s="7">
        <f t="shared" si="254"/>
        <v>183.09560344257315</v>
      </c>
    </row>
    <row r="3265" spans="1:14" x14ac:dyDescent="0.25">
      <c r="A3265" t="str">
        <f>"14:44:45.555"</f>
        <v>14:44:45.555</v>
      </c>
      <c r="B3265">
        <v>40.388854000000002</v>
      </c>
      <c r="C3265">
        <v>-74.779301000000004</v>
      </c>
      <c r="D3265">
        <v>2400</v>
      </c>
      <c r="E3265">
        <v>2600</v>
      </c>
      <c r="F3265">
        <v>182</v>
      </c>
      <c r="G3265">
        <v>-20</v>
      </c>
      <c r="H3265">
        <v>-640</v>
      </c>
      <c r="J3265" s="1">
        <f t="shared" si="250"/>
        <v>33124</v>
      </c>
      <c r="K3265" s="1">
        <f t="shared" si="251"/>
        <v>400</v>
      </c>
      <c r="L3265" s="1">
        <f t="shared" si="252"/>
        <v>33524</v>
      </c>
      <c r="M3265" s="1">
        <f t="shared" si="253"/>
        <v>183.09560344257315</v>
      </c>
      <c r="N3265" s="7">
        <f t="shared" si="254"/>
        <v>183.09560344257315</v>
      </c>
    </row>
    <row r="3266" spans="1:14" x14ac:dyDescent="0.25">
      <c r="A3266" t="str">
        <f>"14:44:46.461"</f>
        <v>14:44:46.461</v>
      </c>
      <c r="B3266">
        <v>40.388767999999999</v>
      </c>
      <c r="C3266">
        <v>-74.778313999999995</v>
      </c>
      <c r="D3266">
        <v>2400</v>
      </c>
      <c r="E3266">
        <v>2600</v>
      </c>
      <c r="F3266">
        <v>182</v>
      </c>
      <c r="G3266">
        <v>-20</v>
      </c>
      <c r="H3266">
        <v>-640</v>
      </c>
      <c r="J3266" s="1">
        <f t="shared" si="250"/>
        <v>33124</v>
      </c>
      <c r="K3266" s="1">
        <f t="shared" si="251"/>
        <v>400</v>
      </c>
      <c r="L3266" s="1">
        <f t="shared" si="252"/>
        <v>33524</v>
      </c>
      <c r="M3266" s="1">
        <f t="shared" si="253"/>
        <v>183.09560344257315</v>
      </c>
      <c r="N3266" s="7">
        <f t="shared" si="254"/>
        <v>183.09560344257315</v>
      </c>
    </row>
    <row r="3267" spans="1:14" x14ac:dyDescent="0.25">
      <c r="A3267" t="str">
        <f>"14:44:47.523"</f>
        <v>14:44:47.523</v>
      </c>
      <c r="B3267">
        <v>40.388682000000003</v>
      </c>
      <c r="C3267">
        <v>-74.777090999999999</v>
      </c>
      <c r="D3267">
        <v>2400</v>
      </c>
      <c r="E3267">
        <v>2575</v>
      </c>
      <c r="F3267">
        <v>182</v>
      </c>
      <c r="G3267">
        <v>-20</v>
      </c>
      <c r="H3267">
        <v>-640</v>
      </c>
      <c r="J3267" s="1">
        <f t="shared" ref="J3267:J3330" si="255">F3267^2</f>
        <v>33124</v>
      </c>
      <c r="K3267" s="1">
        <f t="shared" ref="K3267:K3330" si="256">G3267^2</f>
        <v>400</v>
      </c>
      <c r="L3267" s="1">
        <f t="shared" ref="L3267:L3330" si="257">SUMSQ(F3267,G3267)</f>
        <v>33524</v>
      </c>
      <c r="M3267" s="1">
        <f t="shared" ref="M3267:M3330" si="258">SQRT(L3267)</f>
        <v>183.09560344257315</v>
      </c>
      <c r="N3267" s="7">
        <f t="shared" ref="N3267:N3330" si="259">M3267</f>
        <v>183.09560344257315</v>
      </c>
    </row>
    <row r="3268" spans="1:14" x14ac:dyDescent="0.25">
      <c r="A3268" t="str">
        <f>"14:44:48.477"</f>
        <v>14:44:48.477</v>
      </c>
      <c r="B3268">
        <v>40.388575000000003</v>
      </c>
      <c r="C3268">
        <v>-74.776060999999999</v>
      </c>
      <c r="D3268">
        <v>2400</v>
      </c>
      <c r="E3268">
        <v>2575</v>
      </c>
      <c r="F3268">
        <v>181</v>
      </c>
      <c r="G3268">
        <v>-20</v>
      </c>
      <c r="H3268">
        <v>-640</v>
      </c>
      <c r="J3268" s="1">
        <f t="shared" si="255"/>
        <v>32761</v>
      </c>
      <c r="K3268" s="1">
        <f t="shared" si="256"/>
        <v>400</v>
      </c>
      <c r="L3268" s="1">
        <f t="shared" si="257"/>
        <v>33161</v>
      </c>
      <c r="M3268" s="1">
        <f t="shared" si="258"/>
        <v>182.10161998181127</v>
      </c>
      <c r="N3268" s="7">
        <f t="shared" si="259"/>
        <v>182.10161998181127</v>
      </c>
    </row>
    <row r="3269" spans="1:14" x14ac:dyDescent="0.25">
      <c r="A3269" t="str">
        <f>"14:44:49.438"</f>
        <v>14:44:49.438</v>
      </c>
      <c r="B3269">
        <v>40.388489</v>
      </c>
      <c r="C3269">
        <v>-74.775008999999997</v>
      </c>
      <c r="D3269">
        <v>2300</v>
      </c>
      <c r="E3269">
        <v>2550</v>
      </c>
      <c r="F3269">
        <v>181</v>
      </c>
      <c r="G3269">
        <v>-20</v>
      </c>
      <c r="H3269">
        <v>-640</v>
      </c>
      <c r="J3269" s="1">
        <f t="shared" si="255"/>
        <v>32761</v>
      </c>
      <c r="K3269" s="1">
        <f t="shared" si="256"/>
        <v>400</v>
      </c>
      <c r="L3269" s="1">
        <f t="shared" si="257"/>
        <v>33161</v>
      </c>
      <c r="M3269" s="1">
        <f t="shared" si="258"/>
        <v>182.10161998181127</v>
      </c>
      <c r="N3269" s="7">
        <f t="shared" si="259"/>
        <v>182.10161998181127</v>
      </c>
    </row>
    <row r="3270" spans="1:14" x14ac:dyDescent="0.25">
      <c r="A3270" t="str">
        <f>"14:44:50.344"</f>
        <v>14:44:50.344</v>
      </c>
      <c r="B3270">
        <v>40.388402999999997</v>
      </c>
      <c r="C3270">
        <v>-74.773978999999997</v>
      </c>
      <c r="D3270">
        <v>2300</v>
      </c>
      <c r="E3270">
        <v>2550</v>
      </c>
      <c r="F3270">
        <v>181</v>
      </c>
      <c r="G3270">
        <v>-20</v>
      </c>
      <c r="H3270">
        <v>-640</v>
      </c>
      <c r="J3270" s="1">
        <f t="shared" si="255"/>
        <v>32761</v>
      </c>
      <c r="K3270" s="1">
        <f t="shared" si="256"/>
        <v>400</v>
      </c>
      <c r="L3270" s="1">
        <f t="shared" si="257"/>
        <v>33161</v>
      </c>
      <c r="M3270" s="1">
        <f t="shared" si="258"/>
        <v>182.10161998181127</v>
      </c>
      <c r="N3270" s="7">
        <f t="shared" si="259"/>
        <v>182.10161998181127</v>
      </c>
    </row>
    <row r="3271" spans="1:14" x14ac:dyDescent="0.25">
      <c r="A3271" t="str">
        <f>"14:44:51.359"</f>
        <v>14:44:51.359</v>
      </c>
      <c r="B3271">
        <v>40.388295999999997</v>
      </c>
      <c r="C3271">
        <v>-74.772885000000002</v>
      </c>
      <c r="D3271">
        <v>2300</v>
      </c>
      <c r="E3271">
        <v>2550</v>
      </c>
      <c r="F3271">
        <v>181</v>
      </c>
      <c r="G3271">
        <v>-20</v>
      </c>
      <c r="H3271">
        <v>-704</v>
      </c>
      <c r="J3271" s="1">
        <f t="shared" si="255"/>
        <v>32761</v>
      </c>
      <c r="K3271" s="1">
        <f t="shared" si="256"/>
        <v>400</v>
      </c>
      <c r="L3271" s="1">
        <f t="shared" si="257"/>
        <v>33161</v>
      </c>
      <c r="M3271" s="1">
        <f t="shared" si="258"/>
        <v>182.10161998181127</v>
      </c>
      <c r="N3271" s="7">
        <f t="shared" si="259"/>
        <v>182.10161998181127</v>
      </c>
    </row>
    <row r="3272" spans="1:14" x14ac:dyDescent="0.25">
      <c r="A3272" t="str">
        <f>"14:44:52.273"</f>
        <v>14:44:52.273</v>
      </c>
      <c r="B3272">
        <v>40.388210000000001</v>
      </c>
      <c r="C3272">
        <v>-74.771940999999998</v>
      </c>
      <c r="D3272">
        <v>2300</v>
      </c>
      <c r="E3272">
        <v>2525</v>
      </c>
      <c r="F3272">
        <v>181</v>
      </c>
      <c r="G3272">
        <v>-20</v>
      </c>
      <c r="H3272">
        <v>-704</v>
      </c>
      <c r="J3272" s="1">
        <f t="shared" si="255"/>
        <v>32761</v>
      </c>
      <c r="K3272" s="1">
        <f t="shared" si="256"/>
        <v>400</v>
      </c>
      <c r="L3272" s="1">
        <f t="shared" si="257"/>
        <v>33161</v>
      </c>
      <c r="M3272" s="1">
        <f t="shared" si="258"/>
        <v>182.10161998181127</v>
      </c>
      <c r="N3272" s="7">
        <f t="shared" si="259"/>
        <v>182.10161998181127</v>
      </c>
    </row>
    <row r="3273" spans="1:14" x14ac:dyDescent="0.25">
      <c r="A3273" t="str">
        <f>"14:44:53.227"</f>
        <v>14:44:53.227</v>
      </c>
      <c r="B3273">
        <v>40.388123999999998</v>
      </c>
      <c r="C3273">
        <v>-74.770932000000002</v>
      </c>
      <c r="D3273">
        <v>2300</v>
      </c>
      <c r="E3273">
        <v>2525</v>
      </c>
      <c r="F3273">
        <v>181</v>
      </c>
      <c r="G3273">
        <v>-20</v>
      </c>
      <c r="H3273">
        <v>-704</v>
      </c>
      <c r="J3273" s="1">
        <f t="shared" si="255"/>
        <v>32761</v>
      </c>
      <c r="K3273" s="1">
        <f t="shared" si="256"/>
        <v>400</v>
      </c>
      <c r="L3273" s="1">
        <f t="shared" si="257"/>
        <v>33161</v>
      </c>
      <c r="M3273" s="1">
        <f t="shared" si="258"/>
        <v>182.10161998181127</v>
      </c>
      <c r="N3273" s="7">
        <f t="shared" si="259"/>
        <v>182.10161998181127</v>
      </c>
    </row>
    <row r="3274" spans="1:14" x14ac:dyDescent="0.25">
      <c r="A3274" t="str">
        <f>"14:44:54.188"</f>
        <v>14:44:54.188</v>
      </c>
      <c r="B3274">
        <v>40.388016999999998</v>
      </c>
      <c r="C3274">
        <v>-74.769773000000001</v>
      </c>
      <c r="D3274">
        <v>2300</v>
      </c>
      <c r="E3274">
        <v>2500</v>
      </c>
      <c r="F3274">
        <v>181</v>
      </c>
      <c r="G3274">
        <v>-20</v>
      </c>
      <c r="H3274">
        <v>-704</v>
      </c>
      <c r="J3274" s="1">
        <f t="shared" si="255"/>
        <v>32761</v>
      </c>
      <c r="K3274" s="1">
        <f t="shared" si="256"/>
        <v>400</v>
      </c>
      <c r="L3274" s="1">
        <f t="shared" si="257"/>
        <v>33161</v>
      </c>
      <c r="M3274" s="1">
        <f t="shared" si="258"/>
        <v>182.10161998181127</v>
      </c>
      <c r="N3274" s="7">
        <f t="shared" si="259"/>
        <v>182.10161998181127</v>
      </c>
    </row>
    <row r="3275" spans="1:14" x14ac:dyDescent="0.25">
      <c r="A3275" t="str">
        <f>"14:44:55.242"</f>
        <v>14:44:55.242</v>
      </c>
      <c r="B3275">
        <v>40.387931000000002</v>
      </c>
      <c r="C3275">
        <v>-74.768636000000001</v>
      </c>
      <c r="D3275">
        <v>2300</v>
      </c>
      <c r="E3275">
        <v>2500</v>
      </c>
      <c r="F3275">
        <v>181</v>
      </c>
      <c r="G3275">
        <v>-20</v>
      </c>
      <c r="H3275">
        <v>-704</v>
      </c>
      <c r="J3275" s="1">
        <f t="shared" si="255"/>
        <v>32761</v>
      </c>
      <c r="K3275" s="1">
        <f t="shared" si="256"/>
        <v>400</v>
      </c>
      <c r="L3275" s="1">
        <f t="shared" si="257"/>
        <v>33161</v>
      </c>
      <c r="M3275" s="1">
        <f t="shared" si="258"/>
        <v>182.10161998181127</v>
      </c>
      <c r="N3275" s="7">
        <f t="shared" si="259"/>
        <v>182.10161998181127</v>
      </c>
    </row>
    <row r="3276" spans="1:14" x14ac:dyDescent="0.25">
      <c r="A3276" t="str">
        <f>"14:44:56.250"</f>
        <v>14:44:56.250</v>
      </c>
      <c r="B3276">
        <v>40.387844999999999</v>
      </c>
      <c r="C3276">
        <v>-74.767520000000005</v>
      </c>
      <c r="D3276">
        <v>2300</v>
      </c>
      <c r="E3276">
        <v>2475</v>
      </c>
      <c r="F3276">
        <v>181</v>
      </c>
      <c r="G3276">
        <v>-20</v>
      </c>
      <c r="H3276">
        <v>-640</v>
      </c>
      <c r="J3276" s="1">
        <f t="shared" si="255"/>
        <v>32761</v>
      </c>
      <c r="K3276" s="1">
        <f t="shared" si="256"/>
        <v>400</v>
      </c>
      <c r="L3276" s="1">
        <f t="shared" si="257"/>
        <v>33161</v>
      </c>
      <c r="M3276" s="1">
        <f t="shared" si="258"/>
        <v>182.10161998181127</v>
      </c>
      <c r="N3276" s="7">
        <f t="shared" si="259"/>
        <v>182.10161998181127</v>
      </c>
    </row>
    <row r="3277" spans="1:14" x14ac:dyDescent="0.25">
      <c r="A3277" t="str">
        <f>"14:44:57.414"</f>
        <v>14:44:57.414</v>
      </c>
      <c r="B3277">
        <v>40.387759000000003</v>
      </c>
      <c r="C3277">
        <v>-74.766362000000001</v>
      </c>
      <c r="D3277">
        <v>2300</v>
      </c>
      <c r="E3277">
        <v>2475</v>
      </c>
      <c r="F3277">
        <v>181</v>
      </c>
      <c r="G3277">
        <v>-20</v>
      </c>
      <c r="H3277">
        <v>-640</v>
      </c>
      <c r="J3277" s="1">
        <f t="shared" si="255"/>
        <v>32761</v>
      </c>
      <c r="K3277" s="1">
        <f t="shared" si="256"/>
        <v>400</v>
      </c>
      <c r="L3277" s="1">
        <f t="shared" si="257"/>
        <v>33161</v>
      </c>
      <c r="M3277" s="1">
        <f t="shared" si="258"/>
        <v>182.10161998181127</v>
      </c>
      <c r="N3277" s="7">
        <f t="shared" si="259"/>
        <v>182.10161998181127</v>
      </c>
    </row>
    <row r="3278" spans="1:14" x14ac:dyDescent="0.25">
      <c r="A3278" t="str">
        <f>"14:44:58.477"</f>
        <v>14:44:58.477</v>
      </c>
      <c r="B3278">
        <v>40.387652000000003</v>
      </c>
      <c r="C3278">
        <v>-74.765139000000005</v>
      </c>
      <c r="D3278">
        <v>2300</v>
      </c>
      <c r="E3278">
        <v>2450</v>
      </c>
      <c r="F3278">
        <v>180</v>
      </c>
      <c r="G3278">
        <v>-20</v>
      </c>
      <c r="H3278">
        <v>-640</v>
      </c>
      <c r="J3278" s="1">
        <f t="shared" si="255"/>
        <v>32400</v>
      </c>
      <c r="K3278" s="1">
        <f t="shared" si="256"/>
        <v>400</v>
      </c>
      <c r="L3278" s="1">
        <f t="shared" si="257"/>
        <v>32800</v>
      </c>
      <c r="M3278" s="1">
        <f t="shared" si="258"/>
        <v>181.10770276274835</v>
      </c>
      <c r="N3278" s="7">
        <f t="shared" si="259"/>
        <v>181.10770276274835</v>
      </c>
    </row>
    <row r="3279" spans="1:14" x14ac:dyDescent="0.25">
      <c r="A3279" t="str">
        <f>"14:44:59.484"</f>
        <v>14:44:59.484</v>
      </c>
      <c r="B3279">
        <v>40.387566</v>
      </c>
      <c r="C3279">
        <v>-74.764022999999995</v>
      </c>
      <c r="D3279">
        <v>2300</v>
      </c>
      <c r="E3279">
        <v>2450</v>
      </c>
      <c r="F3279">
        <v>180</v>
      </c>
      <c r="G3279">
        <v>-20</v>
      </c>
      <c r="H3279">
        <v>-640</v>
      </c>
      <c r="J3279" s="1">
        <f t="shared" si="255"/>
        <v>32400</v>
      </c>
      <c r="K3279" s="1">
        <f t="shared" si="256"/>
        <v>400</v>
      </c>
      <c r="L3279" s="1">
        <f t="shared" si="257"/>
        <v>32800</v>
      </c>
      <c r="M3279" s="1">
        <f t="shared" si="258"/>
        <v>181.10770276274835</v>
      </c>
      <c r="N3279" s="7">
        <f t="shared" si="259"/>
        <v>181.10770276274835</v>
      </c>
    </row>
    <row r="3280" spans="1:14" x14ac:dyDescent="0.25">
      <c r="A3280" t="str">
        <f>"14:45:00.492"</f>
        <v>14:45:00.492</v>
      </c>
      <c r="B3280">
        <v>40.387436999999998</v>
      </c>
      <c r="C3280">
        <v>-74.762821000000002</v>
      </c>
      <c r="D3280">
        <v>2300</v>
      </c>
      <c r="E3280">
        <v>2450</v>
      </c>
      <c r="F3280">
        <v>180</v>
      </c>
      <c r="G3280">
        <v>-20</v>
      </c>
      <c r="H3280">
        <v>-640</v>
      </c>
      <c r="J3280" s="1">
        <f t="shared" si="255"/>
        <v>32400</v>
      </c>
      <c r="K3280" s="1">
        <f t="shared" si="256"/>
        <v>400</v>
      </c>
      <c r="L3280" s="1">
        <f t="shared" si="257"/>
        <v>32800</v>
      </c>
      <c r="M3280" s="1">
        <f t="shared" si="258"/>
        <v>181.10770276274835</v>
      </c>
      <c r="N3280" s="7">
        <f t="shared" si="259"/>
        <v>181.10770276274835</v>
      </c>
    </row>
    <row r="3281" spans="1:14" x14ac:dyDescent="0.25">
      <c r="A3281" t="str">
        <f>"14:45:01.305"</f>
        <v>14:45:01.305</v>
      </c>
      <c r="B3281">
        <v>40.387394</v>
      </c>
      <c r="C3281">
        <v>-74.762027000000003</v>
      </c>
      <c r="D3281">
        <v>2300</v>
      </c>
      <c r="E3281">
        <v>2425</v>
      </c>
      <c r="F3281">
        <v>180</v>
      </c>
      <c r="G3281">
        <v>-20</v>
      </c>
      <c r="H3281">
        <v>-640</v>
      </c>
      <c r="J3281" s="1">
        <f t="shared" si="255"/>
        <v>32400</v>
      </c>
      <c r="K3281" s="1">
        <f t="shared" si="256"/>
        <v>400</v>
      </c>
      <c r="L3281" s="1">
        <f t="shared" si="257"/>
        <v>32800</v>
      </c>
      <c r="M3281" s="1">
        <f t="shared" si="258"/>
        <v>181.10770276274835</v>
      </c>
      <c r="N3281" s="7">
        <f t="shared" si="259"/>
        <v>181.10770276274835</v>
      </c>
    </row>
    <row r="3282" spans="1:14" x14ac:dyDescent="0.25">
      <c r="A3282" t="str">
        <f>"14:45:02.258"</f>
        <v>14:45:02.258</v>
      </c>
      <c r="B3282">
        <v>40.387287000000001</v>
      </c>
      <c r="C3282">
        <v>-74.760953999999998</v>
      </c>
      <c r="D3282">
        <v>2300</v>
      </c>
      <c r="E3282">
        <v>2425</v>
      </c>
      <c r="F3282">
        <v>180</v>
      </c>
      <c r="G3282">
        <v>-20</v>
      </c>
      <c r="H3282">
        <v>-640</v>
      </c>
      <c r="J3282" s="1">
        <f t="shared" si="255"/>
        <v>32400</v>
      </c>
      <c r="K3282" s="1">
        <f t="shared" si="256"/>
        <v>400</v>
      </c>
      <c r="L3282" s="1">
        <f t="shared" si="257"/>
        <v>32800</v>
      </c>
      <c r="M3282" s="1">
        <f t="shared" si="258"/>
        <v>181.10770276274835</v>
      </c>
      <c r="N3282" s="7">
        <f t="shared" si="259"/>
        <v>181.10770276274835</v>
      </c>
    </row>
    <row r="3283" spans="1:14" x14ac:dyDescent="0.25">
      <c r="A3283" t="str">
        <f>"14:45:03.375"</f>
        <v>14:45:03.375</v>
      </c>
      <c r="B3283">
        <v>40.387157999999999</v>
      </c>
      <c r="C3283">
        <v>-74.759816999999998</v>
      </c>
      <c r="D3283">
        <v>2300</v>
      </c>
      <c r="E3283">
        <v>2400</v>
      </c>
      <c r="F3283">
        <v>180</v>
      </c>
      <c r="G3283">
        <v>-20</v>
      </c>
      <c r="H3283">
        <v>-576</v>
      </c>
      <c r="J3283" s="1">
        <f t="shared" si="255"/>
        <v>32400</v>
      </c>
      <c r="K3283" s="1">
        <f t="shared" si="256"/>
        <v>400</v>
      </c>
      <c r="L3283" s="1">
        <f t="shared" si="257"/>
        <v>32800</v>
      </c>
      <c r="M3283" s="1">
        <f t="shared" si="258"/>
        <v>181.10770276274835</v>
      </c>
      <c r="N3283" s="7">
        <f t="shared" si="259"/>
        <v>181.10770276274835</v>
      </c>
    </row>
    <row r="3284" spans="1:14" x14ac:dyDescent="0.25">
      <c r="A3284" t="str">
        <f>"14:45:04.227"</f>
        <v>14:45:04.227</v>
      </c>
      <c r="B3284">
        <v>40.387093999999998</v>
      </c>
      <c r="C3284">
        <v>-74.758852000000005</v>
      </c>
      <c r="D3284">
        <v>2300</v>
      </c>
      <c r="E3284">
        <v>2400</v>
      </c>
      <c r="F3284">
        <v>180</v>
      </c>
      <c r="G3284">
        <v>-20</v>
      </c>
      <c r="H3284">
        <v>-576</v>
      </c>
      <c r="J3284" s="1">
        <f t="shared" si="255"/>
        <v>32400</v>
      </c>
      <c r="K3284" s="1">
        <f t="shared" si="256"/>
        <v>400</v>
      </c>
      <c r="L3284" s="1">
        <f t="shared" si="257"/>
        <v>32800</v>
      </c>
      <c r="M3284" s="1">
        <f t="shared" si="258"/>
        <v>181.10770276274835</v>
      </c>
      <c r="N3284" s="7">
        <f t="shared" si="259"/>
        <v>181.10770276274835</v>
      </c>
    </row>
    <row r="3285" spans="1:14" x14ac:dyDescent="0.25">
      <c r="A3285" t="str">
        <f>"14:45:05.188"</f>
        <v>14:45:05.188</v>
      </c>
      <c r="B3285">
        <v>40.387030000000003</v>
      </c>
      <c r="C3285">
        <v>-74.757822000000004</v>
      </c>
      <c r="D3285">
        <v>2300</v>
      </c>
      <c r="E3285">
        <v>2400</v>
      </c>
      <c r="F3285">
        <v>180</v>
      </c>
      <c r="G3285">
        <v>-20</v>
      </c>
      <c r="H3285">
        <v>-640</v>
      </c>
      <c r="J3285" s="1">
        <f t="shared" si="255"/>
        <v>32400</v>
      </c>
      <c r="K3285" s="1">
        <f t="shared" si="256"/>
        <v>400</v>
      </c>
      <c r="L3285" s="1">
        <f t="shared" si="257"/>
        <v>32800</v>
      </c>
      <c r="M3285" s="1">
        <f t="shared" si="258"/>
        <v>181.10770276274835</v>
      </c>
      <c r="N3285" s="7">
        <f t="shared" si="259"/>
        <v>181.10770276274835</v>
      </c>
    </row>
    <row r="3286" spans="1:14" x14ac:dyDescent="0.25">
      <c r="A3286" t="str">
        <f>"14:45:06.094"</f>
        <v>14:45:06.094</v>
      </c>
      <c r="B3286">
        <v>40.386944</v>
      </c>
      <c r="C3286">
        <v>-74.756899000000004</v>
      </c>
      <c r="D3286">
        <v>2300</v>
      </c>
      <c r="E3286">
        <v>2375</v>
      </c>
      <c r="F3286">
        <v>179</v>
      </c>
      <c r="G3286">
        <v>-20</v>
      </c>
      <c r="H3286">
        <v>-640</v>
      </c>
      <c r="J3286" s="1">
        <f t="shared" si="255"/>
        <v>32041</v>
      </c>
      <c r="K3286" s="1">
        <f t="shared" si="256"/>
        <v>400</v>
      </c>
      <c r="L3286" s="1">
        <f t="shared" si="257"/>
        <v>32441</v>
      </c>
      <c r="M3286" s="1">
        <f t="shared" si="258"/>
        <v>180.1138528820035</v>
      </c>
      <c r="N3286" s="7">
        <f t="shared" si="259"/>
        <v>180.1138528820035</v>
      </c>
    </row>
    <row r="3287" spans="1:14" x14ac:dyDescent="0.25">
      <c r="A3287" t="str">
        <f>"14:45:07.156"</f>
        <v>14:45:07.156</v>
      </c>
      <c r="B3287">
        <v>40.386837</v>
      </c>
      <c r="C3287">
        <v>-74.755675999999994</v>
      </c>
      <c r="D3287">
        <v>2300</v>
      </c>
      <c r="E3287">
        <v>2375</v>
      </c>
      <c r="F3287">
        <v>179</v>
      </c>
      <c r="G3287">
        <v>-20</v>
      </c>
      <c r="H3287">
        <v>-640</v>
      </c>
      <c r="J3287" s="1">
        <f t="shared" si="255"/>
        <v>32041</v>
      </c>
      <c r="K3287" s="1">
        <f t="shared" si="256"/>
        <v>400</v>
      </c>
      <c r="L3287" s="1">
        <f t="shared" si="257"/>
        <v>32441</v>
      </c>
      <c r="M3287" s="1">
        <f t="shared" si="258"/>
        <v>180.1138528820035</v>
      </c>
      <c r="N3287" s="7">
        <f t="shared" si="259"/>
        <v>180.1138528820035</v>
      </c>
    </row>
    <row r="3288" spans="1:14" x14ac:dyDescent="0.25">
      <c r="A3288" t="str">
        <f>"14:45:08.219"</f>
        <v>14:45:08.219</v>
      </c>
      <c r="B3288">
        <v>40.386750999999997</v>
      </c>
      <c r="C3288">
        <v>-74.754645999999994</v>
      </c>
      <c r="D3288">
        <v>2300</v>
      </c>
      <c r="E3288">
        <v>2350</v>
      </c>
      <c r="F3288">
        <v>179</v>
      </c>
      <c r="G3288">
        <v>-20</v>
      </c>
      <c r="H3288">
        <v>-640</v>
      </c>
      <c r="J3288" s="1">
        <f t="shared" si="255"/>
        <v>32041</v>
      </c>
      <c r="K3288" s="1">
        <f t="shared" si="256"/>
        <v>400</v>
      </c>
      <c r="L3288" s="1">
        <f t="shared" si="257"/>
        <v>32441</v>
      </c>
      <c r="M3288" s="1">
        <f t="shared" si="258"/>
        <v>180.1138528820035</v>
      </c>
      <c r="N3288" s="7">
        <f t="shared" si="259"/>
        <v>180.1138528820035</v>
      </c>
    </row>
    <row r="3289" spans="1:14" x14ac:dyDescent="0.25">
      <c r="A3289" t="str">
        <f>"14:45:09.227"</f>
        <v>14:45:09.227</v>
      </c>
      <c r="B3289">
        <v>40.386665000000001</v>
      </c>
      <c r="C3289">
        <v>-74.753487000000007</v>
      </c>
      <c r="D3289">
        <v>2300</v>
      </c>
      <c r="E3289">
        <v>2350</v>
      </c>
      <c r="F3289">
        <v>179</v>
      </c>
      <c r="G3289">
        <v>-20</v>
      </c>
      <c r="H3289">
        <v>-640</v>
      </c>
      <c r="J3289" s="1">
        <f t="shared" si="255"/>
        <v>32041</v>
      </c>
      <c r="K3289" s="1">
        <f t="shared" si="256"/>
        <v>400</v>
      </c>
      <c r="L3289" s="1">
        <f t="shared" si="257"/>
        <v>32441</v>
      </c>
      <c r="M3289" s="1">
        <f t="shared" si="258"/>
        <v>180.1138528820035</v>
      </c>
      <c r="N3289" s="7">
        <f t="shared" si="259"/>
        <v>180.1138528820035</v>
      </c>
    </row>
    <row r="3290" spans="1:14" x14ac:dyDescent="0.25">
      <c r="A3290" t="str">
        <f>"14:45:10.234"</f>
        <v>14:45:10.234</v>
      </c>
      <c r="B3290">
        <v>40.386536</v>
      </c>
      <c r="C3290">
        <v>-74.752285000000001</v>
      </c>
      <c r="D3290">
        <v>2300</v>
      </c>
      <c r="E3290">
        <v>2350</v>
      </c>
      <c r="F3290">
        <v>179</v>
      </c>
      <c r="G3290">
        <v>-20</v>
      </c>
      <c r="H3290">
        <v>-704</v>
      </c>
      <c r="J3290" s="1">
        <f t="shared" si="255"/>
        <v>32041</v>
      </c>
      <c r="K3290" s="1">
        <f t="shared" si="256"/>
        <v>400</v>
      </c>
      <c r="L3290" s="1">
        <f t="shared" si="257"/>
        <v>32441</v>
      </c>
      <c r="M3290" s="1">
        <f t="shared" si="258"/>
        <v>180.1138528820035</v>
      </c>
      <c r="N3290" s="7">
        <f t="shared" si="259"/>
        <v>180.1138528820035</v>
      </c>
    </row>
    <row r="3291" spans="1:14" x14ac:dyDescent="0.25">
      <c r="A3291" t="str">
        <f>"14:45:11.195"</f>
        <v>14:45:11.195</v>
      </c>
      <c r="B3291">
        <v>40.386450000000004</v>
      </c>
      <c r="C3291">
        <v>-74.751233999999997</v>
      </c>
      <c r="D3291">
        <v>2100</v>
      </c>
      <c r="E3291">
        <v>2325</v>
      </c>
      <c r="F3291">
        <v>179</v>
      </c>
      <c r="G3291">
        <v>-20</v>
      </c>
      <c r="H3291">
        <v>-704</v>
      </c>
      <c r="J3291" s="1">
        <f t="shared" si="255"/>
        <v>32041</v>
      </c>
      <c r="K3291" s="1">
        <f t="shared" si="256"/>
        <v>400</v>
      </c>
      <c r="L3291" s="1">
        <f t="shared" si="257"/>
        <v>32441</v>
      </c>
      <c r="M3291" s="1">
        <f t="shared" si="258"/>
        <v>180.1138528820035</v>
      </c>
      <c r="N3291" s="7">
        <f t="shared" si="259"/>
        <v>180.1138528820035</v>
      </c>
    </row>
    <row r="3292" spans="1:14" x14ac:dyDescent="0.25">
      <c r="A3292" t="str">
        <f>"14:45:12.156"</f>
        <v>14:45:12.156</v>
      </c>
      <c r="B3292">
        <v>40.386386000000002</v>
      </c>
      <c r="C3292">
        <v>-74.750247000000002</v>
      </c>
      <c r="D3292">
        <v>2100</v>
      </c>
      <c r="E3292">
        <v>2325</v>
      </c>
      <c r="F3292">
        <v>179</v>
      </c>
      <c r="G3292">
        <v>-20</v>
      </c>
      <c r="H3292">
        <v>-704</v>
      </c>
      <c r="J3292" s="1">
        <f t="shared" si="255"/>
        <v>32041</v>
      </c>
      <c r="K3292" s="1">
        <f t="shared" si="256"/>
        <v>400</v>
      </c>
      <c r="L3292" s="1">
        <f t="shared" si="257"/>
        <v>32441</v>
      </c>
      <c r="M3292" s="1">
        <f t="shared" si="258"/>
        <v>180.1138528820035</v>
      </c>
      <c r="N3292" s="7">
        <f t="shared" si="259"/>
        <v>180.1138528820035</v>
      </c>
    </row>
    <row r="3293" spans="1:14" x14ac:dyDescent="0.25">
      <c r="A3293" t="str">
        <f>"14:45:13.266"</f>
        <v>14:45:13.266</v>
      </c>
      <c r="B3293">
        <v>40.386257000000001</v>
      </c>
      <c r="C3293">
        <v>-74.749110000000002</v>
      </c>
      <c r="D3293">
        <v>2100</v>
      </c>
      <c r="E3293">
        <v>2300</v>
      </c>
      <c r="F3293">
        <v>179</v>
      </c>
      <c r="G3293">
        <v>-20</v>
      </c>
      <c r="H3293">
        <v>-704</v>
      </c>
      <c r="J3293" s="1">
        <f t="shared" si="255"/>
        <v>32041</v>
      </c>
      <c r="K3293" s="1">
        <f t="shared" si="256"/>
        <v>400</v>
      </c>
      <c r="L3293" s="1">
        <f t="shared" si="257"/>
        <v>32441</v>
      </c>
      <c r="M3293" s="1">
        <f t="shared" si="258"/>
        <v>180.1138528820035</v>
      </c>
      <c r="N3293" s="7">
        <f t="shared" si="259"/>
        <v>180.1138528820035</v>
      </c>
    </row>
    <row r="3294" spans="1:14" x14ac:dyDescent="0.25">
      <c r="A3294" t="str">
        <f>"14:45:14.328"</f>
        <v>14:45:14.328</v>
      </c>
      <c r="B3294">
        <v>40.386150000000001</v>
      </c>
      <c r="C3294">
        <v>-74.747865000000004</v>
      </c>
      <c r="D3294">
        <v>2100</v>
      </c>
      <c r="E3294">
        <v>2300</v>
      </c>
      <c r="F3294">
        <v>179</v>
      </c>
      <c r="G3294">
        <v>-20</v>
      </c>
      <c r="H3294">
        <v>-704</v>
      </c>
      <c r="J3294" s="1">
        <f t="shared" si="255"/>
        <v>32041</v>
      </c>
      <c r="K3294" s="1">
        <f t="shared" si="256"/>
        <v>400</v>
      </c>
      <c r="L3294" s="1">
        <f t="shared" si="257"/>
        <v>32441</v>
      </c>
      <c r="M3294" s="1">
        <f t="shared" si="258"/>
        <v>180.1138528820035</v>
      </c>
      <c r="N3294" s="7">
        <f t="shared" si="259"/>
        <v>180.1138528820035</v>
      </c>
    </row>
    <row r="3295" spans="1:14" x14ac:dyDescent="0.25">
      <c r="A3295" t="str">
        <f>"14:45:15.281"</f>
        <v>14:45:15.281</v>
      </c>
      <c r="B3295">
        <v>40.386063999999998</v>
      </c>
      <c r="C3295">
        <v>-74.746921</v>
      </c>
      <c r="D3295">
        <v>2100</v>
      </c>
      <c r="E3295">
        <v>2275</v>
      </c>
      <c r="F3295">
        <v>179</v>
      </c>
      <c r="G3295">
        <v>-20</v>
      </c>
      <c r="H3295">
        <v>-704</v>
      </c>
      <c r="J3295" s="1">
        <f t="shared" si="255"/>
        <v>32041</v>
      </c>
      <c r="K3295" s="1">
        <f t="shared" si="256"/>
        <v>400</v>
      </c>
      <c r="L3295" s="1">
        <f t="shared" si="257"/>
        <v>32441</v>
      </c>
      <c r="M3295" s="1">
        <f t="shared" si="258"/>
        <v>180.1138528820035</v>
      </c>
      <c r="N3295" s="7">
        <f t="shared" si="259"/>
        <v>180.1138528820035</v>
      </c>
    </row>
    <row r="3296" spans="1:14" x14ac:dyDescent="0.25">
      <c r="A3296" t="str">
        <f>"14:45:16.141"</f>
        <v>14:45:16.141</v>
      </c>
      <c r="B3296">
        <v>40.386021</v>
      </c>
      <c r="C3296">
        <v>-74.745913000000002</v>
      </c>
      <c r="D3296">
        <v>2100</v>
      </c>
      <c r="E3296">
        <v>2275</v>
      </c>
      <c r="F3296">
        <v>179</v>
      </c>
      <c r="G3296">
        <v>-20</v>
      </c>
      <c r="H3296">
        <v>-704</v>
      </c>
      <c r="J3296" s="1">
        <f t="shared" si="255"/>
        <v>32041</v>
      </c>
      <c r="K3296" s="1">
        <f t="shared" si="256"/>
        <v>400</v>
      </c>
      <c r="L3296" s="1">
        <f t="shared" si="257"/>
        <v>32441</v>
      </c>
      <c r="M3296" s="1">
        <f t="shared" si="258"/>
        <v>180.1138528820035</v>
      </c>
      <c r="N3296" s="7">
        <f t="shared" si="259"/>
        <v>180.1138528820035</v>
      </c>
    </row>
    <row r="3297" spans="1:14" x14ac:dyDescent="0.25">
      <c r="A3297" t="str">
        <f>"14:45:17.250"</f>
        <v>14:45:17.250</v>
      </c>
      <c r="B3297">
        <v>40.385891999999998</v>
      </c>
      <c r="C3297">
        <v>-74.744731999999999</v>
      </c>
      <c r="D3297">
        <v>2000</v>
      </c>
      <c r="E3297">
        <v>2250</v>
      </c>
      <c r="F3297">
        <v>179</v>
      </c>
      <c r="G3297">
        <v>-20</v>
      </c>
      <c r="H3297">
        <v>-704</v>
      </c>
      <c r="J3297" s="1">
        <f t="shared" si="255"/>
        <v>32041</v>
      </c>
      <c r="K3297" s="1">
        <f t="shared" si="256"/>
        <v>400</v>
      </c>
      <c r="L3297" s="1">
        <f t="shared" si="257"/>
        <v>32441</v>
      </c>
      <c r="M3297" s="1">
        <f t="shared" si="258"/>
        <v>180.1138528820035</v>
      </c>
      <c r="N3297" s="7">
        <f t="shared" si="259"/>
        <v>180.1138528820035</v>
      </c>
    </row>
    <row r="3298" spans="1:14" x14ac:dyDescent="0.25">
      <c r="A3298" t="str">
        <f>"14:45:18.211"</f>
        <v>14:45:18.211</v>
      </c>
      <c r="B3298">
        <v>40.385784999999998</v>
      </c>
      <c r="C3298">
        <v>-74.743617</v>
      </c>
      <c r="D3298">
        <v>2000</v>
      </c>
      <c r="E3298">
        <v>2250</v>
      </c>
      <c r="F3298">
        <v>179</v>
      </c>
      <c r="G3298">
        <v>-20</v>
      </c>
      <c r="H3298">
        <v>-704</v>
      </c>
      <c r="J3298" s="1">
        <f t="shared" si="255"/>
        <v>32041</v>
      </c>
      <c r="K3298" s="1">
        <f t="shared" si="256"/>
        <v>400</v>
      </c>
      <c r="L3298" s="1">
        <f t="shared" si="257"/>
        <v>32441</v>
      </c>
      <c r="M3298" s="1">
        <f t="shared" si="258"/>
        <v>180.1138528820035</v>
      </c>
      <c r="N3298" s="7">
        <f t="shared" si="259"/>
        <v>180.1138528820035</v>
      </c>
    </row>
    <row r="3299" spans="1:14" x14ac:dyDescent="0.25">
      <c r="A3299" t="str">
        <f>"14:45:19.219"</f>
        <v>14:45:19.219</v>
      </c>
      <c r="B3299">
        <v>40.385699000000002</v>
      </c>
      <c r="C3299">
        <v>-74.742543999999995</v>
      </c>
      <c r="D3299">
        <v>2000</v>
      </c>
      <c r="E3299">
        <v>2225</v>
      </c>
      <c r="F3299">
        <v>179</v>
      </c>
      <c r="G3299">
        <v>-21</v>
      </c>
      <c r="H3299">
        <v>-704</v>
      </c>
      <c r="J3299" s="1">
        <f t="shared" si="255"/>
        <v>32041</v>
      </c>
      <c r="K3299" s="1">
        <f t="shared" si="256"/>
        <v>441</v>
      </c>
      <c r="L3299" s="1">
        <f t="shared" si="257"/>
        <v>32482</v>
      </c>
      <c r="M3299" s="1">
        <f t="shared" si="258"/>
        <v>180.22763384120648</v>
      </c>
      <c r="N3299" s="7">
        <f t="shared" si="259"/>
        <v>180.22763384120648</v>
      </c>
    </row>
    <row r="3300" spans="1:14" x14ac:dyDescent="0.25">
      <c r="A3300" t="str">
        <f>"14:45:20.180"</f>
        <v>14:45:20.180</v>
      </c>
      <c r="B3300">
        <v>40.385612999999999</v>
      </c>
      <c r="C3300">
        <v>-74.741578000000004</v>
      </c>
      <c r="D3300">
        <v>2000</v>
      </c>
      <c r="E3300">
        <v>2225</v>
      </c>
      <c r="F3300">
        <v>179</v>
      </c>
      <c r="G3300">
        <v>-21</v>
      </c>
      <c r="H3300">
        <v>-704</v>
      </c>
      <c r="J3300" s="1">
        <f t="shared" si="255"/>
        <v>32041</v>
      </c>
      <c r="K3300" s="1">
        <f t="shared" si="256"/>
        <v>441</v>
      </c>
      <c r="L3300" s="1">
        <f t="shared" si="257"/>
        <v>32482</v>
      </c>
      <c r="M3300" s="1">
        <f t="shared" si="258"/>
        <v>180.22763384120648</v>
      </c>
      <c r="N3300" s="7">
        <f t="shared" si="259"/>
        <v>180.22763384120648</v>
      </c>
    </row>
    <row r="3301" spans="1:14" x14ac:dyDescent="0.25">
      <c r="A3301" t="str">
        <f>"14:45:21.039"</f>
        <v>14:45:21.039</v>
      </c>
      <c r="B3301">
        <v>40.385505999999999</v>
      </c>
      <c r="C3301">
        <v>-74.740612999999996</v>
      </c>
      <c r="D3301">
        <v>2000</v>
      </c>
      <c r="E3301">
        <v>2225</v>
      </c>
      <c r="F3301">
        <v>179</v>
      </c>
      <c r="G3301">
        <v>-21</v>
      </c>
      <c r="H3301">
        <v>-704</v>
      </c>
      <c r="J3301" s="1">
        <f t="shared" si="255"/>
        <v>32041</v>
      </c>
      <c r="K3301" s="1">
        <f t="shared" si="256"/>
        <v>441</v>
      </c>
      <c r="L3301" s="1">
        <f t="shared" si="257"/>
        <v>32482</v>
      </c>
      <c r="M3301" s="1">
        <f t="shared" si="258"/>
        <v>180.22763384120648</v>
      </c>
      <c r="N3301" s="7">
        <f t="shared" si="259"/>
        <v>180.22763384120648</v>
      </c>
    </row>
    <row r="3302" spans="1:14" x14ac:dyDescent="0.25">
      <c r="A3302" t="str">
        <f>"14:45:21.898"</f>
        <v>14:45:21.898</v>
      </c>
      <c r="B3302">
        <v>40.385420000000003</v>
      </c>
      <c r="C3302">
        <v>-74.739625000000004</v>
      </c>
      <c r="D3302">
        <v>2000</v>
      </c>
      <c r="E3302">
        <v>2200</v>
      </c>
      <c r="F3302">
        <v>179</v>
      </c>
      <c r="G3302">
        <v>-21</v>
      </c>
      <c r="H3302">
        <v>-704</v>
      </c>
      <c r="J3302" s="1">
        <f t="shared" si="255"/>
        <v>32041</v>
      </c>
      <c r="K3302" s="1">
        <f t="shared" si="256"/>
        <v>441</v>
      </c>
      <c r="L3302" s="1">
        <f t="shared" si="257"/>
        <v>32482</v>
      </c>
      <c r="M3302" s="1">
        <f t="shared" si="258"/>
        <v>180.22763384120648</v>
      </c>
      <c r="N3302" s="7">
        <f t="shared" si="259"/>
        <v>180.22763384120648</v>
      </c>
    </row>
    <row r="3303" spans="1:14" x14ac:dyDescent="0.25">
      <c r="A3303" t="str">
        <f>"14:45:22.805"</f>
        <v>14:45:22.805</v>
      </c>
      <c r="B3303">
        <v>40.385376999999998</v>
      </c>
      <c r="C3303">
        <v>-74.738766999999996</v>
      </c>
      <c r="D3303">
        <v>2000</v>
      </c>
      <c r="E3303">
        <v>2200</v>
      </c>
      <c r="F3303">
        <v>179</v>
      </c>
      <c r="G3303">
        <v>-21</v>
      </c>
      <c r="H3303">
        <v>-640</v>
      </c>
      <c r="J3303" s="1">
        <f t="shared" si="255"/>
        <v>32041</v>
      </c>
      <c r="K3303" s="1">
        <f t="shared" si="256"/>
        <v>441</v>
      </c>
      <c r="L3303" s="1">
        <f t="shared" si="257"/>
        <v>32482</v>
      </c>
      <c r="M3303" s="1">
        <f t="shared" si="258"/>
        <v>180.22763384120648</v>
      </c>
      <c r="N3303" s="7">
        <f t="shared" si="259"/>
        <v>180.22763384120648</v>
      </c>
    </row>
    <row r="3304" spans="1:14" x14ac:dyDescent="0.25">
      <c r="A3304" t="str">
        <f>"14:45:23.813"</f>
        <v>14:45:23.813</v>
      </c>
      <c r="B3304">
        <v>40.385269999999998</v>
      </c>
      <c r="C3304">
        <v>-74.737566000000001</v>
      </c>
      <c r="D3304">
        <v>2000</v>
      </c>
      <c r="E3304">
        <v>2175</v>
      </c>
      <c r="F3304">
        <v>179</v>
      </c>
      <c r="G3304">
        <v>-21</v>
      </c>
      <c r="H3304">
        <v>-640</v>
      </c>
      <c r="J3304" s="1">
        <f t="shared" si="255"/>
        <v>32041</v>
      </c>
      <c r="K3304" s="1">
        <f t="shared" si="256"/>
        <v>441</v>
      </c>
      <c r="L3304" s="1">
        <f t="shared" si="257"/>
        <v>32482</v>
      </c>
      <c r="M3304" s="1">
        <f t="shared" si="258"/>
        <v>180.22763384120648</v>
      </c>
      <c r="N3304" s="7">
        <f t="shared" si="259"/>
        <v>180.22763384120648</v>
      </c>
    </row>
    <row r="3305" spans="1:14" x14ac:dyDescent="0.25">
      <c r="A3305" t="str">
        <f>"14:45:24.727"</f>
        <v>14:45:24.727</v>
      </c>
      <c r="B3305">
        <v>40.385184000000002</v>
      </c>
      <c r="C3305">
        <v>-74.736577999999994</v>
      </c>
      <c r="D3305">
        <v>2000</v>
      </c>
      <c r="E3305">
        <v>2175</v>
      </c>
      <c r="F3305">
        <v>179</v>
      </c>
      <c r="G3305">
        <v>-21</v>
      </c>
      <c r="H3305">
        <v>-640</v>
      </c>
      <c r="J3305" s="1">
        <f t="shared" si="255"/>
        <v>32041</v>
      </c>
      <c r="K3305" s="1">
        <f t="shared" si="256"/>
        <v>441</v>
      </c>
      <c r="L3305" s="1">
        <f t="shared" si="257"/>
        <v>32482</v>
      </c>
      <c r="M3305" s="1">
        <f t="shared" si="258"/>
        <v>180.22763384120648</v>
      </c>
      <c r="N3305" s="7">
        <f t="shared" si="259"/>
        <v>180.22763384120648</v>
      </c>
    </row>
    <row r="3306" spans="1:14" x14ac:dyDescent="0.25">
      <c r="A3306" t="str">
        <f>"14:45:25.633"</f>
        <v>14:45:25.633</v>
      </c>
      <c r="B3306">
        <v>40.385097999999999</v>
      </c>
      <c r="C3306">
        <v>-74.735613000000001</v>
      </c>
      <c r="D3306">
        <v>2000</v>
      </c>
      <c r="E3306">
        <v>2150</v>
      </c>
      <c r="F3306">
        <v>178</v>
      </c>
      <c r="G3306">
        <v>-21</v>
      </c>
      <c r="H3306">
        <v>-640</v>
      </c>
      <c r="J3306" s="1">
        <f t="shared" si="255"/>
        <v>31684</v>
      </c>
      <c r="K3306" s="1">
        <f t="shared" si="256"/>
        <v>441</v>
      </c>
      <c r="L3306" s="1">
        <f t="shared" si="257"/>
        <v>32125</v>
      </c>
      <c r="M3306" s="1">
        <f t="shared" si="258"/>
        <v>179.23448328934921</v>
      </c>
      <c r="N3306" s="7">
        <f t="shared" si="259"/>
        <v>179.23448328934921</v>
      </c>
    </row>
    <row r="3307" spans="1:14" x14ac:dyDescent="0.25">
      <c r="A3307" t="str">
        <f>"14:45:26.695"</f>
        <v>14:45:26.695</v>
      </c>
      <c r="B3307">
        <v>40.384990999999999</v>
      </c>
      <c r="C3307">
        <v>-74.734560999999999</v>
      </c>
      <c r="D3307">
        <v>2000</v>
      </c>
      <c r="E3307">
        <v>2150</v>
      </c>
      <c r="F3307">
        <v>178</v>
      </c>
      <c r="G3307">
        <v>-21</v>
      </c>
      <c r="H3307">
        <v>-640</v>
      </c>
      <c r="J3307" s="1">
        <f t="shared" si="255"/>
        <v>31684</v>
      </c>
      <c r="K3307" s="1">
        <f t="shared" si="256"/>
        <v>441</v>
      </c>
      <c r="L3307" s="1">
        <f t="shared" si="257"/>
        <v>32125</v>
      </c>
      <c r="M3307" s="1">
        <f t="shared" si="258"/>
        <v>179.23448328934921</v>
      </c>
      <c r="N3307" s="7">
        <f t="shared" si="259"/>
        <v>179.23448328934921</v>
      </c>
    </row>
    <row r="3308" spans="1:14" x14ac:dyDescent="0.25">
      <c r="A3308" t="str">
        <f>"14:45:27.750"</f>
        <v>14:45:27.750</v>
      </c>
      <c r="B3308">
        <v>40.384861999999998</v>
      </c>
      <c r="C3308">
        <v>-74.733338000000003</v>
      </c>
      <c r="D3308">
        <v>2000</v>
      </c>
      <c r="E3308">
        <v>2150</v>
      </c>
      <c r="F3308">
        <v>178</v>
      </c>
      <c r="G3308">
        <v>-21</v>
      </c>
      <c r="H3308">
        <v>-704</v>
      </c>
      <c r="J3308" s="1">
        <f t="shared" si="255"/>
        <v>31684</v>
      </c>
      <c r="K3308" s="1">
        <f t="shared" si="256"/>
        <v>441</v>
      </c>
      <c r="L3308" s="1">
        <f t="shared" si="257"/>
        <v>32125</v>
      </c>
      <c r="M3308" s="1">
        <f t="shared" si="258"/>
        <v>179.23448328934921</v>
      </c>
      <c r="N3308" s="7">
        <f t="shared" si="259"/>
        <v>179.23448328934921</v>
      </c>
    </row>
    <row r="3309" spans="1:14" x14ac:dyDescent="0.25">
      <c r="A3309" t="str">
        <f>"14:45:28.758"</f>
        <v>14:45:28.758</v>
      </c>
      <c r="B3309">
        <v>40.384777</v>
      </c>
      <c r="C3309">
        <v>-74.732243999999994</v>
      </c>
      <c r="D3309">
        <v>1900</v>
      </c>
      <c r="E3309">
        <v>2125</v>
      </c>
      <c r="F3309">
        <v>178</v>
      </c>
      <c r="G3309">
        <v>-21</v>
      </c>
      <c r="H3309">
        <v>-704</v>
      </c>
      <c r="J3309" s="1">
        <f t="shared" si="255"/>
        <v>31684</v>
      </c>
      <c r="K3309" s="1">
        <f t="shared" si="256"/>
        <v>441</v>
      </c>
      <c r="L3309" s="1">
        <f t="shared" si="257"/>
        <v>32125</v>
      </c>
      <c r="M3309" s="1">
        <f t="shared" si="258"/>
        <v>179.23448328934921</v>
      </c>
      <c r="N3309" s="7">
        <f t="shared" si="259"/>
        <v>179.23448328934921</v>
      </c>
    </row>
    <row r="3310" spans="1:14" x14ac:dyDescent="0.25">
      <c r="A3310" t="str">
        <f>"14:45:29.672"</f>
        <v>14:45:29.672</v>
      </c>
      <c r="B3310">
        <v>40.384669000000002</v>
      </c>
      <c r="C3310">
        <v>-74.731320999999994</v>
      </c>
      <c r="D3310">
        <v>1900</v>
      </c>
      <c r="E3310">
        <v>2125</v>
      </c>
      <c r="F3310">
        <v>178</v>
      </c>
      <c r="G3310">
        <v>-21</v>
      </c>
      <c r="H3310">
        <v>-704</v>
      </c>
      <c r="J3310" s="1">
        <f t="shared" si="255"/>
        <v>31684</v>
      </c>
      <c r="K3310" s="1">
        <f t="shared" si="256"/>
        <v>441</v>
      </c>
      <c r="L3310" s="1">
        <f t="shared" si="257"/>
        <v>32125</v>
      </c>
      <c r="M3310" s="1">
        <f t="shared" si="258"/>
        <v>179.23448328934921</v>
      </c>
      <c r="N3310" s="7">
        <f t="shared" si="259"/>
        <v>179.23448328934921</v>
      </c>
    </row>
    <row r="3311" spans="1:14" x14ac:dyDescent="0.25">
      <c r="A3311" t="str">
        <f>"14:45:30.578"</f>
        <v>14:45:30.578</v>
      </c>
      <c r="B3311">
        <v>40.384605000000001</v>
      </c>
      <c r="C3311">
        <v>-74.730356</v>
      </c>
      <c r="D3311">
        <v>1900</v>
      </c>
      <c r="E3311">
        <v>2100</v>
      </c>
      <c r="F3311">
        <v>178</v>
      </c>
      <c r="G3311">
        <v>-21</v>
      </c>
      <c r="H3311">
        <v>-704</v>
      </c>
      <c r="J3311" s="1">
        <f t="shared" si="255"/>
        <v>31684</v>
      </c>
      <c r="K3311" s="1">
        <f t="shared" si="256"/>
        <v>441</v>
      </c>
      <c r="L3311" s="1">
        <f t="shared" si="257"/>
        <v>32125</v>
      </c>
      <c r="M3311" s="1">
        <f t="shared" si="258"/>
        <v>179.23448328934921</v>
      </c>
      <c r="N3311" s="7">
        <f t="shared" si="259"/>
        <v>179.23448328934921</v>
      </c>
    </row>
    <row r="3312" spans="1:14" x14ac:dyDescent="0.25">
      <c r="A3312" t="str">
        <f>"14:45:31.438"</f>
        <v>14:45:31.438</v>
      </c>
      <c r="B3312">
        <v>40.384540999999999</v>
      </c>
      <c r="C3312">
        <v>-74.729369000000005</v>
      </c>
      <c r="D3312">
        <v>1900</v>
      </c>
      <c r="E3312">
        <v>2100</v>
      </c>
      <c r="F3312">
        <v>178</v>
      </c>
      <c r="G3312">
        <v>-21</v>
      </c>
      <c r="H3312">
        <v>-704</v>
      </c>
      <c r="J3312" s="1">
        <f t="shared" si="255"/>
        <v>31684</v>
      </c>
      <c r="K3312" s="1">
        <f t="shared" si="256"/>
        <v>441</v>
      </c>
      <c r="L3312" s="1">
        <f t="shared" si="257"/>
        <v>32125</v>
      </c>
      <c r="M3312" s="1">
        <f t="shared" si="258"/>
        <v>179.23448328934921</v>
      </c>
      <c r="N3312" s="7">
        <f t="shared" si="259"/>
        <v>179.23448328934921</v>
      </c>
    </row>
    <row r="3313" spans="1:14" x14ac:dyDescent="0.25">
      <c r="A3313" t="str">
        <f>"14:45:32.500"</f>
        <v>14:45:32.500</v>
      </c>
      <c r="B3313">
        <v>40.384433000000001</v>
      </c>
      <c r="C3313">
        <v>-74.728252999999995</v>
      </c>
      <c r="D3313">
        <v>1900</v>
      </c>
      <c r="E3313">
        <v>2075</v>
      </c>
      <c r="F3313">
        <v>177</v>
      </c>
      <c r="G3313">
        <v>-21</v>
      </c>
      <c r="H3313">
        <v>-704</v>
      </c>
      <c r="J3313" s="1">
        <f t="shared" si="255"/>
        <v>31329</v>
      </c>
      <c r="K3313" s="1">
        <f t="shared" si="256"/>
        <v>441</v>
      </c>
      <c r="L3313" s="1">
        <f t="shared" si="257"/>
        <v>31770</v>
      </c>
      <c r="M3313" s="1">
        <f t="shared" si="258"/>
        <v>178.24140933015536</v>
      </c>
      <c r="N3313" s="7">
        <f t="shared" si="259"/>
        <v>178.24140933015536</v>
      </c>
    </row>
    <row r="3314" spans="1:14" x14ac:dyDescent="0.25">
      <c r="A3314" t="str">
        <f>"14:45:33.656"</f>
        <v>14:45:33.656</v>
      </c>
      <c r="B3314">
        <v>40.384304999999998</v>
      </c>
      <c r="C3314">
        <v>-74.727007999999998</v>
      </c>
      <c r="D3314">
        <v>1800</v>
      </c>
      <c r="E3314">
        <v>2075</v>
      </c>
      <c r="F3314">
        <v>177</v>
      </c>
      <c r="G3314">
        <v>-21</v>
      </c>
      <c r="H3314">
        <v>-768</v>
      </c>
      <c r="J3314" s="1">
        <f t="shared" si="255"/>
        <v>31329</v>
      </c>
      <c r="K3314" s="1">
        <f t="shared" si="256"/>
        <v>441</v>
      </c>
      <c r="L3314" s="1">
        <f t="shared" si="257"/>
        <v>31770</v>
      </c>
      <c r="M3314" s="1">
        <f t="shared" si="258"/>
        <v>178.24140933015536</v>
      </c>
      <c r="N3314" s="7">
        <f t="shared" si="259"/>
        <v>178.24140933015536</v>
      </c>
    </row>
    <row r="3315" spans="1:14" x14ac:dyDescent="0.25">
      <c r="A3315" t="str">
        <f>"14:45:34.672"</f>
        <v>14:45:34.672</v>
      </c>
      <c r="B3315">
        <v>40.384197</v>
      </c>
      <c r="C3315">
        <v>-74.725935000000007</v>
      </c>
      <c r="D3315">
        <v>1800</v>
      </c>
      <c r="E3315">
        <v>2050</v>
      </c>
      <c r="F3315">
        <v>177</v>
      </c>
      <c r="G3315">
        <v>-21</v>
      </c>
      <c r="H3315">
        <v>-768</v>
      </c>
      <c r="J3315" s="1">
        <f t="shared" si="255"/>
        <v>31329</v>
      </c>
      <c r="K3315" s="1">
        <f t="shared" si="256"/>
        <v>441</v>
      </c>
      <c r="L3315" s="1">
        <f t="shared" si="257"/>
        <v>31770</v>
      </c>
      <c r="M3315" s="1">
        <f t="shared" si="258"/>
        <v>178.24140933015536</v>
      </c>
      <c r="N3315" s="7">
        <f t="shared" si="259"/>
        <v>178.24140933015536</v>
      </c>
    </row>
    <row r="3316" spans="1:14" x14ac:dyDescent="0.25">
      <c r="A3316" t="str">
        <f>"14:45:35.680"</f>
        <v>14:45:35.680</v>
      </c>
      <c r="B3316">
        <v>40.384110999999997</v>
      </c>
      <c r="C3316">
        <v>-74.724884000000003</v>
      </c>
      <c r="D3316">
        <v>1800</v>
      </c>
      <c r="E3316">
        <v>2050</v>
      </c>
      <c r="F3316">
        <v>177</v>
      </c>
      <c r="G3316">
        <v>-21</v>
      </c>
      <c r="H3316">
        <v>-768</v>
      </c>
      <c r="J3316" s="1">
        <f t="shared" si="255"/>
        <v>31329</v>
      </c>
      <c r="K3316" s="1">
        <f t="shared" si="256"/>
        <v>441</v>
      </c>
      <c r="L3316" s="1">
        <f t="shared" si="257"/>
        <v>31770</v>
      </c>
      <c r="M3316" s="1">
        <f t="shared" si="258"/>
        <v>178.24140933015536</v>
      </c>
      <c r="N3316" s="7">
        <f t="shared" si="259"/>
        <v>178.24140933015536</v>
      </c>
    </row>
    <row r="3317" spans="1:14" x14ac:dyDescent="0.25">
      <c r="A3317" t="str">
        <f>"14:45:36.688"</f>
        <v>14:45:36.688</v>
      </c>
      <c r="B3317">
        <v>40.384025999999999</v>
      </c>
      <c r="C3317">
        <v>-74.723768000000007</v>
      </c>
      <c r="D3317">
        <v>1800</v>
      </c>
      <c r="E3317">
        <v>2025</v>
      </c>
      <c r="F3317">
        <v>177</v>
      </c>
      <c r="G3317">
        <v>-21</v>
      </c>
      <c r="H3317">
        <v>-768</v>
      </c>
      <c r="J3317" s="1">
        <f t="shared" si="255"/>
        <v>31329</v>
      </c>
      <c r="K3317" s="1">
        <f t="shared" si="256"/>
        <v>441</v>
      </c>
      <c r="L3317" s="1">
        <f t="shared" si="257"/>
        <v>31770</v>
      </c>
      <c r="M3317" s="1">
        <f t="shared" si="258"/>
        <v>178.24140933015536</v>
      </c>
      <c r="N3317" s="7">
        <f t="shared" si="259"/>
        <v>178.24140933015536</v>
      </c>
    </row>
    <row r="3318" spans="1:14" x14ac:dyDescent="0.25">
      <c r="A3318" t="str">
        <f>"14:45:37.695"</f>
        <v>14:45:37.695</v>
      </c>
      <c r="B3318">
        <v>40.383918000000001</v>
      </c>
      <c r="C3318">
        <v>-74.722588000000002</v>
      </c>
      <c r="D3318">
        <v>1800</v>
      </c>
      <c r="E3318">
        <v>2025</v>
      </c>
      <c r="F3318">
        <v>177</v>
      </c>
      <c r="G3318">
        <v>-21</v>
      </c>
      <c r="H3318">
        <v>-768</v>
      </c>
      <c r="J3318" s="1">
        <f t="shared" si="255"/>
        <v>31329</v>
      </c>
      <c r="K3318" s="1">
        <f t="shared" si="256"/>
        <v>441</v>
      </c>
      <c r="L3318" s="1">
        <f t="shared" si="257"/>
        <v>31770</v>
      </c>
      <c r="M3318" s="1">
        <f t="shared" si="258"/>
        <v>178.24140933015536</v>
      </c>
      <c r="N3318" s="7">
        <f t="shared" si="259"/>
        <v>178.24140933015536</v>
      </c>
    </row>
    <row r="3319" spans="1:14" x14ac:dyDescent="0.25">
      <c r="A3319" t="str">
        <f>"14:45:38.906"</f>
        <v>14:45:38.906</v>
      </c>
      <c r="B3319">
        <v>40.383831999999998</v>
      </c>
      <c r="C3319">
        <v>-74.721451000000002</v>
      </c>
      <c r="D3319">
        <v>1800</v>
      </c>
      <c r="E3319">
        <v>2000</v>
      </c>
      <c r="F3319">
        <v>177</v>
      </c>
      <c r="G3319">
        <v>-20</v>
      </c>
      <c r="H3319">
        <v>-768</v>
      </c>
      <c r="J3319" s="1">
        <f t="shared" si="255"/>
        <v>31329</v>
      </c>
      <c r="K3319" s="1">
        <f t="shared" si="256"/>
        <v>400</v>
      </c>
      <c r="L3319" s="1">
        <f t="shared" si="257"/>
        <v>31729</v>
      </c>
      <c r="M3319" s="1">
        <f t="shared" si="258"/>
        <v>178.12635964393365</v>
      </c>
      <c r="N3319" s="7">
        <f t="shared" si="259"/>
        <v>178.12635964393365</v>
      </c>
    </row>
    <row r="3320" spans="1:14" x14ac:dyDescent="0.25">
      <c r="A3320" t="str">
        <f>"14:45:39.820"</f>
        <v>14:45:39.820</v>
      </c>
      <c r="B3320">
        <v>40.383724999999998</v>
      </c>
      <c r="C3320">
        <v>-74.720464000000007</v>
      </c>
      <c r="D3320">
        <v>1800</v>
      </c>
      <c r="E3320">
        <v>2000</v>
      </c>
      <c r="F3320">
        <v>177</v>
      </c>
      <c r="G3320">
        <v>-20</v>
      </c>
      <c r="H3320">
        <v>-768</v>
      </c>
      <c r="J3320" s="1">
        <f t="shared" si="255"/>
        <v>31329</v>
      </c>
      <c r="K3320" s="1">
        <f t="shared" si="256"/>
        <v>400</v>
      </c>
      <c r="L3320" s="1">
        <f t="shared" si="257"/>
        <v>31729</v>
      </c>
      <c r="M3320" s="1">
        <f t="shared" si="258"/>
        <v>178.12635964393365</v>
      </c>
      <c r="N3320" s="7">
        <f t="shared" si="259"/>
        <v>178.12635964393365</v>
      </c>
    </row>
    <row r="3321" spans="1:14" x14ac:dyDescent="0.25">
      <c r="A3321" t="str">
        <f>"14:45:40.875"</f>
        <v>14:45:40.875</v>
      </c>
      <c r="B3321">
        <v>40.383639000000002</v>
      </c>
      <c r="C3321">
        <v>-74.719325999999995</v>
      </c>
      <c r="D3321">
        <v>1800</v>
      </c>
      <c r="E3321">
        <v>1975</v>
      </c>
      <c r="F3321">
        <v>176</v>
      </c>
      <c r="G3321">
        <v>-20</v>
      </c>
      <c r="H3321">
        <v>-768</v>
      </c>
      <c r="J3321" s="1">
        <f t="shared" si="255"/>
        <v>30976</v>
      </c>
      <c r="K3321" s="1">
        <f t="shared" si="256"/>
        <v>400</v>
      </c>
      <c r="L3321" s="1">
        <f t="shared" si="257"/>
        <v>31376</v>
      </c>
      <c r="M3321" s="1">
        <f t="shared" si="258"/>
        <v>177.13271860387624</v>
      </c>
      <c r="N3321" s="7">
        <f t="shared" si="259"/>
        <v>177.13271860387624</v>
      </c>
    </row>
    <row r="3322" spans="1:14" x14ac:dyDescent="0.25">
      <c r="A3322" t="str">
        <f>"14:45:41.789"</f>
        <v>14:45:41.789</v>
      </c>
      <c r="B3322">
        <v>40.383553999999997</v>
      </c>
      <c r="C3322">
        <v>-74.718317999999996</v>
      </c>
      <c r="D3322">
        <v>1800</v>
      </c>
      <c r="E3322">
        <v>1975</v>
      </c>
      <c r="F3322">
        <v>176</v>
      </c>
      <c r="G3322">
        <v>-20</v>
      </c>
      <c r="H3322">
        <v>-704</v>
      </c>
      <c r="J3322" s="1">
        <f t="shared" si="255"/>
        <v>30976</v>
      </c>
      <c r="K3322" s="1">
        <f t="shared" si="256"/>
        <v>400</v>
      </c>
      <c r="L3322" s="1">
        <f t="shared" si="257"/>
        <v>31376</v>
      </c>
      <c r="M3322" s="1">
        <f t="shared" si="258"/>
        <v>177.13271860387624</v>
      </c>
      <c r="N3322" s="7">
        <f t="shared" si="259"/>
        <v>177.13271860387624</v>
      </c>
    </row>
    <row r="3323" spans="1:14" x14ac:dyDescent="0.25">
      <c r="A3323" t="str">
        <f>"14:45:42.844"</f>
        <v>14:45:42.844</v>
      </c>
      <c r="B3323">
        <v>40.383425000000003</v>
      </c>
      <c r="C3323">
        <v>-74.717202</v>
      </c>
      <c r="D3323">
        <v>1800</v>
      </c>
      <c r="E3323">
        <v>1950</v>
      </c>
      <c r="F3323">
        <v>176</v>
      </c>
      <c r="G3323">
        <v>-20</v>
      </c>
      <c r="H3323">
        <v>-704</v>
      </c>
      <c r="J3323" s="1">
        <f t="shared" si="255"/>
        <v>30976</v>
      </c>
      <c r="K3323" s="1">
        <f t="shared" si="256"/>
        <v>400</v>
      </c>
      <c r="L3323" s="1">
        <f t="shared" si="257"/>
        <v>31376</v>
      </c>
      <c r="M3323" s="1">
        <f t="shared" si="258"/>
        <v>177.13271860387624</v>
      </c>
      <c r="N3323" s="7">
        <f t="shared" si="259"/>
        <v>177.13271860387624</v>
      </c>
    </row>
    <row r="3324" spans="1:14" x14ac:dyDescent="0.25">
      <c r="A3324" t="str">
        <f>"14:45:43.758"</f>
        <v>14:45:43.758</v>
      </c>
      <c r="B3324">
        <v>40.383360000000003</v>
      </c>
      <c r="C3324">
        <v>-74.716194000000002</v>
      </c>
      <c r="D3324">
        <v>1800</v>
      </c>
      <c r="E3324">
        <v>1950</v>
      </c>
      <c r="F3324">
        <v>176</v>
      </c>
      <c r="G3324">
        <v>-20</v>
      </c>
      <c r="H3324">
        <v>-704</v>
      </c>
      <c r="J3324" s="1">
        <f t="shared" si="255"/>
        <v>30976</v>
      </c>
      <c r="K3324" s="1">
        <f t="shared" si="256"/>
        <v>400</v>
      </c>
      <c r="L3324" s="1">
        <f t="shared" si="257"/>
        <v>31376</v>
      </c>
      <c r="M3324" s="1">
        <f t="shared" si="258"/>
        <v>177.13271860387624</v>
      </c>
      <c r="N3324" s="7">
        <f t="shared" si="259"/>
        <v>177.13271860387624</v>
      </c>
    </row>
    <row r="3325" spans="1:14" x14ac:dyDescent="0.25">
      <c r="A3325" t="str">
        <f>"14:45:44.711"</f>
        <v>14:45:44.711</v>
      </c>
      <c r="B3325">
        <v>40.383274999999998</v>
      </c>
      <c r="C3325">
        <v>-74.715142</v>
      </c>
      <c r="D3325">
        <v>1700</v>
      </c>
      <c r="E3325">
        <v>1925</v>
      </c>
      <c r="F3325">
        <v>176</v>
      </c>
      <c r="G3325">
        <v>-20</v>
      </c>
      <c r="H3325">
        <v>-704</v>
      </c>
      <c r="J3325" s="1">
        <f t="shared" si="255"/>
        <v>30976</v>
      </c>
      <c r="K3325" s="1">
        <f t="shared" si="256"/>
        <v>400</v>
      </c>
      <c r="L3325" s="1">
        <f t="shared" si="257"/>
        <v>31376</v>
      </c>
      <c r="M3325" s="1">
        <f t="shared" si="258"/>
        <v>177.13271860387624</v>
      </c>
      <c r="N3325" s="7">
        <f t="shared" si="259"/>
        <v>177.13271860387624</v>
      </c>
    </row>
    <row r="3326" spans="1:14" x14ac:dyDescent="0.25">
      <c r="A3326" t="str">
        <f>"14:45:45.672"</f>
        <v>14:45:45.672</v>
      </c>
      <c r="B3326">
        <v>40.383189000000002</v>
      </c>
      <c r="C3326">
        <v>-74.714219999999997</v>
      </c>
      <c r="D3326">
        <v>1700</v>
      </c>
      <c r="E3326">
        <v>1925</v>
      </c>
      <c r="F3326">
        <v>175</v>
      </c>
      <c r="G3326">
        <v>-20</v>
      </c>
      <c r="H3326">
        <v>-704</v>
      </c>
      <c r="J3326" s="1">
        <f t="shared" si="255"/>
        <v>30625</v>
      </c>
      <c r="K3326" s="1">
        <f t="shared" si="256"/>
        <v>400</v>
      </c>
      <c r="L3326" s="1">
        <f t="shared" si="257"/>
        <v>31025</v>
      </c>
      <c r="M3326" s="1">
        <f t="shared" si="258"/>
        <v>176.13914953808538</v>
      </c>
      <c r="N3326" s="7">
        <f t="shared" si="259"/>
        <v>176.13914953808538</v>
      </c>
    </row>
    <row r="3327" spans="1:14" x14ac:dyDescent="0.25">
      <c r="A3327" t="str">
        <f>"14:45:46.633"</f>
        <v>14:45:46.633</v>
      </c>
      <c r="B3327">
        <v>40.383080999999997</v>
      </c>
      <c r="C3327">
        <v>-74.713189999999997</v>
      </c>
      <c r="D3327">
        <v>1700</v>
      </c>
      <c r="E3327">
        <v>1900</v>
      </c>
      <c r="F3327">
        <v>175</v>
      </c>
      <c r="G3327">
        <v>-21</v>
      </c>
      <c r="H3327">
        <v>-704</v>
      </c>
      <c r="J3327" s="1">
        <f t="shared" si="255"/>
        <v>30625</v>
      </c>
      <c r="K3327" s="1">
        <f t="shared" si="256"/>
        <v>441</v>
      </c>
      <c r="L3327" s="1">
        <f t="shared" si="257"/>
        <v>31066</v>
      </c>
      <c r="M3327" s="1">
        <f t="shared" si="258"/>
        <v>176.25549636819841</v>
      </c>
      <c r="N3327" s="7">
        <f t="shared" si="259"/>
        <v>176.25549636819841</v>
      </c>
    </row>
    <row r="3328" spans="1:14" x14ac:dyDescent="0.25">
      <c r="A3328" t="str">
        <f>"14:45:47.539"</f>
        <v>14:45:47.539</v>
      </c>
      <c r="B3328">
        <v>40.382995999999999</v>
      </c>
      <c r="C3328">
        <v>-74.712159999999997</v>
      </c>
      <c r="D3328">
        <v>1700</v>
      </c>
      <c r="E3328">
        <v>1900</v>
      </c>
      <c r="F3328">
        <v>175</v>
      </c>
      <c r="G3328">
        <v>-21</v>
      </c>
      <c r="H3328">
        <v>-640</v>
      </c>
      <c r="J3328" s="1">
        <f t="shared" si="255"/>
        <v>30625</v>
      </c>
      <c r="K3328" s="1">
        <f t="shared" si="256"/>
        <v>441</v>
      </c>
      <c r="L3328" s="1">
        <f t="shared" si="257"/>
        <v>31066</v>
      </c>
      <c r="M3328" s="1">
        <f t="shared" si="258"/>
        <v>176.25549636819841</v>
      </c>
      <c r="N3328" s="7">
        <f t="shared" si="259"/>
        <v>176.25549636819841</v>
      </c>
    </row>
    <row r="3329" spans="1:14" x14ac:dyDescent="0.25">
      <c r="A3329" t="str">
        <f>"14:45:49.109"</f>
        <v>14:45:49.109</v>
      </c>
      <c r="B3329">
        <v>40.382866999999997</v>
      </c>
      <c r="C3329">
        <v>-74.710442999999998</v>
      </c>
      <c r="D3329">
        <v>1700</v>
      </c>
      <c r="E3329">
        <v>1875</v>
      </c>
      <c r="F3329">
        <v>175</v>
      </c>
      <c r="G3329">
        <v>-20</v>
      </c>
      <c r="H3329">
        <v>-704</v>
      </c>
      <c r="J3329" s="1">
        <f t="shared" si="255"/>
        <v>30625</v>
      </c>
      <c r="K3329" s="1">
        <f t="shared" si="256"/>
        <v>400</v>
      </c>
      <c r="L3329" s="1">
        <f t="shared" si="257"/>
        <v>31025</v>
      </c>
      <c r="M3329" s="1">
        <f t="shared" si="258"/>
        <v>176.13914953808538</v>
      </c>
      <c r="N3329" s="7">
        <f t="shared" si="259"/>
        <v>176.13914953808538</v>
      </c>
    </row>
    <row r="3330" spans="1:14" x14ac:dyDescent="0.25">
      <c r="A3330" t="str">
        <f>"14:45:50.117"</f>
        <v>14:45:50.117</v>
      </c>
      <c r="B3330">
        <v>40.382759999999998</v>
      </c>
      <c r="C3330">
        <v>-74.709519999999998</v>
      </c>
      <c r="D3330">
        <v>1700</v>
      </c>
      <c r="E3330">
        <v>1875</v>
      </c>
      <c r="F3330">
        <v>175</v>
      </c>
      <c r="G3330">
        <v>-20</v>
      </c>
      <c r="H3330">
        <v>-704</v>
      </c>
      <c r="J3330" s="1">
        <f t="shared" si="255"/>
        <v>30625</v>
      </c>
      <c r="K3330" s="1">
        <f t="shared" si="256"/>
        <v>400</v>
      </c>
      <c r="L3330" s="1">
        <f t="shared" si="257"/>
        <v>31025</v>
      </c>
      <c r="M3330" s="1">
        <f t="shared" si="258"/>
        <v>176.13914953808538</v>
      </c>
      <c r="N3330" s="7">
        <f t="shared" si="259"/>
        <v>176.13914953808538</v>
      </c>
    </row>
    <row r="3331" spans="1:14" x14ac:dyDescent="0.25">
      <c r="A3331" t="str">
        <f>"14:45:51.172"</f>
        <v>14:45:51.172</v>
      </c>
      <c r="B3331">
        <v>40.382674000000002</v>
      </c>
      <c r="C3331">
        <v>-74.708382999999998</v>
      </c>
      <c r="D3331">
        <v>1700</v>
      </c>
      <c r="E3331">
        <v>1850</v>
      </c>
      <c r="F3331">
        <v>174</v>
      </c>
      <c r="G3331">
        <v>-20</v>
      </c>
      <c r="H3331">
        <v>-704</v>
      </c>
      <c r="J3331" s="1">
        <f t="shared" ref="J3331:J3394" si="260">F3331^2</f>
        <v>30276</v>
      </c>
      <c r="K3331" s="1">
        <f t="shared" ref="K3331:K3394" si="261">G3331^2</f>
        <v>400</v>
      </c>
      <c r="L3331" s="1">
        <f t="shared" ref="L3331:L3394" si="262">SUMSQ(F3331,G3331)</f>
        <v>30676</v>
      </c>
      <c r="M3331" s="1">
        <f t="shared" ref="M3331:M3394" si="263">SQRT(L3331)</f>
        <v>175.14565367145141</v>
      </c>
      <c r="N3331" s="7">
        <f t="shared" ref="N3331:N3394" si="264">M3331</f>
        <v>175.14565367145141</v>
      </c>
    </row>
    <row r="3332" spans="1:14" x14ac:dyDescent="0.25">
      <c r="A3332" t="str">
        <f>"14:45:52.289"</f>
        <v>14:45:52.289</v>
      </c>
      <c r="B3332">
        <v>40.382523999999997</v>
      </c>
      <c r="C3332">
        <v>-74.707223999999997</v>
      </c>
      <c r="D3332">
        <v>1700</v>
      </c>
      <c r="E3332">
        <v>1850</v>
      </c>
      <c r="F3332">
        <v>174</v>
      </c>
      <c r="G3332">
        <v>-20</v>
      </c>
      <c r="H3332">
        <v>-704</v>
      </c>
      <c r="J3332" s="1">
        <f t="shared" si="260"/>
        <v>30276</v>
      </c>
      <c r="K3332" s="1">
        <f t="shared" si="261"/>
        <v>400</v>
      </c>
      <c r="L3332" s="1">
        <f t="shared" si="262"/>
        <v>30676</v>
      </c>
      <c r="M3332" s="1">
        <f t="shared" si="263"/>
        <v>175.14565367145141</v>
      </c>
      <c r="N3332" s="7">
        <f t="shared" si="264"/>
        <v>175.14565367145141</v>
      </c>
    </row>
    <row r="3333" spans="1:14" x14ac:dyDescent="0.25">
      <c r="A3333" t="str">
        <f>"14:45:53.148"</f>
        <v>14:45:53.148</v>
      </c>
      <c r="B3333">
        <v>40.382438</v>
      </c>
      <c r="C3333">
        <v>-74.706237000000002</v>
      </c>
      <c r="D3333">
        <v>1600</v>
      </c>
      <c r="E3333">
        <v>1825</v>
      </c>
      <c r="F3333">
        <v>174</v>
      </c>
      <c r="G3333">
        <v>-20</v>
      </c>
      <c r="H3333">
        <v>-704</v>
      </c>
      <c r="J3333" s="1">
        <f t="shared" si="260"/>
        <v>30276</v>
      </c>
      <c r="K3333" s="1">
        <f t="shared" si="261"/>
        <v>400</v>
      </c>
      <c r="L3333" s="1">
        <f t="shared" si="262"/>
        <v>30676</v>
      </c>
      <c r="M3333" s="1">
        <f t="shared" si="263"/>
        <v>175.14565367145141</v>
      </c>
      <c r="N3333" s="7">
        <f t="shared" si="264"/>
        <v>175.14565367145141</v>
      </c>
    </row>
    <row r="3334" spans="1:14" x14ac:dyDescent="0.25">
      <c r="A3334" t="str">
        <f>"14:45:54.102"</f>
        <v>14:45:54.102</v>
      </c>
      <c r="B3334">
        <v>40.382351999999997</v>
      </c>
      <c r="C3334">
        <v>-74.705207000000001</v>
      </c>
      <c r="D3334">
        <v>1600</v>
      </c>
      <c r="E3334">
        <v>1825</v>
      </c>
      <c r="F3334">
        <v>174</v>
      </c>
      <c r="G3334">
        <v>-20</v>
      </c>
      <c r="H3334">
        <v>-640</v>
      </c>
      <c r="J3334" s="1">
        <f t="shared" si="260"/>
        <v>30276</v>
      </c>
      <c r="K3334" s="1">
        <f t="shared" si="261"/>
        <v>400</v>
      </c>
      <c r="L3334" s="1">
        <f t="shared" si="262"/>
        <v>30676</v>
      </c>
      <c r="M3334" s="1">
        <f t="shared" si="263"/>
        <v>175.14565367145141</v>
      </c>
      <c r="N3334" s="7">
        <f t="shared" si="264"/>
        <v>175.14565367145141</v>
      </c>
    </row>
    <row r="3335" spans="1:14" x14ac:dyDescent="0.25">
      <c r="A3335" t="str">
        <f>"14:45:55.266"</f>
        <v>14:45:55.266</v>
      </c>
      <c r="B3335">
        <v>40.382244999999998</v>
      </c>
      <c r="C3335">
        <v>-74.704092000000003</v>
      </c>
      <c r="D3335">
        <v>1600</v>
      </c>
      <c r="E3335">
        <v>1825</v>
      </c>
      <c r="F3335">
        <v>174</v>
      </c>
      <c r="G3335">
        <v>-20</v>
      </c>
      <c r="H3335">
        <v>-384</v>
      </c>
      <c r="J3335" s="1">
        <f t="shared" si="260"/>
        <v>30276</v>
      </c>
      <c r="K3335" s="1">
        <f t="shared" si="261"/>
        <v>400</v>
      </c>
      <c r="L3335" s="1">
        <f t="shared" si="262"/>
        <v>30676</v>
      </c>
      <c r="M3335" s="1">
        <f t="shared" si="263"/>
        <v>175.14565367145141</v>
      </c>
      <c r="N3335" s="7">
        <f t="shared" si="264"/>
        <v>175.14565367145141</v>
      </c>
    </row>
    <row r="3336" spans="1:14" x14ac:dyDescent="0.25">
      <c r="A3336" t="str">
        <f>"14:45:56.227"</f>
        <v>14:45:56.227</v>
      </c>
      <c r="B3336">
        <v>40.382159000000001</v>
      </c>
      <c r="C3336">
        <v>-74.702976000000007</v>
      </c>
      <c r="D3336">
        <v>1600</v>
      </c>
      <c r="E3336">
        <v>1800</v>
      </c>
      <c r="F3336">
        <v>173</v>
      </c>
      <c r="G3336">
        <v>-20</v>
      </c>
      <c r="H3336">
        <v>-192</v>
      </c>
      <c r="J3336" s="1">
        <f t="shared" si="260"/>
        <v>29929</v>
      </c>
      <c r="K3336" s="1">
        <f t="shared" si="261"/>
        <v>400</v>
      </c>
      <c r="L3336" s="1">
        <f t="shared" si="262"/>
        <v>30329</v>
      </c>
      <c r="M3336" s="1">
        <f t="shared" si="263"/>
        <v>174.15223225672418</v>
      </c>
      <c r="N3336" s="7">
        <f t="shared" si="264"/>
        <v>174.15223225672418</v>
      </c>
    </row>
    <row r="3337" spans="1:14" x14ac:dyDescent="0.25">
      <c r="A3337" t="str">
        <f>"14:45:57.180"</f>
        <v>14:45:57.180</v>
      </c>
      <c r="B3337">
        <v>40.382072999999998</v>
      </c>
      <c r="C3337">
        <v>-74.702095999999997</v>
      </c>
      <c r="D3337">
        <v>1600</v>
      </c>
      <c r="E3337">
        <v>1800</v>
      </c>
      <c r="F3337">
        <v>172</v>
      </c>
      <c r="G3337">
        <v>-20</v>
      </c>
      <c r="H3337">
        <v>64</v>
      </c>
      <c r="J3337" s="1">
        <f t="shared" si="260"/>
        <v>29584</v>
      </c>
      <c r="K3337" s="1">
        <f t="shared" si="261"/>
        <v>400</v>
      </c>
      <c r="L3337" s="1">
        <f t="shared" si="262"/>
        <v>29984</v>
      </c>
      <c r="M3337" s="1">
        <f t="shared" si="263"/>
        <v>173.15888657530689</v>
      </c>
      <c r="N3337" s="7">
        <f t="shared" si="264"/>
        <v>173.15888657530689</v>
      </c>
    </row>
    <row r="3338" spans="1:14" x14ac:dyDescent="0.25">
      <c r="A3338" t="str">
        <f>"14:45:58.141"</f>
        <v>14:45:58.141</v>
      </c>
      <c r="B3338">
        <v>40.381987000000002</v>
      </c>
      <c r="C3338">
        <v>-74.701044999999993</v>
      </c>
      <c r="D3338">
        <v>1600</v>
      </c>
      <c r="E3338">
        <v>1800</v>
      </c>
      <c r="F3338">
        <v>171</v>
      </c>
      <c r="G3338">
        <v>-19</v>
      </c>
      <c r="H3338">
        <v>192</v>
      </c>
      <c r="J3338" s="1">
        <f t="shared" si="260"/>
        <v>29241</v>
      </c>
      <c r="K3338" s="1">
        <f t="shared" si="261"/>
        <v>361</v>
      </c>
      <c r="L3338" s="1">
        <f t="shared" si="262"/>
        <v>29602</v>
      </c>
      <c r="M3338" s="1">
        <f t="shared" si="263"/>
        <v>172.05231762461091</v>
      </c>
      <c r="N3338" s="7">
        <f t="shared" si="264"/>
        <v>172.05231762461091</v>
      </c>
    </row>
    <row r="3339" spans="1:14" x14ac:dyDescent="0.25">
      <c r="A3339" t="str">
        <f>"14:45:59.102"</f>
        <v>14:45:59.102</v>
      </c>
      <c r="B3339">
        <v>40.381900999999999</v>
      </c>
      <c r="C3339">
        <v>-74.700014999999993</v>
      </c>
      <c r="D3339">
        <v>1600</v>
      </c>
      <c r="E3339">
        <v>1825</v>
      </c>
      <c r="F3339">
        <v>170</v>
      </c>
      <c r="G3339">
        <v>-19</v>
      </c>
      <c r="H3339">
        <v>320</v>
      </c>
      <c r="J3339" s="1">
        <f t="shared" si="260"/>
        <v>28900</v>
      </c>
      <c r="K3339" s="1">
        <f t="shared" si="261"/>
        <v>361</v>
      </c>
      <c r="L3339" s="1">
        <f t="shared" si="262"/>
        <v>29261</v>
      </c>
      <c r="M3339" s="1">
        <f t="shared" si="263"/>
        <v>171.05846953600397</v>
      </c>
      <c r="N3339" s="7">
        <f t="shared" si="264"/>
        <v>171.05846953600397</v>
      </c>
    </row>
    <row r="3340" spans="1:14" x14ac:dyDescent="0.25">
      <c r="A3340" t="str">
        <f>"14:46:00.109"</f>
        <v>14:46:00.109</v>
      </c>
      <c r="B3340">
        <v>40.381858000000001</v>
      </c>
      <c r="C3340">
        <v>-74.698984999999993</v>
      </c>
      <c r="D3340">
        <v>1600</v>
      </c>
      <c r="E3340">
        <v>1825</v>
      </c>
      <c r="F3340">
        <v>169</v>
      </c>
      <c r="G3340">
        <v>-19</v>
      </c>
      <c r="H3340">
        <v>320</v>
      </c>
      <c r="J3340" s="1">
        <f t="shared" si="260"/>
        <v>28561</v>
      </c>
      <c r="K3340" s="1">
        <f t="shared" si="261"/>
        <v>361</v>
      </c>
      <c r="L3340" s="1">
        <f t="shared" si="262"/>
        <v>28922</v>
      </c>
      <c r="M3340" s="1">
        <f t="shared" si="263"/>
        <v>170.06469357276953</v>
      </c>
      <c r="N3340" s="7">
        <f t="shared" si="264"/>
        <v>170.06469357276953</v>
      </c>
    </row>
    <row r="3341" spans="1:14" x14ac:dyDescent="0.25">
      <c r="A3341" t="str">
        <f>"14:46:01.016"</f>
        <v>14:46:01.016</v>
      </c>
      <c r="B3341">
        <v>40.381729999999997</v>
      </c>
      <c r="C3341">
        <v>-74.698104999999998</v>
      </c>
      <c r="D3341">
        <v>1600</v>
      </c>
      <c r="E3341">
        <v>1825</v>
      </c>
      <c r="F3341">
        <v>169</v>
      </c>
      <c r="G3341">
        <v>-18</v>
      </c>
      <c r="H3341">
        <v>320</v>
      </c>
      <c r="J3341" s="1">
        <f t="shared" si="260"/>
        <v>28561</v>
      </c>
      <c r="K3341" s="1">
        <f t="shared" si="261"/>
        <v>324</v>
      </c>
      <c r="L3341" s="1">
        <f t="shared" si="262"/>
        <v>28885</v>
      </c>
      <c r="M3341" s="1">
        <f t="shared" si="263"/>
        <v>169.95587662684687</v>
      </c>
      <c r="N3341" s="7">
        <f t="shared" si="264"/>
        <v>169.95587662684687</v>
      </c>
    </row>
    <row r="3342" spans="1:14" x14ac:dyDescent="0.25">
      <c r="A3342" t="str">
        <f>"14:46:02.125"</f>
        <v>14:46:02.125</v>
      </c>
      <c r="B3342">
        <v>40.381664999999998</v>
      </c>
      <c r="C3342">
        <v>-74.696967999999998</v>
      </c>
      <c r="D3342">
        <v>1600</v>
      </c>
      <c r="E3342">
        <v>1825</v>
      </c>
      <c r="F3342">
        <v>167</v>
      </c>
      <c r="G3342">
        <v>-18</v>
      </c>
      <c r="H3342">
        <v>256</v>
      </c>
      <c r="J3342" s="1">
        <f t="shared" si="260"/>
        <v>27889</v>
      </c>
      <c r="K3342" s="1">
        <f t="shared" si="261"/>
        <v>324</v>
      </c>
      <c r="L3342" s="1">
        <f t="shared" si="262"/>
        <v>28213</v>
      </c>
      <c r="M3342" s="1">
        <f t="shared" si="263"/>
        <v>167.96725871431016</v>
      </c>
      <c r="N3342" s="7">
        <f t="shared" si="264"/>
        <v>167.96725871431016</v>
      </c>
    </row>
    <row r="3343" spans="1:14" x14ac:dyDescent="0.25">
      <c r="A3343" t="str">
        <f>"14:46:03.086"</f>
        <v>14:46:03.086</v>
      </c>
      <c r="B3343">
        <v>40.381601000000003</v>
      </c>
      <c r="C3343">
        <v>-74.696044999999998</v>
      </c>
      <c r="D3343">
        <v>1600</v>
      </c>
      <c r="E3343">
        <v>1825</v>
      </c>
      <c r="F3343">
        <v>166</v>
      </c>
      <c r="G3343">
        <v>-18</v>
      </c>
      <c r="H3343">
        <v>192</v>
      </c>
      <c r="J3343" s="1">
        <f t="shared" si="260"/>
        <v>27556</v>
      </c>
      <c r="K3343" s="1">
        <f t="shared" si="261"/>
        <v>324</v>
      </c>
      <c r="L3343" s="1">
        <f t="shared" si="262"/>
        <v>27880</v>
      </c>
      <c r="M3343" s="1">
        <f t="shared" si="263"/>
        <v>166.97305171793442</v>
      </c>
      <c r="N3343" s="7">
        <f t="shared" si="264"/>
        <v>166.97305171793442</v>
      </c>
    </row>
    <row r="3344" spans="1:14" x14ac:dyDescent="0.25">
      <c r="A3344" t="str">
        <f>"14:46:04.148"</f>
        <v>14:46:04.148</v>
      </c>
      <c r="B3344">
        <v>40.381494000000004</v>
      </c>
      <c r="C3344">
        <v>-74.694951000000003</v>
      </c>
      <c r="D3344">
        <v>1600</v>
      </c>
      <c r="E3344">
        <v>1825</v>
      </c>
      <c r="F3344">
        <v>166</v>
      </c>
      <c r="G3344">
        <v>-18</v>
      </c>
      <c r="H3344">
        <v>128</v>
      </c>
      <c r="J3344" s="1">
        <f t="shared" si="260"/>
        <v>27556</v>
      </c>
      <c r="K3344" s="1">
        <f t="shared" si="261"/>
        <v>324</v>
      </c>
      <c r="L3344" s="1">
        <f t="shared" si="262"/>
        <v>27880</v>
      </c>
      <c r="M3344" s="1">
        <f t="shared" si="263"/>
        <v>166.97305171793442</v>
      </c>
      <c r="N3344" s="7">
        <f t="shared" si="264"/>
        <v>166.97305171793442</v>
      </c>
    </row>
    <row r="3345" spans="1:14" x14ac:dyDescent="0.25">
      <c r="A3345" t="str">
        <f>"14:46:05.008"</f>
        <v>14:46:05.008</v>
      </c>
      <c r="B3345">
        <v>40.381408</v>
      </c>
      <c r="C3345">
        <v>-74.694049000000007</v>
      </c>
      <c r="D3345">
        <v>1600</v>
      </c>
      <c r="E3345">
        <v>1850</v>
      </c>
      <c r="F3345">
        <v>165</v>
      </c>
      <c r="G3345">
        <v>-18</v>
      </c>
      <c r="H3345">
        <v>128</v>
      </c>
      <c r="J3345" s="1">
        <f t="shared" si="260"/>
        <v>27225</v>
      </c>
      <c r="K3345" s="1">
        <f t="shared" si="261"/>
        <v>324</v>
      </c>
      <c r="L3345" s="1">
        <f t="shared" si="262"/>
        <v>27549</v>
      </c>
      <c r="M3345" s="1">
        <f t="shared" si="263"/>
        <v>165.97891432347663</v>
      </c>
      <c r="N3345" s="7">
        <f t="shared" si="264"/>
        <v>165.97891432347663</v>
      </c>
    </row>
    <row r="3346" spans="1:14" x14ac:dyDescent="0.25">
      <c r="A3346" t="str">
        <f>"14:46:05.867"</f>
        <v>14:46:05.867</v>
      </c>
      <c r="B3346">
        <v>40.381365000000002</v>
      </c>
      <c r="C3346">
        <v>-74.693234000000004</v>
      </c>
      <c r="D3346">
        <v>1600</v>
      </c>
      <c r="E3346">
        <v>1850</v>
      </c>
      <c r="F3346">
        <v>164</v>
      </c>
      <c r="G3346">
        <v>-18</v>
      </c>
      <c r="H3346">
        <v>64</v>
      </c>
      <c r="J3346" s="1">
        <f t="shared" si="260"/>
        <v>26896</v>
      </c>
      <c r="K3346" s="1">
        <f t="shared" si="261"/>
        <v>324</v>
      </c>
      <c r="L3346" s="1">
        <f t="shared" si="262"/>
        <v>27220</v>
      </c>
      <c r="M3346" s="1">
        <f t="shared" si="263"/>
        <v>164.98484778912274</v>
      </c>
      <c r="N3346" s="7">
        <f t="shared" si="264"/>
        <v>164.98484778912274</v>
      </c>
    </row>
    <row r="3347" spans="1:14" x14ac:dyDescent="0.25">
      <c r="A3347" t="str">
        <f>"14:46:06.922"</f>
        <v>14:46:06.922</v>
      </c>
      <c r="B3347">
        <v>40.381258000000003</v>
      </c>
      <c r="C3347">
        <v>-74.692139999999995</v>
      </c>
      <c r="D3347">
        <v>1600</v>
      </c>
      <c r="E3347">
        <v>1850</v>
      </c>
      <c r="F3347">
        <v>164</v>
      </c>
      <c r="G3347">
        <v>-17</v>
      </c>
      <c r="H3347">
        <v>64</v>
      </c>
      <c r="J3347" s="1">
        <f t="shared" si="260"/>
        <v>26896</v>
      </c>
      <c r="K3347" s="1">
        <f t="shared" si="261"/>
        <v>289</v>
      </c>
      <c r="L3347" s="1">
        <f t="shared" si="262"/>
        <v>27185</v>
      </c>
      <c r="M3347" s="1">
        <f t="shared" si="263"/>
        <v>164.87874332369228</v>
      </c>
      <c r="N3347" s="7">
        <f t="shared" si="264"/>
        <v>164.87874332369228</v>
      </c>
    </row>
    <row r="3348" spans="1:14" x14ac:dyDescent="0.25">
      <c r="A3348" t="str">
        <f>"14:46:07.883"</f>
        <v>14:46:07.883</v>
      </c>
      <c r="B3348">
        <v>40.381171999999999</v>
      </c>
      <c r="C3348">
        <v>-74.691303000000005</v>
      </c>
      <c r="D3348">
        <v>1600</v>
      </c>
      <c r="E3348">
        <v>1850</v>
      </c>
      <c r="F3348">
        <v>163</v>
      </c>
      <c r="G3348">
        <v>-17</v>
      </c>
      <c r="H3348">
        <v>0</v>
      </c>
      <c r="J3348" s="1">
        <f t="shared" si="260"/>
        <v>26569</v>
      </c>
      <c r="K3348" s="1">
        <f t="shared" si="261"/>
        <v>289</v>
      </c>
      <c r="L3348" s="1">
        <f t="shared" si="262"/>
        <v>26858</v>
      </c>
      <c r="M3348" s="1">
        <f t="shared" si="263"/>
        <v>163.88410539158457</v>
      </c>
      <c r="N3348" s="7">
        <f t="shared" si="264"/>
        <v>163.88410539158457</v>
      </c>
    </row>
    <row r="3349" spans="1:14" x14ac:dyDescent="0.25">
      <c r="A3349" t="str">
        <f>"14:46:08.789"</f>
        <v>14:46:08.789</v>
      </c>
      <c r="B3349">
        <v>40.381129000000001</v>
      </c>
      <c r="C3349">
        <v>-74.690359000000001</v>
      </c>
      <c r="D3349">
        <v>1600</v>
      </c>
      <c r="E3349">
        <v>1850</v>
      </c>
      <c r="F3349">
        <v>163</v>
      </c>
      <c r="G3349">
        <v>-17</v>
      </c>
      <c r="H3349">
        <v>0</v>
      </c>
      <c r="J3349" s="1">
        <f t="shared" si="260"/>
        <v>26569</v>
      </c>
      <c r="K3349" s="1">
        <f t="shared" si="261"/>
        <v>289</v>
      </c>
      <c r="L3349" s="1">
        <f t="shared" si="262"/>
        <v>26858</v>
      </c>
      <c r="M3349" s="1">
        <f t="shared" si="263"/>
        <v>163.88410539158457</v>
      </c>
      <c r="N3349" s="7">
        <f t="shared" si="264"/>
        <v>163.88410539158457</v>
      </c>
    </row>
    <row r="3350" spans="1:14" x14ac:dyDescent="0.25">
      <c r="A3350" t="str">
        <f>"14:46:09.602"</f>
        <v>14:46:09.602</v>
      </c>
      <c r="B3350">
        <v>40.381042999999998</v>
      </c>
      <c r="C3350">
        <v>-74.689499999999995</v>
      </c>
      <c r="D3350">
        <v>1600</v>
      </c>
      <c r="E3350">
        <v>1850</v>
      </c>
      <c r="F3350">
        <v>162</v>
      </c>
      <c r="G3350">
        <v>-17</v>
      </c>
      <c r="H3350">
        <v>0</v>
      </c>
      <c r="J3350" s="1">
        <f t="shared" si="260"/>
        <v>26244</v>
      </c>
      <c r="K3350" s="1">
        <f t="shared" si="261"/>
        <v>289</v>
      </c>
      <c r="L3350" s="1">
        <f t="shared" si="262"/>
        <v>26533</v>
      </c>
      <c r="M3350" s="1">
        <f t="shared" si="263"/>
        <v>162.88953311984167</v>
      </c>
      <c r="N3350" s="7">
        <f t="shared" si="264"/>
        <v>162.88953311984167</v>
      </c>
    </row>
    <row r="3351" spans="1:14" x14ac:dyDescent="0.25">
      <c r="A3351" t="str">
        <f>"14:46:10.508"</f>
        <v>14:46:10.508</v>
      </c>
      <c r="B3351">
        <v>40.380979000000004</v>
      </c>
      <c r="C3351">
        <v>-74.688598999999996</v>
      </c>
      <c r="D3351">
        <v>1600</v>
      </c>
      <c r="E3351">
        <v>1850</v>
      </c>
      <c r="F3351">
        <v>162</v>
      </c>
      <c r="G3351">
        <v>-17</v>
      </c>
      <c r="H3351">
        <v>0</v>
      </c>
      <c r="J3351" s="1">
        <f t="shared" si="260"/>
        <v>26244</v>
      </c>
      <c r="K3351" s="1">
        <f t="shared" si="261"/>
        <v>289</v>
      </c>
      <c r="L3351" s="1">
        <f t="shared" si="262"/>
        <v>26533</v>
      </c>
      <c r="M3351" s="1">
        <f t="shared" si="263"/>
        <v>162.88953311984167</v>
      </c>
      <c r="N3351" s="7">
        <f t="shared" si="264"/>
        <v>162.88953311984167</v>
      </c>
    </row>
    <row r="3352" spans="1:14" x14ac:dyDescent="0.25">
      <c r="A3352" t="str">
        <f>"14:46:11.516"</f>
        <v>14:46:11.516</v>
      </c>
      <c r="B3352">
        <v>40.380893</v>
      </c>
      <c r="C3352">
        <v>-74.687612000000001</v>
      </c>
      <c r="D3352">
        <v>1600</v>
      </c>
      <c r="E3352">
        <v>1850</v>
      </c>
      <c r="F3352">
        <v>161</v>
      </c>
      <c r="G3352">
        <v>-17</v>
      </c>
      <c r="H3352">
        <v>0</v>
      </c>
      <c r="J3352" s="1">
        <f t="shared" si="260"/>
        <v>25921</v>
      </c>
      <c r="K3352" s="1">
        <f t="shared" si="261"/>
        <v>289</v>
      </c>
      <c r="L3352" s="1">
        <f t="shared" si="262"/>
        <v>26210</v>
      </c>
      <c r="M3352" s="1">
        <f t="shared" si="263"/>
        <v>161.89502771858065</v>
      </c>
      <c r="N3352" s="7">
        <f t="shared" si="264"/>
        <v>161.89502771858065</v>
      </c>
    </row>
    <row r="3353" spans="1:14" x14ac:dyDescent="0.25">
      <c r="A3353" t="str">
        <f>"14:46:12.578"</f>
        <v>14:46:12.578</v>
      </c>
      <c r="B3353">
        <v>40.380850000000002</v>
      </c>
      <c r="C3353">
        <v>-74.686645999999996</v>
      </c>
      <c r="D3353">
        <v>1600</v>
      </c>
      <c r="E3353">
        <v>1850</v>
      </c>
      <c r="F3353">
        <v>161</v>
      </c>
      <c r="G3353">
        <v>-17</v>
      </c>
      <c r="H3353">
        <v>64</v>
      </c>
      <c r="J3353" s="1">
        <f t="shared" si="260"/>
        <v>25921</v>
      </c>
      <c r="K3353" s="1">
        <f t="shared" si="261"/>
        <v>289</v>
      </c>
      <c r="L3353" s="1">
        <f t="shared" si="262"/>
        <v>26210</v>
      </c>
      <c r="M3353" s="1">
        <f t="shared" si="263"/>
        <v>161.89502771858065</v>
      </c>
      <c r="N3353" s="7">
        <f t="shared" si="264"/>
        <v>161.89502771858065</v>
      </c>
    </row>
    <row r="3354" spans="1:14" x14ac:dyDescent="0.25">
      <c r="A3354" t="str">
        <f>"14:46:13.484"</f>
        <v>14:46:13.484</v>
      </c>
      <c r="B3354">
        <v>40.380763999999999</v>
      </c>
      <c r="C3354">
        <v>-74.685810000000004</v>
      </c>
      <c r="D3354">
        <v>1600</v>
      </c>
      <c r="E3354">
        <v>1850</v>
      </c>
      <c r="F3354">
        <v>160</v>
      </c>
      <c r="G3354">
        <v>-17</v>
      </c>
      <c r="H3354">
        <v>128</v>
      </c>
      <c r="J3354" s="1">
        <f t="shared" si="260"/>
        <v>25600</v>
      </c>
      <c r="K3354" s="1">
        <f t="shared" si="261"/>
        <v>289</v>
      </c>
      <c r="L3354" s="1">
        <f t="shared" si="262"/>
        <v>25889</v>
      </c>
      <c r="M3354" s="1">
        <f t="shared" si="263"/>
        <v>160.90059042775448</v>
      </c>
      <c r="N3354" s="7">
        <f t="shared" si="264"/>
        <v>160.90059042775448</v>
      </c>
    </row>
    <row r="3355" spans="1:14" x14ac:dyDescent="0.25">
      <c r="A3355" t="str">
        <f>"14:46:14.398"</f>
        <v>14:46:14.398</v>
      </c>
      <c r="B3355">
        <v>40.380678000000003</v>
      </c>
      <c r="C3355">
        <v>-74.684800999999993</v>
      </c>
      <c r="D3355">
        <v>1600</v>
      </c>
      <c r="E3355">
        <v>1850</v>
      </c>
      <c r="F3355">
        <v>160</v>
      </c>
      <c r="G3355">
        <v>-17</v>
      </c>
      <c r="H3355">
        <v>192</v>
      </c>
      <c r="J3355" s="1">
        <f t="shared" si="260"/>
        <v>25600</v>
      </c>
      <c r="K3355" s="1">
        <f t="shared" si="261"/>
        <v>289</v>
      </c>
      <c r="L3355" s="1">
        <f t="shared" si="262"/>
        <v>25889</v>
      </c>
      <c r="M3355" s="1">
        <f t="shared" si="263"/>
        <v>160.90059042775448</v>
      </c>
      <c r="N3355" s="7">
        <f t="shared" si="264"/>
        <v>160.90059042775448</v>
      </c>
    </row>
    <row r="3356" spans="1:14" x14ac:dyDescent="0.25">
      <c r="A3356" t="str">
        <f>"14:46:15.508"</f>
        <v>14:46:15.508</v>
      </c>
      <c r="B3356">
        <v>40.380614000000001</v>
      </c>
      <c r="C3356">
        <v>-74.683878000000007</v>
      </c>
      <c r="D3356">
        <v>1600</v>
      </c>
      <c r="E3356">
        <v>1850</v>
      </c>
      <c r="F3356">
        <v>159</v>
      </c>
      <c r="G3356">
        <v>-17</v>
      </c>
      <c r="H3356">
        <v>256</v>
      </c>
      <c r="J3356" s="1">
        <f t="shared" si="260"/>
        <v>25281</v>
      </c>
      <c r="K3356" s="1">
        <f t="shared" si="261"/>
        <v>289</v>
      </c>
      <c r="L3356" s="1">
        <f t="shared" si="262"/>
        <v>25570</v>
      </c>
      <c r="M3356" s="1">
        <f t="shared" si="263"/>
        <v>159.90622251807463</v>
      </c>
      <c r="N3356" s="7">
        <f t="shared" si="264"/>
        <v>159.90622251807463</v>
      </c>
    </row>
    <row r="3357" spans="1:14" x14ac:dyDescent="0.25">
      <c r="A3357" t="str">
        <f>"14:46:16.313"</f>
        <v>14:46:16.313</v>
      </c>
      <c r="B3357">
        <v>40.380527999999998</v>
      </c>
      <c r="C3357">
        <v>-74.683042</v>
      </c>
      <c r="D3357">
        <v>1600</v>
      </c>
      <c r="E3357">
        <v>1850</v>
      </c>
      <c r="F3357">
        <v>158</v>
      </c>
      <c r="G3357">
        <v>-17</v>
      </c>
      <c r="H3357">
        <v>192</v>
      </c>
      <c r="J3357" s="1">
        <f t="shared" si="260"/>
        <v>24964</v>
      </c>
      <c r="K3357" s="1">
        <f t="shared" si="261"/>
        <v>289</v>
      </c>
      <c r="L3357" s="1">
        <f t="shared" si="262"/>
        <v>25253</v>
      </c>
      <c r="M3357" s="1">
        <f t="shared" si="263"/>
        <v>158.91192529196795</v>
      </c>
      <c r="N3357" s="7">
        <f t="shared" si="264"/>
        <v>158.91192529196795</v>
      </c>
    </row>
    <row r="3358" spans="1:14" x14ac:dyDescent="0.25">
      <c r="A3358" t="str">
        <f>"14:46:17.172"</f>
        <v>14:46:17.172</v>
      </c>
      <c r="B3358">
        <v>40.380485</v>
      </c>
      <c r="C3358">
        <v>-74.682248000000001</v>
      </c>
      <c r="D3358">
        <v>1600</v>
      </c>
      <c r="E3358">
        <v>1850</v>
      </c>
      <c r="F3358">
        <v>158</v>
      </c>
      <c r="G3358">
        <v>-17</v>
      </c>
      <c r="H3358">
        <v>128</v>
      </c>
      <c r="J3358" s="1">
        <f t="shared" si="260"/>
        <v>24964</v>
      </c>
      <c r="K3358" s="1">
        <f t="shared" si="261"/>
        <v>289</v>
      </c>
      <c r="L3358" s="1">
        <f t="shared" si="262"/>
        <v>25253</v>
      </c>
      <c r="M3358" s="1">
        <f t="shared" si="263"/>
        <v>158.91192529196795</v>
      </c>
      <c r="N3358" s="7">
        <f t="shared" si="264"/>
        <v>158.91192529196795</v>
      </c>
    </row>
    <row r="3359" spans="1:14" x14ac:dyDescent="0.25">
      <c r="A3359" t="str">
        <f>"14:46:18.836"</f>
        <v>14:46:18.836</v>
      </c>
      <c r="B3359">
        <v>40.380335000000002</v>
      </c>
      <c r="C3359">
        <v>-74.680616999999998</v>
      </c>
      <c r="D3359">
        <v>1600</v>
      </c>
      <c r="E3359">
        <v>1850</v>
      </c>
      <c r="F3359">
        <v>157</v>
      </c>
      <c r="G3359">
        <v>-17</v>
      </c>
      <c r="H3359">
        <v>64</v>
      </c>
      <c r="J3359" s="1">
        <f t="shared" si="260"/>
        <v>24649</v>
      </c>
      <c r="K3359" s="1">
        <f t="shared" si="261"/>
        <v>289</v>
      </c>
      <c r="L3359" s="1">
        <f t="shared" si="262"/>
        <v>24938</v>
      </c>
      <c r="M3359" s="1">
        <f t="shared" si="263"/>
        <v>157.91770008456936</v>
      </c>
      <c r="N3359" s="7">
        <f t="shared" si="264"/>
        <v>157.91770008456936</v>
      </c>
    </row>
    <row r="3360" spans="1:14" x14ac:dyDescent="0.25">
      <c r="A3360" t="str">
        <f>"14:46:19.898"</f>
        <v>14:46:19.898</v>
      </c>
      <c r="B3360">
        <v>40.380248999999999</v>
      </c>
      <c r="C3360">
        <v>-74.679693999999998</v>
      </c>
      <c r="D3360">
        <v>1600</v>
      </c>
      <c r="E3360">
        <v>1850</v>
      </c>
      <c r="F3360">
        <v>157</v>
      </c>
      <c r="G3360">
        <v>-17</v>
      </c>
      <c r="H3360">
        <v>64</v>
      </c>
      <c r="J3360" s="1">
        <f t="shared" si="260"/>
        <v>24649</v>
      </c>
      <c r="K3360" s="1">
        <f t="shared" si="261"/>
        <v>289</v>
      </c>
      <c r="L3360" s="1">
        <f t="shared" si="262"/>
        <v>24938</v>
      </c>
      <c r="M3360" s="1">
        <f t="shared" si="263"/>
        <v>157.91770008456936</v>
      </c>
      <c r="N3360" s="7">
        <f t="shared" si="264"/>
        <v>157.91770008456936</v>
      </c>
    </row>
    <row r="3361" spans="1:14" x14ac:dyDescent="0.25">
      <c r="A3361" t="str">
        <f>"14:46:20.906"</f>
        <v>14:46:20.906</v>
      </c>
      <c r="B3361">
        <v>40.380163000000003</v>
      </c>
      <c r="C3361">
        <v>-74.678749999999994</v>
      </c>
      <c r="D3361">
        <v>1600</v>
      </c>
      <c r="E3361">
        <v>1850</v>
      </c>
      <c r="F3361">
        <v>156</v>
      </c>
      <c r="G3361">
        <v>-17</v>
      </c>
      <c r="H3361">
        <v>0</v>
      </c>
      <c r="J3361" s="1">
        <f t="shared" si="260"/>
        <v>24336</v>
      </c>
      <c r="K3361" s="1">
        <f t="shared" si="261"/>
        <v>289</v>
      </c>
      <c r="L3361" s="1">
        <f t="shared" si="262"/>
        <v>24625</v>
      </c>
      <c r="M3361" s="1">
        <f t="shared" si="263"/>
        <v>156.92354826475216</v>
      </c>
      <c r="N3361" s="7">
        <f t="shared" si="264"/>
        <v>156.92354826475216</v>
      </c>
    </row>
    <row r="3362" spans="1:14" x14ac:dyDescent="0.25">
      <c r="A3362" t="str">
        <f>"14:46:21.969"</f>
        <v>14:46:21.969</v>
      </c>
      <c r="B3362">
        <v>40.380119999999998</v>
      </c>
      <c r="C3362">
        <v>-74.677741999999995</v>
      </c>
      <c r="D3362">
        <v>1600</v>
      </c>
      <c r="E3362">
        <v>1850</v>
      </c>
      <c r="F3362">
        <v>156</v>
      </c>
      <c r="G3362">
        <v>-17</v>
      </c>
      <c r="H3362">
        <v>-64</v>
      </c>
      <c r="J3362" s="1">
        <f t="shared" si="260"/>
        <v>24336</v>
      </c>
      <c r="K3362" s="1">
        <f t="shared" si="261"/>
        <v>289</v>
      </c>
      <c r="L3362" s="1">
        <f t="shared" si="262"/>
        <v>24625</v>
      </c>
      <c r="M3362" s="1">
        <f t="shared" si="263"/>
        <v>156.92354826475216</v>
      </c>
      <c r="N3362" s="7">
        <f t="shared" si="264"/>
        <v>156.92354826475216</v>
      </c>
    </row>
    <row r="3363" spans="1:14" x14ac:dyDescent="0.25">
      <c r="A3363" t="str">
        <f>"14:46:22.875"</f>
        <v>14:46:22.875</v>
      </c>
      <c r="B3363">
        <v>40.380012999999998</v>
      </c>
      <c r="C3363">
        <v>-74.676883000000004</v>
      </c>
      <c r="D3363">
        <v>1600</v>
      </c>
      <c r="E3363">
        <v>1850</v>
      </c>
      <c r="F3363">
        <v>156</v>
      </c>
      <c r="G3363">
        <v>-17</v>
      </c>
      <c r="H3363">
        <v>0</v>
      </c>
      <c r="J3363" s="1">
        <f t="shared" si="260"/>
        <v>24336</v>
      </c>
      <c r="K3363" s="1">
        <f t="shared" si="261"/>
        <v>289</v>
      </c>
      <c r="L3363" s="1">
        <f t="shared" si="262"/>
        <v>24625</v>
      </c>
      <c r="M3363" s="1">
        <f t="shared" si="263"/>
        <v>156.92354826475216</v>
      </c>
      <c r="N3363" s="7">
        <f t="shared" si="264"/>
        <v>156.92354826475216</v>
      </c>
    </row>
    <row r="3364" spans="1:14" x14ac:dyDescent="0.25">
      <c r="A3364" t="str">
        <f>"14:46:23.891"</f>
        <v>14:46:23.891</v>
      </c>
      <c r="B3364">
        <v>40.379927000000002</v>
      </c>
      <c r="C3364">
        <v>-74.675939</v>
      </c>
      <c r="D3364">
        <v>1600</v>
      </c>
      <c r="E3364">
        <v>1850</v>
      </c>
      <c r="F3364">
        <v>155</v>
      </c>
      <c r="G3364">
        <v>-17</v>
      </c>
      <c r="H3364">
        <v>0</v>
      </c>
      <c r="J3364" s="1">
        <f t="shared" si="260"/>
        <v>24025</v>
      </c>
      <c r="K3364" s="1">
        <f t="shared" si="261"/>
        <v>289</v>
      </c>
      <c r="L3364" s="1">
        <f t="shared" si="262"/>
        <v>24314</v>
      </c>
      <c r="M3364" s="1">
        <f t="shared" si="263"/>
        <v>155.92947123619703</v>
      </c>
      <c r="N3364" s="7">
        <f t="shared" si="264"/>
        <v>155.92947123619703</v>
      </c>
    </row>
    <row r="3365" spans="1:14" x14ac:dyDescent="0.25">
      <c r="A3365" t="str">
        <f>"14:46:24.898"</f>
        <v>14:46:24.898</v>
      </c>
      <c r="B3365">
        <v>40.379883999999997</v>
      </c>
      <c r="C3365">
        <v>-74.675015999999999</v>
      </c>
      <c r="D3365">
        <v>1600</v>
      </c>
      <c r="E3365">
        <v>1850</v>
      </c>
      <c r="F3365">
        <v>155</v>
      </c>
      <c r="G3365">
        <v>-17</v>
      </c>
      <c r="H3365">
        <v>-64</v>
      </c>
      <c r="J3365" s="1">
        <f t="shared" si="260"/>
        <v>24025</v>
      </c>
      <c r="K3365" s="1">
        <f t="shared" si="261"/>
        <v>289</v>
      </c>
      <c r="L3365" s="1">
        <f t="shared" si="262"/>
        <v>24314</v>
      </c>
      <c r="M3365" s="1">
        <f t="shared" si="263"/>
        <v>155.92947123619703</v>
      </c>
      <c r="N3365" s="7">
        <f t="shared" si="264"/>
        <v>155.92947123619703</v>
      </c>
    </row>
    <row r="3366" spans="1:14" x14ac:dyDescent="0.25">
      <c r="A3366" t="str">
        <f>"14:46:26.008"</f>
        <v>14:46:26.008</v>
      </c>
      <c r="B3366">
        <v>40.379798000000001</v>
      </c>
      <c r="C3366">
        <v>-74.673944000000006</v>
      </c>
      <c r="D3366">
        <v>1600</v>
      </c>
      <c r="E3366">
        <v>1850</v>
      </c>
      <c r="F3366">
        <v>155</v>
      </c>
      <c r="G3366">
        <v>-16</v>
      </c>
      <c r="H3366">
        <v>0</v>
      </c>
      <c r="J3366" s="1">
        <f t="shared" si="260"/>
        <v>24025</v>
      </c>
      <c r="K3366" s="1">
        <f t="shared" si="261"/>
        <v>256</v>
      </c>
      <c r="L3366" s="1">
        <f t="shared" si="262"/>
        <v>24281</v>
      </c>
      <c r="M3366" s="1">
        <f t="shared" si="263"/>
        <v>155.82361823549087</v>
      </c>
      <c r="N3366" s="7">
        <f t="shared" si="264"/>
        <v>155.82361823549087</v>
      </c>
    </row>
    <row r="3367" spans="1:14" x14ac:dyDescent="0.25">
      <c r="A3367" t="str">
        <f>"14:46:26.867"</f>
        <v>14:46:26.867</v>
      </c>
      <c r="B3367">
        <v>40.379733999999999</v>
      </c>
      <c r="C3367">
        <v>-74.673128000000005</v>
      </c>
      <c r="D3367">
        <v>1600</v>
      </c>
      <c r="E3367">
        <v>1850</v>
      </c>
      <c r="F3367">
        <v>154</v>
      </c>
      <c r="G3367">
        <v>-16</v>
      </c>
      <c r="H3367">
        <v>0</v>
      </c>
      <c r="J3367" s="1">
        <f t="shared" si="260"/>
        <v>23716</v>
      </c>
      <c r="K3367" s="1">
        <f t="shared" si="261"/>
        <v>256</v>
      </c>
      <c r="L3367" s="1">
        <f t="shared" si="262"/>
        <v>23972</v>
      </c>
      <c r="M3367" s="1">
        <f t="shared" si="263"/>
        <v>154.82893786369524</v>
      </c>
      <c r="N3367" s="7">
        <f t="shared" si="264"/>
        <v>154.82893786369524</v>
      </c>
    </row>
    <row r="3368" spans="1:14" x14ac:dyDescent="0.25">
      <c r="A3368" t="str">
        <f>"14:46:27.977"</f>
        <v>14:46:27.977</v>
      </c>
      <c r="B3368">
        <v>40.379648000000003</v>
      </c>
      <c r="C3368">
        <v>-74.672055</v>
      </c>
      <c r="D3368">
        <v>1600</v>
      </c>
      <c r="E3368">
        <v>1850</v>
      </c>
      <c r="F3368">
        <v>154</v>
      </c>
      <c r="G3368">
        <v>-16</v>
      </c>
      <c r="H3368">
        <v>-64</v>
      </c>
      <c r="J3368" s="1">
        <f t="shared" si="260"/>
        <v>23716</v>
      </c>
      <c r="K3368" s="1">
        <f t="shared" si="261"/>
        <v>256</v>
      </c>
      <c r="L3368" s="1">
        <f t="shared" si="262"/>
        <v>23972</v>
      </c>
      <c r="M3368" s="1">
        <f t="shared" si="263"/>
        <v>154.82893786369524</v>
      </c>
      <c r="N3368" s="7">
        <f t="shared" si="264"/>
        <v>154.82893786369524</v>
      </c>
    </row>
    <row r="3369" spans="1:14" x14ac:dyDescent="0.25">
      <c r="A3369" t="str">
        <f>"14:46:28.984"</f>
        <v>14:46:28.984</v>
      </c>
      <c r="B3369">
        <v>40.379562</v>
      </c>
      <c r="C3369">
        <v>-74.671132999999998</v>
      </c>
      <c r="D3369">
        <v>1600</v>
      </c>
      <c r="E3369">
        <v>1850</v>
      </c>
      <c r="F3369">
        <v>154</v>
      </c>
      <c r="G3369">
        <v>-16</v>
      </c>
      <c r="H3369">
        <v>-64</v>
      </c>
      <c r="J3369" s="1">
        <f t="shared" si="260"/>
        <v>23716</v>
      </c>
      <c r="K3369" s="1">
        <f t="shared" si="261"/>
        <v>256</v>
      </c>
      <c r="L3369" s="1">
        <f t="shared" si="262"/>
        <v>23972</v>
      </c>
      <c r="M3369" s="1">
        <f t="shared" si="263"/>
        <v>154.82893786369524</v>
      </c>
      <c r="N3369" s="7">
        <f t="shared" si="264"/>
        <v>154.82893786369524</v>
      </c>
    </row>
    <row r="3370" spans="1:14" x14ac:dyDescent="0.25">
      <c r="A3370" t="str">
        <f>"14:46:30.148"</f>
        <v>14:46:30.148</v>
      </c>
      <c r="B3370">
        <v>40.379477000000001</v>
      </c>
      <c r="C3370">
        <v>-74.670038000000005</v>
      </c>
      <c r="D3370">
        <v>1600</v>
      </c>
      <c r="E3370">
        <v>1850</v>
      </c>
      <c r="F3370">
        <v>153</v>
      </c>
      <c r="G3370">
        <v>-16</v>
      </c>
      <c r="H3370">
        <v>-64</v>
      </c>
      <c r="J3370" s="1">
        <f t="shared" si="260"/>
        <v>23409</v>
      </c>
      <c r="K3370" s="1">
        <f t="shared" si="261"/>
        <v>256</v>
      </c>
      <c r="L3370" s="1">
        <f t="shared" si="262"/>
        <v>23665</v>
      </c>
      <c r="M3370" s="1">
        <f t="shared" si="263"/>
        <v>153.83432646844463</v>
      </c>
      <c r="N3370" s="7">
        <f t="shared" si="264"/>
        <v>153.83432646844463</v>
      </c>
    </row>
    <row r="3371" spans="1:14" x14ac:dyDescent="0.25">
      <c r="A3371" t="str">
        <f>"14:46:31.156"</f>
        <v>14:46:31.156</v>
      </c>
      <c r="B3371">
        <v>40.379434000000003</v>
      </c>
      <c r="C3371">
        <v>-74.669137000000006</v>
      </c>
      <c r="D3371">
        <v>1600</v>
      </c>
      <c r="E3371">
        <v>1850</v>
      </c>
      <c r="F3371">
        <v>153</v>
      </c>
      <c r="G3371">
        <v>-16</v>
      </c>
      <c r="H3371">
        <v>-128</v>
      </c>
      <c r="J3371" s="1">
        <f t="shared" si="260"/>
        <v>23409</v>
      </c>
      <c r="K3371" s="1">
        <f t="shared" si="261"/>
        <v>256</v>
      </c>
      <c r="L3371" s="1">
        <f t="shared" si="262"/>
        <v>23665</v>
      </c>
      <c r="M3371" s="1">
        <f t="shared" si="263"/>
        <v>153.83432646844463</v>
      </c>
      <c r="N3371" s="7">
        <f t="shared" si="264"/>
        <v>153.83432646844463</v>
      </c>
    </row>
    <row r="3372" spans="1:14" x14ac:dyDescent="0.25">
      <c r="A3372" t="str">
        <f>"14:46:32.320"</f>
        <v>14:46:32.320</v>
      </c>
      <c r="B3372">
        <v>40.379325999999999</v>
      </c>
      <c r="C3372">
        <v>-74.668020999999996</v>
      </c>
      <c r="D3372">
        <v>1600</v>
      </c>
      <c r="E3372">
        <v>1850</v>
      </c>
      <c r="F3372">
        <v>153</v>
      </c>
      <c r="G3372">
        <v>-16</v>
      </c>
      <c r="H3372">
        <v>-128</v>
      </c>
      <c r="J3372" s="1">
        <f t="shared" si="260"/>
        <v>23409</v>
      </c>
      <c r="K3372" s="1">
        <f t="shared" si="261"/>
        <v>256</v>
      </c>
      <c r="L3372" s="1">
        <f t="shared" si="262"/>
        <v>23665</v>
      </c>
      <c r="M3372" s="1">
        <f t="shared" si="263"/>
        <v>153.83432646844463</v>
      </c>
      <c r="N3372" s="7">
        <f t="shared" si="264"/>
        <v>153.83432646844463</v>
      </c>
    </row>
    <row r="3373" spans="1:14" x14ac:dyDescent="0.25">
      <c r="A3373" t="str">
        <f>"14:46:33.430"</f>
        <v>14:46:33.430</v>
      </c>
      <c r="B3373">
        <v>40.379218999999999</v>
      </c>
      <c r="C3373">
        <v>-74.666948000000005</v>
      </c>
      <c r="D3373">
        <v>1600</v>
      </c>
      <c r="E3373">
        <v>1850</v>
      </c>
      <c r="F3373">
        <v>152</v>
      </c>
      <c r="G3373">
        <v>-16</v>
      </c>
      <c r="H3373">
        <v>-64</v>
      </c>
      <c r="J3373" s="1">
        <f t="shared" si="260"/>
        <v>23104</v>
      </c>
      <c r="K3373" s="1">
        <f t="shared" si="261"/>
        <v>256</v>
      </c>
      <c r="L3373" s="1">
        <f t="shared" si="262"/>
        <v>23360</v>
      </c>
      <c r="M3373" s="1">
        <f t="shared" si="263"/>
        <v>152.83978539634239</v>
      </c>
      <c r="N3373" s="7">
        <f t="shared" si="264"/>
        <v>152.83978539634239</v>
      </c>
    </row>
    <row r="3374" spans="1:14" x14ac:dyDescent="0.25">
      <c r="A3374" t="str">
        <f>"14:46:34.336"</f>
        <v>14:46:34.336</v>
      </c>
      <c r="B3374">
        <v>40.379198000000002</v>
      </c>
      <c r="C3374">
        <v>-74.666196999999997</v>
      </c>
      <c r="D3374">
        <v>1600</v>
      </c>
      <c r="E3374">
        <v>1850</v>
      </c>
      <c r="F3374">
        <v>152</v>
      </c>
      <c r="G3374">
        <v>-15</v>
      </c>
      <c r="H3374">
        <v>0</v>
      </c>
      <c r="J3374" s="1">
        <f t="shared" si="260"/>
        <v>23104</v>
      </c>
      <c r="K3374" s="1">
        <f t="shared" si="261"/>
        <v>225</v>
      </c>
      <c r="L3374" s="1">
        <f t="shared" si="262"/>
        <v>23329</v>
      </c>
      <c r="M3374" s="1">
        <f t="shared" si="263"/>
        <v>152.73833834371774</v>
      </c>
      <c r="N3374" s="7">
        <f t="shared" si="264"/>
        <v>152.73833834371774</v>
      </c>
    </row>
    <row r="3375" spans="1:14" x14ac:dyDescent="0.25">
      <c r="A3375" t="str">
        <f>"14:46:35.352"</f>
        <v>14:46:35.352</v>
      </c>
      <c r="B3375">
        <v>40.379111999999999</v>
      </c>
      <c r="C3375">
        <v>-74.665274999999994</v>
      </c>
      <c r="D3375">
        <v>1600</v>
      </c>
      <c r="E3375">
        <v>1850</v>
      </c>
      <c r="F3375">
        <v>151</v>
      </c>
      <c r="G3375">
        <v>-15</v>
      </c>
      <c r="H3375">
        <v>128</v>
      </c>
      <c r="J3375" s="1">
        <f t="shared" si="260"/>
        <v>22801</v>
      </c>
      <c r="K3375" s="1">
        <f t="shared" si="261"/>
        <v>225</v>
      </c>
      <c r="L3375" s="1">
        <f t="shared" si="262"/>
        <v>23026</v>
      </c>
      <c r="M3375" s="1">
        <f t="shared" si="263"/>
        <v>151.74320413119</v>
      </c>
      <c r="N3375" s="7">
        <f t="shared" si="264"/>
        <v>151.74320413119</v>
      </c>
    </row>
    <row r="3376" spans="1:14" x14ac:dyDescent="0.25">
      <c r="A3376" t="str">
        <f>"14:46:36.211"</f>
        <v>14:46:36.211</v>
      </c>
      <c r="B3376">
        <v>40.379069000000001</v>
      </c>
      <c r="C3376">
        <v>-74.664545000000004</v>
      </c>
      <c r="D3376">
        <v>1600</v>
      </c>
      <c r="E3376">
        <v>1850</v>
      </c>
      <c r="F3376">
        <v>151</v>
      </c>
      <c r="G3376">
        <v>-15</v>
      </c>
      <c r="H3376">
        <v>256</v>
      </c>
      <c r="J3376" s="1">
        <f t="shared" si="260"/>
        <v>22801</v>
      </c>
      <c r="K3376" s="1">
        <f t="shared" si="261"/>
        <v>225</v>
      </c>
      <c r="L3376" s="1">
        <f t="shared" si="262"/>
        <v>23026</v>
      </c>
      <c r="M3376" s="1">
        <f t="shared" si="263"/>
        <v>151.74320413119</v>
      </c>
      <c r="N3376" s="7">
        <f t="shared" si="264"/>
        <v>151.74320413119</v>
      </c>
    </row>
    <row r="3377" spans="1:14" x14ac:dyDescent="0.25">
      <c r="A3377" t="str">
        <f>"14:46:37.219"</f>
        <v>14:46:37.219</v>
      </c>
      <c r="B3377">
        <v>40.378982999999998</v>
      </c>
      <c r="C3377">
        <v>-74.663515000000004</v>
      </c>
      <c r="D3377">
        <v>1600</v>
      </c>
      <c r="E3377">
        <v>1850</v>
      </c>
      <c r="F3377">
        <v>150</v>
      </c>
      <c r="G3377">
        <v>-15</v>
      </c>
      <c r="H3377">
        <v>256</v>
      </c>
      <c r="J3377" s="1">
        <f t="shared" si="260"/>
        <v>22500</v>
      </c>
      <c r="K3377" s="1">
        <f t="shared" si="261"/>
        <v>225</v>
      </c>
      <c r="L3377" s="1">
        <f t="shared" si="262"/>
        <v>22725</v>
      </c>
      <c r="M3377" s="1">
        <f t="shared" si="263"/>
        <v>150.74813431681335</v>
      </c>
      <c r="N3377" s="7">
        <f t="shared" si="264"/>
        <v>150.74813431681335</v>
      </c>
    </row>
    <row r="3378" spans="1:14" x14ac:dyDescent="0.25">
      <c r="A3378" t="str">
        <f>"14:46:38.180"</f>
        <v>14:46:38.180</v>
      </c>
      <c r="B3378">
        <v>40.378919000000003</v>
      </c>
      <c r="C3378">
        <v>-74.662721000000005</v>
      </c>
      <c r="D3378">
        <v>1600</v>
      </c>
      <c r="E3378">
        <v>1850</v>
      </c>
      <c r="F3378">
        <v>150</v>
      </c>
      <c r="G3378">
        <v>-14</v>
      </c>
      <c r="H3378">
        <v>320</v>
      </c>
      <c r="J3378" s="1">
        <f t="shared" si="260"/>
        <v>22500</v>
      </c>
      <c r="K3378" s="1">
        <f t="shared" si="261"/>
        <v>196</v>
      </c>
      <c r="L3378" s="1">
        <f t="shared" si="262"/>
        <v>22696</v>
      </c>
      <c r="M3378" s="1">
        <f t="shared" si="263"/>
        <v>150.65191668213185</v>
      </c>
      <c r="N3378" s="7">
        <f t="shared" si="264"/>
        <v>150.65191668213185</v>
      </c>
    </row>
    <row r="3379" spans="1:14" x14ac:dyDescent="0.25">
      <c r="A3379" t="str">
        <f>"14:46:39.188"</f>
        <v>14:46:39.188</v>
      </c>
      <c r="B3379">
        <v>40.378853999999997</v>
      </c>
      <c r="C3379">
        <v>-74.661713000000006</v>
      </c>
      <c r="D3379">
        <v>1700</v>
      </c>
      <c r="E3379">
        <v>1875</v>
      </c>
      <c r="F3379">
        <v>149</v>
      </c>
      <c r="G3379">
        <v>-14</v>
      </c>
      <c r="H3379">
        <v>256</v>
      </c>
      <c r="J3379" s="1">
        <f t="shared" si="260"/>
        <v>22201</v>
      </c>
      <c r="K3379" s="1">
        <f t="shared" si="261"/>
        <v>196</v>
      </c>
      <c r="L3379" s="1">
        <f t="shared" si="262"/>
        <v>22397</v>
      </c>
      <c r="M3379" s="1">
        <f t="shared" si="263"/>
        <v>149.6562728387955</v>
      </c>
      <c r="N3379" s="7">
        <f t="shared" si="264"/>
        <v>149.6562728387955</v>
      </c>
    </row>
    <row r="3380" spans="1:14" x14ac:dyDescent="0.25">
      <c r="A3380" t="str">
        <f>"14:46:40.297"</f>
        <v>14:46:40.297</v>
      </c>
      <c r="B3380">
        <v>40.378810999999999</v>
      </c>
      <c r="C3380">
        <v>-74.660832999999997</v>
      </c>
      <c r="D3380">
        <v>1700</v>
      </c>
      <c r="E3380">
        <v>1875</v>
      </c>
      <c r="F3380">
        <v>149</v>
      </c>
      <c r="G3380">
        <v>-14</v>
      </c>
      <c r="H3380">
        <v>192</v>
      </c>
      <c r="J3380" s="1">
        <f t="shared" si="260"/>
        <v>22201</v>
      </c>
      <c r="K3380" s="1">
        <f t="shared" si="261"/>
        <v>196</v>
      </c>
      <c r="L3380" s="1">
        <f t="shared" si="262"/>
        <v>22397</v>
      </c>
      <c r="M3380" s="1">
        <f t="shared" si="263"/>
        <v>149.6562728387955</v>
      </c>
      <c r="N3380" s="7">
        <f t="shared" si="264"/>
        <v>149.6562728387955</v>
      </c>
    </row>
    <row r="3381" spans="1:14" x14ac:dyDescent="0.25">
      <c r="A3381" t="str">
        <f>"14:46:41.305"</f>
        <v>14:46:41.305</v>
      </c>
      <c r="B3381">
        <v>40.378683000000002</v>
      </c>
      <c r="C3381">
        <v>-74.659846000000002</v>
      </c>
      <c r="D3381">
        <v>1700</v>
      </c>
      <c r="E3381">
        <v>1875</v>
      </c>
      <c r="F3381">
        <v>148</v>
      </c>
      <c r="G3381">
        <v>-13</v>
      </c>
      <c r="H3381">
        <v>64</v>
      </c>
      <c r="J3381" s="1">
        <f t="shared" si="260"/>
        <v>21904</v>
      </c>
      <c r="K3381" s="1">
        <f t="shared" si="261"/>
        <v>169</v>
      </c>
      <c r="L3381" s="1">
        <f t="shared" si="262"/>
        <v>22073</v>
      </c>
      <c r="M3381" s="1">
        <f t="shared" si="263"/>
        <v>148.56984889270097</v>
      </c>
      <c r="N3381" s="7">
        <f t="shared" si="264"/>
        <v>148.56984889270097</v>
      </c>
    </row>
    <row r="3382" spans="1:14" x14ac:dyDescent="0.25">
      <c r="A3382" t="str">
        <f>"14:46:42.266"</f>
        <v>14:46:42.266</v>
      </c>
      <c r="B3382">
        <v>40.378661000000001</v>
      </c>
      <c r="C3382">
        <v>-74.659030000000001</v>
      </c>
      <c r="D3382">
        <v>1700</v>
      </c>
      <c r="E3382">
        <v>1875</v>
      </c>
      <c r="F3382">
        <v>148</v>
      </c>
      <c r="G3382">
        <v>-14</v>
      </c>
      <c r="H3382">
        <v>0</v>
      </c>
      <c r="J3382" s="1">
        <f t="shared" si="260"/>
        <v>21904</v>
      </c>
      <c r="K3382" s="1">
        <f t="shared" si="261"/>
        <v>196</v>
      </c>
      <c r="L3382" s="1">
        <f t="shared" si="262"/>
        <v>22100</v>
      </c>
      <c r="M3382" s="1">
        <f t="shared" si="263"/>
        <v>148.66068747318505</v>
      </c>
      <c r="N3382" s="7">
        <f t="shared" si="264"/>
        <v>148.66068747318505</v>
      </c>
    </row>
    <row r="3383" spans="1:14" x14ac:dyDescent="0.25">
      <c r="A3383" t="str">
        <f>"14:46:43.328"</f>
        <v>14:46:43.328</v>
      </c>
      <c r="B3383">
        <v>40.378596999999999</v>
      </c>
      <c r="C3383">
        <v>-74.658022000000003</v>
      </c>
      <c r="D3383">
        <v>1700</v>
      </c>
      <c r="E3383">
        <v>1875</v>
      </c>
      <c r="F3383">
        <v>148</v>
      </c>
      <c r="G3383">
        <v>-14</v>
      </c>
      <c r="H3383">
        <v>-64</v>
      </c>
      <c r="J3383" s="1">
        <f t="shared" si="260"/>
        <v>21904</v>
      </c>
      <c r="K3383" s="1">
        <f t="shared" si="261"/>
        <v>196</v>
      </c>
      <c r="L3383" s="1">
        <f t="shared" si="262"/>
        <v>22100</v>
      </c>
      <c r="M3383" s="1">
        <f t="shared" si="263"/>
        <v>148.66068747318505</v>
      </c>
      <c r="N3383" s="7">
        <f t="shared" si="264"/>
        <v>148.66068747318505</v>
      </c>
    </row>
    <row r="3384" spans="1:14" x14ac:dyDescent="0.25">
      <c r="A3384" t="str">
        <f>"14:46:44.492"</f>
        <v>14:46:44.492</v>
      </c>
      <c r="B3384">
        <v>40.378532</v>
      </c>
      <c r="C3384">
        <v>-74.657034999999993</v>
      </c>
      <c r="D3384">
        <v>1700</v>
      </c>
      <c r="E3384">
        <v>1875</v>
      </c>
      <c r="F3384">
        <v>147</v>
      </c>
      <c r="G3384">
        <v>-14</v>
      </c>
      <c r="H3384">
        <v>-128</v>
      </c>
      <c r="J3384" s="1">
        <f t="shared" si="260"/>
        <v>21609</v>
      </c>
      <c r="K3384" s="1">
        <f t="shared" si="261"/>
        <v>196</v>
      </c>
      <c r="L3384" s="1">
        <f t="shared" si="262"/>
        <v>21805</v>
      </c>
      <c r="M3384" s="1">
        <f t="shared" si="263"/>
        <v>147.66516176810291</v>
      </c>
      <c r="N3384" s="7">
        <f t="shared" si="264"/>
        <v>147.66516176810291</v>
      </c>
    </row>
    <row r="3385" spans="1:14" x14ac:dyDescent="0.25">
      <c r="A3385" t="str">
        <f>"14:46:45.445"</f>
        <v>14:46:45.445</v>
      </c>
      <c r="B3385">
        <v>40.378425</v>
      </c>
      <c r="C3385">
        <v>-74.656154999999998</v>
      </c>
      <c r="D3385">
        <v>1700</v>
      </c>
      <c r="E3385">
        <v>1875</v>
      </c>
      <c r="F3385">
        <v>147</v>
      </c>
      <c r="G3385">
        <v>-15</v>
      </c>
      <c r="H3385">
        <v>-192</v>
      </c>
      <c r="J3385" s="1">
        <f t="shared" si="260"/>
        <v>21609</v>
      </c>
      <c r="K3385" s="1">
        <f t="shared" si="261"/>
        <v>225</v>
      </c>
      <c r="L3385" s="1">
        <f t="shared" si="262"/>
        <v>21834</v>
      </c>
      <c r="M3385" s="1">
        <f t="shared" si="263"/>
        <v>147.76332427229701</v>
      </c>
      <c r="N3385" s="7">
        <f t="shared" si="264"/>
        <v>147.76332427229701</v>
      </c>
    </row>
    <row r="3386" spans="1:14" x14ac:dyDescent="0.25">
      <c r="A3386" t="str">
        <f>"14:46:46.609"</f>
        <v>14:46:46.609</v>
      </c>
      <c r="B3386">
        <v>40.378382000000002</v>
      </c>
      <c r="C3386">
        <v>-74.655146999999999</v>
      </c>
      <c r="D3386">
        <v>1700</v>
      </c>
      <c r="E3386">
        <v>1875</v>
      </c>
      <c r="F3386">
        <v>147</v>
      </c>
      <c r="G3386">
        <v>-15</v>
      </c>
      <c r="H3386">
        <v>-192</v>
      </c>
      <c r="J3386" s="1">
        <f t="shared" si="260"/>
        <v>21609</v>
      </c>
      <c r="K3386" s="1">
        <f t="shared" si="261"/>
        <v>225</v>
      </c>
      <c r="L3386" s="1">
        <f t="shared" si="262"/>
        <v>21834</v>
      </c>
      <c r="M3386" s="1">
        <f t="shared" si="263"/>
        <v>147.76332427229701</v>
      </c>
      <c r="N3386" s="7">
        <f t="shared" si="264"/>
        <v>147.76332427229701</v>
      </c>
    </row>
    <row r="3387" spans="1:14" x14ac:dyDescent="0.25">
      <c r="A3387" t="str">
        <f>"14:46:47.563"</f>
        <v>14:46:47.563</v>
      </c>
      <c r="B3387">
        <v>40.378275000000002</v>
      </c>
      <c r="C3387">
        <v>-74.654287999999994</v>
      </c>
      <c r="D3387">
        <v>1700</v>
      </c>
      <c r="E3387">
        <v>1875</v>
      </c>
      <c r="F3387">
        <v>147</v>
      </c>
      <c r="G3387">
        <v>-15</v>
      </c>
      <c r="H3387">
        <v>-128</v>
      </c>
      <c r="J3387" s="1">
        <f t="shared" si="260"/>
        <v>21609</v>
      </c>
      <c r="K3387" s="1">
        <f t="shared" si="261"/>
        <v>225</v>
      </c>
      <c r="L3387" s="1">
        <f t="shared" si="262"/>
        <v>21834</v>
      </c>
      <c r="M3387" s="1">
        <f t="shared" si="263"/>
        <v>147.76332427229701</v>
      </c>
      <c r="N3387" s="7">
        <f t="shared" si="264"/>
        <v>147.76332427229701</v>
      </c>
    </row>
    <row r="3388" spans="1:14" x14ac:dyDescent="0.25">
      <c r="A3388" t="str">
        <f>"14:46:48.422"</f>
        <v>14:46:48.422</v>
      </c>
      <c r="B3388">
        <v>40.378253000000001</v>
      </c>
      <c r="C3388">
        <v>-74.653473000000005</v>
      </c>
      <c r="D3388">
        <v>1700</v>
      </c>
      <c r="E3388">
        <v>1850</v>
      </c>
      <c r="F3388">
        <v>147</v>
      </c>
      <c r="G3388">
        <v>-15</v>
      </c>
      <c r="H3388">
        <v>-64</v>
      </c>
      <c r="J3388" s="1">
        <f t="shared" si="260"/>
        <v>21609</v>
      </c>
      <c r="K3388" s="1">
        <f t="shared" si="261"/>
        <v>225</v>
      </c>
      <c r="L3388" s="1">
        <f t="shared" si="262"/>
        <v>21834</v>
      </c>
      <c r="M3388" s="1">
        <f t="shared" si="263"/>
        <v>147.76332427229701</v>
      </c>
      <c r="N3388" s="7">
        <f t="shared" si="264"/>
        <v>147.76332427229701</v>
      </c>
    </row>
    <row r="3389" spans="1:14" x14ac:dyDescent="0.25">
      <c r="A3389" t="str">
        <f>"14:46:49.383"</f>
        <v>14:46:49.383</v>
      </c>
      <c r="B3389">
        <v>40.378188999999999</v>
      </c>
      <c r="C3389">
        <v>-74.652699999999996</v>
      </c>
      <c r="D3389">
        <v>1700</v>
      </c>
      <c r="E3389">
        <v>1850</v>
      </c>
      <c r="F3389">
        <v>147</v>
      </c>
      <c r="G3389">
        <v>-15</v>
      </c>
      <c r="H3389">
        <v>-64</v>
      </c>
      <c r="J3389" s="1">
        <f t="shared" si="260"/>
        <v>21609</v>
      </c>
      <c r="K3389" s="1">
        <f t="shared" si="261"/>
        <v>225</v>
      </c>
      <c r="L3389" s="1">
        <f t="shared" si="262"/>
        <v>21834</v>
      </c>
      <c r="M3389" s="1">
        <f t="shared" si="263"/>
        <v>147.76332427229701</v>
      </c>
      <c r="N3389" s="7">
        <f t="shared" si="264"/>
        <v>147.76332427229701</v>
      </c>
    </row>
    <row r="3390" spans="1:14" x14ac:dyDescent="0.25">
      <c r="A3390" t="str">
        <f>"14:46:50.391"</f>
        <v>14:46:50.391</v>
      </c>
      <c r="B3390">
        <v>40.378103000000003</v>
      </c>
      <c r="C3390">
        <v>-74.651798999999997</v>
      </c>
      <c r="D3390">
        <v>1700</v>
      </c>
      <c r="E3390">
        <v>1850</v>
      </c>
      <c r="F3390">
        <v>147</v>
      </c>
      <c r="G3390">
        <v>-15</v>
      </c>
      <c r="H3390">
        <v>-64</v>
      </c>
      <c r="J3390" s="1">
        <f t="shared" si="260"/>
        <v>21609</v>
      </c>
      <c r="K3390" s="1">
        <f t="shared" si="261"/>
        <v>225</v>
      </c>
      <c r="L3390" s="1">
        <f t="shared" si="262"/>
        <v>21834</v>
      </c>
      <c r="M3390" s="1">
        <f t="shared" si="263"/>
        <v>147.76332427229701</v>
      </c>
      <c r="N3390" s="7">
        <f t="shared" si="264"/>
        <v>147.76332427229701</v>
      </c>
    </row>
    <row r="3391" spans="1:14" x14ac:dyDescent="0.25">
      <c r="A3391" t="str">
        <f>"14:46:51.352"</f>
        <v>14:46:51.352</v>
      </c>
      <c r="B3391">
        <v>40.378059999999998</v>
      </c>
      <c r="C3391">
        <v>-74.650941000000003</v>
      </c>
      <c r="D3391">
        <v>1700</v>
      </c>
      <c r="E3391">
        <v>1850</v>
      </c>
      <c r="F3391">
        <v>146</v>
      </c>
      <c r="G3391">
        <v>-15</v>
      </c>
      <c r="H3391">
        <v>0</v>
      </c>
      <c r="J3391" s="1">
        <f t="shared" si="260"/>
        <v>21316</v>
      </c>
      <c r="K3391" s="1">
        <f t="shared" si="261"/>
        <v>225</v>
      </c>
      <c r="L3391" s="1">
        <f t="shared" si="262"/>
        <v>21541</v>
      </c>
      <c r="M3391" s="1">
        <f t="shared" si="263"/>
        <v>146.76852523616907</v>
      </c>
      <c r="N3391" s="7">
        <f t="shared" si="264"/>
        <v>146.76852523616907</v>
      </c>
    </row>
    <row r="3392" spans="1:14" x14ac:dyDescent="0.25">
      <c r="A3392" t="str">
        <f>"14:46:52.359"</f>
        <v>14:46:52.359</v>
      </c>
      <c r="B3392">
        <v>40.377952999999998</v>
      </c>
      <c r="C3392">
        <v>-74.650018000000003</v>
      </c>
      <c r="D3392">
        <v>1700</v>
      </c>
      <c r="E3392">
        <v>1850</v>
      </c>
      <c r="F3392">
        <v>146</v>
      </c>
      <c r="G3392">
        <v>-15</v>
      </c>
      <c r="H3392">
        <v>0</v>
      </c>
      <c r="J3392" s="1">
        <f t="shared" si="260"/>
        <v>21316</v>
      </c>
      <c r="K3392" s="1">
        <f t="shared" si="261"/>
        <v>225</v>
      </c>
      <c r="L3392" s="1">
        <f t="shared" si="262"/>
        <v>21541</v>
      </c>
      <c r="M3392" s="1">
        <f t="shared" si="263"/>
        <v>146.76852523616907</v>
      </c>
      <c r="N3392" s="7">
        <f t="shared" si="264"/>
        <v>146.76852523616907</v>
      </c>
    </row>
    <row r="3393" spans="1:14" x14ac:dyDescent="0.25">
      <c r="A3393" t="str">
        <f>"14:46:53.375"</f>
        <v>14:46:53.375</v>
      </c>
      <c r="B3393">
        <v>40.37791</v>
      </c>
      <c r="C3393">
        <v>-74.649159999999995</v>
      </c>
      <c r="D3393">
        <v>1700</v>
      </c>
      <c r="E3393">
        <v>1850</v>
      </c>
      <c r="F3393">
        <v>146</v>
      </c>
      <c r="G3393">
        <v>-15</v>
      </c>
      <c r="H3393">
        <v>0</v>
      </c>
      <c r="J3393" s="1">
        <f t="shared" si="260"/>
        <v>21316</v>
      </c>
      <c r="K3393" s="1">
        <f t="shared" si="261"/>
        <v>225</v>
      </c>
      <c r="L3393" s="1">
        <f t="shared" si="262"/>
        <v>21541</v>
      </c>
      <c r="M3393" s="1">
        <f t="shared" si="263"/>
        <v>146.76852523616907</v>
      </c>
      <c r="N3393" s="7">
        <f t="shared" si="264"/>
        <v>146.76852523616907</v>
      </c>
    </row>
    <row r="3394" spans="1:14" x14ac:dyDescent="0.25">
      <c r="A3394" t="str">
        <f>"14:46:54.484"</f>
        <v>14:46:54.484</v>
      </c>
      <c r="B3394">
        <v>40.377823999999997</v>
      </c>
      <c r="C3394">
        <v>-74.648173</v>
      </c>
      <c r="D3394">
        <v>1700</v>
      </c>
      <c r="E3394">
        <v>1850</v>
      </c>
      <c r="F3394">
        <v>146</v>
      </c>
      <c r="G3394">
        <v>-15</v>
      </c>
      <c r="H3394">
        <v>0</v>
      </c>
      <c r="J3394" s="1">
        <f t="shared" si="260"/>
        <v>21316</v>
      </c>
      <c r="K3394" s="1">
        <f t="shared" si="261"/>
        <v>225</v>
      </c>
      <c r="L3394" s="1">
        <f t="shared" si="262"/>
        <v>21541</v>
      </c>
      <c r="M3394" s="1">
        <f t="shared" si="263"/>
        <v>146.76852523616907</v>
      </c>
      <c r="N3394" s="7">
        <f t="shared" si="264"/>
        <v>146.76852523616907</v>
      </c>
    </row>
    <row r="3395" spans="1:14" x14ac:dyDescent="0.25">
      <c r="A3395" t="str">
        <f>"14:46:55.344"</f>
        <v>14:46:55.344</v>
      </c>
      <c r="B3395">
        <v>40.377780999999999</v>
      </c>
      <c r="C3395">
        <v>-74.647400000000005</v>
      </c>
      <c r="D3395">
        <v>1700</v>
      </c>
      <c r="E3395">
        <v>1850</v>
      </c>
      <c r="F3395">
        <v>145</v>
      </c>
      <c r="G3395">
        <v>-15</v>
      </c>
      <c r="H3395">
        <v>0</v>
      </c>
      <c r="J3395" s="1">
        <f t="shared" ref="J3395:J3458" si="265">F3395^2</f>
        <v>21025</v>
      </c>
      <c r="K3395" s="1">
        <f t="shared" ref="K3395:K3458" si="266">G3395^2</f>
        <v>225</v>
      </c>
      <c r="L3395" s="1">
        <f t="shared" ref="L3395:L3458" si="267">SUMSQ(F3395,G3395)</f>
        <v>21250</v>
      </c>
      <c r="M3395" s="1">
        <f t="shared" ref="M3395:M3458" si="268">SQRT(L3395)</f>
        <v>145.7737973711325</v>
      </c>
      <c r="N3395" s="7">
        <f t="shared" ref="N3395:N3458" si="269">M3395</f>
        <v>145.7737973711325</v>
      </c>
    </row>
    <row r="3396" spans="1:14" x14ac:dyDescent="0.25">
      <c r="A3396" t="str">
        <f>"14:46:56.250"</f>
        <v>14:46:56.250</v>
      </c>
      <c r="B3396">
        <v>40.377696</v>
      </c>
      <c r="C3396">
        <v>-74.646606000000006</v>
      </c>
      <c r="D3396">
        <v>1700</v>
      </c>
      <c r="E3396">
        <v>1850</v>
      </c>
      <c r="F3396">
        <v>145</v>
      </c>
      <c r="G3396">
        <v>-15</v>
      </c>
      <c r="H3396">
        <v>0</v>
      </c>
      <c r="J3396" s="1">
        <f t="shared" si="265"/>
        <v>21025</v>
      </c>
      <c r="K3396" s="1">
        <f t="shared" si="266"/>
        <v>225</v>
      </c>
      <c r="L3396" s="1">
        <f t="shared" si="267"/>
        <v>21250</v>
      </c>
      <c r="M3396" s="1">
        <f t="shared" si="268"/>
        <v>145.7737973711325</v>
      </c>
      <c r="N3396" s="7">
        <f t="shared" si="269"/>
        <v>145.7737973711325</v>
      </c>
    </row>
    <row r="3397" spans="1:14" x14ac:dyDescent="0.25">
      <c r="A3397" t="str">
        <f>"14:46:57.359"</f>
        <v>14:46:57.359</v>
      </c>
      <c r="B3397">
        <v>40.377631000000001</v>
      </c>
      <c r="C3397">
        <v>-74.645618999999996</v>
      </c>
      <c r="D3397">
        <v>1700</v>
      </c>
      <c r="E3397">
        <v>1850</v>
      </c>
      <c r="F3397">
        <v>145</v>
      </c>
      <c r="G3397">
        <v>-15</v>
      </c>
      <c r="H3397">
        <v>0</v>
      </c>
      <c r="J3397" s="1">
        <f t="shared" si="265"/>
        <v>21025</v>
      </c>
      <c r="K3397" s="1">
        <f t="shared" si="266"/>
        <v>225</v>
      </c>
      <c r="L3397" s="1">
        <f t="shared" si="267"/>
        <v>21250</v>
      </c>
      <c r="M3397" s="1">
        <f t="shared" si="268"/>
        <v>145.7737973711325</v>
      </c>
      <c r="N3397" s="7">
        <f t="shared" si="269"/>
        <v>145.7737973711325</v>
      </c>
    </row>
    <row r="3398" spans="1:14" x14ac:dyDescent="0.25">
      <c r="A3398" t="str">
        <f>"14:46:58.477"</f>
        <v>14:46:58.477</v>
      </c>
      <c r="B3398">
        <v>40.377544999999998</v>
      </c>
      <c r="C3398">
        <v>-74.644675000000007</v>
      </c>
      <c r="D3398">
        <v>1700</v>
      </c>
      <c r="E3398">
        <v>1850</v>
      </c>
      <c r="F3398">
        <v>145</v>
      </c>
      <c r="G3398">
        <v>-14</v>
      </c>
      <c r="H3398">
        <v>0</v>
      </c>
      <c r="J3398" s="1">
        <f t="shared" si="265"/>
        <v>21025</v>
      </c>
      <c r="K3398" s="1">
        <f t="shared" si="266"/>
        <v>196</v>
      </c>
      <c r="L3398" s="1">
        <f t="shared" si="267"/>
        <v>21221</v>
      </c>
      <c r="M3398" s="1">
        <f t="shared" si="268"/>
        <v>145.67429423202984</v>
      </c>
      <c r="N3398" s="7">
        <f t="shared" si="269"/>
        <v>145.67429423202984</v>
      </c>
    </row>
    <row r="3399" spans="1:14" x14ac:dyDescent="0.25">
      <c r="A3399" t="str">
        <f>"14:46:59.633"</f>
        <v>14:46:59.633</v>
      </c>
      <c r="B3399">
        <v>40.377459999999999</v>
      </c>
      <c r="C3399">
        <v>-74.643602000000001</v>
      </c>
      <c r="D3399">
        <v>1700</v>
      </c>
      <c r="E3399">
        <v>1850</v>
      </c>
      <c r="F3399">
        <v>145</v>
      </c>
      <c r="G3399">
        <v>-14</v>
      </c>
      <c r="H3399">
        <v>0</v>
      </c>
      <c r="J3399" s="1">
        <f t="shared" si="265"/>
        <v>21025</v>
      </c>
      <c r="K3399" s="1">
        <f t="shared" si="266"/>
        <v>196</v>
      </c>
      <c r="L3399" s="1">
        <f t="shared" si="267"/>
        <v>21221</v>
      </c>
      <c r="M3399" s="1">
        <f t="shared" si="268"/>
        <v>145.67429423202984</v>
      </c>
      <c r="N3399" s="7">
        <f t="shared" si="269"/>
        <v>145.67429423202984</v>
      </c>
    </row>
    <row r="3400" spans="1:14" x14ac:dyDescent="0.25">
      <c r="A3400" t="str">
        <f>"14:47:00.688"</f>
        <v>14:47:00.688</v>
      </c>
      <c r="B3400">
        <v>40.377417000000001</v>
      </c>
      <c r="C3400">
        <v>-74.642743999999993</v>
      </c>
      <c r="D3400">
        <v>1700</v>
      </c>
      <c r="E3400">
        <v>1850</v>
      </c>
      <c r="F3400">
        <v>144</v>
      </c>
      <c r="G3400">
        <v>-14</v>
      </c>
      <c r="H3400">
        <v>0</v>
      </c>
      <c r="J3400" s="1">
        <f t="shared" si="265"/>
        <v>20736</v>
      </c>
      <c r="K3400" s="1">
        <f t="shared" si="266"/>
        <v>196</v>
      </c>
      <c r="L3400" s="1">
        <f t="shared" si="267"/>
        <v>20932</v>
      </c>
      <c r="M3400" s="1">
        <f t="shared" si="268"/>
        <v>144.67895493125459</v>
      </c>
      <c r="N3400" s="7">
        <f t="shared" si="269"/>
        <v>144.67895493125459</v>
      </c>
    </row>
    <row r="3401" spans="1:14" x14ac:dyDescent="0.25">
      <c r="A3401" t="str">
        <f>"14:47:01.703"</f>
        <v>14:47:01.703</v>
      </c>
      <c r="B3401">
        <v>40.377308999999997</v>
      </c>
      <c r="C3401">
        <v>-74.641778000000002</v>
      </c>
      <c r="D3401">
        <v>1700</v>
      </c>
      <c r="E3401">
        <v>1850</v>
      </c>
      <c r="F3401">
        <v>144</v>
      </c>
      <c r="G3401">
        <v>-14</v>
      </c>
      <c r="H3401">
        <v>0</v>
      </c>
      <c r="J3401" s="1">
        <f t="shared" si="265"/>
        <v>20736</v>
      </c>
      <c r="K3401" s="1">
        <f t="shared" si="266"/>
        <v>196</v>
      </c>
      <c r="L3401" s="1">
        <f t="shared" si="267"/>
        <v>20932</v>
      </c>
      <c r="M3401" s="1">
        <f t="shared" si="268"/>
        <v>144.67895493125459</v>
      </c>
      <c r="N3401" s="7">
        <f t="shared" si="269"/>
        <v>144.67895493125459</v>
      </c>
    </row>
    <row r="3402" spans="1:14" x14ac:dyDescent="0.25">
      <c r="A3402" t="str">
        <f>"14:47:02.664"</f>
        <v>14:47:02.664</v>
      </c>
      <c r="B3402">
        <v>40.377265999999999</v>
      </c>
      <c r="C3402">
        <v>-74.640985000000001</v>
      </c>
      <c r="D3402">
        <v>1700</v>
      </c>
      <c r="E3402">
        <v>1850</v>
      </c>
      <c r="F3402">
        <v>144</v>
      </c>
      <c r="G3402">
        <v>-14</v>
      </c>
      <c r="H3402">
        <v>0</v>
      </c>
      <c r="J3402" s="1">
        <f t="shared" si="265"/>
        <v>20736</v>
      </c>
      <c r="K3402" s="1">
        <f t="shared" si="266"/>
        <v>196</v>
      </c>
      <c r="L3402" s="1">
        <f t="shared" si="267"/>
        <v>20932</v>
      </c>
      <c r="M3402" s="1">
        <f t="shared" si="268"/>
        <v>144.67895493125459</v>
      </c>
      <c r="N3402" s="7">
        <f t="shared" si="269"/>
        <v>144.67895493125459</v>
      </c>
    </row>
    <row r="3403" spans="1:14" x14ac:dyDescent="0.25">
      <c r="A3403" t="str">
        <f>"14:47:03.469"</f>
        <v>14:47:03.469</v>
      </c>
      <c r="B3403">
        <v>40.377223000000001</v>
      </c>
      <c r="C3403">
        <v>-74.640298000000001</v>
      </c>
      <c r="D3403">
        <v>1700</v>
      </c>
      <c r="E3403">
        <v>1850</v>
      </c>
      <c r="F3403">
        <v>144</v>
      </c>
      <c r="G3403">
        <v>-15</v>
      </c>
      <c r="H3403">
        <v>0</v>
      </c>
      <c r="J3403" s="1">
        <f t="shared" si="265"/>
        <v>20736</v>
      </c>
      <c r="K3403" s="1">
        <f t="shared" si="266"/>
        <v>225</v>
      </c>
      <c r="L3403" s="1">
        <f t="shared" si="267"/>
        <v>20961</v>
      </c>
      <c r="M3403" s="1">
        <f t="shared" si="268"/>
        <v>144.77914214416384</v>
      </c>
      <c r="N3403" s="7">
        <f t="shared" si="269"/>
        <v>144.77914214416384</v>
      </c>
    </row>
    <row r="3404" spans="1:14" x14ac:dyDescent="0.25">
      <c r="A3404" t="str">
        <f>"14:47:04.430"</f>
        <v>14:47:04.430</v>
      </c>
      <c r="B3404">
        <v>40.377138000000002</v>
      </c>
      <c r="C3404">
        <v>-74.639418000000006</v>
      </c>
      <c r="D3404">
        <v>1700</v>
      </c>
      <c r="E3404">
        <v>1850</v>
      </c>
      <c r="F3404">
        <v>144</v>
      </c>
      <c r="G3404">
        <v>-15</v>
      </c>
      <c r="H3404">
        <v>0</v>
      </c>
      <c r="J3404" s="1">
        <f t="shared" si="265"/>
        <v>20736</v>
      </c>
      <c r="K3404" s="1">
        <f t="shared" si="266"/>
        <v>225</v>
      </c>
      <c r="L3404" s="1">
        <f t="shared" si="267"/>
        <v>20961</v>
      </c>
      <c r="M3404" s="1">
        <f t="shared" si="268"/>
        <v>144.77914214416384</v>
      </c>
      <c r="N3404" s="7">
        <f t="shared" si="269"/>
        <v>144.77914214416384</v>
      </c>
    </row>
    <row r="3405" spans="1:14" x14ac:dyDescent="0.25">
      <c r="A3405" t="str">
        <f>"14:47:05.539"</f>
        <v>14:47:05.539</v>
      </c>
      <c r="B3405">
        <v>40.377094999999997</v>
      </c>
      <c r="C3405">
        <v>-74.638430999999997</v>
      </c>
      <c r="D3405">
        <v>1700</v>
      </c>
      <c r="E3405">
        <v>1850</v>
      </c>
      <c r="F3405">
        <v>143</v>
      </c>
      <c r="G3405">
        <v>-15</v>
      </c>
      <c r="H3405">
        <v>64</v>
      </c>
      <c r="J3405" s="1">
        <f t="shared" si="265"/>
        <v>20449</v>
      </c>
      <c r="K3405" s="1">
        <f t="shared" si="266"/>
        <v>225</v>
      </c>
      <c r="L3405" s="1">
        <f t="shared" si="267"/>
        <v>20674</v>
      </c>
      <c r="M3405" s="1">
        <f t="shared" si="268"/>
        <v>143.78456106272327</v>
      </c>
      <c r="N3405" s="7">
        <f t="shared" si="269"/>
        <v>143.78456106272327</v>
      </c>
    </row>
    <row r="3406" spans="1:14" x14ac:dyDescent="0.25">
      <c r="A3406" t="str">
        <f>"14:47:06.602"</f>
        <v>14:47:06.602</v>
      </c>
      <c r="B3406">
        <v>40.376987</v>
      </c>
      <c r="C3406">
        <v>-74.637486999999993</v>
      </c>
      <c r="D3406">
        <v>1700</v>
      </c>
      <c r="E3406">
        <v>1875</v>
      </c>
      <c r="F3406">
        <v>143</v>
      </c>
      <c r="G3406">
        <v>-15</v>
      </c>
      <c r="H3406">
        <v>64</v>
      </c>
      <c r="J3406" s="1">
        <f t="shared" si="265"/>
        <v>20449</v>
      </c>
      <c r="K3406" s="1">
        <f t="shared" si="266"/>
        <v>225</v>
      </c>
      <c r="L3406" s="1">
        <f t="shared" si="267"/>
        <v>20674</v>
      </c>
      <c r="M3406" s="1">
        <f t="shared" si="268"/>
        <v>143.78456106272327</v>
      </c>
      <c r="N3406" s="7">
        <f t="shared" si="269"/>
        <v>143.78456106272327</v>
      </c>
    </row>
    <row r="3407" spans="1:14" x14ac:dyDescent="0.25">
      <c r="A3407" t="str">
        <f>"14:47:07.609"</f>
        <v>14:47:07.609</v>
      </c>
      <c r="B3407">
        <v>40.376944999999999</v>
      </c>
      <c r="C3407">
        <v>-74.636713999999998</v>
      </c>
      <c r="D3407">
        <v>1700</v>
      </c>
      <c r="E3407">
        <v>1875</v>
      </c>
      <c r="F3407">
        <v>143</v>
      </c>
      <c r="G3407">
        <v>-15</v>
      </c>
      <c r="H3407">
        <v>64</v>
      </c>
      <c r="J3407" s="1">
        <f t="shared" si="265"/>
        <v>20449</v>
      </c>
      <c r="K3407" s="1">
        <f t="shared" si="266"/>
        <v>225</v>
      </c>
      <c r="L3407" s="1">
        <f t="shared" si="267"/>
        <v>20674</v>
      </c>
      <c r="M3407" s="1">
        <f t="shared" si="268"/>
        <v>143.78456106272327</v>
      </c>
      <c r="N3407" s="7">
        <f t="shared" si="269"/>
        <v>143.78456106272327</v>
      </c>
    </row>
    <row r="3408" spans="1:14" x14ac:dyDescent="0.25">
      <c r="A3408" t="str">
        <f>"14:47:08.672"</f>
        <v>14:47:08.672</v>
      </c>
      <c r="B3408">
        <v>40.376859000000003</v>
      </c>
      <c r="C3408">
        <v>-74.635812999999999</v>
      </c>
      <c r="D3408">
        <v>1700</v>
      </c>
      <c r="E3408">
        <v>1875</v>
      </c>
      <c r="F3408">
        <v>142</v>
      </c>
      <c r="G3408">
        <v>-15</v>
      </c>
      <c r="H3408">
        <v>64</v>
      </c>
      <c r="J3408" s="1">
        <f t="shared" si="265"/>
        <v>20164</v>
      </c>
      <c r="K3408" s="1">
        <f t="shared" si="266"/>
        <v>225</v>
      </c>
      <c r="L3408" s="1">
        <f t="shared" si="267"/>
        <v>20389</v>
      </c>
      <c r="M3408" s="1">
        <f t="shared" si="268"/>
        <v>142.79005567615695</v>
      </c>
      <c r="N3408" s="7">
        <f t="shared" si="269"/>
        <v>142.79005567615695</v>
      </c>
    </row>
    <row r="3409" spans="1:14" x14ac:dyDescent="0.25">
      <c r="A3409" t="str">
        <f>"14:47:09.633"</f>
        <v>14:47:09.633</v>
      </c>
      <c r="B3409">
        <v>40.376793999999997</v>
      </c>
      <c r="C3409">
        <v>-74.634933000000004</v>
      </c>
      <c r="D3409">
        <v>1700</v>
      </c>
      <c r="E3409">
        <v>1875</v>
      </c>
      <c r="F3409">
        <v>142</v>
      </c>
      <c r="G3409">
        <v>-15</v>
      </c>
      <c r="H3409">
        <v>0</v>
      </c>
      <c r="J3409" s="1">
        <f t="shared" si="265"/>
        <v>20164</v>
      </c>
      <c r="K3409" s="1">
        <f t="shared" si="266"/>
        <v>225</v>
      </c>
      <c r="L3409" s="1">
        <f t="shared" si="267"/>
        <v>20389</v>
      </c>
      <c r="M3409" s="1">
        <f t="shared" si="268"/>
        <v>142.79005567615695</v>
      </c>
      <c r="N3409" s="7">
        <f t="shared" si="269"/>
        <v>142.79005567615695</v>
      </c>
    </row>
    <row r="3410" spans="1:14" x14ac:dyDescent="0.25">
      <c r="A3410" t="str">
        <f>"14:47:10.539"</f>
        <v>14:47:10.539</v>
      </c>
      <c r="B3410">
        <v>40.376730000000002</v>
      </c>
      <c r="C3410">
        <v>-74.634161000000006</v>
      </c>
      <c r="D3410">
        <v>1700</v>
      </c>
      <c r="E3410">
        <v>1875</v>
      </c>
      <c r="F3410">
        <v>142</v>
      </c>
      <c r="G3410">
        <v>-15</v>
      </c>
      <c r="H3410">
        <v>0</v>
      </c>
      <c r="J3410" s="1">
        <f t="shared" si="265"/>
        <v>20164</v>
      </c>
      <c r="K3410" s="1">
        <f t="shared" si="266"/>
        <v>225</v>
      </c>
      <c r="L3410" s="1">
        <f t="shared" si="267"/>
        <v>20389</v>
      </c>
      <c r="M3410" s="1">
        <f t="shared" si="268"/>
        <v>142.79005567615695</v>
      </c>
      <c r="N3410" s="7">
        <f t="shared" si="269"/>
        <v>142.79005567615695</v>
      </c>
    </row>
    <row r="3411" spans="1:14" x14ac:dyDescent="0.25">
      <c r="A3411" t="str">
        <f>"14:47:11.648"</f>
        <v>14:47:11.648</v>
      </c>
      <c r="B3411">
        <v>40.376666</v>
      </c>
      <c r="C3411">
        <v>-74.633195000000001</v>
      </c>
      <c r="D3411">
        <v>1700</v>
      </c>
      <c r="E3411">
        <v>1875</v>
      </c>
      <c r="F3411">
        <v>141</v>
      </c>
      <c r="G3411">
        <v>-15</v>
      </c>
      <c r="H3411">
        <v>0</v>
      </c>
      <c r="J3411" s="1">
        <f t="shared" si="265"/>
        <v>19881</v>
      </c>
      <c r="K3411" s="1">
        <f t="shared" si="266"/>
        <v>225</v>
      </c>
      <c r="L3411" s="1">
        <f t="shared" si="267"/>
        <v>20106</v>
      </c>
      <c r="M3411" s="1">
        <f t="shared" si="268"/>
        <v>141.79562757715769</v>
      </c>
      <c r="N3411" s="7">
        <f t="shared" si="269"/>
        <v>141.79562757715769</v>
      </c>
    </row>
    <row r="3412" spans="1:14" x14ac:dyDescent="0.25">
      <c r="A3412" t="str">
        <f>"14:47:12.609"</f>
        <v>14:47:12.609</v>
      </c>
      <c r="B3412">
        <v>40.376579999999997</v>
      </c>
      <c r="C3412">
        <v>-74.632379999999998</v>
      </c>
      <c r="D3412">
        <v>1700</v>
      </c>
      <c r="E3412">
        <v>1875</v>
      </c>
      <c r="F3412">
        <v>141</v>
      </c>
      <c r="G3412">
        <v>-16</v>
      </c>
      <c r="H3412">
        <v>0</v>
      </c>
      <c r="J3412" s="1">
        <f t="shared" si="265"/>
        <v>19881</v>
      </c>
      <c r="K3412" s="1">
        <f t="shared" si="266"/>
        <v>256</v>
      </c>
      <c r="L3412" s="1">
        <f t="shared" si="267"/>
        <v>20137</v>
      </c>
      <c r="M3412" s="1">
        <f t="shared" si="268"/>
        <v>141.90489773083945</v>
      </c>
      <c r="N3412" s="7">
        <f t="shared" si="269"/>
        <v>141.90489773083945</v>
      </c>
    </row>
    <row r="3413" spans="1:14" x14ac:dyDescent="0.25">
      <c r="A3413" t="str">
        <f>"14:47:13.469"</f>
        <v>14:47:13.469</v>
      </c>
      <c r="B3413">
        <v>40.376514999999998</v>
      </c>
      <c r="C3413">
        <v>-74.631692999999999</v>
      </c>
      <c r="D3413">
        <v>1700</v>
      </c>
      <c r="E3413">
        <v>1875</v>
      </c>
      <c r="F3413">
        <v>141</v>
      </c>
      <c r="G3413">
        <v>-16</v>
      </c>
      <c r="H3413">
        <v>0</v>
      </c>
      <c r="J3413" s="1">
        <f t="shared" si="265"/>
        <v>19881</v>
      </c>
      <c r="K3413" s="1">
        <f t="shared" si="266"/>
        <v>256</v>
      </c>
      <c r="L3413" s="1">
        <f t="shared" si="267"/>
        <v>20137</v>
      </c>
      <c r="M3413" s="1">
        <f t="shared" si="268"/>
        <v>141.90489773083945</v>
      </c>
      <c r="N3413" s="7">
        <f t="shared" si="269"/>
        <v>141.90489773083945</v>
      </c>
    </row>
    <row r="3414" spans="1:14" x14ac:dyDescent="0.25">
      <c r="A3414" t="str">
        <f>"14:47:14.422"</f>
        <v>14:47:14.422</v>
      </c>
      <c r="B3414">
        <v>40.376429999999999</v>
      </c>
      <c r="C3414">
        <v>-74.630814000000001</v>
      </c>
      <c r="D3414">
        <v>1700</v>
      </c>
      <c r="E3414">
        <v>1875</v>
      </c>
      <c r="F3414">
        <v>141</v>
      </c>
      <c r="G3414">
        <v>-16</v>
      </c>
      <c r="H3414">
        <v>64</v>
      </c>
      <c r="J3414" s="1">
        <f t="shared" si="265"/>
        <v>19881</v>
      </c>
      <c r="K3414" s="1">
        <f t="shared" si="266"/>
        <v>256</v>
      </c>
      <c r="L3414" s="1">
        <f t="shared" si="267"/>
        <v>20137</v>
      </c>
      <c r="M3414" s="1">
        <f t="shared" si="268"/>
        <v>141.90489773083945</v>
      </c>
      <c r="N3414" s="7">
        <f t="shared" si="269"/>
        <v>141.90489773083945</v>
      </c>
    </row>
    <row r="3415" spans="1:14" x14ac:dyDescent="0.25">
      <c r="A3415" t="str">
        <f>"14:47:15.484"</f>
        <v>14:47:15.484</v>
      </c>
      <c r="B3415">
        <v>40.376344000000003</v>
      </c>
      <c r="C3415">
        <v>-74.629934000000006</v>
      </c>
      <c r="D3415">
        <v>1700</v>
      </c>
      <c r="E3415">
        <v>1875</v>
      </c>
      <c r="F3415">
        <v>140</v>
      </c>
      <c r="G3415">
        <v>-16</v>
      </c>
      <c r="H3415">
        <v>128</v>
      </c>
      <c r="J3415" s="1">
        <f t="shared" si="265"/>
        <v>19600</v>
      </c>
      <c r="K3415" s="1">
        <f t="shared" si="266"/>
        <v>256</v>
      </c>
      <c r="L3415" s="1">
        <f t="shared" si="267"/>
        <v>19856</v>
      </c>
      <c r="M3415" s="1">
        <f t="shared" si="268"/>
        <v>140.91131963046828</v>
      </c>
      <c r="N3415" s="7">
        <f t="shared" si="269"/>
        <v>140.91131963046828</v>
      </c>
    </row>
    <row r="3416" spans="1:14" x14ac:dyDescent="0.25">
      <c r="A3416" t="str">
        <f>"14:47:16.344"</f>
        <v>14:47:16.344</v>
      </c>
      <c r="B3416">
        <v>40.376322000000002</v>
      </c>
      <c r="C3416">
        <v>-74.629204000000001</v>
      </c>
      <c r="D3416">
        <v>1700</v>
      </c>
      <c r="E3416">
        <v>1875</v>
      </c>
      <c r="F3416">
        <v>140</v>
      </c>
      <c r="G3416">
        <v>-16</v>
      </c>
      <c r="H3416">
        <v>128</v>
      </c>
      <c r="J3416" s="1">
        <f t="shared" si="265"/>
        <v>19600</v>
      </c>
      <c r="K3416" s="1">
        <f t="shared" si="266"/>
        <v>256</v>
      </c>
      <c r="L3416" s="1">
        <f t="shared" si="267"/>
        <v>19856</v>
      </c>
      <c r="M3416" s="1">
        <f t="shared" si="268"/>
        <v>140.91131963046828</v>
      </c>
      <c r="N3416" s="7">
        <f t="shared" si="269"/>
        <v>140.91131963046828</v>
      </c>
    </row>
    <row r="3417" spans="1:14" x14ac:dyDescent="0.25">
      <c r="A3417" t="str">
        <f>"14:47:17.406"</f>
        <v>14:47:17.406</v>
      </c>
      <c r="B3417">
        <v>40.376215000000002</v>
      </c>
      <c r="C3417">
        <v>-74.628366999999997</v>
      </c>
      <c r="D3417">
        <v>1700</v>
      </c>
      <c r="E3417">
        <v>1875</v>
      </c>
      <c r="F3417">
        <v>139</v>
      </c>
      <c r="G3417">
        <v>-16</v>
      </c>
      <c r="H3417">
        <v>192</v>
      </c>
      <c r="J3417" s="1">
        <f t="shared" si="265"/>
        <v>19321</v>
      </c>
      <c r="K3417" s="1">
        <f t="shared" si="266"/>
        <v>256</v>
      </c>
      <c r="L3417" s="1">
        <f t="shared" si="267"/>
        <v>19577</v>
      </c>
      <c r="M3417" s="1">
        <f t="shared" si="268"/>
        <v>139.91783303067555</v>
      </c>
      <c r="N3417" s="7">
        <f t="shared" si="269"/>
        <v>139.91783303067555</v>
      </c>
    </row>
    <row r="3418" spans="1:14" x14ac:dyDescent="0.25">
      <c r="A3418" t="str">
        <f>"14:47:18.414"</f>
        <v>14:47:18.414</v>
      </c>
      <c r="B3418">
        <v>40.376151</v>
      </c>
      <c r="C3418">
        <v>-74.627444999999994</v>
      </c>
      <c r="D3418">
        <v>1700</v>
      </c>
      <c r="E3418">
        <v>1875</v>
      </c>
      <c r="F3418">
        <v>139</v>
      </c>
      <c r="G3418">
        <v>-15</v>
      </c>
      <c r="H3418">
        <v>192</v>
      </c>
      <c r="J3418" s="1">
        <f t="shared" si="265"/>
        <v>19321</v>
      </c>
      <c r="K3418" s="1">
        <f t="shared" si="266"/>
        <v>225</v>
      </c>
      <c r="L3418" s="1">
        <f t="shared" si="267"/>
        <v>19546</v>
      </c>
      <c r="M3418" s="1">
        <f t="shared" si="268"/>
        <v>139.80700983856281</v>
      </c>
      <c r="N3418" s="7">
        <f t="shared" si="269"/>
        <v>139.80700983856281</v>
      </c>
    </row>
    <row r="3419" spans="1:14" x14ac:dyDescent="0.25">
      <c r="A3419" t="str">
        <f>"14:47:19.320"</f>
        <v>14:47:19.320</v>
      </c>
      <c r="B3419">
        <v>40.376086000000001</v>
      </c>
      <c r="C3419">
        <v>-74.626715000000004</v>
      </c>
      <c r="D3419">
        <v>1700</v>
      </c>
      <c r="E3419">
        <v>1875</v>
      </c>
      <c r="F3419">
        <v>139</v>
      </c>
      <c r="G3419">
        <v>-15</v>
      </c>
      <c r="H3419">
        <v>192</v>
      </c>
      <c r="J3419" s="1">
        <f t="shared" si="265"/>
        <v>19321</v>
      </c>
      <c r="K3419" s="1">
        <f t="shared" si="266"/>
        <v>225</v>
      </c>
      <c r="L3419" s="1">
        <f t="shared" si="267"/>
        <v>19546</v>
      </c>
      <c r="M3419" s="1">
        <f t="shared" si="268"/>
        <v>139.80700983856281</v>
      </c>
      <c r="N3419" s="7">
        <f t="shared" si="269"/>
        <v>139.80700983856281</v>
      </c>
    </row>
    <row r="3420" spans="1:14" x14ac:dyDescent="0.25">
      <c r="A3420" t="str">
        <f>"14:47:20.383"</f>
        <v>14:47:20.383</v>
      </c>
      <c r="B3420">
        <v>40.376043000000003</v>
      </c>
      <c r="C3420">
        <v>-74.625856999999996</v>
      </c>
      <c r="D3420">
        <v>1700</v>
      </c>
      <c r="E3420">
        <v>1875</v>
      </c>
      <c r="F3420">
        <v>138</v>
      </c>
      <c r="G3420">
        <v>-15</v>
      </c>
      <c r="H3420">
        <v>128</v>
      </c>
      <c r="J3420" s="1">
        <f t="shared" si="265"/>
        <v>19044</v>
      </c>
      <c r="K3420" s="1">
        <f t="shared" si="266"/>
        <v>225</v>
      </c>
      <c r="L3420" s="1">
        <f t="shared" si="267"/>
        <v>19269</v>
      </c>
      <c r="M3420" s="1">
        <f t="shared" si="268"/>
        <v>138.81282361511128</v>
      </c>
      <c r="N3420" s="7">
        <f t="shared" si="269"/>
        <v>138.81282361511128</v>
      </c>
    </row>
    <row r="3421" spans="1:14" x14ac:dyDescent="0.25">
      <c r="A3421" t="str">
        <f>"14:47:21.391"</f>
        <v>14:47:21.391</v>
      </c>
      <c r="B3421">
        <v>40.375936000000003</v>
      </c>
      <c r="C3421">
        <v>-74.625062999999997</v>
      </c>
      <c r="D3421">
        <v>1700</v>
      </c>
      <c r="E3421">
        <v>1875</v>
      </c>
      <c r="F3421">
        <v>138</v>
      </c>
      <c r="G3421">
        <v>-15</v>
      </c>
      <c r="H3421">
        <v>64</v>
      </c>
      <c r="J3421" s="1">
        <f t="shared" si="265"/>
        <v>19044</v>
      </c>
      <c r="K3421" s="1">
        <f t="shared" si="266"/>
        <v>225</v>
      </c>
      <c r="L3421" s="1">
        <f t="shared" si="267"/>
        <v>19269</v>
      </c>
      <c r="M3421" s="1">
        <f t="shared" si="268"/>
        <v>138.81282361511128</v>
      </c>
      <c r="N3421" s="7">
        <f t="shared" si="269"/>
        <v>138.81282361511128</v>
      </c>
    </row>
    <row r="3422" spans="1:14" x14ac:dyDescent="0.25">
      <c r="A3422" t="str">
        <f>"14:47:22.453"</f>
        <v>14:47:22.453</v>
      </c>
      <c r="B3422">
        <v>40.375872000000001</v>
      </c>
      <c r="C3422">
        <v>-74.624076000000002</v>
      </c>
      <c r="D3422">
        <v>1700</v>
      </c>
      <c r="E3422">
        <v>1875</v>
      </c>
      <c r="F3422">
        <v>138</v>
      </c>
      <c r="G3422">
        <v>-14</v>
      </c>
      <c r="H3422">
        <v>0</v>
      </c>
      <c r="J3422" s="1">
        <f t="shared" si="265"/>
        <v>19044</v>
      </c>
      <c r="K3422" s="1">
        <f t="shared" si="266"/>
        <v>196</v>
      </c>
      <c r="L3422" s="1">
        <f t="shared" si="267"/>
        <v>19240</v>
      </c>
      <c r="M3422" s="1">
        <f t="shared" si="268"/>
        <v>138.70832707519762</v>
      </c>
      <c r="N3422" s="7">
        <f t="shared" si="269"/>
        <v>138.70832707519762</v>
      </c>
    </row>
    <row r="3423" spans="1:14" x14ac:dyDescent="0.25">
      <c r="A3423" t="str">
        <f>"14:47:23.461"</f>
        <v>14:47:23.461</v>
      </c>
      <c r="B3423">
        <v>40.375829000000003</v>
      </c>
      <c r="C3423">
        <v>-74.623260000000002</v>
      </c>
      <c r="D3423">
        <v>1700</v>
      </c>
      <c r="E3423">
        <v>1875</v>
      </c>
      <c r="F3423">
        <v>138</v>
      </c>
      <c r="G3423">
        <v>-14</v>
      </c>
      <c r="H3423">
        <v>0</v>
      </c>
      <c r="J3423" s="1">
        <f t="shared" si="265"/>
        <v>19044</v>
      </c>
      <c r="K3423" s="1">
        <f t="shared" si="266"/>
        <v>196</v>
      </c>
      <c r="L3423" s="1">
        <f t="shared" si="267"/>
        <v>19240</v>
      </c>
      <c r="M3423" s="1">
        <f t="shared" si="268"/>
        <v>138.70832707519762</v>
      </c>
      <c r="N3423" s="7">
        <f t="shared" si="269"/>
        <v>138.70832707519762</v>
      </c>
    </row>
    <row r="3424" spans="1:14" x14ac:dyDescent="0.25">
      <c r="A3424" t="str">
        <f>"14:47:24.570"</f>
        <v>14:47:24.570</v>
      </c>
      <c r="B3424">
        <v>40.375763999999997</v>
      </c>
      <c r="C3424">
        <v>-74.622315999999998</v>
      </c>
      <c r="D3424">
        <v>1700</v>
      </c>
      <c r="E3424">
        <v>1875</v>
      </c>
      <c r="F3424">
        <v>138</v>
      </c>
      <c r="G3424">
        <v>-14</v>
      </c>
      <c r="H3424">
        <v>-64</v>
      </c>
      <c r="J3424" s="1">
        <f t="shared" si="265"/>
        <v>19044</v>
      </c>
      <c r="K3424" s="1">
        <f t="shared" si="266"/>
        <v>196</v>
      </c>
      <c r="L3424" s="1">
        <f t="shared" si="267"/>
        <v>19240</v>
      </c>
      <c r="M3424" s="1">
        <f t="shared" si="268"/>
        <v>138.70832707519762</v>
      </c>
      <c r="N3424" s="7">
        <f t="shared" si="269"/>
        <v>138.70832707519762</v>
      </c>
    </row>
    <row r="3425" spans="1:14" x14ac:dyDescent="0.25">
      <c r="A3425" t="str">
        <f>"14:47:25.531"</f>
        <v>14:47:25.531</v>
      </c>
      <c r="B3425">
        <v>40.375678999999998</v>
      </c>
      <c r="C3425">
        <v>-74.621521999999999</v>
      </c>
      <c r="D3425">
        <v>1700</v>
      </c>
      <c r="E3425">
        <v>1875</v>
      </c>
      <c r="F3425">
        <v>138</v>
      </c>
      <c r="G3425">
        <v>-14</v>
      </c>
      <c r="H3425">
        <v>-64</v>
      </c>
      <c r="J3425" s="1">
        <f t="shared" si="265"/>
        <v>19044</v>
      </c>
      <c r="K3425" s="1">
        <f t="shared" si="266"/>
        <v>196</v>
      </c>
      <c r="L3425" s="1">
        <f t="shared" si="267"/>
        <v>19240</v>
      </c>
      <c r="M3425" s="1">
        <f t="shared" si="268"/>
        <v>138.70832707519762</v>
      </c>
      <c r="N3425" s="7">
        <f t="shared" si="269"/>
        <v>138.70832707519762</v>
      </c>
    </row>
    <row r="3426" spans="1:14" x14ac:dyDescent="0.25">
      <c r="A3426" t="str">
        <f>"14:47:26.539"</f>
        <v>14:47:26.539</v>
      </c>
      <c r="B3426">
        <v>40.375636</v>
      </c>
      <c r="C3426">
        <v>-74.620664000000005</v>
      </c>
      <c r="D3426">
        <v>1700</v>
      </c>
      <c r="E3426">
        <v>1875</v>
      </c>
      <c r="F3426">
        <v>138</v>
      </c>
      <c r="G3426">
        <v>-13</v>
      </c>
      <c r="H3426">
        <v>-128</v>
      </c>
      <c r="J3426" s="1">
        <f t="shared" si="265"/>
        <v>19044</v>
      </c>
      <c r="K3426" s="1">
        <f t="shared" si="266"/>
        <v>169</v>
      </c>
      <c r="L3426" s="1">
        <f t="shared" si="267"/>
        <v>19213</v>
      </c>
      <c r="M3426" s="1">
        <f t="shared" si="268"/>
        <v>138.61096637712328</v>
      </c>
      <c r="N3426" s="7">
        <f t="shared" si="269"/>
        <v>138.61096637712328</v>
      </c>
    </row>
    <row r="3427" spans="1:14" x14ac:dyDescent="0.25">
      <c r="A3427" t="str">
        <f>"14:47:27.500"</f>
        <v>14:47:27.500</v>
      </c>
      <c r="B3427">
        <v>40.375549999999997</v>
      </c>
      <c r="C3427">
        <v>-74.619891999999993</v>
      </c>
      <c r="D3427">
        <v>1700</v>
      </c>
      <c r="E3427">
        <v>1875</v>
      </c>
      <c r="F3427">
        <v>138</v>
      </c>
      <c r="G3427">
        <v>-13</v>
      </c>
      <c r="H3427">
        <v>-128</v>
      </c>
      <c r="J3427" s="1">
        <f t="shared" si="265"/>
        <v>19044</v>
      </c>
      <c r="K3427" s="1">
        <f t="shared" si="266"/>
        <v>169</v>
      </c>
      <c r="L3427" s="1">
        <f t="shared" si="267"/>
        <v>19213</v>
      </c>
      <c r="M3427" s="1">
        <f t="shared" si="268"/>
        <v>138.61096637712328</v>
      </c>
      <c r="N3427" s="7">
        <f t="shared" si="269"/>
        <v>138.61096637712328</v>
      </c>
    </row>
    <row r="3428" spans="1:14" x14ac:dyDescent="0.25">
      <c r="A3428" t="str">
        <f>"14:47:28.461"</f>
        <v>14:47:28.461</v>
      </c>
      <c r="B3428">
        <v>40.375506999999999</v>
      </c>
      <c r="C3428">
        <v>-74.619076000000007</v>
      </c>
      <c r="D3428">
        <v>1700</v>
      </c>
      <c r="E3428">
        <v>1875</v>
      </c>
      <c r="F3428">
        <v>138</v>
      </c>
      <c r="G3428">
        <v>-13</v>
      </c>
      <c r="H3428">
        <v>-128</v>
      </c>
      <c r="J3428" s="1">
        <f t="shared" si="265"/>
        <v>19044</v>
      </c>
      <c r="K3428" s="1">
        <f t="shared" si="266"/>
        <v>169</v>
      </c>
      <c r="L3428" s="1">
        <f t="shared" si="267"/>
        <v>19213</v>
      </c>
      <c r="M3428" s="1">
        <f t="shared" si="268"/>
        <v>138.61096637712328</v>
      </c>
      <c r="N3428" s="7">
        <f t="shared" si="269"/>
        <v>138.61096637712328</v>
      </c>
    </row>
    <row r="3429" spans="1:14" x14ac:dyDescent="0.25">
      <c r="A3429" t="str">
        <f>"14:47:29.469"</f>
        <v>14:47:29.469</v>
      </c>
      <c r="B3429">
        <v>40.375464000000001</v>
      </c>
      <c r="C3429">
        <v>-74.618261000000004</v>
      </c>
      <c r="D3429">
        <v>1700</v>
      </c>
      <c r="E3429">
        <v>1875</v>
      </c>
      <c r="F3429">
        <v>138</v>
      </c>
      <c r="G3429">
        <v>-13</v>
      </c>
      <c r="H3429">
        <v>-128</v>
      </c>
      <c r="J3429" s="1">
        <f t="shared" si="265"/>
        <v>19044</v>
      </c>
      <c r="K3429" s="1">
        <f t="shared" si="266"/>
        <v>169</v>
      </c>
      <c r="L3429" s="1">
        <f t="shared" si="267"/>
        <v>19213</v>
      </c>
      <c r="M3429" s="1">
        <f t="shared" si="268"/>
        <v>138.61096637712328</v>
      </c>
      <c r="N3429" s="7">
        <f t="shared" si="269"/>
        <v>138.61096637712328</v>
      </c>
    </row>
    <row r="3430" spans="1:14" x14ac:dyDescent="0.25">
      <c r="A3430" t="str">
        <f>"14:47:30.633"</f>
        <v>14:47:30.633</v>
      </c>
      <c r="B3430">
        <v>40.375357000000001</v>
      </c>
      <c r="C3430">
        <v>-74.617273999999995</v>
      </c>
      <c r="D3430">
        <v>1700</v>
      </c>
      <c r="E3430">
        <v>1875</v>
      </c>
      <c r="F3430">
        <v>138</v>
      </c>
      <c r="G3430">
        <v>-13</v>
      </c>
      <c r="H3430">
        <v>-64</v>
      </c>
      <c r="J3430" s="1">
        <f t="shared" si="265"/>
        <v>19044</v>
      </c>
      <c r="K3430" s="1">
        <f t="shared" si="266"/>
        <v>169</v>
      </c>
      <c r="L3430" s="1">
        <f t="shared" si="267"/>
        <v>19213</v>
      </c>
      <c r="M3430" s="1">
        <f t="shared" si="268"/>
        <v>138.61096637712328</v>
      </c>
      <c r="N3430" s="7">
        <f t="shared" si="269"/>
        <v>138.61096637712328</v>
      </c>
    </row>
    <row r="3431" spans="1:14" x14ac:dyDescent="0.25">
      <c r="A3431" t="str">
        <f>"14:47:31.594"</f>
        <v>14:47:31.594</v>
      </c>
      <c r="B3431">
        <v>40.375314000000003</v>
      </c>
      <c r="C3431">
        <v>-74.616394</v>
      </c>
      <c r="D3431">
        <v>1700</v>
      </c>
      <c r="E3431">
        <v>1875</v>
      </c>
      <c r="F3431">
        <v>138</v>
      </c>
      <c r="G3431">
        <v>-13</v>
      </c>
      <c r="H3431">
        <v>0</v>
      </c>
      <c r="J3431" s="1">
        <f t="shared" si="265"/>
        <v>19044</v>
      </c>
      <c r="K3431" s="1">
        <f t="shared" si="266"/>
        <v>169</v>
      </c>
      <c r="L3431" s="1">
        <f t="shared" si="267"/>
        <v>19213</v>
      </c>
      <c r="M3431" s="1">
        <f t="shared" si="268"/>
        <v>138.61096637712328</v>
      </c>
      <c r="N3431" s="7">
        <f t="shared" si="269"/>
        <v>138.61096637712328</v>
      </c>
    </row>
    <row r="3432" spans="1:14" x14ac:dyDescent="0.25">
      <c r="A3432" t="str">
        <f>"14:47:32.547"</f>
        <v>14:47:32.547</v>
      </c>
      <c r="B3432">
        <v>40.375248999999997</v>
      </c>
      <c r="C3432">
        <v>-74.615663999999995</v>
      </c>
      <c r="D3432">
        <v>1700</v>
      </c>
      <c r="E3432">
        <v>1875</v>
      </c>
      <c r="F3432">
        <v>138</v>
      </c>
      <c r="G3432">
        <v>-13</v>
      </c>
      <c r="H3432">
        <v>0</v>
      </c>
      <c r="J3432" s="1">
        <f t="shared" si="265"/>
        <v>19044</v>
      </c>
      <c r="K3432" s="1">
        <f t="shared" si="266"/>
        <v>169</v>
      </c>
      <c r="L3432" s="1">
        <f t="shared" si="267"/>
        <v>19213</v>
      </c>
      <c r="M3432" s="1">
        <f t="shared" si="268"/>
        <v>138.61096637712328</v>
      </c>
      <c r="N3432" s="7">
        <f t="shared" si="269"/>
        <v>138.61096637712328</v>
      </c>
    </row>
    <row r="3433" spans="1:14" x14ac:dyDescent="0.25">
      <c r="A3433" t="str">
        <f>"14:47:33.617"</f>
        <v>14:47:33.617</v>
      </c>
      <c r="B3433">
        <v>40.375205999999999</v>
      </c>
      <c r="C3433">
        <v>-74.614806000000002</v>
      </c>
      <c r="D3433">
        <v>1700</v>
      </c>
      <c r="E3433">
        <v>1875</v>
      </c>
      <c r="F3433">
        <v>138</v>
      </c>
      <c r="G3433">
        <v>-13</v>
      </c>
      <c r="H3433">
        <v>0</v>
      </c>
      <c r="J3433" s="1">
        <f t="shared" si="265"/>
        <v>19044</v>
      </c>
      <c r="K3433" s="1">
        <f t="shared" si="266"/>
        <v>169</v>
      </c>
      <c r="L3433" s="1">
        <f t="shared" si="267"/>
        <v>19213</v>
      </c>
      <c r="M3433" s="1">
        <f t="shared" si="268"/>
        <v>138.61096637712328</v>
      </c>
      <c r="N3433" s="7">
        <f t="shared" si="269"/>
        <v>138.61096637712328</v>
      </c>
    </row>
    <row r="3434" spans="1:14" x14ac:dyDescent="0.25">
      <c r="A3434" t="str">
        <f>"14:47:34.422"</f>
        <v>14:47:34.422</v>
      </c>
      <c r="B3434">
        <v>40.375121</v>
      </c>
      <c r="C3434">
        <v>-74.614076999999995</v>
      </c>
      <c r="D3434">
        <v>1700</v>
      </c>
      <c r="E3434">
        <v>1875</v>
      </c>
      <c r="F3434">
        <v>138</v>
      </c>
      <c r="G3434">
        <v>-13</v>
      </c>
      <c r="H3434">
        <v>64</v>
      </c>
      <c r="J3434" s="1">
        <f t="shared" si="265"/>
        <v>19044</v>
      </c>
      <c r="K3434" s="1">
        <f t="shared" si="266"/>
        <v>169</v>
      </c>
      <c r="L3434" s="1">
        <f t="shared" si="267"/>
        <v>19213</v>
      </c>
      <c r="M3434" s="1">
        <f t="shared" si="268"/>
        <v>138.61096637712328</v>
      </c>
      <c r="N3434" s="7">
        <f t="shared" si="269"/>
        <v>138.61096637712328</v>
      </c>
    </row>
    <row r="3435" spans="1:14" x14ac:dyDescent="0.25">
      <c r="A3435" t="str">
        <f>"14:47:35.477"</f>
        <v>14:47:35.477</v>
      </c>
      <c r="B3435">
        <v>40.375078000000002</v>
      </c>
      <c r="C3435">
        <v>-74.613218000000003</v>
      </c>
      <c r="D3435">
        <v>1700</v>
      </c>
      <c r="E3435">
        <v>1875</v>
      </c>
      <c r="F3435">
        <v>137</v>
      </c>
      <c r="G3435">
        <v>-13</v>
      </c>
      <c r="H3435">
        <v>64</v>
      </c>
      <c r="J3435" s="1">
        <f t="shared" si="265"/>
        <v>18769</v>
      </c>
      <c r="K3435" s="1">
        <f t="shared" si="266"/>
        <v>169</v>
      </c>
      <c r="L3435" s="1">
        <f t="shared" si="267"/>
        <v>18938</v>
      </c>
      <c r="M3435" s="1">
        <f t="shared" si="268"/>
        <v>137.61540611428649</v>
      </c>
      <c r="N3435" s="7">
        <f t="shared" si="269"/>
        <v>137.61540611428649</v>
      </c>
    </row>
    <row r="3436" spans="1:14" x14ac:dyDescent="0.25">
      <c r="A3436" t="str">
        <f>"14:47:36.484"</f>
        <v>14:47:36.484</v>
      </c>
      <c r="B3436">
        <v>40.375034999999997</v>
      </c>
      <c r="C3436">
        <v>-74.612403</v>
      </c>
      <c r="D3436">
        <v>1700</v>
      </c>
      <c r="E3436">
        <v>1875</v>
      </c>
      <c r="F3436">
        <v>137</v>
      </c>
      <c r="G3436">
        <v>-13</v>
      </c>
      <c r="H3436">
        <v>64</v>
      </c>
      <c r="J3436" s="1">
        <f t="shared" si="265"/>
        <v>18769</v>
      </c>
      <c r="K3436" s="1">
        <f t="shared" si="266"/>
        <v>169</v>
      </c>
      <c r="L3436" s="1">
        <f t="shared" si="267"/>
        <v>18938</v>
      </c>
      <c r="M3436" s="1">
        <f t="shared" si="268"/>
        <v>137.61540611428649</v>
      </c>
      <c r="N3436" s="7">
        <f t="shared" si="269"/>
        <v>137.61540611428649</v>
      </c>
    </row>
    <row r="3437" spans="1:14" x14ac:dyDescent="0.25">
      <c r="A3437" t="str">
        <f>"14:47:37.602"</f>
        <v>14:47:37.602</v>
      </c>
      <c r="B3437">
        <v>40.374949000000001</v>
      </c>
      <c r="C3437">
        <v>-74.611394000000004</v>
      </c>
      <c r="D3437">
        <v>1700</v>
      </c>
      <c r="E3437">
        <v>1875</v>
      </c>
      <c r="F3437">
        <v>137</v>
      </c>
      <c r="G3437">
        <v>-13</v>
      </c>
      <c r="H3437">
        <v>0</v>
      </c>
      <c r="J3437" s="1">
        <f t="shared" si="265"/>
        <v>18769</v>
      </c>
      <c r="K3437" s="1">
        <f t="shared" si="266"/>
        <v>169</v>
      </c>
      <c r="L3437" s="1">
        <f t="shared" si="267"/>
        <v>18938</v>
      </c>
      <c r="M3437" s="1">
        <f t="shared" si="268"/>
        <v>137.61540611428649</v>
      </c>
      <c r="N3437" s="7">
        <f t="shared" si="269"/>
        <v>137.61540611428649</v>
      </c>
    </row>
    <row r="3438" spans="1:14" x14ac:dyDescent="0.25">
      <c r="A3438" t="str">
        <f>"14:47:38.656"</f>
        <v>14:47:38.656</v>
      </c>
      <c r="B3438">
        <v>40.374906000000003</v>
      </c>
      <c r="C3438">
        <v>-74.610579000000001</v>
      </c>
      <c r="D3438">
        <v>1700</v>
      </c>
      <c r="E3438">
        <v>1875</v>
      </c>
      <c r="F3438">
        <v>137</v>
      </c>
      <c r="G3438">
        <v>-13</v>
      </c>
      <c r="H3438">
        <v>0</v>
      </c>
      <c r="J3438" s="1">
        <f t="shared" si="265"/>
        <v>18769</v>
      </c>
      <c r="K3438" s="1">
        <f t="shared" si="266"/>
        <v>169</v>
      </c>
      <c r="L3438" s="1">
        <f t="shared" si="267"/>
        <v>18938</v>
      </c>
      <c r="M3438" s="1">
        <f t="shared" si="268"/>
        <v>137.61540611428649</v>
      </c>
      <c r="N3438" s="7">
        <f t="shared" si="269"/>
        <v>137.61540611428649</v>
      </c>
    </row>
    <row r="3439" spans="1:14" x14ac:dyDescent="0.25">
      <c r="A3439" t="str">
        <f>"14:47:39.516"</f>
        <v>14:47:39.516</v>
      </c>
      <c r="B3439">
        <v>40.374842000000001</v>
      </c>
      <c r="C3439">
        <v>-74.609892000000002</v>
      </c>
      <c r="D3439">
        <v>1700</v>
      </c>
      <c r="E3439">
        <v>1875</v>
      </c>
      <c r="F3439">
        <v>137</v>
      </c>
      <c r="G3439">
        <v>-13</v>
      </c>
      <c r="H3439">
        <v>-64</v>
      </c>
      <c r="J3439" s="1">
        <f t="shared" si="265"/>
        <v>18769</v>
      </c>
      <c r="K3439" s="1">
        <f t="shared" si="266"/>
        <v>169</v>
      </c>
      <c r="L3439" s="1">
        <f t="shared" si="267"/>
        <v>18938</v>
      </c>
      <c r="M3439" s="1">
        <f t="shared" si="268"/>
        <v>137.61540611428649</v>
      </c>
      <c r="N3439" s="7">
        <f t="shared" si="269"/>
        <v>137.61540611428649</v>
      </c>
    </row>
    <row r="3440" spans="1:14" x14ac:dyDescent="0.25">
      <c r="A3440" t="str">
        <f>"14:47:40.477"</f>
        <v>14:47:40.477</v>
      </c>
      <c r="B3440">
        <v>40.374799000000003</v>
      </c>
      <c r="C3440">
        <v>-74.609098000000003</v>
      </c>
      <c r="D3440">
        <v>1700</v>
      </c>
      <c r="E3440">
        <v>1875</v>
      </c>
      <c r="F3440">
        <v>137</v>
      </c>
      <c r="G3440">
        <v>-13</v>
      </c>
      <c r="H3440">
        <v>-64</v>
      </c>
      <c r="J3440" s="1">
        <f t="shared" si="265"/>
        <v>18769</v>
      </c>
      <c r="K3440" s="1">
        <f t="shared" si="266"/>
        <v>169</v>
      </c>
      <c r="L3440" s="1">
        <f t="shared" si="267"/>
        <v>18938</v>
      </c>
      <c r="M3440" s="1">
        <f t="shared" si="268"/>
        <v>137.61540611428649</v>
      </c>
      <c r="N3440" s="7">
        <f t="shared" si="269"/>
        <v>137.61540611428649</v>
      </c>
    </row>
    <row r="3441" spans="1:14" x14ac:dyDescent="0.25">
      <c r="A3441" t="str">
        <f>"14:47:41.641"</f>
        <v>14:47:41.641</v>
      </c>
      <c r="B3441">
        <v>40.374713</v>
      </c>
      <c r="C3441">
        <v>-74.608090000000004</v>
      </c>
      <c r="D3441">
        <v>1700</v>
      </c>
      <c r="E3441">
        <v>1875</v>
      </c>
      <c r="F3441">
        <v>137</v>
      </c>
      <c r="G3441">
        <v>-14</v>
      </c>
      <c r="H3441">
        <v>-64</v>
      </c>
      <c r="J3441" s="1">
        <f t="shared" si="265"/>
        <v>18769</v>
      </c>
      <c r="K3441" s="1">
        <f t="shared" si="266"/>
        <v>196</v>
      </c>
      <c r="L3441" s="1">
        <f t="shared" si="267"/>
        <v>18965</v>
      </c>
      <c r="M3441" s="1">
        <f t="shared" si="268"/>
        <v>137.71347065556077</v>
      </c>
      <c r="N3441" s="7">
        <f t="shared" si="269"/>
        <v>137.71347065556077</v>
      </c>
    </row>
    <row r="3442" spans="1:14" x14ac:dyDescent="0.25">
      <c r="A3442" t="str">
        <f>"14:47:42.750"</f>
        <v>14:47:42.750</v>
      </c>
      <c r="B3442">
        <v>40.374670000000002</v>
      </c>
      <c r="C3442">
        <v>-74.607167000000004</v>
      </c>
      <c r="D3442">
        <v>1700</v>
      </c>
      <c r="E3442">
        <v>1875</v>
      </c>
      <c r="F3442">
        <v>137</v>
      </c>
      <c r="G3442">
        <v>-14</v>
      </c>
      <c r="H3442">
        <v>-64</v>
      </c>
      <c r="J3442" s="1">
        <f t="shared" si="265"/>
        <v>18769</v>
      </c>
      <c r="K3442" s="1">
        <f t="shared" si="266"/>
        <v>196</v>
      </c>
      <c r="L3442" s="1">
        <f t="shared" si="267"/>
        <v>18965</v>
      </c>
      <c r="M3442" s="1">
        <f t="shared" si="268"/>
        <v>137.71347065556077</v>
      </c>
      <c r="N3442" s="7">
        <f t="shared" si="269"/>
        <v>137.71347065556077</v>
      </c>
    </row>
    <row r="3443" spans="1:14" x14ac:dyDescent="0.25">
      <c r="A3443" t="str">
        <f>"14:47:43.758"</f>
        <v>14:47:43.758</v>
      </c>
      <c r="B3443">
        <v>40.374563000000002</v>
      </c>
      <c r="C3443">
        <v>-74.606395000000006</v>
      </c>
      <c r="D3443">
        <v>1700</v>
      </c>
      <c r="E3443">
        <v>1875</v>
      </c>
      <c r="F3443">
        <v>137</v>
      </c>
      <c r="G3443">
        <v>-14</v>
      </c>
      <c r="H3443">
        <v>0</v>
      </c>
      <c r="J3443" s="1">
        <f t="shared" si="265"/>
        <v>18769</v>
      </c>
      <c r="K3443" s="1">
        <f t="shared" si="266"/>
        <v>196</v>
      </c>
      <c r="L3443" s="1">
        <f t="shared" si="267"/>
        <v>18965</v>
      </c>
      <c r="M3443" s="1">
        <f t="shared" si="268"/>
        <v>137.71347065556077</v>
      </c>
      <c r="N3443" s="7">
        <f t="shared" si="269"/>
        <v>137.71347065556077</v>
      </c>
    </row>
    <row r="3444" spans="1:14" x14ac:dyDescent="0.25">
      <c r="A3444" t="str">
        <f>"14:47:44.719"</f>
        <v>14:47:44.719</v>
      </c>
      <c r="B3444">
        <v>40.374519999999997</v>
      </c>
      <c r="C3444">
        <v>-74.605536000000001</v>
      </c>
      <c r="D3444">
        <v>1700</v>
      </c>
      <c r="E3444">
        <v>1875</v>
      </c>
      <c r="F3444">
        <v>136</v>
      </c>
      <c r="G3444">
        <v>-14</v>
      </c>
      <c r="H3444">
        <v>0</v>
      </c>
      <c r="J3444" s="1">
        <f t="shared" si="265"/>
        <v>18496</v>
      </c>
      <c r="K3444" s="1">
        <f t="shared" si="266"/>
        <v>196</v>
      </c>
      <c r="L3444" s="1">
        <f t="shared" si="267"/>
        <v>18692</v>
      </c>
      <c r="M3444" s="1">
        <f t="shared" si="268"/>
        <v>136.7186892857008</v>
      </c>
      <c r="N3444" s="7">
        <f t="shared" si="269"/>
        <v>136.7186892857008</v>
      </c>
    </row>
    <row r="3445" spans="1:14" x14ac:dyDescent="0.25">
      <c r="A3445" t="str">
        <f>"14:47:45.828"</f>
        <v>14:47:45.828</v>
      </c>
      <c r="B3445">
        <v>40.374434000000001</v>
      </c>
      <c r="C3445">
        <v>-74.604657000000003</v>
      </c>
      <c r="D3445">
        <v>1700</v>
      </c>
      <c r="E3445">
        <v>1875</v>
      </c>
      <c r="F3445">
        <v>136</v>
      </c>
      <c r="G3445">
        <v>-13</v>
      </c>
      <c r="H3445">
        <v>64</v>
      </c>
      <c r="J3445" s="1">
        <f t="shared" si="265"/>
        <v>18496</v>
      </c>
      <c r="K3445" s="1">
        <f t="shared" si="266"/>
        <v>169</v>
      </c>
      <c r="L3445" s="1">
        <f t="shared" si="267"/>
        <v>18665</v>
      </c>
      <c r="M3445" s="1">
        <f t="shared" si="268"/>
        <v>136.61991070118586</v>
      </c>
      <c r="N3445" s="7">
        <f t="shared" si="269"/>
        <v>136.61991070118586</v>
      </c>
    </row>
    <row r="3446" spans="1:14" x14ac:dyDescent="0.25">
      <c r="A3446" t="str">
        <f>"14:47:46.938"</f>
        <v>14:47:46.938</v>
      </c>
      <c r="B3446">
        <v>40.374391000000003</v>
      </c>
      <c r="C3446">
        <v>-74.603755000000007</v>
      </c>
      <c r="D3446">
        <v>1700</v>
      </c>
      <c r="E3446">
        <v>1875</v>
      </c>
      <c r="F3446">
        <v>136</v>
      </c>
      <c r="G3446">
        <v>-12</v>
      </c>
      <c r="H3446">
        <v>64</v>
      </c>
      <c r="J3446" s="1">
        <f t="shared" si="265"/>
        <v>18496</v>
      </c>
      <c r="K3446" s="1">
        <f t="shared" si="266"/>
        <v>144</v>
      </c>
      <c r="L3446" s="1">
        <f t="shared" si="267"/>
        <v>18640</v>
      </c>
      <c r="M3446" s="1">
        <f t="shared" si="268"/>
        <v>136.5283853270081</v>
      </c>
      <c r="N3446" s="7">
        <f t="shared" si="269"/>
        <v>136.5283853270081</v>
      </c>
    </row>
    <row r="3447" spans="1:14" x14ac:dyDescent="0.25">
      <c r="A3447" t="str">
        <f>"14:47:48.047"</f>
        <v>14:47:48.047</v>
      </c>
      <c r="B3447">
        <v>40.374391000000003</v>
      </c>
      <c r="C3447">
        <v>-74.602853999999994</v>
      </c>
      <c r="D3447">
        <v>1700</v>
      </c>
      <c r="E3447">
        <v>1875</v>
      </c>
      <c r="F3447">
        <v>137</v>
      </c>
      <c r="G3447">
        <v>-7</v>
      </c>
      <c r="H3447">
        <v>0</v>
      </c>
      <c r="J3447" s="1">
        <f t="shared" si="265"/>
        <v>18769</v>
      </c>
      <c r="K3447" s="1">
        <f t="shared" si="266"/>
        <v>49</v>
      </c>
      <c r="L3447" s="1">
        <f t="shared" si="267"/>
        <v>18818</v>
      </c>
      <c r="M3447" s="1">
        <f t="shared" si="268"/>
        <v>137.17871555019022</v>
      </c>
      <c r="N3447" s="7">
        <f t="shared" si="269"/>
        <v>137.17871555019022</v>
      </c>
    </row>
    <row r="3448" spans="1:14" x14ac:dyDescent="0.25">
      <c r="A3448" t="str">
        <f>"14:47:49.063"</f>
        <v>14:47:49.063</v>
      </c>
      <c r="B3448">
        <v>40.374391000000003</v>
      </c>
      <c r="C3448">
        <v>-74.601973999999998</v>
      </c>
      <c r="D3448">
        <v>1700</v>
      </c>
      <c r="E3448">
        <v>1875</v>
      </c>
      <c r="F3448">
        <v>137</v>
      </c>
      <c r="G3448">
        <v>-2</v>
      </c>
      <c r="H3448">
        <v>-64</v>
      </c>
      <c r="J3448" s="1">
        <f t="shared" si="265"/>
        <v>18769</v>
      </c>
      <c r="K3448" s="1">
        <f t="shared" si="266"/>
        <v>4</v>
      </c>
      <c r="L3448" s="1">
        <f t="shared" si="267"/>
        <v>18773</v>
      </c>
      <c r="M3448" s="1">
        <f t="shared" si="268"/>
        <v>137.01459776242822</v>
      </c>
      <c r="N3448" s="7">
        <f t="shared" si="269"/>
        <v>137.01459776242822</v>
      </c>
    </row>
    <row r="3449" spans="1:14" x14ac:dyDescent="0.25">
      <c r="A3449" t="str">
        <f>"14:47:50.016"</f>
        <v>14:47:50.016</v>
      </c>
      <c r="B3449">
        <v>40.374391000000003</v>
      </c>
      <c r="C3449">
        <v>-74.601158999999996</v>
      </c>
      <c r="D3449">
        <v>1700</v>
      </c>
      <c r="E3449">
        <v>1875</v>
      </c>
      <c r="F3449">
        <v>137</v>
      </c>
      <c r="G3449">
        <v>3</v>
      </c>
      <c r="H3449">
        <v>-128</v>
      </c>
      <c r="J3449" s="1">
        <f t="shared" si="265"/>
        <v>18769</v>
      </c>
      <c r="K3449" s="1">
        <f t="shared" si="266"/>
        <v>9</v>
      </c>
      <c r="L3449" s="1">
        <f t="shared" si="267"/>
        <v>18778</v>
      </c>
      <c r="M3449" s="1">
        <f t="shared" si="268"/>
        <v>137.03284277865654</v>
      </c>
      <c r="N3449" s="7">
        <f t="shared" si="269"/>
        <v>137.03284277865654</v>
      </c>
    </row>
    <row r="3450" spans="1:14" x14ac:dyDescent="0.25">
      <c r="A3450" t="str">
        <f>"14:47:51.031"</f>
        <v>14:47:51.031</v>
      </c>
      <c r="B3450">
        <v>40.374434000000001</v>
      </c>
      <c r="C3450">
        <v>-74.600344000000007</v>
      </c>
      <c r="D3450">
        <v>1700</v>
      </c>
      <c r="E3450">
        <v>1875</v>
      </c>
      <c r="F3450">
        <v>137</v>
      </c>
      <c r="G3450">
        <v>8</v>
      </c>
      <c r="H3450">
        <v>-192</v>
      </c>
      <c r="J3450" s="1">
        <f t="shared" si="265"/>
        <v>18769</v>
      </c>
      <c r="K3450" s="1">
        <f t="shared" si="266"/>
        <v>64</v>
      </c>
      <c r="L3450" s="1">
        <f t="shared" si="267"/>
        <v>18833</v>
      </c>
      <c r="M3450" s="1">
        <f t="shared" si="268"/>
        <v>137.23337786413333</v>
      </c>
      <c r="N3450" s="7">
        <f t="shared" si="269"/>
        <v>137.23337786413333</v>
      </c>
    </row>
    <row r="3451" spans="1:14" x14ac:dyDescent="0.25">
      <c r="A3451" t="str">
        <f>"14:47:52.039"</f>
        <v>14:47:52.039</v>
      </c>
      <c r="B3451">
        <v>40.374519999999997</v>
      </c>
      <c r="C3451">
        <v>-74.599485000000001</v>
      </c>
      <c r="D3451">
        <v>1700</v>
      </c>
      <c r="E3451">
        <v>1875</v>
      </c>
      <c r="F3451">
        <v>137</v>
      </c>
      <c r="G3451">
        <v>14</v>
      </c>
      <c r="H3451">
        <v>-192</v>
      </c>
      <c r="J3451" s="1">
        <f t="shared" si="265"/>
        <v>18769</v>
      </c>
      <c r="K3451" s="1">
        <f t="shared" si="266"/>
        <v>196</v>
      </c>
      <c r="L3451" s="1">
        <f t="shared" si="267"/>
        <v>18965</v>
      </c>
      <c r="M3451" s="1">
        <f t="shared" si="268"/>
        <v>137.71347065556077</v>
      </c>
      <c r="N3451" s="7">
        <f t="shared" si="269"/>
        <v>137.71347065556077</v>
      </c>
    </row>
    <row r="3452" spans="1:14" x14ac:dyDescent="0.25">
      <c r="A3452" t="str">
        <f>"14:47:53.055"</f>
        <v>14:47:53.055</v>
      </c>
      <c r="B3452">
        <v>40.374606</v>
      </c>
      <c r="C3452">
        <v>-74.598669999999998</v>
      </c>
      <c r="D3452">
        <v>1600</v>
      </c>
      <c r="E3452">
        <v>1850</v>
      </c>
      <c r="F3452">
        <v>136</v>
      </c>
      <c r="G3452">
        <v>20</v>
      </c>
      <c r="H3452">
        <v>-128</v>
      </c>
      <c r="J3452" s="1">
        <f t="shared" si="265"/>
        <v>18496</v>
      </c>
      <c r="K3452" s="1">
        <f t="shared" si="266"/>
        <v>400</v>
      </c>
      <c r="L3452" s="1">
        <f t="shared" si="267"/>
        <v>18896</v>
      </c>
      <c r="M3452" s="1">
        <f t="shared" si="268"/>
        <v>137.46272221951665</v>
      </c>
      <c r="N3452" s="7">
        <f t="shared" si="269"/>
        <v>137.46272221951665</v>
      </c>
    </row>
    <row r="3453" spans="1:14" x14ac:dyDescent="0.25">
      <c r="A3453" t="str">
        <f>"14:47:54.109"</f>
        <v>14:47:54.109</v>
      </c>
      <c r="B3453">
        <v>40.374755999999998</v>
      </c>
      <c r="C3453">
        <v>-74.597854999999996</v>
      </c>
      <c r="D3453">
        <v>1600</v>
      </c>
      <c r="E3453">
        <v>1850</v>
      </c>
      <c r="F3453">
        <v>135</v>
      </c>
      <c r="G3453">
        <v>26</v>
      </c>
      <c r="H3453">
        <v>0</v>
      </c>
      <c r="J3453" s="1">
        <f t="shared" si="265"/>
        <v>18225</v>
      </c>
      <c r="K3453" s="1">
        <f t="shared" si="266"/>
        <v>676</v>
      </c>
      <c r="L3453" s="1">
        <f t="shared" si="267"/>
        <v>18901</v>
      </c>
      <c r="M3453" s="1">
        <f t="shared" si="268"/>
        <v>137.48090776540573</v>
      </c>
      <c r="N3453" s="7">
        <f t="shared" si="269"/>
        <v>137.48090776540573</v>
      </c>
    </row>
    <row r="3454" spans="1:14" x14ac:dyDescent="0.25">
      <c r="A3454" t="str">
        <f>"14:47:55.070"</f>
        <v>14:47:55.070</v>
      </c>
      <c r="B3454">
        <v>40.374906000000003</v>
      </c>
      <c r="C3454">
        <v>-74.597038999999995</v>
      </c>
      <c r="D3454">
        <v>1600</v>
      </c>
      <c r="E3454">
        <v>1875</v>
      </c>
      <c r="F3454">
        <v>133</v>
      </c>
      <c r="G3454">
        <v>34</v>
      </c>
      <c r="H3454">
        <v>128</v>
      </c>
      <c r="J3454" s="1">
        <f t="shared" si="265"/>
        <v>17689</v>
      </c>
      <c r="K3454" s="1">
        <f t="shared" si="266"/>
        <v>1156</v>
      </c>
      <c r="L3454" s="1">
        <f t="shared" si="267"/>
        <v>18845</v>
      </c>
      <c r="M3454" s="1">
        <f t="shared" si="268"/>
        <v>137.27709204379295</v>
      </c>
      <c r="N3454" s="7">
        <f t="shared" si="269"/>
        <v>137.27709204379295</v>
      </c>
    </row>
    <row r="3455" spans="1:14" x14ac:dyDescent="0.25">
      <c r="A3455" t="str">
        <f>"14:47:56.133"</f>
        <v>14:47:56.133</v>
      </c>
      <c r="B3455">
        <v>40.375078000000002</v>
      </c>
      <c r="C3455">
        <v>-74.596224000000007</v>
      </c>
      <c r="D3455">
        <v>1600</v>
      </c>
      <c r="E3455">
        <v>1875</v>
      </c>
      <c r="F3455">
        <v>131</v>
      </c>
      <c r="G3455">
        <v>40</v>
      </c>
      <c r="H3455">
        <v>320</v>
      </c>
      <c r="J3455" s="1">
        <f t="shared" si="265"/>
        <v>17161</v>
      </c>
      <c r="K3455" s="1">
        <f t="shared" si="266"/>
        <v>1600</v>
      </c>
      <c r="L3455" s="1">
        <f t="shared" si="267"/>
        <v>18761</v>
      </c>
      <c r="M3455" s="1">
        <f t="shared" si="268"/>
        <v>136.97079980784227</v>
      </c>
      <c r="N3455" s="7">
        <f t="shared" si="269"/>
        <v>136.97079980784227</v>
      </c>
    </row>
    <row r="3456" spans="1:14" x14ac:dyDescent="0.25">
      <c r="A3456" t="str">
        <f>"14:47:57.188"</f>
        <v>14:47:57.188</v>
      </c>
      <c r="B3456">
        <v>40.375357000000001</v>
      </c>
      <c r="C3456">
        <v>-74.595365999999999</v>
      </c>
      <c r="D3456">
        <v>1600</v>
      </c>
      <c r="E3456">
        <v>1875</v>
      </c>
      <c r="F3456">
        <v>128</v>
      </c>
      <c r="G3456">
        <v>46</v>
      </c>
      <c r="H3456">
        <v>384</v>
      </c>
      <c r="J3456" s="1">
        <f t="shared" si="265"/>
        <v>16384</v>
      </c>
      <c r="K3456" s="1">
        <f t="shared" si="266"/>
        <v>2116</v>
      </c>
      <c r="L3456" s="1">
        <f t="shared" si="267"/>
        <v>18500</v>
      </c>
      <c r="M3456" s="1">
        <f t="shared" si="268"/>
        <v>136.01470508735443</v>
      </c>
      <c r="N3456" s="7">
        <f t="shared" si="269"/>
        <v>136.01470508735443</v>
      </c>
    </row>
    <row r="3457" spans="1:14" x14ac:dyDescent="0.25">
      <c r="A3457" t="str">
        <f>"14:47:58.203"</f>
        <v>14:47:58.203</v>
      </c>
      <c r="B3457">
        <v>40.375593000000002</v>
      </c>
      <c r="C3457">
        <v>-74.594615000000005</v>
      </c>
      <c r="D3457">
        <v>1600</v>
      </c>
      <c r="E3457">
        <v>1875</v>
      </c>
      <c r="F3457">
        <v>125</v>
      </c>
      <c r="G3457">
        <v>51</v>
      </c>
      <c r="H3457">
        <v>448</v>
      </c>
      <c r="J3457" s="1">
        <f t="shared" si="265"/>
        <v>15625</v>
      </c>
      <c r="K3457" s="1">
        <f t="shared" si="266"/>
        <v>2601</v>
      </c>
      <c r="L3457" s="1">
        <f t="shared" si="267"/>
        <v>18226</v>
      </c>
      <c r="M3457" s="1">
        <f t="shared" si="268"/>
        <v>135.00370365289984</v>
      </c>
      <c r="N3457" s="7">
        <f t="shared" si="269"/>
        <v>135.00370365289984</v>
      </c>
    </row>
    <row r="3458" spans="1:14" x14ac:dyDescent="0.25">
      <c r="A3458" t="str">
        <f>"14:47:59.156"</f>
        <v>14:47:59.156</v>
      </c>
      <c r="B3458">
        <v>40.37585</v>
      </c>
      <c r="C3458">
        <v>-74.593928000000005</v>
      </c>
      <c r="D3458">
        <v>1700</v>
      </c>
      <c r="E3458">
        <v>1900</v>
      </c>
      <c r="F3458">
        <v>122</v>
      </c>
      <c r="G3458">
        <v>56</v>
      </c>
      <c r="H3458">
        <v>448</v>
      </c>
      <c r="J3458" s="1">
        <f t="shared" si="265"/>
        <v>14884</v>
      </c>
      <c r="K3458" s="1">
        <f t="shared" si="266"/>
        <v>3136</v>
      </c>
      <c r="L3458" s="1">
        <f t="shared" si="267"/>
        <v>18020</v>
      </c>
      <c r="M3458" s="1">
        <f t="shared" si="268"/>
        <v>134.23859355639868</v>
      </c>
      <c r="N3458" s="7">
        <f t="shared" si="269"/>
        <v>134.23859355639868</v>
      </c>
    </row>
    <row r="3459" spans="1:14" x14ac:dyDescent="0.25">
      <c r="A3459" t="str">
        <f>"14:48:00.070"</f>
        <v>14:48:00.070</v>
      </c>
      <c r="B3459">
        <v>40.376108000000002</v>
      </c>
      <c r="C3459">
        <v>-74.593305999999998</v>
      </c>
      <c r="D3459">
        <v>1700</v>
      </c>
      <c r="E3459">
        <v>1900</v>
      </c>
      <c r="F3459">
        <v>120</v>
      </c>
      <c r="G3459">
        <v>60</v>
      </c>
      <c r="H3459">
        <v>384</v>
      </c>
      <c r="J3459" s="1">
        <f t="shared" ref="J3459:J3522" si="270">F3459^2</f>
        <v>14400</v>
      </c>
      <c r="K3459" s="1">
        <f t="shared" ref="K3459:K3522" si="271">G3459^2</f>
        <v>3600</v>
      </c>
      <c r="L3459" s="1">
        <f t="shared" ref="L3459:L3522" si="272">SUMSQ(F3459,G3459)</f>
        <v>18000</v>
      </c>
      <c r="M3459" s="1">
        <f t="shared" ref="M3459:M3522" si="273">SQRT(L3459)</f>
        <v>134.16407864998737</v>
      </c>
      <c r="N3459" s="7">
        <f t="shared" ref="N3459:N3522" si="274">M3459</f>
        <v>134.16407864998737</v>
      </c>
    </row>
    <row r="3460" spans="1:14" x14ac:dyDescent="0.25">
      <c r="A3460" t="str">
        <f>"14:48:01.078"</f>
        <v>14:48:01.078</v>
      </c>
      <c r="B3460">
        <v>40.376387000000001</v>
      </c>
      <c r="C3460">
        <v>-74.592555000000004</v>
      </c>
      <c r="D3460">
        <v>1700</v>
      </c>
      <c r="E3460">
        <v>1900</v>
      </c>
      <c r="F3460">
        <v>118</v>
      </c>
      <c r="G3460">
        <v>63</v>
      </c>
      <c r="H3460">
        <v>320</v>
      </c>
      <c r="J3460" s="1">
        <f t="shared" si="270"/>
        <v>13924</v>
      </c>
      <c r="K3460" s="1">
        <f t="shared" si="271"/>
        <v>3969</v>
      </c>
      <c r="L3460" s="1">
        <f t="shared" si="272"/>
        <v>17893</v>
      </c>
      <c r="M3460" s="1">
        <f t="shared" si="273"/>
        <v>133.76471881628578</v>
      </c>
      <c r="N3460" s="7">
        <f t="shared" si="274"/>
        <v>133.76471881628578</v>
      </c>
    </row>
    <row r="3461" spans="1:14" x14ac:dyDescent="0.25">
      <c r="A3461" t="str">
        <f>"14:48:02.594"</f>
        <v>14:48:02.594</v>
      </c>
      <c r="B3461">
        <v>40.376859000000003</v>
      </c>
      <c r="C3461">
        <v>-74.591481999999999</v>
      </c>
      <c r="D3461">
        <v>1700</v>
      </c>
      <c r="E3461">
        <v>1900</v>
      </c>
      <c r="F3461">
        <v>116</v>
      </c>
      <c r="G3461">
        <v>66</v>
      </c>
      <c r="H3461">
        <v>192</v>
      </c>
      <c r="J3461" s="1">
        <f t="shared" si="270"/>
        <v>13456</v>
      </c>
      <c r="K3461" s="1">
        <f t="shared" si="271"/>
        <v>4356</v>
      </c>
      <c r="L3461" s="1">
        <f t="shared" si="272"/>
        <v>17812</v>
      </c>
      <c r="M3461" s="1">
        <f t="shared" si="273"/>
        <v>133.46160496562297</v>
      </c>
      <c r="N3461" s="7">
        <f t="shared" si="274"/>
        <v>133.46160496562297</v>
      </c>
    </row>
    <row r="3462" spans="1:14" x14ac:dyDescent="0.25">
      <c r="A3462" t="str">
        <f>"14:48:03.602"</f>
        <v>14:48:03.602</v>
      </c>
      <c r="B3462">
        <v>40.377181</v>
      </c>
      <c r="C3462">
        <v>-74.590816000000004</v>
      </c>
      <c r="D3462">
        <v>1700</v>
      </c>
      <c r="E3462">
        <v>1900</v>
      </c>
      <c r="F3462">
        <v>115</v>
      </c>
      <c r="G3462">
        <v>67</v>
      </c>
      <c r="H3462">
        <v>128</v>
      </c>
      <c r="J3462" s="1">
        <f t="shared" si="270"/>
        <v>13225</v>
      </c>
      <c r="K3462" s="1">
        <f t="shared" si="271"/>
        <v>4489</v>
      </c>
      <c r="L3462" s="1">
        <f t="shared" si="272"/>
        <v>17714</v>
      </c>
      <c r="M3462" s="1">
        <f t="shared" si="273"/>
        <v>133.09395177843356</v>
      </c>
      <c r="N3462" s="7">
        <f t="shared" si="274"/>
        <v>133.09395177843356</v>
      </c>
    </row>
    <row r="3463" spans="1:14" x14ac:dyDescent="0.25">
      <c r="A3463" t="str">
        <f>"14:48:04.508"</f>
        <v>14:48:04.508</v>
      </c>
      <c r="B3463">
        <v>40.377502</v>
      </c>
      <c r="C3463">
        <v>-74.590086999999997</v>
      </c>
      <c r="D3463">
        <v>1700</v>
      </c>
      <c r="E3463">
        <v>1900</v>
      </c>
      <c r="F3463">
        <v>114</v>
      </c>
      <c r="G3463">
        <v>68</v>
      </c>
      <c r="H3463">
        <v>64</v>
      </c>
      <c r="J3463" s="1">
        <f t="shared" si="270"/>
        <v>12996</v>
      </c>
      <c r="K3463" s="1">
        <f t="shared" si="271"/>
        <v>4624</v>
      </c>
      <c r="L3463" s="1">
        <f t="shared" si="272"/>
        <v>17620</v>
      </c>
      <c r="M3463" s="1">
        <f t="shared" si="273"/>
        <v>132.74034804836094</v>
      </c>
      <c r="N3463" s="7">
        <f t="shared" si="274"/>
        <v>132.74034804836094</v>
      </c>
    </row>
    <row r="3464" spans="1:14" x14ac:dyDescent="0.25">
      <c r="A3464" t="str">
        <f>"14:48:05.617"</f>
        <v>14:48:05.617</v>
      </c>
      <c r="B3464">
        <v>40.377823999999997</v>
      </c>
      <c r="C3464">
        <v>-74.589357000000007</v>
      </c>
      <c r="D3464">
        <v>1700</v>
      </c>
      <c r="E3464">
        <v>1900</v>
      </c>
      <c r="F3464">
        <v>114</v>
      </c>
      <c r="G3464">
        <v>68</v>
      </c>
      <c r="H3464">
        <v>-64</v>
      </c>
      <c r="J3464" s="1">
        <f t="shared" si="270"/>
        <v>12996</v>
      </c>
      <c r="K3464" s="1">
        <f t="shared" si="271"/>
        <v>4624</v>
      </c>
      <c r="L3464" s="1">
        <f t="shared" si="272"/>
        <v>17620</v>
      </c>
      <c r="M3464" s="1">
        <f t="shared" si="273"/>
        <v>132.74034804836094</v>
      </c>
      <c r="N3464" s="7">
        <f t="shared" si="274"/>
        <v>132.74034804836094</v>
      </c>
    </row>
    <row r="3465" spans="1:14" x14ac:dyDescent="0.25">
      <c r="A3465" t="str">
        <f>"14:48:06.578"</f>
        <v>14:48:06.578</v>
      </c>
      <c r="B3465">
        <v>40.378103000000003</v>
      </c>
      <c r="C3465">
        <v>-74.588735</v>
      </c>
      <c r="D3465">
        <v>1700</v>
      </c>
      <c r="E3465">
        <v>1900</v>
      </c>
      <c r="F3465">
        <v>114</v>
      </c>
      <c r="G3465">
        <v>68</v>
      </c>
      <c r="H3465">
        <v>-128</v>
      </c>
      <c r="J3465" s="1">
        <f t="shared" si="270"/>
        <v>12996</v>
      </c>
      <c r="K3465" s="1">
        <f t="shared" si="271"/>
        <v>4624</v>
      </c>
      <c r="L3465" s="1">
        <f t="shared" si="272"/>
        <v>17620</v>
      </c>
      <c r="M3465" s="1">
        <f t="shared" si="273"/>
        <v>132.74034804836094</v>
      </c>
      <c r="N3465" s="7">
        <f t="shared" si="274"/>
        <v>132.74034804836094</v>
      </c>
    </row>
    <row r="3466" spans="1:14" x14ac:dyDescent="0.25">
      <c r="A3466" t="str">
        <f>"14:48:07.539"</f>
        <v>14:48:07.539</v>
      </c>
      <c r="B3466">
        <v>40.378425</v>
      </c>
      <c r="C3466">
        <v>-74.588005999999993</v>
      </c>
      <c r="D3466">
        <v>1700</v>
      </c>
      <c r="E3466">
        <v>1900</v>
      </c>
      <c r="F3466">
        <v>114</v>
      </c>
      <c r="G3466">
        <v>68</v>
      </c>
      <c r="H3466">
        <v>-192</v>
      </c>
      <c r="J3466" s="1">
        <f t="shared" si="270"/>
        <v>12996</v>
      </c>
      <c r="K3466" s="1">
        <f t="shared" si="271"/>
        <v>4624</v>
      </c>
      <c r="L3466" s="1">
        <f t="shared" si="272"/>
        <v>17620</v>
      </c>
      <c r="M3466" s="1">
        <f t="shared" si="273"/>
        <v>132.74034804836094</v>
      </c>
      <c r="N3466" s="7">
        <f t="shared" si="274"/>
        <v>132.74034804836094</v>
      </c>
    </row>
    <row r="3467" spans="1:14" x14ac:dyDescent="0.25">
      <c r="A3467" t="str">
        <f>"14:48:08.445"</f>
        <v>14:48:08.445</v>
      </c>
      <c r="B3467">
        <v>40.378703999999999</v>
      </c>
      <c r="C3467">
        <v>-74.587425999999994</v>
      </c>
      <c r="D3467">
        <v>1700</v>
      </c>
      <c r="E3467">
        <v>1900</v>
      </c>
      <c r="F3467">
        <v>114</v>
      </c>
      <c r="G3467">
        <v>67</v>
      </c>
      <c r="H3467">
        <v>-192</v>
      </c>
      <c r="J3467" s="1">
        <f t="shared" si="270"/>
        <v>12996</v>
      </c>
      <c r="K3467" s="1">
        <f t="shared" si="271"/>
        <v>4489</v>
      </c>
      <c r="L3467" s="1">
        <f t="shared" si="272"/>
        <v>17485</v>
      </c>
      <c r="M3467" s="1">
        <f t="shared" si="273"/>
        <v>132.23085872821065</v>
      </c>
      <c r="N3467" s="7">
        <f t="shared" si="274"/>
        <v>132.23085872821065</v>
      </c>
    </row>
    <row r="3468" spans="1:14" x14ac:dyDescent="0.25">
      <c r="A3468" t="str">
        <f>"14:48:09.461"</f>
        <v>14:48:09.461</v>
      </c>
      <c r="B3468">
        <v>40.378982999999998</v>
      </c>
      <c r="C3468">
        <v>-74.586740000000006</v>
      </c>
      <c r="D3468">
        <v>1700</v>
      </c>
      <c r="E3468">
        <v>1900</v>
      </c>
      <c r="F3468">
        <v>115</v>
      </c>
      <c r="G3468">
        <v>67</v>
      </c>
      <c r="H3468">
        <v>-256</v>
      </c>
      <c r="J3468" s="1">
        <f t="shared" si="270"/>
        <v>13225</v>
      </c>
      <c r="K3468" s="1">
        <f t="shared" si="271"/>
        <v>4489</v>
      </c>
      <c r="L3468" s="1">
        <f t="shared" si="272"/>
        <v>17714</v>
      </c>
      <c r="M3468" s="1">
        <f t="shared" si="273"/>
        <v>133.09395177843356</v>
      </c>
      <c r="N3468" s="7">
        <f t="shared" si="274"/>
        <v>133.09395177843356</v>
      </c>
    </row>
    <row r="3469" spans="1:14" x14ac:dyDescent="0.25">
      <c r="A3469" t="str">
        <f>"14:48:10.320"</f>
        <v>14:48:10.320</v>
      </c>
      <c r="B3469">
        <v>40.379283000000001</v>
      </c>
      <c r="C3469">
        <v>-74.586117000000002</v>
      </c>
      <c r="D3469">
        <v>1700</v>
      </c>
      <c r="E3469">
        <v>1900</v>
      </c>
      <c r="F3469">
        <v>115</v>
      </c>
      <c r="G3469">
        <v>66</v>
      </c>
      <c r="H3469">
        <v>-256</v>
      </c>
      <c r="J3469" s="1">
        <f t="shared" si="270"/>
        <v>13225</v>
      </c>
      <c r="K3469" s="1">
        <f t="shared" si="271"/>
        <v>4356</v>
      </c>
      <c r="L3469" s="1">
        <f t="shared" si="272"/>
        <v>17581</v>
      </c>
      <c r="M3469" s="1">
        <f t="shared" si="273"/>
        <v>132.59336333316233</v>
      </c>
      <c r="N3469" s="7">
        <f t="shared" si="274"/>
        <v>132.59336333316233</v>
      </c>
    </row>
    <row r="3470" spans="1:14" x14ac:dyDescent="0.25">
      <c r="A3470" t="str">
        <f>"14:48:11.273"</f>
        <v>14:48:11.273</v>
      </c>
      <c r="B3470">
        <v>40.379541000000003</v>
      </c>
      <c r="C3470">
        <v>-74.585494999999995</v>
      </c>
      <c r="D3470">
        <v>1700</v>
      </c>
      <c r="E3470">
        <v>1900</v>
      </c>
      <c r="F3470">
        <v>115</v>
      </c>
      <c r="G3470">
        <v>66</v>
      </c>
      <c r="H3470">
        <v>-192</v>
      </c>
      <c r="J3470" s="1">
        <f t="shared" si="270"/>
        <v>13225</v>
      </c>
      <c r="K3470" s="1">
        <f t="shared" si="271"/>
        <v>4356</v>
      </c>
      <c r="L3470" s="1">
        <f t="shared" si="272"/>
        <v>17581</v>
      </c>
      <c r="M3470" s="1">
        <f t="shared" si="273"/>
        <v>132.59336333316233</v>
      </c>
      <c r="N3470" s="7">
        <f t="shared" si="274"/>
        <v>132.59336333316233</v>
      </c>
    </row>
    <row r="3471" spans="1:14" x14ac:dyDescent="0.25">
      <c r="A3471" t="str">
        <f>"14:48:12.289"</f>
        <v>14:48:12.289</v>
      </c>
      <c r="B3471">
        <v>40.379883999999997</v>
      </c>
      <c r="C3471">
        <v>-74.584807999999995</v>
      </c>
      <c r="D3471">
        <v>1700</v>
      </c>
      <c r="E3471">
        <v>1900</v>
      </c>
      <c r="F3471">
        <v>115</v>
      </c>
      <c r="G3471">
        <v>65</v>
      </c>
      <c r="H3471">
        <v>-128</v>
      </c>
      <c r="J3471" s="1">
        <f t="shared" si="270"/>
        <v>13225</v>
      </c>
      <c r="K3471" s="1">
        <f t="shared" si="271"/>
        <v>4225</v>
      </c>
      <c r="L3471" s="1">
        <f t="shared" si="272"/>
        <v>17450</v>
      </c>
      <c r="M3471" s="1">
        <f t="shared" si="273"/>
        <v>132.09844813622905</v>
      </c>
      <c r="N3471" s="7">
        <f t="shared" si="274"/>
        <v>132.09844813622905</v>
      </c>
    </row>
    <row r="3472" spans="1:14" x14ac:dyDescent="0.25">
      <c r="A3472" t="str">
        <f>"14:48:13.344"</f>
        <v>14:48:13.344</v>
      </c>
      <c r="B3472">
        <v>40.380206000000001</v>
      </c>
      <c r="C3472">
        <v>-74.583993000000007</v>
      </c>
      <c r="D3472">
        <v>1700</v>
      </c>
      <c r="E3472">
        <v>1875</v>
      </c>
      <c r="F3472">
        <v>116</v>
      </c>
      <c r="G3472">
        <v>65</v>
      </c>
      <c r="H3472">
        <v>-64</v>
      </c>
      <c r="J3472" s="1">
        <f t="shared" si="270"/>
        <v>13456</v>
      </c>
      <c r="K3472" s="1">
        <f t="shared" si="271"/>
        <v>4225</v>
      </c>
      <c r="L3472" s="1">
        <f t="shared" si="272"/>
        <v>17681</v>
      </c>
      <c r="M3472" s="1">
        <f t="shared" si="273"/>
        <v>132.96992141082131</v>
      </c>
      <c r="N3472" s="7">
        <f t="shared" si="274"/>
        <v>132.96992141082131</v>
      </c>
    </row>
    <row r="3473" spans="1:14" x14ac:dyDescent="0.25">
      <c r="A3473" t="str">
        <f>"14:48:14.305"</f>
        <v>14:48:14.305</v>
      </c>
      <c r="B3473">
        <v>40.380485</v>
      </c>
      <c r="C3473">
        <v>-74.583305999999993</v>
      </c>
      <c r="D3473">
        <v>1700</v>
      </c>
      <c r="E3473">
        <v>1875</v>
      </c>
      <c r="F3473">
        <v>116</v>
      </c>
      <c r="G3473">
        <v>64</v>
      </c>
      <c r="H3473">
        <v>0</v>
      </c>
      <c r="J3473" s="1">
        <f t="shared" si="270"/>
        <v>13456</v>
      </c>
      <c r="K3473" s="1">
        <f t="shared" si="271"/>
        <v>4096</v>
      </c>
      <c r="L3473" s="1">
        <f t="shared" si="272"/>
        <v>17552</v>
      </c>
      <c r="M3473" s="1">
        <f t="shared" si="273"/>
        <v>132.48396129343357</v>
      </c>
      <c r="N3473" s="7">
        <f t="shared" si="274"/>
        <v>132.48396129343357</v>
      </c>
    </row>
    <row r="3474" spans="1:14" x14ac:dyDescent="0.25">
      <c r="A3474" t="str">
        <f>"14:48:15.469"</f>
        <v>14:48:15.469</v>
      </c>
      <c r="B3474">
        <v>40.380806999999997</v>
      </c>
      <c r="C3474">
        <v>-74.582491000000005</v>
      </c>
      <c r="D3474">
        <v>1700</v>
      </c>
      <c r="E3474">
        <v>1875</v>
      </c>
      <c r="F3474">
        <v>116</v>
      </c>
      <c r="G3474">
        <v>63</v>
      </c>
      <c r="H3474">
        <v>64</v>
      </c>
      <c r="J3474" s="1">
        <f t="shared" si="270"/>
        <v>13456</v>
      </c>
      <c r="K3474" s="1">
        <f t="shared" si="271"/>
        <v>3969</v>
      </c>
      <c r="L3474" s="1">
        <f t="shared" si="272"/>
        <v>17425</v>
      </c>
      <c r="M3474" s="1">
        <f t="shared" si="273"/>
        <v>132.00378782444085</v>
      </c>
      <c r="N3474" s="7">
        <f t="shared" si="274"/>
        <v>132.00378782444085</v>
      </c>
    </row>
    <row r="3475" spans="1:14" x14ac:dyDescent="0.25">
      <c r="A3475" t="str">
        <f>"14:48:16.578"</f>
        <v>14:48:16.578</v>
      </c>
      <c r="B3475">
        <v>40.381129000000001</v>
      </c>
      <c r="C3475">
        <v>-74.581717999999995</v>
      </c>
      <c r="D3475">
        <v>1700</v>
      </c>
      <c r="E3475">
        <v>1875</v>
      </c>
      <c r="F3475">
        <v>116</v>
      </c>
      <c r="G3475">
        <v>63</v>
      </c>
      <c r="H3475">
        <v>64</v>
      </c>
      <c r="J3475" s="1">
        <f t="shared" si="270"/>
        <v>13456</v>
      </c>
      <c r="K3475" s="1">
        <f t="shared" si="271"/>
        <v>3969</v>
      </c>
      <c r="L3475" s="1">
        <f t="shared" si="272"/>
        <v>17425</v>
      </c>
      <c r="M3475" s="1">
        <f t="shared" si="273"/>
        <v>132.00378782444085</v>
      </c>
      <c r="N3475" s="7">
        <f t="shared" si="274"/>
        <v>132.00378782444085</v>
      </c>
    </row>
    <row r="3476" spans="1:14" x14ac:dyDescent="0.25">
      <c r="A3476" t="str">
        <f>"14:48:17.539"</f>
        <v>14:48:17.539</v>
      </c>
      <c r="B3476">
        <v>40.381428999999997</v>
      </c>
      <c r="C3476">
        <v>-74.581052999999997</v>
      </c>
      <c r="D3476">
        <v>1700</v>
      </c>
      <c r="E3476">
        <v>1900</v>
      </c>
      <c r="F3476">
        <v>115</v>
      </c>
      <c r="G3476">
        <v>63</v>
      </c>
      <c r="H3476">
        <v>128</v>
      </c>
      <c r="J3476" s="1">
        <f t="shared" si="270"/>
        <v>13225</v>
      </c>
      <c r="K3476" s="1">
        <f t="shared" si="271"/>
        <v>3969</v>
      </c>
      <c r="L3476" s="1">
        <f t="shared" si="272"/>
        <v>17194</v>
      </c>
      <c r="M3476" s="1">
        <f t="shared" si="273"/>
        <v>131.12589370524802</v>
      </c>
      <c r="N3476" s="7">
        <f t="shared" si="274"/>
        <v>131.12589370524802</v>
      </c>
    </row>
    <row r="3477" spans="1:14" x14ac:dyDescent="0.25">
      <c r="A3477" t="str">
        <f>"14:48:18.594"</f>
        <v>14:48:18.594</v>
      </c>
      <c r="B3477">
        <v>40.381708000000003</v>
      </c>
      <c r="C3477">
        <v>-74.580324000000005</v>
      </c>
      <c r="D3477">
        <v>1700</v>
      </c>
      <c r="E3477">
        <v>1900</v>
      </c>
      <c r="F3477">
        <v>115</v>
      </c>
      <c r="G3477">
        <v>62</v>
      </c>
      <c r="H3477">
        <v>64</v>
      </c>
      <c r="J3477" s="1">
        <f t="shared" si="270"/>
        <v>13225</v>
      </c>
      <c r="K3477" s="1">
        <f t="shared" si="271"/>
        <v>3844</v>
      </c>
      <c r="L3477" s="1">
        <f t="shared" si="272"/>
        <v>17069</v>
      </c>
      <c r="M3477" s="1">
        <f t="shared" si="273"/>
        <v>130.64838307457157</v>
      </c>
      <c r="N3477" s="7">
        <f t="shared" si="274"/>
        <v>130.64838307457157</v>
      </c>
    </row>
    <row r="3478" spans="1:14" x14ac:dyDescent="0.25">
      <c r="A3478" t="str">
        <f>"14:48:19.406"</f>
        <v>14:48:19.406</v>
      </c>
      <c r="B3478">
        <v>40.381943999999997</v>
      </c>
      <c r="C3478">
        <v>-74.579830000000001</v>
      </c>
      <c r="D3478">
        <v>1700</v>
      </c>
      <c r="E3478">
        <v>1900</v>
      </c>
      <c r="F3478">
        <v>115</v>
      </c>
      <c r="G3478">
        <v>62</v>
      </c>
      <c r="H3478">
        <v>0</v>
      </c>
      <c r="J3478" s="1">
        <f t="shared" si="270"/>
        <v>13225</v>
      </c>
      <c r="K3478" s="1">
        <f t="shared" si="271"/>
        <v>3844</v>
      </c>
      <c r="L3478" s="1">
        <f t="shared" si="272"/>
        <v>17069</v>
      </c>
      <c r="M3478" s="1">
        <f t="shared" si="273"/>
        <v>130.64838307457157</v>
      </c>
      <c r="N3478" s="7">
        <f t="shared" si="274"/>
        <v>130.64838307457157</v>
      </c>
    </row>
    <row r="3479" spans="1:14" x14ac:dyDescent="0.25">
      <c r="A3479" t="str">
        <f>"14:48:20.367"</f>
        <v>14:48:20.367</v>
      </c>
      <c r="B3479">
        <v>40.382223000000003</v>
      </c>
      <c r="C3479">
        <v>-74.579100999999994</v>
      </c>
      <c r="D3479">
        <v>1700</v>
      </c>
      <c r="E3479">
        <v>1900</v>
      </c>
      <c r="F3479">
        <v>115</v>
      </c>
      <c r="G3479">
        <v>62</v>
      </c>
      <c r="H3479">
        <v>-64</v>
      </c>
      <c r="J3479" s="1">
        <f t="shared" si="270"/>
        <v>13225</v>
      </c>
      <c r="K3479" s="1">
        <f t="shared" si="271"/>
        <v>3844</v>
      </c>
      <c r="L3479" s="1">
        <f t="shared" si="272"/>
        <v>17069</v>
      </c>
      <c r="M3479" s="1">
        <f t="shared" si="273"/>
        <v>130.64838307457157</v>
      </c>
      <c r="N3479" s="7">
        <f t="shared" si="274"/>
        <v>130.64838307457157</v>
      </c>
    </row>
    <row r="3480" spans="1:14" x14ac:dyDescent="0.25">
      <c r="A3480" t="str">
        <f>"14:48:21.477"</f>
        <v>14:48:21.477</v>
      </c>
      <c r="B3480">
        <v>40.382523999999997</v>
      </c>
      <c r="C3480">
        <v>-74.578306999999995</v>
      </c>
      <c r="D3480">
        <v>1700</v>
      </c>
      <c r="E3480">
        <v>1900</v>
      </c>
      <c r="F3480">
        <v>115</v>
      </c>
      <c r="G3480">
        <v>62</v>
      </c>
      <c r="H3480">
        <v>-128</v>
      </c>
      <c r="J3480" s="1">
        <f t="shared" si="270"/>
        <v>13225</v>
      </c>
      <c r="K3480" s="1">
        <f t="shared" si="271"/>
        <v>3844</v>
      </c>
      <c r="L3480" s="1">
        <f t="shared" si="272"/>
        <v>17069</v>
      </c>
      <c r="M3480" s="1">
        <f t="shared" si="273"/>
        <v>130.64838307457157</v>
      </c>
      <c r="N3480" s="7">
        <f t="shared" si="274"/>
        <v>130.64838307457157</v>
      </c>
    </row>
    <row r="3481" spans="1:14" x14ac:dyDescent="0.25">
      <c r="A3481" t="str">
        <f>"14:48:22.336"</f>
        <v>14:48:22.336</v>
      </c>
      <c r="B3481">
        <v>40.382801999999998</v>
      </c>
      <c r="C3481">
        <v>-74.577706000000006</v>
      </c>
      <c r="D3481">
        <v>1700</v>
      </c>
      <c r="E3481">
        <v>1875</v>
      </c>
      <c r="F3481">
        <v>115</v>
      </c>
      <c r="G3481">
        <v>62</v>
      </c>
      <c r="H3481">
        <v>-128</v>
      </c>
      <c r="J3481" s="1">
        <f t="shared" si="270"/>
        <v>13225</v>
      </c>
      <c r="K3481" s="1">
        <f t="shared" si="271"/>
        <v>3844</v>
      </c>
      <c r="L3481" s="1">
        <f t="shared" si="272"/>
        <v>17069</v>
      </c>
      <c r="M3481" s="1">
        <f t="shared" si="273"/>
        <v>130.64838307457157</v>
      </c>
      <c r="N3481" s="7">
        <f t="shared" si="274"/>
        <v>130.64838307457157</v>
      </c>
    </row>
    <row r="3482" spans="1:14" x14ac:dyDescent="0.25">
      <c r="A3482" t="str">
        <f>"14:48:23.289"</f>
        <v>14:48:23.289</v>
      </c>
      <c r="B3482">
        <v>40.383038999999997</v>
      </c>
      <c r="C3482">
        <v>-74.577127000000004</v>
      </c>
      <c r="D3482">
        <v>1700</v>
      </c>
      <c r="E3482">
        <v>1875</v>
      </c>
      <c r="F3482">
        <v>115</v>
      </c>
      <c r="G3482">
        <v>62</v>
      </c>
      <c r="H3482">
        <v>-192</v>
      </c>
      <c r="J3482" s="1">
        <f t="shared" si="270"/>
        <v>13225</v>
      </c>
      <c r="K3482" s="1">
        <f t="shared" si="271"/>
        <v>3844</v>
      </c>
      <c r="L3482" s="1">
        <f t="shared" si="272"/>
        <v>17069</v>
      </c>
      <c r="M3482" s="1">
        <f t="shared" si="273"/>
        <v>130.64838307457157</v>
      </c>
      <c r="N3482" s="7">
        <f t="shared" si="274"/>
        <v>130.64838307457157</v>
      </c>
    </row>
    <row r="3483" spans="1:14" x14ac:dyDescent="0.25">
      <c r="A3483" t="str">
        <f>"14:48:24.148"</f>
        <v>14:48:24.148</v>
      </c>
      <c r="B3483">
        <v>40.383316999999998</v>
      </c>
      <c r="C3483">
        <v>-74.576482999999996</v>
      </c>
      <c r="D3483">
        <v>1700</v>
      </c>
      <c r="E3483">
        <v>1875</v>
      </c>
      <c r="F3483">
        <v>115</v>
      </c>
      <c r="G3483">
        <v>62</v>
      </c>
      <c r="H3483">
        <v>-192</v>
      </c>
      <c r="J3483" s="1">
        <f t="shared" si="270"/>
        <v>13225</v>
      </c>
      <c r="K3483" s="1">
        <f t="shared" si="271"/>
        <v>3844</v>
      </c>
      <c r="L3483" s="1">
        <f t="shared" si="272"/>
        <v>17069</v>
      </c>
      <c r="M3483" s="1">
        <f t="shared" si="273"/>
        <v>130.64838307457157</v>
      </c>
      <c r="N3483" s="7">
        <f t="shared" si="274"/>
        <v>130.64838307457157</v>
      </c>
    </row>
    <row r="3484" spans="1:14" x14ac:dyDescent="0.25">
      <c r="A3484" t="str">
        <f>"14:48:25.266"</f>
        <v>14:48:25.266</v>
      </c>
      <c r="B3484">
        <v>40.383639000000002</v>
      </c>
      <c r="C3484">
        <v>-74.575688999999997</v>
      </c>
      <c r="D3484">
        <v>1700</v>
      </c>
      <c r="E3484">
        <v>1875</v>
      </c>
      <c r="F3484">
        <v>115</v>
      </c>
      <c r="G3484">
        <v>62</v>
      </c>
      <c r="H3484">
        <v>-128</v>
      </c>
      <c r="J3484" s="1">
        <f t="shared" si="270"/>
        <v>13225</v>
      </c>
      <c r="K3484" s="1">
        <f t="shared" si="271"/>
        <v>3844</v>
      </c>
      <c r="L3484" s="1">
        <f t="shared" si="272"/>
        <v>17069</v>
      </c>
      <c r="M3484" s="1">
        <f t="shared" si="273"/>
        <v>130.64838307457157</v>
      </c>
      <c r="N3484" s="7">
        <f t="shared" si="274"/>
        <v>130.64838307457157</v>
      </c>
    </row>
    <row r="3485" spans="1:14" x14ac:dyDescent="0.25">
      <c r="A3485" t="str">
        <f>"14:48:26.273"</f>
        <v>14:48:26.273</v>
      </c>
      <c r="B3485">
        <v>40.383918000000001</v>
      </c>
      <c r="C3485">
        <v>-74.575001999999998</v>
      </c>
      <c r="D3485">
        <v>1700</v>
      </c>
      <c r="E3485">
        <v>1875</v>
      </c>
      <c r="F3485">
        <v>115</v>
      </c>
      <c r="G3485">
        <v>62</v>
      </c>
      <c r="H3485">
        <v>-64</v>
      </c>
      <c r="J3485" s="1">
        <f t="shared" si="270"/>
        <v>13225</v>
      </c>
      <c r="K3485" s="1">
        <f t="shared" si="271"/>
        <v>3844</v>
      </c>
      <c r="L3485" s="1">
        <f t="shared" si="272"/>
        <v>17069</v>
      </c>
      <c r="M3485" s="1">
        <f t="shared" si="273"/>
        <v>130.64838307457157</v>
      </c>
      <c r="N3485" s="7">
        <f t="shared" si="274"/>
        <v>130.64838307457157</v>
      </c>
    </row>
    <row r="3486" spans="1:14" x14ac:dyDescent="0.25">
      <c r="A3486" t="str">
        <f>"14:48:27.281"</f>
        <v>14:48:27.281</v>
      </c>
      <c r="B3486">
        <v>40.384197</v>
      </c>
      <c r="C3486">
        <v>-74.574315999999996</v>
      </c>
      <c r="D3486">
        <v>1700</v>
      </c>
      <c r="E3486">
        <v>1875</v>
      </c>
      <c r="F3486">
        <v>114</v>
      </c>
      <c r="G3486">
        <v>62</v>
      </c>
      <c r="H3486">
        <v>0</v>
      </c>
      <c r="J3486" s="1">
        <f t="shared" si="270"/>
        <v>12996</v>
      </c>
      <c r="K3486" s="1">
        <f t="shared" si="271"/>
        <v>3844</v>
      </c>
      <c r="L3486" s="1">
        <f t="shared" si="272"/>
        <v>16840</v>
      </c>
      <c r="M3486" s="1">
        <f t="shared" si="273"/>
        <v>129.76902558006668</v>
      </c>
      <c r="N3486" s="7">
        <f t="shared" si="274"/>
        <v>129.76902558006668</v>
      </c>
    </row>
    <row r="3487" spans="1:14" x14ac:dyDescent="0.25">
      <c r="A3487" t="str">
        <f>"14:48:28.289"</f>
        <v>14:48:28.289</v>
      </c>
      <c r="B3487">
        <v>40.384475999999999</v>
      </c>
      <c r="C3487">
        <v>-74.573628999999997</v>
      </c>
      <c r="D3487">
        <v>1700</v>
      </c>
      <c r="E3487">
        <v>1875</v>
      </c>
      <c r="F3487">
        <v>114</v>
      </c>
      <c r="G3487">
        <v>62</v>
      </c>
      <c r="H3487">
        <v>64</v>
      </c>
      <c r="J3487" s="1">
        <f t="shared" si="270"/>
        <v>12996</v>
      </c>
      <c r="K3487" s="1">
        <f t="shared" si="271"/>
        <v>3844</v>
      </c>
      <c r="L3487" s="1">
        <f t="shared" si="272"/>
        <v>16840</v>
      </c>
      <c r="M3487" s="1">
        <f t="shared" si="273"/>
        <v>129.76902558006668</v>
      </c>
      <c r="N3487" s="7">
        <f t="shared" si="274"/>
        <v>129.76902558006668</v>
      </c>
    </row>
    <row r="3488" spans="1:14" x14ac:dyDescent="0.25">
      <c r="A3488" t="str">
        <f>"14:48:29.305"</f>
        <v>14:48:29.305</v>
      </c>
      <c r="B3488">
        <v>40.384754999999998</v>
      </c>
      <c r="C3488">
        <v>-74.572941999999998</v>
      </c>
      <c r="D3488">
        <v>1700</v>
      </c>
      <c r="E3488">
        <v>1875</v>
      </c>
      <c r="F3488">
        <v>114</v>
      </c>
      <c r="G3488">
        <v>62</v>
      </c>
      <c r="H3488">
        <v>64</v>
      </c>
      <c r="J3488" s="1">
        <f t="shared" si="270"/>
        <v>12996</v>
      </c>
      <c r="K3488" s="1">
        <f t="shared" si="271"/>
        <v>3844</v>
      </c>
      <c r="L3488" s="1">
        <f t="shared" si="272"/>
        <v>16840</v>
      </c>
      <c r="M3488" s="1">
        <f t="shared" si="273"/>
        <v>129.76902558006668</v>
      </c>
      <c r="N3488" s="7">
        <f t="shared" si="274"/>
        <v>129.76902558006668</v>
      </c>
    </row>
    <row r="3489" spans="1:14" x14ac:dyDescent="0.25">
      <c r="A3489" t="str">
        <f>"14:48:30.211"</f>
        <v>14:48:30.211</v>
      </c>
      <c r="B3489">
        <v>40.385033999999997</v>
      </c>
      <c r="C3489">
        <v>-74.572255999999996</v>
      </c>
      <c r="D3489">
        <v>1700</v>
      </c>
      <c r="E3489">
        <v>1875</v>
      </c>
      <c r="F3489">
        <v>114</v>
      </c>
      <c r="G3489">
        <v>62</v>
      </c>
      <c r="H3489">
        <v>64</v>
      </c>
      <c r="J3489" s="1">
        <f t="shared" si="270"/>
        <v>12996</v>
      </c>
      <c r="K3489" s="1">
        <f t="shared" si="271"/>
        <v>3844</v>
      </c>
      <c r="L3489" s="1">
        <f t="shared" si="272"/>
        <v>16840</v>
      </c>
      <c r="M3489" s="1">
        <f t="shared" si="273"/>
        <v>129.76902558006668</v>
      </c>
      <c r="N3489" s="7">
        <f t="shared" si="274"/>
        <v>129.76902558006668</v>
      </c>
    </row>
    <row r="3490" spans="1:14" x14ac:dyDescent="0.25">
      <c r="A3490" t="str">
        <f>"14:48:31.375"</f>
        <v>14:48:31.375</v>
      </c>
      <c r="B3490">
        <v>40.385376999999998</v>
      </c>
      <c r="C3490">
        <v>-74.571461999999997</v>
      </c>
      <c r="D3490">
        <v>1700</v>
      </c>
      <c r="E3490">
        <v>1875</v>
      </c>
      <c r="F3490">
        <v>113</v>
      </c>
      <c r="G3490">
        <v>62</v>
      </c>
      <c r="H3490">
        <v>64</v>
      </c>
      <c r="J3490" s="1">
        <f t="shared" si="270"/>
        <v>12769</v>
      </c>
      <c r="K3490" s="1">
        <f t="shared" si="271"/>
        <v>3844</v>
      </c>
      <c r="L3490" s="1">
        <f t="shared" si="272"/>
        <v>16613</v>
      </c>
      <c r="M3490" s="1">
        <f t="shared" si="273"/>
        <v>128.89142717807107</v>
      </c>
      <c r="N3490" s="7">
        <f t="shared" si="274"/>
        <v>128.89142717807107</v>
      </c>
    </row>
    <row r="3491" spans="1:14" x14ac:dyDescent="0.25">
      <c r="A3491" t="str">
        <f>"14:48:32.383"</f>
        <v>14:48:32.383</v>
      </c>
      <c r="B3491">
        <v>40.385655999999997</v>
      </c>
      <c r="C3491">
        <v>-74.570796000000001</v>
      </c>
      <c r="D3491">
        <v>1700</v>
      </c>
      <c r="E3491">
        <v>1875</v>
      </c>
      <c r="F3491">
        <v>113</v>
      </c>
      <c r="G3491">
        <v>62</v>
      </c>
      <c r="H3491">
        <v>64</v>
      </c>
      <c r="J3491" s="1">
        <f t="shared" si="270"/>
        <v>12769</v>
      </c>
      <c r="K3491" s="1">
        <f t="shared" si="271"/>
        <v>3844</v>
      </c>
      <c r="L3491" s="1">
        <f t="shared" si="272"/>
        <v>16613</v>
      </c>
      <c r="M3491" s="1">
        <f t="shared" si="273"/>
        <v>128.89142717807107</v>
      </c>
      <c r="N3491" s="7">
        <f t="shared" si="274"/>
        <v>128.89142717807107</v>
      </c>
    </row>
    <row r="3492" spans="1:14" x14ac:dyDescent="0.25">
      <c r="A3492" t="str">
        <f>"14:48:33.391"</f>
        <v>14:48:33.391</v>
      </c>
      <c r="B3492">
        <v>40.385935000000003</v>
      </c>
      <c r="C3492">
        <v>-74.570131000000003</v>
      </c>
      <c r="D3492">
        <v>1700</v>
      </c>
      <c r="E3492">
        <v>1875</v>
      </c>
      <c r="F3492">
        <v>113</v>
      </c>
      <c r="G3492">
        <v>61</v>
      </c>
      <c r="H3492">
        <v>64</v>
      </c>
      <c r="J3492" s="1">
        <f t="shared" si="270"/>
        <v>12769</v>
      </c>
      <c r="K3492" s="1">
        <f t="shared" si="271"/>
        <v>3721</v>
      </c>
      <c r="L3492" s="1">
        <f t="shared" si="272"/>
        <v>16490</v>
      </c>
      <c r="M3492" s="1">
        <f t="shared" si="273"/>
        <v>128.41339493993607</v>
      </c>
      <c r="N3492" s="7">
        <f t="shared" si="274"/>
        <v>128.41339493993607</v>
      </c>
    </row>
    <row r="3493" spans="1:14" x14ac:dyDescent="0.25">
      <c r="A3493" t="str">
        <f>"14:48:34.250"</f>
        <v>14:48:34.250</v>
      </c>
      <c r="B3493">
        <v>40.386214000000002</v>
      </c>
      <c r="C3493">
        <v>-74.569508999999996</v>
      </c>
      <c r="D3493">
        <v>1700</v>
      </c>
      <c r="E3493">
        <v>1875</v>
      </c>
      <c r="F3493">
        <v>112</v>
      </c>
      <c r="G3493">
        <v>61</v>
      </c>
      <c r="H3493">
        <v>64</v>
      </c>
      <c r="J3493" s="1">
        <f t="shared" si="270"/>
        <v>12544</v>
      </c>
      <c r="K3493" s="1">
        <f t="shared" si="271"/>
        <v>3721</v>
      </c>
      <c r="L3493" s="1">
        <f t="shared" si="272"/>
        <v>16265</v>
      </c>
      <c r="M3493" s="1">
        <f t="shared" si="273"/>
        <v>127.534309109353</v>
      </c>
      <c r="N3493" s="7">
        <f t="shared" si="274"/>
        <v>127.534309109353</v>
      </c>
    </row>
    <row r="3494" spans="1:14" x14ac:dyDescent="0.25">
      <c r="A3494" t="str">
        <f>"14:48:35.313"</f>
        <v>14:48:35.313</v>
      </c>
      <c r="B3494">
        <v>40.386515000000003</v>
      </c>
      <c r="C3494">
        <v>-74.568779000000006</v>
      </c>
      <c r="D3494">
        <v>1700</v>
      </c>
      <c r="E3494">
        <v>1875</v>
      </c>
      <c r="F3494">
        <v>112</v>
      </c>
      <c r="G3494">
        <v>61</v>
      </c>
      <c r="H3494">
        <v>64</v>
      </c>
      <c r="J3494" s="1">
        <f t="shared" si="270"/>
        <v>12544</v>
      </c>
      <c r="K3494" s="1">
        <f t="shared" si="271"/>
        <v>3721</v>
      </c>
      <c r="L3494" s="1">
        <f t="shared" si="272"/>
        <v>16265</v>
      </c>
      <c r="M3494" s="1">
        <f t="shared" si="273"/>
        <v>127.534309109353</v>
      </c>
      <c r="N3494" s="7">
        <f t="shared" si="274"/>
        <v>127.534309109353</v>
      </c>
    </row>
    <row r="3495" spans="1:14" x14ac:dyDescent="0.25">
      <c r="A3495" t="str">
        <f>"14:48:36.273"</f>
        <v>14:48:36.273</v>
      </c>
      <c r="B3495">
        <v>40.386772000000001</v>
      </c>
      <c r="C3495">
        <v>-74.568135999999996</v>
      </c>
      <c r="D3495">
        <v>1700</v>
      </c>
      <c r="E3495">
        <v>1875</v>
      </c>
      <c r="F3495">
        <v>112</v>
      </c>
      <c r="G3495">
        <v>61</v>
      </c>
      <c r="H3495">
        <v>0</v>
      </c>
      <c r="J3495" s="1">
        <f t="shared" si="270"/>
        <v>12544</v>
      </c>
      <c r="K3495" s="1">
        <f t="shared" si="271"/>
        <v>3721</v>
      </c>
      <c r="L3495" s="1">
        <f t="shared" si="272"/>
        <v>16265</v>
      </c>
      <c r="M3495" s="1">
        <f t="shared" si="273"/>
        <v>127.534309109353</v>
      </c>
      <c r="N3495" s="7">
        <f t="shared" si="274"/>
        <v>127.534309109353</v>
      </c>
    </row>
    <row r="3496" spans="1:14" x14ac:dyDescent="0.25">
      <c r="A3496" t="str">
        <f>"14:48:37.281"</f>
        <v>14:48:37.281</v>
      </c>
      <c r="B3496">
        <v>40.387051</v>
      </c>
      <c r="C3496">
        <v>-74.567513000000005</v>
      </c>
      <c r="D3496">
        <v>1700</v>
      </c>
      <c r="E3496">
        <v>1875</v>
      </c>
      <c r="F3496">
        <v>112</v>
      </c>
      <c r="G3496">
        <v>61</v>
      </c>
      <c r="H3496">
        <v>0</v>
      </c>
      <c r="J3496" s="1">
        <f t="shared" si="270"/>
        <v>12544</v>
      </c>
      <c r="K3496" s="1">
        <f t="shared" si="271"/>
        <v>3721</v>
      </c>
      <c r="L3496" s="1">
        <f t="shared" si="272"/>
        <v>16265</v>
      </c>
      <c r="M3496" s="1">
        <f t="shared" si="273"/>
        <v>127.534309109353</v>
      </c>
      <c r="N3496" s="7">
        <f t="shared" si="274"/>
        <v>127.534309109353</v>
      </c>
    </row>
    <row r="3497" spans="1:14" x14ac:dyDescent="0.25">
      <c r="A3497" t="str">
        <f>"14:48:38.242"</f>
        <v>14:48:38.242</v>
      </c>
      <c r="B3497">
        <v>40.387329999999999</v>
      </c>
      <c r="C3497">
        <v>-74.566827000000004</v>
      </c>
      <c r="D3497">
        <v>1700</v>
      </c>
      <c r="E3497">
        <v>1875</v>
      </c>
      <c r="F3497">
        <v>112</v>
      </c>
      <c r="G3497">
        <v>61</v>
      </c>
      <c r="H3497">
        <v>0</v>
      </c>
      <c r="J3497" s="1">
        <f t="shared" si="270"/>
        <v>12544</v>
      </c>
      <c r="K3497" s="1">
        <f t="shared" si="271"/>
        <v>3721</v>
      </c>
      <c r="L3497" s="1">
        <f t="shared" si="272"/>
        <v>16265</v>
      </c>
      <c r="M3497" s="1">
        <f t="shared" si="273"/>
        <v>127.534309109353</v>
      </c>
      <c r="N3497" s="7">
        <f t="shared" si="274"/>
        <v>127.534309109353</v>
      </c>
    </row>
    <row r="3498" spans="1:14" x14ac:dyDescent="0.25">
      <c r="A3498" t="str">
        <f>"14:48:39.102"</f>
        <v>14:48:39.102</v>
      </c>
      <c r="B3498">
        <v>40.387566</v>
      </c>
      <c r="C3498">
        <v>-74.566269000000005</v>
      </c>
      <c r="D3498">
        <v>1700</v>
      </c>
      <c r="E3498">
        <v>1875</v>
      </c>
      <c r="F3498">
        <v>111</v>
      </c>
      <c r="G3498">
        <v>61</v>
      </c>
      <c r="H3498">
        <v>-64</v>
      </c>
      <c r="J3498" s="1">
        <f t="shared" si="270"/>
        <v>12321</v>
      </c>
      <c r="K3498" s="1">
        <f t="shared" si="271"/>
        <v>3721</v>
      </c>
      <c r="L3498" s="1">
        <f t="shared" si="272"/>
        <v>16042</v>
      </c>
      <c r="M3498" s="1">
        <f t="shared" si="273"/>
        <v>126.65701717630967</v>
      </c>
      <c r="N3498" s="7">
        <f t="shared" si="274"/>
        <v>126.65701717630967</v>
      </c>
    </row>
    <row r="3499" spans="1:14" x14ac:dyDescent="0.25">
      <c r="A3499" t="str">
        <f>"14:48:39.953"</f>
        <v>14:48:39.953</v>
      </c>
      <c r="B3499">
        <v>40.387802000000001</v>
      </c>
      <c r="C3499">
        <v>-74.565668000000002</v>
      </c>
      <c r="D3499">
        <v>1700</v>
      </c>
      <c r="E3499">
        <v>1875</v>
      </c>
      <c r="F3499">
        <v>111</v>
      </c>
      <c r="G3499">
        <v>61</v>
      </c>
      <c r="H3499">
        <v>-64</v>
      </c>
      <c r="J3499" s="1">
        <f t="shared" si="270"/>
        <v>12321</v>
      </c>
      <c r="K3499" s="1">
        <f t="shared" si="271"/>
        <v>3721</v>
      </c>
      <c r="L3499" s="1">
        <f t="shared" si="272"/>
        <v>16042</v>
      </c>
      <c r="M3499" s="1">
        <f t="shared" si="273"/>
        <v>126.65701717630967</v>
      </c>
      <c r="N3499" s="7">
        <f t="shared" si="274"/>
        <v>126.65701717630967</v>
      </c>
    </row>
    <row r="3500" spans="1:14" x14ac:dyDescent="0.25">
      <c r="A3500" t="str">
        <f>"14:48:40.867"</f>
        <v>14:48:40.867</v>
      </c>
      <c r="B3500">
        <v>40.388060000000003</v>
      </c>
      <c r="C3500">
        <v>-74.565089</v>
      </c>
      <c r="D3500">
        <v>1700</v>
      </c>
      <c r="E3500">
        <v>1875</v>
      </c>
      <c r="F3500">
        <v>111</v>
      </c>
      <c r="G3500">
        <v>61</v>
      </c>
      <c r="H3500">
        <v>-64</v>
      </c>
      <c r="J3500" s="1">
        <f t="shared" si="270"/>
        <v>12321</v>
      </c>
      <c r="K3500" s="1">
        <f t="shared" si="271"/>
        <v>3721</v>
      </c>
      <c r="L3500" s="1">
        <f t="shared" si="272"/>
        <v>16042</v>
      </c>
      <c r="M3500" s="1">
        <f t="shared" si="273"/>
        <v>126.65701717630967</v>
      </c>
      <c r="N3500" s="7">
        <f t="shared" si="274"/>
        <v>126.65701717630967</v>
      </c>
    </row>
    <row r="3501" spans="1:14" x14ac:dyDescent="0.25">
      <c r="A3501" t="str">
        <f>"14:48:41.875"</f>
        <v>14:48:41.875</v>
      </c>
      <c r="B3501">
        <v>40.388339000000002</v>
      </c>
      <c r="C3501">
        <v>-74.564402000000001</v>
      </c>
      <c r="D3501">
        <v>1700</v>
      </c>
      <c r="E3501">
        <v>1875</v>
      </c>
      <c r="F3501">
        <v>111</v>
      </c>
      <c r="G3501">
        <v>61</v>
      </c>
      <c r="H3501">
        <v>-128</v>
      </c>
      <c r="J3501" s="1">
        <f t="shared" si="270"/>
        <v>12321</v>
      </c>
      <c r="K3501" s="1">
        <f t="shared" si="271"/>
        <v>3721</v>
      </c>
      <c r="L3501" s="1">
        <f t="shared" si="272"/>
        <v>16042</v>
      </c>
      <c r="M3501" s="1">
        <f t="shared" si="273"/>
        <v>126.65701717630967</v>
      </c>
      <c r="N3501" s="7">
        <f t="shared" si="274"/>
        <v>126.65701717630967</v>
      </c>
    </row>
    <row r="3502" spans="1:14" x14ac:dyDescent="0.25">
      <c r="A3502" t="str">
        <f>"14:48:42.781"</f>
        <v>14:48:42.781</v>
      </c>
      <c r="B3502">
        <v>40.388575000000003</v>
      </c>
      <c r="C3502">
        <v>-74.563779999999994</v>
      </c>
      <c r="D3502">
        <v>1700</v>
      </c>
      <c r="E3502">
        <v>1875</v>
      </c>
      <c r="F3502">
        <v>111</v>
      </c>
      <c r="G3502">
        <v>61</v>
      </c>
      <c r="H3502">
        <v>-128</v>
      </c>
      <c r="J3502" s="1">
        <f t="shared" si="270"/>
        <v>12321</v>
      </c>
      <c r="K3502" s="1">
        <f t="shared" si="271"/>
        <v>3721</v>
      </c>
      <c r="L3502" s="1">
        <f t="shared" si="272"/>
        <v>16042</v>
      </c>
      <c r="M3502" s="1">
        <f t="shared" si="273"/>
        <v>126.65701717630967</v>
      </c>
      <c r="N3502" s="7">
        <f t="shared" si="274"/>
        <v>126.65701717630967</v>
      </c>
    </row>
    <row r="3503" spans="1:14" x14ac:dyDescent="0.25">
      <c r="A3503" t="str">
        <f>"14:48:43.695"</f>
        <v>14:48:43.695</v>
      </c>
      <c r="B3503">
        <v>40.388854000000002</v>
      </c>
      <c r="C3503">
        <v>-74.563158000000001</v>
      </c>
      <c r="D3503">
        <v>1700</v>
      </c>
      <c r="E3503">
        <v>1875</v>
      </c>
      <c r="F3503">
        <v>112</v>
      </c>
      <c r="G3503">
        <v>60</v>
      </c>
      <c r="H3503">
        <v>-128</v>
      </c>
      <c r="J3503" s="1">
        <f t="shared" si="270"/>
        <v>12544</v>
      </c>
      <c r="K3503" s="1">
        <f t="shared" si="271"/>
        <v>3600</v>
      </c>
      <c r="L3503" s="1">
        <f t="shared" si="272"/>
        <v>16144</v>
      </c>
      <c r="M3503" s="1">
        <f t="shared" si="273"/>
        <v>127.05904139414872</v>
      </c>
      <c r="N3503" s="7">
        <f t="shared" si="274"/>
        <v>127.05904139414872</v>
      </c>
    </row>
    <row r="3504" spans="1:14" x14ac:dyDescent="0.25">
      <c r="A3504" t="str">
        <f>"14:48:44.750"</f>
        <v>14:48:44.750</v>
      </c>
      <c r="B3504">
        <v>40.389175000000002</v>
      </c>
      <c r="C3504">
        <v>-74.562385000000006</v>
      </c>
      <c r="D3504">
        <v>1700</v>
      </c>
      <c r="E3504">
        <v>1875</v>
      </c>
      <c r="F3504">
        <v>112</v>
      </c>
      <c r="G3504">
        <v>60</v>
      </c>
      <c r="H3504">
        <v>-128</v>
      </c>
      <c r="J3504" s="1">
        <f t="shared" si="270"/>
        <v>12544</v>
      </c>
      <c r="K3504" s="1">
        <f t="shared" si="271"/>
        <v>3600</v>
      </c>
      <c r="L3504" s="1">
        <f t="shared" si="272"/>
        <v>16144</v>
      </c>
      <c r="M3504" s="1">
        <f t="shared" si="273"/>
        <v>127.05904139414872</v>
      </c>
      <c r="N3504" s="7">
        <f t="shared" si="274"/>
        <v>127.05904139414872</v>
      </c>
    </row>
    <row r="3505" spans="1:14" x14ac:dyDescent="0.25">
      <c r="A3505" t="str">
        <f>"14:48:45.813"</f>
        <v>14:48:45.813</v>
      </c>
      <c r="B3505">
        <v>40.389476000000002</v>
      </c>
      <c r="C3505">
        <v>-74.561655999999999</v>
      </c>
      <c r="D3505">
        <v>1700</v>
      </c>
      <c r="E3505">
        <v>1875</v>
      </c>
      <c r="F3505">
        <v>112</v>
      </c>
      <c r="G3505">
        <v>60</v>
      </c>
      <c r="H3505">
        <v>-64</v>
      </c>
      <c r="J3505" s="1">
        <f t="shared" si="270"/>
        <v>12544</v>
      </c>
      <c r="K3505" s="1">
        <f t="shared" si="271"/>
        <v>3600</v>
      </c>
      <c r="L3505" s="1">
        <f t="shared" si="272"/>
        <v>16144</v>
      </c>
      <c r="M3505" s="1">
        <f t="shared" si="273"/>
        <v>127.05904139414872</v>
      </c>
      <c r="N3505" s="7">
        <f t="shared" si="274"/>
        <v>127.05904139414872</v>
      </c>
    </row>
    <row r="3506" spans="1:14" x14ac:dyDescent="0.25">
      <c r="A3506" t="str">
        <f>"14:48:46.875"</f>
        <v>14:48:46.875</v>
      </c>
      <c r="B3506">
        <v>40.389755000000001</v>
      </c>
      <c r="C3506">
        <v>-74.561032999999995</v>
      </c>
      <c r="D3506">
        <v>1700</v>
      </c>
      <c r="E3506">
        <v>1875</v>
      </c>
      <c r="F3506">
        <v>112</v>
      </c>
      <c r="G3506">
        <v>60</v>
      </c>
      <c r="H3506">
        <v>-64</v>
      </c>
      <c r="J3506" s="1">
        <f t="shared" si="270"/>
        <v>12544</v>
      </c>
      <c r="K3506" s="1">
        <f t="shared" si="271"/>
        <v>3600</v>
      </c>
      <c r="L3506" s="1">
        <f t="shared" si="272"/>
        <v>16144</v>
      </c>
      <c r="M3506" s="1">
        <f t="shared" si="273"/>
        <v>127.05904139414872</v>
      </c>
      <c r="N3506" s="7">
        <f t="shared" si="274"/>
        <v>127.05904139414872</v>
      </c>
    </row>
    <row r="3507" spans="1:14" x14ac:dyDescent="0.25">
      <c r="A3507" t="str">
        <f>"14:48:47.734"</f>
        <v>14:48:47.734</v>
      </c>
      <c r="B3507">
        <v>40.389991000000002</v>
      </c>
      <c r="C3507">
        <v>-74.560367999999997</v>
      </c>
      <c r="D3507">
        <v>1700</v>
      </c>
      <c r="E3507">
        <v>1875</v>
      </c>
      <c r="F3507">
        <v>112</v>
      </c>
      <c r="G3507">
        <v>60</v>
      </c>
      <c r="H3507">
        <v>0</v>
      </c>
      <c r="J3507" s="1">
        <f t="shared" si="270"/>
        <v>12544</v>
      </c>
      <c r="K3507" s="1">
        <f t="shared" si="271"/>
        <v>3600</v>
      </c>
      <c r="L3507" s="1">
        <f t="shared" si="272"/>
        <v>16144</v>
      </c>
      <c r="M3507" s="1">
        <f t="shared" si="273"/>
        <v>127.05904139414872</v>
      </c>
      <c r="N3507" s="7">
        <f t="shared" si="274"/>
        <v>127.05904139414872</v>
      </c>
    </row>
    <row r="3508" spans="1:14" x14ac:dyDescent="0.25">
      <c r="A3508" t="str">
        <f>"14:48:48.641"</f>
        <v>14:48:48.641</v>
      </c>
      <c r="B3508">
        <v>40.390248</v>
      </c>
      <c r="C3508">
        <v>-74.559766999999994</v>
      </c>
      <c r="D3508">
        <v>1700</v>
      </c>
      <c r="E3508">
        <v>1875</v>
      </c>
      <c r="F3508">
        <v>111</v>
      </c>
      <c r="G3508">
        <v>60</v>
      </c>
      <c r="H3508">
        <v>0</v>
      </c>
      <c r="J3508" s="1">
        <f t="shared" si="270"/>
        <v>12321</v>
      </c>
      <c r="K3508" s="1">
        <f t="shared" si="271"/>
        <v>3600</v>
      </c>
      <c r="L3508" s="1">
        <f t="shared" si="272"/>
        <v>15921</v>
      </c>
      <c r="M3508" s="1">
        <f t="shared" si="273"/>
        <v>126.17844506887855</v>
      </c>
      <c r="N3508" s="7">
        <f t="shared" si="274"/>
        <v>126.17844506887855</v>
      </c>
    </row>
    <row r="3509" spans="1:14" x14ac:dyDescent="0.25">
      <c r="A3509" t="str">
        <f>"14:48:49.547"</f>
        <v>14:48:49.547</v>
      </c>
      <c r="B3509">
        <v>40.390506000000002</v>
      </c>
      <c r="C3509">
        <v>-74.559145000000001</v>
      </c>
      <c r="D3509">
        <v>1700</v>
      </c>
      <c r="E3509">
        <v>1875</v>
      </c>
      <c r="F3509">
        <v>111</v>
      </c>
      <c r="G3509">
        <v>60</v>
      </c>
      <c r="H3509">
        <v>64</v>
      </c>
      <c r="J3509" s="1">
        <f t="shared" si="270"/>
        <v>12321</v>
      </c>
      <c r="K3509" s="1">
        <f t="shared" si="271"/>
        <v>3600</v>
      </c>
      <c r="L3509" s="1">
        <f t="shared" si="272"/>
        <v>15921</v>
      </c>
      <c r="M3509" s="1">
        <f t="shared" si="273"/>
        <v>126.17844506887855</v>
      </c>
      <c r="N3509" s="7">
        <f t="shared" si="274"/>
        <v>126.17844506887855</v>
      </c>
    </row>
    <row r="3510" spans="1:14" x14ac:dyDescent="0.25">
      <c r="A3510" t="str">
        <f>"14:48:50.563"</f>
        <v>14:48:50.563</v>
      </c>
      <c r="B3510">
        <v>40.390785000000001</v>
      </c>
      <c r="C3510">
        <v>-74.558522999999994</v>
      </c>
      <c r="D3510">
        <v>1700</v>
      </c>
      <c r="E3510">
        <v>1875</v>
      </c>
      <c r="F3510">
        <v>111</v>
      </c>
      <c r="G3510">
        <v>60</v>
      </c>
      <c r="H3510">
        <v>64</v>
      </c>
      <c r="J3510" s="1">
        <f t="shared" si="270"/>
        <v>12321</v>
      </c>
      <c r="K3510" s="1">
        <f t="shared" si="271"/>
        <v>3600</v>
      </c>
      <c r="L3510" s="1">
        <f t="shared" si="272"/>
        <v>15921</v>
      </c>
      <c r="M3510" s="1">
        <f t="shared" si="273"/>
        <v>126.17844506887855</v>
      </c>
      <c r="N3510" s="7">
        <f t="shared" si="274"/>
        <v>126.17844506887855</v>
      </c>
    </row>
    <row r="3511" spans="1:14" x14ac:dyDescent="0.25">
      <c r="A3511" t="str">
        <f>"14:48:51.719"</f>
        <v>14:48:51.719</v>
      </c>
      <c r="B3511">
        <v>40.391106999999998</v>
      </c>
      <c r="C3511">
        <v>-74.557686000000004</v>
      </c>
      <c r="D3511">
        <v>1700</v>
      </c>
      <c r="E3511">
        <v>1875</v>
      </c>
      <c r="F3511">
        <v>111</v>
      </c>
      <c r="G3511">
        <v>60</v>
      </c>
      <c r="H3511">
        <v>64</v>
      </c>
      <c r="J3511" s="1">
        <f t="shared" si="270"/>
        <v>12321</v>
      </c>
      <c r="K3511" s="1">
        <f t="shared" si="271"/>
        <v>3600</v>
      </c>
      <c r="L3511" s="1">
        <f t="shared" si="272"/>
        <v>15921</v>
      </c>
      <c r="M3511" s="1">
        <f t="shared" si="273"/>
        <v>126.17844506887855</v>
      </c>
      <c r="N3511" s="7">
        <f t="shared" si="274"/>
        <v>126.17844506887855</v>
      </c>
    </row>
    <row r="3512" spans="1:14" x14ac:dyDescent="0.25">
      <c r="A3512" t="str">
        <f>"14:48:52.727"</f>
        <v>14:48:52.727</v>
      </c>
      <c r="B3512">
        <v>40.391364000000003</v>
      </c>
      <c r="C3512">
        <v>-74.556999000000005</v>
      </c>
      <c r="D3512">
        <v>1700</v>
      </c>
      <c r="E3512">
        <v>1875</v>
      </c>
      <c r="F3512">
        <v>110</v>
      </c>
      <c r="G3512">
        <v>60</v>
      </c>
      <c r="H3512">
        <v>64</v>
      </c>
      <c r="J3512" s="1">
        <f t="shared" si="270"/>
        <v>12100</v>
      </c>
      <c r="K3512" s="1">
        <f t="shared" si="271"/>
        <v>3600</v>
      </c>
      <c r="L3512" s="1">
        <f t="shared" si="272"/>
        <v>15700</v>
      </c>
      <c r="M3512" s="1">
        <f t="shared" si="273"/>
        <v>125.29964086141668</v>
      </c>
      <c r="N3512" s="7">
        <f t="shared" si="274"/>
        <v>125.29964086141668</v>
      </c>
    </row>
    <row r="3513" spans="1:14" x14ac:dyDescent="0.25">
      <c r="A3513" t="str">
        <f>"14:48:53.742"</f>
        <v>14:48:53.742</v>
      </c>
      <c r="B3513">
        <v>40.391643000000002</v>
      </c>
      <c r="C3513">
        <v>-74.556398000000002</v>
      </c>
      <c r="D3513">
        <v>1700</v>
      </c>
      <c r="E3513">
        <v>1875</v>
      </c>
      <c r="F3513">
        <v>110</v>
      </c>
      <c r="G3513">
        <v>60</v>
      </c>
      <c r="H3513">
        <v>64</v>
      </c>
      <c r="J3513" s="1">
        <f t="shared" si="270"/>
        <v>12100</v>
      </c>
      <c r="K3513" s="1">
        <f t="shared" si="271"/>
        <v>3600</v>
      </c>
      <c r="L3513" s="1">
        <f t="shared" si="272"/>
        <v>15700</v>
      </c>
      <c r="M3513" s="1">
        <f t="shared" si="273"/>
        <v>125.29964086141668</v>
      </c>
      <c r="N3513" s="7">
        <f t="shared" si="274"/>
        <v>125.29964086141668</v>
      </c>
    </row>
    <row r="3514" spans="1:14" x14ac:dyDescent="0.25">
      <c r="A3514" t="str">
        <f>"14:48:54.750"</f>
        <v>14:48:54.750</v>
      </c>
      <c r="B3514">
        <v>40.391922000000001</v>
      </c>
      <c r="C3514">
        <v>-74.555668999999995</v>
      </c>
      <c r="D3514">
        <v>1700</v>
      </c>
      <c r="E3514">
        <v>1875</v>
      </c>
      <c r="F3514">
        <v>110</v>
      </c>
      <c r="G3514">
        <v>60</v>
      </c>
      <c r="H3514">
        <v>64</v>
      </c>
      <c r="J3514" s="1">
        <f t="shared" si="270"/>
        <v>12100</v>
      </c>
      <c r="K3514" s="1">
        <f t="shared" si="271"/>
        <v>3600</v>
      </c>
      <c r="L3514" s="1">
        <f t="shared" si="272"/>
        <v>15700</v>
      </c>
      <c r="M3514" s="1">
        <f t="shared" si="273"/>
        <v>125.29964086141668</v>
      </c>
      <c r="N3514" s="7">
        <f t="shared" si="274"/>
        <v>125.29964086141668</v>
      </c>
    </row>
    <row r="3515" spans="1:14" x14ac:dyDescent="0.25">
      <c r="A3515" t="str">
        <f>"14:48:55.813"</f>
        <v>14:48:55.813</v>
      </c>
      <c r="B3515">
        <v>40.392201</v>
      </c>
      <c r="C3515">
        <v>-74.555047000000002</v>
      </c>
      <c r="D3515">
        <v>1700</v>
      </c>
      <c r="E3515">
        <v>1875</v>
      </c>
      <c r="F3515">
        <v>110</v>
      </c>
      <c r="G3515">
        <v>60</v>
      </c>
      <c r="H3515">
        <v>0</v>
      </c>
      <c r="J3515" s="1">
        <f t="shared" si="270"/>
        <v>12100</v>
      </c>
      <c r="K3515" s="1">
        <f t="shared" si="271"/>
        <v>3600</v>
      </c>
      <c r="L3515" s="1">
        <f t="shared" si="272"/>
        <v>15700</v>
      </c>
      <c r="M3515" s="1">
        <f t="shared" si="273"/>
        <v>125.29964086141668</v>
      </c>
      <c r="N3515" s="7">
        <f t="shared" si="274"/>
        <v>125.29964086141668</v>
      </c>
    </row>
    <row r="3516" spans="1:14" x14ac:dyDescent="0.25">
      <c r="A3516" t="str">
        <f>"14:48:56.969"</f>
        <v>14:48:56.969</v>
      </c>
      <c r="B3516">
        <v>40.392566000000002</v>
      </c>
      <c r="C3516">
        <v>-74.554253000000003</v>
      </c>
      <c r="D3516">
        <v>1700</v>
      </c>
      <c r="E3516">
        <v>1875</v>
      </c>
      <c r="F3516">
        <v>110</v>
      </c>
      <c r="G3516">
        <v>60</v>
      </c>
      <c r="H3516">
        <v>0</v>
      </c>
      <c r="J3516" s="1">
        <f t="shared" si="270"/>
        <v>12100</v>
      </c>
      <c r="K3516" s="1">
        <f t="shared" si="271"/>
        <v>3600</v>
      </c>
      <c r="L3516" s="1">
        <f t="shared" si="272"/>
        <v>15700</v>
      </c>
      <c r="M3516" s="1">
        <f t="shared" si="273"/>
        <v>125.29964086141668</v>
      </c>
      <c r="N3516" s="7">
        <f t="shared" si="274"/>
        <v>125.29964086141668</v>
      </c>
    </row>
    <row r="3517" spans="1:14" x14ac:dyDescent="0.25">
      <c r="A3517" t="str">
        <f>"14:48:58.438"</f>
        <v>14:48:58.438</v>
      </c>
      <c r="B3517">
        <v>40.392952000000001</v>
      </c>
      <c r="C3517">
        <v>-74.553223000000003</v>
      </c>
      <c r="D3517">
        <v>1700</v>
      </c>
      <c r="E3517">
        <v>1875</v>
      </c>
      <c r="F3517">
        <v>109</v>
      </c>
      <c r="G3517">
        <v>60</v>
      </c>
      <c r="H3517">
        <v>-64</v>
      </c>
      <c r="J3517" s="1">
        <f t="shared" si="270"/>
        <v>11881</v>
      </c>
      <c r="K3517" s="1">
        <f t="shared" si="271"/>
        <v>3600</v>
      </c>
      <c r="L3517" s="1">
        <f t="shared" si="272"/>
        <v>15481</v>
      </c>
      <c r="M3517" s="1">
        <f t="shared" si="273"/>
        <v>124.42266674525185</v>
      </c>
      <c r="N3517" s="7">
        <f t="shared" si="274"/>
        <v>124.42266674525185</v>
      </c>
    </row>
    <row r="3518" spans="1:14" x14ac:dyDescent="0.25">
      <c r="A3518" t="str">
        <f>"14:48:59.398"</f>
        <v>14:48:59.398</v>
      </c>
      <c r="B3518">
        <v>40.393208999999999</v>
      </c>
      <c r="C3518">
        <v>-74.552665000000005</v>
      </c>
      <c r="D3518">
        <v>1700</v>
      </c>
      <c r="E3518">
        <v>1875</v>
      </c>
      <c r="F3518">
        <v>109</v>
      </c>
      <c r="G3518">
        <v>60</v>
      </c>
      <c r="H3518">
        <v>-64</v>
      </c>
      <c r="J3518" s="1">
        <f t="shared" si="270"/>
        <v>11881</v>
      </c>
      <c r="K3518" s="1">
        <f t="shared" si="271"/>
        <v>3600</v>
      </c>
      <c r="L3518" s="1">
        <f t="shared" si="272"/>
        <v>15481</v>
      </c>
      <c r="M3518" s="1">
        <f t="shared" si="273"/>
        <v>124.42266674525185</v>
      </c>
      <c r="N3518" s="7">
        <f t="shared" si="274"/>
        <v>124.42266674525185</v>
      </c>
    </row>
    <row r="3519" spans="1:14" x14ac:dyDescent="0.25">
      <c r="A3519" t="str">
        <f>"14:49:00.305"</f>
        <v>14:49:00.305</v>
      </c>
      <c r="B3519">
        <v>40.393487999999998</v>
      </c>
      <c r="C3519">
        <v>-74.552000000000007</v>
      </c>
      <c r="D3519">
        <v>1700</v>
      </c>
      <c r="E3519">
        <v>1875</v>
      </c>
      <c r="F3519">
        <v>109</v>
      </c>
      <c r="G3519">
        <v>60</v>
      </c>
      <c r="H3519">
        <v>-64</v>
      </c>
      <c r="J3519" s="1">
        <f t="shared" si="270"/>
        <v>11881</v>
      </c>
      <c r="K3519" s="1">
        <f t="shared" si="271"/>
        <v>3600</v>
      </c>
      <c r="L3519" s="1">
        <f t="shared" si="272"/>
        <v>15481</v>
      </c>
      <c r="M3519" s="1">
        <f t="shared" si="273"/>
        <v>124.42266674525185</v>
      </c>
      <c r="N3519" s="7">
        <f t="shared" si="274"/>
        <v>124.42266674525185</v>
      </c>
    </row>
    <row r="3520" spans="1:14" x14ac:dyDescent="0.25">
      <c r="A3520" t="str">
        <f>"14:49:01.469"</f>
        <v>14:49:01.469</v>
      </c>
      <c r="B3520">
        <v>40.393788999999998</v>
      </c>
      <c r="C3520">
        <v>-74.551226999999997</v>
      </c>
      <c r="D3520">
        <v>1700</v>
      </c>
      <c r="E3520">
        <v>1875</v>
      </c>
      <c r="F3520">
        <v>109</v>
      </c>
      <c r="G3520">
        <v>60</v>
      </c>
      <c r="H3520">
        <v>0</v>
      </c>
      <c r="J3520" s="1">
        <f t="shared" si="270"/>
        <v>11881</v>
      </c>
      <c r="K3520" s="1">
        <f t="shared" si="271"/>
        <v>3600</v>
      </c>
      <c r="L3520" s="1">
        <f t="shared" si="272"/>
        <v>15481</v>
      </c>
      <c r="M3520" s="1">
        <f t="shared" si="273"/>
        <v>124.42266674525185</v>
      </c>
      <c r="N3520" s="7">
        <f t="shared" si="274"/>
        <v>124.42266674525185</v>
      </c>
    </row>
    <row r="3521" spans="1:14" x14ac:dyDescent="0.25">
      <c r="A3521" t="str">
        <f>"14:49:02.320"</f>
        <v>14:49:02.320</v>
      </c>
      <c r="B3521">
        <v>40.394024999999999</v>
      </c>
      <c r="C3521">
        <v>-74.550668999999999</v>
      </c>
      <c r="D3521">
        <v>1700</v>
      </c>
      <c r="E3521">
        <v>1875</v>
      </c>
      <c r="F3521">
        <v>109</v>
      </c>
      <c r="G3521">
        <v>60</v>
      </c>
      <c r="H3521">
        <v>0</v>
      </c>
      <c r="J3521" s="1">
        <f t="shared" si="270"/>
        <v>11881</v>
      </c>
      <c r="K3521" s="1">
        <f t="shared" si="271"/>
        <v>3600</v>
      </c>
      <c r="L3521" s="1">
        <f t="shared" si="272"/>
        <v>15481</v>
      </c>
      <c r="M3521" s="1">
        <f t="shared" si="273"/>
        <v>124.42266674525185</v>
      </c>
      <c r="N3521" s="7">
        <f t="shared" si="274"/>
        <v>124.42266674525185</v>
      </c>
    </row>
    <row r="3522" spans="1:14" x14ac:dyDescent="0.25">
      <c r="A3522" t="str">
        <f>"14:49:03.336"</f>
        <v>14:49:03.336</v>
      </c>
      <c r="B3522">
        <v>40.394303999999998</v>
      </c>
      <c r="C3522">
        <v>-74.549982999999997</v>
      </c>
      <c r="D3522">
        <v>1700</v>
      </c>
      <c r="E3522">
        <v>1875</v>
      </c>
      <c r="F3522">
        <v>109</v>
      </c>
      <c r="G3522">
        <v>60</v>
      </c>
      <c r="H3522">
        <v>64</v>
      </c>
      <c r="J3522" s="1">
        <f t="shared" si="270"/>
        <v>11881</v>
      </c>
      <c r="K3522" s="1">
        <f t="shared" si="271"/>
        <v>3600</v>
      </c>
      <c r="L3522" s="1">
        <f t="shared" si="272"/>
        <v>15481</v>
      </c>
      <c r="M3522" s="1">
        <f t="shared" si="273"/>
        <v>124.42266674525185</v>
      </c>
      <c r="N3522" s="7">
        <f t="shared" si="274"/>
        <v>124.42266674525185</v>
      </c>
    </row>
    <row r="3523" spans="1:14" x14ac:dyDescent="0.25">
      <c r="A3523" t="str">
        <f>"14:49:04.242"</f>
        <v>14:49:04.242</v>
      </c>
      <c r="B3523">
        <v>40.394582999999997</v>
      </c>
      <c r="C3523">
        <v>-74.549424999999999</v>
      </c>
      <c r="D3523">
        <v>1700</v>
      </c>
      <c r="E3523">
        <v>1875</v>
      </c>
      <c r="F3523">
        <v>109</v>
      </c>
      <c r="G3523">
        <v>60</v>
      </c>
      <c r="H3523">
        <v>64</v>
      </c>
      <c r="J3523" s="1">
        <f t="shared" ref="J3523:J3586" si="275">F3523^2</f>
        <v>11881</v>
      </c>
      <c r="K3523" s="1">
        <f t="shared" ref="K3523:K3586" si="276">G3523^2</f>
        <v>3600</v>
      </c>
      <c r="L3523" s="1">
        <f t="shared" ref="L3523:L3586" si="277">SUMSQ(F3523,G3523)</f>
        <v>15481</v>
      </c>
      <c r="M3523" s="1">
        <f t="shared" ref="M3523:M3586" si="278">SQRT(L3523)</f>
        <v>124.42266674525185</v>
      </c>
      <c r="N3523" s="7">
        <f t="shared" ref="N3523:N3586" si="279">M3523</f>
        <v>124.42266674525185</v>
      </c>
    </row>
    <row r="3524" spans="1:14" x14ac:dyDescent="0.25">
      <c r="A3524" t="str">
        <f>"14:49:05.250"</f>
        <v>14:49:05.250</v>
      </c>
      <c r="B3524">
        <v>40.394862000000003</v>
      </c>
      <c r="C3524">
        <v>-74.548738</v>
      </c>
      <c r="D3524">
        <v>1700</v>
      </c>
      <c r="E3524">
        <v>1875</v>
      </c>
      <c r="F3524">
        <v>108</v>
      </c>
      <c r="G3524">
        <v>60</v>
      </c>
      <c r="H3524">
        <v>128</v>
      </c>
      <c r="J3524" s="1">
        <f t="shared" si="275"/>
        <v>11664</v>
      </c>
      <c r="K3524" s="1">
        <f t="shared" si="276"/>
        <v>3600</v>
      </c>
      <c r="L3524" s="1">
        <f t="shared" si="277"/>
        <v>15264</v>
      </c>
      <c r="M3524" s="1">
        <f t="shared" si="278"/>
        <v>123.54756169184401</v>
      </c>
      <c r="N3524" s="7">
        <f t="shared" si="279"/>
        <v>123.54756169184401</v>
      </c>
    </row>
    <row r="3525" spans="1:14" x14ac:dyDescent="0.25">
      <c r="A3525" t="str">
        <f>"14:49:06.211"</f>
        <v>14:49:06.211</v>
      </c>
      <c r="B3525">
        <v>40.395076000000003</v>
      </c>
      <c r="C3525">
        <v>-74.548158999999998</v>
      </c>
      <c r="D3525">
        <v>1700</v>
      </c>
      <c r="E3525">
        <v>1875</v>
      </c>
      <c r="F3525">
        <v>108</v>
      </c>
      <c r="G3525">
        <v>60</v>
      </c>
      <c r="H3525">
        <v>128</v>
      </c>
      <c r="J3525" s="1">
        <f t="shared" si="275"/>
        <v>11664</v>
      </c>
      <c r="K3525" s="1">
        <f t="shared" si="276"/>
        <v>3600</v>
      </c>
      <c r="L3525" s="1">
        <f t="shared" si="277"/>
        <v>15264</v>
      </c>
      <c r="M3525" s="1">
        <f t="shared" si="278"/>
        <v>123.54756169184401</v>
      </c>
      <c r="N3525" s="7">
        <f t="shared" si="279"/>
        <v>123.54756169184401</v>
      </c>
    </row>
    <row r="3526" spans="1:14" x14ac:dyDescent="0.25">
      <c r="A3526" t="str">
        <f>"14:49:07.219"</f>
        <v>14:49:07.219</v>
      </c>
      <c r="B3526">
        <v>40.395398</v>
      </c>
      <c r="C3526">
        <v>-74.547493000000003</v>
      </c>
      <c r="D3526">
        <v>1700</v>
      </c>
      <c r="E3526">
        <v>1875</v>
      </c>
      <c r="F3526">
        <v>108</v>
      </c>
      <c r="G3526">
        <v>60</v>
      </c>
      <c r="H3526">
        <v>128</v>
      </c>
      <c r="J3526" s="1">
        <f t="shared" si="275"/>
        <v>11664</v>
      </c>
      <c r="K3526" s="1">
        <f t="shared" si="276"/>
        <v>3600</v>
      </c>
      <c r="L3526" s="1">
        <f t="shared" si="277"/>
        <v>15264</v>
      </c>
      <c r="M3526" s="1">
        <f t="shared" si="278"/>
        <v>123.54756169184401</v>
      </c>
      <c r="N3526" s="7">
        <f t="shared" si="279"/>
        <v>123.54756169184401</v>
      </c>
    </row>
    <row r="3527" spans="1:14" x14ac:dyDescent="0.25">
      <c r="A3527" t="str">
        <f>"14:49:08.180"</f>
        <v>14:49:08.180</v>
      </c>
      <c r="B3527">
        <v>40.395676999999999</v>
      </c>
      <c r="C3527">
        <v>-74.546870999999996</v>
      </c>
      <c r="D3527">
        <v>1700</v>
      </c>
      <c r="E3527">
        <v>1875</v>
      </c>
      <c r="F3527">
        <v>108</v>
      </c>
      <c r="G3527">
        <v>60</v>
      </c>
      <c r="H3527">
        <v>128</v>
      </c>
      <c r="J3527" s="1">
        <f t="shared" si="275"/>
        <v>11664</v>
      </c>
      <c r="K3527" s="1">
        <f t="shared" si="276"/>
        <v>3600</v>
      </c>
      <c r="L3527" s="1">
        <f t="shared" si="277"/>
        <v>15264</v>
      </c>
      <c r="M3527" s="1">
        <f t="shared" si="278"/>
        <v>123.54756169184401</v>
      </c>
      <c r="N3527" s="7">
        <f t="shared" si="279"/>
        <v>123.54756169184401</v>
      </c>
    </row>
    <row r="3528" spans="1:14" x14ac:dyDescent="0.25">
      <c r="A3528" t="str">
        <f>"14:49:09.289"</f>
        <v>14:49:09.289</v>
      </c>
      <c r="B3528">
        <v>40.395977000000002</v>
      </c>
      <c r="C3528">
        <v>-74.546163000000007</v>
      </c>
      <c r="D3528">
        <v>1700</v>
      </c>
      <c r="E3528">
        <v>1875</v>
      </c>
      <c r="F3528">
        <v>107</v>
      </c>
      <c r="G3528">
        <v>60</v>
      </c>
      <c r="H3528">
        <v>64</v>
      </c>
      <c r="J3528" s="1">
        <f t="shared" si="275"/>
        <v>11449</v>
      </c>
      <c r="K3528" s="1">
        <f t="shared" si="276"/>
        <v>3600</v>
      </c>
      <c r="L3528" s="1">
        <f t="shared" si="277"/>
        <v>15049</v>
      </c>
      <c r="M3528" s="1">
        <f t="shared" si="278"/>
        <v>122.67436570041843</v>
      </c>
      <c r="N3528" s="7">
        <f t="shared" si="279"/>
        <v>122.67436570041843</v>
      </c>
    </row>
    <row r="3529" spans="1:14" x14ac:dyDescent="0.25">
      <c r="A3529" t="str">
        <f>"14:49:10.398"</f>
        <v>14:49:10.398</v>
      </c>
      <c r="B3529">
        <v>40.396278000000002</v>
      </c>
      <c r="C3529">
        <v>-74.545411999999999</v>
      </c>
      <c r="D3529">
        <v>1700</v>
      </c>
      <c r="E3529">
        <v>1900</v>
      </c>
      <c r="F3529">
        <v>107</v>
      </c>
      <c r="G3529">
        <v>60</v>
      </c>
      <c r="H3529">
        <v>64</v>
      </c>
      <c r="J3529" s="1">
        <f t="shared" si="275"/>
        <v>11449</v>
      </c>
      <c r="K3529" s="1">
        <f t="shared" si="276"/>
        <v>3600</v>
      </c>
      <c r="L3529" s="1">
        <f t="shared" si="277"/>
        <v>15049</v>
      </c>
      <c r="M3529" s="1">
        <f t="shared" si="278"/>
        <v>122.67436570041843</v>
      </c>
      <c r="N3529" s="7">
        <f t="shared" si="279"/>
        <v>122.67436570041843</v>
      </c>
    </row>
    <row r="3530" spans="1:14" x14ac:dyDescent="0.25">
      <c r="A3530" t="str">
        <f>"14:49:11.211"</f>
        <v>14:49:11.211</v>
      </c>
      <c r="B3530">
        <v>40.396492000000002</v>
      </c>
      <c r="C3530">
        <v>-74.544854000000001</v>
      </c>
      <c r="D3530">
        <v>1700</v>
      </c>
      <c r="E3530">
        <v>1900</v>
      </c>
      <c r="F3530">
        <v>108</v>
      </c>
      <c r="G3530">
        <v>59</v>
      </c>
      <c r="H3530">
        <v>64</v>
      </c>
      <c r="J3530" s="1">
        <f t="shared" si="275"/>
        <v>11664</v>
      </c>
      <c r="K3530" s="1">
        <f t="shared" si="276"/>
        <v>3481</v>
      </c>
      <c r="L3530" s="1">
        <f t="shared" si="277"/>
        <v>15145</v>
      </c>
      <c r="M3530" s="1">
        <f t="shared" si="278"/>
        <v>123.06502346320826</v>
      </c>
      <c r="N3530" s="7">
        <f t="shared" si="279"/>
        <v>123.06502346320826</v>
      </c>
    </row>
    <row r="3531" spans="1:14" x14ac:dyDescent="0.25">
      <c r="A3531" t="str">
        <f>"14:49:12.164"</f>
        <v>14:49:12.164</v>
      </c>
      <c r="B3531">
        <v>40.396729000000001</v>
      </c>
      <c r="C3531">
        <v>-74.544252999999998</v>
      </c>
      <c r="D3531">
        <v>1700</v>
      </c>
      <c r="E3531">
        <v>1900</v>
      </c>
      <c r="F3531">
        <v>109</v>
      </c>
      <c r="G3531">
        <v>57</v>
      </c>
      <c r="H3531">
        <v>0</v>
      </c>
      <c r="J3531" s="1">
        <f t="shared" si="275"/>
        <v>11881</v>
      </c>
      <c r="K3531" s="1">
        <f t="shared" si="276"/>
        <v>3249</v>
      </c>
      <c r="L3531" s="1">
        <f t="shared" si="277"/>
        <v>15130</v>
      </c>
      <c r="M3531" s="1">
        <f t="shared" si="278"/>
        <v>123.00406497347964</v>
      </c>
      <c r="N3531" s="7">
        <f t="shared" si="279"/>
        <v>123.00406497347964</v>
      </c>
    </row>
    <row r="3532" spans="1:14" x14ac:dyDescent="0.25">
      <c r="A3532" t="str">
        <f>"14:49:13.328"</f>
        <v>14:49:13.328</v>
      </c>
      <c r="B3532">
        <v>40.39705</v>
      </c>
      <c r="C3532">
        <v>-74.543458999999999</v>
      </c>
      <c r="D3532">
        <v>1700</v>
      </c>
      <c r="E3532">
        <v>1900</v>
      </c>
      <c r="F3532">
        <v>110</v>
      </c>
      <c r="G3532">
        <v>54</v>
      </c>
      <c r="H3532">
        <v>0</v>
      </c>
      <c r="J3532" s="1">
        <f t="shared" si="275"/>
        <v>12100</v>
      </c>
      <c r="K3532" s="1">
        <f t="shared" si="276"/>
        <v>2916</v>
      </c>
      <c r="L3532" s="1">
        <f t="shared" si="277"/>
        <v>15016</v>
      </c>
      <c r="M3532" s="1">
        <f t="shared" si="278"/>
        <v>122.53978945632312</v>
      </c>
      <c r="N3532" s="7">
        <f t="shared" si="279"/>
        <v>122.53978945632312</v>
      </c>
    </row>
    <row r="3533" spans="1:14" x14ac:dyDescent="0.25">
      <c r="A3533" t="str">
        <f>"14:49:14.336"</f>
        <v>14:49:14.336</v>
      </c>
      <c r="B3533">
        <v>40.397286000000001</v>
      </c>
      <c r="C3533">
        <v>-74.542794000000001</v>
      </c>
      <c r="D3533">
        <v>1700</v>
      </c>
      <c r="E3533">
        <v>1900</v>
      </c>
      <c r="F3533">
        <v>111</v>
      </c>
      <c r="G3533">
        <v>52</v>
      </c>
      <c r="H3533">
        <v>-64</v>
      </c>
      <c r="J3533" s="1">
        <f t="shared" si="275"/>
        <v>12321</v>
      </c>
      <c r="K3533" s="1">
        <f t="shared" si="276"/>
        <v>2704</v>
      </c>
      <c r="L3533" s="1">
        <f t="shared" si="277"/>
        <v>15025</v>
      </c>
      <c r="M3533" s="1">
        <f t="shared" si="278"/>
        <v>122.57650672131263</v>
      </c>
      <c r="N3533" s="7">
        <f t="shared" si="279"/>
        <v>122.57650672131263</v>
      </c>
    </row>
    <row r="3534" spans="1:14" x14ac:dyDescent="0.25">
      <c r="A3534" t="str">
        <f>"14:49:15.297"</f>
        <v>14:49:15.297</v>
      </c>
      <c r="B3534">
        <v>40.397480000000002</v>
      </c>
      <c r="C3534">
        <v>-74.542171999999994</v>
      </c>
      <c r="D3534">
        <v>1700</v>
      </c>
      <c r="E3534">
        <v>1900</v>
      </c>
      <c r="F3534">
        <v>112</v>
      </c>
      <c r="G3534">
        <v>49</v>
      </c>
      <c r="H3534">
        <v>-64</v>
      </c>
      <c r="J3534" s="1">
        <f t="shared" si="275"/>
        <v>12544</v>
      </c>
      <c r="K3534" s="1">
        <f t="shared" si="276"/>
        <v>2401</v>
      </c>
      <c r="L3534" s="1">
        <f t="shared" si="277"/>
        <v>14945</v>
      </c>
      <c r="M3534" s="1">
        <f t="shared" si="278"/>
        <v>122.24974437601087</v>
      </c>
      <c r="N3534" s="7">
        <f t="shared" si="279"/>
        <v>122.24974437601087</v>
      </c>
    </row>
    <row r="3535" spans="1:14" x14ac:dyDescent="0.25">
      <c r="A3535" t="str">
        <f>"14:49:16.211"</f>
        <v>14:49:16.211</v>
      </c>
      <c r="B3535">
        <v>40.397716000000003</v>
      </c>
      <c r="C3535">
        <v>-74.541484999999994</v>
      </c>
      <c r="D3535">
        <v>1700</v>
      </c>
      <c r="E3535">
        <v>1875</v>
      </c>
      <c r="F3535">
        <v>112</v>
      </c>
      <c r="G3535">
        <v>47</v>
      </c>
      <c r="H3535">
        <v>-64</v>
      </c>
      <c r="J3535" s="1">
        <f t="shared" si="275"/>
        <v>12544</v>
      </c>
      <c r="K3535" s="1">
        <f t="shared" si="276"/>
        <v>2209</v>
      </c>
      <c r="L3535" s="1">
        <f t="shared" si="277"/>
        <v>14753</v>
      </c>
      <c r="M3535" s="1">
        <f t="shared" si="278"/>
        <v>121.46192819151193</v>
      </c>
      <c r="N3535" s="7">
        <f t="shared" si="279"/>
        <v>121.46192819151193</v>
      </c>
    </row>
    <row r="3536" spans="1:14" x14ac:dyDescent="0.25">
      <c r="A3536" t="str">
        <f>"14:49:17.672"</f>
        <v>14:49:17.672</v>
      </c>
      <c r="B3536">
        <v>40.397995000000002</v>
      </c>
      <c r="C3536">
        <v>-74.540541000000005</v>
      </c>
      <c r="D3536">
        <v>1700</v>
      </c>
      <c r="E3536">
        <v>1875</v>
      </c>
      <c r="F3536">
        <v>113</v>
      </c>
      <c r="G3536">
        <v>45</v>
      </c>
      <c r="H3536">
        <v>0</v>
      </c>
      <c r="J3536" s="1">
        <f t="shared" si="275"/>
        <v>12769</v>
      </c>
      <c r="K3536" s="1">
        <f t="shared" si="276"/>
        <v>2025</v>
      </c>
      <c r="L3536" s="1">
        <f t="shared" si="277"/>
        <v>14794</v>
      </c>
      <c r="M3536" s="1">
        <f t="shared" si="278"/>
        <v>121.63058825805291</v>
      </c>
      <c r="N3536" s="7">
        <f t="shared" si="279"/>
        <v>121.63058825805291</v>
      </c>
    </row>
    <row r="3537" spans="1:14" x14ac:dyDescent="0.25">
      <c r="A3537" t="str">
        <f>"14:49:18.680"</f>
        <v>14:49:18.680</v>
      </c>
      <c r="B3537">
        <v>40.398166000000003</v>
      </c>
      <c r="C3537">
        <v>-74.539811999999998</v>
      </c>
      <c r="D3537">
        <v>1700</v>
      </c>
      <c r="E3537">
        <v>1875</v>
      </c>
      <c r="F3537">
        <v>114</v>
      </c>
      <c r="G3537">
        <v>43</v>
      </c>
      <c r="H3537">
        <v>0</v>
      </c>
      <c r="J3537" s="1">
        <f t="shared" si="275"/>
        <v>12996</v>
      </c>
      <c r="K3537" s="1">
        <f t="shared" si="276"/>
        <v>1849</v>
      </c>
      <c r="L3537" s="1">
        <f t="shared" si="277"/>
        <v>14845</v>
      </c>
      <c r="M3537" s="1">
        <f t="shared" si="278"/>
        <v>121.8400590938793</v>
      </c>
      <c r="N3537" s="7">
        <f t="shared" si="279"/>
        <v>121.8400590938793</v>
      </c>
    </row>
    <row r="3538" spans="1:14" x14ac:dyDescent="0.25">
      <c r="A3538" t="str">
        <f>"14:49:19.688"</f>
        <v>14:49:19.688</v>
      </c>
      <c r="B3538">
        <v>40.398358999999999</v>
      </c>
      <c r="C3538">
        <v>-74.539124999999999</v>
      </c>
      <c r="D3538">
        <v>1700</v>
      </c>
      <c r="E3538">
        <v>1875</v>
      </c>
      <c r="F3538">
        <v>114</v>
      </c>
      <c r="G3538">
        <v>42</v>
      </c>
      <c r="H3538">
        <v>0</v>
      </c>
      <c r="J3538" s="1">
        <f t="shared" si="275"/>
        <v>12996</v>
      </c>
      <c r="K3538" s="1">
        <f t="shared" si="276"/>
        <v>1764</v>
      </c>
      <c r="L3538" s="1">
        <f t="shared" si="277"/>
        <v>14760</v>
      </c>
      <c r="M3538" s="1">
        <f t="shared" si="278"/>
        <v>121.49074038789952</v>
      </c>
      <c r="N3538" s="7">
        <f t="shared" si="279"/>
        <v>121.49074038789952</v>
      </c>
    </row>
    <row r="3539" spans="1:14" x14ac:dyDescent="0.25">
      <c r="A3539" t="str">
        <f>"14:49:20.750"</f>
        <v>14:49:20.750</v>
      </c>
      <c r="B3539">
        <v>40.398595</v>
      </c>
      <c r="C3539">
        <v>-74.538394999999994</v>
      </c>
      <c r="D3539">
        <v>1700</v>
      </c>
      <c r="E3539">
        <v>1875</v>
      </c>
      <c r="F3539">
        <v>114</v>
      </c>
      <c r="G3539">
        <v>41</v>
      </c>
      <c r="H3539">
        <v>64</v>
      </c>
      <c r="J3539" s="1">
        <f t="shared" si="275"/>
        <v>12996</v>
      </c>
      <c r="K3539" s="1">
        <f t="shared" si="276"/>
        <v>1681</v>
      </c>
      <c r="L3539" s="1">
        <f t="shared" si="277"/>
        <v>14677</v>
      </c>
      <c r="M3539" s="1">
        <f t="shared" si="278"/>
        <v>121.14866899805379</v>
      </c>
      <c r="N3539" s="7">
        <f t="shared" si="279"/>
        <v>121.14866899805379</v>
      </c>
    </row>
    <row r="3540" spans="1:14" x14ac:dyDescent="0.25">
      <c r="A3540" t="str">
        <f>"14:49:21.664"</f>
        <v>14:49:21.664</v>
      </c>
      <c r="B3540">
        <v>40.398766999999999</v>
      </c>
      <c r="C3540">
        <v>-74.537751999999998</v>
      </c>
      <c r="D3540">
        <v>1700</v>
      </c>
      <c r="E3540">
        <v>1875</v>
      </c>
      <c r="F3540">
        <v>114</v>
      </c>
      <c r="G3540">
        <v>41</v>
      </c>
      <c r="H3540">
        <v>64</v>
      </c>
      <c r="J3540" s="1">
        <f t="shared" si="275"/>
        <v>12996</v>
      </c>
      <c r="K3540" s="1">
        <f t="shared" si="276"/>
        <v>1681</v>
      </c>
      <c r="L3540" s="1">
        <f t="shared" si="277"/>
        <v>14677</v>
      </c>
      <c r="M3540" s="1">
        <f t="shared" si="278"/>
        <v>121.14866899805379</v>
      </c>
      <c r="N3540" s="7">
        <f t="shared" si="279"/>
        <v>121.14866899805379</v>
      </c>
    </row>
    <row r="3541" spans="1:14" x14ac:dyDescent="0.25">
      <c r="A3541" t="str">
        <f>"14:49:22.672"</f>
        <v>14:49:22.672</v>
      </c>
      <c r="B3541">
        <v>40.398960000000002</v>
      </c>
      <c r="C3541">
        <v>-74.537064999999998</v>
      </c>
      <c r="D3541">
        <v>1700</v>
      </c>
      <c r="E3541">
        <v>1900</v>
      </c>
      <c r="F3541">
        <v>114</v>
      </c>
      <c r="G3541">
        <v>41</v>
      </c>
      <c r="H3541">
        <v>64</v>
      </c>
      <c r="J3541" s="1">
        <f t="shared" si="275"/>
        <v>12996</v>
      </c>
      <c r="K3541" s="1">
        <f t="shared" si="276"/>
        <v>1681</v>
      </c>
      <c r="L3541" s="1">
        <f t="shared" si="277"/>
        <v>14677</v>
      </c>
      <c r="M3541" s="1">
        <f t="shared" si="278"/>
        <v>121.14866899805379</v>
      </c>
      <c r="N3541" s="7">
        <f t="shared" si="279"/>
        <v>121.14866899805379</v>
      </c>
    </row>
    <row r="3542" spans="1:14" x14ac:dyDescent="0.25">
      <c r="A3542" t="str">
        <f>"14:49:23.531"</f>
        <v>14:49:23.531</v>
      </c>
      <c r="B3542">
        <v>40.39911</v>
      </c>
      <c r="C3542">
        <v>-74.536443000000006</v>
      </c>
      <c r="D3542">
        <v>1700</v>
      </c>
      <c r="E3542">
        <v>1900</v>
      </c>
      <c r="F3542">
        <v>114</v>
      </c>
      <c r="G3542">
        <v>40</v>
      </c>
      <c r="H3542">
        <v>64</v>
      </c>
      <c r="J3542" s="1">
        <f t="shared" si="275"/>
        <v>12996</v>
      </c>
      <c r="K3542" s="1">
        <f t="shared" si="276"/>
        <v>1600</v>
      </c>
      <c r="L3542" s="1">
        <f t="shared" si="277"/>
        <v>14596</v>
      </c>
      <c r="M3542" s="1">
        <f t="shared" si="278"/>
        <v>120.81390648431164</v>
      </c>
      <c r="N3542" s="7">
        <f t="shared" si="279"/>
        <v>120.81390648431164</v>
      </c>
    </row>
    <row r="3543" spans="1:14" x14ac:dyDescent="0.25">
      <c r="A3543" t="str">
        <f>"14:49:24.539"</f>
        <v>14:49:24.539</v>
      </c>
      <c r="B3543">
        <v>40.399281999999999</v>
      </c>
      <c r="C3543">
        <v>-74.535756000000006</v>
      </c>
      <c r="D3543">
        <v>1700</v>
      </c>
      <c r="E3543">
        <v>1900</v>
      </c>
      <c r="F3543">
        <v>114</v>
      </c>
      <c r="G3543">
        <v>40</v>
      </c>
      <c r="H3543">
        <v>64</v>
      </c>
      <c r="J3543" s="1">
        <f t="shared" si="275"/>
        <v>12996</v>
      </c>
      <c r="K3543" s="1">
        <f t="shared" si="276"/>
        <v>1600</v>
      </c>
      <c r="L3543" s="1">
        <f t="shared" si="277"/>
        <v>14596</v>
      </c>
      <c r="M3543" s="1">
        <f t="shared" si="278"/>
        <v>120.81390648431164</v>
      </c>
      <c r="N3543" s="7">
        <f t="shared" si="279"/>
        <v>120.81390648431164</v>
      </c>
    </row>
    <row r="3544" spans="1:14" x14ac:dyDescent="0.25">
      <c r="A3544" t="str">
        <f>"14:49:25.500"</f>
        <v>14:49:25.500</v>
      </c>
      <c r="B3544">
        <v>40.399475000000002</v>
      </c>
      <c r="C3544">
        <v>-74.535111999999998</v>
      </c>
      <c r="D3544">
        <v>1700</v>
      </c>
      <c r="E3544">
        <v>1900</v>
      </c>
      <c r="F3544">
        <v>114</v>
      </c>
      <c r="G3544">
        <v>41</v>
      </c>
      <c r="H3544">
        <v>64</v>
      </c>
      <c r="J3544" s="1">
        <f t="shared" si="275"/>
        <v>12996</v>
      </c>
      <c r="K3544" s="1">
        <f t="shared" si="276"/>
        <v>1681</v>
      </c>
      <c r="L3544" s="1">
        <f t="shared" si="277"/>
        <v>14677</v>
      </c>
      <c r="M3544" s="1">
        <f t="shared" si="278"/>
        <v>121.14866899805379</v>
      </c>
      <c r="N3544" s="7">
        <f t="shared" si="279"/>
        <v>121.14866899805379</v>
      </c>
    </row>
    <row r="3545" spans="1:14" x14ac:dyDescent="0.25">
      <c r="A3545" t="str">
        <f>"14:49:26.406"</f>
        <v>14:49:26.406</v>
      </c>
      <c r="B3545">
        <v>40.399667999999998</v>
      </c>
      <c r="C3545">
        <v>-74.534425999999996</v>
      </c>
      <c r="D3545">
        <v>1700</v>
      </c>
      <c r="E3545">
        <v>1900</v>
      </c>
      <c r="F3545">
        <v>114</v>
      </c>
      <c r="G3545">
        <v>41</v>
      </c>
      <c r="H3545">
        <v>64</v>
      </c>
      <c r="J3545" s="1">
        <f t="shared" si="275"/>
        <v>12996</v>
      </c>
      <c r="K3545" s="1">
        <f t="shared" si="276"/>
        <v>1681</v>
      </c>
      <c r="L3545" s="1">
        <f t="shared" si="277"/>
        <v>14677</v>
      </c>
      <c r="M3545" s="1">
        <f t="shared" si="278"/>
        <v>121.14866899805379</v>
      </c>
      <c r="N3545" s="7">
        <f t="shared" si="279"/>
        <v>121.14866899805379</v>
      </c>
    </row>
    <row r="3546" spans="1:14" x14ac:dyDescent="0.25">
      <c r="A3546" t="str">
        <f>"14:49:27.313"</f>
        <v>14:49:27.313</v>
      </c>
      <c r="B3546">
        <v>40.399797</v>
      </c>
      <c r="C3546">
        <v>-74.533867999999998</v>
      </c>
      <c r="D3546">
        <v>1700</v>
      </c>
      <c r="E3546">
        <v>1900</v>
      </c>
      <c r="F3546">
        <v>114</v>
      </c>
      <c r="G3546">
        <v>41</v>
      </c>
      <c r="H3546">
        <v>0</v>
      </c>
      <c r="J3546" s="1">
        <f t="shared" si="275"/>
        <v>12996</v>
      </c>
      <c r="K3546" s="1">
        <f t="shared" si="276"/>
        <v>1681</v>
      </c>
      <c r="L3546" s="1">
        <f t="shared" si="277"/>
        <v>14677</v>
      </c>
      <c r="M3546" s="1">
        <f t="shared" si="278"/>
        <v>121.14866899805379</v>
      </c>
      <c r="N3546" s="7">
        <f t="shared" si="279"/>
        <v>121.14866899805379</v>
      </c>
    </row>
    <row r="3547" spans="1:14" x14ac:dyDescent="0.25">
      <c r="A3547" t="str">
        <f>"14:49:28.125"</f>
        <v>14:49:28.125</v>
      </c>
      <c r="B3547">
        <v>40.399968999999999</v>
      </c>
      <c r="C3547">
        <v>-74.533266999999995</v>
      </c>
      <c r="D3547">
        <v>1700</v>
      </c>
      <c r="E3547">
        <v>1900</v>
      </c>
      <c r="F3547">
        <v>114</v>
      </c>
      <c r="G3547">
        <v>42</v>
      </c>
      <c r="H3547">
        <v>-64</v>
      </c>
      <c r="J3547" s="1">
        <f t="shared" si="275"/>
        <v>12996</v>
      </c>
      <c r="K3547" s="1">
        <f t="shared" si="276"/>
        <v>1764</v>
      </c>
      <c r="L3547" s="1">
        <f t="shared" si="277"/>
        <v>14760</v>
      </c>
      <c r="M3547" s="1">
        <f t="shared" si="278"/>
        <v>121.49074038789952</v>
      </c>
      <c r="N3547" s="7">
        <f t="shared" si="279"/>
        <v>121.49074038789952</v>
      </c>
    </row>
    <row r="3548" spans="1:14" x14ac:dyDescent="0.25">
      <c r="A3548" t="str">
        <f>"14:49:29.180"</f>
        <v>14:49:29.180</v>
      </c>
      <c r="B3548">
        <v>40.400205</v>
      </c>
      <c r="C3548">
        <v>-74.532601999999997</v>
      </c>
      <c r="D3548">
        <v>1700</v>
      </c>
      <c r="E3548">
        <v>1900</v>
      </c>
      <c r="F3548">
        <v>113</v>
      </c>
      <c r="G3548">
        <v>43</v>
      </c>
      <c r="H3548">
        <v>-128</v>
      </c>
      <c r="J3548" s="1">
        <f t="shared" si="275"/>
        <v>12769</v>
      </c>
      <c r="K3548" s="1">
        <f t="shared" si="276"/>
        <v>1849</v>
      </c>
      <c r="L3548" s="1">
        <f t="shared" si="277"/>
        <v>14618</v>
      </c>
      <c r="M3548" s="1">
        <f t="shared" si="278"/>
        <v>120.90492132250036</v>
      </c>
      <c r="N3548" s="7">
        <f t="shared" si="279"/>
        <v>120.90492132250036</v>
      </c>
    </row>
    <row r="3549" spans="1:14" x14ac:dyDescent="0.25">
      <c r="A3549" t="str">
        <f>"14:49:30.195"</f>
        <v>14:49:30.195</v>
      </c>
      <c r="B3549">
        <v>40.400398000000003</v>
      </c>
      <c r="C3549">
        <v>-74.531914999999998</v>
      </c>
      <c r="D3549">
        <v>1700</v>
      </c>
      <c r="E3549">
        <v>1900</v>
      </c>
      <c r="F3549">
        <v>113</v>
      </c>
      <c r="G3549">
        <v>46</v>
      </c>
      <c r="H3549">
        <v>-128</v>
      </c>
      <c r="J3549" s="1">
        <f t="shared" si="275"/>
        <v>12769</v>
      </c>
      <c r="K3549" s="1">
        <f t="shared" si="276"/>
        <v>2116</v>
      </c>
      <c r="L3549" s="1">
        <f t="shared" si="277"/>
        <v>14885</v>
      </c>
      <c r="M3549" s="1">
        <f t="shared" si="278"/>
        <v>122.00409829181969</v>
      </c>
      <c r="N3549" s="7">
        <f t="shared" si="279"/>
        <v>122.00409829181969</v>
      </c>
    </row>
    <row r="3550" spans="1:14" x14ac:dyDescent="0.25">
      <c r="A3550" t="str">
        <f>"14:49:31.102"</f>
        <v>14:49:31.102</v>
      </c>
      <c r="B3550">
        <v>40.400633999999997</v>
      </c>
      <c r="C3550">
        <v>-74.531313999999995</v>
      </c>
      <c r="D3550">
        <v>1700</v>
      </c>
      <c r="E3550">
        <v>1875</v>
      </c>
      <c r="F3550">
        <v>112</v>
      </c>
      <c r="G3550">
        <v>50</v>
      </c>
      <c r="H3550">
        <v>-192</v>
      </c>
      <c r="J3550" s="1">
        <f t="shared" si="275"/>
        <v>12544</v>
      </c>
      <c r="K3550" s="1">
        <f t="shared" si="276"/>
        <v>2500</v>
      </c>
      <c r="L3550" s="1">
        <f t="shared" si="277"/>
        <v>15044</v>
      </c>
      <c r="M3550" s="1">
        <f t="shared" si="278"/>
        <v>122.65398485169571</v>
      </c>
      <c r="N3550" s="7">
        <f t="shared" si="279"/>
        <v>122.65398485169571</v>
      </c>
    </row>
    <row r="3551" spans="1:14" x14ac:dyDescent="0.25">
      <c r="A3551" t="str">
        <f>"14:49:32.063"</f>
        <v>14:49:32.063</v>
      </c>
      <c r="B3551">
        <v>40.400869999999998</v>
      </c>
      <c r="C3551">
        <v>-74.530627999999993</v>
      </c>
      <c r="D3551">
        <v>1700</v>
      </c>
      <c r="E3551">
        <v>1875</v>
      </c>
      <c r="F3551">
        <v>111</v>
      </c>
      <c r="G3551">
        <v>52</v>
      </c>
      <c r="H3551">
        <v>-128</v>
      </c>
      <c r="J3551" s="1">
        <f t="shared" si="275"/>
        <v>12321</v>
      </c>
      <c r="K3551" s="1">
        <f t="shared" si="276"/>
        <v>2704</v>
      </c>
      <c r="L3551" s="1">
        <f t="shared" si="277"/>
        <v>15025</v>
      </c>
      <c r="M3551" s="1">
        <f t="shared" si="278"/>
        <v>122.57650672131263</v>
      </c>
      <c r="N3551" s="7">
        <f t="shared" si="279"/>
        <v>122.57650672131263</v>
      </c>
    </row>
    <row r="3552" spans="1:14" x14ac:dyDescent="0.25">
      <c r="A3552" t="str">
        <f>"14:49:33.070"</f>
        <v>14:49:33.070</v>
      </c>
      <c r="B3552">
        <v>40.401148999999997</v>
      </c>
      <c r="C3552">
        <v>-74.529940999999994</v>
      </c>
      <c r="D3552">
        <v>1700</v>
      </c>
      <c r="E3552">
        <v>1875</v>
      </c>
      <c r="F3552">
        <v>110</v>
      </c>
      <c r="G3552">
        <v>55</v>
      </c>
      <c r="H3552">
        <v>-64</v>
      </c>
      <c r="J3552" s="1">
        <f t="shared" si="275"/>
        <v>12100</v>
      </c>
      <c r="K3552" s="1">
        <f t="shared" si="276"/>
        <v>3025</v>
      </c>
      <c r="L3552" s="1">
        <f t="shared" si="277"/>
        <v>15125</v>
      </c>
      <c r="M3552" s="1">
        <f t="shared" si="278"/>
        <v>122.98373876248843</v>
      </c>
      <c r="N3552" s="7">
        <f t="shared" si="279"/>
        <v>122.98373876248843</v>
      </c>
    </row>
    <row r="3553" spans="1:14" x14ac:dyDescent="0.25">
      <c r="A3553" t="str">
        <f>"14:49:33.930"</f>
        <v>14:49:33.930</v>
      </c>
      <c r="B3553">
        <v>40.401342</v>
      </c>
      <c r="C3553">
        <v>-74.529362000000006</v>
      </c>
      <c r="D3553">
        <v>1700</v>
      </c>
      <c r="E3553">
        <v>1875</v>
      </c>
      <c r="F3553">
        <v>109</v>
      </c>
      <c r="G3553">
        <v>56</v>
      </c>
      <c r="H3553">
        <v>0</v>
      </c>
      <c r="J3553" s="1">
        <f t="shared" si="275"/>
        <v>11881</v>
      </c>
      <c r="K3553" s="1">
        <f t="shared" si="276"/>
        <v>3136</v>
      </c>
      <c r="L3553" s="1">
        <f t="shared" si="277"/>
        <v>15017</v>
      </c>
      <c r="M3553" s="1">
        <f t="shared" si="278"/>
        <v>122.54386969571347</v>
      </c>
      <c r="N3553" s="7">
        <f t="shared" si="279"/>
        <v>122.54386969571347</v>
      </c>
    </row>
    <row r="3554" spans="1:14" x14ac:dyDescent="0.25">
      <c r="A3554" t="str">
        <f>"14:49:34.789"</f>
        <v>14:49:34.789</v>
      </c>
      <c r="B3554">
        <v>40.401620999999999</v>
      </c>
      <c r="C3554">
        <v>-74.528761000000003</v>
      </c>
      <c r="D3554">
        <v>1700</v>
      </c>
      <c r="E3554">
        <v>1875</v>
      </c>
      <c r="F3554">
        <v>108</v>
      </c>
      <c r="G3554">
        <v>58</v>
      </c>
      <c r="H3554">
        <v>64</v>
      </c>
      <c r="J3554" s="1">
        <f t="shared" si="275"/>
        <v>11664</v>
      </c>
      <c r="K3554" s="1">
        <f t="shared" si="276"/>
        <v>3364</v>
      </c>
      <c r="L3554" s="1">
        <f t="shared" si="277"/>
        <v>15028</v>
      </c>
      <c r="M3554" s="1">
        <f t="shared" si="278"/>
        <v>122.58874336577564</v>
      </c>
      <c r="N3554" s="7">
        <f t="shared" si="279"/>
        <v>122.58874336577564</v>
      </c>
    </row>
    <row r="3555" spans="1:14" x14ac:dyDescent="0.25">
      <c r="A3555" t="str">
        <f>"14:49:35.797"</f>
        <v>14:49:35.797</v>
      </c>
      <c r="B3555">
        <v>40.401899999999998</v>
      </c>
      <c r="C3555">
        <v>-74.528138999999996</v>
      </c>
      <c r="D3555">
        <v>1700</v>
      </c>
      <c r="E3555">
        <v>1875</v>
      </c>
      <c r="F3555">
        <v>108</v>
      </c>
      <c r="G3555">
        <v>59</v>
      </c>
      <c r="H3555">
        <v>128</v>
      </c>
      <c r="J3555" s="1">
        <f t="shared" si="275"/>
        <v>11664</v>
      </c>
      <c r="K3555" s="1">
        <f t="shared" si="276"/>
        <v>3481</v>
      </c>
      <c r="L3555" s="1">
        <f t="shared" si="277"/>
        <v>15145</v>
      </c>
      <c r="M3555" s="1">
        <f t="shared" si="278"/>
        <v>123.06502346320826</v>
      </c>
      <c r="N3555" s="7">
        <f t="shared" si="279"/>
        <v>123.06502346320826</v>
      </c>
    </row>
    <row r="3556" spans="1:14" x14ac:dyDescent="0.25">
      <c r="A3556" t="str">
        <f>"14:49:36.906"</f>
        <v>14:49:36.906</v>
      </c>
      <c r="B3556">
        <v>40.402178999999997</v>
      </c>
      <c r="C3556">
        <v>-74.527409000000006</v>
      </c>
      <c r="D3556">
        <v>1700</v>
      </c>
      <c r="E3556">
        <v>1875</v>
      </c>
      <c r="F3556">
        <v>107</v>
      </c>
      <c r="G3556">
        <v>59</v>
      </c>
      <c r="H3556">
        <v>128</v>
      </c>
      <c r="J3556" s="1">
        <f t="shared" si="275"/>
        <v>11449</v>
      </c>
      <c r="K3556" s="1">
        <f t="shared" si="276"/>
        <v>3481</v>
      </c>
      <c r="L3556" s="1">
        <f t="shared" si="277"/>
        <v>14930</v>
      </c>
      <c r="M3556" s="1">
        <f t="shared" si="278"/>
        <v>122.18837915284743</v>
      </c>
      <c r="N3556" s="7">
        <f t="shared" si="279"/>
        <v>122.18837915284743</v>
      </c>
    </row>
    <row r="3557" spans="1:14" x14ac:dyDescent="0.25">
      <c r="A3557" t="str">
        <f>"14:49:37.969"</f>
        <v>14:49:37.969</v>
      </c>
      <c r="B3557">
        <v>40.402458000000003</v>
      </c>
      <c r="C3557">
        <v>-74.526786999999999</v>
      </c>
      <c r="D3557">
        <v>1700</v>
      </c>
      <c r="E3557">
        <v>1900</v>
      </c>
      <c r="F3557">
        <v>107</v>
      </c>
      <c r="G3557">
        <v>59</v>
      </c>
      <c r="H3557">
        <v>128</v>
      </c>
      <c r="J3557" s="1">
        <f t="shared" si="275"/>
        <v>11449</v>
      </c>
      <c r="K3557" s="1">
        <f t="shared" si="276"/>
        <v>3481</v>
      </c>
      <c r="L3557" s="1">
        <f t="shared" si="277"/>
        <v>14930</v>
      </c>
      <c r="M3557" s="1">
        <f t="shared" si="278"/>
        <v>122.18837915284743</v>
      </c>
      <c r="N3557" s="7">
        <f t="shared" si="279"/>
        <v>122.18837915284743</v>
      </c>
    </row>
    <row r="3558" spans="1:14" x14ac:dyDescent="0.25">
      <c r="A3558" t="str">
        <f>"14:49:38.977"</f>
        <v>14:49:38.977</v>
      </c>
      <c r="B3558">
        <v>40.402715000000001</v>
      </c>
      <c r="C3558">
        <v>-74.526122000000001</v>
      </c>
      <c r="D3558">
        <v>1700</v>
      </c>
      <c r="E3558">
        <v>1900</v>
      </c>
      <c r="F3558">
        <v>107</v>
      </c>
      <c r="G3558">
        <v>59</v>
      </c>
      <c r="H3558">
        <v>128</v>
      </c>
      <c r="J3558" s="1">
        <f t="shared" si="275"/>
        <v>11449</v>
      </c>
      <c r="K3558" s="1">
        <f t="shared" si="276"/>
        <v>3481</v>
      </c>
      <c r="L3558" s="1">
        <f t="shared" si="277"/>
        <v>14930</v>
      </c>
      <c r="M3558" s="1">
        <f t="shared" si="278"/>
        <v>122.18837915284743</v>
      </c>
      <c r="N3558" s="7">
        <f t="shared" si="279"/>
        <v>122.18837915284743</v>
      </c>
    </row>
    <row r="3559" spans="1:14" x14ac:dyDescent="0.25">
      <c r="A3559" t="str">
        <f>"14:49:40.039"</f>
        <v>14:49:40.039</v>
      </c>
      <c r="B3559">
        <v>40.403016000000001</v>
      </c>
      <c r="C3559">
        <v>-74.525435000000002</v>
      </c>
      <c r="D3559">
        <v>1700</v>
      </c>
      <c r="E3559">
        <v>1900</v>
      </c>
      <c r="F3559">
        <v>107</v>
      </c>
      <c r="G3559">
        <v>58</v>
      </c>
      <c r="H3559">
        <v>64</v>
      </c>
      <c r="J3559" s="1">
        <f t="shared" si="275"/>
        <v>11449</v>
      </c>
      <c r="K3559" s="1">
        <f t="shared" si="276"/>
        <v>3364</v>
      </c>
      <c r="L3559" s="1">
        <f t="shared" si="277"/>
        <v>14813</v>
      </c>
      <c r="M3559" s="1">
        <f t="shared" si="278"/>
        <v>121.70866854912184</v>
      </c>
      <c r="N3559" s="7">
        <f t="shared" si="279"/>
        <v>121.70866854912184</v>
      </c>
    </row>
    <row r="3560" spans="1:14" x14ac:dyDescent="0.25">
      <c r="A3560" t="str">
        <f>"14:49:40.945"</f>
        <v>14:49:40.945</v>
      </c>
      <c r="B3560">
        <v>40.403272999999999</v>
      </c>
      <c r="C3560">
        <v>-74.524833999999998</v>
      </c>
      <c r="D3560">
        <v>1700</v>
      </c>
      <c r="E3560">
        <v>1900</v>
      </c>
      <c r="F3560">
        <v>107</v>
      </c>
      <c r="G3560">
        <v>58</v>
      </c>
      <c r="H3560">
        <v>0</v>
      </c>
      <c r="J3560" s="1">
        <f t="shared" si="275"/>
        <v>11449</v>
      </c>
      <c r="K3560" s="1">
        <f t="shared" si="276"/>
        <v>3364</v>
      </c>
      <c r="L3560" s="1">
        <f t="shared" si="277"/>
        <v>14813</v>
      </c>
      <c r="M3560" s="1">
        <f t="shared" si="278"/>
        <v>121.70866854912184</v>
      </c>
      <c r="N3560" s="7">
        <f t="shared" si="279"/>
        <v>121.70866854912184</v>
      </c>
    </row>
    <row r="3561" spans="1:14" x14ac:dyDescent="0.25">
      <c r="A3561" t="str">
        <f>"14:49:42.008"</f>
        <v>14:49:42.008</v>
      </c>
      <c r="B3561">
        <v>40.403551999999998</v>
      </c>
      <c r="C3561">
        <v>-74.524169000000001</v>
      </c>
      <c r="D3561">
        <v>1700</v>
      </c>
      <c r="E3561">
        <v>1900</v>
      </c>
      <c r="F3561">
        <v>107</v>
      </c>
      <c r="G3561">
        <v>57</v>
      </c>
      <c r="H3561">
        <v>-64</v>
      </c>
      <c r="J3561" s="1">
        <f t="shared" si="275"/>
        <v>11449</v>
      </c>
      <c r="K3561" s="1">
        <f t="shared" si="276"/>
        <v>3249</v>
      </c>
      <c r="L3561" s="1">
        <f t="shared" si="277"/>
        <v>14698</v>
      </c>
      <c r="M3561" s="1">
        <f t="shared" si="278"/>
        <v>121.23530838827442</v>
      </c>
      <c r="N3561" s="7">
        <f t="shared" si="279"/>
        <v>121.23530838827442</v>
      </c>
    </row>
    <row r="3562" spans="1:14" x14ac:dyDescent="0.25">
      <c r="A3562" t="str">
        <f>"14:49:42.969"</f>
        <v>14:49:42.969</v>
      </c>
      <c r="B3562">
        <v>40.403787999999999</v>
      </c>
      <c r="C3562">
        <v>-74.523504000000003</v>
      </c>
      <c r="D3562">
        <v>1700</v>
      </c>
      <c r="E3562">
        <v>1900</v>
      </c>
      <c r="F3562">
        <v>107</v>
      </c>
      <c r="G3562">
        <v>57</v>
      </c>
      <c r="H3562">
        <v>-64</v>
      </c>
      <c r="J3562" s="1">
        <f t="shared" si="275"/>
        <v>11449</v>
      </c>
      <c r="K3562" s="1">
        <f t="shared" si="276"/>
        <v>3249</v>
      </c>
      <c r="L3562" s="1">
        <f t="shared" si="277"/>
        <v>14698</v>
      </c>
      <c r="M3562" s="1">
        <f t="shared" si="278"/>
        <v>121.23530838827442</v>
      </c>
      <c r="N3562" s="7">
        <f t="shared" si="279"/>
        <v>121.23530838827442</v>
      </c>
    </row>
    <row r="3563" spans="1:14" x14ac:dyDescent="0.25">
      <c r="A3563" t="str">
        <f>"14:49:44.078"</f>
        <v>14:49:44.078</v>
      </c>
      <c r="B3563">
        <v>40.404088000000002</v>
      </c>
      <c r="C3563">
        <v>-74.522817000000003</v>
      </c>
      <c r="D3563">
        <v>1700</v>
      </c>
      <c r="E3563">
        <v>1900</v>
      </c>
      <c r="F3563">
        <v>107</v>
      </c>
      <c r="G3563">
        <v>57</v>
      </c>
      <c r="H3563">
        <v>-64</v>
      </c>
      <c r="J3563" s="1">
        <f t="shared" si="275"/>
        <v>11449</v>
      </c>
      <c r="K3563" s="1">
        <f t="shared" si="276"/>
        <v>3249</v>
      </c>
      <c r="L3563" s="1">
        <f t="shared" si="277"/>
        <v>14698</v>
      </c>
      <c r="M3563" s="1">
        <f t="shared" si="278"/>
        <v>121.23530838827442</v>
      </c>
      <c r="N3563" s="7">
        <f t="shared" si="279"/>
        <v>121.23530838827442</v>
      </c>
    </row>
    <row r="3564" spans="1:14" x14ac:dyDescent="0.25">
      <c r="A3564" t="str">
        <f>"14:49:44.938"</f>
        <v>14:49:44.938</v>
      </c>
      <c r="B3564">
        <v>40.404325</v>
      </c>
      <c r="C3564">
        <v>-74.522216</v>
      </c>
      <c r="D3564">
        <v>1700</v>
      </c>
      <c r="E3564">
        <v>1900</v>
      </c>
      <c r="F3564">
        <v>107</v>
      </c>
      <c r="G3564">
        <v>57</v>
      </c>
      <c r="H3564">
        <v>-64</v>
      </c>
      <c r="J3564" s="1">
        <f t="shared" si="275"/>
        <v>11449</v>
      </c>
      <c r="K3564" s="1">
        <f t="shared" si="276"/>
        <v>3249</v>
      </c>
      <c r="L3564" s="1">
        <f t="shared" si="277"/>
        <v>14698</v>
      </c>
      <c r="M3564" s="1">
        <f t="shared" si="278"/>
        <v>121.23530838827442</v>
      </c>
      <c r="N3564" s="7">
        <f t="shared" si="279"/>
        <v>121.23530838827442</v>
      </c>
    </row>
    <row r="3565" spans="1:14" x14ac:dyDescent="0.25">
      <c r="A3565" t="str">
        <f>"14:49:46.047"</f>
        <v>14:49:46.047</v>
      </c>
      <c r="B3565">
        <v>40.404603000000002</v>
      </c>
      <c r="C3565">
        <v>-74.521507999999997</v>
      </c>
      <c r="D3565">
        <v>1700</v>
      </c>
      <c r="E3565">
        <v>1900</v>
      </c>
      <c r="F3565">
        <v>107</v>
      </c>
      <c r="G3565">
        <v>57</v>
      </c>
      <c r="H3565">
        <v>-64</v>
      </c>
      <c r="J3565" s="1">
        <f t="shared" si="275"/>
        <v>11449</v>
      </c>
      <c r="K3565" s="1">
        <f t="shared" si="276"/>
        <v>3249</v>
      </c>
      <c r="L3565" s="1">
        <f t="shared" si="277"/>
        <v>14698</v>
      </c>
      <c r="M3565" s="1">
        <f t="shared" si="278"/>
        <v>121.23530838827442</v>
      </c>
      <c r="N3565" s="7">
        <f t="shared" si="279"/>
        <v>121.23530838827442</v>
      </c>
    </row>
    <row r="3566" spans="1:14" x14ac:dyDescent="0.25">
      <c r="A3566" t="str">
        <f>"14:49:47.055"</f>
        <v>14:49:47.055</v>
      </c>
      <c r="B3566">
        <v>40.404882000000001</v>
      </c>
      <c r="C3566">
        <v>-74.520821999999995</v>
      </c>
      <c r="D3566">
        <v>1700</v>
      </c>
      <c r="E3566">
        <v>1900</v>
      </c>
      <c r="F3566">
        <v>107</v>
      </c>
      <c r="G3566">
        <v>56</v>
      </c>
      <c r="H3566">
        <v>0</v>
      </c>
      <c r="J3566" s="1">
        <f t="shared" si="275"/>
        <v>11449</v>
      </c>
      <c r="K3566" s="1">
        <f t="shared" si="276"/>
        <v>3136</v>
      </c>
      <c r="L3566" s="1">
        <f t="shared" si="277"/>
        <v>14585</v>
      </c>
      <c r="M3566" s="1">
        <f t="shared" si="278"/>
        <v>120.76837334335509</v>
      </c>
      <c r="N3566" s="7">
        <f t="shared" si="279"/>
        <v>120.76837334335509</v>
      </c>
    </row>
    <row r="3567" spans="1:14" x14ac:dyDescent="0.25">
      <c r="A3567" t="str">
        <f>"14:49:48.219"</f>
        <v>14:49:48.219</v>
      </c>
      <c r="B3567">
        <v>40.405203999999998</v>
      </c>
      <c r="C3567">
        <v>-74.520071000000002</v>
      </c>
      <c r="D3567">
        <v>1700</v>
      </c>
      <c r="E3567">
        <v>1900</v>
      </c>
      <c r="F3567">
        <v>107</v>
      </c>
      <c r="G3567">
        <v>57</v>
      </c>
      <c r="H3567">
        <v>0</v>
      </c>
      <c r="J3567" s="1">
        <f t="shared" si="275"/>
        <v>11449</v>
      </c>
      <c r="K3567" s="1">
        <f t="shared" si="276"/>
        <v>3249</v>
      </c>
      <c r="L3567" s="1">
        <f t="shared" si="277"/>
        <v>14698</v>
      </c>
      <c r="M3567" s="1">
        <f t="shared" si="278"/>
        <v>121.23530838827442</v>
      </c>
      <c r="N3567" s="7">
        <f t="shared" si="279"/>
        <v>121.23530838827442</v>
      </c>
    </row>
    <row r="3568" spans="1:14" x14ac:dyDescent="0.25">
      <c r="A3568" t="str">
        <f>"14:49:49.281"</f>
        <v>14:49:49.281</v>
      </c>
      <c r="B3568">
        <v>40.405439999999999</v>
      </c>
      <c r="C3568">
        <v>-74.519447999999997</v>
      </c>
      <c r="D3568">
        <v>1700</v>
      </c>
      <c r="E3568">
        <v>1900</v>
      </c>
      <c r="F3568">
        <v>107</v>
      </c>
      <c r="G3568">
        <v>57</v>
      </c>
      <c r="H3568">
        <v>0</v>
      </c>
      <c r="J3568" s="1">
        <f t="shared" si="275"/>
        <v>11449</v>
      </c>
      <c r="K3568" s="1">
        <f t="shared" si="276"/>
        <v>3249</v>
      </c>
      <c r="L3568" s="1">
        <f t="shared" si="277"/>
        <v>14698</v>
      </c>
      <c r="M3568" s="1">
        <f t="shared" si="278"/>
        <v>121.23530838827442</v>
      </c>
      <c r="N3568" s="7">
        <f t="shared" si="279"/>
        <v>121.23530838827442</v>
      </c>
    </row>
    <row r="3569" spans="1:14" x14ac:dyDescent="0.25">
      <c r="A3569" t="str">
        <f>"14:49:50.391"</f>
        <v>14:49:50.391</v>
      </c>
      <c r="B3569">
        <v>40.405740999999999</v>
      </c>
      <c r="C3569">
        <v>-74.518739999999994</v>
      </c>
      <c r="D3569">
        <v>1700</v>
      </c>
      <c r="E3569">
        <v>1900</v>
      </c>
      <c r="F3569">
        <v>107</v>
      </c>
      <c r="G3569">
        <v>57</v>
      </c>
      <c r="H3569">
        <v>0</v>
      </c>
      <c r="J3569" s="1">
        <f t="shared" si="275"/>
        <v>11449</v>
      </c>
      <c r="K3569" s="1">
        <f t="shared" si="276"/>
        <v>3249</v>
      </c>
      <c r="L3569" s="1">
        <f t="shared" si="277"/>
        <v>14698</v>
      </c>
      <c r="M3569" s="1">
        <f t="shared" si="278"/>
        <v>121.23530838827442</v>
      </c>
      <c r="N3569" s="7">
        <f t="shared" si="279"/>
        <v>121.23530838827442</v>
      </c>
    </row>
    <row r="3570" spans="1:14" x14ac:dyDescent="0.25">
      <c r="A3570" t="str">
        <f>"14:49:51.547"</f>
        <v>14:49:51.547</v>
      </c>
      <c r="B3570">
        <v>40.406063000000003</v>
      </c>
      <c r="C3570">
        <v>-74.517945999999995</v>
      </c>
      <c r="D3570">
        <v>1700</v>
      </c>
      <c r="E3570">
        <v>1900</v>
      </c>
      <c r="F3570">
        <v>107</v>
      </c>
      <c r="G3570">
        <v>57</v>
      </c>
      <c r="H3570">
        <v>0</v>
      </c>
      <c r="J3570" s="1">
        <f t="shared" si="275"/>
        <v>11449</v>
      </c>
      <c r="K3570" s="1">
        <f t="shared" si="276"/>
        <v>3249</v>
      </c>
      <c r="L3570" s="1">
        <f t="shared" si="277"/>
        <v>14698</v>
      </c>
      <c r="M3570" s="1">
        <f t="shared" si="278"/>
        <v>121.23530838827442</v>
      </c>
      <c r="N3570" s="7">
        <f t="shared" si="279"/>
        <v>121.23530838827442</v>
      </c>
    </row>
    <row r="3571" spans="1:14" x14ac:dyDescent="0.25">
      <c r="A3571" t="str">
        <f>"14:49:52.414"</f>
        <v>14:49:52.414</v>
      </c>
      <c r="B3571">
        <v>40.406277000000003</v>
      </c>
      <c r="C3571">
        <v>-74.517324000000002</v>
      </c>
      <c r="D3571">
        <v>1700</v>
      </c>
      <c r="E3571">
        <v>1900</v>
      </c>
      <c r="F3571">
        <v>107</v>
      </c>
      <c r="G3571">
        <v>57</v>
      </c>
      <c r="H3571">
        <v>0</v>
      </c>
      <c r="J3571" s="1">
        <f t="shared" si="275"/>
        <v>11449</v>
      </c>
      <c r="K3571" s="1">
        <f t="shared" si="276"/>
        <v>3249</v>
      </c>
      <c r="L3571" s="1">
        <f t="shared" si="277"/>
        <v>14698</v>
      </c>
      <c r="M3571" s="1">
        <f t="shared" si="278"/>
        <v>121.23530838827442</v>
      </c>
      <c r="N3571" s="7">
        <f t="shared" si="279"/>
        <v>121.23530838827442</v>
      </c>
    </row>
    <row r="3572" spans="1:14" x14ac:dyDescent="0.25">
      <c r="A3572" t="str">
        <f>"14:49:53.414"</f>
        <v>14:49:53.414</v>
      </c>
      <c r="B3572">
        <v>40.406534999999998</v>
      </c>
      <c r="C3572">
        <v>-74.516788000000005</v>
      </c>
      <c r="D3572">
        <v>1700</v>
      </c>
      <c r="E3572">
        <v>1900</v>
      </c>
      <c r="F3572">
        <v>106</v>
      </c>
      <c r="G3572">
        <v>58</v>
      </c>
      <c r="H3572">
        <v>0</v>
      </c>
      <c r="J3572" s="1">
        <f t="shared" si="275"/>
        <v>11236</v>
      </c>
      <c r="K3572" s="1">
        <f t="shared" si="276"/>
        <v>3364</v>
      </c>
      <c r="L3572" s="1">
        <f t="shared" si="277"/>
        <v>14600</v>
      </c>
      <c r="M3572" s="1">
        <f t="shared" si="278"/>
        <v>120.83045973594572</v>
      </c>
      <c r="N3572" s="7">
        <f t="shared" si="279"/>
        <v>120.83045973594572</v>
      </c>
    </row>
    <row r="3573" spans="1:14" x14ac:dyDescent="0.25">
      <c r="A3573" t="str">
        <f>"14:49:54.273"</f>
        <v>14:49:54.273</v>
      </c>
      <c r="B3573">
        <v>40.406792000000003</v>
      </c>
      <c r="C3573">
        <v>-74.516208000000006</v>
      </c>
      <c r="D3573">
        <v>1700</v>
      </c>
      <c r="E3573">
        <v>1900</v>
      </c>
      <c r="F3573">
        <v>106</v>
      </c>
      <c r="G3573">
        <v>58</v>
      </c>
      <c r="H3573">
        <v>0</v>
      </c>
      <c r="J3573" s="1">
        <f t="shared" si="275"/>
        <v>11236</v>
      </c>
      <c r="K3573" s="1">
        <f t="shared" si="276"/>
        <v>3364</v>
      </c>
      <c r="L3573" s="1">
        <f t="shared" si="277"/>
        <v>14600</v>
      </c>
      <c r="M3573" s="1">
        <f t="shared" si="278"/>
        <v>120.83045973594572</v>
      </c>
      <c r="N3573" s="7">
        <f t="shared" si="279"/>
        <v>120.83045973594572</v>
      </c>
    </row>
    <row r="3574" spans="1:14" x14ac:dyDescent="0.25">
      <c r="A3574" t="str">
        <f>"14:49:55.336"</f>
        <v>14:49:55.336</v>
      </c>
      <c r="B3574">
        <v>40.407071000000002</v>
      </c>
      <c r="C3574">
        <v>-74.515585999999999</v>
      </c>
      <c r="D3574">
        <v>1700</v>
      </c>
      <c r="E3574">
        <v>1900</v>
      </c>
      <c r="F3574">
        <v>106</v>
      </c>
      <c r="G3574">
        <v>58</v>
      </c>
      <c r="H3574">
        <v>0</v>
      </c>
      <c r="J3574" s="1">
        <f t="shared" si="275"/>
        <v>11236</v>
      </c>
      <c r="K3574" s="1">
        <f t="shared" si="276"/>
        <v>3364</v>
      </c>
      <c r="L3574" s="1">
        <f t="shared" si="277"/>
        <v>14600</v>
      </c>
      <c r="M3574" s="1">
        <f t="shared" si="278"/>
        <v>120.83045973594572</v>
      </c>
      <c r="N3574" s="7">
        <f t="shared" si="279"/>
        <v>120.83045973594572</v>
      </c>
    </row>
    <row r="3575" spans="1:14" x14ac:dyDescent="0.25">
      <c r="A3575" t="str">
        <f>"14:49:56.242"</f>
        <v>14:49:56.242</v>
      </c>
      <c r="B3575">
        <v>40.407350000000001</v>
      </c>
      <c r="C3575">
        <v>-74.514899</v>
      </c>
      <c r="D3575">
        <v>1700</v>
      </c>
      <c r="E3575">
        <v>1875</v>
      </c>
      <c r="F3575">
        <v>106</v>
      </c>
      <c r="G3575">
        <v>59</v>
      </c>
      <c r="H3575">
        <v>0</v>
      </c>
      <c r="J3575" s="1">
        <f t="shared" si="275"/>
        <v>11236</v>
      </c>
      <c r="K3575" s="1">
        <f t="shared" si="276"/>
        <v>3481</v>
      </c>
      <c r="L3575" s="1">
        <f t="shared" si="277"/>
        <v>14717</v>
      </c>
      <c r="M3575" s="1">
        <f t="shared" si="278"/>
        <v>121.31364309095659</v>
      </c>
      <c r="N3575" s="7">
        <f t="shared" si="279"/>
        <v>121.31364309095659</v>
      </c>
    </row>
    <row r="3576" spans="1:14" x14ac:dyDescent="0.25">
      <c r="A3576" t="str">
        <f>"14:49:57.305"</f>
        <v>14:49:57.305</v>
      </c>
      <c r="B3576">
        <v>40.407629</v>
      </c>
      <c r="C3576">
        <v>-74.514277000000007</v>
      </c>
      <c r="D3576">
        <v>1700</v>
      </c>
      <c r="E3576">
        <v>1875</v>
      </c>
      <c r="F3576">
        <v>106</v>
      </c>
      <c r="G3576">
        <v>59</v>
      </c>
      <c r="H3576">
        <v>0</v>
      </c>
      <c r="J3576" s="1">
        <f t="shared" si="275"/>
        <v>11236</v>
      </c>
      <c r="K3576" s="1">
        <f t="shared" si="276"/>
        <v>3481</v>
      </c>
      <c r="L3576" s="1">
        <f t="shared" si="277"/>
        <v>14717</v>
      </c>
      <c r="M3576" s="1">
        <f t="shared" si="278"/>
        <v>121.31364309095659</v>
      </c>
      <c r="N3576" s="7">
        <f t="shared" si="279"/>
        <v>121.31364309095659</v>
      </c>
    </row>
    <row r="3577" spans="1:14" x14ac:dyDescent="0.25">
      <c r="A3577" t="str">
        <f>"14:49:58.313"</f>
        <v>14:49:58.313</v>
      </c>
      <c r="B3577">
        <v>40.407907999999999</v>
      </c>
      <c r="C3577">
        <v>-74.513547000000003</v>
      </c>
      <c r="D3577">
        <v>1700</v>
      </c>
      <c r="E3577">
        <v>1875</v>
      </c>
      <c r="F3577">
        <v>105</v>
      </c>
      <c r="G3577">
        <v>60</v>
      </c>
      <c r="H3577">
        <v>0</v>
      </c>
      <c r="J3577" s="1">
        <f t="shared" si="275"/>
        <v>11025</v>
      </c>
      <c r="K3577" s="1">
        <f t="shared" si="276"/>
        <v>3600</v>
      </c>
      <c r="L3577" s="1">
        <f t="shared" si="277"/>
        <v>14625</v>
      </c>
      <c r="M3577" s="1">
        <f t="shared" si="278"/>
        <v>120.93386622447825</v>
      </c>
      <c r="N3577" s="7">
        <f t="shared" si="279"/>
        <v>120.93386622447825</v>
      </c>
    </row>
    <row r="3578" spans="1:14" x14ac:dyDescent="0.25">
      <c r="A3578" t="str">
        <f>"14:49:59.375"</f>
        <v>14:49:59.375</v>
      </c>
      <c r="B3578">
        <v>40.408164999999997</v>
      </c>
      <c r="C3578">
        <v>-74.512946999999997</v>
      </c>
      <c r="D3578">
        <v>1700</v>
      </c>
      <c r="E3578">
        <v>1875</v>
      </c>
      <c r="F3578">
        <v>105</v>
      </c>
      <c r="G3578">
        <v>59</v>
      </c>
      <c r="H3578">
        <v>0</v>
      </c>
      <c r="J3578" s="1">
        <f t="shared" si="275"/>
        <v>11025</v>
      </c>
      <c r="K3578" s="1">
        <f t="shared" si="276"/>
        <v>3481</v>
      </c>
      <c r="L3578" s="1">
        <f t="shared" si="277"/>
        <v>14506</v>
      </c>
      <c r="M3578" s="1">
        <f t="shared" si="278"/>
        <v>120.44085685513866</v>
      </c>
      <c r="N3578" s="7">
        <f t="shared" si="279"/>
        <v>120.44085685513866</v>
      </c>
    </row>
    <row r="3579" spans="1:14" x14ac:dyDescent="0.25">
      <c r="A3579" t="str">
        <f>"14:50:00.336"</f>
        <v>14:50:00.336</v>
      </c>
      <c r="B3579">
        <v>40.408444000000003</v>
      </c>
      <c r="C3579">
        <v>-74.512259999999998</v>
      </c>
      <c r="D3579">
        <v>1700</v>
      </c>
      <c r="E3579">
        <v>1900</v>
      </c>
      <c r="F3579">
        <v>105</v>
      </c>
      <c r="G3579">
        <v>59</v>
      </c>
      <c r="H3579">
        <v>0</v>
      </c>
      <c r="J3579" s="1">
        <f t="shared" si="275"/>
        <v>11025</v>
      </c>
      <c r="K3579" s="1">
        <f t="shared" si="276"/>
        <v>3481</v>
      </c>
      <c r="L3579" s="1">
        <f t="shared" si="277"/>
        <v>14506</v>
      </c>
      <c r="M3579" s="1">
        <f t="shared" si="278"/>
        <v>120.44085685513866</v>
      </c>
      <c r="N3579" s="7">
        <f t="shared" si="279"/>
        <v>120.44085685513866</v>
      </c>
    </row>
    <row r="3580" spans="1:14" x14ac:dyDescent="0.25">
      <c r="A3580" t="str">
        <f>"14:50:01.391"</f>
        <v>14:50:01.391</v>
      </c>
      <c r="B3580">
        <v>40.408723000000002</v>
      </c>
      <c r="C3580">
        <v>-74.511658999999995</v>
      </c>
      <c r="D3580">
        <v>1700</v>
      </c>
      <c r="E3580">
        <v>1900</v>
      </c>
      <c r="F3580">
        <v>105</v>
      </c>
      <c r="G3580">
        <v>59</v>
      </c>
      <c r="H3580">
        <v>0</v>
      </c>
      <c r="J3580" s="1">
        <f t="shared" si="275"/>
        <v>11025</v>
      </c>
      <c r="K3580" s="1">
        <f t="shared" si="276"/>
        <v>3481</v>
      </c>
      <c r="L3580" s="1">
        <f t="shared" si="277"/>
        <v>14506</v>
      </c>
      <c r="M3580" s="1">
        <f t="shared" si="278"/>
        <v>120.44085685513866</v>
      </c>
      <c r="N3580" s="7">
        <f t="shared" si="279"/>
        <v>120.44085685513866</v>
      </c>
    </row>
    <row r="3581" spans="1:14" x14ac:dyDescent="0.25">
      <c r="A3581" t="str">
        <f>"14:50:02.508"</f>
        <v>14:50:02.508</v>
      </c>
      <c r="B3581">
        <v>40.409044999999999</v>
      </c>
      <c r="C3581">
        <v>-74.510864999999995</v>
      </c>
      <c r="D3581">
        <v>1700</v>
      </c>
      <c r="E3581">
        <v>1900</v>
      </c>
      <c r="F3581">
        <v>105</v>
      </c>
      <c r="G3581">
        <v>59</v>
      </c>
      <c r="H3581">
        <v>0</v>
      </c>
      <c r="J3581" s="1">
        <f t="shared" si="275"/>
        <v>11025</v>
      </c>
      <c r="K3581" s="1">
        <f t="shared" si="276"/>
        <v>3481</v>
      </c>
      <c r="L3581" s="1">
        <f t="shared" si="277"/>
        <v>14506</v>
      </c>
      <c r="M3581" s="1">
        <f t="shared" si="278"/>
        <v>120.44085685513866</v>
      </c>
      <c r="N3581" s="7">
        <f t="shared" si="279"/>
        <v>120.44085685513866</v>
      </c>
    </row>
    <row r="3582" spans="1:14" x14ac:dyDescent="0.25">
      <c r="A3582" t="str">
        <f>"14:50:03.516"</f>
        <v>14:50:03.516</v>
      </c>
      <c r="B3582">
        <v>40.409303000000001</v>
      </c>
      <c r="C3582">
        <v>-74.510328999999999</v>
      </c>
      <c r="D3582">
        <v>1700</v>
      </c>
      <c r="E3582">
        <v>1900</v>
      </c>
      <c r="F3582">
        <v>105</v>
      </c>
      <c r="G3582">
        <v>59</v>
      </c>
      <c r="H3582">
        <v>0</v>
      </c>
      <c r="J3582" s="1">
        <f t="shared" si="275"/>
        <v>11025</v>
      </c>
      <c r="K3582" s="1">
        <f t="shared" si="276"/>
        <v>3481</v>
      </c>
      <c r="L3582" s="1">
        <f t="shared" si="277"/>
        <v>14506</v>
      </c>
      <c r="M3582" s="1">
        <f t="shared" si="278"/>
        <v>120.44085685513866</v>
      </c>
      <c r="N3582" s="7">
        <f t="shared" si="279"/>
        <v>120.44085685513866</v>
      </c>
    </row>
    <row r="3583" spans="1:14" x14ac:dyDescent="0.25">
      <c r="A3583" t="str">
        <f>"14:50:04.680"</f>
        <v>14:50:04.680</v>
      </c>
      <c r="B3583">
        <v>40.409624999999998</v>
      </c>
      <c r="C3583">
        <v>-74.509535</v>
      </c>
      <c r="D3583">
        <v>1700</v>
      </c>
      <c r="E3583">
        <v>1900</v>
      </c>
      <c r="F3583">
        <v>105</v>
      </c>
      <c r="G3583">
        <v>59</v>
      </c>
      <c r="H3583">
        <v>0</v>
      </c>
      <c r="J3583" s="1">
        <f t="shared" si="275"/>
        <v>11025</v>
      </c>
      <c r="K3583" s="1">
        <f t="shared" si="276"/>
        <v>3481</v>
      </c>
      <c r="L3583" s="1">
        <f t="shared" si="277"/>
        <v>14506</v>
      </c>
      <c r="M3583" s="1">
        <f t="shared" si="278"/>
        <v>120.44085685513866</v>
      </c>
      <c r="N3583" s="7">
        <f t="shared" si="279"/>
        <v>120.44085685513866</v>
      </c>
    </row>
    <row r="3584" spans="1:14" x14ac:dyDescent="0.25">
      <c r="A3584" t="str">
        <f>"14:50:05.641"</f>
        <v>14:50:05.641</v>
      </c>
      <c r="B3584">
        <v>40.409903999999997</v>
      </c>
      <c r="C3584">
        <v>-74.508913000000007</v>
      </c>
      <c r="D3584">
        <v>1700</v>
      </c>
      <c r="E3584">
        <v>1900</v>
      </c>
      <c r="F3584">
        <v>105</v>
      </c>
      <c r="G3584">
        <v>59</v>
      </c>
      <c r="H3584">
        <v>0</v>
      </c>
      <c r="J3584" s="1">
        <f t="shared" si="275"/>
        <v>11025</v>
      </c>
      <c r="K3584" s="1">
        <f t="shared" si="276"/>
        <v>3481</v>
      </c>
      <c r="L3584" s="1">
        <f t="shared" si="277"/>
        <v>14506</v>
      </c>
      <c r="M3584" s="1">
        <f t="shared" si="278"/>
        <v>120.44085685513866</v>
      </c>
      <c r="N3584" s="7">
        <f t="shared" si="279"/>
        <v>120.44085685513866</v>
      </c>
    </row>
    <row r="3585" spans="1:14" x14ac:dyDescent="0.25">
      <c r="A3585" t="str">
        <f>"14:50:06.492"</f>
        <v>14:50:06.492</v>
      </c>
      <c r="B3585">
        <v>40.410139999999998</v>
      </c>
      <c r="C3585">
        <v>-74.508398</v>
      </c>
      <c r="D3585">
        <v>1700</v>
      </c>
      <c r="E3585">
        <v>1900</v>
      </c>
      <c r="F3585">
        <v>105</v>
      </c>
      <c r="G3585">
        <v>58</v>
      </c>
      <c r="H3585">
        <v>0</v>
      </c>
      <c r="J3585" s="1">
        <f t="shared" si="275"/>
        <v>11025</v>
      </c>
      <c r="K3585" s="1">
        <f t="shared" si="276"/>
        <v>3364</v>
      </c>
      <c r="L3585" s="1">
        <f t="shared" si="277"/>
        <v>14389</v>
      </c>
      <c r="M3585" s="1">
        <f t="shared" si="278"/>
        <v>119.95415791042844</v>
      </c>
      <c r="N3585" s="7">
        <f t="shared" si="279"/>
        <v>119.95415791042844</v>
      </c>
    </row>
    <row r="3586" spans="1:14" x14ac:dyDescent="0.25">
      <c r="A3586" t="str">
        <f>"14:50:07.453"</f>
        <v>14:50:07.453</v>
      </c>
      <c r="B3586">
        <v>40.410375999999999</v>
      </c>
      <c r="C3586">
        <v>-74.507774999999995</v>
      </c>
      <c r="D3586">
        <v>1700</v>
      </c>
      <c r="E3586">
        <v>1900</v>
      </c>
      <c r="F3586">
        <v>105</v>
      </c>
      <c r="G3586">
        <v>58</v>
      </c>
      <c r="H3586">
        <v>0</v>
      </c>
      <c r="J3586" s="1">
        <f t="shared" si="275"/>
        <v>11025</v>
      </c>
      <c r="K3586" s="1">
        <f t="shared" si="276"/>
        <v>3364</v>
      </c>
      <c r="L3586" s="1">
        <f t="shared" si="277"/>
        <v>14389</v>
      </c>
      <c r="M3586" s="1">
        <f t="shared" si="278"/>
        <v>119.95415791042844</v>
      </c>
      <c r="N3586" s="7">
        <f t="shared" si="279"/>
        <v>119.95415791042844</v>
      </c>
    </row>
    <row r="3587" spans="1:14" x14ac:dyDescent="0.25">
      <c r="A3587" t="str">
        <f>"14:50:08.461"</f>
        <v>14:50:08.461</v>
      </c>
      <c r="B3587">
        <v>40.410654999999998</v>
      </c>
      <c r="C3587">
        <v>-74.507153000000002</v>
      </c>
      <c r="D3587">
        <v>1700</v>
      </c>
      <c r="E3587">
        <v>1900</v>
      </c>
      <c r="F3587">
        <v>105</v>
      </c>
      <c r="G3587">
        <v>58</v>
      </c>
      <c r="H3587">
        <v>0</v>
      </c>
      <c r="J3587" s="1">
        <f t="shared" ref="J3587:J3650" si="280">F3587^2</f>
        <v>11025</v>
      </c>
      <c r="K3587" s="1">
        <f t="shared" ref="K3587:K3650" si="281">G3587^2</f>
        <v>3364</v>
      </c>
      <c r="L3587" s="1">
        <f t="shared" ref="L3587:L3650" si="282">SUMSQ(F3587,G3587)</f>
        <v>14389</v>
      </c>
      <c r="M3587" s="1">
        <f t="shared" ref="M3587:M3650" si="283">SQRT(L3587)</f>
        <v>119.95415791042844</v>
      </c>
      <c r="N3587" s="7">
        <f t="shared" ref="N3587:N3650" si="284">M3587</f>
        <v>119.95415791042844</v>
      </c>
    </row>
    <row r="3588" spans="1:14" x14ac:dyDescent="0.25">
      <c r="A3588" t="str">
        <f>"14:50:09.469"</f>
        <v>14:50:09.469</v>
      </c>
      <c r="B3588">
        <v>40.410933</v>
      </c>
      <c r="C3588">
        <v>-74.506466000000003</v>
      </c>
      <c r="D3588">
        <v>1700</v>
      </c>
      <c r="E3588">
        <v>1900</v>
      </c>
      <c r="F3588">
        <v>106</v>
      </c>
      <c r="G3588">
        <v>58</v>
      </c>
      <c r="H3588">
        <v>0</v>
      </c>
      <c r="J3588" s="1">
        <f t="shared" si="280"/>
        <v>11236</v>
      </c>
      <c r="K3588" s="1">
        <f t="shared" si="281"/>
        <v>3364</v>
      </c>
      <c r="L3588" s="1">
        <f t="shared" si="282"/>
        <v>14600</v>
      </c>
      <c r="M3588" s="1">
        <f t="shared" si="283"/>
        <v>120.83045973594572</v>
      </c>
      <c r="N3588" s="7">
        <f t="shared" si="284"/>
        <v>120.83045973594572</v>
      </c>
    </row>
    <row r="3589" spans="1:14" x14ac:dyDescent="0.25">
      <c r="A3589" t="str">
        <f>"14:50:10.430"</f>
        <v>14:50:10.430</v>
      </c>
      <c r="B3589">
        <v>40.411211999999999</v>
      </c>
      <c r="C3589">
        <v>-74.505843999999996</v>
      </c>
      <c r="D3589">
        <v>1700</v>
      </c>
      <c r="E3589">
        <v>1900</v>
      </c>
      <c r="F3589">
        <v>106</v>
      </c>
      <c r="G3589">
        <v>57</v>
      </c>
      <c r="H3589">
        <v>0</v>
      </c>
      <c r="J3589" s="1">
        <f t="shared" si="280"/>
        <v>11236</v>
      </c>
      <c r="K3589" s="1">
        <f t="shared" si="281"/>
        <v>3249</v>
      </c>
      <c r="L3589" s="1">
        <f t="shared" si="282"/>
        <v>14485</v>
      </c>
      <c r="M3589" s="1">
        <f t="shared" si="283"/>
        <v>120.3536455617361</v>
      </c>
      <c r="N3589" s="7">
        <f t="shared" si="284"/>
        <v>120.3536455617361</v>
      </c>
    </row>
    <row r="3590" spans="1:14" x14ac:dyDescent="0.25">
      <c r="A3590" t="str">
        <f>"14:50:11.445"</f>
        <v>14:50:11.445</v>
      </c>
      <c r="B3590">
        <v>40.411448</v>
      </c>
      <c r="C3590">
        <v>-74.505222000000003</v>
      </c>
      <c r="D3590">
        <v>1700</v>
      </c>
      <c r="E3590">
        <v>1900</v>
      </c>
      <c r="F3590">
        <v>106</v>
      </c>
      <c r="G3590">
        <v>57</v>
      </c>
      <c r="H3590">
        <v>0</v>
      </c>
      <c r="J3590" s="1">
        <f t="shared" si="280"/>
        <v>11236</v>
      </c>
      <c r="K3590" s="1">
        <f t="shared" si="281"/>
        <v>3249</v>
      </c>
      <c r="L3590" s="1">
        <f t="shared" si="282"/>
        <v>14485</v>
      </c>
      <c r="M3590" s="1">
        <f t="shared" si="283"/>
        <v>120.3536455617361</v>
      </c>
      <c r="N3590" s="7">
        <f t="shared" si="284"/>
        <v>120.3536455617361</v>
      </c>
    </row>
    <row r="3591" spans="1:14" x14ac:dyDescent="0.25">
      <c r="A3591" t="str">
        <f>"14:50:12.555"</f>
        <v>14:50:12.555</v>
      </c>
      <c r="B3591">
        <v>40.411749</v>
      </c>
      <c r="C3591">
        <v>-74.504514</v>
      </c>
      <c r="D3591">
        <v>1700</v>
      </c>
      <c r="E3591">
        <v>1900</v>
      </c>
      <c r="F3591">
        <v>106</v>
      </c>
      <c r="G3591">
        <v>57</v>
      </c>
      <c r="H3591">
        <v>0</v>
      </c>
      <c r="J3591" s="1">
        <f t="shared" si="280"/>
        <v>11236</v>
      </c>
      <c r="K3591" s="1">
        <f t="shared" si="281"/>
        <v>3249</v>
      </c>
      <c r="L3591" s="1">
        <f t="shared" si="282"/>
        <v>14485</v>
      </c>
      <c r="M3591" s="1">
        <f t="shared" si="283"/>
        <v>120.3536455617361</v>
      </c>
      <c r="N3591" s="7">
        <f t="shared" si="284"/>
        <v>120.3536455617361</v>
      </c>
    </row>
    <row r="3592" spans="1:14" x14ac:dyDescent="0.25">
      <c r="A3592" t="str">
        <f>"14:50:13.359"</f>
        <v>14:50:13.359</v>
      </c>
      <c r="B3592">
        <v>40.411963</v>
      </c>
      <c r="C3592">
        <v>-74.503977000000006</v>
      </c>
      <c r="D3592">
        <v>1700</v>
      </c>
      <c r="E3592">
        <v>1900</v>
      </c>
      <c r="F3592">
        <v>106</v>
      </c>
      <c r="G3592">
        <v>57</v>
      </c>
      <c r="H3592">
        <v>0</v>
      </c>
      <c r="J3592" s="1">
        <f t="shared" si="280"/>
        <v>11236</v>
      </c>
      <c r="K3592" s="1">
        <f t="shared" si="281"/>
        <v>3249</v>
      </c>
      <c r="L3592" s="1">
        <f t="shared" si="282"/>
        <v>14485</v>
      </c>
      <c r="M3592" s="1">
        <f t="shared" si="283"/>
        <v>120.3536455617361</v>
      </c>
      <c r="N3592" s="7">
        <f t="shared" si="284"/>
        <v>120.3536455617361</v>
      </c>
    </row>
    <row r="3593" spans="1:14" x14ac:dyDescent="0.25">
      <c r="A3593" t="str">
        <f>"14:50:14.320"</f>
        <v>14:50:14.320</v>
      </c>
      <c r="B3593">
        <v>40.412199000000001</v>
      </c>
      <c r="C3593">
        <v>-74.503354999999999</v>
      </c>
      <c r="D3593">
        <v>1700</v>
      </c>
      <c r="E3593">
        <v>1900</v>
      </c>
      <c r="F3593">
        <v>106</v>
      </c>
      <c r="G3593">
        <v>57</v>
      </c>
      <c r="H3593">
        <v>0</v>
      </c>
      <c r="J3593" s="1">
        <f t="shared" si="280"/>
        <v>11236</v>
      </c>
      <c r="K3593" s="1">
        <f t="shared" si="281"/>
        <v>3249</v>
      </c>
      <c r="L3593" s="1">
        <f t="shared" si="282"/>
        <v>14485</v>
      </c>
      <c r="M3593" s="1">
        <f t="shared" si="283"/>
        <v>120.3536455617361</v>
      </c>
      <c r="N3593" s="7">
        <f t="shared" si="284"/>
        <v>120.3536455617361</v>
      </c>
    </row>
    <row r="3594" spans="1:14" x14ac:dyDescent="0.25">
      <c r="A3594" t="str">
        <f>"14:50:15.430"</f>
        <v>14:50:15.430</v>
      </c>
      <c r="B3594">
        <v>40.412500000000001</v>
      </c>
      <c r="C3594">
        <v>-74.502668</v>
      </c>
      <c r="D3594">
        <v>1700</v>
      </c>
      <c r="E3594">
        <v>1900</v>
      </c>
      <c r="F3594">
        <v>106</v>
      </c>
      <c r="G3594">
        <v>57</v>
      </c>
      <c r="H3594">
        <v>0</v>
      </c>
      <c r="J3594" s="1">
        <f t="shared" si="280"/>
        <v>11236</v>
      </c>
      <c r="K3594" s="1">
        <f t="shared" si="281"/>
        <v>3249</v>
      </c>
      <c r="L3594" s="1">
        <f t="shared" si="282"/>
        <v>14485</v>
      </c>
      <c r="M3594" s="1">
        <f t="shared" si="283"/>
        <v>120.3536455617361</v>
      </c>
      <c r="N3594" s="7">
        <f t="shared" si="284"/>
        <v>120.3536455617361</v>
      </c>
    </row>
    <row r="3595" spans="1:14" x14ac:dyDescent="0.25">
      <c r="A3595" t="str">
        <f>"14:50:16.539"</f>
        <v>14:50:16.539</v>
      </c>
      <c r="B3595">
        <v>40.412799999999997</v>
      </c>
      <c r="C3595">
        <v>-74.501959999999997</v>
      </c>
      <c r="D3595">
        <v>1700</v>
      </c>
      <c r="E3595">
        <v>1900</v>
      </c>
      <c r="F3595">
        <v>106</v>
      </c>
      <c r="G3595">
        <v>58</v>
      </c>
      <c r="H3595">
        <v>0</v>
      </c>
      <c r="J3595" s="1">
        <f t="shared" si="280"/>
        <v>11236</v>
      </c>
      <c r="K3595" s="1">
        <f t="shared" si="281"/>
        <v>3364</v>
      </c>
      <c r="L3595" s="1">
        <f t="shared" si="282"/>
        <v>14600</v>
      </c>
      <c r="M3595" s="1">
        <f t="shared" si="283"/>
        <v>120.83045973594572</v>
      </c>
      <c r="N3595" s="7">
        <f t="shared" si="284"/>
        <v>120.83045973594572</v>
      </c>
    </row>
    <row r="3596" spans="1:14" x14ac:dyDescent="0.25">
      <c r="A3596" t="str">
        <f>"14:50:17.703"</f>
        <v>14:50:17.703</v>
      </c>
      <c r="B3596">
        <v>40.413122000000001</v>
      </c>
      <c r="C3596">
        <v>-74.501231000000004</v>
      </c>
      <c r="D3596">
        <v>1700</v>
      </c>
      <c r="E3596">
        <v>1900</v>
      </c>
      <c r="F3596">
        <v>105</v>
      </c>
      <c r="G3596">
        <v>58</v>
      </c>
      <c r="H3596">
        <v>0</v>
      </c>
      <c r="J3596" s="1">
        <f t="shared" si="280"/>
        <v>11025</v>
      </c>
      <c r="K3596" s="1">
        <f t="shared" si="281"/>
        <v>3364</v>
      </c>
      <c r="L3596" s="1">
        <f t="shared" si="282"/>
        <v>14389</v>
      </c>
      <c r="M3596" s="1">
        <f t="shared" si="283"/>
        <v>119.95415791042844</v>
      </c>
      <c r="N3596" s="7">
        <f t="shared" si="284"/>
        <v>119.95415791042844</v>
      </c>
    </row>
    <row r="3597" spans="1:14" x14ac:dyDescent="0.25">
      <c r="A3597" t="str">
        <f>"14:50:18.711"</f>
        <v>14:50:18.711</v>
      </c>
      <c r="B3597">
        <v>40.413401</v>
      </c>
      <c r="C3597">
        <v>-74.500544000000005</v>
      </c>
      <c r="D3597">
        <v>1700</v>
      </c>
      <c r="E3597">
        <v>1900</v>
      </c>
      <c r="F3597">
        <v>105</v>
      </c>
      <c r="G3597">
        <v>58</v>
      </c>
      <c r="H3597">
        <v>0</v>
      </c>
      <c r="J3597" s="1">
        <f t="shared" si="280"/>
        <v>11025</v>
      </c>
      <c r="K3597" s="1">
        <f t="shared" si="281"/>
        <v>3364</v>
      </c>
      <c r="L3597" s="1">
        <f t="shared" si="282"/>
        <v>14389</v>
      </c>
      <c r="M3597" s="1">
        <f t="shared" si="283"/>
        <v>119.95415791042844</v>
      </c>
      <c r="N3597" s="7">
        <f t="shared" si="284"/>
        <v>119.95415791042844</v>
      </c>
    </row>
    <row r="3598" spans="1:14" x14ac:dyDescent="0.25">
      <c r="A3598" t="str">
        <f>"14:50:19.773"</f>
        <v>14:50:19.773</v>
      </c>
      <c r="B3598">
        <v>40.413659000000003</v>
      </c>
      <c r="C3598">
        <v>-74.499879000000007</v>
      </c>
      <c r="D3598">
        <v>1700</v>
      </c>
      <c r="E3598">
        <v>1900</v>
      </c>
      <c r="F3598">
        <v>105</v>
      </c>
      <c r="G3598">
        <v>58</v>
      </c>
      <c r="H3598">
        <v>0</v>
      </c>
      <c r="J3598" s="1">
        <f t="shared" si="280"/>
        <v>11025</v>
      </c>
      <c r="K3598" s="1">
        <f t="shared" si="281"/>
        <v>3364</v>
      </c>
      <c r="L3598" s="1">
        <f t="shared" si="282"/>
        <v>14389</v>
      </c>
      <c r="M3598" s="1">
        <f t="shared" si="283"/>
        <v>119.95415791042844</v>
      </c>
      <c r="N3598" s="7">
        <f t="shared" si="284"/>
        <v>119.95415791042844</v>
      </c>
    </row>
    <row r="3599" spans="1:14" x14ac:dyDescent="0.25">
      <c r="A3599" t="str">
        <f>"14:50:20.734"</f>
        <v>14:50:20.734</v>
      </c>
      <c r="B3599">
        <v>40.413938000000002</v>
      </c>
      <c r="C3599">
        <v>-74.499278000000004</v>
      </c>
      <c r="D3599">
        <v>1700</v>
      </c>
      <c r="E3599">
        <v>1900</v>
      </c>
      <c r="F3599">
        <v>105</v>
      </c>
      <c r="G3599">
        <v>59</v>
      </c>
      <c r="H3599">
        <v>0</v>
      </c>
      <c r="J3599" s="1">
        <f t="shared" si="280"/>
        <v>11025</v>
      </c>
      <c r="K3599" s="1">
        <f t="shared" si="281"/>
        <v>3481</v>
      </c>
      <c r="L3599" s="1">
        <f t="shared" si="282"/>
        <v>14506</v>
      </c>
      <c r="M3599" s="1">
        <f t="shared" si="283"/>
        <v>120.44085685513866</v>
      </c>
      <c r="N3599" s="7">
        <f t="shared" si="284"/>
        <v>120.44085685513866</v>
      </c>
    </row>
    <row r="3600" spans="1:14" x14ac:dyDescent="0.25">
      <c r="A3600" t="str">
        <f>"14:50:21.586"</f>
        <v>14:50:21.586</v>
      </c>
      <c r="B3600">
        <v>40.414174000000003</v>
      </c>
      <c r="C3600">
        <v>-74.498784999999998</v>
      </c>
      <c r="D3600">
        <v>1700</v>
      </c>
      <c r="E3600">
        <v>1900</v>
      </c>
      <c r="F3600">
        <v>105</v>
      </c>
      <c r="G3600">
        <v>59</v>
      </c>
      <c r="H3600">
        <v>-64</v>
      </c>
      <c r="J3600" s="1">
        <f t="shared" si="280"/>
        <v>11025</v>
      </c>
      <c r="K3600" s="1">
        <f t="shared" si="281"/>
        <v>3481</v>
      </c>
      <c r="L3600" s="1">
        <f t="shared" si="282"/>
        <v>14506</v>
      </c>
      <c r="M3600" s="1">
        <f t="shared" si="283"/>
        <v>120.44085685513866</v>
      </c>
      <c r="N3600" s="7">
        <f t="shared" si="284"/>
        <v>120.44085685513866</v>
      </c>
    </row>
    <row r="3601" spans="1:14" x14ac:dyDescent="0.25">
      <c r="A3601" t="str">
        <f>"14:50:22.500"</f>
        <v>14:50:22.500</v>
      </c>
      <c r="B3601">
        <v>40.414409999999997</v>
      </c>
      <c r="C3601">
        <v>-74.498161999999994</v>
      </c>
      <c r="D3601">
        <v>1700</v>
      </c>
      <c r="E3601">
        <v>1900</v>
      </c>
      <c r="F3601">
        <v>105</v>
      </c>
      <c r="G3601">
        <v>59</v>
      </c>
      <c r="H3601">
        <v>0</v>
      </c>
      <c r="J3601" s="1">
        <f t="shared" si="280"/>
        <v>11025</v>
      </c>
      <c r="K3601" s="1">
        <f t="shared" si="281"/>
        <v>3481</v>
      </c>
      <c r="L3601" s="1">
        <f t="shared" si="282"/>
        <v>14506</v>
      </c>
      <c r="M3601" s="1">
        <f t="shared" si="283"/>
        <v>120.44085685513866</v>
      </c>
      <c r="N3601" s="7">
        <f t="shared" si="284"/>
        <v>120.44085685513866</v>
      </c>
    </row>
    <row r="3602" spans="1:14" x14ac:dyDescent="0.25">
      <c r="A3602" t="str">
        <f>"14:50:23.609"</f>
        <v>14:50:23.609</v>
      </c>
      <c r="B3602">
        <v>40.414752999999997</v>
      </c>
      <c r="C3602">
        <v>-74.497411</v>
      </c>
      <c r="D3602">
        <v>1700</v>
      </c>
      <c r="E3602">
        <v>1900</v>
      </c>
      <c r="F3602">
        <v>105</v>
      </c>
      <c r="G3602">
        <v>59</v>
      </c>
      <c r="H3602">
        <v>0</v>
      </c>
      <c r="J3602" s="1">
        <f t="shared" si="280"/>
        <v>11025</v>
      </c>
      <c r="K3602" s="1">
        <f t="shared" si="281"/>
        <v>3481</v>
      </c>
      <c r="L3602" s="1">
        <f t="shared" si="282"/>
        <v>14506</v>
      </c>
      <c r="M3602" s="1">
        <f t="shared" si="283"/>
        <v>120.44085685513866</v>
      </c>
      <c r="N3602" s="7">
        <f t="shared" si="284"/>
        <v>120.44085685513866</v>
      </c>
    </row>
    <row r="3603" spans="1:14" x14ac:dyDescent="0.25">
      <c r="A3603" t="str">
        <f>"14:50:24.719"</f>
        <v>14:50:24.719</v>
      </c>
      <c r="B3603">
        <v>40.414968000000002</v>
      </c>
      <c r="C3603">
        <v>-74.496789000000007</v>
      </c>
      <c r="D3603">
        <v>1700</v>
      </c>
      <c r="E3603">
        <v>1900</v>
      </c>
      <c r="F3603">
        <v>105</v>
      </c>
      <c r="G3603">
        <v>59</v>
      </c>
      <c r="H3603">
        <v>0</v>
      </c>
      <c r="J3603" s="1">
        <f t="shared" si="280"/>
        <v>11025</v>
      </c>
      <c r="K3603" s="1">
        <f t="shared" si="281"/>
        <v>3481</v>
      </c>
      <c r="L3603" s="1">
        <f t="shared" si="282"/>
        <v>14506</v>
      </c>
      <c r="M3603" s="1">
        <f t="shared" si="283"/>
        <v>120.44085685513866</v>
      </c>
      <c r="N3603" s="7">
        <f t="shared" si="284"/>
        <v>120.44085685513866</v>
      </c>
    </row>
    <row r="3604" spans="1:14" x14ac:dyDescent="0.25">
      <c r="A3604" t="str">
        <f>"14:50:25.680"</f>
        <v>14:50:25.680</v>
      </c>
      <c r="B3604">
        <v>40.415246000000003</v>
      </c>
      <c r="C3604">
        <v>-74.496167</v>
      </c>
      <c r="D3604">
        <v>1700</v>
      </c>
      <c r="E3604">
        <v>1900</v>
      </c>
      <c r="F3604">
        <v>105</v>
      </c>
      <c r="G3604">
        <v>59</v>
      </c>
      <c r="H3604">
        <v>0</v>
      </c>
      <c r="J3604" s="1">
        <f t="shared" si="280"/>
        <v>11025</v>
      </c>
      <c r="K3604" s="1">
        <f t="shared" si="281"/>
        <v>3481</v>
      </c>
      <c r="L3604" s="1">
        <f t="shared" si="282"/>
        <v>14506</v>
      </c>
      <c r="M3604" s="1">
        <f t="shared" si="283"/>
        <v>120.44085685513866</v>
      </c>
      <c r="N3604" s="7">
        <f t="shared" si="284"/>
        <v>120.44085685513866</v>
      </c>
    </row>
    <row r="3605" spans="1:14" x14ac:dyDescent="0.25">
      <c r="A3605" t="str">
        <f>"14:50:26.742"</f>
        <v>14:50:26.742</v>
      </c>
      <c r="B3605">
        <v>40.415590000000002</v>
      </c>
      <c r="C3605">
        <v>-74.495416000000006</v>
      </c>
      <c r="D3605">
        <v>1700</v>
      </c>
      <c r="E3605">
        <v>1900</v>
      </c>
      <c r="F3605">
        <v>104</v>
      </c>
      <c r="G3605">
        <v>60</v>
      </c>
      <c r="H3605">
        <v>0</v>
      </c>
      <c r="J3605" s="1">
        <f t="shared" si="280"/>
        <v>10816</v>
      </c>
      <c r="K3605" s="1">
        <f t="shared" si="281"/>
        <v>3600</v>
      </c>
      <c r="L3605" s="1">
        <f t="shared" si="282"/>
        <v>14416</v>
      </c>
      <c r="M3605" s="1">
        <f t="shared" si="283"/>
        <v>120.06664815842908</v>
      </c>
      <c r="N3605" s="7">
        <f t="shared" si="284"/>
        <v>120.06664815842908</v>
      </c>
    </row>
    <row r="3606" spans="1:14" x14ac:dyDescent="0.25">
      <c r="A3606" t="str">
        <f>"14:50:27.695"</f>
        <v>14:50:27.695</v>
      </c>
      <c r="B3606">
        <v>40.415804000000001</v>
      </c>
      <c r="C3606">
        <v>-74.494857999999994</v>
      </c>
      <c r="D3606">
        <v>1700</v>
      </c>
      <c r="E3606">
        <v>1900</v>
      </c>
      <c r="F3606">
        <v>104</v>
      </c>
      <c r="G3606">
        <v>60</v>
      </c>
      <c r="H3606">
        <v>64</v>
      </c>
      <c r="J3606" s="1">
        <f t="shared" si="280"/>
        <v>10816</v>
      </c>
      <c r="K3606" s="1">
        <f t="shared" si="281"/>
        <v>3600</v>
      </c>
      <c r="L3606" s="1">
        <f t="shared" si="282"/>
        <v>14416</v>
      </c>
      <c r="M3606" s="1">
        <f t="shared" si="283"/>
        <v>120.06664815842908</v>
      </c>
      <c r="N3606" s="7">
        <f t="shared" si="284"/>
        <v>120.06664815842908</v>
      </c>
    </row>
    <row r="3607" spans="1:14" x14ac:dyDescent="0.25">
      <c r="A3607" t="str">
        <f>"14:50:28.609"</f>
        <v>14:50:28.609</v>
      </c>
      <c r="B3607">
        <v>40.416083</v>
      </c>
      <c r="C3607">
        <v>-74.494320999999999</v>
      </c>
      <c r="D3607">
        <v>1700</v>
      </c>
      <c r="E3607">
        <v>1900</v>
      </c>
      <c r="F3607">
        <v>104</v>
      </c>
      <c r="G3607">
        <v>60</v>
      </c>
      <c r="H3607">
        <v>64</v>
      </c>
      <c r="J3607" s="1">
        <f t="shared" si="280"/>
        <v>10816</v>
      </c>
      <c r="K3607" s="1">
        <f t="shared" si="281"/>
        <v>3600</v>
      </c>
      <c r="L3607" s="1">
        <f t="shared" si="282"/>
        <v>14416</v>
      </c>
      <c r="M3607" s="1">
        <f t="shared" si="283"/>
        <v>120.06664815842908</v>
      </c>
      <c r="N3607" s="7">
        <f t="shared" si="284"/>
        <v>120.06664815842908</v>
      </c>
    </row>
    <row r="3608" spans="1:14" x14ac:dyDescent="0.25">
      <c r="A3608" t="str">
        <f>"14:50:29.766"</f>
        <v>14:50:29.766</v>
      </c>
      <c r="B3608">
        <v>40.416404999999997</v>
      </c>
      <c r="C3608">
        <v>-74.493592000000007</v>
      </c>
      <c r="D3608">
        <v>1700</v>
      </c>
      <c r="E3608">
        <v>1900</v>
      </c>
      <c r="F3608">
        <v>104</v>
      </c>
      <c r="G3608">
        <v>60</v>
      </c>
      <c r="H3608">
        <v>64</v>
      </c>
      <c r="J3608" s="1">
        <f t="shared" si="280"/>
        <v>10816</v>
      </c>
      <c r="K3608" s="1">
        <f t="shared" si="281"/>
        <v>3600</v>
      </c>
      <c r="L3608" s="1">
        <f t="shared" si="282"/>
        <v>14416</v>
      </c>
      <c r="M3608" s="1">
        <f t="shared" si="283"/>
        <v>120.06664815842908</v>
      </c>
      <c r="N3608" s="7">
        <f t="shared" si="284"/>
        <v>120.06664815842908</v>
      </c>
    </row>
    <row r="3609" spans="1:14" x14ac:dyDescent="0.25">
      <c r="A3609" t="str">
        <f>"14:50:30.727"</f>
        <v>14:50:30.727</v>
      </c>
      <c r="B3609">
        <v>40.416663</v>
      </c>
      <c r="C3609">
        <v>-74.492991000000004</v>
      </c>
      <c r="D3609">
        <v>1700</v>
      </c>
      <c r="E3609">
        <v>1900</v>
      </c>
      <c r="F3609">
        <v>104</v>
      </c>
      <c r="G3609">
        <v>60</v>
      </c>
      <c r="H3609">
        <v>64</v>
      </c>
      <c r="J3609" s="1">
        <f t="shared" si="280"/>
        <v>10816</v>
      </c>
      <c r="K3609" s="1">
        <f t="shared" si="281"/>
        <v>3600</v>
      </c>
      <c r="L3609" s="1">
        <f t="shared" si="282"/>
        <v>14416</v>
      </c>
      <c r="M3609" s="1">
        <f t="shared" si="283"/>
        <v>120.06664815842908</v>
      </c>
      <c r="N3609" s="7">
        <f t="shared" si="284"/>
        <v>120.06664815842908</v>
      </c>
    </row>
    <row r="3610" spans="1:14" x14ac:dyDescent="0.25">
      <c r="A3610" t="str">
        <f>"14:50:31.539"</f>
        <v>14:50:31.539</v>
      </c>
      <c r="B3610">
        <v>40.416919999999998</v>
      </c>
      <c r="C3610">
        <v>-74.492433000000005</v>
      </c>
      <c r="D3610">
        <v>1700</v>
      </c>
      <c r="E3610">
        <v>1900</v>
      </c>
      <c r="F3610">
        <v>104</v>
      </c>
      <c r="G3610">
        <v>60</v>
      </c>
      <c r="H3610">
        <v>64</v>
      </c>
      <c r="J3610" s="1">
        <f t="shared" si="280"/>
        <v>10816</v>
      </c>
      <c r="K3610" s="1">
        <f t="shared" si="281"/>
        <v>3600</v>
      </c>
      <c r="L3610" s="1">
        <f t="shared" si="282"/>
        <v>14416</v>
      </c>
      <c r="M3610" s="1">
        <f t="shared" si="283"/>
        <v>120.06664815842908</v>
      </c>
      <c r="N3610" s="7">
        <f t="shared" si="284"/>
        <v>120.06664815842908</v>
      </c>
    </row>
    <row r="3611" spans="1:14" x14ac:dyDescent="0.25">
      <c r="A3611" t="str">
        <f>"14:50:32.500"</f>
        <v>14:50:32.500</v>
      </c>
      <c r="B3611">
        <v>40.417198999999997</v>
      </c>
      <c r="C3611">
        <v>-74.491810999999998</v>
      </c>
      <c r="D3611">
        <v>1700</v>
      </c>
      <c r="E3611">
        <v>1900</v>
      </c>
      <c r="F3611">
        <v>104</v>
      </c>
      <c r="G3611">
        <v>61</v>
      </c>
      <c r="H3611">
        <v>64</v>
      </c>
      <c r="J3611" s="1">
        <f t="shared" si="280"/>
        <v>10816</v>
      </c>
      <c r="K3611" s="1">
        <f t="shared" si="281"/>
        <v>3721</v>
      </c>
      <c r="L3611" s="1">
        <f t="shared" si="282"/>
        <v>14537</v>
      </c>
      <c r="M3611" s="1">
        <f t="shared" si="283"/>
        <v>120.56948204251356</v>
      </c>
      <c r="N3611" s="7">
        <f t="shared" si="284"/>
        <v>120.56948204251356</v>
      </c>
    </row>
    <row r="3612" spans="1:14" x14ac:dyDescent="0.25">
      <c r="A3612" t="str">
        <f>"14:50:33.555"</f>
        <v>14:50:33.555</v>
      </c>
      <c r="B3612">
        <v>40.417456999999999</v>
      </c>
      <c r="C3612">
        <v>-74.491146000000001</v>
      </c>
      <c r="D3612">
        <v>1700</v>
      </c>
      <c r="E3612">
        <v>1900</v>
      </c>
      <c r="F3612">
        <v>104</v>
      </c>
      <c r="G3612">
        <v>61</v>
      </c>
      <c r="H3612">
        <v>0</v>
      </c>
      <c r="J3612" s="1">
        <f t="shared" si="280"/>
        <v>10816</v>
      </c>
      <c r="K3612" s="1">
        <f t="shared" si="281"/>
        <v>3721</v>
      </c>
      <c r="L3612" s="1">
        <f t="shared" si="282"/>
        <v>14537</v>
      </c>
      <c r="M3612" s="1">
        <f t="shared" si="283"/>
        <v>120.56948204251356</v>
      </c>
      <c r="N3612" s="7">
        <f t="shared" si="284"/>
        <v>120.56948204251356</v>
      </c>
    </row>
    <row r="3613" spans="1:14" x14ac:dyDescent="0.25">
      <c r="A3613" t="str">
        <f>"14:50:34.414"</f>
        <v>14:50:34.414</v>
      </c>
      <c r="B3613">
        <v>40.417713999999997</v>
      </c>
      <c r="C3613">
        <v>-74.490609000000006</v>
      </c>
      <c r="D3613">
        <v>1700</v>
      </c>
      <c r="E3613">
        <v>1900</v>
      </c>
      <c r="F3613">
        <v>103</v>
      </c>
      <c r="G3613">
        <v>61</v>
      </c>
      <c r="H3613">
        <v>0</v>
      </c>
      <c r="J3613" s="1">
        <f t="shared" si="280"/>
        <v>10609</v>
      </c>
      <c r="K3613" s="1">
        <f t="shared" si="281"/>
        <v>3721</v>
      </c>
      <c r="L3613" s="1">
        <f t="shared" si="282"/>
        <v>14330</v>
      </c>
      <c r="M3613" s="1">
        <f t="shared" si="283"/>
        <v>119.70797801316336</v>
      </c>
      <c r="N3613" s="7">
        <f t="shared" si="284"/>
        <v>119.70797801316336</v>
      </c>
    </row>
    <row r="3614" spans="1:14" x14ac:dyDescent="0.25">
      <c r="A3614" t="str">
        <f>"14:50:35.477"</f>
        <v>14:50:35.477</v>
      </c>
      <c r="B3614">
        <v>40.417993000000003</v>
      </c>
      <c r="C3614">
        <v>-74.489986999999999</v>
      </c>
      <c r="D3614">
        <v>1700</v>
      </c>
      <c r="E3614">
        <v>1900</v>
      </c>
      <c r="F3614">
        <v>104</v>
      </c>
      <c r="G3614">
        <v>61</v>
      </c>
      <c r="H3614">
        <v>0</v>
      </c>
      <c r="J3614" s="1">
        <f t="shared" si="280"/>
        <v>10816</v>
      </c>
      <c r="K3614" s="1">
        <f t="shared" si="281"/>
        <v>3721</v>
      </c>
      <c r="L3614" s="1">
        <f t="shared" si="282"/>
        <v>14537</v>
      </c>
      <c r="M3614" s="1">
        <f t="shared" si="283"/>
        <v>120.56948204251356</v>
      </c>
      <c r="N3614" s="7">
        <f t="shared" si="284"/>
        <v>120.56948204251356</v>
      </c>
    </row>
    <row r="3615" spans="1:14" x14ac:dyDescent="0.25">
      <c r="A3615" t="str">
        <f>"14:50:36.484"</f>
        <v>14:50:36.484</v>
      </c>
      <c r="B3615">
        <v>40.418272000000002</v>
      </c>
      <c r="C3615">
        <v>-74.489365000000006</v>
      </c>
      <c r="D3615">
        <v>1700</v>
      </c>
      <c r="E3615">
        <v>1900</v>
      </c>
      <c r="F3615">
        <v>104</v>
      </c>
      <c r="G3615">
        <v>61</v>
      </c>
      <c r="H3615">
        <v>-64</v>
      </c>
      <c r="J3615" s="1">
        <f t="shared" si="280"/>
        <v>10816</v>
      </c>
      <c r="K3615" s="1">
        <f t="shared" si="281"/>
        <v>3721</v>
      </c>
      <c r="L3615" s="1">
        <f t="shared" si="282"/>
        <v>14537</v>
      </c>
      <c r="M3615" s="1">
        <f t="shared" si="283"/>
        <v>120.56948204251356</v>
      </c>
      <c r="N3615" s="7">
        <f t="shared" si="284"/>
        <v>120.56948204251356</v>
      </c>
    </row>
    <row r="3616" spans="1:14" x14ac:dyDescent="0.25">
      <c r="A3616" t="str">
        <f>"14:50:37.391"</f>
        <v>14:50:37.391</v>
      </c>
      <c r="B3616">
        <v>40.418571999999998</v>
      </c>
      <c r="C3616">
        <v>-74.488764000000003</v>
      </c>
      <c r="D3616">
        <v>1700</v>
      </c>
      <c r="E3616">
        <v>1900</v>
      </c>
      <c r="F3616">
        <v>104</v>
      </c>
      <c r="G3616">
        <v>61</v>
      </c>
      <c r="H3616">
        <v>-64</v>
      </c>
      <c r="J3616" s="1">
        <f t="shared" si="280"/>
        <v>10816</v>
      </c>
      <c r="K3616" s="1">
        <f t="shared" si="281"/>
        <v>3721</v>
      </c>
      <c r="L3616" s="1">
        <f t="shared" si="282"/>
        <v>14537</v>
      </c>
      <c r="M3616" s="1">
        <f t="shared" si="283"/>
        <v>120.56948204251356</v>
      </c>
      <c r="N3616" s="7">
        <f t="shared" si="284"/>
        <v>120.56948204251356</v>
      </c>
    </row>
    <row r="3617" spans="1:14" x14ac:dyDescent="0.25">
      <c r="A3617" t="str">
        <f>"14:50:38.453"</f>
        <v>14:50:38.453</v>
      </c>
      <c r="B3617">
        <v>40.418850999999997</v>
      </c>
      <c r="C3617">
        <v>-74.488119999999995</v>
      </c>
      <c r="D3617">
        <v>1700</v>
      </c>
      <c r="E3617">
        <v>1900</v>
      </c>
      <c r="F3617">
        <v>104</v>
      </c>
      <c r="G3617">
        <v>61</v>
      </c>
      <c r="H3617">
        <v>-64</v>
      </c>
      <c r="J3617" s="1">
        <f t="shared" si="280"/>
        <v>10816</v>
      </c>
      <c r="K3617" s="1">
        <f t="shared" si="281"/>
        <v>3721</v>
      </c>
      <c r="L3617" s="1">
        <f t="shared" si="282"/>
        <v>14537</v>
      </c>
      <c r="M3617" s="1">
        <f t="shared" si="283"/>
        <v>120.56948204251356</v>
      </c>
      <c r="N3617" s="7">
        <f t="shared" si="284"/>
        <v>120.56948204251356</v>
      </c>
    </row>
    <row r="3618" spans="1:14" x14ac:dyDescent="0.25">
      <c r="A3618" t="str">
        <f>"14:50:39.461"</f>
        <v>14:50:39.461</v>
      </c>
      <c r="B3618">
        <v>40.419173000000001</v>
      </c>
      <c r="C3618">
        <v>-74.487498000000002</v>
      </c>
      <c r="D3618">
        <v>1700</v>
      </c>
      <c r="E3618">
        <v>1900</v>
      </c>
      <c r="F3618">
        <v>104</v>
      </c>
      <c r="G3618">
        <v>61</v>
      </c>
      <c r="H3618">
        <v>0</v>
      </c>
      <c r="J3618" s="1">
        <f t="shared" si="280"/>
        <v>10816</v>
      </c>
      <c r="K3618" s="1">
        <f t="shared" si="281"/>
        <v>3721</v>
      </c>
      <c r="L3618" s="1">
        <f t="shared" si="282"/>
        <v>14537</v>
      </c>
      <c r="M3618" s="1">
        <f t="shared" si="283"/>
        <v>120.56948204251356</v>
      </c>
      <c r="N3618" s="7">
        <f t="shared" si="284"/>
        <v>120.56948204251356</v>
      </c>
    </row>
    <row r="3619" spans="1:14" x14ac:dyDescent="0.25">
      <c r="A3619" t="str">
        <f>"14:50:40.523"</f>
        <v>14:50:40.523</v>
      </c>
      <c r="B3619">
        <v>40.419431000000003</v>
      </c>
      <c r="C3619">
        <v>-74.486746999999994</v>
      </c>
      <c r="D3619">
        <v>1700</v>
      </c>
      <c r="E3619">
        <v>1900</v>
      </c>
      <c r="F3619">
        <v>104</v>
      </c>
      <c r="G3619">
        <v>61</v>
      </c>
      <c r="H3619">
        <v>0</v>
      </c>
      <c r="J3619" s="1">
        <f t="shared" si="280"/>
        <v>10816</v>
      </c>
      <c r="K3619" s="1">
        <f t="shared" si="281"/>
        <v>3721</v>
      </c>
      <c r="L3619" s="1">
        <f t="shared" si="282"/>
        <v>14537</v>
      </c>
      <c r="M3619" s="1">
        <f t="shared" si="283"/>
        <v>120.56948204251356</v>
      </c>
      <c r="N3619" s="7">
        <f t="shared" si="284"/>
        <v>120.56948204251356</v>
      </c>
    </row>
    <row r="3620" spans="1:14" x14ac:dyDescent="0.25">
      <c r="A3620" t="str">
        <f>"14:50:41.531"</f>
        <v>14:50:41.531</v>
      </c>
      <c r="B3620">
        <v>40.419753</v>
      </c>
      <c r="C3620">
        <v>-74.486146000000005</v>
      </c>
      <c r="D3620">
        <v>1700</v>
      </c>
      <c r="E3620">
        <v>1900</v>
      </c>
      <c r="F3620">
        <v>104</v>
      </c>
      <c r="G3620">
        <v>60</v>
      </c>
      <c r="H3620">
        <v>0</v>
      </c>
      <c r="J3620" s="1">
        <f t="shared" si="280"/>
        <v>10816</v>
      </c>
      <c r="K3620" s="1">
        <f t="shared" si="281"/>
        <v>3600</v>
      </c>
      <c r="L3620" s="1">
        <f t="shared" si="282"/>
        <v>14416</v>
      </c>
      <c r="M3620" s="1">
        <f t="shared" si="283"/>
        <v>120.06664815842908</v>
      </c>
      <c r="N3620" s="7">
        <f t="shared" si="284"/>
        <v>120.06664815842908</v>
      </c>
    </row>
    <row r="3621" spans="1:14" x14ac:dyDescent="0.25">
      <c r="A3621" t="str">
        <f>"14:50:42.695"</f>
        <v>14:50:42.695</v>
      </c>
      <c r="B3621">
        <v>40.420053000000003</v>
      </c>
      <c r="C3621">
        <v>-74.485438000000002</v>
      </c>
      <c r="D3621">
        <v>1700</v>
      </c>
      <c r="E3621">
        <v>1900</v>
      </c>
      <c r="F3621">
        <v>104</v>
      </c>
      <c r="G3621">
        <v>60</v>
      </c>
      <c r="H3621">
        <v>64</v>
      </c>
      <c r="J3621" s="1">
        <f t="shared" si="280"/>
        <v>10816</v>
      </c>
      <c r="K3621" s="1">
        <f t="shared" si="281"/>
        <v>3600</v>
      </c>
      <c r="L3621" s="1">
        <f t="shared" si="282"/>
        <v>14416</v>
      </c>
      <c r="M3621" s="1">
        <f t="shared" si="283"/>
        <v>120.06664815842908</v>
      </c>
      <c r="N3621" s="7">
        <f t="shared" si="284"/>
        <v>120.06664815842908</v>
      </c>
    </row>
    <row r="3622" spans="1:14" x14ac:dyDescent="0.25">
      <c r="A3622" t="str">
        <f>"14:50:43.609"</f>
        <v>14:50:43.609</v>
      </c>
      <c r="B3622">
        <v>40.420332000000002</v>
      </c>
      <c r="C3622">
        <v>-74.484815999999995</v>
      </c>
      <c r="D3622">
        <v>1700</v>
      </c>
      <c r="E3622">
        <v>1900</v>
      </c>
      <c r="F3622">
        <v>104</v>
      </c>
      <c r="G3622">
        <v>60</v>
      </c>
      <c r="H3622">
        <v>64</v>
      </c>
      <c r="J3622" s="1">
        <f t="shared" si="280"/>
        <v>10816</v>
      </c>
      <c r="K3622" s="1">
        <f t="shared" si="281"/>
        <v>3600</v>
      </c>
      <c r="L3622" s="1">
        <f t="shared" si="282"/>
        <v>14416</v>
      </c>
      <c r="M3622" s="1">
        <f t="shared" si="283"/>
        <v>120.06664815842908</v>
      </c>
      <c r="N3622" s="7">
        <f t="shared" si="284"/>
        <v>120.06664815842908</v>
      </c>
    </row>
    <row r="3623" spans="1:14" x14ac:dyDescent="0.25">
      <c r="A3623" t="str">
        <f>"14:50:44.617"</f>
        <v>14:50:44.617</v>
      </c>
      <c r="B3623">
        <v>40.420611000000001</v>
      </c>
      <c r="C3623">
        <v>-74.484193000000005</v>
      </c>
      <c r="D3623">
        <v>1700</v>
      </c>
      <c r="E3623">
        <v>1900</v>
      </c>
      <c r="F3623">
        <v>105</v>
      </c>
      <c r="G3623">
        <v>59</v>
      </c>
      <c r="H3623">
        <v>0</v>
      </c>
      <c r="J3623" s="1">
        <f t="shared" si="280"/>
        <v>11025</v>
      </c>
      <c r="K3623" s="1">
        <f t="shared" si="281"/>
        <v>3481</v>
      </c>
      <c r="L3623" s="1">
        <f t="shared" si="282"/>
        <v>14506</v>
      </c>
      <c r="M3623" s="1">
        <f t="shared" si="283"/>
        <v>120.44085685513866</v>
      </c>
      <c r="N3623" s="7">
        <f t="shared" si="284"/>
        <v>120.44085685513866</v>
      </c>
    </row>
    <row r="3624" spans="1:14" x14ac:dyDescent="0.25">
      <c r="A3624" t="str">
        <f>"14:50:45.570"</f>
        <v>14:50:45.570</v>
      </c>
      <c r="B3624">
        <v>40.420847000000002</v>
      </c>
      <c r="C3624">
        <v>-74.483570999999998</v>
      </c>
      <c r="D3624">
        <v>1700</v>
      </c>
      <c r="E3624">
        <v>1900</v>
      </c>
      <c r="F3624">
        <v>105</v>
      </c>
      <c r="G3624">
        <v>59</v>
      </c>
      <c r="H3624">
        <v>0</v>
      </c>
      <c r="J3624" s="1">
        <f t="shared" si="280"/>
        <v>11025</v>
      </c>
      <c r="K3624" s="1">
        <f t="shared" si="281"/>
        <v>3481</v>
      </c>
      <c r="L3624" s="1">
        <f t="shared" si="282"/>
        <v>14506</v>
      </c>
      <c r="M3624" s="1">
        <f t="shared" si="283"/>
        <v>120.44085685513866</v>
      </c>
      <c r="N3624" s="7">
        <f t="shared" si="284"/>
        <v>120.44085685513866</v>
      </c>
    </row>
    <row r="3625" spans="1:14" x14ac:dyDescent="0.25">
      <c r="A3625" t="str">
        <f>"14:50:46.586"</f>
        <v>14:50:46.586</v>
      </c>
      <c r="B3625">
        <v>40.421083000000003</v>
      </c>
      <c r="C3625">
        <v>-74.482969999999995</v>
      </c>
      <c r="D3625">
        <v>1700</v>
      </c>
      <c r="E3625">
        <v>1900</v>
      </c>
      <c r="F3625">
        <v>105</v>
      </c>
      <c r="G3625">
        <v>58</v>
      </c>
      <c r="H3625">
        <v>0</v>
      </c>
      <c r="J3625" s="1">
        <f t="shared" si="280"/>
        <v>11025</v>
      </c>
      <c r="K3625" s="1">
        <f t="shared" si="281"/>
        <v>3364</v>
      </c>
      <c r="L3625" s="1">
        <f t="shared" si="282"/>
        <v>14389</v>
      </c>
      <c r="M3625" s="1">
        <f t="shared" si="283"/>
        <v>119.95415791042844</v>
      </c>
      <c r="N3625" s="7">
        <f t="shared" si="284"/>
        <v>119.95415791042844</v>
      </c>
    </row>
    <row r="3626" spans="1:14" x14ac:dyDescent="0.25">
      <c r="A3626" t="str">
        <f>"14:50:47.539"</f>
        <v>14:50:47.539</v>
      </c>
      <c r="B3626">
        <v>40.421362000000002</v>
      </c>
      <c r="C3626">
        <v>-74.482369000000006</v>
      </c>
      <c r="D3626">
        <v>1700</v>
      </c>
      <c r="E3626">
        <v>1900</v>
      </c>
      <c r="F3626">
        <v>105</v>
      </c>
      <c r="G3626">
        <v>58</v>
      </c>
      <c r="H3626">
        <v>0</v>
      </c>
      <c r="J3626" s="1">
        <f t="shared" si="280"/>
        <v>11025</v>
      </c>
      <c r="K3626" s="1">
        <f t="shared" si="281"/>
        <v>3364</v>
      </c>
      <c r="L3626" s="1">
        <f t="shared" si="282"/>
        <v>14389</v>
      </c>
      <c r="M3626" s="1">
        <f t="shared" si="283"/>
        <v>119.95415791042844</v>
      </c>
      <c r="N3626" s="7">
        <f t="shared" si="284"/>
        <v>119.95415791042844</v>
      </c>
    </row>
    <row r="3627" spans="1:14" x14ac:dyDescent="0.25">
      <c r="A3627" t="str">
        <f>"14:50:48.750"</f>
        <v>14:50:48.750</v>
      </c>
      <c r="B3627">
        <v>40.421683999999999</v>
      </c>
      <c r="C3627">
        <v>-74.481575000000007</v>
      </c>
      <c r="D3627">
        <v>1700</v>
      </c>
      <c r="E3627">
        <v>1900</v>
      </c>
      <c r="F3627">
        <v>105</v>
      </c>
      <c r="G3627">
        <v>58</v>
      </c>
      <c r="H3627">
        <v>0</v>
      </c>
      <c r="J3627" s="1">
        <f t="shared" si="280"/>
        <v>11025</v>
      </c>
      <c r="K3627" s="1">
        <f t="shared" si="281"/>
        <v>3364</v>
      </c>
      <c r="L3627" s="1">
        <f t="shared" si="282"/>
        <v>14389</v>
      </c>
      <c r="M3627" s="1">
        <f t="shared" si="283"/>
        <v>119.95415791042844</v>
      </c>
      <c r="N3627" s="7">
        <f t="shared" si="284"/>
        <v>119.95415791042844</v>
      </c>
    </row>
    <row r="3628" spans="1:14" x14ac:dyDescent="0.25">
      <c r="A3628" t="str">
        <f>"14:50:49.664"</f>
        <v>14:50:49.664</v>
      </c>
      <c r="B3628">
        <v>40.42192</v>
      </c>
      <c r="C3628">
        <v>-74.480996000000005</v>
      </c>
      <c r="D3628">
        <v>1700</v>
      </c>
      <c r="E3628">
        <v>1900</v>
      </c>
      <c r="F3628">
        <v>106</v>
      </c>
      <c r="G3628">
        <v>57</v>
      </c>
      <c r="H3628">
        <v>0</v>
      </c>
      <c r="J3628" s="1">
        <f t="shared" si="280"/>
        <v>11236</v>
      </c>
      <c r="K3628" s="1">
        <f t="shared" si="281"/>
        <v>3249</v>
      </c>
      <c r="L3628" s="1">
        <f t="shared" si="282"/>
        <v>14485</v>
      </c>
      <c r="M3628" s="1">
        <f t="shared" si="283"/>
        <v>120.3536455617361</v>
      </c>
      <c r="N3628" s="7">
        <f t="shared" si="284"/>
        <v>120.3536455617361</v>
      </c>
    </row>
    <row r="3629" spans="1:14" x14ac:dyDescent="0.25">
      <c r="A3629" t="str">
        <f>"14:50:50.672"</f>
        <v>14:50:50.672</v>
      </c>
      <c r="B3629">
        <v>40.422198999999999</v>
      </c>
      <c r="C3629">
        <v>-74.480309000000005</v>
      </c>
      <c r="D3629">
        <v>1700</v>
      </c>
      <c r="E3629">
        <v>1900</v>
      </c>
      <c r="F3629">
        <v>106</v>
      </c>
      <c r="G3629">
        <v>57</v>
      </c>
      <c r="H3629">
        <v>0</v>
      </c>
      <c r="J3629" s="1">
        <f t="shared" si="280"/>
        <v>11236</v>
      </c>
      <c r="K3629" s="1">
        <f t="shared" si="281"/>
        <v>3249</v>
      </c>
      <c r="L3629" s="1">
        <f t="shared" si="282"/>
        <v>14485</v>
      </c>
      <c r="M3629" s="1">
        <f t="shared" si="283"/>
        <v>120.3536455617361</v>
      </c>
      <c r="N3629" s="7">
        <f t="shared" si="284"/>
        <v>120.3536455617361</v>
      </c>
    </row>
    <row r="3630" spans="1:14" x14ac:dyDescent="0.25">
      <c r="A3630" t="str">
        <f>"14:50:51.680"</f>
        <v>14:50:51.680</v>
      </c>
      <c r="B3630">
        <v>40.422477999999998</v>
      </c>
      <c r="C3630">
        <v>-74.479686999999998</v>
      </c>
      <c r="D3630">
        <v>1700</v>
      </c>
      <c r="E3630">
        <v>1900</v>
      </c>
      <c r="F3630">
        <v>106</v>
      </c>
      <c r="G3630">
        <v>57</v>
      </c>
      <c r="H3630">
        <v>0</v>
      </c>
      <c r="J3630" s="1">
        <f t="shared" si="280"/>
        <v>11236</v>
      </c>
      <c r="K3630" s="1">
        <f t="shared" si="281"/>
        <v>3249</v>
      </c>
      <c r="L3630" s="1">
        <f t="shared" si="282"/>
        <v>14485</v>
      </c>
      <c r="M3630" s="1">
        <f t="shared" si="283"/>
        <v>120.3536455617361</v>
      </c>
      <c r="N3630" s="7">
        <f t="shared" si="284"/>
        <v>120.3536455617361</v>
      </c>
    </row>
    <row r="3631" spans="1:14" x14ac:dyDescent="0.25">
      <c r="A3631" t="str">
        <f>"14:50:52.539"</f>
        <v>14:50:52.539</v>
      </c>
      <c r="B3631">
        <v>40.422691999999998</v>
      </c>
      <c r="C3631">
        <v>-74.479129</v>
      </c>
      <c r="D3631">
        <v>1700</v>
      </c>
      <c r="E3631">
        <v>1900</v>
      </c>
      <c r="F3631">
        <v>106</v>
      </c>
      <c r="G3631">
        <v>57</v>
      </c>
      <c r="H3631">
        <v>0</v>
      </c>
      <c r="J3631" s="1">
        <f t="shared" si="280"/>
        <v>11236</v>
      </c>
      <c r="K3631" s="1">
        <f t="shared" si="281"/>
        <v>3249</v>
      </c>
      <c r="L3631" s="1">
        <f t="shared" si="282"/>
        <v>14485</v>
      </c>
      <c r="M3631" s="1">
        <f t="shared" si="283"/>
        <v>120.3536455617361</v>
      </c>
      <c r="N3631" s="7">
        <f t="shared" si="284"/>
        <v>120.3536455617361</v>
      </c>
    </row>
    <row r="3632" spans="1:14" x14ac:dyDescent="0.25">
      <c r="A3632" t="str">
        <f>"14:50:53.602"</f>
        <v>14:50:53.602</v>
      </c>
      <c r="B3632">
        <v>40.42295</v>
      </c>
      <c r="C3632">
        <v>-74.478464000000002</v>
      </c>
      <c r="D3632">
        <v>1700</v>
      </c>
      <c r="E3632">
        <v>1900</v>
      </c>
      <c r="F3632">
        <v>106</v>
      </c>
      <c r="G3632">
        <v>57</v>
      </c>
      <c r="H3632">
        <v>0</v>
      </c>
      <c r="J3632" s="1">
        <f t="shared" si="280"/>
        <v>11236</v>
      </c>
      <c r="K3632" s="1">
        <f t="shared" si="281"/>
        <v>3249</v>
      </c>
      <c r="L3632" s="1">
        <f t="shared" si="282"/>
        <v>14485</v>
      </c>
      <c r="M3632" s="1">
        <f t="shared" si="283"/>
        <v>120.3536455617361</v>
      </c>
      <c r="N3632" s="7">
        <f t="shared" si="284"/>
        <v>120.3536455617361</v>
      </c>
    </row>
    <row r="3633" spans="1:14" x14ac:dyDescent="0.25">
      <c r="A3633" t="str">
        <f>"14:50:54.563"</f>
        <v>14:50:54.563</v>
      </c>
      <c r="B3633">
        <v>40.423228999999999</v>
      </c>
      <c r="C3633">
        <v>-74.477841999999995</v>
      </c>
      <c r="D3633">
        <v>1700</v>
      </c>
      <c r="E3633">
        <v>1900</v>
      </c>
      <c r="F3633">
        <v>106</v>
      </c>
      <c r="G3633">
        <v>57</v>
      </c>
      <c r="H3633">
        <v>0</v>
      </c>
      <c r="J3633" s="1">
        <f t="shared" si="280"/>
        <v>11236</v>
      </c>
      <c r="K3633" s="1">
        <f t="shared" si="281"/>
        <v>3249</v>
      </c>
      <c r="L3633" s="1">
        <f t="shared" si="282"/>
        <v>14485</v>
      </c>
      <c r="M3633" s="1">
        <f t="shared" si="283"/>
        <v>120.3536455617361</v>
      </c>
      <c r="N3633" s="7">
        <f t="shared" si="284"/>
        <v>120.3536455617361</v>
      </c>
    </row>
    <row r="3634" spans="1:14" x14ac:dyDescent="0.25">
      <c r="A3634" t="str">
        <f>"14:50:55.672"</f>
        <v>14:50:55.672</v>
      </c>
      <c r="B3634">
        <v>40.423485999999997</v>
      </c>
      <c r="C3634">
        <v>-74.477134000000007</v>
      </c>
      <c r="D3634">
        <v>1700</v>
      </c>
      <c r="E3634">
        <v>1900</v>
      </c>
      <c r="F3634">
        <v>107</v>
      </c>
      <c r="G3634">
        <v>57</v>
      </c>
      <c r="H3634">
        <v>0</v>
      </c>
      <c r="J3634" s="1">
        <f t="shared" si="280"/>
        <v>11449</v>
      </c>
      <c r="K3634" s="1">
        <f t="shared" si="281"/>
        <v>3249</v>
      </c>
      <c r="L3634" s="1">
        <f t="shared" si="282"/>
        <v>14698</v>
      </c>
      <c r="M3634" s="1">
        <f t="shared" si="283"/>
        <v>121.23530838827442</v>
      </c>
      <c r="N3634" s="7">
        <f t="shared" si="284"/>
        <v>121.23530838827442</v>
      </c>
    </row>
    <row r="3635" spans="1:14" x14ac:dyDescent="0.25">
      <c r="A3635" t="str">
        <f>"14:50:56.734"</f>
        <v>14:50:56.734</v>
      </c>
      <c r="B3635">
        <v>40.423786999999997</v>
      </c>
      <c r="C3635">
        <v>-74.476382999999998</v>
      </c>
      <c r="D3635">
        <v>1700</v>
      </c>
      <c r="E3635">
        <v>1900</v>
      </c>
      <c r="F3635">
        <v>106</v>
      </c>
      <c r="G3635">
        <v>57</v>
      </c>
      <c r="H3635">
        <v>0</v>
      </c>
      <c r="J3635" s="1">
        <f t="shared" si="280"/>
        <v>11236</v>
      </c>
      <c r="K3635" s="1">
        <f t="shared" si="281"/>
        <v>3249</v>
      </c>
      <c r="L3635" s="1">
        <f t="shared" si="282"/>
        <v>14485</v>
      </c>
      <c r="M3635" s="1">
        <f t="shared" si="283"/>
        <v>120.3536455617361</v>
      </c>
      <c r="N3635" s="7">
        <f t="shared" si="284"/>
        <v>120.3536455617361</v>
      </c>
    </row>
    <row r="3636" spans="1:14" x14ac:dyDescent="0.25">
      <c r="A3636" t="str">
        <f>"14:50:57.594"</f>
        <v>14:50:57.594</v>
      </c>
      <c r="B3636">
        <v>40.424000999999997</v>
      </c>
      <c r="C3636">
        <v>-74.475888999999995</v>
      </c>
      <c r="D3636">
        <v>1700</v>
      </c>
      <c r="E3636">
        <v>1900</v>
      </c>
      <c r="F3636">
        <v>107</v>
      </c>
      <c r="G3636">
        <v>57</v>
      </c>
      <c r="H3636">
        <v>0</v>
      </c>
      <c r="J3636" s="1">
        <f t="shared" si="280"/>
        <v>11449</v>
      </c>
      <c r="K3636" s="1">
        <f t="shared" si="281"/>
        <v>3249</v>
      </c>
      <c r="L3636" s="1">
        <f t="shared" si="282"/>
        <v>14698</v>
      </c>
      <c r="M3636" s="1">
        <f t="shared" si="283"/>
        <v>121.23530838827442</v>
      </c>
      <c r="N3636" s="7">
        <f t="shared" si="284"/>
        <v>121.23530838827442</v>
      </c>
    </row>
    <row r="3637" spans="1:14" x14ac:dyDescent="0.25">
      <c r="A3637" t="str">
        <f>"14:50:58.547"</f>
        <v>14:50:58.547</v>
      </c>
      <c r="B3637">
        <v>40.424280000000003</v>
      </c>
      <c r="C3637">
        <v>-74.475223999999997</v>
      </c>
      <c r="D3637">
        <v>1700</v>
      </c>
      <c r="E3637">
        <v>1900</v>
      </c>
      <c r="F3637">
        <v>106</v>
      </c>
      <c r="G3637">
        <v>57</v>
      </c>
      <c r="H3637">
        <v>0</v>
      </c>
      <c r="J3637" s="1">
        <f t="shared" si="280"/>
        <v>11236</v>
      </c>
      <c r="K3637" s="1">
        <f t="shared" si="281"/>
        <v>3249</v>
      </c>
      <c r="L3637" s="1">
        <f t="shared" si="282"/>
        <v>14485</v>
      </c>
      <c r="M3637" s="1">
        <f t="shared" si="283"/>
        <v>120.3536455617361</v>
      </c>
      <c r="N3637" s="7">
        <f t="shared" si="284"/>
        <v>120.3536455617361</v>
      </c>
    </row>
    <row r="3638" spans="1:14" x14ac:dyDescent="0.25">
      <c r="A3638" t="str">
        <f>"14:50:59.711"</f>
        <v>14:50:59.711</v>
      </c>
      <c r="B3638">
        <v>40.424559000000002</v>
      </c>
      <c r="C3638">
        <v>-74.474515999999994</v>
      </c>
      <c r="D3638">
        <v>1700</v>
      </c>
      <c r="E3638">
        <v>1900</v>
      </c>
      <c r="F3638">
        <v>106</v>
      </c>
      <c r="G3638">
        <v>57</v>
      </c>
      <c r="H3638">
        <v>0</v>
      </c>
      <c r="J3638" s="1">
        <f t="shared" si="280"/>
        <v>11236</v>
      </c>
      <c r="K3638" s="1">
        <f t="shared" si="281"/>
        <v>3249</v>
      </c>
      <c r="L3638" s="1">
        <f t="shared" si="282"/>
        <v>14485</v>
      </c>
      <c r="M3638" s="1">
        <f t="shared" si="283"/>
        <v>120.3536455617361</v>
      </c>
      <c r="N3638" s="7">
        <f t="shared" si="284"/>
        <v>120.3536455617361</v>
      </c>
    </row>
    <row r="3639" spans="1:14" x14ac:dyDescent="0.25">
      <c r="A3639" t="str">
        <f>"14:51:00.820"</f>
        <v>14:51:00.820</v>
      </c>
      <c r="B3639">
        <v>40.424902000000003</v>
      </c>
      <c r="C3639">
        <v>-74.473765</v>
      </c>
      <c r="D3639">
        <v>1700</v>
      </c>
      <c r="E3639">
        <v>1900</v>
      </c>
      <c r="F3639">
        <v>106</v>
      </c>
      <c r="G3639">
        <v>57</v>
      </c>
      <c r="H3639">
        <v>0</v>
      </c>
      <c r="J3639" s="1">
        <f t="shared" si="280"/>
        <v>11236</v>
      </c>
      <c r="K3639" s="1">
        <f t="shared" si="281"/>
        <v>3249</v>
      </c>
      <c r="L3639" s="1">
        <f t="shared" si="282"/>
        <v>14485</v>
      </c>
      <c r="M3639" s="1">
        <f t="shared" si="283"/>
        <v>120.3536455617361</v>
      </c>
      <c r="N3639" s="7">
        <f t="shared" si="284"/>
        <v>120.3536455617361</v>
      </c>
    </row>
    <row r="3640" spans="1:14" x14ac:dyDescent="0.25">
      <c r="A3640" t="str">
        <f>"14:51:02.336"</f>
        <v>14:51:02.336</v>
      </c>
      <c r="B3640">
        <v>40.425288999999999</v>
      </c>
      <c r="C3640">
        <v>-74.472778000000005</v>
      </c>
      <c r="D3640">
        <v>1700</v>
      </c>
      <c r="E3640">
        <v>1900</v>
      </c>
      <c r="F3640">
        <v>106</v>
      </c>
      <c r="G3640">
        <v>58</v>
      </c>
      <c r="H3640">
        <v>0</v>
      </c>
      <c r="J3640" s="1">
        <f t="shared" si="280"/>
        <v>11236</v>
      </c>
      <c r="K3640" s="1">
        <f t="shared" si="281"/>
        <v>3364</v>
      </c>
      <c r="L3640" s="1">
        <f t="shared" si="282"/>
        <v>14600</v>
      </c>
      <c r="M3640" s="1">
        <f t="shared" si="283"/>
        <v>120.83045973594572</v>
      </c>
      <c r="N3640" s="7">
        <f t="shared" si="284"/>
        <v>120.83045973594572</v>
      </c>
    </row>
    <row r="3641" spans="1:14" x14ac:dyDescent="0.25">
      <c r="A3641" t="str">
        <f>"14:51:03.898"</f>
        <v>14:51:03.898</v>
      </c>
      <c r="B3641">
        <v>40.425674999999998</v>
      </c>
      <c r="C3641">
        <v>-74.471834000000001</v>
      </c>
      <c r="D3641">
        <v>1700</v>
      </c>
      <c r="E3641">
        <v>1900</v>
      </c>
      <c r="F3641">
        <v>106</v>
      </c>
      <c r="G3641">
        <v>58</v>
      </c>
      <c r="H3641">
        <v>0</v>
      </c>
      <c r="J3641" s="1">
        <f t="shared" si="280"/>
        <v>11236</v>
      </c>
      <c r="K3641" s="1">
        <f t="shared" si="281"/>
        <v>3364</v>
      </c>
      <c r="L3641" s="1">
        <f t="shared" si="282"/>
        <v>14600</v>
      </c>
      <c r="M3641" s="1">
        <f t="shared" si="283"/>
        <v>120.83045973594572</v>
      </c>
      <c r="N3641" s="7">
        <f t="shared" si="284"/>
        <v>120.83045973594572</v>
      </c>
    </row>
    <row r="3642" spans="1:14" x14ac:dyDescent="0.25">
      <c r="A3642" t="str">
        <f>"14:51:05.016"</f>
        <v>14:51:05.016</v>
      </c>
      <c r="B3642">
        <v>40.426017999999999</v>
      </c>
      <c r="C3642">
        <v>-74.471082999999993</v>
      </c>
      <c r="D3642">
        <v>1700</v>
      </c>
      <c r="E3642">
        <v>1900</v>
      </c>
      <c r="F3642">
        <v>106</v>
      </c>
      <c r="G3642">
        <v>59</v>
      </c>
      <c r="H3642">
        <v>0</v>
      </c>
      <c r="J3642" s="1">
        <f t="shared" si="280"/>
        <v>11236</v>
      </c>
      <c r="K3642" s="1">
        <f t="shared" si="281"/>
        <v>3481</v>
      </c>
      <c r="L3642" s="1">
        <f t="shared" si="282"/>
        <v>14717</v>
      </c>
      <c r="M3642" s="1">
        <f t="shared" si="283"/>
        <v>121.31364309095659</v>
      </c>
      <c r="N3642" s="7">
        <f t="shared" si="284"/>
        <v>121.31364309095659</v>
      </c>
    </row>
    <row r="3643" spans="1:14" x14ac:dyDescent="0.25">
      <c r="A3643" t="str">
        <f>"14:51:06.070"</f>
        <v>14:51:06.070</v>
      </c>
      <c r="B3643">
        <v>40.426296999999998</v>
      </c>
      <c r="C3643">
        <v>-74.470460000000003</v>
      </c>
      <c r="D3643">
        <v>1700</v>
      </c>
      <c r="E3643">
        <v>1900</v>
      </c>
      <c r="F3643">
        <v>106</v>
      </c>
      <c r="G3643">
        <v>59</v>
      </c>
      <c r="H3643">
        <v>0</v>
      </c>
      <c r="J3643" s="1">
        <f t="shared" si="280"/>
        <v>11236</v>
      </c>
      <c r="K3643" s="1">
        <f t="shared" si="281"/>
        <v>3481</v>
      </c>
      <c r="L3643" s="1">
        <f t="shared" si="282"/>
        <v>14717</v>
      </c>
      <c r="M3643" s="1">
        <f t="shared" si="283"/>
        <v>121.31364309095659</v>
      </c>
      <c r="N3643" s="7">
        <f t="shared" si="284"/>
        <v>121.31364309095659</v>
      </c>
    </row>
    <row r="3644" spans="1:14" x14ac:dyDescent="0.25">
      <c r="A3644" t="str">
        <f>"14:51:07.086"</f>
        <v>14:51:07.086</v>
      </c>
      <c r="B3644">
        <v>40.426575999999997</v>
      </c>
      <c r="C3644">
        <v>-74.469774000000001</v>
      </c>
      <c r="D3644">
        <v>1700</v>
      </c>
      <c r="E3644">
        <v>1900</v>
      </c>
      <c r="F3644">
        <v>106</v>
      </c>
      <c r="G3644">
        <v>59</v>
      </c>
      <c r="H3644">
        <v>0</v>
      </c>
      <c r="J3644" s="1">
        <f t="shared" si="280"/>
        <v>11236</v>
      </c>
      <c r="K3644" s="1">
        <f t="shared" si="281"/>
        <v>3481</v>
      </c>
      <c r="L3644" s="1">
        <f t="shared" si="282"/>
        <v>14717</v>
      </c>
      <c r="M3644" s="1">
        <f t="shared" si="283"/>
        <v>121.31364309095659</v>
      </c>
      <c r="N3644" s="7">
        <f t="shared" si="284"/>
        <v>121.31364309095659</v>
      </c>
    </row>
    <row r="3645" spans="1:14" x14ac:dyDescent="0.25">
      <c r="A3645" t="str">
        <f>"14:51:08.094"</f>
        <v>14:51:08.094</v>
      </c>
      <c r="B3645">
        <v>40.426855000000003</v>
      </c>
      <c r="C3645">
        <v>-74.469130000000007</v>
      </c>
      <c r="D3645">
        <v>1700</v>
      </c>
      <c r="E3645">
        <v>1900</v>
      </c>
      <c r="F3645">
        <v>106</v>
      </c>
      <c r="G3645">
        <v>60</v>
      </c>
      <c r="H3645">
        <v>-64</v>
      </c>
      <c r="J3645" s="1">
        <f t="shared" si="280"/>
        <v>11236</v>
      </c>
      <c r="K3645" s="1">
        <f t="shared" si="281"/>
        <v>3600</v>
      </c>
      <c r="L3645" s="1">
        <f t="shared" si="282"/>
        <v>14836</v>
      </c>
      <c r="M3645" s="1">
        <f t="shared" si="283"/>
        <v>121.80311982868091</v>
      </c>
      <c r="N3645" s="7">
        <f t="shared" si="284"/>
        <v>121.80311982868091</v>
      </c>
    </row>
    <row r="3646" spans="1:14" x14ac:dyDescent="0.25">
      <c r="A3646" t="str">
        <f>"14:51:09.102"</f>
        <v>14:51:09.102</v>
      </c>
      <c r="B3646">
        <v>40.427177</v>
      </c>
      <c r="C3646">
        <v>-74.468442999999994</v>
      </c>
      <c r="D3646">
        <v>1700</v>
      </c>
      <c r="E3646">
        <v>1900</v>
      </c>
      <c r="F3646">
        <v>106</v>
      </c>
      <c r="G3646">
        <v>60</v>
      </c>
      <c r="H3646">
        <v>-64</v>
      </c>
      <c r="J3646" s="1">
        <f t="shared" si="280"/>
        <v>11236</v>
      </c>
      <c r="K3646" s="1">
        <f t="shared" si="281"/>
        <v>3600</v>
      </c>
      <c r="L3646" s="1">
        <f t="shared" si="282"/>
        <v>14836</v>
      </c>
      <c r="M3646" s="1">
        <f t="shared" si="283"/>
        <v>121.80311982868091</v>
      </c>
      <c r="N3646" s="7">
        <f t="shared" si="284"/>
        <v>121.80311982868091</v>
      </c>
    </row>
    <row r="3647" spans="1:14" x14ac:dyDescent="0.25">
      <c r="A3647" t="str">
        <f>"14:51:10.109"</f>
        <v>14:51:10.109</v>
      </c>
      <c r="B3647">
        <v>40.427433999999998</v>
      </c>
      <c r="C3647">
        <v>-74.467843000000002</v>
      </c>
      <c r="D3647">
        <v>1700</v>
      </c>
      <c r="E3647">
        <v>1900</v>
      </c>
      <c r="F3647">
        <v>106</v>
      </c>
      <c r="G3647">
        <v>60</v>
      </c>
      <c r="H3647">
        <v>-64</v>
      </c>
      <c r="J3647" s="1">
        <f t="shared" si="280"/>
        <v>11236</v>
      </c>
      <c r="K3647" s="1">
        <f t="shared" si="281"/>
        <v>3600</v>
      </c>
      <c r="L3647" s="1">
        <f t="shared" si="282"/>
        <v>14836</v>
      </c>
      <c r="M3647" s="1">
        <f t="shared" si="283"/>
        <v>121.80311982868091</v>
      </c>
      <c r="N3647" s="7">
        <f t="shared" si="284"/>
        <v>121.80311982868091</v>
      </c>
    </row>
    <row r="3648" spans="1:14" x14ac:dyDescent="0.25">
      <c r="A3648" t="str">
        <f>"14:51:11.125"</f>
        <v>14:51:11.125</v>
      </c>
      <c r="B3648">
        <v>40.427712999999997</v>
      </c>
      <c r="C3648">
        <v>-74.467156000000003</v>
      </c>
      <c r="D3648">
        <v>1700</v>
      </c>
      <c r="E3648">
        <v>1900</v>
      </c>
      <c r="F3648">
        <v>106</v>
      </c>
      <c r="G3648">
        <v>60</v>
      </c>
      <c r="H3648">
        <v>0</v>
      </c>
      <c r="J3648" s="1">
        <f t="shared" si="280"/>
        <v>11236</v>
      </c>
      <c r="K3648" s="1">
        <f t="shared" si="281"/>
        <v>3600</v>
      </c>
      <c r="L3648" s="1">
        <f t="shared" si="282"/>
        <v>14836</v>
      </c>
      <c r="M3648" s="1">
        <f t="shared" si="283"/>
        <v>121.80311982868091</v>
      </c>
      <c r="N3648" s="7">
        <f t="shared" si="284"/>
        <v>121.80311982868091</v>
      </c>
    </row>
    <row r="3649" spans="1:14" x14ac:dyDescent="0.25">
      <c r="A3649" t="str">
        <f>"14:51:12.180"</f>
        <v>14:51:12.180</v>
      </c>
      <c r="B3649">
        <v>40.427992000000003</v>
      </c>
      <c r="C3649">
        <v>-74.466555</v>
      </c>
      <c r="D3649">
        <v>1700</v>
      </c>
      <c r="E3649">
        <v>1900</v>
      </c>
      <c r="F3649">
        <v>105</v>
      </c>
      <c r="G3649">
        <v>60</v>
      </c>
      <c r="H3649">
        <v>0</v>
      </c>
      <c r="J3649" s="1">
        <f t="shared" si="280"/>
        <v>11025</v>
      </c>
      <c r="K3649" s="1">
        <f t="shared" si="281"/>
        <v>3600</v>
      </c>
      <c r="L3649" s="1">
        <f t="shared" si="282"/>
        <v>14625</v>
      </c>
      <c r="M3649" s="1">
        <f t="shared" si="283"/>
        <v>120.93386622447825</v>
      </c>
      <c r="N3649" s="7">
        <f t="shared" si="284"/>
        <v>120.93386622447825</v>
      </c>
    </row>
    <row r="3650" spans="1:14" x14ac:dyDescent="0.25">
      <c r="A3650" t="str">
        <f>"14:51:13.195"</f>
        <v>14:51:13.195</v>
      </c>
      <c r="B3650">
        <v>40.428271000000002</v>
      </c>
      <c r="C3650">
        <v>-74.465890000000002</v>
      </c>
      <c r="D3650">
        <v>1700</v>
      </c>
      <c r="E3650">
        <v>1900</v>
      </c>
      <c r="F3650">
        <v>105</v>
      </c>
      <c r="G3650">
        <v>61</v>
      </c>
      <c r="H3650">
        <v>0</v>
      </c>
      <c r="J3650" s="1">
        <f t="shared" si="280"/>
        <v>11025</v>
      </c>
      <c r="K3650" s="1">
        <f t="shared" si="281"/>
        <v>3721</v>
      </c>
      <c r="L3650" s="1">
        <f t="shared" si="282"/>
        <v>14746</v>
      </c>
      <c r="M3650" s="1">
        <f t="shared" si="283"/>
        <v>121.43310915891102</v>
      </c>
      <c r="N3650" s="7">
        <f t="shared" si="284"/>
        <v>121.43310915891102</v>
      </c>
    </row>
    <row r="3651" spans="1:14" x14ac:dyDescent="0.25">
      <c r="A3651" t="str">
        <f>"14:51:14.148"</f>
        <v>14:51:14.148</v>
      </c>
      <c r="B3651">
        <v>40.428550000000001</v>
      </c>
      <c r="C3651">
        <v>-74.465267999999995</v>
      </c>
      <c r="D3651">
        <v>1700</v>
      </c>
      <c r="E3651">
        <v>1900</v>
      </c>
      <c r="F3651">
        <v>105</v>
      </c>
      <c r="G3651">
        <v>61</v>
      </c>
      <c r="H3651">
        <v>0</v>
      </c>
      <c r="J3651" s="1">
        <f t="shared" ref="J3651:J3714" si="285">F3651^2</f>
        <v>11025</v>
      </c>
      <c r="K3651" s="1">
        <f t="shared" ref="K3651:K3714" si="286">G3651^2</f>
        <v>3721</v>
      </c>
      <c r="L3651" s="1">
        <f t="shared" ref="L3651:L3714" si="287">SUMSQ(F3651,G3651)</f>
        <v>14746</v>
      </c>
      <c r="M3651" s="1">
        <f t="shared" ref="M3651:M3714" si="288">SQRT(L3651)</f>
        <v>121.43310915891102</v>
      </c>
      <c r="N3651" s="7">
        <f t="shared" ref="N3651:N3714" si="289">M3651</f>
        <v>121.43310915891102</v>
      </c>
    </row>
    <row r="3652" spans="1:14" x14ac:dyDescent="0.25">
      <c r="A3652" t="str">
        <f>"14:51:15.313"</f>
        <v>14:51:15.313</v>
      </c>
      <c r="B3652">
        <v>40.428851000000002</v>
      </c>
      <c r="C3652">
        <v>-74.464517000000001</v>
      </c>
      <c r="D3652">
        <v>1700</v>
      </c>
      <c r="E3652">
        <v>1900</v>
      </c>
      <c r="F3652">
        <v>105</v>
      </c>
      <c r="G3652">
        <v>61</v>
      </c>
      <c r="H3652">
        <v>64</v>
      </c>
      <c r="J3652" s="1">
        <f t="shared" si="285"/>
        <v>11025</v>
      </c>
      <c r="K3652" s="1">
        <f t="shared" si="286"/>
        <v>3721</v>
      </c>
      <c r="L3652" s="1">
        <f t="shared" si="287"/>
        <v>14746</v>
      </c>
      <c r="M3652" s="1">
        <f t="shared" si="288"/>
        <v>121.43310915891102</v>
      </c>
      <c r="N3652" s="7">
        <f t="shared" si="289"/>
        <v>121.43310915891102</v>
      </c>
    </row>
    <row r="3653" spans="1:14" x14ac:dyDescent="0.25">
      <c r="A3653" t="str">
        <f>"14:51:16.320"</f>
        <v>14:51:16.320</v>
      </c>
      <c r="B3653">
        <v>40.429130000000001</v>
      </c>
      <c r="C3653">
        <v>-74.463893999999996</v>
      </c>
      <c r="D3653">
        <v>1700</v>
      </c>
      <c r="E3653">
        <v>1900</v>
      </c>
      <c r="F3653">
        <v>105</v>
      </c>
      <c r="G3653">
        <v>61</v>
      </c>
      <c r="H3653">
        <v>0</v>
      </c>
      <c r="J3653" s="1">
        <f t="shared" si="285"/>
        <v>11025</v>
      </c>
      <c r="K3653" s="1">
        <f t="shared" si="286"/>
        <v>3721</v>
      </c>
      <c r="L3653" s="1">
        <f t="shared" si="287"/>
        <v>14746</v>
      </c>
      <c r="M3653" s="1">
        <f t="shared" si="288"/>
        <v>121.43310915891102</v>
      </c>
      <c r="N3653" s="7">
        <f t="shared" si="289"/>
        <v>121.43310915891102</v>
      </c>
    </row>
    <row r="3654" spans="1:14" x14ac:dyDescent="0.25">
      <c r="A3654" t="str">
        <f>"14:51:17.234"</f>
        <v>14:51:17.234</v>
      </c>
      <c r="B3654">
        <v>40.429409</v>
      </c>
      <c r="C3654">
        <v>-74.463272000000003</v>
      </c>
      <c r="D3654">
        <v>1700</v>
      </c>
      <c r="E3654">
        <v>1900</v>
      </c>
      <c r="F3654">
        <v>105</v>
      </c>
      <c r="G3654">
        <v>61</v>
      </c>
      <c r="H3654">
        <v>0</v>
      </c>
      <c r="J3654" s="1">
        <f t="shared" si="285"/>
        <v>11025</v>
      </c>
      <c r="K3654" s="1">
        <f t="shared" si="286"/>
        <v>3721</v>
      </c>
      <c r="L3654" s="1">
        <f t="shared" si="287"/>
        <v>14746</v>
      </c>
      <c r="M3654" s="1">
        <f t="shared" si="288"/>
        <v>121.43310915891102</v>
      </c>
      <c r="N3654" s="7">
        <f t="shared" si="289"/>
        <v>121.43310915891102</v>
      </c>
    </row>
    <row r="3655" spans="1:14" x14ac:dyDescent="0.25">
      <c r="A3655" t="str">
        <f>"14:51:18.188"</f>
        <v>14:51:18.188</v>
      </c>
      <c r="B3655">
        <v>40.429687999999999</v>
      </c>
      <c r="C3655">
        <v>-74.462714000000005</v>
      </c>
      <c r="D3655">
        <v>1700</v>
      </c>
      <c r="E3655">
        <v>1900</v>
      </c>
      <c r="F3655">
        <v>105</v>
      </c>
      <c r="G3655">
        <v>61</v>
      </c>
      <c r="H3655">
        <v>64</v>
      </c>
      <c r="J3655" s="1">
        <f t="shared" si="285"/>
        <v>11025</v>
      </c>
      <c r="K3655" s="1">
        <f t="shared" si="286"/>
        <v>3721</v>
      </c>
      <c r="L3655" s="1">
        <f t="shared" si="287"/>
        <v>14746</v>
      </c>
      <c r="M3655" s="1">
        <f t="shared" si="288"/>
        <v>121.43310915891102</v>
      </c>
      <c r="N3655" s="7">
        <f t="shared" si="289"/>
        <v>121.43310915891102</v>
      </c>
    </row>
    <row r="3656" spans="1:14" x14ac:dyDescent="0.25">
      <c r="A3656" t="str">
        <f>"14:51:19.148"</f>
        <v>14:51:19.148</v>
      </c>
      <c r="B3656">
        <v>40.429966</v>
      </c>
      <c r="C3656">
        <v>-74.462028000000004</v>
      </c>
      <c r="D3656">
        <v>1700</v>
      </c>
      <c r="E3656">
        <v>1900</v>
      </c>
      <c r="F3656">
        <v>105</v>
      </c>
      <c r="G3656">
        <v>61</v>
      </c>
      <c r="H3656">
        <v>64</v>
      </c>
      <c r="J3656" s="1">
        <f t="shared" si="285"/>
        <v>11025</v>
      </c>
      <c r="K3656" s="1">
        <f t="shared" si="286"/>
        <v>3721</v>
      </c>
      <c r="L3656" s="1">
        <f t="shared" si="287"/>
        <v>14746</v>
      </c>
      <c r="M3656" s="1">
        <f t="shared" si="288"/>
        <v>121.43310915891102</v>
      </c>
      <c r="N3656" s="7">
        <f t="shared" si="289"/>
        <v>121.43310915891102</v>
      </c>
    </row>
    <row r="3657" spans="1:14" x14ac:dyDescent="0.25">
      <c r="A3657" t="str">
        <f>"14:51:20.109"</f>
        <v>14:51:20.109</v>
      </c>
      <c r="B3657">
        <v>40.430202000000001</v>
      </c>
      <c r="C3657">
        <v>-74.461470000000006</v>
      </c>
      <c r="D3657">
        <v>1700</v>
      </c>
      <c r="E3657">
        <v>1900</v>
      </c>
      <c r="F3657">
        <v>105</v>
      </c>
      <c r="G3657">
        <v>61</v>
      </c>
      <c r="H3657">
        <v>64</v>
      </c>
      <c r="J3657" s="1">
        <f t="shared" si="285"/>
        <v>11025</v>
      </c>
      <c r="K3657" s="1">
        <f t="shared" si="286"/>
        <v>3721</v>
      </c>
      <c r="L3657" s="1">
        <f t="shared" si="287"/>
        <v>14746</v>
      </c>
      <c r="M3657" s="1">
        <f t="shared" si="288"/>
        <v>121.43310915891102</v>
      </c>
      <c r="N3657" s="7">
        <f t="shared" si="289"/>
        <v>121.43310915891102</v>
      </c>
    </row>
    <row r="3658" spans="1:14" x14ac:dyDescent="0.25">
      <c r="A3658" t="str">
        <f>"14:51:21.219"</f>
        <v>14:51:21.219</v>
      </c>
      <c r="B3658">
        <v>40.430567000000003</v>
      </c>
      <c r="C3658">
        <v>-74.460718999999997</v>
      </c>
      <c r="D3658">
        <v>1700</v>
      </c>
      <c r="E3658">
        <v>1900</v>
      </c>
      <c r="F3658">
        <v>105</v>
      </c>
      <c r="G3658">
        <v>62</v>
      </c>
      <c r="H3658">
        <v>64</v>
      </c>
      <c r="J3658" s="1">
        <f t="shared" si="285"/>
        <v>11025</v>
      </c>
      <c r="K3658" s="1">
        <f t="shared" si="286"/>
        <v>3844</v>
      </c>
      <c r="L3658" s="1">
        <f t="shared" si="287"/>
        <v>14869</v>
      </c>
      <c r="M3658" s="1">
        <f t="shared" si="288"/>
        <v>121.93850909372314</v>
      </c>
      <c r="N3658" s="7">
        <f t="shared" si="289"/>
        <v>121.93850909372314</v>
      </c>
    </row>
    <row r="3659" spans="1:14" x14ac:dyDescent="0.25">
      <c r="A3659" t="str">
        <f>"14:51:22.133"</f>
        <v>14:51:22.133</v>
      </c>
      <c r="B3659">
        <v>40.430824999999999</v>
      </c>
      <c r="C3659">
        <v>-74.460138999999998</v>
      </c>
      <c r="D3659">
        <v>1700</v>
      </c>
      <c r="E3659">
        <v>1900</v>
      </c>
      <c r="F3659">
        <v>104</v>
      </c>
      <c r="G3659">
        <v>62</v>
      </c>
      <c r="H3659">
        <v>0</v>
      </c>
      <c r="J3659" s="1">
        <f t="shared" si="285"/>
        <v>10816</v>
      </c>
      <c r="K3659" s="1">
        <f t="shared" si="286"/>
        <v>3844</v>
      </c>
      <c r="L3659" s="1">
        <f t="shared" si="287"/>
        <v>14660</v>
      </c>
      <c r="M3659" s="1">
        <f t="shared" si="288"/>
        <v>121.07848694132248</v>
      </c>
      <c r="N3659" s="7">
        <f t="shared" si="289"/>
        <v>121.07848694132248</v>
      </c>
    </row>
    <row r="3660" spans="1:14" x14ac:dyDescent="0.25">
      <c r="A3660" t="str">
        <f>"14:51:23.188"</f>
        <v>14:51:23.188</v>
      </c>
      <c r="B3660">
        <v>40.431103999999998</v>
      </c>
      <c r="C3660">
        <v>-74.459537999999995</v>
      </c>
      <c r="D3660">
        <v>1700</v>
      </c>
      <c r="E3660">
        <v>1900</v>
      </c>
      <c r="F3660">
        <v>104</v>
      </c>
      <c r="G3660">
        <v>62</v>
      </c>
      <c r="H3660">
        <v>0</v>
      </c>
      <c r="J3660" s="1">
        <f t="shared" si="285"/>
        <v>10816</v>
      </c>
      <c r="K3660" s="1">
        <f t="shared" si="286"/>
        <v>3844</v>
      </c>
      <c r="L3660" s="1">
        <f t="shared" si="287"/>
        <v>14660</v>
      </c>
      <c r="M3660" s="1">
        <f t="shared" si="288"/>
        <v>121.07848694132248</v>
      </c>
      <c r="N3660" s="7">
        <f t="shared" si="289"/>
        <v>121.07848694132248</v>
      </c>
    </row>
    <row r="3661" spans="1:14" x14ac:dyDescent="0.25">
      <c r="A3661" t="str">
        <f>"14:51:24.250"</f>
        <v>14:51:24.250</v>
      </c>
      <c r="B3661">
        <v>40.431404000000001</v>
      </c>
      <c r="C3661">
        <v>-74.458830000000006</v>
      </c>
      <c r="D3661">
        <v>1700</v>
      </c>
      <c r="E3661">
        <v>1900</v>
      </c>
      <c r="F3661">
        <v>104</v>
      </c>
      <c r="G3661">
        <v>63</v>
      </c>
      <c r="H3661">
        <v>0</v>
      </c>
      <c r="J3661" s="1">
        <f t="shared" si="285"/>
        <v>10816</v>
      </c>
      <c r="K3661" s="1">
        <f t="shared" si="286"/>
        <v>3969</v>
      </c>
      <c r="L3661" s="1">
        <f t="shared" si="287"/>
        <v>14785</v>
      </c>
      <c r="M3661" s="1">
        <f t="shared" si="288"/>
        <v>121.59358535712317</v>
      </c>
      <c r="N3661" s="7">
        <f t="shared" si="289"/>
        <v>121.59358535712317</v>
      </c>
    </row>
    <row r="3662" spans="1:14" x14ac:dyDescent="0.25">
      <c r="A3662" t="str">
        <f>"14:51:25.164"</f>
        <v>14:51:25.164</v>
      </c>
      <c r="B3662">
        <v>40.431705000000001</v>
      </c>
      <c r="C3662">
        <v>-74.458251000000004</v>
      </c>
      <c r="D3662">
        <v>1700</v>
      </c>
      <c r="E3662">
        <v>1900</v>
      </c>
      <c r="F3662">
        <v>104</v>
      </c>
      <c r="G3662">
        <v>63</v>
      </c>
      <c r="H3662">
        <v>0</v>
      </c>
      <c r="J3662" s="1">
        <f t="shared" si="285"/>
        <v>10816</v>
      </c>
      <c r="K3662" s="1">
        <f t="shared" si="286"/>
        <v>3969</v>
      </c>
      <c r="L3662" s="1">
        <f t="shared" si="287"/>
        <v>14785</v>
      </c>
      <c r="M3662" s="1">
        <f t="shared" si="288"/>
        <v>121.59358535712317</v>
      </c>
      <c r="N3662" s="7">
        <f t="shared" si="289"/>
        <v>121.59358535712317</v>
      </c>
    </row>
    <row r="3663" spans="1:14" x14ac:dyDescent="0.25">
      <c r="A3663" t="str">
        <f>"14:51:26.070"</f>
        <v>14:51:26.070</v>
      </c>
      <c r="B3663">
        <v>40.431961999999999</v>
      </c>
      <c r="C3663">
        <v>-74.457714999999993</v>
      </c>
      <c r="D3663">
        <v>1700</v>
      </c>
      <c r="E3663">
        <v>1900</v>
      </c>
      <c r="F3663">
        <v>104</v>
      </c>
      <c r="G3663">
        <v>63</v>
      </c>
      <c r="H3663">
        <v>0</v>
      </c>
      <c r="J3663" s="1">
        <f t="shared" si="285"/>
        <v>10816</v>
      </c>
      <c r="K3663" s="1">
        <f t="shared" si="286"/>
        <v>3969</v>
      </c>
      <c r="L3663" s="1">
        <f t="shared" si="287"/>
        <v>14785</v>
      </c>
      <c r="M3663" s="1">
        <f t="shared" si="288"/>
        <v>121.59358535712317</v>
      </c>
      <c r="N3663" s="7">
        <f t="shared" si="289"/>
        <v>121.59358535712317</v>
      </c>
    </row>
    <row r="3664" spans="1:14" x14ac:dyDescent="0.25">
      <c r="A3664" t="str">
        <f>"14:51:27.078"</f>
        <v>14:51:27.078</v>
      </c>
      <c r="B3664">
        <v>40.432240999999998</v>
      </c>
      <c r="C3664">
        <v>-74.457092000000003</v>
      </c>
      <c r="D3664">
        <v>1700</v>
      </c>
      <c r="E3664">
        <v>1900</v>
      </c>
      <c r="F3664">
        <v>104</v>
      </c>
      <c r="G3664">
        <v>64</v>
      </c>
      <c r="H3664">
        <v>0</v>
      </c>
      <c r="J3664" s="1">
        <f t="shared" si="285"/>
        <v>10816</v>
      </c>
      <c r="K3664" s="1">
        <f t="shared" si="286"/>
        <v>4096</v>
      </c>
      <c r="L3664" s="1">
        <f t="shared" si="287"/>
        <v>14912</v>
      </c>
      <c r="M3664" s="1">
        <f t="shared" si="288"/>
        <v>122.11470017978998</v>
      </c>
      <c r="N3664" s="7">
        <f t="shared" si="289"/>
        <v>122.11470017978998</v>
      </c>
    </row>
    <row r="3665" spans="1:14" x14ac:dyDescent="0.25">
      <c r="A3665" t="str">
        <f>"14:51:27.984"</f>
        <v>14:51:27.984</v>
      </c>
      <c r="B3665">
        <v>40.432519999999997</v>
      </c>
      <c r="C3665">
        <v>-74.456491</v>
      </c>
      <c r="D3665">
        <v>1700</v>
      </c>
      <c r="E3665">
        <v>1900</v>
      </c>
      <c r="F3665">
        <v>104</v>
      </c>
      <c r="G3665">
        <v>64</v>
      </c>
      <c r="H3665">
        <v>0</v>
      </c>
      <c r="J3665" s="1">
        <f t="shared" si="285"/>
        <v>10816</v>
      </c>
      <c r="K3665" s="1">
        <f t="shared" si="286"/>
        <v>4096</v>
      </c>
      <c r="L3665" s="1">
        <f t="shared" si="287"/>
        <v>14912</v>
      </c>
      <c r="M3665" s="1">
        <f t="shared" si="288"/>
        <v>122.11470017978998</v>
      </c>
      <c r="N3665" s="7">
        <f t="shared" si="289"/>
        <v>122.11470017978998</v>
      </c>
    </row>
    <row r="3666" spans="1:14" x14ac:dyDescent="0.25">
      <c r="A3666" t="str">
        <f>"14:51:28.898"</f>
        <v>14:51:28.898</v>
      </c>
      <c r="B3666">
        <v>40.432799000000003</v>
      </c>
      <c r="C3666">
        <v>-74.455869000000007</v>
      </c>
      <c r="D3666">
        <v>1700</v>
      </c>
      <c r="E3666">
        <v>1900</v>
      </c>
      <c r="F3666">
        <v>104</v>
      </c>
      <c r="G3666">
        <v>64</v>
      </c>
      <c r="H3666">
        <v>0</v>
      </c>
      <c r="J3666" s="1">
        <f t="shared" si="285"/>
        <v>10816</v>
      </c>
      <c r="K3666" s="1">
        <f t="shared" si="286"/>
        <v>4096</v>
      </c>
      <c r="L3666" s="1">
        <f t="shared" si="287"/>
        <v>14912</v>
      </c>
      <c r="M3666" s="1">
        <f t="shared" si="288"/>
        <v>122.11470017978998</v>
      </c>
      <c r="N3666" s="7">
        <f t="shared" si="289"/>
        <v>122.11470017978998</v>
      </c>
    </row>
    <row r="3667" spans="1:14" x14ac:dyDescent="0.25">
      <c r="A3667" t="str">
        <f>"14:51:29.805"</f>
        <v>14:51:29.805</v>
      </c>
      <c r="B3667">
        <v>40.433034999999997</v>
      </c>
      <c r="C3667">
        <v>-74.455376000000001</v>
      </c>
      <c r="D3667">
        <v>1700</v>
      </c>
      <c r="E3667">
        <v>1900</v>
      </c>
      <c r="F3667">
        <v>104</v>
      </c>
      <c r="G3667">
        <v>64</v>
      </c>
      <c r="H3667">
        <v>0</v>
      </c>
      <c r="J3667" s="1">
        <f t="shared" si="285"/>
        <v>10816</v>
      </c>
      <c r="K3667" s="1">
        <f t="shared" si="286"/>
        <v>4096</v>
      </c>
      <c r="L3667" s="1">
        <f t="shared" si="287"/>
        <v>14912</v>
      </c>
      <c r="M3667" s="1">
        <f t="shared" si="288"/>
        <v>122.11470017978998</v>
      </c>
      <c r="N3667" s="7">
        <f t="shared" si="289"/>
        <v>122.11470017978998</v>
      </c>
    </row>
    <row r="3668" spans="1:14" x14ac:dyDescent="0.25">
      <c r="A3668" t="str">
        <f>"14:51:30.867"</f>
        <v>14:51:30.867</v>
      </c>
      <c r="B3668">
        <v>40.433357000000001</v>
      </c>
      <c r="C3668">
        <v>-74.454667999999998</v>
      </c>
      <c r="D3668">
        <v>1700</v>
      </c>
      <c r="E3668">
        <v>1900</v>
      </c>
      <c r="F3668">
        <v>104</v>
      </c>
      <c r="G3668">
        <v>64</v>
      </c>
      <c r="H3668">
        <v>0</v>
      </c>
      <c r="J3668" s="1">
        <f t="shared" si="285"/>
        <v>10816</v>
      </c>
      <c r="K3668" s="1">
        <f t="shared" si="286"/>
        <v>4096</v>
      </c>
      <c r="L3668" s="1">
        <f t="shared" si="287"/>
        <v>14912</v>
      </c>
      <c r="M3668" s="1">
        <f t="shared" si="288"/>
        <v>122.11470017978998</v>
      </c>
      <c r="N3668" s="7">
        <f t="shared" si="289"/>
        <v>122.11470017978998</v>
      </c>
    </row>
    <row r="3669" spans="1:14" x14ac:dyDescent="0.25">
      <c r="A3669" t="str">
        <f>"14:51:31.922"</f>
        <v>14:51:31.922</v>
      </c>
      <c r="B3669">
        <v>40.433722000000003</v>
      </c>
      <c r="C3669">
        <v>-74.453980999999999</v>
      </c>
      <c r="D3669">
        <v>1700</v>
      </c>
      <c r="E3669">
        <v>1900</v>
      </c>
      <c r="F3669">
        <v>104</v>
      </c>
      <c r="G3669">
        <v>64</v>
      </c>
      <c r="H3669">
        <v>0</v>
      </c>
      <c r="J3669" s="1">
        <f t="shared" si="285"/>
        <v>10816</v>
      </c>
      <c r="K3669" s="1">
        <f t="shared" si="286"/>
        <v>4096</v>
      </c>
      <c r="L3669" s="1">
        <f t="shared" si="287"/>
        <v>14912</v>
      </c>
      <c r="M3669" s="1">
        <f t="shared" si="288"/>
        <v>122.11470017978998</v>
      </c>
      <c r="N3669" s="7">
        <f t="shared" si="289"/>
        <v>122.11470017978998</v>
      </c>
    </row>
    <row r="3670" spans="1:14" x14ac:dyDescent="0.25">
      <c r="A3670" t="str">
        <f>"14:51:32.984"</f>
        <v>14:51:32.984</v>
      </c>
      <c r="B3670">
        <v>40.433999999999997</v>
      </c>
      <c r="C3670">
        <v>-74.453359000000006</v>
      </c>
      <c r="D3670">
        <v>1700</v>
      </c>
      <c r="E3670">
        <v>1900</v>
      </c>
      <c r="F3670">
        <v>104</v>
      </c>
      <c r="G3670">
        <v>64</v>
      </c>
      <c r="H3670">
        <v>0</v>
      </c>
      <c r="J3670" s="1">
        <f t="shared" si="285"/>
        <v>10816</v>
      </c>
      <c r="K3670" s="1">
        <f t="shared" si="286"/>
        <v>4096</v>
      </c>
      <c r="L3670" s="1">
        <f t="shared" si="287"/>
        <v>14912</v>
      </c>
      <c r="M3670" s="1">
        <f t="shared" si="288"/>
        <v>122.11470017978998</v>
      </c>
      <c r="N3670" s="7">
        <f t="shared" si="289"/>
        <v>122.11470017978998</v>
      </c>
    </row>
    <row r="3671" spans="1:14" x14ac:dyDescent="0.25">
      <c r="A3671" t="str">
        <f>"14:51:34.047"</f>
        <v>14:51:34.047</v>
      </c>
      <c r="B3671">
        <v>40.434344000000003</v>
      </c>
      <c r="C3671">
        <v>-74.452651000000003</v>
      </c>
      <c r="D3671">
        <v>1700</v>
      </c>
      <c r="E3671">
        <v>1900</v>
      </c>
      <c r="F3671">
        <v>104</v>
      </c>
      <c r="G3671">
        <v>64</v>
      </c>
      <c r="H3671">
        <v>0</v>
      </c>
      <c r="J3671" s="1">
        <f t="shared" si="285"/>
        <v>10816</v>
      </c>
      <c r="K3671" s="1">
        <f t="shared" si="286"/>
        <v>4096</v>
      </c>
      <c r="L3671" s="1">
        <f t="shared" si="287"/>
        <v>14912</v>
      </c>
      <c r="M3671" s="1">
        <f t="shared" si="288"/>
        <v>122.11470017978998</v>
      </c>
      <c r="N3671" s="7">
        <f t="shared" si="289"/>
        <v>122.11470017978998</v>
      </c>
    </row>
    <row r="3672" spans="1:14" x14ac:dyDescent="0.25">
      <c r="A3672" t="str">
        <f>"14:51:35.055"</f>
        <v>14:51:35.055</v>
      </c>
      <c r="B3672">
        <v>40.434623000000002</v>
      </c>
      <c r="C3672">
        <v>-74.452027999999999</v>
      </c>
      <c r="D3672">
        <v>1700</v>
      </c>
      <c r="E3672">
        <v>1900</v>
      </c>
      <c r="F3672">
        <v>104</v>
      </c>
      <c r="G3672">
        <v>64</v>
      </c>
      <c r="H3672">
        <v>0</v>
      </c>
      <c r="J3672" s="1">
        <f t="shared" si="285"/>
        <v>10816</v>
      </c>
      <c r="K3672" s="1">
        <f t="shared" si="286"/>
        <v>4096</v>
      </c>
      <c r="L3672" s="1">
        <f t="shared" si="287"/>
        <v>14912</v>
      </c>
      <c r="M3672" s="1">
        <f t="shared" si="288"/>
        <v>122.11470017978998</v>
      </c>
      <c r="N3672" s="7">
        <f t="shared" si="289"/>
        <v>122.11470017978998</v>
      </c>
    </row>
    <row r="3673" spans="1:14" x14ac:dyDescent="0.25">
      <c r="A3673" t="str">
        <f>"14:51:36.063"</f>
        <v>14:51:36.063</v>
      </c>
      <c r="B3673">
        <v>40.434902000000001</v>
      </c>
      <c r="C3673">
        <v>-74.451406000000006</v>
      </c>
      <c r="D3673">
        <v>1700</v>
      </c>
      <c r="E3673">
        <v>1900</v>
      </c>
      <c r="F3673">
        <v>104</v>
      </c>
      <c r="G3673">
        <v>63</v>
      </c>
      <c r="H3673">
        <v>0</v>
      </c>
      <c r="J3673" s="1">
        <f t="shared" si="285"/>
        <v>10816</v>
      </c>
      <c r="K3673" s="1">
        <f t="shared" si="286"/>
        <v>3969</v>
      </c>
      <c r="L3673" s="1">
        <f t="shared" si="287"/>
        <v>14785</v>
      </c>
      <c r="M3673" s="1">
        <f t="shared" si="288"/>
        <v>121.59358535712317</v>
      </c>
      <c r="N3673" s="7">
        <f t="shared" si="289"/>
        <v>121.59358535712317</v>
      </c>
    </row>
    <row r="3674" spans="1:14" x14ac:dyDescent="0.25">
      <c r="A3674" t="str">
        <f>"14:51:37.078"</f>
        <v>14:51:37.078</v>
      </c>
      <c r="B3674">
        <v>40.435223999999998</v>
      </c>
      <c r="C3674">
        <v>-74.450783999999999</v>
      </c>
      <c r="D3674">
        <v>1700</v>
      </c>
      <c r="E3674">
        <v>1900</v>
      </c>
      <c r="F3674">
        <v>104</v>
      </c>
      <c r="G3674">
        <v>63</v>
      </c>
      <c r="H3674">
        <v>0</v>
      </c>
      <c r="J3674" s="1">
        <f t="shared" si="285"/>
        <v>10816</v>
      </c>
      <c r="K3674" s="1">
        <f t="shared" si="286"/>
        <v>3969</v>
      </c>
      <c r="L3674" s="1">
        <f t="shared" si="287"/>
        <v>14785</v>
      </c>
      <c r="M3674" s="1">
        <f t="shared" si="288"/>
        <v>121.59358535712317</v>
      </c>
      <c r="N3674" s="7">
        <f t="shared" si="289"/>
        <v>121.59358535712317</v>
      </c>
    </row>
    <row r="3675" spans="1:14" x14ac:dyDescent="0.25">
      <c r="A3675" t="str">
        <f>"14:51:37.938"</f>
        <v>14:51:37.938</v>
      </c>
      <c r="B3675">
        <v>40.435459999999999</v>
      </c>
      <c r="C3675">
        <v>-74.450203999999999</v>
      </c>
      <c r="D3675">
        <v>1700</v>
      </c>
      <c r="E3675">
        <v>1900</v>
      </c>
      <c r="F3675">
        <v>104</v>
      </c>
      <c r="G3675">
        <v>63</v>
      </c>
      <c r="H3675">
        <v>0</v>
      </c>
      <c r="J3675" s="1">
        <f t="shared" si="285"/>
        <v>10816</v>
      </c>
      <c r="K3675" s="1">
        <f t="shared" si="286"/>
        <v>3969</v>
      </c>
      <c r="L3675" s="1">
        <f t="shared" si="287"/>
        <v>14785</v>
      </c>
      <c r="M3675" s="1">
        <f t="shared" si="288"/>
        <v>121.59358535712317</v>
      </c>
      <c r="N3675" s="7">
        <f t="shared" si="289"/>
        <v>121.59358535712317</v>
      </c>
    </row>
    <row r="3676" spans="1:14" x14ac:dyDescent="0.25">
      <c r="A3676" t="str">
        <f>"14:51:38.992"</f>
        <v>14:51:38.992</v>
      </c>
      <c r="B3676">
        <v>40.435780999999999</v>
      </c>
      <c r="C3676">
        <v>-74.449582000000007</v>
      </c>
      <c r="D3676">
        <v>1700</v>
      </c>
      <c r="E3676">
        <v>1900</v>
      </c>
      <c r="F3676">
        <v>105</v>
      </c>
      <c r="G3676">
        <v>63</v>
      </c>
      <c r="H3676">
        <v>0</v>
      </c>
      <c r="J3676" s="1">
        <f t="shared" si="285"/>
        <v>11025</v>
      </c>
      <c r="K3676" s="1">
        <f t="shared" si="286"/>
        <v>3969</v>
      </c>
      <c r="L3676" s="1">
        <f t="shared" si="287"/>
        <v>14994</v>
      </c>
      <c r="M3676" s="1">
        <f t="shared" si="288"/>
        <v>122.44998979175131</v>
      </c>
      <c r="N3676" s="7">
        <f t="shared" si="289"/>
        <v>122.44998979175131</v>
      </c>
    </row>
    <row r="3677" spans="1:14" x14ac:dyDescent="0.25">
      <c r="A3677" t="str">
        <f>"14:51:40.008"</f>
        <v>14:51:40.008</v>
      </c>
      <c r="B3677">
        <v>40.436059999999998</v>
      </c>
      <c r="C3677">
        <v>-74.448916999999994</v>
      </c>
      <c r="D3677">
        <v>1700</v>
      </c>
      <c r="E3677">
        <v>1900</v>
      </c>
      <c r="F3677">
        <v>105</v>
      </c>
      <c r="G3677">
        <v>62</v>
      </c>
      <c r="H3677">
        <v>0</v>
      </c>
      <c r="J3677" s="1">
        <f t="shared" si="285"/>
        <v>11025</v>
      </c>
      <c r="K3677" s="1">
        <f t="shared" si="286"/>
        <v>3844</v>
      </c>
      <c r="L3677" s="1">
        <f t="shared" si="287"/>
        <v>14869</v>
      </c>
      <c r="M3677" s="1">
        <f t="shared" si="288"/>
        <v>121.93850909372314</v>
      </c>
      <c r="N3677" s="7">
        <f t="shared" si="289"/>
        <v>121.93850909372314</v>
      </c>
    </row>
    <row r="3678" spans="1:14" x14ac:dyDescent="0.25">
      <c r="A3678" t="str">
        <f>"14:51:40.859"</f>
        <v>14:51:40.859</v>
      </c>
      <c r="B3678">
        <v>40.436295999999999</v>
      </c>
      <c r="C3678">
        <v>-74.448358999999996</v>
      </c>
      <c r="D3678">
        <v>1700</v>
      </c>
      <c r="E3678">
        <v>1900</v>
      </c>
      <c r="F3678">
        <v>105</v>
      </c>
      <c r="G3678">
        <v>62</v>
      </c>
      <c r="H3678">
        <v>-64</v>
      </c>
      <c r="J3678" s="1">
        <f t="shared" si="285"/>
        <v>11025</v>
      </c>
      <c r="K3678" s="1">
        <f t="shared" si="286"/>
        <v>3844</v>
      </c>
      <c r="L3678" s="1">
        <f t="shared" si="287"/>
        <v>14869</v>
      </c>
      <c r="M3678" s="1">
        <f t="shared" si="288"/>
        <v>121.93850909372314</v>
      </c>
      <c r="N3678" s="7">
        <f t="shared" si="289"/>
        <v>121.93850909372314</v>
      </c>
    </row>
    <row r="3679" spans="1:14" x14ac:dyDescent="0.25">
      <c r="A3679" t="str">
        <f>"14:51:41.773"</f>
        <v>14:51:41.773</v>
      </c>
      <c r="B3679">
        <v>40.436554000000001</v>
      </c>
      <c r="C3679">
        <v>-74.447757999999993</v>
      </c>
      <c r="D3679">
        <v>1700</v>
      </c>
      <c r="E3679">
        <v>1900</v>
      </c>
      <c r="F3679">
        <v>105</v>
      </c>
      <c r="G3679">
        <v>61</v>
      </c>
      <c r="H3679">
        <v>0</v>
      </c>
      <c r="J3679" s="1">
        <f t="shared" si="285"/>
        <v>11025</v>
      </c>
      <c r="K3679" s="1">
        <f t="shared" si="286"/>
        <v>3721</v>
      </c>
      <c r="L3679" s="1">
        <f t="shared" si="287"/>
        <v>14746</v>
      </c>
      <c r="M3679" s="1">
        <f t="shared" si="288"/>
        <v>121.43310915891102</v>
      </c>
      <c r="N3679" s="7">
        <f t="shared" si="289"/>
        <v>121.43310915891102</v>
      </c>
    </row>
    <row r="3680" spans="1:14" x14ac:dyDescent="0.25">
      <c r="A3680" t="str">
        <f>"14:51:42.734"</f>
        <v>14:51:42.734</v>
      </c>
      <c r="B3680">
        <v>40.436833</v>
      </c>
      <c r="C3680">
        <v>-74.447136</v>
      </c>
      <c r="D3680">
        <v>1700</v>
      </c>
      <c r="E3680">
        <v>1900</v>
      </c>
      <c r="F3680">
        <v>105</v>
      </c>
      <c r="G3680">
        <v>61</v>
      </c>
      <c r="H3680">
        <v>0</v>
      </c>
      <c r="J3680" s="1">
        <f t="shared" si="285"/>
        <v>11025</v>
      </c>
      <c r="K3680" s="1">
        <f t="shared" si="286"/>
        <v>3721</v>
      </c>
      <c r="L3680" s="1">
        <f t="shared" si="287"/>
        <v>14746</v>
      </c>
      <c r="M3680" s="1">
        <f t="shared" si="288"/>
        <v>121.43310915891102</v>
      </c>
      <c r="N3680" s="7">
        <f t="shared" si="289"/>
        <v>121.43310915891102</v>
      </c>
    </row>
    <row r="3681" spans="1:14" x14ac:dyDescent="0.25">
      <c r="A3681" t="str">
        <f>"14:51:43.789"</f>
        <v>14:51:43.789</v>
      </c>
      <c r="B3681">
        <v>40.437111999999999</v>
      </c>
      <c r="C3681">
        <v>-74.446471000000003</v>
      </c>
      <c r="D3681">
        <v>1700</v>
      </c>
      <c r="E3681">
        <v>1900</v>
      </c>
      <c r="F3681">
        <v>106</v>
      </c>
      <c r="G3681">
        <v>60</v>
      </c>
      <c r="H3681">
        <v>0</v>
      </c>
      <c r="J3681" s="1">
        <f t="shared" si="285"/>
        <v>11236</v>
      </c>
      <c r="K3681" s="1">
        <f t="shared" si="286"/>
        <v>3600</v>
      </c>
      <c r="L3681" s="1">
        <f t="shared" si="287"/>
        <v>14836</v>
      </c>
      <c r="M3681" s="1">
        <f t="shared" si="288"/>
        <v>121.80311982868091</v>
      </c>
      <c r="N3681" s="7">
        <f t="shared" si="289"/>
        <v>121.80311982868091</v>
      </c>
    </row>
    <row r="3682" spans="1:14" x14ac:dyDescent="0.25">
      <c r="A3682" t="str">
        <f>"14:51:44.953"</f>
        <v>14:51:44.953</v>
      </c>
      <c r="B3682">
        <v>40.437477000000001</v>
      </c>
      <c r="C3682">
        <v>-74.445740999999998</v>
      </c>
      <c r="D3682">
        <v>1700</v>
      </c>
      <c r="E3682">
        <v>1900</v>
      </c>
      <c r="F3682">
        <v>106</v>
      </c>
      <c r="G3682">
        <v>60</v>
      </c>
      <c r="H3682">
        <v>0</v>
      </c>
      <c r="J3682" s="1">
        <f t="shared" si="285"/>
        <v>11236</v>
      </c>
      <c r="K3682" s="1">
        <f t="shared" si="286"/>
        <v>3600</v>
      </c>
      <c r="L3682" s="1">
        <f t="shared" si="287"/>
        <v>14836</v>
      </c>
      <c r="M3682" s="1">
        <f t="shared" si="288"/>
        <v>121.80311982868091</v>
      </c>
      <c r="N3682" s="7">
        <f t="shared" si="289"/>
        <v>121.80311982868091</v>
      </c>
    </row>
    <row r="3683" spans="1:14" x14ac:dyDescent="0.25">
      <c r="A3683" t="str">
        <f>"14:51:45.914"</f>
        <v>14:51:45.914</v>
      </c>
      <c r="B3683">
        <v>40.437733999999999</v>
      </c>
      <c r="C3683">
        <v>-74.445076</v>
      </c>
      <c r="D3683">
        <v>1700</v>
      </c>
      <c r="E3683">
        <v>1900</v>
      </c>
      <c r="F3683">
        <v>106</v>
      </c>
      <c r="G3683">
        <v>59</v>
      </c>
      <c r="H3683">
        <v>0</v>
      </c>
      <c r="J3683" s="1">
        <f t="shared" si="285"/>
        <v>11236</v>
      </c>
      <c r="K3683" s="1">
        <f t="shared" si="286"/>
        <v>3481</v>
      </c>
      <c r="L3683" s="1">
        <f t="shared" si="287"/>
        <v>14717</v>
      </c>
      <c r="M3683" s="1">
        <f t="shared" si="288"/>
        <v>121.31364309095659</v>
      </c>
      <c r="N3683" s="7">
        <f t="shared" si="289"/>
        <v>121.31364309095659</v>
      </c>
    </row>
    <row r="3684" spans="1:14" x14ac:dyDescent="0.25">
      <c r="A3684" t="str">
        <f>"14:51:46.773"</f>
        <v>14:51:46.773</v>
      </c>
      <c r="B3684">
        <v>40.437927000000002</v>
      </c>
      <c r="C3684">
        <v>-74.444581999999997</v>
      </c>
      <c r="D3684">
        <v>1700</v>
      </c>
      <c r="E3684">
        <v>1900</v>
      </c>
      <c r="F3684">
        <v>106</v>
      </c>
      <c r="G3684">
        <v>59</v>
      </c>
      <c r="H3684">
        <v>0</v>
      </c>
      <c r="J3684" s="1">
        <f t="shared" si="285"/>
        <v>11236</v>
      </c>
      <c r="K3684" s="1">
        <f t="shared" si="286"/>
        <v>3481</v>
      </c>
      <c r="L3684" s="1">
        <f t="shared" si="287"/>
        <v>14717</v>
      </c>
      <c r="M3684" s="1">
        <f t="shared" si="288"/>
        <v>121.31364309095659</v>
      </c>
      <c r="N3684" s="7">
        <f t="shared" si="289"/>
        <v>121.31364309095659</v>
      </c>
    </row>
    <row r="3685" spans="1:14" x14ac:dyDescent="0.25">
      <c r="A3685" t="str">
        <f>"14:51:47.781"</f>
        <v>14:51:47.781</v>
      </c>
      <c r="B3685">
        <v>40.438206000000001</v>
      </c>
      <c r="C3685">
        <v>-74.443916999999999</v>
      </c>
      <c r="D3685">
        <v>1700</v>
      </c>
      <c r="E3685">
        <v>1900</v>
      </c>
      <c r="F3685">
        <v>106</v>
      </c>
      <c r="G3685">
        <v>59</v>
      </c>
      <c r="H3685">
        <v>0</v>
      </c>
      <c r="J3685" s="1">
        <f t="shared" si="285"/>
        <v>11236</v>
      </c>
      <c r="K3685" s="1">
        <f t="shared" si="286"/>
        <v>3481</v>
      </c>
      <c r="L3685" s="1">
        <f t="shared" si="287"/>
        <v>14717</v>
      </c>
      <c r="M3685" s="1">
        <f t="shared" si="288"/>
        <v>121.31364309095659</v>
      </c>
      <c r="N3685" s="7">
        <f t="shared" si="289"/>
        <v>121.31364309095659</v>
      </c>
    </row>
    <row r="3686" spans="1:14" x14ac:dyDescent="0.25">
      <c r="A3686" t="str">
        <f>"14:51:48.844"</f>
        <v>14:51:48.844</v>
      </c>
      <c r="B3686">
        <v>40.438485</v>
      </c>
      <c r="C3686">
        <v>-74.443230999999997</v>
      </c>
      <c r="D3686">
        <v>1700</v>
      </c>
      <c r="E3686">
        <v>1900</v>
      </c>
      <c r="F3686">
        <v>106</v>
      </c>
      <c r="G3686">
        <v>58</v>
      </c>
      <c r="H3686">
        <v>0</v>
      </c>
      <c r="J3686" s="1">
        <f t="shared" si="285"/>
        <v>11236</v>
      </c>
      <c r="K3686" s="1">
        <f t="shared" si="286"/>
        <v>3364</v>
      </c>
      <c r="L3686" s="1">
        <f t="shared" si="287"/>
        <v>14600</v>
      </c>
      <c r="M3686" s="1">
        <f t="shared" si="288"/>
        <v>120.83045973594572</v>
      </c>
      <c r="N3686" s="7">
        <f t="shared" si="289"/>
        <v>120.83045973594572</v>
      </c>
    </row>
    <row r="3687" spans="1:14" x14ac:dyDescent="0.25">
      <c r="A3687" t="str">
        <f>"14:51:49.953"</f>
        <v>14:51:49.953</v>
      </c>
      <c r="B3687">
        <v>40.438806999999997</v>
      </c>
      <c r="C3687">
        <v>-74.442500999999993</v>
      </c>
      <c r="D3687">
        <v>1700</v>
      </c>
      <c r="E3687">
        <v>1900</v>
      </c>
      <c r="F3687">
        <v>106</v>
      </c>
      <c r="G3687">
        <v>58</v>
      </c>
      <c r="H3687">
        <v>-64</v>
      </c>
      <c r="J3687" s="1">
        <f t="shared" si="285"/>
        <v>11236</v>
      </c>
      <c r="K3687" s="1">
        <f t="shared" si="286"/>
        <v>3364</v>
      </c>
      <c r="L3687" s="1">
        <f t="shared" si="287"/>
        <v>14600</v>
      </c>
      <c r="M3687" s="1">
        <f t="shared" si="288"/>
        <v>120.83045973594572</v>
      </c>
      <c r="N3687" s="7">
        <f t="shared" si="289"/>
        <v>120.83045973594572</v>
      </c>
    </row>
    <row r="3688" spans="1:14" x14ac:dyDescent="0.25">
      <c r="A3688" t="str">
        <f>"14:51:50.961"</f>
        <v>14:51:50.961</v>
      </c>
      <c r="B3688">
        <v>40.439064999999999</v>
      </c>
      <c r="C3688">
        <v>-74.441900000000004</v>
      </c>
      <c r="D3688">
        <v>1700</v>
      </c>
      <c r="E3688">
        <v>1900</v>
      </c>
      <c r="F3688">
        <v>106</v>
      </c>
      <c r="G3688">
        <v>58</v>
      </c>
      <c r="H3688">
        <v>0</v>
      </c>
      <c r="J3688" s="1">
        <f t="shared" si="285"/>
        <v>11236</v>
      </c>
      <c r="K3688" s="1">
        <f t="shared" si="286"/>
        <v>3364</v>
      </c>
      <c r="L3688" s="1">
        <f t="shared" si="287"/>
        <v>14600</v>
      </c>
      <c r="M3688" s="1">
        <f t="shared" si="288"/>
        <v>120.83045973594572</v>
      </c>
      <c r="N3688" s="7">
        <f t="shared" si="289"/>
        <v>120.83045973594572</v>
      </c>
    </row>
    <row r="3689" spans="1:14" x14ac:dyDescent="0.25">
      <c r="A3689" t="str">
        <f>"14:51:51.867"</f>
        <v>14:51:51.867</v>
      </c>
      <c r="B3689">
        <v>40.439321999999997</v>
      </c>
      <c r="C3689">
        <v>-74.441299000000001</v>
      </c>
      <c r="D3689">
        <v>1700</v>
      </c>
      <c r="E3689">
        <v>1900</v>
      </c>
      <c r="F3689">
        <v>106</v>
      </c>
      <c r="G3689">
        <v>58</v>
      </c>
      <c r="H3689">
        <v>0</v>
      </c>
      <c r="J3689" s="1">
        <f t="shared" si="285"/>
        <v>11236</v>
      </c>
      <c r="K3689" s="1">
        <f t="shared" si="286"/>
        <v>3364</v>
      </c>
      <c r="L3689" s="1">
        <f t="shared" si="287"/>
        <v>14600</v>
      </c>
      <c r="M3689" s="1">
        <f t="shared" si="288"/>
        <v>120.83045973594572</v>
      </c>
      <c r="N3689" s="7">
        <f t="shared" si="289"/>
        <v>120.83045973594572</v>
      </c>
    </row>
    <row r="3690" spans="1:14" x14ac:dyDescent="0.25">
      <c r="A3690" t="str">
        <f>"14:51:53.438"</f>
        <v>14:51:53.438</v>
      </c>
      <c r="B3690">
        <v>40.439751000000001</v>
      </c>
      <c r="C3690">
        <v>-74.440247999999997</v>
      </c>
      <c r="D3690">
        <v>1700</v>
      </c>
      <c r="E3690">
        <v>1900</v>
      </c>
      <c r="F3690">
        <v>106</v>
      </c>
      <c r="G3690">
        <v>57</v>
      </c>
      <c r="H3690">
        <v>0</v>
      </c>
      <c r="J3690" s="1">
        <f t="shared" si="285"/>
        <v>11236</v>
      </c>
      <c r="K3690" s="1">
        <f t="shared" si="286"/>
        <v>3249</v>
      </c>
      <c r="L3690" s="1">
        <f t="shared" si="287"/>
        <v>14485</v>
      </c>
      <c r="M3690" s="1">
        <f t="shared" si="288"/>
        <v>120.3536455617361</v>
      </c>
      <c r="N3690" s="7">
        <f t="shared" si="289"/>
        <v>120.3536455617361</v>
      </c>
    </row>
    <row r="3691" spans="1:14" x14ac:dyDescent="0.25">
      <c r="A3691" t="str">
        <f>"14:51:54.398"</f>
        <v>14:51:54.398</v>
      </c>
      <c r="B3691">
        <v>40.439987000000002</v>
      </c>
      <c r="C3691">
        <v>-74.439689999999999</v>
      </c>
      <c r="D3691">
        <v>1700</v>
      </c>
      <c r="E3691">
        <v>1900</v>
      </c>
      <c r="F3691">
        <v>106</v>
      </c>
      <c r="G3691">
        <v>57</v>
      </c>
      <c r="H3691">
        <v>0</v>
      </c>
      <c r="J3691" s="1">
        <f t="shared" si="285"/>
        <v>11236</v>
      </c>
      <c r="K3691" s="1">
        <f t="shared" si="286"/>
        <v>3249</v>
      </c>
      <c r="L3691" s="1">
        <f t="shared" si="287"/>
        <v>14485</v>
      </c>
      <c r="M3691" s="1">
        <f t="shared" si="288"/>
        <v>120.3536455617361</v>
      </c>
      <c r="N3691" s="7">
        <f t="shared" si="289"/>
        <v>120.3536455617361</v>
      </c>
    </row>
    <row r="3692" spans="1:14" x14ac:dyDescent="0.25">
      <c r="A3692" t="str">
        <f>"14:51:55.406"</f>
        <v>14:51:55.406</v>
      </c>
      <c r="B3692">
        <v>40.440266000000001</v>
      </c>
      <c r="C3692">
        <v>-74.439025000000001</v>
      </c>
      <c r="D3692">
        <v>1700</v>
      </c>
      <c r="E3692">
        <v>1900</v>
      </c>
      <c r="F3692">
        <v>106</v>
      </c>
      <c r="G3692">
        <v>57</v>
      </c>
      <c r="H3692">
        <v>0</v>
      </c>
      <c r="J3692" s="1">
        <f t="shared" si="285"/>
        <v>11236</v>
      </c>
      <c r="K3692" s="1">
        <f t="shared" si="286"/>
        <v>3249</v>
      </c>
      <c r="L3692" s="1">
        <f t="shared" si="287"/>
        <v>14485</v>
      </c>
      <c r="M3692" s="1">
        <f t="shared" si="288"/>
        <v>120.3536455617361</v>
      </c>
      <c r="N3692" s="7">
        <f t="shared" si="289"/>
        <v>120.3536455617361</v>
      </c>
    </row>
    <row r="3693" spans="1:14" x14ac:dyDescent="0.25">
      <c r="A3693" t="str">
        <f>"14:51:56.313"</f>
        <v>14:51:56.313</v>
      </c>
      <c r="B3693">
        <v>40.440480999999998</v>
      </c>
      <c r="C3693">
        <v>-74.438360000000003</v>
      </c>
      <c r="D3693">
        <v>1700</v>
      </c>
      <c r="E3693">
        <v>1900</v>
      </c>
      <c r="F3693">
        <v>106</v>
      </c>
      <c r="G3693">
        <v>58</v>
      </c>
      <c r="H3693">
        <v>0</v>
      </c>
      <c r="J3693" s="1">
        <f t="shared" si="285"/>
        <v>11236</v>
      </c>
      <c r="K3693" s="1">
        <f t="shared" si="286"/>
        <v>3364</v>
      </c>
      <c r="L3693" s="1">
        <f t="shared" si="287"/>
        <v>14600</v>
      </c>
      <c r="M3693" s="1">
        <f t="shared" si="288"/>
        <v>120.83045973594572</v>
      </c>
      <c r="N3693" s="7">
        <f t="shared" si="289"/>
        <v>120.83045973594572</v>
      </c>
    </row>
    <row r="3694" spans="1:14" x14ac:dyDescent="0.25">
      <c r="A3694" t="str">
        <f>"14:51:57.172"</f>
        <v>14:51:57.172</v>
      </c>
      <c r="B3694">
        <v>40.440716999999999</v>
      </c>
      <c r="C3694">
        <v>-74.437866</v>
      </c>
      <c r="D3694">
        <v>1700</v>
      </c>
      <c r="E3694">
        <v>1900</v>
      </c>
      <c r="F3694">
        <v>106</v>
      </c>
      <c r="G3694">
        <v>58</v>
      </c>
      <c r="H3694">
        <v>0</v>
      </c>
      <c r="J3694" s="1">
        <f t="shared" si="285"/>
        <v>11236</v>
      </c>
      <c r="K3694" s="1">
        <f t="shared" si="286"/>
        <v>3364</v>
      </c>
      <c r="L3694" s="1">
        <f t="shared" si="287"/>
        <v>14600</v>
      </c>
      <c r="M3694" s="1">
        <f t="shared" si="288"/>
        <v>120.83045973594572</v>
      </c>
      <c r="N3694" s="7">
        <f t="shared" si="289"/>
        <v>120.83045973594572</v>
      </c>
    </row>
    <row r="3695" spans="1:14" x14ac:dyDescent="0.25">
      <c r="A3695" t="str">
        <f>"14:51:58.078"</f>
        <v>14:51:58.078</v>
      </c>
      <c r="B3695">
        <v>40.440953</v>
      </c>
      <c r="C3695">
        <v>-74.437308000000002</v>
      </c>
      <c r="D3695">
        <v>1700</v>
      </c>
      <c r="E3695">
        <v>1900</v>
      </c>
      <c r="F3695">
        <v>106</v>
      </c>
      <c r="G3695">
        <v>58</v>
      </c>
      <c r="H3695">
        <v>0</v>
      </c>
      <c r="J3695" s="1">
        <f t="shared" si="285"/>
        <v>11236</v>
      </c>
      <c r="K3695" s="1">
        <f t="shared" si="286"/>
        <v>3364</v>
      </c>
      <c r="L3695" s="1">
        <f t="shared" si="287"/>
        <v>14600</v>
      </c>
      <c r="M3695" s="1">
        <f t="shared" si="288"/>
        <v>120.83045973594572</v>
      </c>
      <c r="N3695" s="7">
        <f t="shared" si="289"/>
        <v>120.83045973594572</v>
      </c>
    </row>
    <row r="3696" spans="1:14" x14ac:dyDescent="0.25">
      <c r="A3696" t="str">
        <f>"14:51:58.992"</f>
        <v>14:51:58.992</v>
      </c>
      <c r="B3696">
        <v>40.441231999999999</v>
      </c>
      <c r="C3696">
        <v>-74.436706999999998</v>
      </c>
      <c r="D3696">
        <v>1700</v>
      </c>
      <c r="E3696">
        <v>1900</v>
      </c>
      <c r="F3696">
        <v>106</v>
      </c>
      <c r="G3696">
        <v>58</v>
      </c>
      <c r="H3696">
        <v>0</v>
      </c>
      <c r="J3696" s="1">
        <f t="shared" si="285"/>
        <v>11236</v>
      </c>
      <c r="K3696" s="1">
        <f t="shared" si="286"/>
        <v>3364</v>
      </c>
      <c r="L3696" s="1">
        <f t="shared" si="287"/>
        <v>14600</v>
      </c>
      <c r="M3696" s="1">
        <f t="shared" si="288"/>
        <v>120.83045973594572</v>
      </c>
      <c r="N3696" s="7">
        <f t="shared" si="289"/>
        <v>120.83045973594572</v>
      </c>
    </row>
    <row r="3697" spans="1:14" x14ac:dyDescent="0.25">
      <c r="A3697" t="str">
        <f>"14:52:00.000"</f>
        <v>14:52:00.000</v>
      </c>
      <c r="B3697">
        <v>40.441445999999999</v>
      </c>
      <c r="C3697">
        <v>-74.436107000000007</v>
      </c>
      <c r="D3697">
        <v>1700</v>
      </c>
      <c r="E3697">
        <v>1900</v>
      </c>
      <c r="F3697">
        <v>106</v>
      </c>
      <c r="G3697">
        <v>58</v>
      </c>
      <c r="H3697">
        <v>0</v>
      </c>
      <c r="J3697" s="1">
        <f t="shared" si="285"/>
        <v>11236</v>
      </c>
      <c r="K3697" s="1">
        <f t="shared" si="286"/>
        <v>3364</v>
      </c>
      <c r="L3697" s="1">
        <f t="shared" si="287"/>
        <v>14600</v>
      </c>
      <c r="M3697" s="1">
        <f t="shared" si="288"/>
        <v>120.83045973594572</v>
      </c>
      <c r="N3697" s="7">
        <f t="shared" si="289"/>
        <v>120.83045973594572</v>
      </c>
    </row>
    <row r="3698" spans="1:14" x14ac:dyDescent="0.25">
      <c r="A3698" t="str">
        <f>"14:52:00.859"</f>
        <v>14:52:00.859</v>
      </c>
      <c r="B3698">
        <v>40.441704000000001</v>
      </c>
      <c r="C3698">
        <v>-74.435484000000002</v>
      </c>
      <c r="D3698">
        <v>1700</v>
      </c>
      <c r="E3698">
        <v>1900</v>
      </c>
      <c r="F3698">
        <v>106</v>
      </c>
      <c r="G3698">
        <v>58</v>
      </c>
      <c r="H3698">
        <v>64</v>
      </c>
      <c r="J3698" s="1">
        <f t="shared" si="285"/>
        <v>11236</v>
      </c>
      <c r="K3698" s="1">
        <f t="shared" si="286"/>
        <v>3364</v>
      </c>
      <c r="L3698" s="1">
        <f t="shared" si="287"/>
        <v>14600</v>
      </c>
      <c r="M3698" s="1">
        <f t="shared" si="288"/>
        <v>120.83045973594572</v>
      </c>
      <c r="N3698" s="7">
        <f t="shared" si="289"/>
        <v>120.83045973594572</v>
      </c>
    </row>
    <row r="3699" spans="1:14" x14ac:dyDescent="0.25">
      <c r="A3699" t="str">
        <f>"14:52:01.820"</f>
        <v>14:52:01.820</v>
      </c>
      <c r="B3699">
        <v>40.441960999999999</v>
      </c>
      <c r="C3699">
        <v>-74.434927000000002</v>
      </c>
      <c r="D3699">
        <v>1700</v>
      </c>
      <c r="E3699">
        <v>1900</v>
      </c>
      <c r="F3699">
        <v>105</v>
      </c>
      <c r="G3699">
        <v>58</v>
      </c>
      <c r="H3699">
        <v>192</v>
      </c>
      <c r="J3699" s="1">
        <f t="shared" si="285"/>
        <v>11025</v>
      </c>
      <c r="K3699" s="1">
        <f t="shared" si="286"/>
        <v>3364</v>
      </c>
      <c r="L3699" s="1">
        <f t="shared" si="287"/>
        <v>14389</v>
      </c>
      <c r="M3699" s="1">
        <f t="shared" si="288"/>
        <v>119.95415791042844</v>
      </c>
      <c r="N3699" s="7">
        <f t="shared" si="289"/>
        <v>119.95415791042844</v>
      </c>
    </row>
    <row r="3700" spans="1:14" x14ac:dyDescent="0.25">
      <c r="A3700" t="str">
        <f>"14:52:02.875"</f>
        <v>14:52:02.875</v>
      </c>
      <c r="B3700">
        <v>40.442261999999999</v>
      </c>
      <c r="C3700">
        <v>-74.434240000000003</v>
      </c>
      <c r="D3700">
        <v>1700</v>
      </c>
      <c r="E3700">
        <v>1900</v>
      </c>
      <c r="F3700">
        <v>104</v>
      </c>
      <c r="G3700">
        <v>57</v>
      </c>
      <c r="H3700">
        <v>384</v>
      </c>
      <c r="J3700" s="1">
        <f t="shared" si="285"/>
        <v>10816</v>
      </c>
      <c r="K3700" s="1">
        <f t="shared" si="286"/>
        <v>3249</v>
      </c>
      <c r="L3700" s="1">
        <f t="shared" si="287"/>
        <v>14065</v>
      </c>
      <c r="M3700" s="1">
        <f t="shared" si="288"/>
        <v>118.59595271340417</v>
      </c>
      <c r="N3700" s="7">
        <f t="shared" si="289"/>
        <v>118.59595271340417</v>
      </c>
    </row>
    <row r="3701" spans="1:14" x14ac:dyDescent="0.25">
      <c r="A3701" t="str">
        <f>"14:52:03.891"</f>
        <v>14:52:03.891</v>
      </c>
      <c r="B3701">
        <v>40.442498000000001</v>
      </c>
      <c r="C3701">
        <v>-74.433617999999996</v>
      </c>
      <c r="D3701">
        <v>1700</v>
      </c>
      <c r="E3701">
        <v>1900</v>
      </c>
      <c r="F3701">
        <v>104</v>
      </c>
      <c r="G3701">
        <v>57</v>
      </c>
      <c r="H3701">
        <v>384</v>
      </c>
      <c r="J3701" s="1">
        <f t="shared" si="285"/>
        <v>10816</v>
      </c>
      <c r="K3701" s="1">
        <f t="shared" si="286"/>
        <v>3249</v>
      </c>
      <c r="L3701" s="1">
        <f t="shared" si="287"/>
        <v>14065</v>
      </c>
      <c r="M3701" s="1">
        <f t="shared" si="288"/>
        <v>118.59595271340417</v>
      </c>
      <c r="N3701" s="7">
        <f t="shared" si="289"/>
        <v>118.59595271340417</v>
      </c>
    </row>
    <row r="3702" spans="1:14" x14ac:dyDescent="0.25">
      <c r="A3702" t="str">
        <f>"14:52:04.945"</f>
        <v>14:52:04.945</v>
      </c>
      <c r="B3702">
        <v>40.442777</v>
      </c>
      <c r="C3702">
        <v>-74.432930999999996</v>
      </c>
      <c r="D3702">
        <v>1700</v>
      </c>
      <c r="E3702">
        <v>1925</v>
      </c>
      <c r="F3702">
        <v>103</v>
      </c>
      <c r="G3702">
        <v>56</v>
      </c>
      <c r="H3702">
        <v>256</v>
      </c>
      <c r="J3702" s="1">
        <f t="shared" si="285"/>
        <v>10609</v>
      </c>
      <c r="K3702" s="1">
        <f t="shared" si="286"/>
        <v>3136</v>
      </c>
      <c r="L3702" s="1">
        <f t="shared" si="287"/>
        <v>13745</v>
      </c>
      <c r="M3702" s="1">
        <f t="shared" si="288"/>
        <v>117.23907198540937</v>
      </c>
      <c r="N3702" s="7">
        <f t="shared" si="289"/>
        <v>117.23907198540937</v>
      </c>
    </row>
    <row r="3703" spans="1:14" x14ac:dyDescent="0.25">
      <c r="A3703" t="str">
        <f>"14:52:05.805"</f>
        <v>14:52:05.805</v>
      </c>
      <c r="B3703">
        <v>40.443055999999999</v>
      </c>
      <c r="C3703">
        <v>-74.432372999999998</v>
      </c>
      <c r="D3703">
        <v>1700</v>
      </c>
      <c r="E3703">
        <v>1925</v>
      </c>
      <c r="F3703">
        <v>103</v>
      </c>
      <c r="G3703">
        <v>56</v>
      </c>
      <c r="H3703">
        <v>192</v>
      </c>
      <c r="J3703" s="1">
        <f t="shared" si="285"/>
        <v>10609</v>
      </c>
      <c r="K3703" s="1">
        <f t="shared" si="286"/>
        <v>3136</v>
      </c>
      <c r="L3703" s="1">
        <f t="shared" si="287"/>
        <v>13745</v>
      </c>
      <c r="M3703" s="1">
        <f t="shared" si="288"/>
        <v>117.23907198540937</v>
      </c>
      <c r="N3703" s="7">
        <f t="shared" si="289"/>
        <v>117.23907198540937</v>
      </c>
    </row>
    <row r="3704" spans="1:14" x14ac:dyDescent="0.25">
      <c r="A3704" t="str">
        <f>"14:52:06.719"</f>
        <v>14:52:06.719</v>
      </c>
      <c r="B3704">
        <v>40.443292</v>
      </c>
      <c r="C3704">
        <v>-74.431815</v>
      </c>
      <c r="D3704">
        <v>1700</v>
      </c>
      <c r="E3704">
        <v>1925</v>
      </c>
      <c r="F3704">
        <v>102</v>
      </c>
      <c r="G3704">
        <v>56</v>
      </c>
      <c r="H3704">
        <v>64</v>
      </c>
      <c r="J3704" s="1">
        <f t="shared" si="285"/>
        <v>10404</v>
      </c>
      <c r="K3704" s="1">
        <f t="shared" si="286"/>
        <v>3136</v>
      </c>
      <c r="L3704" s="1">
        <f t="shared" si="287"/>
        <v>13540</v>
      </c>
      <c r="M3704" s="1">
        <f t="shared" si="288"/>
        <v>116.36150566231085</v>
      </c>
      <c r="N3704" s="7">
        <f t="shared" si="289"/>
        <v>116.36150566231085</v>
      </c>
    </row>
    <row r="3705" spans="1:14" x14ac:dyDescent="0.25">
      <c r="A3705" t="str">
        <f>"14:52:07.625"</f>
        <v>14:52:07.625</v>
      </c>
      <c r="B3705">
        <v>40.443505999999999</v>
      </c>
      <c r="C3705">
        <v>-74.431257000000002</v>
      </c>
      <c r="D3705">
        <v>1700</v>
      </c>
      <c r="E3705">
        <v>1925</v>
      </c>
      <c r="F3705">
        <v>102</v>
      </c>
      <c r="G3705">
        <v>55</v>
      </c>
      <c r="H3705">
        <v>0</v>
      </c>
      <c r="J3705" s="1">
        <f t="shared" si="285"/>
        <v>10404</v>
      </c>
      <c r="K3705" s="1">
        <f t="shared" si="286"/>
        <v>3025</v>
      </c>
      <c r="L3705" s="1">
        <f t="shared" si="287"/>
        <v>13429</v>
      </c>
      <c r="M3705" s="1">
        <f t="shared" si="288"/>
        <v>115.88356225108029</v>
      </c>
      <c r="N3705" s="7">
        <f t="shared" si="289"/>
        <v>115.88356225108029</v>
      </c>
    </row>
    <row r="3706" spans="1:14" x14ac:dyDescent="0.25">
      <c r="A3706" t="str">
        <f>"14:52:08.633"</f>
        <v>14:52:08.633</v>
      </c>
      <c r="B3706">
        <v>40.443742</v>
      </c>
      <c r="C3706">
        <v>-74.430634999999995</v>
      </c>
      <c r="D3706">
        <v>1700</v>
      </c>
      <c r="E3706">
        <v>1925</v>
      </c>
      <c r="F3706">
        <v>102</v>
      </c>
      <c r="G3706">
        <v>55</v>
      </c>
      <c r="H3706">
        <v>-64</v>
      </c>
      <c r="J3706" s="1">
        <f t="shared" si="285"/>
        <v>10404</v>
      </c>
      <c r="K3706" s="1">
        <f t="shared" si="286"/>
        <v>3025</v>
      </c>
      <c r="L3706" s="1">
        <f t="shared" si="287"/>
        <v>13429</v>
      </c>
      <c r="M3706" s="1">
        <f t="shared" si="288"/>
        <v>115.88356225108029</v>
      </c>
      <c r="N3706" s="7">
        <f t="shared" si="289"/>
        <v>115.88356225108029</v>
      </c>
    </row>
    <row r="3707" spans="1:14" x14ac:dyDescent="0.25">
      <c r="A3707" t="str">
        <f>"14:52:09.797"</f>
        <v>14:52:09.797</v>
      </c>
      <c r="B3707">
        <v>40.444020999999999</v>
      </c>
      <c r="C3707">
        <v>-74.429927000000006</v>
      </c>
      <c r="D3707">
        <v>1700</v>
      </c>
      <c r="E3707">
        <v>1925</v>
      </c>
      <c r="F3707">
        <v>103</v>
      </c>
      <c r="G3707">
        <v>55</v>
      </c>
      <c r="H3707">
        <v>-128</v>
      </c>
      <c r="J3707" s="1">
        <f t="shared" si="285"/>
        <v>10609</v>
      </c>
      <c r="K3707" s="1">
        <f t="shared" si="286"/>
        <v>3025</v>
      </c>
      <c r="L3707" s="1">
        <f t="shared" si="287"/>
        <v>13634</v>
      </c>
      <c r="M3707" s="1">
        <f t="shared" si="288"/>
        <v>116.76472069936193</v>
      </c>
      <c r="N3707" s="7">
        <f t="shared" si="289"/>
        <v>116.76472069936193</v>
      </c>
    </row>
    <row r="3708" spans="1:14" x14ac:dyDescent="0.25">
      <c r="A3708" t="str">
        <f>"14:52:10.805"</f>
        <v>14:52:10.805</v>
      </c>
      <c r="B3708">
        <v>40.444299999999998</v>
      </c>
      <c r="C3708">
        <v>-74.429326000000003</v>
      </c>
      <c r="D3708">
        <v>1700</v>
      </c>
      <c r="E3708">
        <v>1925</v>
      </c>
      <c r="F3708">
        <v>103</v>
      </c>
      <c r="G3708">
        <v>55</v>
      </c>
      <c r="H3708">
        <v>-192</v>
      </c>
      <c r="J3708" s="1">
        <f t="shared" si="285"/>
        <v>10609</v>
      </c>
      <c r="K3708" s="1">
        <f t="shared" si="286"/>
        <v>3025</v>
      </c>
      <c r="L3708" s="1">
        <f t="shared" si="287"/>
        <v>13634</v>
      </c>
      <c r="M3708" s="1">
        <f t="shared" si="288"/>
        <v>116.76472069936193</v>
      </c>
      <c r="N3708" s="7">
        <f t="shared" si="289"/>
        <v>116.76472069936193</v>
      </c>
    </row>
    <row r="3709" spans="1:14" x14ac:dyDescent="0.25">
      <c r="A3709" t="str">
        <f>"14:52:11.813"</f>
        <v>14:52:11.813</v>
      </c>
      <c r="B3709">
        <v>40.444578999999997</v>
      </c>
      <c r="C3709">
        <v>-74.428618</v>
      </c>
      <c r="D3709">
        <v>1700</v>
      </c>
      <c r="E3709">
        <v>1900</v>
      </c>
      <c r="F3709">
        <v>103</v>
      </c>
      <c r="G3709">
        <v>55</v>
      </c>
      <c r="H3709">
        <v>-192</v>
      </c>
      <c r="J3709" s="1">
        <f t="shared" si="285"/>
        <v>10609</v>
      </c>
      <c r="K3709" s="1">
        <f t="shared" si="286"/>
        <v>3025</v>
      </c>
      <c r="L3709" s="1">
        <f t="shared" si="287"/>
        <v>13634</v>
      </c>
      <c r="M3709" s="1">
        <f t="shared" si="288"/>
        <v>116.76472069936193</v>
      </c>
      <c r="N3709" s="7">
        <f t="shared" si="289"/>
        <v>116.76472069936193</v>
      </c>
    </row>
    <row r="3710" spans="1:14" x14ac:dyDescent="0.25">
      <c r="A3710" t="str">
        <f>"14:52:12.828"</f>
        <v>14:52:12.828</v>
      </c>
      <c r="B3710">
        <v>40.444814999999998</v>
      </c>
      <c r="C3710">
        <v>-74.427995999999993</v>
      </c>
      <c r="D3710">
        <v>1700</v>
      </c>
      <c r="E3710">
        <v>1900</v>
      </c>
      <c r="F3710">
        <v>103</v>
      </c>
      <c r="G3710">
        <v>55</v>
      </c>
      <c r="H3710">
        <v>-128</v>
      </c>
      <c r="J3710" s="1">
        <f t="shared" si="285"/>
        <v>10609</v>
      </c>
      <c r="K3710" s="1">
        <f t="shared" si="286"/>
        <v>3025</v>
      </c>
      <c r="L3710" s="1">
        <f t="shared" si="287"/>
        <v>13634</v>
      </c>
      <c r="M3710" s="1">
        <f t="shared" si="288"/>
        <v>116.76472069936193</v>
      </c>
      <c r="N3710" s="7">
        <f t="shared" si="289"/>
        <v>116.76472069936193</v>
      </c>
    </row>
    <row r="3711" spans="1:14" x14ac:dyDescent="0.25">
      <c r="A3711" t="str">
        <f>"14:52:13.883"</f>
        <v>14:52:13.883</v>
      </c>
      <c r="B3711">
        <v>40.445050999999999</v>
      </c>
      <c r="C3711">
        <v>-74.427373000000003</v>
      </c>
      <c r="D3711">
        <v>1700</v>
      </c>
      <c r="E3711">
        <v>1900</v>
      </c>
      <c r="F3711">
        <v>103</v>
      </c>
      <c r="G3711">
        <v>55</v>
      </c>
      <c r="H3711">
        <v>-128</v>
      </c>
      <c r="J3711" s="1">
        <f t="shared" si="285"/>
        <v>10609</v>
      </c>
      <c r="K3711" s="1">
        <f t="shared" si="286"/>
        <v>3025</v>
      </c>
      <c r="L3711" s="1">
        <f t="shared" si="287"/>
        <v>13634</v>
      </c>
      <c r="M3711" s="1">
        <f t="shared" si="288"/>
        <v>116.76472069936193</v>
      </c>
      <c r="N3711" s="7">
        <f t="shared" si="289"/>
        <v>116.76472069936193</v>
      </c>
    </row>
    <row r="3712" spans="1:14" x14ac:dyDescent="0.25">
      <c r="A3712" t="str">
        <f>"14:52:15.047"</f>
        <v>14:52:15.047</v>
      </c>
      <c r="B3712">
        <v>40.445372999999996</v>
      </c>
      <c r="C3712">
        <v>-74.426621999999995</v>
      </c>
      <c r="D3712">
        <v>1700</v>
      </c>
      <c r="E3712">
        <v>1900</v>
      </c>
      <c r="F3712">
        <v>103</v>
      </c>
      <c r="G3712">
        <v>55</v>
      </c>
      <c r="H3712">
        <v>-64</v>
      </c>
      <c r="J3712" s="1">
        <f t="shared" si="285"/>
        <v>10609</v>
      </c>
      <c r="K3712" s="1">
        <f t="shared" si="286"/>
        <v>3025</v>
      </c>
      <c r="L3712" s="1">
        <f t="shared" si="287"/>
        <v>13634</v>
      </c>
      <c r="M3712" s="1">
        <f t="shared" si="288"/>
        <v>116.76472069936193</v>
      </c>
      <c r="N3712" s="7">
        <f t="shared" si="289"/>
        <v>116.76472069936193</v>
      </c>
    </row>
    <row r="3713" spans="1:14" x14ac:dyDescent="0.25">
      <c r="A3713" t="str">
        <f>"14:52:15.906"</f>
        <v>14:52:15.906</v>
      </c>
      <c r="B3713">
        <v>40.445608999999997</v>
      </c>
      <c r="C3713">
        <v>-74.426085999999998</v>
      </c>
      <c r="D3713">
        <v>1700</v>
      </c>
      <c r="E3713">
        <v>1900</v>
      </c>
      <c r="F3713">
        <v>102</v>
      </c>
      <c r="G3713">
        <v>55</v>
      </c>
      <c r="H3713">
        <v>0</v>
      </c>
      <c r="J3713" s="1">
        <f t="shared" si="285"/>
        <v>10404</v>
      </c>
      <c r="K3713" s="1">
        <f t="shared" si="286"/>
        <v>3025</v>
      </c>
      <c r="L3713" s="1">
        <f t="shared" si="287"/>
        <v>13429</v>
      </c>
      <c r="M3713" s="1">
        <f t="shared" si="288"/>
        <v>115.88356225108029</v>
      </c>
      <c r="N3713" s="7">
        <f t="shared" si="289"/>
        <v>115.88356225108029</v>
      </c>
    </row>
    <row r="3714" spans="1:14" x14ac:dyDescent="0.25">
      <c r="A3714" t="str">
        <f>"14:52:17.016"</f>
        <v>14:52:17.016</v>
      </c>
      <c r="B3714">
        <v>40.445887999999997</v>
      </c>
      <c r="C3714">
        <v>-74.425377999999995</v>
      </c>
      <c r="D3714">
        <v>1700</v>
      </c>
      <c r="E3714">
        <v>1900</v>
      </c>
      <c r="F3714">
        <v>102</v>
      </c>
      <c r="G3714">
        <v>55</v>
      </c>
      <c r="H3714">
        <v>0</v>
      </c>
      <c r="J3714" s="1">
        <f t="shared" si="285"/>
        <v>10404</v>
      </c>
      <c r="K3714" s="1">
        <f t="shared" si="286"/>
        <v>3025</v>
      </c>
      <c r="L3714" s="1">
        <f t="shared" si="287"/>
        <v>13429</v>
      </c>
      <c r="M3714" s="1">
        <f t="shared" si="288"/>
        <v>115.88356225108029</v>
      </c>
      <c r="N3714" s="7">
        <f t="shared" si="289"/>
        <v>115.88356225108029</v>
      </c>
    </row>
    <row r="3715" spans="1:14" x14ac:dyDescent="0.25">
      <c r="A3715" t="str">
        <f>"14:52:17.922"</f>
        <v>14:52:17.922</v>
      </c>
      <c r="B3715">
        <v>40.446123999999998</v>
      </c>
      <c r="C3715">
        <v>-74.424863000000002</v>
      </c>
      <c r="D3715">
        <v>1700</v>
      </c>
      <c r="E3715">
        <v>1900</v>
      </c>
      <c r="F3715">
        <v>102</v>
      </c>
      <c r="G3715">
        <v>55</v>
      </c>
      <c r="H3715">
        <v>0</v>
      </c>
      <c r="J3715" s="1">
        <f t="shared" ref="J3715:J3778" si="290">F3715^2</f>
        <v>10404</v>
      </c>
      <c r="K3715" s="1">
        <f t="shared" ref="K3715:K3778" si="291">G3715^2</f>
        <v>3025</v>
      </c>
      <c r="L3715" s="1">
        <f t="shared" ref="L3715:L3778" si="292">SUMSQ(F3715,G3715)</f>
        <v>13429</v>
      </c>
      <c r="M3715" s="1">
        <f t="shared" ref="M3715:M3778" si="293">SQRT(L3715)</f>
        <v>115.88356225108029</v>
      </c>
      <c r="N3715" s="7">
        <f t="shared" ref="N3715:N3778" si="294">M3715</f>
        <v>115.88356225108029</v>
      </c>
    </row>
    <row r="3716" spans="1:14" x14ac:dyDescent="0.25">
      <c r="A3716" t="str">
        <f>"14:52:18.984"</f>
        <v>14:52:18.984</v>
      </c>
      <c r="B3716">
        <v>40.446359999999999</v>
      </c>
      <c r="C3716">
        <v>-74.424198000000004</v>
      </c>
      <c r="D3716">
        <v>1700</v>
      </c>
      <c r="E3716">
        <v>1900</v>
      </c>
      <c r="F3716">
        <v>102</v>
      </c>
      <c r="G3716">
        <v>55</v>
      </c>
      <c r="H3716">
        <v>0</v>
      </c>
      <c r="J3716" s="1">
        <f t="shared" si="290"/>
        <v>10404</v>
      </c>
      <c r="K3716" s="1">
        <f t="shared" si="291"/>
        <v>3025</v>
      </c>
      <c r="L3716" s="1">
        <f t="shared" si="292"/>
        <v>13429</v>
      </c>
      <c r="M3716" s="1">
        <f t="shared" si="293"/>
        <v>115.88356225108029</v>
      </c>
      <c r="N3716" s="7">
        <f t="shared" si="294"/>
        <v>115.88356225108029</v>
      </c>
    </row>
    <row r="3717" spans="1:14" x14ac:dyDescent="0.25">
      <c r="A3717" t="str">
        <f>"14:52:19.898"</f>
        <v>14:52:19.898</v>
      </c>
      <c r="B3717">
        <v>40.446618000000001</v>
      </c>
      <c r="C3717">
        <v>-74.423575</v>
      </c>
      <c r="D3717">
        <v>1700</v>
      </c>
      <c r="E3717">
        <v>1900</v>
      </c>
      <c r="F3717">
        <v>101</v>
      </c>
      <c r="G3717">
        <v>55</v>
      </c>
      <c r="H3717">
        <v>0</v>
      </c>
      <c r="J3717" s="1">
        <f t="shared" si="290"/>
        <v>10201</v>
      </c>
      <c r="K3717" s="1">
        <f t="shared" si="291"/>
        <v>3025</v>
      </c>
      <c r="L3717" s="1">
        <f t="shared" si="292"/>
        <v>13226</v>
      </c>
      <c r="M3717" s="1">
        <f t="shared" si="293"/>
        <v>115.00434774390054</v>
      </c>
      <c r="N3717" s="7">
        <f t="shared" si="294"/>
        <v>115.00434774390054</v>
      </c>
    </row>
    <row r="3718" spans="1:14" x14ac:dyDescent="0.25">
      <c r="A3718" t="str">
        <f>"14:52:20.906"</f>
        <v>14:52:20.906</v>
      </c>
      <c r="B3718">
        <v>40.446874999999999</v>
      </c>
      <c r="C3718">
        <v>-74.423081999999994</v>
      </c>
      <c r="D3718">
        <v>1700</v>
      </c>
      <c r="E3718">
        <v>1900</v>
      </c>
      <c r="F3718">
        <v>101</v>
      </c>
      <c r="G3718">
        <v>55</v>
      </c>
      <c r="H3718">
        <v>0</v>
      </c>
      <c r="J3718" s="1">
        <f t="shared" si="290"/>
        <v>10201</v>
      </c>
      <c r="K3718" s="1">
        <f t="shared" si="291"/>
        <v>3025</v>
      </c>
      <c r="L3718" s="1">
        <f t="shared" si="292"/>
        <v>13226</v>
      </c>
      <c r="M3718" s="1">
        <f t="shared" si="293"/>
        <v>115.00434774390054</v>
      </c>
      <c r="N3718" s="7">
        <f t="shared" si="294"/>
        <v>115.00434774390054</v>
      </c>
    </row>
    <row r="3719" spans="1:14" x14ac:dyDescent="0.25">
      <c r="A3719" t="str">
        <f>"14:52:21.813"</f>
        <v>14:52:21.813</v>
      </c>
      <c r="B3719">
        <v>40.447090000000003</v>
      </c>
      <c r="C3719">
        <v>-74.422481000000005</v>
      </c>
      <c r="D3719">
        <v>1700</v>
      </c>
      <c r="E3719">
        <v>1900</v>
      </c>
      <c r="F3719">
        <v>101</v>
      </c>
      <c r="G3719">
        <v>55</v>
      </c>
      <c r="H3719">
        <v>-64</v>
      </c>
      <c r="J3719" s="1">
        <f t="shared" si="290"/>
        <v>10201</v>
      </c>
      <c r="K3719" s="1">
        <f t="shared" si="291"/>
        <v>3025</v>
      </c>
      <c r="L3719" s="1">
        <f t="shared" si="292"/>
        <v>13226</v>
      </c>
      <c r="M3719" s="1">
        <f t="shared" si="293"/>
        <v>115.00434774390054</v>
      </c>
      <c r="N3719" s="7">
        <f t="shared" si="294"/>
        <v>115.00434774390054</v>
      </c>
    </row>
    <row r="3720" spans="1:14" x14ac:dyDescent="0.25">
      <c r="A3720" t="str">
        <f>"14:52:22.773"</f>
        <v>14:52:22.773</v>
      </c>
      <c r="B3720">
        <v>40.447347000000001</v>
      </c>
      <c r="C3720">
        <v>-74.421880000000002</v>
      </c>
      <c r="D3720">
        <v>1700</v>
      </c>
      <c r="E3720">
        <v>1900</v>
      </c>
      <c r="F3720">
        <v>100</v>
      </c>
      <c r="G3720">
        <v>56</v>
      </c>
      <c r="H3720">
        <v>-64</v>
      </c>
      <c r="J3720" s="1">
        <f t="shared" si="290"/>
        <v>10000</v>
      </c>
      <c r="K3720" s="1">
        <f t="shared" si="291"/>
        <v>3136</v>
      </c>
      <c r="L3720" s="1">
        <f t="shared" si="292"/>
        <v>13136</v>
      </c>
      <c r="M3720" s="1">
        <f t="shared" si="293"/>
        <v>114.61239025515522</v>
      </c>
      <c r="N3720" s="7">
        <f t="shared" si="294"/>
        <v>114.61239025515522</v>
      </c>
    </row>
    <row r="3721" spans="1:14" x14ac:dyDescent="0.25">
      <c r="A3721" t="str">
        <f>"14:52:23.734"</f>
        <v>14:52:23.734</v>
      </c>
      <c r="B3721">
        <v>40.447583000000002</v>
      </c>
      <c r="C3721">
        <v>-74.421322000000004</v>
      </c>
      <c r="D3721">
        <v>1700</v>
      </c>
      <c r="E3721">
        <v>1900</v>
      </c>
      <c r="F3721">
        <v>100</v>
      </c>
      <c r="G3721">
        <v>56</v>
      </c>
      <c r="H3721">
        <v>-64</v>
      </c>
      <c r="J3721" s="1">
        <f t="shared" si="290"/>
        <v>10000</v>
      </c>
      <c r="K3721" s="1">
        <f t="shared" si="291"/>
        <v>3136</v>
      </c>
      <c r="L3721" s="1">
        <f t="shared" si="292"/>
        <v>13136</v>
      </c>
      <c r="M3721" s="1">
        <f t="shared" si="293"/>
        <v>114.61239025515522</v>
      </c>
      <c r="N3721" s="7">
        <f t="shared" si="294"/>
        <v>114.61239025515522</v>
      </c>
    </row>
    <row r="3722" spans="1:14" x14ac:dyDescent="0.25">
      <c r="A3722" t="str">
        <f>"14:52:24.789"</f>
        <v>14:52:24.789</v>
      </c>
      <c r="B3722">
        <v>40.447862000000001</v>
      </c>
      <c r="C3722">
        <v>-74.420721999999998</v>
      </c>
      <c r="D3722">
        <v>1700</v>
      </c>
      <c r="E3722">
        <v>1900</v>
      </c>
      <c r="F3722">
        <v>100</v>
      </c>
      <c r="G3722">
        <v>56</v>
      </c>
      <c r="H3722">
        <v>-64</v>
      </c>
      <c r="J3722" s="1">
        <f t="shared" si="290"/>
        <v>10000</v>
      </c>
      <c r="K3722" s="1">
        <f t="shared" si="291"/>
        <v>3136</v>
      </c>
      <c r="L3722" s="1">
        <f t="shared" si="292"/>
        <v>13136</v>
      </c>
      <c r="M3722" s="1">
        <f t="shared" si="293"/>
        <v>114.61239025515522</v>
      </c>
      <c r="N3722" s="7">
        <f t="shared" si="294"/>
        <v>114.61239025515522</v>
      </c>
    </row>
    <row r="3723" spans="1:14" x14ac:dyDescent="0.25">
      <c r="A3723" t="str">
        <f>"14:52:25.703"</f>
        <v>14:52:25.703</v>
      </c>
      <c r="B3723">
        <v>40.448141</v>
      </c>
      <c r="C3723">
        <v>-74.420098999999993</v>
      </c>
      <c r="D3723">
        <v>1700</v>
      </c>
      <c r="E3723">
        <v>1900</v>
      </c>
      <c r="F3723">
        <v>100</v>
      </c>
      <c r="G3723">
        <v>56</v>
      </c>
      <c r="H3723">
        <v>-64</v>
      </c>
      <c r="J3723" s="1">
        <f t="shared" si="290"/>
        <v>10000</v>
      </c>
      <c r="K3723" s="1">
        <f t="shared" si="291"/>
        <v>3136</v>
      </c>
      <c r="L3723" s="1">
        <f t="shared" si="292"/>
        <v>13136</v>
      </c>
      <c r="M3723" s="1">
        <f t="shared" si="293"/>
        <v>114.61239025515522</v>
      </c>
      <c r="N3723" s="7">
        <f t="shared" si="294"/>
        <v>114.61239025515522</v>
      </c>
    </row>
    <row r="3724" spans="1:14" x14ac:dyDescent="0.25">
      <c r="A3724" t="str">
        <f>"14:52:26.813"</f>
        <v>14:52:26.813</v>
      </c>
      <c r="B3724">
        <v>40.448399000000002</v>
      </c>
      <c r="C3724">
        <v>-74.419455999999997</v>
      </c>
      <c r="D3724">
        <v>1700</v>
      </c>
      <c r="E3724">
        <v>1900</v>
      </c>
      <c r="F3724">
        <v>99</v>
      </c>
      <c r="G3724">
        <v>56</v>
      </c>
      <c r="H3724">
        <v>0</v>
      </c>
      <c r="J3724" s="1">
        <f t="shared" si="290"/>
        <v>9801</v>
      </c>
      <c r="K3724" s="1">
        <f t="shared" si="291"/>
        <v>3136</v>
      </c>
      <c r="L3724" s="1">
        <f t="shared" si="292"/>
        <v>12937</v>
      </c>
      <c r="M3724" s="1">
        <f t="shared" si="293"/>
        <v>113.74093370462545</v>
      </c>
      <c r="N3724" s="7">
        <f t="shared" si="294"/>
        <v>113.74093370462545</v>
      </c>
    </row>
    <row r="3725" spans="1:14" x14ac:dyDescent="0.25">
      <c r="A3725" t="str">
        <f>"14:52:27.875"</f>
        <v>14:52:27.875</v>
      </c>
      <c r="B3725">
        <v>40.448678000000001</v>
      </c>
      <c r="C3725">
        <v>-74.418833000000006</v>
      </c>
      <c r="D3725">
        <v>1700</v>
      </c>
      <c r="E3725">
        <v>1900</v>
      </c>
      <c r="F3725">
        <v>99</v>
      </c>
      <c r="G3725">
        <v>56</v>
      </c>
      <c r="H3725">
        <v>0</v>
      </c>
      <c r="J3725" s="1">
        <f t="shared" si="290"/>
        <v>9801</v>
      </c>
      <c r="K3725" s="1">
        <f t="shared" si="291"/>
        <v>3136</v>
      </c>
      <c r="L3725" s="1">
        <f t="shared" si="292"/>
        <v>12937</v>
      </c>
      <c r="M3725" s="1">
        <f t="shared" si="293"/>
        <v>113.74093370462545</v>
      </c>
      <c r="N3725" s="7">
        <f t="shared" si="294"/>
        <v>113.74093370462545</v>
      </c>
    </row>
    <row r="3726" spans="1:14" x14ac:dyDescent="0.25">
      <c r="A3726" t="str">
        <f>"14:52:28.828"</f>
        <v>14:52:28.828</v>
      </c>
      <c r="B3726">
        <v>40.448914000000002</v>
      </c>
      <c r="C3726">
        <v>-74.418210999999999</v>
      </c>
      <c r="D3726">
        <v>1700</v>
      </c>
      <c r="E3726">
        <v>1900</v>
      </c>
      <c r="F3726">
        <v>99</v>
      </c>
      <c r="G3726">
        <v>57</v>
      </c>
      <c r="H3726">
        <v>0</v>
      </c>
      <c r="J3726" s="1">
        <f t="shared" si="290"/>
        <v>9801</v>
      </c>
      <c r="K3726" s="1">
        <f t="shared" si="291"/>
        <v>3249</v>
      </c>
      <c r="L3726" s="1">
        <f t="shared" si="292"/>
        <v>13050</v>
      </c>
      <c r="M3726" s="1">
        <f t="shared" si="293"/>
        <v>114.23659658795863</v>
      </c>
      <c r="N3726" s="7">
        <f t="shared" si="294"/>
        <v>114.23659658795863</v>
      </c>
    </row>
    <row r="3727" spans="1:14" x14ac:dyDescent="0.25">
      <c r="A3727" t="str">
        <f>"14:52:29.789"</f>
        <v>14:52:29.789</v>
      </c>
      <c r="B3727">
        <v>40.449193000000001</v>
      </c>
      <c r="C3727">
        <v>-74.417653000000001</v>
      </c>
      <c r="D3727">
        <v>1700</v>
      </c>
      <c r="E3727">
        <v>1900</v>
      </c>
      <c r="F3727">
        <v>99</v>
      </c>
      <c r="G3727">
        <v>57</v>
      </c>
      <c r="H3727">
        <v>0</v>
      </c>
      <c r="J3727" s="1">
        <f t="shared" si="290"/>
        <v>9801</v>
      </c>
      <c r="K3727" s="1">
        <f t="shared" si="291"/>
        <v>3249</v>
      </c>
      <c r="L3727" s="1">
        <f t="shared" si="292"/>
        <v>13050</v>
      </c>
      <c r="M3727" s="1">
        <f t="shared" si="293"/>
        <v>114.23659658795863</v>
      </c>
      <c r="N3727" s="7">
        <f t="shared" si="294"/>
        <v>114.23659658795863</v>
      </c>
    </row>
    <row r="3728" spans="1:14" x14ac:dyDescent="0.25">
      <c r="A3728" t="str">
        <f>"14:52:30.852"</f>
        <v>14:52:30.852</v>
      </c>
      <c r="B3728">
        <v>40.449471000000003</v>
      </c>
      <c r="C3728">
        <v>-74.417008999999993</v>
      </c>
      <c r="D3728">
        <v>1700</v>
      </c>
      <c r="E3728">
        <v>1900</v>
      </c>
      <c r="F3728">
        <v>99</v>
      </c>
      <c r="G3728">
        <v>57</v>
      </c>
      <c r="H3728">
        <v>0</v>
      </c>
      <c r="J3728" s="1">
        <f t="shared" si="290"/>
        <v>9801</v>
      </c>
      <c r="K3728" s="1">
        <f t="shared" si="291"/>
        <v>3249</v>
      </c>
      <c r="L3728" s="1">
        <f t="shared" si="292"/>
        <v>13050</v>
      </c>
      <c r="M3728" s="1">
        <f t="shared" si="293"/>
        <v>114.23659658795863</v>
      </c>
      <c r="N3728" s="7">
        <f t="shared" si="294"/>
        <v>114.23659658795863</v>
      </c>
    </row>
    <row r="3729" spans="1:14" x14ac:dyDescent="0.25">
      <c r="A3729" t="str">
        <f>"14:52:31.813"</f>
        <v>14:52:31.813</v>
      </c>
      <c r="B3729">
        <v>40.449708000000001</v>
      </c>
      <c r="C3729">
        <v>-74.416450999999995</v>
      </c>
      <c r="D3729">
        <v>1700</v>
      </c>
      <c r="E3729">
        <v>1900</v>
      </c>
      <c r="F3729">
        <v>98</v>
      </c>
      <c r="G3729">
        <v>57</v>
      </c>
      <c r="H3729">
        <v>0</v>
      </c>
      <c r="J3729" s="1">
        <f t="shared" si="290"/>
        <v>9604</v>
      </c>
      <c r="K3729" s="1">
        <f t="shared" si="291"/>
        <v>3249</v>
      </c>
      <c r="L3729" s="1">
        <f t="shared" si="292"/>
        <v>12853</v>
      </c>
      <c r="M3729" s="1">
        <f t="shared" si="293"/>
        <v>113.37107214805724</v>
      </c>
      <c r="N3729" s="7">
        <f t="shared" si="294"/>
        <v>113.37107214805724</v>
      </c>
    </row>
    <row r="3730" spans="1:14" x14ac:dyDescent="0.25">
      <c r="A3730" t="str">
        <f>"14:52:32.977"</f>
        <v>14:52:32.977</v>
      </c>
      <c r="B3730">
        <v>40.450007999999997</v>
      </c>
      <c r="C3730">
        <v>-74.415764999999993</v>
      </c>
      <c r="D3730">
        <v>1700</v>
      </c>
      <c r="E3730">
        <v>1900</v>
      </c>
      <c r="F3730">
        <v>98</v>
      </c>
      <c r="G3730">
        <v>57</v>
      </c>
      <c r="H3730">
        <v>0</v>
      </c>
      <c r="J3730" s="1">
        <f t="shared" si="290"/>
        <v>9604</v>
      </c>
      <c r="K3730" s="1">
        <f t="shared" si="291"/>
        <v>3249</v>
      </c>
      <c r="L3730" s="1">
        <f t="shared" si="292"/>
        <v>12853</v>
      </c>
      <c r="M3730" s="1">
        <f t="shared" si="293"/>
        <v>113.37107214805724</v>
      </c>
      <c r="N3730" s="7">
        <f t="shared" si="294"/>
        <v>113.37107214805724</v>
      </c>
    </row>
    <row r="3731" spans="1:14" x14ac:dyDescent="0.25">
      <c r="A3731" t="str">
        <f>"14:52:33.781"</f>
        <v>14:52:33.781</v>
      </c>
      <c r="B3731">
        <v>40.450243999999998</v>
      </c>
      <c r="C3731">
        <v>-74.415293000000005</v>
      </c>
      <c r="D3731">
        <v>1700</v>
      </c>
      <c r="E3731">
        <v>1900</v>
      </c>
      <c r="F3731">
        <v>98</v>
      </c>
      <c r="G3731">
        <v>57</v>
      </c>
      <c r="H3731">
        <v>0</v>
      </c>
      <c r="J3731" s="1">
        <f t="shared" si="290"/>
        <v>9604</v>
      </c>
      <c r="K3731" s="1">
        <f t="shared" si="291"/>
        <v>3249</v>
      </c>
      <c r="L3731" s="1">
        <f t="shared" si="292"/>
        <v>12853</v>
      </c>
      <c r="M3731" s="1">
        <f t="shared" si="293"/>
        <v>113.37107214805724</v>
      </c>
      <c r="N3731" s="7">
        <f t="shared" si="294"/>
        <v>113.37107214805724</v>
      </c>
    </row>
    <row r="3732" spans="1:14" x14ac:dyDescent="0.25">
      <c r="A3732" t="str">
        <f>"14:52:34.844"</f>
        <v>14:52:34.844</v>
      </c>
      <c r="B3732">
        <v>40.450501000000003</v>
      </c>
      <c r="C3732">
        <v>-74.414648999999997</v>
      </c>
      <c r="D3732">
        <v>1700</v>
      </c>
      <c r="E3732">
        <v>1900</v>
      </c>
      <c r="F3732">
        <v>98</v>
      </c>
      <c r="G3732">
        <v>57</v>
      </c>
      <c r="H3732">
        <v>0</v>
      </c>
      <c r="J3732" s="1">
        <f t="shared" si="290"/>
        <v>9604</v>
      </c>
      <c r="K3732" s="1">
        <f t="shared" si="291"/>
        <v>3249</v>
      </c>
      <c r="L3732" s="1">
        <f t="shared" si="292"/>
        <v>12853</v>
      </c>
      <c r="M3732" s="1">
        <f t="shared" si="293"/>
        <v>113.37107214805724</v>
      </c>
      <c r="N3732" s="7">
        <f t="shared" si="294"/>
        <v>113.37107214805724</v>
      </c>
    </row>
    <row r="3733" spans="1:14" x14ac:dyDescent="0.25">
      <c r="A3733" t="str">
        <f>"14:52:35.797"</f>
        <v>14:52:35.797</v>
      </c>
      <c r="B3733">
        <v>40.450736999999997</v>
      </c>
      <c r="C3733">
        <v>-74.414134000000004</v>
      </c>
      <c r="D3733">
        <v>1700</v>
      </c>
      <c r="E3733">
        <v>1900</v>
      </c>
      <c r="F3733">
        <v>98</v>
      </c>
      <c r="G3733">
        <v>57</v>
      </c>
      <c r="H3733">
        <v>0</v>
      </c>
      <c r="J3733" s="1">
        <f t="shared" si="290"/>
        <v>9604</v>
      </c>
      <c r="K3733" s="1">
        <f t="shared" si="291"/>
        <v>3249</v>
      </c>
      <c r="L3733" s="1">
        <f t="shared" si="292"/>
        <v>12853</v>
      </c>
      <c r="M3733" s="1">
        <f t="shared" si="293"/>
        <v>113.37107214805724</v>
      </c>
      <c r="N3733" s="7">
        <f t="shared" si="294"/>
        <v>113.37107214805724</v>
      </c>
    </row>
    <row r="3734" spans="1:14" x14ac:dyDescent="0.25">
      <c r="A3734" t="str">
        <f>"14:52:36.758"</f>
        <v>14:52:36.758</v>
      </c>
      <c r="B3734">
        <v>40.451016000000003</v>
      </c>
      <c r="C3734">
        <v>-74.413511999999997</v>
      </c>
      <c r="D3734">
        <v>1700</v>
      </c>
      <c r="E3734">
        <v>1900</v>
      </c>
      <c r="F3734">
        <v>98</v>
      </c>
      <c r="G3734">
        <v>56</v>
      </c>
      <c r="H3734">
        <v>0</v>
      </c>
      <c r="J3734" s="1">
        <f t="shared" si="290"/>
        <v>9604</v>
      </c>
      <c r="K3734" s="1">
        <f t="shared" si="291"/>
        <v>3136</v>
      </c>
      <c r="L3734" s="1">
        <f t="shared" si="292"/>
        <v>12740</v>
      </c>
      <c r="M3734" s="1">
        <f t="shared" si="293"/>
        <v>112.8716084761797</v>
      </c>
      <c r="N3734" s="7">
        <f t="shared" si="294"/>
        <v>112.8716084761797</v>
      </c>
    </row>
    <row r="3735" spans="1:14" x14ac:dyDescent="0.25">
      <c r="A3735" t="str">
        <f>"14:52:37.719"</f>
        <v>14:52:37.719</v>
      </c>
      <c r="B3735">
        <v>40.451251999999997</v>
      </c>
      <c r="C3735">
        <v>-74.412910999999994</v>
      </c>
      <c r="D3735">
        <v>1700</v>
      </c>
      <c r="E3735">
        <v>1900</v>
      </c>
      <c r="F3735">
        <v>98</v>
      </c>
      <c r="G3735">
        <v>56</v>
      </c>
      <c r="H3735">
        <v>0</v>
      </c>
      <c r="J3735" s="1">
        <f t="shared" si="290"/>
        <v>9604</v>
      </c>
      <c r="K3735" s="1">
        <f t="shared" si="291"/>
        <v>3136</v>
      </c>
      <c r="L3735" s="1">
        <f t="shared" si="292"/>
        <v>12740</v>
      </c>
      <c r="M3735" s="1">
        <f t="shared" si="293"/>
        <v>112.8716084761797</v>
      </c>
      <c r="N3735" s="7">
        <f t="shared" si="294"/>
        <v>112.8716084761797</v>
      </c>
    </row>
    <row r="3736" spans="1:14" x14ac:dyDescent="0.25">
      <c r="A3736" t="str">
        <f>"14:52:38.828"</f>
        <v>14:52:38.828</v>
      </c>
      <c r="B3736">
        <v>40.451574000000001</v>
      </c>
      <c r="C3736">
        <v>-74.412267</v>
      </c>
      <c r="D3736">
        <v>1700</v>
      </c>
      <c r="E3736">
        <v>1900</v>
      </c>
      <c r="F3736">
        <v>97</v>
      </c>
      <c r="G3736">
        <v>56</v>
      </c>
      <c r="H3736">
        <v>0</v>
      </c>
      <c r="J3736" s="1">
        <f t="shared" si="290"/>
        <v>9409</v>
      </c>
      <c r="K3736" s="1">
        <f t="shared" si="291"/>
        <v>3136</v>
      </c>
      <c r="L3736" s="1">
        <f t="shared" si="292"/>
        <v>12545</v>
      </c>
      <c r="M3736" s="1">
        <f t="shared" si="293"/>
        <v>112.0044641967453</v>
      </c>
      <c r="N3736" s="7">
        <f t="shared" si="294"/>
        <v>112.0044641967453</v>
      </c>
    </row>
    <row r="3737" spans="1:14" x14ac:dyDescent="0.25">
      <c r="A3737" t="str">
        <f>"14:52:39.734"</f>
        <v>14:52:39.734</v>
      </c>
      <c r="B3737">
        <v>40.451788999999998</v>
      </c>
      <c r="C3737">
        <v>-74.411752000000007</v>
      </c>
      <c r="D3737">
        <v>1700</v>
      </c>
      <c r="E3737">
        <v>1900</v>
      </c>
      <c r="F3737">
        <v>97</v>
      </c>
      <c r="G3737">
        <v>56</v>
      </c>
      <c r="H3737">
        <v>0</v>
      </c>
      <c r="J3737" s="1">
        <f t="shared" si="290"/>
        <v>9409</v>
      </c>
      <c r="K3737" s="1">
        <f t="shared" si="291"/>
        <v>3136</v>
      </c>
      <c r="L3737" s="1">
        <f t="shared" si="292"/>
        <v>12545</v>
      </c>
      <c r="M3737" s="1">
        <f t="shared" si="293"/>
        <v>112.0044641967453</v>
      </c>
      <c r="N3737" s="7">
        <f t="shared" si="294"/>
        <v>112.0044641967453</v>
      </c>
    </row>
    <row r="3738" spans="1:14" x14ac:dyDescent="0.25">
      <c r="A3738" t="str">
        <f>"14:52:40.750"</f>
        <v>14:52:40.750</v>
      </c>
      <c r="B3738">
        <v>40.452024999999999</v>
      </c>
      <c r="C3738">
        <v>-74.41113</v>
      </c>
      <c r="D3738">
        <v>1700</v>
      </c>
      <c r="E3738">
        <v>1900</v>
      </c>
      <c r="F3738">
        <v>97</v>
      </c>
      <c r="G3738">
        <v>56</v>
      </c>
      <c r="H3738">
        <v>0</v>
      </c>
      <c r="J3738" s="1">
        <f t="shared" si="290"/>
        <v>9409</v>
      </c>
      <c r="K3738" s="1">
        <f t="shared" si="291"/>
        <v>3136</v>
      </c>
      <c r="L3738" s="1">
        <f t="shared" si="292"/>
        <v>12545</v>
      </c>
      <c r="M3738" s="1">
        <f t="shared" si="293"/>
        <v>112.0044641967453</v>
      </c>
      <c r="N3738" s="7">
        <f t="shared" si="294"/>
        <v>112.0044641967453</v>
      </c>
    </row>
    <row r="3739" spans="1:14" x14ac:dyDescent="0.25">
      <c r="A3739" t="str">
        <f>"14:52:41.555"</f>
        <v>14:52:41.555</v>
      </c>
      <c r="B3739">
        <v>40.452261</v>
      </c>
      <c r="C3739">
        <v>-74.410701000000003</v>
      </c>
      <c r="D3739">
        <v>1700</v>
      </c>
      <c r="E3739">
        <v>1900</v>
      </c>
      <c r="F3739">
        <v>97</v>
      </c>
      <c r="G3739">
        <v>56</v>
      </c>
      <c r="H3739">
        <v>-64</v>
      </c>
      <c r="J3739" s="1">
        <f t="shared" si="290"/>
        <v>9409</v>
      </c>
      <c r="K3739" s="1">
        <f t="shared" si="291"/>
        <v>3136</v>
      </c>
      <c r="L3739" s="1">
        <f t="shared" si="292"/>
        <v>12545</v>
      </c>
      <c r="M3739" s="1">
        <f t="shared" si="293"/>
        <v>112.0044641967453</v>
      </c>
      <c r="N3739" s="7">
        <f t="shared" si="294"/>
        <v>112.0044641967453</v>
      </c>
    </row>
    <row r="3740" spans="1:14" x14ac:dyDescent="0.25">
      <c r="A3740" t="str">
        <f>"14:52:42.617"</f>
        <v>14:52:42.617</v>
      </c>
      <c r="B3740">
        <v>40.452539999999999</v>
      </c>
      <c r="C3740">
        <v>-74.4101</v>
      </c>
      <c r="D3740">
        <v>1700</v>
      </c>
      <c r="E3740">
        <v>1900</v>
      </c>
      <c r="F3740">
        <v>97</v>
      </c>
      <c r="G3740">
        <v>56</v>
      </c>
      <c r="H3740">
        <v>-64</v>
      </c>
      <c r="J3740" s="1">
        <f t="shared" si="290"/>
        <v>9409</v>
      </c>
      <c r="K3740" s="1">
        <f t="shared" si="291"/>
        <v>3136</v>
      </c>
      <c r="L3740" s="1">
        <f t="shared" si="292"/>
        <v>12545</v>
      </c>
      <c r="M3740" s="1">
        <f t="shared" si="293"/>
        <v>112.0044641967453</v>
      </c>
      <c r="N3740" s="7">
        <f t="shared" si="294"/>
        <v>112.0044641967453</v>
      </c>
    </row>
    <row r="3741" spans="1:14" x14ac:dyDescent="0.25">
      <c r="A3741" t="str">
        <f>"14:52:43.578"</f>
        <v>14:52:43.578</v>
      </c>
      <c r="B3741">
        <v>40.452753999999999</v>
      </c>
      <c r="C3741">
        <v>-74.409477999999993</v>
      </c>
      <c r="D3741">
        <v>1700</v>
      </c>
      <c r="E3741">
        <v>1900</v>
      </c>
      <c r="F3741">
        <v>97</v>
      </c>
      <c r="G3741">
        <v>55</v>
      </c>
      <c r="H3741">
        <v>-64</v>
      </c>
      <c r="J3741" s="1">
        <f t="shared" si="290"/>
        <v>9409</v>
      </c>
      <c r="K3741" s="1">
        <f t="shared" si="291"/>
        <v>3025</v>
      </c>
      <c r="L3741" s="1">
        <f t="shared" si="292"/>
        <v>12434</v>
      </c>
      <c r="M3741" s="1">
        <f t="shared" si="293"/>
        <v>111.50784725749125</v>
      </c>
      <c r="N3741" s="7">
        <f t="shared" si="294"/>
        <v>111.50784725749125</v>
      </c>
    </row>
    <row r="3742" spans="1:14" x14ac:dyDescent="0.25">
      <c r="A3742" t="str">
        <f>"14:52:44.531"</f>
        <v>14:52:44.531</v>
      </c>
      <c r="B3742">
        <v>40.453012000000001</v>
      </c>
      <c r="C3742">
        <v>-74.408963</v>
      </c>
      <c r="D3742">
        <v>1700</v>
      </c>
      <c r="E3742">
        <v>1900</v>
      </c>
      <c r="F3742">
        <v>97</v>
      </c>
      <c r="G3742">
        <v>55</v>
      </c>
      <c r="H3742">
        <v>0</v>
      </c>
      <c r="J3742" s="1">
        <f t="shared" si="290"/>
        <v>9409</v>
      </c>
      <c r="K3742" s="1">
        <f t="shared" si="291"/>
        <v>3025</v>
      </c>
      <c r="L3742" s="1">
        <f t="shared" si="292"/>
        <v>12434</v>
      </c>
      <c r="M3742" s="1">
        <f t="shared" si="293"/>
        <v>111.50784725749125</v>
      </c>
      <c r="N3742" s="7">
        <f t="shared" si="294"/>
        <v>111.50784725749125</v>
      </c>
    </row>
    <row r="3743" spans="1:14" x14ac:dyDescent="0.25">
      <c r="A3743" t="str">
        <f>"14:52:45.344"</f>
        <v>14:52:45.344</v>
      </c>
      <c r="B3743">
        <v>40.453226999999998</v>
      </c>
      <c r="C3743">
        <v>-74.408448000000007</v>
      </c>
      <c r="D3743">
        <v>1700</v>
      </c>
      <c r="E3743">
        <v>1900</v>
      </c>
      <c r="F3743">
        <v>97</v>
      </c>
      <c r="G3743">
        <v>55</v>
      </c>
      <c r="H3743">
        <v>0</v>
      </c>
      <c r="J3743" s="1">
        <f t="shared" si="290"/>
        <v>9409</v>
      </c>
      <c r="K3743" s="1">
        <f t="shared" si="291"/>
        <v>3025</v>
      </c>
      <c r="L3743" s="1">
        <f t="shared" si="292"/>
        <v>12434</v>
      </c>
      <c r="M3743" s="1">
        <f t="shared" si="293"/>
        <v>111.50784725749125</v>
      </c>
      <c r="N3743" s="7">
        <f t="shared" si="294"/>
        <v>111.50784725749125</v>
      </c>
    </row>
    <row r="3744" spans="1:14" x14ac:dyDescent="0.25">
      <c r="A3744" t="str">
        <f>"14:52:46.203"</f>
        <v>14:52:46.203</v>
      </c>
      <c r="B3744">
        <v>40.453440999999998</v>
      </c>
      <c r="C3744">
        <v>-74.407954000000004</v>
      </c>
      <c r="D3744">
        <v>1700</v>
      </c>
      <c r="E3744">
        <v>1900</v>
      </c>
      <c r="F3744">
        <v>97</v>
      </c>
      <c r="G3744">
        <v>55</v>
      </c>
      <c r="H3744">
        <v>0</v>
      </c>
      <c r="J3744" s="1">
        <f t="shared" si="290"/>
        <v>9409</v>
      </c>
      <c r="K3744" s="1">
        <f t="shared" si="291"/>
        <v>3025</v>
      </c>
      <c r="L3744" s="1">
        <f t="shared" si="292"/>
        <v>12434</v>
      </c>
      <c r="M3744" s="1">
        <f t="shared" si="293"/>
        <v>111.50784725749125</v>
      </c>
      <c r="N3744" s="7">
        <f t="shared" si="294"/>
        <v>111.50784725749125</v>
      </c>
    </row>
    <row r="3745" spans="1:14" x14ac:dyDescent="0.25">
      <c r="A3745" t="str">
        <f>"14:52:47.258"</f>
        <v>14:52:47.258</v>
      </c>
      <c r="B3745">
        <v>40.453699</v>
      </c>
      <c r="C3745">
        <v>-74.407331999999997</v>
      </c>
      <c r="D3745">
        <v>1700</v>
      </c>
      <c r="E3745">
        <v>1900</v>
      </c>
      <c r="F3745">
        <v>97</v>
      </c>
      <c r="G3745">
        <v>55</v>
      </c>
      <c r="H3745">
        <v>64</v>
      </c>
      <c r="J3745" s="1">
        <f t="shared" si="290"/>
        <v>9409</v>
      </c>
      <c r="K3745" s="1">
        <f t="shared" si="291"/>
        <v>3025</v>
      </c>
      <c r="L3745" s="1">
        <f t="shared" si="292"/>
        <v>12434</v>
      </c>
      <c r="M3745" s="1">
        <f t="shared" si="293"/>
        <v>111.50784725749125</v>
      </c>
      <c r="N3745" s="7">
        <f t="shared" si="294"/>
        <v>111.50784725749125</v>
      </c>
    </row>
    <row r="3746" spans="1:14" x14ac:dyDescent="0.25">
      <c r="A3746" t="str">
        <f>"14:52:48.273"</f>
        <v>14:52:48.273</v>
      </c>
      <c r="B3746">
        <v>40.453935000000001</v>
      </c>
      <c r="C3746">
        <v>-74.406710000000004</v>
      </c>
      <c r="D3746">
        <v>1700</v>
      </c>
      <c r="E3746">
        <v>1900</v>
      </c>
      <c r="F3746">
        <v>97</v>
      </c>
      <c r="G3746">
        <v>54</v>
      </c>
      <c r="H3746">
        <v>64</v>
      </c>
      <c r="J3746" s="1">
        <f t="shared" si="290"/>
        <v>9409</v>
      </c>
      <c r="K3746" s="1">
        <f t="shared" si="291"/>
        <v>2916</v>
      </c>
      <c r="L3746" s="1">
        <f t="shared" si="292"/>
        <v>12325</v>
      </c>
      <c r="M3746" s="1">
        <f t="shared" si="293"/>
        <v>111.01801655587259</v>
      </c>
      <c r="N3746" s="7">
        <f t="shared" si="294"/>
        <v>111.01801655587259</v>
      </c>
    </row>
    <row r="3747" spans="1:14" x14ac:dyDescent="0.25">
      <c r="A3747" t="str">
        <f>"14:52:49.180"</f>
        <v>14:52:49.180</v>
      </c>
      <c r="B3747">
        <v>40.454171000000002</v>
      </c>
      <c r="C3747">
        <v>-74.406259000000006</v>
      </c>
      <c r="D3747">
        <v>1700</v>
      </c>
      <c r="E3747">
        <v>1900</v>
      </c>
      <c r="F3747">
        <v>97</v>
      </c>
      <c r="G3747">
        <v>54</v>
      </c>
      <c r="H3747">
        <v>64</v>
      </c>
      <c r="J3747" s="1">
        <f t="shared" si="290"/>
        <v>9409</v>
      </c>
      <c r="K3747" s="1">
        <f t="shared" si="291"/>
        <v>2916</v>
      </c>
      <c r="L3747" s="1">
        <f t="shared" si="292"/>
        <v>12325</v>
      </c>
      <c r="M3747" s="1">
        <f t="shared" si="293"/>
        <v>111.01801655587259</v>
      </c>
      <c r="N3747" s="7">
        <f t="shared" si="294"/>
        <v>111.01801655587259</v>
      </c>
    </row>
    <row r="3748" spans="1:14" x14ac:dyDescent="0.25">
      <c r="A3748" t="str">
        <f>"14:52:50.141"</f>
        <v>14:52:50.141</v>
      </c>
      <c r="B3748">
        <v>40.454450000000001</v>
      </c>
      <c r="C3748">
        <v>-74.405636999999999</v>
      </c>
      <c r="D3748">
        <v>1700</v>
      </c>
      <c r="E3748">
        <v>1900</v>
      </c>
      <c r="F3748">
        <v>97</v>
      </c>
      <c r="G3748">
        <v>54</v>
      </c>
      <c r="H3748">
        <v>0</v>
      </c>
      <c r="J3748" s="1">
        <f t="shared" si="290"/>
        <v>9409</v>
      </c>
      <c r="K3748" s="1">
        <f t="shared" si="291"/>
        <v>2916</v>
      </c>
      <c r="L3748" s="1">
        <f t="shared" si="292"/>
        <v>12325</v>
      </c>
      <c r="M3748" s="1">
        <f t="shared" si="293"/>
        <v>111.01801655587259</v>
      </c>
      <c r="N3748" s="7">
        <f t="shared" si="294"/>
        <v>111.01801655587259</v>
      </c>
    </row>
    <row r="3749" spans="1:14" x14ac:dyDescent="0.25">
      <c r="A3749" t="str">
        <f>"14:52:51.148"</f>
        <v>14:52:51.148</v>
      </c>
      <c r="B3749">
        <v>40.454686000000002</v>
      </c>
      <c r="C3749">
        <v>-74.405035999999996</v>
      </c>
      <c r="D3749">
        <v>1700</v>
      </c>
      <c r="E3749">
        <v>1900</v>
      </c>
      <c r="F3749">
        <v>96</v>
      </c>
      <c r="G3749">
        <v>54</v>
      </c>
      <c r="H3749">
        <v>0</v>
      </c>
      <c r="J3749" s="1">
        <f t="shared" si="290"/>
        <v>9216</v>
      </c>
      <c r="K3749" s="1">
        <f t="shared" si="291"/>
        <v>2916</v>
      </c>
      <c r="L3749" s="1">
        <f t="shared" si="292"/>
        <v>12132</v>
      </c>
      <c r="M3749" s="1">
        <f t="shared" si="293"/>
        <v>110.14535850411491</v>
      </c>
      <c r="N3749" s="7">
        <f t="shared" si="294"/>
        <v>110.14535850411491</v>
      </c>
    </row>
    <row r="3750" spans="1:14" x14ac:dyDescent="0.25">
      <c r="A3750" t="str">
        <f>"14:52:52.008"</f>
        <v>14:52:52.008</v>
      </c>
      <c r="B3750">
        <v>40.454922000000003</v>
      </c>
      <c r="C3750">
        <v>-74.404542000000006</v>
      </c>
      <c r="D3750">
        <v>1700</v>
      </c>
      <c r="E3750">
        <v>1900</v>
      </c>
      <c r="F3750">
        <v>96</v>
      </c>
      <c r="G3750">
        <v>54</v>
      </c>
      <c r="H3750">
        <v>0</v>
      </c>
      <c r="J3750" s="1">
        <f t="shared" si="290"/>
        <v>9216</v>
      </c>
      <c r="K3750" s="1">
        <f t="shared" si="291"/>
        <v>2916</v>
      </c>
      <c r="L3750" s="1">
        <f t="shared" si="292"/>
        <v>12132</v>
      </c>
      <c r="M3750" s="1">
        <f t="shared" si="293"/>
        <v>110.14535850411491</v>
      </c>
      <c r="N3750" s="7">
        <f t="shared" si="294"/>
        <v>110.14535850411491</v>
      </c>
    </row>
    <row r="3751" spans="1:14" x14ac:dyDescent="0.25">
      <c r="A3751" t="str">
        <f>"14:52:52.914"</f>
        <v>14:52:52.914</v>
      </c>
      <c r="B3751">
        <v>40.455114999999999</v>
      </c>
      <c r="C3751">
        <v>-74.404026999999999</v>
      </c>
      <c r="D3751">
        <v>1700</v>
      </c>
      <c r="E3751">
        <v>1900</v>
      </c>
      <c r="F3751">
        <v>96</v>
      </c>
      <c r="G3751">
        <v>54</v>
      </c>
      <c r="H3751">
        <v>0</v>
      </c>
      <c r="J3751" s="1">
        <f t="shared" si="290"/>
        <v>9216</v>
      </c>
      <c r="K3751" s="1">
        <f t="shared" si="291"/>
        <v>2916</v>
      </c>
      <c r="L3751" s="1">
        <f t="shared" si="292"/>
        <v>12132</v>
      </c>
      <c r="M3751" s="1">
        <f t="shared" si="293"/>
        <v>110.14535850411491</v>
      </c>
      <c r="N3751" s="7">
        <f t="shared" si="294"/>
        <v>110.14535850411491</v>
      </c>
    </row>
    <row r="3752" spans="1:14" x14ac:dyDescent="0.25">
      <c r="A3752" t="str">
        <f>"14:52:53.922"</f>
        <v>14:52:53.922</v>
      </c>
      <c r="B3752">
        <v>40.455393999999998</v>
      </c>
      <c r="C3752">
        <v>-74.403469999999999</v>
      </c>
      <c r="D3752">
        <v>1700</v>
      </c>
      <c r="E3752">
        <v>1900</v>
      </c>
      <c r="F3752">
        <v>96</v>
      </c>
      <c r="G3752">
        <v>54</v>
      </c>
      <c r="H3752">
        <v>0</v>
      </c>
      <c r="J3752" s="1">
        <f t="shared" si="290"/>
        <v>9216</v>
      </c>
      <c r="K3752" s="1">
        <f t="shared" si="291"/>
        <v>2916</v>
      </c>
      <c r="L3752" s="1">
        <f t="shared" si="292"/>
        <v>12132</v>
      </c>
      <c r="M3752" s="1">
        <f t="shared" si="293"/>
        <v>110.14535850411491</v>
      </c>
      <c r="N3752" s="7">
        <f t="shared" si="294"/>
        <v>110.14535850411491</v>
      </c>
    </row>
    <row r="3753" spans="1:14" x14ac:dyDescent="0.25">
      <c r="A3753" t="str">
        <f>"14:52:55.539"</f>
        <v>14:52:55.539</v>
      </c>
      <c r="B3753">
        <v>40.455779999999997</v>
      </c>
      <c r="C3753">
        <v>-74.402461000000002</v>
      </c>
      <c r="D3753">
        <v>1700</v>
      </c>
      <c r="E3753">
        <v>1900</v>
      </c>
      <c r="F3753">
        <v>96</v>
      </c>
      <c r="G3753">
        <v>54</v>
      </c>
      <c r="H3753">
        <v>0</v>
      </c>
      <c r="J3753" s="1">
        <f t="shared" si="290"/>
        <v>9216</v>
      </c>
      <c r="K3753" s="1">
        <f t="shared" si="291"/>
        <v>2916</v>
      </c>
      <c r="L3753" s="1">
        <f t="shared" si="292"/>
        <v>12132</v>
      </c>
      <c r="M3753" s="1">
        <f t="shared" si="293"/>
        <v>110.14535850411491</v>
      </c>
      <c r="N3753" s="7">
        <f t="shared" si="294"/>
        <v>110.14535850411491</v>
      </c>
    </row>
    <row r="3754" spans="1:14" x14ac:dyDescent="0.25">
      <c r="A3754" t="str">
        <f>"14:52:56.547"</f>
        <v>14:52:56.547</v>
      </c>
      <c r="B3754">
        <v>40.456059000000003</v>
      </c>
      <c r="C3754">
        <v>-74.401925000000006</v>
      </c>
      <c r="D3754">
        <v>1700</v>
      </c>
      <c r="E3754">
        <v>1900</v>
      </c>
      <c r="F3754">
        <v>96</v>
      </c>
      <c r="G3754">
        <v>54</v>
      </c>
      <c r="H3754">
        <v>-64</v>
      </c>
      <c r="J3754" s="1">
        <f t="shared" si="290"/>
        <v>9216</v>
      </c>
      <c r="K3754" s="1">
        <f t="shared" si="291"/>
        <v>2916</v>
      </c>
      <c r="L3754" s="1">
        <f t="shared" si="292"/>
        <v>12132</v>
      </c>
      <c r="M3754" s="1">
        <f t="shared" si="293"/>
        <v>110.14535850411491</v>
      </c>
      <c r="N3754" s="7">
        <f t="shared" si="294"/>
        <v>110.14535850411491</v>
      </c>
    </row>
    <row r="3755" spans="1:14" x14ac:dyDescent="0.25">
      <c r="A3755" t="str">
        <f>"14:52:57.609"</f>
        <v>14:52:57.609</v>
      </c>
      <c r="B3755">
        <v>40.456316000000001</v>
      </c>
      <c r="C3755">
        <v>-74.401280999999997</v>
      </c>
      <c r="D3755">
        <v>1700</v>
      </c>
      <c r="E3755">
        <v>1900</v>
      </c>
      <c r="F3755">
        <v>96</v>
      </c>
      <c r="G3755">
        <v>54</v>
      </c>
      <c r="H3755">
        <v>-64</v>
      </c>
      <c r="J3755" s="1">
        <f t="shared" si="290"/>
        <v>9216</v>
      </c>
      <c r="K3755" s="1">
        <f t="shared" si="291"/>
        <v>2916</v>
      </c>
      <c r="L3755" s="1">
        <f t="shared" si="292"/>
        <v>12132</v>
      </c>
      <c r="M3755" s="1">
        <f t="shared" si="293"/>
        <v>110.14535850411491</v>
      </c>
      <c r="N3755" s="7">
        <f t="shared" si="294"/>
        <v>110.14535850411491</v>
      </c>
    </row>
    <row r="3756" spans="1:14" x14ac:dyDescent="0.25">
      <c r="A3756" t="str">
        <f>"14:52:58.570"</f>
        <v>14:52:58.570</v>
      </c>
      <c r="B3756">
        <v>40.456553</v>
      </c>
      <c r="C3756">
        <v>-74.400766000000004</v>
      </c>
      <c r="D3756">
        <v>1700</v>
      </c>
      <c r="E3756">
        <v>1900</v>
      </c>
      <c r="F3756">
        <v>96</v>
      </c>
      <c r="G3756">
        <v>54</v>
      </c>
      <c r="H3756">
        <v>-64</v>
      </c>
      <c r="J3756" s="1">
        <f t="shared" si="290"/>
        <v>9216</v>
      </c>
      <c r="K3756" s="1">
        <f t="shared" si="291"/>
        <v>2916</v>
      </c>
      <c r="L3756" s="1">
        <f t="shared" si="292"/>
        <v>12132</v>
      </c>
      <c r="M3756" s="1">
        <f t="shared" si="293"/>
        <v>110.14535850411491</v>
      </c>
      <c r="N3756" s="7">
        <f t="shared" si="294"/>
        <v>110.14535850411491</v>
      </c>
    </row>
    <row r="3757" spans="1:14" x14ac:dyDescent="0.25">
      <c r="A3757" t="str">
        <f>"14:52:59.531"</f>
        <v>14:52:59.531</v>
      </c>
      <c r="B3757">
        <v>40.456789000000001</v>
      </c>
      <c r="C3757">
        <v>-74.400143999999997</v>
      </c>
      <c r="D3757">
        <v>1700</v>
      </c>
      <c r="E3757">
        <v>1900</v>
      </c>
      <c r="F3757">
        <v>95</v>
      </c>
      <c r="G3757">
        <v>54</v>
      </c>
      <c r="H3757">
        <v>-64</v>
      </c>
      <c r="J3757" s="1">
        <f t="shared" si="290"/>
        <v>9025</v>
      </c>
      <c r="K3757" s="1">
        <f t="shared" si="291"/>
        <v>2916</v>
      </c>
      <c r="L3757" s="1">
        <f t="shared" si="292"/>
        <v>11941</v>
      </c>
      <c r="M3757" s="1">
        <f t="shared" si="293"/>
        <v>109.27488274987991</v>
      </c>
      <c r="N3757" s="7">
        <f t="shared" si="294"/>
        <v>109.27488274987991</v>
      </c>
    </row>
    <row r="3758" spans="1:14" x14ac:dyDescent="0.25">
      <c r="A3758" t="str">
        <f>"14:53:00.492"</f>
        <v>14:53:00.492</v>
      </c>
      <c r="B3758">
        <v>40.457003</v>
      </c>
      <c r="C3758">
        <v>-74.399671999999995</v>
      </c>
      <c r="D3758">
        <v>1700</v>
      </c>
      <c r="E3758">
        <v>1900</v>
      </c>
      <c r="F3758">
        <v>95</v>
      </c>
      <c r="G3758">
        <v>54</v>
      </c>
      <c r="H3758">
        <v>-64</v>
      </c>
      <c r="J3758" s="1">
        <f t="shared" si="290"/>
        <v>9025</v>
      </c>
      <c r="K3758" s="1">
        <f t="shared" si="291"/>
        <v>2916</v>
      </c>
      <c r="L3758" s="1">
        <f t="shared" si="292"/>
        <v>11941</v>
      </c>
      <c r="M3758" s="1">
        <f t="shared" si="293"/>
        <v>109.27488274987991</v>
      </c>
      <c r="N3758" s="7">
        <f t="shared" si="294"/>
        <v>109.27488274987991</v>
      </c>
    </row>
    <row r="3759" spans="1:14" x14ac:dyDescent="0.25">
      <c r="A3759" t="str">
        <f>"14:53:01.648"</f>
        <v>14:53:01.648</v>
      </c>
      <c r="B3759">
        <v>40.457346000000001</v>
      </c>
      <c r="C3759">
        <v>-74.398984999999996</v>
      </c>
      <c r="D3759">
        <v>1700</v>
      </c>
      <c r="E3759">
        <v>1900</v>
      </c>
      <c r="F3759">
        <v>95</v>
      </c>
      <c r="G3759">
        <v>54</v>
      </c>
      <c r="H3759">
        <v>0</v>
      </c>
      <c r="J3759" s="1">
        <f t="shared" si="290"/>
        <v>9025</v>
      </c>
      <c r="K3759" s="1">
        <f t="shared" si="291"/>
        <v>2916</v>
      </c>
      <c r="L3759" s="1">
        <f t="shared" si="292"/>
        <v>11941</v>
      </c>
      <c r="M3759" s="1">
        <f t="shared" si="293"/>
        <v>109.27488274987991</v>
      </c>
      <c r="N3759" s="7">
        <f t="shared" si="294"/>
        <v>109.27488274987991</v>
      </c>
    </row>
    <row r="3760" spans="1:14" x14ac:dyDescent="0.25">
      <c r="A3760" t="str">
        <f>"14:53:02.609"</f>
        <v>14:53:02.609</v>
      </c>
      <c r="B3760">
        <v>40.457582000000002</v>
      </c>
      <c r="C3760">
        <v>-74.398363000000003</v>
      </c>
      <c r="D3760">
        <v>1700</v>
      </c>
      <c r="E3760">
        <v>1900</v>
      </c>
      <c r="F3760">
        <v>95</v>
      </c>
      <c r="G3760">
        <v>54</v>
      </c>
      <c r="H3760">
        <v>64</v>
      </c>
      <c r="J3760" s="1">
        <f t="shared" si="290"/>
        <v>9025</v>
      </c>
      <c r="K3760" s="1">
        <f t="shared" si="291"/>
        <v>2916</v>
      </c>
      <c r="L3760" s="1">
        <f t="shared" si="292"/>
        <v>11941</v>
      </c>
      <c r="M3760" s="1">
        <f t="shared" si="293"/>
        <v>109.27488274987991</v>
      </c>
      <c r="N3760" s="7">
        <f t="shared" si="294"/>
        <v>109.27488274987991</v>
      </c>
    </row>
    <row r="3761" spans="1:14" x14ac:dyDescent="0.25">
      <c r="A3761" t="str">
        <f>"14:53:03.570"</f>
        <v>14:53:03.570</v>
      </c>
      <c r="B3761">
        <v>40.457796999999999</v>
      </c>
      <c r="C3761">
        <v>-74.397891000000001</v>
      </c>
      <c r="D3761">
        <v>1700</v>
      </c>
      <c r="E3761">
        <v>1900</v>
      </c>
      <c r="F3761">
        <v>95</v>
      </c>
      <c r="G3761">
        <v>54</v>
      </c>
      <c r="H3761">
        <v>64</v>
      </c>
      <c r="J3761" s="1">
        <f t="shared" si="290"/>
        <v>9025</v>
      </c>
      <c r="K3761" s="1">
        <f t="shared" si="291"/>
        <v>2916</v>
      </c>
      <c r="L3761" s="1">
        <f t="shared" si="292"/>
        <v>11941</v>
      </c>
      <c r="M3761" s="1">
        <f t="shared" si="293"/>
        <v>109.27488274987991</v>
      </c>
      <c r="N3761" s="7">
        <f t="shared" si="294"/>
        <v>109.27488274987991</v>
      </c>
    </row>
    <row r="3762" spans="1:14" x14ac:dyDescent="0.25">
      <c r="A3762" t="str">
        <f>"14:53:04.680"</f>
        <v>14:53:04.680</v>
      </c>
      <c r="B3762">
        <v>40.458075999999998</v>
      </c>
      <c r="C3762">
        <v>-74.397225000000006</v>
      </c>
      <c r="D3762">
        <v>1700</v>
      </c>
      <c r="E3762">
        <v>1900</v>
      </c>
      <c r="F3762">
        <v>95</v>
      </c>
      <c r="G3762">
        <v>54</v>
      </c>
      <c r="H3762">
        <v>128</v>
      </c>
      <c r="J3762" s="1">
        <f t="shared" si="290"/>
        <v>9025</v>
      </c>
      <c r="K3762" s="1">
        <f t="shared" si="291"/>
        <v>2916</v>
      </c>
      <c r="L3762" s="1">
        <f t="shared" si="292"/>
        <v>11941</v>
      </c>
      <c r="M3762" s="1">
        <f t="shared" si="293"/>
        <v>109.27488274987991</v>
      </c>
      <c r="N3762" s="7">
        <f t="shared" si="294"/>
        <v>109.27488274987991</v>
      </c>
    </row>
    <row r="3763" spans="1:14" x14ac:dyDescent="0.25">
      <c r="A3763" t="str">
        <f>"14:53:05.742"</f>
        <v>14:53:05.742</v>
      </c>
      <c r="B3763">
        <v>40.458333000000003</v>
      </c>
      <c r="C3763">
        <v>-74.396602999999999</v>
      </c>
      <c r="D3763">
        <v>1700</v>
      </c>
      <c r="E3763">
        <v>1900</v>
      </c>
      <c r="F3763">
        <v>95</v>
      </c>
      <c r="G3763">
        <v>54</v>
      </c>
      <c r="H3763">
        <v>128</v>
      </c>
      <c r="J3763" s="1">
        <f t="shared" si="290"/>
        <v>9025</v>
      </c>
      <c r="K3763" s="1">
        <f t="shared" si="291"/>
        <v>2916</v>
      </c>
      <c r="L3763" s="1">
        <f t="shared" si="292"/>
        <v>11941</v>
      </c>
      <c r="M3763" s="1">
        <f t="shared" si="293"/>
        <v>109.27488274987991</v>
      </c>
      <c r="N3763" s="7">
        <f t="shared" si="294"/>
        <v>109.27488274987991</v>
      </c>
    </row>
    <row r="3764" spans="1:14" x14ac:dyDescent="0.25">
      <c r="A3764" t="str">
        <f>"14:53:06.750"</f>
        <v>14:53:06.750</v>
      </c>
      <c r="B3764">
        <v>40.458612000000002</v>
      </c>
      <c r="C3764">
        <v>-74.396067000000002</v>
      </c>
      <c r="D3764">
        <v>1700</v>
      </c>
      <c r="E3764">
        <v>1900</v>
      </c>
      <c r="F3764">
        <v>94</v>
      </c>
      <c r="G3764">
        <v>54</v>
      </c>
      <c r="H3764">
        <v>128</v>
      </c>
      <c r="J3764" s="1">
        <f t="shared" si="290"/>
        <v>8836</v>
      </c>
      <c r="K3764" s="1">
        <f t="shared" si="291"/>
        <v>2916</v>
      </c>
      <c r="L3764" s="1">
        <f t="shared" si="292"/>
        <v>11752</v>
      </c>
      <c r="M3764" s="1">
        <f t="shared" si="293"/>
        <v>108.40664186294121</v>
      </c>
      <c r="N3764" s="7">
        <f t="shared" si="294"/>
        <v>108.40664186294121</v>
      </c>
    </row>
    <row r="3765" spans="1:14" x14ac:dyDescent="0.25">
      <c r="A3765" t="str">
        <f>"14:53:07.914"</f>
        <v>14:53:07.914</v>
      </c>
      <c r="B3765">
        <v>40.458869999999997</v>
      </c>
      <c r="C3765">
        <v>-74.395422999999994</v>
      </c>
      <c r="D3765">
        <v>1700</v>
      </c>
      <c r="E3765">
        <v>1900</v>
      </c>
      <c r="F3765">
        <v>94</v>
      </c>
      <c r="G3765">
        <v>54</v>
      </c>
      <c r="H3765">
        <v>64</v>
      </c>
      <c r="J3765" s="1">
        <f t="shared" si="290"/>
        <v>8836</v>
      </c>
      <c r="K3765" s="1">
        <f t="shared" si="291"/>
        <v>2916</v>
      </c>
      <c r="L3765" s="1">
        <f t="shared" si="292"/>
        <v>11752</v>
      </c>
      <c r="M3765" s="1">
        <f t="shared" si="293"/>
        <v>108.40664186294121</v>
      </c>
      <c r="N3765" s="7">
        <f t="shared" si="294"/>
        <v>108.40664186294121</v>
      </c>
    </row>
    <row r="3766" spans="1:14" x14ac:dyDescent="0.25">
      <c r="A3766" t="str">
        <f>"14:53:09.023"</f>
        <v>14:53:09.023</v>
      </c>
      <c r="B3766">
        <v>40.459148999999996</v>
      </c>
      <c r="C3766">
        <v>-74.394735999999995</v>
      </c>
      <c r="D3766">
        <v>1700</v>
      </c>
      <c r="E3766">
        <v>1900</v>
      </c>
      <c r="F3766">
        <v>94</v>
      </c>
      <c r="G3766">
        <v>53</v>
      </c>
      <c r="H3766">
        <v>0</v>
      </c>
      <c r="J3766" s="1">
        <f t="shared" si="290"/>
        <v>8836</v>
      </c>
      <c r="K3766" s="1">
        <f t="shared" si="291"/>
        <v>2809</v>
      </c>
      <c r="L3766" s="1">
        <f t="shared" si="292"/>
        <v>11645</v>
      </c>
      <c r="M3766" s="1">
        <f t="shared" si="293"/>
        <v>107.91200118615167</v>
      </c>
      <c r="N3766" s="7">
        <f t="shared" si="294"/>
        <v>107.91200118615167</v>
      </c>
    </row>
    <row r="3767" spans="1:14" x14ac:dyDescent="0.25">
      <c r="A3767" t="str">
        <f>"14:53:10.031"</f>
        <v>14:53:10.031</v>
      </c>
      <c r="B3767">
        <v>40.459384999999997</v>
      </c>
      <c r="C3767">
        <v>-74.394177999999997</v>
      </c>
      <c r="D3767">
        <v>1700</v>
      </c>
      <c r="E3767">
        <v>1900</v>
      </c>
      <c r="F3767">
        <v>94</v>
      </c>
      <c r="G3767">
        <v>53</v>
      </c>
      <c r="H3767">
        <v>0</v>
      </c>
      <c r="J3767" s="1">
        <f t="shared" si="290"/>
        <v>8836</v>
      </c>
      <c r="K3767" s="1">
        <f t="shared" si="291"/>
        <v>2809</v>
      </c>
      <c r="L3767" s="1">
        <f t="shared" si="292"/>
        <v>11645</v>
      </c>
      <c r="M3767" s="1">
        <f t="shared" si="293"/>
        <v>107.91200118615167</v>
      </c>
      <c r="N3767" s="7">
        <f t="shared" si="294"/>
        <v>107.91200118615167</v>
      </c>
    </row>
    <row r="3768" spans="1:14" x14ac:dyDescent="0.25">
      <c r="A3768" t="str">
        <f>"14:53:10.938"</f>
        <v>14:53:10.938</v>
      </c>
      <c r="B3768">
        <v>40.459620999999999</v>
      </c>
      <c r="C3768">
        <v>-74.393619999999999</v>
      </c>
      <c r="D3768">
        <v>1700</v>
      </c>
      <c r="E3768">
        <v>1900</v>
      </c>
      <c r="F3768">
        <v>94</v>
      </c>
      <c r="G3768">
        <v>53</v>
      </c>
      <c r="H3768">
        <v>0</v>
      </c>
      <c r="J3768" s="1">
        <f t="shared" si="290"/>
        <v>8836</v>
      </c>
      <c r="K3768" s="1">
        <f t="shared" si="291"/>
        <v>2809</v>
      </c>
      <c r="L3768" s="1">
        <f t="shared" si="292"/>
        <v>11645</v>
      </c>
      <c r="M3768" s="1">
        <f t="shared" si="293"/>
        <v>107.91200118615167</v>
      </c>
      <c r="N3768" s="7">
        <f t="shared" si="294"/>
        <v>107.91200118615167</v>
      </c>
    </row>
    <row r="3769" spans="1:14" x14ac:dyDescent="0.25">
      <c r="A3769" t="str">
        <f>"14:53:11.953"</f>
        <v>14:53:11.953</v>
      </c>
      <c r="B3769">
        <v>40.459857</v>
      </c>
      <c r="C3769">
        <v>-74.393062999999998</v>
      </c>
      <c r="D3769">
        <v>1700</v>
      </c>
      <c r="E3769">
        <v>1900</v>
      </c>
      <c r="F3769">
        <v>94</v>
      </c>
      <c r="G3769">
        <v>53</v>
      </c>
      <c r="H3769">
        <v>-64</v>
      </c>
      <c r="J3769" s="1">
        <f t="shared" si="290"/>
        <v>8836</v>
      </c>
      <c r="K3769" s="1">
        <f t="shared" si="291"/>
        <v>2809</v>
      </c>
      <c r="L3769" s="1">
        <f t="shared" si="292"/>
        <v>11645</v>
      </c>
      <c r="M3769" s="1">
        <f t="shared" si="293"/>
        <v>107.91200118615167</v>
      </c>
      <c r="N3769" s="7">
        <f t="shared" si="294"/>
        <v>107.91200118615167</v>
      </c>
    </row>
    <row r="3770" spans="1:14" x14ac:dyDescent="0.25">
      <c r="A3770" t="str">
        <f>"14:53:12.813"</f>
        <v>14:53:12.813</v>
      </c>
      <c r="B3770">
        <v>40.460093000000001</v>
      </c>
      <c r="C3770">
        <v>-74.392568999999995</v>
      </c>
      <c r="D3770">
        <v>1700</v>
      </c>
      <c r="E3770">
        <v>1900</v>
      </c>
      <c r="F3770">
        <v>94</v>
      </c>
      <c r="G3770">
        <v>53</v>
      </c>
      <c r="H3770">
        <v>-64</v>
      </c>
      <c r="J3770" s="1">
        <f t="shared" si="290"/>
        <v>8836</v>
      </c>
      <c r="K3770" s="1">
        <f t="shared" si="291"/>
        <v>2809</v>
      </c>
      <c r="L3770" s="1">
        <f t="shared" si="292"/>
        <v>11645</v>
      </c>
      <c r="M3770" s="1">
        <f t="shared" si="293"/>
        <v>107.91200118615167</v>
      </c>
      <c r="N3770" s="7">
        <f t="shared" si="294"/>
        <v>107.91200118615167</v>
      </c>
    </row>
    <row r="3771" spans="1:14" x14ac:dyDescent="0.25">
      <c r="A3771" t="str">
        <f>"14:53:13.922"</f>
        <v>14:53:13.922</v>
      </c>
      <c r="B3771">
        <v>40.460372</v>
      </c>
      <c r="C3771">
        <v>-74.391990000000007</v>
      </c>
      <c r="D3771">
        <v>1700</v>
      </c>
      <c r="E3771">
        <v>1900</v>
      </c>
      <c r="F3771">
        <v>94</v>
      </c>
      <c r="G3771">
        <v>53</v>
      </c>
      <c r="H3771">
        <v>-64</v>
      </c>
      <c r="J3771" s="1">
        <f t="shared" si="290"/>
        <v>8836</v>
      </c>
      <c r="K3771" s="1">
        <f t="shared" si="291"/>
        <v>2809</v>
      </c>
      <c r="L3771" s="1">
        <f t="shared" si="292"/>
        <v>11645</v>
      </c>
      <c r="M3771" s="1">
        <f t="shared" si="293"/>
        <v>107.91200118615167</v>
      </c>
      <c r="N3771" s="7">
        <f t="shared" si="294"/>
        <v>107.91200118615167</v>
      </c>
    </row>
    <row r="3772" spans="1:14" x14ac:dyDescent="0.25">
      <c r="A3772" t="str">
        <f>"14:53:14.930"</f>
        <v>14:53:14.930</v>
      </c>
      <c r="B3772">
        <v>40.460608000000001</v>
      </c>
      <c r="C3772">
        <v>-74.391431999999995</v>
      </c>
      <c r="D3772">
        <v>1700</v>
      </c>
      <c r="E3772">
        <v>1900</v>
      </c>
      <c r="F3772">
        <v>93</v>
      </c>
      <c r="G3772">
        <v>55</v>
      </c>
      <c r="H3772">
        <v>-64</v>
      </c>
      <c r="J3772" s="1">
        <f t="shared" si="290"/>
        <v>8649</v>
      </c>
      <c r="K3772" s="1">
        <f t="shared" si="291"/>
        <v>3025</v>
      </c>
      <c r="L3772" s="1">
        <f t="shared" si="292"/>
        <v>11674</v>
      </c>
      <c r="M3772" s="1">
        <f t="shared" si="293"/>
        <v>108.04628637764465</v>
      </c>
      <c r="N3772" s="7">
        <f t="shared" si="294"/>
        <v>108.04628637764465</v>
      </c>
    </row>
    <row r="3773" spans="1:14" x14ac:dyDescent="0.25">
      <c r="A3773" t="str">
        <f>"14:53:15.891"</f>
        <v>14:53:15.891</v>
      </c>
      <c r="B3773">
        <v>40.460887</v>
      </c>
      <c r="C3773">
        <v>-74.390851999999995</v>
      </c>
      <c r="D3773">
        <v>1700</v>
      </c>
      <c r="E3773">
        <v>1900</v>
      </c>
      <c r="F3773">
        <v>92</v>
      </c>
      <c r="G3773">
        <v>58</v>
      </c>
      <c r="H3773">
        <v>-64</v>
      </c>
      <c r="J3773" s="1">
        <f t="shared" si="290"/>
        <v>8464</v>
      </c>
      <c r="K3773" s="1">
        <f t="shared" si="291"/>
        <v>3364</v>
      </c>
      <c r="L3773" s="1">
        <f t="shared" si="292"/>
        <v>11828</v>
      </c>
      <c r="M3773" s="1">
        <f t="shared" si="293"/>
        <v>108.75660899458019</v>
      </c>
      <c r="N3773" s="7">
        <f t="shared" si="294"/>
        <v>108.75660899458019</v>
      </c>
    </row>
    <row r="3774" spans="1:14" x14ac:dyDescent="0.25">
      <c r="A3774" t="str">
        <f>"14:53:17.000"</f>
        <v>14:53:17.000</v>
      </c>
      <c r="B3774">
        <v>40.461252000000002</v>
      </c>
      <c r="C3774">
        <v>-74.390165999999994</v>
      </c>
      <c r="D3774">
        <v>1700</v>
      </c>
      <c r="E3774">
        <v>1900</v>
      </c>
      <c r="F3774">
        <v>90</v>
      </c>
      <c r="G3774">
        <v>62</v>
      </c>
      <c r="H3774">
        <v>-128</v>
      </c>
      <c r="J3774" s="1">
        <f t="shared" si="290"/>
        <v>8100</v>
      </c>
      <c r="K3774" s="1">
        <f t="shared" si="291"/>
        <v>3844</v>
      </c>
      <c r="L3774" s="1">
        <f t="shared" si="292"/>
        <v>11944</v>
      </c>
      <c r="M3774" s="1">
        <f t="shared" si="293"/>
        <v>109.288608738514</v>
      </c>
      <c r="N3774" s="7">
        <f t="shared" si="294"/>
        <v>109.288608738514</v>
      </c>
    </row>
    <row r="3775" spans="1:14" x14ac:dyDescent="0.25">
      <c r="A3775" t="str">
        <f>"14:53:17.859"</f>
        <v>14:53:17.859</v>
      </c>
      <c r="B3775">
        <v>40.461488000000003</v>
      </c>
      <c r="C3775">
        <v>-74.389801000000006</v>
      </c>
      <c r="D3775">
        <v>1700</v>
      </c>
      <c r="E3775">
        <v>1900</v>
      </c>
      <c r="F3775">
        <v>87</v>
      </c>
      <c r="G3775">
        <v>66</v>
      </c>
      <c r="H3775">
        <v>-128</v>
      </c>
      <c r="J3775" s="1">
        <f t="shared" si="290"/>
        <v>7569</v>
      </c>
      <c r="K3775" s="1">
        <f t="shared" si="291"/>
        <v>4356</v>
      </c>
      <c r="L3775" s="1">
        <f t="shared" si="292"/>
        <v>11925</v>
      </c>
      <c r="M3775" s="1">
        <f t="shared" si="293"/>
        <v>109.20164833920778</v>
      </c>
      <c r="N3775" s="7">
        <f t="shared" si="294"/>
        <v>109.20164833920778</v>
      </c>
    </row>
    <row r="3776" spans="1:14" x14ac:dyDescent="0.25">
      <c r="A3776" t="str">
        <f>"14:53:18.969"</f>
        <v>14:53:18.969</v>
      </c>
      <c r="B3776">
        <v>40.461830999999997</v>
      </c>
      <c r="C3776">
        <v>-74.389222000000004</v>
      </c>
      <c r="D3776">
        <v>1700</v>
      </c>
      <c r="E3776">
        <v>1900</v>
      </c>
      <c r="F3776">
        <v>85</v>
      </c>
      <c r="G3776">
        <v>70</v>
      </c>
      <c r="H3776">
        <v>-128</v>
      </c>
      <c r="J3776" s="1">
        <f t="shared" si="290"/>
        <v>7225</v>
      </c>
      <c r="K3776" s="1">
        <f t="shared" si="291"/>
        <v>4900</v>
      </c>
      <c r="L3776" s="1">
        <f t="shared" si="292"/>
        <v>12125</v>
      </c>
      <c r="M3776" s="1">
        <f t="shared" si="293"/>
        <v>110.11357772772621</v>
      </c>
      <c r="N3776" s="7">
        <f t="shared" si="294"/>
        <v>110.11357772772621</v>
      </c>
    </row>
    <row r="3777" spans="1:14" x14ac:dyDescent="0.25">
      <c r="A3777" t="str">
        <f>"14:53:20.031"</f>
        <v>14:53:20.031</v>
      </c>
      <c r="B3777">
        <v>40.462217000000003</v>
      </c>
      <c r="C3777">
        <v>-74.388684999999995</v>
      </c>
      <c r="D3777">
        <v>1700</v>
      </c>
      <c r="E3777">
        <v>1900</v>
      </c>
      <c r="F3777">
        <v>81</v>
      </c>
      <c r="G3777">
        <v>76</v>
      </c>
      <c r="H3777">
        <v>-64</v>
      </c>
      <c r="J3777" s="1">
        <f t="shared" si="290"/>
        <v>6561</v>
      </c>
      <c r="K3777" s="1">
        <f t="shared" si="291"/>
        <v>5776</v>
      </c>
      <c r="L3777" s="1">
        <f t="shared" si="292"/>
        <v>12337</v>
      </c>
      <c r="M3777" s="1">
        <f t="shared" si="293"/>
        <v>111.07204868912791</v>
      </c>
      <c r="N3777" s="7">
        <f t="shared" si="294"/>
        <v>111.07204868912791</v>
      </c>
    </row>
    <row r="3778" spans="1:14" x14ac:dyDescent="0.25">
      <c r="A3778" s="3" t="str">
        <f>"14:53:21.086"</f>
        <v>14:53:21.086</v>
      </c>
      <c r="B3778" s="3">
        <v>40.462603999999999</v>
      </c>
      <c r="C3778" s="3">
        <v>-74.388234999999995</v>
      </c>
      <c r="D3778" s="3">
        <v>1700</v>
      </c>
      <c r="E3778" s="3">
        <v>1900</v>
      </c>
      <c r="F3778" s="3">
        <v>77</v>
      </c>
      <c r="G3778" s="3">
        <v>80</v>
      </c>
      <c r="H3778" s="3">
        <v>64</v>
      </c>
      <c r="I3778" s="3"/>
      <c r="J3778" s="4">
        <f t="shared" si="290"/>
        <v>5929</v>
      </c>
      <c r="K3778" s="4">
        <f t="shared" si="291"/>
        <v>6400</v>
      </c>
      <c r="L3778" s="4">
        <f t="shared" si="292"/>
        <v>12329</v>
      </c>
      <c r="M3778" s="4">
        <f t="shared" si="293"/>
        <v>111.03603018840326</v>
      </c>
      <c r="N3778" s="8">
        <f t="shared" si="294"/>
        <v>111.03603018840326</v>
      </c>
    </row>
    <row r="3779" spans="1:14" x14ac:dyDescent="0.25">
      <c r="A3779" t="str">
        <f>"14:53:22.148"</f>
        <v>14:53:22.148</v>
      </c>
      <c r="B3779">
        <v>40.463054</v>
      </c>
      <c r="C3779">
        <v>-74.387763000000007</v>
      </c>
      <c r="D3779">
        <v>1700</v>
      </c>
      <c r="E3779">
        <v>1900</v>
      </c>
      <c r="F3779">
        <v>73</v>
      </c>
      <c r="G3779">
        <v>85</v>
      </c>
      <c r="H3779">
        <v>128</v>
      </c>
      <c r="J3779" s="1">
        <f t="shared" ref="J3779:J3842" si="295">F3779^2</f>
        <v>5329</v>
      </c>
      <c r="K3779" s="1">
        <f t="shared" ref="K3779:K3842" si="296">G3779^2</f>
        <v>7225</v>
      </c>
      <c r="L3779" s="1">
        <f t="shared" ref="L3779:L3842" si="297">SUMSQ(F3779,G3779)</f>
        <v>12554</v>
      </c>
      <c r="M3779" s="1">
        <f t="shared" ref="M3779:M3842" si="298">SQRT(L3779)</f>
        <v>112.04463396343441</v>
      </c>
      <c r="N3779" s="7">
        <f t="shared" ref="N3779:N3842" si="299">M3779</f>
        <v>112.04463396343441</v>
      </c>
    </row>
    <row r="3780" spans="1:14" x14ac:dyDescent="0.25">
      <c r="A3780" t="str">
        <f>"14:53:23.211"</f>
        <v>14:53:23.211</v>
      </c>
      <c r="B3780">
        <v>40.463462</v>
      </c>
      <c r="C3780">
        <v>-74.387398000000005</v>
      </c>
      <c r="D3780">
        <v>1700</v>
      </c>
      <c r="E3780">
        <v>1900</v>
      </c>
      <c r="F3780">
        <v>67</v>
      </c>
      <c r="G3780">
        <v>89</v>
      </c>
      <c r="H3780">
        <v>64</v>
      </c>
      <c r="J3780" s="1">
        <f t="shared" si="295"/>
        <v>4489</v>
      </c>
      <c r="K3780" s="1">
        <f t="shared" si="296"/>
        <v>7921</v>
      </c>
      <c r="L3780" s="1">
        <f t="shared" si="297"/>
        <v>12410</v>
      </c>
      <c r="M3780" s="1">
        <f t="shared" si="298"/>
        <v>111.40017953306898</v>
      </c>
      <c r="N3780" s="7">
        <f t="shared" si="299"/>
        <v>111.40017953306898</v>
      </c>
    </row>
    <row r="3781" spans="1:14" x14ac:dyDescent="0.25">
      <c r="A3781" t="str">
        <f>"14:53:24.117"</f>
        <v>14:53:24.117</v>
      </c>
      <c r="B3781">
        <v>40.463847999999999</v>
      </c>
      <c r="C3781">
        <v>-74.386989999999997</v>
      </c>
      <c r="D3781">
        <v>1700</v>
      </c>
      <c r="E3781">
        <v>1900</v>
      </c>
      <c r="F3781">
        <v>63</v>
      </c>
      <c r="G3781">
        <v>93</v>
      </c>
      <c r="H3781">
        <v>0</v>
      </c>
      <c r="J3781" s="1">
        <f t="shared" si="295"/>
        <v>3969</v>
      </c>
      <c r="K3781" s="1">
        <f t="shared" si="296"/>
        <v>8649</v>
      </c>
      <c r="L3781" s="1">
        <f t="shared" si="297"/>
        <v>12618</v>
      </c>
      <c r="M3781" s="1">
        <f t="shared" si="298"/>
        <v>112.32987136109433</v>
      </c>
      <c r="N3781" s="7">
        <f t="shared" si="299"/>
        <v>112.32987136109433</v>
      </c>
    </row>
    <row r="3782" spans="1:14" x14ac:dyDescent="0.25">
      <c r="A3782" t="str">
        <f>"14:53:25.125"</f>
        <v>14:53:25.125</v>
      </c>
      <c r="B3782">
        <v>40.464320000000001</v>
      </c>
      <c r="C3782">
        <v>-74.386690000000002</v>
      </c>
      <c r="D3782">
        <v>1700</v>
      </c>
      <c r="E3782">
        <v>1900</v>
      </c>
      <c r="F3782">
        <v>60</v>
      </c>
      <c r="G3782">
        <v>96</v>
      </c>
      <c r="H3782">
        <v>0</v>
      </c>
      <c r="J3782" s="1">
        <f t="shared" si="295"/>
        <v>3600</v>
      </c>
      <c r="K3782" s="1">
        <f t="shared" si="296"/>
        <v>9216</v>
      </c>
      <c r="L3782" s="1">
        <f t="shared" si="297"/>
        <v>12816</v>
      </c>
      <c r="M3782" s="1">
        <f t="shared" si="298"/>
        <v>113.20777358467925</v>
      </c>
      <c r="N3782" s="7">
        <f t="shared" si="299"/>
        <v>113.20777358467925</v>
      </c>
    </row>
    <row r="3783" spans="1:14" x14ac:dyDescent="0.25">
      <c r="A3783" t="str">
        <f>"14:53:26.039"</f>
        <v>14:53:26.039</v>
      </c>
      <c r="B3783">
        <v>40.464792000000003</v>
      </c>
      <c r="C3783">
        <v>-74.386368000000004</v>
      </c>
      <c r="D3783">
        <v>1700</v>
      </c>
      <c r="E3783">
        <v>1900</v>
      </c>
      <c r="F3783">
        <v>55</v>
      </c>
      <c r="G3783">
        <v>99</v>
      </c>
      <c r="H3783">
        <v>-128</v>
      </c>
      <c r="J3783" s="1">
        <f t="shared" si="295"/>
        <v>3025</v>
      </c>
      <c r="K3783" s="1">
        <f t="shared" si="296"/>
        <v>9801</v>
      </c>
      <c r="L3783" s="1">
        <f t="shared" si="297"/>
        <v>12826</v>
      </c>
      <c r="M3783" s="1">
        <f t="shared" si="298"/>
        <v>113.25193155085701</v>
      </c>
      <c r="N3783" s="7">
        <f t="shared" si="299"/>
        <v>113.25193155085701</v>
      </c>
    </row>
    <row r="3784" spans="1:14" x14ac:dyDescent="0.25">
      <c r="A3784" t="str">
        <f>"14:53:27.094"</f>
        <v>14:53:27.094</v>
      </c>
      <c r="B3784">
        <v>40.465243000000001</v>
      </c>
      <c r="C3784">
        <v>-74.386045999999993</v>
      </c>
      <c r="D3784">
        <v>1700</v>
      </c>
      <c r="E3784">
        <v>1900</v>
      </c>
      <c r="F3784">
        <v>51</v>
      </c>
      <c r="G3784">
        <v>103</v>
      </c>
      <c r="H3784">
        <v>-256</v>
      </c>
      <c r="J3784" s="1">
        <f t="shared" si="295"/>
        <v>2601</v>
      </c>
      <c r="K3784" s="1">
        <f t="shared" si="296"/>
        <v>10609</v>
      </c>
      <c r="L3784" s="1">
        <f t="shared" si="297"/>
        <v>13210</v>
      </c>
      <c r="M3784" s="1">
        <f t="shared" si="298"/>
        <v>114.93476410555685</v>
      </c>
      <c r="N3784" s="7">
        <f t="shared" si="299"/>
        <v>114.93476410555685</v>
      </c>
    </row>
    <row r="3785" spans="1:14" x14ac:dyDescent="0.25">
      <c r="A3785" t="str">
        <f>"14:53:28.055"</f>
        <v>14:53:28.055</v>
      </c>
      <c r="B3785">
        <v>40.465758000000001</v>
      </c>
      <c r="C3785">
        <v>-74.385745999999997</v>
      </c>
      <c r="D3785">
        <v>1600</v>
      </c>
      <c r="E3785">
        <v>1875</v>
      </c>
      <c r="F3785">
        <v>47</v>
      </c>
      <c r="G3785">
        <v>106</v>
      </c>
      <c r="H3785">
        <v>-384</v>
      </c>
      <c r="J3785" s="1">
        <f t="shared" si="295"/>
        <v>2209</v>
      </c>
      <c r="K3785" s="1">
        <f t="shared" si="296"/>
        <v>11236</v>
      </c>
      <c r="L3785" s="1">
        <f t="shared" si="297"/>
        <v>13445</v>
      </c>
      <c r="M3785" s="1">
        <f t="shared" si="298"/>
        <v>115.95257651298655</v>
      </c>
      <c r="N3785" s="7">
        <f t="shared" si="299"/>
        <v>115.95257651298655</v>
      </c>
    </row>
    <row r="3786" spans="1:14" x14ac:dyDescent="0.25">
      <c r="A3786" t="str">
        <f>"14:53:28.969"</f>
        <v>14:53:28.969</v>
      </c>
      <c r="B3786">
        <v>40.466208000000002</v>
      </c>
      <c r="C3786">
        <v>-74.385552000000004</v>
      </c>
      <c r="D3786">
        <v>1600</v>
      </c>
      <c r="E3786">
        <v>1875</v>
      </c>
      <c r="F3786">
        <v>43</v>
      </c>
      <c r="G3786">
        <v>108</v>
      </c>
      <c r="H3786">
        <v>-320</v>
      </c>
      <c r="J3786" s="1">
        <f t="shared" si="295"/>
        <v>1849</v>
      </c>
      <c r="K3786" s="1">
        <f t="shared" si="296"/>
        <v>11664</v>
      </c>
      <c r="L3786" s="1">
        <f t="shared" si="297"/>
        <v>13513</v>
      </c>
      <c r="M3786" s="1">
        <f t="shared" si="298"/>
        <v>116.24543001770004</v>
      </c>
      <c r="N3786" s="7">
        <f t="shared" si="299"/>
        <v>116.24543001770004</v>
      </c>
    </row>
    <row r="3787" spans="1:14" x14ac:dyDescent="0.25">
      <c r="A3787" t="str">
        <f>"14:53:30.023"</f>
        <v>14:53:30.023</v>
      </c>
      <c r="B3787">
        <v>40.466788000000001</v>
      </c>
      <c r="C3787">
        <v>-74.385251999999994</v>
      </c>
      <c r="D3787">
        <v>1600</v>
      </c>
      <c r="E3787">
        <v>1875</v>
      </c>
      <c r="F3787">
        <v>40</v>
      </c>
      <c r="G3787">
        <v>110</v>
      </c>
      <c r="H3787">
        <v>-320</v>
      </c>
      <c r="J3787" s="1">
        <f t="shared" si="295"/>
        <v>1600</v>
      </c>
      <c r="K3787" s="1">
        <f t="shared" si="296"/>
        <v>12100</v>
      </c>
      <c r="L3787" s="1">
        <f t="shared" si="297"/>
        <v>13700</v>
      </c>
      <c r="M3787" s="1">
        <f t="shared" si="298"/>
        <v>117.04699910719626</v>
      </c>
      <c r="N3787" s="7">
        <f t="shared" si="299"/>
        <v>117.04699910719626</v>
      </c>
    </row>
    <row r="3788" spans="1:14" x14ac:dyDescent="0.25">
      <c r="A3788" t="str">
        <f>"14:53:31.031"</f>
        <v>14:53:31.031</v>
      </c>
      <c r="B3788">
        <v>40.467303000000001</v>
      </c>
      <c r="C3788">
        <v>-74.385058999999998</v>
      </c>
      <c r="D3788">
        <v>1600</v>
      </c>
      <c r="E3788">
        <v>1875</v>
      </c>
      <c r="F3788">
        <v>38</v>
      </c>
      <c r="G3788">
        <v>112</v>
      </c>
      <c r="H3788">
        <v>-192</v>
      </c>
      <c r="J3788" s="1">
        <f t="shared" si="295"/>
        <v>1444</v>
      </c>
      <c r="K3788" s="1">
        <f t="shared" si="296"/>
        <v>12544</v>
      </c>
      <c r="L3788" s="1">
        <f t="shared" si="297"/>
        <v>13988</v>
      </c>
      <c r="M3788" s="1">
        <f t="shared" si="298"/>
        <v>118.27087553578015</v>
      </c>
      <c r="N3788" s="7">
        <f t="shared" si="299"/>
        <v>118.27087553578015</v>
      </c>
    </row>
    <row r="3789" spans="1:14" x14ac:dyDescent="0.25">
      <c r="A3789" t="str">
        <f>"14:53:31.992"</f>
        <v>14:53:31.992</v>
      </c>
      <c r="B3789">
        <v>40.467775000000003</v>
      </c>
      <c r="C3789">
        <v>-74.384822999999997</v>
      </c>
      <c r="D3789">
        <v>1600</v>
      </c>
      <c r="E3789">
        <v>1875</v>
      </c>
      <c r="F3789">
        <v>38</v>
      </c>
      <c r="G3789">
        <v>112</v>
      </c>
      <c r="H3789">
        <v>-128</v>
      </c>
      <c r="J3789" s="1">
        <f t="shared" si="295"/>
        <v>1444</v>
      </c>
      <c r="K3789" s="1">
        <f t="shared" si="296"/>
        <v>12544</v>
      </c>
      <c r="L3789" s="1">
        <f t="shared" si="297"/>
        <v>13988</v>
      </c>
      <c r="M3789" s="1">
        <f t="shared" si="298"/>
        <v>118.27087553578015</v>
      </c>
      <c r="N3789" s="7">
        <f t="shared" si="299"/>
        <v>118.27087553578015</v>
      </c>
    </row>
    <row r="3790" spans="1:14" x14ac:dyDescent="0.25">
      <c r="A3790" t="str">
        <f>"14:53:33.508"</f>
        <v>14:53:33.508</v>
      </c>
      <c r="B3790">
        <v>40.468589999999999</v>
      </c>
      <c r="C3790">
        <v>-74.384457999999995</v>
      </c>
      <c r="D3790">
        <v>1600</v>
      </c>
      <c r="E3790">
        <v>1875</v>
      </c>
      <c r="F3790">
        <v>39</v>
      </c>
      <c r="G3790">
        <v>112</v>
      </c>
      <c r="H3790">
        <v>-64</v>
      </c>
      <c r="J3790" s="1">
        <f t="shared" si="295"/>
        <v>1521</v>
      </c>
      <c r="K3790" s="1">
        <f t="shared" si="296"/>
        <v>12544</v>
      </c>
      <c r="L3790" s="1">
        <f t="shared" si="297"/>
        <v>14065</v>
      </c>
      <c r="M3790" s="1">
        <f t="shared" si="298"/>
        <v>118.59595271340417</v>
      </c>
      <c r="N3790" s="7">
        <f t="shared" si="299"/>
        <v>118.59595271340417</v>
      </c>
    </row>
    <row r="3791" spans="1:14" x14ac:dyDescent="0.25">
      <c r="A3791" t="str">
        <f>"14:53:34.617"</f>
        <v>14:53:34.617</v>
      </c>
      <c r="B3791">
        <v>40.469169999999998</v>
      </c>
      <c r="C3791">
        <v>-74.384179000000003</v>
      </c>
      <c r="D3791">
        <v>1600</v>
      </c>
      <c r="E3791">
        <v>1875</v>
      </c>
      <c r="F3791">
        <v>41</v>
      </c>
      <c r="G3791">
        <v>111</v>
      </c>
      <c r="H3791">
        <v>-128</v>
      </c>
      <c r="J3791" s="1">
        <f t="shared" si="295"/>
        <v>1681</v>
      </c>
      <c r="K3791" s="1">
        <f t="shared" si="296"/>
        <v>12321</v>
      </c>
      <c r="L3791" s="1">
        <f t="shared" si="297"/>
        <v>14002</v>
      </c>
      <c r="M3791" s="1">
        <f t="shared" si="298"/>
        <v>118.33004690272035</v>
      </c>
      <c r="N3791" s="7">
        <f t="shared" si="299"/>
        <v>118.33004690272035</v>
      </c>
    </row>
    <row r="3792" spans="1:14" x14ac:dyDescent="0.25">
      <c r="A3792" t="str">
        <f>"14:53:35.781"</f>
        <v>14:53:35.781</v>
      </c>
      <c r="B3792">
        <v>40.469706000000002</v>
      </c>
      <c r="C3792">
        <v>-74.383921999999998</v>
      </c>
      <c r="D3792">
        <v>1600</v>
      </c>
      <c r="E3792">
        <v>1850</v>
      </c>
      <c r="F3792">
        <v>43</v>
      </c>
      <c r="G3792">
        <v>111</v>
      </c>
      <c r="H3792">
        <v>-256</v>
      </c>
      <c r="J3792" s="1">
        <f t="shared" si="295"/>
        <v>1849</v>
      </c>
      <c r="K3792" s="1">
        <f t="shared" si="296"/>
        <v>12321</v>
      </c>
      <c r="L3792" s="1">
        <f t="shared" si="297"/>
        <v>14170</v>
      </c>
      <c r="M3792" s="1">
        <f t="shared" si="298"/>
        <v>119.03780911962384</v>
      </c>
      <c r="N3792" s="7">
        <f t="shared" si="299"/>
        <v>119.03780911962384</v>
      </c>
    </row>
    <row r="3793" spans="1:14" x14ac:dyDescent="0.25">
      <c r="A3793" t="str">
        <f>"14:53:36.789"</f>
        <v>14:53:36.789</v>
      </c>
      <c r="B3793">
        <v>40.470243000000004</v>
      </c>
      <c r="C3793">
        <v>-74.383600000000001</v>
      </c>
      <c r="D3793">
        <v>1600</v>
      </c>
      <c r="E3793">
        <v>1850</v>
      </c>
      <c r="F3793">
        <v>45</v>
      </c>
      <c r="G3793">
        <v>110</v>
      </c>
      <c r="H3793">
        <v>-640</v>
      </c>
      <c r="J3793" s="1">
        <f t="shared" si="295"/>
        <v>2025</v>
      </c>
      <c r="K3793" s="1">
        <f t="shared" si="296"/>
        <v>12100</v>
      </c>
      <c r="L3793" s="1">
        <f t="shared" si="297"/>
        <v>14125</v>
      </c>
      <c r="M3793" s="1">
        <f t="shared" si="298"/>
        <v>118.84864324004712</v>
      </c>
      <c r="N3793" s="7">
        <f t="shared" si="299"/>
        <v>118.84864324004712</v>
      </c>
    </row>
    <row r="3794" spans="1:14" x14ac:dyDescent="0.25">
      <c r="A3794" t="str">
        <f>"14:53:37.852"</f>
        <v>14:53:37.852</v>
      </c>
      <c r="B3794">
        <v>40.470799999999997</v>
      </c>
      <c r="C3794">
        <v>-74.383256000000003</v>
      </c>
      <c r="D3794">
        <v>1600</v>
      </c>
      <c r="E3794">
        <v>1850</v>
      </c>
      <c r="F3794">
        <v>48</v>
      </c>
      <c r="G3794">
        <v>110</v>
      </c>
      <c r="H3794">
        <v>-832</v>
      </c>
      <c r="J3794" s="1">
        <f t="shared" si="295"/>
        <v>2304</v>
      </c>
      <c r="K3794" s="1">
        <f t="shared" si="296"/>
        <v>12100</v>
      </c>
      <c r="L3794" s="1">
        <f t="shared" si="297"/>
        <v>14404</v>
      </c>
      <c r="M3794" s="1">
        <f t="shared" si="298"/>
        <v>120.01666550941998</v>
      </c>
      <c r="N3794" s="7">
        <f t="shared" si="299"/>
        <v>120.01666550941998</v>
      </c>
    </row>
    <row r="3795" spans="1:14" x14ac:dyDescent="0.25">
      <c r="A3795" t="str">
        <f>"14:53:38.813"</f>
        <v>14:53:38.813</v>
      </c>
      <c r="B3795">
        <v>40.471251000000002</v>
      </c>
      <c r="C3795">
        <v>-74.382998999999998</v>
      </c>
      <c r="D3795">
        <v>1600</v>
      </c>
      <c r="E3795">
        <v>1825</v>
      </c>
      <c r="F3795">
        <v>51</v>
      </c>
      <c r="G3795">
        <v>110</v>
      </c>
      <c r="H3795">
        <v>-832</v>
      </c>
      <c r="J3795" s="1">
        <f t="shared" si="295"/>
        <v>2601</v>
      </c>
      <c r="K3795" s="1">
        <f t="shared" si="296"/>
        <v>12100</v>
      </c>
      <c r="L3795" s="1">
        <f t="shared" si="297"/>
        <v>14701</v>
      </c>
      <c r="M3795" s="1">
        <f t="shared" si="298"/>
        <v>121.24768039018313</v>
      </c>
      <c r="N3795" s="7">
        <f t="shared" si="299"/>
        <v>121.24768039018313</v>
      </c>
    </row>
    <row r="3796" spans="1:14" x14ac:dyDescent="0.25">
      <c r="A3796" t="str">
        <f>"14:53:39.617"</f>
        <v>14:53:39.617</v>
      </c>
      <c r="B3796">
        <v>40.471722999999997</v>
      </c>
      <c r="C3796">
        <v>-74.382677000000001</v>
      </c>
      <c r="D3796">
        <v>1500</v>
      </c>
      <c r="E3796">
        <v>1900</v>
      </c>
      <c r="F3796">
        <v>53</v>
      </c>
      <c r="G3796">
        <v>110</v>
      </c>
      <c r="H3796">
        <v>-896</v>
      </c>
      <c r="J3796" s="1">
        <f t="shared" si="295"/>
        <v>2809</v>
      </c>
      <c r="K3796" s="1">
        <f t="shared" si="296"/>
        <v>12100</v>
      </c>
      <c r="L3796" s="1">
        <f t="shared" si="297"/>
        <v>14909</v>
      </c>
      <c r="M3796" s="1">
        <f t="shared" si="298"/>
        <v>122.10241602851272</v>
      </c>
      <c r="N3796" s="7">
        <f t="shared" si="299"/>
        <v>122.10241602851272</v>
      </c>
    </row>
    <row r="3797" spans="1:14" x14ac:dyDescent="0.25">
      <c r="A3797" t="str">
        <f>"14:53:40.633"</f>
        <v>14:53:40.633</v>
      </c>
      <c r="B3797">
        <v>40.472174000000003</v>
      </c>
      <c r="C3797">
        <v>-74.382377000000005</v>
      </c>
      <c r="D3797">
        <v>1500</v>
      </c>
      <c r="E3797">
        <v>1800</v>
      </c>
      <c r="F3797">
        <v>55</v>
      </c>
      <c r="G3797">
        <v>110</v>
      </c>
      <c r="H3797">
        <v>-896</v>
      </c>
      <c r="J3797" s="1">
        <f t="shared" si="295"/>
        <v>3025</v>
      </c>
      <c r="K3797" s="1">
        <f t="shared" si="296"/>
        <v>12100</v>
      </c>
      <c r="L3797" s="1">
        <f t="shared" si="297"/>
        <v>15125</v>
      </c>
      <c r="M3797" s="1">
        <f t="shared" si="298"/>
        <v>122.98373876248843</v>
      </c>
      <c r="N3797" s="7">
        <f t="shared" si="299"/>
        <v>122.98373876248843</v>
      </c>
    </row>
    <row r="3798" spans="1:14" x14ac:dyDescent="0.25">
      <c r="A3798" t="str">
        <f>"14:53:41.688"</f>
        <v>14:53:41.688</v>
      </c>
      <c r="B3798">
        <v>40.472752999999997</v>
      </c>
      <c r="C3798">
        <v>-74.381990000000002</v>
      </c>
      <c r="D3798">
        <v>1500</v>
      </c>
      <c r="E3798">
        <v>1800</v>
      </c>
      <c r="F3798">
        <v>56</v>
      </c>
      <c r="G3798">
        <v>110</v>
      </c>
      <c r="H3798">
        <v>-896</v>
      </c>
      <c r="J3798" s="1">
        <f t="shared" si="295"/>
        <v>3136</v>
      </c>
      <c r="K3798" s="1">
        <f t="shared" si="296"/>
        <v>12100</v>
      </c>
      <c r="L3798" s="1">
        <f t="shared" si="297"/>
        <v>15236</v>
      </c>
      <c r="M3798" s="1">
        <f t="shared" si="298"/>
        <v>123.43419299367578</v>
      </c>
      <c r="N3798" s="7">
        <f t="shared" si="299"/>
        <v>123.43419299367578</v>
      </c>
    </row>
    <row r="3799" spans="1:14" x14ac:dyDescent="0.25">
      <c r="A3799" t="str">
        <f>"14:53:42.805"</f>
        <v>14:53:42.805</v>
      </c>
      <c r="B3799">
        <v>40.473311000000002</v>
      </c>
      <c r="C3799">
        <v>-74.381583000000006</v>
      </c>
      <c r="D3799">
        <v>1500</v>
      </c>
      <c r="E3799">
        <v>1775</v>
      </c>
      <c r="F3799">
        <v>59</v>
      </c>
      <c r="G3799">
        <v>110</v>
      </c>
      <c r="H3799">
        <v>-896</v>
      </c>
      <c r="J3799" s="1">
        <f t="shared" si="295"/>
        <v>3481</v>
      </c>
      <c r="K3799" s="1">
        <f t="shared" si="296"/>
        <v>12100</v>
      </c>
      <c r="L3799" s="1">
        <f t="shared" si="297"/>
        <v>15581</v>
      </c>
      <c r="M3799" s="1">
        <f t="shared" si="298"/>
        <v>124.82387592123551</v>
      </c>
      <c r="N3799" s="7">
        <f t="shared" si="299"/>
        <v>124.82387592123551</v>
      </c>
    </row>
    <row r="3800" spans="1:14" x14ac:dyDescent="0.25">
      <c r="A3800" t="str">
        <f>"14:53:43.758"</f>
        <v>14:53:43.758</v>
      </c>
      <c r="B3800">
        <v>40.473826000000003</v>
      </c>
      <c r="C3800">
        <v>-74.381218000000004</v>
      </c>
      <c r="D3800">
        <v>1500</v>
      </c>
      <c r="E3800">
        <v>1750</v>
      </c>
      <c r="F3800">
        <v>60</v>
      </c>
      <c r="G3800">
        <v>110</v>
      </c>
      <c r="H3800">
        <v>-896</v>
      </c>
      <c r="J3800" s="1">
        <f t="shared" si="295"/>
        <v>3600</v>
      </c>
      <c r="K3800" s="1">
        <f t="shared" si="296"/>
        <v>12100</v>
      </c>
      <c r="L3800" s="1">
        <f t="shared" si="297"/>
        <v>15700</v>
      </c>
      <c r="M3800" s="1">
        <f t="shared" si="298"/>
        <v>125.29964086141668</v>
      </c>
      <c r="N3800" s="7">
        <f t="shared" si="299"/>
        <v>125.29964086141668</v>
      </c>
    </row>
    <row r="3801" spans="1:14" x14ac:dyDescent="0.25">
      <c r="A3801" t="str">
        <f>"14:53:44.820"</f>
        <v>14:53:44.820</v>
      </c>
      <c r="B3801">
        <v>40.474319000000001</v>
      </c>
      <c r="C3801">
        <v>-74.380853000000002</v>
      </c>
      <c r="D3801">
        <v>1500</v>
      </c>
      <c r="E3801">
        <v>1725</v>
      </c>
      <c r="F3801">
        <v>62</v>
      </c>
      <c r="G3801">
        <v>111</v>
      </c>
      <c r="H3801">
        <v>-832</v>
      </c>
      <c r="J3801" s="1">
        <f t="shared" si="295"/>
        <v>3844</v>
      </c>
      <c r="K3801" s="1">
        <f t="shared" si="296"/>
        <v>12321</v>
      </c>
      <c r="L3801" s="1">
        <f t="shared" si="297"/>
        <v>16165</v>
      </c>
      <c r="M3801" s="1">
        <f t="shared" si="298"/>
        <v>127.1416532848303</v>
      </c>
      <c r="N3801" s="7">
        <f t="shared" si="299"/>
        <v>127.1416532848303</v>
      </c>
    </row>
    <row r="3802" spans="1:14" x14ac:dyDescent="0.25">
      <c r="A3802" t="str">
        <f>"14:53:45.781"</f>
        <v>14:53:45.781</v>
      </c>
      <c r="B3802">
        <v>40.474812999999997</v>
      </c>
      <c r="C3802">
        <v>-74.380488</v>
      </c>
      <c r="D3802">
        <v>1500</v>
      </c>
      <c r="E3802">
        <v>1725</v>
      </c>
      <c r="F3802">
        <v>62</v>
      </c>
      <c r="G3802">
        <v>112</v>
      </c>
      <c r="H3802">
        <v>-768</v>
      </c>
      <c r="J3802" s="1">
        <f t="shared" si="295"/>
        <v>3844</v>
      </c>
      <c r="K3802" s="1">
        <f t="shared" si="296"/>
        <v>12544</v>
      </c>
      <c r="L3802" s="1">
        <f t="shared" si="297"/>
        <v>16388</v>
      </c>
      <c r="M3802" s="1">
        <f t="shared" si="298"/>
        <v>128.01562404644207</v>
      </c>
      <c r="N3802" s="7">
        <f t="shared" si="299"/>
        <v>128.01562404644207</v>
      </c>
    </row>
    <row r="3803" spans="1:14" x14ac:dyDescent="0.25">
      <c r="A3803" t="str">
        <f>"14:53:46.641"</f>
        <v>14:53:46.641</v>
      </c>
      <c r="B3803">
        <v>40.475307000000001</v>
      </c>
      <c r="C3803">
        <v>-74.380123999999995</v>
      </c>
      <c r="D3803">
        <v>1500</v>
      </c>
      <c r="E3803">
        <v>1700</v>
      </c>
      <c r="F3803">
        <v>63</v>
      </c>
      <c r="G3803">
        <v>112</v>
      </c>
      <c r="H3803">
        <v>-640</v>
      </c>
      <c r="J3803" s="1">
        <f t="shared" si="295"/>
        <v>3969</v>
      </c>
      <c r="K3803" s="1">
        <f t="shared" si="296"/>
        <v>12544</v>
      </c>
      <c r="L3803" s="1">
        <f t="shared" si="297"/>
        <v>16513</v>
      </c>
      <c r="M3803" s="1">
        <f t="shared" si="298"/>
        <v>128.50291825480073</v>
      </c>
      <c r="N3803" s="7">
        <f t="shared" si="299"/>
        <v>128.50291825480073</v>
      </c>
    </row>
    <row r="3804" spans="1:14" x14ac:dyDescent="0.25">
      <c r="A3804" t="str">
        <f>"14:53:47.797"</f>
        <v>14:53:47.797</v>
      </c>
      <c r="B3804">
        <v>40.475906999999999</v>
      </c>
      <c r="C3804">
        <v>-74.379694000000001</v>
      </c>
      <c r="D3804">
        <v>1500</v>
      </c>
      <c r="E3804">
        <v>1700</v>
      </c>
      <c r="F3804">
        <v>63</v>
      </c>
      <c r="G3804">
        <v>113</v>
      </c>
      <c r="H3804">
        <v>-640</v>
      </c>
      <c r="J3804" s="1">
        <f t="shared" si="295"/>
        <v>3969</v>
      </c>
      <c r="K3804" s="1">
        <f t="shared" si="296"/>
        <v>12769</v>
      </c>
      <c r="L3804" s="1">
        <f t="shared" si="297"/>
        <v>16738</v>
      </c>
      <c r="M3804" s="1">
        <f t="shared" si="298"/>
        <v>129.37542270462347</v>
      </c>
      <c r="N3804" s="7">
        <f t="shared" si="299"/>
        <v>129.37542270462347</v>
      </c>
    </row>
    <row r="3805" spans="1:14" x14ac:dyDescent="0.25">
      <c r="A3805" t="str">
        <f>"14:53:48.758"</f>
        <v>14:53:48.758</v>
      </c>
      <c r="B3805">
        <v>40.476379000000001</v>
      </c>
      <c r="C3805">
        <v>-74.379329999999996</v>
      </c>
      <c r="D3805">
        <v>1500</v>
      </c>
      <c r="E3805">
        <v>1700</v>
      </c>
      <c r="F3805">
        <v>63</v>
      </c>
      <c r="G3805">
        <v>113</v>
      </c>
      <c r="H3805">
        <v>-640</v>
      </c>
      <c r="J3805" s="1">
        <f t="shared" si="295"/>
        <v>3969</v>
      </c>
      <c r="K3805" s="1">
        <f t="shared" si="296"/>
        <v>12769</v>
      </c>
      <c r="L3805" s="1">
        <f t="shared" si="297"/>
        <v>16738</v>
      </c>
      <c r="M3805" s="1">
        <f t="shared" si="298"/>
        <v>129.37542270462347</v>
      </c>
      <c r="N3805" s="7">
        <f t="shared" si="299"/>
        <v>129.37542270462347</v>
      </c>
    </row>
    <row r="3806" spans="1:14" x14ac:dyDescent="0.25">
      <c r="A3806" t="str">
        <f>"14:53:49.617"</f>
        <v>14:53:49.617</v>
      </c>
      <c r="B3806">
        <v>40.47683</v>
      </c>
      <c r="C3806">
        <v>-74.379029000000003</v>
      </c>
      <c r="D3806">
        <v>1400</v>
      </c>
      <c r="E3806">
        <v>1775</v>
      </c>
      <c r="F3806">
        <v>63</v>
      </c>
      <c r="G3806">
        <v>114</v>
      </c>
      <c r="H3806">
        <v>-640</v>
      </c>
      <c r="J3806" s="1">
        <f t="shared" si="295"/>
        <v>3969</v>
      </c>
      <c r="K3806" s="1">
        <f t="shared" si="296"/>
        <v>12996</v>
      </c>
      <c r="L3806" s="1">
        <f t="shared" si="297"/>
        <v>16965</v>
      </c>
      <c r="M3806" s="1">
        <f t="shared" si="298"/>
        <v>130.24976007655445</v>
      </c>
      <c r="N3806" s="7">
        <f t="shared" si="299"/>
        <v>130.24976007655445</v>
      </c>
    </row>
    <row r="3807" spans="1:14" x14ac:dyDescent="0.25">
      <c r="A3807" t="str">
        <f>"14:53:50.578"</f>
        <v>14:53:50.578</v>
      </c>
      <c r="B3807">
        <v>40.477345</v>
      </c>
      <c r="C3807">
        <v>-74.378664000000001</v>
      </c>
      <c r="D3807">
        <v>1400</v>
      </c>
      <c r="E3807">
        <v>1675</v>
      </c>
      <c r="F3807">
        <v>62</v>
      </c>
      <c r="G3807">
        <v>115</v>
      </c>
      <c r="H3807">
        <v>-576</v>
      </c>
      <c r="J3807" s="1">
        <f t="shared" si="295"/>
        <v>3844</v>
      </c>
      <c r="K3807" s="1">
        <f t="shared" si="296"/>
        <v>13225</v>
      </c>
      <c r="L3807" s="1">
        <f t="shared" si="297"/>
        <v>17069</v>
      </c>
      <c r="M3807" s="1">
        <f t="shared" si="298"/>
        <v>130.64838307457157</v>
      </c>
      <c r="N3807" s="7">
        <f t="shared" si="299"/>
        <v>130.64838307457157</v>
      </c>
    </row>
    <row r="3808" spans="1:14" x14ac:dyDescent="0.25">
      <c r="A3808" t="str">
        <f>"14:53:51.641"</f>
        <v>14:53:51.641</v>
      </c>
      <c r="B3808">
        <v>40.477967</v>
      </c>
      <c r="C3808">
        <v>-74.378257000000005</v>
      </c>
      <c r="D3808">
        <v>1400</v>
      </c>
      <c r="E3808">
        <v>1675</v>
      </c>
      <c r="F3808">
        <v>62</v>
      </c>
      <c r="G3808">
        <v>116</v>
      </c>
      <c r="H3808">
        <v>-576</v>
      </c>
      <c r="J3808" s="1">
        <f t="shared" si="295"/>
        <v>3844</v>
      </c>
      <c r="K3808" s="1">
        <f t="shared" si="296"/>
        <v>13456</v>
      </c>
      <c r="L3808" s="1">
        <f t="shared" si="297"/>
        <v>17300</v>
      </c>
      <c r="M3808" s="1">
        <f t="shared" si="298"/>
        <v>131.52946437965906</v>
      </c>
      <c r="N3808" s="7">
        <f t="shared" si="299"/>
        <v>131.52946437965906</v>
      </c>
    </row>
    <row r="3809" spans="1:14" x14ac:dyDescent="0.25">
      <c r="A3809" t="str">
        <f>"14:53:52.500"</f>
        <v>14:53:52.500</v>
      </c>
      <c r="B3809">
        <v>40.478439000000002</v>
      </c>
      <c r="C3809">
        <v>-74.377934999999994</v>
      </c>
      <c r="D3809">
        <v>1400</v>
      </c>
      <c r="E3809">
        <v>1650</v>
      </c>
      <c r="F3809">
        <v>61</v>
      </c>
      <c r="G3809">
        <v>116</v>
      </c>
      <c r="H3809">
        <v>-512</v>
      </c>
      <c r="J3809" s="1">
        <f t="shared" si="295"/>
        <v>3721</v>
      </c>
      <c r="K3809" s="1">
        <f t="shared" si="296"/>
        <v>13456</v>
      </c>
      <c r="L3809" s="1">
        <f t="shared" si="297"/>
        <v>17177</v>
      </c>
      <c r="M3809" s="1">
        <f t="shared" si="298"/>
        <v>131.06105447462264</v>
      </c>
      <c r="N3809" s="7">
        <f t="shared" si="299"/>
        <v>131.06105447462264</v>
      </c>
    </row>
    <row r="3810" spans="1:14" x14ac:dyDescent="0.25">
      <c r="A3810" t="str">
        <f>"14:53:53.563"</f>
        <v>14:53:53.563</v>
      </c>
      <c r="B3810">
        <v>40.478997</v>
      </c>
      <c r="C3810">
        <v>-74.377570000000006</v>
      </c>
      <c r="D3810">
        <v>1400</v>
      </c>
      <c r="E3810">
        <v>1650</v>
      </c>
      <c r="F3810">
        <v>61</v>
      </c>
      <c r="G3810">
        <v>117</v>
      </c>
      <c r="H3810">
        <v>-576</v>
      </c>
      <c r="J3810" s="1">
        <f t="shared" si="295"/>
        <v>3721</v>
      </c>
      <c r="K3810" s="1">
        <f t="shared" si="296"/>
        <v>13689</v>
      </c>
      <c r="L3810" s="1">
        <f t="shared" si="297"/>
        <v>17410</v>
      </c>
      <c r="M3810" s="1">
        <f t="shared" si="298"/>
        <v>131.94695904036593</v>
      </c>
      <c r="N3810" s="7">
        <f t="shared" si="299"/>
        <v>131.94695904036593</v>
      </c>
    </row>
    <row r="3811" spans="1:14" x14ac:dyDescent="0.25">
      <c r="A3811" t="str">
        <f>"14:53:54.570"</f>
        <v>14:53:54.570</v>
      </c>
      <c r="B3811">
        <v>40.479534000000001</v>
      </c>
      <c r="C3811">
        <v>-74.377205000000004</v>
      </c>
      <c r="D3811">
        <v>1400</v>
      </c>
      <c r="E3811">
        <v>1625</v>
      </c>
      <c r="F3811">
        <v>60</v>
      </c>
      <c r="G3811">
        <v>118</v>
      </c>
      <c r="H3811">
        <v>-576</v>
      </c>
      <c r="J3811" s="1">
        <f t="shared" si="295"/>
        <v>3600</v>
      </c>
      <c r="K3811" s="1">
        <f t="shared" si="296"/>
        <v>13924</v>
      </c>
      <c r="L3811" s="1">
        <f t="shared" si="297"/>
        <v>17524</v>
      </c>
      <c r="M3811" s="1">
        <f t="shared" si="298"/>
        <v>132.3782459469833</v>
      </c>
      <c r="N3811" s="7">
        <f t="shared" si="299"/>
        <v>132.3782459469833</v>
      </c>
    </row>
    <row r="3812" spans="1:14" x14ac:dyDescent="0.25">
      <c r="A3812" t="str">
        <f>"14:53:55.477"</f>
        <v>14:53:55.477</v>
      </c>
      <c r="B3812">
        <v>40.480006000000003</v>
      </c>
      <c r="C3812">
        <v>-74.376884000000004</v>
      </c>
      <c r="D3812">
        <v>1400</v>
      </c>
      <c r="E3812">
        <v>1625</v>
      </c>
      <c r="F3812">
        <v>60</v>
      </c>
      <c r="G3812">
        <v>119</v>
      </c>
      <c r="H3812">
        <v>-640</v>
      </c>
      <c r="J3812" s="1">
        <f t="shared" si="295"/>
        <v>3600</v>
      </c>
      <c r="K3812" s="1">
        <f t="shared" si="296"/>
        <v>14161</v>
      </c>
      <c r="L3812" s="1">
        <f t="shared" si="297"/>
        <v>17761</v>
      </c>
      <c r="M3812" s="1">
        <f t="shared" si="298"/>
        <v>133.27040181525678</v>
      </c>
      <c r="N3812" s="7">
        <f t="shared" si="299"/>
        <v>133.27040181525678</v>
      </c>
    </row>
    <row r="3813" spans="1:14" x14ac:dyDescent="0.25">
      <c r="A3813" t="str">
        <f>"14:53:56.539"</f>
        <v>14:53:56.539</v>
      </c>
      <c r="B3813">
        <v>40.480628000000003</v>
      </c>
      <c r="C3813">
        <v>-74.376453999999995</v>
      </c>
      <c r="D3813">
        <v>1400</v>
      </c>
      <c r="E3813">
        <v>1625</v>
      </c>
      <c r="F3813">
        <v>60</v>
      </c>
      <c r="G3813">
        <v>119</v>
      </c>
      <c r="H3813">
        <v>-640</v>
      </c>
      <c r="J3813" s="1">
        <f t="shared" si="295"/>
        <v>3600</v>
      </c>
      <c r="K3813" s="1">
        <f t="shared" si="296"/>
        <v>14161</v>
      </c>
      <c r="L3813" s="1">
        <f t="shared" si="297"/>
        <v>17761</v>
      </c>
      <c r="M3813" s="1">
        <f t="shared" si="298"/>
        <v>133.27040181525678</v>
      </c>
      <c r="N3813" s="7">
        <f t="shared" si="299"/>
        <v>133.27040181525678</v>
      </c>
    </row>
    <row r="3814" spans="1:14" x14ac:dyDescent="0.25">
      <c r="A3814" t="str">
        <f>"14:53:57.547"</f>
        <v>14:53:57.547</v>
      </c>
      <c r="B3814">
        <v>40.481186000000001</v>
      </c>
      <c r="C3814">
        <v>-74.376090000000005</v>
      </c>
      <c r="D3814">
        <v>1300</v>
      </c>
      <c r="E3814">
        <v>1600</v>
      </c>
      <c r="F3814">
        <v>59</v>
      </c>
      <c r="G3814">
        <v>120</v>
      </c>
      <c r="H3814">
        <v>-704</v>
      </c>
      <c r="J3814" s="1">
        <f t="shared" si="295"/>
        <v>3481</v>
      </c>
      <c r="K3814" s="1">
        <f t="shared" si="296"/>
        <v>14400</v>
      </c>
      <c r="L3814" s="1">
        <f t="shared" si="297"/>
        <v>17881</v>
      </c>
      <c r="M3814" s="1">
        <f t="shared" si="298"/>
        <v>133.71985641631537</v>
      </c>
      <c r="N3814" s="7">
        <f t="shared" si="299"/>
        <v>133.71985641631537</v>
      </c>
    </row>
    <row r="3815" spans="1:14" x14ac:dyDescent="0.25">
      <c r="A3815" t="str">
        <f>"14:53:58.609"</f>
        <v>14:53:58.609</v>
      </c>
      <c r="B3815">
        <v>40.481830000000002</v>
      </c>
      <c r="C3815">
        <v>-74.375746000000007</v>
      </c>
      <c r="D3815">
        <v>1300</v>
      </c>
      <c r="E3815">
        <v>1600</v>
      </c>
      <c r="F3815">
        <v>58</v>
      </c>
      <c r="G3815">
        <v>121</v>
      </c>
      <c r="H3815">
        <v>-704</v>
      </c>
      <c r="J3815" s="1">
        <f t="shared" si="295"/>
        <v>3364</v>
      </c>
      <c r="K3815" s="1">
        <f t="shared" si="296"/>
        <v>14641</v>
      </c>
      <c r="L3815" s="1">
        <f t="shared" si="297"/>
        <v>18005</v>
      </c>
      <c r="M3815" s="1">
        <f t="shared" si="298"/>
        <v>134.18271125595876</v>
      </c>
      <c r="N3815" s="7">
        <f t="shared" si="299"/>
        <v>134.18271125595876</v>
      </c>
    </row>
    <row r="3816" spans="1:14" x14ac:dyDescent="0.25">
      <c r="A3816" t="str">
        <f>"14:53:59.664"</f>
        <v>14:53:59.664</v>
      </c>
      <c r="B3816">
        <v>40.482388</v>
      </c>
      <c r="C3816">
        <v>-74.375381000000004</v>
      </c>
      <c r="D3816">
        <v>1300</v>
      </c>
      <c r="E3816">
        <v>1575</v>
      </c>
      <c r="F3816">
        <v>58</v>
      </c>
      <c r="G3816">
        <v>122</v>
      </c>
      <c r="H3816">
        <v>-704</v>
      </c>
      <c r="J3816" s="1">
        <f t="shared" si="295"/>
        <v>3364</v>
      </c>
      <c r="K3816" s="1">
        <f t="shared" si="296"/>
        <v>14884</v>
      </c>
      <c r="L3816" s="1">
        <f t="shared" si="297"/>
        <v>18248</v>
      </c>
      <c r="M3816" s="1">
        <f t="shared" si="298"/>
        <v>135.08515832614626</v>
      </c>
      <c r="N3816" s="7">
        <f t="shared" si="299"/>
        <v>135.08515832614626</v>
      </c>
    </row>
    <row r="3817" spans="1:14" x14ac:dyDescent="0.25">
      <c r="A3817" t="str">
        <f>"14:54:00.727"</f>
        <v>14:54:00.727</v>
      </c>
      <c r="B3817">
        <v>40.482967000000002</v>
      </c>
      <c r="C3817">
        <v>-74.374994999999998</v>
      </c>
      <c r="D3817">
        <v>1300</v>
      </c>
      <c r="E3817">
        <v>1575</v>
      </c>
      <c r="F3817">
        <v>58</v>
      </c>
      <c r="G3817">
        <v>122</v>
      </c>
      <c r="H3817">
        <v>-704</v>
      </c>
      <c r="J3817" s="1">
        <f t="shared" si="295"/>
        <v>3364</v>
      </c>
      <c r="K3817" s="1">
        <f t="shared" si="296"/>
        <v>14884</v>
      </c>
      <c r="L3817" s="1">
        <f t="shared" si="297"/>
        <v>18248</v>
      </c>
      <c r="M3817" s="1">
        <f t="shared" si="298"/>
        <v>135.08515832614626</v>
      </c>
      <c r="N3817" s="7">
        <f t="shared" si="299"/>
        <v>135.08515832614626</v>
      </c>
    </row>
    <row r="3818" spans="1:14" x14ac:dyDescent="0.25">
      <c r="A3818" t="str">
        <f>"14:54:01.734"</f>
        <v>14:54:01.734</v>
      </c>
      <c r="B3818">
        <v>40.483502999999999</v>
      </c>
      <c r="C3818">
        <v>-74.374695000000003</v>
      </c>
      <c r="D3818">
        <v>1300</v>
      </c>
      <c r="E3818">
        <v>1550</v>
      </c>
      <c r="F3818">
        <v>58</v>
      </c>
      <c r="G3818">
        <v>123</v>
      </c>
      <c r="H3818">
        <v>-704</v>
      </c>
      <c r="J3818" s="1">
        <f t="shared" si="295"/>
        <v>3364</v>
      </c>
      <c r="K3818" s="1">
        <f t="shared" si="296"/>
        <v>15129</v>
      </c>
      <c r="L3818" s="1">
        <f t="shared" si="297"/>
        <v>18493</v>
      </c>
      <c r="M3818" s="1">
        <f t="shared" si="298"/>
        <v>135.988970140964</v>
      </c>
      <c r="N3818" s="7">
        <f t="shared" si="299"/>
        <v>135.988970140964</v>
      </c>
    </row>
    <row r="3819" spans="1:14" x14ac:dyDescent="0.25">
      <c r="A3819" t="str">
        <f>"14:54:02.695"</f>
        <v>14:54:02.695</v>
      </c>
      <c r="B3819">
        <v>40.484060999999997</v>
      </c>
      <c r="C3819">
        <v>-74.37433</v>
      </c>
      <c r="D3819">
        <v>1300</v>
      </c>
      <c r="E3819">
        <v>1550</v>
      </c>
      <c r="F3819">
        <v>58</v>
      </c>
      <c r="G3819">
        <v>123</v>
      </c>
      <c r="H3819">
        <v>-704</v>
      </c>
      <c r="J3819" s="1">
        <f t="shared" si="295"/>
        <v>3364</v>
      </c>
      <c r="K3819" s="1">
        <f t="shared" si="296"/>
        <v>15129</v>
      </c>
      <c r="L3819" s="1">
        <f t="shared" si="297"/>
        <v>18493</v>
      </c>
      <c r="M3819" s="1">
        <f t="shared" si="298"/>
        <v>135.988970140964</v>
      </c>
      <c r="N3819" s="7">
        <f t="shared" si="299"/>
        <v>135.988970140964</v>
      </c>
    </row>
    <row r="3820" spans="1:14" x14ac:dyDescent="0.25">
      <c r="A3820" t="str">
        <f>"14:54:03.656"</f>
        <v>14:54:03.656</v>
      </c>
      <c r="B3820">
        <v>40.484662</v>
      </c>
      <c r="C3820">
        <v>-74.373943999999995</v>
      </c>
      <c r="D3820">
        <v>1300</v>
      </c>
      <c r="E3820">
        <v>1525</v>
      </c>
      <c r="F3820">
        <v>58</v>
      </c>
      <c r="G3820">
        <v>123</v>
      </c>
      <c r="H3820">
        <v>-640</v>
      </c>
      <c r="J3820" s="1">
        <f t="shared" si="295"/>
        <v>3364</v>
      </c>
      <c r="K3820" s="1">
        <f t="shared" si="296"/>
        <v>15129</v>
      </c>
      <c r="L3820" s="1">
        <f t="shared" si="297"/>
        <v>18493</v>
      </c>
      <c r="M3820" s="1">
        <f t="shared" si="298"/>
        <v>135.988970140964</v>
      </c>
      <c r="N3820" s="7">
        <f t="shared" si="299"/>
        <v>135.988970140964</v>
      </c>
    </row>
    <row r="3821" spans="1:14" x14ac:dyDescent="0.25">
      <c r="A3821" t="str">
        <f>"14:54:04.617"</f>
        <v>14:54:04.617</v>
      </c>
      <c r="B3821">
        <v>40.485219999999998</v>
      </c>
      <c r="C3821">
        <v>-74.373643000000001</v>
      </c>
      <c r="D3821">
        <v>1300</v>
      </c>
      <c r="E3821">
        <v>1525</v>
      </c>
      <c r="F3821">
        <v>58</v>
      </c>
      <c r="G3821">
        <v>124</v>
      </c>
      <c r="H3821">
        <v>-640</v>
      </c>
      <c r="J3821" s="1">
        <f t="shared" si="295"/>
        <v>3364</v>
      </c>
      <c r="K3821" s="1">
        <f t="shared" si="296"/>
        <v>15376</v>
      </c>
      <c r="L3821" s="1">
        <f t="shared" si="297"/>
        <v>18740</v>
      </c>
      <c r="M3821" s="1">
        <f t="shared" si="298"/>
        <v>136.89411966918081</v>
      </c>
      <c r="N3821" s="7">
        <f t="shared" si="299"/>
        <v>136.89411966918081</v>
      </c>
    </row>
    <row r="3822" spans="1:14" x14ac:dyDescent="0.25">
      <c r="A3822" t="str">
        <f>"14:54:05.625"</f>
        <v>14:54:05.625</v>
      </c>
      <c r="B3822">
        <v>40.485778000000003</v>
      </c>
      <c r="C3822">
        <v>-74.373256999999995</v>
      </c>
      <c r="D3822">
        <v>1200</v>
      </c>
      <c r="E3822">
        <v>1500</v>
      </c>
      <c r="F3822">
        <v>58</v>
      </c>
      <c r="G3822">
        <v>124</v>
      </c>
      <c r="H3822">
        <v>-704</v>
      </c>
      <c r="J3822" s="1">
        <f t="shared" si="295"/>
        <v>3364</v>
      </c>
      <c r="K3822" s="1">
        <f t="shared" si="296"/>
        <v>15376</v>
      </c>
      <c r="L3822" s="1">
        <f t="shared" si="297"/>
        <v>18740</v>
      </c>
      <c r="M3822" s="1">
        <f t="shared" si="298"/>
        <v>136.89411966918081</v>
      </c>
      <c r="N3822" s="7">
        <f t="shared" si="299"/>
        <v>136.89411966918081</v>
      </c>
    </row>
    <row r="3823" spans="1:14" x14ac:dyDescent="0.25">
      <c r="A3823" t="str">
        <f>"14:54:06.789"</f>
        <v>14:54:06.789</v>
      </c>
      <c r="B3823">
        <v>40.486443000000001</v>
      </c>
      <c r="C3823">
        <v>-74.372871000000004</v>
      </c>
      <c r="D3823">
        <v>1200</v>
      </c>
      <c r="E3823">
        <v>1500</v>
      </c>
      <c r="F3823">
        <v>58</v>
      </c>
      <c r="G3823">
        <v>125</v>
      </c>
      <c r="H3823">
        <v>-768</v>
      </c>
      <c r="J3823" s="1">
        <f t="shared" si="295"/>
        <v>3364</v>
      </c>
      <c r="K3823" s="1">
        <f t="shared" si="296"/>
        <v>15625</v>
      </c>
      <c r="L3823" s="1">
        <f t="shared" si="297"/>
        <v>18989</v>
      </c>
      <c r="M3823" s="1">
        <f t="shared" si="298"/>
        <v>137.80058055030102</v>
      </c>
      <c r="N3823" s="7">
        <f t="shared" si="299"/>
        <v>137.80058055030102</v>
      </c>
    </row>
    <row r="3824" spans="1:14" x14ac:dyDescent="0.25">
      <c r="A3824" t="str">
        <f>"14:54:07.797"</f>
        <v>14:54:07.797</v>
      </c>
      <c r="B3824">
        <v>40.487000999999999</v>
      </c>
      <c r="C3824">
        <v>-74.372506000000001</v>
      </c>
      <c r="D3824">
        <v>1200</v>
      </c>
      <c r="E3824">
        <v>1475</v>
      </c>
      <c r="F3824">
        <v>59</v>
      </c>
      <c r="G3824">
        <v>125</v>
      </c>
      <c r="H3824">
        <v>-832</v>
      </c>
      <c r="J3824" s="1">
        <f t="shared" si="295"/>
        <v>3481</v>
      </c>
      <c r="K3824" s="1">
        <f t="shared" si="296"/>
        <v>15625</v>
      </c>
      <c r="L3824" s="1">
        <f t="shared" si="297"/>
        <v>19106</v>
      </c>
      <c r="M3824" s="1">
        <f t="shared" si="298"/>
        <v>138.2244551445221</v>
      </c>
      <c r="N3824" s="7">
        <f t="shared" si="299"/>
        <v>138.2244551445221</v>
      </c>
    </row>
    <row r="3825" spans="1:14" x14ac:dyDescent="0.25">
      <c r="A3825" t="str">
        <f>"14:54:08.711"</f>
        <v>14:54:08.711</v>
      </c>
      <c r="B3825">
        <v>40.487558999999997</v>
      </c>
      <c r="C3825">
        <v>-74.372206000000006</v>
      </c>
      <c r="D3825">
        <v>1200</v>
      </c>
      <c r="E3825">
        <v>1475</v>
      </c>
      <c r="F3825">
        <v>59</v>
      </c>
      <c r="G3825">
        <v>125</v>
      </c>
      <c r="H3825">
        <v>-768</v>
      </c>
      <c r="J3825" s="1">
        <f t="shared" si="295"/>
        <v>3481</v>
      </c>
      <c r="K3825" s="1">
        <f t="shared" si="296"/>
        <v>15625</v>
      </c>
      <c r="L3825" s="1">
        <f t="shared" si="297"/>
        <v>19106</v>
      </c>
      <c r="M3825" s="1">
        <f t="shared" si="298"/>
        <v>138.2244551445221</v>
      </c>
      <c r="N3825" s="7">
        <f t="shared" si="299"/>
        <v>138.2244551445221</v>
      </c>
    </row>
    <row r="3826" spans="1:14" x14ac:dyDescent="0.25">
      <c r="A3826" t="str">
        <f>"14:54:09.766"</f>
        <v>14:54:09.766</v>
      </c>
      <c r="B3826">
        <v>40.488180999999997</v>
      </c>
      <c r="C3826">
        <v>-74.371819000000002</v>
      </c>
      <c r="D3826">
        <v>1200</v>
      </c>
      <c r="E3826">
        <v>1450</v>
      </c>
      <c r="F3826">
        <v>59</v>
      </c>
      <c r="G3826">
        <v>126</v>
      </c>
      <c r="H3826">
        <v>-704</v>
      </c>
      <c r="J3826" s="1">
        <f t="shared" si="295"/>
        <v>3481</v>
      </c>
      <c r="K3826" s="1">
        <f t="shared" si="296"/>
        <v>15876</v>
      </c>
      <c r="L3826" s="1">
        <f t="shared" si="297"/>
        <v>19357</v>
      </c>
      <c r="M3826" s="1">
        <f t="shared" si="298"/>
        <v>139.12943613772032</v>
      </c>
      <c r="N3826" s="7">
        <f t="shared" si="299"/>
        <v>139.12943613772032</v>
      </c>
    </row>
    <row r="3827" spans="1:14" x14ac:dyDescent="0.25">
      <c r="A3827" t="str">
        <f>"14:54:10.578"</f>
        <v>14:54:10.578</v>
      </c>
      <c r="B3827">
        <v>40.488652999999999</v>
      </c>
      <c r="C3827">
        <v>-74.371519000000006</v>
      </c>
      <c r="D3827">
        <v>1200</v>
      </c>
      <c r="E3827">
        <v>1450</v>
      </c>
      <c r="F3827">
        <v>59</v>
      </c>
      <c r="G3827">
        <v>126</v>
      </c>
      <c r="H3827">
        <v>-640</v>
      </c>
      <c r="J3827" s="1">
        <f t="shared" si="295"/>
        <v>3481</v>
      </c>
      <c r="K3827" s="1">
        <f t="shared" si="296"/>
        <v>15876</v>
      </c>
      <c r="L3827" s="1">
        <f t="shared" si="297"/>
        <v>19357</v>
      </c>
      <c r="M3827" s="1">
        <f t="shared" si="298"/>
        <v>139.12943613772032</v>
      </c>
      <c r="N3827" s="7">
        <f t="shared" si="299"/>
        <v>139.12943613772032</v>
      </c>
    </row>
    <row r="3828" spans="1:14" x14ac:dyDescent="0.25">
      <c r="A3828" t="str">
        <f>"14:54:11.641"</f>
        <v>14:54:11.641</v>
      </c>
      <c r="B3828">
        <v>40.489274999999999</v>
      </c>
      <c r="C3828">
        <v>-74.371133</v>
      </c>
      <c r="D3828">
        <v>1200</v>
      </c>
      <c r="E3828">
        <v>1450</v>
      </c>
      <c r="F3828">
        <v>59</v>
      </c>
      <c r="G3828">
        <v>126</v>
      </c>
      <c r="H3828">
        <v>-576</v>
      </c>
      <c r="J3828" s="1">
        <f t="shared" si="295"/>
        <v>3481</v>
      </c>
      <c r="K3828" s="1">
        <f t="shared" si="296"/>
        <v>15876</v>
      </c>
      <c r="L3828" s="1">
        <f t="shared" si="297"/>
        <v>19357</v>
      </c>
      <c r="M3828" s="1">
        <f t="shared" si="298"/>
        <v>139.12943613772032</v>
      </c>
      <c r="N3828" s="7">
        <f t="shared" si="299"/>
        <v>139.12943613772032</v>
      </c>
    </row>
    <row r="3829" spans="1:14" x14ac:dyDescent="0.25">
      <c r="A3829" t="str">
        <f>"14:54:12.648"</f>
        <v>14:54:12.648</v>
      </c>
      <c r="B3829">
        <v>40.489876000000002</v>
      </c>
      <c r="C3829">
        <v>-74.370767999999998</v>
      </c>
      <c r="D3829">
        <v>1200</v>
      </c>
      <c r="E3829">
        <v>1425</v>
      </c>
      <c r="F3829">
        <v>60</v>
      </c>
      <c r="G3829">
        <v>126</v>
      </c>
      <c r="H3829">
        <v>-576</v>
      </c>
      <c r="J3829" s="1">
        <f t="shared" si="295"/>
        <v>3600</v>
      </c>
      <c r="K3829" s="1">
        <f t="shared" si="296"/>
        <v>15876</v>
      </c>
      <c r="L3829" s="1">
        <f t="shared" si="297"/>
        <v>19476</v>
      </c>
      <c r="M3829" s="1">
        <f t="shared" si="298"/>
        <v>139.55644019535609</v>
      </c>
      <c r="N3829" s="7">
        <f t="shared" si="299"/>
        <v>139.55644019535609</v>
      </c>
    </row>
    <row r="3830" spans="1:14" x14ac:dyDescent="0.25">
      <c r="A3830" t="str">
        <f>"14:54:13.813"</f>
        <v>14:54:13.813</v>
      </c>
      <c r="B3830">
        <v>40.490519999999997</v>
      </c>
      <c r="C3830">
        <v>-74.370360000000005</v>
      </c>
      <c r="D3830">
        <v>1200</v>
      </c>
      <c r="E3830">
        <v>1425</v>
      </c>
      <c r="F3830">
        <v>60</v>
      </c>
      <c r="G3830">
        <v>126</v>
      </c>
      <c r="H3830">
        <v>-512</v>
      </c>
      <c r="J3830" s="1">
        <f t="shared" si="295"/>
        <v>3600</v>
      </c>
      <c r="K3830" s="1">
        <f t="shared" si="296"/>
        <v>15876</v>
      </c>
      <c r="L3830" s="1">
        <f t="shared" si="297"/>
        <v>19476</v>
      </c>
      <c r="M3830" s="1">
        <f t="shared" si="298"/>
        <v>139.55644019535609</v>
      </c>
      <c r="N3830" s="7">
        <f t="shared" si="299"/>
        <v>139.55644019535609</v>
      </c>
    </row>
    <row r="3831" spans="1:14" x14ac:dyDescent="0.25">
      <c r="A3831" t="str">
        <f>"14:54:14.820"</f>
        <v>14:54:14.820</v>
      </c>
      <c r="B3831">
        <v>40.491121</v>
      </c>
      <c r="C3831">
        <v>-74.369996</v>
      </c>
      <c r="D3831">
        <v>1200</v>
      </c>
      <c r="E3831">
        <v>1400</v>
      </c>
      <c r="F3831">
        <v>60</v>
      </c>
      <c r="G3831">
        <v>126</v>
      </c>
      <c r="H3831">
        <v>-704</v>
      </c>
      <c r="J3831" s="1">
        <f t="shared" si="295"/>
        <v>3600</v>
      </c>
      <c r="K3831" s="1">
        <f t="shared" si="296"/>
        <v>15876</v>
      </c>
      <c r="L3831" s="1">
        <f t="shared" si="297"/>
        <v>19476</v>
      </c>
      <c r="M3831" s="1">
        <f t="shared" si="298"/>
        <v>139.55644019535609</v>
      </c>
      <c r="N3831" s="7">
        <f t="shared" si="299"/>
        <v>139.55644019535609</v>
      </c>
    </row>
    <row r="3832" spans="1:14" x14ac:dyDescent="0.25">
      <c r="A3832" t="str">
        <f>"14:54:15.680"</f>
        <v>14:54:15.680</v>
      </c>
      <c r="B3832">
        <v>40.491656999999996</v>
      </c>
      <c r="C3832">
        <v>-74.369694999999993</v>
      </c>
      <c r="D3832">
        <v>1200</v>
      </c>
      <c r="E3832">
        <v>1400</v>
      </c>
      <c r="F3832">
        <v>59</v>
      </c>
      <c r="G3832">
        <v>127</v>
      </c>
      <c r="H3832">
        <v>-640</v>
      </c>
      <c r="J3832" s="1">
        <f t="shared" si="295"/>
        <v>3481</v>
      </c>
      <c r="K3832" s="1">
        <f t="shared" si="296"/>
        <v>16129</v>
      </c>
      <c r="L3832" s="1">
        <f t="shared" si="297"/>
        <v>19610</v>
      </c>
      <c r="M3832" s="1">
        <f t="shared" si="298"/>
        <v>140.03570973148243</v>
      </c>
      <c r="N3832" s="7">
        <f t="shared" si="299"/>
        <v>140.03570973148243</v>
      </c>
    </row>
    <row r="3833" spans="1:14" x14ac:dyDescent="0.25">
      <c r="A3833" t="str">
        <f>"14:54:16.641"</f>
        <v>14:54:16.641</v>
      </c>
      <c r="B3833">
        <v>40.492215000000002</v>
      </c>
      <c r="C3833">
        <v>-74.369330000000005</v>
      </c>
      <c r="D3833">
        <v>1200</v>
      </c>
      <c r="E3833">
        <v>1400</v>
      </c>
      <c r="F3833">
        <v>59</v>
      </c>
      <c r="G3833">
        <v>127</v>
      </c>
      <c r="H3833">
        <v>-576</v>
      </c>
      <c r="J3833" s="1">
        <f t="shared" si="295"/>
        <v>3481</v>
      </c>
      <c r="K3833" s="1">
        <f t="shared" si="296"/>
        <v>16129</v>
      </c>
      <c r="L3833" s="1">
        <f t="shared" si="297"/>
        <v>19610</v>
      </c>
      <c r="M3833" s="1">
        <f t="shared" si="298"/>
        <v>140.03570973148243</v>
      </c>
      <c r="N3833" s="7">
        <f t="shared" si="299"/>
        <v>140.03570973148243</v>
      </c>
    </row>
    <row r="3834" spans="1:14" x14ac:dyDescent="0.25">
      <c r="A3834" t="str">
        <f>"14:54:17.750"</f>
        <v>14:54:17.750</v>
      </c>
      <c r="B3834">
        <v>40.492859000000003</v>
      </c>
      <c r="C3834">
        <v>-74.368900999999994</v>
      </c>
      <c r="D3834">
        <v>1200</v>
      </c>
      <c r="E3834">
        <v>1375</v>
      </c>
      <c r="F3834">
        <v>59</v>
      </c>
      <c r="G3834">
        <v>127</v>
      </c>
      <c r="H3834">
        <v>-512</v>
      </c>
      <c r="J3834" s="1">
        <f t="shared" si="295"/>
        <v>3481</v>
      </c>
      <c r="K3834" s="1">
        <f t="shared" si="296"/>
        <v>16129</v>
      </c>
      <c r="L3834" s="1">
        <f t="shared" si="297"/>
        <v>19610</v>
      </c>
      <c r="M3834" s="1">
        <f t="shared" si="298"/>
        <v>140.03570973148243</v>
      </c>
      <c r="N3834" s="7">
        <f t="shared" si="299"/>
        <v>140.03570973148243</v>
      </c>
    </row>
    <row r="3835" spans="1:14" x14ac:dyDescent="0.25">
      <c r="A3835" t="str">
        <f>"14:54:19.422"</f>
        <v>14:54:19.422</v>
      </c>
      <c r="B3835">
        <v>40.493845999999998</v>
      </c>
      <c r="C3835">
        <v>-74.368322000000006</v>
      </c>
      <c r="D3835">
        <v>1100</v>
      </c>
      <c r="E3835">
        <v>1450</v>
      </c>
      <c r="F3835">
        <v>59</v>
      </c>
      <c r="G3835">
        <v>127</v>
      </c>
      <c r="H3835">
        <v>-576</v>
      </c>
      <c r="J3835" s="1">
        <f t="shared" si="295"/>
        <v>3481</v>
      </c>
      <c r="K3835" s="1">
        <f t="shared" si="296"/>
        <v>16129</v>
      </c>
      <c r="L3835" s="1">
        <f t="shared" si="297"/>
        <v>19610</v>
      </c>
      <c r="M3835" s="1">
        <f t="shared" si="298"/>
        <v>140.03570973148243</v>
      </c>
      <c r="N3835" s="7">
        <f t="shared" si="299"/>
        <v>140.03570973148243</v>
      </c>
    </row>
    <row r="3836" spans="1:14" x14ac:dyDescent="0.25">
      <c r="A3836" t="str">
        <f>"14:54:20.430"</f>
        <v>14:54:20.430</v>
      </c>
      <c r="B3836">
        <v>40.494360999999998</v>
      </c>
      <c r="C3836">
        <v>-74.367979000000005</v>
      </c>
      <c r="D3836">
        <v>1100</v>
      </c>
      <c r="E3836">
        <v>1350</v>
      </c>
      <c r="F3836">
        <v>60</v>
      </c>
      <c r="G3836">
        <v>127</v>
      </c>
      <c r="H3836">
        <v>-512</v>
      </c>
      <c r="J3836" s="1">
        <f t="shared" si="295"/>
        <v>3600</v>
      </c>
      <c r="K3836" s="1">
        <f t="shared" si="296"/>
        <v>16129</v>
      </c>
      <c r="L3836" s="1">
        <f t="shared" si="297"/>
        <v>19729</v>
      </c>
      <c r="M3836" s="1">
        <f t="shared" si="298"/>
        <v>140.45995870709916</v>
      </c>
      <c r="N3836" s="7">
        <f t="shared" si="299"/>
        <v>140.45995870709916</v>
      </c>
    </row>
    <row r="3837" spans="1:14" x14ac:dyDescent="0.25">
      <c r="A3837" t="str">
        <f>"14:54:21.484"</f>
        <v>14:54:21.484</v>
      </c>
      <c r="B3837">
        <v>40.495047999999997</v>
      </c>
      <c r="C3837">
        <v>-74.367570999999998</v>
      </c>
      <c r="D3837">
        <v>1100</v>
      </c>
      <c r="E3837">
        <v>1350</v>
      </c>
      <c r="F3837">
        <v>60</v>
      </c>
      <c r="G3837">
        <v>126</v>
      </c>
      <c r="H3837">
        <v>-704</v>
      </c>
      <c r="J3837" s="1">
        <f t="shared" si="295"/>
        <v>3600</v>
      </c>
      <c r="K3837" s="1">
        <f t="shared" si="296"/>
        <v>15876</v>
      </c>
      <c r="L3837" s="1">
        <f t="shared" si="297"/>
        <v>19476</v>
      </c>
      <c r="M3837" s="1">
        <f t="shared" si="298"/>
        <v>139.55644019535609</v>
      </c>
      <c r="N3837" s="7">
        <f t="shared" si="299"/>
        <v>139.55644019535609</v>
      </c>
    </row>
    <row r="3838" spans="1:14" x14ac:dyDescent="0.25">
      <c r="A3838" t="str">
        <f>"14:54:22.602"</f>
        <v>14:54:22.602</v>
      </c>
      <c r="B3838">
        <v>40.495648000000003</v>
      </c>
      <c r="C3838">
        <v>-74.367185000000006</v>
      </c>
      <c r="D3838">
        <v>1100</v>
      </c>
      <c r="E3838">
        <v>1325</v>
      </c>
      <c r="F3838">
        <v>60</v>
      </c>
      <c r="G3838">
        <v>126</v>
      </c>
      <c r="H3838">
        <v>-768</v>
      </c>
      <c r="J3838" s="1">
        <f t="shared" si="295"/>
        <v>3600</v>
      </c>
      <c r="K3838" s="1">
        <f t="shared" si="296"/>
        <v>15876</v>
      </c>
      <c r="L3838" s="1">
        <f t="shared" si="297"/>
        <v>19476</v>
      </c>
      <c r="M3838" s="1">
        <f t="shared" si="298"/>
        <v>139.55644019535609</v>
      </c>
      <c r="N3838" s="7">
        <f t="shared" si="299"/>
        <v>139.55644019535609</v>
      </c>
    </row>
    <row r="3839" spans="1:14" x14ac:dyDescent="0.25">
      <c r="A3839" t="str">
        <f>"14:54:23.711"</f>
        <v>14:54:23.711</v>
      </c>
      <c r="B3839">
        <v>40.496313999999998</v>
      </c>
      <c r="C3839">
        <v>-74.366776999999999</v>
      </c>
      <c r="D3839">
        <v>1100</v>
      </c>
      <c r="E3839">
        <v>1325</v>
      </c>
      <c r="F3839">
        <v>60</v>
      </c>
      <c r="G3839">
        <v>126</v>
      </c>
      <c r="H3839">
        <v>-640</v>
      </c>
      <c r="J3839" s="1">
        <f t="shared" si="295"/>
        <v>3600</v>
      </c>
      <c r="K3839" s="1">
        <f t="shared" si="296"/>
        <v>15876</v>
      </c>
      <c r="L3839" s="1">
        <f t="shared" si="297"/>
        <v>19476</v>
      </c>
      <c r="M3839" s="1">
        <f t="shared" si="298"/>
        <v>139.55644019535609</v>
      </c>
      <c r="N3839" s="7">
        <f t="shared" si="299"/>
        <v>139.55644019535609</v>
      </c>
    </row>
    <row r="3840" spans="1:14" x14ac:dyDescent="0.25">
      <c r="A3840" t="str">
        <f>"14:54:24.672"</f>
        <v>14:54:24.672</v>
      </c>
      <c r="B3840">
        <v>40.496913999999997</v>
      </c>
      <c r="C3840">
        <v>-74.366390999999993</v>
      </c>
      <c r="D3840">
        <v>1100</v>
      </c>
      <c r="E3840">
        <v>1300</v>
      </c>
      <c r="F3840">
        <v>60</v>
      </c>
      <c r="G3840">
        <v>126</v>
      </c>
      <c r="H3840">
        <v>-576</v>
      </c>
      <c r="J3840" s="1">
        <f t="shared" si="295"/>
        <v>3600</v>
      </c>
      <c r="K3840" s="1">
        <f t="shared" si="296"/>
        <v>15876</v>
      </c>
      <c r="L3840" s="1">
        <f t="shared" si="297"/>
        <v>19476</v>
      </c>
      <c r="M3840" s="1">
        <f t="shared" si="298"/>
        <v>139.55644019535609</v>
      </c>
      <c r="N3840" s="7">
        <f t="shared" si="299"/>
        <v>139.55644019535609</v>
      </c>
    </row>
    <row r="3841" spans="1:14" x14ac:dyDescent="0.25">
      <c r="A3841" t="str">
        <f>"14:54:25.680"</f>
        <v>14:54:25.680</v>
      </c>
      <c r="B3841">
        <v>40.497472000000002</v>
      </c>
      <c r="C3841">
        <v>-74.366026000000005</v>
      </c>
      <c r="D3841">
        <v>1100</v>
      </c>
      <c r="E3841">
        <v>1300</v>
      </c>
      <c r="F3841">
        <v>61</v>
      </c>
      <c r="G3841">
        <v>126</v>
      </c>
      <c r="H3841">
        <v>-512</v>
      </c>
      <c r="J3841" s="1">
        <f t="shared" si="295"/>
        <v>3721</v>
      </c>
      <c r="K3841" s="1">
        <f t="shared" si="296"/>
        <v>15876</v>
      </c>
      <c r="L3841" s="1">
        <f t="shared" si="297"/>
        <v>19597</v>
      </c>
      <c r="M3841" s="1">
        <f t="shared" si="298"/>
        <v>139.98928530426892</v>
      </c>
      <c r="N3841" s="7">
        <f t="shared" si="299"/>
        <v>139.98928530426892</v>
      </c>
    </row>
    <row r="3842" spans="1:14" x14ac:dyDescent="0.25">
      <c r="A3842" t="str">
        <f>"14:54:26.688"</f>
        <v>14:54:26.688</v>
      </c>
      <c r="B3842">
        <v>40.498072999999998</v>
      </c>
      <c r="C3842">
        <v>-74.365703999999994</v>
      </c>
      <c r="D3842">
        <v>1000</v>
      </c>
      <c r="E3842">
        <v>1300</v>
      </c>
      <c r="F3842">
        <v>61</v>
      </c>
      <c r="G3842">
        <v>126</v>
      </c>
      <c r="H3842">
        <v>-512</v>
      </c>
      <c r="J3842" s="1">
        <f t="shared" si="295"/>
        <v>3721</v>
      </c>
      <c r="K3842" s="1">
        <f t="shared" si="296"/>
        <v>15876</v>
      </c>
      <c r="L3842" s="1">
        <f t="shared" si="297"/>
        <v>19597</v>
      </c>
      <c r="M3842" s="1">
        <f t="shared" si="298"/>
        <v>139.98928530426892</v>
      </c>
      <c r="N3842" s="7">
        <f t="shared" si="299"/>
        <v>139.98928530426892</v>
      </c>
    </row>
    <row r="3843" spans="1:14" x14ac:dyDescent="0.25">
      <c r="A3843" t="str">
        <f>"14:54:27.695"</f>
        <v>14:54:27.695</v>
      </c>
      <c r="B3843">
        <v>40.498716999999999</v>
      </c>
      <c r="C3843">
        <v>-74.365296000000001</v>
      </c>
      <c r="D3843">
        <v>1000</v>
      </c>
      <c r="E3843">
        <v>1275</v>
      </c>
      <c r="F3843">
        <v>61</v>
      </c>
      <c r="G3843">
        <v>126</v>
      </c>
      <c r="H3843">
        <v>-448</v>
      </c>
      <c r="J3843" s="1">
        <f t="shared" ref="J3843:J3906" si="300">F3843^2</f>
        <v>3721</v>
      </c>
      <c r="K3843" s="1">
        <f t="shared" ref="K3843:K3906" si="301">G3843^2</f>
        <v>15876</v>
      </c>
      <c r="L3843" s="1">
        <f t="shared" ref="L3843:L3906" si="302">SUMSQ(F3843,G3843)</f>
        <v>19597</v>
      </c>
      <c r="M3843" s="1">
        <f t="shared" ref="M3843:M3906" si="303">SQRT(L3843)</f>
        <v>139.98928530426892</v>
      </c>
      <c r="N3843" s="7">
        <f t="shared" ref="N3843:N3906" si="304">M3843</f>
        <v>139.98928530426892</v>
      </c>
    </row>
    <row r="3844" spans="1:14" x14ac:dyDescent="0.25">
      <c r="A3844" t="str">
        <f>"14:54:28.711"</f>
        <v>14:54:28.711</v>
      </c>
      <c r="B3844">
        <v>40.499274999999997</v>
      </c>
      <c r="C3844">
        <v>-74.364931999999996</v>
      </c>
      <c r="D3844">
        <v>1000</v>
      </c>
      <c r="E3844">
        <v>1275</v>
      </c>
      <c r="F3844">
        <v>61</v>
      </c>
      <c r="G3844">
        <v>126</v>
      </c>
      <c r="H3844">
        <v>-448</v>
      </c>
      <c r="J3844" s="1">
        <f t="shared" si="300"/>
        <v>3721</v>
      </c>
      <c r="K3844" s="1">
        <f t="shared" si="301"/>
        <v>15876</v>
      </c>
      <c r="L3844" s="1">
        <f t="shared" si="302"/>
        <v>19597</v>
      </c>
      <c r="M3844" s="1">
        <f t="shared" si="303"/>
        <v>139.98928530426892</v>
      </c>
      <c r="N3844" s="7">
        <f t="shared" si="304"/>
        <v>139.98928530426892</v>
      </c>
    </row>
    <row r="3845" spans="1:14" x14ac:dyDescent="0.25">
      <c r="A3845" t="str">
        <f>"14:54:29.672"</f>
        <v>14:54:29.672</v>
      </c>
      <c r="B3845">
        <v>40.499789999999997</v>
      </c>
      <c r="C3845">
        <v>-74.364587999999998</v>
      </c>
      <c r="D3845">
        <v>1000</v>
      </c>
      <c r="E3845">
        <v>1275</v>
      </c>
      <c r="F3845">
        <v>61</v>
      </c>
      <c r="G3845">
        <v>125</v>
      </c>
      <c r="H3845">
        <v>-384</v>
      </c>
      <c r="J3845" s="1">
        <f t="shared" si="300"/>
        <v>3721</v>
      </c>
      <c r="K3845" s="1">
        <f t="shared" si="301"/>
        <v>15625</v>
      </c>
      <c r="L3845" s="1">
        <f t="shared" si="302"/>
        <v>19346</v>
      </c>
      <c r="M3845" s="1">
        <f t="shared" si="303"/>
        <v>139.08989898623119</v>
      </c>
      <c r="N3845" s="7">
        <f t="shared" si="304"/>
        <v>139.08989898623119</v>
      </c>
    </row>
    <row r="3846" spans="1:14" x14ac:dyDescent="0.25">
      <c r="A3846" t="str">
        <f>"14:54:30.781"</f>
        <v>14:54:30.781</v>
      </c>
      <c r="B3846">
        <v>40.500455000000002</v>
      </c>
      <c r="C3846">
        <v>-74.364202000000006</v>
      </c>
      <c r="D3846">
        <v>1000</v>
      </c>
      <c r="E3846">
        <v>1250</v>
      </c>
      <c r="F3846">
        <v>61</v>
      </c>
      <c r="G3846">
        <v>125</v>
      </c>
      <c r="H3846">
        <v>-384</v>
      </c>
      <c r="J3846" s="1">
        <f t="shared" si="300"/>
        <v>3721</v>
      </c>
      <c r="K3846" s="1">
        <f t="shared" si="301"/>
        <v>15625</v>
      </c>
      <c r="L3846" s="1">
        <f t="shared" si="302"/>
        <v>19346</v>
      </c>
      <c r="M3846" s="1">
        <f t="shared" si="303"/>
        <v>139.08989898623119</v>
      </c>
      <c r="N3846" s="7">
        <f t="shared" si="304"/>
        <v>139.08989898623119</v>
      </c>
    </row>
    <row r="3847" spans="1:14" x14ac:dyDescent="0.25">
      <c r="A3847" t="str">
        <f>"14:54:31.797"</f>
        <v>14:54:31.797</v>
      </c>
      <c r="B3847">
        <v>40.501013</v>
      </c>
      <c r="C3847">
        <v>-74.363837000000004</v>
      </c>
      <c r="D3847">
        <v>1000</v>
      </c>
      <c r="E3847">
        <v>1250</v>
      </c>
      <c r="F3847">
        <v>60</v>
      </c>
      <c r="G3847">
        <v>125</v>
      </c>
      <c r="H3847">
        <v>-256</v>
      </c>
      <c r="J3847" s="1">
        <f t="shared" si="300"/>
        <v>3600</v>
      </c>
      <c r="K3847" s="1">
        <f t="shared" si="301"/>
        <v>15625</v>
      </c>
      <c r="L3847" s="1">
        <f t="shared" si="302"/>
        <v>19225</v>
      </c>
      <c r="M3847" s="1">
        <f t="shared" si="303"/>
        <v>138.65424623862049</v>
      </c>
      <c r="N3847" s="7">
        <f t="shared" si="304"/>
        <v>138.65424623862049</v>
      </c>
    </row>
    <row r="3848" spans="1:14" x14ac:dyDescent="0.25">
      <c r="A3848" t="str">
        <f>"14:54:32.805"</f>
        <v>14:54:32.805</v>
      </c>
      <c r="B3848">
        <v>40.501592000000002</v>
      </c>
      <c r="C3848">
        <v>-74.363472000000002</v>
      </c>
      <c r="D3848">
        <v>1000</v>
      </c>
      <c r="E3848">
        <v>1250</v>
      </c>
      <c r="F3848">
        <v>60</v>
      </c>
      <c r="G3848">
        <v>124</v>
      </c>
      <c r="H3848">
        <v>0</v>
      </c>
      <c r="J3848" s="1">
        <f t="shared" si="300"/>
        <v>3600</v>
      </c>
      <c r="K3848" s="1">
        <f t="shared" si="301"/>
        <v>15376</v>
      </c>
      <c r="L3848" s="1">
        <f t="shared" si="302"/>
        <v>18976</v>
      </c>
      <c r="M3848" s="1">
        <f t="shared" si="303"/>
        <v>137.7534028617805</v>
      </c>
      <c r="N3848" s="7">
        <f t="shared" si="304"/>
        <v>137.7534028617805</v>
      </c>
    </row>
    <row r="3849" spans="1:14" x14ac:dyDescent="0.25">
      <c r="A3849" t="str">
        <f>"14:54:33.813"</f>
        <v>14:54:33.813</v>
      </c>
      <c r="B3849">
        <v>40.502214000000002</v>
      </c>
      <c r="C3849">
        <v>-74.363022000000001</v>
      </c>
      <c r="D3849">
        <v>1000</v>
      </c>
      <c r="E3849">
        <v>1250</v>
      </c>
      <c r="F3849">
        <v>59</v>
      </c>
      <c r="G3849">
        <v>123</v>
      </c>
      <c r="H3849">
        <v>64</v>
      </c>
      <c r="J3849" s="1">
        <f t="shared" si="300"/>
        <v>3481</v>
      </c>
      <c r="K3849" s="1">
        <f t="shared" si="301"/>
        <v>15129</v>
      </c>
      <c r="L3849" s="1">
        <f t="shared" si="302"/>
        <v>18610</v>
      </c>
      <c r="M3849" s="1">
        <f t="shared" si="303"/>
        <v>136.41847382227965</v>
      </c>
      <c r="N3849" s="7">
        <f t="shared" si="304"/>
        <v>136.41847382227965</v>
      </c>
    </row>
    <row r="3850" spans="1:14" x14ac:dyDescent="0.25">
      <c r="A3850" t="str">
        <f>"14:54:34.875"</f>
        <v>14:54:34.875</v>
      </c>
      <c r="B3850">
        <v>40.502772</v>
      </c>
      <c r="C3850">
        <v>-74.362700000000004</v>
      </c>
      <c r="D3850">
        <v>1000</v>
      </c>
      <c r="E3850">
        <v>1250</v>
      </c>
      <c r="F3850">
        <v>58</v>
      </c>
      <c r="G3850">
        <v>122</v>
      </c>
      <c r="H3850">
        <v>64</v>
      </c>
      <c r="J3850" s="1">
        <f t="shared" si="300"/>
        <v>3364</v>
      </c>
      <c r="K3850" s="1">
        <f t="shared" si="301"/>
        <v>14884</v>
      </c>
      <c r="L3850" s="1">
        <f t="shared" si="302"/>
        <v>18248</v>
      </c>
      <c r="M3850" s="1">
        <f t="shared" si="303"/>
        <v>135.08515832614626</v>
      </c>
      <c r="N3850" s="7">
        <f t="shared" si="304"/>
        <v>135.08515832614626</v>
      </c>
    </row>
    <row r="3851" spans="1:14" x14ac:dyDescent="0.25">
      <c r="A3851" t="str">
        <f>"14:54:35.836"</f>
        <v>14:54:35.836</v>
      </c>
      <c r="B3851">
        <v>40.503329999999998</v>
      </c>
      <c r="C3851">
        <v>-74.362335000000002</v>
      </c>
      <c r="D3851">
        <v>1000</v>
      </c>
      <c r="E3851">
        <v>1250</v>
      </c>
      <c r="F3851">
        <v>57</v>
      </c>
      <c r="G3851">
        <v>120</v>
      </c>
      <c r="H3851">
        <v>128</v>
      </c>
      <c r="J3851" s="1">
        <f t="shared" si="300"/>
        <v>3249</v>
      </c>
      <c r="K3851" s="1">
        <f t="shared" si="301"/>
        <v>14400</v>
      </c>
      <c r="L3851" s="1">
        <f t="shared" si="302"/>
        <v>17649</v>
      </c>
      <c r="M3851" s="1">
        <f t="shared" si="303"/>
        <v>132.84953895290718</v>
      </c>
      <c r="N3851" s="7">
        <f t="shared" si="304"/>
        <v>132.84953895290718</v>
      </c>
    </row>
    <row r="3852" spans="1:14" x14ac:dyDescent="0.25">
      <c r="A3852" t="str">
        <f>"14:54:36.688"</f>
        <v>14:54:36.688</v>
      </c>
      <c r="B3852">
        <v>40.503802</v>
      </c>
      <c r="C3852">
        <v>-74.362077999999997</v>
      </c>
      <c r="D3852">
        <v>1000</v>
      </c>
      <c r="E3852">
        <v>1250</v>
      </c>
      <c r="F3852">
        <v>57</v>
      </c>
      <c r="G3852">
        <v>119</v>
      </c>
      <c r="H3852">
        <v>128</v>
      </c>
      <c r="J3852" s="1">
        <f t="shared" si="300"/>
        <v>3249</v>
      </c>
      <c r="K3852" s="1">
        <f t="shared" si="301"/>
        <v>14161</v>
      </c>
      <c r="L3852" s="1">
        <f t="shared" si="302"/>
        <v>17410</v>
      </c>
      <c r="M3852" s="1">
        <f t="shared" si="303"/>
        <v>131.94695904036593</v>
      </c>
      <c r="N3852" s="7">
        <f t="shared" si="304"/>
        <v>131.94695904036593</v>
      </c>
    </row>
    <row r="3853" spans="1:14" x14ac:dyDescent="0.25">
      <c r="A3853" t="str">
        <f>"14:54:37.750"</f>
        <v>14:54:37.750</v>
      </c>
      <c r="B3853">
        <v>40.504403000000003</v>
      </c>
      <c r="C3853">
        <v>-74.361690999999993</v>
      </c>
      <c r="D3853">
        <v>1000</v>
      </c>
      <c r="E3853">
        <v>1250</v>
      </c>
      <c r="F3853">
        <v>56</v>
      </c>
      <c r="G3853">
        <v>118</v>
      </c>
      <c r="H3853">
        <v>0</v>
      </c>
      <c r="J3853" s="1">
        <f t="shared" si="300"/>
        <v>3136</v>
      </c>
      <c r="K3853" s="1">
        <f t="shared" si="301"/>
        <v>13924</v>
      </c>
      <c r="L3853" s="1">
        <f t="shared" si="302"/>
        <v>17060</v>
      </c>
      <c r="M3853" s="1">
        <f t="shared" si="303"/>
        <v>130.61393493804556</v>
      </c>
      <c r="N3853" s="7">
        <f t="shared" si="304"/>
        <v>130.61393493804556</v>
      </c>
    </row>
    <row r="3854" spans="1:14" x14ac:dyDescent="0.25">
      <c r="A3854" t="str">
        <f>"14:54:38.758"</f>
        <v>14:54:38.758</v>
      </c>
      <c r="B3854">
        <v>40.504939999999998</v>
      </c>
      <c r="C3854">
        <v>-74.361390999999998</v>
      </c>
      <c r="D3854">
        <v>1000</v>
      </c>
      <c r="E3854">
        <v>1250</v>
      </c>
      <c r="F3854">
        <v>55</v>
      </c>
      <c r="G3854">
        <v>118</v>
      </c>
      <c r="H3854">
        <v>0</v>
      </c>
      <c r="J3854" s="1">
        <f t="shared" si="300"/>
        <v>3025</v>
      </c>
      <c r="K3854" s="1">
        <f t="shared" si="301"/>
        <v>13924</v>
      </c>
      <c r="L3854" s="1">
        <f t="shared" si="302"/>
        <v>16949</v>
      </c>
      <c r="M3854" s="1">
        <f t="shared" si="303"/>
        <v>130.18832512940628</v>
      </c>
      <c r="N3854" s="7">
        <f t="shared" si="304"/>
        <v>130.18832512940628</v>
      </c>
    </row>
    <row r="3855" spans="1:14" x14ac:dyDescent="0.25">
      <c r="A3855" t="str">
        <f>"14:54:39.719"</f>
        <v>14:54:39.719</v>
      </c>
      <c r="B3855">
        <v>40.505454999999998</v>
      </c>
      <c r="C3855">
        <v>-74.361025999999995</v>
      </c>
      <c r="D3855">
        <v>1000</v>
      </c>
      <c r="E3855">
        <v>1250</v>
      </c>
      <c r="F3855">
        <v>54</v>
      </c>
      <c r="G3855">
        <v>117</v>
      </c>
      <c r="H3855">
        <v>64</v>
      </c>
      <c r="J3855" s="1">
        <f t="shared" si="300"/>
        <v>2916</v>
      </c>
      <c r="K3855" s="1">
        <f t="shared" si="301"/>
        <v>13689</v>
      </c>
      <c r="L3855" s="1">
        <f t="shared" si="302"/>
        <v>16605</v>
      </c>
      <c r="M3855" s="1">
        <f t="shared" si="303"/>
        <v>128.86038956948718</v>
      </c>
      <c r="N3855" s="7">
        <f t="shared" si="304"/>
        <v>128.86038956948718</v>
      </c>
    </row>
    <row r="3856" spans="1:14" x14ac:dyDescent="0.25">
      <c r="A3856" t="str">
        <f>"14:54:40.680"</f>
        <v>14:54:40.680</v>
      </c>
      <c r="B3856">
        <v>40.505947999999997</v>
      </c>
      <c r="C3856">
        <v>-74.360769000000005</v>
      </c>
      <c r="D3856">
        <v>1000</v>
      </c>
      <c r="E3856">
        <v>1250</v>
      </c>
      <c r="F3856">
        <v>54</v>
      </c>
      <c r="G3856">
        <v>116</v>
      </c>
      <c r="H3856">
        <v>64</v>
      </c>
      <c r="J3856" s="1">
        <f t="shared" si="300"/>
        <v>2916</v>
      </c>
      <c r="K3856" s="1">
        <f t="shared" si="301"/>
        <v>13456</v>
      </c>
      <c r="L3856" s="1">
        <f t="shared" si="302"/>
        <v>16372</v>
      </c>
      <c r="M3856" s="1">
        <f t="shared" si="303"/>
        <v>127.9531164137865</v>
      </c>
      <c r="N3856" s="7">
        <f t="shared" si="304"/>
        <v>127.9531164137865</v>
      </c>
    </row>
    <row r="3857" spans="1:14" x14ac:dyDescent="0.25">
      <c r="A3857" t="str">
        <f>"14:54:41.742"</f>
        <v>14:54:41.742</v>
      </c>
      <c r="B3857">
        <v>40.506549</v>
      </c>
      <c r="C3857">
        <v>-74.360404000000003</v>
      </c>
      <c r="D3857">
        <v>1000</v>
      </c>
      <c r="E3857">
        <v>1250</v>
      </c>
      <c r="F3857">
        <v>54</v>
      </c>
      <c r="G3857">
        <v>115</v>
      </c>
      <c r="H3857">
        <v>64</v>
      </c>
      <c r="J3857" s="1">
        <f t="shared" si="300"/>
        <v>2916</v>
      </c>
      <c r="K3857" s="1">
        <f t="shared" si="301"/>
        <v>13225</v>
      </c>
      <c r="L3857" s="1">
        <f t="shared" si="302"/>
        <v>16141</v>
      </c>
      <c r="M3857" s="1">
        <f t="shared" si="303"/>
        <v>127.04723531033645</v>
      </c>
      <c r="N3857" s="7">
        <f t="shared" si="304"/>
        <v>127.04723531033645</v>
      </c>
    </row>
    <row r="3858" spans="1:14" x14ac:dyDescent="0.25">
      <c r="A3858" t="str">
        <f>"14:54:42.750"</f>
        <v>14:54:42.750</v>
      </c>
      <c r="B3858">
        <v>40.507041999999998</v>
      </c>
      <c r="C3858">
        <v>-74.360104000000007</v>
      </c>
      <c r="D3858">
        <v>1000</v>
      </c>
      <c r="E3858">
        <v>1250</v>
      </c>
      <c r="F3858">
        <v>53</v>
      </c>
      <c r="G3858">
        <v>114</v>
      </c>
      <c r="H3858">
        <v>64</v>
      </c>
      <c r="J3858" s="1">
        <f t="shared" si="300"/>
        <v>2809</v>
      </c>
      <c r="K3858" s="1">
        <f t="shared" si="301"/>
        <v>12996</v>
      </c>
      <c r="L3858" s="1">
        <f t="shared" si="302"/>
        <v>15805</v>
      </c>
      <c r="M3858" s="1">
        <f t="shared" si="303"/>
        <v>125.7179382586272</v>
      </c>
      <c r="N3858" s="7">
        <f t="shared" si="304"/>
        <v>125.7179382586272</v>
      </c>
    </row>
    <row r="3859" spans="1:14" x14ac:dyDescent="0.25">
      <c r="A3859" t="str">
        <f>"14:54:43.664"</f>
        <v>14:54:43.664</v>
      </c>
      <c r="B3859">
        <v>40.507514</v>
      </c>
      <c r="C3859">
        <v>-74.359781999999996</v>
      </c>
      <c r="D3859">
        <v>1000</v>
      </c>
      <c r="E3859">
        <v>1250</v>
      </c>
      <c r="F3859">
        <v>52</v>
      </c>
      <c r="G3859">
        <v>113</v>
      </c>
      <c r="H3859">
        <v>128</v>
      </c>
      <c r="J3859" s="1">
        <f t="shared" si="300"/>
        <v>2704</v>
      </c>
      <c r="K3859" s="1">
        <f t="shared" si="301"/>
        <v>12769</v>
      </c>
      <c r="L3859" s="1">
        <f t="shared" si="302"/>
        <v>15473</v>
      </c>
      <c r="M3859" s="1">
        <f t="shared" si="303"/>
        <v>124.39051410778879</v>
      </c>
      <c r="N3859" s="7">
        <f t="shared" si="304"/>
        <v>124.39051410778879</v>
      </c>
    </row>
    <row r="3860" spans="1:14" x14ac:dyDescent="0.25">
      <c r="A3860" t="str">
        <f>"14:54:44.570"</f>
        <v>14:54:44.570</v>
      </c>
      <c r="B3860">
        <v>40.508007999999997</v>
      </c>
      <c r="C3860">
        <v>-74.359503000000004</v>
      </c>
      <c r="D3860">
        <v>1000</v>
      </c>
      <c r="E3860">
        <v>1275</v>
      </c>
      <c r="F3860">
        <v>52</v>
      </c>
      <c r="G3860">
        <v>112</v>
      </c>
      <c r="H3860">
        <v>256</v>
      </c>
      <c r="J3860" s="1">
        <f t="shared" si="300"/>
        <v>2704</v>
      </c>
      <c r="K3860" s="1">
        <f t="shared" si="301"/>
        <v>12544</v>
      </c>
      <c r="L3860" s="1">
        <f t="shared" si="302"/>
        <v>15248</v>
      </c>
      <c r="M3860" s="1">
        <f t="shared" si="303"/>
        <v>123.48279232346505</v>
      </c>
      <c r="N3860" s="7">
        <f t="shared" si="304"/>
        <v>123.48279232346505</v>
      </c>
    </row>
    <row r="3861" spans="1:14" x14ac:dyDescent="0.25">
      <c r="A3861" t="str">
        <f>"14:54:45.578"</f>
        <v>14:54:45.578</v>
      </c>
      <c r="B3861">
        <v>40.508522999999997</v>
      </c>
      <c r="C3861">
        <v>-74.359201999999996</v>
      </c>
      <c r="D3861">
        <v>1000</v>
      </c>
      <c r="E3861">
        <v>1275</v>
      </c>
      <c r="F3861">
        <v>51</v>
      </c>
      <c r="G3861">
        <v>112</v>
      </c>
      <c r="H3861">
        <v>128</v>
      </c>
      <c r="J3861" s="1">
        <f t="shared" si="300"/>
        <v>2601</v>
      </c>
      <c r="K3861" s="1">
        <f t="shared" si="301"/>
        <v>12544</v>
      </c>
      <c r="L3861" s="1">
        <f t="shared" si="302"/>
        <v>15145</v>
      </c>
      <c r="M3861" s="1">
        <f t="shared" si="303"/>
        <v>123.06502346320826</v>
      </c>
      <c r="N3861" s="7">
        <f t="shared" si="304"/>
        <v>123.06502346320826</v>
      </c>
    </row>
    <row r="3862" spans="1:14" x14ac:dyDescent="0.25">
      <c r="A3862" t="str">
        <f>"14:54:46.492"</f>
        <v>14:54:46.492</v>
      </c>
      <c r="B3862">
        <v>40.508974000000002</v>
      </c>
      <c r="C3862">
        <v>-74.358902</v>
      </c>
      <c r="D3862">
        <v>1000</v>
      </c>
      <c r="E3862">
        <v>1275</v>
      </c>
      <c r="F3862">
        <v>51</v>
      </c>
      <c r="G3862">
        <v>111</v>
      </c>
      <c r="H3862">
        <v>256</v>
      </c>
      <c r="J3862" s="1">
        <f t="shared" si="300"/>
        <v>2601</v>
      </c>
      <c r="K3862" s="1">
        <f t="shared" si="301"/>
        <v>12321</v>
      </c>
      <c r="L3862" s="1">
        <f t="shared" si="302"/>
        <v>14922</v>
      </c>
      <c r="M3862" s="1">
        <f t="shared" si="303"/>
        <v>122.15563842901399</v>
      </c>
      <c r="N3862" s="7">
        <f t="shared" si="304"/>
        <v>122.15563842901399</v>
      </c>
    </row>
    <row r="3863" spans="1:14" x14ac:dyDescent="0.25">
      <c r="A3863" t="str">
        <f>"14:54:47.398"</f>
        <v>14:54:47.398</v>
      </c>
      <c r="B3863">
        <v>40.509489000000002</v>
      </c>
      <c r="C3863">
        <v>-74.358643999999998</v>
      </c>
      <c r="D3863">
        <v>1000</v>
      </c>
      <c r="E3863">
        <v>1275</v>
      </c>
      <c r="F3863">
        <v>50</v>
      </c>
      <c r="G3863">
        <v>110</v>
      </c>
      <c r="H3863">
        <v>256</v>
      </c>
      <c r="J3863" s="1">
        <f t="shared" si="300"/>
        <v>2500</v>
      </c>
      <c r="K3863" s="1">
        <f t="shared" si="301"/>
        <v>12100</v>
      </c>
      <c r="L3863" s="1">
        <f t="shared" si="302"/>
        <v>14600</v>
      </c>
      <c r="M3863" s="1">
        <f t="shared" si="303"/>
        <v>120.83045973594572</v>
      </c>
      <c r="N3863" s="7">
        <f t="shared" si="304"/>
        <v>120.83045973594572</v>
      </c>
    </row>
    <row r="3864" spans="1:14" x14ac:dyDescent="0.25">
      <c r="A3864" t="str">
        <f>"14:54:48.461"</f>
        <v>14:54:48.461</v>
      </c>
      <c r="B3864">
        <v>40.509982000000001</v>
      </c>
      <c r="C3864">
        <v>-74.358344000000002</v>
      </c>
      <c r="D3864">
        <v>1000</v>
      </c>
      <c r="E3864">
        <v>1275</v>
      </c>
      <c r="F3864">
        <v>50</v>
      </c>
      <c r="G3864">
        <v>109</v>
      </c>
      <c r="H3864">
        <v>192</v>
      </c>
      <c r="J3864" s="1">
        <f t="shared" si="300"/>
        <v>2500</v>
      </c>
      <c r="K3864" s="1">
        <f t="shared" si="301"/>
        <v>11881</v>
      </c>
      <c r="L3864" s="1">
        <f t="shared" si="302"/>
        <v>14381</v>
      </c>
      <c r="M3864" s="1">
        <f t="shared" si="303"/>
        <v>119.92080720208649</v>
      </c>
      <c r="N3864" s="7">
        <f t="shared" si="304"/>
        <v>119.92080720208649</v>
      </c>
    </row>
    <row r="3865" spans="1:14" x14ac:dyDescent="0.25">
      <c r="A3865" t="str">
        <f>"14:54:49.469"</f>
        <v>14:54:49.469</v>
      </c>
      <c r="B3865">
        <v>40.510454000000003</v>
      </c>
      <c r="C3865">
        <v>-74.358022000000005</v>
      </c>
      <c r="D3865">
        <v>1000</v>
      </c>
      <c r="E3865">
        <v>1275</v>
      </c>
      <c r="F3865">
        <v>49</v>
      </c>
      <c r="G3865">
        <v>108</v>
      </c>
      <c r="H3865">
        <v>64</v>
      </c>
      <c r="J3865" s="1">
        <f t="shared" si="300"/>
        <v>2401</v>
      </c>
      <c r="K3865" s="1">
        <f t="shared" si="301"/>
        <v>11664</v>
      </c>
      <c r="L3865" s="1">
        <f t="shared" si="302"/>
        <v>14065</v>
      </c>
      <c r="M3865" s="1">
        <f t="shared" si="303"/>
        <v>118.59595271340417</v>
      </c>
      <c r="N3865" s="7">
        <f t="shared" si="304"/>
        <v>118.59595271340417</v>
      </c>
    </row>
    <row r="3866" spans="1:14" x14ac:dyDescent="0.25">
      <c r="A3866" t="str">
        <f>"14:54:50.477"</f>
        <v>14:54:50.477</v>
      </c>
      <c r="B3866">
        <v>40.510969000000003</v>
      </c>
      <c r="C3866">
        <v>-74.357721999999995</v>
      </c>
      <c r="D3866">
        <v>1000</v>
      </c>
      <c r="E3866">
        <v>1275</v>
      </c>
      <c r="F3866">
        <v>49</v>
      </c>
      <c r="G3866">
        <v>107</v>
      </c>
      <c r="H3866">
        <v>64</v>
      </c>
      <c r="J3866" s="1">
        <f t="shared" si="300"/>
        <v>2401</v>
      </c>
      <c r="K3866" s="1">
        <f t="shared" si="301"/>
        <v>11449</v>
      </c>
      <c r="L3866" s="1">
        <f t="shared" si="302"/>
        <v>13850</v>
      </c>
      <c r="M3866" s="1">
        <f t="shared" si="303"/>
        <v>117.6860229593982</v>
      </c>
      <c r="N3866" s="7">
        <f t="shared" si="304"/>
        <v>117.6860229593982</v>
      </c>
    </row>
    <row r="3867" spans="1:14" x14ac:dyDescent="0.25">
      <c r="A3867" t="str">
        <f>"14:54:51.641"</f>
        <v>14:54:51.641</v>
      </c>
      <c r="B3867">
        <v>40.511569999999999</v>
      </c>
      <c r="C3867">
        <v>-74.357336000000004</v>
      </c>
      <c r="D3867">
        <v>1000</v>
      </c>
      <c r="E3867">
        <v>1275</v>
      </c>
      <c r="F3867">
        <v>50</v>
      </c>
      <c r="G3867">
        <v>106</v>
      </c>
      <c r="H3867">
        <v>-64</v>
      </c>
      <c r="J3867" s="1">
        <f t="shared" si="300"/>
        <v>2500</v>
      </c>
      <c r="K3867" s="1">
        <f t="shared" si="301"/>
        <v>11236</v>
      </c>
      <c r="L3867" s="1">
        <f t="shared" si="302"/>
        <v>13736</v>
      </c>
      <c r="M3867" s="1">
        <f t="shared" si="303"/>
        <v>117.2006825918689</v>
      </c>
      <c r="N3867" s="7">
        <f t="shared" si="304"/>
        <v>117.2006825918689</v>
      </c>
    </row>
    <row r="3868" spans="1:14" x14ac:dyDescent="0.25">
      <c r="A3868" t="str">
        <f>"14:54:52.703"</f>
        <v>14:54:52.703</v>
      </c>
      <c r="B3868">
        <v>40.512042000000001</v>
      </c>
      <c r="C3868">
        <v>-74.357100000000003</v>
      </c>
      <c r="D3868">
        <v>1000</v>
      </c>
      <c r="E3868">
        <v>1275</v>
      </c>
      <c r="F3868">
        <v>50</v>
      </c>
      <c r="G3868">
        <v>106</v>
      </c>
      <c r="H3868">
        <v>-128</v>
      </c>
      <c r="J3868" s="1">
        <f t="shared" si="300"/>
        <v>2500</v>
      </c>
      <c r="K3868" s="1">
        <f t="shared" si="301"/>
        <v>11236</v>
      </c>
      <c r="L3868" s="1">
        <f t="shared" si="302"/>
        <v>13736</v>
      </c>
      <c r="M3868" s="1">
        <f t="shared" si="303"/>
        <v>117.2006825918689</v>
      </c>
      <c r="N3868" s="7">
        <f t="shared" si="304"/>
        <v>117.2006825918689</v>
      </c>
    </row>
    <row r="3869" spans="1:14" x14ac:dyDescent="0.25">
      <c r="A3869" t="str">
        <f>"14:54:53.711"</f>
        <v>14:54:53.711</v>
      </c>
      <c r="B3869">
        <v>40.512557000000001</v>
      </c>
      <c r="C3869">
        <v>-74.356778000000006</v>
      </c>
      <c r="D3869">
        <v>1000</v>
      </c>
      <c r="E3869">
        <v>1275</v>
      </c>
      <c r="F3869">
        <v>50</v>
      </c>
      <c r="G3869">
        <v>105</v>
      </c>
      <c r="H3869">
        <v>0</v>
      </c>
      <c r="J3869" s="1">
        <f t="shared" si="300"/>
        <v>2500</v>
      </c>
      <c r="K3869" s="1">
        <f t="shared" si="301"/>
        <v>11025</v>
      </c>
      <c r="L3869" s="1">
        <f t="shared" si="302"/>
        <v>13525</v>
      </c>
      <c r="M3869" s="1">
        <f t="shared" si="303"/>
        <v>116.29703349613007</v>
      </c>
      <c r="N3869" s="7">
        <f t="shared" si="304"/>
        <v>116.29703349613007</v>
      </c>
    </row>
    <row r="3870" spans="1:14" x14ac:dyDescent="0.25">
      <c r="A3870" t="str">
        <f>"14:54:54.719"</f>
        <v>14:54:54.719</v>
      </c>
      <c r="B3870">
        <v>40.513050999999997</v>
      </c>
      <c r="C3870">
        <v>-74.356455999999994</v>
      </c>
      <c r="D3870">
        <v>1000</v>
      </c>
      <c r="E3870">
        <v>1275</v>
      </c>
      <c r="F3870">
        <v>50</v>
      </c>
      <c r="G3870">
        <v>104</v>
      </c>
      <c r="H3870">
        <v>64</v>
      </c>
      <c r="J3870" s="1">
        <f t="shared" si="300"/>
        <v>2500</v>
      </c>
      <c r="K3870" s="1">
        <f t="shared" si="301"/>
        <v>10816</v>
      </c>
      <c r="L3870" s="1">
        <f t="shared" si="302"/>
        <v>13316</v>
      </c>
      <c r="M3870" s="1">
        <f t="shared" si="303"/>
        <v>115.39497389401325</v>
      </c>
      <c r="N3870" s="7">
        <f t="shared" si="304"/>
        <v>115.39497389401325</v>
      </c>
    </row>
    <row r="3871" spans="1:14" x14ac:dyDescent="0.25">
      <c r="A3871" t="str">
        <f>"14:54:55.531"</f>
        <v>14:54:55.531</v>
      </c>
      <c r="B3871">
        <v>40.513458</v>
      </c>
      <c r="C3871">
        <v>-74.356198000000006</v>
      </c>
      <c r="D3871">
        <v>1000</v>
      </c>
      <c r="E3871">
        <v>1275</v>
      </c>
      <c r="F3871">
        <v>50</v>
      </c>
      <c r="G3871">
        <v>103</v>
      </c>
      <c r="H3871">
        <v>128</v>
      </c>
      <c r="J3871" s="1">
        <f t="shared" si="300"/>
        <v>2500</v>
      </c>
      <c r="K3871" s="1">
        <f t="shared" si="301"/>
        <v>10609</v>
      </c>
      <c r="L3871" s="1">
        <f t="shared" si="302"/>
        <v>13109</v>
      </c>
      <c r="M3871" s="1">
        <f t="shared" si="303"/>
        <v>114.49454135459908</v>
      </c>
      <c r="N3871" s="7">
        <f t="shared" si="304"/>
        <v>114.49454135459908</v>
      </c>
    </row>
    <row r="3872" spans="1:14" x14ac:dyDescent="0.25">
      <c r="A3872" t="str">
        <f>"14:54:56.492"</f>
        <v>14:54:56.492</v>
      </c>
      <c r="B3872">
        <v>40.513843999999999</v>
      </c>
      <c r="C3872">
        <v>-74.355897999999996</v>
      </c>
      <c r="D3872">
        <v>1000</v>
      </c>
      <c r="E3872">
        <v>1275</v>
      </c>
      <c r="F3872">
        <v>50</v>
      </c>
      <c r="G3872">
        <v>102</v>
      </c>
      <c r="H3872">
        <v>192</v>
      </c>
      <c r="J3872" s="1">
        <f t="shared" si="300"/>
        <v>2500</v>
      </c>
      <c r="K3872" s="1">
        <f t="shared" si="301"/>
        <v>10404</v>
      </c>
      <c r="L3872" s="1">
        <f t="shared" si="302"/>
        <v>12904</v>
      </c>
      <c r="M3872" s="1">
        <f t="shared" si="303"/>
        <v>113.59577456930342</v>
      </c>
      <c r="N3872" s="7">
        <f t="shared" si="304"/>
        <v>113.59577456930342</v>
      </c>
    </row>
    <row r="3873" spans="1:14" x14ac:dyDescent="0.25">
      <c r="A3873" t="str">
        <f>"14:54:57.602"</f>
        <v>14:54:57.602</v>
      </c>
      <c r="B3873">
        <v>40.514467000000003</v>
      </c>
      <c r="C3873">
        <v>-74.355532999999994</v>
      </c>
      <c r="D3873">
        <v>1000</v>
      </c>
      <c r="E3873">
        <v>1275</v>
      </c>
      <c r="F3873">
        <v>50</v>
      </c>
      <c r="G3873">
        <v>102</v>
      </c>
      <c r="H3873">
        <v>192</v>
      </c>
      <c r="J3873" s="1">
        <f t="shared" si="300"/>
        <v>2500</v>
      </c>
      <c r="K3873" s="1">
        <f t="shared" si="301"/>
        <v>10404</v>
      </c>
      <c r="L3873" s="1">
        <f t="shared" si="302"/>
        <v>12904</v>
      </c>
      <c r="M3873" s="1">
        <f t="shared" si="303"/>
        <v>113.59577456930342</v>
      </c>
      <c r="N3873" s="7">
        <f t="shared" si="304"/>
        <v>113.59577456930342</v>
      </c>
    </row>
    <row r="3874" spans="1:14" x14ac:dyDescent="0.25">
      <c r="A3874" t="str">
        <f>"14:54:59.875"</f>
        <v>14:54:59.875</v>
      </c>
      <c r="B3874">
        <v>40.515431999999997</v>
      </c>
      <c r="C3874">
        <v>-74.354845999999995</v>
      </c>
      <c r="D3874">
        <v>1000</v>
      </c>
      <c r="E3874">
        <v>1300</v>
      </c>
      <c r="F3874">
        <v>51</v>
      </c>
      <c r="G3874">
        <v>100</v>
      </c>
      <c r="H3874">
        <v>128</v>
      </c>
      <c r="J3874" s="1">
        <f t="shared" si="300"/>
        <v>2601</v>
      </c>
      <c r="K3874" s="1">
        <f t="shared" si="301"/>
        <v>10000</v>
      </c>
      <c r="L3874" s="1">
        <f t="shared" si="302"/>
        <v>12601</v>
      </c>
      <c r="M3874" s="1">
        <f t="shared" si="303"/>
        <v>112.25417586887359</v>
      </c>
      <c r="N3874" s="7">
        <f t="shared" si="304"/>
        <v>112.25417586887359</v>
      </c>
    </row>
    <row r="3875" spans="1:14" x14ac:dyDescent="0.25">
      <c r="A3875" t="str">
        <f>"14:55:00.836"</f>
        <v>14:55:00.836</v>
      </c>
      <c r="B3875">
        <v>40.515883000000002</v>
      </c>
      <c r="C3875">
        <v>-74.354609999999994</v>
      </c>
      <c r="D3875">
        <v>1000</v>
      </c>
      <c r="E3875">
        <v>1300</v>
      </c>
      <c r="F3875">
        <v>50</v>
      </c>
      <c r="G3875">
        <v>100</v>
      </c>
      <c r="H3875">
        <v>64</v>
      </c>
      <c r="J3875" s="1">
        <f t="shared" si="300"/>
        <v>2500</v>
      </c>
      <c r="K3875" s="1">
        <f t="shared" si="301"/>
        <v>10000</v>
      </c>
      <c r="L3875" s="1">
        <f t="shared" si="302"/>
        <v>12500</v>
      </c>
      <c r="M3875" s="1">
        <f t="shared" si="303"/>
        <v>111.80339887498948</v>
      </c>
      <c r="N3875" s="7">
        <f t="shared" si="304"/>
        <v>111.80339887498948</v>
      </c>
    </row>
    <row r="3876" spans="1:14" x14ac:dyDescent="0.25">
      <c r="A3876" t="str">
        <f>"14:55:01.891"</f>
        <v>14:55:01.891</v>
      </c>
      <c r="B3876">
        <v>40.516376000000001</v>
      </c>
      <c r="C3876">
        <v>-74.354288999999994</v>
      </c>
      <c r="D3876">
        <v>1000</v>
      </c>
      <c r="E3876">
        <v>1300</v>
      </c>
      <c r="F3876">
        <v>50</v>
      </c>
      <c r="G3876">
        <v>99</v>
      </c>
      <c r="H3876">
        <v>0</v>
      </c>
      <c r="J3876" s="1">
        <f t="shared" si="300"/>
        <v>2500</v>
      </c>
      <c r="K3876" s="1">
        <f t="shared" si="301"/>
        <v>9801</v>
      </c>
      <c r="L3876" s="1">
        <f t="shared" si="302"/>
        <v>12301</v>
      </c>
      <c r="M3876" s="1">
        <f t="shared" si="303"/>
        <v>110.90987332063814</v>
      </c>
      <c r="N3876" s="7">
        <f t="shared" si="304"/>
        <v>110.90987332063814</v>
      </c>
    </row>
    <row r="3877" spans="1:14" x14ac:dyDescent="0.25">
      <c r="A3877" t="str">
        <f>"14:55:03.008"</f>
        <v>14:55:03.008</v>
      </c>
      <c r="B3877">
        <v>40.516891000000001</v>
      </c>
      <c r="C3877">
        <v>-74.353944999999996</v>
      </c>
      <c r="D3877">
        <v>1000</v>
      </c>
      <c r="E3877">
        <v>1300</v>
      </c>
      <c r="F3877">
        <v>49</v>
      </c>
      <c r="G3877">
        <v>99</v>
      </c>
      <c r="H3877">
        <v>-128</v>
      </c>
      <c r="J3877" s="1">
        <f t="shared" si="300"/>
        <v>2401</v>
      </c>
      <c r="K3877" s="1">
        <f t="shared" si="301"/>
        <v>9801</v>
      </c>
      <c r="L3877" s="1">
        <f t="shared" si="302"/>
        <v>12202</v>
      </c>
      <c r="M3877" s="1">
        <f t="shared" si="303"/>
        <v>110.46266337545913</v>
      </c>
      <c r="N3877" s="7">
        <f t="shared" si="304"/>
        <v>110.46266337545913</v>
      </c>
    </row>
    <row r="3878" spans="1:14" x14ac:dyDescent="0.25">
      <c r="A3878" t="str">
        <f>"14:55:03.961"</f>
        <v>14:55:03.961</v>
      </c>
      <c r="B3878">
        <v>40.517341999999999</v>
      </c>
      <c r="C3878">
        <v>-74.353645</v>
      </c>
      <c r="D3878">
        <v>1000</v>
      </c>
      <c r="E3878">
        <v>1300</v>
      </c>
      <c r="F3878">
        <v>49</v>
      </c>
      <c r="G3878">
        <v>99</v>
      </c>
      <c r="H3878">
        <v>-128</v>
      </c>
      <c r="J3878" s="1">
        <f t="shared" si="300"/>
        <v>2401</v>
      </c>
      <c r="K3878" s="1">
        <f t="shared" si="301"/>
        <v>9801</v>
      </c>
      <c r="L3878" s="1">
        <f t="shared" si="302"/>
        <v>12202</v>
      </c>
      <c r="M3878" s="1">
        <f t="shared" si="303"/>
        <v>110.46266337545913</v>
      </c>
      <c r="N3878" s="7">
        <f t="shared" si="304"/>
        <v>110.46266337545913</v>
      </c>
    </row>
    <row r="3879" spans="1:14" x14ac:dyDescent="0.25">
      <c r="A3879" t="str">
        <f>"14:55:04.875"</f>
        <v>14:55:04.875</v>
      </c>
      <c r="B3879">
        <v>40.517771000000003</v>
      </c>
      <c r="C3879">
        <v>-74.353344000000007</v>
      </c>
      <c r="D3879">
        <v>1000</v>
      </c>
      <c r="E3879">
        <v>1275</v>
      </c>
      <c r="F3879">
        <v>49</v>
      </c>
      <c r="G3879">
        <v>99</v>
      </c>
      <c r="H3879">
        <v>-192</v>
      </c>
      <c r="J3879" s="1">
        <f t="shared" si="300"/>
        <v>2401</v>
      </c>
      <c r="K3879" s="1">
        <f t="shared" si="301"/>
        <v>9801</v>
      </c>
      <c r="L3879" s="1">
        <f t="shared" si="302"/>
        <v>12202</v>
      </c>
      <c r="M3879" s="1">
        <f t="shared" si="303"/>
        <v>110.46266337545913</v>
      </c>
      <c r="N3879" s="7">
        <f t="shared" si="304"/>
        <v>110.46266337545913</v>
      </c>
    </row>
    <row r="3880" spans="1:14" x14ac:dyDescent="0.25">
      <c r="A3880" t="str">
        <f>"14:55:05.883"</f>
        <v>14:55:05.883</v>
      </c>
      <c r="B3880">
        <v>40.518179000000003</v>
      </c>
      <c r="C3880">
        <v>-74.353043999999997</v>
      </c>
      <c r="D3880">
        <v>1000</v>
      </c>
      <c r="E3880">
        <v>1275</v>
      </c>
      <c r="F3880">
        <v>49</v>
      </c>
      <c r="G3880">
        <v>98</v>
      </c>
      <c r="H3880">
        <v>0</v>
      </c>
      <c r="J3880" s="1">
        <f t="shared" si="300"/>
        <v>2401</v>
      </c>
      <c r="K3880" s="1">
        <f t="shared" si="301"/>
        <v>9604</v>
      </c>
      <c r="L3880" s="1">
        <f t="shared" si="302"/>
        <v>12005</v>
      </c>
      <c r="M3880" s="1">
        <f t="shared" si="303"/>
        <v>109.5673308974897</v>
      </c>
      <c r="N3880" s="7">
        <f t="shared" si="304"/>
        <v>109.5673308974897</v>
      </c>
    </row>
    <row r="3881" spans="1:14" x14ac:dyDescent="0.25">
      <c r="A3881" t="str">
        <f>"14:55:06.945"</f>
        <v>14:55:06.945</v>
      </c>
      <c r="B3881">
        <v>40.518715</v>
      </c>
      <c r="C3881">
        <v>-74.352722</v>
      </c>
      <c r="D3881">
        <v>1000</v>
      </c>
      <c r="E3881">
        <v>1275</v>
      </c>
      <c r="F3881">
        <v>49</v>
      </c>
      <c r="G3881">
        <v>98</v>
      </c>
      <c r="H3881">
        <v>64</v>
      </c>
      <c r="J3881" s="1">
        <f t="shared" si="300"/>
        <v>2401</v>
      </c>
      <c r="K3881" s="1">
        <f t="shared" si="301"/>
        <v>9604</v>
      </c>
      <c r="L3881" s="1">
        <f t="shared" si="302"/>
        <v>12005</v>
      </c>
      <c r="M3881" s="1">
        <f t="shared" si="303"/>
        <v>109.5673308974897</v>
      </c>
      <c r="N3881" s="7">
        <f t="shared" si="304"/>
        <v>109.5673308974897</v>
      </c>
    </row>
    <row r="3882" spans="1:14" x14ac:dyDescent="0.25">
      <c r="A3882" t="str">
        <f>"14:55:08.000"</f>
        <v>14:55:08.000</v>
      </c>
      <c r="B3882">
        <v>40.519208999999996</v>
      </c>
      <c r="C3882">
        <v>-74.352400000000003</v>
      </c>
      <c r="D3882">
        <v>1000</v>
      </c>
      <c r="E3882">
        <v>1300</v>
      </c>
      <c r="F3882">
        <v>48</v>
      </c>
      <c r="G3882">
        <v>98</v>
      </c>
      <c r="H3882">
        <v>256</v>
      </c>
      <c r="J3882" s="1">
        <f t="shared" si="300"/>
        <v>2304</v>
      </c>
      <c r="K3882" s="1">
        <f t="shared" si="301"/>
        <v>9604</v>
      </c>
      <c r="L3882" s="1">
        <f t="shared" si="302"/>
        <v>11908</v>
      </c>
      <c r="M3882" s="1">
        <f t="shared" si="303"/>
        <v>109.12378292562992</v>
      </c>
      <c r="N3882" s="7">
        <f t="shared" si="304"/>
        <v>109.12378292562992</v>
      </c>
    </row>
    <row r="3883" spans="1:14" x14ac:dyDescent="0.25">
      <c r="A3883" t="str">
        <f>"14:55:09.063"</f>
        <v>14:55:09.063</v>
      </c>
      <c r="B3883">
        <v>40.519680999999999</v>
      </c>
      <c r="C3883">
        <v>-74.352099999999993</v>
      </c>
      <c r="D3883">
        <v>1000</v>
      </c>
      <c r="E3883">
        <v>1300</v>
      </c>
      <c r="F3883">
        <v>48</v>
      </c>
      <c r="G3883">
        <v>97</v>
      </c>
      <c r="H3883">
        <v>192</v>
      </c>
      <c r="J3883" s="1">
        <f t="shared" si="300"/>
        <v>2304</v>
      </c>
      <c r="K3883" s="1">
        <f t="shared" si="301"/>
        <v>9409</v>
      </c>
      <c r="L3883" s="1">
        <f t="shared" si="302"/>
        <v>11713</v>
      </c>
      <c r="M3883" s="1">
        <f t="shared" si="303"/>
        <v>108.22661410207751</v>
      </c>
      <c r="N3883" s="7">
        <f t="shared" si="304"/>
        <v>108.22661410207751</v>
      </c>
    </row>
    <row r="3884" spans="1:14" x14ac:dyDescent="0.25">
      <c r="A3884" t="str">
        <f>"14:55:09.977"</f>
        <v>14:55:09.977</v>
      </c>
      <c r="B3884">
        <v>40.520046000000001</v>
      </c>
      <c r="C3884">
        <v>-74.351864000000006</v>
      </c>
      <c r="D3884">
        <v>1000</v>
      </c>
      <c r="E3884">
        <v>1275</v>
      </c>
      <c r="F3884">
        <v>49</v>
      </c>
      <c r="G3884">
        <v>98</v>
      </c>
      <c r="H3884">
        <v>64</v>
      </c>
      <c r="J3884" s="1">
        <f t="shared" si="300"/>
        <v>2401</v>
      </c>
      <c r="K3884" s="1">
        <f t="shared" si="301"/>
        <v>9604</v>
      </c>
      <c r="L3884" s="1">
        <f t="shared" si="302"/>
        <v>12005</v>
      </c>
      <c r="M3884" s="1">
        <f t="shared" si="303"/>
        <v>109.5673308974897</v>
      </c>
      <c r="N3884" s="7">
        <f t="shared" si="304"/>
        <v>109.5673308974897</v>
      </c>
    </row>
    <row r="3885" spans="1:14" x14ac:dyDescent="0.25">
      <c r="A3885" t="str">
        <f>"14:55:10.930"</f>
        <v>14:55:10.930</v>
      </c>
      <c r="B3885">
        <v>40.520518000000003</v>
      </c>
      <c r="C3885">
        <v>-74.351562999999999</v>
      </c>
      <c r="D3885">
        <v>1000</v>
      </c>
      <c r="E3885">
        <v>1300</v>
      </c>
      <c r="F3885">
        <v>46</v>
      </c>
      <c r="G3885">
        <v>97</v>
      </c>
      <c r="H3885">
        <v>0</v>
      </c>
      <c r="J3885" s="1">
        <f t="shared" si="300"/>
        <v>2116</v>
      </c>
      <c r="K3885" s="1">
        <f t="shared" si="301"/>
        <v>9409</v>
      </c>
      <c r="L3885" s="1">
        <f t="shared" si="302"/>
        <v>11525</v>
      </c>
      <c r="M3885" s="1">
        <f t="shared" si="303"/>
        <v>107.35455276791944</v>
      </c>
      <c r="N3885" s="7">
        <f t="shared" si="304"/>
        <v>107.35455276791944</v>
      </c>
    </row>
    <row r="3886" spans="1:14" x14ac:dyDescent="0.25">
      <c r="A3886" t="str">
        <f>"14:55:12.047"</f>
        <v>14:55:12.047</v>
      </c>
      <c r="B3886">
        <v>40.520968000000003</v>
      </c>
      <c r="C3886">
        <v>-74.351285000000004</v>
      </c>
      <c r="D3886">
        <v>1000</v>
      </c>
      <c r="E3886">
        <v>1300</v>
      </c>
      <c r="F3886">
        <v>46</v>
      </c>
      <c r="G3886">
        <v>97</v>
      </c>
      <c r="H3886">
        <v>-64</v>
      </c>
      <c r="J3886" s="1">
        <f t="shared" si="300"/>
        <v>2116</v>
      </c>
      <c r="K3886" s="1">
        <f t="shared" si="301"/>
        <v>9409</v>
      </c>
      <c r="L3886" s="1">
        <f t="shared" si="302"/>
        <v>11525</v>
      </c>
      <c r="M3886" s="1">
        <f t="shared" si="303"/>
        <v>107.35455276791944</v>
      </c>
      <c r="N3886" s="7">
        <f t="shared" si="304"/>
        <v>107.35455276791944</v>
      </c>
    </row>
    <row r="3887" spans="1:14" x14ac:dyDescent="0.25">
      <c r="A3887" t="str">
        <f>"14:55:13.000"</f>
        <v>14:55:13.000</v>
      </c>
      <c r="B3887">
        <v>40.521375999999997</v>
      </c>
      <c r="C3887">
        <v>-74.351005999999998</v>
      </c>
      <c r="D3887">
        <v>1000</v>
      </c>
      <c r="E3887">
        <v>1300</v>
      </c>
      <c r="F3887">
        <v>46</v>
      </c>
      <c r="G3887">
        <v>96</v>
      </c>
      <c r="H3887">
        <v>-64</v>
      </c>
      <c r="J3887" s="1">
        <f t="shared" si="300"/>
        <v>2116</v>
      </c>
      <c r="K3887" s="1">
        <f t="shared" si="301"/>
        <v>9216</v>
      </c>
      <c r="L3887" s="1">
        <f t="shared" si="302"/>
        <v>11332</v>
      </c>
      <c r="M3887" s="1">
        <f t="shared" si="303"/>
        <v>106.45186705737011</v>
      </c>
      <c r="N3887" s="7">
        <f t="shared" si="304"/>
        <v>106.45186705737011</v>
      </c>
    </row>
    <row r="3888" spans="1:14" x14ac:dyDescent="0.25">
      <c r="A3888" t="str">
        <f>"14:55:13.961"</f>
        <v>14:55:13.961</v>
      </c>
      <c r="B3888">
        <v>40.521827000000002</v>
      </c>
      <c r="C3888">
        <v>-74.350769999999997</v>
      </c>
      <c r="D3888">
        <v>1000</v>
      </c>
      <c r="E3888">
        <v>1300</v>
      </c>
      <c r="F3888">
        <v>46</v>
      </c>
      <c r="G3888">
        <v>96</v>
      </c>
      <c r="H3888">
        <v>-64</v>
      </c>
      <c r="J3888" s="1">
        <f t="shared" si="300"/>
        <v>2116</v>
      </c>
      <c r="K3888" s="1">
        <f t="shared" si="301"/>
        <v>9216</v>
      </c>
      <c r="L3888" s="1">
        <f t="shared" si="302"/>
        <v>11332</v>
      </c>
      <c r="M3888" s="1">
        <f t="shared" si="303"/>
        <v>106.45186705737011</v>
      </c>
      <c r="N3888" s="7">
        <f t="shared" si="304"/>
        <v>106.45186705737011</v>
      </c>
    </row>
    <row r="3889" spans="1:14" x14ac:dyDescent="0.25">
      <c r="A3889" t="str">
        <f>"14:55:14.820"</f>
        <v>14:55:14.820</v>
      </c>
      <c r="B3889">
        <v>40.522191999999997</v>
      </c>
      <c r="C3889">
        <v>-74.350532999999999</v>
      </c>
      <c r="D3889">
        <v>1000</v>
      </c>
      <c r="E3889">
        <v>1300</v>
      </c>
      <c r="F3889">
        <v>45</v>
      </c>
      <c r="G3889">
        <v>96</v>
      </c>
      <c r="H3889">
        <v>-64</v>
      </c>
      <c r="J3889" s="1">
        <f t="shared" si="300"/>
        <v>2025</v>
      </c>
      <c r="K3889" s="1">
        <f t="shared" si="301"/>
        <v>9216</v>
      </c>
      <c r="L3889" s="1">
        <f t="shared" si="302"/>
        <v>11241</v>
      </c>
      <c r="M3889" s="1">
        <f t="shared" si="303"/>
        <v>106.02358228243375</v>
      </c>
      <c r="N3889" s="7">
        <f t="shared" si="304"/>
        <v>106.02358228243375</v>
      </c>
    </row>
    <row r="3890" spans="1:14" x14ac:dyDescent="0.25">
      <c r="A3890" t="str">
        <f>"14:55:15.680"</f>
        <v>14:55:15.680</v>
      </c>
      <c r="B3890">
        <v>40.522599</v>
      </c>
      <c r="C3890">
        <v>-74.350296999999998</v>
      </c>
      <c r="D3890">
        <v>1000</v>
      </c>
      <c r="E3890">
        <v>1300</v>
      </c>
      <c r="F3890">
        <v>45</v>
      </c>
      <c r="G3890">
        <v>96</v>
      </c>
      <c r="H3890">
        <v>64</v>
      </c>
      <c r="J3890" s="1">
        <f t="shared" si="300"/>
        <v>2025</v>
      </c>
      <c r="K3890" s="1">
        <f t="shared" si="301"/>
        <v>9216</v>
      </c>
      <c r="L3890" s="1">
        <f t="shared" si="302"/>
        <v>11241</v>
      </c>
      <c r="M3890" s="1">
        <f t="shared" si="303"/>
        <v>106.02358228243375</v>
      </c>
      <c r="N3890" s="7">
        <f t="shared" si="304"/>
        <v>106.02358228243375</v>
      </c>
    </row>
    <row r="3891" spans="1:14" x14ac:dyDescent="0.25">
      <c r="A3891" t="str">
        <f>"14:55:16.586"</f>
        <v>14:55:16.586</v>
      </c>
      <c r="B3891">
        <v>40.522984999999998</v>
      </c>
      <c r="C3891">
        <v>-74.350040000000007</v>
      </c>
      <c r="D3891">
        <v>1000</v>
      </c>
      <c r="E3891">
        <v>1300</v>
      </c>
      <c r="F3891">
        <v>44</v>
      </c>
      <c r="G3891">
        <v>96</v>
      </c>
      <c r="H3891">
        <v>128</v>
      </c>
      <c r="J3891" s="1">
        <f t="shared" si="300"/>
        <v>1936</v>
      </c>
      <c r="K3891" s="1">
        <f t="shared" si="301"/>
        <v>9216</v>
      </c>
      <c r="L3891" s="1">
        <f t="shared" si="302"/>
        <v>11152</v>
      </c>
      <c r="M3891" s="1">
        <f t="shared" si="303"/>
        <v>105.60303025955268</v>
      </c>
      <c r="N3891" s="7">
        <f t="shared" si="304"/>
        <v>105.60303025955268</v>
      </c>
    </row>
    <row r="3892" spans="1:14" x14ac:dyDescent="0.25">
      <c r="A3892" t="str">
        <f>"14:55:17.500"</f>
        <v>14:55:17.500</v>
      </c>
      <c r="B3892">
        <v>40.523392999999999</v>
      </c>
      <c r="C3892">
        <v>-74.349846999999997</v>
      </c>
      <c r="D3892">
        <v>1000</v>
      </c>
      <c r="E3892">
        <v>1300</v>
      </c>
      <c r="F3892">
        <v>43</v>
      </c>
      <c r="G3892">
        <v>96</v>
      </c>
      <c r="H3892">
        <v>64</v>
      </c>
      <c r="J3892" s="1">
        <f t="shared" si="300"/>
        <v>1849</v>
      </c>
      <c r="K3892" s="1">
        <f t="shared" si="301"/>
        <v>9216</v>
      </c>
      <c r="L3892" s="1">
        <f t="shared" si="302"/>
        <v>11065</v>
      </c>
      <c r="M3892" s="1">
        <f t="shared" si="303"/>
        <v>105.19030373565806</v>
      </c>
      <c r="N3892" s="7">
        <f t="shared" si="304"/>
        <v>105.19030373565806</v>
      </c>
    </row>
    <row r="3893" spans="1:14" x14ac:dyDescent="0.25">
      <c r="A3893" t="str">
        <f>"14:55:18.508"</f>
        <v>14:55:18.508</v>
      </c>
      <c r="B3893">
        <v>40.523887000000002</v>
      </c>
      <c r="C3893">
        <v>-74.349546000000004</v>
      </c>
      <c r="D3893">
        <v>1000</v>
      </c>
      <c r="E3893">
        <v>1300</v>
      </c>
      <c r="F3893">
        <v>43</v>
      </c>
      <c r="G3893">
        <v>96</v>
      </c>
      <c r="H3893">
        <v>0</v>
      </c>
      <c r="J3893" s="1">
        <f t="shared" si="300"/>
        <v>1849</v>
      </c>
      <c r="K3893" s="1">
        <f t="shared" si="301"/>
        <v>9216</v>
      </c>
      <c r="L3893" s="1">
        <f t="shared" si="302"/>
        <v>11065</v>
      </c>
      <c r="M3893" s="1">
        <f t="shared" si="303"/>
        <v>105.19030373565806</v>
      </c>
      <c r="N3893" s="7">
        <f t="shared" si="304"/>
        <v>105.19030373565806</v>
      </c>
    </row>
    <row r="3894" spans="1:14" x14ac:dyDescent="0.25">
      <c r="A3894" t="str">
        <f>"14:55:19.367"</f>
        <v>14:55:19.367</v>
      </c>
      <c r="B3894">
        <v>40.524251</v>
      </c>
      <c r="C3894">
        <v>-74.349310000000003</v>
      </c>
      <c r="D3894">
        <v>1000</v>
      </c>
      <c r="E3894">
        <v>1300</v>
      </c>
      <c r="F3894">
        <v>43</v>
      </c>
      <c r="G3894">
        <v>96</v>
      </c>
      <c r="H3894">
        <v>0</v>
      </c>
      <c r="J3894" s="1">
        <f t="shared" si="300"/>
        <v>1849</v>
      </c>
      <c r="K3894" s="1">
        <f t="shared" si="301"/>
        <v>9216</v>
      </c>
      <c r="L3894" s="1">
        <f t="shared" si="302"/>
        <v>11065</v>
      </c>
      <c r="M3894" s="1">
        <f t="shared" si="303"/>
        <v>105.19030373565806</v>
      </c>
      <c r="N3894" s="7">
        <f t="shared" si="304"/>
        <v>105.19030373565806</v>
      </c>
    </row>
    <row r="3895" spans="1:14" x14ac:dyDescent="0.25">
      <c r="A3895" t="str">
        <f>"14:55:20.375"</f>
        <v>14:55:20.375</v>
      </c>
      <c r="B3895">
        <v>40.524681000000001</v>
      </c>
      <c r="C3895">
        <v>-74.349052999999998</v>
      </c>
      <c r="D3895">
        <v>1000</v>
      </c>
      <c r="E3895">
        <v>1300</v>
      </c>
      <c r="F3895">
        <v>43</v>
      </c>
      <c r="G3895">
        <v>95</v>
      </c>
      <c r="H3895">
        <v>64</v>
      </c>
      <c r="J3895" s="1">
        <f t="shared" si="300"/>
        <v>1849</v>
      </c>
      <c r="K3895" s="1">
        <f t="shared" si="301"/>
        <v>9025</v>
      </c>
      <c r="L3895" s="1">
        <f t="shared" si="302"/>
        <v>10874</v>
      </c>
      <c r="M3895" s="1">
        <f t="shared" si="303"/>
        <v>104.27847332982968</v>
      </c>
      <c r="N3895" s="7">
        <f t="shared" si="304"/>
        <v>104.27847332982968</v>
      </c>
    </row>
    <row r="3896" spans="1:14" x14ac:dyDescent="0.25">
      <c r="A3896" t="str">
        <f>"14:55:21.484"</f>
        <v>14:55:21.484</v>
      </c>
      <c r="B3896">
        <v>40.525174</v>
      </c>
      <c r="C3896">
        <v>-74.348794999999996</v>
      </c>
      <c r="D3896">
        <v>1000</v>
      </c>
      <c r="E3896">
        <v>1300</v>
      </c>
      <c r="F3896">
        <v>43</v>
      </c>
      <c r="G3896">
        <v>95</v>
      </c>
      <c r="H3896">
        <v>0</v>
      </c>
      <c r="J3896" s="1">
        <f t="shared" si="300"/>
        <v>1849</v>
      </c>
      <c r="K3896" s="1">
        <f t="shared" si="301"/>
        <v>9025</v>
      </c>
      <c r="L3896" s="1">
        <f t="shared" si="302"/>
        <v>10874</v>
      </c>
      <c r="M3896" s="1">
        <f t="shared" si="303"/>
        <v>104.27847332982968</v>
      </c>
      <c r="N3896" s="7">
        <f t="shared" si="304"/>
        <v>104.27847332982968</v>
      </c>
    </row>
    <row r="3897" spans="1:14" x14ac:dyDescent="0.25">
      <c r="A3897" t="str">
        <f>"14:55:22.500"</f>
        <v>14:55:22.500</v>
      </c>
      <c r="B3897">
        <v>40.525624999999998</v>
      </c>
      <c r="C3897">
        <v>-74.348516000000004</v>
      </c>
      <c r="D3897">
        <v>1000</v>
      </c>
      <c r="E3897">
        <v>1300</v>
      </c>
      <c r="F3897">
        <v>43</v>
      </c>
      <c r="G3897">
        <v>95</v>
      </c>
      <c r="H3897">
        <v>0</v>
      </c>
      <c r="J3897" s="1">
        <f t="shared" si="300"/>
        <v>1849</v>
      </c>
      <c r="K3897" s="1">
        <f t="shared" si="301"/>
        <v>9025</v>
      </c>
      <c r="L3897" s="1">
        <f t="shared" si="302"/>
        <v>10874</v>
      </c>
      <c r="M3897" s="1">
        <f t="shared" si="303"/>
        <v>104.27847332982968</v>
      </c>
      <c r="N3897" s="7">
        <f t="shared" si="304"/>
        <v>104.27847332982968</v>
      </c>
    </row>
    <row r="3898" spans="1:14" x14ac:dyDescent="0.25">
      <c r="A3898" t="str">
        <f>"14:55:23.406"</f>
        <v>14:55:23.406</v>
      </c>
      <c r="B3898">
        <v>40.526010999999997</v>
      </c>
      <c r="C3898">
        <v>-74.348258999999999</v>
      </c>
      <c r="D3898">
        <v>1000</v>
      </c>
      <c r="E3898">
        <v>1300</v>
      </c>
      <c r="F3898">
        <v>43</v>
      </c>
      <c r="G3898">
        <v>94</v>
      </c>
      <c r="H3898">
        <v>64</v>
      </c>
      <c r="J3898" s="1">
        <f t="shared" si="300"/>
        <v>1849</v>
      </c>
      <c r="K3898" s="1">
        <f t="shared" si="301"/>
        <v>8836</v>
      </c>
      <c r="L3898" s="1">
        <f t="shared" si="302"/>
        <v>10685</v>
      </c>
      <c r="M3898" s="1">
        <f t="shared" si="303"/>
        <v>103.36827366266692</v>
      </c>
      <c r="N3898" s="7">
        <f t="shared" si="304"/>
        <v>103.36827366266692</v>
      </c>
    </row>
    <row r="3899" spans="1:14" x14ac:dyDescent="0.25">
      <c r="A3899" t="str">
        <f>"14:55:24.367"</f>
        <v>14:55:24.367</v>
      </c>
      <c r="B3899">
        <v>40.526418999999997</v>
      </c>
      <c r="C3899">
        <v>-74.348022999999998</v>
      </c>
      <c r="D3899">
        <v>1000</v>
      </c>
      <c r="E3899">
        <v>1300</v>
      </c>
      <c r="F3899">
        <v>44</v>
      </c>
      <c r="G3899">
        <v>94</v>
      </c>
      <c r="H3899">
        <v>64</v>
      </c>
      <c r="J3899" s="1">
        <f t="shared" si="300"/>
        <v>1936</v>
      </c>
      <c r="K3899" s="1">
        <f t="shared" si="301"/>
        <v>8836</v>
      </c>
      <c r="L3899" s="1">
        <f t="shared" si="302"/>
        <v>10772</v>
      </c>
      <c r="M3899" s="1">
        <f t="shared" si="303"/>
        <v>103.78824596263297</v>
      </c>
      <c r="N3899" s="7">
        <f t="shared" si="304"/>
        <v>103.78824596263297</v>
      </c>
    </row>
    <row r="3900" spans="1:14" x14ac:dyDescent="0.25">
      <c r="A3900" t="str">
        <f>"14:55:25.273"</f>
        <v>14:55:25.273</v>
      </c>
      <c r="B3900">
        <v>40.526805000000003</v>
      </c>
      <c r="C3900">
        <v>-74.347786999999997</v>
      </c>
      <c r="D3900">
        <v>1000</v>
      </c>
      <c r="E3900">
        <v>1300</v>
      </c>
      <c r="F3900">
        <v>44</v>
      </c>
      <c r="G3900">
        <v>93</v>
      </c>
      <c r="H3900">
        <v>0</v>
      </c>
      <c r="J3900" s="1">
        <f t="shared" si="300"/>
        <v>1936</v>
      </c>
      <c r="K3900" s="1">
        <f t="shared" si="301"/>
        <v>8649</v>
      </c>
      <c r="L3900" s="1">
        <f t="shared" si="302"/>
        <v>10585</v>
      </c>
      <c r="M3900" s="1">
        <f t="shared" si="303"/>
        <v>102.88342918079665</v>
      </c>
      <c r="N3900" s="7">
        <f t="shared" si="304"/>
        <v>102.88342918079665</v>
      </c>
    </row>
    <row r="3901" spans="1:14" x14ac:dyDescent="0.25">
      <c r="A3901" t="str">
        <f>"14:55:26.289"</f>
        <v>14:55:26.289</v>
      </c>
      <c r="B3901">
        <v>40.527256000000001</v>
      </c>
      <c r="C3901">
        <v>-74.347486000000004</v>
      </c>
      <c r="D3901">
        <v>1000</v>
      </c>
      <c r="E3901">
        <v>1300</v>
      </c>
      <c r="F3901">
        <v>44</v>
      </c>
      <c r="G3901">
        <v>93</v>
      </c>
      <c r="H3901">
        <v>0</v>
      </c>
      <c r="J3901" s="1">
        <f t="shared" si="300"/>
        <v>1936</v>
      </c>
      <c r="K3901" s="1">
        <f t="shared" si="301"/>
        <v>8649</v>
      </c>
      <c r="L3901" s="1">
        <f t="shared" si="302"/>
        <v>10585</v>
      </c>
      <c r="M3901" s="1">
        <f t="shared" si="303"/>
        <v>102.88342918079665</v>
      </c>
      <c r="N3901" s="7">
        <f t="shared" si="304"/>
        <v>102.88342918079665</v>
      </c>
    </row>
    <row r="3902" spans="1:14" x14ac:dyDescent="0.25">
      <c r="A3902" t="str">
        <f>"14:55:27.297"</f>
        <v>14:55:27.297</v>
      </c>
      <c r="B3902">
        <v>40.527684999999998</v>
      </c>
      <c r="C3902">
        <v>-74.347228999999999</v>
      </c>
      <c r="D3902">
        <v>1000</v>
      </c>
      <c r="E3902">
        <v>1300</v>
      </c>
      <c r="F3902">
        <v>45</v>
      </c>
      <c r="G3902">
        <v>93</v>
      </c>
      <c r="H3902">
        <v>-128</v>
      </c>
      <c r="J3902" s="1">
        <f t="shared" si="300"/>
        <v>2025</v>
      </c>
      <c r="K3902" s="1">
        <f t="shared" si="301"/>
        <v>8649</v>
      </c>
      <c r="L3902" s="1">
        <f t="shared" si="302"/>
        <v>10674</v>
      </c>
      <c r="M3902" s="1">
        <f t="shared" si="303"/>
        <v>103.31505214633539</v>
      </c>
      <c r="N3902" s="7">
        <f t="shared" si="304"/>
        <v>103.31505214633539</v>
      </c>
    </row>
    <row r="3903" spans="1:14" x14ac:dyDescent="0.25">
      <c r="A3903" t="str">
        <f>"14:55:28.305"</f>
        <v>14:55:28.305</v>
      </c>
      <c r="B3903">
        <v>40.528092000000001</v>
      </c>
      <c r="C3903">
        <v>-74.346971999999994</v>
      </c>
      <c r="D3903">
        <v>1000</v>
      </c>
      <c r="E3903">
        <v>1300</v>
      </c>
      <c r="F3903">
        <v>45</v>
      </c>
      <c r="G3903">
        <v>92</v>
      </c>
      <c r="H3903">
        <v>-192</v>
      </c>
      <c r="J3903" s="1">
        <f t="shared" si="300"/>
        <v>2025</v>
      </c>
      <c r="K3903" s="1">
        <f t="shared" si="301"/>
        <v>8464</v>
      </c>
      <c r="L3903" s="1">
        <f t="shared" si="302"/>
        <v>10489</v>
      </c>
      <c r="M3903" s="1">
        <f t="shared" si="303"/>
        <v>102.41581909060729</v>
      </c>
      <c r="N3903" s="7">
        <f t="shared" si="304"/>
        <v>102.41581909060729</v>
      </c>
    </row>
    <row r="3904" spans="1:14" x14ac:dyDescent="0.25">
      <c r="A3904" t="str">
        <f>"14:55:29.414"</f>
        <v>14:55:29.414</v>
      </c>
      <c r="B3904">
        <v>40.528607000000001</v>
      </c>
      <c r="C3904">
        <v>-74.346607000000006</v>
      </c>
      <c r="D3904">
        <v>1000</v>
      </c>
      <c r="E3904">
        <v>1300</v>
      </c>
      <c r="F3904">
        <v>46</v>
      </c>
      <c r="G3904">
        <v>92</v>
      </c>
      <c r="H3904">
        <v>-128</v>
      </c>
      <c r="J3904" s="1">
        <f t="shared" si="300"/>
        <v>2116</v>
      </c>
      <c r="K3904" s="1">
        <f t="shared" si="301"/>
        <v>8464</v>
      </c>
      <c r="L3904" s="1">
        <f t="shared" si="302"/>
        <v>10580</v>
      </c>
      <c r="M3904" s="1">
        <f t="shared" si="303"/>
        <v>102.85912696499032</v>
      </c>
      <c r="N3904" s="7">
        <f t="shared" si="304"/>
        <v>102.85912696499032</v>
      </c>
    </row>
    <row r="3905" spans="1:14" x14ac:dyDescent="0.25">
      <c r="A3905" t="str">
        <f>"14:55:30.328"</f>
        <v>14:55:30.328</v>
      </c>
      <c r="B3905">
        <v>40.528972000000003</v>
      </c>
      <c r="C3905">
        <v>-74.346371000000005</v>
      </c>
      <c r="D3905">
        <v>1000</v>
      </c>
      <c r="E3905">
        <v>1300</v>
      </c>
      <c r="F3905">
        <v>46</v>
      </c>
      <c r="G3905">
        <v>92</v>
      </c>
      <c r="H3905">
        <v>-128</v>
      </c>
      <c r="J3905" s="1">
        <f t="shared" si="300"/>
        <v>2116</v>
      </c>
      <c r="K3905" s="1">
        <f t="shared" si="301"/>
        <v>8464</v>
      </c>
      <c r="L3905" s="1">
        <f t="shared" si="302"/>
        <v>10580</v>
      </c>
      <c r="M3905" s="1">
        <f t="shared" si="303"/>
        <v>102.85912696499032</v>
      </c>
      <c r="N3905" s="7">
        <f t="shared" si="304"/>
        <v>102.85912696499032</v>
      </c>
    </row>
    <row r="3906" spans="1:14" x14ac:dyDescent="0.25">
      <c r="A3906" t="str">
        <f>"14:55:31.438"</f>
        <v>14:55:31.438</v>
      </c>
      <c r="B3906">
        <v>40.529443999999998</v>
      </c>
      <c r="C3906">
        <v>-74.346048999999994</v>
      </c>
      <c r="D3906">
        <v>1000</v>
      </c>
      <c r="E3906">
        <v>1275</v>
      </c>
      <c r="F3906">
        <v>46</v>
      </c>
      <c r="G3906">
        <v>92</v>
      </c>
      <c r="H3906">
        <v>-128</v>
      </c>
      <c r="J3906" s="1">
        <f t="shared" si="300"/>
        <v>2116</v>
      </c>
      <c r="K3906" s="1">
        <f t="shared" si="301"/>
        <v>8464</v>
      </c>
      <c r="L3906" s="1">
        <f t="shared" si="302"/>
        <v>10580</v>
      </c>
      <c r="M3906" s="1">
        <f t="shared" si="303"/>
        <v>102.85912696499032</v>
      </c>
      <c r="N3906" s="7">
        <f t="shared" si="304"/>
        <v>102.85912696499032</v>
      </c>
    </row>
    <row r="3907" spans="1:14" x14ac:dyDescent="0.25">
      <c r="A3907" t="str">
        <f>"14:55:33.102"</f>
        <v>14:55:33.102</v>
      </c>
      <c r="B3907">
        <v>40.530174000000002</v>
      </c>
      <c r="C3907">
        <v>-74.345577000000006</v>
      </c>
      <c r="D3907">
        <v>1000</v>
      </c>
      <c r="E3907">
        <v>1275</v>
      </c>
      <c r="F3907">
        <v>45</v>
      </c>
      <c r="G3907">
        <v>92</v>
      </c>
      <c r="H3907">
        <v>-128</v>
      </c>
      <c r="J3907" s="1">
        <f t="shared" ref="J3907:J3970" si="305">F3907^2</f>
        <v>2025</v>
      </c>
      <c r="K3907" s="1">
        <f t="shared" ref="K3907:K3970" si="306">G3907^2</f>
        <v>8464</v>
      </c>
      <c r="L3907" s="1">
        <f t="shared" ref="L3907:L3970" si="307">SUMSQ(F3907,G3907)</f>
        <v>10489</v>
      </c>
      <c r="M3907" s="1">
        <f t="shared" ref="M3907:M3970" si="308">SQRT(L3907)</f>
        <v>102.41581909060729</v>
      </c>
      <c r="N3907" s="7">
        <f t="shared" ref="N3907:N3970" si="309">M3907</f>
        <v>102.41581909060729</v>
      </c>
    </row>
    <row r="3908" spans="1:14" x14ac:dyDescent="0.25">
      <c r="A3908" t="str">
        <f>"14:55:34.016"</f>
        <v>14:55:34.016</v>
      </c>
      <c r="B3908">
        <v>40.530538999999997</v>
      </c>
      <c r="C3908">
        <v>-74.345405</v>
      </c>
      <c r="D3908">
        <v>1000</v>
      </c>
      <c r="E3908">
        <v>1275</v>
      </c>
      <c r="F3908">
        <v>45</v>
      </c>
      <c r="G3908">
        <v>92</v>
      </c>
      <c r="H3908">
        <v>-128</v>
      </c>
      <c r="J3908" s="1">
        <f t="shared" si="305"/>
        <v>2025</v>
      </c>
      <c r="K3908" s="1">
        <f t="shared" si="306"/>
        <v>8464</v>
      </c>
      <c r="L3908" s="1">
        <f t="shared" si="307"/>
        <v>10489</v>
      </c>
      <c r="M3908" s="1">
        <f t="shared" si="308"/>
        <v>102.41581909060729</v>
      </c>
      <c r="N3908" s="7">
        <f t="shared" si="309"/>
        <v>102.41581909060729</v>
      </c>
    </row>
    <row r="3909" spans="1:14" x14ac:dyDescent="0.25">
      <c r="A3909" t="str">
        <f>"14:55:35.125"</f>
        <v>14:55:35.125</v>
      </c>
      <c r="B3909">
        <v>40.531032000000003</v>
      </c>
      <c r="C3909">
        <v>-74.345039999999997</v>
      </c>
      <c r="D3909">
        <v>1000</v>
      </c>
      <c r="E3909">
        <v>1275</v>
      </c>
      <c r="F3909">
        <v>45</v>
      </c>
      <c r="G3909">
        <v>91</v>
      </c>
      <c r="H3909">
        <v>-192</v>
      </c>
      <c r="J3909" s="1">
        <f t="shared" si="305"/>
        <v>2025</v>
      </c>
      <c r="K3909" s="1">
        <f t="shared" si="306"/>
        <v>8281</v>
      </c>
      <c r="L3909" s="1">
        <f t="shared" si="307"/>
        <v>10306</v>
      </c>
      <c r="M3909" s="1">
        <f t="shared" si="308"/>
        <v>101.51847122568385</v>
      </c>
      <c r="N3909" s="7">
        <f t="shared" si="309"/>
        <v>101.51847122568385</v>
      </c>
    </row>
    <row r="3910" spans="1:14" x14ac:dyDescent="0.25">
      <c r="A3910" t="str">
        <f>"14:55:36.031"</f>
        <v>14:55:36.031</v>
      </c>
      <c r="B3910">
        <v>40.531396999999998</v>
      </c>
      <c r="C3910">
        <v>-74.344803999999996</v>
      </c>
      <c r="D3910">
        <v>1000</v>
      </c>
      <c r="E3910">
        <v>1275</v>
      </c>
      <c r="F3910">
        <v>44</v>
      </c>
      <c r="G3910">
        <v>91</v>
      </c>
      <c r="H3910">
        <v>-256</v>
      </c>
      <c r="J3910" s="1">
        <f t="shared" si="305"/>
        <v>1936</v>
      </c>
      <c r="K3910" s="1">
        <f t="shared" si="306"/>
        <v>8281</v>
      </c>
      <c r="L3910" s="1">
        <f t="shared" si="307"/>
        <v>10217</v>
      </c>
      <c r="M3910" s="1">
        <f t="shared" si="308"/>
        <v>101.07917688624102</v>
      </c>
      <c r="N3910" s="7">
        <f t="shared" si="309"/>
        <v>101.07917688624102</v>
      </c>
    </row>
    <row r="3911" spans="1:14" x14ac:dyDescent="0.25">
      <c r="A3911" t="str">
        <f>"14:55:37.047"</f>
        <v>14:55:37.047</v>
      </c>
      <c r="B3911">
        <v>40.531826000000002</v>
      </c>
      <c r="C3911">
        <v>-74.344547000000006</v>
      </c>
      <c r="D3911">
        <v>1000</v>
      </c>
      <c r="E3911">
        <v>1275</v>
      </c>
      <c r="F3911">
        <v>44</v>
      </c>
      <c r="G3911">
        <v>92</v>
      </c>
      <c r="H3911">
        <v>-320</v>
      </c>
      <c r="J3911" s="1">
        <f t="shared" si="305"/>
        <v>1936</v>
      </c>
      <c r="K3911" s="1">
        <f t="shared" si="306"/>
        <v>8464</v>
      </c>
      <c r="L3911" s="1">
        <f t="shared" si="307"/>
        <v>10400</v>
      </c>
      <c r="M3911" s="1">
        <f t="shared" si="308"/>
        <v>101.9803902718557</v>
      </c>
      <c r="N3911" s="7">
        <f t="shared" si="309"/>
        <v>101.9803902718557</v>
      </c>
    </row>
    <row r="3912" spans="1:14" x14ac:dyDescent="0.25">
      <c r="A3912" t="str">
        <f>"14:55:38.000"</f>
        <v>14:55:38.000</v>
      </c>
      <c r="B3912">
        <v>40.532234000000003</v>
      </c>
      <c r="C3912">
        <v>-74.344289000000003</v>
      </c>
      <c r="D3912">
        <v>1000</v>
      </c>
      <c r="E3912">
        <v>1275</v>
      </c>
      <c r="F3912">
        <v>44</v>
      </c>
      <c r="G3912">
        <v>92</v>
      </c>
      <c r="H3912">
        <v>-512</v>
      </c>
      <c r="J3912" s="1">
        <f t="shared" si="305"/>
        <v>1936</v>
      </c>
      <c r="K3912" s="1">
        <f t="shared" si="306"/>
        <v>8464</v>
      </c>
      <c r="L3912" s="1">
        <f t="shared" si="307"/>
        <v>10400</v>
      </c>
      <c r="M3912" s="1">
        <f t="shared" si="308"/>
        <v>101.9803902718557</v>
      </c>
      <c r="N3912" s="7">
        <f t="shared" si="309"/>
        <v>101.9803902718557</v>
      </c>
    </row>
    <row r="3913" spans="1:14" x14ac:dyDescent="0.25">
      <c r="A3913" t="str">
        <f>"14:55:39.016"</f>
        <v>14:55:39.016</v>
      </c>
      <c r="B3913">
        <v>40.532640999999998</v>
      </c>
      <c r="C3913">
        <v>-74.344053000000002</v>
      </c>
      <c r="D3913">
        <v>1000</v>
      </c>
      <c r="E3913">
        <v>1250</v>
      </c>
      <c r="F3913">
        <v>44</v>
      </c>
      <c r="G3913">
        <v>92</v>
      </c>
      <c r="H3913">
        <v>-640</v>
      </c>
      <c r="J3913" s="1">
        <f t="shared" si="305"/>
        <v>1936</v>
      </c>
      <c r="K3913" s="1">
        <f t="shared" si="306"/>
        <v>8464</v>
      </c>
      <c r="L3913" s="1">
        <f t="shared" si="307"/>
        <v>10400</v>
      </c>
      <c r="M3913" s="1">
        <f t="shared" si="308"/>
        <v>101.9803902718557</v>
      </c>
      <c r="N3913" s="7">
        <f t="shared" si="309"/>
        <v>101.9803902718557</v>
      </c>
    </row>
    <row r="3914" spans="1:14" x14ac:dyDescent="0.25">
      <c r="A3914" t="str">
        <f>"14:55:39.875"</f>
        <v>14:55:39.875</v>
      </c>
      <c r="B3914">
        <v>40.533028000000002</v>
      </c>
      <c r="C3914">
        <v>-74.343795999999998</v>
      </c>
      <c r="D3914">
        <v>1000</v>
      </c>
      <c r="E3914">
        <v>1250</v>
      </c>
      <c r="F3914">
        <v>44</v>
      </c>
      <c r="G3914">
        <v>93</v>
      </c>
      <c r="H3914">
        <v>-704</v>
      </c>
      <c r="J3914" s="1">
        <f t="shared" si="305"/>
        <v>1936</v>
      </c>
      <c r="K3914" s="1">
        <f t="shared" si="306"/>
        <v>8649</v>
      </c>
      <c r="L3914" s="1">
        <f t="shared" si="307"/>
        <v>10585</v>
      </c>
      <c r="M3914" s="1">
        <f t="shared" si="308"/>
        <v>102.88342918079665</v>
      </c>
      <c r="N3914" s="7">
        <f t="shared" si="309"/>
        <v>102.88342918079665</v>
      </c>
    </row>
    <row r="3915" spans="1:14" x14ac:dyDescent="0.25">
      <c r="A3915" t="str">
        <f>"14:55:40.828"</f>
        <v>14:55:40.828</v>
      </c>
      <c r="B3915">
        <v>40.533456999999999</v>
      </c>
      <c r="C3915">
        <v>-74.343537999999995</v>
      </c>
      <c r="D3915">
        <v>1000</v>
      </c>
      <c r="E3915">
        <v>1225</v>
      </c>
      <c r="F3915">
        <v>45</v>
      </c>
      <c r="G3915">
        <v>93</v>
      </c>
      <c r="H3915">
        <v>-832</v>
      </c>
      <c r="J3915" s="1">
        <f t="shared" si="305"/>
        <v>2025</v>
      </c>
      <c r="K3915" s="1">
        <f t="shared" si="306"/>
        <v>8649</v>
      </c>
      <c r="L3915" s="1">
        <f t="shared" si="307"/>
        <v>10674</v>
      </c>
      <c r="M3915" s="1">
        <f t="shared" si="308"/>
        <v>103.31505214633539</v>
      </c>
      <c r="N3915" s="7">
        <f t="shared" si="309"/>
        <v>103.31505214633539</v>
      </c>
    </row>
    <row r="3916" spans="1:14" x14ac:dyDescent="0.25">
      <c r="A3916" t="str">
        <f>"14:55:41.789"</f>
        <v>14:55:41.789</v>
      </c>
      <c r="B3916">
        <v>40.533864000000001</v>
      </c>
      <c r="C3916">
        <v>-74.343259000000003</v>
      </c>
      <c r="D3916">
        <v>1000</v>
      </c>
      <c r="E3916">
        <v>1225</v>
      </c>
      <c r="F3916">
        <v>46</v>
      </c>
      <c r="G3916">
        <v>94</v>
      </c>
      <c r="H3916">
        <v>-896</v>
      </c>
      <c r="J3916" s="1">
        <f t="shared" si="305"/>
        <v>2116</v>
      </c>
      <c r="K3916" s="1">
        <f t="shared" si="306"/>
        <v>8836</v>
      </c>
      <c r="L3916" s="1">
        <f t="shared" si="307"/>
        <v>10952</v>
      </c>
      <c r="M3916" s="1">
        <f t="shared" si="308"/>
        <v>104.65180361560904</v>
      </c>
      <c r="N3916" s="7">
        <f t="shared" si="309"/>
        <v>104.65180361560904</v>
      </c>
    </row>
    <row r="3917" spans="1:14" x14ac:dyDescent="0.25">
      <c r="A3917" t="str">
        <f>"14:55:42.898"</f>
        <v>14:55:42.898</v>
      </c>
      <c r="B3917">
        <v>40.534337000000001</v>
      </c>
      <c r="C3917">
        <v>-74.342979999999997</v>
      </c>
      <c r="D3917">
        <v>1000</v>
      </c>
      <c r="E3917">
        <v>1200</v>
      </c>
      <c r="F3917">
        <v>46</v>
      </c>
      <c r="G3917">
        <v>94</v>
      </c>
      <c r="H3917">
        <v>-832</v>
      </c>
      <c r="J3917" s="1">
        <f t="shared" si="305"/>
        <v>2116</v>
      </c>
      <c r="K3917" s="1">
        <f t="shared" si="306"/>
        <v>8836</v>
      </c>
      <c r="L3917" s="1">
        <f t="shared" si="307"/>
        <v>10952</v>
      </c>
      <c r="M3917" s="1">
        <f t="shared" si="308"/>
        <v>104.65180361560904</v>
      </c>
      <c r="N3917" s="7">
        <f t="shared" si="309"/>
        <v>104.65180361560904</v>
      </c>
    </row>
    <row r="3918" spans="1:14" x14ac:dyDescent="0.25">
      <c r="A3918" t="str">
        <f>"14:55:43.813"</f>
        <v>14:55:43.813</v>
      </c>
      <c r="B3918">
        <v>40.534744000000003</v>
      </c>
      <c r="C3918">
        <v>-74.342723000000007</v>
      </c>
      <c r="D3918">
        <v>1000</v>
      </c>
      <c r="E3918">
        <v>1200</v>
      </c>
      <c r="F3918">
        <v>47</v>
      </c>
      <c r="G3918">
        <v>95</v>
      </c>
      <c r="H3918">
        <v>-768</v>
      </c>
      <c r="J3918" s="1">
        <f t="shared" si="305"/>
        <v>2209</v>
      </c>
      <c r="K3918" s="1">
        <f t="shared" si="306"/>
        <v>9025</v>
      </c>
      <c r="L3918" s="1">
        <f t="shared" si="307"/>
        <v>11234</v>
      </c>
      <c r="M3918" s="1">
        <f t="shared" si="308"/>
        <v>105.99056561788883</v>
      </c>
      <c r="N3918" s="7">
        <f t="shared" si="309"/>
        <v>105.99056561788883</v>
      </c>
    </row>
    <row r="3919" spans="1:14" x14ac:dyDescent="0.25">
      <c r="A3919" t="str">
        <f>"14:55:44.922"</f>
        <v>14:55:44.922</v>
      </c>
      <c r="B3919">
        <v>40.535238</v>
      </c>
      <c r="C3919">
        <v>-74.342337000000001</v>
      </c>
      <c r="D3919">
        <v>900</v>
      </c>
      <c r="E3919">
        <v>1175</v>
      </c>
      <c r="F3919">
        <v>47</v>
      </c>
      <c r="G3919">
        <v>95</v>
      </c>
      <c r="H3919">
        <v>-704</v>
      </c>
      <c r="J3919" s="1">
        <f t="shared" si="305"/>
        <v>2209</v>
      </c>
      <c r="K3919" s="1">
        <f t="shared" si="306"/>
        <v>9025</v>
      </c>
      <c r="L3919" s="1">
        <f t="shared" si="307"/>
        <v>11234</v>
      </c>
      <c r="M3919" s="1">
        <f t="shared" si="308"/>
        <v>105.99056561788883</v>
      </c>
      <c r="N3919" s="7">
        <f t="shared" si="309"/>
        <v>105.99056561788883</v>
      </c>
    </row>
    <row r="3920" spans="1:14" x14ac:dyDescent="0.25">
      <c r="A3920" t="str">
        <f>"14:55:45.930"</f>
        <v>14:55:45.930</v>
      </c>
      <c r="B3920">
        <v>40.535710000000002</v>
      </c>
      <c r="C3920">
        <v>-74.342035999999993</v>
      </c>
      <c r="D3920">
        <v>900</v>
      </c>
      <c r="E3920">
        <v>1175</v>
      </c>
      <c r="F3920">
        <v>47</v>
      </c>
      <c r="G3920">
        <v>96</v>
      </c>
      <c r="H3920">
        <v>-704</v>
      </c>
      <c r="J3920" s="1">
        <f t="shared" si="305"/>
        <v>2209</v>
      </c>
      <c r="K3920" s="1">
        <f t="shared" si="306"/>
        <v>9216</v>
      </c>
      <c r="L3920" s="1">
        <f t="shared" si="307"/>
        <v>11425</v>
      </c>
      <c r="M3920" s="1">
        <f t="shared" si="308"/>
        <v>106.88779163215975</v>
      </c>
      <c r="N3920" s="7">
        <f t="shared" si="309"/>
        <v>106.88779163215975</v>
      </c>
    </row>
    <row r="3921" spans="1:14" x14ac:dyDescent="0.25">
      <c r="A3921" t="str">
        <f>"14:55:46.945"</f>
        <v>14:55:46.945</v>
      </c>
      <c r="B3921">
        <v>40.536160000000002</v>
      </c>
      <c r="C3921">
        <v>-74.341800000000006</v>
      </c>
      <c r="D3921">
        <v>900</v>
      </c>
      <c r="E3921">
        <v>1150</v>
      </c>
      <c r="F3921">
        <v>48</v>
      </c>
      <c r="G3921">
        <v>96</v>
      </c>
      <c r="H3921">
        <v>-768</v>
      </c>
      <c r="J3921" s="1">
        <f t="shared" si="305"/>
        <v>2304</v>
      </c>
      <c r="K3921" s="1">
        <f t="shared" si="306"/>
        <v>9216</v>
      </c>
      <c r="L3921" s="1">
        <f t="shared" si="307"/>
        <v>11520</v>
      </c>
      <c r="M3921" s="1">
        <f t="shared" si="308"/>
        <v>107.33126291998991</v>
      </c>
      <c r="N3921" s="7">
        <f t="shared" si="309"/>
        <v>107.33126291998991</v>
      </c>
    </row>
    <row r="3922" spans="1:14" x14ac:dyDescent="0.25">
      <c r="A3922" t="str">
        <f>"14:55:47.852"</f>
        <v>14:55:47.852</v>
      </c>
      <c r="B3922">
        <v>40.536568000000003</v>
      </c>
      <c r="C3922">
        <v>-74.341543000000001</v>
      </c>
      <c r="D3922">
        <v>900</v>
      </c>
      <c r="E3922">
        <v>1150</v>
      </c>
      <c r="F3922">
        <v>48</v>
      </c>
      <c r="G3922">
        <v>96</v>
      </c>
      <c r="H3922">
        <v>-832</v>
      </c>
      <c r="J3922" s="1">
        <f t="shared" si="305"/>
        <v>2304</v>
      </c>
      <c r="K3922" s="1">
        <f t="shared" si="306"/>
        <v>9216</v>
      </c>
      <c r="L3922" s="1">
        <f t="shared" si="307"/>
        <v>11520</v>
      </c>
      <c r="M3922" s="1">
        <f t="shared" si="308"/>
        <v>107.33126291998991</v>
      </c>
      <c r="N3922" s="7">
        <f t="shared" si="309"/>
        <v>107.33126291998991</v>
      </c>
    </row>
    <row r="3923" spans="1:14" x14ac:dyDescent="0.25">
      <c r="A3923" t="str">
        <f>"14:55:48.914"</f>
        <v>14:55:48.914</v>
      </c>
      <c r="B3923">
        <v>40.537039999999998</v>
      </c>
      <c r="C3923">
        <v>-74.341177999999999</v>
      </c>
      <c r="D3923">
        <v>900</v>
      </c>
      <c r="E3923">
        <v>1125</v>
      </c>
      <c r="F3923">
        <v>48</v>
      </c>
      <c r="G3923">
        <v>97</v>
      </c>
      <c r="H3923">
        <v>-832</v>
      </c>
      <c r="J3923" s="1">
        <f t="shared" si="305"/>
        <v>2304</v>
      </c>
      <c r="K3923" s="1">
        <f t="shared" si="306"/>
        <v>9409</v>
      </c>
      <c r="L3923" s="1">
        <f t="shared" si="307"/>
        <v>11713</v>
      </c>
      <c r="M3923" s="1">
        <f t="shared" si="308"/>
        <v>108.22661410207751</v>
      </c>
      <c r="N3923" s="7">
        <f t="shared" si="309"/>
        <v>108.22661410207751</v>
      </c>
    </row>
    <row r="3924" spans="1:14" x14ac:dyDescent="0.25">
      <c r="A3924" t="str">
        <f>"14:55:49.922"</f>
        <v>14:55:49.922</v>
      </c>
      <c r="B3924">
        <v>40.537491000000003</v>
      </c>
      <c r="C3924">
        <v>-74.340878000000004</v>
      </c>
      <c r="D3924">
        <v>900</v>
      </c>
      <c r="E3924">
        <v>1100</v>
      </c>
      <c r="F3924">
        <v>49</v>
      </c>
      <c r="G3924">
        <v>97</v>
      </c>
      <c r="H3924">
        <v>-832</v>
      </c>
      <c r="J3924" s="1">
        <f t="shared" si="305"/>
        <v>2401</v>
      </c>
      <c r="K3924" s="1">
        <f t="shared" si="306"/>
        <v>9409</v>
      </c>
      <c r="L3924" s="1">
        <f t="shared" si="307"/>
        <v>11810</v>
      </c>
      <c r="M3924" s="1">
        <f t="shared" si="308"/>
        <v>108.67382389517726</v>
      </c>
      <c r="N3924" s="7">
        <f t="shared" si="309"/>
        <v>108.67382389517726</v>
      </c>
    </row>
    <row r="3925" spans="1:14" x14ac:dyDescent="0.25">
      <c r="A3925" t="str">
        <f>"14:55:51.031"</f>
        <v>14:55:51.031</v>
      </c>
      <c r="B3925">
        <v>40.538006000000003</v>
      </c>
      <c r="C3925">
        <v>-74.340556000000007</v>
      </c>
      <c r="D3925">
        <v>800</v>
      </c>
      <c r="E3925">
        <v>1200</v>
      </c>
      <c r="F3925">
        <v>49</v>
      </c>
      <c r="G3925">
        <v>97</v>
      </c>
      <c r="H3925">
        <v>-768</v>
      </c>
      <c r="J3925" s="1">
        <f t="shared" si="305"/>
        <v>2401</v>
      </c>
      <c r="K3925" s="1">
        <f t="shared" si="306"/>
        <v>9409</v>
      </c>
      <c r="L3925" s="1">
        <f t="shared" si="307"/>
        <v>11810</v>
      </c>
      <c r="M3925" s="1">
        <f t="shared" si="308"/>
        <v>108.67382389517726</v>
      </c>
      <c r="N3925" s="7">
        <f t="shared" si="309"/>
        <v>108.67382389517726</v>
      </c>
    </row>
    <row r="3926" spans="1:14" x14ac:dyDescent="0.25">
      <c r="A3926" t="str">
        <f>"14:55:51.844"</f>
        <v>14:55:51.844</v>
      </c>
      <c r="B3926">
        <v>40.538348999999997</v>
      </c>
      <c r="C3926">
        <v>-74.340298000000004</v>
      </c>
      <c r="D3926">
        <v>800</v>
      </c>
      <c r="E3926">
        <v>1075</v>
      </c>
      <c r="F3926">
        <v>50</v>
      </c>
      <c r="G3926">
        <v>97</v>
      </c>
      <c r="H3926">
        <v>-768</v>
      </c>
      <c r="J3926" s="1">
        <f t="shared" si="305"/>
        <v>2500</v>
      </c>
      <c r="K3926" s="1">
        <f t="shared" si="306"/>
        <v>9409</v>
      </c>
      <c r="L3926" s="1">
        <f t="shared" si="307"/>
        <v>11909</v>
      </c>
      <c r="M3926" s="1">
        <f t="shared" si="308"/>
        <v>109.12836478203089</v>
      </c>
      <c r="N3926" s="7">
        <f t="shared" si="309"/>
        <v>109.12836478203089</v>
      </c>
    </row>
    <row r="3927" spans="1:14" x14ac:dyDescent="0.25">
      <c r="A3927" t="str">
        <f>"14:55:52.953"</f>
        <v>14:55:52.953</v>
      </c>
      <c r="B3927">
        <v>40.538863999999997</v>
      </c>
      <c r="C3927">
        <v>-74.339975999999993</v>
      </c>
      <c r="D3927">
        <v>800</v>
      </c>
      <c r="E3927">
        <v>1075</v>
      </c>
      <c r="F3927">
        <v>50</v>
      </c>
      <c r="G3927">
        <v>98</v>
      </c>
      <c r="H3927">
        <v>-768</v>
      </c>
      <c r="J3927" s="1">
        <f t="shared" si="305"/>
        <v>2500</v>
      </c>
      <c r="K3927" s="1">
        <f t="shared" si="306"/>
        <v>9604</v>
      </c>
      <c r="L3927" s="1">
        <f t="shared" si="307"/>
        <v>12104</v>
      </c>
      <c r="M3927" s="1">
        <f t="shared" si="308"/>
        <v>110.01818031580054</v>
      </c>
      <c r="N3927" s="7">
        <f t="shared" si="309"/>
        <v>110.01818031580054</v>
      </c>
    </row>
    <row r="3928" spans="1:14" x14ac:dyDescent="0.25">
      <c r="A3928" t="str">
        <f>"14:55:53.813"</f>
        <v>14:55:53.813</v>
      </c>
      <c r="B3928">
        <v>40.539271999999997</v>
      </c>
      <c r="C3928">
        <v>-74.339740000000006</v>
      </c>
      <c r="D3928">
        <v>800</v>
      </c>
      <c r="E3928">
        <v>1075</v>
      </c>
      <c r="F3928">
        <v>50</v>
      </c>
      <c r="G3928">
        <v>98</v>
      </c>
      <c r="H3928">
        <v>-768</v>
      </c>
      <c r="J3928" s="1">
        <f t="shared" si="305"/>
        <v>2500</v>
      </c>
      <c r="K3928" s="1">
        <f t="shared" si="306"/>
        <v>9604</v>
      </c>
      <c r="L3928" s="1">
        <f t="shared" si="307"/>
        <v>12104</v>
      </c>
      <c r="M3928" s="1">
        <f t="shared" si="308"/>
        <v>110.01818031580054</v>
      </c>
      <c r="N3928" s="7">
        <f t="shared" si="309"/>
        <v>110.01818031580054</v>
      </c>
    </row>
    <row r="3929" spans="1:14" x14ac:dyDescent="0.25">
      <c r="A3929" t="str">
        <f>"14:55:54.875"</f>
        <v>14:55:54.875</v>
      </c>
      <c r="B3929">
        <v>40.539743999999999</v>
      </c>
      <c r="C3929">
        <v>-74.339417999999995</v>
      </c>
      <c r="D3929">
        <v>800</v>
      </c>
      <c r="E3929">
        <v>1050</v>
      </c>
      <c r="F3929">
        <v>51</v>
      </c>
      <c r="G3929">
        <v>98</v>
      </c>
      <c r="H3929">
        <v>-768</v>
      </c>
      <c r="J3929" s="1">
        <f t="shared" si="305"/>
        <v>2601</v>
      </c>
      <c r="K3929" s="1">
        <f t="shared" si="306"/>
        <v>9604</v>
      </c>
      <c r="L3929" s="1">
        <f t="shared" si="307"/>
        <v>12205</v>
      </c>
      <c r="M3929" s="1">
        <f t="shared" si="308"/>
        <v>110.47624178980746</v>
      </c>
      <c r="N3929" s="7">
        <f t="shared" si="309"/>
        <v>110.47624178980746</v>
      </c>
    </row>
    <row r="3930" spans="1:14" x14ac:dyDescent="0.25">
      <c r="A3930" t="str">
        <f>"14:55:55.836"</f>
        <v>14:55:55.836</v>
      </c>
      <c r="B3930">
        <v>40.540151999999999</v>
      </c>
      <c r="C3930">
        <v>-74.339117999999999</v>
      </c>
      <c r="D3930">
        <v>800</v>
      </c>
      <c r="E3930">
        <v>1025</v>
      </c>
      <c r="F3930">
        <v>51</v>
      </c>
      <c r="G3930">
        <v>98</v>
      </c>
      <c r="H3930">
        <v>-896</v>
      </c>
      <c r="J3930" s="1">
        <f t="shared" si="305"/>
        <v>2601</v>
      </c>
      <c r="K3930" s="1">
        <f t="shared" si="306"/>
        <v>9604</v>
      </c>
      <c r="L3930" s="1">
        <f t="shared" si="307"/>
        <v>12205</v>
      </c>
      <c r="M3930" s="1">
        <f t="shared" si="308"/>
        <v>110.47624178980746</v>
      </c>
      <c r="N3930" s="7">
        <f t="shared" si="309"/>
        <v>110.47624178980746</v>
      </c>
    </row>
    <row r="3931" spans="1:14" x14ac:dyDescent="0.25">
      <c r="A3931" t="str">
        <f>"14:55:56.891"</f>
        <v>14:55:56.891</v>
      </c>
      <c r="B3931">
        <v>40.540624000000001</v>
      </c>
      <c r="C3931">
        <v>-74.338796000000002</v>
      </c>
      <c r="D3931">
        <v>800</v>
      </c>
      <c r="E3931">
        <v>1025</v>
      </c>
      <c r="F3931">
        <v>51</v>
      </c>
      <c r="G3931">
        <v>98</v>
      </c>
      <c r="H3931">
        <v>-1024</v>
      </c>
      <c r="J3931" s="1">
        <f t="shared" si="305"/>
        <v>2601</v>
      </c>
      <c r="K3931" s="1">
        <f t="shared" si="306"/>
        <v>9604</v>
      </c>
      <c r="L3931" s="1">
        <f t="shared" si="307"/>
        <v>12205</v>
      </c>
      <c r="M3931" s="1">
        <f t="shared" si="308"/>
        <v>110.47624178980746</v>
      </c>
      <c r="N3931" s="7">
        <f t="shared" si="309"/>
        <v>110.47624178980746</v>
      </c>
    </row>
    <row r="3932" spans="1:14" x14ac:dyDescent="0.25">
      <c r="A3932" t="str">
        <f>"14:55:57.852"</f>
        <v>14:55:57.852</v>
      </c>
      <c r="B3932">
        <v>40.541096000000003</v>
      </c>
      <c r="C3932">
        <v>-74.338496000000006</v>
      </c>
      <c r="D3932">
        <v>700</v>
      </c>
      <c r="E3932">
        <v>1000</v>
      </c>
      <c r="F3932">
        <v>50</v>
      </c>
      <c r="G3932">
        <v>98</v>
      </c>
      <c r="H3932">
        <v>-1024</v>
      </c>
      <c r="J3932" s="1">
        <f t="shared" si="305"/>
        <v>2500</v>
      </c>
      <c r="K3932" s="1">
        <f t="shared" si="306"/>
        <v>9604</v>
      </c>
      <c r="L3932" s="1">
        <f t="shared" si="307"/>
        <v>12104</v>
      </c>
      <c r="M3932" s="1">
        <f t="shared" si="308"/>
        <v>110.01818031580054</v>
      </c>
      <c r="N3932" s="7">
        <f t="shared" si="309"/>
        <v>110.01818031580054</v>
      </c>
    </row>
    <row r="3933" spans="1:14" x14ac:dyDescent="0.25">
      <c r="A3933" t="str">
        <f>"14:55:58.766"</f>
        <v>14:55:58.766</v>
      </c>
      <c r="B3933">
        <v>40.541482000000002</v>
      </c>
      <c r="C3933">
        <v>-74.338194999999999</v>
      </c>
      <c r="D3933">
        <v>700</v>
      </c>
      <c r="E3933">
        <v>975</v>
      </c>
      <c r="F3933">
        <v>51</v>
      </c>
      <c r="G3933">
        <v>99</v>
      </c>
      <c r="H3933">
        <v>-896</v>
      </c>
      <c r="J3933" s="1">
        <f t="shared" si="305"/>
        <v>2601</v>
      </c>
      <c r="K3933" s="1">
        <f t="shared" si="306"/>
        <v>9801</v>
      </c>
      <c r="L3933" s="1">
        <f t="shared" si="307"/>
        <v>12402</v>
      </c>
      <c r="M3933" s="1">
        <f t="shared" si="308"/>
        <v>111.36426715962351</v>
      </c>
      <c r="N3933" s="7">
        <f t="shared" si="309"/>
        <v>111.36426715962351</v>
      </c>
    </row>
    <row r="3934" spans="1:14" x14ac:dyDescent="0.25">
      <c r="A3934" t="str">
        <f>"14:55:59.672"</f>
        <v>14:55:59.672</v>
      </c>
      <c r="B3934">
        <v>40.541868000000001</v>
      </c>
      <c r="C3934">
        <v>-74.337937999999994</v>
      </c>
      <c r="D3934">
        <v>700</v>
      </c>
      <c r="E3934">
        <v>1075</v>
      </c>
      <c r="F3934">
        <v>51</v>
      </c>
      <c r="G3934">
        <v>99</v>
      </c>
      <c r="H3934">
        <v>-1024</v>
      </c>
      <c r="J3934" s="1">
        <f t="shared" si="305"/>
        <v>2601</v>
      </c>
      <c r="K3934" s="1">
        <f t="shared" si="306"/>
        <v>9801</v>
      </c>
      <c r="L3934" s="1">
        <f t="shared" si="307"/>
        <v>12402</v>
      </c>
      <c r="M3934" s="1">
        <f t="shared" si="308"/>
        <v>111.36426715962351</v>
      </c>
      <c r="N3934" s="7">
        <f t="shared" si="309"/>
        <v>111.36426715962351</v>
      </c>
    </row>
    <row r="3935" spans="1:14" x14ac:dyDescent="0.25">
      <c r="A3935" t="str">
        <f>"14:56:00.680"</f>
        <v>14:56:00.680</v>
      </c>
      <c r="B3935">
        <v>40.542340000000003</v>
      </c>
      <c r="C3935">
        <v>-74.337615999999997</v>
      </c>
      <c r="D3935">
        <v>700</v>
      </c>
      <c r="E3935">
        <v>950</v>
      </c>
      <c r="F3935">
        <v>51</v>
      </c>
      <c r="G3935">
        <v>99</v>
      </c>
      <c r="H3935">
        <v>-1088</v>
      </c>
      <c r="J3935" s="1">
        <f t="shared" si="305"/>
        <v>2601</v>
      </c>
      <c r="K3935" s="1">
        <f t="shared" si="306"/>
        <v>9801</v>
      </c>
      <c r="L3935" s="1">
        <f t="shared" si="307"/>
        <v>12402</v>
      </c>
      <c r="M3935" s="1">
        <f t="shared" si="308"/>
        <v>111.36426715962351</v>
      </c>
      <c r="N3935" s="7">
        <f t="shared" si="309"/>
        <v>111.36426715962351</v>
      </c>
    </row>
    <row r="3936" spans="1:14" x14ac:dyDescent="0.25">
      <c r="A3936" t="str">
        <f>"14:56:01.641"</f>
        <v>14:56:01.641</v>
      </c>
      <c r="B3936">
        <v>40.542811999999998</v>
      </c>
      <c r="C3936">
        <v>-74.337294</v>
      </c>
      <c r="D3936">
        <v>700</v>
      </c>
      <c r="E3936">
        <v>925</v>
      </c>
      <c r="F3936">
        <v>51</v>
      </c>
      <c r="G3936">
        <v>100</v>
      </c>
      <c r="H3936">
        <v>-1216</v>
      </c>
      <c r="J3936" s="1">
        <f t="shared" si="305"/>
        <v>2601</v>
      </c>
      <c r="K3936" s="1">
        <f t="shared" si="306"/>
        <v>10000</v>
      </c>
      <c r="L3936" s="1">
        <f t="shared" si="307"/>
        <v>12601</v>
      </c>
      <c r="M3936" s="1">
        <f t="shared" si="308"/>
        <v>112.25417586887359</v>
      </c>
      <c r="N3936" s="7">
        <f t="shared" si="309"/>
        <v>112.25417586887359</v>
      </c>
    </row>
    <row r="3937" spans="1:14" x14ac:dyDescent="0.25">
      <c r="A3937" t="str">
        <f>"14:56:02.547"</f>
        <v>14:56:02.547</v>
      </c>
      <c r="B3937">
        <v>40.543263000000003</v>
      </c>
      <c r="C3937">
        <v>-74.337036999999995</v>
      </c>
      <c r="D3937">
        <v>700</v>
      </c>
      <c r="E3937">
        <v>925</v>
      </c>
      <c r="F3937">
        <v>52</v>
      </c>
      <c r="G3937">
        <v>100</v>
      </c>
      <c r="H3937">
        <v>-1152</v>
      </c>
      <c r="J3937" s="1">
        <f t="shared" si="305"/>
        <v>2704</v>
      </c>
      <c r="K3937" s="1">
        <f t="shared" si="306"/>
        <v>10000</v>
      </c>
      <c r="L3937" s="1">
        <f t="shared" si="307"/>
        <v>12704</v>
      </c>
      <c r="M3937" s="1">
        <f t="shared" si="308"/>
        <v>112.71202242884297</v>
      </c>
      <c r="N3937" s="7">
        <f t="shared" si="309"/>
        <v>112.71202242884297</v>
      </c>
    </row>
    <row r="3938" spans="1:14" x14ac:dyDescent="0.25">
      <c r="A3938" t="str">
        <f>"14:56:03.461"</f>
        <v>14:56:03.461</v>
      </c>
      <c r="B3938">
        <v>40.543649000000002</v>
      </c>
      <c r="C3938">
        <v>-74.336736000000002</v>
      </c>
      <c r="D3938">
        <v>700</v>
      </c>
      <c r="E3938">
        <v>900</v>
      </c>
      <c r="F3938">
        <v>52</v>
      </c>
      <c r="G3938">
        <v>101</v>
      </c>
      <c r="H3938">
        <v>-1152</v>
      </c>
      <c r="J3938" s="1">
        <f t="shared" si="305"/>
        <v>2704</v>
      </c>
      <c r="K3938" s="1">
        <f t="shared" si="306"/>
        <v>10201</v>
      </c>
      <c r="L3938" s="1">
        <f t="shared" si="307"/>
        <v>12905</v>
      </c>
      <c r="M3938" s="1">
        <f t="shared" si="308"/>
        <v>113.6001760562016</v>
      </c>
      <c r="N3938" s="7">
        <f t="shared" si="309"/>
        <v>113.6001760562016</v>
      </c>
    </row>
    <row r="3939" spans="1:14" x14ac:dyDescent="0.25">
      <c r="A3939" t="str">
        <f>"14:56:04.773"</f>
        <v>14:56:04.773</v>
      </c>
      <c r="B3939">
        <v>40.544271000000002</v>
      </c>
      <c r="C3939">
        <v>-74.336371</v>
      </c>
      <c r="D3939">
        <v>600</v>
      </c>
      <c r="E3939">
        <v>875</v>
      </c>
      <c r="F3939">
        <v>51</v>
      </c>
      <c r="G3939">
        <v>102</v>
      </c>
      <c r="H3939">
        <v>-1088</v>
      </c>
      <c r="J3939" s="1">
        <f t="shared" si="305"/>
        <v>2601</v>
      </c>
      <c r="K3939" s="1">
        <f t="shared" si="306"/>
        <v>10404</v>
      </c>
      <c r="L3939" s="1">
        <f t="shared" si="307"/>
        <v>13005</v>
      </c>
      <c r="M3939" s="1">
        <f t="shared" si="308"/>
        <v>114.03946685248927</v>
      </c>
      <c r="N3939" s="7">
        <f t="shared" si="309"/>
        <v>114.03946685248927</v>
      </c>
    </row>
    <row r="3940" spans="1:14" x14ac:dyDescent="0.25">
      <c r="A3940" t="str">
        <f>"14:56:05.781"</f>
        <v>14:56:05.781</v>
      </c>
      <c r="B3940">
        <v>40.544764999999998</v>
      </c>
      <c r="C3940">
        <v>-74.33605</v>
      </c>
      <c r="D3940">
        <v>600</v>
      </c>
      <c r="E3940">
        <v>850</v>
      </c>
      <c r="F3940">
        <v>50</v>
      </c>
      <c r="G3940">
        <v>103</v>
      </c>
      <c r="H3940">
        <v>-1088</v>
      </c>
      <c r="J3940" s="1">
        <f t="shared" si="305"/>
        <v>2500</v>
      </c>
      <c r="K3940" s="1">
        <f t="shared" si="306"/>
        <v>10609</v>
      </c>
      <c r="L3940" s="1">
        <f t="shared" si="307"/>
        <v>13109</v>
      </c>
      <c r="M3940" s="1">
        <f t="shared" si="308"/>
        <v>114.49454135459908</v>
      </c>
      <c r="N3940" s="7">
        <f t="shared" si="309"/>
        <v>114.49454135459908</v>
      </c>
    </row>
    <row r="3941" spans="1:14" x14ac:dyDescent="0.25">
      <c r="A3941" t="str">
        <f>"14:56:07.297"</f>
        <v>14:56:07.297</v>
      </c>
      <c r="B3941">
        <v>40.545473000000001</v>
      </c>
      <c r="C3941">
        <v>-74.335555999999997</v>
      </c>
      <c r="D3941">
        <v>600</v>
      </c>
      <c r="E3941">
        <v>825</v>
      </c>
      <c r="F3941">
        <v>50</v>
      </c>
      <c r="G3941">
        <v>104</v>
      </c>
      <c r="H3941">
        <v>-1024</v>
      </c>
      <c r="J3941" s="1">
        <f t="shared" si="305"/>
        <v>2500</v>
      </c>
      <c r="K3941" s="1">
        <f t="shared" si="306"/>
        <v>10816</v>
      </c>
      <c r="L3941" s="1">
        <f t="shared" si="307"/>
        <v>13316</v>
      </c>
      <c r="M3941" s="1">
        <f t="shared" si="308"/>
        <v>115.39497389401325</v>
      </c>
      <c r="N3941" s="7">
        <f t="shared" si="309"/>
        <v>115.39497389401325</v>
      </c>
    </row>
    <row r="3942" spans="1:14" x14ac:dyDescent="0.25">
      <c r="A3942" t="str">
        <f>"14:56:08.203"</f>
        <v>14:56:08.203</v>
      </c>
      <c r="B3942">
        <v>40.545923999999999</v>
      </c>
      <c r="C3942">
        <v>-74.335319999999996</v>
      </c>
      <c r="D3942">
        <v>600</v>
      </c>
      <c r="E3942">
        <v>800</v>
      </c>
      <c r="F3942">
        <v>49</v>
      </c>
      <c r="G3942">
        <v>105</v>
      </c>
      <c r="H3942">
        <v>-960</v>
      </c>
      <c r="J3942" s="1">
        <f t="shared" si="305"/>
        <v>2401</v>
      </c>
      <c r="K3942" s="1">
        <f t="shared" si="306"/>
        <v>11025</v>
      </c>
      <c r="L3942" s="1">
        <f t="shared" si="307"/>
        <v>13426</v>
      </c>
      <c r="M3942" s="1">
        <f t="shared" si="308"/>
        <v>115.87061750072795</v>
      </c>
      <c r="N3942" s="7">
        <f t="shared" si="309"/>
        <v>115.87061750072795</v>
      </c>
    </row>
    <row r="3943" spans="1:14" x14ac:dyDescent="0.25">
      <c r="A3943" t="str">
        <f>"14:56:09.219"</f>
        <v>14:56:09.219</v>
      </c>
      <c r="B3943">
        <v>40.546416999999998</v>
      </c>
      <c r="C3943">
        <v>-74.33502</v>
      </c>
      <c r="D3943">
        <v>500</v>
      </c>
      <c r="E3943">
        <v>800</v>
      </c>
      <c r="F3943">
        <v>49</v>
      </c>
      <c r="G3943">
        <v>105</v>
      </c>
      <c r="H3943">
        <v>-832</v>
      </c>
      <c r="J3943" s="1">
        <f t="shared" si="305"/>
        <v>2401</v>
      </c>
      <c r="K3943" s="1">
        <f t="shared" si="306"/>
        <v>11025</v>
      </c>
      <c r="L3943" s="1">
        <f t="shared" si="307"/>
        <v>13426</v>
      </c>
      <c r="M3943" s="1">
        <f t="shared" si="308"/>
        <v>115.87061750072795</v>
      </c>
      <c r="N3943" s="7">
        <f t="shared" si="309"/>
        <v>115.87061750072795</v>
      </c>
    </row>
    <row r="3944" spans="1:14" x14ac:dyDescent="0.25">
      <c r="A3944" t="str">
        <f>"14:56:10.125"</f>
        <v>14:56:10.125</v>
      </c>
      <c r="B3944">
        <v>40.546868000000003</v>
      </c>
      <c r="C3944">
        <v>-74.334740999999994</v>
      </c>
      <c r="D3944">
        <v>500</v>
      </c>
      <c r="E3944">
        <v>775</v>
      </c>
      <c r="F3944">
        <v>48</v>
      </c>
      <c r="G3944">
        <v>105</v>
      </c>
      <c r="H3944">
        <v>-768</v>
      </c>
      <c r="J3944" s="1">
        <f t="shared" si="305"/>
        <v>2304</v>
      </c>
      <c r="K3944" s="1">
        <f t="shared" si="306"/>
        <v>11025</v>
      </c>
      <c r="L3944" s="1">
        <f t="shared" si="307"/>
        <v>13329</v>
      </c>
      <c r="M3944" s="1">
        <f t="shared" si="308"/>
        <v>115.45128842936315</v>
      </c>
      <c r="N3944" s="7">
        <f t="shared" si="309"/>
        <v>115.45128842936315</v>
      </c>
    </row>
    <row r="3945" spans="1:14" x14ac:dyDescent="0.25">
      <c r="A3945" t="str">
        <f>"14:56:10.984"</f>
        <v>14:56:10.984</v>
      </c>
      <c r="B3945">
        <v>40.547297</v>
      </c>
      <c r="C3945">
        <v>-74.334483000000006</v>
      </c>
      <c r="D3945">
        <v>500</v>
      </c>
      <c r="E3945">
        <v>775</v>
      </c>
      <c r="F3945">
        <v>48</v>
      </c>
      <c r="G3945">
        <v>105</v>
      </c>
      <c r="H3945">
        <v>-704</v>
      </c>
      <c r="J3945" s="1">
        <f t="shared" si="305"/>
        <v>2304</v>
      </c>
      <c r="K3945" s="1">
        <f t="shared" si="306"/>
        <v>11025</v>
      </c>
      <c r="L3945" s="1">
        <f t="shared" si="307"/>
        <v>13329</v>
      </c>
      <c r="M3945" s="1">
        <f t="shared" si="308"/>
        <v>115.45128842936315</v>
      </c>
      <c r="N3945" s="7">
        <f t="shared" si="309"/>
        <v>115.45128842936315</v>
      </c>
    </row>
    <row r="3946" spans="1:14" x14ac:dyDescent="0.25">
      <c r="A3946" t="str">
        <f>"14:56:11.992"</f>
        <v>14:56:11.992</v>
      </c>
      <c r="B3946">
        <v>40.547747999999999</v>
      </c>
      <c r="C3946">
        <v>-74.334226000000001</v>
      </c>
      <c r="D3946">
        <v>500</v>
      </c>
      <c r="E3946">
        <v>775</v>
      </c>
      <c r="F3946">
        <v>47</v>
      </c>
      <c r="G3946">
        <v>105</v>
      </c>
      <c r="H3946">
        <v>-640</v>
      </c>
      <c r="J3946" s="1">
        <f t="shared" si="305"/>
        <v>2209</v>
      </c>
      <c r="K3946" s="1">
        <f t="shared" si="306"/>
        <v>11025</v>
      </c>
      <c r="L3946" s="1">
        <f t="shared" si="307"/>
        <v>13234</v>
      </c>
      <c r="M3946" s="1">
        <f t="shared" si="308"/>
        <v>115.03912377969506</v>
      </c>
      <c r="N3946" s="7">
        <f t="shared" si="309"/>
        <v>115.03912377969506</v>
      </c>
    </row>
    <row r="3947" spans="1:14" x14ac:dyDescent="0.25">
      <c r="A3947" t="str">
        <f>"14:56:13.055"</f>
        <v>14:56:13.055</v>
      </c>
      <c r="B3947">
        <v>40.548305999999997</v>
      </c>
      <c r="C3947">
        <v>-74.333924999999994</v>
      </c>
      <c r="D3947">
        <v>500</v>
      </c>
      <c r="E3947">
        <v>750</v>
      </c>
      <c r="F3947">
        <v>46</v>
      </c>
      <c r="G3947">
        <v>105</v>
      </c>
      <c r="H3947">
        <v>-640</v>
      </c>
      <c r="J3947" s="1">
        <f t="shared" si="305"/>
        <v>2116</v>
      </c>
      <c r="K3947" s="1">
        <f t="shared" si="306"/>
        <v>11025</v>
      </c>
      <c r="L3947" s="1">
        <f t="shared" si="307"/>
        <v>13141</v>
      </c>
      <c r="M3947" s="1">
        <f t="shared" si="308"/>
        <v>114.63420083029322</v>
      </c>
      <c r="N3947" s="7">
        <f t="shared" si="309"/>
        <v>114.63420083029322</v>
      </c>
    </row>
    <row r="3948" spans="1:14" x14ac:dyDescent="0.25">
      <c r="A3948" t="str">
        <f>"14:56:14.117"</f>
        <v>14:56:14.117</v>
      </c>
      <c r="B3948">
        <v>40.548777999999999</v>
      </c>
      <c r="C3948">
        <v>-74.333624999999998</v>
      </c>
      <c r="D3948">
        <v>500</v>
      </c>
      <c r="E3948">
        <v>750</v>
      </c>
      <c r="F3948">
        <v>46</v>
      </c>
      <c r="G3948">
        <v>105</v>
      </c>
      <c r="H3948">
        <v>-640</v>
      </c>
      <c r="J3948" s="1">
        <f t="shared" si="305"/>
        <v>2116</v>
      </c>
      <c r="K3948" s="1">
        <f t="shared" si="306"/>
        <v>11025</v>
      </c>
      <c r="L3948" s="1">
        <f t="shared" si="307"/>
        <v>13141</v>
      </c>
      <c r="M3948" s="1">
        <f t="shared" si="308"/>
        <v>114.63420083029322</v>
      </c>
      <c r="N3948" s="7">
        <f t="shared" si="309"/>
        <v>114.63420083029322</v>
      </c>
    </row>
    <row r="3949" spans="1:14" x14ac:dyDescent="0.25">
      <c r="A3949" t="str">
        <f>"14:56:15.125"</f>
        <v>14:56:15.125</v>
      </c>
      <c r="B3949">
        <v>40.549292999999999</v>
      </c>
      <c r="C3949">
        <v>-74.333303000000001</v>
      </c>
      <c r="D3949">
        <v>500</v>
      </c>
      <c r="E3949">
        <v>725</v>
      </c>
      <c r="F3949">
        <v>46</v>
      </c>
      <c r="G3949">
        <v>105</v>
      </c>
      <c r="H3949">
        <v>-704</v>
      </c>
      <c r="J3949" s="1">
        <f t="shared" si="305"/>
        <v>2116</v>
      </c>
      <c r="K3949" s="1">
        <f t="shared" si="306"/>
        <v>11025</v>
      </c>
      <c r="L3949" s="1">
        <f t="shared" si="307"/>
        <v>13141</v>
      </c>
      <c r="M3949" s="1">
        <f t="shared" si="308"/>
        <v>114.63420083029322</v>
      </c>
      <c r="N3949" s="7">
        <f t="shared" si="309"/>
        <v>114.63420083029322</v>
      </c>
    </row>
    <row r="3950" spans="1:14" x14ac:dyDescent="0.25">
      <c r="A3950" t="str">
        <f>"14:56:17.094"</f>
        <v>14:56:17.094</v>
      </c>
      <c r="B3950">
        <v>40.550257999999999</v>
      </c>
      <c r="C3950">
        <v>-74.332808999999997</v>
      </c>
      <c r="D3950">
        <v>500</v>
      </c>
      <c r="E3950">
        <v>700</v>
      </c>
      <c r="F3950">
        <v>45</v>
      </c>
      <c r="G3950">
        <v>104</v>
      </c>
      <c r="H3950">
        <v>-704</v>
      </c>
      <c r="J3950" s="1">
        <f t="shared" si="305"/>
        <v>2025</v>
      </c>
      <c r="K3950" s="1">
        <f t="shared" si="306"/>
        <v>10816</v>
      </c>
      <c r="L3950" s="1">
        <f t="shared" si="307"/>
        <v>12841</v>
      </c>
      <c r="M3950" s="1">
        <f t="shared" si="308"/>
        <v>113.3181362359971</v>
      </c>
      <c r="N3950" s="7">
        <f t="shared" si="309"/>
        <v>113.3181362359971</v>
      </c>
    </row>
    <row r="3951" spans="1:14" x14ac:dyDescent="0.25">
      <c r="A3951" t="str">
        <f>"14:56:18.156"</f>
        <v>14:56:18.156</v>
      </c>
      <c r="B3951">
        <v>40.550773</v>
      </c>
      <c r="C3951">
        <v>-74.332509000000002</v>
      </c>
      <c r="D3951">
        <v>500</v>
      </c>
      <c r="E3951">
        <v>700</v>
      </c>
      <c r="F3951">
        <v>45</v>
      </c>
      <c r="G3951">
        <v>104</v>
      </c>
      <c r="H3951">
        <v>-704</v>
      </c>
      <c r="J3951" s="1">
        <f t="shared" si="305"/>
        <v>2025</v>
      </c>
      <c r="K3951" s="1">
        <f t="shared" si="306"/>
        <v>10816</v>
      </c>
      <c r="L3951" s="1">
        <f t="shared" si="307"/>
        <v>12841</v>
      </c>
      <c r="M3951" s="1">
        <f t="shared" si="308"/>
        <v>113.3181362359971</v>
      </c>
      <c r="N3951" s="7">
        <f t="shared" si="309"/>
        <v>113.3181362359971</v>
      </c>
    </row>
    <row r="3952" spans="1:14" x14ac:dyDescent="0.25">
      <c r="A3952" t="str">
        <f>"14:56:19.117"</f>
        <v>14:56:19.117</v>
      </c>
      <c r="B3952">
        <v>40.551267000000003</v>
      </c>
      <c r="C3952">
        <v>-74.332209000000006</v>
      </c>
      <c r="D3952">
        <v>400</v>
      </c>
      <c r="E3952">
        <v>675</v>
      </c>
      <c r="F3952">
        <v>45</v>
      </c>
      <c r="G3952">
        <v>104</v>
      </c>
      <c r="H3952">
        <v>-640</v>
      </c>
      <c r="J3952" s="1">
        <f t="shared" si="305"/>
        <v>2025</v>
      </c>
      <c r="K3952" s="1">
        <f t="shared" si="306"/>
        <v>10816</v>
      </c>
      <c r="L3952" s="1">
        <f t="shared" si="307"/>
        <v>12841</v>
      </c>
      <c r="M3952" s="1">
        <f t="shared" si="308"/>
        <v>113.3181362359971</v>
      </c>
      <c r="N3952" s="7">
        <f t="shared" si="309"/>
        <v>113.3181362359971</v>
      </c>
    </row>
    <row r="3953" spans="1:14" x14ac:dyDescent="0.25">
      <c r="A3953" t="str">
        <f>"14:56:20.227"</f>
        <v>14:56:20.227</v>
      </c>
      <c r="B3953">
        <v>40.551803</v>
      </c>
      <c r="C3953">
        <v>-74.33193</v>
      </c>
      <c r="D3953">
        <v>400</v>
      </c>
      <c r="E3953">
        <v>675</v>
      </c>
      <c r="F3953">
        <v>45</v>
      </c>
      <c r="G3953">
        <v>103</v>
      </c>
      <c r="H3953">
        <v>-576</v>
      </c>
      <c r="J3953" s="1">
        <f t="shared" si="305"/>
        <v>2025</v>
      </c>
      <c r="K3953" s="1">
        <f t="shared" si="306"/>
        <v>10609</v>
      </c>
      <c r="L3953" s="1">
        <f t="shared" si="307"/>
        <v>12634</v>
      </c>
      <c r="M3953" s="1">
        <f t="shared" si="308"/>
        <v>112.40106761058811</v>
      </c>
      <c r="N3953" s="7">
        <f t="shared" si="309"/>
        <v>112.40106761058811</v>
      </c>
    </row>
    <row r="3954" spans="1:14" x14ac:dyDescent="0.25">
      <c r="A3954" t="str">
        <f>"14:56:21.133"</f>
        <v>14:56:21.133</v>
      </c>
      <c r="B3954">
        <v>40.552188999999998</v>
      </c>
      <c r="C3954">
        <v>-74.331671999999998</v>
      </c>
      <c r="D3954">
        <v>400</v>
      </c>
      <c r="E3954">
        <v>650</v>
      </c>
      <c r="F3954">
        <v>46</v>
      </c>
      <c r="G3954">
        <v>102</v>
      </c>
      <c r="H3954">
        <v>-512</v>
      </c>
      <c r="J3954" s="1">
        <f t="shared" si="305"/>
        <v>2116</v>
      </c>
      <c r="K3954" s="1">
        <f t="shared" si="306"/>
        <v>10404</v>
      </c>
      <c r="L3954" s="1">
        <f t="shared" si="307"/>
        <v>12520</v>
      </c>
      <c r="M3954" s="1">
        <f t="shared" si="308"/>
        <v>111.89280584559492</v>
      </c>
      <c r="N3954" s="7">
        <f t="shared" si="309"/>
        <v>111.89280584559492</v>
      </c>
    </row>
    <row r="3955" spans="1:14" x14ac:dyDescent="0.25">
      <c r="A3955" t="str">
        <f>"14:56:22.195"</f>
        <v>14:56:22.195</v>
      </c>
      <c r="B3955">
        <v>40.552683000000002</v>
      </c>
      <c r="C3955">
        <v>-74.33135</v>
      </c>
      <c r="D3955">
        <v>400</v>
      </c>
      <c r="E3955">
        <v>650</v>
      </c>
      <c r="F3955">
        <v>46</v>
      </c>
      <c r="G3955">
        <v>102</v>
      </c>
      <c r="H3955">
        <v>-384</v>
      </c>
      <c r="J3955" s="1">
        <f t="shared" si="305"/>
        <v>2116</v>
      </c>
      <c r="K3955" s="1">
        <f t="shared" si="306"/>
        <v>10404</v>
      </c>
      <c r="L3955" s="1">
        <f t="shared" si="307"/>
        <v>12520</v>
      </c>
      <c r="M3955" s="1">
        <f t="shared" si="308"/>
        <v>111.89280584559492</v>
      </c>
      <c r="N3955" s="7">
        <f t="shared" si="309"/>
        <v>111.89280584559492</v>
      </c>
    </row>
    <row r="3956" spans="1:14" x14ac:dyDescent="0.25">
      <c r="A3956" t="str">
        <f>"14:56:23.258"</f>
        <v>14:56:23.258</v>
      </c>
      <c r="B3956">
        <v>40.553198000000002</v>
      </c>
      <c r="C3956">
        <v>-74.331070999999994</v>
      </c>
      <c r="D3956">
        <v>400</v>
      </c>
      <c r="E3956">
        <v>650</v>
      </c>
      <c r="F3956">
        <v>46</v>
      </c>
      <c r="G3956">
        <v>102</v>
      </c>
      <c r="H3956">
        <v>-384</v>
      </c>
      <c r="J3956" s="1">
        <f t="shared" si="305"/>
        <v>2116</v>
      </c>
      <c r="K3956" s="1">
        <f t="shared" si="306"/>
        <v>10404</v>
      </c>
      <c r="L3956" s="1">
        <f t="shared" si="307"/>
        <v>12520</v>
      </c>
      <c r="M3956" s="1">
        <f t="shared" si="308"/>
        <v>111.89280584559492</v>
      </c>
      <c r="N3956" s="7">
        <f t="shared" si="309"/>
        <v>111.89280584559492</v>
      </c>
    </row>
    <row r="3957" spans="1:14" x14ac:dyDescent="0.25">
      <c r="A3957" t="str">
        <f>"14:56:24.414"</f>
        <v>14:56:24.414</v>
      </c>
      <c r="B3957">
        <v>40.553691000000001</v>
      </c>
      <c r="C3957">
        <v>-74.330749999999995</v>
      </c>
      <c r="D3957">
        <v>400</v>
      </c>
      <c r="E3957">
        <v>650</v>
      </c>
      <c r="F3957">
        <v>45</v>
      </c>
      <c r="G3957">
        <v>100</v>
      </c>
      <c r="H3957">
        <v>-128</v>
      </c>
      <c r="J3957" s="1">
        <f t="shared" si="305"/>
        <v>2025</v>
      </c>
      <c r="K3957" s="1">
        <f t="shared" si="306"/>
        <v>10000</v>
      </c>
      <c r="L3957" s="1">
        <f t="shared" si="307"/>
        <v>12025</v>
      </c>
      <c r="M3957" s="1">
        <f t="shared" si="308"/>
        <v>109.65856099730654</v>
      </c>
      <c r="N3957" s="7">
        <f t="shared" si="309"/>
        <v>109.65856099730654</v>
      </c>
    </row>
    <row r="3958" spans="1:14" x14ac:dyDescent="0.25">
      <c r="A3958" t="str">
        <f>"14:56:25.375"</f>
        <v>14:56:25.375</v>
      </c>
      <c r="B3958">
        <v>40.554163000000003</v>
      </c>
      <c r="C3958">
        <v>-74.330512999999996</v>
      </c>
      <c r="D3958">
        <v>400</v>
      </c>
      <c r="E3958">
        <v>650</v>
      </c>
      <c r="F3958">
        <v>45</v>
      </c>
      <c r="G3958">
        <v>100</v>
      </c>
      <c r="H3958">
        <v>-128</v>
      </c>
      <c r="J3958" s="1">
        <f t="shared" si="305"/>
        <v>2025</v>
      </c>
      <c r="K3958" s="1">
        <f t="shared" si="306"/>
        <v>10000</v>
      </c>
      <c r="L3958" s="1">
        <f t="shared" si="307"/>
        <v>12025</v>
      </c>
      <c r="M3958" s="1">
        <f t="shared" si="308"/>
        <v>109.65856099730654</v>
      </c>
      <c r="N3958" s="7">
        <f t="shared" si="309"/>
        <v>109.65856099730654</v>
      </c>
    </row>
    <row r="3959" spans="1:14" x14ac:dyDescent="0.25">
      <c r="A3959" t="str">
        <f>"14:56:26.539"</f>
        <v>14:56:26.539</v>
      </c>
      <c r="B3959">
        <v>40.554699999999997</v>
      </c>
      <c r="C3959">
        <v>-74.330191999999997</v>
      </c>
      <c r="D3959">
        <v>400</v>
      </c>
      <c r="E3959">
        <v>650</v>
      </c>
      <c r="F3959">
        <v>45</v>
      </c>
      <c r="G3959">
        <v>98</v>
      </c>
      <c r="H3959">
        <v>-64</v>
      </c>
      <c r="J3959" s="1">
        <f t="shared" si="305"/>
        <v>2025</v>
      </c>
      <c r="K3959" s="1">
        <f t="shared" si="306"/>
        <v>9604</v>
      </c>
      <c r="L3959" s="1">
        <f t="shared" si="307"/>
        <v>11629</v>
      </c>
      <c r="M3959" s="1">
        <f t="shared" si="308"/>
        <v>107.83784122468327</v>
      </c>
      <c r="N3959" s="7">
        <f t="shared" si="309"/>
        <v>107.83784122468327</v>
      </c>
    </row>
    <row r="3960" spans="1:14" x14ac:dyDescent="0.25">
      <c r="A3960" t="str">
        <f>"14:56:27.648"</f>
        <v>14:56:27.648</v>
      </c>
      <c r="B3960">
        <v>40.555193000000003</v>
      </c>
      <c r="C3960">
        <v>-74.32987</v>
      </c>
      <c r="D3960">
        <v>400</v>
      </c>
      <c r="E3960">
        <v>650</v>
      </c>
      <c r="F3960">
        <v>45</v>
      </c>
      <c r="G3960">
        <v>97</v>
      </c>
      <c r="H3960">
        <v>-192</v>
      </c>
      <c r="J3960" s="1">
        <f t="shared" si="305"/>
        <v>2025</v>
      </c>
      <c r="K3960" s="1">
        <f t="shared" si="306"/>
        <v>9409</v>
      </c>
      <c r="L3960" s="1">
        <f t="shared" si="307"/>
        <v>11434</v>
      </c>
      <c r="M3960" s="1">
        <f t="shared" si="308"/>
        <v>106.92988356862641</v>
      </c>
      <c r="N3960" s="7">
        <f t="shared" si="309"/>
        <v>106.92988356862641</v>
      </c>
    </row>
    <row r="3961" spans="1:14" x14ac:dyDescent="0.25">
      <c r="A3961" t="str">
        <f>"14:56:28.555"</f>
        <v>14:56:28.555</v>
      </c>
      <c r="B3961">
        <v>40.555579999999999</v>
      </c>
      <c r="C3961">
        <v>-74.329655000000002</v>
      </c>
      <c r="D3961">
        <v>400</v>
      </c>
      <c r="E3961">
        <v>625</v>
      </c>
      <c r="F3961">
        <v>45</v>
      </c>
      <c r="G3961">
        <v>95</v>
      </c>
      <c r="H3961">
        <v>-256</v>
      </c>
      <c r="J3961" s="1">
        <f t="shared" si="305"/>
        <v>2025</v>
      </c>
      <c r="K3961" s="1">
        <f t="shared" si="306"/>
        <v>9025</v>
      </c>
      <c r="L3961" s="1">
        <f t="shared" si="307"/>
        <v>11050</v>
      </c>
      <c r="M3961" s="1">
        <f t="shared" si="308"/>
        <v>105.11898020814318</v>
      </c>
      <c r="N3961" s="7">
        <f t="shared" si="309"/>
        <v>105.11898020814318</v>
      </c>
    </row>
    <row r="3962" spans="1:14" x14ac:dyDescent="0.25">
      <c r="A3962" t="str">
        <f>"14:56:29.570"</f>
        <v>14:56:29.570</v>
      </c>
      <c r="B3962">
        <v>40.55603</v>
      </c>
      <c r="C3962">
        <v>-74.329355000000007</v>
      </c>
      <c r="D3962">
        <v>400</v>
      </c>
      <c r="E3962">
        <v>625</v>
      </c>
      <c r="F3962">
        <v>45</v>
      </c>
      <c r="G3962">
        <v>95</v>
      </c>
      <c r="H3962">
        <v>-192</v>
      </c>
      <c r="J3962" s="1">
        <f t="shared" si="305"/>
        <v>2025</v>
      </c>
      <c r="K3962" s="1">
        <f t="shared" si="306"/>
        <v>9025</v>
      </c>
      <c r="L3962" s="1">
        <f t="shared" si="307"/>
        <v>11050</v>
      </c>
      <c r="M3962" s="1">
        <f t="shared" si="308"/>
        <v>105.11898020814318</v>
      </c>
      <c r="N3962" s="7">
        <f t="shared" si="309"/>
        <v>105.11898020814318</v>
      </c>
    </row>
    <row r="3963" spans="1:14" x14ac:dyDescent="0.25">
      <c r="A3963" t="str">
        <f>"14:56:30.883"</f>
        <v>14:56:30.883</v>
      </c>
      <c r="B3963">
        <v>40.556587999999998</v>
      </c>
      <c r="C3963">
        <v>-74.329010999999994</v>
      </c>
      <c r="D3963">
        <v>400</v>
      </c>
      <c r="E3963">
        <v>625</v>
      </c>
      <c r="F3963">
        <v>45</v>
      </c>
      <c r="G3963">
        <v>94</v>
      </c>
      <c r="H3963">
        <v>-256</v>
      </c>
      <c r="J3963" s="1">
        <f t="shared" si="305"/>
        <v>2025</v>
      </c>
      <c r="K3963" s="1">
        <f t="shared" si="306"/>
        <v>8836</v>
      </c>
      <c r="L3963" s="1">
        <f t="shared" si="307"/>
        <v>10861</v>
      </c>
      <c r="M3963" s="1">
        <f t="shared" si="308"/>
        <v>104.21612159354233</v>
      </c>
      <c r="N3963" s="7">
        <f t="shared" si="309"/>
        <v>104.21612159354233</v>
      </c>
    </row>
    <row r="3964" spans="1:14" x14ac:dyDescent="0.25">
      <c r="A3964" t="str">
        <f>"14:56:31.992"</f>
        <v>14:56:31.992</v>
      </c>
      <c r="B3964">
        <v>40.557039000000003</v>
      </c>
      <c r="C3964">
        <v>-74.328732000000002</v>
      </c>
      <c r="D3964">
        <v>400</v>
      </c>
      <c r="E3964">
        <v>625</v>
      </c>
      <c r="F3964">
        <v>45</v>
      </c>
      <c r="G3964">
        <v>93</v>
      </c>
      <c r="H3964">
        <v>-192</v>
      </c>
      <c r="J3964" s="1">
        <f t="shared" si="305"/>
        <v>2025</v>
      </c>
      <c r="K3964" s="1">
        <f t="shared" si="306"/>
        <v>8649</v>
      </c>
      <c r="L3964" s="1">
        <f t="shared" si="307"/>
        <v>10674</v>
      </c>
      <c r="M3964" s="1">
        <f t="shared" si="308"/>
        <v>103.31505214633539</v>
      </c>
      <c r="N3964" s="7">
        <f t="shared" si="309"/>
        <v>103.31505214633539</v>
      </c>
    </row>
    <row r="3965" spans="1:14" x14ac:dyDescent="0.25">
      <c r="A3965" t="str">
        <f>"14:56:33.000"</f>
        <v>14:56:33.000</v>
      </c>
      <c r="B3965">
        <v>40.557488999999997</v>
      </c>
      <c r="C3965">
        <v>-74.328432000000006</v>
      </c>
      <c r="D3965">
        <v>400</v>
      </c>
      <c r="E3965">
        <v>625</v>
      </c>
      <c r="F3965">
        <v>45</v>
      </c>
      <c r="G3965">
        <v>92</v>
      </c>
      <c r="H3965">
        <v>-128</v>
      </c>
      <c r="J3965" s="1">
        <f t="shared" si="305"/>
        <v>2025</v>
      </c>
      <c r="K3965" s="1">
        <f t="shared" si="306"/>
        <v>8464</v>
      </c>
      <c r="L3965" s="1">
        <f t="shared" si="307"/>
        <v>10489</v>
      </c>
      <c r="M3965" s="1">
        <f t="shared" si="308"/>
        <v>102.41581909060729</v>
      </c>
      <c r="N3965" s="7">
        <f t="shared" si="309"/>
        <v>102.41581909060729</v>
      </c>
    </row>
    <row r="3966" spans="1:14" x14ac:dyDescent="0.25">
      <c r="A3966" t="str">
        <f>"14:56:33.961"</f>
        <v>14:56:33.961</v>
      </c>
      <c r="B3966">
        <v>40.557896999999997</v>
      </c>
      <c r="C3966">
        <v>-74.328196000000005</v>
      </c>
      <c r="D3966">
        <v>400</v>
      </c>
      <c r="E3966">
        <v>625</v>
      </c>
      <c r="F3966">
        <v>45</v>
      </c>
      <c r="G3966">
        <v>91</v>
      </c>
      <c r="H3966">
        <v>-128</v>
      </c>
      <c r="J3966" s="1">
        <f t="shared" si="305"/>
        <v>2025</v>
      </c>
      <c r="K3966" s="1">
        <f t="shared" si="306"/>
        <v>8281</v>
      </c>
      <c r="L3966" s="1">
        <f t="shared" si="307"/>
        <v>10306</v>
      </c>
      <c r="M3966" s="1">
        <f t="shared" si="308"/>
        <v>101.51847122568385</v>
      </c>
      <c r="N3966" s="7">
        <f t="shared" si="309"/>
        <v>101.51847122568385</v>
      </c>
    </row>
    <row r="3967" spans="1:14" x14ac:dyDescent="0.25">
      <c r="A3967" t="str">
        <f>"14:56:35.070"</f>
        <v>14:56:35.070</v>
      </c>
      <c r="B3967">
        <v>40.558348000000002</v>
      </c>
      <c r="C3967">
        <v>-74.327873999999994</v>
      </c>
      <c r="D3967">
        <v>400</v>
      </c>
      <c r="E3967">
        <v>625</v>
      </c>
      <c r="F3967">
        <v>45</v>
      </c>
      <c r="G3967">
        <v>90</v>
      </c>
      <c r="H3967">
        <v>-128</v>
      </c>
      <c r="J3967" s="1">
        <f t="shared" si="305"/>
        <v>2025</v>
      </c>
      <c r="K3967" s="1">
        <f t="shared" si="306"/>
        <v>8100</v>
      </c>
      <c r="L3967" s="1">
        <f t="shared" si="307"/>
        <v>10125</v>
      </c>
      <c r="M3967" s="1">
        <f t="shared" si="308"/>
        <v>100.62305898749054</v>
      </c>
      <c r="N3967" s="7">
        <f t="shared" si="309"/>
        <v>100.62305898749054</v>
      </c>
    </row>
    <row r="3968" spans="1:14" x14ac:dyDescent="0.25">
      <c r="A3968" t="str">
        <f>"14:56:35.930"</f>
        <v>14:56:35.930</v>
      </c>
      <c r="B3968">
        <v>40.558734000000001</v>
      </c>
      <c r="C3968">
        <v>-74.327637999999993</v>
      </c>
      <c r="D3968">
        <v>400</v>
      </c>
      <c r="E3968">
        <v>625</v>
      </c>
      <c r="F3968">
        <v>45</v>
      </c>
      <c r="G3968">
        <v>89</v>
      </c>
      <c r="H3968">
        <v>-64</v>
      </c>
      <c r="J3968" s="1">
        <f t="shared" si="305"/>
        <v>2025</v>
      </c>
      <c r="K3968" s="1">
        <f t="shared" si="306"/>
        <v>7921</v>
      </c>
      <c r="L3968" s="1">
        <f t="shared" si="307"/>
        <v>9946</v>
      </c>
      <c r="M3968" s="1">
        <f t="shared" si="308"/>
        <v>99.729634512515887</v>
      </c>
      <c r="N3968" s="7">
        <f t="shared" si="309"/>
        <v>99.729634512515887</v>
      </c>
    </row>
    <row r="3969" spans="1:14" x14ac:dyDescent="0.25">
      <c r="A3969" t="str">
        <f>"14:56:37.039"</f>
        <v>14:56:37.039</v>
      </c>
      <c r="B3969">
        <v>40.559142000000001</v>
      </c>
      <c r="C3969">
        <v>-74.327315999999996</v>
      </c>
      <c r="D3969">
        <v>400</v>
      </c>
      <c r="E3969">
        <v>600</v>
      </c>
      <c r="F3969">
        <v>45</v>
      </c>
      <c r="G3969">
        <v>88</v>
      </c>
      <c r="H3969">
        <v>-128</v>
      </c>
      <c r="J3969" s="1">
        <f t="shared" si="305"/>
        <v>2025</v>
      </c>
      <c r="K3969" s="1">
        <f t="shared" si="306"/>
        <v>7744</v>
      </c>
      <c r="L3969" s="1">
        <f t="shared" si="307"/>
        <v>9769</v>
      </c>
      <c r="M3969" s="1">
        <f t="shared" si="308"/>
        <v>98.838251704489394</v>
      </c>
      <c r="N3969" s="7">
        <f t="shared" si="309"/>
        <v>98.838251704489394</v>
      </c>
    </row>
    <row r="3970" spans="1:14" x14ac:dyDescent="0.25">
      <c r="A3970" t="str">
        <f>"14:56:38.656"</f>
        <v>14:56:38.656</v>
      </c>
      <c r="B3970">
        <v>40.559806999999999</v>
      </c>
      <c r="C3970">
        <v>-74.326886999999999</v>
      </c>
      <c r="D3970">
        <v>300</v>
      </c>
      <c r="E3970">
        <v>600</v>
      </c>
      <c r="F3970">
        <v>44</v>
      </c>
      <c r="G3970">
        <v>87</v>
      </c>
      <c r="H3970">
        <v>0</v>
      </c>
      <c r="J3970" s="1">
        <f t="shared" si="305"/>
        <v>1936</v>
      </c>
      <c r="K3970" s="1">
        <f t="shared" si="306"/>
        <v>7569</v>
      </c>
      <c r="L3970" s="1">
        <f t="shared" si="307"/>
        <v>9505</v>
      </c>
      <c r="M3970" s="1">
        <f t="shared" si="308"/>
        <v>97.49358953285082</v>
      </c>
      <c r="N3970" s="7">
        <f t="shared" si="309"/>
        <v>97.49358953285082</v>
      </c>
    </row>
    <row r="3971" spans="1:14" x14ac:dyDescent="0.25">
      <c r="A3971" t="str">
        <f>"14:56:39.664"</f>
        <v>14:56:39.664</v>
      </c>
      <c r="B3971">
        <v>40.560214999999999</v>
      </c>
      <c r="C3971">
        <v>-74.326629999999994</v>
      </c>
      <c r="D3971">
        <v>300</v>
      </c>
      <c r="E3971">
        <v>600</v>
      </c>
      <c r="F3971">
        <v>43</v>
      </c>
      <c r="G3971">
        <v>86</v>
      </c>
      <c r="H3971">
        <v>64</v>
      </c>
      <c r="J3971" s="1">
        <f t="shared" ref="J3971:J4034" si="310">F3971^2</f>
        <v>1849</v>
      </c>
      <c r="K3971" s="1">
        <f t="shared" ref="K3971:K4034" si="311">G3971^2</f>
        <v>7396</v>
      </c>
      <c r="L3971" s="1">
        <f t="shared" ref="L3971:L4034" si="312">SUMSQ(F3971,G3971)</f>
        <v>9245</v>
      </c>
      <c r="M3971" s="1">
        <f t="shared" ref="M3971:M4034" si="313">SQRT(L3971)</f>
        <v>96.150923032490951</v>
      </c>
      <c r="N3971" s="7">
        <f t="shared" ref="N3971:N4034" si="314">M3971</f>
        <v>96.150923032490951</v>
      </c>
    </row>
    <row r="3972" spans="1:14" x14ac:dyDescent="0.25">
      <c r="A3972" t="str">
        <f>"14:56:40.828"</f>
        <v>14:56:40.828</v>
      </c>
      <c r="B3972">
        <v>40.560687000000001</v>
      </c>
      <c r="C3972">
        <v>-74.326307999999997</v>
      </c>
      <c r="D3972">
        <v>300</v>
      </c>
      <c r="E3972">
        <v>600</v>
      </c>
      <c r="F3972">
        <v>42</v>
      </c>
      <c r="G3972">
        <v>85</v>
      </c>
      <c r="H3972">
        <v>128</v>
      </c>
      <c r="J3972" s="1">
        <f t="shared" si="310"/>
        <v>1764</v>
      </c>
      <c r="K3972" s="1">
        <f t="shared" si="311"/>
        <v>7225</v>
      </c>
      <c r="L3972" s="1">
        <f t="shared" si="312"/>
        <v>8989</v>
      </c>
      <c r="M3972" s="1">
        <f t="shared" si="313"/>
        <v>94.810336989170125</v>
      </c>
      <c r="N3972" s="7">
        <f t="shared" si="314"/>
        <v>94.810336989170125</v>
      </c>
    </row>
    <row r="3973" spans="1:14" x14ac:dyDescent="0.25">
      <c r="A3973" t="str">
        <f>"14:56:41.789"</f>
        <v>14:56:41.789</v>
      </c>
      <c r="B3973">
        <v>40.561030000000002</v>
      </c>
      <c r="C3973">
        <v>-74.326115000000001</v>
      </c>
      <c r="D3973">
        <v>300</v>
      </c>
      <c r="E3973">
        <v>625</v>
      </c>
      <c r="F3973">
        <v>42</v>
      </c>
      <c r="G3973">
        <v>84</v>
      </c>
      <c r="H3973">
        <v>128</v>
      </c>
      <c r="J3973" s="1">
        <f t="shared" si="310"/>
        <v>1764</v>
      </c>
      <c r="K3973" s="1">
        <f t="shared" si="311"/>
        <v>7056</v>
      </c>
      <c r="L3973" s="1">
        <f t="shared" si="312"/>
        <v>8820</v>
      </c>
      <c r="M3973" s="1">
        <f t="shared" si="313"/>
        <v>93.914855054991165</v>
      </c>
      <c r="N3973" s="7">
        <f t="shared" si="314"/>
        <v>93.914855054991165</v>
      </c>
    </row>
    <row r="3974" spans="1:14" x14ac:dyDescent="0.25">
      <c r="A3974" t="str">
        <f>"14:56:42.648"</f>
        <v>14:56:42.648</v>
      </c>
      <c r="B3974">
        <v>40.561373000000003</v>
      </c>
      <c r="C3974">
        <v>-74.325879</v>
      </c>
      <c r="D3974">
        <v>300</v>
      </c>
      <c r="E3974">
        <v>625</v>
      </c>
      <c r="F3974">
        <v>41</v>
      </c>
      <c r="G3974">
        <v>84</v>
      </c>
      <c r="H3974">
        <v>128</v>
      </c>
      <c r="J3974" s="1">
        <f t="shared" si="310"/>
        <v>1681</v>
      </c>
      <c r="K3974" s="1">
        <f t="shared" si="311"/>
        <v>7056</v>
      </c>
      <c r="L3974" s="1">
        <f t="shared" si="312"/>
        <v>8737</v>
      </c>
      <c r="M3974" s="1">
        <f t="shared" si="313"/>
        <v>93.471920917460551</v>
      </c>
      <c r="N3974" s="7">
        <f t="shared" si="314"/>
        <v>93.471920917460551</v>
      </c>
    </row>
    <row r="3975" spans="1:14" x14ac:dyDescent="0.25">
      <c r="A3975" t="str">
        <f>"14:56:43.602"</f>
        <v>14:56:43.602</v>
      </c>
      <c r="B3975">
        <v>40.561759000000002</v>
      </c>
      <c r="C3975">
        <v>-74.325620999999998</v>
      </c>
      <c r="D3975">
        <v>300</v>
      </c>
      <c r="E3975">
        <v>625</v>
      </c>
      <c r="F3975">
        <v>40</v>
      </c>
      <c r="G3975">
        <v>83</v>
      </c>
      <c r="H3975">
        <v>128</v>
      </c>
      <c r="J3975" s="1">
        <f t="shared" si="310"/>
        <v>1600</v>
      </c>
      <c r="K3975" s="1">
        <f t="shared" si="311"/>
        <v>6889</v>
      </c>
      <c r="L3975" s="1">
        <f t="shared" si="312"/>
        <v>8489</v>
      </c>
      <c r="M3975" s="1">
        <f t="shared" si="313"/>
        <v>92.135769384099675</v>
      </c>
      <c r="N3975" s="7">
        <f t="shared" si="314"/>
        <v>92.135769384099675</v>
      </c>
    </row>
    <row r="3976" spans="1:14" x14ac:dyDescent="0.25">
      <c r="A3976" t="str">
        <f>"14:56:44.617"</f>
        <v>14:56:44.617</v>
      </c>
      <c r="B3976">
        <v>40.562123999999997</v>
      </c>
      <c r="C3976">
        <v>-74.325384999999997</v>
      </c>
      <c r="D3976">
        <v>300</v>
      </c>
      <c r="E3976">
        <v>625</v>
      </c>
      <c r="F3976">
        <v>39</v>
      </c>
      <c r="G3976">
        <v>82</v>
      </c>
      <c r="H3976">
        <v>0</v>
      </c>
      <c r="J3976" s="1">
        <f t="shared" si="310"/>
        <v>1521</v>
      </c>
      <c r="K3976" s="1">
        <f t="shared" si="311"/>
        <v>6724</v>
      </c>
      <c r="L3976" s="1">
        <f t="shared" si="312"/>
        <v>8245</v>
      </c>
      <c r="M3976" s="1">
        <f t="shared" si="313"/>
        <v>90.801982357215081</v>
      </c>
      <c r="N3976" s="7">
        <f t="shared" si="314"/>
        <v>90.801982357215081</v>
      </c>
    </row>
    <row r="3977" spans="1:14" x14ac:dyDescent="0.25">
      <c r="A3977" t="str">
        <f>"14:56:45.625"</f>
        <v>14:56:45.625</v>
      </c>
      <c r="B3977">
        <v>40.562488999999999</v>
      </c>
      <c r="C3977">
        <v>-74.325192000000001</v>
      </c>
      <c r="D3977">
        <v>300</v>
      </c>
      <c r="E3977">
        <v>625</v>
      </c>
      <c r="F3977">
        <v>39</v>
      </c>
      <c r="G3977">
        <v>82</v>
      </c>
      <c r="H3977">
        <v>0</v>
      </c>
      <c r="J3977" s="1">
        <f t="shared" si="310"/>
        <v>1521</v>
      </c>
      <c r="K3977" s="1">
        <f t="shared" si="311"/>
        <v>6724</v>
      </c>
      <c r="L3977" s="1">
        <f t="shared" si="312"/>
        <v>8245</v>
      </c>
      <c r="M3977" s="1">
        <f t="shared" si="313"/>
        <v>90.801982357215081</v>
      </c>
      <c r="N3977" s="7">
        <f t="shared" si="314"/>
        <v>90.801982357215081</v>
      </c>
    </row>
    <row r="3978" spans="1:14" x14ac:dyDescent="0.25">
      <c r="A3978" t="str">
        <f>"14:56:46.586"</f>
        <v>14:56:46.586</v>
      </c>
      <c r="B3978">
        <v>40.562854000000002</v>
      </c>
      <c r="C3978">
        <v>-74.324956</v>
      </c>
      <c r="D3978">
        <v>300</v>
      </c>
      <c r="E3978">
        <v>625</v>
      </c>
      <c r="F3978">
        <v>39</v>
      </c>
      <c r="G3978">
        <v>81</v>
      </c>
      <c r="H3978">
        <v>128</v>
      </c>
      <c r="J3978" s="1">
        <f t="shared" si="310"/>
        <v>1521</v>
      </c>
      <c r="K3978" s="1">
        <f t="shared" si="311"/>
        <v>6561</v>
      </c>
      <c r="L3978" s="1">
        <f t="shared" si="312"/>
        <v>8082</v>
      </c>
      <c r="M3978" s="1">
        <f t="shared" si="313"/>
        <v>89.899944382630181</v>
      </c>
      <c r="N3978" s="7">
        <f t="shared" si="314"/>
        <v>89.899944382630181</v>
      </c>
    </row>
    <row r="3979" spans="1:14" x14ac:dyDescent="0.25">
      <c r="A3979" t="str">
        <f>"14:56:47.547"</f>
        <v>14:56:47.547</v>
      </c>
      <c r="B3979">
        <v>40.563218999999997</v>
      </c>
      <c r="C3979">
        <v>-74.324697999999998</v>
      </c>
      <c r="D3979">
        <v>300</v>
      </c>
      <c r="E3979">
        <v>625</v>
      </c>
      <c r="F3979">
        <v>39</v>
      </c>
      <c r="G3979">
        <v>80</v>
      </c>
      <c r="H3979">
        <v>192</v>
      </c>
      <c r="J3979" s="1">
        <f t="shared" si="310"/>
        <v>1521</v>
      </c>
      <c r="K3979" s="1">
        <f t="shared" si="311"/>
        <v>6400</v>
      </c>
      <c r="L3979" s="1">
        <f t="shared" si="312"/>
        <v>7921</v>
      </c>
      <c r="M3979" s="1">
        <f t="shared" si="313"/>
        <v>89</v>
      </c>
      <c r="N3979" s="7">
        <f t="shared" si="314"/>
        <v>89</v>
      </c>
    </row>
    <row r="3980" spans="1:14" x14ac:dyDescent="0.25">
      <c r="A3980" t="str">
        <f>"14:56:48.703"</f>
        <v>14:56:48.703</v>
      </c>
      <c r="B3980">
        <v>40.563625999999999</v>
      </c>
      <c r="C3980">
        <v>-74.324440999999993</v>
      </c>
      <c r="D3980">
        <v>400</v>
      </c>
      <c r="E3980">
        <v>625</v>
      </c>
      <c r="F3980">
        <v>39</v>
      </c>
      <c r="G3980">
        <v>80</v>
      </c>
      <c r="H3980">
        <v>192</v>
      </c>
      <c r="J3980" s="1">
        <f t="shared" si="310"/>
        <v>1521</v>
      </c>
      <c r="K3980" s="1">
        <f t="shared" si="311"/>
        <v>6400</v>
      </c>
      <c r="L3980" s="1">
        <f t="shared" si="312"/>
        <v>7921</v>
      </c>
      <c r="M3980" s="1">
        <f t="shared" si="313"/>
        <v>89</v>
      </c>
      <c r="N3980" s="7">
        <f t="shared" si="314"/>
        <v>89</v>
      </c>
    </row>
    <row r="3981" spans="1:14" x14ac:dyDescent="0.25">
      <c r="A3981" t="str">
        <f>"14:56:49.563"</f>
        <v>14:56:49.563</v>
      </c>
      <c r="B3981">
        <v>40.563948000000003</v>
      </c>
      <c r="C3981">
        <v>-74.324225999999996</v>
      </c>
      <c r="D3981">
        <v>400</v>
      </c>
      <c r="E3981">
        <v>625</v>
      </c>
      <c r="F3981">
        <v>37</v>
      </c>
      <c r="G3981">
        <v>79</v>
      </c>
      <c r="H3981">
        <v>0</v>
      </c>
      <c r="J3981" s="1">
        <f t="shared" si="310"/>
        <v>1369</v>
      </c>
      <c r="K3981" s="1">
        <f t="shared" si="311"/>
        <v>6241</v>
      </c>
      <c r="L3981" s="1">
        <f t="shared" si="312"/>
        <v>7610</v>
      </c>
      <c r="M3981" s="1">
        <f t="shared" si="313"/>
        <v>87.235313950257549</v>
      </c>
      <c r="N3981" s="7">
        <f t="shared" si="314"/>
        <v>87.235313950257549</v>
      </c>
    </row>
    <row r="3982" spans="1:14" x14ac:dyDescent="0.25">
      <c r="A3982" t="str">
        <f>"14:56:50.469"</f>
        <v>14:56:50.469</v>
      </c>
      <c r="B3982">
        <v>40.56427</v>
      </c>
      <c r="C3982">
        <v>-74.324076000000005</v>
      </c>
      <c r="D3982">
        <v>400</v>
      </c>
      <c r="E3982">
        <v>625</v>
      </c>
      <c r="F3982">
        <v>37</v>
      </c>
      <c r="G3982">
        <v>79</v>
      </c>
      <c r="H3982">
        <v>-256</v>
      </c>
      <c r="J3982" s="1">
        <f t="shared" si="310"/>
        <v>1369</v>
      </c>
      <c r="K3982" s="1">
        <f t="shared" si="311"/>
        <v>6241</v>
      </c>
      <c r="L3982" s="1">
        <f t="shared" si="312"/>
        <v>7610</v>
      </c>
      <c r="M3982" s="1">
        <f t="shared" si="313"/>
        <v>87.235313950257549</v>
      </c>
      <c r="N3982" s="7">
        <f t="shared" si="314"/>
        <v>87.235313950257549</v>
      </c>
    </row>
    <row r="3983" spans="1:14" x14ac:dyDescent="0.25">
      <c r="A3983" t="str">
        <f>"14:56:51.586"</f>
        <v>14:56:51.586</v>
      </c>
      <c r="B3983">
        <v>40.564678000000001</v>
      </c>
      <c r="C3983">
        <v>-74.323796999999999</v>
      </c>
      <c r="D3983">
        <v>400</v>
      </c>
      <c r="E3983">
        <v>625</v>
      </c>
      <c r="F3983">
        <v>37</v>
      </c>
      <c r="G3983">
        <v>79</v>
      </c>
      <c r="H3983">
        <v>-384</v>
      </c>
      <c r="J3983" s="1">
        <f t="shared" si="310"/>
        <v>1369</v>
      </c>
      <c r="K3983" s="1">
        <f t="shared" si="311"/>
        <v>6241</v>
      </c>
      <c r="L3983" s="1">
        <f t="shared" si="312"/>
        <v>7610</v>
      </c>
      <c r="M3983" s="1">
        <f t="shared" si="313"/>
        <v>87.235313950257549</v>
      </c>
      <c r="N3983" s="7">
        <f t="shared" si="314"/>
        <v>87.235313950257549</v>
      </c>
    </row>
    <row r="3984" spans="1:14" x14ac:dyDescent="0.25">
      <c r="A3984" t="str">
        <f>"14:56:52.695"</f>
        <v>14:56:52.695</v>
      </c>
      <c r="B3984">
        <v>40.565106999999998</v>
      </c>
      <c r="C3984">
        <v>-74.323560999999998</v>
      </c>
      <c r="D3984">
        <v>300</v>
      </c>
      <c r="E3984">
        <v>600</v>
      </c>
      <c r="F3984">
        <v>37</v>
      </c>
      <c r="G3984">
        <v>79</v>
      </c>
      <c r="H3984">
        <v>-384</v>
      </c>
      <c r="J3984" s="1">
        <f t="shared" si="310"/>
        <v>1369</v>
      </c>
      <c r="K3984" s="1">
        <f t="shared" si="311"/>
        <v>6241</v>
      </c>
      <c r="L3984" s="1">
        <f t="shared" si="312"/>
        <v>7610</v>
      </c>
      <c r="M3984" s="1">
        <f t="shared" si="313"/>
        <v>87.235313950257549</v>
      </c>
      <c r="N3984" s="7">
        <f t="shared" si="314"/>
        <v>87.235313950257549</v>
      </c>
    </row>
    <row r="3985" spans="1:14" x14ac:dyDescent="0.25">
      <c r="A3985" t="str">
        <f>"14:56:53.859"</f>
        <v>14:56:53.859</v>
      </c>
      <c r="B3985">
        <v>40.565536000000002</v>
      </c>
      <c r="C3985">
        <v>-74.323261000000002</v>
      </c>
      <c r="D3985">
        <v>300</v>
      </c>
      <c r="E3985">
        <v>600</v>
      </c>
      <c r="F3985">
        <v>37</v>
      </c>
      <c r="G3985">
        <v>79</v>
      </c>
      <c r="H3985">
        <v>-384</v>
      </c>
      <c r="J3985" s="1">
        <f t="shared" si="310"/>
        <v>1369</v>
      </c>
      <c r="K3985" s="1">
        <f t="shared" si="311"/>
        <v>6241</v>
      </c>
      <c r="L3985" s="1">
        <f t="shared" si="312"/>
        <v>7610</v>
      </c>
      <c r="M3985" s="1">
        <f t="shared" si="313"/>
        <v>87.235313950257549</v>
      </c>
      <c r="N3985" s="7">
        <f t="shared" si="314"/>
        <v>87.235313950257549</v>
      </c>
    </row>
    <row r="3986" spans="1:14" x14ac:dyDescent="0.25">
      <c r="A3986" t="str">
        <f>"14:56:54.867"</f>
        <v>14:56:54.867</v>
      </c>
      <c r="B3986">
        <v>40.565900999999997</v>
      </c>
      <c r="C3986">
        <v>-74.323068000000006</v>
      </c>
      <c r="D3986">
        <v>300</v>
      </c>
      <c r="E3986">
        <v>600</v>
      </c>
      <c r="F3986">
        <v>37</v>
      </c>
      <c r="G3986">
        <v>78</v>
      </c>
      <c r="H3986">
        <v>-320</v>
      </c>
      <c r="J3986" s="1">
        <f t="shared" si="310"/>
        <v>1369</v>
      </c>
      <c r="K3986" s="1">
        <f t="shared" si="311"/>
        <v>6084</v>
      </c>
      <c r="L3986" s="1">
        <f t="shared" si="312"/>
        <v>7453</v>
      </c>
      <c r="M3986" s="1">
        <f t="shared" si="313"/>
        <v>86.330759292386631</v>
      </c>
      <c r="N3986" s="7">
        <f t="shared" si="314"/>
        <v>86.330759292386631</v>
      </c>
    </row>
    <row r="3987" spans="1:14" x14ac:dyDescent="0.25">
      <c r="A3987" t="str">
        <f>"14:56:55.977"</f>
        <v>14:56:55.977</v>
      </c>
      <c r="B3987">
        <v>40.566287000000003</v>
      </c>
      <c r="C3987">
        <v>-74.322810000000004</v>
      </c>
      <c r="D3987">
        <v>300</v>
      </c>
      <c r="E3987">
        <v>600</v>
      </c>
      <c r="F3987">
        <v>38</v>
      </c>
      <c r="G3987">
        <v>78</v>
      </c>
      <c r="H3987">
        <v>-320</v>
      </c>
      <c r="J3987" s="1">
        <f t="shared" si="310"/>
        <v>1444</v>
      </c>
      <c r="K3987" s="1">
        <f t="shared" si="311"/>
        <v>6084</v>
      </c>
      <c r="L3987" s="1">
        <f t="shared" si="312"/>
        <v>7528</v>
      </c>
      <c r="M3987" s="1">
        <f t="shared" si="313"/>
        <v>86.764047853935452</v>
      </c>
      <c r="N3987" s="7">
        <f t="shared" si="314"/>
        <v>86.764047853935452</v>
      </c>
    </row>
    <row r="3988" spans="1:14" x14ac:dyDescent="0.25">
      <c r="A3988" t="str">
        <f>"14:56:56.891"</f>
        <v>14:56:56.891</v>
      </c>
      <c r="B3988">
        <v>40.566586999999998</v>
      </c>
      <c r="C3988">
        <v>-74.322574000000003</v>
      </c>
      <c r="D3988">
        <v>300</v>
      </c>
      <c r="E3988">
        <v>600</v>
      </c>
      <c r="F3988">
        <v>38</v>
      </c>
      <c r="G3988">
        <v>78</v>
      </c>
      <c r="H3988">
        <v>-256</v>
      </c>
      <c r="J3988" s="1">
        <f t="shared" si="310"/>
        <v>1444</v>
      </c>
      <c r="K3988" s="1">
        <f t="shared" si="311"/>
        <v>6084</v>
      </c>
      <c r="L3988" s="1">
        <f t="shared" si="312"/>
        <v>7528</v>
      </c>
      <c r="M3988" s="1">
        <f t="shared" si="313"/>
        <v>86.764047853935452</v>
      </c>
      <c r="N3988" s="7">
        <f t="shared" si="314"/>
        <v>86.764047853935452</v>
      </c>
    </row>
    <row r="3989" spans="1:14" x14ac:dyDescent="0.25">
      <c r="A3989" t="str">
        <f>"14:56:57.742"</f>
        <v>14:56:57.742</v>
      </c>
      <c r="B3989">
        <v>40.566865999999997</v>
      </c>
      <c r="C3989">
        <v>-74.322380999999993</v>
      </c>
      <c r="D3989">
        <v>300</v>
      </c>
      <c r="E3989">
        <v>575</v>
      </c>
      <c r="F3989">
        <v>38</v>
      </c>
      <c r="G3989">
        <v>78</v>
      </c>
      <c r="H3989">
        <v>-192</v>
      </c>
      <c r="J3989" s="1">
        <f t="shared" si="310"/>
        <v>1444</v>
      </c>
      <c r="K3989" s="1">
        <f t="shared" si="311"/>
        <v>6084</v>
      </c>
      <c r="L3989" s="1">
        <f t="shared" si="312"/>
        <v>7528</v>
      </c>
      <c r="M3989" s="1">
        <f t="shared" si="313"/>
        <v>86.764047853935452</v>
      </c>
      <c r="N3989" s="7">
        <f t="shared" si="314"/>
        <v>86.764047853935452</v>
      </c>
    </row>
    <row r="3990" spans="1:14" x14ac:dyDescent="0.25">
      <c r="A3990" t="str">
        <f>"14:56:58.656"</f>
        <v>14:56:58.656</v>
      </c>
      <c r="B3990">
        <v>40.567253000000001</v>
      </c>
      <c r="C3990">
        <v>-74.322187999999997</v>
      </c>
      <c r="D3990">
        <v>300</v>
      </c>
      <c r="E3990">
        <v>575</v>
      </c>
      <c r="F3990">
        <v>37</v>
      </c>
      <c r="G3990">
        <v>77</v>
      </c>
      <c r="H3990">
        <v>-128</v>
      </c>
      <c r="J3990" s="1">
        <f t="shared" si="310"/>
        <v>1369</v>
      </c>
      <c r="K3990" s="1">
        <f t="shared" si="311"/>
        <v>5929</v>
      </c>
      <c r="L3990" s="1">
        <f t="shared" si="312"/>
        <v>7298</v>
      </c>
      <c r="M3990" s="1">
        <f t="shared" si="313"/>
        <v>85.428332536694171</v>
      </c>
      <c r="N3990" s="7">
        <f t="shared" si="314"/>
        <v>85.428332536694171</v>
      </c>
    </row>
    <row r="3991" spans="1:14" x14ac:dyDescent="0.25">
      <c r="A3991" t="str">
        <f>"14:56:59.766"</f>
        <v>14:56:59.766</v>
      </c>
      <c r="B3991">
        <v>40.567659999999997</v>
      </c>
      <c r="C3991">
        <v>-74.321951999999996</v>
      </c>
      <c r="D3991">
        <v>300</v>
      </c>
      <c r="E3991">
        <v>575</v>
      </c>
      <c r="F3991">
        <v>37</v>
      </c>
      <c r="G3991">
        <v>77</v>
      </c>
      <c r="H3991">
        <v>-128</v>
      </c>
      <c r="J3991" s="1">
        <f t="shared" si="310"/>
        <v>1369</v>
      </c>
      <c r="K3991" s="1">
        <f t="shared" si="311"/>
        <v>5929</v>
      </c>
      <c r="L3991" s="1">
        <f t="shared" si="312"/>
        <v>7298</v>
      </c>
      <c r="M3991" s="1">
        <f t="shared" si="313"/>
        <v>85.428332536694171</v>
      </c>
      <c r="N3991" s="7">
        <f t="shared" si="314"/>
        <v>85.428332536694171</v>
      </c>
    </row>
    <row r="3992" spans="1:14" x14ac:dyDescent="0.25">
      <c r="A3992" t="str">
        <f>"14:57:00.828"</f>
        <v>14:57:00.828</v>
      </c>
      <c r="B3992">
        <v>40.568047</v>
      </c>
      <c r="C3992">
        <v>-74.321693999999994</v>
      </c>
      <c r="D3992">
        <v>300</v>
      </c>
      <c r="E3992">
        <v>575</v>
      </c>
      <c r="F3992">
        <v>37</v>
      </c>
      <c r="G3992">
        <v>77</v>
      </c>
      <c r="H3992">
        <v>-64</v>
      </c>
      <c r="J3992" s="1">
        <f t="shared" si="310"/>
        <v>1369</v>
      </c>
      <c r="K3992" s="1">
        <f t="shared" si="311"/>
        <v>5929</v>
      </c>
      <c r="L3992" s="1">
        <f t="shared" si="312"/>
        <v>7298</v>
      </c>
      <c r="M3992" s="1">
        <f t="shared" si="313"/>
        <v>85.428332536694171</v>
      </c>
      <c r="N3992" s="7">
        <f t="shared" si="314"/>
        <v>85.428332536694171</v>
      </c>
    </row>
    <row r="3993" spans="1:14" x14ac:dyDescent="0.25">
      <c r="A3993" t="str">
        <f>"14:57:01.836"</f>
        <v>14:57:01.836</v>
      </c>
      <c r="B3993">
        <v>40.568410999999998</v>
      </c>
      <c r="C3993">
        <v>-74.321458000000007</v>
      </c>
      <c r="D3993">
        <v>300</v>
      </c>
      <c r="E3993">
        <v>575</v>
      </c>
      <c r="F3993">
        <v>36</v>
      </c>
      <c r="G3993">
        <v>77</v>
      </c>
      <c r="H3993">
        <v>-64</v>
      </c>
      <c r="J3993" s="1">
        <f t="shared" si="310"/>
        <v>1296</v>
      </c>
      <c r="K3993" s="1">
        <f t="shared" si="311"/>
        <v>5929</v>
      </c>
      <c r="L3993" s="1">
        <f t="shared" si="312"/>
        <v>7225</v>
      </c>
      <c r="M3993" s="1">
        <f t="shared" si="313"/>
        <v>85</v>
      </c>
      <c r="N3993" s="7">
        <f t="shared" si="314"/>
        <v>85</v>
      </c>
    </row>
    <row r="3994" spans="1:14" x14ac:dyDescent="0.25">
      <c r="A3994" t="str">
        <f>"14:57:02.844"</f>
        <v>14:57:02.844</v>
      </c>
      <c r="B3994">
        <v>40.568733000000002</v>
      </c>
      <c r="C3994">
        <v>-74.321264999999997</v>
      </c>
      <c r="D3994">
        <v>300</v>
      </c>
      <c r="E3994">
        <v>575</v>
      </c>
      <c r="F3994">
        <v>36</v>
      </c>
      <c r="G3994">
        <v>76</v>
      </c>
      <c r="H3994">
        <v>0</v>
      </c>
      <c r="J3994" s="1">
        <f t="shared" si="310"/>
        <v>1296</v>
      </c>
      <c r="K3994" s="1">
        <f t="shared" si="311"/>
        <v>5776</v>
      </c>
      <c r="L3994" s="1">
        <f t="shared" si="312"/>
        <v>7072</v>
      </c>
      <c r="M3994" s="1">
        <f t="shared" si="313"/>
        <v>84.095184166514557</v>
      </c>
      <c r="N3994" s="7">
        <f t="shared" si="314"/>
        <v>84.095184166514557</v>
      </c>
    </row>
    <row r="3995" spans="1:14" x14ac:dyDescent="0.25">
      <c r="A3995" t="str">
        <f>"14:57:03.859"</f>
        <v>14:57:03.859</v>
      </c>
      <c r="B3995">
        <v>40.569119000000001</v>
      </c>
      <c r="C3995">
        <v>-74.321072000000001</v>
      </c>
      <c r="D3995">
        <v>300</v>
      </c>
      <c r="E3995">
        <v>575</v>
      </c>
      <c r="F3995">
        <v>35</v>
      </c>
      <c r="G3995">
        <v>75</v>
      </c>
      <c r="H3995">
        <v>64</v>
      </c>
      <c r="J3995" s="1">
        <f t="shared" si="310"/>
        <v>1225</v>
      </c>
      <c r="K3995" s="1">
        <f t="shared" si="311"/>
        <v>5625</v>
      </c>
      <c r="L3995" s="1">
        <f t="shared" si="312"/>
        <v>6850</v>
      </c>
      <c r="M3995" s="1">
        <f t="shared" si="313"/>
        <v>82.764726786234249</v>
      </c>
      <c r="N3995" s="7">
        <f t="shared" si="314"/>
        <v>82.764726786234249</v>
      </c>
    </row>
    <row r="3996" spans="1:14" x14ac:dyDescent="0.25">
      <c r="A3996" t="str">
        <f>"14:57:04.766"</f>
        <v>14:57:04.766</v>
      </c>
      <c r="B3996">
        <v>40.569398</v>
      </c>
      <c r="C3996">
        <v>-74.320858000000001</v>
      </c>
      <c r="D3996">
        <v>300</v>
      </c>
      <c r="E3996">
        <v>575</v>
      </c>
      <c r="F3996">
        <v>35</v>
      </c>
      <c r="G3996">
        <v>75</v>
      </c>
      <c r="H3996">
        <v>0</v>
      </c>
      <c r="J3996" s="1">
        <f t="shared" si="310"/>
        <v>1225</v>
      </c>
      <c r="K3996" s="1">
        <f t="shared" si="311"/>
        <v>5625</v>
      </c>
      <c r="L3996" s="1">
        <f t="shared" si="312"/>
        <v>6850</v>
      </c>
      <c r="M3996" s="1">
        <f t="shared" si="313"/>
        <v>82.764726786234249</v>
      </c>
      <c r="N3996" s="7">
        <f t="shared" si="314"/>
        <v>82.764726786234249</v>
      </c>
    </row>
    <row r="3997" spans="1:14" x14ac:dyDescent="0.25">
      <c r="A3997" t="str">
        <f>"14:57:05.930"</f>
        <v>14:57:05.930</v>
      </c>
      <c r="B3997">
        <v>40.569806</v>
      </c>
      <c r="C3997">
        <v>-74.320643000000004</v>
      </c>
      <c r="D3997">
        <v>300</v>
      </c>
      <c r="E3997">
        <v>575</v>
      </c>
      <c r="F3997">
        <v>35</v>
      </c>
      <c r="G3997">
        <v>75</v>
      </c>
      <c r="H3997">
        <v>64</v>
      </c>
      <c r="J3997" s="1">
        <f t="shared" si="310"/>
        <v>1225</v>
      </c>
      <c r="K3997" s="1">
        <f t="shared" si="311"/>
        <v>5625</v>
      </c>
      <c r="L3997" s="1">
        <f t="shared" si="312"/>
        <v>6850</v>
      </c>
      <c r="M3997" s="1">
        <f t="shared" si="313"/>
        <v>82.764726786234249</v>
      </c>
      <c r="N3997" s="7">
        <f t="shared" si="314"/>
        <v>82.764726786234249</v>
      </c>
    </row>
    <row r="3998" spans="1:14" x14ac:dyDescent="0.25">
      <c r="A3998" t="str">
        <f>"14:57:07.242"</f>
        <v>14:57:07.242</v>
      </c>
      <c r="B3998">
        <v>40.570278000000002</v>
      </c>
      <c r="C3998">
        <v>-74.320321000000007</v>
      </c>
      <c r="D3998">
        <v>300</v>
      </c>
      <c r="E3998">
        <v>575</v>
      </c>
      <c r="F3998">
        <v>35</v>
      </c>
      <c r="G3998">
        <v>75</v>
      </c>
      <c r="H3998">
        <v>-192</v>
      </c>
      <c r="J3998" s="1">
        <f t="shared" si="310"/>
        <v>1225</v>
      </c>
      <c r="K3998" s="1">
        <f t="shared" si="311"/>
        <v>5625</v>
      </c>
      <c r="L3998" s="1">
        <f t="shared" si="312"/>
        <v>6850</v>
      </c>
      <c r="M3998" s="1">
        <f t="shared" si="313"/>
        <v>82.764726786234249</v>
      </c>
      <c r="N3998" s="7">
        <f t="shared" si="314"/>
        <v>82.764726786234249</v>
      </c>
    </row>
    <row r="3999" spans="1:14" x14ac:dyDescent="0.25">
      <c r="A3999" t="str">
        <f>"14:57:08.195"</f>
        <v>14:57:08.195</v>
      </c>
      <c r="B3999">
        <v>40.570579000000002</v>
      </c>
      <c r="C3999">
        <v>-74.320127999999997</v>
      </c>
      <c r="D3999">
        <v>300</v>
      </c>
      <c r="E3999">
        <v>575</v>
      </c>
      <c r="F3999">
        <v>34</v>
      </c>
      <c r="G3999">
        <v>75</v>
      </c>
      <c r="H3999">
        <v>-256</v>
      </c>
      <c r="J3999" s="1">
        <f t="shared" si="310"/>
        <v>1156</v>
      </c>
      <c r="K3999" s="1">
        <f t="shared" si="311"/>
        <v>5625</v>
      </c>
      <c r="L3999" s="1">
        <f t="shared" si="312"/>
        <v>6781</v>
      </c>
      <c r="M3999" s="1">
        <f t="shared" si="313"/>
        <v>82.346827504160714</v>
      </c>
      <c r="N3999" s="7">
        <f t="shared" si="314"/>
        <v>82.346827504160714</v>
      </c>
    </row>
    <row r="4000" spans="1:14" x14ac:dyDescent="0.25">
      <c r="A4000" t="str">
        <f>"14:57:09.258"</f>
        <v>14:57:09.258</v>
      </c>
      <c r="B4000">
        <v>40.570900000000002</v>
      </c>
      <c r="C4000">
        <v>-74.319956000000005</v>
      </c>
      <c r="D4000">
        <v>300</v>
      </c>
      <c r="E4000">
        <v>575</v>
      </c>
      <c r="F4000">
        <v>34</v>
      </c>
      <c r="G4000">
        <v>75</v>
      </c>
      <c r="H4000">
        <v>-320</v>
      </c>
      <c r="J4000" s="1">
        <f t="shared" si="310"/>
        <v>1156</v>
      </c>
      <c r="K4000" s="1">
        <f t="shared" si="311"/>
        <v>5625</v>
      </c>
      <c r="L4000" s="1">
        <f t="shared" si="312"/>
        <v>6781</v>
      </c>
      <c r="M4000" s="1">
        <f t="shared" si="313"/>
        <v>82.346827504160714</v>
      </c>
      <c r="N4000" s="7">
        <f t="shared" si="314"/>
        <v>82.346827504160714</v>
      </c>
    </row>
    <row r="4001" spans="1:14" x14ac:dyDescent="0.25">
      <c r="A4001" t="str">
        <f>"14:57:10.219"</f>
        <v>14:57:10.219</v>
      </c>
      <c r="B4001">
        <v>40.571264999999997</v>
      </c>
      <c r="C4001">
        <v>-74.319699</v>
      </c>
      <c r="D4001">
        <v>300</v>
      </c>
      <c r="E4001">
        <v>550</v>
      </c>
      <c r="F4001">
        <v>35</v>
      </c>
      <c r="G4001">
        <v>75</v>
      </c>
      <c r="H4001">
        <v>-320</v>
      </c>
      <c r="J4001" s="1">
        <f t="shared" si="310"/>
        <v>1225</v>
      </c>
      <c r="K4001" s="1">
        <f t="shared" si="311"/>
        <v>5625</v>
      </c>
      <c r="L4001" s="1">
        <f t="shared" si="312"/>
        <v>6850</v>
      </c>
      <c r="M4001" s="1">
        <f t="shared" si="313"/>
        <v>82.764726786234249</v>
      </c>
      <c r="N4001" s="7">
        <f t="shared" si="314"/>
        <v>82.764726786234249</v>
      </c>
    </row>
    <row r="4002" spans="1:14" x14ac:dyDescent="0.25">
      <c r="A4002" t="str">
        <f>"14:57:11.125"</f>
        <v>14:57:11.125</v>
      </c>
      <c r="B4002">
        <v>40.571629999999999</v>
      </c>
      <c r="C4002">
        <v>-74.319526999999994</v>
      </c>
      <c r="D4002">
        <v>300</v>
      </c>
      <c r="E4002">
        <v>550</v>
      </c>
      <c r="F4002">
        <v>35</v>
      </c>
      <c r="G4002">
        <v>74</v>
      </c>
      <c r="H4002">
        <v>-320</v>
      </c>
      <c r="J4002" s="1">
        <f t="shared" si="310"/>
        <v>1225</v>
      </c>
      <c r="K4002" s="1">
        <f t="shared" si="311"/>
        <v>5476</v>
      </c>
      <c r="L4002" s="1">
        <f t="shared" si="312"/>
        <v>6701</v>
      </c>
      <c r="M4002" s="1">
        <f t="shared" si="313"/>
        <v>81.859635963031252</v>
      </c>
      <c r="N4002" s="7">
        <f t="shared" si="314"/>
        <v>81.859635963031252</v>
      </c>
    </row>
    <row r="4003" spans="1:14" x14ac:dyDescent="0.25">
      <c r="A4003" t="str">
        <f>"14:57:12.188"</f>
        <v>14:57:12.188</v>
      </c>
      <c r="B4003">
        <v>40.571952000000003</v>
      </c>
      <c r="C4003">
        <v>-74.319270000000003</v>
      </c>
      <c r="D4003">
        <v>300</v>
      </c>
      <c r="E4003">
        <v>550</v>
      </c>
      <c r="F4003">
        <v>36</v>
      </c>
      <c r="G4003">
        <v>74</v>
      </c>
      <c r="H4003">
        <v>-640</v>
      </c>
      <c r="J4003" s="1">
        <f t="shared" si="310"/>
        <v>1296</v>
      </c>
      <c r="K4003" s="1">
        <f t="shared" si="311"/>
        <v>5476</v>
      </c>
      <c r="L4003" s="1">
        <f t="shared" si="312"/>
        <v>6772</v>
      </c>
      <c r="M4003" s="1">
        <f t="shared" si="313"/>
        <v>82.292162445763935</v>
      </c>
      <c r="N4003" s="7">
        <f t="shared" si="314"/>
        <v>82.292162445763935</v>
      </c>
    </row>
    <row r="4004" spans="1:14" x14ac:dyDescent="0.25">
      <c r="A4004" t="str">
        <f>"14:57:13.148"</f>
        <v>14:57:13.148</v>
      </c>
      <c r="B4004">
        <v>40.572316999999998</v>
      </c>
      <c r="C4004">
        <v>-74.319097999999997</v>
      </c>
      <c r="D4004">
        <v>300</v>
      </c>
      <c r="E4004">
        <v>525</v>
      </c>
      <c r="F4004">
        <v>36</v>
      </c>
      <c r="G4004">
        <v>75</v>
      </c>
      <c r="H4004">
        <v>-832</v>
      </c>
      <c r="J4004" s="1">
        <f t="shared" si="310"/>
        <v>1296</v>
      </c>
      <c r="K4004" s="1">
        <f t="shared" si="311"/>
        <v>5625</v>
      </c>
      <c r="L4004" s="1">
        <f t="shared" si="312"/>
        <v>6921</v>
      </c>
      <c r="M4004" s="1">
        <f t="shared" si="313"/>
        <v>83.192547743172284</v>
      </c>
      <c r="N4004" s="7">
        <f t="shared" si="314"/>
        <v>83.192547743172284</v>
      </c>
    </row>
    <row r="4005" spans="1:14" x14ac:dyDescent="0.25">
      <c r="A4005" t="str">
        <f>"14:57:14.102"</f>
        <v>14:57:14.102</v>
      </c>
      <c r="B4005">
        <v>40.572659999999999</v>
      </c>
      <c r="C4005">
        <v>-74.318883</v>
      </c>
      <c r="D4005">
        <v>300</v>
      </c>
      <c r="E4005">
        <v>525</v>
      </c>
      <c r="F4005">
        <v>37</v>
      </c>
      <c r="G4005">
        <v>76</v>
      </c>
      <c r="H4005">
        <v>-960</v>
      </c>
      <c r="J4005" s="1">
        <f t="shared" si="310"/>
        <v>1369</v>
      </c>
      <c r="K4005" s="1">
        <f t="shared" si="311"/>
        <v>5776</v>
      </c>
      <c r="L4005" s="1">
        <f t="shared" si="312"/>
        <v>7145</v>
      </c>
      <c r="M4005" s="1">
        <f t="shared" si="313"/>
        <v>84.528101836016646</v>
      </c>
      <c r="N4005" s="7">
        <f t="shared" si="314"/>
        <v>84.528101836016646</v>
      </c>
    </row>
    <row r="4006" spans="1:14" x14ac:dyDescent="0.25">
      <c r="A4006" t="str">
        <f>"14:57:15.117"</f>
        <v>14:57:15.117</v>
      </c>
      <c r="B4006">
        <v>40.572982000000003</v>
      </c>
      <c r="C4006">
        <v>-74.318646999999999</v>
      </c>
      <c r="D4006">
        <v>300</v>
      </c>
      <c r="E4006">
        <v>500</v>
      </c>
      <c r="F4006">
        <v>38</v>
      </c>
      <c r="G4006">
        <v>77</v>
      </c>
      <c r="H4006">
        <v>-1152</v>
      </c>
      <c r="J4006" s="1">
        <f t="shared" si="310"/>
        <v>1444</v>
      </c>
      <c r="K4006" s="1">
        <f t="shared" si="311"/>
        <v>5929</v>
      </c>
      <c r="L4006" s="1">
        <f t="shared" si="312"/>
        <v>7373</v>
      </c>
      <c r="M4006" s="1">
        <f t="shared" si="313"/>
        <v>85.866174946832231</v>
      </c>
      <c r="N4006" s="7">
        <f t="shared" si="314"/>
        <v>85.866174946832231</v>
      </c>
    </row>
    <row r="4007" spans="1:14" x14ac:dyDescent="0.25">
      <c r="A4007" t="str">
        <f>"14:57:16.125"</f>
        <v>14:57:16.125</v>
      </c>
      <c r="B4007">
        <v>40.573346999999998</v>
      </c>
      <c r="C4007">
        <v>-74.318389999999994</v>
      </c>
      <c r="D4007">
        <v>300</v>
      </c>
      <c r="E4007">
        <v>475</v>
      </c>
      <c r="F4007">
        <v>39</v>
      </c>
      <c r="G4007">
        <v>78</v>
      </c>
      <c r="H4007">
        <v>-1088</v>
      </c>
      <c r="J4007" s="1">
        <f t="shared" si="310"/>
        <v>1521</v>
      </c>
      <c r="K4007" s="1">
        <f t="shared" si="311"/>
        <v>6084</v>
      </c>
      <c r="L4007" s="1">
        <f t="shared" si="312"/>
        <v>7605</v>
      </c>
      <c r="M4007" s="1">
        <f t="shared" si="313"/>
        <v>87.206651122491792</v>
      </c>
      <c r="N4007" s="7">
        <f t="shared" si="314"/>
        <v>87.206651122491792</v>
      </c>
    </row>
    <row r="4008" spans="1:14" x14ac:dyDescent="0.25">
      <c r="A4008" t="str">
        <f>"14:57:18.297"</f>
        <v>14:57:18.297</v>
      </c>
      <c r="B4008">
        <v>40.574182999999998</v>
      </c>
      <c r="C4008">
        <v>-74.317831999999996</v>
      </c>
      <c r="D4008">
        <v>300</v>
      </c>
      <c r="E4008">
        <v>450</v>
      </c>
      <c r="F4008">
        <v>42</v>
      </c>
      <c r="G4008">
        <v>80</v>
      </c>
      <c r="H4008">
        <v>-768</v>
      </c>
      <c r="J4008" s="1">
        <f t="shared" si="310"/>
        <v>1764</v>
      </c>
      <c r="K4008" s="1">
        <f t="shared" si="311"/>
        <v>6400</v>
      </c>
      <c r="L4008" s="1">
        <f t="shared" si="312"/>
        <v>8164</v>
      </c>
      <c r="M4008" s="1">
        <f t="shared" si="313"/>
        <v>90.354855984612144</v>
      </c>
      <c r="N4008" s="7">
        <f t="shared" si="314"/>
        <v>90.354855984612144</v>
      </c>
    </row>
    <row r="4009" spans="1:14" x14ac:dyDescent="0.25">
      <c r="A4009" t="str">
        <f>"14:57:19.258"</f>
        <v>14:57:19.258</v>
      </c>
      <c r="B4009">
        <v>40.574548</v>
      </c>
      <c r="C4009">
        <v>-74.317575000000005</v>
      </c>
      <c r="D4009">
        <v>300</v>
      </c>
      <c r="E4009">
        <v>450</v>
      </c>
      <c r="F4009">
        <v>43</v>
      </c>
      <c r="G4009">
        <v>80</v>
      </c>
      <c r="H4009">
        <v>-576</v>
      </c>
      <c r="J4009" s="1">
        <f t="shared" si="310"/>
        <v>1849</v>
      </c>
      <c r="K4009" s="1">
        <f t="shared" si="311"/>
        <v>6400</v>
      </c>
      <c r="L4009" s="1">
        <f t="shared" si="312"/>
        <v>8249</v>
      </c>
      <c r="M4009" s="1">
        <f t="shared" si="313"/>
        <v>90.824005637276315</v>
      </c>
      <c r="N4009" s="7">
        <f t="shared" si="314"/>
        <v>90.824005637276315</v>
      </c>
    </row>
    <row r="4010" spans="1:14" x14ac:dyDescent="0.25">
      <c r="A4010" t="str">
        <f>"14:57:20.219"</f>
        <v>14:57:20.219</v>
      </c>
      <c r="B4010">
        <v>40.574891999999998</v>
      </c>
      <c r="C4010">
        <v>-74.317317000000003</v>
      </c>
      <c r="D4010">
        <v>300</v>
      </c>
      <c r="E4010">
        <v>425</v>
      </c>
      <c r="F4010">
        <v>43</v>
      </c>
      <c r="G4010">
        <v>80</v>
      </c>
      <c r="H4010">
        <v>-576</v>
      </c>
      <c r="J4010" s="1">
        <f t="shared" si="310"/>
        <v>1849</v>
      </c>
      <c r="K4010" s="1">
        <f t="shared" si="311"/>
        <v>6400</v>
      </c>
      <c r="L4010" s="1">
        <f t="shared" si="312"/>
        <v>8249</v>
      </c>
      <c r="M4010" s="1">
        <f t="shared" si="313"/>
        <v>90.824005637276315</v>
      </c>
      <c r="N4010" s="7">
        <f t="shared" si="314"/>
        <v>90.824005637276315</v>
      </c>
    </row>
    <row r="4011" spans="1:14" x14ac:dyDescent="0.25">
      <c r="A4011" t="str">
        <f>"14:57:21.273"</f>
        <v>14:57:21.273</v>
      </c>
      <c r="B4011">
        <v>40.575256000000003</v>
      </c>
      <c r="C4011">
        <v>-74.317081000000002</v>
      </c>
      <c r="D4011">
        <v>300</v>
      </c>
      <c r="E4011">
        <v>425</v>
      </c>
      <c r="F4011">
        <v>44</v>
      </c>
      <c r="G4011">
        <v>80</v>
      </c>
      <c r="H4011">
        <v>-512</v>
      </c>
      <c r="J4011" s="1">
        <f t="shared" si="310"/>
        <v>1936</v>
      </c>
      <c r="K4011" s="1">
        <f t="shared" si="311"/>
        <v>6400</v>
      </c>
      <c r="L4011" s="1">
        <f t="shared" si="312"/>
        <v>8336</v>
      </c>
      <c r="M4011" s="1">
        <f t="shared" si="313"/>
        <v>91.301697684106614</v>
      </c>
      <c r="N4011" s="7">
        <f t="shared" si="314"/>
        <v>91.301697684106614</v>
      </c>
    </row>
    <row r="4012" spans="1:14" x14ac:dyDescent="0.25">
      <c r="A4012" t="str">
        <f>"14:57:22.234"</f>
        <v>14:57:22.234</v>
      </c>
      <c r="B4012">
        <v>40.575620999999998</v>
      </c>
      <c r="C4012">
        <v>-74.316759000000005</v>
      </c>
      <c r="D4012">
        <v>300</v>
      </c>
      <c r="E4012">
        <v>400</v>
      </c>
      <c r="F4012">
        <v>44</v>
      </c>
      <c r="G4012">
        <v>79</v>
      </c>
      <c r="H4012">
        <v>-384</v>
      </c>
      <c r="J4012" s="1">
        <f t="shared" si="310"/>
        <v>1936</v>
      </c>
      <c r="K4012" s="1">
        <f t="shared" si="311"/>
        <v>6241</v>
      </c>
      <c r="L4012" s="1">
        <f t="shared" si="312"/>
        <v>8177</v>
      </c>
      <c r="M4012" s="1">
        <f t="shared" si="313"/>
        <v>90.426765949026404</v>
      </c>
      <c r="N4012" s="7">
        <f t="shared" si="314"/>
        <v>90.426765949026404</v>
      </c>
    </row>
    <row r="4013" spans="1:14" x14ac:dyDescent="0.25">
      <c r="A4013" t="str">
        <f>"14:57:23.195"</f>
        <v>14:57:23.195</v>
      </c>
      <c r="B4013">
        <v>40.575986</v>
      </c>
      <c r="C4013">
        <v>-74.316523000000004</v>
      </c>
      <c r="D4013">
        <v>300</v>
      </c>
      <c r="E4013">
        <v>400</v>
      </c>
      <c r="F4013">
        <v>44</v>
      </c>
      <c r="G4013">
        <v>79</v>
      </c>
      <c r="H4013">
        <v>-256</v>
      </c>
      <c r="J4013" s="1">
        <f t="shared" si="310"/>
        <v>1936</v>
      </c>
      <c r="K4013" s="1">
        <f t="shared" si="311"/>
        <v>6241</v>
      </c>
      <c r="L4013" s="1">
        <f t="shared" si="312"/>
        <v>8177</v>
      </c>
      <c r="M4013" s="1">
        <f t="shared" si="313"/>
        <v>90.426765949026404</v>
      </c>
      <c r="N4013" s="7">
        <f t="shared" si="314"/>
        <v>90.426765949026404</v>
      </c>
    </row>
    <row r="4014" spans="1:14" x14ac:dyDescent="0.25">
      <c r="A4014" t="str">
        <f>"14:57:24.258"</f>
        <v>14:57:24.258</v>
      </c>
      <c r="B4014">
        <v>40.576371999999999</v>
      </c>
      <c r="C4014">
        <v>-74.316265999999999</v>
      </c>
      <c r="D4014">
        <v>300</v>
      </c>
      <c r="E4014">
        <v>400</v>
      </c>
      <c r="F4014">
        <v>44</v>
      </c>
      <c r="G4014">
        <v>79</v>
      </c>
      <c r="H4014">
        <v>-192</v>
      </c>
      <c r="J4014" s="1">
        <f t="shared" si="310"/>
        <v>1936</v>
      </c>
      <c r="K4014" s="1">
        <f t="shared" si="311"/>
        <v>6241</v>
      </c>
      <c r="L4014" s="1">
        <f t="shared" si="312"/>
        <v>8177</v>
      </c>
      <c r="M4014" s="1">
        <f t="shared" si="313"/>
        <v>90.426765949026404</v>
      </c>
      <c r="N4014" s="7">
        <f t="shared" si="314"/>
        <v>90.426765949026404</v>
      </c>
    </row>
    <row r="4015" spans="1:14" x14ac:dyDescent="0.25">
      <c r="A4015" t="str">
        <f>"14:57:25.313"</f>
        <v>14:57:25.313</v>
      </c>
      <c r="B4015">
        <v>40.576757999999998</v>
      </c>
      <c r="C4015">
        <v>-74.315987000000007</v>
      </c>
      <c r="D4015">
        <v>300</v>
      </c>
      <c r="E4015">
        <v>400</v>
      </c>
      <c r="F4015">
        <v>43</v>
      </c>
      <c r="G4015">
        <v>78</v>
      </c>
      <c r="H4015">
        <v>64</v>
      </c>
      <c r="J4015" s="1">
        <f t="shared" si="310"/>
        <v>1849</v>
      </c>
      <c r="K4015" s="1">
        <f t="shared" si="311"/>
        <v>6084</v>
      </c>
      <c r="L4015" s="1">
        <f t="shared" si="312"/>
        <v>7933</v>
      </c>
      <c r="M4015" s="1">
        <f t="shared" si="313"/>
        <v>89.067390216621931</v>
      </c>
      <c r="N4015" s="7">
        <f t="shared" si="314"/>
        <v>89.067390216621931</v>
      </c>
    </row>
    <row r="4016" spans="1:14" x14ac:dyDescent="0.25">
      <c r="A4016" t="str">
        <f>"14:57:26.281"</f>
        <v>14:57:26.281</v>
      </c>
      <c r="B4016">
        <v>40.577080000000002</v>
      </c>
      <c r="C4016">
        <v>-74.315708000000001</v>
      </c>
      <c r="D4016">
        <v>300</v>
      </c>
      <c r="E4016">
        <v>400</v>
      </c>
      <c r="F4016">
        <v>42</v>
      </c>
      <c r="G4016">
        <v>77</v>
      </c>
      <c r="H4016">
        <v>64</v>
      </c>
      <c r="J4016" s="1">
        <f t="shared" si="310"/>
        <v>1764</v>
      </c>
      <c r="K4016" s="1">
        <f t="shared" si="311"/>
        <v>5929</v>
      </c>
      <c r="L4016" s="1">
        <f t="shared" si="312"/>
        <v>7693</v>
      </c>
      <c r="M4016" s="1">
        <f t="shared" si="313"/>
        <v>87.709748602991681</v>
      </c>
      <c r="N4016" s="7">
        <f t="shared" si="314"/>
        <v>87.709748602991681</v>
      </c>
    </row>
    <row r="4017" spans="1:14" x14ac:dyDescent="0.25">
      <c r="A4017" t="str">
        <f>"14:57:27.336"</f>
        <v>14:57:27.336</v>
      </c>
      <c r="B4017">
        <v>40.577508999999999</v>
      </c>
      <c r="C4017">
        <v>-74.315493000000004</v>
      </c>
      <c r="D4017">
        <v>300</v>
      </c>
      <c r="E4017">
        <v>400</v>
      </c>
      <c r="F4017">
        <v>41</v>
      </c>
      <c r="G4017">
        <v>77</v>
      </c>
      <c r="H4017">
        <v>128</v>
      </c>
      <c r="J4017" s="1">
        <f t="shared" si="310"/>
        <v>1681</v>
      </c>
      <c r="K4017" s="1">
        <f t="shared" si="311"/>
        <v>5929</v>
      </c>
      <c r="L4017" s="1">
        <f t="shared" si="312"/>
        <v>7610</v>
      </c>
      <c r="M4017" s="1">
        <f t="shared" si="313"/>
        <v>87.235313950257549</v>
      </c>
      <c r="N4017" s="7">
        <f t="shared" si="314"/>
        <v>87.235313950257549</v>
      </c>
    </row>
    <row r="4018" spans="1:14" x14ac:dyDescent="0.25">
      <c r="A4018" t="str">
        <f>"14:57:28.242"</f>
        <v>14:57:28.242</v>
      </c>
      <c r="B4018">
        <v>40.577809999999999</v>
      </c>
      <c r="C4018">
        <v>-74.315279000000004</v>
      </c>
      <c r="D4018">
        <v>300</v>
      </c>
      <c r="E4018">
        <v>400</v>
      </c>
      <c r="F4018">
        <v>41</v>
      </c>
      <c r="G4018">
        <v>76</v>
      </c>
      <c r="H4018">
        <v>64</v>
      </c>
      <c r="J4018" s="1">
        <f t="shared" si="310"/>
        <v>1681</v>
      </c>
      <c r="K4018" s="1">
        <f t="shared" si="311"/>
        <v>5776</v>
      </c>
      <c r="L4018" s="1">
        <f t="shared" si="312"/>
        <v>7457</v>
      </c>
      <c r="M4018" s="1">
        <f t="shared" si="313"/>
        <v>86.353922898731128</v>
      </c>
      <c r="N4018" s="7">
        <f t="shared" si="314"/>
        <v>86.353922898731128</v>
      </c>
    </row>
    <row r="4019" spans="1:14" x14ac:dyDescent="0.25">
      <c r="A4019" t="str">
        <f>"14:57:29.258"</f>
        <v>14:57:29.258</v>
      </c>
      <c r="B4019">
        <v>40.578088999999999</v>
      </c>
      <c r="C4019">
        <v>-74.314999999999998</v>
      </c>
      <c r="D4019">
        <v>300</v>
      </c>
      <c r="E4019">
        <v>400</v>
      </c>
      <c r="F4019">
        <v>41</v>
      </c>
      <c r="G4019">
        <v>75</v>
      </c>
      <c r="H4019">
        <v>0</v>
      </c>
      <c r="J4019" s="1">
        <f t="shared" si="310"/>
        <v>1681</v>
      </c>
      <c r="K4019" s="1">
        <f t="shared" si="311"/>
        <v>5625</v>
      </c>
      <c r="L4019" s="1">
        <f t="shared" si="312"/>
        <v>7306</v>
      </c>
      <c r="M4019" s="1">
        <f t="shared" si="313"/>
        <v>85.475142585432408</v>
      </c>
      <c r="N4019" s="7">
        <f t="shared" si="314"/>
        <v>85.475142585432408</v>
      </c>
    </row>
    <row r="4020" spans="1:14" x14ac:dyDescent="0.25">
      <c r="A4020" t="str">
        <f>"14:57:30.266"</f>
        <v>14:57:30.266</v>
      </c>
      <c r="B4020">
        <v>40.578474999999997</v>
      </c>
      <c r="C4020">
        <v>-74.314763999999997</v>
      </c>
      <c r="D4020">
        <v>300</v>
      </c>
      <c r="E4020">
        <v>400</v>
      </c>
      <c r="F4020">
        <v>40</v>
      </c>
      <c r="G4020">
        <v>75</v>
      </c>
      <c r="H4020">
        <v>0</v>
      </c>
      <c r="J4020" s="1">
        <f t="shared" si="310"/>
        <v>1600</v>
      </c>
      <c r="K4020" s="1">
        <f t="shared" si="311"/>
        <v>5625</v>
      </c>
      <c r="L4020" s="1">
        <f t="shared" si="312"/>
        <v>7225</v>
      </c>
      <c r="M4020" s="1">
        <f t="shared" si="313"/>
        <v>85</v>
      </c>
      <c r="N4020" s="7">
        <f t="shared" si="314"/>
        <v>85</v>
      </c>
    </row>
    <row r="4021" spans="1:14" x14ac:dyDescent="0.25">
      <c r="A4021" t="str">
        <f>"14:57:31.828"</f>
        <v>14:57:31.828</v>
      </c>
      <c r="B4021">
        <v>40.579033000000003</v>
      </c>
      <c r="C4021">
        <v>-74.314398999999995</v>
      </c>
      <c r="D4021">
        <v>300</v>
      </c>
      <c r="E4021">
        <v>400</v>
      </c>
      <c r="F4021">
        <v>39</v>
      </c>
      <c r="G4021">
        <v>75</v>
      </c>
      <c r="H4021">
        <v>-64</v>
      </c>
      <c r="J4021" s="1">
        <f t="shared" si="310"/>
        <v>1521</v>
      </c>
      <c r="K4021" s="1">
        <f t="shared" si="311"/>
        <v>5625</v>
      </c>
      <c r="L4021" s="1">
        <f t="shared" si="312"/>
        <v>7146</v>
      </c>
      <c r="M4021" s="1">
        <f t="shared" si="313"/>
        <v>84.534016821632221</v>
      </c>
      <c r="N4021" s="7">
        <f t="shared" si="314"/>
        <v>84.534016821632221</v>
      </c>
    </row>
    <row r="4022" spans="1:14" x14ac:dyDescent="0.25">
      <c r="A4022" t="str">
        <f>"14:57:32.891"</f>
        <v>14:57:32.891</v>
      </c>
      <c r="B4022">
        <v>40.579397999999998</v>
      </c>
      <c r="C4022">
        <v>-74.314141000000006</v>
      </c>
      <c r="D4022">
        <v>300</v>
      </c>
      <c r="E4022">
        <v>400</v>
      </c>
      <c r="F4022">
        <v>38</v>
      </c>
      <c r="G4022">
        <v>75</v>
      </c>
      <c r="H4022">
        <v>-64</v>
      </c>
      <c r="J4022" s="1">
        <f t="shared" si="310"/>
        <v>1444</v>
      </c>
      <c r="K4022" s="1">
        <f t="shared" si="311"/>
        <v>5625</v>
      </c>
      <c r="L4022" s="1">
        <f t="shared" si="312"/>
        <v>7069</v>
      </c>
      <c r="M4022" s="1">
        <f t="shared" si="313"/>
        <v>84.077345343439575</v>
      </c>
      <c r="N4022" s="7">
        <f t="shared" si="314"/>
        <v>84.077345343439575</v>
      </c>
    </row>
    <row r="4023" spans="1:14" x14ac:dyDescent="0.25">
      <c r="A4023" t="str">
        <f>"14:57:33.695"</f>
        <v>14:57:33.695</v>
      </c>
      <c r="B4023">
        <v>40.579698</v>
      </c>
      <c r="C4023">
        <v>-74.313969999999998</v>
      </c>
      <c r="D4023">
        <v>300</v>
      </c>
      <c r="E4023">
        <v>400</v>
      </c>
      <c r="F4023">
        <v>36</v>
      </c>
      <c r="G4023">
        <v>75</v>
      </c>
      <c r="H4023">
        <v>-64</v>
      </c>
      <c r="J4023" s="1">
        <f t="shared" si="310"/>
        <v>1296</v>
      </c>
      <c r="K4023" s="1">
        <f t="shared" si="311"/>
        <v>5625</v>
      </c>
      <c r="L4023" s="1">
        <f t="shared" si="312"/>
        <v>6921</v>
      </c>
      <c r="M4023" s="1">
        <f t="shared" si="313"/>
        <v>83.192547743172284</v>
      </c>
      <c r="N4023" s="7">
        <f t="shared" si="314"/>
        <v>83.192547743172284</v>
      </c>
    </row>
    <row r="4024" spans="1:14" x14ac:dyDescent="0.25">
      <c r="A4024" t="str">
        <f>"14:57:34.711"</f>
        <v>14:57:34.711</v>
      </c>
      <c r="B4024">
        <v>40.579998000000003</v>
      </c>
      <c r="C4024">
        <v>-74.313776000000004</v>
      </c>
      <c r="D4024">
        <v>300</v>
      </c>
      <c r="E4024">
        <v>400</v>
      </c>
      <c r="F4024">
        <v>38</v>
      </c>
      <c r="G4024">
        <v>75</v>
      </c>
      <c r="H4024">
        <v>-64</v>
      </c>
      <c r="J4024" s="1">
        <f t="shared" si="310"/>
        <v>1444</v>
      </c>
      <c r="K4024" s="1">
        <f t="shared" si="311"/>
        <v>5625</v>
      </c>
      <c r="L4024" s="1">
        <f t="shared" si="312"/>
        <v>7069</v>
      </c>
      <c r="M4024" s="1">
        <f t="shared" si="313"/>
        <v>84.077345343439575</v>
      </c>
      <c r="N4024" s="7">
        <f t="shared" si="314"/>
        <v>84.077345343439575</v>
      </c>
    </row>
    <row r="4025" spans="1:14" x14ac:dyDescent="0.25">
      <c r="A4025" t="str">
        <f>"14:57:35.867"</f>
        <v>14:57:35.867</v>
      </c>
      <c r="B4025">
        <v>40.580427999999998</v>
      </c>
      <c r="C4025">
        <v>-74.313518999999999</v>
      </c>
      <c r="D4025">
        <v>300</v>
      </c>
      <c r="E4025">
        <v>400</v>
      </c>
      <c r="F4025">
        <v>34</v>
      </c>
      <c r="G4025">
        <v>75</v>
      </c>
      <c r="H4025">
        <v>-64</v>
      </c>
      <c r="J4025" s="1">
        <f t="shared" si="310"/>
        <v>1156</v>
      </c>
      <c r="K4025" s="1">
        <f t="shared" si="311"/>
        <v>5625</v>
      </c>
      <c r="L4025" s="1">
        <f t="shared" si="312"/>
        <v>6781</v>
      </c>
      <c r="M4025" s="1">
        <f t="shared" si="313"/>
        <v>82.346827504160714</v>
      </c>
      <c r="N4025" s="7">
        <f t="shared" si="314"/>
        <v>82.346827504160714</v>
      </c>
    </row>
    <row r="4026" spans="1:14" x14ac:dyDescent="0.25">
      <c r="A4026" t="str">
        <f>"14:57:36.977"</f>
        <v>14:57:36.977</v>
      </c>
      <c r="B4026">
        <v>40.580792000000002</v>
      </c>
      <c r="C4026">
        <v>-74.313282999999998</v>
      </c>
      <c r="D4026">
        <v>300</v>
      </c>
      <c r="E4026">
        <v>400</v>
      </c>
      <c r="F4026">
        <v>33</v>
      </c>
      <c r="G4026">
        <v>75</v>
      </c>
      <c r="H4026">
        <v>0</v>
      </c>
      <c r="J4026" s="1">
        <f t="shared" si="310"/>
        <v>1089</v>
      </c>
      <c r="K4026" s="1">
        <f t="shared" si="311"/>
        <v>5625</v>
      </c>
      <c r="L4026" s="1">
        <f t="shared" si="312"/>
        <v>6714</v>
      </c>
      <c r="M4026" s="1">
        <f t="shared" si="313"/>
        <v>81.939001702485982</v>
      </c>
      <c r="N4026" s="7">
        <f t="shared" si="314"/>
        <v>81.939001702485982</v>
      </c>
    </row>
    <row r="4027" spans="1:14" x14ac:dyDescent="0.25">
      <c r="A4027" t="str">
        <f>"14:57:37.992"</f>
        <v>14:57:37.992</v>
      </c>
      <c r="B4027">
        <v>40.581156999999997</v>
      </c>
      <c r="C4027">
        <v>-74.313111000000006</v>
      </c>
      <c r="D4027">
        <v>300</v>
      </c>
      <c r="E4027">
        <v>400</v>
      </c>
      <c r="F4027">
        <v>33</v>
      </c>
      <c r="G4027">
        <v>74</v>
      </c>
      <c r="H4027">
        <v>0</v>
      </c>
      <c r="J4027" s="1">
        <f t="shared" si="310"/>
        <v>1089</v>
      </c>
      <c r="K4027" s="1">
        <f t="shared" si="311"/>
        <v>5476</v>
      </c>
      <c r="L4027" s="1">
        <f t="shared" si="312"/>
        <v>6565</v>
      </c>
      <c r="M4027" s="1">
        <f t="shared" si="313"/>
        <v>81.024687595818591</v>
      </c>
      <c r="N4027" s="7">
        <f t="shared" si="314"/>
        <v>81.024687595818591</v>
      </c>
    </row>
    <row r="4028" spans="1:14" x14ac:dyDescent="0.25">
      <c r="A4028" t="str">
        <f>"14:57:39.555"</f>
        <v>14:57:39.555</v>
      </c>
      <c r="B4028">
        <v>40.581715000000003</v>
      </c>
      <c r="C4028">
        <v>-74.312810999999996</v>
      </c>
      <c r="D4028">
        <v>300</v>
      </c>
      <c r="E4028">
        <v>400</v>
      </c>
      <c r="F4028">
        <v>32</v>
      </c>
      <c r="G4028">
        <v>73</v>
      </c>
      <c r="H4028">
        <v>128</v>
      </c>
      <c r="J4028" s="1">
        <f t="shared" si="310"/>
        <v>1024</v>
      </c>
      <c r="K4028" s="1">
        <f t="shared" si="311"/>
        <v>5329</v>
      </c>
      <c r="L4028" s="1">
        <f t="shared" si="312"/>
        <v>6353</v>
      </c>
      <c r="M4028" s="1">
        <f t="shared" si="313"/>
        <v>79.705708703956702</v>
      </c>
      <c r="N4028" s="7">
        <f t="shared" si="314"/>
        <v>79.705708703956702</v>
      </c>
    </row>
    <row r="4029" spans="1:14" x14ac:dyDescent="0.25">
      <c r="A4029" t="str">
        <f>"14:57:40.617"</f>
        <v>14:57:40.617</v>
      </c>
      <c r="B4029">
        <v>40.582058000000004</v>
      </c>
      <c r="C4029">
        <v>-74.312574999999995</v>
      </c>
      <c r="D4029">
        <v>300</v>
      </c>
      <c r="E4029">
        <v>400</v>
      </c>
      <c r="F4029">
        <v>31</v>
      </c>
      <c r="G4029">
        <v>72</v>
      </c>
      <c r="H4029">
        <v>192</v>
      </c>
      <c r="J4029" s="1">
        <f t="shared" si="310"/>
        <v>961</v>
      </c>
      <c r="K4029" s="1">
        <f t="shared" si="311"/>
        <v>5184</v>
      </c>
      <c r="L4029" s="1">
        <f t="shared" si="312"/>
        <v>6145</v>
      </c>
      <c r="M4029" s="1">
        <f t="shared" si="313"/>
        <v>78.390050389064044</v>
      </c>
      <c r="N4029" s="7">
        <f t="shared" si="314"/>
        <v>78.390050389064044</v>
      </c>
    </row>
    <row r="4030" spans="1:14" x14ac:dyDescent="0.25">
      <c r="A4030" t="str">
        <f>"14:57:42.734"</f>
        <v>14:57:42.734</v>
      </c>
      <c r="B4030">
        <v>40.582766999999997</v>
      </c>
      <c r="C4030">
        <v>-74.312189000000004</v>
      </c>
      <c r="D4030">
        <v>300</v>
      </c>
      <c r="E4030">
        <v>425</v>
      </c>
      <c r="F4030">
        <v>30</v>
      </c>
      <c r="G4030">
        <v>71</v>
      </c>
      <c r="H4030">
        <v>128</v>
      </c>
      <c r="J4030" s="1">
        <f t="shared" si="310"/>
        <v>900</v>
      </c>
      <c r="K4030" s="1">
        <f t="shared" si="311"/>
        <v>5041</v>
      </c>
      <c r="L4030" s="1">
        <f t="shared" si="312"/>
        <v>5941</v>
      </c>
      <c r="M4030" s="1">
        <f t="shared" si="313"/>
        <v>77.077882690172544</v>
      </c>
      <c r="N4030" s="7">
        <f t="shared" si="314"/>
        <v>77.077882690172544</v>
      </c>
    </row>
    <row r="4031" spans="1:14" x14ac:dyDescent="0.25">
      <c r="A4031" t="str">
        <f>"14:57:43.750"</f>
        <v>14:57:43.750</v>
      </c>
      <c r="B4031">
        <v>40.583087999999996</v>
      </c>
      <c r="C4031">
        <v>-74.312016999999997</v>
      </c>
      <c r="D4031">
        <v>300</v>
      </c>
      <c r="E4031">
        <v>425</v>
      </c>
      <c r="F4031">
        <v>30</v>
      </c>
      <c r="G4031">
        <v>70</v>
      </c>
      <c r="H4031">
        <v>0</v>
      </c>
      <c r="J4031" s="1">
        <f t="shared" si="310"/>
        <v>900</v>
      </c>
      <c r="K4031" s="1">
        <f t="shared" si="311"/>
        <v>4900</v>
      </c>
      <c r="L4031" s="1">
        <f t="shared" si="312"/>
        <v>5800</v>
      </c>
      <c r="M4031" s="1">
        <f t="shared" si="313"/>
        <v>76.157731058639087</v>
      </c>
      <c r="N4031" s="7">
        <f t="shared" si="314"/>
        <v>76.157731058639087</v>
      </c>
    </row>
    <row r="4032" spans="1:14" x14ac:dyDescent="0.25">
      <c r="A4032" t="str">
        <f>"14:57:44.805"</f>
        <v>14:57:44.805</v>
      </c>
      <c r="B4032">
        <v>40.583410000000001</v>
      </c>
      <c r="C4032">
        <v>-74.311824000000001</v>
      </c>
      <c r="D4032">
        <v>300</v>
      </c>
      <c r="E4032">
        <v>425</v>
      </c>
      <c r="F4032">
        <v>30</v>
      </c>
      <c r="G4032">
        <v>70</v>
      </c>
      <c r="H4032">
        <v>-64</v>
      </c>
      <c r="J4032" s="1">
        <f t="shared" si="310"/>
        <v>900</v>
      </c>
      <c r="K4032" s="1">
        <f t="shared" si="311"/>
        <v>4900</v>
      </c>
      <c r="L4032" s="1">
        <f t="shared" si="312"/>
        <v>5800</v>
      </c>
      <c r="M4032" s="1">
        <f t="shared" si="313"/>
        <v>76.157731058639087</v>
      </c>
      <c r="N4032" s="7">
        <f t="shared" si="314"/>
        <v>76.157731058639087</v>
      </c>
    </row>
    <row r="4033" spans="1:14" x14ac:dyDescent="0.25">
      <c r="A4033" t="str">
        <f>"14:57:45.820"</f>
        <v>14:57:45.820</v>
      </c>
      <c r="B4033">
        <v>40.583731999999998</v>
      </c>
      <c r="C4033">
        <v>-74.311651999999995</v>
      </c>
      <c r="D4033">
        <v>300</v>
      </c>
      <c r="E4033">
        <v>400</v>
      </c>
      <c r="F4033">
        <v>30</v>
      </c>
      <c r="G4033">
        <v>69</v>
      </c>
      <c r="H4033">
        <v>-128</v>
      </c>
      <c r="J4033" s="1">
        <f t="shared" si="310"/>
        <v>900</v>
      </c>
      <c r="K4033" s="1">
        <f t="shared" si="311"/>
        <v>4761</v>
      </c>
      <c r="L4033" s="1">
        <f t="shared" si="312"/>
        <v>5661</v>
      </c>
      <c r="M4033" s="1">
        <f t="shared" si="313"/>
        <v>75.23961722390672</v>
      </c>
      <c r="N4033" s="7">
        <f t="shared" si="314"/>
        <v>75.23961722390672</v>
      </c>
    </row>
    <row r="4034" spans="1:14" x14ac:dyDescent="0.25">
      <c r="A4034" t="str">
        <f>"14:57:46.828"</f>
        <v>14:57:46.828</v>
      </c>
      <c r="B4034">
        <v>40.584054000000002</v>
      </c>
      <c r="C4034">
        <v>-74.311458999999999</v>
      </c>
      <c r="D4034">
        <v>300</v>
      </c>
      <c r="E4034">
        <v>400</v>
      </c>
      <c r="F4034">
        <v>30</v>
      </c>
      <c r="G4034">
        <v>68</v>
      </c>
      <c r="H4034">
        <v>-64</v>
      </c>
      <c r="J4034" s="1">
        <f t="shared" si="310"/>
        <v>900</v>
      </c>
      <c r="K4034" s="1">
        <f t="shared" si="311"/>
        <v>4624</v>
      </c>
      <c r="L4034" s="1">
        <f t="shared" si="312"/>
        <v>5524</v>
      </c>
      <c r="M4034" s="1">
        <f t="shared" si="313"/>
        <v>74.323616704248181</v>
      </c>
      <c r="N4034" s="7">
        <f t="shared" si="314"/>
        <v>74.323616704248181</v>
      </c>
    </row>
    <row r="4035" spans="1:14" x14ac:dyDescent="0.25">
      <c r="A4035" t="str">
        <f>"14:57:47.789"</f>
        <v>14:57:47.789</v>
      </c>
      <c r="B4035">
        <v>40.584375999999999</v>
      </c>
      <c r="C4035">
        <v>-74.311286999999993</v>
      </c>
      <c r="D4035">
        <v>300</v>
      </c>
      <c r="E4035">
        <v>400</v>
      </c>
      <c r="F4035">
        <v>30</v>
      </c>
      <c r="G4035">
        <v>68</v>
      </c>
      <c r="H4035">
        <v>0</v>
      </c>
      <c r="J4035" s="1">
        <f t="shared" ref="J4035:J4052" si="315">F4035^2</f>
        <v>900</v>
      </c>
      <c r="K4035" s="1">
        <f t="shared" ref="K4035:K4052" si="316">G4035^2</f>
        <v>4624</v>
      </c>
      <c r="L4035" s="1">
        <f t="shared" ref="L4035:L4052" si="317">SUMSQ(F4035,G4035)</f>
        <v>5524</v>
      </c>
      <c r="M4035" s="1">
        <f t="shared" ref="M4035:M4052" si="318">SQRT(L4035)</f>
        <v>74.323616704248181</v>
      </c>
      <c r="N4035" s="7">
        <f t="shared" ref="N4035:N4052" si="319">M4035</f>
        <v>74.323616704248181</v>
      </c>
    </row>
    <row r="4036" spans="1:14" x14ac:dyDescent="0.25">
      <c r="A4036" t="str">
        <f>"14:57:48.898"</f>
        <v>14:57:48.898</v>
      </c>
      <c r="B4036">
        <v>40.584654999999998</v>
      </c>
      <c r="C4036">
        <v>-74.311093999999997</v>
      </c>
      <c r="D4036">
        <v>300</v>
      </c>
      <c r="E4036">
        <v>400</v>
      </c>
      <c r="F4036">
        <v>30</v>
      </c>
      <c r="G4036">
        <v>66</v>
      </c>
      <c r="H4036">
        <v>192</v>
      </c>
      <c r="J4036" s="1">
        <f t="shared" si="315"/>
        <v>900</v>
      </c>
      <c r="K4036" s="1">
        <f t="shared" si="316"/>
        <v>4356</v>
      </c>
      <c r="L4036" s="1">
        <f t="shared" si="317"/>
        <v>5256</v>
      </c>
      <c r="M4036" s="1">
        <f t="shared" si="318"/>
        <v>72.498275841567434</v>
      </c>
      <c r="N4036" s="7">
        <f t="shared" si="319"/>
        <v>72.498275841567434</v>
      </c>
    </row>
    <row r="4037" spans="1:14" x14ac:dyDescent="0.25">
      <c r="A4037" t="str">
        <f>"14:57:49.859"</f>
        <v>14:57:49.859</v>
      </c>
      <c r="B4037">
        <v>40.584977000000002</v>
      </c>
      <c r="C4037">
        <v>-74.310901000000001</v>
      </c>
      <c r="D4037">
        <v>300</v>
      </c>
      <c r="E4037">
        <v>425</v>
      </c>
      <c r="F4037">
        <v>30</v>
      </c>
      <c r="G4037">
        <v>65</v>
      </c>
      <c r="H4037">
        <v>192</v>
      </c>
      <c r="J4037" s="1">
        <f t="shared" si="315"/>
        <v>900</v>
      </c>
      <c r="K4037" s="1">
        <f t="shared" si="316"/>
        <v>4225</v>
      </c>
      <c r="L4037" s="1">
        <f t="shared" si="317"/>
        <v>5125</v>
      </c>
      <c r="M4037" s="1">
        <f t="shared" si="318"/>
        <v>71.589105316381762</v>
      </c>
      <c r="N4037" s="7">
        <f t="shared" si="319"/>
        <v>71.589105316381762</v>
      </c>
    </row>
    <row r="4038" spans="1:14" x14ac:dyDescent="0.25">
      <c r="A4038" t="str">
        <f>"14:57:50.867"</f>
        <v>14:57:50.867</v>
      </c>
      <c r="B4038">
        <v>40.585256000000001</v>
      </c>
      <c r="C4038">
        <v>-74.310708000000005</v>
      </c>
      <c r="D4038">
        <v>300</v>
      </c>
      <c r="E4038">
        <v>425</v>
      </c>
      <c r="F4038">
        <v>29</v>
      </c>
      <c r="G4038">
        <v>64</v>
      </c>
      <c r="H4038">
        <v>192</v>
      </c>
      <c r="J4038" s="1">
        <f t="shared" si="315"/>
        <v>841</v>
      </c>
      <c r="K4038" s="1">
        <f t="shared" si="316"/>
        <v>4096</v>
      </c>
      <c r="L4038" s="1">
        <f t="shared" si="317"/>
        <v>4937</v>
      </c>
      <c r="M4038" s="1">
        <f t="shared" si="318"/>
        <v>70.263788682364691</v>
      </c>
      <c r="N4038" s="7">
        <f t="shared" si="319"/>
        <v>70.263788682364691</v>
      </c>
    </row>
    <row r="4039" spans="1:14" x14ac:dyDescent="0.25">
      <c r="A4039" t="str">
        <f>"14:57:51.930"</f>
        <v>14:57:51.930</v>
      </c>
      <c r="B4039">
        <v>40.585599000000002</v>
      </c>
      <c r="C4039">
        <v>-74.310535999999999</v>
      </c>
      <c r="D4039">
        <v>300</v>
      </c>
      <c r="E4039">
        <v>425</v>
      </c>
      <c r="F4039">
        <v>29</v>
      </c>
      <c r="G4039">
        <v>64</v>
      </c>
      <c r="H4039">
        <v>192</v>
      </c>
      <c r="J4039" s="1">
        <f t="shared" si="315"/>
        <v>841</v>
      </c>
      <c r="K4039" s="1">
        <f t="shared" si="316"/>
        <v>4096</v>
      </c>
      <c r="L4039" s="1">
        <f t="shared" si="317"/>
        <v>4937</v>
      </c>
      <c r="M4039" s="1">
        <f t="shared" si="318"/>
        <v>70.263788682364691</v>
      </c>
      <c r="N4039" s="7">
        <f t="shared" si="319"/>
        <v>70.263788682364691</v>
      </c>
    </row>
    <row r="4040" spans="1:14" x14ac:dyDescent="0.25">
      <c r="A4040" t="str">
        <f>"14:57:53.898"</f>
        <v>14:57:53.898</v>
      </c>
      <c r="B4040">
        <v>40.586157</v>
      </c>
      <c r="C4040">
        <v>-74.310214999999999</v>
      </c>
      <c r="D4040">
        <v>300</v>
      </c>
      <c r="E4040">
        <v>425</v>
      </c>
      <c r="F4040">
        <v>28</v>
      </c>
      <c r="G4040">
        <v>63</v>
      </c>
      <c r="H4040">
        <v>128</v>
      </c>
      <c r="J4040" s="1">
        <f t="shared" si="315"/>
        <v>784</v>
      </c>
      <c r="K4040" s="1">
        <f t="shared" si="316"/>
        <v>3969</v>
      </c>
      <c r="L4040" s="1">
        <f t="shared" si="317"/>
        <v>4753</v>
      </c>
      <c r="M4040" s="1">
        <f t="shared" si="318"/>
        <v>68.942004612572731</v>
      </c>
      <c r="N4040" s="7">
        <f t="shared" si="319"/>
        <v>68.942004612572731</v>
      </c>
    </row>
    <row r="4041" spans="1:14" x14ac:dyDescent="0.25">
      <c r="A4041" t="str">
        <f>"14:57:54.805"</f>
        <v>14:57:54.805</v>
      </c>
      <c r="B4041">
        <v>40.586435999999999</v>
      </c>
      <c r="C4041">
        <v>-74.310063999999997</v>
      </c>
      <c r="D4041">
        <v>300</v>
      </c>
      <c r="E4041">
        <v>425</v>
      </c>
      <c r="F4041">
        <v>28</v>
      </c>
      <c r="G4041">
        <v>62</v>
      </c>
      <c r="H4041">
        <v>0</v>
      </c>
      <c r="J4041" s="1">
        <f t="shared" si="315"/>
        <v>784</v>
      </c>
      <c r="K4041" s="1">
        <f t="shared" si="316"/>
        <v>3844</v>
      </c>
      <c r="L4041" s="1">
        <f t="shared" si="317"/>
        <v>4628</v>
      </c>
      <c r="M4041" s="1">
        <f t="shared" si="318"/>
        <v>68.029405406779802</v>
      </c>
      <c r="N4041" s="7">
        <f t="shared" si="319"/>
        <v>68.029405406779802</v>
      </c>
    </row>
    <row r="4042" spans="1:14" x14ac:dyDescent="0.25">
      <c r="A4042" t="str">
        <f>"14:57:55.813"</f>
        <v>14:57:55.813</v>
      </c>
      <c r="B4042">
        <v>40.586714999999998</v>
      </c>
      <c r="C4042">
        <v>-74.309893000000002</v>
      </c>
      <c r="D4042">
        <v>300</v>
      </c>
      <c r="E4042">
        <v>425</v>
      </c>
      <c r="F4042">
        <v>28</v>
      </c>
      <c r="G4042">
        <v>61</v>
      </c>
      <c r="H4042">
        <v>-64</v>
      </c>
      <c r="J4042" s="1">
        <f t="shared" si="315"/>
        <v>784</v>
      </c>
      <c r="K4042" s="1">
        <f t="shared" si="316"/>
        <v>3721</v>
      </c>
      <c r="L4042" s="1">
        <f t="shared" si="317"/>
        <v>4505</v>
      </c>
      <c r="M4042" s="1">
        <f t="shared" si="318"/>
        <v>67.119296778199342</v>
      </c>
      <c r="N4042" s="7">
        <f t="shared" si="319"/>
        <v>67.119296778199342</v>
      </c>
    </row>
    <row r="4043" spans="1:14" x14ac:dyDescent="0.25">
      <c r="A4043" t="str">
        <f>"14:57:56.820"</f>
        <v>14:57:56.820</v>
      </c>
      <c r="B4043">
        <v>40.586993999999997</v>
      </c>
      <c r="C4043">
        <v>-74.309720999999996</v>
      </c>
      <c r="D4043">
        <v>300</v>
      </c>
      <c r="E4043">
        <v>425</v>
      </c>
      <c r="F4043">
        <v>28</v>
      </c>
      <c r="G4043">
        <v>61</v>
      </c>
      <c r="H4043">
        <v>-64</v>
      </c>
      <c r="J4043" s="1">
        <f t="shared" si="315"/>
        <v>784</v>
      </c>
      <c r="K4043" s="1">
        <f t="shared" si="316"/>
        <v>3721</v>
      </c>
      <c r="L4043" s="1">
        <f t="shared" si="317"/>
        <v>4505</v>
      </c>
      <c r="M4043" s="1">
        <f t="shared" si="318"/>
        <v>67.119296778199342</v>
      </c>
      <c r="N4043" s="7">
        <f t="shared" si="319"/>
        <v>67.119296778199342</v>
      </c>
    </row>
    <row r="4044" spans="1:14" x14ac:dyDescent="0.25">
      <c r="A4044" t="str">
        <f>"14:57:58.336"</f>
        <v>14:57:58.336</v>
      </c>
      <c r="B4044">
        <v>40.587401</v>
      </c>
      <c r="C4044">
        <v>-74.309464000000006</v>
      </c>
      <c r="D4044">
        <v>300</v>
      </c>
      <c r="E4044">
        <v>425</v>
      </c>
      <c r="F4044">
        <v>27</v>
      </c>
      <c r="G4044">
        <v>60</v>
      </c>
      <c r="H4044">
        <v>-128</v>
      </c>
      <c r="J4044" s="1">
        <f t="shared" si="315"/>
        <v>729</v>
      </c>
      <c r="K4044" s="1">
        <f t="shared" si="316"/>
        <v>3600</v>
      </c>
      <c r="L4044" s="1">
        <f t="shared" si="317"/>
        <v>4329</v>
      </c>
      <c r="M4044" s="1">
        <f t="shared" si="318"/>
        <v>65.79513659838392</v>
      </c>
      <c r="N4044" s="7">
        <f t="shared" si="319"/>
        <v>65.79513659838392</v>
      </c>
    </row>
    <row r="4045" spans="1:14" x14ac:dyDescent="0.25">
      <c r="A4045" t="str">
        <f>"14:57:59.352"</f>
        <v>14:57:59.352</v>
      </c>
      <c r="B4045">
        <v>40.587702</v>
      </c>
      <c r="C4045">
        <v>-74.309335000000004</v>
      </c>
      <c r="D4045">
        <v>300</v>
      </c>
      <c r="E4045">
        <v>425</v>
      </c>
      <c r="F4045">
        <v>26</v>
      </c>
      <c r="G4045">
        <v>60</v>
      </c>
      <c r="H4045">
        <v>-192</v>
      </c>
      <c r="J4045" s="1">
        <f t="shared" si="315"/>
        <v>676</v>
      </c>
      <c r="K4045" s="1">
        <f t="shared" si="316"/>
        <v>3600</v>
      </c>
      <c r="L4045" s="1">
        <f t="shared" si="317"/>
        <v>4276</v>
      </c>
      <c r="M4045" s="1">
        <f t="shared" si="318"/>
        <v>65.391130897087265</v>
      </c>
      <c r="N4045" s="7">
        <f t="shared" si="319"/>
        <v>65.391130897087265</v>
      </c>
    </row>
    <row r="4046" spans="1:14" x14ac:dyDescent="0.25">
      <c r="A4046" t="str">
        <f>"14:58:00.406"</f>
        <v>14:58:00.406</v>
      </c>
      <c r="B4046">
        <v>40.587980999999999</v>
      </c>
      <c r="C4046">
        <v>-74.309206000000003</v>
      </c>
      <c r="D4046">
        <v>300</v>
      </c>
      <c r="E4046">
        <v>425</v>
      </c>
      <c r="F4046">
        <v>22</v>
      </c>
      <c r="G4046">
        <v>62</v>
      </c>
      <c r="H4046">
        <v>-448</v>
      </c>
      <c r="J4046" s="1">
        <f t="shared" si="315"/>
        <v>484</v>
      </c>
      <c r="K4046" s="1">
        <f t="shared" si="316"/>
        <v>3844</v>
      </c>
      <c r="L4046" s="1">
        <f t="shared" si="317"/>
        <v>4328</v>
      </c>
      <c r="M4046" s="1">
        <f t="shared" si="318"/>
        <v>65.787536813594102</v>
      </c>
      <c r="N4046" s="7">
        <f t="shared" si="319"/>
        <v>65.787536813594102</v>
      </c>
    </row>
    <row r="4047" spans="1:14" x14ac:dyDescent="0.25">
      <c r="A4047" t="str">
        <f>"14:58:01.320"</f>
        <v>14:58:01.320</v>
      </c>
      <c r="B4047">
        <v>40.588303000000003</v>
      </c>
      <c r="C4047">
        <v>-74.309077000000002</v>
      </c>
      <c r="D4047">
        <v>300</v>
      </c>
      <c r="E4047">
        <v>400</v>
      </c>
      <c r="F4047">
        <v>17</v>
      </c>
      <c r="G4047">
        <v>63</v>
      </c>
      <c r="H4047">
        <v>-768</v>
      </c>
      <c r="J4047" s="1">
        <f t="shared" si="315"/>
        <v>289</v>
      </c>
      <c r="K4047" s="1">
        <f t="shared" si="316"/>
        <v>3969</v>
      </c>
      <c r="L4047" s="1">
        <f t="shared" si="317"/>
        <v>4258</v>
      </c>
      <c r="M4047" s="1">
        <f t="shared" si="318"/>
        <v>65.253352404301808</v>
      </c>
      <c r="N4047" s="7">
        <f t="shared" si="319"/>
        <v>65.253352404301808</v>
      </c>
    </row>
    <row r="4048" spans="1:14" x14ac:dyDescent="0.25">
      <c r="A4048" t="str">
        <f>"14:58:02.680"</f>
        <v>14:58:02.680</v>
      </c>
      <c r="B4048">
        <v>40.588709999999999</v>
      </c>
      <c r="C4048">
        <v>-74.309099000000003</v>
      </c>
      <c r="D4048">
        <v>400</v>
      </c>
      <c r="E4048">
        <v>375</v>
      </c>
      <c r="F4048">
        <v>6</v>
      </c>
      <c r="G4048">
        <v>66</v>
      </c>
      <c r="H4048">
        <v>-1344</v>
      </c>
      <c r="J4048" s="1">
        <f t="shared" si="315"/>
        <v>36</v>
      </c>
      <c r="K4048" s="1">
        <f t="shared" si="316"/>
        <v>4356</v>
      </c>
      <c r="L4048" s="1">
        <f t="shared" si="317"/>
        <v>4392</v>
      </c>
      <c r="M4048" s="1">
        <f t="shared" si="318"/>
        <v>66.272166103123567</v>
      </c>
      <c r="N4048" s="7">
        <f t="shared" si="319"/>
        <v>66.272166103123567</v>
      </c>
    </row>
    <row r="4049" spans="1:14" x14ac:dyDescent="0.25">
      <c r="A4049" t="str">
        <f>"14:58:03.641"</f>
        <v>14:58:03.641</v>
      </c>
      <c r="B4049">
        <v>40.588988999999998</v>
      </c>
      <c r="C4049">
        <v>-74.309206000000003</v>
      </c>
      <c r="D4049">
        <v>100</v>
      </c>
      <c r="E4049">
        <v>325</v>
      </c>
      <c r="F4049">
        <v>-12</v>
      </c>
      <c r="G4049">
        <v>68</v>
      </c>
      <c r="H4049">
        <v>-2880</v>
      </c>
      <c r="J4049" s="1">
        <f t="shared" si="315"/>
        <v>144</v>
      </c>
      <c r="K4049" s="1">
        <f t="shared" si="316"/>
        <v>4624</v>
      </c>
      <c r="L4049" s="1">
        <f t="shared" si="317"/>
        <v>4768</v>
      </c>
      <c r="M4049" s="1">
        <f t="shared" si="318"/>
        <v>69.050706006528273</v>
      </c>
      <c r="N4049" s="7">
        <f t="shared" si="319"/>
        <v>69.050706006528273</v>
      </c>
    </row>
    <row r="4050" spans="1:14" x14ac:dyDescent="0.25">
      <c r="A4050" t="str">
        <f>"14:58:04.547"</f>
        <v>14:58:04.547</v>
      </c>
      <c r="B4050">
        <v>40.589311000000002</v>
      </c>
      <c r="C4050">
        <v>-74.309335000000004</v>
      </c>
      <c r="D4050">
        <v>0</v>
      </c>
      <c r="E4050">
        <v>275</v>
      </c>
      <c r="F4050">
        <v>-23</v>
      </c>
      <c r="G4050">
        <v>69</v>
      </c>
      <c r="H4050">
        <v>-3392</v>
      </c>
      <c r="J4050" s="1">
        <f t="shared" si="315"/>
        <v>529</v>
      </c>
      <c r="K4050" s="1">
        <f t="shared" si="316"/>
        <v>4761</v>
      </c>
      <c r="L4050" s="1">
        <f t="shared" si="317"/>
        <v>5290</v>
      </c>
      <c r="M4050" s="1">
        <f t="shared" si="318"/>
        <v>72.73238618387272</v>
      </c>
      <c r="N4050" s="7">
        <f t="shared" si="319"/>
        <v>72.73238618387272</v>
      </c>
    </row>
    <row r="4051" spans="1:14" x14ac:dyDescent="0.25">
      <c r="A4051" t="str">
        <f>"14:58:05.961"</f>
        <v>14:58:05.961</v>
      </c>
      <c r="B4051">
        <v>40.589719000000002</v>
      </c>
      <c r="C4051">
        <v>-74.309764000000001</v>
      </c>
      <c r="D4051">
        <v>0</v>
      </c>
      <c r="E4051">
        <v>225</v>
      </c>
      <c r="F4051">
        <v>-37</v>
      </c>
      <c r="G4051">
        <v>67</v>
      </c>
      <c r="H4051">
        <v>-3712</v>
      </c>
      <c r="J4051" s="1">
        <f t="shared" si="315"/>
        <v>1369</v>
      </c>
      <c r="K4051" s="1">
        <f t="shared" si="316"/>
        <v>4489</v>
      </c>
      <c r="L4051" s="1">
        <f t="shared" si="317"/>
        <v>5858</v>
      </c>
      <c r="M4051" s="1">
        <f t="shared" si="318"/>
        <v>76.53757247260981</v>
      </c>
      <c r="N4051" s="7">
        <f t="shared" si="319"/>
        <v>76.53757247260981</v>
      </c>
    </row>
    <row r="4052" spans="1:14" x14ac:dyDescent="0.25">
      <c r="A4052" t="str">
        <f>"14:58:07.023"</f>
        <v>14:58:07.023</v>
      </c>
      <c r="B4052">
        <v>40.589998000000001</v>
      </c>
      <c r="C4052">
        <v>-74.310129000000003</v>
      </c>
      <c r="D4052">
        <v>-100</v>
      </c>
      <c r="E4052">
        <v>175</v>
      </c>
      <c r="F4052">
        <v>-51</v>
      </c>
      <c r="G4052">
        <v>64</v>
      </c>
      <c r="H4052">
        <v>-3776</v>
      </c>
      <c r="J4052" s="1">
        <f t="shared" si="315"/>
        <v>2601</v>
      </c>
      <c r="K4052" s="1">
        <f t="shared" si="316"/>
        <v>4096</v>
      </c>
      <c r="L4052" s="1">
        <f t="shared" si="317"/>
        <v>6697</v>
      </c>
      <c r="M4052" s="1">
        <f t="shared" si="318"/>
        <v>81.835200250259064</v>
      </c>
      <c r="N4052" s="7">
        <f t="shared" si="319"/>
        <v>81.835200250259064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FF5BA3-A3BA-4BEA-9C41-109DB0623298}">
  <dimension ref="A1:A255"/>
  <sheetViews>
    <sheetView workbookViewId="0">
      <selection activeCell="B253" sqref="B253"/>
    </sheetView>
  </sheetViews>
  <sheetFormatPr defaultRowHeight="15" x14ac:dyDescent="0.25"/>
  <cols>
    <col min="1" max="1" width="95.28515625" customWidth="1"/>
  </cols>
  <sheetData>
    <row r="1" spans="1:1" x14ac:dyDescent="0.25">
      <c r="A1" s="11" t="s">
        <v>8410</v>
      </c>
    </row>
    <row r="2" spans="1:1" x14ac:dyDescent="0.25">
      <c r="A2" s="9" t="s">
        <v>8411</v>
      </c>
    </row>
    <row r="3" spans="1:1" x14ac:dyDescent="0.25">
      <c r="A3" s="9" t="s">
        <v>8157</v>
      </c>
    </row>
    <row r="4" spans="1:1" x14ac:dyDescent="0.25">
      <c r="A4" s="9" t="s">
        <v>8158</v>
      </c>
    </row>
    <row r="5" spans="1:1" x14ac:dyDescent="0.25">
      <c r="A5" s="9" t="s">
        <v>8159</v>
      </c>
    </row>
    <row r="6" spans="1:1" x14ac:dyDescent="0.25">
      <c r="A6" s="9" t="s">
        <v>8160</v>
      </c>
    </row>
    <row r="7" spans="1:1" x14ac:dyDescent="0.25">
      <c r="A7" s="9" t="s">
        <v>8161</v>
      </c>
    </row>
    <row r="8" spans="1:1" x14ac:dyDescent="0.25">
      <c r="A8" s="9" t="s">
        <v>8162</v>
      </c>
    </row>
    <row r="9" spans="1:1" x14ac:dyDescent="0.25">
      <c r="A9" s="9" t="s">
        <v>8163</v>
      </c>
    </row>
    <row r="10" spans="1:1" x14ac:dyDescent="0.25">
      <c r="A10" s="9" t="s">
        <v>8164</v>
      </c>
    </row>
    <row r="11" spans="1:1" x14ac:dyDescent="0.25">
      <c r="A11" s="9" t="s">
        <v>8165</v>
      </c>
    </row>
    <row r="12" spans="1:1" x14ac:dyDescent="0.25">
      <c r="A12" s="9" t="s">
        <v>8166</v>
      </c>
    </row>
    <row r="13" spans="1:1" x14ac:dyDescent="0.25">
      <c r="A13" s="9" t="s">
        <v>8167</v>
      </c>
    </row>
    <row r="14" spans="1:1" x14ac:dyDescent="0.25">
      <c r="A14" s="9" t="s">
        <v>8168</v>
      </c>
    </row>
    <row r="15" spans="1:1" x14ac:dyDescent="0.25">
      <c r="A15" s="9" t="s">
        <v>8169</v>
      </c>
    </row>
    <row r="16" spans="1:1" x14ac:dyDescent="0.25">
      <c r="A16" s="9" t="s">
        <v>8170</v>
      </c>
    </row>
    <row r="17" spans="1:1" x14ac:dyDescent="0.25">
      <c r="A17" s="9" t="s">
        <v>8171</v>
      </c>
    </row>
    <row r="18" spans="1:1" x14ac:dyDescent="0.25">
      <c r="A18" s="9" t="s">
        <v>8172</v>
      </c>
    </row>
    <row r="19" spans="1:1" x14ac:dyDescent="0.25">
      <c r="A19" s="9" t="s">
        <v>8173</v>
      </c>
    </row>
    <row r="20" spans="1:1" x14ac:dyDescent="0.25">
      <c r="A20" s="9" t="s">
        <v>8174</v>
      </c>
    </row>
    <row r="21" spans="1:1" x14ac:dyDescent="0.25">
      <c r="A21" s="9" t="s">
        <v>8175</v>
      </c>
    </row>
    <row r="22" spans="1:1" x14ac:dyDescent="0.25">
      <c r="A22" s="9" t="s">
        <v>8176</v>
      </c>
    </row>
    <row r="23" spans="1:1" x14ac:dyDescent="0.25">
      <c r="A23" s="9" t="s">
        <v>8177</v>
      </c>
    </row>
    <row r="24" spans="1:1" x14ac:dyDescent="0.25">
      <c r="A24" s="9" t="s">
        <v>8178</v>
      </c>
    </row>
    <row r="25" spans="1:1" x14ac:dyDescent="0.25">
      <c r="A25" s="9" t="s">
        <v>8179</v>
      </c>
    </row>
    <row r="26" spans="1:1" x14ac:dyDescent="0.25">
      <c r="A26" s="9" t="s">
        <v>8180</v>
      </c>
    </row>
    <row r="27" spans="1:1" x14ac:dyDescent="0.25">
      <c r="A27" s="9" t="s">
        <v>8181</v>
      </c>
    </row>
    <row r="28" spans="1:1" x14ac:dyDescent="0.25">
      <c r="A28" s="9" t="s">
        <v>8182</v>
      </c>
    </row>
    <row r="29" spans="1:1" x14ac:dyDescent="0.25">
      <c r="A29" s="9" t="s">
        <v>8183</v>
      </c>
    </row>
    <row r="30" spans="1:1" x14ac:dyDescent="0.25">
      <c r="A30" s="9" t="s">
        <v>8184</v>
      </c>
    </row>
    <row r="31" spans="1:1" x14ac:dyDescent="0.25">
      <c r="A31" s="9" t="s">
        <v>8185</v>
      </c>
    </row>
    <row r="32" spans="1:1" x14ac:dyDescent="0.25">
      <c r="A32" s="9" t="s">
        <v>8186</v>
      </c>
    </row>
    <row r="33" spans="1:1" x14ac:dyDescent="0.25">
      <c r="A33" s="9" t="s">
        <v>8187</v>
      </c>
    </row>
    <row r="34" spans="1:1" x14ac:dyDescent="0.25">
      <c r="A34" s="9" t="s">
        <v>8188</v>
      </c>
    </row>
    <row r="35" spans="1:1" x14ac:dyDescent="0.25">
      <c r="A35" s="9" t="s">
        <v>8189</v>
      </c>
    </row>
    <row r="36" spans="1:1" x14ac:dyDescent="0.25">
      <c r="A36" s="9" t="s">
        <v>8190</v>
      </c>
    </row>
    <row r="37" spans="1:1" x14ac:dyDescent="0.25">
      <c r="A37" s="9" t="s">
        <v>8191</v>
      </c>
    </row>
    <row r="38" spans="1:1" x14ac:dyDescent="0.25">
      <c r="A38" s="9" t="s">
        <v>8192</v>
      </c>
    </row>
    <row r="39" spans="1:1" x14ac:dyDescent="0.25">
      <c r="A39" s="9" t="s">
        <v>8193</v>
      </c>
    </row>
    <row r="40" spans="1:1" x14ac:dyDescent="0.25">
      <c r="A40" s="9" t="s">
        <v>8194</v>
      </c>
    </row>
    <row r="41" spans="1:1" x14ac:dyDescent="0.25">
      <c r="A41" s="9" t="s">
        <v>8195</v>
      </c>
    </row>
    <row r="42" spans="1:1" x14ac:dyDescent="0.25">
      <c r="A42" s="9" t="s">
        <v>8196</v>
      </c>
    </row>
    <row r="43" spans="1:1" x14ac:dyDescent="0.25">
      <c r="A43" s="9" t="s">
        <v>8197</v>
      </c>
    </row>
    <row r="44" spans="1:1" x14ac:dyDescent="0.25">
      <c r="A44" s="9" t="s">
        <v>8198</v>
      </c>
    </row>
    <row r="45" spans="1:1" x14ac:dyDescent="0.25">
      <c r="A45" s="9" t="s">
        <v>8199</v>
      </c>
    </row>
    <row r="46" spans="1:1" x14ac:dyDescent="0.25">
      <c r="A46" s="9" t="s">
        <v>8200</v>
      </c>
    </row>
    <row r="47" spans="1:1" x14ac:dyDescent="0.25">
      <c r="A47" s="9" t="s">
        <v>8201</v>
      </c>
    </row>
    <row r="48" spans="1:1" x14ac:dyDescent="0.25">
      <c r="A48" s="9" t="s">
        <v>8202</v>
      </c>
    </row>
    <row r="49" spans="1:1" x14ac:dyDescent="0.25">
      <c r="A49" s="9" t="s">
        <v>8203</v>
      </c>
    </row>
    <row r="50" spans="1:1" x14ac:dyDescent="0.25">
      <c r="A50" s="9" t="s">
        <v>8204</v>
      </c>
    </row>
    <row r="51" spans="1:1" x14ac:dyDescent="0.25">
      <c r="A51" s="9" t="s">
        <v>8205</v>
      </c>
    </row>
    <row r="52" spans="1:1" x14ac:dyDescent="0.25">
      <c r="A52" s="9" t="s">
        <v>8206</v>
      </c>
    </row>
    <row r="53" spans="1:1" x14ac:dyDescent="0.25">
      <c r="A53" s="9" t="s">
        <v>8207</v>
      </c>
    </row>
    <row r="54" spans="1:1" x14ac:dyDescent="0.25">
      <c r="A54" s="9" t="s">
        <v>8208</v>
      </c>
    </row>
    <row r="55" spans="1:1" x14ac:dyDescent="0.25">
      <c r="A55" s="9" t="s">
        <v>8209</v>
      </c>
    </row>
    <row r="56" spans="1:1" x14ac:dyDescent="0.25">
      <c r="A56" s="9" t="s">
        <v>8210</v>
      </c>
    </row>
    <row r="57" spans="1:1" x14ac:dyDescent="0.25">
      <c r="A57" s="9" t="s">
        <v>8211</v>
      </c>
    </row>
    <row r="58" spans="1:1" x14ac:dyDescent="0.25">
      <c r="A58" s="9" t="s">
        <v>8212</v>
      </c>
    </row>
    <row r="59" spans="1:1" x14ac:dyDescent="0.25">
      <c r="A59" s="9" t="s">
        <v>8213</v>
      </c>
    </row>
    <row r="60" spans="1:1" x14ac:dyDescent="0.25">
      <c r="A60" s="9" t="s">
        <v>8214</v>
      </c>
    </row>
    <row r="61" spans="1:1" x14ac:dyDescent="0.25">
      <c r="A61" s="9" t="s">
        <v>8215</v>
      </c>
    </row>
    <row r="62" spans="1:1" x14ac:dyDescent="0.25">
      <c r="A62" s="9" t="s">
        <v>8216</v>
      </c>
    </row>
    <row r="63" spans="1:1" x14ac:dyDescent="0.25">
      <c r="A63" s="9" t="s">
        <v>8217</v>
      </c>
    </row>
    <row r="64" spans="1:1" x14ac:dyDescent="0.25">
      <c r="A64" s="9" t="s">
        <v>8218</v>
      </c>
    </row>
    <row r="65" spans="1:1" x14ac:dyDescent="0.25">
      <c r="A65" s="9" t="s">
        <v>8219</v>
      </c>
    </row>
    <row r="66" spans="1:1" x14ac:dyDescent="0.25">
      <c r="A66" s="9" t="s">
        <v>8220</v>
      </c>
    </row>
    <row r="67" spans="1:1" x14ac:dyDescent="0.25">
      <c r="A67" s="9" t="s">
        <v>8221</v>
      </c>
    </row>
    <row r="68" spans="1:1" x14ac:dyDescent="0.25">
      <c r="A68" s="9" t="s">
        <v>8222</v>
      </c>
    </row>
    <row r="69" spans="1:1" x14ac:dyDescent="0.25">
      <c r="A69" s="9" t="s">
        <v>8223</v>
      </c>
    </row>
    <row r="70" spans="1:1" x14ac:dyDescent="0.25">
      <c r="A70" s="9" t="s">
        <v>8224</v>
      </c>
    </row>
    <row r="71" spans="1:1" x14ac:dyDescent="0.25">
      <c r="A71" s="9" t="s">
        <v>8225</v>
      </c>
    </row>
    <row r="72" spans="1:1" x14ac:dyDescent="0.25">
      <c r="A72" s="9" t="s">
        <v>8226</v>
      </c>
    </row>
    <row r="73" spans="1:1" x14ac:dyDescent="0.25">
      <c r="A73" s="9" t="s">
        <v>8227</v>
      </c>
    </row>
    <row r="74" spans="1:1" x14ac:dyDescent="0.25">
      <c r="A74" s="9" t="s">
        <v>8228</v>
      </c>
    </row>
    <row r="75" spans="1:1" x14ac:dyDescent="0.25">
      <c r="A75" s="9" t="s">
        <v>8229</v>
      </c>
    </row>
    <row r="76" spans="1:1" x14ac:dyDescent="0.25">
      <c r="A76" s="9" t="s">
        <v>8230</v>
      </c>
    </row>
    <row r="77" spans="1:1" x14ac:dyDescent="0.25">
      <c r="A77" s="9" t="s">
        <v>8231</v>
      </c>
    </row>
    <row r="78" spans="1:1" x14ac:dyDescent="0.25">
      <c r="A78" s="9" t="s">
        <v>8232</v>
      </c>
    </row>
    <row r="79" spans="1:1" x14ac:dyDescent="0.25">
      <c r="A79" s="9" t="s">
        <v>8233</v>
      </c>
    </row>
    <row r="80" spans="1:1" x14ac:dyDescent="0.25">
      <c r="A80" s="9" t="s">
        <v>8234</v>
      </c>
    </row>
    <row r="81" spans="1:1" x14ac:dyDescent="0.25">
      <c r="A81" s="9" t="s">
        <v>8235</v>
      </c>
    </row>
    <row r="82" spans="1:1" x14ac:dyDescent="0.25">
      <c r="A82" s="9" t="s">
        <v>8236</v>
      </c>
    </row>
    <row r="83" spans="1:1" x14ac:dyDescent="0.25">
      <c r="A83" s="9" t="s">
        <v>8237</v>
      </c>
    </row>
    <row r="84" spans="1:1" x14ac:dyDescent="0.25">
      <c r="A84" s="9" t="s">
        <v>8238</v>
      </c>
    </row>
    <row r="85" spans="1:1" x14ac:dyDescent="0.25">
      <c r="A85" s="9" t="s">
        <v>8239</v>
      </c>
    </row>
    <row r="86" spans="1:1" x14ac:dyDescent="0.25">
      <c r="A86" s="9" t="s">
        <v>8240</v>
      </c>
    </row>
    <row r="87" spans="1:1" x14ac:dyDescent="0.25">
      <c r="A87" s="9" t="s">
        <v>8241</v>
      </c>
    </row>
    <row r="88" spans="1:1" x14ac:dyDescent="0.25">
      <c r="A88" s="9" t="s">
        <v>8242</v>
      </c>
    </row>
    <row r="89" spans="1:1" x14ac:dyDescent="0.25">
      <c r="A89" s="9" t="s">
        <v>8243</v>
      </c>
    </row>
    <row r="90" spans="1:1" x14ac:dyDescent="0.25">
      <c r="A90" s="9" t="s">
        <v>8244</v>
      </c>
    </row>
    <row r="91" spans="1:1" x14ac:dyDescent="0.25">
      <c r="A91" s="9" t="s">
        <v>8245</v>
      </c>
    </row>
    <row r="92" spans="1:1" x14ac:dyDescent="0.25">
      <c r="A92" s="9" t="s">
        <v>8246</v>
      </c>
    </row>
    <row r="93" spans="1:1" x14ac:dyDescent="0.25">
      <c r="A93" s="9" t="s">
        <v>8247</v>
      </c>
    </row>
    <row r="94" spans="1:1" x14ac:dyDescent="0.25">
      <c r="A94" s="9" t="s">
        <v>8248</v>
      </c>
    </row>
    <row r="95" spans="1:1" x14ac:dyDescent="0.25">
      <c r="A95" s="9" t="s">
        <v>8249</v>
      </c>
    </row>
    <row r="96" spans="1:1" x14ac:dyDescent="0.25">
      <c r="A96" s="9" t="s">
        <v>8250</v>
      </c>
    </row>
    <row r="97" spans="1:1" x14ac:dyDescent="0.25">
      <c r="A97" s="9" t="s">
        <v>8251</v>
      </c>
    </row>
    <row r="98" spans="1:1" x14ac:dyDescent="0.25">
      <c r="A98" s="9" t="s">
        <v>8252</v>
      </c>
    </row>
    <row r="99" spans="1:1" x14ac:dyDescent="0.25">
      <c r="A99" s="9" t="s">
        <v>8253</v>
      </c>
    </row>
    <row r="100" spans="1:1" x14ac:dyDescent="0.25">
      <c r="A100" s="9" t="s">
        <v>8254</v>
      </c>
    </row>
    <row r="101" spans="1:1" x14ac:dyDescent="0.25">
      <c r="A101" s="9" t="s">
        <v>8255</v>
      </c>
    </row>
    <row r="102" spans="1:1" x14ac:dyDescent="0.25">
      <c r="A102" s="9" t="s">
        <v>8256</v>
      </c>
    </row>
    <row r="103" spans="1:1" x14ac:dyDescent="0.25">
      <c r="A103" s="9" t="s">
        <v>8257</v>
      </c>
    </row>
    <row r="104" spans="1:1" x14ac:dyDescent="0.25">
      <c r="A104" s="9" t="s">
        <v>8258</v>
      </c>
    </row>
    <row r="105" spans="1:1" x14ac:dyDescent="0.25">
      <c r="A105" s="9" t="s">
        <v>8259</v>
      </c>
    </row>
    <row r="106" spans="1:1" x14ac:dyDescent="0.25">
      <c r="A106" s="9" t="s">
        <v>8260</v>
      </c>
    </row>
    <row r="107" spans="1:1" x14ac:dyDescent="0.25">
      <c r="A107" s="9" t="s">
        <v>8261</v>
      </c>
    </row>
    <row r="108" spans="1:1" x14ac:dyDescent="0.25">
      <c r="A108" s="9" t="s">
        <v>8262</v>
      </c>
    </row>
    <row r="109" spans="1:1" x14ac:dyDescent="0.25">
      <c r="A109" s="9" t="s">
        <v>8263</v>
      </c>
    </row>
    <row r="110" spans="1:1" x14ac:dyDescent="0.25">
      <c r="A110" s="9" t="s">
        <v>8264</v>
      </c>
    </row>
    <row r="111" spans="1:1" x14ac:dyDescent="0.25">
      <c r="A111" s="9" t="s">
        <v>8265</v>
      </c>
    </row>
    <row r="112" spans="1:1" x14ac:dyDescent="0.25">
      <c r="A112" s="9" t="s">
        <v>8266</v>
      </c>
    </row>
    <row r="113" spans="1:1" x14ac:dyDescent="0.25">
      <c r="A113" s="9" t="s">
        <v>8267</v>
      </c>
    </row>
    <row r="114" spans="1:1" x14ac:dyDescent="0.25">
      <c r="A114" s="9" t="s">
        <v>8268</v>
      </c>
    </row>
    <row r="115" spans="1:1" x14ac:dyDescent="0.25">
      <c r="A115" s="9" t="s">
        <v>8269</v>
      </c>
    </row>
    <row r="116" spans="1:1" x14ac:dyDescent="0.25">
      <c r="A116" s="9" t="s">
        <v>8270</v>
      </c>
    </row>
    <row r="117" spans="1:1" x14ac:dyDescent="0.25">
      <c r="A117" s="9" t="s">
        <v>8271</v>
      </c>
    </row>
    <row r="118" spans="1:1" x14ac:dyDescent="0.25">
      <c r="A118" s="9" t="s">
        <v>8272</v>
      </c>
    </row>
    <row r="119" spans="1:1" x14ac:dyDescent="0.25">
      <c r="A119" s="9" t="s">
        <v>8273</v>
      </c>
    </row>
    <row r="120" spans="1:1" x14ac:dyDescent="0.25">
      <c r="A120" s="9" t="s">
        <v>8274</v>
      </c>
    </row>
    <row r="121" spans="1:1" x14ac:dyDescent="0.25">
      <c r="A121" s="9" t="s">
        <v>8275</v>
      </c>
    </row>
    <row r="122" spans="1:1" x14ac:dyDescent="0.25">
      <c r="A122" s="9" t="s">
        <v>8276</v>
      </c>
    </row>
    <row r="123" spans="1:1" x14ac:dyDescent="0.25">
      <c r="A123" s="9" t="s">
        <v>8277</v>
      </c>
    </row>
    <row r="124" spans="1:1" x14ac:dyDescent="0.25">
      <c r="A124" s="9" t="s">
        <v>8278</v>
      </c>
    </row>
    <row r="125" spans="1:1" x14ac:dyDescent="0.25">
      <c r="A125" s="9" t="s">
        <v>8279</v>
      </c>
    </row>
    <row r="126" spans="1:1" x14ac:dyDescent="0.25">
      <c r="A126" s="9" t="s">
        <v>8280</v>
      </c>
    </row>
    <row r="127" spans="1:1" x14ac:dyDescent="0.25">
      <c r="A127" s="9" t="s">
        <v>8281</v>
      </c>
    </row>
    <row r="128" spans="1:1" x14ac:dyDescent="0.25">
      <c r="A128" s="9" t="s">
        <v>8282</v>
      </c>
    </row>
    <row r="129" spans="1:1" x14ac:dyDescent="0.25">
      <c r="A129" s="9" t="s">
        <v>8283</v>
      </c>
    </row>
    <row r="130" spans="1:1" x14ac:dyDescent="0.25">
      <c r="A130" s="9" t="s">
        <v>8284</v>
      </c>
    </row>
    <row r="131" spans="1:1" x14ac:dyDescent="0.25">
      <c r="A131" s="9" t="s">
        <v>8285</v>
      </c>
    </row>
    <row r="132" spans="1:1" x14ac:dyDescent="0.25">
      <c r="A132" s="9" t="s">
        <v>8286</v>
      </c>
    </row>
    <row r="133" spans="1:1" x14ac:dyDescent="0.25">
      <c r="A133" s="9" t="s">
        <v>8287</v>
      </c>
    </row>
    <row r="134" spans="1:1" x14ac:dyDescent="0.25">
      <c r="A134" s="9" t="s">
        <v>8288</v>
      </c>
    </row>
    <row r="135" spans="1:1" x14ac:dyDescent="0.25">
      <c r="A135" s="9" t="s">
        <v>8289</v>
      </c>
    </row>
    <row r="136" spans="1:1" x14ac:dyDescent="0.25">
      <c r="A136" s="9" t="s">
        <v>8290</v>
      </c>
    </row>
    <row r="137" spans="1:1" x14ac:dyDescent="0.25">
      <c r="A137" s="9" t="s">
        <v>8291</v>
      </c>
    </row>
    <row r="138" spans="1:1" x14ac:dyDescent="0.25">
      <c r="A138" s="9" t="s">
        <v>8292</v>
      </c>
    </row>
    <row r="139" spans="1:1" x14ac:dyDescent="0.25">
      <c r="A139" s="9" t="s">
        <v>8293</v>
      </c>
    </row>
    <row r="140" spans="1:1" x14ac:dyDescent="0.25">
      <c r="A140" s="9" t="s">
        <v>8294</v>
      </c>
    </row>
    <row r="141" spans="1:1" x14ac:dyDescent="0.25">
      <c r="A141" s="9" t="s">
        <v>8295</v>
      </c>
    </row>
    <row r="142" spans="1:1" x14ac:dyDescent="0.25">
      <c r="A142" s="9" t="s">
        <v>8296</v>
      </c>
    </row>
    <row r="143" spans="1:1" x14ac:dyDescent="0.25">
      <c r="A143" s="9" t="s">
        <v>8297</v>
      </c>
    </row>
    <row r="144" spans="1:1" x14ac:dyDescent="0.25">
      <c r="A144" s="9" t="s">
        <v>8298</v>
      </c>
    </row>
    <row r="145" spans="1:1" x14ac:dyDescent="0.25">
      <c r="A145" s="9" t="s">
        <v>8299</v>
      </c>
    </row>
    <row r="146" spans="1:1" x14ac:dyDescent="0.25">
      <c r="A146" s="9" t="s">
        <v>8300</v>
      </c>
    </row>
    <row r="147" spans="1:1" x14ac:dyDescent="0.25">
      <c r="A147" s="9" t="s">
        <v>8301</v>
      </c>
    </row>
    <row r="148" spans="1:1" x14ac:dyDescent="0.25">
      <c r="A148" s="9" t="s">
        <v>8302</v>
      </c>
    </row>
    <row r="149" spans="1:1" x14ac:dyDescent="0.25">
      <c r="A149" s="9" t="s">
        <v>8303</v>
      </c>
    </row>
    <row r="150" spans="1:1" x14ac:dyDescent="0.25">
      <c r="A150" s="9" t="s">
        <v>8304</v>
      </c>
    </row>
    <row r="151" spans="1:1" x14ac:dyDescent="0.25">
      <c r="A151" s="9" t="s">
        <v>8305</v>
      </c>
    </row>
    <row r="152" spans="1:1" x14ac:dyDescent="0.25">
      <c r="A152" s="9" t="s">
        <v>8306</v>
      </c>
    </row>
    <row r="153" spans="1:1" x14ac:dyDescent="0.25">
      <c r="A153" s="9" t="s">
        <v>8307</v>
      </c>
    </row>
    <row r="154" spans="1:1" x14ac:dyDescent="0.25">
      <c r="A154" s="9" t="s">
        <v>8308</v>
      </c>
    </row>
    <row r="155" spans="1:1" x14ac:dyDescent="0.25">
      <c r="A155" s="9" t="s">
        <v>8309</v>
      </c>
    </row>
    <row r="156" spans="1:1" x14ac:dyDescent="0.25">
      <c r="A156" s="9" t="s">
        <v>8310</v>
      </c>
    </row>
    <row r="157" spans="1:1" x14ac:dyDescent="0.25">
      <c r="A157" s="9" t="s">
        <v>8311</v>
      </c>
    </row>
    <row r="158" spans="1:1" x14ac:dyDescent="0.25">
      <c r="A158" s="9" t="s">
        <v>8312</v>
      </c>
    </row>
    <row r="159" spans="1:1" x14ac:dyDescent="0.25">
      <c r="A159" s="9" t="s">
        <v>8313</v>
      </c>
    </row>
    <row r="160" spans="1:1" x14ac:dyDescent="0.25">
      <c r="A160" s="9" t="s">
        <v>8314</v>
      </c>
    </row>
    <row r="161" spans="1:1" x14ac:dyDescent="0.25">
      <c r="A161" s="9" t="s">
        <v>8315</v>
      </c>
    </row>
    <row r="162" spans="1:1" x14ac:dyDescent="0.25">
      <c r="A162" s="9" t="s">
        <v>8316</v>
      </c>
    </row>
    <row r="163" spans="1:1" x14ac:dyDescent="0.25">
      <c r="A163" s="9" t="s">
        <v>8317</v>
      </c>
    </row>
    <row r="164" spans="1:1" x14ac:dyDescent="0.25">
      <c r="A164" s="9" t="s">
        <v>8318</v>
      </c>
    </row>
    <row r="165" spans="1:1" x14ac:dyDescent="0.25">
      <c r="A165" s="9" t="s">
        <v>8319</v>
      </c>
    </row>
    <row r="166" spans="1:1" x14ac:dyDescent="0.25">
      <c r="A166" s="9" t="s">
        <v>8320</v>
      </c>
    </row>
    <row r="167" spans="1:1" x14ac:dyDescent="0.25">
      <c r="A167" s="9" t="s">
        <v>8321</v>
      </c>
    </row>
    <row r="168" spans="1:1" x14ac:dyDescent="0.25">
      <c r="A168" s="9" t="s">
        <v>8322</v>
      </c>
    </row>
    <row r="169" spans="1:1" x14ac:dyDescent="0.25">
      <c r="A169" s="9" t="s">
        <v>8323</v>
      </c>
    </row>
    <row r="170" spans="1:1" x14ac:dyDescent="0.25">
      <c r="A170" s="9" t="s">
        <v>8324</v>
      </c>
    </row>
    <row r="171" spans="1:1" x14ac:dyDescent="0.25">
      <c r="A171" s="9" t="s">
        <v>8325</v>
      </c>
    </row>
    <row r="172" spans="1:1" x14ac:dyDescent="0.25">
      <c r="A172" s="9" t="s">
        <v>8326</v>
      </c>
    </row>
    <row r="173" spans="1:1" x14ac:dyDescent="0.25">
      <c r="A173" s="9" t="s">
        <v>8327</v>
      </c>
    </row>
    <row r="174" spans="1:1" x14ac:dyDescent="0.25">
      <c r="A174" s="9" t="s">
        <v>8328</v>
      </c>
    </row>
    <row r="175" spans="1:1" x14ac:dyDescent="0.25">
      <c r="A175" s="9" t="s">
        <v>8329</v>
      </c>
    </row>
    <row r="176" spans="1:1" x14ac:dyDescent="0.25">
      <c r="A176" s="9" t="s">
        <v>8330</v>
      </c>
    </row>
    <row r="177" spans="1:1" x14ac:dyDescent="0.25">
      <c r="A177" s="9" t="s">
        <v>8331</v>
      </c>
    </row>
    <row r="178" spans="1:1" x14ac:dyDescent="0.25">
      <c r="A178" s="9" t="s">
        <v>8332</v>
      </c>
    </row>
    <row r="179" spans="1:1" x14ac:dyDescent="0.25">
      <c r="A179" s="9" t="s">
        <v>8333</v>
      </c>
    </row>
    <row r="180" spans="1:1" x14ac:dyDescent="0.25">
      <c r="A180" s="9" t="s">
        <v>8334</v>
      </c>
    </row>
    <row r="181" spans="1:1" x14ac:dyDescent="0.25">
      <c r="A181" s="9" t="s">
        <v>8335</v>
      </c>
    </row>
    <row r="182" spans="1:1" x14ac:dyDescent="0.25">
      <c r="A182" s="9" t="s">
        <v>8336</v>
      </c>
    </row>
    <row r="183" spans="1:1" x14ac:dyDescent="0.25">
      <c r="A183" s="9" t="s">
        <v>8337</v>
      </c>
    </row>
    <row r="184" spans="1:1" x14ac:dyDescent="0.25">
      <c r="A184" s="9" t="s">
        <v>8338</v>
      </c>
    </row>
    <row r="185" spans="1:1" x14ac:dyDescent="0.25">
      <c r="A185" s="9" t="s">
        <v>8339</v>
      </c>
    </row>
    <row r="186" spans="1:1" x14ac:dyDescent="0.25">
      <c r="A186" s="9" t="s">
        <v>8340</v>
      </c>
    </row>
    <row r="187" spans="1:1" x14ac:dyDescent="0.25">
      <c r="A187" s="9" t="s">
        <v>8341</v>
      </c>
    </row>
    <row r="188" spans="1:1" x14ac:dyDescent="0.25">
      <c r="A188" s="9" t="s">
        <v>8342</v>
      </c>
    </row>
    <row r="189" spans="1:1" x14ac:dyDescent="0.25">
      <c r="A189" s="9" t="s">
        <v>8343</v>
      </c>
    </row>
    <row r="190" spans="1:1" x14ac:dyDescent="0.25">
      <c r="A190" s="9" t="s">
        <v>8344</v>
      </c>
    </row>
    <row r="191" spans="1:1" x14ac:dyDescent="0.25">
      <c r="A191" s="9" t="s">
        <v>8345</v>
      </c>
    </row>
    <row r="192" spans="1:1" x14ac:dyDescent="0.25">
      <c r="A192" s="9" t="s">
        <v>8346</v>
      </c>
    </row>
    <row r="193" spans="1:1" x14ac:dyDescent="0.25">
      <c r="A193" s="9" t="s">
        <v>8347</v>
      </c>
    </row>
    <row r="194" spans="1:1" x14ac:dyDescent="0.25">
      <c r="A194" s="9" t="s">
        <v>8348</v>
      </c>
    </row>
    <row r="195" spans="1:1" x14ac:dyDescent="0.25">
      <c r="A195" s="9" t="s">
        <v>8349</v>
      </c>
    </row>
    <row r="196" spans="1:1" x14ac:dyDescent="0.25">
      <c r="A196" s="9" t="s">
        <v>8350</v>
      </c>
    </row>
    <row r="197" spans="1:1" x14ac:dyDescent="0.25">
      <c r="A197" s="9" t="s">
        <v>8351</v>
      </c>
    </row>
    <row r="198" spans="1:1" x14ac:dyDescent="0.25">
      <c r="A198" s="9" t="s">
        <v>8352</v>
      </c>
    </row>
    <row r="199" spans="1:1" x14ac:dyDescent="0.25">
      <c r="A199" s="9" t="s">
        <v>8353</v>
      </c>
    </row>
    <row r="200" spans="1:1" x14ac:dyDescent="0.25">
      <c r="A200" s="9" t="s">
        <v>8354</v>
      </c>
    </row>
    <row r="201" spans="1:1" x14ac:dyDescent="0.25">
      <c r="A201" s="9" t="s">
        <v>8355</v>
      </c>
    </row>
    <row r="202" spans="1:1" x14ac:dyDescent="0.25">
      <c r="A202" s="9" t="s">
        <v>8356</v>
      </c>
    </row>
    <row r="203" spans="1:1" x14ac:dyDescent="0.25">
      <c r="A203" s="9" t="s">
        <v>8357</v>
      </c>
    </row>
    <row r="204" spans="1:1" x14ac:dyDescent="0.25">
      <c r="A204" s="9" t="s">
        <v>8358</v>
      </c>
    </row>
    <row r="205" spans="1:1" x14ac:dyDescent="0.25">
      <c r="A205" s="9" t="s">
        <v>8359</v>
      </c>
    </row>
    <row r="206" spans="1:1" x14ac:dyDescent="0.25">
      <c r="A206" s="9" t="s">
        <v>8360</v>
      </c>
    </row>
    <row r="207" spans="1:1" x14ac:dyDescent="0.25">
      <c r="A207" s="9" t="s">
        <v>8361</v>
      </c>
    </row>
    <row r="208" spans="1:1" x14ac:dyDescent="0.25">
      <c r="A208" s="9" t="s">
        <v>8362</v>
      </c>
    </row>
    <row r="209" spans="1:1" x14ac:dyDescent="0.25">
      <c r="A209" s="9" t="s">
        <v>8363</v>
      </c>
    </row>
    <row r="210" spans="1:1" x14ac:dyDescent="0.25">
      <c r="A210" s="9" t="s">
        <v>8364</v>
      </c>
    </row>
    <row r="211" spans="1:1" x14ac:dyDescent="0.25">
      <c r="A211" s="9" t="s">
        <v>8365</v>
      </c>
    </row>
    <row r="212" spans="1:1" x14ac:dyDescent="0.25">
      <c r="A212" s="9" t="s">
        <v>8366</v>
      </c>
    </row>
    <row r="213" spans="1:1" x14ac:dyDescent="0.25">
      <c r="A213" s="9" t="s">
        <v>8367</v>
      </c>
    </row>
    <row r="214" spans="1:1" x14ac:dyDescent="0.25">
      <c r="A214" s="9" t="s">
        <v>8368</v>
      </c>
    </row>
    <row r="215" spans="1:1" x14ac:dyDescent="0.25">
      <c r="A215" s="9" t="s">
        <v>8369</v>
      </c>
    </row>
    <row r="216" spans="1:1" x14ac:dyDescent="0.25">
      <c r="A216" s="9" t="s">
        <v>8370</v>
      </c>
    </row>
    <row r="217" spans="1:1" x14ac:dyDescent="0.25">
      <c r="A217" s="9" t="s">
        <v>8371</v>
      </c>
    </row>
    <row r="218" spans="1:1" x14ac:dyDescent="0.25">
      <c r="A218" s="9" t="s">
        <v>8372</v>
      </c>
    </row>
    <row r="219" spans="1:1" x14ac:dyDescent="0.25">
      <c r="A219" s="9" t="s">
        <v>8373</v>
      </c>
    </row>
    <row r="220" spans="1:1" x14ac:dyDescent="0.25">
      <c r="A220" s="9" t="s">
        <v>8374</v>
      </c>
    </row>
    <row r="221" spans="1:1" x14ac:dyDescent="0.25">
      <c r="A221" s="9" t="s">
        <v>8375</v>
      </c>
    </row>
    <row r="222" spans="1:1" x14ac:dyDescent="0.25">
      <c r="A222" s="9" t="s">
        <v>8376</v>
      </c>
    </row>
    <row r="223" spans="1:1" x14ac:dyDescent="0.25">
      <c r="A223" s="9" t="s">
        <v>8377</v>
      </c>
    </row>
    <row r="224" spans="1:1" x14ac:dyDescent="0.25">
      <c r="A224" s="9" t="s">
        <v>8378</v>
      </c>
    </row>
    <row r="225" spans="1:1" x14ac:dyDescent="0.25">
      <c r="A225" s="9" t="s">
        <v>8379</v>
      </c>
    </row>
    <row r="226" spans="1:1" x14ac:dyDescent="0.25">
      <c r="A226" s="9" t="s">
        <v>8380</v>
      </c>
    </row>
    <row r="227" spans="1:1" x14ac:dyDescent="0.25">
      <c r="A227" s="9" t="s">
        <v>8381</v>
      </c>
    </row>
    <row r="228" spans="1:1" x14ac:dyDescent="0.25">
      <c r="A228" s="9" t="s">
        <v>8382</v>
      </c>
    </row>
    <row r="229" spans="1:1" x14ac:dyDescent="0.25">
      <c r="A229" s="9" t="s">
        <v>8383</v>
      </c>
    </row>
    <row r="230" spans="1:1" x14ac:dyDescent="0.25">
      <c r="A230" s="9" t="s">
        <v>8384</v>
      </c>
    </row>
    <row r="231" spans="1:1" x14ac:dyDescent="0.25">
      <c r="A231" s="9" t="s">
        <v>8385</v>
      </c>
    </row>
    <row r="232" spans="1:1" x14ac:dyDescent="0.25">
      <c r="A232" s="9" t="s">
        <v>8386</v>
      </c>
    </row>
    <row r="233" spans="1:1" x14ac:dyDescent="0.25">
      <c r="A233" s="9" t="s">
        <v>8387</v>
      </c>
    </row>
    <row r="234" spans="1:1" x14ac:dyDescent="0.25">
      <c r="A234" s="9" t="s">
        <v>8388</v>
      </c>
    </row>
    <row r="235" spans="1:1" x14ac:dyDescent="0.25">
      <c r="A235" s="9" t="s">
        <v>8389</v>
      </c>
    </row>
    <row r="236" spans="1:1" x14ac:dyDescent="0.25">
      <c r="A236" s="9" t="s">
        <v>8390</v>
      </c>
    </row>
    <row r="237" spans="1:1" x14ac:dyDescent="0.25">
      <c r="A237" s="9" t="s">
        <v>8391</v>
      </c>
    </row>
    <row r="238" spans="1:1" x14ac:dyDescent="0.25">
      <c r="A238" s="9" t="s">
        <v>8392</v>
      </c>
    </row>
    <row r="239" spans="1:1" x14ac:dyDescent="0.25">
      <c r="A239" s="9" t="s">
        <v>8393</v>
      </c>
    </row>
    <row r="240" spans="1:1" x14ac:dyDescent="0.25">
      <c r="A240" s="9" t="s">
        <v>8394</v>
      </c>
    </row>
    <row r="241" spans="1:1" x14ac:dyDescent="0.25">
      <c r="A241" s="9" t="s">
        <v>8395</v>
      </c>
    </row>
    <row r="242" spans="1:1" x14ac:dyDescent="0.25">
      <c r="A242" s="9" t="s">
        <v>8396</v>
      </c>
    </row>
    <row r="243" spans="1:1" x14ac:dyDescent="0.25">
      <c r="A243" s="9" t="s">
        <v>8397</v>
      </c>
    </row>
    <row r="244" spans="1:1" x14ac:dyDescent="0.25">
      <c r="A244" s="9" t="s">
        <v>8398</v>
      </c>
    </row>
    <row r="245" spans="1:1" x14ac:dyDescent="0.25">
      <c r="A245" s="9" t="s">
        <v>8399</v>
      </c>
    </row>
    <row r="246" spans="1:1" x14ac:dyDescent="0.25">
      <c r="A246" s="9" t="s">
        <v>8400</v>
      </c>
    </row>
    <row r="247" spans="1:1" x14ac:dyDescent="0.25">
      <c r="A247" s="9" t="s">
        <v>8401</v>
      </c>
    </row>
    <row r="248" spans="1:1" x14ac:dyDescent="0.25">
      <c r="A248" s="9" t="s">
        <v>8402</v>
      </c>
    </row>
    <row r="249" spans="1:1" x14ac:dyDescent="0.25">
      <c r="A249" s="9" t="s">
        <v>8403</v>
      </c>
    </row>
    <row r="250" spans="1:1" x14ac:dyDescent="0.25">
      <c r="A250" s="9" t="s">
        <v>8404</v>
      </c>
    </row>
    <row r="251" spans="1:1" x14ac:dyDescent="0.25">
      <c r="A251" s="9" t="s">
        <v>8405</v>
      </c>
    </row>
    <row r="252" spans="1:1" x14ac:dyDescent="0.25">
      <c r="A252" s="9" t="s">
        <v>8406</v>
      </c>
    </row>
    <row r="253" spans="1:1" x14ac:dyDescent="0.25">
      <c r="A253" s="9" t="s">
        <v>8407</v>
      </c>
    </row>
    <row r="254" spans="1:1" x14ac:dyDescent="0.25">
      <c r="A254" s="9" t="s">
        <v>8408</v>
      </c>
    </row>
    <row r="255" spans="1:1" x14ac:dyDescent="0.25">
      <c r="A255" s="10" t="s">
        <v>8409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RAW FAA EXPORT_ADS-B</vt:lpstr>
      <vt:lpstr>Chart of ADS-B Data_GPS-A APR</vt:lpstr>
      <vt:lpstr>Calculated Groundspeed</vt:lpstr>
      <vt:lpstr>EWR Radar 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Gerhardt Adam</dc:creator>
  <cp:lastModifiedBy>Gerhardt Adam</cp:lastModifiedBy>
  <dcterms:created xsi:type="dcterms:W3CDTF">2021-02-09T15:28:08Z</dcterms:created>
  <dcterms:modified xsi:type="dcterms:W3CDTF">2021-02-16T19:06:47Z</dcterms:modified>
</cp:coreProperties>
</file>